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unpras\AppData\Local\Research\ModelPublishing\SubmittedModels\"/>
    </mc:Choice>
  </mc:AlternateContent>
  <xr:revisionPtr revIDLastSave="0" documentId="8_{C6DEA000-DFFF-483B-9604-3A92DAAA2866}" xr6:coauthVersionLast="47" xr6:coauthVersionMax="47" xr10:uidLastSave="{00000000-0000-0000-0000-000000000000}"/>
  <bookViews>
    <workbookView xWindow="30612" yWindow="-108" windowWidth="30936" windowHeight="16776" tabRatio="865" xr2:uid="{00000000-000D-0000-FFFF-FFFF00000000}"/>
  </bookViews>
  <sheets>
    <sheet name="CircularReferenceAlert" sheetId="116" r:id="rId1"/>
    <sheet name="ImportantDisclosures" sheetId="113" r:id="rId2"/>
    <sheet name="SUMMARY" sheetId="41" r:id="rId3"/>
    <sheet name="DIVISIONS" sheetId="20" r:id="rId4"/>
    <sheet name="P&amp;L" sheetId="10" r:id="rId5"/>
    <sheet name="Bal Sheet" sheetId="42" r:id="rId6"/>
    <sheet name="Capital" sheetId="46" r:id="rId7"/>
    <sheet name="EPS and DPS" sheetId="43" r:id="rId8"/>
    <sheet name="SOTP" sheetId="51" r:id="rId9"/>
    <sheet name="Valuation New" sheetId="78" r:id="rId10"/>
    <sheet name="BULL BEAR" sheetId="49" r:id="rId11"/>
    <sheet name="Valuation Clean" sheetId="79" r:id="rId12"/>
    <sheet name="IndexInformation" sheetId="114" r:id="rId13"/>
    <sheet name="ModPubIndex" sheetId="115" r:id="rId14"/>
  </sheets>
  <externalReferences>
    <externalReference r:id="rId15"/>
  </externalReferences>
  <definedNames>
    <definedName name="__FDS_HYPERLINK_TOGGLE_STATE__" hidden="1">"ON"</definedName>
    <definedName name="_bdm.05014202F2F74FEBA82C7ECB9BD89D08.edm" hidden="1">#REF!</definedName>
    <definedName name="_bdm.05AE62F9BB5F4B69B4AEC45D98DBD385.edm" hidden="1">#REF!</definedName>
    <definedName name="_bdm.06B9E2031CCE4ACBAFC9354B0052548B.edm" hidden="1">#REF!</definedName>
    <definedName name="_bdm.07B5818A383F4DC2A6BFA30C130CBB78.edm" hidden="1">#REF!</definedName>
    <definedName name="_bdm.0BA58C73C8214E5EB6BBF7726F922B49.edm" hidden="1">#REF!</definedName>
    <definedName name="_bdm.14D1A22932234486A69AAF8B879B86C4.edm" hidden="1">#REF!</definedName>
    <definedName name="_bdm.17E64A4C6E10453D90DD821E3486E460.edm" hidden="1">#REF!</definedName>
    <definedName name="_bdm.1AE3F75760E0479096081A7AD5A995E1.edm" hidden="1">#REF!</definedName>
    <definedName name="_bdm.2036132261C645EA95B311A85755FDEC.edm" hidden="1">#REF!</definedName>
    <definedName name="_bdm.2503D10CBF224D4484051F760FF4B11C.edm" hidden="1">#REF!</definedName>
    <definedName name="_bdm.2D1D900AE9944B0A97CBE98248696E08.edm" hidden="1">#REF!</definedName>
    <definedName name="_bdm.2E2F2BF83E714EA194647275C6D7B389.edm" hidden="1">#REF!</definedName>
    <definedName name="_bdm.3246CA3408D5426CA212E14366A74FFA.edm" hidden="1">#REF!</definedName>
    <definedName name="_bdm.32A315EF315A4EB2A2FEAEC1D00B93E9.edm" hidden="1">#REF!</definedName>
    <definedName name="_bdm.3596986F2C494F32A6B84E1F02251BB2.edm" hidden="1">#REF!</definedName>
    <definedName name="_bdm.35F56E727F6441B28F70128325FE0DD7.edm" hidden="1">#REF!</definedName>
    <definedName name="_bdm.386870FB1C9D425F8BCCAEE0B2A2C2A9.edm" hidden="1">#REF!</definedName>
    <definedName name="_bdm.38A93832296447F086A88904434FE2DB.edm" hidden="1">#REF!</definedName>
    <definedName name="_bdm.3EA13C62A5484CCAA4CDDABBE50CEF3A.edm" hidden="1">#REF!</definedName>
    <definedName name="_bdm.3FFB712E33E542319525773DAA2B50BA.edm" hidden="1">#REF!</definedName>
    <definedName name="_bdm.40E9C710E6564DF1802449C546CE6C37.edm" hidden="1">#REF!</definedName>
    <definedName name="_bdm.4545EE10AFA7434885FE2ADCB126CD30.edm" hidden="1">#REF!</definedName>
    <definedName name="_bdm.45C88C4126C04FC1A356BEA892554FAB.edm" hidden="1">#REF!</definedName>
    <definedName name="_bdm.4708A85B10DD4ACEA8721C171735C993.edm" hidden="1">#REF!</definedName>
    <definedName name="_bdm.470FA2A548804DDE8D2E625698D9FDA6.edm" hidden="1">#REF!</definedName>
    <definedName name="_bdm.485373B1A4544173A0990377D401706A.edm" hidden="1">#REF!</definedName>
    <definedName name="_bdm.49DAFA6F8CEF44AF976FC2E531F6BAD9.edm" hidden="1">#REF!</definedName>
    <definedName name="_bdm.4ACD87ADEFBB465AAED14D4AA9A2575E.edm" hidden="1">#REF!</definedName>
    <definedName name="_bdm.4CE23B16356343DFA9F375C8517371A6.edm" hidden="1">#REF!</definedName>
    <definedName name="_bdm.4CEA097C991C4300BB5A217F5491F385.edm" hidden="1">#REF!</definedName>
    <definedName name="_bdm.50614E1C333D47758802C8C2CAC65164.edm" hidden="1">#REF!</definedName>
    <definedName name="_bdm.50B984B451264AAA9B0FD95A2FC0ED17.edm" hidden="1">#REF!</definedName>
    <definedName name="_bdm.52BFBF262BEA438A9803319ACAB9F052.edm" hidden="1">#REF!</definedName>
    <definedName name="_bdm.56156AA2F1394D90AE19E0C1E4C6442C.edm" hidden="1">#REF!</definedName>
    <definedName name="_bdm.5672D188F5804F5DBB7D877273E6D3EC.edm" hidden="1">#REF!</definedName>
    <definedName name="_bdm.5AD9B086B3F94D9B911CA850F59DCE36.edm" hidden="1">#REF!</definedName>
    <definedName name="_bdm.5BFA8306392B459ABF12BC2446E688CC.edm" hidden="1">#REF!</definedName>
    <definedName name="_bdm.611633B4A757460198AD2906163ED2BA.edm" hidden="1">#REF!</definedName>
    <definedName name="_bdm.6288C2271B3A4589A2BBF17A864E45B3.edm" hidden="1">#REF!</definedName>
    <definedName name="_bdm.6491D6FCAF6A4543AA9D5EB3DFA7A731.edm" hidden="1">#REF!</definedName>
    <definedName name="_bdm.6BEB0AC7BB7045FF888CBCF01F40149E.edm" hidden="1">#REF!</definedName>
    <definedName name="_bdm.6C746739B46E4D9E871E53AADA107B14.edm" hidden="1">#REF!</definedName>
    <definedName name="_bdm.6CB7BD0FED844249A65315D03F0E065E.edm" hidden="1">#REF!</definedName>
    <definedName name="_bdm.6CD0C7F9A4934D86ACC6984F3A1C9943.edm" hidden="1">#REF!</definedName>
    <definedName name="_bdm.6DD15C8021DD41E7B33858957126E414.edm" hidden="1">#REF!</definedName>
    <definedName name="_bdm.737135B66E7B4A1896157F93CBB5F4FA.edm" hidden="1">#REF!</definedName>
    <definedName name="_bdm.7AABADB4BFCC4FC5BFC7C2463F7D9514.edm" hidden="1">#REF!</definedName>
    <definedName name="_bdm.7D284F0655EB4CA29883A22CF903903A.edm" hidden="1">#REF!</definedName>
    <definedName name="_bdm.7F79275429D44FBDB79634BDD96D472A.edm" hidden="1">#REF!</definedName>
    <definedName name="_bdm.7FE8AD2828B3471D9F2B8D318440FBE8.edm" hidden="1">#REF!</definedName>
    <definedName name="_bdm.83F6040946FE4FDAB7489091551C7F26.edm" hidden="1">#REF!</definedName>
    <definedName name="_bdm.879B950EBBAB4597B88189350706EC93.edm" hidden="1">#REF!</definedName>
    <definedName name="_bdm.8B31B2E1776D4EFB9CD455B3938FEA27.edm" hidden="1">#REF!</definedName>
    <definedName name="_bdm.8FFD170630A14AF5BD92158A70EAB3EC.edm" hidden="1">#REF!</definedName>
    <definedName name="_bdm.912C1DBEF33D4027BCD7CBB7BA7DB8D0.edm" hidden="1">#REF!</definedName>
    <definedName name="_bdm.9201A59D062449D3B360439C407D4392.edm" hidden="1">#REF!</definedName>
    <definedName name="_bdm.940C373B62A04B83B5C31BAFC8DDD6E4.edm" hidden="1">#REF!</definedName>
    <definedName name="_bdm.9573B05BDECD41DABE2D9BD7D002E025.edm" hidden="1">#REF!</definedName>
    <definedName name="_bdm.9C8531B2CA2D48069A1D8D828D28B144.edm" hidden="1">#REF!</definedName>
    <definedName name="_bdm.9FC75218E2B1498ABC81356C4C2B169D.edm" hidden="1">#REF!</definedName>
    <definedName name="_bdm.A02D80F893DD4C7DA6D997E701C867FB.edm" hidden="1">#REF!</definedName>
    <definedName name="_bdm.A3E62F43CE24493A8C5FF22E7B5DFDA5.edm" hidden="1">#REF!</definedName>
    <definedName name="_bdm.A9A191D1F72B4B59AF701335EBEE07E6.edm" hidden="1">#REF!</definedName>
    <definedName name="_bdm.A9FF02EEEB3A4036A17D09EE1A756900.edm" hidden="1">#REF!</definedName>
    <definedName name="_bdm.AA8FEA3C8FD04EF790DDDBE594061BB6.edm" hidden="1">#REF!</definedName>
    <definedName name="_bdm.ABACD14F0AD44459AC959133BC60E637.edm" hidden="1">#REF!</definedName>
    <definedName name="_bdm.ADFB6678AD82419BB4A0E897182A7E82.edm" hidden="1">#REF!</definedName>
    <definedName name="_bdm.AF98245077B1461394E9790E5A64B89D.edm" hidden="1">#REF!</definedName>
    <definedName name="_bdm.B1B8ADB526544DA38D4D0C3A1E298100.edm" hidden="1">#REF!</definedName>
    <definedName name="_bdm.B627FE8ABDC74658932FBBDCF557630A.edm" hidden="1">#REF!</definedName>
    <definedName name="_bdm.B7CC83D9B1D34661812434787CF5F95D.edm" hidden="1">#REF!</definedName>
    <definedName name="_bdm.BB07DDACC0434320947584FCD403930E.edm" hidden="1">#REF!</definedName>
    <definedName name="_bdm.BBDE9B1AA3A64CE28BFF16BC8ABE1003.edm" hidden="1">#REF!</definedName>
    <definedName name="_bdm.BCDAB7CD5AC74FF9B8B75B5F435FFCF9.edm" hidden="1">#REF!</definedName>
    <definedName name="_bdm.BD0793350F0C43428E5675245FC5AE24.edm" hidden="1">#REF!</definedName>
    <definedName name="_bdm.BF6185B082B948108B143AB9BCB147DE.edm" hidden="1">#REF!</definedName>
    <definedName name="_bdm.C2CEF852C89346D2B2FEC0121DD42FC9.edm" hidden="1">#REF!</definedName>
    <definedName name="_bdm.C54B1381CF96421AAD109AC38988B906.edm" hidden="1">#REF!</definedName>
    <definedName name="_bdm.C9BC2E2DB77E4A7E86C6E0EA22331D54.edm" hidden="1">#REF!</definedName>
    <definedName name="_bdm.C9D8EE15177E475EBF5DC0409574329D.edm" hidden="1">#REF!</definedName>
    <definedName name="_bdm.CC3D0DF9C0694445B6ACFD7A74A063E0.edm" hidden="1">#REF!</definedName>
    <definedName name="_bdm.CC51A77077FB460AB2F1FAD6348033FB.edm" hidden="1">#REF!</definedName>
    <definedName name="_bdm.CFC3CEDB55CA4DC2873A4084E990A0B0.edm" hidden="1">#REF!</definedName>
    <definedName name="_bdm.D3DD18587A31495DB887275C9F0A5900.edm" hidden="1">#REF!</definedName>
    <definedName name="_bdm.D58207225440414BB847DCFB1FFE0453.edm" hidden="1">#REF!</definedName>
    <definedName name="_bdm.D673A98A202D4483B12350052FAA7A1A.edm" hidden="1">#REF!</definedName>
    <definedName name="_bdm.D74B8AA790B64A6C9EAD9161D7204899.edm" hidden="1">#REF!</definedName>
    <definedName name="_bdm.D8226746037A4B218F06698B6B570FD4.edm" hidden="1">#REF!</definedName>
    <definedName name="_bdm.DF0205DCA04F46799338D8229EE6418A.edm" hidden="1">#REF!</definedName>
    <definedName name="_bdm.E13B715DE2FA4A0FAD221E522EFAE967.edm" hidden="1">#REF!</definedName>
    <definedName name="_bdm.E17B98DCC0BD4BFBB166A7EF2B542B05.edm" hidden="1">#REF!</definedName>
    <definedName name="_bdm.E1E8D2EAEF3B40B6BCF058320E748F2C.edm" hidden="1">#REF!</definedName>
    <definedName name="_bdm.E22B8ADECCE94914B1F8F3719E6F901E.edm" hidden="1">#REF!</definedName>
    <definedName name="_bdm.E289753E9AA54905AA39E914A54A893C.edm" hidden="1">#REF!</definedName>
    <definedName name="_bdm.E40983767656402A86274FBDED899D5C.edm" hidden="1">#REF!</definedName>
    <definedName name="_bdm.E511430FF2984D6389D8FDB1A3CC4A35.edm" hidden="1">#REF!</definedName>
    <definedName name="_bdm.E9052643F4054530A7AE1D22D785AEDA.edm" hidden="1">#REF!</definedName>
    <definedName name="_bdm.EBC3006928B34D048DA752B4912993AE.edm" hidden="1">#REF!</definedName>
    <definedName name="_bdm.ECF2FB1282E94CCD8214DDCDE4E8D096.edm" hidden="1">#REF!</definedName>
    <definedName name="_bdm.EDFC77AE62FD498BA5A1F613EFAB3DFD.edm" hidden="1">#REF!</definedName>
    <definedName name="_bdm.EE7E62D955BB4BB796907A315A548A20.edm" hidden="1">#REF!</definedName>
    <definedName name="_bdm.F0A3A840671D4A9DA56C20CBAA0BEA93.edm" hidden="1">#REF!</definedName>
    <definedName name="_bdm.F14FC4EE19EA493ABF4FA1D801186FC9.edm" hidden="1">#REF!</definedName>
    <definedName name="_bdm.F877A77EBE01419FA6CCFE1ACC84974A.edm" hidden="1">#REF!</definedName>
    <definedName name="_bdm.F93576BF4C8A4AD7BB883822D1D35F98.edm" hidden="1">#REF!</definedName>
    <definedName name="_Fill" hidden="1">#REF!</definedName>
    <definedName name="_iei2" hidden="1">{"Qtr Op Mgd Q3",#N/A,FALSE,"Qtr-Op (Mng)";"Qtr Op Rpt Q3",#N/A,FALSE,"Qtr-Op (Rpt)";"Operating Vs Reported",#N/A,FALSE,"Rpt-Op Inc"}</definedName>
    <definedName name="_Key1" hidden="1">#REF!</definedName>
    <definedName name="_Key2" hidden="1">#REF!</definedName>
    <definedName name="_MatInverse_Out" hidden="1">#REF!</definedName>
    <definedName name="_MatMult_B" hidden="1">#REF!</definedName>
    <definedName name="_Order1" hidden="1">0</definedName>
    <definedName name="_Order2" hidden="1">255</definedName>
    <definedName name="_qop2" hidden="1">{"Qtr Op Mgd Q2",#N/A,FALSE,"Qtr-Op (Mng)";"Qtr Op Rpt Q2",#N/A,FALSE,"Qtr-Op (Rpt)";"Operating Vs Reported",#N/A,FALSE,"Rpt-Op Inc"}</definedName>
    <definedName name="_rep2" hidden="1">{#N/A,#N/A,FALSE,"COVER";#N/A,#N/A,FALSE,"VALUATION";#N/A,#N/A,FALSE,"FORECAST";#N/A,#N/A,FALSE,"FY ANALYSIS ";#N/A,#N/A,FALSE," HY ANALYSIS"}</definedName>
    <definedName name="_Sort" hidden="1">#REF!</definedName>
    <definedName name="a" hidden="1">#REF!</definedName>
    <definedName name="aaa" hidden="1">{"AVSHAR","BSHAR"}</definedName>
    <definedName name="adawd" hidden="1">#REF!</definedName>
    <definedName name="africa">0.01</definedName>
    <definedName name="africaCountries">#REF!</definedName>
    <definedName name="allRegions">#REF!</definedName>
    <definedName name="americaRegion">#REF!</definedName>
    <definedName name="americas">0.28</definedName>
    <definedName name="americasStates">#REF!</definedName>
    <definedName name="AppVersion">"GEG-1.0"</definedName>
    <definedName name="AS2DocOpenMode" hidden="1">"AS2DocumentEdit"</definedName>
    <definedName name="asiaPacific">0.48</definedName>
    <definedName name="asiaPacificExJapan">0.43</definedName>
    <definedName name="asiaPacificExJapanCountries">#REF!</definedName>
    <definedName name="asiaPacificRegion">#REF!</definedName>
    <definedName name="asiaPacificStates">#REF!</definedName>
    <definedName name="australasia">0.33</definedName>
    <definedName name="BRICS">0.06</definedName>
    <definedName name="BS추정" hidden="1">{"'보고양식'!$A$58:$K$111"}</definedName>
    <definedName name="centralEasternEurope">0.01</definedName>
    <definedName name="centralEasternEuropeCountries">#REF!</definedName>
    <definedName name="changed_fy19">#REF!</definedName>
    <definedName name="china">0.03</definedName>
    <definedName name="consumerDemandExposure">#REF!</definedName>
    <definedName name="consumersExposure">0.1</definedName>
    <definedName name="countryList">"Country Mapping"</definedName>
    <definedName name="cu119.CopyLastPeriodRows" hidden="1">{"AVSHAR","BSHAR"}</definedName>
    <definedName name="developedEuropeExUK">0.09</definedName>
    <definedName name="developedEuropeExUKCountries">#REF!</definedName>
    <definedName name="domesticAndForeignExposure">#REF!</definedName>
    <definedName name="domesticCostExposure">#REF!</definedName>
    <definedName name="ed" hidden="1">{"'보고양식'!$A$58:$K$111"}</definedName>
    <definedName name="EEMEA">0.05</definedName>
    <definedName name="endDemandExposure">#REF!</definedName>
    <definedName name="europe">0.2</definedName>
    <definedName name="europeRegion">#REF!</definedName>
    <definedName name="europeStates">#REF!</definedName>
    <definedName name="f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orecast" localSheetId="3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XRPHP">'[1]FX Rates'!#REF!</definedName>
    <definedName name="FXRSARD">'[1]FX Rates'!#REF!</definedName>
    <definedName name="FXRSK">'[1]FX Rates'!#REF!</definedName>
    <definedName name="HTML_CodePage" hidden="1">949</definedName>
    <definedName name="HTML_Control" hidden="1">{"'보고양식'!$A$58:$K$111"}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"C:\My Documents\98년\영업현황\2월 수주현황(2월 마감분).htm"</definedName>
    <definedName name="HTML_Title" hidden="1">""</definedName>
    <definedName name="HTML1_1" hidden="1">"[수주관리98.xls]회선현황!$A$5:$O$53"</definedName>
    <definedName name="HTML1_10" hidden="1">""</definedName>
    <definedName name="HTML1_11" hidden="1">1</definedName>
    <definedName name="HTML1_12" hidden="1">"C:\My Documents\98년\1월\영업현황\시험.htm"</definedName>
    <definedName name="HTML1_2" hidden="1">1</definedName>
    <definedName name="HTML1_3" hidden="1">"수주관리98"</definedName>
    <definedName name="HTML1_4" hidden="1">"회선현황"</definedName>
    <definedName name="HTML1_5" hidden="1">""</definedName>
    <definedName name="HTML1_6" hidden="1">-4146</definedName>
    <definedName name="HTML1_7" hidden="1">-4146</definedName>
    <definedName name="HTML1_8" hidden="1">"98-01-21"</definedName>
    <definedName name="HTML1_9" hidden="1">"김은광"</definedName>
    <definedName name="HTML10_1" hidden="1">"'[수주관리98.xls]2월1주차'!$A$1:$P$31"</definedName>
    <definedName name="HTML10_10" hidden="1">""</definedName>
    <definedName name="HTML10_11" hidden="1">1</definedName>
    <definedName name="HTML10_12" hidden="1">"C:\My Documents\98년\영업현황\일일현황-98.2.6.htm"</definedName>
    <definedName name="HTML10_2" hidden="1">1</definedName>
    <definedName name="HTML10_3" hidden="1">""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""</definedName>
    <definedName name="HTML10_9" hidden="1">""</definedName>
    <definedName name="HTML11_1" hidden="1">"'[수주관리98.xls]2월2주차'!$A$1:$P$21"</definedName>
    <definedName name="HTML11_10" hidden="1">""</definedName>
    <definedName name="HTML11_11" hidden="1">1</definedName>
    <definedName name="HTML11_12" hidden="1">"C:\My Documents\98년\영업현황\일일현황-98.2.12.htm"</definedName>
    <definedName name="HTML11_2" hidden="1">1</definedName>
    <definedName name="HTML11_3" hidden="1">""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""</definedName>
    <definedName name="HTML11_9" hidden="1">""</definedName>
    <definedName name="HTML12_1" hidden="1">"'[수주관리98.xls]2월2주차'!$A$1:$P$34"</definedName>
    <definedName name="HTML12_10" hidden="1">""</definedName>
    <definedName name="HTML12_11" hidden="1">1</definedName>
    <definedName name="HTML12_12" hidden="1">"C:\My Documents\98년\영업현황\일일현황-98.2.13.htm"</definedName>
    <definedName name="HTML12_2" hidden="1">1</definedName>
    <definedName name="HTML12_3" hidden="1">""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""</definedName>
    <definedName name="HTML12_9" hidden="1">""</definedName>
    <definedName name="HTML13_1" hidden="1">"'[수주관리98.xls]2월2주차'!$A$1:$P$19"</definedName>
    <definedName name="HTML13_10" hidden="1">""</definedName>
    <definedName name="HTML13_11" hidden="1">1</definedName>
    <definedName name="HTML13_12" hidden="1">"C:\My Documents\98년\영업현황\일일현황-98.2.12.htm"</definedName>
    <definedName name="HTML13_2" hidden="1">1</definedName>
    <definedName name="HTML13_3" hidden="1">""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""</definedName>
    <definedName name="HTML13_9" hidden="1">""</definedName>
    <definedName name="HTML14_1" hidden="1">"'[수주관리98.xls]2월2주차'!$A$1:$P$17"</definedName>
    <definedName name="HTML14_10" hidden="1">""</definedName>
    <definedName name="HTML14_11" hidden="1">1</definedName>
    <definedName name="HTML14_12" hidden="1">"C:\My Documents\98년\영업현황\일일현황-98.2.9.htm"</definedName>
    <definedName name="HTML14_2" hidden="1">1</definedName>
    <definedName name="HTML14_3" hidden="1">""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""</definedName>
    <definedName name="HTML14_9" hidden="1">""</definedName>
    <definedName name="HTML15_1" hidden="1">"'[수주관리98.xls]2월3주차'!$A$1:$P$20"</definedName>
    <definedName name="HTML15_10" hidden="1">""</definedName>
    <definedName name="HTML15_11" hidden="1">1</definedName>
    <definedName name="HTML15_12" hidden="1">"C:\My Documents\98년\영업현황\일일현황-98.2.16.htm"</definedName>
    <definedName name="HTML15_2" hidden="1">1</definedName>
    <definedName name="HTML15_3" hidden="1">""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""</definedName>
    <definedName name="HTML15_9" hidden="1">""</definedName>
    <definedName name="HTML16_1" hidden="1">"'[수주통합관리98_2_21.xls]2월3주차'!$A$1:$I$89"</definedName>
    <definedName name="HTML16_10" hidden="1">""</definedName>
    <definedName name="HTML16_11" hidden="1">1</definedName>
    <definedName name="HTML16_12" hidden="1">"C:\My Documents\98년\영업현황\일일현황-98.2.25.htm"</definedName>
    <definedName name="HTML16_2" hidden="1">1</definedName>
    <definedName name="HTML16_3" hidden="1">""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""</definedName>
    <definedName name="HTML16_9" hidden="1">""</definedName>
    <definedName name="HTML17_1" hidden="1">"'[수주통합관리98_2_21.xls]2월3주차'!$A$4:$H$30"</definedName>
    <definedName name="HTML17_10" hidden="1">""</definedName>
    <definedName name="HTML17_11" hidden="1">1</definedName>
    <definedName name="HTML17_12" hidden="1">"C:\My Documents\98년\영업현황\1월 수주현황.htm"</definedName>
    <definedName name="HTML17_2" hidden="1">1</definedName>
    <definedName name="HTML17_3" hidden="1">""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""</definedName>
    <definedName name="HTML17_9" hidden="1">""</definedName>
    <definedName name="HTML18_1" hidden="1">"'[수주통합관리98_2_21.xls]2월3주차'!$A$32:$I$58"</definedName>
    <definedName name="HTML18_10" hidden="1">""</definedName>
    <definedName name="HTML18_11" hidden="1">1</definedName>
    <definedName name="HTML18_12" hidden="1">"C:\My Documents\98년\영업현황\2월 수주현황(2월25일 현재).htm"</definedName>
    <definedName name="HTML18_2" hidden="1">1</definedName>
    <definedName name="HTML18_3" hidden="1">""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""</definedName>
    <definedName name="HTML18_9" hidden="1">""</definedName>
    <definedName name="HTML19_1" hidden="1">"'[수주통합관리98_2_21.xls]2월3주차'!$A$63:$F$89"</definedName>
    <definedName name="HTML19_10" hidden="1">""</definedName>
    <definedName name="HTML19_11" hidden="1">1</definedName>
    <definedName name="HTML19_12" hidden="1">"C:\My Documents\98년\영업현황\월별현황(2월25일 현재).htm"</definedName>
    <definedName name="HTML19_2" hidden="1">1</definedName>
    <definedName name="HTML19_3" hidden="1">""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""</definedName>
    <definedName name="HTML19_9" hidden="1">""</definedName>
    <definedName name="HTML2_1" hidden="1">"[수주관리98.xls]일일현황!$A$1:$L$10"</definedName>
    <definedName name="HTML2_10" hidden="1">""</definedName>
    <definedName name="HTML2_11" hidden="1">1</definedName>
    <definedName name="HTML2_12" hidden="1">"C:\My Documents\98년\1월\영업현황\일일현황-98.1.22.htm"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1</definedName>
    <definedName name="HTML2_8" hidden="1">"98-01-22"</definedName>
    <definedName name="HTML2_9" hidden="1">""</definedName>
    <definedName name="HTML20_1" hidden="1">"'[수주통합관리98_2_25.xls]2월4주차'!$A$71:$F$97"</definedName>
    <definedName name="HTML20_10" hidden="1">""</definedName>
    <definedName name="HTML20_11" hidden="1">1</definedName>
    <definedName name="HTML20_12" hidden="1">"C:\My Documents\98년\영업현황\월별현황(2월 마감분).htm"</definedName>
    <definedName name="HTML20_2" hidden="1">1</definedName>
    <definedName name="HTML20_3" hidden="1">""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""</definedName>
    <definedName name="HTML20_9" hidden="1">""</definedName>
    <definedName name="HTML21_1" hidden="1">"'[수주통합관리98_2_25.xls]2월4주차'!$A$4:$H$29"</definedName>
    <definedName name="HTML21_10" hidden="1">""</definedName>
    <definedName name="HTML21_11" hidden="1">1</definedName>
    <definedName name="HTML21_12" hidden="1">"C:\My Documents\98년\영업현황\1월 수주현황(1월 마감분).htm"</definedName>
    <definedName name="HTML21_2" hidden="1">1</definedName>
    <definedName name="HTML21_3" hidden="1">""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""</definedName>
    <definedName name="HTML21_9" hidden="1">""</definedName>
    <definedName name="HTML22_1" hidden="1">"'[수주통합관리98_2_25.xls]2월4주차'!$A$31:$I$66"</definedName>
    <definedName name="HTML22_10" hidden="1">""</definedName>
    <definedName name="HTML22_11" hidden="1">1</definedName>
    <definedName name="HTML22_12" hidden="1">"C:\My Documents\98년\영업현황\1월 수주현황(2월 마감분).htm"</definedName>
    <definedName name="HTML22_2" hidden="1">1</definedName>
    <definedName name="HTML22_3" hidden="1">""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""</definedName>
    <definedName name="HTML22_9" hidden="1">""</definedName>
    <definedName name="HTML23_1" hidden="1">"[수주통합관리98_2_25.xls]보고양식!$A$32:$I$68"</definedName>
    <definedName name="HTML23_10" hidden="1">""</definedName>
    <definedName name="HTML23_11" hidden="1">1</definedName>
    <definedName name="HTML23_12" hidden="1">"C:\My Documents\98년\영업현황\2월 수주현황(2월 마감분).htm"</definedName>
    <definedName name="HTML23_2" hidden="1">1</definedName>
    <definedName name="HTML23_3" hidden="1">""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""</definedName>
    <definedName name="HTML23_9" hidden="1">""</definedName>
    <definedName name="HTML24_1" hidden="1">"[수주통합관리98_2_25.xls]보고양식!$A$73:$F$98"</definedName>
    <definedName name="HTML24_10" hidden="1">""</definedName>
    <definedName name="HTML24_11" hidden="1">1</definedName>
    <definedName name="HTML24_12" hidden="1">"C:\My Documents\98년\영업현황\월별현황(2월 마감분).htm"</definedName>
    <definedName name="HTML24_2" hidden="1">1</definedName>
    <definedName name="HTML24_3" hidden="1">""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""</definedName>
    <definedName name="HTML24_9" hidden="1">""</definedName>
    <definedName name="HTML25_1" hidden="1">"[수주통합관리98_2_25.xls]보고양식!$A$4:$I$29"</definedName>
    <definedName name="HTML25_10" hidden="1">""</definedName>
    <definedName name="HTML25_11" hidden="1">1</definedName>
    <definedName name="HTML25_12" hidden="1">"C:\My Documents\98년\영업현황\1월 수주현황(1월 마감분).htm"</definedName>
    <definedName name="HTML25_2" hidden="1">1</definedName>
    <definedName name="HTML25_3" hidden="1">""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""</definedName>
    <definedName name="HTML25_9" hidden="1">""</definedName>
    <definedName name="HTML26_1" hidden="1">"[수주통합관리98_2_25.xls]보고양식!$A$31:$K$80"</definedName>
    <definedName name="HTML26_10" hidden="1">""</definedName>
    <definedName name="HTML26_11" hidden="1">1</definedName>
    <definedName name="HTML26_12" hidden="1">"C:\My Documents\98년\영업현황\2월 수주현황(2월 마감분).htm"</definedName>
    <definedName name="HTML26_2" hidden="1">1</definedName>
    <definedName name="HTML26_3" hidden="1">""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""</definedName>
    <definedName name="HTML26_9" hidden="1">""</definedName>
    <definedName name="HTML27_1" hidden="1">"[수주통합관리98_2_25.xls]보고양식!$B$84:$G$109"</definedName>
    <definedName name="HTML27_10" hidden="1">""</definedName>
    <definedName name="HTML27_11" hidden="1">1</definedName>
    <definedName name="HTML27_12" hidden="1">"C:\My Documents\98년\영업현황\월별현황(2월 마감분).htm"</definedName>
    <definedName name="HTML27_2" hidden="1">1</definedName>
    <definedName name="HTML27_3" hidden="1">""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""</definedName>
    <definedName name="HTML27_9" hidden="1">""</definedName>
    <definedName name="HTML28_1" hidden="1">"[수주통합관리98_3_2.xls]보고양식!$B$92:$G$117"</definedName>
    <definedName name="HTML28_10" hidden="1">""</definedName>
    <definedName name="HTML28_11" hidden="1">1</definedName>
    <definedName name="HTML28_12" hidden="1">"C:\My Documents\98년\영업현황\월별현황(2월 마감분).htm"</definedName>
    <definedName name="HTML28_2" hidden="1">1</definedName>
    <definedName name="HTML28_3" hidden="1">""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""</definedName>
    <definedName name="HTML28_9" hidden="1">""</definedName>
    <definedName name="HTML29_1" hidden="1">"[수주통합관리98_3_2.xls]보고양식!$A$31:$K$88"</definedName>
    <definedName name="HTML29_10" hidden="1">""</definedName>
    <definedName name="HTML29_11" hidden="1">1</definedName>
    <definedName name="HTML29_12" hidden="1">"C:\My Documents\98년\영업현황\2월 수주현황(2월 마감분).htm"</definedName>
    <definedName name="HTML29_2" hidden="1">1</definedName>
    <definedName name="HTML29_3" hidden="1">""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""</definedName>
    <definedName name="HTML29_9" hidden="1">""</definedName>
    <definedName name="HTML3_1" hidden="1">"[수주관리98.xls]일일현황!$A$1:$N$9"</definedName>
    <definedName name="HTML3_10" hidden="1">""</definedName>
    <definedName name="HTML3_11" hidden="1">1</definedName>
    <definedName name="HTML3_12" hidden="1">"C:\My Documents\98년\영업현황\일일현황-98.1.23.htm"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1</definedName>
    <definedName name="HTML3_7" hidden="1">1</definedName>
    <definedName name="HTML3_8" hidden="1">""</definedName>
    <definedName name="HTML3_9" hidden="1">""</definedName>
    <definedName name="HTML30_1" hidden="1">"'[사본 - 영업통합관리(수주.매출).xls]보고양식'!$A$114:$K$131"</definedName>
    <definedName name="HTML30_10" hidden="1">""</definedName>
    <definedName name="HTML30_11" hidden="1">1</definedName>
    <definedName name="HTML30_12" hidden="1">"C:\My Documents\98년\영업현황\일일현황-98.3.12.htm"</definedName>
    <definedName name="HTML30_2" hidden="1">1</definedName>
    <definedName name="HTML30_3" hidden="1">""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""</definedName>
    <definedName name="HTML30_9" hidden="1">""</definedName>
    <definedName name="HTML4_1" hidden="1">"[수주관리98.xls]영업!$A$1:$N$15"</definedName>
    <definedName name="HTML4_10" hidden="1">""</definedName>
    <definedName name="HTML4_11" hidden="1">1</definedName>
    <definedName name="HTML4_12" hidden="1">"C:\My Documents\98년\영업현황\일일현황-98.1.31.htm"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1</definedName>
    <definedName name="HTML4_7" hidden="1">1</definedName>
    <definedName name="HTML4_8" hidden="1">"98-01-31"</definedName>
    <definedName name="HTML4_9" hidden="1">""</definedName>
    <definedName name="HTML5_1" hidden="1">"[수주관리98.xls]영업!$A$1:$N$29"</definedName>
    <definedName name="HTML5_10" hidden="1">""</definedName>
    <definedName name="HTML5_11" hidden="1">1</definedName>
    <definedName name="HTML5_12" hidden="1">"C:\My Documents\98년\영업현황\일일현황-98.1.31.v.htm"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1</definedName>
    <definedName name="HTML5_7" hidden="1">1</definedName>
    <definedName name="HTML5_8" hidden="1">""</definedName>
    <definedName name="HTML5_9" hidden="1">""</definedName>
    <definedName name="HTML6_1" hidden="1">"'[수주관리98.xls]2월'!$A$1:$P$48"</definedName>
    <definedName name="HTML6_10" hidden="1">""</definedName>
    <definedName name="HTML6_11" hidden="1">1</definedName>
    <definedName name="HTML6_12" hidden="1">"C:\My Documents\98년\영업현황\일일현황-98.1.31.htm"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""</definedName>
    <definedName name="HTML6_9" hidden="1">""</definedName>
    <definedName name="HTML7_1" hidden="1">"'[수주관리98.xls]2월'!$A$3:$P$30"</definedName>
    <definedName name="HTML7_10" hidden="1">""</definedName>
    <definedName name="HTML7_11" hidden="1">1</definedName>
    <definedName name="HTML7_12" hidden="1">"C:\My Documents\98년\영업현황\일일현황-98.1.31.htm"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""</definedName>
    <definedName name="HTML7_9" hidden="1">""</definedName>
    <definedName name="HTML8_1" hidden="1">"'[수주관리98.xls]2월'!$A$1:$P$30"</definedName>
    <definedName name="HTML8_10" hidden="1">""</definedName>
    <definedName name="HTML8_11" hidden="1">1</definedName>
    <definedName name="HTML8_12" hidden="1">"C:\My Documents\98년\영업현황\일일현황-98.1.31.htm"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""</definedName>
    <definedName name="HTML8_9" hidden="1">""</definedName>
    <definedName name="HTML9_1" hidden="1">"'[수주관리98.xls]2월'!$A$1:$P$19"</definedName>
    <definedName name="HTML9_10" hidden="1">""</definedName>
    <definedName name="HTML9_11" hidden="1">1</definedName>
    <definedName name="HTML9_12" hidden="1">"C:\My Documents\98년\영업현황\일일현황-98.2.10.htm"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""</definedName>
    <definedName name="HTML9_9" hidden="1">""</definedName>
    <definedName name="HTMLCount" hidden="1">30</definedName>
    <definedName name="i" localSheetId="3" hidden="1">{"Qtr Op Mgd Q3",#N/A,FALSE,"Qtr-Op (Mng)";"Qtr Op Rpt Q3",#N/A,FALSE,"Qtr-Op (Rpt)";"Operating Vs Reported",#N/A,FALSE,"Rpt-Op Inc"}</definedName>
    <definedName name="i" hidden="1">{"Qtr Op Mgd Q3",#N/A,FALSE,"Qtr-Op (Mng)";"Qtr Op Rpt Q3",#N/A,FALSE,"Qtr-Op (Rpt)";"Operating Vs Reported",#N/A,FALSE,"Rpt-Op Inc"}</definedName>
    <definedName name="india">0.01</definedName>
    <definedName name="instructions">#REF!</definedName>
    <definedName name="italy">0.02</definedName>
    <definedName name="japan">0.01</definedName>
    <definedName name="KHN" hidden="1">{"'보고양식'!$A$58:$K$111"}</definedName>
    <definedName name="latinAmerica">0.05</definedName>
    <definedName name="latinAmericaCountries">#REF!</definedName>
    <definedName name="link_2023">SUMMARY!$C$3:$EI$72</definedName>
    <definedName name="Linking_1">SUMMARY!$C$3:$DO$73</definedName>
    <definedName name="Linking_10">#REF!</definedName>
    <definedName name="Linking_11">#REF!</definedName>
    <definedName name="Linking_12">#REF!</definedName>
    <definedName name="Linking_13">#REF!</definedName>
    <definedName name="Linking_14">#REF!</definedName>
    <definedName name="Linking_15">#REF!</definedName>
    <definedName name="Linking_16">SUMMARY!$C$4:$DS$73</definedName>
    <definedName name="Linking_17">#REF!</definedName>
    <definedName name="Linking_18">'Valuation New'!$B$6:$D$45</definedName>
    <definedName name="Linking_19">SUMMARY!$C$4:$DW$73</definedName>
    <definedName name="Linking_2">#REF!</definedName>
    <definedName name="Linking_20">#REF!</definedName>
    <definedName name="linking_204">SUMMARY!$C$4:$EA$72</definedName>
    <definedName name="Linking_21">#REF!</definedName>
    <definedName name="Linking_22">#REF!</definedName>
    <definedName name="Linking_23">#REF!</definedName>
    <definedName name="Linking_24">#REF!</definedName>
    <definedName name="Linking_25">SUMMARY!$C$4:$DW$72</definedName>
    <definedName name="Linking_26">#REF!</definedName>
    <definedName name="Linking_27">SUMMARY!$C$4:$EA$72</definedName>
    <definedName name="Linking_28">'Valuation Clean'!$B$6:$D$44</definedName>
    <definedName name="Linking_29">#REF!</definedName>
    <definedName name="Linking_3">SUMMARY!$C$4:$DO$73</definedName>
    <definedName name="Linking_30">#REF!</definedName>
    <definedName name="Linking_31">#REF!</definedName>
    <definedName name="Linking_32">SUMMARY!$C$3:$EA$72</definedName>
    <definedName name="Linking_33">#REF!</definedName>
    <definedName name="Linking_34">#REF!</definedName>
    <definedName name="Linking_35">#REF!</definedName>
    <definedName name="Linking_36">#REF!</definedName>
    <definedName name="Linking_37">#REF!</definedName>
    <definedName name="Linking_38">'Valuation Clean'!$B$6:$L$20</definedName>
    <definedName name="Linking_39">SOTP!#REF!</definedName>
    <definedName name="Linking_4">#REF!</definedName>
    <definedName name="Linking_40">#REF!</definedName>
    <definedName name="Linking_41">#REF!</definedName>
    <definedName name="Linking_42">#REF!</definedName>
    <definedName name="Linking_43">#REF!</definedName>
    <definedName name="Linking_44">#REF!</definedName>
    <definedName name="Linking_45">SUMMARY!$C$3:$EE$72</definedName>
    <definedName name="Linking_46">SUMMARY!$C$3:$EE$72</definedName>
    <definedName name="Linking_47">#REF!</definedName>
    <definedName name="Linking_48">#REF!</definedName>
    <definedName name="Linking_49">#REF!</definedName>
    <definedName name="Linking_5">#REF!</definedName>
    <definedName name="Linking_50">#REF!</definedName>
    <definedName name="Linking_51">'Valuation Clean'!$B$6:$M$20</definedName>
    <definedName name="Linking_52">SUMMARY!$C$3:$EM$72</definedName>
    <definedName name="Linking_53">#REF!</definedName>
    <definedName name="Linking_54">#REF!</definedName>
    <definedName name="Linking_55">#REF!</definedName>
    <definedName name="Linking_56">#REF!</definedName>
    <definedName name="Linking_57">SUMMARY!$C$3:$EQ$72</definedName>
    <definedName name="Linking_58">#REF!</definedName>
    <definedName name="Linking_59">SUMMARY!$C$3:$EU$72</definedName>
    <definedName name="Linking_6">#REF!</definedName>
    <definedName name="Linking_60">#REF!</definedName>
    <definedName name="Linking_61">#REF!</definedName>
    <definedName name="Linking_62">#REF!</definedName>
    <definedName name="Linking_63">#REF!</definedName>
    <definedName name="Linking_64">#REF!</definedName>
    <definedName name="Linking_65">SUMMARY!$C$3:$EY$72</definedName>
    <definedName name="Linking_66">#REF!</definedName>
    <definedName name="Linking_67">SUMMARY!$C$3:$FC$72</definedName>
    <definedName name="Linking_68">#REF!</definedName>
    <definedName name="Linking_69">#REF!</definedName>
    <definedName name="Linking_7">#REF!</definedName>
    <definedName name="Linking_8">#REF!</definedName>
    <definedName name="Linking_9">#REF!</definedName>
    <definedName name="Linking_Range_1">#REF!</definedName>
    <definedName name="Linking_Range_10">SUMMARY!$C$3:$DG$73</definedName>
    <definedName name="Linking_Range_11">SUMMARY!$C$4:$DG$73</definedName>
    <definedName name="Linking_Range_12">#REF!</definedName>
    <definedName name="linking_range_121">SUMMARY!$C$4:$DW$72</definedName>
    <definedName name="linking_range_123">SUMMARY!$C$4:$DW$72</definedName>
    <definedName name="Linking_Range_13">#REF!</definedName>
    <definedName name="Linking_Range_14">#REF!</definedName>
    <definedName name="Linking_Range_15">#REF!</definedName>
    <definedName name="Linking_Range_16">#REF!</definedName>
    <definedName name="Linking_Range_17">#REF!</definedName>
    <definedName name="Linking_Range_18">DIVISIONS!$BM$271:$BP$275</definedName>
    <definedName name="Linking_Range_19">SUMMARY!$C$4:$DK$73</definedName>
    <definedName name="Linking_Range_2">#REF!</definedName>
    <definedName name="Linking_Range_20">#REF!</definedName>
    <definedName name="Linking_Range_21">#REF!</definedName>
    <definedName name="Linking_Range_22">#REF!</definedName>
    <definedName name="Linking_Range_23">#REF!</definedName>
    <definedName name="Linking_Range_24">#REF!</definedName>
    <definedName name="Linking_Range_25">#REF!</definedName>
    <definedName name="Linking_Range_26">#REF!</definedName>
    <definedName name="Linking_Range_27">#REF!</definedName>
    <definedName name="Linking_Range_28">SUMMARY!$C$4:$DK$73</definedName>
    <definedName name="Linking_Range_29">#REF!</definedName>
    <definedName name="Linking_Range_3">#REF!</definedName>
    <definedName name="Linking_Range_30">#REF!</definedName>
    <definedName name="Linking_Range_31">#REF!</definedName>
    <definedName name="Linking_Range_32">#REF!</definedName>
    <definedName name="Linking_Range_33">#REF!</definedName>
    <definedName name="Linking_Range_34">#REF!</definedName>
    <definedName name="Linking_Range_35">#REF!</definedName>
    <definedName name="Linking_Range_36">SUMMARY!$C$4:$DO$73</definedName>
    <definedName name="Linking_Range_37">#REF!</definedName>
    <definedName name="Linking_Range_38">#REF!</definedName>
    <definedName name="Linking_Range_39">#REF!</definedName>
    <definedName name="Linking_Range_4">#REF!</definedName>
    <definedName name="linking_range_44">SUMMARY!$C$4:$DW$72</definedName>
    <definedName name="Linking_Range_5">#REF!</definedName>
    <definedName name="Linking_Range_6">#REF!</definedName>
    <definedName name="Linking_Range_7">#REF!</definedName>
    <definedName name="Linking_Range_8">#REF!</definedName>
    <definedName name="Linking_Range_9">#REF!</definedName>
    <definedName name="Linking_Text_1">#REF!</definedName>
    <definedName name="middleEast">0.03</definedName>
    <definedName name="middleEastAfrica">0.04</definedName>
    <definedName name="middleEastAfricaRegion">#REF!</definedName>
    <definedName name="middleEastAfricaStates">#REF!</definedName>
    <definedName name="northAmerica">0.23</definedName>
    <definedName name="northAmericaCountries">#REF!</definedName>
    <definedName name="otherAfrica">0.01</definedName>
    <definedName name="otherAsiaPacific">0.05</definedName>
    <definedName name="otherCentralEasternEurope">0.01</definedName>
    <definedName name="otherDevelopedEurope">0.01</definedName>
    <definedName name="otherLATAM">0.01</definedName>
    <definedName name="_xlnm.Print_Area" localSheetId="2">SUMMARY!$C$3:$DK$73</definedName>
    <definedName name="_xlnm.Print_Area">'[1]FX Rates'!#REF!</definedName>
    <definedName name="Print_Title">#REF!,#REF!</definedName>
    <definedName name="_xlnm.Print_Titles" localSheetId="10">'BULL BEAR'!$2:$3</definedName>
    <definedName name="_xlnm.Print_Titles">'[1]FX Rates'!$A:$A,'[1]FX Rates'!$A$1:$X$10</definedName>
    <definedName name="ProjectName" localSheetId="3">{"Client Name or Project Name"}</definedName>
    <definedName name="ProjectName">{"Client Name or Project Name"}</definedName>
    <definedName name="q" localSheetId="3" hidden="1">{"Qtr Op Mgd Q2",#N/A,FALSE,"Qtr-Op (Mng)";"Qtr Op Rpt Q2",#N/A,FALSE,"Qtr-Op (Rpt)";"Operating Vs Reported",#N/A,FALSE,"Rpt-Op Inc"}</definedName>
    <definedName name="q" hidden="1">{"Qtr Op Mgd Q2",#N/A,FALSE,"Qtr-Op (Mng)";"Qtr Op Rpt Q2",#N/A,FALSE,"Qtr-Op (Rpt)";"Operating Vs Reported",#N/A,FALSE,"Rpt-Op Inc"}</definedName>
    <definedName name="qrtanal" localSheetId="3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qrtanal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qrtanal2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R_NTA_00">#REF!</definedName>
    <definedName name="R_NTA_01">#REF!</definedName>
    <definedName name="R_NTA_02">#REF!</definedName>
    <definedName name="R_NTA_03">#REF!</definedName>
    <definedName name="R_NTA_04">#REF!</definedName>
    <definedName name="R_NTA_05">#REF!</definedName>
    <definedName name="R_NTA_06">#REF!</definedName>
    <definedName name="R_NTA_07">#REF!</definedName>
    <definedName name="R_NTA_08">#REF!</definedName>
    <definedName name="R_NTA_09">#REF!</definedName>
    <definedName name="R_NTA_10">#REF!</definedName>
    <definedName name="R_NTA_11">#REF!</definedName>
    <definedName name="R_NTA_12">#REF!</definedName>
    <definedName name="R_NTA_13">#REF!</definedName>
    <definedName name="R_NTA_93">#REF!</definedName>
    <definedName name="R_NTA_94">#REF!</definedName>
    <definedName name="R_NTA_95">#REF!</definedName>
    <definedName name="R_NTA_96">#REF!</definedName>
    <definedName name="R_NTA_97">#REF!</definedName>
    <definedName name="R_NTA_98">#REF!</definedName>
    <definedName name="R_NTA_99">#REF!</definedName>
    <definedName name="R_NTA_H1_00">#REF!</definedName>
    <definedName name="R_NTA_H1_01">#REF!</definedName>
    <definedName name="R_NTA_H1_02">#REF!</definedName>
    <definedName name="R_NTA_H1_03">#REF!</definedName>
    <definedName name="R_NTA_H1_04">#REF!</definedName>
    <definedName name="R_NTA_H1_05">#REF!</definedName>
    <definedName name="R_NTA_H1_06">#REF!</definedName>
    <definedName name="R_NTA_H1_07">#REF!</definedName>
    <definedName name="R_NTA_H1_08">#REF!</definedName>
    <definedName name="R_NTA_H1_09">#REF!</definedName>
    <definedName name="R_NTA_H1_10">#REF!</definedName>
    <definedName name="R_NTA_H1_11">#REF!</definedName>
    <definedName name="R_NTA_H1_12">#REF!</definedName>
    <definedName name="R_NTA_H1_13">#REF!</definedName>
    <definedName name="R_NTA_H1_93">#REF!</definedName>
    <definedName name="R_NTA_H1_94">#REF!</definedName>
    <definedName name="R_NTA_H1_95">#REF!</definedName>
    <definedName name="R_NTA_H1_96">#REF!</definedName>
    <definedName name="R_NTA_H1_97">#REF!</definedName>
    <definedName name="R_NTA_H1_98">#REF!</definedName>
    <definedName name="R_NTA_H1_99">#REF!</definedName>
    <definedName name="R_NTA_H2_00">#REF!</definedName>
    <definedName name="R_NTA_H2_01">#REF!</definedName>
    <definedName name="R_NTA_H2_02">#REF!</definedName>
    <definedName name="R_NTA_H2_03">#REF!</definedName>
    <definedName name="R_NTA_H2_04">#REF!</definedName>
    <definedName name="R_NTA_H2_05">#REF!</definedName>
    <definedName name="R_NTA_H2_06">#REF!</definedName>
    <definedName name="R_NTA_H2_07">#REF!</definedName>
    <definedName name="R_NTA_H2_08">#REF!</definedName>
    <definedName name="R_NTA_H2_09">#REF!</definedName>
    <definedName name="R_NTA_H2_10">#REF!</definedName>
    <definedName name="R_NTA_H2_11">#REF!</definedName>
    <definedName name="R_NTA_H2_12">#REF!</definedName>
    <definedName name="R_NTA_H2_13">#REF!</definedName>
    <definedName name="R_NTA_H2_93">#REF!</definedName>
    <definedName name="R_NTA_H2_94">#REF!</definedName>
    <definedName name="R_NTA_H2_95">#REF!</definedName>
    <definedName name="R_NTA_H2_96">#REF!</definedName>
    <definedName name="R_NTA_H2_97">#REF!</definedName>
    <definedName name="R_NTA_H2_98">#REF!</definedName>
    <definedName name="R_NTA_H2_99">#REF!</definedName>
    <definedName name="R_ROA_00">#REF!</definedName>
    <definedName name="R_ROA_01">#REF!</definedName>
    <definedName name="R_ROA_02">#REF!</definedName>
    <definedName name="R_ROA_03">#REF!</definedName>
    <definedName name="R_ROA_04">#REF!</definedName>
    <definedName name="R_ROA_05">#REF!</definedName>
    <definedName name="R_ROA_06">#REF!</definedName>
    <definedName name="R_ROA_07">#REF!</definedName>
    <definedName name="R_ROA_08">#REF!</definedName>
    <definedName name="R_ROA_09">#REF!</definedName>
    <definedName name="R_ROA_10">#REF!</definedName>
    <definedName name="R_ROA_11">#REF!</definedName>
    <definedName name="R_ROA_12">#REF!</definedName>
    <definedName name="R_ROA_13">#REF!</definedName>
    <definedName name="R_ROA_93">#REF!</definedName>
    <definedName name="R_ROA_94">#REF!</definedName>
    <definedName name="R_ROA_95">#REF!</definedName>
    <definedName name="R_ROA_96">#REF!</definedName>
    <definedName name="R_ROA_97">#REF!</definedName>
    <definedName name="R_ROA_98">#REF!</definedName>
    <definedName name="R_ROA_99">#REF!</definedName>
    <definedName name="R_ROA_H1_00">#REF!</definedName>
    <definedName name="R_ROA_H1_01">#REF!</definedName>
    <definedName name="R_ROA_H1_02">#REF!</definedName>
    <definedName name="R_ROA_H1_03">#REF!</definedName>
    <definedName name="R_ROA_H1_04">#REF!</definedName>
    <definedName name="R_ROA_H1_05">#REF!</definedName>
    <definedName name="R_ROA_H1_06">#REF!</definedName>
    <definedName name="R_ROA_H1_07">#REF!</definedName>
    <definedName name="R_ROA_H1_08">#REF!</definedName>
    <definedName name="R_ROA_H1_09">#REF!</definedName>
    <definedName name="R_ROA_H1_10">#REF!</definedName>
    <definedName name="R_ROA_H1_11">#REF!</definedName>
    <definedName name="R_ROA_H1_12">#REF!</definedName>
    <definedName name="R_ROA_H1_13">#REF!</definedName>
    <definedName name="R_ROA_H1_93">#REF!</definedName>
    <definedName name="R_ROA_H1_94">#REF!</definedName>
    <definedName name="R_ROA_H1_95">#REF!</definedName>
    <definedName name="R_ROA_H1_96">#REF!</definedName>
    <definedName name="R_ROA_H1_97">#REF!</definedName>
    <definedName name="R_ROA_H1_98">#REF!</definedName>
    <definedName name="R_ROA_H1_99">#REF!</definedName>
    <definedName name="R_ROA_H2_00">#REF!</definedName>
    <definedName name="R_ROA_H2_01">#REF!</definedName>
    <definedName name="R_ROA_H2_02">#REF!</definedName>
    <definedName name="R_ROA_H2_03">#REF!</definedName>
    <definedName name="R_ROA_H2_04">#REF!</definedName>
    <definedName name="R_ROA_H2_05">#REF!</definedName>
    <definedName name="R_ROA_H2_06">#REF!</definedName>
    <definedName name="R_ROA_H2_07">#REF!</definedName>
    <definedName name="R_ROA_H2_08">#REF!</definedName>
    <definedName name="R_ROA_H2_09">#REF!</definedName>
    <definedName name="R_ROA_H2_10">#REF!</definedName>
    <definedName name="R_ROA_H2_11">#REF!</definedName>
    <definedName name="R_ROA_H2_12">#REF!</definedName>
    <definedName name="R_ROA_H2_13">#REF!</definedName>
    <definedName name="R_ROA_H2_93">#REF!</definedName>
    <definedName name="R_ROA_H2_94">#REF!</definedName>
    <definedName name="R_ROA_H2_95">#REF!</definedName>
    <definedName name="R_ROA_H2_96">#REF!</definedName>
    <definedName name="R_ROA_H2_97">#REF!</definedName>
    <definedName name="R_ROA_H2_98">#REF!</definedName>
    <definedName name="R_ROA_H2_99">#REF!</definedName>
    <definedName name="R_ROE_00">#REF!</definedName>
    <definedName name="R_ROE_01">#REF!</definedName>
    <definedName name="R_ROE_02">#REF!</definedName>
    <definedName name="R_ROE_03">#REF!</definedName>
    <definedName name="R_ROE_04">#REF!</definedName>
    <definedName name="R_ROE_05">#REF!</definedName>
    <definedName name="R_ROE_06">#REF!</definedName>
    <definedName name="R_ROE_07">#REF!</definedName>
    <definedName name="R_ROE_08">#REF!</definedName>
    <definedName name="R_ROE_09">#REF!</definedName>
    <definedName name="R_ROE_10">#REF!</definedName>
    <definedName name="R_ROE_11">#REF!</definedName>
    <definedName name="R_ROE_12">#REF!</definedName>
    <definedName name="R_ROE_13">#REF!</definedName>
    <definedName name="R_ROE_93">#REF!</definedName>
    <definedName name="R_ROE_94">#REF!</definedName>
    <definedName name="R_ROE_95">#REF!</definedName>
    <definedName name="R_ROE_96">#REF!</definedName>
    <definedName name="R_ROE_97">#REF!</definedName>
    <definedName name="R_ROE_98">#REF!</definedName>
    <definedName name="R_ROE_99">#REF!</definedName>
    <definedName name="R_ROE_H1_00">#REF!</definedName>
    <definedName name="R_ROE_H1_01">#REF!</definedName>
    <definedName name="R_ROE_H1_02">#REF!</definedName>
    <definedName name="R_ROE_H1_03">#REF!</definedName>
    <definedName name="R_ROE_H1_04">#REF!</definedName>
    <definedName name="R_ROE_H1_05">#REF!</definedName>
    <definedName name="R_ROE_H1_06">#REF!</definedName>
    <definedName name="R_ROE_H1_07">#REF!</definedName>
    <definedName name="R_ROE_H1_08">#REF!</definedName>
    <definedName name="R_ROE_H1_09">#REF!</definedName>
    <definedName name="R_ROE_H1_10">#REF!</definedName>
    <definedName name="R_ROE_H1_11">#REF!</definedName>
    <definedName name="R_ROE_H1_12">#REF!</definedName>
    <definedName name="R_ROE_H1_13">#REF!</definedName>
    <definedName name="R_ROE_H1_93">#REF!</definedName>
    <definedName name="R_ROE_H1_94">#REF!</definedName>
    <definedName name="R_ROE_H1_95">#REF!</definedName>
    <definedName name="R_ROE_H1_96">#REF!</definedName>
    <definedName name="R_ROE_H1_97">#REF!</definedName>
    <definedName name="R_ROE_H1_98">#REF!</definedName>
    <definedName name="R_ROE_H1_99">#REF!</definedName>
    <definedName name="R_ROE_H2_00">#REF!</definedName>
    <definedName name="R_ROE_H2_01">#REF!</definedName>
    <definedName name="R_ROE_H2_02">#REF!</definedName>
    <definedName name="R_ROE_H2_03">#REF!</definedName>
    <definedName name="R_ROE_H2_04">#REF!</definedName>
    <definedName name="R_ROE_H2_05">#REF!</definedName>
    <definedName name="R_ROE_H2_06">#REF!</definedName>
    <definedName name="R_ROE_H2_07">#REF!</definedName>
    <definedName name="R_ROE_H2_08">#REF!</definedName>
    <definedName name="R_ROE_H2_09">#REF!</definedName>
    <definedName name="R_ROE_H2_10">#REF!</definedName>
    <definedName name="R_ROE_H2_11">#REF!</definedName>
    <definedName name="R_ROE_H2_12">#REF!</definedName>
    <definedName name="R_ROE_H2_13">#REF!</definedName>
    <definedName name="R_ROE_H2_93">#REF!</definedName>
    <definedName name="R_ROE_H2_94">#REF!</definedName>
    <definedName name="R_ROE_H2_95">#REF!</definedName>
    <definedName name="R_ROE_H2_96">#REF!</definedName>
    <definedName name="R_ROE_H2_97">#REF!</definedName>
    <definedName name="R_ROE_H2_98">#REF!</definedName>
    <definedName name="R_ROE_H2_99">#REF!</definedName>
    <definedName name="R_STxRt_00">#REF!</definedName>
    <definedName name="R_STxRt_01">#REF!</definedName>
    <definedName name="R_STxRt_02">#REF!</definedName>
    <definedName name="R_STxRt_03">#REF!</definedName>
    <definedName name="R_STxRt_04">#REF!</definedName>
    <definedName name="R_STxRt_05">#REF!</definedName>
    <definedName name="R_STxRt_06">#REF!</definedName>
    <definedName name="R_STxRt_07">#REF!</definedName>
    <definedName name="R_STxRt_08">#REF!</definedName>
    <definedName name="R_STxRt_09">#REF!</definedName>
    <definedName name="R_STxRt_10">#REF!</definedName>
    <definedName name="R_STxRt_11">#REF!</definedName>
    <definedName name="R_STxRt_12">#REF!</definedName>
    <definedName name="R_STxRt_13">#REF!</definedName>
    <definedName name="R_STxRt_93">#REF!</definedName>
    <definedName name="R_STxRt_94">#REF!</definedName>
    <definedName name="R_STxRt_95">#REF!</definedName>
    <definedName name="R_STxRt_96">#REF!</definedName>
    <definedName name="R_STxRt_97">#REF!</definedName>
    <definedName name="R_STxRt_98">#REF!</definedName>
    <definedName name="R_STxRt_99">#REF!</definedName>
    <definedName name="R_STxRt_H1_00">#REF!</definedName>
    <definedName name="R_STxRt_H1_01">#REF!</definedName>
    <definedName name="R_STxRt_H1_02">#REF!</definedName>
    <definedName name="R_STxRt_H1_03">#REF!</definedName>
    <definedName name="R_STxRt_H1_04">#REF!</definedName>
    <definedName name="R_STxRt_H1_05">#REF!</definedName>
    <definedName name="R_STxRt_H1_06">#REF!</definedName>
    <definedName name="R_STxRt_H1_07">#REF!</definedName>
    <definedName name="R_STxRt_H1_08">#REF!</definedName>
    <definedName name="R_STxRt_H1_09">#REF!</definedName>
    <definedName name="R_STxRt_H1_10">#REF!</definedName>
    <definedName name="R_STxRt_H1_11">#REF!</definedName>
    <definedName name="R_STxRt_H1_12">#REF!</definedName>
    <definedName name="R_STxRt_H1_13">#REF!</definedName>
    <definedName name="R_STxRt_H1_93">#REF!</definedName>
    <definedName name="R_STxRt_H1_94">#REF!</definedName>
    <definedName name="R_STxRt_H1_95">#REF!</definedName>
    <definedName name="R_STxRt_H1_96">#REF!</definedName>
    <definedName name="R_STxRt_H1_97">#REF!</definedName>
    <definedName name="R_STxRt_H1_98">#REF!</definedName>
    <definedName name="R_STxRt_H1_99">#REF!</definedName>
    <definedName name="R_STxRt_H2_00">#REF!</definedName>
    <definedName name="R_STxRt_H2_01">#REF!</definedName>
    <definedName name="R_STxRt_H2_02">#REF!</definedName>
    <definedName name="R_STxRt_H2_03">#REF!</definedName>
    <definedName name="R_STxRt_H2_04">#REF!</definedName>
    <definedName name="R_STxRt_H2_05">#REF!</definedName>
    <definedName name="R_STxRt_H2_06">#REF!</definedName>
    <definedName name="R_STxRt_H2_07">#REF!</definedName>
    <definedName name="R_STxRt_H2_08">#REF!</definedName>
    <definedName name="R_STxRt_H2_09">#REF!</definedName>
    <definedName name="R_STxRt_H2_10">#REF!</definedName>
    <definedName name="R_STxRt_H2_11">#REF!</definedName>
    <definedName name="R_STxRt_H2_12">#REF!</definedName>
    <definedName name="R_STxRt_H2_13">#REF!</definedName>
    <definedName name="R_STxRt_H2_93">#REF!</definedName>
    <definedName name="R_STxRt_H2_94">#REF!</definedName>
    <definedName name="R_STxRt_H2_95">#REF!</definedName>
    <definedName name="R_STxRt_H2_96">#REF!</definedName>
    <definedName name="R_STxRt_H2_97">#REF!</definedName>
    <definedName name="R_STxRt_H2_98">#REF!</definedName>
    <definedName name="R_STxRt_H2_99">#REF!</definedName>
    <definedName name="regionalCostExposure">#REF!</definedName>
    <definedName name="Renewable_Comps">#REF!</definedName>
    <definedName name="rep" localSheetId="3" hidden="1">{#N/A,#N/A,FALSE,"COVER";#N/A,#N/A,FALSE,"VALUATION";#N/A,#N/A,FALSE,"FORECAST";#N/A,#N/A,FALSE,"FY ANALYSIS ";#N/A,#N/A,FALSE," HY ANALYSIS"}</definedName>
    <definedName name="rep" hidden="1">{#N/A,#N/A,FALSE,"COVER";#N/A,#N/A,FALSE,"VALUATION";#N/A,#N/A,FALSE,"FORECAST";#N/A,#N/A,FALSE,"FY ANALYSIS ";#N/A,#N/A,FALSE," HY ANALYSIS"}</definedName>
    <definedName name="rngBaseCase">#REF!</definedName>
    <definedName name="rngBearCase">#REF!</definedName>
    <definedName name="rngBRICS">#REF!,#REF!,#REF!,#REF!</definedName>
    <definedName name="rngBullCase">#REF!</definedName>
    <definedName name="rngContinentWiseValue">#REF!</definedName>
    <definedName name="rngCountryWiseValue">#REF!</definedName>
    <definedName name="rngEEMEA">#REF!,#REF!,#REF!,#REF!</definedName>
    <definedName name="rngInstruction1Header">#REF!</definedName>
    <definedName name="rngInstruction1Text">#REF!</definedName>
    <definedName name="rngInstruction2Header">#REF!</definedName>
    <definedName name="rngInstruction2Text">#REF!</definedName>
    <definedName name="rngListsDriverUnits">#REF!:OFFSET(#REF!,COUNTA(#REF!)-2,0)</definedName>
    <definedName name="rngStateWiseValue">#REF!</definedName>
    <definedName name="rngTotalRegionExposure">1</definedName>
    <definedName name="sds" hidden="1">{"'보고양식'!$A$58:$K$111"}</definedName>
    <definedName name="showVersionCheckMessage">1</definedName>
    <definedName name="shr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ocioEconomicRegion">#REF!</definedName>
    <definedName name="socioEconomicRegions">#REF!</definedName>
    <definedName name="spain">0.01</definedName>
    <definedName name="tblforecastpend">#REF!</definedName>
    <definedName name="totalConsumerDemandExposure">1</definedName>
    <definedName name="totalDomesticCostExposure">#REF!</definedName>
    <definedName name="totalDomesticRevenueExposure">#REF!</definedName>
    <definedName name="totalEndDemandRevenueExposure">#REF!</definedName>
    <definedName name="totalRegionCostExposure">#REF!</definedName>
    <definedName name="totalRegionRevenueExposure">#REF!</definedName>
    <definedName name="uk">0.1</definedName>
    <definedName name="ValidDateTable">#REF!</definedName>
    <definedName name="Valn_date">#REF!</definedName>
    <definedName name="wrn.Aging._.and._.Trend._.Analysis." hidden="1">{#N/A,#N/A,FALSE,"Aging Summary";#N/A,#N/A,FALSE,"Ratio Analysis";#N/A,#N/A,FALSE,"Test 120 Day Accts";#N/A,#N/A,FALSE,"Tickmarks"}</definedName>
    <definedName name="wrn.Complete._.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Forecast._.Q4a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Report." localSheetId="3" hidden="1">{#N/A,#N/A,FALSE,"COVER";#N/A,#N/A,FALSE,"FORECAST";#N/A,#N/A,FALSE,"VALUATION";#N/A,#N/A,FALSE,"FY ANALYSIS ";#N/A,#N/A,FALSE," HY ANALYSIS"}</definedName>
    <definedName name="wrn.Report." hidden="1">{#N/A,#N/A,FALSE,"COVER";#N/A,#N/A,FALSE,"FORECAST";#N/A,#N/A,FALSE,"VALUATION";#N/A,#N/A,FALSE,"FY ANALYSIS ";#N/A,#N/A,FALSE," HY ANALYSIS"}</definedName>
    <definedName name="wrn.report2" hidden="1">{#N/A,#N/A,FALSE,"COVER";#N/A,#N/A,FALSE,"FORECAST";#N/A,#N/A,FALSE,"VALUATION";#N/A,#N/A,FALSE,"FY ANALYSIS ";#N/A,#N/A,FALSE," HY ANALYSIS"}</definedName>
    <definedName name="wrn.Variance._.Q4" hidden="1">{"Variance Q4",#N/A,FALSE,"Var"}</definedName>
    <definedName name="ws" hidden="1">{"'보고양식'!$A$58:$K$111"}</definedName>
    <definedName name="x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z" hidden="1">{#N/A,#N/A,FALSE,"Aging Summary";#N/A,#N/A,FALSE,"Ratio Analysis";#N/A,#N/A,FALSE,"Test 120 Day Accts";#N/A,#N/A,FALSE,"Tickmarks"}</definedName>
    <definedName name="ㄴㄴ" hidden="1">{#N/A,#N/A,FALSE,"Aging Summary";#N/A,#N/A,FALSE,"Ratio Analysis";#N/A,#N/A,FALSE,"Test 120 Day Accts";#N/A,#N/A,FALSE,"Tickmarks"}</definedName>
    <definedName name="매출원가" hidden="1">{#N/A,#N/A,FALSE,"Aging Summary";#N/A,#N/A,FALSE,"Ratio Analysis";#N/A,#N/A,FALSE,"Test 120 Day Accts";#N/A,#N/A,FALSE,"Tickmarks"}</definedName>
    <definedName name="매출원가1" hidden="1">{#N/A,#N/A,FALSE,"Aging Summary";#N/A,#N/A,FALSE,"Ratio Analysis";#N/A,#N/A,FALSE,"Test 120 Day Accts";#N/A,#N/A,FALSE,"Tickmarks"}</definedName>
    <definedName name="제조" hidden="1">#REF!</definedName>
    <definedName name="ㅏㅏ" hidden="1">{#N/A,#N/A,FALSE,"Aging Summary";#N/A,#N/A,FALSE,"Ratio Analysis";#N/A,#N/A,FALSE,"Test 120 Day Accts";#N/A,#N/A,FALSE,"Tickmarks"}</definedName>
  </definedNames>
  <calcPr calcId="191029" calcMode="manual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648" i="20" l="1"/>
  <c r="CJ648" i="20"/>
  <c r="DH648" i="20"/>
  <c r="DE648" i="20"/>
  <c r="DD648" i="20"/>
  <c r="CW648" i="20"/>
  <c r="CV648" i="20"/>
  <c r="CS648" i="20"/>
  <c r="CR648" i="20"/>
  <c r="CO648" i="20"/>
  <c r="CN648" i="20"/>
  <c r="CZ648" i="20"/>
  <c r="DA648" i="20"/>
  <c r="BI75" i="41"/>
  <c r="BI76" i="41" s="1"/>
  <c r="BM75" i="41"/>
  <c r="BQ75" i="41"/>
  <c r="BU75" i="41"/>
  <c r="BU77" i="41"/>
  <c r="BQ77" i="41"/>
  <c r="BM77" i="41"/>
  <c r="BI77" i="41"/>
  <c r="BI78" i="41" s="1"/>
  <c r="DM495" i="10"/>
  <c r="BU76" i="41" l="1"/>
  <c r="BM76" i="41"/>
  <c r="BQ76" i="41"/>
  <c r="BM78" i="41"/>
  <c r="BU78" i="41"/>
  <c r="BQ78" i="41"/>
  <c r="DI496" i="10" l="1"/>
  <c r="DM461" i="20" l="1"/>
  <c r="DI461" i="20"/>
  <c r="DL461" i="20"/>
  <c r="DG237" i="10"/>
  <c r="DI237" i="10" s="1"/>
  <c r="DG235" i="10"/>
  <c r="DI235" i="10" s="1"/>
  <c r="DG236" i="10"/>
  <c r="DI236" i="10" s="1"/>
  <c r="DG136" i="46"/>
  <c r="DG132" i="46"/>
  <c r="DG131" i="46"/>
  <c r="DG130" i="46"/>
  <c r="DG127" i="46"/>
  <c r="DG126" i="46"/>
  <c r="DG125" i="46"/>
  <c r="DM648" i="10" l="1"/>
  <c r="DQ648" i="10" s="1"/>
  <c r="DL252" i="20"/>
  <c r="DI252" i="20"/>
  <c r="DI595" i="20"/>
  <c r="DL595" i="20"/>
  <c r="EA1176" i="10"/>
  <c r="DW1175" i="10"/>
  <c r="DW1178" i="10" s="1"/>
  <c r="DX1178" i="10"/>
  <c r="DH169" i="42"/>
  <c r="DH167" i="42"/>
  <c r="DH164" i="42"/>
  <c r="DH180" i="46"/>
  <c r="DH145" i="46"/>
  <c r="DH50" i="42"/>
  <c r="DH147" i="20"/>
  <c r="DH1159" i="10"/>
  <c r="DH351" i="10"/>
  <c r="DH349" i="10"/>
  <c r="DH164" i="10"/>
  <c r="DH162" i="10"/>
  <c r="DH120" i="10"/>
  <c r="DH96" i="10"/>
  <c r="DH63" i="10"/>
  <c r="DH554" i="20"/>
  <c r="DH1177" i="10" s="1"/>
  <c r="DH299" i="20" l="1"/>
  <c r="DH150" i="20"/>
  <c r="DH12" i="42"/>
  <c r="DH1161" i="10"/>
  <c r="DH352" i="10"/>
  <c r="DH126" i="49" l="1"/>
  <c r="DH44" i="49"/>
  <c r="DH72" i="49" s="1"/>
  <c r="DH37" i="49"/>
  <c r="DH63" i="49" s="1"/>
  <c r="DH2" i="49"/>
  <c r="DH197" i="46"/>
  <c r="DH195" i="46"/>
  <c r="DH160" i="46"/>
  <c r="DH156" i="46"/>
  <c r="DH151" i="46"/>
  <c r="DH133" i="46"/>
  <c r="DH128" i="46"/>
  <c r="DH78" i="46" s="1"/>
  <c r="DH120" i="46"/>
  <c r="DH110" i="46"/>
  <c r="DH108" i="46"/>
  <c r="DH101" i="46"/>
  <c r="DH102" i="46" s="1"/>
  <c r="DH96" i="46"/>
  <c r="DH91" i="46"/>
  <c r="DH90" i="46" s="1"/>
  <c r="DH86" i="46"/>
  <c r="DH103" i="46" s="1"/>
  <c r="DH85" i="46"/>
  <c r="DH51" i="46"/>
  <c r="DH50" i="46"/>
  <c r="DH34" i="46"/>
  <c r="DH32" i="46"/>
  <c r="DH45" i="46" s="1"/>
  <c r="DH30" i="46"/>
  <c r="DH29" i="46"/>
  <c r="DH26" i="46"/>
  <c r="DH22" i="46"/>
  <c r="DH47" i="46" s="1"/>
  <c r="DH20" i="46"/>
  <c r="DH33" i="46" s="1"/>
  <c r="DH46" i="46" s="1"/>
  <c r="DH17" i="46"/>
  <c r="DH16" i="46"/>
  <c r="DH15" i="46"/>
  <c r="DH41" i="46" s="1"/>
  <c r="DH14" i="46"/>
  <c r="DH40" i="46" s="1"/>
  <c r="DH13" i="46"/>
  <c r="DH4" i="46"/>
  <c r="DH3" i="46"/>
  <c r="DG3" i="43"/>
  <c r="DH43" i="43"/>
  <c r="DH45" i="43" s="1"/>
  <c r="DH42" i="43"/>
  <c r="DH21" i="43"/>
  <c r="DH27" i="43" s="1"/>
  <c r="DH16" i="43"/>
  <c r="DH4" i="43"/>
  <c r="DH3" i="43"/>
  <c r="DH537" i="42"/>
  <c r="DH66" i="10" s="1"/>
  <c r="DH527" i="42"/>
  <c r="DH526" i="42"/>
  <c r="DH513" i="42"/>
  <c r="DH512" i="42"/>
  <c r="DH511" i="42"/>
  <c r="DH509" i="42"/>
  <c r="DH508" i="42"/>
  <c r="DH499" i="42"/>
  <c r="DH498" i="42"/>
  <c r="DH495" i="42"/>
  <c r="DH494" i="42"/>
  <c r="DH486" i="42"/>
  <c r="DH461" i="42"/>
  <c r="DH460" i="42"/>
  <c r="DH454" i="42"/>
  <c r="DH455" i="42" s="1"/>
  <c r="DH437" i="42"/>
  <c r="DH436" i="42"/>
  <c r="DH435" i="42"/>
  <c r="DH434" i="42"/>
  <c r="DH433" i="42"/>
  <c r="DH432" i="42"/>
  <c r="DH431" i="42"/>
  <c r="DH430" i="42"/>
  <c r="DH426" i="42"/>
  <c r="DH414" i="42"/>
  <c r="DH418" i="42" s="1"/>
  <c r="DH407" i="42"/>
  <c r="DH405" i="42"/>
  <c r="DH402" i="42"/>
  <c r="DH395" i="42"/>
  <c r="DH389" i="42"/>
  <c r="DH383" i="42"/>
  <c r="DH369" i="42"/>
  <c r="DH362" i="42"/>
  <c r="DH336" i="42"/>
  <c r="DH312" i="42"/>
  <c r="DH308" i="42"/>
  <c r="DH306" i="42"/>
  <c r="DH303" i="42"/>
  <c r="DH301" i="42"/>
  <c r="DH290" i="42"/>
  <c r="DH294" i="42" s="1"/>
  <c r="DH325" i="42" s="1"/>
  <c r="DH326" i="42" s="1"/>
  <c r="DH270" i="42"/>
  <c r="DH269" i="42"/>
  <c r="DH268" i="42"/>
  <c r="DH264" i="42"/>
  <c r="DH263" i="42"/>
  <c r="DH262" i="42"/>
  <c r="DH261" i="42"/>
  <c r="DH260" i="42"/>
  <c r="DH287" i="42" s="1"/>
  <c r="DH256" i="42"/>
  <c r="DH249" i="42"/>
  <c r="DH248" i="42"/>
  <c r="DH245" i="42"/>
  <c r="DH244" i="42"/>
  <c r="DH241" i="42"/>
  <c r="DH240" i="42"/>
  <c r="DH237" i="42"/>
  <c r="DH236" i="42"/>
  <c r="DH216" i="42"/>
  <c r="DH214" i="42"/>
  <c r="DH207" i="42"/>
  <c r="DH205" i="42"/>
  <c r="DH198" i="42"/>
  <c r="DH196" i="42"/>
  <c r="DH187" i="42"/>
  <c r="DH186" i="42"/>
  <c r="DH182" i="42"/>
  <c r="DH146" i="42"/>
  <c r="DH149" i="42" s="1"/>
  <c r="DH152" i="42" s="1"/>
  <c r="DH136" i="42"/>
  <c r="DH599" i="20" s="1"/>
  <c r="DH134" i="42"/>
  <c r="DH597" i="20" s="1"/>
  <c r="DH133" i="42"/>
  <c r="DH596" i="20" s="1"/>
  <c r="DH132" i="42"/>
  <c r="DH595" i="20" s="1"/>
  <c r="DH129" i="42"/>
  <c r="DH158" i="46" s="1"/>
  <c r="DH127" i="42"/>
  <c r="DH124" i="42"/>
  <c r="DH192" i="46" s="1"/>
  <c r="DI192" i="46" s="1"/>
  <c r="DL192" i="46" s="1"/>
  <c r="DM192" i="46" s="1"/>
  <c r="DP192" i="46" s="1"/>
  <c r="DQ192" i="46" s="1"/>
  <c r="DH122" i="42"/>
  <c r="DH109" i="42"/>
  <c r="DH114" i="42" s="1"/>
  <c r="DH100" i="42"/>
  <c r="F21" i="78" s="1"/>
  <c r="DH98" i="42"/>
  <c r="DH97" i="42"/>
  <c r="DH96" i="42"/>
  <c r="DH68" i="42"/>
  <c r="DH484" i="42" s="1"/>
  <c r="DH62" i="42"/>
  <c r="DH46" i="42"/>
  <c r="DH44" i="42"/>
  <c r="DH43" i="42"/>
  <c r="DH42" i="42"/>
  <c r="DH40" i="42"/>
  <c r="DH39" i="42"/>
  <c r="DH38" i="42"/>
  <c r="DH37" i="42"/>
  <c r="DH36" i="42"/>
  <c r="DH35" i="42"/>
  <c r="DH33" i="42"/>
  <c r="DH32" i="42"/>
  <c r="DH191" i="46"/>
  <c r="DH6" i="42"/>
  <c r="DH5" i="42"/>
  <c r="DH1221" i="10"/>
  <c r="DH1207" i="10"/>
  <c r="DH1205" i="10"/>
  <c r="DH1203" i="10"/>
  <c r="DH1202" i="10"/>
  <c r="DH1201" i="10"/>
  <c r="DH1179" i="10"/>
  <c r="DH1176" i="10"/>
  <c r="DH1175" i="10"/>
  <c r="DH1174" i="10"/>
  <c r="DH1173" i="10"/>
  <c r="DH1167" i="10"/>
  <c r="DH924" i="20" s="1"/>
  <c r="DH1165" i="10"/>
  <c r="DH1164" i="10"/>
  <c r="DH1163" i="10"/>
  <c r="DH1160" i="10"/>
  <c r="DH1142" i="10"/>
  <c r="DH1135" i="10"/>
  <c r="DH1133" i="10"/>
  <c r="DH1132" i="10"/>
  <c r="DH1131" i="10"/>
  <c r="DH1130" i="10"/>
  <c r="DH1129" i="10"/>
  <c r="DH1079" i="10"/>
  <c r="DH1043" i="10"/>
  <c r="DH961" i="10"/>
  <c r="DH959" i="10"/>
  <c r="DH958" i="10"/>
  <c r="DH957" i="10"/>
  <c r="DH956" i="10"/>
  <c r="DH955" i="10"/>
  <c r="DH950" i="10"/>
  <c r="DH947" i="10"/>
  <c r="DH946" i="10"/>
  <c r="DH945" i="10"/>
  <c r="DH944" i="10"/>
  <c r="DH830" i="10"/>
  <c r="DH842" i="10" s="1"/>
  <c r="DH745" i="10"/>
  <c r="DH744" i="10"/>
  <c r="DH743" i="10"/>
  <c r="DH742" i="10"/>
  <c r="DH741" i="10"/>
  <c r="DH740" i="10"/>
  <c r="DH739" i="10"/>
  <c r="DH733" i="10"/>
  <c r="DH731" i="10"/>
  <c r="DH729" i="10"/>
  <c r="DH728" i="10"/>
  <c r="DH727" i="10"/>
  <c r="DH719" i="10"/>
  <c r="DH720" i="10" s="1"/>
  <c r="DH691" i="10"/>
  <c r="DH757" i="10" s="1"/>
  <c r="DH689" i="10"/>
  <c r="DH755" i="10" s="1"/>
  <c r="DH688" i="10"/>
  <c r="DH754" i="10" s="1"/>
  <c r="DH687" i="10"/>
  <c r="DH753" i="10" s="1"/>
  <c r="DH686" i="10"/>
  <c r="DH752" i="10" s="1"/>
  <c r="DH685" i="10"/>
  <c r="DH676" i="10"/>
  <c r="DH675" i="10"/>
  <c r="DH674" i="10"/>
  <c r="DH672" i="10"/>
  <c r="DH671" i="10"/>
  <c r="DH670" i="10"/>
  <c r="DH669" i="10"/>
  <c r="DH644" i="10"/>
  <c r="DH642" i="10"/>
  <c r="DH641" i="10"/>
  <c r="DH640" i="10"/>
  <c r="DH639" i="10"/>
  <c r="DH648" i="10" s="1"/>
  <c r="DH638" i="10"/>
  <c r="DH633" i="10"/>
  <c r="DH631" i="10"/>
  <c r="DH630" i="10"/>
  <c r="DH629" i="10"/>
  <c r="DH628" i="10"/>
  <c r="DH627" i="10"/>
  <c r="DH622" i="10"/>
  <c r="DH620" i="10"/>
  <c r="DH619" i="10"/>
  <c r="DH618" i="10"/>
  <c r="DH617" i="10"/>
  <c r="DH616" i="10"/>
  <c r="DH611" i="10"/>
  <c r="DH609" i="10"/>
  <c r="DH608" i="10"/>
  <c r="DH607" i="10"/>
  <c r="DH606" i="10"/>
  <c r="DH605" i="10"/>
  <c r="DH600" i="10"/>
  <c r="DH598" i="10"/>
  <c r="DH597" i="10"/>
  <c r="DH596" i="10"/>
  <c r="DH595" i="10"/>
  <c r="DH594" i="10"/>
  <c r="DH589" i="10"/>
  <c r="DH587" i="10"/>
  <c r="DH586" i="10"/>
  <c r="DH585" i="10"/>
  <c r="DH584" i="10"/>
  <c r="DH583" i="10"/>
  <c r="DH578" i="10"/>
  <c r="DH576" i="10"/>
  <c r="DH575" i="10"/>
  <c r="DH574" i="10"/>
  <c r="DH573" i="10"/>
  <c r="DH572" i="10"/>
  <c r="DH567" i="10"/>
  <c r="DH565" i="10"/>
  <c r="DH564" i="10"/>
  <c r="DH563" i="10"/>
  <c r="DH562" i="10"/>
  <c r="DH561" i="10"/>
  <c r="DH556" i="10"/>
  <c r="DH555" i="10"/>
  <c r="DH553" i="10"/>
  <c r="DH552" i="10"/>
  <c r="DH551" i="10"/>
  <c r="DH550" i="10"/>
  <c r="DH545" i="10"/>
  <c r="DH543" i="10"/>
  <c r="DH542" i="10"/>
  <c r="DH541" i="10"/>
  <c r="DH540" i="10"/>
  <c r="DH539" i="10"/>
  <c r="DH534" i="10"/>
  <c r="DH532" i="10"/>
  <c r="DH531" i="10"/>
  <c r="DH530" i="10"/>
  <c r="DH529" i="10"/>
  <c r="DH528" i="10"/>
  <c r="DH523" i="10"/>
  <c r="DH521" i="10"/>
  <c r="DH520" i="10"/>
  <c r="DH519" i="10"/>
  <c r="DH518" i="10"/>
  <c r="DH517" i="10"/>
  <c r="DH512" i="10"/>
  <c r="DH510" i="10"/>
  <c r="DH509" i="10"/>
  <c r="DH508" i="10"/>
  <c r="DH507" i="10"/>
  <c r="DH506" i="10"/>
  <c r="DH501" i="10"/>
  <c r="DH499" i="10"/>
  <c r="DH1042" i="10" s="1"/>
  <c r="DH498" i="10"/>
  <c r="DH497" i="10"/>
  <c r="DH496" i="10"/>
  <c r="DH1039" i="10" s="1"/>
  <c r="DH495" i="10"/>
  <c r="DH422" i="10"/>
  <c r="DH421" i="10"/>
  <c r="DH420" i="10"/>
  <c r="DH419" i="10"/>
  <c r="DH418" i="10"/>
  <c r="DH417" i="10"/>
  <c r="DH416" i="10"/>
  <c r="DH385" i="10"/>
  <c r="DH383" i="10"/>
  <c r="DH382" i="10"/>
  <c r="DH381" i="10"/>
  <c r="DH377" i="10"/>
  <c r="DH375" i="10"/>
  <c r="DH374" i="10"/>
  <c r="DH368" i="10"/>
  <c r="DH350" i="10"/>
  <c r="DH339" i="10"/>
  <c r="DH338" i="10"/>
  <c r="DH336" i="10"/>
  <c r="DH313" i="10"/>
  <c r="DH308" i="10"/>
  <c r="DH304" i="10"/>
  <c r="DH294" i="10"/>
  <c r="DH278" i="10"/>
  <c r="DH272" i="10"/>
  <c r="DH271" i="10"/>
  <c r="DH270" i="10"/>
  <c r="DH269" i="10"/>
  <c r="DH266" i="10"/>
  <c r="DH244" i="10"/>
  <c r="DH243" i="10"/>
  <c r="DH242" i="10"/>
  <c r="DH240" i="10"/>
  <c r="DH230" i="10"/>
  <c r="DH229" i="10"/>
  <c r="DH228" i="10"/>
  <c r="DH227" i="10"/>
  <c r="DH224" i="10"/>
  <c r="DH223" i="10"/>
  <c r="DH221" i="10"/>
  <c r="DH207" i="10"/>
  <c r="DH204" i="10"/>
  <c r="DH203" i="10"/>
  <c r="DH202" i="10"/>
  <c r="DH193" i="10"/>
  <c r="DH192" i="10"/>
  <c r="DH186" i="10"/>
  <c r="DH311" i="10" s="1"/>
  <c r="DH185" i="10"/>
  <c r="DH160" i="10"/>
  <c r="DH159" i="10"/>
  <c r="DH158" i="10"/>
  <c r="DH153" i="10"/>
  <c r="DH151" i="10"/>
  <c r="DH1143" i="10" s="1"/>
  <c r="DH144" i="10"/>
  <c r="DH140" i="10"/>
  <c r="DH1145" i="10" s="1"/>
  <c r="DH139" i="10"/>
  <c r="DH133" i="10"/>
  <c r="DH129" i="10"/>
  <c r="DH128" i="10"/>
  <c r="DH125" i="10"/>
  <c r="DH115" i="10"/>
  <c r="DH113" i="10"/>
  <c r="DH104" i="10"/>
  <c r="DH102" i="10"/>
  <c r="DH101" i="10"/>
  <c r="DH100" i="10"/>
  <c r="DH92" i="10"/>
  <c r="DH90" i="10"/>
  <c r="DH89" i="10"/>
  <c r="DH88" i="10"/>
  <c r="DH80" i="10"/>
  <c r="DH78" i="10"/>
  <c r="DH77" i="10"/>
  <c r="DH75" i="10"/>
  <c r="DH74" i="10"/>
  <c r="DH65" i="10"/>
  <c r="DH61" i="10"/>
  <c r="DH59" i="10"/>
  <c r="DH58" i="10"/>
  <c r="DH44" i="10"/>
  <c r="DH43" i="10"/>
  <c r="DH39" i="10"/>
  <c r="DH29" i="10"/>
  <c r="DH58" i="49" s="1"/>
  <c r="DH28" i="10"/>
  <c r="DH27" i="10"/>
  <c r="DH1224" i="10" s="1"/>
  <c r="DH945" i="20"/>
  <c r="DH944" i="20"/>
  <c r="DH943" i="20"/>
  <c r="DH942" i="20"/>
  <c r="DH941" i="20"/>
  <c r="DH940" i="20"/>
  <c r="DH939" i="20"/>
  <c r="DH938" i="20"/>
  <c r="DH937" i="20"/>
  <c r="DH936" i="20"/>
  <c r="DH935" i="20"/>
  <c r="DH934" i="20"/>
  <c r="DH933" i="20"/>
  <c r="DH932" i="20"/>
  <c r="DH923" i="20"/>
  <c r="DH889" i="20"/>
  <c r="DH881" i="20"/>
  <c r="DH879" i="20"/>
  <c r="DH876" i="20"/>
  <c r="DH868" i="20"/>
  <c r="DH867" i="20"/>
  <c r="DH866" i="20"/>
  <c r="DH865" i="20"/>
  <c r="DH864" i="20"/>
  <c r="DH863" i="20"/>
  <c r="DH862" i="20"/>
  <c r="DH861" i="20"/>
  <c r="DH860" i="20"/>
  <c r="DH859" i="20"/>
  <c r="DH858" i="20"/>
  <c r="DH857" i="20"/>
  <c r="DH856" i="20"/>
  <c r="DH855" i="20"/>
  <c r="DH810" i="20"/>
  <c r="DH802" i="20"/>
  <c r="DH800" i="20"/>
  <c r="DH797" i="20"/>
  <c r="DH767" i="20"/>
  <c r="DH766" i="20"/>
  <c r="DH765" i="20"/>
  <c r="DH761" i="20"/>
  <c r="DH714" i="20" s="1"/>
  <c r="DH744" i="20"/>
  <c r="DH742" i="20"/>
  <c r="DH741" i="20"/>
  <c r="DH732" i="20"/>
  <c r="DH731" i="20"/>
  <c r="DH721" i="20"/>
  <c r="DH652" i="20"/>
  <c r="DH651" i="20"/>
  <c r="DH646" i="20"/>
  <c r="DH548" i="20" s="1"/>
  <c r="DH446" i="10" s="1"/>
  <c r="DH613" i="20"/>
  <c r="DH611" i="20"/>
  <c r="DH610" i="20"/>
  <c r="DH608" i="20"/>
  <c r="DH627" i="20" s="1"/>
  <c r="DH545" i="20" s="1"/>
  <c r="DH592" i="20"/>
  <c r="DH591" i="20"/>
  <c r="DH590" i="20"/>
  <c r="DH587" i="20"/>
  <c r="DH585" i="20"/>
  <c r="DH584" i="20"/>
  <c r="DH579" i="20"/>
  <c r="DH583" i="20" s="1"/>
  <c r="DH567" i="20"/>
  <c r="DH566" i="20"/>
  <c r="DH653" i="20"/>
  <c r="DH456" i="20"/>
  <c r="DH455" i="20"/>
  <c r="DH454" i="20"/>
  <c r="DH450" i="20"/>
  <c r="DH448" i="20"/>
  <c r="DH447" i="20"/>
  <c r="DH446" i="20"/>
  <c r="DH442" i="20"/>
  <c r="DH441" i="20"/>
  <c r="DH440" i="20"/>
  <c r="DH437" i="20"/>
  <c r="DH449" i="20" s="1"/>
  <c r="DH417" i="20"/>
  <c r="DH404" i="20"/>
  <c r="DH420" i="20" s="1"/>
  <c r="DH400" i="20"/>
  <c r="DH396" i="20"/>
  <c r="DH395" i="20"/>
  <c r="DH387" i="20"/>
  <c r="DH382" i="20"/>
  <c r="DH353" i="20"/>
  <c r="DH329" i="20"/>
  <c r="DH328" i="20"/>
  <c r="DH327" i="20"/>
  <c r="DH324" i="20"/>
  <c r="DH323" i="20"/>
  <c r="DH322" i="20"/>
  <c r="DH234" i="20" s="1"/>
  <c r="DH444" i="10" s="1"/>
  <c r="DH303" i="20"/>
  <c r="DH301" i="20"/>
  <c r="DH294" i="20"/>
  <c r="DH293" i="20"/>
  <c r="DH292" i="20"/>
  <c r="DH290" i="20"/>
  <c r="DH289" i="20"/>
  <c r="DH287" i="20"/>
  <c r="DH232" i="20" s="1"/>
  <c r="DH273" i="20" s="1"/>
  <c r="DH283" i="20"/>
  <c r="DH272" i="20"/>
  <c r="DH250" i="20"/>
  <c r="DH249" i="20"/>
  <c r="DH241" i="20"/>
  <c r="DH217" i="20"/>
  <c r="DH216" i="20"/>
  <c r="DH215" i="20"/>
  <c r="DH210" i="20"/>
  <c r="DH204" i="20"/>
  <c r="DH195" i="20"/>
  <c r="DH188" i="20"/>
  <c r="DH186" i="20"/>
  <c r="DH200" i="20" s="1"/>
  <c r="DH183" i="20"/>
  <c r="DH118" i="20" s="1"/>
  <c r="DH442" i="10" s="1"/>
  <c r="DH164" i="20"/>
  <c r="DH163" i="20"/>
  <c r="DH157" i="20"/>
  <c r="DH153" i="20"/>
  <c r="DH137" i="20"/>
  <c r="DH136" i="20"/>
  <c r="DH125" i="20"/>
  <c r="DH13" i="20"/>
  <c r="DH4" i="20"/>
  <c r="DH3" i="20"/>
  <c r="DJ648" i="10" l="1"/>
  <c r="DL648" i="10"/>
  <c r="DH406" i="42"/>
  <c r="DH69" i="46"/>
  <c r="DH87" i="46"/>
  <c r="DH95" i="46" s="1"/>
  <c r="DH97" i="46" s="1"/>
  <c r="DH138" i="20"/>
  <c r="DH123" i="42"/>
  <c r="DH218" i="20"/>
  <c r="DH397" i="20"/>
  <c r="DH165" i="20"/>
  <c r="DH274" i="20"/>
  <c r="DH443" i="20"/>
  <c r="DH152" i="10"/>
  <c r="DH154" i="10" s="1"/>
  <c r="DH550" i="20"/>
  <c r="DH818" i="10" s="1"/>
  <c r="DH926" i="10" s="1"/>
  <c r="DH552" i="42"/>
  <c r="DH948" i="10"/>
  <c r="DH64" i="10"/>
  <c r="DH43" i="46"/>
  <c r="DH57" i="46" s="1"/>
  <c r="DH372" i="20"/>
  <c r="DH373" i="20" s="1"/>
  <c r="DH242" i="42"/>
  <c r="DH56" i="49"/>
  <c r="DH84" i="49" s="1"/>
  <c r="DH384" i="10"/>
  <c r="DH387" i="10" s="1"/>
  <c r="DH196" i="20"/>
  <c r="DH37" i="10"/>
  <c r="DH369" i="10"/>
  <c r="DH464" i="42"/>
  <c r="DH477" i="42" s="1"/>
  <c r="DH634" i="10"/>
  <c r="DH488" i="10" s="1"/>
  <c r="DH126" i="10"/>
  <c r="DH130" i="10" s="1"/>
  <c r="DH513" i="10"/>
  <c r="DH477" i="10" s="1"/>
  <c r="DH535" i="10"/>
  <c r="DH479" i="10" s="1"/>
  <c r="DH557" i="10"/>
  <c r="DH481" i="10" s="1"/>
  <c r="DH464" i="10" s="1"/>
  <c r="DH601" i="10"/>
  <c r="DH485" i="10" s="1"/>
  <c r="DH238" i="42"/>
  <c r="DH42" i="46"/>
  <c r="DH716" i="20"/>
  <c r="DH448" i="10"/>
  <c r="DH623" i="10"/>
  <c r="DH487" i="10" s="1"/>
  <c r="DH465" i="10" s="1"/>
  <c r="DH645" i="10"/>
  <c r="DH489" i="10" s="1"/>
  <c r="DH468" i="10" s="1"/>
  <c r="DH57" i="49"/>
  <c r="DH661" i="20"/>
  <c r="DH222" i="10"/>
  <c r="DH1208" i="10"/>
  <c r="DH26" i="10" s="1"/>
  <c r="DH496" i="42"/>
  <c r="DH869" i="20"/>
  <c r="DH801" i="20" s="1"/>
  <c r="DH947" i="20"/>
  <c r="DH330" i="20"/>
  <c r="DH579" i="10"/>
  <c r="DH483" i="10" s="1"/>
  <c r="DH500" i="42"/>
  <c r="DH76" i="10"/>
  <c r="DH81" i="10" s="1"/>
  <c r="DH112" i="10"/>
  <c r="DH225" i="10"/>
  <c r="DH502" i="10"/>
  <c r="DH1045" i="10" s="1"/>
  <c r="DH568" i="10"/>
  <c r="DH482" i="10" s="1"/>
  <c r="DH99" i="42"/>
  <c r="DH101" i="42" s="1"/>
  <c r="DH590" i="10"/>
  <c r="DH484" i="10" s="1"/>
  <c r="DH612" i="10"/>
  <c r="DH486" i="10" s="1"/>
  <c r="DH463" i="10" s="1"/>
  <c r="DH1134" i="10"/>
  <c r="DH1136" i="10" s="1"/>
  <c r="DH22" i="10" s="1"/>
  <c r="DH265" i="42"/>
  <c r="DH277" i="42" s="1"/>
  <c r="DH135" i="46"/>
  <c r="DH138" i="46" s="1"/>
  <c r="DH251" i="20"/>
  <c r="DH45" i="10"/>
  <c r="DH114" i="10"/>
  <c r="DH370" i="10"/>
  <c r="DH827" i="10"/>
  <c r="DH546" i="10"/>
  <c r="DH480" i="10" s="1"/>
  <c r="DH1038" i="10"/>
  <c r="DH31" i="46"/>
  <c r="DH36" i="46" s="1"/>
  <c r="DH189" i="20"/>
  <c r="DH740" i="20"/>
  <c r="DH118" i="10" s="1"/>
  <c r="DH828" i="10"/>
  <c r="DH840" i="10" s="1"/>
  <c r="DH1180" i="10"/>
  <c r="DH1181" i="10" s="1"/>
  <c r="DH94" i="10"/>
  <c r="DH95" i="10" s="1"/>
  <c r="DH13" i="10" s="1"/>
  <c r="DH354" i="10"/>
  <c r="DH829" i="10"/>
  <c r="DH524" i="10"/>
  <c r="DH478" i="10" s="1"/>
  <c r="DH677" i="10"/>
  <c r="DH19" i="10" s="1"/>
  <c r="DH47" i="49" s="1"/>
  <c r="DH1040" i="10"/>
  <c r="DH246" i="42"/>
  <c r="DH625" i="20"/>
  <c r="DH60" i="10"/>
  <c r="DH423" i="10"/>
  <c r="DH17" i="10" s="1"/>
  <c r="DH45" i="49" s="1"/>
  <c r="DH73" i="49" s="1"/>
  <c r="DH831" i="10"/>
  <c r="DH1041" i="10"/>
  <c r="DH206" i="42"/>
  <c r="DH39" i="46"/>
  <c r="DH105" i="46"/>
  <c r="DH80" i="46"/>
  <c r="DH67" i="46"/>
  <c r="DH220" i="46"/>
  <c r="DH104" i="46"/>
  <c r="DH109" i="46"/>
  <c r="DH111" i="46" s="1"/>
  <c r="DH18" i="46"/>
  <c r="DH44" i="43"/>
  <c r="DH193" i="42"/>
  <c r="DH223" i="42"/>
  <c r="DH457" i="42"/>
  <c r="DH489" i="42"/>
  <c r="DH26" i="42"/>
  <c r="DH314" i="42"/>
  <c r="DH215" i="42"/>
  <c r="DH69" i="42"/>
  <c r="DH70" i="42" s="1"/>
  <c r="DH197" i="42"/>
  <c r="DH370" i="42"/>
  <c r="DH23" i="10"/>
  <c r="DH1141" i="10"/>
  <c r="DH1148" i="10" s="1"/>
  <c r="DH161" i="10"/>
  <c r="DH344" i="10"/>
  <c r="DH825" i="10"/>
  <c r="DH105" i="10"/>
  <c r="DH107" i="10" s="1"/>
  <c r="DH14" i="10" s="1"/>
  <c r="DH189" i="10"/>
  <c r="DH345" i="10"/>
  <c r="DH1044" i="10"/>
  <c r="DH751" i="10"/>
  <c r="DH690" i="10"/>
  <c r="DH692" i="10" s="1"/>
  <c r="DH366" i="10"/>
  <c r="DH925" i="20"/>
  <c r="DH877" i="20" s="1"/>
  <c r="DH451" i="20"/>
  <c r="DH115" i="20"/>
  <c r="DH231" i="20"/>
  <c r="DH236" i="20" s="1"/>
  <c r="DH260" i="20"/>
  <c r="DH262" i="20"/>
  <c r="DH261" i="20"/>
  <c r="DH225" i="20"/>
  <c r="DH555" i="20"/>
  <c r="DH946" i="20"/>
  <c r="DH880" i="20" s="1"/>
  <c r="DH346" i="20"/>
  <c r="DH443" i="10" s="1"/>
  <c r="DH654" i="20"/>
  <c r="DH768" i="20"/>
  <c r="DH733" i="20"/>
  <c r="DH457" i="20"/>
  <c r="DH568" i="20"/>
  <c r="DH411" i="20"/>
  <c r="DH464" i="20" s="1"/>
  <c r="DE180" i="46"/>
  <c r="DD173" i="46"/>
  <c r="DE145" i="46"/>
  <c r="DD144" i="46"/>
  <c r="DE164" i="42"/>
  <c r="DH185" i="42" s="1"/>
  <c r="DE50" i="42"/>
  <c r="DE12" i="42"/>
  <c r="DH31" i="42" s="1"/>
  <c r="DE1161" i="10"/>
  <c r="DE1159" i="10"/>
  <c r="DF776" i="10"/>
  <c r="DF775" i="10"/>
  <c r="DF774" i="10"/>
  <c r="DF352" i="10"/>
  <c r="DF351" i="10"/>
  <c r="DF349" i="10"/>
  <c r="DP648" i="10" l="1"/>
  <c r="DR648" i="10" s="1"/>
  <c r="DN648" i="10"/>
  <c r="DH1168" i="10"/>
  <c r="DH970" i="10"/>
  <c r="DH841" i="10"/>
  <c r="DH982" i="10" s="1"/>
  <c r="DH449" i="10"/>
  <c r="DH18" i="10" s="1"/>
  <c r="DH46" i="49" s="1"/>
  <c r="DH74" i="49" s="1"/>
  <c r="DH556" i="20"/>
  <c r="DH558" i="20" s="1"/>
  <c r="DH14" i="20" s="1"/>
  <c r="DH46" i="10"/>
  <c r="DH49" i="10" s="1"/>
  <c r="DH658" i="10"/>
  <c r="DH467" i="10"/>
  <c r="DH826" i="10"/>
  <c r="DH154" i="46"/>
  <c r="DH1212" i="10"/>
  <c r="DH1214" i="10" s="1"/>
  <c r="DH1219" i="10" s="1"/>
  <c r="DH491" i="42"/>
  <c r="DH476" i="10"/>
  <c r="DH466" i="10" s="1"/>
  <c r="DH529" i="42"/>
  <c r="DH533" i="42" s="1"/>
  <c r="DH476" i="42"/>
  <c r="DH478" i="42" s="1"/>
  <c r="DH82" i="10"/>
  <c r="DH116" i="10"/>
  <c r="DH117" i="10" s="1"/>
  <c r="DH119" i="10" s="1"/>
  <c r="DH15" i="10" s="1"/>
  <c r="DH43" i="49" s="1"/>
  <c r="DH70" i="49" s="1"/>
  <c r="DH141" i="10"/>
  <c r="DH142" i="10" s="1"/>
  <c r="DH68" i="46"/>
  <c r="DH70" i="46" s="1"/>
  <c r="DH72" i="46" s="1"/>
  <c r="DH73" i="46" s="1"/>
  <c r="DH408" i="10"/>
  <c r="DH42" i="49"/>
  <c r="DH69" i="49" s="1"/>
  <c r="DH1225" i="10"/>
  <c r="DH440" i="42"/>
  <c r="DH55" i="49"/>
  <c r="DH86" i="49" s="1"/>
  <c r="DH722" i="20"/>
  <c r="DH727" i="20" s="1"/>
  <c r="DH820" i="10"/>
  <c r="DH407" i="10"/>
  <c r="DH41" i="49"/>
  <c r="DH68" i="49" s="1"/>
  <c r="DH962" i="10"/>
  <c r="DH963" i="10" s="1"/>
  <c r="DH51" i="49"/>
  <c r="DH78" i="49" s="1"/>
  <c r="DH40" i="10"/>
  <c r="DH120" i="20"/>
  <c r="DH193" i="46"/>
  <c r="DH113" i="46"/>
  <c r="DH951" i="10"/>
  <c r="DH952" i="10" s="1"/>
  <c r="DH52" i="49"/>
  <c r="DH79" i="49" s="1"/>
  <c r="DH816" i="10"/>
  <c r="DH106" i="46"/>
  <c r="DH115" i="46" s="1"/>
  <c r="DH119" i="46" s="1"/>
  <c r="DH121" i="46" s="1"/>
  <c r="DH114" i="46"/>
  <c r="DH44" i="46"/>
  <c r="DH23" i="46"/>
  <c r="DH48" i="46" s="1"/>
  <c r="DH49" i="46" s="1"/>
  <c r="DI49" i="46" s="1"/>
  <c r="DH46" i="43"/>
  <c r="DH317" i="42"/>
  <c r="DH318" i="42" s="1"/>
  <c r="DH320" i="42" s="1"/>
  <c r="DH507" i="42"/>
  <c r="DH510" i="42" s="1"/>
  <c r="DH481" i="42"/>
  <c r="DH528" i="42"/>
  <c r="DH115" i="42"/>
  <c r="DH102" i="42"/>
  <c r="DH239" i="10"/>
  <c r="DH267" i="10"/>
  <c r="DH693" i="10"/>
  <c r="DH758" i="10"/>
  <c r="DH697" i="10"/>
  <c r="DH759" i="10"/>
  <c r="DH656" i="10"/>
  <c r="DH12" i="10"/>
  <c r="DH165" i="10"/>
  <c r="DH263" i="20"/>
  <c r="DH268" i="20" s="1"/>
  <c r="DH243" i="20"/>
  <c r="DH551" i="20"/>
  <c r="DH343" i="20"/>
  <c r="DH348" i="20" s="1"/>
  <c r="DD63" i="10"/>
  <c r="DE554" i="20"/>
  <c r="DE150" i="20"/>
  <c r="DH151" i="20" s="1"/>
  <c r="DG619" i="20"/>
  <c r="DH450" i="10" l="1"/>
  <c r="DH82" i="49"/>
  <c r="DH48" i="10"/>
  <c r="DH50" i="10"/>
  <c r="DH490" i="10"/>
  <c r="DH462" i="10"/>
  <c r="DH71" i="46"/>
  <c r="DH38" i="10"/>
  <c r="DH41" i="10" s="1"/>
  <c r="DH1017" i="10"/>
  <c r="DH815" i="10"/>
  <c r="DH814" i="10"/>
  <c r="DH843" i="10"/>
  <c r="DH984" i="10" s="1"/>
  <c r="DH972" i="10"/>
  <c r="DH728" i="20"/>
  <c r="DH18" i="20"/>
  <c r="DH267" i="20"/>
  <c r="DH406" i="10"/>
  <c r="DH40" i="49"/>
  <c r="DH67" i="49" s="1"/>
  <c r="DH126" i="20"/>
  <c r="DH128" i="20" s="1"/>
  <c r="DH9" i="20" s="1"/>
  <c r="DH924" i="10"/>
  <c r="DH839" i="10"/>
  <c r="DH980" i="10" s="1"/>
  <c r="DH968" i="10"/>
  <c r="DH54" i="43"/>
  <c r="DH532" i="42"/>
  <c r="DH531" i="42"/>
  <c r="DH488" i="42"/>
  <c r="DH485" i="42"/>
  <c r="DH490" i="42" s="1"/>
  <c r="DH514" i="42"/>
  <c r="DH319" i="42"/>
  <c r="DH21" i="10"/>
  <c r="DH24" i="10" s="1"/>
  <c r="DH53" i="49" s="1"/>
  <c r="DH1082" i="10"/>
  <c r="DH699" i="10"/>
  <c r="DH49" i="49" s="1"/>
  <c r="DH469" i="10"/>
  <c r="DH11" i="10"/>
  <c r="DH39" i="49" s="1"/>
  <c r="DH64" i="49" s="1"/>
  <c r="DH238" i="10"/>
  <c r="DH241" i="10" s="1"/>
  <c r="DH377" i="20"/>
  <c r="DH378" i="20" s="1"/>
  <c r="DH385" i="20" s="1"/>
  <c r="DH354" i="20"/>
  <c r="DH349" i="20"/>
  <c r="DH383" i="20"/>
  <c r="DH245" i="20"/>
  <c r="DH266" i="20"/>
  <c r="DE387" i="20"/>
  <c r="DD387" i="20"/>
  <c r="DA387" i="20"/>
  <c r="CZ387" i="20"/>
  <c r="CW387" i="20"/>
  <c r="CV387" i="20"/>
  <c r="CO387" i="20"/>
  <c r="CN387" i="20"/>
  <c r="CK387" i="20"/>
  <c r="CJ387" i="20"/>
  <c r="DE382" i="20"/>
  <c r="DD382" i="20"/>
  <c r="DA382" i="20"/>
  <c r="CZ382" i="20"/>
  <c r="CV382" i="20"/>
  <c r="CO382" i="20"/>
  <c r="CN382" i="20"/>
  <c r="CK382" i="20"/>
  <c r="CJ382" i="20"/>
  <c r="CR387" i="20"/>
  <c r="CS387" i="20"/>
  <c r="CS382" i="20"/>
  <c r="CR382" i="20"/>
  <c r="DK236" i="10" l="1"/>
  <c r="DK237" i="10"/>
  <c r="DK235" i="10"/>
  <c r="DH51" i="10"/>
  <c r="DH71" i="49"/>
  <c r="DH75" i="49" s="1"/>
  <c r="DH269" i="20"/>
  <c r="DH50" i="49"/>
  <c r="DH77" i="49" s="1"/>
  <c r="DH76" i="49"/>
  <c r="DH922" i="10"/>
  <c r="DH821" i="10"/>
  <c r="DH974" i="10"/>
  <c r="DH966" i="10"/>
  <c r="DH837" i="10"/>
  <c r="DH978" i="10" s="1"/>
  <c r="DH923" i="10"/>
  <c r="DH967" i="10"/>
  <c r="DH838" i="10"/>
  <c r="DH979" i="10" s="1"/>
  <c r="DH655" i="10"/>
  <c r="DH657" i="10" s="1"/>
  <c r="DH659" i="10" s="1"/>
  <c r="DH491" i="10"/>
  <c r="DH470" i="10"/>
  <c r="DH1081" i="10"/>
  <c r="DH705" i="10"/>
  <c r="DH1098" i="10"/>
  <c r="DH10" i="10"/>
  <c r="DH405" i="10"/>
  <c r="DH47" i="10"/>
  <c r="DH1019" i="10"/>
  <c r="DH246" i="20"/>
  <c r="DH10" i="20"/>
  <c r="DH356" i="20"/>
  <c r="DH867" i="10" l="1"/>
  <c r="DH929" i="10" s="1"/>
  <c r="DH973" i="10"/>
  <c r="DH20" i="10"/>
  <c r="DH42" i="10" s="1"/>
  <c r="DH38" i="49"/>
  <c r="DH80" i="49"/>
  <c r="DH83" i="49" s="1"/>
  <c r="DH81" i="49"/>
  <c r="DH663" i="10"/>
  <c r="DH832" i="10"/>
  <c r="DH833" i="10" s="1"/>
  <c r="DH1031" i="10"/>
  <c r="DH998" i="10"/>
  <c r="DH360" i="20"/>
  <c r="DH374" i="20"/>
  <c r="DH357" i="20"/>
  <c r="DH12" i="20"/>
  <c r="DH375" i="20"/>
  <c r="DH11" i="20"/>
  <c r="DH704" i="10" l="1"/>
  <c r="DH706" i="10" s="1"/>
  <c r="DH662" i="10"/>
  <c r="DH1103" i="10"/>
  <c r="DH1186" i="10"/>
  <c r="DH1032" i="10"/>
  <c r="DH822" i="10"/>
  <c r="DH664" i="10"/>
  <c r="DH844" i="10" s="1"/>
  <c r="DH851" i="10" s="1"/>
  <c r="DH48" i="49"/>
  <c r="DH1033" i="10"/>
  <c r="DH34" i="10"/>
  <c r="DH975" i="10" s="1"/>
  <c r="DH25" i="10"/>
  <c r="DH54" i="49" s="1"/>
  <c r="DH85" i="49"/>
  <c r="DH87" i="49"/>
  <c r="DH928" i="10"/>
  <c r="DH866" i="10" s="1"/>
  <c r="DH930" i="10"/>
  <c r="DH898" i="10"/>
  <c r="DH909" i="10" s="1"/>
  <c r="DH1009" i="10"/>
  <c r="DH16" i="20"/>
  <c r="DH358" i="20"/>
  <c r="DH707" i="10" l="1"/>
  <c r="DH1187" i="10" s="1"/>
  <c r="DH708" i="10"/>
  <c r="DH868" i="10" s="1"/>
  <c r="DH853" i="10"/>
  <c r="DH857" i="10"/>
  <c r="DH845" i="10"/>
  <c r="DH986" i="10"/>
  <c r="DH854" i="10"/>
  <c r="DH985" i="10"/>
  <c r="DH855" i="10"/>
  <c r="DH846" i="10"/>
  <c r="DH850" i="10"/>
  <c r="DH1226" i="10"/>
  <c r="DH1227" i="10" s="1"/>
  <c r="DH852" i="10"/>
  <c r="DH856" i="10"/>
  <c r="DH30" i="10"/>
  <c r="DH1104" i="10" s="1"/>
  <c r="DH1216" i="10"/>
  <c r="DH1222" i="10" s="1"/>
  <c r="DH17" i="20"/>
  <c r="DH8" i="43" l="1"/>
  <c r="DH11" i="43" s="1"/>
  <c r="DH543" i="42"/>
  <c r="DH58" i="46"/>
  <c r="DH55" i="46" s="1"/>
  <c r="DH59" i="49"/>
  <c r="DH445" i="42"/>
  <c r="DH274" i="42" s="1"/>
  <c r="DH1217" i="10"/>
  <c r="DH1218" i="10" s="1"/>
  <c r="DH32" i="10"/>
  <c r="DH545" i="42" s="1"/>
  <c r="DH19" i="20"/>
  <c r="CJ43" i="51"/>
  <c r="CJ42" i="51"/>
  <c r="CJ41" i="51"/>
  <c r="CJ40" i="51"/>
  <c r="CJ39" i="51"/>
  <c r="CK43" i="51"/>
  <c r="CK42" i="51"/>
  <c r="CK41" i="51"/>
  <c r="CK40" i="51"/>
  <c r="CK39" i="51"/>
  <c r="DM605" i="10"/>
  <c r="DQ605" i="10" s="1"/>
  <c r="DL605" i="10"/>
  <c r="DM606" i="10"/>
  <c r="DP606" i="10" s="1"/>
  <c r="DI642" i="10"/>
  <c r="DH47" i="43" l="1"/>
  <c r="DH48" i="43" s="1"/>
  <c r="DH9" i="43"/>
  <c r="DH30" i="43"/>
  <c r="DH13" i="43"/>
  <c r="DP605" i="10"/>
  <c r="EP22" i="41"/>
  <c r="EO22" i="41"/>
  <c r="EM22" i="41"/>
  <c r="EL22" i="41"/>
  <c r="EK22" i="41"/>
  <c r="EI22" i="41"/>
  <c r="DE169" i="42"/>
  <c r="DE167" i="42"/>
  <c r="DH188" i="42" s="1"/>
  <c r="DE162" i="42"/>
  <c r="DH162" i="42" s="1"/>
  <c r="DH163" i="42" s="1"/>
  <c r="DH171" i="42" s="1"/>
  <c r="DH170" i="42" s="1"/>
  <c r="DB175" i="42"/>
  <c r="DB174" i="42"/>
  <c r="DB173" i="42"/>
  <c r="DF174" i="42"/>
  <c r="DF175" i="42"/>
  <c r="DF173" i="42"/>
  <c r="DE141" i="46"/>
  <c r="DH141" i="46" s="1"/>
  <c r="DH157" i="46" s="1"/>
  <c r="DE133" i="46"/>
  <c r="DE284" i="42"/>
  <c r="DE255" i="10"/>
  <c r="DE120" i="10"/>
  <c r="DE299" i="20"/>
  <c r="DH57" i="43" l="1"/>
  <c r="DH50" i="43"/>
  <c r="DH49" i="43"/>
  <c r="DE163" i="42"/>
  <c r="DE171" i="42" s="1"/>
  <c r="DH183" i="42"/>
  <c r="DH32" i="43"/>
  <c r="DH15" i="43"/>
  <c r="DH17" i="43" s="1"/>
  <c r="DH34" i="43" s="1"/>
  <c r="DH184" i="42" l="1"/>
  <c r="DH177" i="42"/>
  <c r="DS273" i="49" l="1"/>
  <c r="DS270" i="49"/>
  <c r="DS269" i="49"/>
  <c r="DS267" i="49"/>
  <c r="DS170" i="49"/>
  <c r="DS167" i="49"/>
  <c r="DS166" i="49"/>
  <c r="DS164" i="49"/>
  <c r="DR2" i="49"/>
  <c r="DQ2" i="49"/>
  <c r="DP2" i="49"/>
  <c r="DE126" i="49"/>
  <c r="DD126" i="49"/>
  <c r="DF122" i="49"/>
  <c r="DF121" i="49"/>
  <c r="DF116" i="49"/>
  <c r="DF322" i="49" s="1"/>
  <c r="DF111" i="49"/>
  <c r="DF109" i="49"/>
  <c r="DF108" i="49"/>
  <c r="DF107" i="49"/>
  <c r="DE44" i="49"/>
  <c r="DE72" i="49" s="1"/>
  <c r="DE170" i="49" s="1"/>
  <c r="DE273" i="49" s="1"/>
  <c r="DD44" i="49"/>
  <c r="DD72" i="49" s="1"/>
  <c r="DE37" i="49"/>
  <c r="DE63" i="49" s="1"/>
  <c r="DE162" i="49" s="1"/>
  <c r="DE265" i="49" s="1"/>
  <c r="DD37" i="49"/>
  <c r="DD63" i="49" s="1"/>
  <c r="BW80" i="51"/>
  <c r="BW87" i="51" s="1"/>
  <c r="BW52" i="51"/>
  <c r="BW50" i="51"/>
  <c r="BW49" i="51"/>
  <c r="BW48" i="51"/>
  <c r="BW47" i="51"/>
  <c r="DF219" i="49" l="1"/>
  <c r="EZ81" i="41"/>
  <c r="EZ30" i="41"/>
  <c r="FB14" i="41"/>
  <c r="FA14" i="41"/>
  <c r="BU82" i="41"/>
  <c r="BU81" i="41"/>
  <c r="BW21" i="41"/>
  <c r="BV21" i="41"/>
  <c r="BX5" i="41"/>
  <c r="FC5" i="41" s="1"/>
  <c r="BW5" i="41"/>
  <c r="FB5" i="41" s="1"/>
  <c r="BV5" i="41"/>
  <c r="FA5" i="41" s="1"/>
  <c r="DR216" i="46"/>
  <c r="DQ149" i="46"/>
  <c r="DR149" i="46" s="1"/>
  <c r="DQ108" i="46"/>
  <c r="DP108" i="46"/>
  <c r="DQ101" i="46"/>
  <c r="DP101" i="46"/>
  <c r="DR28" i="46"/>
  <c r="DR27" i="46"/>
  <c r="DR4" i="46"/>
  <c r="DQ4" i="46"/>
  <c r="DP4" i="46"/>
  <c r="DS3" i="46"/>
  <c r="DR3" i="46"/>
  <c r="DQ3" i="46"/>
  <c r="DP3" i="46"/>
  <c r="DQ16" i="43"/>
  <c r="DP16" i="43"/>
  <c r="DR4" i="43"/>
  <c r="DQ4" i="43"/>
  <c r="DP4" i="43"/>
  <c r="DS3" i="43"/>
  <c r="DR3" i="43"/>
  <c r="DQ3" i="43"/>
  <c r="DP3" i="43"/>
  <c r="DQ446" i="42"/>
  <c r="DQ275" i="42" s="1"/>
  <c r="DR438" i="42"/>
  <c r="DR435" i="42"/>
  <c r="DQ435" i="42"/>
  <c r="DP435" i="42"/>
  <c r="DR433" i="42"/>
  <c r="DQ433" i="42"/>
  <c r="DP433" i="42"/>
  <c r="DQ414" i="42"/>
  <c r="DQ423" i="42" s="1"/>
  <c r="DP414" i="42"/>
  <c r="DR405" i="42"/>
  <c r="DQ405" i="42"/>
  <c r="DP405" i="42"/>
  <c r="DR401" i="42"/>
  <c r="DR400" i="42"/>
  <c r="DR395" i="42"/>
  <c r="DR394" i="42"/>
  <c r="DR393" i="42"/>
  <c r="DQ388" i="42"/>
  <c r="DQ726" i="20" s="1"/>
  <c r="DP388" i="42"/>
  <c r="DP383" i="42"/>
  <c r="DQ383" i="42" s="1"/>
  <c r="DR382" i="42"/>
  <c r="DR381" i="42"/>
  <c r="DR380" i="42"/>
  <c r="DR377" i="42"/>
  <c r="DR376" i="42"/>
  <c r="DR375" i="42"/>
  <c r="DR368" i="42"/>
  <c r="DR367" i="42"/>
  <c r="DR355" i="42"/>
  <c r="DR353" i="42"/>
  <c r="DR350" i="42"/>
  <c r="DR348" i="42"/>
  <c r="DR343" i="42"/>
  <c r="DQ342" i="42"/>
  <c r="DP342" i="42"/>
  <c r="DR341" i="42"/>
  <c r="DQ340" i="42"/>
  <c r="DP340" i="42"/>
  <c r="DR335" i="42"/>
  <c r="DQ334" i="42"/>
  <c r="DP334" i="42"/>
  <c r="DR333" i="42"/>
  <c r="DQ332" i="42"/>
  <c r="DP332" i="42"/>
  <c r="DQ311" i="42"/>
  <c r="DQ312" i="42" s="1"/>
  <c r="DR306" i="42"/>
  <c r="DR301" i="42"/>
  <c r="DR302" i="42" s="1"/>
  <c r="DQ284" i="42"/>
  <c r="DQ269" i="42" s="1"/>
  <c r="DP284" i="42"/>
  <c r="DP269" i="42" s="1"/>
  <c r="DQ283" i="42"/>
  <c r="DQ268" i="42" s="1"/>
  <c r="DP283" i="42"/>
  <c r="DP268" i="42" s="1"/>
  <c r="DQ273" i="42"/>
  <c r="DP273" i="42"/>
  <c r="DQ249" i="42"/>
  <c r="DQ248" i="42" s="1"/>
  <c r="DP249" i="42"/>
  <c r="DP248" i="42" s="1"/>
  <c r="DR111" i="42"/>
  <c r="DR19" i="46" s="1"/>
  <c r="DQ111" i="42"/>
  <c r="DQ19" i="46" s="1"/>
  <c r="DP111" i="42"/>
  <c r="DP19" i="46" s="1"/>
  <c r="DR60" i="42"/>
  <c r="DR59" i="42"/>
  <c r="DR58" i="42"/>
  <c r="DR55" i="42"/>
  <c r="DR51" i="42"/>
  <c r="DR22" i="42"/>
  <c r="DR21" i="42"/>
  <c r="DR15" i="42"/>
  <c r="DR13" i="42"/>
  <c r="DR11" i="42"/>
  <c r="DR6" i="42"/>
  <c r="DQ6" i="42"/>
  <c r="DP6" i="42"/>
  <c r="DS5" i="42"/>
  <c r="DR5" i="42"/>
  <c r="DQ5" i="42"/>
  <c r="DP5" i="42"/>
  <c r="DQ1208" i="10"/>
  <c r="DQ26" i="10" s="1"/>
  <c r="DP1208" i="10"/>
  <c r="DR1176" i="10"/>
  <c r="DQ1176" i="10"/>
  <c r="DP1176" i="10"/>
  <c r="DQ1167" i="10"/>
  <c r="DQ924" i="20" s="1"/>
  <c r="DP1167" i="10"/>
  <c r="DP924" i="20" s="1"/>
  <c r="DQ1166" i="10"/>
  <c r="DQ923" i="20" s="1"/>
  <c r="DP1166" i="10"/>
  <c r="DP923" i="20" s="1"/>
  <c r="DR1134" i="10"/>
  <c r="DR1132" i="10"/>
  <c r="DQ1132" i="10"/>
  <c r="DP1132" i="10"/>
  <c r="DQ1117" i="10"/>
  <c r="DP1117" i="10"/>
  <c r="DQ1116" i="10"/>
  <c r="DP1116" i="10"/>
  <c r="DQ1115" i="10"/>
  <c r="DP1115" i="10"/>
  <c r="DQ1114" i="10"/>
  <c r="DP1114" i="10"/>
  <c r="DQ1113" i="10"/>
  <c r="DP1113" i="10"/>
  <c r="DQ1112" i="10"/>
  <c r="DP1112" i="10"/>
  <c r="DQ1111" i="10"/>
  <c r="DP1111" i="10"/>
  <c r="DQ1044" i="10"/>
  <c r="DP1044" i="10"/>
  <c r="DR1043" i="10"/>
  <c r="DQ1043" i="10"/>
  <c r="DP1043" i="10"/>
  <c r="DQ1042" i="10"/>
  <c r="DP1042" i="10"/>
  <c r="DQ1041" i="10"/>
  <c r="DP1041" i="10"/>
  <c r="DQ1039" i="10"/>
  <c r="DP1039" i="10"/>
  <c r="DQ1038" i="10"/>
  <c r="DP1038" i="10"/>
  <c r="DR958" i="10"/>
  <c r="DQ958" i="10"/>
  <c r="DP958" i="10"/>
  <c r="DR947" i="10"/>
  <c r="DQ947" i="10"/>
  <c r="DP947" i="10"/>
  <c r="DR830" i="10"/>
  <c r="DR842" i="10" s="1"/>
  <c r="DQ830" i="10"/>
  <c r="DQ842" i="10" s="1"/>
  <c r="DP830" i="10"/>
  <c r="DP842" i="10" s="1"/>
  <c r="DQ828" i="10"/>
  <c r="DQ840" i="10" s="1"/>
  <c r="DP828" i="10"/>
  <c r="DP840" i="10" s="1"/>
  <c r="DR688" i="10"/>
  <c r="DR754" i="10" s="1"/>
  <c r="DQ688" i="10"/>
  <c r="DQ754" i="10" s="1"/>
  <c r="DP688" i="10"/>
  <c r="DP754" i="10" s="1"/>
  <c r="DR644" i="10"/>
  <c r="DQ634" i="10"/>
  <c r="DQ488" i="10" s="1"/>
  <c r="DP634" i="10"/>
  <c r="DR633" i="10"/>
  <c r="DR631" i="10"/>
  <c r="DR630" i="10"/>
  <c r="DR629" i="10"/>
  <c r="DR628" i="10"/>
  <c r="DR627" i="10"/>
  <c r="DR620" i="10"/>
  <c r="DR619" i="10"/>
  <c r="DR618" i="10"/>
  <c r="DR617" i="10"/>
  <c r="DR616" i="10"/>
  <c r="DR611" i="10"/>
  <c r="DR609" i="10"/>
  <c r="DR608" i="10"/>
  <c r="DR605" i="10"/>
  <c r="DQ601" i="10"/>
  <c r="DQ485" i="10" s="1"/>
  <c r="DP601" i="10"/>
  <c r="DR600" i="10"/>
  <c r="DR598" i="10"/>
  <c r="DR597" i="10"/>
  <c r="DR596" i="10"/>
  <c r="DR595" i="10"/>
  <c r="DR594" i="10"/>
  <c r="DQ590" i="10"/>
  <c r="DQ484" i="10" s="1"/>
  <c r="DP590" i="10"/>
  <c r="DR589" i="10"/>
  <c r="DR587" i="10"/>
  <c r="DR586" i="10"/>
  <c r="DR585" i="10"/>
  <c r="DR584" i="10"/>
  <c r="DR583" i="10"/>
  <c r="DQ579" i="10"/>
  <c r="DQ483" i="10" s="1"/>
  <c r="DP579" i="10"/>
  <c r="DR578" i="10"/>
  <c r="DR576" i="10"/>
  <c r="DR575" i="10"/>
  <c r="DR574" i="10"/>
  <c r="DR573" i="10"/>
  <c r="DR572" i="10"/>
  <c r="DQ568" i="10"/>
  <c r="DQ482" i="10" s="1"/>
  <c r="DP568" i="10"/>
  <c r="DP754" i="20" s="1"/>
  <c r="DR567" i="10"/>
  <c r="DR565" i="10"/>
  <c r="DR564" i="10"/>
  <c r="DR563" i="10"/>
  <c r="DR562" i="10"/>
  <c r="DR561" i="10"/>
  <c r="DR556" i="10"/>
  <c r="DR555" i="10"/>
  <c r="DR545" i="10"/>
  <c r="DR543" i="10"/>
  <c r="DR542" i="10"/>
  <c r="DR541" i="10"/>
  <c r="DR540" i="10"/>
  <c r="DQ535" i="10"/>
  <c r="DP535" i="10"/>
  <c r="DR534" i="10"/>
  <c r="DR532" i="10"/>
  <c r="DR531" i="10"/>
  <c r="DR530" i="10"/>
  <c r="DR529" i="10"/>
  <c r="DR528" i="10"/>
  <c r="DQ524" i="10"/>
  <c r="DQ478" i="10" s="1"/>
  <c r="DP524" i="10"/>
  <c r="DR523" i="10"/>
  <c r="DR521" i="10"/>
  <c r="DR520" i="10"/>
  <c r="DR519" i="10"/>
  <c r="DR518" i="10"/>
  <c r="DR517" i="10"/>
  <c r="DQ513" i="10"/>
  <c r="DP513" i="10"/>
  <c r="DR512" i="10"/>
  <c r="DR510" i="10"/>
  <c r="DR509" i="10"/>
  <c r="DR508" i="10"/>
  <c r="DR507" i="10"/>
  <c r="DR506" i="10"/>
  <c r="DR501" i="10"/>
  <c r="DR499" i="10"/>
  <c r="DR498" i="10"/>
  <c r="DR496" i="10"/>
  <c r="DR495" i="10"/>
  <c r="DR416" i="10"/>
  <c r="DQ386" i="10"/>
  <c r="DP386" i="10"/>
  <c r="DQ360" i="10"/>
  <c r="DQ364" i="10" s="1"/>
  <c r="DQ320" i="10" s="1"/>
  <c r="DQ321" i="10" s="1"/>
  <c r="DQ322" i="10" s="1"/>
  <c r="DP360" i="10"/>
  <c r="DP364" i="10" s="1"/>
  <c r="DP320" i="10" s="1"/>
  <c r="DR345" i="10"/>
  <c r="DQ164" i="10"/>
  <c r="DP164" i="10"/>
  <c r="DQ144" i="10"/>
  <c r="DP144" i="10"/>
  <c r="DQ133" i="10"/>
  <c r="DP133" i="10"/>
  <c r="DQ128" i="10"/>
  <c r="DP128" i="10"/>
  <c r="DR115" i="10"/>
  <c r="DQ115" i="10"/>
  <c r="DP115" i="10"/>
  <c r="DR94" i="10"/>
  <c r="DQ89" i="10"/>
  <c r="DP89" i="10"/>
  <c r="DR77" i="10"/>
  <c r="DQ77" i="10"/>
  <c r="DP77" i="10"/>
  <c r="DR31" i="10"/>
  <c r="DQ19" i="10"/>
  <c r="DP19" i="10"/>
  <c r="DE788" i="20"/>
  <c r="DE786" i="20"/>
  <c r="DF785" i="20"/>
  <c r="DF783" i="20"/>
  <c r="DE783" i="20"/>
  <c r="DE767" i="20"/>
  <c r="DE766" i="20"/>
  <c r="DE765" i="20"/>
  <c r="DE761" i="20"/>
  <c r="DF760" i="20"/>
  <c r="DF759" i="20"/>
  <c r="DF758" i="20"/>
  <c r="DF757" i="20"/>
  <c r="DF756" i="20"/>
  <c r="DF755" i="20"/>
  <c r="DF754" i="20"/>
  <c r="DF753" i="20"/>
  <c r="DF752" i="20"/>
  <c r="DF751" i="20"/>
  <c r="DF750" i="20"/>
  <c r="DF749" i="20"/>
  <c r="DF748" i="20"/>
  <c r="DF747" i="20"/>
  <c r="DE744" i="20"/>
  <c r="DE742" i="20"/>
  <c r="DE741" i="20"/>
  <c r="DE732" i="20"/>
  <c r="DE731" i="20"/>
  <c r="DF726" i="20"/>
  <c r="DF725" i="20"/>
  <c r="DF724" i="20"/>
  <c r="DF723" i="20"/>
  <c r="DE721" i="20"/>
  <c r="DF720" i="20"/>
  <c r="DF767" i="20" s="1"/>
  <c r="DF719" i="20"/>
  <c r="DF766" i="20" s="1"/>
  <c r="DF718" i="20"/>
  <c r="DF765" i="20" s="1"/>
  <c r="DF715" i="20"/>
  <c r="DF713" i="20"/>
  <c r="DF712" i="20"/>
  <c r="DF732" i="20" s="1"/>
  <c r="DF711" i="20"/>
  <c r="DF710" i="20"/>
  <c r="DF731" i="20" s="1"/>
  <c r="DE652" i="20"/>
  <c r="DE651" i="20"/>
  <c r="DE646" i="20"/>
  <c r="DF645" i="20"/>
  <c r="DF644" i="20"/>
  <c r="DF643" i="20"/>
  <c r="DF642" i="20"/>
  <c r="DF641" i="20"/>
  <c r="DF640" i="20"/>
  <c r="DF639" i="20"/>
  <c r="DF638" i="20"/>
  <c r="DF637" i="20"/>
  <c r="DF636" i="20"/>
  <c r="DF635" i="20"/>
  <c r="DF634" i="20"/>
  <c r="DF633" i="20"/>
  <c r="DF632" i="20"/>
  <c r="DF616" i="20"/>
  <c r="DE613" i="20"/>
  <c r="DF607" i="20"/>
  <c r="DF606" i="20"/>
  <c r="DF604" i="20"/>
  <c r="DE596" i="20"/>
  <c r="DE592" i="20"/>
  <c r="DE591" i="20"/>
  <c r="DE590" i="20"/>
  <c r="DE587" i="20"/>
  <c r="DH588" i="20" s="1"/>
  <c r="DF586" i="20"/>
  <c r="DE585" i="20"/>
  <c r="DE584" i="20"/>
  <c r="DE579" i="20"/>
  <c r="DE583" i="20" s="1"/>
  <c r="DF578" i="20"/>
  <c r="DF577" i="20"/>
  <c r="DE567" i="20"/>
  <c r="DE566" i="20"/>
  <c r="DF557" i="20"/>
  <c r="DE555" i="20"/>
  <c r="DF553" i="20"/>
  <c r="DF652" i="20" s="1"/>
  <c r="DF552" i="20"/>
  <c r="DF651" i="20" s="1"/>
  <c r="DF549" i="20"/>
  <c r="DF547" i="20"/>
  <c r="DF546" i="20"/>
  <c r="DF567" i="20" s="1"/>
  <c r="DF544" i="20"/>
  <c r="DF566" i="20" s="1"/>
  <c r="DE456" i="20"/>
  <c r="DE455" i="20"/>
  <c r="DE454" i="20"/>
  <c r="DE450" i="20"/>
  <c r="DE448" i="20"/>
  <c r="DE447" i="20"/>
  <c r="DE446" i="20"/>
  <c r="DE442" i="20"/>
  <c r="DE441" i="20"/>
  <c r="DE440" i="20"/>
  <c r="DE437" i="20"/>
  <c r="DE449" i="20" s="1"/>
  <c r="DF436" i="20"/>
  <c r="DF435" i="20"/>
  <c r="DF434" i="20"/>
  <c r="DF433" i="20"/>
  <c r="DF432" i="20"/>
  <c r="DF431" i="20"/>
  <c r="DF430" i="20"/>
  <c r="DF429" i="20"/>
  <c r="DF428" i="20"/>
  <c r="DF427" i="20"/>
  <c r="DF426" i="20"/>
  <c r="DF425" i="20"/>
  <c r="DF424" i="20"/>
  <c r="DF423" i="20"/>
  <c r="DE417" i="20"/>
  <c r="DF410" i="20"/>
  <c r="DF442" i="20" s="1"/>
  <c r="DF409" i="20"/>
  <c r="DF441" i="20" s="1"/>
  <c r="DF408" i="20"/>
  <c r="DF440" i="20" s="1"/>
  <c r="DF407" i="20"/>
  <c r="DF406" i="20"/>
  <c r="DF405" i="20"/>
  <c r="DE404" i="20"/>
  <c r="DH415" i="20" s="1"/>
  <c r="DF403" i="20"/>
  <c r="DF402" i="20"/>
  <c r="DF401" i="20"/>
  <c r="DE400" i="20"/>
  <c r="DH414" i="20" s="1"/>
  <c r="DE396" i="20"/>
  <c r="DE395" i="20"/>
  <c r="DF355" i="20"/>
  <c r="DE353" i="20"/>
  <c r="DF352" i="20"/>
  <c r="DF456" i="20" s="1"/>
  <c r="DF351" i="20"/>
  <c r="DF455" i="20" s="1"/>
  <c r="DF350" i="20"/>
  <c r="DF454" i="20" s="1"/>
  <c r="DF347" i="20"/>
  <c r="DF450" i="20" s="1"/>
  <c r="DF345" i="20"/>
  <c r="DF448" i="20" s="1"/>
  <c r="DF344" i="20"/>
  <c r="DF447" i="20" s="1"/>
  <c r="DF342" i="20"/>
  <c r="DF446" i="20" s="1"/>
  <c r="DE329" i="20"/>
  <c r="DE328" i="20"/>
  <c r="DE327" i="20"/>
  <c r="DE324" i="20"/>
  <c r="DE323" i="20"/>
  <c r="DE322" i="20"/>
  <c r="DF321" i="20"/>
  <c r="DF320" i="20"/>
  <c r="DF319" i="20"/>
  <c r="DF318" i="20"/>
  <c r="DF317" i="20"/>
  <c r="DF316" i="20"/>
  <c r="DF315" i="20"/>
  <c r="DF314" i="20"/>
  <c r="DF313" i="20"/>
  <c r="DF312" i="20"/>
  <c r="DF311" i="20"/>
  <c r="DF310" i="20"/>
  <c r="DF309" i="20"/>
  <c r="DF308" i="20"/>
  <c r="DE303" i="20"/>
  <c r="DF300" i="20"/>
  <c r="DF298" i="20"/>
  <c r="DE294" i="20"/>
  <c r="DE293" i="20"/>
  <c r="DE292" i="20"/>
  <c r="DE290" i="20"/>
  <c r="DE289" i="20"/>
  <c r="DE287" i="20"/>
  <c r="DE232" i="20" s="1"/>
  <c r="DF286" i="20"/>
  <c r="DF285" i="20"/>
  <c r="DF284" i="20"/>
  <c r="DE283" i="20"/>
  <c r="DF282" i="20"/>
  <c r="DF281" i="20"/>
  <c r="DE272" i="20"/>
  <c r="DH276" i="20" s="1"/>
  <c r="DE249" i="20"/>
  <c r="DF244" i="20"/>
  <c r="DE241" i="20"/>
  <c r="DF240" i="20"/>
  <c r="DF329" i="20" s="1"/>
  <c r="DF239" i="20"/>
  <c r="DF328" i="20" s="1"/>
  <c r="DF238" i="20"/>
  <c r="DF327" i="20" s="1"/>
  <c r="DF235" i="20"/>
  <c r="DF233" i="20"/>
  <c r="DF230" i="20"/>
  <c r="DF272" i="20" s="1"/>
  <c r="DE217" i="20"/>
  <c r="DE216" i="20"/>
  <c r="DE215" i="20"/>
  <c r="DE199" i="20"/>
  <c r="DF199" i="20" s="1"/>
  <c r="DE193" i="20"/>
  <c r="DH194" i="20" s="1"/>
  <c r="DF188" i="20"/>
  <c r="DE188" i="20"/>
  <c r="DE186" i="20"/>
  <c r="DH187" i="20" s="1"/>
  <c r="DE183" i="20"/>
  <c r="DF182" i="20"/>
  <c r="DF181" i="20"/>
  <c r="DF180" i="20"/>
  <c r="DF179" i="20"/>
  <c r="DF178" i="20"/>
  <c r="DF177" i="20"/>
  <c r="DF176" i="20"/>
  <c r="DF175" i="20"/>
  <c r="DF174" i="20"/>
  <c r="DF173" i="20"/>
  <c r="DF172" i="20"/>
  <c r="DF171" i="20"/>
  <c r="DF170" i="20"/>
  <c r="DF169" i="20"/>
  <c r="DF164" i="20" s="1"/>
  <c r="DE164" i="20"/>
  <c r="DE163" i="20"/>
  <c r="DE157" i="20"/>
  <c r="DF152" i="20"/>
  <c r="DE153" i="20"/>
  <c r="DF149" i="20"/>
  <c r="DF148" i="20"/>
  <c r="DE144" i="20"/>
  <c r="DE137" i="20"/>
  <c r="DE136" i="20"/>
  <c r="DF127" i="20"/>
  <c r="DE125" i="20"/>
  <c r="DF124" i="20"/>
  <c r="DF217" i="20" s="1"/>
  <c r="DF123" i="20"/>
  <c r="DF216" i="20" s="1"/>
  <c r="DF122" i="20"/>
  <c r="DF215" i="20" s="1"/>
  <c r="DF119" i="20"/>
  <c r="DF117" i="20"/>
  <c r="DF116" i="20"/>
  <c r="DF163" i="20" s="1"/>
  <c r="DF114" i="20"/>
  <c r="DF13" i="20"/>
  <c r="DE13" i="20"/>
  <c r="DQ945" i="20"/>
  <c r="DP945" i="20"/>
  <c r="DQ944" i="20"/>
  <c r="DP944" i="20"/>
  <c r="DQ943" i="20"/>
  <c r="DP943" i="20"/>
  <c r="DQ942" i="20"/>
  <c r="DP942" i="20"/>
  <c r="DQ941" i="20"/>
  <c r="DP941" i="20"/>
  <c r="DQ940" i="20"/>
  <c r="DP940" i="20"/>
  <c r="DQ939" i="20"/>
  <c r="DP939" i="20"/>
  <c r="DQ938" i="20"/>
  <c r="DP938" i="20"/>
  <c r="DQ937" i="20"/>
  <c r="DP937" i="20"/>
  <c r="DQ936" i="20"/>
  <c r="DP936" i="20"/>
  <c r="DQ935" i="20"/>
  <c r="DP935" i="20"/>
  <c r="DQ934" i="20"/>
  <c r="DP934" i="20"/>
  <c r="DQ933" i="20"/>
  <c r="DP933" i="20"/>
  <c r="DQ932" i="20"/>
  <c r="DP932" i="20"/>
  <c r="DR899" i="20"/>
  <c r="DQ889" i="20"/>
  <c r="DP889" i="20"/>
  <c r="DQ881" i="20"/>
  <c r="DP881" i="20"/>
  <c r="DQ879" i="20"/>
  <c r="DP879" i="20"/>
  <c r="DQ876" i="20"/>
  <c r="DP876" i="20"/>
  <c r="DR868" i="20"/>
  <c r="DQ868" i="20"/>
  <c r="DP868" i="20"/>
  <c r="DR867" i="20"/>
  <c r="DQ867" i="20"/>
  <c r="DP867" i="20"/>
  <c r="DR866" i="20"/>
  <c r="DQ866" i="20"/>
  <c r="DP866" i="20"/>
  <c r="DR865" i="20"/>
  <c r="DQ865" i="20"/>
  <c r="DP865" i="20"/>
  <c r="DR864" i="20"/>
  <c r="DQ864" i="20"/>
  <c r="DP864" i="20"/>
  <c r="DR863" i="20"/>
  <c r="DQ863" i="20"/>
  <c r="DP863" i="20"/>
  <c r="DR862" i="20"/>
  <c r="DQ862" i="20"/>
  <c r="DP862" i="20"/>
  <c r="DR861" i="20"/>
  <c r="DQ861" i="20"/>
  <c r="DP861" i="20"/>
  <c r="DR860" i="20"/>
  <c r="DQ860" i="20"/>
  <c r="DP860" i="20"/>
  <c r="DR859" i="20"/>
  <c r="DQ859" i="20"/>
  <c r="DP859" i="20"/>
  <c r="DR858" i="20"/>
  <c r="DQ858" i="20"/>
  <c r="DP858" i="20"/>
  <c r="DR857" i="20"/>
  <c r="DQ857" i="20"/>
  <c r="DP857" i="20"/>
  <c r="DR856" i="20"/>
  <c r="DQ856" i="20"/>
  <c r="DP856" i="20"/>
  <c r="DR855" i="20"/>
  <c r="DQ855" i="20"/>
  <c r="DP855" i="20"/>
  <c r="DR819" i="20"/>
  <c r="DQ810" i="20"/>
  <c r="DP810" i="20"/>
  <c r="DQ802" i="20"/>
  <c r="DP802" i="20"/>
  <c r="DQ800" i="20"/>
  <c r="DP800" i="20"/>
  <c r="DQ797" i="20"/>
  <c r="DP797" i="20"/>
  <c r="DQ760" i="20"/>
  <c r="DP760" i="20"/>
  <c r="DQ758" i="20"/>
  <c r="DP758" i="20"/>
  <c r="DQ757" i="20"/>
  <c r="DP757" i="20"/>
  <c r="DQ756" i="20"/>
  <c r="DP756" i="20"/>
  <c r="DQ755" i="20"/>
  <c r="DP755" i="20"/>
  <c r="DQ753" i="20"/>
  <c r="DP753" i="20"/>
  <c r="DQ752" i="20"/>
  <c r="DP752" i="20"/>
  <c r="DQ751" i="20"/>
  <c r="DP751" i="20"/>
  <c r="DQ750" i="20"/>
  <c r="DP750" i="20"/>
  <c r="DQ749" i="20"/>
  <c r="DP749" i="20"/>
  <c r="DQ748" i="20"/>
  <c r="DP748" i="20"/>
  <c r="DQ747" i="20"/>
  <c r="DP747" i="20"/>
  <c r="DR742" i="20"/>
  <c r="DR732" i="20"/>
  <c r="DQ723" i="20"/>
  <c r="DP723" i="20"/>
  <c r="DQ712" i="20"/>
  <c r="DP712" i="20"/>
  <c r="DQ711" i="20"/>
  <c r="DP711" i="20"/>
  <c r="DQ644" i="20"/>
  <c r="DP644" i="20"/>
  <c r="DQ643" i="20"/>
  <c r="DP643" i="20"/>
  <c r="DQ642" i="20"/>
  <c r="DP642" i="20"/>
  <c r="DQ641" i="20"/>
  <c r="DP641" i="20"/>
  <c r="DQ640" i="20"/>
  <c r="DP640" i="20"/>
  <c r="DQ639" i="20"/>
  <c r="DP639" i="20"/>
  <c r="DQ638" i="20"/>
  <c r="DP638" i="20"/>
  <c r="DQ637" i="20"/>
  <c r="DP637" i="20"/>
  <c r="DQ636" i="20"/>
  <c r="DP636" i="20"/>
  <c r="DQ635" i="20"/>
  <c r="DP635" i="20"/>
  <c r="DQ634" i="20"/>
  <c r="DP634" i="20"/>
  <c r="DQ633" i="20"/>
  <c r="DP633" i="20"/>
  <c r="DQ632" i="20"/>
  <c r="DP632" i="20"/>
  <c r="DR607" i="20"/>
  <c r="DQ600" i="20"/>
  <c r="DP600" i="20"/>
  <c r="DQ598" i="20"/>
  <c r="DP598" i="20"/>
  <c r="DQ596" i="20"/>
  <c r="DP596" i="20"/>
  <c r="DQ595" i="20"/>
  <c r="DP595" i="20"/>
  <c r="DR567" i="20"/>
  <c r="DQ557" i="20"/>
  <c r="DP557" i="20"/>
  <c r="DQ546" i="20"/>
  <c r="DP546" i="20"/>
  <c r="DQ440" i="20"/>
  <c r="DP440" i="20"/>
  <c r="DQ435" i="20"/>
  <c r="DP435" i="20"/>
  <c r="DQ434" i="20"/>
  <c r="DP434" i="20"/>
  <c r="DP433" i="20"/>
  <c r="DQ432" i="20"/>
  <c r="DP432" i="20"/>
  <c r="DQ431" i="20"/>
  <c r="DP431" i="20"/>
  <c r="DQ430" i="20"/>
  <c r="DP430" i="20"/>
  <c r="DQ429" i="20"/>
  <c r="DP429" i="20"/>
  <c r="DQ427" i="20"/>
  <c r="DP427" i="20"/>
  <c r="DQ426" i="20"/>
  <c r="DP426" i="20"/>
  <c r="DQ425" i="20"/>
  <c r="DP425" i="20"/>
  <c r="DQ424" i="20"/>
  <c r="DP424" i="20"/>
  <c r="DQ423" i="20"/>
  <c r="DP423" i="20"/>
  <c r="DR408" i="20"/>
  <c r="DR440" i="20" s="1"/>
  <c r="DR395" i="20"/>
  <c r="DQ355" i="20"/>
  <c r="DP355" i="20"/>
  <c r="DQ342" i="20"/>
  <c r="DP342" i="20"/>
  <c r="DQ320" i="20"/>
  <c r="DP320" i="20"/>
  <c r="DQ319" i="20"/>
  <c r="DP319" i="20"/>
  <c r="DQ317" i="20"/>
  <c r="DP317" i="20"/>
  <c r="DQ316" i="20"/>
  <c r="DP316" i="20"/>
  <c r="DQ315" i="20"/>
  <c r="DP315" i="20"/>
  <c r="DQ314" i="20"/>
  <c r="DP314" i="20"/>
  <c r="DQ312" i="20"/>
  <c r="DP312" i="20"/>
  <c r="DQ311" i="20"/>
  <c r="DP311" i="20"/>
  <c r="DQ310" i="20"/>
  <c r="DP310" i="20"/>
  <c r="DQ309" i="20"/>
  <c r="DP309" i="20"/>
  <c r="DQ244" i="20"/>
  <c r="DQ437" i="42" s="1"/>
  <c r="DP244" i="20"/>
  <c r="DQ181" i="20"/>
  <c r="DP181" i="20"/>
  <c r="DQ180" i="20"/>
  <c r="DP180" i="20"/>
  <c r="DQ179" i="20"/>
  <c r="DP179" i="20"/>
  <c r="DQ178" i="20"/>
  <c r="DP178" i="20"/>
  <c r="DQ177" i="20"/>
  <c r="DP177" i="20"/>
  <c r="DQ176" i="20"/>
  <c r="DP176" i="20"/>
  <c r="DQ175" i="20"/>
  <c r="DP175" i="20"/>
  <c r="DQ172" i="20"/>
  <c r="DP172" i="20"/>
  <c r="DQ171" i="20"/>
  <c r="DP171" i="20"/>
  <c r="DQ170" i="20"/>
  <c r="DP170" i="20"/>
  <c r="DQ169" i="20"/>
  <c r="DP169" i="20"/>
  <c r="DP164" i="20" s="1"/>
  <c r="DR152" i="20"/>
  <c r="DR386" i="10" s="1"/>
  <c r="DR136" i="20"/>
  <c r="DQ127" i="20"/>
  <c r="DP127" i="20"/>
  <c r="DP436" i="42" s="1"/>
  <c r="DQ117" i="20"/>
  <c r="DP117" i="20"/>
  <c r="DQ114" i="20"/>
  <c r="DP114" i="20"/>
  <c r="DR13" i="20"/>
  <c r="DQ13" i="20"/>
  <c r="DP13" i="20"/>
  <c r="DR4" i="20"/>
  <c r="DQ4" i="20"/>
  <c r="DP4" i="20"/>
  <c r="DS3" i="20"/>
  <c r="DR3" i="20"/>
  <c r="DQ3" i="20"/>
  <c r="DP3" i="20"/>
  <c r="DF216" i="46"/>
  <c r="DE197" i="46"/>
  <c r="DE195" i="46"/>
  <c r="DF186" i="46"/>
  <c r="DF183" i="46"/>
  <c r="DF181" i="46"/>
  <c r="DF180" i="46"/>
  <c r="DF179" i="46"/>
  <c r="DF176" i="46"/>
  <c r="DE160" i="46"/>
  <c r="DE156" i="46"/>
  <c r="DE157" i="46" s="1"/>
  <c r="DE151" i="46"/>
  <c r="DF151" i="46" s="1"/>
  <c r="DF150" i="46"/>
  <c r="DF149" i="46"/>
  <c r="DF148" i="46"/>
  <c r="DF147" i="46"/>
  <c r="DF145" i="46"/>
  <c r="DF137" i="46"/>
  <c r="DF136" i="46"/>
  <c r="DF132" i="46"/>
  <c r="DF231" i="42" s="1"/>
  <c r="DF131" i="46"/>
  <c r="DF130" i="46"/>
  <c r="DF129" i="46"/>
  <c r="DE128" i="46"/>
  <c r="DF127" i="46"/>
  <c r="DF126" i="46"/>
  <c r="DF125" i="46"/>
  <c r="DE120" i="46"/>
  <c r="DF120" i="46" s="1"/>
  <c r="DE110" i="46"/>
  <c r="DE108" i="46"/>
  <c r="DE101" i="46"/>
  <c r="DE102" i="46" s="1"/>
  <c r="DE96" i="46"/>
  <c r="DF92" i="46"/>
  <c r="DE91" i="46"/>
  <c r="DE85" i="46"/>
  <c r="DF83" i="46"/>
  <c r="DF79" i="46"/>
  <c r="DF35" i="46"/>
  <c r="DE34" i="46"/>
  <c r="DF34" i="46" s="1"/>
  <c r="DE32" i="46"/>
  <c r="DE45" i="46" s="1"/>
  <c r="DF28" i="46"/>
  <c r="DF27" i="46"/>
  <c r="DE22" i="46"/>
  <c r="DF22" i="46" s="1"/>
  <c r="DE20" i="46"/>
  <c r="DE33" i="46" s="1"/>
  <c r="DF33" i="46" s="1"/>
  <c r="DF19" i="46"/>
  <c r="DE17" i="46"/>
  <c r="DE16" i="46"/>
  <c r="DF16" i="46" s="1"/>
  <c r="DE15" i="46"/>
  <c r="DF15" i="46" s="1"/>
  <c r="DE14" i="46"/>
  <c r="DE40" i="46" s="1"/>
  <c r="DE13" i="46"/>
  <c r="DF13" i="46" s="1"/>
  <c r="DF55" i="43"/>
  <c r="DF53" i="43"/>
  <c r="DF43" i="43"/>
  <c r="DF129" i="49" s="1"/>
  <c r="DE42" i="43"/>
  <c r="DF41" i="43"/>
  <c r="DF127" i="49" s="1"/>
  <c r="DF40" i="43"/>
  <c r="DE26" i="43"/>
  <c r="DF21" i="43"/>
  <c r="DE19" i="43"/>
  <c r="DE21" i="43" s="1"/>
  <c r="DE16" i="43"/>
  <c r="DE12" i="43"/>
  <c r="DE10" i="43"/>
  <c r="DE537" i="42"/>
  <c r="DE527" i="42"/>
  <c r="DE526" i="42"/>
  <c r="DE513" i="42"/>
  <c r="DE512" i="42"/>
  <c r="DE511" i="42"/>
  <c r="DE509" i="42"/>
  <c r="DE508" i="42"/>
  <c r="DE499" i="42"/>
  <c r="DE498" i="42"/>
  <c r="DE495" i="42"/>
  <c r="DE494" i="42"/>
  <c r="DE486" i="42"/>
  <c r="DE489" i="42" s="1"/>
  <c r="DF483" i="42"/>
  <c r="DF499" i="42" s="1"/>
  <c r="DF482" i="42"/>
  <c r="DF475" i="42"/>
  <c r="DF474" i="42"/>
  <c r="DE461" i="42"/>
  <c r="DE460" i="42"/>
  <c r="DF460" i="42" s="1"/>
  <c r="DF459" i="42"/>
  <c r="DF456" i="42"/>
  <c r="DF527" i="42" s="1"/>
  <c r="DE454" i="42"/>
  <c r="DF454" i="42" s="1"/>
  <c r="DF438" i="42"/>
  <c r="DF435" i="42"/>
  <c r="DE435" i="42"/>
  <c r="DF433" i="42"/>
  <c r="DE433" i="42"/>
  <c r="DE414" i="42"/>
  <c r="DE423" i="42" s="1"/>
  <c r="DF405" i="42"/>
  <c r="DE405" i="42"/>
  <c r="DE402" i="42"/>
  <c r="DE407" i="42" s="1"/>
  <c r="DF400" i="42"/>
  <c r="DF394" i="42"/>
  <c r="DF393" i="42"/>
  <c r="DF392" i="42"/>
  <c r="DE392" i="42"/>
  <c r="DE396" i="42" s="1"/>
  <c r="DE388" i="42"/>
  <c r="DF388" i="42" s="1"/>
  <c r="DF430" i="42" s="1"/>
  <c r="DF382" i="42"/>
  <c r="DF381" i="42"/>
  <c r="DF380" i="42"/>
  <c r="DF377" i="42"/>
  <c r="DF376" i="42"/>
  <c r="DF375" i="42"/>
  <c r="DE369" i="42"/>
  <c r="DE370" i="42" s="1"/>
  <c r="DF367" i="42"/>
  <c r="DE362" i="42"/>
  <c r="DH360" i="42" s="1"/>
  <c r="DH361" i="42" s="1"/>
  <c r="DH272" i="42" s="1"/>
  <c r="DF355" i="42"/>
  <c r="DF353" i="42"/>
  <c r="DF350" i="42"/>
  <c r="DF348" i="42"/>
  <c r="DF344" i="42"/>
  <c r="DF342" i="42"/>
  <c r="DF341" i="42"/>
  <c r="DF340" i="42"/>
  <c r="DF339" i="42"/>
  <c r="DE339" i="42"/>
  <c r="DE343" i="42" s="1"/>
  <c r="DF343" i="42" s="1"/>
  <c r="DE334" i="42"/>
  <c r="DF334" i="42" s="1"/>
  <c r="DF333" i="42"/>
  <c r="DE332" i="42"/>
  <c r="DF332" i="42" s="1"/>
  <c r="DE302" i="42"/>
  <c r="DF301" i="42"/>
  <c r="DE293" i="42"/>
  <c r="DE292" i="42"/>
  <c r="DE291" i="42"/>
  <c r="DF290" i="42"/>
  <c r="DE290" i="42"/>
  <c r="DE285" i="42"/>
  <c r="DE270" i="42" s="1"/>
  <c r="DE269" i="42"/>
  <c r="DE283" i="42"/>
  <c r="DE268" i="42" s="1"/>
  <c r="DE264" i="42"/>
  <c r="DE263" i="42"/>
  <c r="DE262" i="42"/>
  <c r="DE261" i="42"/>
  <c r="DE260" i="42"/>
  <c r="DE287" i="42" s="1"/>
  <c r="DE256" i="42"/>
  <c r="DE249" i="42"/>
  <c r="DE248" i="42"/>
  <c r="DE245" i="42"/>
  <c r="DE244" i="42"/>
  <c r="DE241" i="42"/>
  <c r="DE240" i="42"/>
  <c r="DE237" i="42"/>
  <c r="DE236" i="42"/>
  <c r="DE216" i="42"/>
  <c r="DE214" i="42"/>
  <c r="DH218" i="42" s="1"/>
  <c r="DE205" i="42"/>
  <c r="DH209" i="42" s="1"/>
  <c r="DE196" i="42"/>
  <c r="DH200" i="42" s="1"/>
  <c r="DE189" i="42"/>
  <c r="DE186" i="42"/>
  <c r="DE185" i="42"/>
  <c r="DE183" i="42"/>
  <c r="DE182" i="42"/>
  <c r="DE181" i="42"/>
  <c r="DE146" i="42"/>
  <c r="DE149" i="42" s="1"/>
  <c r="DE152" i="42" s="1"/>
  <c r="DH153" i="42" s="1"/>
  <c r="DH472" i="10" s="1"/>
  <c r="DE136" i="42"/>
  <c r="DE599" i="20" s="1"/>
  <c r="DE134" i="42"/>
  <c r="DE597" i="20" s="1"/>
  <c r="DF132" i="42"/>
  <c r="DF595" i="20" s="1"/>
  <c r="DE132" i="42"/>
  <c r="DE595" i="20" s="1"/>
  <c r="DE129" i="42"/>
  <c r="DF128" i="42"/>
  <c r="DE127" i="42"/>
  <c r="DE124" i="42"/>
  <c r="DF124" i="42" s="1"/>
  <c r="DF464" i="42" s="1"/>
  <c r="DE122" i="42"/>
  <c r="DH138" i="42" s="1"/>
  <c r="DH601" i="20" s="1"/>
  <c r="DF118" i="42"/>
  <c r="DF113" i="42"/>
  <c r="DF509" i="42" s="1"/>
  <c r="DF111" i="42"/>
  <c r="DF110" i="42"/>
  <c r="DE109" i="42"/>
  <c r="DF109" i="42" s="1"/>
  <c r="DF108" i="42"/>
  <c r="DF98" i="42" s="1"/>
  <c r="DF107" i="42"/>
  <c r="DF97" i="42" s="1"/>
  <c r="DF106" i="42"/>
  <c r="DF262" i="42" s="1"/>
  <c r="DF105" i="42"/>
  <c r="DF104" i="42"/>
  <c r="DF260" i="42" s="1"/>
  <c r="DF287" i="42" s="1"/>
  <c r="DH282" i="42" s="1"/>
  <c r="DH286" i="42" s="1"/>
  <c r="DH323" i="42" s="1"/>
  <c r="DE100" i="42"/>
  <c r="DE98" i="42"/>
  <c r="DE97" i="42"/>
  <c r="DE96" i="42"/>
  <c r="DE68" i="42"/>
  <c r="DE69" i="42" s="1"/>
  <c r="DE70" i="42" s="1"/>
  <c r="DE102" i="42" s="1"/>
  <c r="DF67" i="42"/>
  <c r="DF66" i="42"/>
  <c r="DF65" i="42"/>
  <c r="DF61" i="42"/>
  <c r="DF513" i="42" s="1"/>
  <c r="DF60" i="42"/>
  <c r="DF59" i="42"/>
  <c r="DF58" i="42"/>
  <c r="DF57" i="42"/>
  <c r="DF56" i="42"/>
  <c r="DF55" i="42"/>
  <c r="DF54" i="42"/>
  <c r="DF494" i="42" s="1"/>
  <c r="DF53" i="42"/>
  <c r="DF52" i="42"/>
  <c r="DF51" i="42"/>
  <c r="DE62" i="42"/>
  <c r="DF62" i="42" s="1"/>
  <c r="DE46" i="42"/>
  <c r="DE44" i="42"/>
  <c r="DE43" i="42"/>
  <c r="DE42" i="42"/>
  <c r="DE40" i="42"/>
  <c r="DE39" i="42"/>
  <c r="DE38" i="42"/>
  <c r="DE37" i="42"/>
  <c r="DE36" i="42"/>
  <c r="DE35" i="42"/>
  <c r="DE33" i="42"/>
  <c r="DE32" i="42"/>
  <c r="DF25" i="42"/>
  <c r="DF512" i="42" s="1"/>
  <c r="DF24" i="42"/>
  <c r="DF23" i="42"/>
  <c r="DF22" i="42"/>
  <c r="DF21" i="42"/>
  <c r="DF20" i="42"/>
  <c r="DF511" i="42" s="1"/>
  <c r="DF19" i="42"/>
  <c r="DF18" i="42"/>
  <c r="DF17" i="42"/>
  <c r="DF16" i="42"/>
  <c r="DF15" i="42"/>
  <c r="DF14" i="42"/>
  <c r="DF13" i="42"/>
  <c r="DE191" i="46"/>
  <c r="DF11" i="42"/>
  <c r="DE1178" i="10"/>
  <c r="DF1176" i="10"/>
  <c r="DE1176" i="10"/>
  <c r="DE1167" i="10"/>
  <c r="DE1165" i="10"/>
  <c r="DE1164" i="10"/>
  <c r="DE1163" i="10"/>
  <c r="DF648" i="20" l="1"/>
  <c r="DF216" i="42"/>
  <c r="DH220" i="42"/>
  <c r="DF126" i="49"/>
  <c r="DE158" i="46"/>
  <c r="DH135" i="42"/>
  <c r="DH598" i="20" s="1"/>
  <c r="DF387" i="20"/>
  <c r="DF382" i="20"/>
  <c r="DE552" i="42"/>
  <c r="DH553" i="42" s="1"/>
  <c r="DF552" i="42"/>
  <c r="DQ754" i="20"/>
  <c r="DR754" i="20" s="1"/>
  <c r="DE411" i="20"/>
  <c r="DR935" i="20"/>
  <c r="DR941" i="20"/>
  <c r="DF395" i="20"/>
  <c r="DR638" i="20"/>
  <c r="DR644" i="20"/>
  <c r="DR933" i="20"/>
  <c r="DR939" i="20"/>
  <c r="DR945" i="20"/>
  <c r="DR164" i="10"/>
  <c r="DR601" i="10"/>
  <c r="DF287" i="20"/>
  <c r="DQ55" i="49"/>
  <c r="DF781" i="20"/>
  <c r="DR924" i="20"/>
  <c r="DF263" i="42"/>
  <c r="DR432" i="20"/>
  <c r="DR937" i="20"/>
  <c r="DP47" i="49"/>
  <c r="DQ47" i="49"/>
  <c r="DF27" i="43"/>
  <c r="DF118" i="49"/>
  <c r="DR712" i="20"/>
  <c r="DF294" i="42"/>
  <c r="DF110" i="49" s="1"/>
  <c r="DF106" i="49"/>
  <c r="DR590" i="10"/>
  <c r="DE740" i="20"/>
  <c r="DR177" i="20"/>
  <c r="DR309" i="20"/>
  <c r="DR751" i="20"/>
  <c r="DR757" i="20"/>
  <c r="DR810" i="20"/>
  <c r="DP485" i="10"/>
  <c r="DR485" i="10" s="1"/>
  <c r="DF174" i="46"/>
  <c r="DR319" i="20"/>
  <c r="DR1208" i="10"/>
  <c r="DE397" i="20"/>
  <c r="DE27" i="43"/>
  <c r="DE733" i="20"/>
  <c r="DE406" i="42"/>
  <c r="DF324" i="20"/>
  <c r="DR340" i="42"/>
  <c r="DR879" i="20"/>
  <c r="DP26" i="10"/>
  <c r="DE496" i="42"/>
  <c r="DE457" i="20"/>
  <c r="DE500" i="42"/>
  <c r="DR430" i="20"/>
  <c r="DE451" i="20"/>
  <c r="DE330" i="20"/>
  <c r="DE653" i="20"/>
  <c r="DE654" i="20" s="1"/>
  <c r="DP479" i="10"/>
  <c r="DR579" i="10"/>
  <c r="DR334" i="42"/>
  <c r="DE189" i="20"/>
  <c r="DH191" i="20" s="1"/>
  <c r="DF323" i="20"/>
  <c r="DR876" i="20"/>
  <c r="DP484" i="10"/>
  <c r="DR484" i="10" s="1"/>
  <c r="DR283" i="42"/>
  <c r="DF461" i="42"/>
  <c r="DR175" i="20"/>
  <c r="DR181" i="20"/>
  <c r="DR314" i="20"/>
  <c r="DE430" i="42"/>
  <c r="DF587" i="20"/>
  <c r="DR800" i="20"/>
  <c r="DR943" i="20"/>
  <c r="DR342" i="42"/>
  <c r="DF218" i="20"/>
  <c r="DF457" i="20"/>
  <c r="DE41" i="46"/>
  <c r="DP434" i="42"/>
  <c r="DR513" i="10"/>
  <c r="DF68" i="42"/>
  <c r="DE47" i="46"/>
  <c r="DF128" i="46"/>
  <c r="DR176" i="20"/>
  <c r="DR244" i="20"/>
  <c r="DR437" i="42" s="1"/>
  <c r="DP437" i="42"/>
  <c r="DQ434" i="42"/>
  <c r="DR747" i="20"/>
  <c r="DF165" i="20"/>
  <c r="DF768" i="20"/>
  <c r="DP477" i="10"/>
  <c r="DR284" i="42"/>
  <c r="DP430" i="42"/>
  <c r="DP726" i="20"/>
  <c r="DP389" i="42" s="1"/>
  <c r="DQ436" i="42"/>
  <c r="DE455" i="42"/>
  <c r="DF455" i="42" s="1"/>
  <c r="DF486" i="42"/>
  <c r="DF489" i="42" s="1"/>
  <c r="DF42" i="43"/>
  <c r="DF128" i="49" s="1"/>
  <c r="DF8" i="49" s="1"/>
  <c r="DE192" i="46"/>
  <c r="DR128" i="10"/>
  <c r="DR1041" i="10"/>
  <c r="DR169" i="20"/>
  <c r="DR164" i="20" s="1"/>
  <c r="DP432" i="42"/>
  <c r="DF249" i="20"/>
  <c r="DF396" i="20"/>
  <c r="DE568" i="20"/>
  <c r="DP446" i="20"/>
  <c r="DR711" i="20"/>
  <c r="DE457" i="42"/>
  <c r="DR170" i="20"/>
  <c r="DR178" i="20"/>
  <c r="DR310" i="20"/>
  <c r="DR317" i="20"/>
  <c r="DE443" i="20"/>
  <c r="DR1044" i="10"/>
  <c r="DP431" i="42"/>
  <c r="DF47" i="46"/>
  <c r="DR635" i="20"/>
  <c r="DR641" i="20"/>
  <c r="DR750" i="20"/>
  <c r="DR756" i="20"/>
  <c r="DQ869" i="20"/>
  <c r="DQ801" i="20" s="1"/>
  <c r="DR932" i="20"/>
  <c r="DR938" i="20"/>
  <c r="DE225" i="20"/>
  <c r="DE785" i="20"/>
  <c r="DE781" i="20" s="1"/>
  <c r="DF443" i="20"/>
  <c r="DR89" i="10"/>
  <c r="DQ431" i="42"/>
  <c r="DQ432" i="42"/>
  <c r="DF476" i="42"/>
  <c r="DF478" i="42" s="1"/>
  <c r="DR179" i="20"/>
  <c r="DR423" i="20"/>
  <c r="DE273" i="20"/>
  <c r="DE274" i="20" s="1"/>
  <c r="DR524" i="10"/>
  <c r="DP478" i="10"/>
  <c r="DR478" i="10" s="1"/>
  <c r="DE238" i="42"/>
  <c r="DE464" i="42"/>
  <c r="DE491" i="42" s="1"/>
  <c r="DE218" i="20"/>
  <c r="DE420" i="20"/>
  <c r="DE768" i="20"/>
  <c r="BX21" i="41"/>
  <c r="DR16" i="43"/>
  <c r="DP110" i="42"/>
  <c r="DR934" i="20"/>
  <c r="DR940" i="20"/>
  <c r="DR828" i="10"/>
  <c r="DR840" i="10" s="1"/>
  <c r="DR332" i="42"/>
  <c r="DR388" i="42"/>
  <c r="DR430" i="42" s="1"/>
  <c r="DR269" i="42"/>
  <c r="DR91" i="49" s="1"/>
  <c r="DR273" i="42"/>
  <c r="DR307" i="42"/>
  <c r="DQ418" i="42"/>
  <c r="DF322" i="20"/>
  <c r="DF437" i="20"/>
  <c r="DF449" i="20" s="1"/>
  <c r="DF451" i="20" s="1"/>
  <c r="DQ477" i="10"/>
  <c r="DR431" i="20"/>
  <c r="DR546" i="20"/>
  <c r="DR637" i="20"/>
  <c r="DQ389" i="42"/>
  <c r="DR19" i="10"/>
  <c r="DQ430" i="42"/>
  <c r="BX50" i="41"/>
  <c r="DR268" i="42"/>
  <c r="DR90" i="49" s="1"/>
  <c r="DR383" i="42"/>
  <c r="DQ110" i="42"/>
  <c r="DQ29" i="10"/>
  <c r="DR414" i="42"/>
  <c r="DR418" i="42" s="1"/>
  <c r="DP418" i="42"/>
  <c r="DP321" i="10"/>
  <c r="DR315" i="20"/>
  <c r="DR355" i="20"/>
  <c r="DR427" i="20"/>
  <c r="DR636" i="20"/>
  <c r="DR642" i="20"/>
  <c r="DR723" i="20"/>
  <c r="DR749" i="20"/>
  <c r="DR755" i="20"/>
  <c r="DR434" i="20"/>
  <c r="DQ479" i="10"/>
  <c r="DR535" i="10"/>
  <c r="DR171" i="20"/>
  <c r="DR311" i="20"/>
  <c r="DR435" i="20"/>
  <c r="DR568" i="10"/>
  <c r="DP482" i="10"/>
  <c r="DR482" i="10" s="1"/>
  <c r="DR117" i="20"/>
  <c r="DR1038" i="10"/>
  <c r="DR180" i="20"/>
  <c r="DR312" i="20"/>
  <c r="DR632" i="20"/>
  <c r="DR1039" i="10"/>
  <c r="DR557" i="20"/>
  <c r="DR127" i="20"/>
  <c r="DR424" i="20"/>
  <c r="DR633" i="20"/>
  <c r="DR639" i="20"/>
  <c r="DR752" i="20"/>
  <c r="DR634" i="10"/>
  <c r="DP488" i="10"/>
  <c r="DR488" i="10" s="1"/>
  <c r="DR1042" i="10"/>
  <c r="DR320" i="20"/>
  <c r="DR425" i="20"/>
  <c r="DR634" i="20"/>
  <c r="DR640" i="20"/>
  <c r="DR753" i="20"/>
  <c r="DR760" i="20"/>
  <c r="DP483" i="10"/>
  <c r="DR483" i="10" s="1"/>
  <c r="DF605" i="20"/>
  <c r="DE608" i="20"/>
  <c r="DF646" i="20"/>
  <c r="DF733" i="20"/>
  <c r="DF761" i="20"/>
  <c r="DF579" i="20"/>
  <c r="DF568" i="20"/>
  <c r="DF330" i="20"/>
  <c r="DE301" i="20"/>
  <c r="DR426" i="20"/>
  <c r="DR758" i="20"/>
  <c r="DR881" i="20"/>
  <c r="DQ947" i="20"/>
  <c r="DR944" i="20"/>
  <c r="DR429" i="20"/>
  <c r="DR889" i="20"/>
  <c r="DQ946" i="20"/>
  <c r="DQ880" i="20" s="1"/>
  <c r="DR869" i="20"/>
  <c r="DF183" i="20"/>
  <c r="DR114" i="20"/>
  <c r="DP869" i="20"/>
  <c r="DP801" i="20" s="1"/>
  <c r="DR936" i="20"/>
  <c r="DE138" i="20"/>
  <c r="DE165" i="20"/>
  <c r="DE206" i="20"/>
  <c r="DR172" i="20"/>
  <c r="DR316" i="20"/>
  <c r="DR802" i="20"/>
  <c r="DE212" i="20"/>
  <c r="DF193" i="20"/>
  <c r="DE194" i="20"/>
  <c r="DE196" i="20"/>
  <c r="DH197" i="20" s="1"/>
  <c r="DR797" i="20"/>
  <c r="DR643" i="20"/>
  <c r="DR748" i="20"/>
  <c r="DQ164" i="20"/>
  <c r="DR342" i="20"/>
  <c r="DP925" i="20"/>
  <c r="DR923" i="20"/>
  <c r="DQ925" i="20"/>
  <c r="DP946" i="20"/>
  <c r="DP880" i="20" s="1"/>
  <c r="DQ446" i="20"/>
  <c r="DR942" i="20"/>
  <c r="DP947" i="20"/>
  <c r="DF96" i="46"/>
  <c r="DE46" i="46"/>
  <c r="DF14" i="46"/>
  <c r="DF40" i="46" s="1"/>
  <c r="DE135" i="46"/>
  <c r="DF41" i="46"/>
  <c r="DF133" i="46"/>
  <c r="DF134" i="46" s="1"/>
  <c r="DF110" i="46"/>
  <c r="DF17" i="46"/>
  <c r="DE18" i="46"/>
  <c r="DF32" i="46"/>
  <c r="DF45" i="46" s="1"/>
  <c r="DF20" i="46"/>
  <c r="DF46" i="46" s="1"/>
  <c r="DF261" i="42"/>
  <c r="DF362" i="42"/>
  <c r="DF491" i="42"/>
  <c r="DF495" i="42"/>
  <c r="DF496" i="42" s="1"/>
  <c r="DF50" i="42"/>
  <c r="DF63" i="42" s="1"/>
  <c r="DE265" i="42"/>
  <c r="DE277" i="42" s="1"/>
  <c r="DF114" i="42"/>
  <c r="DF100" i="42"/>
  <c r="DF508" i="42"/>
  <c r="DE306" i="42"/>
  <c r="DF369" i="42"/>
  <c r="DE99" i="42"/>
  <c r="DH539" i="42" s="1"/>
  <c r="DF96" i="42"/>
  <c r="DF99" i="42" s="1"/>
  <c r="DE312" i="42"/>
  <c r="DE345" i="42"/>
  <c r="DF345" i="42" s="1"/>
  <c r="DF477" i="42"/>
  <c r="DF264" i="42"/>
  <c r="DE484" i="42"/>
  <c r="DF484" i="42" s="1"/>
  <c r="DE242" i="42"/>
  <c r="DF457" i="42"/>
  <c r="DF163" i="42"/>
  <c r="DE246" i="42"/>
  <c r="DE301" i="42"/>
  <c r="DE303" i="42" s="1"/>
  <c r="DF498" i="42"/>
  <c r="DF423" i="42"/>
  <c r="DF414" i="42"/>
  <c r="DF418" i="42" s="1"/>
  <c r="DE418" i="42"/>
  <c r="DE215" i="42"/>
  <c r="DF152" i="42"/>
  <c r="DF171" i="42"/>
  <c r="DF122" i="42"/>
  <c r="DE123" i="42"/>
  <c r="DH137" i="42" s="1"/>
  <c r="DH600" i="20" s="1"/>
  <c r="DE114" i="42"/>
  <c r="DE115" i="42" s="1"/>
  <c r="DE26" i="42"/>
  <c r="DH45" i="42" s="1"/>
  <c r="DF12" i="42"/>
  <c r="DF1158" i="10"/>
  <c r="DF1157" i="10"/>
  <c r="DF1156" i="10"/>
  <c r="DF1155" i="10"/>
  <c r="DF1154" i="10"/>
  <c r="DF1137" i="10"/>
  <c r="DF1132" i="10"/>
  <c r="DE1132" i="10"/>
  <c r="DE1079" i="10"/>
  <c r="DF1043" i="10"/>
  <c r="DE1043" i="10"/>
  <c r="DF958" i="10"/>
  <c r="DE958" i="10"/>
  <c r="DF947" i="10"/>
  <c r="DE947" i="10"/>
  <c r="DF830" i="10"/>
  <c r="DF842" i="10" s="1"/>
  <c r="DE830" i="10"/>
  <c r="DE842" i="10" s="1"/>
  <c r="DE776" i="10"/>
  <c r="DE775" i="10"/>
  <c r="DE745" i="10"/>
  <c r="DE744" i="10"/>
  <c r="DE743" i="10"/>
  <c r="DE742" i="10"/>
  <c r="DE741" i="10"/>
  <c r="DE740" i="10"/>
  <c r="DE739" i="10"/>
  <c r="DE733" i="10"/>
  <c r="DE731" i="10"/>
  <c r="DE729" i="10"/>
  <c r="DE728" i="10"/>
  <c r="DE727" i="10"/>
  <c r="DE719" i="10"/>
  <c r="DF718" i="10"/>
  <c r="DF717" i="10"/>
  <c r="DF716" i="10"/>
  <c r="DF715" i="10"/>
  <c r="DF714" i="10"/>
  <c r="DF713" i="10"/>
  <c r="DF712" i="10"/>
  <c r="DF698" i="10"/>
  <c r="DE688" i="10"/>
  <c r="DE754" i="10" s="1"/>
  <c r="DE675" i="10"/>
  <c r="DE669" i="10"/>
  <c r="DE641" i="10"/>
  <c r="DE630" i="10"/>
  <c r="DE619" i="10"/>
  <c r="DE608" i="10"/>
  <c r="DE597" i="10"/>
  <c r="DE586" i="10"/>
  <c r="DE575" i="10"/>
  <c r="DE564" i="10"/>
  <c r="DE555" i="10"/>
  <c r="DE542" i="10"/>
  <c r="DE531" i="10"/>
  <c r="DE520" i="10"/>
  <c r="DE509" i="10"/>
  <c r="DE498" i="10"/>
  <c r="DE1041" i="10" s="1"/>
  <c r="DE421" i="10"/>
  <c r="DE419" i="10"/>
  <c r="DE375" i="10"/>
  <c r="DE374" i="10"/>
  <c r="DE368" i="10"/>
  <c r="DE357" i="10"/>
  <c r="DE352" i="10"/>
  <c r="DF350" i="10"/>
  <c r="DE348" i="10"/>
  <c r="DE343" i="10"/>
  <c r="DE377" i="10" s="1"/>
  <c r="DE339" i="10"/>
  <c r="DE338" i="10"/>
  <c r="DE336" i="10"/>
  <c r="DF335" i="10"/>
  <c r="DE313" i="10"/>
  <c r="DE308" i="10"/>
  <c r="DE304" i="10"/>
  <c r="DE294" i="10"/>
  <c r="DH302" i="10" s="1"/>
  <c r="DE278" i="10"/>
  <c r="DH284" i="10" s="1"/>
  <c r="DE272" i="10"/>
  <c r="DE271" i="10"/>
  <c r="DE270" i="10"/>
  <c r="DE269" i="10"/>
  <c r="DE266" i="10"/>
  <c r="DF265" i="10"/>
  <c r="DF264" i="10"/>
  <c r="DF263" i="10"/>
  <c r="DF262" i="10"/>
  <c r="DF258" i="10"/>
  <c r="DF255" i="10"/>
  <c r="DE244" i="10"/>
  <c r="DE243" i="10"/>
  <c r="DE242" i="10"/>
  <c r="DE240" i="10"/>
  <c r="DF237" i="10"/>
  <c r="DF236" i="10"/>
  <c r="DF235" i="10"/>
  <c r="DE230" i="10"/>
  <c r="DE229" i="10"/>
  <c r="DE228" i="10"/>
  <c r="DE227" i="10"/>
  <c r="DE224" i="10"/>
  <c r="DE223" i="10"/>
  <c r="DE221" i="10"/>
  <c r="DF220" i="10"/>
  <c r="DF219" i="10"/>
  <c r="DF218" i="10"/>
  <c r="DF217" i="10"/>
  <c r="DF216" i="10"/>
  <c r="DE215" i="10"/>
  <c r="DF215" i="10" s="1"/>
  <c r="DE207" i="10"/>
  <c r="DE204" i="10"/>
  <c r="DE203" i="10"/>
  <c r="DH211" i="10" s="1"/>
  <c r="DE202" i="10"/>
  <c r="DH210" i="10" s="1"/>
  <c r="DE193" i="10"/>
  <c r="DE192" i="10"/>
  <c r="DF188" i="10"/>
  <c r="DF304" i="10" s="1"/>
  <c r="DE186" i="10"/>
  <c r="DE311" i="10" s="1"/>
  <c r="DE185" i="10"/>
  <c r="DF184" i="10"/>
  <c r="DF183" i="10"/>
  <c r="DF182" i="10"/>
  <c r="DE164" i="10"/>
  <c r="DF163" i="10"/>
  <c r="DE144" i="10"/>
  <c r="DE133" i="10"/>
  <c r="DE128" i="10"/>
  <c r="DF115" i="10"/>
  <c r="DE115" i="10"/>
  <c r="DE89" i="10"/>
  <c r="DF77" i="10"/>
  <c r="DE77" i="10"/>
  <c r="DE65" i="10"/>
  <c r="DE61" i="10"/>
  <c r="DE59" i="10"/>
  <c r="DE58" i="10"/>
  <c r="DF31" i="10"/>
  <c r="DF16" i="43" s="1"/>
  <c r="DF16" i="10"/>
  <c r="DF9" i="10"/>
  <c r="DF37" i="49" s="1"/>
  <c r="DF63" i="49" s="1"/>
  <c r="DI606" i="10"/>
  <c r="DE154" i="46" l="1"/>
  <c r="DE153" i="46" s="1"/>
  <c r="DE354" i="10"/>
  <c r="DH340" i="10"/>
  <c r="DH376" i="10"/>
  <c r="DF370" i="42"/>
  <c r="DH366" i="42"/>
  <c r="DH368" i="42" s="1"/>
  <c r="DH273" i="42" s="1"/>
  <c r="DF266" i="10"/>
  <c r="DH273" i="10"/>
  <c r="DH195" i="10"/>
  <c r="DH205" i="10"/>
  <c r="DH721" i="10"/>
  <c r="DH746" i="10"/>
  <c r="DH734" i="10"/>
  <c r="DF221" i="10"/>
  <c r="DH232" i="10"/>
  <c r="DE464" i="20"/>
  <c r="DH418" i="20"/>
  <c r="DP29" i="10"/>
  <c r="DR29" i="10" s="1"/>
  <c r="DR26" i="10"/>
  <c r="DF397" i="20"/>
  <c r="DE477" i="42"/>
  <c r="DF325" i="42"/>
  <c r="DF326" i="42" s="1"/>
  <c r="DF135" i="46"/>
  <c r="DF138" i="46" s="1"/>
  <c r="DF69" i="42"/>
  <c r="DE476" i="42"/>
  <c r="DE478" i="42" s="1"/>
  <c r="DR801" i="20"/>
  <c r="DQ20" i="46"/>
  <c r="DR477" i="10"/>
  <c r="DR95" i="49"/>
  <c r="DR297" i="49" s="1"/>
  <c r="DP55" i="49"/>
  <c r="DP467" i="10"/>
  <c r="DQ58" i="49"/>
  <c r="DF162" i="49"/>
  <c r="DF265" i="49"/>
  <c r="DP58" i="49"/>
  <c r="DF59" i="10"/>
  <c r="DF44" i="49"/>
  <c r="DF72" i="49" s="1"/>
  <c r="DR47" i="49"/>
  <c r="DF213" i="49"/>
  <c r="DF316" i="49"/>
  <c r="DE314" i="42"/>
  <c r="DE317" i="42" s="1"/>
  <c r="DE318" i="42" s="1"/>
  <c r="DE320" i="42" s="1"/>
  <c r="DE60" i="10"/>
  <c r="DE225" i="10"/>
  <c r="DF225" i="10" s="1"/>
  <c r="DR947" i="20"/>
  <c r="DF265" i="42"/>
  <c r="DF277" i="42" s="1"/>
  <c r="DR880" i="20"/>
  <c r="DE138" i="46"/>
  <c r="DR446" i="20"/>
  <c r="DR431" i="42"/>
  <c r="DP508" i="42"/>
  <c r="DP20" i="46"/>
  <c r="DR436" i="42"/>
  <c r="DE1160" i="10"/>
  <c r="DH1169" i="10" s="1"/>
  <c r="DR434" i="42"/>
  <c r="DF608" i="20"/>
  <c r="DR432" i="42"/>
  <c r="DR726" i="20"/>
  <c r="DF777" i="10"/>
  <c r="DE777" i="10" s="1"/>
  <c r="DQ508" i="42"/>
  <c r="DR110" i="42"/>
  <c r="DP322" i="10"/>
  <c r="DQ467" i="10"/>
  <c r="DR479" i="10"/>
  <c r="DR946" i="20"/>
  <c r="DP877" i="20"/>
  <c r="DR925" i="20"/>
  <c r="DQ877" i="20"/>
  <c r="DE828" i="10"/>
  <c r="DE840" i="10" s="1"/>
  <c r="DF18" i="46"/>
  <c r="DF23" i="46" s="1"/>
  <c r="DE23" i="46"/>
  <c r="DF101" i="42"/>
  <c r="DF529" i="42"/>
  <c r="DF533" i="42" s="1"/>
  <c r="DE101" i="42"/>
  <c r="DH538" i="42" s="1"/>
  <c r="DE529" i="42"/>
  <c r="DE533" i="42" s="1"/>
  <c r="DF500" i="42"/>
  <c r="DF172" i="42"/>
  <c r="DF223" i="42" s="1"/>
  <c r="DE223" i="42"/>
  <c r="DH227" i="42" s="1"/>
  <c r="DF26" i="42"/>
  <c r="DF27" i="42" s="1"/>
  <c r="DF526" i="42" s="1"/>
  <c r="DE774" i="10"/>
  <c r="DF61" i="10"/>
  <c r="DF719" i="10"/>
  <c r="DE720" i="10"/>
  <c r="DF58" i="10"/>
  <c r="DE222" i="10"/>
  <c r="DF336" i="10"/>
  <c r="DH347" i="10" s="1"/>
  <c r="DH353" i="10" s="1"/>
  <c r="DE369" i="10"/>
  <c r="DE370" i="10"/>
  <c r="DF186" i="10"/>
  <c r="DE345" i="10"/>
  <c r="DE344" i="10"/>
  <c r="DF223" i="10"/>
  <c r="DF185" i="10"/>
  <c r="DE189" i="10"/>
  <c r="DH197" i="10" s="1"/>
  <c r="DH208" i="10" l="1"/>
  <c r="DH65" i="49"/>
  <c r="DH66" i="49" s="1"/>
  <c r="DF99" i="49"/>
  <c r="DH267" i="42"/>
  <c r="DH722" i="10"/>
  <c r="DH723" i="10" s="1"/>
  <c r="DH735" i="10"/>
  <c r="DH747" i="10"/>
  <c r="DH912" i="10"/>
  <c r="DH911" i="10"/>
  <c r="DH917" i="10"/>
  <c r="DH1018" i="10" s="1"/>
  <c r="DH1030" i="10" s="1"/>
  <c r="DH914" i="10"/>
  <c r="DH915" i="10"/>
  <c r="DH913" i="10"/>
  <c r="DH1188" i="10"/>
  <c r="DH1189" i="10"/>
  <c r="DH1193" i="10"/>
  <c r="DH378" i="10"/>
  <c r="DR55" i="49"/>
  <c r="DF354" i="10"/>
  <c r="BV44" i="41"/>
  <c r="DF60" i="10"/>
  <c r="DR194" i="49"/>
  <c r="DR20" i="46"/>
  <c r="DF273" i="49"/>
  <c r="DF170" i="49"/>
  <c r="DR58" i="49"/>
  <c r="BW44" i="41"/>
  <c r="DR389" i="42"/>
  <c r="DF344" i="10"/>
  <c r="DF345" i="10"/>
  <c r="DR508" i="42"/>
  <c r="DR467" i="10"/>
  <c r="DR877" i="20"/>
  <c r="DE319" i="42"/>
  <c r="DF528" i="42"/>
  <c r="DF507" i="42"/>
  <c r="DF510" i="42" s="1"/>
  <c r="DE528" i="42"/>
  <c r="DE481" i="42"/>
  <c r="DE507" i="42"/>
  <c r="DE510" i="42" s="1"/>
  <c r="DF70" i="42"/>
  <c r="DF115" i="42" s="1"/>
  <c r="DE267" i="10"/>
  <c r="DE239" i="10"/>
  <c r="DF189" i="10"/>
  <c r="DF187" i="10"/>
  <c r="DH1194" i="10" l="1"/>
  <c r="DH1015" i="10"/>
  <c r="DH994" i="10" s="1"/>
  <c r="DH894" i="10"/>
  <c r="DH1013" i="10"/>
  <c r="DH892" i="10"/>
  <c r="DH903" i="10" s="1"/>
  <c r="DF239" i="10"/>
  <c r="DH246" i="10"/>
  <c r="DH1014" i="10"/>
  <c r="DH893" i="10"/>
  <c r="DH904" i="10" s="1"/>
  <c r="DH918" i="10"/>
  <c r="DH919" i="10" s="1"/>
  <c r="DH1012" i="10"/>
  <c r="DH896" i="10"/>
  <c r="DH891" i="10"/>
  <c r="DH996" i="10"/>
  <c r="DH1016" i="10"/>
  <c r="DH895" i="10"/>
  <c r="DH906" i="10" s="1"/>
  <c r="DE238" i="10"/>
  <c r="DE241" i="10" s="1"/>
  <c r="BX44" i="41"/>
  <c r="DF514" i="42"/>
  <c r="DE514" i="42"/>
  <c r="DF481" i="42"/>
  <c r="DF488" i="42" s="1"/>
  <c r="DE488" i="42"/>
  <c r="DE485" i="42"/>
  <c r="DE531" i="42"/>
  <c r="DE532" i="42"/>
  <c r="DF531" i="42"/>
  <c r="DF532" i="42"/>
  <c r="DH1024" i="10" l="1"/>
  <c r="DH1020" i="10"/>
  <c r="DH991" i="10"/>
  <c r="DH1026" i="10"/>
  <c r="DH993" i="10"/>
  <c r="DH1004" i="10" s="1"/>
  <c r="DH1028" i="10"/>
  <c r="DH995" i="10"/>
  <c r="DH1006" i="10" s="1"/>
  <c r="DH1025" i="10"/>
  <c r="DH992" i="10"/>
  <c r="DH1003" i="10" s="1"/>
  <c r="DH902" i="10"/>
  <c r="DH899" i="10"/>
  <c r="DF238" i="10"/>
  <c r="DE490" i="42"/>
  <c r="DF485" i="42"/>
  <c r="DF490" i="42" s="1"/>
  <c r="DH1002" i="10" l="1"/>
  <c r="DH999" i="10"/>
  <c r="DL298" i="20"/>
  <c r="DL151" i="10" l="1"/>
  <c r="DP298" i="20"/>
  <c r="DI298" i="20"/>
  <c r="DI151" i="10" s="1"/>
  <c r="DE151" i="10"/>
  <c r="DE1143" i="10" s="1"/>
  <c r="DE102" i="10"/>
  <c r="DB650" i="10"/>
  <c r="CX650" i="10"/>
  <c r="CT650" i="10"/>
  <c r="DM298" i="20" l="1"/>
  <c r="DP151" i="10"/>
  <c r="DP1143" i="10" s="1"/>
  <c r="DP102" i="10"/>
  <c r="DM151" i="10"/>
  <c r="DQ298" i="20"/>
  <c r="BQ82" i="41"/>
  <c r="BM82" i="41"/>
  <c r="BI82" i="41"/>
  <c r="BQ81" i="41"/>
  <c r="BM81" i="41"/>
  <c r="BI81" i="41"/>
  <c r="DE90" i="10"/>
  <c r="DR298" i="20" l="1"/>
  <c r="DR102" i="10" s="1"/>
  <c r="DQ102" i="10"/>
  <c r="DQ151" i="10"/>
  <c r="DD164" i="20"/>
  <c r="DA164" i="20"/>
  <c r="CZ164" i="20"/>
  <c r="CW164" i="20"/>
  <c r="CV164" i="20"/>
  <c r="CS164" i="20"/>
  <c r="CR164" i="20"/>
  <c r="CO164" i="20"/>
  <c r="CN164" i="20"/>
  <c r="DD163" i="20"/>
  <c r="DA163" i="20"/>
  <c r="CZ163" i="20"/>
  <c r="CW163" i="20"/>
  <c r="CV163" i="20"/>
  <c r="CS163" i="20"/>
  <c r="CR163" i="20"/>
  <c r="CO163" i="20"/>
  <c r="CN163" i="20"/>
  <c r="CK164" i="20"/>
  <c r="CJ164" i="20"/>
  <c r="A164" i="20"/>
  <c r="A163" i="20"/>
  <c r="DD204" i="20"/>
  <c r="CJ204" i="20"/>
  <c r="CN204" i="20"/>
  <c r="CR204" i="20"/>
  <c r="CV204" i="20"/>
  <c r="CZ204" i="20"/>
  <c r="CJ210" i="20"/>
  <c r="CN210" i="20"/>
  <c r="CR210" i="20"/>
  <c r="CV210" i="20"/>
  <c r="DD210" i="20"/>
  <c r="CZ210" i="20"/>
  <c r="DQ1143" i="10" l="1"/>
  <c r="CO165" i="20"/>
  <c r="CR165" i="20"/>
  <c r="CS165" i="20"/>
  <c r="CV165" i="20"/>
  <c r="CW165" i="20"/>
  <c r="CZ165" i="20"/>
  <c r="DA165" i="20"/>
  <c r="CN165" i="20"/>
  <c r="DD165" i="20"/>
  <c r="DB128" i="42"/>
  <c r="CX128" i="42"/>
  <c r="CT128" i="42"/>
  <c r="CP128" i="42"/>
  <c r="CL128" i="42"/>
  <c r="CH128" i="42"/>
  <c r="CD128" i="42"/>
  <c r="BZ128" i="42"/>
  <c r="BV128" i="42"/>
  <c r="BR128" i="42"/>
  <c r="BN128" i="42"/>
  <c r="BJ128" i="42"/>
  <c r="BF128" i="42"/>
  <c r="EO45" i="41"/>
  <c r="EL45" i="41"/>
  <c r="EK45" i="41"/>
  <c r="EH45" i="41"/>
  <c r="EG45" i="41"/>
  <c r="EG44" i="41"/>
  <c r="EH44" i="41"/>
  <c r="EK44" i="41"/>
  <c r="EL44" i="41"/>
  <c r="EO44" i="41"/>
  <c r="DU44" i="41"/>
  <c r="DV44" i="41"/>
  <c r="DY44" i="41"/>
  <c r="DZ44" i="41"/>
  <c r="EC44" i="41"/>
  <c r="ED44" i="41"/>
  <c r="DA402" i="42" l="1"/>
  <c r="CW402" i="42"/>
  <c r="DD204" i="46" l="1"/>
  <c r="DE204" i="46" s="1"/>
  <c r="DD203" i="46"/>
  <c r="DE203" i="46" s="1"/>
  <c r="DD202" i="46"/>
  <c r="DE202" i="46" s="1"/>
  <c r="DD201" i="46"/>
  <c r="DE201" i="46" s="1"/>
  <c r="DD200" i="46"/>
  <c r="DE200" i="46" s="1"/>
  <c r="DA204" i="46"/>
  <c r="DA202" i="46"/>
  <c r="DA201" i="46"/>
  <c r="DA200" i="46"/>
  <c r="CZ201" i="46"/>
  <c r="CZ202" i="46"/>
  <c r="CZ203" i="46"/>
  <c r="CZ204" i="46"/>
  <c r="CZ200" i="46"/>
  <c r="DD187" i="46"/>
  <c r="DD184" i="46"/>
  <c r="DD185" i="46" s="1"/>
  <c r="DD172" i="46"/>
  <c r="DD133" i="46"/>
  <c r="DD128" i="46"/>
  <c r="DD135" i="46" s="1"/>
  <c r="DD50" i="42"/>
  <c r="DD12" i="42"/>
  <c r="DE31" i="42" s="1"/>
  <c r="DD1161" i="10"/>
  <c r="DD1159" i="10"/>
  <c r="DF1159" i="10" s="1"/>
  <c r="DD351" i="10"/>
  <c r="DE351" i="10" s="1"/>
  <c r="DD349" i="10"/>
  <c r="DE349" i="10" s="1"/>
  <c r="DD120" i="10"/>
  <c r="DE63" i="10"/>
  <c r="DD554" i="20"/>
  <c r="DF554" i="20" s="1"/>
  <c r="DF653" i="20" s="1"/>
  <c r="DD299" i="20"/>
  <c r="DD150" i="20"/>
  <c r="DH159" i="20" s="1"/>
  <c r="DE211" i="46" l="1"/>
  <c r="DH201" i="46"/>
  <c r="DH211" i="46" s="1"/>
  <c r="DE212" i="46"/>
  <c r="DE169" i="46" s="1"/>
  <c r="DF169" i="46" s="1"/>
  <c r="DH202" i="46"/>
  <c r="DH212" i="46" s="1"/>
  <c r="DE214" i="46"/>
  <c r="DE171" i="46" s="1"/>
  <c r="DF171" i="46" s="1"/>
  <c r="DH204" i="46"/>
  <c r="DH214" i="46" s="1"/>
  <c r="DF299" i="20"/>
  <c r="DH304" i="20"/>
  <c r="DD143" i="46"/>
  <c r="DD142" i="46" s="1"/>
  <c r="DE144" i="46"/>
  <c r="DH144" i="46" s="1"/>
  <c r="DE168" i="46"/>
  <c r="DF168" i="46" s="1"/>
  <c r="DF211" i="46"/>
  <c r="DF654" i="20"/>
  <c r="DF1160" i="10"/>
  <c r="DE1168" i="10"/>
  <c r="DF150" i="20"/>
  <c r="DE151" i="20"/>
  <c r="DF63" i="10"/>
  <c r="DE64" i="10"/>
  <c r="DE350" i="10"/>
  <c r="DD226" i="46"/>
  <c r="DD223" i="46"/>
  <c r="DD214" i="46"/>
  <c r="DD213" i="46"/>
  <c r="DD212" i="46"/>
  <c r="DD211" i="46"/>
  <c r="DD210" i="46"/>
  <c r="DD224" i="46"/>
  <c r="DD197" i="46"/>
  <c r="DD195" i="46"/>
  <c r="DD218" i="46"/>
  <c r="DD160" i="46"/>
  <c r="DD156" i="46"/>
  <c r="DD157" i="46" s="1"/>
  <c r="DD151" i="46"/>
  <c r="DD78" i="46"/>
  <c r="DD120" i="46"/>
  <c r="DD110" i="46"/>
  <c r="DD108" i="46"/>
  <c r="DD101" i="46"/>
  <c r="DD102" i="46" s="1"/>
  <c r="DD96" i="46"/>
  <c r="DD91" i="46"/>
  <c r="DD90" i="46" s="1"/>
  <c r="DD85" i="46"/>
  <c r="DD51" i="46"/>
  <c r="DD50" i="46"/>
  <c r="DD34" i="46"/>
  <c r="DD32" i="46"/>
  <c r="DD45" i="46" s="1"/>
  <c r="DD30" i="46"/>
  <c r="DD29" i="46"/>
  <c r="DD26" i="46"/>
  <c r="DD22" i="46"/>
  <c r="DD47" i="46" s="1"/>
  <c r="DD20" i="46"/>
  <c r="DD33" i="46" s="1"/>
  <c r="DD46" i="46" s="1"/>
  <c r="DD17" i="46"/>
  <c r="DD16" i="46"/>
  <c r="DD15" i="46"/>
  <c r="DD41" i="46" s="1"/>
  <c r="DD14" i="46"/>
  <c r="DD40" i="46" s="1"/>
  <c r="DD13" i="46"/>
  <c r="DD43" i="43"/>
  <c r="DD44" i="43" s="1"/>
  <c r="DD42" i="43"/>
  <c r="DD21" i="43"/>
  <c r="DD27" i="43" s="1"/>
  <c r="DD16" i="43"/>
  <c r="DD537" i="42"/>
  <c r="DD527" i="42"/>
  <c r="DD526" i="42"/>
  <c r="DD513" i="42"/>
  <c r="DD512" i="42"/>
  <c r="DD511" i="42"/>
  <c r="DD509" i="42"/>
  <c r="DD508" i="42"/>
  <c r="DD499" i="42"/>
  <c r="DD498" i="42"/>
  <c r="DD495" i="42"/>
  <c r="DD494" i="42"/>
  <c r="DD486" i="42"/>
  <c r="DD461" i="42"/>
  <c r="DD460" i="42"/>
  <c r="DD454" i="42"/>
  <c r="DD457" i="42" s="1"/>
  <c r="DD437" i="42"/>
  <c r="DD436" i="42"/>
  <c r="DD435" i="42"/>
  <c r="DD434" i="42"/>
  <c r="DD433" i="42"/>
  <c r="DD432" i="42"/>
  <c r="DD431" i="42"/>
  <c r="DD430" i="42"/>
  <c r="DD426" i="42"/>
  <c r="DD414" i="42"/>
  <c r="DD418" i="42" s="1"/>
  <c r="DD407" i="42"/>
  <c r="DD405" i="42"/>
  <c r="DD402" i="42"/>
  <c r="DE399" i="42" s="1"/>
  <c r="DE401" i="42" s="1"/>
  <c r="DD395" i="42"/>
  <c r="DF395" i="42" s="1"/>
  <c r="DF396" i="42" s="1"/>
  <c r="DD389" i="42"/>
  <c r="DD383" i="42"/>
  <c r="DE383" i="42" s="1"/>
  <c r="DF383" i="42" s="1"/>
  <c r="DD369" i="42"/>
  <c r="DE366" i="42" s="1"/>
  <c r="DE368" i="42" s="1"/>
  <c r="DD362" i="42"/>
  <c r="DE360" i="42" s="1"/>
  <c r="DE361" i="42" s="1"/>
  <c r="DE272" i="42" s="1"/>
  <c r="DD336" i="42"/>
  <c r="DE331" i="42" s="1"/>
  <c r="DE336" i="42" s="1"/>
  <c r="DD312" i="42"/>
  <c r="DD308" i="42"/>
  <c r="DF308" i="42" s="1"/>
  <c r="DD306" i="42"/>
  <c r="DD303" i="42"/>
  <c r="DF303" i="42" s="1"/>
  <c r="DD301" i="42"/>
  <c r="DD290" i="42"/>
  <c r="DD294" i="42" s="1"/>
  <c r="DD270" i="42"/>
  <c r="DF270" i="42" s="1"/>
  <c r="DF92" i="49" s="1"/>
  <c r="DD269" i="42"/>
  <c r="DF269" i="42" s="1"/>
  <c r="DF91" i="49" s="1"/>
  <c r="DD268" i="42"/>
  <c r="DF268" i="42" s="1"/>
  <c r="DF90" i="49" s="1"/>
  <c r="DD264" i="42"/>
  <c r="DD263" i="42"/>
  <c r="DD262" i="42"/>
  <c r="DD261" i="42"/>
  <c r="DD260" i="42"/>
  <c r="DD287" i="42" s="1"/>
  <c r="DE282" i="42" s="1"/>
  <c r="DE286" i="42" s="1"/>
  <c r="DE323" i="42" s="1"/>
  <c r="DD256" i="42"/>
  <c r="DD249" i="42"/>
  <c r="DD248" i="42"/>
  <c r="DD245" i="42"/>
  <c r="DD244" i="42"/>
  <c r="DD241" i="42"/>
  <c r="DD240" i="42"/>
  <c r="DD237" i="42"/>
  <c r="DD236" i="42"/>
  <c r="DD229" i="42"/>
  <c r="DD216" i="42"/>
  <c r="DE220" i="42" s="1"/>
  <c r="DD214" i="42"/>
  <c r="DE218" i="42" s="1"/>
  <c r="DD207" i="42"/>
  <c r="DD205" i="42"/>
  <c r="DE209" i="42" s="1"/>
  <c r="DD198" i="42"/>
  <c r="DD196" i="42"/>
  <c r="DE200" i="42" s="1"/>
  <c r="DD191" i="42"/>
  <c r="DD188" i="42"/>
  <c r="DD187" i="42"/>
  <c r="DD186" i="42"/>
  <c r="DD185" i="42"/>
  <c r="DD183" i="42"/>
  <c r="DD182" i="42"/>
  <c r="DD181" i="42"/>
  <c r="DD171" i="42"/>
  <c r="DD163" i="42"/>
  <c r="DD146" i="42"/>
  <c r="DD149" i="42" s="1"/>
  <c r="DD152" i="42" s="1"/>
  <c r="DE153" i="42" s="1"/>
  <c r="DD136" i="42"/>
  <c r="DD599" i="20" s="1"/>
  <c r="DD134" i="42"/>
  <c r="DD597" i="20" s="1"/>
  <c r="DD133" i="42"/>
  <c r="DD596" i="20" s="1"/>
  <c r="DD132" i="42"/>
  <c r="DD595" i="20" s="1"/>
  <c r="DD129" i="42"/>
  <c r="DE135" i="42" s="1"/>
  <c r="DE598" i="20" s="1"/>
  <c r="DD127" i="42"/>
  <c r="DD124" i="42"/>
  <c r="DD464" i="42" s="1"/>
  <c r="DD122" i="42"/>
  <c r="DE138" i="42" s="1"/>
  <c r="DE601" i="20" s="1"/>
  <c r="DD109" i="42"/>
  <c r="DD114" i="42" s="1"/>
  <c r="DD100" i="42"/>
  <c r="DD98" i="42"/>
  <c r="DD97" i="42"/>
  <c r="DD96" i="42"/>
  <c r="DD68" i="42"/>
  <c r="DD484" i="42" s="1"/>
  <c r="DD62" i="42"/>
  <c r="DD46" i="42"/>
  <c r="DD44" i="42"/>
  <c r="DD43" i="42"/>
  <c r="DD42" i="42"/>
  <c r="DD40" i="42"/>
  <c r="DD39" i="42"/>
  <c r="DD38" i="42"/>
  <c r="DD37" i="42"/>
  <c r="DD36" i="42"/>
  <c r="DD35" i="42"/>
  <c r="DD33" i="42"/>
  <c r="DD32" i="42"/>
  <c r="DD191" i="46"/>
  <c r="DD767" i="20"/>
  <c r="DH772" i="20" s="1"/>
  <c r="DD766" i="20"/>
  <c r="DD765" i="20"/>
  <c r="DH770" i="20" s="1"/>
  <c r="DD761" i="20"/>
  <c r="DD714" i="20" s="1"/>
  <c r="DD716" i="20" s="1"/>
  <c r="DD744" i="20"/>
  <c r="DD742" i="20"/>
  <c r="DF742" i="20" s="1"/>
  <c r="DD741" i="20"/>
  <c r="DF741" i="20" s="1"/>
  <c r="DD732" i="20"/>
  <c r="DD731" i="20"/>
  <c r="DH735" i="20" s="1"/>
  <c r="DD721" i="20"/>
  <c r="DF721" i="20" s="1"/>
  <c r="DD652" i="20"/>
  <c r="DH657" i="20" s="1"/>
  <c r="DD651" i="20"/>
  <c r="DH656" i="20" s="1"/>
  <c r="DD646" i="20"/>
  <c r="DD548" i="20" s="1"/>
  <c r="DD613" i="20"/>
  <c r="DD611" i="20"/>
  <c r="DD610" i="20"/>
  <c r="DD608" i="20"/>
  <c r="DD592" i="20"/>
  <c r="DD591" i="20"/>
  <c r="DD590" i="20"/>
  <c r="DD587" i="20"/>
  <c r="DD585" i="20"/>
  <c r="DF585" i="20" s="1"/>
  <c r="DD584" i="20"/>
  <c r="DF584" i="20" s="1"/>
  <c r="DD579" i="20"/>
  <c r="DD583" i="20" s="1"/>
  <c r="DD567" i="20"/>
  <c r="DD566" i="20"/>
  <c r="DH570" i="20" s="1"/>
  <c r="DD948" i="10"/>
  <c r="DD456" i="20"/>
  <c r="DH461" i="20" s="1"/>
  <c r="DD455" i="20"/>
  <c r="DH460" i="20" s="1"/>
  <c r="DD454" i="20"/>
  <c r="DH459" i="20" s="1"/>
  <c r="DD450" i="20"/>
  <c r="DD448" i="20"/>
  <c r="DD447" i="20"/>
  <c r="DD446" i="20"/>
  <c r="DD442" i="20"/>
  <c r="DD441" i="20"/>
  <c r="DD440" i="20"/>
  <c r="DD437" i="20"/>
  <c r="DD449" i="20" s="1"/>
  <c r="DD417" i="20"/>
  <c r="DD404" i="20"/>
  <c r="DD400" i="20"/>
  <c r="DD396" i="20"/>
  <c r="DD395" i="20"/>
  <c r="DD353" i="20"/>
  <c r="DD329" i="20"/>
  <c r="DH334" i="20" s="1"/>
  <c r="DD328" i="20"/>
  <c r="DH333" i="20" s="1"/>
  <c r="DD327" i="20"/>
  <c r="DH332" i="20" s="1"/>
  <c r="DD324" i="20"/>
  <c r="DD323" i="20"/>
  <c r="DD322" i="20"/>
  <c r="DD234" i="20" s="1"/>
  <c r="DD303" i="20"/>
  <c r="DD294" i="20"/>
  <c r="DD293" i="20"/>
  <c r="DD292" i="20"/>
  <c r="DD290" i="20"/>
  <c r="DD289" i="20"/>
  <c r="DD287" i="20"/>
  <c r="DH295" i="20" s="1"/>
  <c r="DD283" i="20"/>
  <c r="DD272" i="20"/>
  <c r="DE276" i="20" s="1"/>
  <c r="DD250" i="20"/>
  <c r="DD249" i="20"/>
  <c r="DD241" i="20"/>
  <c r="DD217" i="20"/>
  <c r="DH222" i="20" s="1"/>
  <c r="DD216" i="20"/>
  <c r="DH221" i="20" s="1"/>
  <c r="DD215" i="20"/>
  <c r="DH220" i="20" s="1"/>
  <c r="DD195" i="20"/>
  <c r="DD188" i="20"/>
  <c r="DD186" i="20"/>
  <c r="DD183" i="20"/>
  <c r="DD118" i="20" s="1"/>
  <c r="DD157" i="20"/>
  <c r="DD153" i="20"/>
  <c r="DD137" i="20"/>
  <c r="DD136" i="20"/>
  <c r="DF136" i="20" s="1"/>
  <c r="DD125" i="20"/>
  <c r="DD13" i="20"/>
  <c r="DD1252" i="10"/>
  <c r="DD1251" i="10"/>
  <c r="DD1179" i="10"/>
  <c r="DD1176" i="10"/>
  <c r="DD1175" i="10"/>
  <c r="DD1174" i="10"/>
  <c r="DD1173" i="10"/>
  <c r="DD1167" i="10"/>
  <c r="DD1165" i="10"/>
  <c r="DD1164" i="10"/>
  <c r="DD1163" i="10"/>
  <c r="DD1160" i="10"/>
  <c r="DE1169" i="10" s="1"/>
  <c r="DD1142" i="10"/>
  <c r="DD1135" i="10"/>
  <c r="DD1133" i="10"/>
  <c r="DD1132" i="10"/>
  <c r="DD1131" i="10"/>
  <c r="DD1079" i="10"/>
  <c r="DF1079" i="10" s="1"/>
  <c r="DD1043" i="10"/>
  <c r="DD961" i="10"/>
  <c r="DD959" i="10"/>
  <c r="DD958" i="10"/>
  <c r="DD957" i="10"/>
  <c r="DD950" i="10"/>
  <c r="DD947" i="10"/>
  <c r="DD946" i="10"/>
  <c r="DD945" i="10"/>
  <c r="DD944" i="10"/>
  <c r="DD830" i="10"/>
  <c r="DD842" i="10" s="1"/>
  <c r="DD777" i="10"/>
  <c r="DD776" i="10"/>
  <c r="DD775" i="10"/>
  <c r="DD774" i="10"/>
  <c r="DD745" i="10"/>
  <c r="DF745" i="10" s="1"/>
  <c r="DD744" i="10"/>
  <c r="DF744" i="10" s="1"/>
  <c r="DD743" i="10"/>
  <c r="DF743" i="10" s="1"/>
  <c r="DD742" i="10"/>
  <c r="DF742" i="10" s="1"/>
  <c r="DD741" i="10"/>
  <c r="DF741" i="10" s="1"/>
  <c r="DD740" i="10"/>
  <c r="DF740" i="10" s="1"/>
  <c r="DD739" i="10"/>
  <c r="DF739" i="10" s="1"/>
  <c r="DD733" i="10"/>
  <c r="DD731" i="10"/>
  <c r="DD729" i="10"/>
  <c r="DD728" i="10"/>
  <c r="DD727" i="10"/>
  <c r="DD719" i="10"/>
  <c r="DD689" i="10"/>
  <c r="DD755" i="10" s="1"/>
  <c r="DD688" i="10"/>
  <c r="DD687" i="10"/>
  <c r="DD753" i="10" s="1"/>
  <c r="DD686" i="10"/>
  <c r="DD752" i="10" s="1"/>
  <c r="DD685" i="10"/>
  <c r="DD675" i="10"/>
  <c r="DD669" i="10"/>
  <c r="DD641" i="10"/>
  <c r="DF641" i="10" s="1"/>
  <c r="DD630" i="10"/>
  <c r="DF630" i="10" s="1"/>
  <c r="DD619" i="10"/>
  <c r="DF619" i="10" s="1"/>
  <c r="DD608" i="10"/>
  <c r="DF608" i="10" s="1"/>
  <c r="DD597" i="10"/>
  <c r="DF597" i="10" s="1"/>
  <c r="DD586" i="10"/>
  <c r="DF586" i="10" s="1"/>
  <c r="DD575" i="10"/>
  <c r="DF575" i="10" s="1"/>
  <c r="DD564" i="10"/>
  <c r="DF564" i="10" s="1"/>
  <c r="DD555" i="10"/>
  <c r="DF555" i="10" s="1"/>
  <c r="DD552" i="10"/>
  <c r="DD542" i="10"/>
  <c r="DF542" i="10" s="1"/>
  <c r="DD531" i="10"/>
  <c r="DF531" i="10" s="1"/>
  <c r="DD520" i="10"/>
  <c r="DF520" i="10" s="1"/>
  <c r="DD509" i="10"/>
  <c r="DF509" i="10" s="1"/>
  <c r="DD498" i="10"/>
  <c r="DD421" i="10"/>
  <c r="DF421" i="10" s="1"/>
  <c r="DD419" i="10"/>
  <c r="DF419" i="10" s="1"/>
  <c r="DD377" i="10"/>
  <c r="DF377" i="10" s="1"/>
  <c r="DD375" i="10"/>
  <c r="DF375" i="10" s="1"/>
  <c r="DD374" i="10"/>
  <c r="DF374" i="10" s="1"/>
  <c r="DD368" i="10"/>
  <c r="DD339" i="10"/>
  <c r="DD338" i="10"/>
  <c r="DD336" i="10"/>
  <c r="DD313" i="10"/>
  <c r="DD308" i="10"/>
  <c r="DD304" i="10"/>
  <c r="DD294" i="10"/>
  <c r="DE302" i="10" s="1"/>
  <c r="DD278" i="10"/>
  <c r="DE284" i="10" s="1"/>
  <c r="DD272" i="10"/>
  <c r="DD271" i="10"/>
  <c r="DD270" i="10"/>
  <c r="DD269" i="10"/>
  <c r="DD266" i="10"/>
  <c r="DE273" i="10" s="1"/>
  <c r="DD244" i="10"/>
  <c r="DD243" i="10"/>
  <c r="DD242" i="10"/>
  <c r="DD240" i="10"/>
  <c r="DD230" i="10"/>
  <c r="DD229" i="10"/>
  <c r="DD228" i="10"/>
  <c r="DD227" i="10"/>
  <c r="DD224" i="10"/>
  <c r="DD223" i="10"/>
  <c r="DD221" i="10"/>
  <c r="DE232" i="10" s="1"/>
  <c r="DD207" i="10"/>
  <c r="DF207" i="10" s="1"/>
  <c r="DD204" i="10"/>
  <c r="DF204" i="10" s="1"/>
  <c r="DD203" i="10"/>
  <c r="DD202" i="10"/>
  <c r="DD193" i="10"/>
  <c r="DD192" i="10"/>
  <c r="DD186" i="10"/>
  <c r="DD185" i="10"/>
  <c r="DD164" i="10"/>
  <c r="DF164" i="10" s="1"/>
  <c r="DD153" i="10"/>
  <c r="DD144" i="10"/>
  <c r="DD133" i="10"/>
  <c r="DD128" i="10"/>
  <c r="DF128" i="10" s="1"/>
  <c r="DD125" i="10"/>
  <c r="DD115" i="10"/>
  <c r="DG115" i="10" s="1"/>
  <c r="DD113" i="10"/>
  <c r="DD101" i="10"/>
  <c r="DD90" i="10"/>
  <c r="DD89" i="10"/>
  <c r="DD88" i="10"/>
  <c r="DD80" i="10"/>
  <c r="DD78" i="10"/>
  <c r="DD77" i="10"/>
  <c r="DD75" i="10"/>
  <c r="DD74" i="10"/>
  <c r="DD65" i="10"/>
  <c r="DF65" i="10" s="1"/>
  <c r="DD61" i="10"/>
  <c r="DD59" i="10"/>
  <c r="DD58" i="10"/>
  <c r="DD29" i="10"/>
  <c r="DD58" i="49" s="1"/>
  <c r="DD28" i="10"/>
  <c r="DD57" i="49" s="1"/>
  <c r="DB258" i="10"/>
  <c r="BV258" i="10"/>
  <c r="BR258" i="10"/>
  <c r="BN258" i="10"/>
  <c r="BJ258" i="10"/>
  <c r="BZ258" i="10"/>
  <c r="CD258" i="10"/>
  <c r="CH258" i="10"/>
  <c r="CL258" i="10"/>
  <c r="CP258" i="10"/>
  <c r="CS258" i="10"/>
  <c r="CX258" i="10"/>
  <c r="DF212" i="46" l="1"/>
  <c r="DH143" i="46"/>
  <c r="DH161" i="46"/>
  <c r="DF214" i="46"/>
  <c r="DF336" i="42"/>
  <c r="DH331" i="42"/>
  <c r="DF137" i="20"/>
  <c r="DH141" i="20"/>
  <c r="DF241" i="20"/>
  <c r="DH256" i="20"/>
  <c r="DF283" i="20"/>
  <c r="DH291" i="20"/>
  <c r="DF153" i="20"/>
  <c r="DF225" i="20" s="1"/>
  <c r="DH160" i="20"/>
  <c r="DE588" i="20"/>
  <c r="DH593" i="20"/>
  <c r="DF125" i="20"/>
  <c r="DH132" i="20"/>
  <c r="DF353" i="20"/>
  <c r="DH365" i="20"/>
  <c r="DD627" i="20"/>
  <c r="DD661" i="20" s="1"/>
  <c r="DH614" i="20"/>
  <c r="DD552" i="42"/>
  <c r="DE553" i="42" s="1"/>
  <c r="DE143" i="46"/>
  <c r="DE161" i="46"/>
  <c r="DD420" i="20"/>
  <c r="DH421" i="20" s="1"/>
  <c r="DE415" i="20"/>
  <c r="DF404" i="20"/>
  <c r="DF420" i="20" s="1"/>
  <c r="DF400" i="20"/>
  <c r="DE414" i="20"/>
  <c r="DD200" i="20"/>
  <c r="DE187" i="20"/>
  <c r="DF186" i="20"/>
  <c r="DF196" i="20" s="1"/>
  <c r="DE311" i="42"/>
  <c r="DE315" i="42" s="1"/>
  <c r="DE192" i="42"/>
  <c r="DE178" i="42"/>
  <c r="DD307" i="42"/>
  <c r="DF306" i="42"/>
  <c r="DF307" i="42" s="1"/>
  <c r="DD66" i="10"/>
  <c r="DF537" i="42"/>
  <c r="DD314" i="42"/>
  <c r="DF314" i="42" s="1"/>
  <c r="DF312" i="42"/>
  <c r="DE273" i="42"/>
  <c r="DD325" i="42"/>
  <c r="DD326" i="42" s="1"/>
  <c r="DE294" i="42"/>
  <c r="DE184" i="42"/>
  <c r="DE177" i="42"/>
  <c r="DD754" i="10"/>
  <c r="DF754" i="10" s="1"/>
  <c r="DF688" i="10"/>
  <c r="DE746" i="10"/>
  <c r="DE721" i="10"/>
  <c r="DE734" i="10"/>
  <c r="DE205" i="10"/>
  <c r="DE195" i="10"/>
  <c r="DD1041" i="10"/>
  <c r="DF498" i="10"/>
  <c r="DF202" i="10"/>
  <c r="DE210" i="10"/>
  <c r="DF203" i="10"/>
  <c r="DE211" i="10"/>
  <c r="DE376" i="10"/>
  <c r="DE378" i="10" s="1"/>
  <c r="DE340" i="10"/>
  <c r="DD246" i="42"/>
  <c r="DD496" i="42"/>
  <c r="DD225" i="10"/>
  <c r="DD109" i="46"/>
  <c r="DD111" i="46" s="1"/>
  <c r="DD26" i="42"/>
  <c r="DE45" i="42" s="1"/>
  <c r="DD242" i="42"/>
  <c r="DD397" i="20"/>
  <c r="DD733" i="20"/>
  <c r="DH737" i="20" s="1"/>
  <c r="DD225" i="46"/>
  <c r="DD227" i="46" s="1"/>
  <c r="DD406" i="42"/>
  <c r="DD740" i="20"/>
  <c r="DF740" i="20" s="1"/>
  <c r="DD722" i="20"/>
  <c r="DD727" i="20" s="1"/>
  <c r="DD18" i="20" s="1"/>
  <c r="DH32" i="20" s="1"/>
  <c r="DD86" i="46"/>
  <c r="DD103" i="46" s="1"/>
  <c r="DD104" i="46" s="1"/>
  <c r="DD154" i="46"/>
  <c r="DD60" i="10"/>
  <c r="DD238" i="42"/>
  <c r="DD346" i="20"/>
  <c r="DD42" i="46"/>
  <c r="DD31" i="46"/>
  <c r="DD36" i="46" s="1"/>
  <c r="DD370" i="10"/>
  <c r="DD457" i="20"/>
  <c r="DH462" i="20" s="1"/>
  <c r="DD126" i="10"/>
  <c r="DD138" i="20"/>
  <c r="DD251" i="20"/>
  <c r="DH252" i="20" s="1"/>
  <c r="DD67" i="46"/>
  <c r="DD45" i="10"/>
  <c r="DD350" i="10"/>
  <c r="DD330" i="20"/>
  <c r="DH335" i="20" s="1"/>
  <c r="DD174" i="46"/>
  <c r="DD443" i="20"/>
  <c r="DD215" i="46"/>
  <c r="DD217" i="46" s="1"/>
  <c r="DD218" i="20"/>
  <c r="DH223" i="20" s="1"/>
  <c r="DD451" i="20"/>
  <c r="DD99" i="42"/>
  <c r="DD45" i="43"/>
  <c r="DD192" i="46"/>
  <c r="DD265" i="42"/>
  <c r="DD277" i="42" s="1"/>
  <c r="DE267" i="42" s="1"/>
  <c r="DD500" i="42"/>
  <c r="DD39" i="46"/>
  <c r="DD720" i="10"/>
  <c r="DD768" i="20"/>
  <c r="DH773" i="20" s="1"/>
  <c r="DD158" i="46"/>
  <c r="DD189" i="10"/>
  <c r="DE197" i="10" s="1"/>
  <c r="DD23" i="10"/>
  <c r="DD311" i="10"/>
  <c r="DD123" i="42"/>
  <c r="DE137" i="42" s="1"/>
  <c r="DE600" i="20" s="1"/>
  <c r="DD43" i="46"/>
  <c r="DD57" i="46" s="1"/>
  <c r="DE54" i="46" s="1"/>
  <c r="DD105" i="46"/>
  <c r="DD80" i="46"/>
  <c r="DD68" i="46" s="1"/>
  <c r="DD162" i="46"/>
  <c r="DD161" i="46"/>
  <c r="DD18" i="46"/>
  <c r="DD220" i="46"/>
  <c r="DD477" i="42"/>
  <c r="DD476" i="42"/>
  <c r="DD478" i="42" s="1"/>
  <c r="DD491" i="42"/>
  <c r="DD69" i="42"/>
  <c r="DD70" i="42" s="1"/>
  <c r="DD197" i="42"/>
  <c r="DE197" i="42" s="1"/>
  <c r="DD215" i="42"/>
  <c r="DD370" i="42"/>
  <c r="DD455" i="42"/>
  <c r="DE187" i="46" s="1"/>
  <c r="DH187" i="46" s="1"/>
  <c r="DD172" i="42"/>
  <c r="DD489" i="42"/>
  <c r="DD206" i="42"/>
  <c r="DE206" i="42" s="1"/>
  <c r="DH210" i="42" s="1"/>
  <c r="DD115" i="20"/>
  <c r="DD120" i="20" s="1"/>
  <c r="DH131" i="20" s="1"/>
  <c r="DD225" i="20"/>
  <c r="DD301" i="20"/>
  <c r="DD1177" i="10"/>
  <c r="DD1180" i="10" s="1"/>
  <c r="DD1181" i="10" s="1"/>
  <c r="DD232" i="20"/>
  <c r="DF232" i="20" s="1"/>
  <c r="DF273" i="20" s="1"/>
  <c r="DD411" i="20"/>
  <c r="DD555" i="20"/>
  <c r="DD568" i="20"/>
  <c r="DH572" i="20" s="1"/>
  <c r="DD653" i="20"/>
  <c r="DH658" i="20" s="1"/>
  <c r="DD196" i="20"/>
  <c r="DD94" i="10"/>
  <c r="DD112" i="10"/>
  <c r="DD189" i="20"/>
  <c r="DD372" i="20"/>
  <c r="DD373" i="20" s="1"/>
  <c r="DD354" i="10"/>
  <c r="DE347" i="10" s="1"/>
  <c r="DD345" i="10"/>
  <c r="DD222" i="10"/>
  <c r="DD828" i="10"/>
  <c r="DD840" i="10" s="1"/>
  <c r="DD64" i="10"/>
  <c r="DF64" i="10" s="1"/>
  <c r="DD369" i="10"/>
  <c r="DD344" i="10"/>
  <c r="DD751" i="10"/>
  <c r="CT258" i="10"/>
  <c r="EV30" i="41"/>
  <c r="ER30" i="41"/>
  <c r="EN30" i="41"/>
  <c r="EJ30" i="41"/>
  <c r="EF30" i="41"/>
  <c r="DD545" i="20" l="1"/>
  <c r="DD550" i="20" s="1"/>
  <c r="DH561" i="20" s="1"/>
  <c r="DD625" i="20"/>
  <c r="DH142" i="46"/>
  <c r="DH159" i="46" s="1"/>
  <c r="DH162" i="46"/>
  <c r="DF138" i="20"/>
  <c r="DH142" i="20"/>
  <c r="DF189" i="20"/>
  <c r="DH190" i="20"/>
  <c r="DF301" i="20"/>
  <c r="DH305" i="20"/>
  <c r="DE197" i="20"/>
  <c r="DH198" i="20"/>
  <c r="DH335" i="42"/>
  <c r="DH337" i="42" s="1"/>
  <c r="DE198" i="42"/>
  <c r="DH202" i="42" s="1"/>
  <c r="DH201" i="42"/>
  <c r="DF555" i="20"/>
  <c r="DH562" i="20"/>
  <c r="DE188" i="46"/>
  <c r="DF188" i="46" s="1"/>
  <c r="DF187" i="46"/>
  <c r="DE162" i="46"/>
  <c r="DE142" i="46"/>
  <c r="DE159" i="46" s="1"/>
  <c r="DD951" i="10"/>
  <c r="DD1017" i="10" s="1"/>
  <c r="DD52" i="49"/>
  <c r="DD79" i="49" s="1"/>
  <c r="DE208" i="10"/>
  <c r="DH212" i="10" s="1"/>
  <c r="DE65" i="49"/>
  <c r="DE164" i="49" s="1"/>
  <c r="DE267" i="49" s="1"/>
  <c r="DF411" i="20"/>
  <c r="DF464" i="20" s="1"/>
  <c r="DE418" i="20"/>
  <c r="DF274" i="20"/>
  <c r="DE207" i="42"/>
  <c r="DE193" i="46"/>
  <c r="DE325" i="42"/>
  <c r="DE326" i="42" s="1"/>
  <c r="DE295" i="42"/>
  <c r="DH296" i="42" s="1"/>
  <c r="DF313" i="42"/>
  <c r="DF320" i="42"/>
  <c r="DD101" i="42"/>
  <c r="DE538" i="42" s="1"/>
  <c r="DE539" i="42"/>
  <c r="DF317" i="42"/>
  <c r="DF319" i="42" s="1"/>
  <c r="DD317" i="42"/>
  <c r="DD318" i="42" s="1"/>
  <c r="DD320" i="42" s="1"/>
  <c r="DD194" i="46"/>
  <c r="DE193" i="42"/>
  <c r="DE917" i="10"/>
  <c r="DE911" i="10"/>
  <c r="DE914" i="10"/>
  <c r="DE912" i="10"/>
  <c r="DE915" i="10"/>
  <c r="DE913" i="10"/>
  <c r="DE747" i="10"/>
  <c r="DE722" i="10"/>
  <c r="DE735" i="10"/>
  <c r="DF1041" i="10"/>
  <c r="DF828" i="10"/>
  <c r="DF840" i="10" s="1"/>
  <c r="DD205" i="46"/>
  <c r="DD113" i="46"/>
  <c r="DD138" i="46"/>
  <c r="DD728" i="20"/>
  <c r="DD159" i="46"/>
  <c r="DD69" i="46"/>
  <c r="DD70" i="46" s="1"/>
  <c r="DD71" i="46" s="1"/>
  <c r="DD87" i="46"/>
  <c r="DD95" i="46" s="1"/>
  <c r="DD97" i="46" s="1"/>
  <c r="DD529" i="42"/>
  <c r="DD533" i="42" s="1"/>
  <c r="DD267" i="10"/>
  <c r="DD193" i="46"/>
  <c r="DD239" i="10"/>
  <c r="DD46" i="43"/>
  <c r="DD23" i="46"/>
  <c r="DD48" i="46" s="1"/>
  <c r="DD49" i="46" s="1"/>
  <c r="DD44" i="46"/>
  <c r="DD106" i="46"/>
  <c r="DD115" i="46" s="1"/>
  <c r="DD119" i="46" s="1"/>
  <c r="DD121" i="46" s="1"/>
  <c r="DD114" i="46"/>
  <c r="DD219" i="46"/>
  <c r="DD207" i="46"/>
  <c r="DD102" i="42"/>
  <c r="DD115" i="42"/>
  <c r="DD223" i="42"/>
  <c r="DD76" i="10"/>
  <c r="DD81" i="10" s="1"/>
  <c r="DD273" i="20"/>
  <c r="DH277" i="20" s="1"/>
  <c r="DD37" i="10"/>
  <c r="DD654" i="20"/>
  <c r="DH659" i="20" s="1"/>
  <c r="DD231" i="20"/>
  <c r="DD236" i="20" s="1"/>
  <c r="DH255" i="20" s="1"/>
  <c r="DD262" i="20"/>
  <c r="DD261" i="20"/>
  <c r="DD260" i="20"/>
  <c r="DD343" i="20"/>
  <c r="DD348" i="20" s="1"/>
  <c r="DH364" i="20" s="1"/>
  <c r="DD464" i="20"/>
  <c r="DD126" i="20"/>
  <c r="DH133" i="20" s="1"/>
  <c r="DD759" i="10"/>
  <c r="DD556" i="20" l="1"/>
  <c r="DH563" i="20" s="1"/>
  <c r="DD551" i="20"/>
  <c r="DD952" i="10"/>
  <c r="DF198" i="42"/>
  <c r="DE211" i="42"/>
  <c r="DH211" i="42"/>
  <c r="DE202" i="42"/>
  <c r="DD377" i="20"/>
  <c r="DD378" i="20" s="1"/>
  <c r="DD385" i="20" s="1"/>
  <c r="DD383" i="20"/>
  <c r="DF207" i="42"/>
  <c r="DE296" i="42"/>
  <c r="DE43" i="43"/>
  <c r="DD319" i="42"/>
  <c r="DD481" i="42"/>
  <c r="DD488" i="42" s="1"/>
  <c r="DD507" i="42"/>
  <c r="DD510" i="42" s="1"/>
  <c r="DD514" i="42" s="1"/>
  <c r="DD528" i="42"/>
  <c r="DD531" i="42" s="1"/>
  <c r="DD54" i="43"/>
  <c r="DE446" i="42"/>
  <c r="DE918" i="10"/>
  <c r="DE723" i="10"/>
  <c r="DD82" i="10"/>
  <c r="DD238" i="10"/>
  <c r="DD241" i="10" s="1"/>
  <c r="DE246" i="10"/>
  <c r="DD72" i="46"/>
  <c r="DD73" i="46" s="1"/>
  <c r="DD224" i="42"/>
  <c r="DD349" i="20"/>
  <c r="DD354" i="20"/>
  <c r="DH366" i="20" s="1"/>
  <c r="DD558" i="20"/>
  <c r="DD14" i="20" s="1"/>
  <c r="DH28" i="20" s="1"/>
  <c r="DD274" i="20"/>
  <c r="DH278" i="20" s="1"/>
  <c r="DD128" i="20"/>
  <c r="DD9" i="20" s="1"/>
  <c r="DH23" i="20" s="1"/>
  <c r="DD263" i="20"/>
  <c r="DD267" i="20" s="1"/>
  <c r="DD243" i="20"/>
  <c r="DH257" i="20" s="1"/>
  <c r="DA250" i="20"/>
  <c r="CZ250" i="20"/>
  <c r="DL250" i="20" s="1"/>
  <c r="DP250" i="20" s="1"/>
  <c r="DP313" i="20" s="1"/>
  <c r="DP552" i="10" s="1"/>
  <c r="DA249" i="20"/>
  <c r="CZ249" i="20"/>
  <c r="CG250" i="20"/>
  <c r="CF250" i="20"/>
  <c r="CG249" i="20"/>
  <c r="CF249" i="20"/>
  <c r="CK250" i="20"/>
  <c r="CJ250" i="20"/>
  <c r="CK249" i="20"/>
  <c r="CJ249" i="20"/>
  <c r="CO250" i="20"/>
  <c r="CN250" i="20"/>
  <c r="CO249" i="20"/>
  <c r="CN249" i="20"/>
  <c r="CS250" i="20"/>
  <c r="CR250" i="20"/>
  <c r="CS249" i="20"/>
  <c r="CR249" i="20"/>
  <c r="CV250" i="20"/>
  <c r="CW250" i="20"/>
  <c r="CV249" i="20"/>
  <c r="CW249" i="20"/>
  <c r="DD532" i="42" l="1"/>
  <c r="DD485" i="42"/>
  <c r="DD490" i="42" s="1"/>
  <c r="DE45" i="43"/>
  <c r="DF45" i="43" s="1"/>
  <c r="DF131" i="49" s="1"/>
  <c r="DE44" i="43"/>
  <c r="DH311" i="42" s="1"/>
  <c r="DH315" i="42" s="1"/>
  <c r="DE275" i="42"/>
  <c r="CR251" i="20"/>
  <c r="CS251" i="20"/>
  <c r="CK251" i="20"/>
  <c r="DA251" i="20"/>
  <c r="DD245" i="20"/>
  <c r="DD268" i="20"/>
  <c r="DD266" i="20"/>
  <c r="DD356" i="20"/>
  <c r="DH367" i="20" s="1"/>
  <c r="CV251" i="20"/>
  <c r="CZ251" i="20"/>
  <c r="CJ251" i="20"/>
  <c r="CN251" i="20"/>
  <c r="CF251" i="20"/>
  <c r="CO251" i="20"/>
  <c r="CG251" i="20"/>
  <c r="CW251" i="20"/>
  <c r="CS252" i="20" l="1"/>
  <c r="CR252" i="20"/>
  <c r="DE46" i="43"/>
  <c r="DF44" i="43"/>
  <c r="DF130" i="49" s="1"/>
  <c r="CV252" i="20"/>
  <c r="DD269" i="20"/>
  <c r="CZ252" i="20"/>
  <c r="DD252" i="20"/>
  <c r="DD357" i="20"/>
  <c r="DH368" i="20" s="1"/>
  <c r="DD374" i="20"/>
  <c r="DD375" i="20"/>
  <c r="DD12" i="20"/>
  <c r="DH26" i="20" s="1"/>
  <c r="DD360" i="20"/>
  <c r="DD246" i="20"/>
  <c r="DD10" i="20"/>
  <c r="DH24" i="20" s="1"/>
  <c r="DA252" i="20"/>
  <c r="CW252" i="20"/>
  <c r="DI249" i="20"/>
  <c r="DE54" i="43" l="1"/>
  <c r="DH446" i="42"/>
  <c r="DH275" i="42" s="1"/>
  <c r="DH271" i="42" s="1"/>
  <c r="DH276" i="42" s="1"/>
  <c r="DF51" i="43"/>
  <c r="DF46" i="43"/>
  <c r="DD16" i="20"/>
  <c r="DH30" i="20" s="1"/>
  <c r="DD11" i="20"/>
  <c r="DH25" i="20" s="1"/>
  <c r="DD358" i="20"/>
  <c r="DH369" i="20" s="1"/>
  <c r="DI230" i="20"/>
  <c r="DM249" i="20"/>
  <c r="DQ249" i="20" s="1"/>
  <c r="DL249" i="20"/>
  <c r="DP249" i="20" s="1"/>
  <c r="DF54" i="43" l="1"/>
  <c r="DF132" i="49"/>
  <c r="DP251" i="20"/>
  <c r="DP230" i="20"/>
  <c r="DP272" i="20"/>
  <c r="DQ230" i="20"/>
  <c r="DQ272" i="20"/>
  <c r="DD17" i="20"/>
  <c r="DH31" i="20" s="1"/>
  <c r="DL251" i="20"/>
  <c r="DL230" i="20"/>
  <c r="DM230" i="20"/>
  <c r="DJ230" i="20"/>
  <c r="DR230" i="20" l="1"/>
  <c r="DR272" i="20"/>
  <c r="DN230" i="20"/>
  <c r="DD19" i="20"/>
  <c r="DH33" i="20" s="1"/>
  <c r="DR249" i="20" l="1"/>
  <c r="CW436" i="20" l="1"/>
  <c r="CW410" i="20"/>
  <c r="CW382" i="20" s="1"/>
  <c r="CV299" i="20"/>
  <c r="CV284" i="20"/>
  <c r="CV281" i="20"/>
  <c r="CY79" i="10"/>
  <c r="DA215" i="10" l="1"/>
  <c r="DB215" i="10" s="1"/>
  <c r="DC215" i="10" l="1"/>
  <c r="DA144" i="20" l="1"/>
  <c r="CW144" i="20"/>
  <c r="CZ299" i="20"/>
  <c r="DD304" i="20" s="1"/>
  <c r="DB351" i="10" l="1"/>
  <c r="DB349" i="10"/>
  <c r="CY449" i="10"/>
  <c r="CW120" i="10"/>
  <c r="CV16" i="10"/>
  <c r="DA120" i="10"/>
  <c r="CZ120" i="10"/>
  <c r="CV120" i="10"/>
  <c r="CV121" i="10"/>
  <c r="CW121" i="10"/>
  <c r="CX120" i="10"/>
  <c r="CZ61" i="10"/>
  <c r="DB290" i="42"/>
  <c r="DB294" i="42" s="1"/>
  <c r="DA163" i="42"/>
  <c r="DA146" i="42"/>
  <c r="DA149" i="42" s="1"/>
  <c r="DA129" i="42"/>
  <c r="DA127" i="42"/>
  <c r="DA109" i="42"/>
  <c r="DA50" i="42"/>
  <c r="DA62" i="42" s="1"/>
  <c r="DA12" i="42"/>
  <c r="DA721" i="20"/>
  <c r="DA604" i="20"/>
  <c r="DE610" i="20" s="1"/>
  <c r="DA605" i="20"/>
  <c r="DE611" i="20" s="1"/>
  <c r="DA554" i="20"/>
  <c r="DA404" i="20"/>
  <c r="DD415" i="20" s="1"/>
  <c r="DA353" i="20"/>
  <c r="DE365" i="20" s="1"/>
  <c r="DA299" i="20"/>
  <c r="DE304" i="20" s="1"/>
  <c r="DA283" i="20"/>
  <c r="DE291" i="20" s="1"/>
  <c r="DA241" i="20"/>
  <c r="DE256" i="20" s="1"/>
  <c r="DA199" i="20"/>
  <c r="DA212" i="20" s="1"/>
  <c r="DA193" i="20"/>
  <c r="DE195" i="20" s="1"/>
  <c r="DA150" i="20"/>
  <c r="DA125" i="20"/>
  <c r="DE132" i="20" s="1"/>
  <c r="DD151" i="20" l="1"/>
  <c r="DE159" i="20"/>
  <c r="DD135" i="42"/>
  <c r="DD598" i="20" s="1"/>
  <c r="DF135" i="42"/>
  <c r="DD194" i="20"/>
  <c r="DA206" i="20"/>
  <c r="DA26" i="42"/>
  <c r="DD45" i="42" s="1"/>
  <c r="DD31" i="42"/>
  <c r="DD184" i="42"/>
  <c r="DD177" i="42"/>
  <c r="DF177" i="42" s="1"/>
  <c r="DB776" i="10"/>
  <c r="CZ776" i="10" s="1"/>
  <c r="DB775" i="10"/>
  <c r="DB774" i="10"/>
  <c r="DA1159" i="10"/>
  <c r="DA1161" i="10"/>
  <c r="DA719" i="10"/>
  <c r="B6" i="79"/>
  <c r="F6" i="79"/>
  <c r="J6" i="79"/>
  <c r="B7" i="79"/>
  <c r="C7" i="79"/>
  <c r="F7" i="79"/>
  <c r="G7" i="79"/>
  <c r="J7" i="79"/>
  <c r="K7" i="79"/>
  <c r="B8" i="79"/>
  <c r="C8" i="79"/>
  <c r="F8" i="79"/>
  <c r="G8" i="79"/>
  <c r="J8" i="79"/>
  <c r="K8" i="79"/>
  <c r="B9" i="79"/>
  <c r="C9" i="79"/>
  <c r="F9" i="79"/>
  <c r="G9" i="79"/>
  <c r="J9" i="79"/>
  <c r="K9" i="79"/>
  <c r="B10" i="79"/>
  <c r="C10" i="79"/>
  <c r="F10" i="79"/>
  <c r="G10" i="79"/>
  <c r="B11" i="79"/>
  <c r="C11" i="79"/>
  <c r="F11" i="79"/>
  <c r="G11" i="79"/>
  <c r="J11" i="79"/>
  <c r="K11" i="79"/>
  <c r="F12" i="79"/>
  <c r="G12" i="79"/>
  <c r="J12" i="79"/>
  <c r="K12" i="79"/>
  <c r="F13" i="79"/>
  <c r="G13" i="79"/>
  <c r="J13" i="79"/>
  <c r="K13" i="79"/>
  <c r="B14" i="79"/>
  <c r="F14" i="79"/>
  <c r="G14" i="79"/>
  <c r="J14" i="79"/>
  <c r="K14" i="79"/>
  <c r="B15" i="79"/>
  <c r="C15" i="79"/>
  <c r="F15" i="79"/>
  <c r="G15" i="79"/>
  <c r="J15" i="79"/>
  <c r="K15" i="79"/>
  <c r="B16" i="79"/>
  <c r="C16" i="79"/>
  <c r="F16" i="79"/>
  <c r="G16" i="79"/>
  <c r="B17" i="79"/>
  <c r="C17" i="79"/>
  <c r="F17" i="79"/>
  <c r="G17" i="79"/>
  <c r="J17" i="79"/>
  <c r="K17" i="79"/>
  <c r="B18" i="79"/>
  <c r="C18" i="79"/>
  <c r="F18" i="79"/>
  <c r="G18" i="79"/>
  <c r="J18" i="79"/>
  <c r="K18" i="79"/>
  <c r="B19" i="79"/>
  <c r="C19" i="79"/>
  <c r="F19" i="79"/>
  <c r="G19" i="79"/>
  <c r="J19" i="79"/>
  <c r="K19" i="79"/>
  <c r="B20" i="79"/>
  <c r="C20" i="79"/>
  <c r="F20" i="79"/>
  <c r="G20" i="79"/>
  <c r="CB2" i="49"/>
  <c r="CC2" i="49"/>
  <c r="CD2" i="49"/>
  <c r="CF2" i="49"/>
  <c r="CG2" i="49"/>
  <c r="CH2" i="49"/>
  <c r="CJ2" i="49"/>
  <c r="CK2" i="49"/>
  <c r="CL2" i="49"/>
  <c r="CN2" i="49"/>
  <c r="CO2" i="49"/>
  <c r="CP2" i="49"/>
  <c r="CR2" i="49"/>
  <c r="CS2" i="49"/>
  <c r="CT2" i="49"/>
  <c r="CV2" i="49"/>
  <c r="CW2" i="49"/>
  <c r="CX2" i="49"/>
  <c r="CZ2" i="49"/>
  <c r="DA2" i="49"/>
  <c r="DB2" i="49"/>
  <c r="DD2" i="49"/>
  <c r="DE2" i="49"/>
  <c r="DF2" i="49"/>
  <c r="DI2" i="49"/>
  <c r="DJ2" i="49"/>
  <c r="DL2" i="49"/>
  <c r="DM2" i="49"/>
  <c r="DN2" i="49"/>
  <c r="BL37" i="49"/>
  <c r="BL63" i="49" s="1"/>
  <c r="BL44" i="49"/>
  <c r="BL72" i="49" s="1"/>
  <c r="BL170" i="49" s="1"/>
  <c r="BL273" i="49" s="1"/>
  <c r="BM37" i="49"/>
  <c r="BM63" i="49" s="1"/>
  <c r="BM162" i="49" s="1"/>
  <c r="BM265" i="49" s="1"/>
  <c r="BM44" i="49"/>
  <c r="BM72" i="49" s="1"/>
  <c r="BM170" i="49" s="1"/>
  <c r="BM273" i="49" s="1"/>
  <c r="BP37" i="49"/>
  <c r="BP63" i="49" s="1"/>
  <c r="BP44" i="49"/>
  <c r="BP72" i="49" s="1"/>
  <c r="BP170" i="49" s="1"/>
  <c r="BP273" i="49" s="1"/>
  <c r="BQ37" i="49"/>
  <c r="BQ63" i="49" s="1"/>
  <c r="BQ44" i="49"/>
  <c r="BQ72" i="49" s="1"/>
  <c r="BQ170" i="49" s="1"/>
  <c r="BQ273" i="49" s="1"/>
  <c r="BT37" i="49"/>
  <c r="BT63" i="49" s="1"/>
  <c r="BT162" i="49" s="1"/>
  <c r="BT265" i="49" s="1"/>
  <c r="BT44" i="49"/>
  <c r="BT72" i="49" s="1"/>
  <c r="BT170" i="49" s="1"/>
  <c r="BT273" i="49" s="1"/>
  <c r="CP116" i="49"/>
  <c r="CP322" i="49" s="1"/>
  <c r="DK164" i="49"/>
  <c r="DK166" i="49"/>
  <c r="DK167" i="49"/>
  <c r="DK170" i="49"/>
  <c r="DO164" i="49"/>
  <c r="DO166" i="49"/>
  <c r="DO167" i="49"/>
  <c r="DO170" i="49"/>
  <c r="CT116" i="49"/>
  <c r="CX116" i="49"/>
  <c r="CX219" i="49" s="1"/>
  <c r="DB116" i="49"/>
  <c r="DB219" i="49" s="1"/>
  <c r="CX111" i="49"/>
  <c r="BV111" i="49"/>
  <c r="BV214" i="49" s="1"/>
  <c r="BV232" i="49" s="1"/>
  <c r="BZ111" i="49"/>
  <c r="BZ214" i="49" s="1"/>
  <c r="BZ232" i="49" s="1"/>
  <c r="CD111" i="49"/>
  <c r="CH111" i="49"/>
  <c r="CH214" i="49" s="1"/>
  <c r="CH232" i="49" s="1"/>
  <c r="CL111" i="49"/>
  <c r="CL214" i="49" s="1"/>
  <c r="CL232" i="49" s="1"/>
  <c r="CP111" i="49"/>
  <c r="CP214" i="49" s="1"/>
  <c r="CP232" i="49" s="1"/>
  <c r="CT111" i="49"/>
  <c r="BN19" i="49"/>
  <c r="BR19" i="49"/>
  <c r="BN20" i="49"/>
  <c r="BR20" i="49"/>
  <c r="BN21" i="49"/>
  <c r="BR21" i="49"/>
  <c r="DK267" i="49"/>
  <c r="DK269" i="49"/>
  <c r="DK270" i="49"/>
  <c r="DK273" i="49"/>
  <c r="DO267" i="49"/>
  <c r="DO269" i="49"/>
  <c r="DO270" i="49"/>
  <c r="DO273" i="49"/>
  <c r="BN30" i="49"/>
  <c r="BR30" i="49"/>
  <c r="BV30" i="49"/>
  <c r="BZ30" i="49"/>
  <c r="CD30" i="49"/>
  <c r="CH30" i="49"/>
  <c r="CL30" i="49"/>
  <c r="CP30" i="49"/>
  <c r="BN31" i="49"/>
  <c r="BR31" i="49"/>
  <c r="BN32" i="49"/>
  <c r="BR32" i="49"/>
  <c r="BN33" i="49"/>
  <c r="BR33" i="49"/>
  <c r="AV37" i="49"/>
  <c r="AW37" i="49"/>
  <c r="AZ37" i="49"/>
  <c r="BA37" i="49"/>
  <c r="BD37" i="49"/>
  <c r="BE37" i="49"/>
  <c r="BH37" i="49"/>
  <c r="BH63" i="49" s="1"/>
  <c r="BI37" i="49"/>
  <c r="BI63" i="49" s="1"/>
  <c r="BI162" i="49" s="1"/>
  <c r="BI265" i="49" s="1"/>
  <c r="BU37" i="49"/>
  <c r="BU63" i="49" s="1"/>
  <c r="BU162" i="49" s="1"/>
  <c r="BU265" i="49" s="1"/>
  <c r="BX37" i="49"/>
  <c r="BX63" i="49" s="1"/>
  <c r="BX162" i="49" s="1"/>
  <c r="BX265" i="49" s="1"/>
  <c r="BY37" i="49"/>
  <c r="BY63" i="49" s="1"/>
  <c r="CB37" i="49"/>
  <c r="CB63" i="49" s="1"/>
  <c r="CC37" i="49"/>
  <c r="CC63" i="49" s="1"/>
  <c r="CC162" i="49" s="1"/>
  <c r="CC265" i="49" s="1"/>
  <c r="CF37" i="49"/>
  <c r="CF63" i="49" s="1"/>
  <c r="CG37" i="49"/>
  <c r="CG63" i="49" s="1"/>
  <c r="CJ37" i="49"/>
  <c r="CJ63" i="49" s="1"/>
  <c r="CK37" i="49"/>
  <c r="CK63" i="49" s="1"/>
  <c r="CK162" i="49" s="1"/>
  <c r="CK265" i="49" s="1"/>
  <c r="CN37" i="49"/>
  <c r="CN63" i="49" s="1"/>
  <c r="CO37" i="49"/>
  <c r="CO63" i="49" s="1"/>
  <c r="CR37" i="49"/>
  <c r="CR63" i="49" s="1"/>
  <c r="CS37" i="49"/>
  <c r="CS63" i="49" s="1"/>
  <c r="CS162" i="49" s="1"/>
  <c r="CS265" i="49" s="1"/>
  <c r="CV37" i="49"/>
  <c r="CV63" i="49" s="1"/>
  <c r="CW37" i="49"/>
  <c r="CW63" i="49" s="1"/>
  <c r="CZ37" i="49"/>
  <c r="CZ63" i="49" s="1"/>
  <c r="DA37" i="49"/>
  <c r="DA63" i="49" s="1"/>
  <c r="DA162" i="49" s="1"/>
  <c r="DA265" i="49" s="1"/>
  <c r="AV44" i="49"/>
  <c r="AW44" i="49"/>
  <c r="AZ44" i="49"/>
  <c r="BA44" i="49"/>
  <c r="BD44" i="49"/>
  <c r="BE44" i="49"/>
  <c r="BH44" i="49"/>
  <c r="BH72" i="49" s="1"/>
  <c r="BH170" i="49" s="1"/>
  <c r="BH273" i="49" s="1"/>
  <c r="BI44" i="49"/>
  <c r="BI72" i="49" s="1"/>
  <c r="BI170" i="49" s="1"/>
  <c r="BI273" i="49" s="1"/>
  <c r="BU44" i="49"/>
  <c r="BU72" i="49" s="1"/>
  <c r="BU170" i="49" s="1"/>
  <c r="BU273" i="49" s="1"/>
  <c r="BX44" i="49"/>
  <c r="BX72" i="49" s="1"/>
  <c r="BX170" i="49" s="1"/>
  <c r="BX273" i="49" s="1"/>
  <c r="BY44" i="49"/>
  <c r="BY72" i="49" s="1"/>
  <c r="BY170" i="49" s="1"/>
  <c r="BY273" i="49" s="1"/>
  <c r="CB44" i="49"/>
  <c r="CB72" i="49" s="1"/>
  <c r="CB170" i="49" s="1"/>
  <c r="CB273" i="49" s="1"/>
  <c r="CC44" i="49"/>
  <c r="CC72" i="49" s="1"/>
  <c r="CC170" i="49" s="1"/>
  <c r="CC273" i="49" s="1"/>
  <c r="CF44" i="49"/>
  <c r="CF72" i="49" s="1"/>
  <c r="CG44" i="49"/>
  <c r="CG72" i="49" s="1"/>
  <c r="CG170" i="49" s="1"/>
  <c r="CG273" i="49" s="1"/>
  <c r="CJ44" i="49"/>
  <c r="CJ72" i="49" s="1"/>
  <c r="CK44" i="49"/>
  <c r="CK72" i="49" s="1"/>
  <c r="CK170" i="49" s="1"/>
  <c r="CK273" i="49" s="1"/>
  <c r="CN44" i="49"/>
  <c r="CN72" i="49" s="1"/>
  <c r="CO44" i="49"/>
  <c r="CO72" i="49" s="1"/>
  <c r="CO170" i="49" s="1"/>
  <c r="CO273" i="49" s="1"/>
  <c r="CR44" i="49"/>
  <c r="CR72" i="49" s="1"/>
  <c r="CS44" i="49"/>
  <c r="CS72" i="49" s="1"/>
  <c r="CS170" i="49" s="1"/>
  <c r="CS273" i="49" s="1"/>
  <c r="CV44" i="49"/>
  <c r="CV72" i="49" s="1"/>
  <c r="CW44" i="49"/>
  <c r="CW72" i="49" s="1"/>
  <c r="CW170" i="49" s="1"/>
  <c r="CZ44" i="49"/>
  <c r="CZ72" i="49" s="1"/>
  <c r="DA44" i="49"/>
  <c r="DA72" i="49" s="1"/>
  <c r="DA170" i="49" s="1"/>
  <c r="DA273" i="49" s="1"/>
  <c r="BF107" i="49"/>
  <c r="BJ107" i="49"/>
  <c r="BN107" i="49"/>
  <c r="BZ107" i="49"/>
  <c r="BZ313" i="49" s="1"/>
  <c r="CD107" i="49"/>
  <c r="CH107" i="49"/>
  <c r="CH210" i="49" s="1"/>
  <c r="CP107" i="49"/>
  <c r="CP210" i="49" s="1"/>
  <c r="CX107" i="49"/>
  <c r="CX313" i="49" s="1"/>
  <c r="DB107" i="49"/>
  <c r="BF108" i="49"/>
  <c r="BJ108" i="49"/>
  <c r="BJ314" i="49" s="1"/>
  <c r="BN108" i="49"/>
  <c r="BR108" i="49"/>
  <c r="BR211" i="49" s="1"/>
  <c r="BV108" i="49"/>
  <c r="BZ108" i="49"/>
  <c r="CD108" i="49"/>
  <c r="CD211" i="49" s="1"/>
  <c r="CH108" i="49"/>
  <c r="CH314" i="49" s="1"/>
  <c r="CL108" i="49"/>
  <c r="CP108" i="49"/>
  <c r="CP211" i="49" s="1"/>
  <c r="CT108" i="49"/>
  <c r="CT314" i="49" s="1"/>
  <c r="CX108" i="49"/>
  <c r="CX211" i="49" s="1"/>
  <c r="DB108" i="49"/>
  <c r="BF109" i="49"/>
  <c r="BF212" i="49" s="1"/>
  <c r="BJ109" i="49"/>
  <c r="BN109" i="49"/>
  <c r="BR109" i="49"/>
  <c r="BZ109" i="49"/>
  <c r="CD109" i="49"/>
  <c r="CD315" i="49" s="1"/>
  <c r="CH109" i="49"/>
  <c r="CL109" i="49"/>
  <c r="CP109" i="49"/>
  <c r="CP315" i="49" s="1"/>
  <c r="CT109" i="49"/>
  <c r="CT212" i="49" s="1"/>
  <c r="CX109" i="49"/>
  <c r="CX212" i="49" s="1"/>
  <c r="DB109" i="49"/>
  <c r="BF111" i="49"/>
  <c r="BF214" i="49" s="1"/>
  <c r="BJ111" i="49"/>
  <c r="BJ317" i="49" s="1"/>
  <c r="BN111" i="49"/>
  <c r="BR111" i="49"/>
  <c r="BR317" i="49" s="1"/>
  <c r="DB111" i="49"/>
  <c r="BF113" i="49"/>
  <c r="BF216" i="49" s="1"/>
  <c r="BJ113" i="49"/>
  <c r="BJ216" i="49" s="1"/>
  <c r="BN113" i="49"/>
  <c r="BR113" i="49"/>
  <c r="BR319" i="49" s="1"/>
  <c r="BV113" i="49"/>
  <c r="BV216" i="49" s="1"/>
  <c r="BZ113" i="49"/>
  <c r="BZ216" i="49" s="1"/>
  <c r="CD113" i="49"/>
  <c r="CD216" i="49" s="1"/>
  <c r="BF116" i="49"/>
  <c r="BF219" i="49" s="1"/>
  <c r="BJ116" i="49"/>
  <c r="BL116" i="49"/>
  <c r="BN116" i="49"/>
  <c r="BN219" i="49" s="1"/>
  <c r="BP116" i="49"/>
  <c r="BR116" i="49"/>
  <c r="BR322" i="49" s="1"/>
  <c r="BT116" i="49"/>
  <c r="BV116" i="49"/>
  <c r="BV322" i="49" s="1"/>
  <c r="BZ116" i="49"/>
  <c r="BZ322" i="49" s="1"/>
  <c r="CD116" i="49"/>
  <c r="CD219" i="49" s="1"/>
  <c r="CH116" i="49"/>
  <c r="CH322" i="49" s="1"/>
  <c r="CL116" i="49"/>
  <c r="BF123" i="49"/>
  <c r="BJ123" i="49"/>
  <c r="BL126" i="49"/>
  <c r="BM126" i="49"/>
  <c r="BP126" i="49"/>
  <c r="BQ126" i="49"/>
  <c r="BT126" i="49"/>
  <c r="BU126" i="49"/>
  <c r="BX126" i="49"/>
  <c r="BY126" i="49"/>
  <c r="CB126" i="49"/>
  <c r="CC126" i="49"/>
  <c r="CF126" i="49"/>
  <c r="CG126" i="49"/>
  <c r="CJ126" i="49"/>
  <c r="CK126" i="49"/>
  <c r="CN126" i="49"/>
  <c r="CO126" i="49"/>
  <c r="CR126" i="49"/>
  <c r="CS126" i="49"/>
  <c r="CV126" i="49"/>
  <c r="CW126" i="49"/>
  <c r="CZ126" i="49"/>
  <c r="DA126" i="49"/>
  <c r="BL127" i="49"/>
  <c r="BM127" i="49"/>
  <c r="BP127" i="49"/>
  <c r="BQ127" i="49"/>
  <c r="BT127" i="49"/>
  <c r="DK168" i="49"/>
  <c r="DO168" i="49" s="1"/>
  <c r="DS168" i="49" s="1"/>
  <c r="DK271" i="49"/>
  <c r="DO271" i="49" s="1"/>
  <c r="DS271" i="49" s="1"/>
  <c r="I6" i="78"/>
  <c r="I7" i="78"/>
  <c r="F8" i="78"/>
  <c r="F13" i="78" s="1"/>
  <c r="D13" i="78" s="1"/>
  <c r="I8" i="78"/>
  <c r="I9" i="78"/>
  <c r="D10" i="78"/>
  <c r="D10" i="79" s="1"/>
  <c r="I10" i="78"/>
  <c r="D39" i="78"/>
  <c r="L12" i="79" s="1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F28" i="78"/>
  <c r="F29" i="78" s="1"/>
  <c r="I28" i="78"/>
  <c r="I29" i="78"/>
  <c r="I30" i="78"/>
  <c r="D32" i="78"/>
  <c r="D19" i="79" s="1"/>
  <c r="I31" i="78"/>
  <c r="I32" i="78"/>
  <c r="I33" i="78"/>
  <c r="I34" i="78"/>
  <c r="D35" i="78"/>
  <c r="M35" i="78" s="1"/>
  <c r="I35" i="78"/>
  <c r="D36" i="78"/>
  <c r="L8" i="79" s="1"/>
  <c r="I36" i="78"/>
  <c r="I37" i="78"/>
  <c r="I38" i="78"/>
  <c r="I39" i="78"/>
  <c r="I40" i="78"/>
  <c r="I41" i="78"/>
  <c r="I42" i="78"/>
  <c r="I43" i="78"/>
  <c r="I44" i="78"/>
  <c r="I45" i="78"/>
  <c r="F67" i="78"/>
  <c r="D70" i="78"/>
  <c r="D78" i="78"/>
  <c r="D79" i="78"/>
  <c r="F85" i="78"/>
  <c r="D91" i="78"/>
  <c r="D93" i="78"/>
  <c r="F101" i="78"/>
  <c r="F102" i="78" s="1"/>
  <c r="B20" i="51"/>
  <c r="B24" i="51"/>
  <c r="B25" i="51" s="1"/>
  <c r="C20" i="51"/>
  <c r="C24" i="51"/>
  <c r="C25" i="51" s="1"/>
  <c r="AI4" i="51"/>
  <c r="BO47" i="51"/>
  <c r="AI5" i="51"/>
  <c r="BO40" i="51"/>
  <c r="AI6" i="51"/>
  <c r="BO49" i="51"/>
  <c r="AI7" i="51"/>
  <c r="BO50" i="51"/>
  <c r="AI8" i="51"/>
  <c r="AI9" i="51"/>
  <c r="BO52" i="51"/>
  <c r="AI10" i="51"/>
  <c r="AI11" i="51"/>
  <c r="AN12" i="51"/>
  <c r="AO12" i="51"/>
  <c r="AP12" i="51"/>
  <c r="AR12" i="51"/>
  <c r="AS12" i="51"/>
  <c r="AT12" i="51"/>
  <c r="B14" i="51"/>
  <c r="C14" i="51"/>
  <c r="G14" i="51"/>
  <c r="K14" i="51"/>
  <c r="O14" i="51"/>
  <c r="S14" i="51"/>
  <c r="T14" i="51"/>
  <c r="AJ18" i="51"/>
  <c r="AN18" i="51"/>
  <c r="AJ19" i="51"/>
  <c r="AN19" i="51"/>
  <c r="AJ20" i="51"/>
  <c r="AN20" i="51"/>
  <c r="Y21" i="51"/>
  <c r="AC21" i="51"/>
  <c r="AJ21" i="51"/>
  <c r="AN21" i="51"/>
  <c r="AR21" i="51"/>
  <c r="Y22" i="51"/>
  <c r="AC22" i="51"/>
  <c r="AJ22" i="51"/>
  <c r="AN22" i="51"/>
  <c r="AR22" i="51"/>
  <c r="AJ23" i="51"/>
  <c r="AN23" i="51"/>
  <c r="AJ24" i="51"/>
  <c r="AN24" i="51"/>
  <c r="AJ25" i="51"/>
  <c r="AN25" i="51"/>
  <c r="AJ26" i="51"/>
  <c r="AN26" i="51"/>
  <c r="AJ27" i="51"/>
  <c r="AN27" i="51"/>
  <c r="AJ28" i="51"/>
  <c r="AN28" i="51"/>
  <c r="B30" i="51"/>
  <c r="C30" i="51"/>
  <c r="G30" i="51"/>
  <c r="K30" i="51"/>
  <c r="O30" i="51"/>
  <c r="S30" i="51"/>
  <c r="B31" i="51"/>
  <c r="C31" i="51"/>
  <c r="G31" i="51"/>
  <c r="K31" i="51"/>
  <c r="O31" i="51"/>
  <c r="S31" i="51"/>
  <c r="B32" i="51"/>
  <c r="C32" i="51"/>
  <c r="G32" i="51"/>
  <c r="K32" i="51"/>
  <c r="O32" i="51"/>
  <c r="S32" i="51"/>
  <c r="AF80" i="51"/>
  <c r="AD79" i="51"/>
  <c r="AE79" i="51"/>
  <c r="B33" i="51"/>
  <c r="C33" i="51"/>
  <c r="G33" i="51"/>
  <c r="K33" i="51"/>
  <c r="O33" i="51"/>
  <c r="S33" i="51"/>
  <c r="AB34" i="51"/>
  <c r="AB50" i="51" s="1"/>
  <c r="AF34" i="51"/>
  <c r="AF50" i="51" s="1"/>
  <c r="B35" i="51"/>
  <c r="C35" i="51"/>
  <c r="G35" i="51"/>
  <c r="K35" i="51"/>
  <c r="O35" i="51"/>
  <c r="S35" i="51"/>
  <c r="B36" i="51"/>
  <c r="C36" i="51"/>
  <c r="G36" i="51"/>
  <c r="K36" i="51"/>
  <c r="O36" i="51"/>
  <c r="S36" i="51"/>
  <c r="CK37" i="51"/>
  <c r="B38" i="51"/>
  <c r="C38" i="51"/>
  <c r="G38" i="51"/>
  <c r="K38" i="51"/>
  <c r="O38" i="51"/>
  <c r="S38" i="51"/>
  <c r="B39" i="51"/>
  <c r="C39" i="51"/>
  <c r="G39" i="51"/>
  <c r="K39" i="51"/>
  <c r="O39" i="51"/>
  <c r="S39" i="51"/>
  <c r="B40" i="51"/>
  <c r="C40" i="51"/>
  <c r="G40" i="51"/>
  <c r="K40" i="51"/>
  <c r="O40" i="51"/>
  <c r="S40" i="51"/>
  <c r="AF78" i="51"/>
  <c r="AF86" i="51" s="1"/>
  <c r="AF40" i="51" s="1"/>
  <c r="AF48" i="51" s="1"/>
  <c r="BC40" i="51"/>
  <c r="BC48" i="51" s="1"/>
  <c r="BG40" i="51"/>
  <c r="BG48" i="51" s="1"/>
  <c r="BK40" i="51"/>
  <c r="BK48" i="51" s="1"/>
  <c r="BS48" i="51"/>
  <c r="CL40" i="51" s="1"/>
  <c r="B41" i="51"/>
  <c r="C41" i="51"/>
  <c r="G41" i="51"/>
  <c r="K41" i="51"/>
  <c r="O41" i="51"/>
  <c r="S41" i="51"/>
  <c r="B43" i="51"/>
  <c r="C43" i="51"/>
  <c r="G43" i="51"/>
  <c r="K43" i="51"/>
  <c r="O43" i="51"/>
  <c r="S43" i="51"/>
  <c r="B44" i="51"/>
  <c r="C44" i="51"/>
  <c r="G44" i="51"/>
  <c r="K44" i="51"/>
  <c r="O44" i="51"/>
  <c r="S44" i="51"/>
  <c r="T46" i="51"/>
  <c r="T47" i="51"/>
  <c r="AB47" i="51"/>
  <c r="AF47" i="51"/>
  <c r="AM47" i="51"/>
  <c r="AQ47" i="51"/>
  <c r="AU47" i="51"/>
  <c r="AY47" i="51"/>
  <c r="BC47" i="51"/>
  <c r="BG47" i="51"/>
  <c r="BK47" i="51"/>
  <c r="BS47" i="51"/>
  <c r="CL39" i="51" s="1"/>
  <c r="T48" i="51"/>
  <c r="AB48" i="51"/>
  <c r="T49" i="51"/>
  <c r="AB49" i="51"/>
  <c r="AF49" i="51"/>
  <c r="AM49" i="51"/>
  <c r="AQ49" i="51"/>
  <c r="AU49" i="51"/>
  <c r="AY49" i="51"/>
  <c r="BC49" i="51"/>
  <c r="BG49" i="51"/>
  <c r="BK49" i="51"/>
  <c r="BS49" i="51"/>
  <c r="CL41" i="51" s="1"/>
  <c r="AM50" i="51"/>
  <c r="AQ50" i="51"/>
  <c r="AU50" i="51"/>
  <c r="AY50" i="51"/>
  <c r="BC50" i="51"/>
  <c r="BG50" i="51"/>
  <c r="BK50" i="51"/>
  <c r="BS50" i="51"/>
  <c r="CL42" i="51" s="1"/>
  <c r="T51" i="51"/>
  <c r="AB51" i="51"/>
  <c r="AF51" i="51"/>
  <c r="AM51" i="51"/>
  <c r="AQ51" i="51"/>
  <c r="T52" i="51"/>
  <c r="AB52" i="51"/>
  <c r="AF52" i="51"/>
  <c r="AM52" i="51"/>
  <c r="AQ52" i="51"/>
  <c r="AU52" i="51"/>
  <c r="AY52" i="51"/>
  <c r="BC52" i="51"/>
  <c r="BG52" i="51"/>
  <c r="BK52" i="51"/>
  <c r="BS52" i="51"/>
  <c r="CL43" i="51" s="1"/>
  <c r="AC55" i="51"/>
  <c r="AD55" i="51"/>
  <c r="AE55" i="51"/>
  <c r="AR55" i="51"/>
  <c r="AS55" i="51"/>
  <c r="AT55" i="51"/>
  <c r="AB71" i="51"/>
  <c r="AF71" i="51" s="1"/>
  <c r="AN77" i="51"/>
  <c r="AR77" i="51"/>
  <c r="AN78" i="51"/>
  <c r="AR78" i="51"/>
  <c r="AN79" i="51"/>
  <c r="AR79" i="51"/>
  <c r="AY80" i="51"/>
  <c r="BC80" i="51"/>
  <c r="BC87" i="51" s="1"/>
  <c r="BG80" i="51"/>
  <c r="BG87" i="51" s="1"/>
  <c r="BK80" i="51"/>
  <c r="BK87" i="51" s="1"/>
  <c r="BO80" i="51"/>
  <c r="BO87" i="51" s="1"/>
  <c r="BS80" i="51"/>
  <c r="BS87" i="51" s="1"/>
  <c r="BT3" i="46"/>
  <c r="BU3" i="46"/>
  <c r="BV3" i="46"/>
  <c r="BW3" i="46"/>
  <c r="BX3" i="46"/>
  <c r="BY3" i="46"/>
  <c r="BZ3" i="46"/>
  <c r="CA3" i="46"/>
  <c r="CB3" i="46"/>
  <c r="CC3" i="46"/>
  <c r="CD3" i="46"/>
  <c r="CE3" i="46"/>
  <c r="CF3" i="46"/>
  <c r="CG3" i="46"/>
  <c r="CH3" i="46"/>
  <c r="CI3" i="46"/>
  <c r="CJ3" i="46"/>
  <c r="CK3" i="46"/>
  <c r="CL3" i="46"/>
  <c r="CM3" i="46"/>
  <c r="CN3" i="46"/>
  <c r="CO3" i="46"/>
  <c r="CP3" i="46"/>
  <c r="CQ3" i="46"/>
  <c r="CR3" i="46"/>
  <c r="CS3" i="46"/>
  <c r="CT3" i="46"/>
  <c r="CU3" i="46"/>
  <c r="CV3" i="46"/>
  <c r="CW3" i="46"/>
  <c r="CX3" i="46"/>
  <c r="CY3" i="46"/>
  <c r="CZ3" i="46"/>
  <c r="DA3" i="46"/>
  <c r="DB3" i="46"/>
  <c r="DC3" i="46"/>
  <c r="DD3" i="46"/>
  <c r="DE3" i="46"/>
  <c r="DF3" i="46"/>
  <c r="DG3" i="46"/>
  <c r="DI3" i="46"/>
  <c r="DJ3" i="46"/>
  <c r="DK3" i="46"/>
  <c r="DL3" i="46"/>
  <c r="DM3" i="46"/>
  <c r="DN3" i="46"/>
  <c r="DO3" i="46"/>
  <c r="BT4" i="46"/>
  <c r="BU4" i="46"/>
  <c r="BV4" i="46"/>
  <c r="BX4" i="46"/>
  <c r="BY4" i="46"/>
  <c r="BZ4" i="46"/>
  <c r="CB4" i="46"/>
  <c r="CC4" i="46"/>
  <c r="CD4" i="46"/>
  <c r="CF4" i="46"/>
  <c r="CG4" i="46"/>
  <c r="CH4" i="46"/>
  <c r="CJ4" i="46"/>
  <c r="CK4" i="46"/>
  <c r="CL4" i="46"/>
  <c r="CN4" i="46"/>
  <c r="CO4" i="46"/>
  <c r="CP4" i="46"/>
  <c r="CR4" i="46"/>
  <c r="CS4" i="46"/>
  <c r="CT4" i="46"/>
  <c r="CV4" i="46"/>
  <c r="CW4" i="46"/>
  <c r="CX4" i="46"/>
  <c r="CZ4" i="46"/>
  <c r="DA4" i="46"/>
  <c r="DB4" i="46"/>
  <c r="DD4" i="46"/>
  <c r="DE4" i="46"/>
  <c r="DF4" i="46"/>
  <c r="DI4" i="46"/>
  <c r="DJ4" i="46"/>
  <c r="DL4" i="46"/>
  <c r="DM4" i="46"/>
  <c r="DN4" i="46"/>
  <c r="AP13" i="46"/>
  <c r="AT13" i="46"/>
  <c r="AV13" i="46"/>
  <c r="AV18" i="46" s="1"/>
  <c r="AV23" i="46" s="1"/>
  <c r="AX13" i="46"/>
  <c r="BB13" i="46"/>
  <c r="BF13" i="46"/>
  <c r="BJ13" i="46"/>
  <c r="BN13" i="46"/>
  <c r="BR13" i="46"/>
  <c r="BT13" i="46"/>
  <c r="BU13" i="46"/>
  <c r="BX13" i="46"/>
  <c r="BY13" i="46"/>
  <c r="BZ13" i="46" s="1"/>
  <c r="CB13" i="46"/>
  <c r="CC13" i="46"/>
  <c r="CD13" i="46" s="1"/>
  <c r="CF13" i="46"/>
  <c r="CG13" i="46"/>
  <c r="CH13" i="46" s="1"/>
  <c r="CJ13" i="46"/>
  <c r="CK13" i="46"/>
  <c r="CL13" i="46" s="1"/>
  <c r="CN13" i="46"/>
  <c r="CO13" i="46"/>
  <c r="CP13" i="46" s="1"/>
  <c r="CR13" i="46"/>
  <c r="CS13" i="46"/>
  <c r="CT13" i="46" s="1"/>
  <c r="CV13" i="46"/>
  <c r="CW13" i="46"/>
  <c r="CZ13" i="46"/>
  <c r="DA13" i="46"/>
  <c r="DB13" i="46" s="1"/>
  <c r="AP14" i="46"/>
  <c r="AT14" i="46"/>
  <c r="AX14" i="46"/>
  <c r="BB14" i="46"/>
  <c r="BF14" i="46"/>
  <c r="BJ14" i="46"/>
  <c r="BN14" i="46"/>
  <c r="BR14" i="46"/>
  <c r="BT14" i="46"/>
  <c r="BU14" i="46"/>
  <c r="BX14" i="46"/>
  <c r="BX40" i="46" s="1"/>
  <c r="BY14" i="46"/>
  <c r="BZ14" i="46" s="1"/>
  <c r="CB14" i="46"/>
  <c r="CB40" i="46" s="1"/>
  <c r="CC14" i="46"/>
  <c r="CD14" i="46" s="1"/>
  <c r="CF14" i="46"/>
  <c r="CF40" i="46" s="1"/>
  <c r="CG14" i="46"/>
  <c r="CH14" i="46" s="1"/>
  <c r="CJ14" i="46"/>
  <c r="CK14" i="46"/>
  <c r="CK40" i="46" s="1"/>
  <c r="CN14" i="46"/>
  <c r="CN40" i="46" s="1"/>
  <c r="CO14" i="46"/>
  <c r="CR14" i="46"/>
  <c r="CR40" i="46" s="1"/>
  <c r="CS14" i="46"/>
  <c r="CT14" i="46" s="1"/>
  <c r="CV14" i="46"/>
  <c r="CV40" i="46" s="1"/>
  <c r="CW14" i="46"/>
  <c r="CX14" i="46" s="1"/>
  <c r="CZ14" i="46"/>
  <c r="CZ40" i="46" s="1"/>
  <c r="DA14" i="46"/>
  <c r="DA40" i="46" s="1"/>
  <c r="AP15" i="46"/>
  <c r="AT15" i="46"/>
  <c r="AX15" i="46"/>
  <c r="BB15" i="46"/>
  <c r="BF15" i="46"/>
  <c r="BJ15" i="46"/>
  <c r="BN15" i="46"/>
  <c r="BR15" i="46"/>
  <c r="BT15" i="46"/>
  <c r="BT41" i="46" s="1"/>
  <c r="BU15" i="46"/>
  <c r="BV15" i="46" s="1"/>
  <c r="BX15" i="46"/>
  <c r="BX41" i="46" s="1"/>
  <c r="BY15" i="46"/>
  <c r="BZ15" i="46" s="1"/>
  <c r="CB15" i="46"/>
  <c r="CB41" i="46" s="1"/>
  <c r="CC15" i="46"/>
  <c r="CD15" i="46" s="1"/>
  <c r="CF15" i="46"/>
  <c r="CF41" i="46" s="1"/>
  <c r="CG15" i="46"/>
  <c r="CJ15" i="46"/>
  <c r="CJ41" i="46" s="1"/>
  <c r="CK15" i="46"/>
  <c r="CN15" i="46"/>
  <c r="CN41" i="46" s="1"/>
  <c r="CO15" i="46"/>
  <c r="CR15" i="46"/>
  <c r="CS15" i="46"/>
  <c r="CT15" i="46" s="1"/>
  <c r="CV15" i="46"/>
  <c r="CV41" i="46" s="1"/>
  <c r="CW15" i="46"/>
  <c r="CX15" i="46" s="1"/>
  <c r="CZ15" i="46"/>
  <c r="CZ41" i="46" s="1"/>
  <c r="DA15" i="46"/>
  <c r="DB15" i="46" s="1"/>
  <c r="AP16" i="46"/>
  <c r="AT16" i="46"/>
  <c r="AX16" i="46"/>
  <c r="BB16" i="46"/>
  <c r="BF16" i="46"/>
  <c r="BJ16" i="46"/>
  <c r="BN16" i="46"/>
  <c r="BR16" i="46"/>
  <c r="BT16" i="46"/>
  <c r="BU16" i="46"/>
  <c r="BV16" i="46" s="1"/>
  <c r="BX16" i="46"/>
  <c r="BY16" i="46"/>
  <c r="BZ16" i="46" s="1"/>
  <c r="CB16" i="46"/>
  <c r="CC16" i="46"/>
  <c r="CD16" i="46" s="1"/>
  <c r="CF16" i="46"/>
  <c r="CG16" i="46"/>
  <c r="CH16" i="46" s="1"/>
  <c r="CJ16" i="46"/>
  <c r="CK16" i="46"/>
  <c r="CL16" i="46" s="1"/>
  <c r="CN16" i="46"/>
  <c r="CO16" i="46"/>
  <c r="CP16" i="46" s="1"/>
  <c r="CR16" i="46"/>
  <c r="CS16" i="46"/>
  <c r="CT16" i="46" s="1"/>
  <c r="CV16" i="46"/>
  <c r="CW16" i="46"/>
  <c r="CX16" i="46" s="1"/>
  <c r="CZ16" i="46"/>
  <c r="DA16" i="46"/>
  <c r="DB16" i="46" s="1"/>
  <c r="AP17" i="46"/>
  <c r="AT17" i="46"/>
  <c r="AX17" i="46"/>
  <c r="BB17" i="46"/>
  <c r="BF17" i="46"/>
  <c r="BJ17" i="46"/>
  <c r="BN17" i="46"/>
  <c r="BR17" i="46"/>
  <c r="BT17" i="46"/>
  <c r="BU17" i="46"/>
  <c r="BX17" i="46"/>
  <c r="BY17" i="46"/>
  <c r="BZ17" i="46" s="1"/>
  <c r="CB17" i="46"/>
  <c r="CC17" i="46"/>
  <c r="CD17" i="46" s="1"/>
  <c r="CF17" i="46"/>
  <c r="CG17" i="46"/>
  <c r="CH17" i="46" s="1"/>
  <c r="CJ17" i="46"/>
  <c r="CK17" i="46"/>
  <c r="CL17" i="46" s="1"/>
  <c r="CN17" i="46"/>
  <c r="CO17" i="46"/>
  <c r="CP17" i="46" s="1"/>
  <c r="CR17" i="46"/>
  <c r="CS17" i="46"/>
  <c r="CT17" i="46" s="1"/>
  <c r="CV17" i="46"/>
  <c r="CW17" i="46"/>
  <c r="CX17" i="46" s="1"/>
  <c r="CZ17" i="46"/>
  <c r="DA17" i="46"/>
  <c r="DB17" i="46" s="1"/>
  <c r="AO18" i="46"/>
  <c r="AO23" i="46" s="1"/>
  <c r="AR18" i="46"/>
  <c r="AR23" i="46" s="1"/>
  <c r="AS18" i="46"/>
  <c r="AS23" i="46" s="1"/>
  <c r="AW18" i="46"/>
  <c r="AW23" i="46" s="1"/>
  <c r="AZ18" i="46"/>
  <c r="AZ23" i="46" s="1"/>
  <c r="BA18" i="46"/>
  <c r="BA23" i="46" s="1"/>
  <c r="BD18" i="46"/>
  <c r="BD23" i="46" s="1"/>
  <c r="BE18" i="46"/>
  <c r="BE23" i="46" s="1"/>
  <c r="BH18" i="46"/>
  <c r="BH23" i="46" s="1"/>
  <c r="BI18" i="46"/>
  <c r="BI23" i="46" s="1"/>
  <c r="BL18" i="46"/>
  <c r="BL23" i="46" s="1"/>
  <c r="BM18" i="46"/>
  <c r="BM23" i="46" s="1"/>
  <c r="BP18" i="46"/>
  <c r="BP23" i="46" s="1"/>
  <c r="BQ18" i="46"/>
  <c r="BQ23" i="46" s="1"/>
  <c r="AP19" i="46"/>
  <c r="AT19" i="46"/>
  <c r="AX19" i="46"/>
  <c r="BB19" i="46"/>
  <c r="BF19" i="46"/>
  <c r="BJ19" i="46"/>
  <c r="BN19" i="46"/>
  <c r="BR19" i="46"/>
  <c r="BV19" i="46"/>
  <c r="BZ19" i="46"/>
  <c r="CD19" i="46"/>
  <c r="CH19" i="46"/>
  <c r="CL19" i="46"/>
  <c r="CP19" i="46"/>
  <c r="CT19" i="46"/>
  <c r="CX19" i="46"/>
  <c r="DB19" i="46"/>
  <c r="AP20" i="46"/>
  <c r="AT20" i="46"/>
  <c r="AX20" i="46"/>
  <c r="BB20" i="46"/>
  <c r="BF20" i="46"/>
  <c r="BJ20" i="46"/>
  <c r="BN20" i="46"/>
  <c r="BR20" i="46"/>
  <c r="BT20" i="46"/>
  <c r="BT33" i="46" s="1"/>
  <c r="BT46" i="46" s="1"/>
  <c r="BU20" i="46"/>
  <c r="BV20" i="46" s="1"/>
  <c r="BX20" i="46"/>
  <c r="BY20" i="46"/>
  <c r="BZ20" i="46" s="1"/>
  <c r="CB20" i="46"/>
  <c r="CB33" i="46" s="1"/>
  <c r="CC20" i="46"/>
  <c r="CD20" i="46" s="1"/>
  <c r="CF20" i="46"/>
  <c r="CF33" i="46" s="1"/>
  <c r="CF46" i="46" s="1"/>
  <c r="CG20" i="46"/>
  <c r="CH20" i="46" s="1"/>
  <c r="CJ20" i="46"/>
  <c r="CJ33" i="46" s="1"/>
  <c r="CJ46" i="46" s="1"/>
  <c r="CK20" i="46"/>
  <c r="CK33" i="46" s="1"/>
  <c r="CL33" i="46" s="1"/>
  <c r="CN20" i="46"/>
  <c r="CN33" i="46" s="1"/>
  <c r="CN46" i="46" s="1"/>
  <c r="CO20" i="46"/>
  <c r="CO33" i="46" s="1"/>
  <c r="CP33" i="46" s="1"/>
  <c r="CR20" i="46"/>
  <c r="CR33" i="46" s="1"/>
  <c r="CS20" i="46"/>
  <c r="CT20" i="46" s="1"/>
  <c r="CV20" i="46"/>
  <c r="CV33" i="46" s="1"/>
  <c r="CW20" i="46"/>
  <c r="CX20" i="46" s="1"/>
  <c r="CZ20" i="46"/>
  <c r="CZ33" i="46" s="1"/>
  <c r="DA20" i="46"/>
  <c r="DB20" i="46" s="1"/>
  <c r="AP22" i="46"/>
  <c r="AT22" i="46"/>
  <c r="AX22" i="46"/>
  <c r="BB22" i="46"/>
  <c r="BF22" i="46"/>
  <c r="BJ22" i="46"/>
  <c r="BN22" i="46"/>
  <c r="BR22" i="46"/>
  <c r="BT22" i="46"/>
  <c r="BT47" i="46" s="1"/>
  <c r="BU22" i="46"/>
  <c r="BV22" i="46" s="1"/>
  <c r="BX22" i="46"/>
  <c r="BX47" i="46" s="1"/>
  <c r="BY22" i="46"/>
  <c r="CB22" i="46"/>
  <c r="CB47" i="46" s="1"/>
  <c r="CC22" i="46"/>
  <c r="CD22" i="46" s="1"/>
  <c r="CF22" i="46"/>
  <c r="CF47" i="46" s="1"/>
  <c r="CG22" i="46"/>
  <c r="CH22" i="46" s="1"/>
  <c r="CJ22" i="46"/>
  <c r="CJ47" i="46" s="1"/>
  <c r="CK22" i="46"/>
  <c r="CL22" i="46" s="1"/>
  <c r="CN22" i="46"/>
  <c r="CN47" i="46" s="1"/>
  <c r="CO22" i="46"/>
  <c r="CP22" i="46" s="1"/>
  <c r="CR22" i="46"/>
  <c r="CR47" i="46" s="1"/>
  <c r="CS22" i="46"/>
  <c r="CT22" i="46" s="1"/>
  <c r="CV22" i="46"/>
  <c r="CV47" i="46" s="1"/>
  <c r="CW22" i="46"/>
  <c r="CZ22" i="46"/>
  <c r="CZ47" i="46" s="1"/>
  <c r="DA22" i="46"/>
  <c r="DB22" i="46" s="1"/>
  <c r="AO26" i="46"/>
  <c r="AP26" i="46" s="1"/>
  <c r="AR26" i="46"/>
  <c r="AR39" i="46" s="1"/>
  <c r="AS26" i="46"/>
  <c r="AS39" i="46" s="1"/>
  <c r="AT39" i="46" s="1"/>
  <c r="AV283" i="46"/>
  <c r="AW26" i="46"/>
  <c r="AX26" i="46" s="1"/>
  <c r="AZ26" i="46"/>
  <c r="BA26" i="46"/>
  <c r="BD26" i="46"/>
  <c r="BD39" i="46" s="1"/>
  <c r="BH26" i="46"/>
  <c r="BH39" i="46" s="1"/>
  <c r="BI26" i="46"/>
  <c r="BL26" i="46"/>
  <c r="BL39" i="46" s="1"/>
  <c r="BM26" i="46"/>
  <c r="BP26" i="46"/>
  <c r="BP39" i="46" s="1"/>
  <c r="BQ26" i="46"/>
  <c r="BR26" i="46" s="1"/>
  <c r="BT26" i="46"/>
  <c r="BU26" i="46"/>
  <c r="BV26" i="46" s="1"/>
  <c r="BX26" i="46"/>
  <c r="BY26" i="46"/>
  <c r="BZ26" i="46" s="1"/>
  <c r="CB26" i="46"/>
  <c r="CC26" i="46"/>
  <c r="CD26" i="46" s="1"/>
  <c r="CF26" i="46"/>
  <c r="CG26" i="46"/>
  <c r="CH26" i="46" s="1"/>
  <c r="CJ26" i="46"/>
  <c r="CK26" i="46"/>
  <c r="CL26" i="46" s="1"/>
  <c r="CN26" i="46"/>
  <c r="CO26" i="46"/>
  <c r="CP26" i="46" s="1"/>
  <c r="CR26" i="46"/>
  <c r="CS26" i="46"/>
  <c r="CT26" i="46" s="1"/>
  <c r="CV26" i="46"/>
  <c r="CW26" i="46"/>
  <c r="CX26" i="46" s="1"/>
  <c r="CZ26" i="46"/>
  <c r="DA26" i="46"/>
  <c r="DB26" i="46" s="1"/>
  <c r="AP27" i="46"/>
  <c r="AT27" i="46"/>
  <c r="AX27" i="46"/>
  <c r="BB27" i="46"/>
  <c r="BF27" i="46"/>
  <c r="BJ27" i="46"/>
  <c r="BN27" i="46"/>
  <c r="BR27" i="46"/>
  <c r="BV27" i="46"/>
  <c r="BZ27" i="46"/>
  <c r="CD27" i="46"/>
  <c r="CH27" i="46"/>
  <c r="CL27" i="46"/>
  <c r="CP27" i="46"/>
  <c r="CT27" i="46"/>
  <c r="CX27" i="46"/>
  <c r="DB27" i="46"/>
  <c r="DJ27" i="46"/>
  <c r="DN27" i="46"/>
  <c r="AP28" i="46"/>
  <c r="AT28" i="46"/>
  <c r="AX28" i="46"/>
  <c r="BB28" i="46"/>
  <c r="BF28" i="46"/>
  <c r="BJ28" i="46"/>
  <c r="BN28" i="46"/>
  <c r="BR28" i="46"/>
  <c r="BV28" i="46"/>
  <c r="BZ28" i="46"/>
  <c r="CD28" i="46"/>
  <c r="CH28" i="46"/>
  <c r="CL28" i="46"/>
  <c r="CP28" i="46"/>
  <c r="CT28" i="46"/>
  <c r="CX28" i="46"/>
  <c r="DB28" i="46"/>
  <c r="DJ28" i="46"/>
  <c r="DN28" i="46"/>
  <c r="AO29" i="46"/>
  <c r="AO42" i="46" s="1"/>
  <c r="AP42" i="46" s="1"/>
  <c r="AR29" i="46"/>
  <c r="AR42" i="46" s="1"/>
  <c r="AS29" i="46"/>
  <c r="AT29" i="46" s="1"/>
  <c r="AV29" i="46"/>
  <c r="AV42" i="46" s="1"/>
  <c r="AW29" i="46"/>
  <c r="AX29" i="46" s="1"/>
  <c r="AZ29" i="46"/>
  <c r="AZ42" i="46" s="1"/>
  <c r="BA29" i="46"/>
  <c r="BD29" i="46"/>
  <c r="BD42" i="46" s="1"/>
  <c r="BE29" i="46"/>
  <c r="BF29" i="46" s="1"/>
  <c r="BH29" i="46"/>
  <c r="BI29" i="46"/>
  <c r="BJ29" i="46" s="1"/>
  <c r="BL29" i="46"/>
  <c r="BL42" i="46" s="1"/>
  <c r="BM29" i="46"/>
  <c r="BN29" i="46" s="1"/>
  <c r="BP29" i="46"/>
  <c r="BP42" i="46" s="1"/>
  <c r="BQ29" i="46"/>
  <c r="BR29" i="46" s="1"/>
  <c r="BT29" i="46"/>
  <c r="BU29" i="46"/>
  <c r="BX29" i="46"/>
  <c r="BY29" i="46"/>
  <c r="CB29" i="46"/>
  <c r="CC29" i="46"/>
  <c r="CD29" i="46" s="1"/>
  <c r="CF29" i="46"/>
  <c r="CG29" i="46"/>
  <c r="CH29" i="46" s="1"/>
  <c r="CJ29" i="46"/>
  <c r="CK29" i="46"/>
  <c r="CL29" i="46" s="1"/>
  <c r="CN29" i="46"/>
  <c r="CO29" i="46"/>
  <c r="CP29" i="46" s="1"/>
  <c r="CR29" i="46"/>
  <c r="CS29" i="46"/>
  <c r="CT29" i="46" s="1"/>
  <c r="CV29" i="46"/>
  <c r="CW29" i="46"/>
  <c r="CZ29" i="46"/>
  <c r="DA29" i="46"/>
  <c r="DB29" i="46" s="1"/>
  <c r="AO30" i="46"/>
  <c r="AP30" i="46" s="1"/>
  <c r="AR30" i="46"/>
  <c r="AR43" i="46" s="1"/>
  <c r="AR57" i="46" s="1"/>
  <c r="AS54" i="46" s="1"/>
  <c r="AS30" i="46"/>
  <c r="AT30" i="46" s="1"/>
  <c r="AV30" i="46"/>
  <c r="AV43" i="46" s="1"/>
  <c r="AV57" i="46" s="1"/>
  <c r="AW30" i="46"/>
  <c r="AX30" i="46" s="1"/>
  <c r="AZ30" i="46"/>
  <c r="AZ43" i="46" s="1"/>
  <c r="AZ57" i="46" s="1"/>
  <c r="BA54" i="46" s="1"/>
  <c r="BA30" i="46"/>
  <c r="BB30" i="46" s="1"/>
  <c r="BD30" i="46"/>
  <c r="BE30" i="46"/>
  <c r="BF30" i="46" s="1"/>
  <c r="BH30" i="46"/>
  <c r="BH43" i="46" s="1"/>
  <c r="BH57" i="46" s="1"/>
  <c r="BI54" i="46" s="1"/>
  <c r="BI30" i="46"/>
  <c r="BJ30" i="46" s="1"/>
  <c r="BL30" i="46"/>
  <c r="BL43" i="46" s="1"/>
  <c r="BL57" i="46" s="1"/>
  <c r="BM30" i="46"/>
  <c r="BN30" i="46" s="1"/>
  <c r="BP30" i="46"/>
  <c r="BP43" i="46" s="1"/>
  <c r="BP57" i="46" s="1"/>
  <c r="BQ54" i="46" s="1"/>
  <c r="BQ30" i="46"/>
  <c r="BR30" i="46" s="1"/>
  <c r="BT30" i="46"/>
  <c r="BU30" i="46"/>
  <c r="BV30" i="46" s="1"/>
  <c r="BX30" i="46"/>
  <c r="BY30" i="46"/>
  <c r="BZ30" i="46" s="1"/>
  <c r="CB30" i="46"/>
  <c r="CC30" i="46"/>
  <c r="CD30" i="46" s="1"/>
  <c r="CF30" i="46"/>
  <c r="CG30" i="46"/>
  <c r="CH30" i="46" s="1"/>
  <c r="CJ30" i="46"/>
  <c r="CK30" i="46"/>
  <c r="CN30" i="46"/>
  <c r="CO30" i="46"/>
  <c r="CP30" i="46" s="1"/>
  <c r="CR30" i="46"/>
  <c r="CS30" i="46"/>
  <c r="CT30" i="46" s="1"/>
  <c r="CV30" i="46"/>
  <c r="CW30" i="46"/>
  <c r="CX30" i="46" s="1"/>
  <c r="CZ30" i="46"/>
  <c r="DA30" i="46"/>
  <c r="DB30" i="46" s="1"/>
  <c r="AO32" i="46"/>
  <c r="AP32" i="46" s="1"/>
  <c r="AR32" i="46"/>
  <c r="AR45" i="46" s="1"/>
  <c r="AS32" i="46"/>
  <c r="AT32" i="46" s="1"/>
  <c r="AV32" i="46"/>
  <c r="AV45" i="46" s="1"/>
  <c r="AW32" i="46"/>
  <c r="AX32" i="46" s="1"/>
  <c r="AZ32" i="46"/>
  <c r="AZ45" i="46" s="1"/>
  <c r="BA32" i="46"/>
  <c r="BB32" i="46" s="1"/>
  <c r="BD32" i="46"/>
  <c r="BD45" i="46" s="1"/>
  <c r="BE32" i="46"/>
  <c r="BF32" i="46" s="1"/>
  <c r="BH32" i="46"/>
  <c r="BI32" i="46"/>
  <c r="BL32" i="46"/>
  <c r="BL45" i="46" s="1"/>
  <c r="BM32" i="46"/>
  <c r="BN32" i="46" s="1"/>
  <c r="BP32" i="46"/>
  <c r="BP45" i="46" s="1"/>
  <c r="BQ32" i="46"/>
  <c r="BR32" i="46" s="1"/>
  <c r="BT32" i="46"/>
  <c r="BT45" i="46" s="1"/>
  <c r="BU32" i="46"/>
  <c r="BV32" i="46" s="1"/>
  <c r="BX32" i="46"/>
  <c r="BY32" i="46"/>
  <c r="BZ32" i="46" s="1"/>
  <c r="CB32" i="46"/>
  <c r="CB45" i="46" s="1"/>
  <c r="CC32" i="46"/>
  <c r="CD32" i="46" s="1"/>
  <c r="CF32" i="46"/>
  <c r="CF45" i="46" s="1"/>
  <c r="CG32" i="46"/>
  <c r="CH32" i="46" s="1"/>
  <c r="CJ32" i="46"/>
  <c r="CJ45" i="46" s="1"/>
  <c r="CK32" i="46"/>
  <c r="CL32" i="46" s="1"/>
  <c r="CN32" i="46"/>
  <c r="CO32" i="46"/>
  <c r="CP32" i="46" s="1"/>
  <c r="CR32" i="46"/>
  <c r="CR45" i="46" s="1"/>
  <c r="CS32" i="46"/>
  <c r="CT32" i="46" s="1"/>
  <c r="CV32" i="46"/>
  <c r="CV45" i="46" s="1"/>
  <c r="CW32" i="46"/>
  <c r="CX32" i="46" s="1"/>
  <c r="CZ32" i="46"/>
  <c r="CZ45" i="46" s="1"/>
  <c r="DA32" i="46"/>
  <c r="DB32" i="46" s="1"/>
  <c r="AO33" i="46"/>
  <c r="AO46" i="46" s="1"/>
  <c r="AP46" i="46" s="1"/>
  <c r="AR33" i="46"/>
  <c r="AR46" i="46" s="1"/>
  <c r="AS33" i="46"/>
  <c r="AT33" i="46" s="1"/>
  <c r="AV33" i="46"/>
  <c r="AV46" i="46" s="1"/>
  <c r="AW33" i="46"/>
  <c r="AZ33" i="46"/>
  <c r="AZ46" i="46" s="1"/>
  <c r="BA33" i="46"/>
  <c r="BB33" i="46" s="1"/>
  <c r="BD33" i="46"/>
  <c r="BD46" i="46" s="1"/>
  <c r="BE33" i="46"/>
  <c r="BF33" i="46" s="1"/>
  <c r="BH33" i="46"/>
  <c r="BH46" i="46" s="1"/>
  <c r="BI33" i="46"/>
  <c r="BJ33" i="46" s="1"/>
  <c r="BL33" i="46"/>
  <c r="BL46" i="46" s="1"/>
  <c r="BM33" i="46"/>
  <c r="BP33" i="46"/>
  <c r="BP46" i="46" s="1"/>
  <c r="BQ33" i="46"/>
  <c r="BR33" i="46" s="1"/>
  <c r="BL34" i="46"/>
  <c r="BM34" i="46"/>
  <c r="BN34" i="46" s="1"/>
  <c r="BP34" i="46"/>
  <c r="BQ34" i="46"/>
  <c r="BR34" i="46" s="1"/>
  <c r="BT34" i="46"/>
  <c r="BU34" i="46"/>
  <c r="BV34" i="46" s="1"/>
  <c r="BX34" i="46"/>
  <c r="BY34" i="46"/>
  <c r="BZ34" i="46" s="1"/>
  <c r="CB34" i="46"/>
  <c r="CC34" i="46"/>
  <c r="CD34" i="46" s="1"/>
  <c r="CF34" i="46"/>
  <c r="CG34" i="46"/>
  <c r="CH34" i="46" s="1"/>
  <c r="CJ34" i="46"/>
  <c r="CK34" i="46"/>
  <c r="CL34" i="46" s="1"/>
  <c r="CN34" i="46"/>
  <c r="CO34" i="46"/>
  <c r="CP34" i="46" s="1"/>
  <c r="CR34" i="46"/>
  <c r="CS34" i="46"/>
  <c r="CT34" i="46" s="1"/>
  <c r="CV34" i="46"/>
  <c r="CW34" i="46"/>
  <c r="CX34" i="46" s="1"/>
  <c r="CZ34" i="46"/>
  <c r="DA34" i="46"/>
  <c r="DB34" i="46" s="1"/>
  <c r="AP35" i="46"/>
  <c r="AT35" i="46"/>
  <c r="AX35" i="46"/>
  <c r="BB35" i="46"/>
  <c r="BF35" i="46"/>
  <c r="BJ35" i="46"/>
  <c r="BN35" i="46"/>
  <c r="BR35" i="46"/>
  <c r="BV35" i="46"/>
  <c r="BZ35" i="46"/>
  <c r="CD35" i="46"/>
  <c r="CH35" i="46"/>
  <c r="CL35" i="46"/>
  <c r="CP35" i="46"/>
  <c r="CT35" i="46"/>
  <c r="CX35" i="46"/>
  <c r="DB35" i="46"/>
  <c r="AO40" i="46"/>
  <c r="AP40" i="46" s="1"/>
  <c r="AR40" i="46"/>
  <c r="AS40" i="46"/>
  <c r="AT40" i="46" s="1"/>
  <c r="AV40" i="46"/>
  <c r="AW40" i="46"/>
  <c r="AX40" i="46" s="1"/>
  <c r="AZ40" i="46"/>
  <c r="BA40" i="46"/>
  <c r="BB40" i="46" s="1"/>
  <c r="BD40" i="46"/>
  <c r="BE40" i="46"/>
  <c r="BF40" i="46" s="1"/>
  <c r="BH40" i="46"/>
  <c r="BI40" i="46"/>
  <c r="BL40" i="46"/>
  <c r="BM40" i="46"/>
  <c r="BP40" i="46"/>
  <c r="BQ40" i="46"/>
  <c r="AO41" i="46"/>
  <c r="AP41" i="46" s="1"/>
  <c r="AR41" i="46"/>
  <c r="AS41" i="46"/>
  <c r="AT41" i="46" s="1"/>
  <c r="AV41" i="46"/>
  <c r="AW41" i="46"/>
  <c r="AX41" i="46" s="1"/>
  <c r="AZ41" i="46"/>
  <c r="BA41" i="46"/>
  <c r="BB41" i="46" s="1"/>
  <c r="BD41" i="46"/>
  <c r="BE41" i="46"/>
  <c r="BF41" i="46" s="1"/>
  <c r="BH41" i="46"/>
  <c r="BI41" i="46"/>
  <c r="BL41" i="46"/>
  <c r="BM41" i="46"/>
  <c r="BP41" i="46"/>
  <c r="BQ41" i="46"/>
  <c r="AO47" i="46"/>
  <c r="AP47" i="46" s="1"/>
  <c r="AR47" i="46"/>
  <c r="AS47" i="46"/>
  <c r="AT47" i="46" s="1"/>
  <c r="AV47" i="46"/>
  <c r="AW47" i="46"/>
  <c r="AX47" i="46" s="1"/>
  <c r="AZ47" i="46"/>
  <c r="BA47" i="46"/>
  <c r="BB47" i="46" s="1"/>
  <c r="BD47" i="46"/>
  <c r="BE47" i="46"/>
  <c r="BF47" i="46" s="1"/>
  <c r="BH47" i="46"/>
  <c r="BI47" i="46"/>
  <c r="BL47" i="46"/>
  <c r="BM47" i="46"/>
  <c r="BP47" i="46"/>
  <c r="BQ47" i="46"/>
  <c r="AO50" i="46"/>
  <c r="AP50" i="46"/>
  <c r="AR50" i="46"/>
  <c r="AS50" i="46"/>
  <c r="AT357" i="46"/>
  <c r="AT50" i="46" s="1"/>
  <c r="AV50" i="46"/>
  <c r="AW50" i="46"/>
  <c r="AX357" i="46"/>
  <c r="AZ50" i="46"/>
  <c r="BA50" i="46"/>
  <c r="BB357" i="46"/>
  <c r="BB50" i="46" s="1"/>
  <c r="BD50" i="46"/>
  <c r="BE50" i="46"/>
  <c r="BF357" i="46"/>
  <c r="BF50" i="46" s="1"/>
  <c r="BH50" i="46"/>
  <c r="BI50" i="46"/>
  <c r="BJ79" i="46"/>
  <c r="BJ50" i="46" s="1"/>
  <c r="BL50" i="46"/>
  <c r="BM50" i="46"/>
  <c r="BN79" i="46"/>
  <c r="BN50" i="46" s="1"/>
  <c r="BP50" i="46"/>
  <c r="BQ50" i="46"/>
  <c r="BR79" i="46"/>
  <c r="BR50" i="46" s="1"/>
  <c r="BT50" i="46"/>
  <c r="BU50" i="46"/>
  <c r="BV79" i="46"/>
  <c r="BV50" i="46" s="1"/>
  <c r="BX50" i="46"/>
  <c r="BY50" i="46"/>
  <c r="BZ79" i="46"/>
  <c r="BZ50" i="46" s="1"/>
  <c r="CB50" i="46"/>
  <c r="CC50" i="46"/>
  <c r="CD79" i="46"/>
  <c r="CD50" i="46" s="1"/>
  <c r="CF50" i="46"/>
  <c r="CG50" i="46"/>
  <c r="CH79" i="46"/>
  <c r="CH50" i="46" s="1"/>
  <c r="CJ50" i="46"/>
  <c r="CK50" i="46"/>
  <c r="CL79" i="46"/>
  <c r="CL51" i="46" s="1"/>
  <c r="CN50" i="46"/>
  <c r="CO50" i="46"/>
  <c r="CP79" i="46"/>
  <c r="CP50" i="46" s="1"/>
  <c r="CR50" i="46"/>
  <c r="CS50" i="46"/>
  <c r="CT79" i="46"/>
  <c r="CT50" i="46" s="1"/>
  <c r="CV50" i="46"/>
  <c r="CW50" i="46"/>
  <c r="CX79" i="46"/>
  <c r="CX50" i="46" s="1"/>
  <c r="CZ50" i="46"/>
  <c r="DA50" i="46"/>
  <c r="DB79" i="46"/>
  <c r="DB50" i="46" s="1"/>
  <c r="AO51" i="46"/>
  <c r="AP51" i="46"/>
  <c r="AR51" i="46"/>
  <c r="AS51" i="46"/>
  <c r="AV51" i="46"/>
  <c r="AW51" i="46"/>
  <c r="AZ51" i="46"/>
  <c r="BA51" i="46"/>
  <c r="BD51" i="46"/>
  <c r="BE51" i="46"/>
  <c r="BH51" i="46"/>
  <c r="BI51" i="46"/>
  <c r="BL51" i="46"/>
  <c r="BM51" i="46"/>
  <c r="BP51" i="46"/>
  <c r="BQ51" i="46"/>
  <c r="BT51" i="46"/>
  <c r="BU51" i="46"/>
  <c r="BY51" i="46"/>
  <c r="CB51" i="46"/>
  <c r="CC51" i="46"/>
  <c r="CF51" i="46"/>
  <c r="CG51" i="46"/>
  <c r="CJ51" i="46"/>
  <c r="CK51" i="46"/>
  <c r="CN51" i="46"/>
  <c r="CO51" i="46"/>
  <c r="CR51" i="46"/>
  <c r="CS51" i="46"/>
  <c r="CV51" i="46"/>
  <c r="CW51" i="46"/>
  <c r="CZ51" i="46"/>
  <c r="DA51" i="46"/>
  <c r="AR55" i="46"/>
  <c r="AS55" i="46"/>
  <c r="BH90" i="46"/>
  <c r="BH67" i="46" s="1"/>
  <c r="BI210" i="46"/>
  <c r="BI211" i="46"/>
  <c r="BJ211" i="46" s="1"/>
  <c r="BI212" i="46"/>
  <c r="BJ212" i="46" s="1"/>
  <c r="BI213" i="46"/>
  <c r="BJ213" i="46" s="1"/>
  <c r="BI214" i="46"/>
  <c r="BJ214" i="46" s="1"/>
  <c r="BI173" i="46"/>
  <c r="BI218" i="46" s="1"/>
  <c r="BJ218" i="46" s="1"/>
  <c r="BL91" i="46"/>
  <c r="BL90" i="46" s="1"/>
  <c r="BM210" i="46"/>
  <c r="BM211" i="46"/>
  <c r="BN211" i="46" s="1"/>
  <c r="BM212" i="46"/>
  <c r="BN212" i="46" s="1"/>
  <c r="BM213" i="46"/>
  <c r="BN213" i="46" s="1"/>
  <c r="BM214" i="46"/>
  <c r="BN214" i="46" s="1"/>
  <c r="BM218" i="46"/>
  <c r="BN218" i="46" s="1"/>
  <c r="BP91" i="46"/>
  <c r="BP90" i="46" s="1"/>
  <c r="BQ210" i="46"/>
  <c r="BR210" i="46" s="1"/>
  <c r="BQ211" i="46"/>
  <c r="BR211" i="46" s="1"/>
  <c r="BQ212" i="46"/>
  <c r="BR212" i="46" s="1"/>
  <c r="BQ213" i="46"/>
  <c r="BR213" i="46" s="1"/>
  <c r="BQ214" i="46"/>
  <c r="BR214" i="46" s="1"/>
  <c r="BQ218" i="46"/>
  <c r="BR218" i="46" s="1"/>
  <c r="BT91" i="46"/>
  <c r="BT90" i="46" s="1"/>
  <c r="BU210" i="46"/>
  <c r="BV210" i="46" s="1"/>
  <c r="BU211" i="46"/>
  <c r="BV211" i="46" s="1"/>
  <c r="BU212" i="46"/>
  <c r="BV212" i="46" s="1"/>
  <c r="BU213" i="46"/>
  <c r="BV213" i="46" s="1"/>
  <c r="BU214" i="46"/>
  <c r="BV214" i="46" s="1"/>
  <c r="BU218" i="46"/>
  <c r="BV218" i="46" s="1"/>
  <c r="BX91" i="46"/>
  <c r="BX90" i="46" s="1"/>
  <c r="BY210" i="46"/>
  <c r="BZ210" i="46" s="1"/>
  <c r="BY211" i="46"/>
  <c r="BZ211" i="46" s="1"/>
  <c r="BY212" i="46"/>
  <c r="BZ212" i="46" s="1"/>
  <c r="BY213" i="46"/>
  <c r="BZ213" i="46" s="1"/>
  <c r="BY214" i="46"/>
  <c r="BZ214" i="46" s="1"/>
  <c r="BY218" i="46"/>
  <c r="BZ218" i="46" s="1"/>
  <c r="CB91" i="46"/>
  <c r="CB90" i="46" s="1"/>
  <c r="CC210" i="46"/>
  <c r="CD210" i="46" s="1"/>
  <c r="CC211" i="46"/>
  <c r="CD211" i="46" s="1"/>
  <c r="CC212" i="46"/>
  <c r="CD212" i="46" s="1"/>
  <c r="CC213" i="46"/>
  <c r="CD213" i="46" s="1"/>
  <c r="CC214" i="46"/>
  <c r="CD214" i="46" s="1"/>
  <c r="CC218" i="46"/>
  <c r="CD218" i="46" s="1"/>
  <c r="CF91" i="46"/>
  <c r="CF90" i="46" s="1"/>
  <c r="CG210" i="46"/>
  <c r="CH210" i="46" s="1"/>
  <c r="CG211" i="46"/>
  <c r="CH211" i="46" s="1"/>
  <c r="CG212" i="46"/>
  <c r="CH212" i="46" s="1"/>
  <c r="CG213" i="46"/>
  <c r="CH213" i="46" s="1"/>
  <c r="CG214" i="46"/>
  <c r="CH214" i="46" s="1"/>
  <c r="CG218" i="46"/>
  <c r="CH218" i="46" s="1"/>
  <c r="CJ91" i="46"/>
  <c r="CJ90" i="46" s="1"/>
  <c r="CK210" i="46"/>
  <c r="CL210" i="46" s="1"/>
  <c r="CK211" i="46"/>
  <c r="CL211" i="46" s="1"/>
  <c r="CK212" i="46"/>
  <c r="CL212" i="46" s="1"/>
  <c r="CK213" i="46"/>
  <c r="CL213" i="46" s="1"/>
  <c r="CK214" i="46"/>
  <c r="CL214" i="46" s="1"/>
  <c r="CK173" i="46"/>
  <c r="CK218" i="46" s="1"/>
  <c r="CL218" i="46" s="1"/>
  <c r="CN91" i="46"/>
  <c r="CN90" i="46" s="1"/>
  <c r="CO210" i="46"/>
  <c r="CP210" i="46" s="1"/>
  <c r="CO211" i="46"/>
  <c r="CP211" i="46" s="1"/>
  <c r="CO212" i="46"/>
  <c r="CP212" i="46" s="1"/>
  <c r="CO213" i="46"/>
  <c r="CP213" i="46" s="1"/>
  <c r="CO214" i="46"/>
  <c r="CP214" i="46" s="1"/>
  <c r="CO173" i="46"/>
  <c r="CR91" i="46"/>
  <c r="CR90" i="46" s="1"/>
  <c r="CS210" i="46"/>
  <c r="CT210" i="46" s="1"/>
  <c r="CS211" i="46"/>
  <c r="CT211" i="46" s="1"/>
  <c r="CS212" i="46"/>
  <c r="CT212" i="46" s="1"/>
  <c r="CS213" i="46"/>
  <c r="CT213" i="46" s="1"/>
  <c r="CS214" i="46"/>
  <c r="CT214" i="46" s="1"/>
  <c r="CS173" i="46"/>
  <c r="CS218" i="46" s="1"/>
  <c r="CT218" i="46" s="1"/>
  <c r="CV91" i="46"/>
  <c r="CV90" i="46" s="1"/>
  <c r="CW210" i="46"/>
  <c r="CX210" i="46" s="1"/>
  <c r="CW211" i="46"/>
  <c r="CX211" i="46" s="1"/>
  <c r="CW212" i="46"/>
  <c r="CX212" i="46" s="1"/>
  <c r="CW213" i="46"/>
  <c r="CX213" i="46" s="1"/>
  <c r="CW214" i="46"/>
  <c r="CX214" i="46" s="1"/>
  <c r="CW173" i="46"/>
  <c r="CW218" i="46" s="1"/>
  <c r="CX218" i="46" s="1"/>
  <c r="CZ91" i="46"/>
  <c r="CZ90" i="46" s="1"/>
  <c r="DA210" i="46"/>
  <c r="DB210" i="46" s="1"/>
  <c r="DA211" i="46"/>
  <c r="DB211" i="46" s="1"/>
  <c r="DA212" i="46"/>
  <c r="DB212" i="46" s="1"/>
  <c r="DA213" i="46"/>
  <c r="DB213" i="46" s="1"/>
  <c r="DA214" i="46"/>
  <c r="DB214" i="46" s="1"/>
  <c r="DA173" i="46"/>
  <c r="DA156" i="46"/>
  <c r="DA157" i="46" s="1"/>
  <c r="DA144" i="46"/>
  <c r="DA143" i="46" s="1"/>
  <c r="DA160" i="46"/>
  <c r="DA195" i="46"/>
  <c r="DI195" i="46" s="1"/>
  <c r="DL195" i="46" s="1"/>
  <c r="DM195" i="46" s="1"/>
  <c r="DP195" i="46" s="1"/>
  <c r="DQ195" i="46" s="1"/>
  <c r="DI149" i="46"/>
  <c r="DJ149" i="46" s="1"/>
  <c r="DM149" i="46"/>
  <c r="DN149" i="46" s="1"/>
  <c r="BH128" i="46"/>
  <c r="BH78" i="46" s="1"/>
  <c r="BI128" i="46"/>
  <c r="BI78" i="46" s="1"/>
  <c r="BL128" i="46"/>
  <c r="BL78" i="46" s="1"/>
  <c r="BL80" i="46" s="1"/>
  <c r="BL68" i="46" s="1"/>
  <c r="BM128" i="46"/>
  <c r="BM78" i="46" s="1"/>
  <c r="BP128" i="46"/>
  <c r="BP78" i="46" s="1"/>
  <c r="BQ128" i="46"/>
  <c r="BQ78" i="46" s="1"/>
  <c r="BT128" i="46"/>
  <c r="BT78" i="46" s="1"/>
  <c r="BU128" i="46"/>
  <c r="BU78" i="46" s="1"/>
  <c r="BX128" i="46"/>
  <c r="BX78" i="46" s="1"/>
  <c r="BX80" i="46" s="1"/>
  <c r="BX68" i="46" s="1"/>
  <c r="BY128" i="46"/>
  <c r="BY78" i="46" s="1"/>
  <c r="BY80" i="46" s="1"/>
  <c r="CB128" i="46"/>
  <c r="CB78" i="46" s="1"/>
  <c r="CC128" i="46"/>
  <c r="CC78" i="46" s="1"/>
  <c r="CF128" i="46"/>
  <c r="CF78" i="46" s="1"/>
  <c r="CG128" i="46"/>
  <c r="CG78" i="46" s="1"/>
  <c r="CG80" i="46" s="1"/>
  <c r="CJ128" i="46"/>
  <c r="CJ78" i="46" s="1"/>
  <c r="CK128" i="46"/>
  <c r="CK78" i="46" s="1"/>
  <c r="CN128" i="46"/>
  <c r="CN78" i="46" s="1"/>
  <c r="CN80" i="46" s="1"/>
  <c r="CN68" i="46" s="1"/>
  <c r="CO128" i="46"/>
  <c r="CO78" i="46" s="1"/>
  <c r="CO80" i="46" s="1"/>
  <c r="CR128" i="46"/>
  <c r="CR78" i="46" s="1"/>
  <c r="CS128" i="46"/>
  <c r="CS78" i="46" s="1"/>
  <c r="CV128" i="46"/>
  <c r="CV78" i="46" s="1"/>
  <c r="CW128" i="46"/>
  <c r="CW78" i="46" s="1"/>
  <c r="CW80" i="46" s="1"/>
  <c r="CZ128" i="46"/>
  <c r="CZ78" i="46" s="1"/>
  <c r="DA128" i="46"/>
  <c r="BH133" i="46"/>
  <c r="BH134" i="46" s="1"/>
  <c r="BI133" i="46"/>
  <c r="BI134" i="46" s="1"/>
  <c r="BL133" i="46"/>
  <c r="BL134" i="46" s="1"/>
  <c r="BM133" i="46"/>
  <c r="BP133" i="46"/>
  <c r="BP134" i="46" s="1"/>
  <c r="BP86" i="46" s="1"/>
  <c r="BQ133" i="46"/>
  <c r="BT133" i="46"/>
  <c r="BT134" i="46" s="1"/>
  <c r="BU133" i="46"/>
  <c r="BU134" i="46" s="1"/>
  <c r="BX133" i="46"/>
  <c r="BX134" i="46" s="1"/>
  <c r="BY133" i="46"/>
  <c r="CB133" i="46"/>
  <c r="CB134" i="46" s="1"/>
  <c r="CC133" i="46"/>
  <c r="CC134" i="46" s="1"/>
  <c r="CF133" i="46"/>
  <c r="CF134" i="46" s="1"/>
  <c r="CF86" i="46" s="1"/>
  <c r="CG133" i="46"/>
  <c r="CH133" i="46" s="1"/>
  <c r="CJ133" i="46"/>
  <c r="CJ134" i="46" s="1"/>
  <c r="CK133" i="46"/>
  <c r="CK134" i="46" s="1"/>
  <c r="CN133" i="46"/>
  <c r="CN134" i="46" s="1"/>
  <c r="CO134" i="46"/>
  <c r="CO86" i="46" s="1"/>
  <c r="CR133" i="46"/>
  <c r="CR134" i="46" s="1"/>
  <c r="CS133" i="46"/>
  <c r="CV133" i="46"/>
  <c r="CV134" i="46" s="1"/>
  <c r="CW133" i="46"/>
  <c r="CW134" i="46" s="1"/>
  <c r="CZ133" i="46"/>
  <c r="CZ134" i="46" s="1"/>
  <c r="CZ86" i="46" s="1"/>
  <c r="DA133" i="46"/>
  <c r="DI130" i="46"/>
  <c r="DI131" i="46"/>
  <c r="BR83" i="46"/>
  <c r="BV83" i="46"/>
  <c r="BZ83" i="46"/>
  <c r="CD83" i="46"/>
  <c r="CH83" i="46"/>
  <c r="CL83" i="46"/>
  <c r="CP83" i="46"/>
  <c r="CT83" i="46"/>
  <c r="CX83" i="46"/>
  <c r="DB83" i="46"/>
  <c r="BH85" i="46"/>
  <c r="BI85" i="46"/>
  <c r="BL85" i="46"/>
  <c r="BM85" i="46"/>
  <c r="BP85" i="46"/>
  <c r="BQ85" i="46"/>
  <c r="BT85" i="46"/>
  <c r="BU85" i="46"/>
  <c r="BX85" i="46"/>
  <c r="BY85" i="46"/>
  <c r="CB85" i="46"/>
  <c r="CC85" i="46"/>
  <c r="CF85" i="46"/>
  <c r="CG85" i="46"/>
  <c r="CJ85" i="46"/>
  <c r="CK85" i="46"/>
  <c r="CN85" i="46"/>
  <c r="CO85" i="46"/>
  <c r="CR85" i="46"/>
  <c r="CS85" i="46"/>
  <c r="CV85" i="46"/>
  <c r="CW85" i="46"/>
  <c r="CZ85" i="46"/>
  <c r="DA85" i="46"/>
  <c r="BI91" i="46"/>
  <c r="BM91" i="46"/>
  <c r="BQ91" i="46"/>
  <c r="BU91" i="46"/>
  <c r="BY91" i="46"/>
  <c r="CC91" i="46"/>
  <c r="CG91" i="46"/>
  <c r="CK91" i="46"/>
  <c r="CO91" i="46"/>
  <c r="CS91" i="46"/>
  <c r="CW91" i="46"/>
  <c r="DA91" i="46"/>
  <c r="BJ92" i="46"/>
  <c r="BN92" i="46"/>
  <c r="BR92" i="46"/>
  <c r="BV92" i="46"/>
  <c r="BZ92" i="46"/>
  <c r="CD92" i="46"/>
  <c r="CH92" i="46"/>
  <c r="CL92" i="46"/>
  <c r="CP92" i="46"/>
  <c r="CT92" i="46"/>
  <c r="CX92" i="46"/>
  <c r="DB92" i="46"/>
  <c r="BH96" i="46"/>
  <c r="BI96" i="46"/>
  <c r="BL96" i="46"/>
  <c r="BM96" i="46"/>
  <c r="BP96" i="46"/>
  <c r="BQ96" i="46"/>
  <c r="BT96" i="46"/>
  <c r="BU96" i="46"/>
  <c r="BX96" i="46"/>
  <c r="BY96" i="46"/>
  <c r="CB96" i="46"/>
  <c r="CC96" i="46"/>
  <c r="CF96" i="46"/>
  <c r="CG96" i="46"/>
  <c r="CJ96" i="46"/>
  <c r="CK96" i="46"/>
  <c r="CN96" i="46"/>
  <c r="CO96" i="46"/>
  <c r="CR96" i="46"/>
  <c r="CS96" i="46"/>
  <c r="CV96" i="46"/>
  <c r="CW96" i="46"/>
  <c r="CZ96" i="46"/>
  <c r="DA96" i="46"/>
  <c r="BH101" i="46"/>
  <c r="BH102" i="46" s="1"/>
  <c r="BI101" i="46"/>
  <c r="BI102" i="46" s="1"/>
  <c r="BL101" i="46"/>
  <c r="BL102" i="46" s="1"/>
  <c r="BM101" i="46"/>
  <c r="BM102" i="46" s="1"/>
  <c r="BP101" i="46"/>
  <c r="BP102" i="46" s="1"/>
  <c r="BQ101" i="46"/>
  <c r="BQ102" i="46" s="1"/>
  <c r="BT101" i="46"/>
  <c r="BT102" i="46" s="1"/>
  <c r="BU101" i="46"/>
  <c r="BU102" i="46" s="1"/>
  <c r="BX101" i="46"/>
  <c r="BX102" i="46" s="1"/>
  <c r="BY101" i="46"/>
  <c r="BY102" i="46" s="1"/>
  <c r="CB101" i="46"/>
  <c r="CB102" i="46" s="1"/>
  <c r="CC101" i="46"/>
  <c r="CC102" i="46" s="1"/>
  <c r="CF101" i="46"/>
  <c r="CF102" i="46" s="1"/>
  <c r="CG101" i="46"/>
  <c r="CG102" i="46" s="1"/>
  <c r="CJ101" i="46"/>
  <c r="CJ102" i="46" s="1"/>
  <c r="CK101" i="46"/>
  <c r="CK102" i="46" s="1"/>
  <c r="CN101" i="46"/>
  <c r="CN102" i="46" s="1"/>
  <c r="CO101" i="46"/>
  <c r="CO102" i="46" s="1"/>
  <c r="CR101" i="46"/>
  <c r="CR102" i="46" s="1"/>
  <c r="CS101" i="46"/>
  <c r="CS102" i="46" s="1"/>
  <c r="CV101" i="46"/>
  <c r="CV102" i="46" s="1"/>
  <c r="CW101" i="46"/>
  <c r="CW102" i="46" s="1"/>
  <c r="CZ101" i="46"/>
  <c r="CZ102" i="46" s="1"/>
  <c r="DA101" i="46"/>
  <c r="DA102" i="46" s="1"/>
  <c r="DI101" i="46"/>
  <c r="DL101" i="46"/>
  <c r="DM101" i="46"/>
  <c r="BH108" i="46"/>
  <c r="BI108" i="46"/>
  <c r="BL108" i="46"/>
  <c r="BM108" i="46"/>
  <c r="BP108" i="46"/>
  <c r="BQ108" i="46"/>
  <c r="BT108" i="46"/>
  <c r="BU108" i="46"/>
  <c r="BX108" i="46"/>
  <c r="BY108" i="46"/>
  <c r="CB108" i="46"/>
  <c r="CC108" i="46"/>
  <c r="CF108" i="46"/>
  <c r="CG108" i="46"/>
  <c r="CJ108" i="46"/>
  <c r="CK108" i="46"/>
  <c r="CN108" i="46"/>
  <c r="CO108" i="46"/>
  <c r="CR108" i="46"/>
  <c r="CS108" i="46"/>
  <c r="CV108" i="46"/>
  <c r="CW108" i="46"/>
  <c r="CZ108" i="46"/>
  <c r="DA108" i="46"/>
  <c r="DI108" i="46"/>
  <c r="DL108" i="46"/>
  <c r="DM108" i="46"/>
  <c r="BH110" i="46"/>
  <c r="BI110" i="46"/>
  <c r="BJ110" i="46" s="1"/>
  <c r="BL110" i="46"/>
  <c r="BM110" i="46"/>
  <c r="BN110" i="46" s="1"/>
  <c r="BP110" i="46"/>
  <c r="BQ110" i="46"/>
  <c r="BR110" i="46" s="1"/>
  <c r="BT110" i="46"/>
  <c r="BU110" i="46"/>
  <c r="BV110" i="46" s="1"/>
  <c r="BX110" i="46"/>
  <c r="BY110" i="46"/>
  <c r="BZ110" i="46" s="1"/>
  <c r="CB110" i="46"/>
  <c r="CC110" i="46"/>
  <c r="CD110" i="46" s="1"/>
  <c r="CF110" i="46"/>
  <c r="CG110" i="46"/>
  <c r="CH110" i="46" s="1"/>
  <c r="CJ110" i="46"/>
  <c r="CK110" i="46"/>
  <c r="CL110" i="46" s="1"/>
  <c r="CN110" i="46"/>
  <c r="CO110" i="46"/>
  <c r="CP110" i="46" s="1"/>
  <c r="CR110" i="46"/>
  <c r="CS110" i="46"/>
  <c r="CT110" i="46" s="1"/>
  <c r="CV110" i="46"/>
  <c r="CW110" i="46"/>
  <c r="CX110" i="46" s="1"/>
  <c r="CZ110" i="46"/>
  <c r="DA110" i="46"/>
  <c r="DB110" i="46" s="1"/>
  <c r="BR116" i="46"/>
  <c r="BH120" i="46"/>
  <c r="BI120" i="46"/>
  <c r="BJ136" i="46"/>
  <c r="BJ120" i="46" s="1"/>
  <c r="BL120" i="46"/>
  <c r="BM120" i="46"/>
  <c r="BN136" i="46"/>
  <c r="BN120" i="46" s="1"/>
  <c r="BP120" i="46"/>
  <c r="BQ120" i="46"/>
  <c r="BR136" i="46"/>
  <c r="BR120" i="46" s="1"/>
  <c r="BT120" i="46"/>
  <c r="BU120" i="46"/>
  <c r="BV136" i="46"/>
  <c r="BV120" i="46" s="1"/>
  <c r="BX120" i="46"/>
  <c r="BY120" i="46"/>
  <c r="BZ136" i="46"/>
  <c r="BZ120" i="46" s="1"/>
  <c r="CB120" i="46"/>
  <c r="CC120" i="46"/>
  <c r="CD136" i="46"/>
  <c r="CD120" i="46" s="1"/>
  <c r="CF120" i="46"/>
  <c r="CG120" i="46"/>
  <c r="CH136" i="46"/>
  <c r="CH120" i="46" s="1"/>
  <c r="CJ120" i="46"/>
  <c r="CK120" i="46"/>
  <c r="CL136" i="46"/>
  <c r="CL120" i="46" s="1"/>
  <c r="CN120" i="46"/>
  <c r="CO120" i="46"/>
  <c r="CP136" i="46"/>
  <c r="CP120" i="46" s="1"/>
  <c r="CR120" i="46"/>
  <c r="CS120" i="46"/>
  <c r="CT120" i="46" s="1"/>
  <c r="CV120" i="46"/>
  <c r="CW120" i="46"/>
  <c r="CX120" i="46" s="1"/>
  <c r="CZ120" i="46"/>
  <c r="DA120" i="46"/>
  <c r="DB120" i="46" s="1"/>
  <c r="BJ125" i="46"/>
  <c r="BN125" i="46"/>
  <c r="BR125" i="46"/>
  <c r="BV125" i="46"/>
  <c r="BZ125" i="46"/>
  <c r="CD125" i="46"/>
  <c r="CH125" i="46"/>
  <c r="CL125" i="46"/>
  <c r="CP125" i="46"/>
  <c r="CT125" i="46"/>
  <c r="CX125" i="46"/>
  <c r="DB125" i="46"/>
  <c r="BJ126" i="46"/>
  <c r="BN126" i="46"/>
  <c r="BR126" i="46"/>
  <c r="BV126" i="46"/>
  <c r="BZ126" i="46"/>
  <c r="CD126" i="46"/>
  <c r="CH126" i="46"/>
  <c r="CL126" i="46"/>
  <c r="CP126" i="46"/>
  <c r="CT126" i="46"/>
  <c r="CX126" i="46"/>
  <c r="DB126" i="46"/>
  <c r="BJ127" i="46"/>
  <c r="BN127" i="46"/>
  <c r="BR127" i="46"/>
  <c r="BV127" i="46"/>
  <c r="BZ127" i="46"/>
  <c r="CD127" i="46"/>
  <c r="CH127" i="46"/>
  <c r="CL127" i="46"/>
  <c r="CP127" i="46"/>
  <c r="CT127" i="46"/>
  <c r="CX127" i="46"/>
  <c r="DB127" i="46"/>
  <c r="DB128" i="46" s="1"/>
  <c r="BJ128" i="46"/>
  <c r="BN128" i="46"/>
  <c r="BR128" i="46"/>
  <c r="BV128" i="46"/>
  <c r="BZ128" i="46"/>
  <c r="CD128" i="46"/>
  <c r="CH128" i="46"/>
  <c r="CL128" i="46"/>
  <c r="CP128" i="46"/>
  <c r="CT128" i="46"/>
  <c r="CX128" i="46"/>
  <c r="BJ129" i="46"/>
  <c r="BN129" i="46"/>
  <c r="BR129" i="46"/>
  <c r="BV129" i="46"/>
  <c r="BZ129" i="46"/>
  <c r="CD129" i="46"/>
  <c r="CH129" i="46"/>
  <c r="CL129" i="46"/>
  <c r="CP129" i="46"/>
  <c r="CT129" i="46"/>
  <c r="CX129" i="46"/>
  <c r="DB129" i="46"/>
  <c r="BJ130" i="46"/>
  <c r="BN130" i="46"/>
  <c r="BR130" i="46"/>
  <c r="BV130" i="46"/>
  <c r="BZ130" i="46"/>
  <c r="CD130" i="46"/>
  <c r="CH130" i="46"/>
  <c r="CL130" i="46"/>
  <c r="CP130" i="46"/>
  <c r="CT130" i="46"/>
  <c r="CX130" i="46"/>
  <c r="DB130" i="46"/>
  <c r="BJ131" i="46"/>
  <c r="BN131" i="46"/>
  <c r="BR131" i="46"/>
  <c r="BV131" i="46"/>
  <c r="BZ131" i="46"/>
  <c r="CD131" i="46"/>
  <c r="CH131" i="46"/>
  <c r="CL131" i="46"/>
  <c r="CP131" i="46"/>
  <c r="CT131" i="46"/>
  <c r="CX131" i="46"/>
  <c r="DB131" i="46"/>
  <c r="BJ132" i="46"/>
  <c r="BJ231" i="42" s="1"/>
  <c r="BN132" i="46"/>
  <c r="BN231" i="42" s="1"/>
  <c r="BR132" i="46"/>
  <c r="BR231" i="42" s="1"/>
  <c r="BV132" i="46"/>
  <c r="BV231" i="42" s="1"/>
  <c r="BZ132" i="46"/>
  <c r="BZ231" i="42" s="1"/>
  <c r="CD132" i="46"/>
  <c r="CD231" i="42" s="1"/>
  <c r="CH132" i="46"/>
  <c r="CH231" i="42" s="1"/>
  <c r="CL132" i="46"/>
  <c r="CL231" i="42" s="1"/>
  <c r="CP132" i="46"/>
  <c r="CP231" i="42" s="1"/>
  <c r="CT132" i="46"/>
  <c r="CT231" i="42" s="1"/>
  <c r="CX132" i="46"/>
  <c r="CX231" i="42" s="1"/>
  <c r="DB132" i="46"/>
  <c r="DB231" i="42" s="1"/>
  <c r="CP133" i="46"/>
  <c r="CT136" i="46"/>
  <c r="CX136" i="46"/>
  <c r="DB136" i="46"/>
  <c r="BJ137" i="46"/>
  <c r="BN137" i="46"/>
  <c r="BR137" i="46"/>
  <c r="BV137" i="46"/>
  <c r="BZ137" i="46"/>
  <c r="CD137" i="46"/>
  <c r="CH137" i="46"/>
  <c r="CL137" i="46"/>
  <c r="CP137" i="46"/>
  <c r="CT137" i="46"/>
  <c r="CX137" i="46"/>
  <c r="DB137" i="46"/>
  <c r="BI141" i="46"/>
  <c r="BL141" i="46"/>
  <c r="BM141" i="46"/>
  <c r="BP141" i="46"/>
  <c r="BQ141" i="46"/>
  <c r="BT141" i="46"/>
  <c r="BU141" i="46"/>
  <c r="BX141" i="46"/>
  <c r="BY141" i="46"/>
  <c r="CB141" i="46"/>
  <c r="CC141" i="46"/>
  <c r="CF141" i="46"/>
  <c r="CG141" i="46"/>
  <c r="CJ141" i="46"/>
  <c r="BI144" i="46"/>
  <c r="BI143" i="46" s="1"/>
  <c r="BL144" i="46"/>
  <c r="BM144" i="46"/>
  <c r="BM143" i="46" s="1"/>
  <c r="BP144" i="46"/>
  <c r="BQ144" i="46"/>
  <c r="BQ143" i="46" s="1"/>
  <c r="BT144" i="46"/>
  <c r="BU144" i="46"/>
  <c r="BU143" i="46" s="1"/>
  <c r="BX144" i="46"/>
  <c r="BY144" i="46"/>
  <c r="BY143" i="46" s="1"/>
  <c r="CB144" i="46"/>
  <c r="CB143" i="46" s="1"/>
  <c r="CC144" i="46"/>
  <c r="CC143" i="46" s="1"/>
  <c r="CF144" i="46"/>
  <c r="CF143" i="46" s="1"/>
  <c r="CG144" i="46"/>
  <c r="CG143" i="46" s="1"/>
  <c r="CJ144" i="46"/>
  <c r="CJ143" i="46" s="1"/>
  <c r="CK144" i="46"/>
  <c r="CK143" i="46" s="1"/>
  <c r="CN144" i="46"/>
  <c r="CO144" i="46"/>
  <c r="CO143" i="46" s="1"/>
  <c r="CR144" i="46"/>
  <c r="CR143" i="46" s="1"/>
  <c r="CS144" i="46"/>
  <c r="CS143" i="46" s="1"/>
  <c r="CV144" i="46"/>
  <c r="CV143" i="46" s="1"/>
  <c r="CV142" i="46" s="1"/>
  <c r="CW144" i="46"/>
  <c r="CW143" i="46" s="1"/>
  <c r="CZ144" i="46"/>
  <c r="CZ143" i="46" s="1"/>
  <c r="BR145" i="46"/>
  <c r="BV145" i="46"/>
  <c r="BZ145" i="46"/>
  <c r="CD145" i="46"/>
  <c r="CH145" i="46"/>
  <c r="CL145" i="46"/>
  <c r="CP145" i="46"/>
  <c r="CT145" i="46"/>
  <c r="CX145" i="46"/>
  <c r="DB145" i="46"/>
  <c r="BR147" i="46"/>
  <c r="BV147" i="46"/>
  <c r="BZ147" i="46"/>
  <c r="CD147" i="46"/>
  <c r="CH147" i="46"/>
  <c r="CL147" i="46"/>
  <c r="CP147" i="46"/>
  <c r="CT147" i="46"/>
  <c r="CX147" i="46"/>
  <c r="DB147" i="46"/>
  <c r="BR148" i="46"/>
  <c r="BV148" i="46"/>
  <c r="BZ148" i="46"/>
  <c r="CD148" i="46"/>
  <c r="CH148" i="46"/>
  <c r="CL148" i="46"/>
  <c r="CP148" i="46"/>
  <c r="CT148" i="46"/>
  <c r="CX148" i="46"/>
  <c r="DB148" i="46"/>
  <c r="BR149" i="46"/>
  <c r="BV149" i="46"/>
  <c r="BZ149" i="46"/>
  <c r="CD149" i="46"/>
  <c r="CH149" i="46"/>
  <c r="CL149" i="46"/>
  <c r="CP149" i="46"/>
  <c r="CT149" i="46"/>
  <c r="CX149" i="46"/>
  <c r="DB149" i="46"/>
  <c r="CT150" i="46"/>
  <c r="CX150" i="46"/>
  <c r="DB150" i="46"/>
  <c r="BI151" i="46"/>
  <c r="BJ151" i="46" s="1"/>
  <c r="BL151" i="46"/>
  <c r="BM151" i="46"/>
  <c r="BN151" i="46" s="1"/>
  <c r="BP151" i="46"/>
  <c r="BQ151" i="46"/>
  <c r="BR151" i="46" s="1"/>
  <c r="BT151" i="46"/>
  <c r="BU151" i="46"/>
  <c r="BV151" i="46" s="1"/>
  <c r="BX151" i="46"/>
  <c r="BY151" i="46"/>
  <c r="BZ151" i="46" s="1"/>
  <c r="CB151" i="46"/>
  <c r="CC151" i="46"/>
  <c r="CD151" i="46" s="1"/>
  <c r="CF151" i="46"/>
  <c r="CG151" i="46"/>
  <c r="CH151" i="46" s="1"/>
  <c r="CJ151" i="46"/>
  <c r="CI153" i="46" s="1"/>
  <c r="CK151" i="46"/>
  <c r="CL151" i="46" s="1"/>
  <c r="CN151" i="46"/>
  <c r="CO151" i="46"/>
  <c r="CP151" i="46" s="1"/>
  <c r="CR151" i="46"/>
  <c r="CS151" i="46"/>
  <c r="CT151" i="46" s="1"/>
  <c r="CV151" i="46"/>
  <c r="CW151" i="46"/>
  <c r="CX151" i="46" s="1"/>
  <c r="CZ151" i="46"/>
  <c r="DA151" i="46"/>
  <c r="DB151" i="46" s="1"/>
  <c r="BI152" i="46"/>
  <c r="BL152" i="46"/>
  <c r="BM152" i="46"/>
  <c r="BP152" i="46"/>
  <c r="BT152" i="46"/>
  <c r="BI156" i="46"/>
  <c r="BL156" i="46"/>
  <c r="BM156" i="46"/>
  <c r="BP156" i="46"/>
  <c r="BQ156" i="46"/>
  <c r="BT156" i="46"/>
  <c r="BU156" i="46"/>
  <c r="BX156" i="46"/>
  <c r="BY156" i="46"/>
  <c r="CB156" i="46"/>
  <c r="CC156" i="46"/>
  <c r="CF156" i="46"/>
  <c r="CG156" i="46"/>
  <c r="CJ156" i="46"/>
  <c r="CK156" i="46"/>
  <c r="CK157" i="46" s="1"/>
  <c r="CN156" i="46"/>
  <c r="CN157" i="46" s="1"/>
  <c r="CO156" i="46"/>
  <c r="CO157" i="46" s="1"/>
  <c r="CR156" i="46"/>
  <c r="CR157" i="46" s="1"/>
  <c r="CS156" i="46"/>
  <c r="CS157" i="46" s="1"/>
  <c r="CV156" i="46"/>
  <c r="CV157" i="46" s="1"/>
  <c r="CW156" i="46"/>
  <c r="CW157" i="46" s="1"/>
  <c r="CZ156" i="46"/>
  <c r="CZ157" i="46" s="1"/>
  <c r="BI160" i="46"/>
  <c r="BL160" i="46"/>
  <c r="BM160" i="46"/>
  <c r="BP160" i="46"/>
  <c r="BQ160" i="46"/>
  <c r="BT160" i="46"/>
  <c r="BU160" i="46"/>
  <c r="BX160" i="46"/>
  <c r="BY160" i="46"/>
  <c r="CB160" i="46"/>
  <c r="CC160" i="46"/>
  <c r="CF160" i="46"/>
  <c r="CG160" i="46"/>
  <c r="CJ160" i="46"/>
  <c r="CK160" i="46"/>
  <c r="CN160" i="46"/>
  <c r="CO160" i="46"/>
  <c r="CR160" i="46"/>
  <c r="CS160" i="46"/>
  <c r="CV160" i="46"/>
  <c r="CW160" i="46"/>
  <c r="CZ160" i="46"/>
  <c r="BJ167" i="46"/>
  <c r="BN167" i="46"/>
  <c r="BR167" i="46"/>
  <c r="BV167" i="46"/>
  <c r="BZ167" i="46"/>
  <c r="CD167" i="46"/>
  <c r="CH167" i="46"/>
  <c r="CL167" i="46"/>
  <c r="CP167" i="46"/>
  <c r="CT167" i="46"/>
  <c r="CX167" i="46"/>
  <c r="DB167" i="46"/>
  <c r="BJ168" i="46"/>
  <c r="BN168" i="46"/>
  <c r="BR168" i="46"/>
  <c r="BV168" i="46"/>
  <c r="BZ168" i="46"/>
  <c r="CD168" i="46"/>
  <c r="CH168" i="46"/>
  <c r="CL168" i="46"/>
  <c r="CP168" i="46"/>
  <c r="CT168" i="46"/>
  <c r="CX168" i="46"/>
  <c r="DB168" i="46"/>
  <c r="BJ169" i="46"/>
  <c r="BN169" i="46"/>
  <c r="BR169" i="46"/>
  <c r="BV169" i="46"/>
  <c r="BZ169" i="46"/>
  <c r="CD169" i="46"/>
  <c r="CH169" i="46"/>
  <c r="CL169" i="46"/>
  <c r="CP169" i="46"/>
  <c r="CT169" i="46"/>
  <c r="CX169" i="46"/>
  <c r="DB169" i="46"/>
  <c r="BJ170" i="46"/>
  <c r="BN170" i="46"/>
  <c r="BR170" i="46"/>
  <c r="BV170" i="46"/>
  <c r="BZ170" i="46"/>
  <c r="CD170" i="46"/>
  <c r="CH170" i="46"/>
  <c r="CL170" i="46"/>
  <c r="CP170" i="46"/>
  <c r="CT170" i="46"/>
  <c r="CX170" i="46"/>
  <c r="DB170" i="46"/>
  <c r="BJ171" i="46"/>
  <c r="BN171" i="46"/>
  <c r="BR171" i="46"/>
  <c r="BV171" i="46"/>
  <c r="BZ171" i="46"/>
  <c r="CD171" i="46"/>
  <c r="CH171" i="46"/>
  <c r="CL171" i="46"/>
  <c r="CP171" i="46"/>
  <c r="CT171" i="46"/>
  <c r="CX171" i="46"/>
  <c r="DB171" i="46"/>
  <c r="BI172" i="46"/>
  <c r="BJ172" i="46" s="1"/>
  <c r="BL172" i="46"/>
  <c r="BL174" i="46" s="1"/>
  <c r="BM172" i="46"/>
  <c r="BN172" i="46" s="1"/>
  <c r="BP172" i="46"/>
  <c r="BP174" i="46" s="1"/>
  <c r="BQ172" i="46"/>
  <c r="BR172" i="46" s="1"/>
  <c r="BT172" i="46"/>
  <c r="BT174" i="46" s="1"/>
  <c r="BU172" i="46"/>
  <c r="BX172" i="46"/>
  <c r="BX174" i="46" s="1"/>
  <c r="BY172" i="46"/>
  <c r="BZ172" i="46" s="1"/>
  <c r="CB172" i="46"/>
  <c r="CB174" i="46" s="1"/>
  <c r="CC172" i="46"/>
  <c r="CD172" i="46" s="1"/>
  <c r="CF172" i="46"/>
  <c r="CF174" i="46" s="1"/>
  <c r="CG172" i="46"/>
  <c r="CH172" i="46" s="1"/>
  <c r="CJ172" i="46"/>
  <c r="CK172" i="46"/>
  <c r="CL172" i="46" s="1"/>
  <c r="CN172" i="46"/>
  <c r="CO172" i="46"/>
  <c r="CP172" i="46" s="1"/>
  <c r="CR172" i="46"/>
  <c r="CS172" i="46"/>
  <c r="CT172" i="46" s="1"/>
  <c r="CV172" i="46"/>
  <c r="CW172" i="46"/>
  <c r="CZ172" i="46"/>
  <c r="DA172" i="46"/>
  <c r="DB172" i="46" s="1"/>
  <c r="BN173" i="46"/>
  <c r="BR173" i="46"/>
  <c r="BV173" i="46"/>
  <c r="BZ173" i="46"/>
  <c r="CD173" i="46"/>
  <c r="CH173" i="46"/>
  <c r="CJ173" i="46"/>
  <c r="CJ218" i="46" s="1"/>
  <c r="CN173" i="46"/>
  <c r="CN218" i="46" s="1"/>
  <c r="CR173" i="46"/>
  <c r="CR218" i="46" s="1"/>
  <c r="CV173" i="46"/>
  <c r="CZ173" i="46"/>
  <c r="CZ218" i="46" s="1"/>
  <c r="BJ176" i="46"/>
  <c r="BN176" i="46"/>
  <c r="BR176" i="46"/>
  <c r="BV176" i="46"/>
  <c r="BZ176" i="46"/>
  <c r="CD176" i="46"/>
  <c r="CH176" i="46"/>
  <c r="CL176" i="46"/>
  <c r="CP176" i="46"/>
  <c r="CT176" i="46"/>
  <c r="CX176" i="46"/>
  <c r="DB176" i="46"/>
  <c r="BJ179" i="46"/>
  <c r="BN179" i="46"/>
  <c r="BR179" i="46"/>
  <c r="BV179" i="46"/>
  <c r="BZ179" i="46"/>
  <c r="CD179" i="46"/>
  <c r="CH179" i="46"/>
  <c r="CL179" i="46"/>
  <c r="CP179" i="46"/>
  <c r="CT179" i="46"/>
  <c r="CX179" i="46"/>
  <c r="DB179" i="46"/>
  <c r="BJ180" i="46"/>
  <c r="BN180" i="46"/>
  <c r="BR180" i="46"/>
  <c r="BV180" i="46"/>
  <c r="BZ180" i="46"/>
  <c r="CD180" i="46"/>
  <c r="CH180" i="46"/>
  <c r="CK180" i="46"/>
  <c r="CL180" i="46" s="1"/>
  <c r="CP180" i="46"/>
  <c r="CT180" i="46"/>
  <c r="CX180" i="46"/>
  <c r="DB180" i="46"/>
  <c r="BJ181" i="46"/>
  <c r="BN181" i="46"/>
  <c r="BR181" i="46"/>
  <c r="BV181" i="46"/>
  <c r="BZ181" i="46"/>
  <c r="CD181" i="46"/>
  <c r="CH181" i="46"/>
  <c r="CL181" i="46"/>
  <c r="CP181" i="46"/>
  <c r="CT181" i="46"/>
  <c r="CX181" i="46"/>
  <c r="DB181" i="46"/>
  <c r="BJ182" i="46"/>
  <c r="BJ225" i="42" s="1"/>
  <c r="BM229" i="42" s="1"/>
  <c r="BN182" i="46"/>
  <c r="BN225" i="42" s="1"/>
  <c r="BQ229" i="42" s="1"/>
  <c r="BR182" i="46"/>
  <c r="BR225" i="42" s="1"/>
  <c r="BU229" i="42" s="1"/>
  <c r="BV182" i="46"/>
  <c r="BV225" i="42" s="1"/>
  <c r="BY229" i="42" s="1"/>
  <c r="BZ182" i="46"/>
  <c r="BZ225" i="42" s="1"/>
  <c r="CC229" i="42" s="1"/>
  <c r="CB182" i="46"/>
  <c r="CB223" i="46" s="1"/>
  <c r="CD182" i="46"/>
  <c r="CD225" i="42" s="1"/>
  <c r="CG229" i="42" s="1"/>
  <c r="CH182" i="46"/>
  <c r="CH225" i="42" s="1"/>
  <c r="CK229" i="42" s="1"/>
  <c r="CL182" i="46"/>
  <c r="CL225" i="42" s="1"/>
  <c r="CO229" i="42" s="1"/>
  <c r="CN182" i="46"/>
  <c r="CN184" i="46" s="1"/>
  <c r="CN185" i="46" s="1"/>
  <c r="CP182" i="46"/>
  <c r="CP225" i="42" s="1"/>
  <c r="CS229" i="42" s="1"/>
  <c r="CR182" i="46"/>
  <c r="CR223" i="46" s="1"/>
  <c r="CS182" i="46"/>
  <c r="CV182" i="46"/>
  <c r="CV184" i="46" s="1"/>
  <c r="CV185" i="46" s="1"/>
  <c r="CW182" i="46"/>
  <c r="CX182" i="46" s="1"/>
  <c r="CX225" i="42" s="1"/>
  <c r="DA229" i="42" s="1"/>
  <c r="DA182" i="46"/>
  <c r="BJ183" i="46"/>
  <c r="BN183" i="46"/>
  <c r="BR183" i="46"/>
  <c r="BV183" i="46"/>
  <c r="BZ183" i="46"/>
  <c r="CD183" i="46"/>
  <c r="CH183" i="46"/>
  <c r="CL183" i="46"/>
  <c r="CP183" i="46"/>
  <c r="CT183" i="46"/>
  <c r="CX183" i="46"/>
  <c r="DB183" i="46"/>
  <c r="BI184" i="46"/>
  <c r="BL184" i="46"/>
  <c r="BL185" i="46" s="1"/>
  <c r="BM184" i="46"/>
  <c r="BP184" i="46"/>
  <c r="BP185" i="46" s="1"/>
  <c r="BQ184" i="46"/>
  <c r="BT184" i="46"/>
  <c r="BT185" i="46" s="1"/>
  <c r="BU184" i="46"/>
  <c r="BV184" i="46" s="1"/>
  <c r="BX184" i="46"/>
  <c r="BX185" i="46" s="1"/>
  <c r="BY184" i="46"/>
  <c r="CC184" i="46"/>
  <c r="CF184" i="46"/>
  <c r="CF185" i="46" s="1"/>
  <c r="CG184" i="46"/>
  <c r="CH184" i="46" s="1"/>
  <c r="CJ184" i="46"/>
  <c r="CJ185" i="46" s="1"/>
  <c r="CO184" i="46"/>
  <c r="CZ184" i="46"/>
  <c r="CZ185" i="46" s="1"/>
  <c r="DA197" i="46"/>
  <c r="DI197" i="46" s="1"/>
  <c r="DL197" i="46" s="1"/>
  <c r="DM197" i="46" s="1"/>
  <c r="DP197" i="46" s="1"/>
  <c r="BJ186" i="46"/>
  <c r="BN186" i="46"/>
  <c r="BR186" i="46"/>
  <c r="BV186" i="46"/>
  <c r="BZ186" i="46"/>
  <c r="CD186" i="46"/>
  <c r="CH186" i="46"/>
  <c r="CL186" i="46"/>
  <c r="CP186" i="46"/>
  <c r="CT186" i="46"/>
  <c r="CX186" i="46"/>
  <c r="DB186" i="46"/>
  <c r="BI187" i="46"/>
  <c r="BJ187" i="46" s="1"/>
  <c r="BL187" i="46"/>
  <c r="BM187" i="46"/>
  <c r="BN187" i="46" s="1"/>
  <c r="BP187" i="46"/>
  <c r="BQ187" i="46"/>
  <c r="BR187" i="46" s="1"/>
  <c r="BT187" i="46"/>
  <c r="BU187" i="46"/>
  <c r="BV187" i="46" s="1"/>
  <c r="BX187" i="46"/>
  <c r="BY187" i="46"/>
  <c r="BZ187" i="46" s="1"/>
  <c r="CB187" i="46"/>
  <c r="CC187" i="46"/>
  <c r="CD187" i="46" s="1"/>
  <c r="CF187" i="46"/>
  <c r="CG187" i="46"/>
  <c r="CH187" i="46" s="1"/>
  <c r="CJ187" i="46"/>
  <c r="CK187" i="46"/>
  <c r="CL187" i="46" s="1"/>
  <c r="CN187" i="46"/>
  <c r="CO187" i="46"/>
  <c r="CP187" i="46" s="1"/>
  <c r="CR187" i="46"/>
  <c r="CS187" i="46"/>
  <c r="CT187" i="46" s="1"/>
  <c r="CV187" i="46"/>
  <c r="CW187" i="46"/>
  <c r="CX187" i="46" s="1"/>
  <c r="CZ187" i="46"/>
  <c r="DA187" i="46"/>
  <c r="DB187" i="46" s="1"/>
  <c r="BJ188" i="46"/>
  <c r="BN188" i="46"/>
  <c r="BR188" i="46"/>
  <c r="BV188" i="46"/>
  <c r="BZ188" i="46"/>
  <c r="CD188" i="46"/>
  <c r="CH188" i="46"/>
  <c r="CL188" i="46"/>
  <c r="CP188" i="46"/>
  <c r="CT188" i="46"/>
  <c r="CX188" i="46"/>
  <c r="DB188" i="46"/>
  <c r="BI191" i="46"/>
  <c r="BL191" i="46"/>
  <c r="BM191" i="46"/>
  <c r="BP191" i="46"/>
  <c r="BQ191" i="46"/>
  <c r="BT191" i="46"/>
  <c r="BU191" i="46"/>
  <c r="BX191" i="46"/>
  <c r="BY191" i="46"/>
  <c r="CB191" i="46"/>
  <c r="CC191" i="46"/>
  <c r="CV191" i="46"/>
  <c r="BI195" i="46"/>
  <c r="BL195" i="46"/>
  <c r="BM195" i="46"/>
  <c r="BP195" i="46"/>
  <c r="BQ195" i="46"/>
  <c r="BT195" i="46"/>
  <c r="BU195" i="46"/>
  <c r="BX195" i="46"/>
  <c r="BY195" i="46"/>
  <c r="CB195" i="46"/>
  <c r="CC195" i="46"/>
  <c r="CF195" i="46"/>
  <c r="CG195" i="46"/>
  <c r="CJ195" i="46"/>
  <c r="CK195" i="46"/>
  <c r="CN195" i="46"/>
  <c r="CO195" i="46"/>
  <c r="CR195" i="46"/>
  <c r="CS195" i="46"/>
  <c r="CV195" i="46"/>
  <c r="CW195" i="46"/>
  <c r="CZ195" i="46"/>
  <c r="BI197" i="46"/>
  <c r="BL197" i="46"/>
  <c r="BM197" i="46"/>
  <c r="BP197" i="46"/>
  <c r="BQ197" i="46"/>
  <c r="BT197" i="46"/>
  <c r="BU197" i="46"/>
  <c r="BX197" i="46"/>
  <c r="BY197" i="46"/>
  <c r="CB197" i="46"/>
  <c r="CC197" i="46"/>
  <c r="CF197" i="46"/>
  <c r="CG197" i="46"/>
  <c r="CJ197" i="46"/>
  <c r="CK197" i="46"/>
  <c r="CN197" i="46"/>
  <c r="CO197" i="46"/>
  <c r="CR197" i="46"/>
  <c r="CS197" i="46"/>
  <c r="CV197" i="46"/>
  <c r="CW197" i="46"/>
  <c r="CZ197" i="46"/>
  <c r="CZ224" i="46"/>
  <c r="BL210" i="46"/>
  <c r="BL211" i="46"/>
  <c r="BL212" i="46"/>
  <c r="BL213" i="46"/>
  <c r="BL214" i="46"/>
  <c r="BP210" i="46"/>
  <c r="BP211" i="46"/>
  <c r="BP212" i="46"/>
  <c r="BP213" i="46"/>
  <c r="BP214" i="46"/>
  <c r="BT210" i="46"/>
  <c r="BT211" i="46"/>
  <c r="BT212" i="46"/>
  <c r="BT213" i="46"/>
  <c r="BT214" i="46"/>
  <c r="BX210" i="46"/>
  <c r="BX211" i="46"/>
  <c r="BX212" i="46"/>
  <c r="BX213" i="46"/>
  <c r="BX214" i="46"/>
  <c r="CB210" i="46"/>
  <c r="CB211" i="46"/>
  <c r="CB212" i="46"/>
  <c r="CB213" i="46"/>
  <c r="CB214" i="46"/>
  <c r="CF210" i="46"/>
  <c r="CF211" i="46"/>
  <c r="CF212" i="46"/>
  <c r="CF213" i="46"/>
  <c r="CF214" i="46"/>
  <c r="CJ210" i="46"/>
  <c r="CJ211" i="46"/>
  <c r="CJ212" i="46"/>
  <c r="CJ213" i="46"/>
  <c r="CJ214" i="46"/>
  <c r="CN210" i="46"/>
  <c r="CN211" i="46"/>
  <c r="CN212" i="46"/>
  <c r="CN213" i="46"/>
  <c r="CN214" i="46"/>
  <c r="CR210" i="46"/>
  <c r="CR211" i="46"/>
  <c r="CR212" i="46"/>
  <c r="CR213" i="46"/>
  <c r="CR214" i="46"/>
  <c r="CV210" i="46"/>
  <c r="CV211" i="46"/>
  <c r="CV212" i="46"/>
  <c r="CV213" i="46"/>
  <c r="CV214" i="46"/>
  <c r="CZ210" i="46"/>
  <c r="CZ211" i="46"/>
  <c r="CZ212" i="46"/>
  <c r="CZ213" i="46"/>
  <c r="CZ214" i="46"/>
  <c r="DI206" i="46"/>
  <c r="DL206" i="46" s="1"/>
  <c r="DM206" i="46" s="1"/>
  <c r="DP206" i="46" s="1"/>
  <c r="DQ206" i="46" s="1"/>
  <c r="BJ216" i="46"/>
  <c r="BN216" i="46"/>
  <c r="BR216" i="46"/>
  <c r="BV216" i="46"/>
  <c r="BZ216" i="46"/>
  <c r="CD216" i="46"/>
  <c r="CH216" i="46"/>
  <c r="CL216" i="46"/>
  <c r="CP216" i="46"/>
  <c r="CT216" i="46"/>
  <c r="CX216" i="46"/>
  <c r="DB216" i="46"/>
  <c r="DJ216" i="46"/>
  <c r="DN216" i="46"/>
  <c r="BL218" i="46"/>
  <c r="BP218" i="46"/>
  <c r="BT218" i="46"/>
  <c r="BX218" i="46"/>
  <c r="CB218" i="46"/>
  <c r="CF218" i="46"/>
  <c r="BI223" i="46"/>
  <c r="BI225" i="46" s="1"/>
  <c r="BI227" i="46" s="1"/>
  <c r="BL223" i="46"/>
  <c r="BL225" i="46" s="1"/>
  <c r="BL227" i="46" s="1"/>
  <c r="BM223" i="46"/>
  <c r="BM225" i="46" s="1"/>
  <c r="BM227" i="46" s="1"/>
  <c r="BP223" i="46"/>
  <c r="BP225" i="46" s="1"/>
  <c r="BP227" i="46" s="1"/>
  <c r="BQ223" i="46"/>
  <c r="BQ225" i="46" s="1"/>
  <c r="BQ227" i="46" s="1"/>
  <c r="BT223" i="46"/>
  <c r="BU223" i="46"/>
  <c r="BX223" i="46"/>
  <c r="BY223" i="46"/>
  <c r="CC223" i="46"/>
  <c r="CF223" i="46"/>
  <c r="CG223" i="46"/>
  <c r="CJ223" i="46"/>
  <c r="CK223" i="46"/>
  <c r="CO223" i="46"/>
  <c r="CZ223" i="46"/>
  <c r="BT224" i="46"/>
  <c r="BU224" i="46"/>
  <c r="BX224" i="46"/>
  <c r="BY224" i="46"/>
  <c r="CB224" i="46"/>
  <c r="CC224" i="46"/>
  <c r="CF224" i="46"/>
  <c r="CG224" i="46"/>
  <c r="CJ224" i="46"/>
  <c r="CK224" i="46"/>
  <c r="CN224" i="46"/>
  <c r="CO224" i="46"/>
  <c r="CR224" i="46"/>
  <c r="CS224" i="46"/>
  <c r="CV224" i="46"/>
  <c r="CW224" i="46"/>
  <c r="BT226" i="46"/>
  <c r="BU226" i="46"/>
  <c r="BX226" i="46"/>
  <c r="BY226" i="46"/>
  <c r="CB226" i="46"/>
  <c r="CC226" i="46"/>
  <c r="CF226" i="46"/>
  <c r="CG226" i="46"/>
  <c r="CJ226" i="46"/>
  <c r="CK226" i="46"/>
  <c r="CN226" i="46"/>
  <c r="CO226" i="46"/>
  <c r="CR226" i="46"/>
  <c r="CS226" i="46"/>
  <c r="CV226" i="46"/>
  <c r="CW226" i="46"/>
  <c r="CZ226" i="46"/>
  <c r="DA226" i="46"/>
  <c r="AO287" i="46"/>
  <c r="AO234" i="46" s="1"/>
  <c r="AR287" i="46"/>
  <c r="AR234" i="46" s="1"/>
  <c r="AS287" i="46"/>
  <c r="AS234" i="46" s="1"/>
  <c r="AT234" i="46" s="1"/>
  <c r="AW287" i="46"/>
  <c r="AW234" i="46" s="1"/>
  <c r="AZ287" i="46"/>
  <c r="BA287" i="46"/>
  <c r="BA234" i="46" s="1"/>
  <c r="BB234" i="46" s="1"/>
  <c r="BD287" i="46"/>
  <c r="BD234" i="46" s="1"/>
  <c r="BE287" i="46"/>
  <c r="BE234" i="46" s="1"/>
  <c r="BH287" i="46"/>
  <c r="BH234" i="46" s="1"/>
  <c r="AO235" i="46"/>
  <c r="AP235" i="46" s="1"/>
  <c r="AR235" i="46"/>
  <c r="AS235" i="46"/>
  <c r="AT235" i="46" s="1"/>
  <c r="AV235" i="46"/>
  <c r="AW235" i="46"/>
  <c r="AX235" i="46" s="1"/>
  <c r="AZ235" i="46"/>
  <c r="BA235" i="46"/>
  <c r="BB235" i="46" s="1"/>
  <c r="BD235" i="46"/>
  <c r="BE235" i="46"/>
  <c r="BF235" i="46" s="1"/>
  <c r="BH235" i="46"/>
  <c r="AP236" i="46"/>
  <c r="AT236" i="46"/>
  <c r="AX236" i="46"/>
  <c r="BB236" i="46"/>
  <c r="BF236" i="46"/>
  <c r="AO317" i="46"/>
  <c r="AO328" i="46" s="1"/>
  <c r="AO322" i="46"/>
  <c r="AP322" i="46" s="1"/>
  <c r="AR317" i="46"/>
  <c r="AR322" i="46"/>
  <c r="AS317" i="46"/>
  <c r="AS328" i="46" s="1"/>
  <c r="AT328" i="46" s="1"/>
  <c r="AS322" i="46"/>
  <c r="AT322" i="46" s="1"/>
  <c r="AV317" i="46"/>
  <c r="AV328" i="46" s="1"/>
  <c r="AV322" i="46"/>
  <c r="AW317" i="46"/>
  <c r="AW322" i="46"/>
  <c r="AX322" i="46" s="1"/>
  <c r="AZ317" i="46"/>
  <c r="AZ328" i="46" s="1"/>
  <c r="AZ322" i="46"/>
  <c r="BA317" i="46"/>
  <c r="BA328" i="46" s="1"/>
  <c r="BB328" i="46" s="1"/>
  <c r="BA321" i="46"/>
  <c r="BB321" i="46" s="1"/>
  <c r="BD315" i="46"/>
  <c r="BD317" i="46" s="1"/>
  <c r="BE315" i="46"/>
  <c r="BE317" i="46" s="1"/>
  <c r="BH315" i="46"/>
  <c r="BH317" i="46" s="1"/>
  <c r="BH323" i="46" s="1"/>
  <c r="AO347" i="46"/>
  <c r="AO324" i="46" s="1"/>
  <c r="AR242" i="46"/>
  <c r="AR244" i="46" s="1"/>
  <c r="AS242" i="46"/>
  <c r="AS244" i="46" s="1"/>
  <c r="AT244" i="46" s="1"/>
  <c r="AV242" i="46"/>
  <c r="AV244" i="46" s="1"/>
  <c r="AW242" i="46"/>
  <c r="AW244" i="46" s="1"/>
  <c r="AZ242" i="46"/>
  <c r="AZ244" i="46" s="1"/>
  <c r="BA242" i="46"/>
  <c r="BB242" i="46" s="1"/>
  <c r="BD242" i="46"/>
  <c r="BD244" i="46" s="1"/>
  <c r="BE242" i="46"/>
  <c r="BH242" i="46"/>
  <c r="BH244" i="46" s="1"/>
  <c r="AP243" i="46"/>
  <c r="AT243" i="46"/>
  <c r="AX243" i="46"/>
  <c r="BB243" i="46"/>
  <c r="BF243" i="46"/>
  <c r="AO296" i="46"/>
  <c r="AO290" i="46"/>
  <c r="AO291" i="46" s="1"/>
  <c r="AR296" i="46"/>
  <c r="AR297" i="46" s="1"/>
  <c r="AR290" i="46"/>
  <c r="AR291" i="46" s="1"/>
  <c r="AS296" i="46"/>
  <c r="AS297" i="46" s="1"/>
  <c r="AS307" i="46" s="1"/>
  <c r="AS290" i="46"/>
  <c r="AT290" i="46" s="1"/>
  <c r="AV296" i="46"/>
  <c r="AV297" i="46" s="1"/>
  <c r="AV290" i="46"/>
  <c r="AV291" i="46" s="1"/>
  <c r="AW296" i="46"/>
  <c r="AW297" i="46" s="1"/>
  <c r="AW290" i="46"/>
  <c r="AZ296" i="46"/>
  <c r="AZ297" i="46" s="1"/>
  <c r="AZ290" i="46"/>
  <c r="AZ291" i="46" s="1"/>
  <c r="BA296" i="46"/>
  <c r="BA290" i="46"/>
  <c r="BA291" i="46" s="1"/>
  <c r="BD296" i="46"/>
  <c r="BD297" i="46" s="1"/>
  <c r="BD290" i="46"/>
  <c r="BD291" i="46" s="1"/>
  <c r="BE296" i="46"/>
  <c r="BE290" i="46"/>
  <c r="BE291" i="46" s="1"/>
  <c r="BH296" i="46"/>
  <c r="BH297" i="46" s="1"/>
  <c r="AR388" i="46"/>
  <c r="AR362" i="46" s="1"/>
  <c r="AR389" i="46"/>
  <c r="AR390" i="46"/>
  <c r="AR364" i="46" s="1"/>
  <c r="AR391" i="46"/>
  <c r="AR365" i="46" s="1"/>
  <c r="AR392" i="46"/>
  <c r="AR366" i="46" s="1"/>
  <c r="AR393" i="46"/>
  <c r="AR367" i="46" s="1"/>
  <c r="AR394" i="46"/>
  <c r="AR368" i="46" s="1"/>
  <c r="AR396" i="46"/>
  <c r="AR397" i="46"/>
  <c r="AR371" i="46" s="1"/>
  <c r="AR399" i="46"/>
  <c r="AS388" i="46"/>
  <c r="AS362" i="46" s="1"/>
  <c r="AT362" i="46" s="1"/>
  <c r="AS389" i="46"/>
  <c r="AT389" i="46" s="1"/>
  <c r="AS390" i="46"/>
  <c r="AS391" i="46"/>
  <c r="AS392" i="46"/>
  <c r="AS393" i="46"/>
  <c r="AS367" i="46" s="1"/>
  <c r="AT367" i="46" s="1"/>
  <c r="AS394" i="46"/>
  <c r="AS396" i="46"/>
  <c r="AT396" i="46" s="1"/>
  <c r="AS397" i="46"/>
  <c r="AT397" i="46" s="1"/>
  <c r="AS399" i="46"/>
  <c r="AT399" i="46" s="1"/>
  <c r="AV388" i="46"/>
  <c r="AV362" i="46" s="1"/>
  <c r="AV389" i="46"/>
  <c r="AV390" i="46"/>
  <c r="AV364" i="46" s="1"/>
  <c r="AV391" i="46"/>
  <c r="AV365" i="46" s="1"/>
  <c r="AV392" i="46"/>
  <c r="AV366" i="46" s="1"/>
  <c r="AV393" i="46"/>
  <c r="AV367" i="46" s="1"/>
  <c r="AV411" i="46"/>
  <c r="AV415" i="46" s="1"/>
  <c r="AV417" i="46" s="1"/>
  <c r="AV396" i="46"/>
  <c r="AV397" i="46"/>
  <c r="AV371" i="46" s="1"/>
  <c r="AV399" i="46"/>
  <c r="AW388" i="46"/>
  <c r="AW362" i="46" s="1"/>
  <c r="AX362" i="46" s="1"/>
  <c r="AW389" i="46"/>
  <c r="AX389" i="46" s="1"/>
  <c r="AW390" i="46"/>
  <c r="AX390" i="46" s="1"/>
  <c r="AW391" i="46"/>
  <c r="AW365" i="46" s="1"/>
  <c r="AX365" i="46" s="1"/>
  <c r="AW392" i="46"/>
  <c r="AW393" i="46"/>
  <c r="AW367" i="46" s="1"/>
  <c r="AX367" i="46" s="1"/>
  <c r="AW411" i="46"/>
  <c r="AW394" i="46" s="1"/>
  <c r="AX394" i="46" s="1"/>
  <c r="AW396" i="46"/>
  <c r="AX396" i="46" s="1"/>
  <c r="AW397" i="46"/>
  <c r="AW399" i="46"/>
  <c r="AX399" i="46" s="1"/>
  <c r="AZ388" i="46"/>
  <c r="AZ362" i="46" s="1"/>
  <c r="AZ389" i="46"/>
  <c r="AZ390" i="46"/>
  <c r="AZ364" i="46" s="1"/>
  <c r="AZ391" i="46"/>
  <c r="AZ365" i="46" s="1"/>
  <c r="AZ392" i="46"/>
  <c r="AZ366" i="46" s="1"/>
  <c r="AZ393" i="46"/>
  <c r="AZ367" i="46" s="1"/>
  <c r="AZ411" i="46"/>
  <c r="AZ394" i="46" s="1"/>
  <c r="AZ368" i="46" s="1"/>
  <c r="AZ396" i="46"/>
  <c r="AZ397" i="46"/>
  <c r="AZ371" i="46" s="1"/>
  <c r="AZ399" i="46"/>
  <c r="BA388" i="46"/>
  <c r="BA362" i="46" s="1"/>
  <c r="BA389" i="46"/>
  <c r="BB389" i="46" s="1"/>
  <c r="BA390" i="46"/>
  <c r="BA391" i="46"/>
  <c r="BA365" i="46" s="1"/>
  <c r="BB365" i="46" s="1"/>
  <c r="BA392" i="46"/>
  <c r="BA366" i="46" s="1"/>
  <c r="BB366" i="46" s="1"/>
  <c r="BA393" i="46"/>
  <c r="BB393" i="46" s="1"/>
  <c r="BA411" i="46"/>
  <c r="BA394" i="46" s="1"/>
  <c r="BA396" i="46"/>
  <c r="BB396" i="46" s="1"/>
  <c r="BA397" i="46"/>
  <c r="BA371" i="46" s="1"/>
  <c r="BB371" i="46" s="1"/>
  <c r="BA399" i="46"/>
  <c r="BB399" i="46" s="1"/>
  <c r="BD388" i="46"/>
  <c r="BD389" i="46"/>
  <c r="BD390" i="46"/>
  <c r="BD391" i="46"/>
  <c r="BD392" i="46"/>
  <c r="BD393" i="46"/>
  <c r="BD411" i="46"/>
  <c r="BD394" i="46" s="1"/>
  <c r="BD396" i="46"/>
  <c r="BD397" i="46"/>
  <c r="BD399" i="46"/>
  <c r="BE388" i="46"/>
  <c r="BF388" i="46" s="1"/>
  <c r="BE389" i="46"/>
  <c r="BF389" i="46" s="1"/>
  <c r="BE390" i="46"/>
  <c r="BF390" i="46" s="1"/>
  <c r="BE391" i="46"/>
  <c r="BF391" i="46" s="1"/>
  <c r="BE392" i="46"/>
  <c r="BF392" i="46" s="1"/>
  <c r="BE393" i="46"/>
  <c r="BE381" i="46" s="1"/>
  <c r="BE411" i="46"/>
  <c r="BE396" i="46"/>
  <c r="BF396" i="46" s="1"/>
  <c r="BE397" i="46"/>
  <c r="BF397" i="46" s="1"/>
  <c r="BE399" i="46"/>
  <c r="BF399" i="46" s="1"/>
  <c r="BH388" i="46"/>
  <c r="BH405" i="46" s="1"/>
  <c r="BH389" i="46"/>
  <c r="BH406" i="46" s="1"/>
  <c r="BH390" i="46"/>
  <c r="BH407" i="46" s="1"/>
  <c r="BH391" i="46"/>
  <c r="BH408" i="46" s="1"/>
  <c r="BH392" i="46"/>
  <c r="BH409" i="46" s="1"/>
  <c r="BH395" i="46"/>
  <c r="BH412" i="46" s="1"/>
  <c r="BH396" i="46"/>
  <c r="BH413" i="46" s="1"/>
  <c r="BH399" i="46"/>
  <c r="AR415" i="46"/>
  <c r="AR417" i="46" s="1"/>
  <c r="AS415" i="46"/>
  <c r="AS417" i="46" s="1"/>
  <c r="BH417" i="46"/>
  <c r="AT283" i="46"/>
  <c r="AT284" i="46"/>
  <c r="AT285" i="46"/>
  <c r="AT286" i="46"/>
  <c r="AX283" i="46"/>
  <c r="AX284" i="46"/>
  <c r="AX285" i="46"/>
  <c r="AX286" i="46"/>
  <c r="BB283" i="46"/>
  <c r="BB284" i="46"/>
  <c r="BB285" i="46"/>
  <c r="BB286" i="46"/>
  <c r="BF283" i="46"/>
  <c r="BF284" i="46"/>
  <c r="BF285" i="46"/>
  <c r="BF286" i="46"/>
  <c r="AT293" i="46"/>
  <c r="AT294" i="46"/>
  <c r="AT295" i="46"/>
  <c r="AT289" i="46"/>
  <c r="AX293" i="46"/>
  <c r="AX294" i="46"/>
  <c r="AX295" i="46"/>
  <c r="AX289" i="46"/>
  <c r="BB293" i="46"/>
  <c r="BB294" i="46"/>
  <c r="BB295" i="46"/>
  <c r="BB289" i="46"/>
  <c r="BF293" i="46"/>
  <c r="BF294" i="46"/>
  <c r="BF295" i="46"/>
  <c r="BF289" i="46"/>
  <c r="AP283" i="46"/>
  <c r="AP284" i="46"/>
  <c r="AP285" i="46"/>
  <c r="AP286" i="46"/>
  <c r="AP293" i="46"/>
  <c r="AP294" i="46"/>
  <c r="AP295" i="46"/>
  <c r="AP289" i="46"/>
  <c r="AP313" i="46"/>
  <c r="AP314" i="46"/>
  <c r="AP315" i="46"/>
  <c r="AP316" i="46"/>
  <c r="AP318" i="46"/>
  <c r="AP319" i="46"/>
  <c r="AP320" i="46"/>
  <c r="AP321" i="46"/>
  <c r="AT313" i="46"/>
  <c r="AT314" i="46"/>
  <c r="AT315" i="46"/>
  <c r="AT316" i="46"/>
  <c r="AT318" i="46"/>
  <c r="AT319" i="46"/>
  <c r="AT320" i="46"/>
  <c r="AT321" i="46"/>
  <c r="AX313" i="46"/>
  <c r="AX314" i="46"/>
  <c r="AX315" i="46"/>
  <c r="AX316" i="46"/>
  <c r="AX318" i="46"/>
  <c r="AX319" i="46"/>
  <c r="AX320" i="46"/>
  <c r="AX321" i="46"/>
  <c r="BB313" i="46"/>
  <c r="BB314" i="46"/>
  <c r="BB315" i="46"/>
  <c r="BB316" i="46"/>
  <c r="BB318" i="46"/>
  <c r="BB319" i="46"/>
  <c r="BB320" i="46"/>
  <c r="BB322" i="46"/>
  <c r="BF313" i="46"/>
  <c r="BF314" i="46"/>
  <c r="BF316" i="46"/>
  <c r="BF318" i="46"/>
  <c r="BF319" i="46"/>
  <c r="BF320" i="46"/>
  <c r="BF321" i="46"/>
  <c r="BF322" i="46"/>
  <c r="AO304" i="46"/>
  <c r="AO305" i="46" s="1"/>
  <c r="AP303" i="46"/>
  <c r="AP306" i="46"/>
  <c r="AR304" i="46"/>
  <c r="AR305" i="46" s="1"/>
  <c r="AS304" i="46"/>
  <c r="AS305" i="46" s="1"/>
  <c r="AT303" i="46"/>
  <c r="AT306" i="46"/>
  <c r="AV304" i="46"/>
  <c r="AV305" i="46" s="1"/>
  <c r="AW304" i="46"/>
  <c r="AX304" i="46" s="1"/>
  <c r="AX303" i="46"/>
  <c r="AX306" i="46"/>
  <c r="AZ304" i="46"/>
  <c r="AZ305" i="46" s="1"/>
  <c r="BA305" i="46"/>
  <c r="BB303" i="46"/>
  <c r="BB304" i="46"/>
  <c r="BB306" i="46"/>
  <c r="BD305" i="46"/>
  <c r="BE305" i="46"/>
  <c r="BF303" i="46"/>
  <c r="BF304" i="46"/>
  <c r="BF306" i="46"/>
  <c r="BH305" i="46"/>
  <c r="BH290" i="46"/>
  <c r="AO329" i="46"/>
  <c r="AR329" i="46"/>
  <c r="AS329" i="46"/>
  <c r="AV329" i="46"/>
  <c r="AW329" i="46"/>
  <c r="AZ329" i="46"/>
  <c r="BA329" i="46"/>
  <c r="BD329" i="46"/>
  <c r="BE329" i="46"/>
  <c r="BH329" i="46"/>
  <c r="AO338" i="46"/>
  <c r="AR338" i="46"/>
  <c r="AS338" i="46"/>
  <c r="AT338" i="46" s="1"/>
  <c r="AV338" i="46"/>
  <c r="AW338" i="46"/>
  <c r="AX338" i="46" s="1"/>
  <c r="AZ338" i="46"/>
  <c r="BA338" i="46"/>
  <c r="BB338" i="46" s="1"/>
  <c r="BD338" i="46"/>
  <c r="BE338" i="46"/>
  <c r="BF338" i="46" s="1"/>
  <c r="BH338" i="46"/>
  <c r="AO339" i="46"/>
  <c r="AR339" i="46"/>
  <c r="AS339" i="46"/>
  <c r="AT339" i="46" s="1"/>
  <c r="AV339" i="46"/>
  <c r="AW339" i="46"/>
  <c r="AZ339" i="46"/>
  <c r="BA339" i="46"/>
  <c r="BB339" i="46" s="1"/>
  <c r="BD339" i="46"/>
  <c r="BE339" i="46"/>
  <c r="BF339" i="46" s="1"/>
  <c r="BH339" i="46"/>
  <c r="AO341" i="46"/>
  <c r="AR341" i="46"/>
  <c r="AS341" i="46"/>
  <c r="AV341" i="46"/>
  <c r="AW341" i="46"/>
  <c r="AZ341" i="46"/>
  <c r="BA341" i="46"/>
  <c r="BD341" i="46"/>
  <c r="BE341" i="46"/>
  <c r="BH341" i="46"/>
  <c r="AP345" i="46"/>
  <c r="AT345" i="46"/>
  <c r="AX345" i="46"/>
  <c r="BB345" i="46"/>
  <c r="BF345" i="46"/>
  <c r="BF362" i="46"/>
  <c r="AT363" i="46"/>
  <c r="AX363" i="46"/>
  <c r="BB363" i="46"/>
  <c r="BF363" i="46"/>
  <c r="BD364" i="46"/>
  <c r="BE364" i="46"/>
  <c r="BF364" i="46" s="1"/>
  <c r="BF365" i="46"/>
  <c r="BF366" i="46"/>
  <c r="BF367" i="46"/>
  <c r="BH367" i="46"/>
  <c r="BH368" i="46" s="1"/>
  <c r="BA382" i="46"/>
  <c r="BD368" i="46"/>
  <c r="BD369" i="46" s="1"/>
  <c r="BE368" i="46"/>
  <c r="BF368" i="46" s="1"/>
  <c r="AT370" i="46"/>
  <c r="AX370" i="46"/>
  <c r="BB370" i="46"/>
  <c r="BF370" i="46"/>
  <c r="AT371" i="46"/>
  <c r="BD371" i="46"/>
  <c r="BE371" i="46"/>
  <c r="BF371" i="46" s="1"/>
  <c r="BH371" i="46"/>
  <c r="BA377" i="46"/>
  <c r="BA384" i="46"/>
  <c r="BD384" i="46" s="1"/>
  <c r="AO388" i="46"/>
  <c r="AO405" i="46" s="1"/>
  <c r="AP405" i="46" s="1"/>
  <c r="AO389" i="46"/>
  <c r="AO390" i="46"/>
  <c r="AP390" i="46" s="1"/>
  <c r="AO391" i="46"/>
  <c r="AO408" i="46" s="1"/>
  <c r="AP408" i="46" s="1"/>
  <c r="AO392" i="46"/>
  <c r="AO409" i="46" s="1"/>
  <c r="AP409" i="46" s="1"/>
  <c r="AO393" i="46"/>
  <c r="AO410" i="46" s="1"/>
  <c r="AP410" i="46" s="1"/>
  <c r="AO394" i="46"/>
  <c r="AO411" i="46" s="1"/>
  <c r="AP411" i="46" s="1"/>
  <c r="AO396" i="46"/>
  <c r="AP396" i="46" s="1"/>
  <c r="AO397" i="46"/>
  <c r="AO399" i="46"/>
  <c r="AP399" i="46" s="1"/>
  <c r="AT405" i="46"/>
  <c r="AX405" i="46"/>
  <c r="BB405" i="46"/>
  <c r="BF405" i="46"/>
  <c r="AT406" i="46"/>
  <c r="AX406" i="46"/>
  <c r="BB406" i="46"/>
  <c r="BF406" i="46"/>
  <c r="AT407" i="46"/>
  <c r="AX407" i="46"/>
  <c r="BB407" i="46"/>
  <c r="BF407" i="46"/>
  <c r="AT408" i="46"/>
  <c r="AX408" i="46"/>
  <c r="BB408" i="46"/>
  <c r="BF408" i="46"/>
  <c r="AT409" i="46"/>
  <c r="AX409" i="46"/>
  <c r="BB409" i="46"/>
  <c r="BF409" i="46"/>
  <c r="AT410" i="46"/>
  <c r="AX410" i="46"/>
  <c r="BB410" i="46"/>
  <c r="BF410" i="46"/>
  <c r="AT411" i="46"/>
  <c r="AT413" i="46"/>
  <c r="AX413" i="46"/>
  <c r="BB413" i="46"/>
  <c r="BF413" i="46"/>
  <c r="AT414" i="46"/>
  <c r="AX414" i="46"/>
  <c r="BB414" i="46"/>
  <c r="BF414" i="46"/>
  <c r="AP416" i="46"/>
  <c r="AT416" i="46"/>
  <c r="AX416" i="46"/>
  <c r="BB416" i="46"/>
  <c r="BF416" i="46"/>
  <c r="AN1" i="43"/>
  <c r="AO2" i="43"/>
  <c r="AO1" i="43" s="1"/>
  <c r="BR1" i="43"/>
  <c r="BT3" i="43"/>
  <c r="BU3" i="43"/>
  <c r="BV3" i="43"/>
  <c r="BW3" i="43"/>
  <c r="BX3" i="43"/>
  <c r="BY3" i="43"/>
  <c r="BZ3" i="43"/>
  <c r="CA3" i="43"/>
  <c r="CB3" i="43"/>
  <c r="CC3" i="43"/>
  <c r="CD3" i="43"/>
  <c r="CE3" i="43"/>
  <c r="CF3" i="43"/>
  <c r="CG3" i="43"/>
  <c r="CH3" i="43"/>
  <c r="CI3" i="43"/>
  <c r="CJ3" i="43"/>
  <c r="CK3" i="43"/>
  <c r="CL3" i="43"/>
  <c r="CM3" i="43"/>
  <c r="CN3" i="43"/>
  <c r="CO3" i="43"/>
  <c r="CP3" i="43"/>
  <c r="CQ3" i="43"/>
  <c r="CR3" i="43"/>
  <c r="CS3" i="43"/>
  <c r="CT3" i="43"/>
  <c r="CU3" i="43"/>
  <c r="CV3" i="43"/>
  <c r="CW3" i="43"/>
  <c r="CX3" i="43"/>
  <c r="CY3" i="43"/>
  <c r="CZ3" i="43"/>
  <c r="DA3" i="43"/>
  <c r="DB3" i="43"/>
  <c r="DC3" i="43"/>
  <c r="DD3" i="43"/>
  <c r="DE3" i="43"/>
  <c r="DF3" i="43"/>
  <c r="DI3" i="43"/>
  <c r="DJ3" i="43"/>
  <c r="DK3" i="43"/>
  <c r="DL3" i="43"/>
  <c r="DM3" i="43"/>
  <c r="DN3" i="43"/>
  <c r="DO3" i="43"/>
  <c r="BT4" i="43"/>
  <c r="BU4" i="43"/>
  <c r="BV4" i="43"/>
  <c r="BX4" i="43"/>
  <c r="BY4" i="43"/>
  <c r="BZ4" i="43"/>
  <c r="CB4" i="43"/>
  <c r="CC4" i="43"/>
  <c r="CD4" i="43"/>
  <c r="CF4" i="43"/>
  <c r="CG4" i="43"/>
  <c r="CH4" i="43"/>
  <c r="CJ4" i="43"/>
  <c r="CK4" i="43"/>
  <c r="CL4" i="43"/>
  <c r="CN4" i="43"/>
  <c r="CO4" i="43"/>
  <c r="CP4" i="43"/>
  <c r="CR4" i="43"/>
  <c r="CS4" i="43"/>
  <c r="CT4" i="43"/>
  <c r="CV4" i="43"/>
  <c r="CW4" i="43"/>
  <c r="CX4" i="43"/>
  <c r="CZ4" i="43"/>
  <c r="DA4" i="43"/>
  <c r="DB4" i="43"/>
  <c r="DD4" i="43"/>
  <c r="DE4" i="43"/>
  <c r="DF4" i="43"/>
  <c r="DI4" i="43"/>
  <c r="DJ4" i="43"/>
  <c r="DL4" i="43"/>
  <c r="DM4" i="43"/>
  <c r="DN4" i="43"/>
  <c r="BE10" i="43"/>
  <c r="BH10" i="43"/>
  <c r="BM10" i="43"/>
  <c r="BQ10" i="43"/>
  <c r="BU10" i="43"/>
  <c r="BY10" i="43"/>
  <c r="CC10" i="43"/>
  <c r="CG10" i="43"/>
  <c r="CK10" i="43"/>
  <c r="CO10" i="43"/>
  <c r="CS10" i="43"/>
  <c r="CW10" i="43"/>
  <c r="DA10" i="43"/>
  <c r="R10" i="43"/>
  <c r="V10" i="43"/>
  <c r="V11" i="43" s="1"/>
  <c r="Z10" i="43"/>
  <c r="Z11" i="43" s="1"/>
  <c r="Z13" i="43" s="1"/>
  <c r="AD10" i="43"/>
  <c r="AD11" i="43" s="1"/>
  <c r="AD13" i="43" s="1"/>
  <c r="AD15" i="43" s="1"/>
  <c r="AD17" i="43" s="1"/>
  <c r="AH10" i="43"/>
  <c r="AH11" i="43" s="1"/>
  <c r="AL10" i="43"/>
  <c r="AL11" i="43" s="1"/>
  <c r="AP10" i="43"/>
  <c r="AP11" i="43" s="1"/>
  <c r="AT10" i="43"/>
  <c r="AT11" i="43" s="1"/>
  <c r="AT47" i="43" s="1"/>
  <c r="AX10" i="43"/>
  <c r="BB10" i="43"/>
  <c r="P11" i="43"/>
  <c r="P47" i="43" s="1"/>
  <c r="Q11" i="43"/>
  <c r="Q15" i="43" s="1"/>
  <c r="Q17" i="43" s="1"/>
  <c r="R11" i="43"/>
  <c r="R47" i="43" s="1"/>
  <c r="T11" i="43"/>
  <c r="U11" i="43"/>
  <c r="U15" i="43" s="1"/>
  <c r="U17" i="43" s="1"/>
  <c r="X11" i="43"/>
  <c r="X13" i="43" s="1"/>
  <c r="Y11" i="43"/>
  <c r="AB11" i="43"/>
  <c r="AB13" i="43" s="1"/>
  <c r="AB15" i="43" s="1"/>
  <c r="AB17" i="43" s="1"/>
  <c r="AC11" i="43"/>
  <c r="AC13" i="43" s="1"/>
  <c r="AF11" i="43"/>
  <c r="AF47" i="43" s="1"/>
  <c r="AG11" i="43"/>
  <c r="AG13" i="43" s="1"/>
  <c r="AJ11" i="43"/>
  <c r="AJ47" i="43" s="1"/>
  <c r="AK11" i="43"/>
  <c r="AK13" i="43" s="1"/>
  <c r="AN11" i="43"/>
  <c r="AN13" i="43" s="1"/>
  <c r="AO11" i="43"/>
  <c r="AO47" i="43" s="1"/>
  <c r="AR11" i="43"/>
  <c r="AR13" i="43" s="1"/>
  <c r="AR15" i="43" s="1"/>
  <c r="AR17" i="43" s="1"/>
  <c r="AS11" i="43"/>
  <c r="P12" i="43"/>
  <c r="R12" i="43"/>
  <c r="AX12" i="43"/>
  <c r="BA12" i="43"/>
  <c r="BE12" i="43"/>
  <c r="BJ12" i="43"/>
  <c r="BL12" i="43"/>
  <c r="BM12" i="43"/>
  <c r="BN12" i="43"/>
  <c r="BP12" i="43"/>
  <c r="BR12" i="43"/>
  <c r="BT12" i="43"/>
  <c r="BV12" i="43"/>
  <c r="BX12" i="43"/>
  <c r="BZ12" i="43"/>
  <c r="CB12" i="43"/>
  <c r="CD12" i="43"/>
  <c r="CF12" i="43"/>
  <c r="CH12" i="43"/>
  <c r="CJ12" i="43"/>
  <c r="CL12" i="43"/>
  <c r="CN12" i="43"/>
  <c r="CP12" i="43"/>
  <c r="CR12" i="43"/>
  <c r="CT12" i="43"/>
  <c r="CV12" i="43"/>
  <c r="CX12" i="43"/>
  <c r="DA26" i="43"/>
  <c r="AZ16" i="43"/>
  <c r="BA16" i="43"/>
  <c r="BD16" i="43"/>
  <c r="BE16" i="43"/>
  <c r="BH16" i="43"/>
  <c r="BI16" i="43"/>
  <c r="BL16" i="43"/>
  <c r="BM16" i="43"/>
  <c r="BP16" i="43"/>
  <c r="BQ16" i="43"/>
  <c r="BT16" i="43"/>
  <c r="BU16" i="43"/>
  <c r="BX16" i="43"/>
  <c r="BY16" i="43"/>
  <c r="CB16" i="43"/>
  <c r="CC16" i="43"/>
  <c r="CF16" i="43"/>
  <c r="CG16" i="43"/>
  <c r="CJ16" i="43"/>
  <c r="CK16" i="43"/>
  <c r="CN16" i="43"/>
  <c r="CO16" i="43"/>
  <c r="CR16" i="43"/>
  <c r="CS16" i="43"/>
  <c r="CV16" i="43"/>
  <c r="CW16" i="43"/>
  <c r="CZ16" i="43"/>
  <c r="DA16" i="43"/>
  <c r="DI16" i="43"/>
  <c r="DL16" i="43"/>
  <c r="DM16" i="43"/>
  <c r="AO19" i="43"/>
  <c r="AO21" i="43" s="1"/>
  <c r="AO27" i="43" s="1"/>
  <c r="AP19" i="43"/>
  <c r="AP21" i="43" s="1"/>
  <c r="AP27" i="43" s="1"/>
  <c r="AS19" i="43"/>
  <c r="AW19" i="43"/>
  <c r="BA19" i="43"/>
  <c r="BP19" i="43"/>
  <c r="BP21" i="43" s="1"/>
  <c r="BU19" i="43"/>
  <c r="BU21" i="43" s="1"/>
  <c r="BY19" i="43"/>
  <c r="BY21" i="43" s="1"/>
  <c r="CC19" i="43"/>
  <c r="CC21" i="43" s="1"/>
  <c r="CG19" i="43"/>
  <c r="CG21" i="43" s="1"/>
  <c r="CK19" i="43"/>
  <c r="CK21" i="43" s="1"/>
  <c r="DV17" i="41" s="1"/>
  <c r="CO19" i="43"/>
  <c r="CO21" i="43" s="1"/>
  <c r="DZ17" i="41" s="1"/>
  <c r="CS19" i="43"/>
  <c r="CS21" i="43" s="1"/>
  <c r="ED17" i="41" s="1"/>
  <c r="CW19" i="43"/>
  <c r="CW21" i="43" s="1"/>
  <c r="EH17" i="41" s="1"/>
  <c r="DA19" i="43"/>
  <c r="DA21" i="43" s="1"/>
  <c r="EL17" i="41" s="1"/>
  <c r="AS20" i="43"/>
  <c r="AW20" i="43"/>
  <c r="BA20" i="43"/>
  <c r="BI20" i="43"/>
  <c r="BI21" i="43" s="1"/>
  <c r="P21" i="43"/>
  <c r="P27" i="43" s="1"/>
  <c r="Q21" i="43"/>
  <c r="Q27" i="43" s="1"/>
  <c r="R21" i="43"/>
  <c r="T21" i="43"/>
  <c r="U21" i="43"/>
  <c r="U27" i="43" s="1"/>
  <c r="V21" i="43"/>
  <c r="V27" i="43" s="1"/>
  <c r="X21" i="43"/>
  <c r="Y21" i="43"/>
  <c r="Y27" i="43" s="1"/>
  <c r="Z21" i="43"/>
  <c r="Z27" i="43" s="1"/>
  <c r="AB21" i="43"/>
  <c r="AC21" i="43"/>
  <c r="AC27" i="43" s="1"/>
  <c r="AD21" i="43"/>
  <c r="AD27" i="43" s="1"/>
  <c r="AF21" i="43"/>
  <c r="AF27" i="43" s="1"/>
  <c r="AG21" i="43"/>
  <c r="AG27" i="43" s="1"/>
  <c r="AH21" i="43"/>
  <c r="AH27" i="43" s="1"/>
  <c r="AJ21" i="43"/>
  <c r="AK21" i="43"/>
  <c r="AK27" i="43" s="1"/>
  <c r="AL21" i="43"/>
  <c r="AL27" i="43" s="1"/>
  <c r="AN21" i="43"/>
  <c r="AN27" i="43" s="1"/>
  <c r="AR21" i="43"/>
  <c r="AR27" i="43" s="1"/>
  <c r="AT21" i="43"/>
  <c r="AV21" i="43"/>
  <c r="AV27" i="43" s="1"/>
  <c r="AX21" i="43"/>
  <c r="AZ21" i="43"/>
  <c r="BB21" i="43"/>
  <c r="CM17" i="41" s="1"/>
  <c r="BD21" i="43"/>
  <c r="BE21" i="43"/>
  <c r="BF21" i="43"/>
  <c r="BF118" i="49" s="1"/>
  <c r="BF221" i="49" s="1"/>
  <c r="BH21" i="43"/>
  <c r="BJ21" i="43"/>
  <c r="BL21" i="43"/>
  <c r="BM21" i="43"/>
  <c r="BN21" i="43"/>
  <c r="CY17" i="41" s="1"/>
  <c r="BQ21" i="43"/>
  <c r="BQ27" i="43" s="1"/>
  <c r="BR21" i="43"/>
  <c r="BT21" i="43"/>
  <c r="BV21" i="43"/>
  <c r="DG17" i="41" s="1"/>
  <c r="BX21" i="43"/>
  <c r="BZ21" i="43"/>
  <c r="DK17" i="41" s="1"/>
  <c r="CB21" i="43"/>
  <c r="CD21" i="43"/>
  <c r="DO17" i="41" s="1"/>
  <c r="CF21" i="43"/>
  <c r="CF297" i="42" s="1"/>
  <c r="CH21" i="43"/>
  <c r="CH297" i="42" s="1"/>
  <c r="CJ21" i="43"/>
  <c r="CJ297" i="42" s="1"/>
  <c r="CL21" i="43"/>
  <c r="CL297" i="42" s="1"/>
  <c r="CN21" i="43"/>
  <c r="CN297" i="42" s="1"/>
  <c r="CP21" i="43"/>
  <c r="CP297" i="42" s="1"/>
  <c r="CP113" i="49" s="1"/>
  <c r="CR21" i="43"/>
  <c r="CR297" i="42" s="1"/>
  <c r="CT21" i="43"/>
  <c r="CT297" i="42" s="1"/>
  <c r="CT113" i="49" s="1"/>
  <c r="CV21" i="43"/>
  <c r="CV297" i="42" s="1"/>
  <c r="CX21" i="43"/>
  <c r="CX297" i="42" s="1"/>
  <c r="CZ21" i="43"/>
  <c r="DB21" i="43"/>
  <c r="AW24" i="43"/>
  <c r="BA24" i="43"/>
  <c r="AW25" i="43"/>
  <c r="BA25" i="43"/>
  <c r="AS26" i="43"/>
  <c r="AX26" i="43"/>
  <c r="AW26" i="43" s="1"/>
  <c r="AZ26" i="43"/>
  <c r="BB26" i="43"/>
  <c r="BD26" i="43"/>
  <c r="BE26" i="43"/>
  <c r="BF26" i="43"/>
  <c r="BH26" i="43"/>
  <c r="BI26" i="43"/>
  <c r="BJ26" i="43"/>
  <c r="BL26" i="43"/>
  <c r="BM26" i="43"/>
  <c r="BN26" i="43"/>
  <c r="BP26" i="43"/>
  <c r="BR26" i="43"/>
  <c r="BT26" i="43"/>
  <c r="BV26" i="43"/>
  <c r="BX26" i="43"/>
  <c r="BZ26" i="43"/>
  <c r="CB26" i="43"/>
  <c r="CD26" i="43"/>
  <c r="CF26" i="43"/>
  <c r="CH26" i="43"/>
  <c r="CJ26" i="43"/>
  <c r="CL26" i="43"/>
  <c r="CN26" i="43"/>
  <c r="CP26" i="43"/>
  <c r="CR26" i="43"/>
  <c r="CT26" i="43"/>
  <c r="CV26" i="43"/>
  <c r="CX26" i="43"/>
  <c r="BP28" i="43"/>
  <c r="R40" i="43"/>
  <c r="V40" i="43"/>
  <c r="Z40" i="43"/>
  <c r="AD40" i="43"/>
  <c r="AH40" i="43"/>
  <c r="AL40" i="43"/>
  <c r="AP40" i="43"/>
  <c r="AT40" i="43"/>
  <c r="AX40" i="43"/>
  <c r="BB40" i="43"/>
  <c r="BF40" i="43"/>
  <c r="CQ13" i="41" s="1"/>
  <c r="CQ15" i="41" s="1"/>
  <c r="BJ40" i="43"/>
  <c r="CU13" i="41" s="1"/>
  <c r="CU15" i="41" s="1"/>
  <c r="BN40" i="43"/>
  <c r="CY13" i="41" s="1"/>
  <c r="CY15" i="41" s="1"/>
  <c r="BR40" i="43"/>
  <c r="DC13" i="41" s="1"/>
  <c r="DC15" i="41" s="1"/>
  <c r="BV40" i="43"/>
  <c r="DG13" i="41" s="1"/>
  <c r="DG15" i="41" s="1"/>
  <c r="BZ40" i="43"/>
  <c r="DK13" i="41" s="1"/>
  <c r="DK15" i="41" s="1"/>
  <c r="CD40" i="43"/>
  <c r="CH40" i="43"/>
  <c r="CH126" i="49" s="1"/>
  <c r="CL40" i="43"/>
  <c r="DW13" i="41" s="1"/>
  <c r="DW15" i="41" s="1"/>
  <c r="CP40" i="43"/>
  <c r="CT40" i="43"/>
  <c r="EE13" i="41" s="1"/>
  <c r="EE15" i="41" s="1"/>
  <c r="CX40" i="43"/>
  <c r="DB40" i="43"/>
  <c r="DG40" i="43" s="1"/>
  <c r="R41" i="43"/>
  <c r="V41" i="43"/>
  <c r="Z41" i="43"/>
  <c r="AD41" i="43"/>
  <c r="AH41" i="43"/>
  <c r="AL41" i="43"/>
  <c r="AP41" i="43"/>
  <c r="AT41" i="43"/>
  <c r="AX41" i="43"/>
  <c r="BB41" i="43"/>
  <c r="BF41" i="43"/>
  <c r="BJ41" i="43"/>
  <c r="BN41" i="43"/>
  <c r="BR41" i="43"/>
  <c r="BR127" i="49" s="1"/>
  <c r="BV41" i="43"/>
  <c r="BZ41" i="43"/>
  <c r="CD41" i="43"/>
  <c r="CH41" i="43"/>
  <c r="CL41" i="43"/>
  <c r="CP41" i="43"/>
  <c r="CT41" i="43"/>
  <c r="CT127" i="49" s="1"/>
  <c r="CX41" i="43"/>
  <c r="DB41" i="43"/>
  <c r="P42" i="43"/>
  <c r="Q42" i="43"/>
  <c r="T42" i="43"/>
  <c r="U42" i="43"/>
  <c r="X42" i="43"/>
  <c r="Y42" i="43"/>
  <c r="AB42" i="43"/>
  <c r="AC42" i="43"/>
  <c r="AF42" i="43"/>
  <c r="AG42" i="43"/>
  <c r="AJ42" i="43"/>
  <c r="AK42" i="43"/>
  <c r="AN42" i="43"/>
  <c r="AO42" i="43"/>
  <c r="AR42" i="43"/>
  <c r="AS42" i="43"/>
  <c r="AV42" i="43"/>
  <c r="AW42" i="43"/>
  <c r="AZ42" i="43"/>
  <c r="BA42" i="43"/>
  <c r="BD42" i="43"/>
  <c r="BE42" i="43"/>
  <c r="BH42" i="43"/>
  <c r="N28" i="41" s="1"/>
  <c r="BI42" i="43"/>
  <c r="BL42" i="43"/>
  <c r="R28" i="41" s="1"/>
  <c r="BM42" i="43"/>
  <c r="BM128" i="49" s="1"/>
  <c r="BP42" i="43"/>
  <c r="V28" i="41" s="1"/>
  <c r="BQ42" i="43"/>
  <c r="W28" i="41" s="1"/>
  <c r="BT42" i="43"/>
  <c r="Z28" i="41" s="1"/>
  <c r="BU42" i="43"/>
  <c r="AA28" i="41" s="1"/>
  <c r="BX42" i="43"/>
  <c r="BY42" i="43"/>
  <c r="CB42" i="43"/>
  <c r="AH28" i="41" s="1"/>
  <c r="CC42" i="43"/>
  <c r="CF42" i="43"/>
  <c r="AL28" i="41" s="1"/>
  <c r="CG42" i="43"/>
  <c r="CJ42" i="43"/>
  <c r="AP28" i="41" s="1"/>
  <c r="CK42" i="43"/>
  <c r="CN42" i="43"/>
  <c r="AT28" i="41" s="1"/>
  <c r="CO42" i="43"/>
  <c r="AU28" i="41" s="1"/>
  <c r="CR42" i="43"/>
  <c r="AX28" i="41" s="1"/>
  <c r="CS42" i="43"/>
  <c r="CV42" i="43"/>
  <c r="CW42" i="43"/>
  <c r="CZ42" i="43"/>
  <c r="BF28" i="41" s="1"/>
  <c r="DA42" i="43"/>
  <c r="BG28" i="41" s="1"/>
  <c r="AR43" i="43"/>
  <c r="AR504" i="42" s="1"/>
  <c r="AR505" i="42" s="1"/>
  <c r="AT43" i="43"/>
  <c r="C71" i="51" s="1"/>
  <c r="AX43" i="43"/>
  <c r="G71" i="51" s="1"/>
  <c r="AZ43" i="43"/>
  <c r="AZ504" i="42" s="1"/>
  <c r="BB43" i="43"/>
  <c r="K71" i="51" s="1"/>
  <c r="BD43" i="43"/>
  <c r="BD45" i="43" s="1"/>
  <c r="BF43" i="43"/>
  <c r="BF129" i="49" s="1"/>
  <c r="BH43" i="43"/>
  <c r="BJ43" i="43"/>
  <c r="BL43" i="43"/>
  <c r="BL44" i="43" s="1"/>
  <c r="BN43" i="43"/>
  <c r="BR43" i="43"/>
  <c r="DC16" i="41" s="1"/>
  <c r="BT43" i="43"/>
  <c r="BT129" i="49" s="1"/>
  <c r="BV43" i="43"/>
  <c r="BV504" i="42" s="1"/>
  <c r="BX43" i="43"/>
  <c r="BX44" i="43" s="1"/>
  <c r="BY311" i="42" s="1"/>
  <c r="BZ43" i="43"/>
  <c r="BZ504" i="42" s="1"/>
  <c r="CB43" i="43"/>
  <c r="CB45" i="43" s="1"/>
  <c r="CD43" i="43"/>
  <c r="CD504" i="42" s="1"/>
  <c r="CF43" i="43"/>
  <c r="CF44" i="43" s="1"/>
  <c r="CH43" i="43"/>
  <c r="CH504" i="42" s="1"/>
  <c r="CJ43" i="43"/>
  <c r="CL43" i="43"/>
  <c r="CL504" i="42" s="1"/>
  <c r="CN43" i="43"/>
  <c r="CN45" i="43" s="1"/>
  <c r="CP43" i="43"/>
  <c r="EA16" i="41" s="1"/>
  <c r="CR43" i="43"/>
  <c r="CR44" i="43" s="1"/>
  <c r="CT43" i="43"/>
  <c r="CT504" i="42" s="1"/>
  <c r="CV43" i="43"/>
  <c r="CV45" i="43" s="1"/>
  <c r="CX43" i="43"/>
  <c r="CX504" i="42" s="1"/>
  <c r="CZ43" i="43"/>
  <c r="CZ45" i="43" s="1"/>
  <c r="DB43" i="43"/>
  <c r="DB504" i="42" s="1"/>
  <c r="DB505" i="42" s="1"/>
  <c r="AH53" i="43"/>
  <c r="AL53" i="43"/>
  <c r="AP53" i="43"/>
  <c r="BB53" i="43"/>
  <c r="BF53" i="43"/>
  <c r="BJ53" i="43"/>
  <c r="BN53" i="43"/>
  <c r="BR53" i="43"/>
  <c r="BV53" i="43"/>
  <c r="BZ53" i="43"/>
  <c r="CD53" i="43"/>
  <c r="CH53" i="43"/>
  <c r="CL53" i="43"/>
  <c r="CP53" i="43"/>
  <c r="CT53" i="43"/>
  <c r="CX53" i="43"/>
  <c r="DB53" i="43"/>
  <c r="BJ55" i="43"/>
  <c r="BN55" i="43"/>
  <c r="BR55" i="43"/>
  <c r="BV55" i="43"/>
  <c r="BZ55" i="43"/>
  <c r="CD55" i="43"/>
  <c r="CH55" i="43"/>
  <c r="CL55" i="43"/>
  <c r="CP55" i="43"/>
  <c r="CT55" i="43"/>
  <c r="CX55" i="43"/>
  <c r="DB55" i="43"/>
  <c r="D1" i="42"/>
  <c r="D2" i="42" s="1"/>
  <c r="E1" i="42"/>
  <c r="E2" i="42" s="1"/>
  <c r="H1" i="42"/>
  <c r="H2" i="42" s="1"/>
  <c r="I1" i="42"/>
  <c r="L1" i="42"/>
  <c r="L2" i="42" s="1"/>
  <c r="M1" i="42"/>
  <c r="P1" i="42"/>
  <c r="P2" i="42" s="1"/>
  <c r="P541" i="42" s="1"/>
  <c r="Q1" i="42"/>
  <c r="Q2" i="42" s="1"/>
  <c r="Q541" i="42" s="1"/>
  <c r="T1" i="42"/>
  <c r="T2" i="42" s="1"/>
  <c r="T541" i="42" s="1"/>
  <c r="U1" i="42"/>
  <c r="U2" i="42" s="1"/>
  <c r="U541" i="42" s="1"/>
  <c r="X1" i="42"/>
  <c r="X2" i="42" s="1"/>
  <c r="X541" i="42" s="1"/>
  <c r="Y1" i="42"/>
  <c r="Y2" i="42" s="1"/>
  <c r="Y541" i="42" s="1"/>
  <c r="AB1" i="42"/>
  <c r="AB2" i="42" s="1"/>
  <c r="AC1" i="42"/>
  <c r="AF1" i="42"/>
  <c r="AF2" i="42" s="1"/>
  <c r="AF541" i="42" s="1"/>
  <c r="AG1" i="42"/>
  <c r="AG2" i="42" s="1"/>
  <c r="AG541" i="42" s="1"/>
  <c r="AJ1" i="42"/>
  <c r="AJ2" i="42" s="1"/>
  <c r="AJ541" i="42" s="1"/>
  <c r="AK1" i="42"/>
  <c r="AK2" i="42" s="1"/>
  <c r="AK541" i="42" s="1"/>
  <c r="AN1" i="42"/>
  <c r="AN2" i="42" s="1"/>
  <c r="AO3" i="42"/>
  <c r="AR3" i="42" s="1"/>
  <c r="BT5" i="42"/>
  <c r="BU5" i="42"/>
  <c r="BV5" i="42"/>
  <c r="BW5" i="42"/>
  <c r="BX5" i="42"/>
  <c r="BY5" i="42"/>
  <c r="BZ5" i="42"/>
  <c r="CA5" i="42"/>
  <c r="CB5" i="42"/>
  <c r="CC5" i="42"/>
  <c r="CD5" i="42"/>
  <c r="CE5" i="42"/>
  <c r="CF5" i="42"/>
  <c r="CG5" i="42"/>
  <c r="CH5" i="42"/>
  <c r="CI5" i="42"/>
  <c r="CM5" i="42"/>
  <c r="CN5" i="42"/>
  <c r="CO5" i="42"/>
  <c r="CP5" i="42"/>
  <c r="CQ5" i="42"/>
  <c r="CR5" i="42"/>
  <c r="CS5" i="42"/>
  <c r="CT5" i="42"/>
  <c r="CU5" i="42"/>
  <c r="CV5" i="42"/>
  <c r="CW5" i="42"/>
  <c r="CX5" i="42"/>
  <c r="CY5" i="42"/>
  <c r="CZ5" i="42"/>
  <c r="DA5" i="42"/>
  <c r="DB5" i="42"/>
  <c r="DC5" i="42"/>
  <c r="DD5" i="42"/>
  <c r="DE5" i="42"/>
  <c r="DF5" i="42"/>
  <c r="DG5" i="42"/>
  <c r="DI5" i="42"/>
  <c r="DJ5" i="42"/>
  <c r="DK5" i="42"/>
  <c r="DL5" i="42"/>
  <c r="DM5" i="42"/>
  <c r="DN5" i="42"/>
  <c r="DO5" i="42"/>
  <c r="BT6" i="42"/>
  <c r="BU6" i="42"/>
  <c r="BV6" i="42"/>
  <c r="BX6" i="42"/>
  <c r="BY6" i="42"/>
  <c r="BZ6" i="42"/>
  <c r="CB6" i="42"/>
  <c r="CC6" i="42"/>
  <c r="CD6" i="42"/>
  <c r="CF6" i="42"/>
  <c r="CG6" i="42"/>
  <c r="CH6" i="42"/>
  <c r="CN6" i="42"/>
  <c r="CO6" i="42"/>
  <c r="CP6" i="42"/>
  <c r="CR6" i="42"/>
  <c r="CS6" i="42"/>
  <c r="CT6" i="42"/>
  <c r="CV6" i="42"/>
  <c r="CW6" i="42"/>
  <c r="CX6" i="42"/>
  <c r="CZ6" i="42"/>
  <c r="DA6" i="42"/>
  <c r="DB6" i="42"/>
  <c r="DD6" i="42"/>
  <c r="DE6" i="42"/>
  <c r="DF6" i="42"/>
  <c r="DI6" i="42"/>
  <c r="DJ6" i="42"/>
  <c r="DL6" i="42"/>
  <c r="DM6" i="42"/>
  <c r="DN6" i="42"/>
  <c r="R11" i="42"/>
  <c r="V11" i="42"/>
  <c r="Z11" i="42"/>
  <c r="AD11" i="42"/>
  <c r="AH11" i="42"/>
  <c r="AL11" i="42"/>
  <c r="AP11" i="42"/>
  <c r="AT11" i="42"/>
  <c r="AX11" i="42"/>
  <c r="BB11" i="42"/>
  <c r="BF11" i="42"/>
  <c r="BJ11" i="42"/>
  <c r="BN11" i="42"/>
  <c r="BR11" i="42"/>
  <c r="BV11" i="42"/>
  <c r="BZ11" i="42"/>
  <c r="CD11" i="42"/>
  <c r="CH11" i="42"/>
  <c r="CL11" i="42"/>
  <c r="CP11" i="42"/>
  <c r="CT11" i="42"/>
  <c r="CX11" i="42"/>
  <c r="DB11" i="42"/>
  <c r="DJ11" i="42"/>
  <c r="DN11" i="42"/>
  <c r="R12" i="42"/>
  <c r="V12" i="42"/>
  <c r="Z12" i="42"/>
  <c r="AD12" i="42"/>
  <c r="AH12" i="42"/>
  <c r="AL12" i="42"/>
  <c r="AP12" i="42"/>
  <c r="AT12" i="42"/>
  <c r="AX12" i="42"/>
  <c r="BB12" i="42"/>
  <c r="BF12" i="42"/>
  <c r="BJ12" i="42"/>
  <c r="BN12" i="42"/>
  <c r="BR12" i="42"/>
  <c r="BV12" i="42"/>
  <c r="BZ12" i="42"/>
  <c r="CD12" i="42"/>
  <c r="CF12" i="42"/>
  <c r="CG12" i="42"/>
  <c r="CJ12" i="42"/>
  <c r="CK12" i="42"/>
  <c r="CN12" i="42"/>
  <c r="CO12" i="42"/>
  <c r="CR12" i="42"/>
  <c r="CS12" i="42"/>
  <c r="CW12" i="42"/>
  <c r="CZ12" i="42"/>
  <c r="DA31" i="42" s="1"/>
  <c r="DB12" i="42"/>
  <c r="R13" i="42"/>
  <c r="V13" i="42"/>
  <c r="Z13" i="42"/>
  <c r="AD13" i="42"/>
  <c r="AH13" i="42"/>
  <c r="AL13" i="42"/>
  <c r="AP13" i="42"/>
  <c r="AT13" i="42"/>
  <c r="AX13" i="42"/>
  <c r="BB13" i="42"/>
  <c r="BF13" i="42"/>
  <c r="BJ13" i="42"/>
  <c r="BN13" i="42"/>
  <c r="BR13" i="42"/>
  <c r="BV13" i="42"/>
  <c r="BZ13" i="42"/>
  <c r="CD13" i="42"/>
  <c r="CH13" i="42"/>
  <c r="CL13" i="42"/>
  <c r="CP13" i="42"/>
  <c r="CT13" i="42"/>
  <c r="CX13" i="42"/>
  <c r="DB13" i="42"/>
  <c r="DJ13" i="42"/>
  <c r="DN13" i="42"/>
  <c r="R14" i="42"/>
  <c r="V14" i="42"/>
  <c r="Z14" i="42"/>
  <c r="AD14" i="42"/>
  <c r="AH14" i="42"/>
  <c r="AL14" i="42"/>
  <c r="AP14" i="42"/>
  <c r="AT14" i="42"/>
  <c r="AX14" i="42"/>
  <c r="CI44" i="41" s="1"/>
  <c r="BB14" i="42"/>
  <c r="CM44" i="41" s="1"/>
  <c r="BF14" i="42"/>
  <c r="CQ44" i="41" s="1"/>
  <c r="BJ14" i="42"/>
  <c r="BN14" i="42"/>
  <c r="BR14" i="42"/>
  <c r="BV14" i="42"/>
  <c r="BZ14" i="42"/>
  <c r="CD14" i="42"/>
  <c r="CH14" i="42"/>
  <c r="CL14" i="42"/>
  <c r="CP14" i="42"/>
  <c r="CT14" i="42"/>
  <c r="CX14" i="42"/>
  <c r="DB14" i="42"/>
  <c r="R15" i="42"/>
  <c r="V15" i="42"/>
  <c r="Z15" i="42"/>
  <c r="AD15" i="42"/>
  <c r="AH15" i="42"/>
  <c r="AL15" i="42"/>
  <c r="AP15" i="42"/>
  <c r="AT15" i="42"/>
  <c r="AX15" i="42"/>
  <c r="BB15" i="42"/>
  <c r="BF15" i="42"/>
  <c r="BJ15" i="42"/>
  <c r="BN15" i="42"/>
  <c r="BR15" i="42"/>
  <c r="BV15" i="42"/>
  <c r="BZ15" i="42"/>
  <c r="CD15" i="42"/>
  <c r="CH15" i="42"/>
  <c r="CL15" i="42"/>
  <c r="CP15" i="42"/>
  <c r="CT15" i="42"/>
  <c r="CX15" i="42"/>
  <c r="DB15" i="42"/>
  <c r="DJ15" i="42"/>
  <c r="DN15" i="42"/>
  <c r="R16" i="42"/>
  <c r="V16" i="42"/>
  <c r="Z16" i="42"/>
  <c r="AD16" i="42"/>
  <c r="AH16" i="42"/>
  <c r="AL16" i="42"/>
  <c r="AP16" i="42"/>
  <c r="AT16" i="42"/>
  <c r="AT329" i="46" s="1"/>
  <c r="AX16" i="42"/>
  <c r="BB16" i="42"/>
  <c r="BF16" i="42"/>
  <c r="BF329" i="46" s="1"/>
  <c r="BJ16" i="42"/>
  <c r="BN16" i="42"/>
  <c r="BR16" i="42"/>
  <c r="BV16" i="42"/>
  <c r="BZ16" i="42"/>
  <c r="CD16" i="42"/>
  <c r="CH16" i="42"/>
  <c r="CL16" i="42"/>
  <c r="DW43" i="41" s="1"/>
  <c r="CP16" i="42"/>
  <c r="EA43" i="41" s="1"/>
  <c r="CT16" i="42"/>
  <c r="EE43" i="41" s="1"/>
  <c r="CX16" i="42"/>
  <c r="DB16" i="42"/>
  <c r="DI127" i="42"/>
  <c r="DL127" i="42" s="1"/>
  <c r="DM127" i="42" s="1"/>
  <c r="DP127" i="42" s="1"/>
  <c r="DQ127" i="42" s="1"/>
  <c r="DA122" i="42"/>
  <c r="DA124" i="42"/>
  <c r="DA464" i="42" s="1"/>
  <c r="DA491" i="42" s="1"/>
  <c r="R17" i="42"/>
  <c r="V17" i="42"/>
  <c r="Z17" i="42"/>
  <c r="AD17" i="42"/>
  <c r="AH17" i="42"/>
  <c r="AL17" i="42"/>
  <c r="AP17" i="42"/>
  <c r="AT17" i="42"/>
  <c r="AX17" i="42"/>
  <c r="BB17" i="42"/>
  <c r="BF17" i="42"/>
  <c r="BJ17" i="42"/>
  <c r="BN17" i="42"/>
  <c r="BR17" i="42"/>
  <c r="BV17" i="42"/>
  <c r="BZ17" i="42"/>
  <c r="CD17" i="42"/>
  <c r="CH17" i="42"/>
  <c r="CL17" i="42"/>
  <c r="CP17" i="42"/>
  <c r="CT17" i="42"/>
  <c r="CX17" i="42"/>
  <c r="DB17" i="42"/>
  <c r="CO146" i="42"/>
  <c r="CO156" i="42" s="1"/>
  <c r="CZ198" i="42"/>
  <c r="CZ196" i="42"/>
  <c r="R18" i="42"/>
  <c r="V18" i="42"/>
  <c r="Z18" i="42"/>
  <c r="AD18" i="42"/>
  <c r="AH18" i="42"/>
  <c r="AL18" i="42"/>
  <c r="AP18" i="42"/>
  <c r="AT18" i="42"/>
  <c r="AX18" i="42"/>
  <c r="BB18" i="42"/>
  <c r="BF18" i="42"/>
  <c r="BJ18" i="42"/>
  <c r="BN18" i="42"/>
  <c r="BR18" i="42"/>
  <c r="BV18" i="42"/>
  <c r="BZ18" i="42"/>
  <c r="CD18" i="42"/>
  <c r="CH18" i="42"/>
  <c r="CL18" i="42"/>
  <c r="CP18" i="42"/>
  <c r="CT18" i="42"/>
  <c r="CX18" i="42"/>
  <c r="DB18" i="42"/>
  <c r="R19" i="42"/>
  <c r="V19" i="42"/>
  <c r="Z19" i="42"/>
  <c r="AD19" i="42"/>
  <c r="AH19" i="42"/>
  <c r="AL19" i="42"/>
  <c r="AP19" i="42"/>
  <c r="AT19" i="42"/>
  <c r="AX19" i="42"/>
  <c r="BB19" i="42"/>
  <c r="BF19" i="42"/>
  <c r="BJ19" i="42"/>
  <c r="BN19" i="42"/>
  <c r="BR19" i="42"/>
  <c r="BV19" i="42"/>
  <c r="BZ19" i="42"/>
  <c r="CD19" i="42"/>
  <c r="CH19" i="42"/>
  <c r="CL19" i="42"/>
  <c r="CP19" i="42"/>
  <c r="CT19" i="42"/>
  <c r="CX19" i="42"/>
  <c r="DB19" i="42"/>
  <c r="CZ207" i="42"/>
  <c r="CZ205" i="42"/>
  <c r="R20" i="42"/>
  <c r="R511" i="42" s="1"/>
  <c r="V20" i="42"/>
  <c r="V511" i="42" s="1"/>
  <c r="Z20" i="42"/>
  <c r="Z511" i="42" s="1"/>
  <c r="AD20" i="42"/>
  <c r="AD511" i="42" s="1"/>
  <c r="AH20" i="42"/>
  <c r="AH511" i="42" s="1"/>
  <c r="AL20" i="42"/>
  <c r="AL511" i="42" s="1"/>
  <c r="AP20" i="42"/>
  <c r="AP511" i="42" s="1"/>
  <c r="AT20" i="42"/>
  <c r="AT511" i="42" s="1"/>
  <c r="AX20" i="42"/>
  <c r="AX511" i="42" s="1"/>
  <c r="BB20" i="42"/>
  <c r="BB511" i="42" s="1"/>
  <c r="BF20" i="42"/>
  <c r="BF511" i="42" s="1"/>
  <c r="BJ20" i="42"/>
  <c r="BN20" i="42"/>
  <c r="BR20" i="42"/>
  <c r="BV20" i="42"/>
  <c r="BZ20" i="42"/>
  <c r="CD20" i="42"/>
  <c r="CH20" i="42"/>
  <c r="CL20" i="42"/>
  <c r="CP20" i="42"/>
  <c r="CT20" i="42"/>
  <c r="CX20" i="42"/>
  <c r="DB20" i="42"/>
  <c r="R21" i="42"/>
  <c r="V21" i="42"/>
  <c r="Z21" i="42"/>
  <c r="AD21" i="42"/>
  <c r="AH21" i="42"/>
  <c r="AL21" i="42"/>
  <c r="AP21" i="42"/>
  <c r="AT21" i="42"/>
  <c r="AX21" i="42"/>
  <c r="BB21" i="42"/>
  <c r="BF21" i="42"/>
  <c r="BJ21" i="42"/>
  <c r="BN21" i="42"/>
  <c r="BR21" i="42"/>
  <c r="BV21" i="42"/>
  <c r="BZ21" i="42"/>
  <c r="CD21" i="42"/>
  <c r="CH21" i="42"/>
  <c r="CL21" i="42"/>
  <c r="CP21" i="42"/>
  <c r="CT21" i="42"/>
  <c r="CX21" i="42"/>
  <c r="DB21" i="42"/>
  <c r="DJ21" i="42"/>
  <c r="DN21" i="42"/>
  <c r="R22" i="42"/>
  <c r="V22" i="42"/>
  <c r="Z22" i="42"/>
  <c r="AD22" i="42"/>
  <c r="AH22" i="42"/>
  <c r="AL22" i="42"/>
  <c r="AP22" i="42"/>
  <c r="AT22" i="42"/>
  <c r="AX22" i="42"/>
  <c r="BB22" i="42"/>
  <c r="BF22" i="42"/>
  <c r="BJ22" i="42"/>
  <c r="BN22" i="42"/>
  <c r="BR22" i="42"/>
  <c r="BV22" i="42"/>
  <c r="BZ22" i="42"/>
  <c r="CD22" i="42"/>
  <c r="CH22" i="42"/>
  <c r="CL22" i="42"/>
  <c r="CP22" i="42"/>
  <c r="CT22" i="42"/>
  <c r="CX22" i="42"/>
  <c r="DB22" i="42"/>
  <c r="DJ22" i="42"/>
  <c r="DN22" i="42"/>
  <c r="R23" i="42"/>
  <c r="V23" i="42"/>
  <c r="Z23" i="42"/>
  <c r="AD23" i="42"/>
  <c r="AH23" i="42"/>
  <c r="AL23" i="42"/>
  <c r="AP23" i="42"/>
  <c r="AT23" i="42"/>
  <c r="AX23" i="42"/>
  <c r="BB23" i="42"/>
  <c r="BF23" i="42"/>
  <c r="BJ23" i="42"/>
  <c r="BN23" i="42"/>
  <c r="BR23" i="42"/>
  <c r="BV23" i="42"/>
  <c r="BZ23" i="42"/>
  <c r="CD23" i="42"/>
  <c r="CH23" i="42"/>
  <c r="CL23" i="42"/>
  <c r="CP23" i="42"/>
  <c r="CT23" i="42"/>
  <c r="CX23" i="42"/>
  <c r="DB23" i="42"/>
  <c r="R24" i="42"/>
  <c r="V24" i="42"/>
  <c r="Z24" i="42"/>
  <c r="AD24" i="42"/>
  <c r="AH24" i="42"/>
  <c r="AL24" i="42"/>
  <c r="AP24" i="42"/>
  <c r="AT24" i="42"/>
  <c r="AX24" i="42"/>
  <c r="BB24" i="42"/>
  <c r="BF24" i="42"/>
  <c r="BJ24" i="42"/>
  <c r="BN24" i="42"/>
  <c r="BR24" i="42"/>
  <c r="BV24" i="42"/>
  <c r="BZ24" i="42"/>
  <c r="CD24" i="42"/>
  <c r="CH24" i="42"/>
  <c r="CL24" i="42"/>
  <c r="CP24" i="42"/>
  <c r="CT24" i="42"/>
  <c r="CX24" i="42"/>
  <c r="DB24" i="42"/>
  <c r="R25" i="42"/>
  <c r="R512" i="42" s="1"/>
  <c r="V25" i="42"/>
  <c r="V512" i="42" s="1"/>
  <c r="Z25" i="42"/>
  <c r="Z512" i="42" s="1"/>
  <c r="AD25" i="42"/>
  <c r="AD512" i="42" s="1"/>
  <c r="AH25" i="42"/>
  <c r="AH512" i="42" s="1"/>
  <c r="AL25" i="42"/>
  <c r="AL512" i="42" s="1"/>
  <c r="AP25" i="42"/>
  <c r="AP512" i="42" s="1"/>
  <c r="AT25" i="42"/>
  <c r="AT512" i="42" s="1"/>
  <c r="AX25" i="42"/>
  <c r="AX512" i="42" s="1"/>
  <c r="BB25" i="42"/>
  <c r="BB512" i="42" s="1"/>
  <c r="BF25" i="42"/>
  <c r="BF512" i="42" s="1"/>
  <c r="BJ25" i="42"/>
  <c r="BN25" i="42"/>
  <c r="BR25" i="42"/>
  <c r="BV25" i="42"/>
  <c r="BZ25" i="42"/>
  <c r="CD25" i="42"/>
  <c r="CH25" i="42"/>
  <c r="CL25" i="42"/>
  <c r="CP25" i="42"/>
  <c r="CT25" i="42"/>
  <c r="CX25" i="42"/>
  <c r="DB25" i="42"/>
  <c r="R26" i="42"/>
  <c r="V26" i="42"/>
  <c r="Z26" i="42"/>
  <c r="AB26" i="42"/>
  <c r="AC26" i="42"/>
  <c r="AD26" i="42" s="1"/>
  <c r="AF26" i="42"/>
  <c r="AG26" i="42"/>
  <c r="AH26" i="42" s="1"/>
  <c r="AJ26" i="42"/>
  <c r="AK26" i="42"/>
  <c r="AL26" i="42" s="1"/>
  <c r="AN26" i="42"/>
  <c r="AO26" i="42"/>
  <c r="AP26" i="42" s="1"/>
  <c r="AR26" i="42"/>
  <c r="AS26" i="42"/>
  <c r="AT26" i="42" s="1"/>
  <c r="AV26" i="42"/>
  <c r="AW26" i="42"/>
  <c r="AX26" i="42" s="1"/>
  <c r="AZ26" i="42"/>
  <c r="BA26" i="42"/>
  <c r="BB26" i="42" s="1"/>
  <c r="BD26" i="42"/>
  <c r="BE26" i="42"/>
  <c r="BF26" i="42" s="1"/>
  <c r="BH26" i="42"/>
  <c r="BI26" i="42"/>
  <c r="BL26" i="42"/>
  <c r="BM26" i="42"/>
  <c r="BP26" i="42"/>
  <c r="BQ26" i="42"/>
  <c r="BT26" i="42"/>
  <c r="BU26" i="42"/>
  <c r="BX26" i="42"/>
  <c r="BY26" i="42"/>
  <c r="CB26" i="42"/>
  <c r="CC26" i="42"/>
  <c r="A30" i="42"/>
  <c r="A31" i="42"/>
  <c r="BH31" i="42"/>
  <c r="BI31" i="42"/>
  <c r="BL31" i="42"/>
  <c r="BM31" i="42"/>
  <c r="BP31" i="42"/>
  <c r="BQ31" i="42"/>
  <c r="BT31" i="42"/>
  <c r="BU31" i="42"/>
  <c r="BX31" i="42"/>
  <c r="BY31" i="42"/>
  <c r="CB31" i="42"/>
  <c r="CC31" i="42"/>
  <c r="A32" i="42"/>
  <c r="BH32" i="42"/>
  <c r="BI32" i="42"/>
  <c r="BL32" i="42"/>
  <c r="BM32" i="42"/>
  <c r="BP32" i="42"/>
  <c r="BQ32" i="42"/>
  <c r="BT32" i="42"/>
  <c r="BU32" i="42"/>
  <c r="BX32" i="42"/>
  <c r="BY32" i="42"/>
  <c r="CB32" i="42"/>
  <c r="CC32" i="42"/>
  <c r="CF32" i="42"/>
  <c r="CG32" i="42"/>
  <c r="CJ32" i="42"/>
  <c r="CK32" i="42"/>
  <c r="CN32" i="42"/>
  <c r="CO32" i="42"/>
  <c r="CR32" i="42"/>
  <c r="CS32" i="42"/>
  <c r="CV32" i="42"/>
  <c r="CW32" i="42"/>
  <c r="CZ32" i="42"/>
  <c r="DA32" i="42"/>
  <c r="A33" i="42"/>
  <c r="BH33" i="42"/>
  <c r="BI33" i="42"/>
  <c r="BL33" i="42"/>
  <c r="BM33" i="42"/>
  <c r="BP33" i="42"/>
  <c r="BQ33" i="42"/>
  <c r="BT33" i="42"/>
  <c r="BU33" i="42"/>
  <c r="BX33" i="42"/>
  <c r="BY33" i="42"/>
  <c r="CB33" i="42"/>
  <c r="CC33" i="42"/>
  <c r="CF33" i="42"/>
  <c r="CG33" i="42"/>
  <c r="CJ33" i="42"/>
  <c r="CK33" i="42"/>
  <c r="CN33" i="42"/>
  <c r="CO33" i="42"/>
  <c r="CR33" i="42"/>
  <c r="CS33" i="42"/>
  <c r="CV33" i="42"/>
  <c r="CW33" i="42"/>
  <c r="CZ33" i="42"/>
  <c r="DA33" i="42"/>
  <c r="A34" i="42"/>
  <c r="A35" i="42"/>
  <c r="BH35" i="42"/>
  <c r="BI35" i="42"/>
  <c r="BL35" i="42"/>
  <c r="BM35" i="42"/>
  <c r="BP35" i="42"/>
  <c r="BQ35" i="42"/>
  <c r="BT35" i="42"/>
  <c r="BU35" i="42"/>
  <c r="BX35" i="42"/>
  <c r="BY35" i="42"/>
  <c r="CB35" i="42"/>
  <c r="CC35" i="42"/>
  <c r="CF35" i="42"/>
  <c r="CG35" i="42"/>
  <c r="CJ35" i="42"/>
  <c r="CK35" i="42"/>
  <c r="CN35" i="42"/>
  <c r="CO35" i="42"/>
  <c r="CR35" i="42"/>
  <c r="CS35" i="42"/>
  <c r="CV35" i="42"/>
  <c r="CW35" i="42"/>
  <c r="CZ35" i="42"/>
  <c r="DA35" i="42"/>
  <c r="A36" i="42"/>
  <c r="BH36" i="42"/>
  <c r="BI36" i="42"/>
  <c r="BL36" i="42"/>
  <c r="BM36" i="42"/>
  <c r="BP36" i="42"/>
  <c r="BQ36" i="42"/>
  <c r="BT36" i="42"/>
  <c r="BU36" i="42"/>
  <c r="BX36" i="42"/>
  <c r="BY36" i="42"/>
  <c r="CB36" i="42"/>
  <c r="CC36" i="42"/>
  <c r="CF36" i="42"/>
  <c r="CG36" i="42"/>
  <c r="CJ36" i="42"/>
  <c r="CK36" i="42"/>
  <c r="CN36" i="42"/>
  <c r="CO36" i="42"/>
  <c r="CR36" i="42"/>
  <c r="CS36" i="42"/>
  <c r="CV36" i="42"/>
  <c r="CW36" i="42"/>
  <c r="CZ36" i="42"/>
  <c r="DA36" i="42"/>
  <c r="A37" i="42"/>
  <c r="BH37" i="42"/>
  <c r="BI37" i="42"/>
  <c r="BL37" i="42"/>
  <c r="BM37" i="42"/>
  <c r="BP37" i="42"/>
  <c r="BQ37" i="42"/>
  <c r="BT37" i="42"/>
  <c r="BU37" i="42"/>
  <c r="BX37" i="42"/>
  <c r="BY37" i="42"/>
  <c r="CB37" i="42"/>
  <c r="CC37" i="42"/>
  <c r="CF37" i="42"/>
  <c r="CG37" i="42"/>
  <c r="CJ37" i="42"/>
  <c r="CK37" i="42"/>
  <c r="CN37" i="42"/>
  <c r="CO37" i="42"/>
  <c r="CR37" i="42"/>
  <c r="CS37" i="42"/>
  <c r="CV37" i="42"/>
  <c r="CW37" i="42"/>
  <c r="CZ37" i="42"/>
  <c r="DA37" i="42"/>
  <c r="A38" i="42"/>
  <c r="BH38" i="42"/>
  <c r="BI38" i="42"/>
  <c r="BL38" i="42"/>
  <c r="BM38" i="42"/>
  <c r="BP38" i="42"/>
  <c r="BQ38" i="42"/>
  <c r="BT38" i="42"/>
  <c r="BU38" i="42"/>
  <c r="BX38" i="42"/>
  <c r="BY38" i="42"/>
  <c r="CB38" i="42"/>
  <c r="CC38" i="42"/>
  <c r="CF38" i="42"/>
  <c r="CG38" i="42"/>
  <c r="CJ38" i="42"/>
  <c r="CK38" i="42"/>
  <c r="CN38" i="42"/>
  <c r="CO38" i="42"/>
  <c r="CR38" i="42"/>
  <c r="CS38" i="42"/>
  <c r="CV38" i="42"/>
  <c r="CW38" i="42"/>
  <c r="CZ38" i="42"/>
  <c r="DA38" i="42"/>
  <c r="A39" i="42"/>
  <c r="BH39" i="42"/>
  <c r="BI39" i="42"/>
  <c r="BL39" i="42"/>
  <c r="BM39" i="42"/>
  <c r="BP39" i="42"/>
  <c r="BQ39" i="42"/>
  <c r="BT39" i="42"/>
  <c r="BU39" i="42"/>
  <c r="BX39" i="42"/>
  <c r="BY39" i="42"/>
  <c r="CB39" i="42"/>
  <c r="CC39" i="42"/>
  <c r="CF39" i="42"/>
  <c r="CG39" i="42"/>
  <c r="CJ39" i="42"/>
  <c r="CK39" i="42"/>
  <c r="CN39" i="42"/>
  <c r="CO39" i="42"/>
  <c r="CR39" i="42"/>
  <c r="CS39" i="42"/>
  <c r="CV39" i="42"/>
  <c r="CW39" i="42"/>
  <c r="CZ39" i="42"/>
  <c r="DA39" i="42"/>
  <c r="A40" i="42"/>
  <c r="BH40" i="42"/>
  <c r="BI40" i="42"/>
  <c r="BL40" i="42"/>
  <c r="BM40" i="42"/>
  <c r="BP40" i="42"/>
  <c r="BQ40" i="42"/>
  <c r="BT40" i="42"/>
  <c r="BU40" i="42"/>
  <c r="BX40" i="42"/>
  <c r="BY40" i="42"/>
  <c r="CB40" i="42"/>
  <c r="CC40" i="42"/>
  <c r="CF40" i="42"/>
  <c r="CG40" i="42"/>
  <c r="CJ40" i="42"/>
  <c r="CK40" i="42"/>
  <c r="CN40" i="42"/>
  <c r="CO40" i="42"/>
  <c r="CR40" i="42"/>
  <c r="CS40" i="42"/>
  <c r="CV40" i="42"/>
  <c r="CW40" i="42"/>
  <c r="CZ40" i="42"/>
  <c r="DA40" i="42"/>
  <c r="A41" i="42"/>
  <c r="A42" i="42"/>
  <c r="BH42" i="42"/>
  <c r="BI42" i="42"/>
  <c r="BL42" i="42"/>
  <c r="BM42" i="42"/>
  <c r="BP42" i="42"/>
  <c r="BQ42" i="42"/>
  <c r="BT42" i="42"/>
  <c r="BU42" i="42"/>
  <c r="BX42" i="42"/>
  <c r="BY42" i="42"/>
  <c r="CB42" i="42"/>
  <c r="CC42" i="42"/>
  <c r="CF42" i="42"/>
  <c r="CG42" i="42"/>
  <c r="CJ42" i="42"/>
  <c r="CK42" i="42"/>
  <c r="CN42" i="42"/>
  <c r="CO42" i="42"/>
  <c r="CR42" i="42"/>
  <c r="CS42" i="42"/>
  <c r="CV42" i="42"/>
  <c r="CW42" i="42"/>
  <c r="CZ42" i="42"/>
  <c r="DA42" i="42"/>
  <c r="A43" i="42"/>
  <c r="BH43" i="42"/>
  <c r="BI43" i="42"/>
  <c r="BL43" i="42"/>
  <c r="BM43" i="42"/>
  <c r="BP43" i="42"/>
  <c r="BQ43" i="42"/>
  <c r="BT43" i="42"/>
  <c r="BU43" i="42"/>
  <c r="BX43" i="42"/>
  <c r="BY43" i="42"/>
  <c r="CB43" i="42"/>
  <c r="CC43" i="42"/>
  <c r="CF43" i="42"/>
  <c r="CG43" i="42"/>
  <c r="CJ43" i="42"/>
  <c r="CK43" i="42"/>
  <c r="CN43" i="42"/>
  <c r="CO43" i="42"/>
  <c r="CR43" i="42"/>
  <c r="CS43" i="42"/>
  <c r="CV43" i="42"/>
  <c r="CW43" i="42"/>
  <c r="CZ43" i="42"/>
  <c r="DA43" i="42"/>
  <c r="A44" i="42"/>
  <c r="BH44" i="42"/>
  <c r="BI44" i="42"/>
  <c r="BL44" i="42"/>
  <c r="BM44" i="42"/>
  <c r="BP44" i="42"/>
  <c r="BQ44" i="42"/>
  <c r="BT44" i="42"/>
  <c r="BU44" i="42"/>
  <c r="BX44" i="42"/>
  <c r="BY44" i="42"/>
  <c r="CB44" i="42"/>
  <c r="CC44" i="42"/>
  <c r="CF44" i="42"/>
  <c r="CG44" i="42"/>
  <c r="CJ44" i="42"/>
  <c r="CK44" i="42"/>
  <c r="CN44" i="42"/>
  <c r="CO44" i="42"/>
  <c r="CR44" i="42"/>
  <c r="CS44" i="42"/>
  <c r="CV44" i="42"/>
  <c r="CW44" i="42"/>
  <c r="CZ44" i="42"/>
  <c r="DA44" i="42"/>
  <c r="A45" i="42"/>
  <c r="A46" i="42"/>
  <c r="BH46" i="42"/>
  <c r="BI46" i="42"/>
  <c r="BL46" i="42"/>
  <c r="BM46" i="42"/>
  <c r="BP46" i="42"/>
  <c r="BQ46" i="42"/>
  <c r="BT46" i="42"/>
  <c r="BU46" i="42"/>
  <c r="BX46" i="42"/>
  <c r="BY46" i="42"/>
  <c r="CB46" i="42"/>
  <c r="CC46" i="42"/>
  <c r="CF46" i="42"/>
  <c r="CG46" i="42"/>
  <c r="CJ46" i="42"/>
  <c r="CK46" i="42"/>
  <c r="CN46" i="42"/>
  <c r="CO46" i="42"/>
  <c r="CR46" i="42"/>
  <c r="CS46" i="42"/>
  <c r="CV46" i="42"/>
  <c r="CW46" i="42"/>
  <c r="CZ46" i="42"/>
  <c r="DA46" i="42"/>
  <c r="R50" i="42"/>
  <c r="V50" i="42"/>
  <c r="Z50" i="42"/>
  <c r="AD50" i="42"/>
  <c r="AH50" i="42"/>
  <c r="AL50" i="42"/>
  <c r="AP50" i="42"/>
  <c r="AT50" i="42"/>
  <c r="AX50" i="42"/>
  <c r="BB50" i="42"/>
  <c r="BF50" i="42"/>
  <c r="BJ50" i="42"/>
  <c r="BN50" i="42"/>
  <c r="BR50" i="42"/>
  <c r="BV50" i="42"/>
  <c r="BZ50" i="42"/>
  <c r="CD50" i="42"/>
  <c r="CF50" i="42"/>
  <c r="CG50" i="42"/>
  <c r="CJ50" i="42"/>
  <c r="CK50" i="42"/>
  <c r="CN50" i="42"/>
  <c r="CO50" i="42"/>
  <c r="CR50" i="42"/>
  <c r="CS50" i="42"/>
  <c r="CW50" i="42"/>
  <c r="CZ50" i="42"/>
  <c r="R51" i="42"/>
  <c r="V51" i="42"/>
  <c r="Z51" i="42"/>
  <c r="AD51" i="42"/>
  <c r="AH51" i="42"/>
  <c r="AL51" i="42"/>
  <c r="AP51" i="42"/>
  <c r="AT51" i="42"/>
  <c r="AX51" i="42"/>
  <c r="BB51" i="42"/>
  <c r="BF51" i="42"/>
  <c r="BJ51" i="42"/>
  <c r="BN51" i="42"/>
  <c r="BR51" i="42"/>
  <c r="BV51" i="42"/>
  <c r="BZ51" i="42"/>
  <c r="CD51" i="42"/>
  <c r="CH51" i="42"/>
  <c r="CL51" i="42"/>
  <c r="CP51" i="42"/>
  <c r="CT51" i="42"/>
  <c r="CX51" i="42"/>
  <c r="DB51" i="42"/>
  <c r="DJ51" i="42"/>
  <c r="DN51" i="42"/>
  <c r="R52" i="42"/>
  <c r="V52" i="42"/>
  <c r="Z52" i="42"/>
  <c r="AD52" i="42"/>
  <c r="AH52" i="42"/>
  <c r="AL52" i="42"/>
  <c r="AP52" i="42"/>
  <c r="AT52" i="42"/>
  <c r="AX52" i="42"/>
  <c r="BB52" i="42"/>
  <c r="BF52" i="42"/>
  <c r="BJ52" i="42"/>
  <c r="BN52" i="42"/>
  <c r="BR52" i="42"/>
  <c r="BV52" i="42"/>
  <c r="BZ52" i="42"/>
  <c r="CD52" i="42"/>
  <c r="CH52" i="42"/>
  <c r="CL52" i="42"/>
  <c r="CP52" i="42"/>
  <c r="CT52" i="42"/>
  <c r="CX52" i="42"/>
  <c r="DB52" i="42"/>
  <c r="DA236" i="42"/>
  <c r="DA237" i="42"/>
  <c r="R53" i="42"/>
  <c r="V53" i="42"/>
  <c r="Z53" i="42"/>
  <c r="AD53" i="42"/>
  <c r="AH53" i="42"/>
  <c r="AL53" i="42"/>
  <c r="AP53" i="42"/>
  <c r="AT53" i="42"/>
  <c r="AX53" i="42"/>
  <c r="BB53" i="42"/>
  <c r="BF53" i="42"/>
  <c r="BJ53" i="42"/>
  <c r="BN53" i="42"/>
  <c r="BR53" i="42"/>
  <c r="BV53" i="42"/>
  <c r="BZ53" i="42"/>
  <c r="CD53" i="42"/>
  <c r="CH53" i="42"/>
  <c r="CL53" i="42"/>
  <c r="CP53" i="42"/>
  <c r="CT53" i="42"/>
  <c r="CX53" i="42"/>
  <c r="DB53" i="42"/>
  <c r="DA240" i="42"/>
  <c r="DA241" i="42"/>
  <c r="R54" i="42"/>
  <c r="V54" i="42"/>
  <c r="Z54" i="42"/>
  <c r="AD54" i="42"/>
  <c r="AH54" i="42"/>
  <c r="AL54" i="42"/>
  <c r="AP54" i="42"/>
  <c r="AT54" i="42"/>
  <c r="AX54" i="42"/>
  <c r="BB54" i="42"/>
  <c r="BF54" i="42"/>
  <c r="BJ54" i="42"/>
  <c r="BN54" i="42"/>
  <c r="BR54" i="42"/>
  <c r="BV54" i="42"/>
  <c r="BZ54" i="42"/>
  <c r="CD54" i="42"/>
  <c r="CH54" i="42"/>
  <c r="CL54" i="42"/>
  <c r="CP54" i="42"/>
  <c r="CT54" i="42"/>
  <c r="CX54" i="42"/>
  <c r="DB54" i="42"/>
  <c r="R55" i="42"/>
  <c r="V55" i="42"/>
  <c r="Z55" i="42"/>
  <c r="AD55" i="42"/>
  <c r="AH55" i="42"/>
  <c r="AL55" i="42"/>
  <c r="AP55" i="42"/>
  <c r="AT55" i="42"/>
  <c r="AX55" i="42"/>
  <c r="BB55" i="42"/>
  <c r="BF55" i="42"/>
  <c r="BJ55" i="42"/>
  <c r="BN55" i="42"/>
  <c r="BR55" i="42"/>
  <c r="BV55" i="42"/>
  <c r="BZ55" i="42"/>
  <c r="CD55" i="42"/>
  <c r="CH55" i="42"/>
  <c r="CL55" i="42"/>
  <c r="CP55" i="42"/>
  <c r="CT55" i="42"/>
  <c r="CX55" i="42"/>
  <c r="DB55" i="42"/>
  <c r="DJ55" i="42"/>
  <c r="DN55" i="42"/>
  <c r="R56" i="42"/>
  <c r="V56" i="42"/>
  <c r="Z56" i="42"/>
  <c r="AD56" i="42"/>
  <c r="AH56" i="42"/>
  <c r="AL56" i="42"/>
  <c r="AP56" i="42"/>
  <c r="AT56" i="42"/>
  <c r="AX56" i="42"/>
  <c r="BB56" i="42"/>
  <c r="BF56" i="42"/>
  <c r="BJ56" i="42"/>
  <c r="BN56" i="42"/>
  <c r="BR56" i="42"/>
  <c r="BV56" i="42"/>
  <c r="BZ56" i="42"/>
  <c r="CD56" i="42"/>
  <c r="CH56" i="42"/>
  <c r="CL56" i="42"/>
  <c r="CP56" i="42"/>
  <c r="CT56" i="42"/>
  <c r="CX56" i="42"/>
  <c r="DB56" i="42"/>
  <c r="R57" i="42"/>
  <c r="V57" i="42"/>
  <c r="Z57" i="42"/>
  <c r="AD57" i="42"/>
  <c r="AH57" i="42"/>
  <c r="AL57" i="42"/>
  <c r="AP57" i="42"/>
  <c r="AT57" i="42"/>
  <c r="AX57" i="42"/>
  <c r="BB57" i="42"/>
  <c r="BF57" i="42"/>
  <c r="BJ57" i="42"/>
  <c r="BN57" i="42"/>
  <c r="BR57" i="42"/>
  <c r="BV57" i="42"/>
  <c r="BZ57" i="42"/>
  <c r="CD57" i="42"/>
  <c r="CH57" i="42"/>
  <c r="CL57" i="42"/>
  <c r="CP57" i="42"/>
  <c r="CT57" i="42"/>
  <c r="CX57" i="42"/>
  <c r="DB57" i="42"/>
  <c r="DA244" i="42"/>
  <c r="DA245" i="42"/>
  <c r="R58" i="42"/>
  <c r="V58" i="42"/>
  <c r="Z58" i="42"/>
  <c r="AD58" i="42"/>
  <c r="AH58" i="42"/>
  <c r="AL58" i="42"/>
  <c r="AP58" i="42"/>
  <c r="AT58" i="42"/>
  <c r="AX58" i="42"/>
  <c r="BB58" i="42"/>
  <c r="BF58" i="42"/>
  <c r="BJ58" i="42"/>
  <c r="BN58" i="42"/>
  <c r="BR58" i="42"/>
  <c r="BV58" i="42"/>
  <c r="BZ58" i="42"/>
  <c r="CD58" i="42"/>
  <c r="CH58" i="42"/>
  <c r="CL58" i="42"/>
  <c r="CP58" i="42"/>
  <c r="CT58" i="42"/>
  <c r="CX58" i="42"/>
  <c r="DB58" i="42"/>
  <c r="DJ58" i="42"/>
  <c r="DN58" i="42"/>
  <c r="R59" i="42"/>
  <c r="V59" i="42"/>
  <c r="Z59" i="42"/>
  <c r="AD59" i="42"/>
  <c r="AH59" i="42"/>
  <c r="AL59" i="42"/>
  <c r="AP59" i="42"/>
  <c r="AT59" i="42"/>
  <c r="AX59" i="42"/>
  <c r="BB59" i="42"/>
  <c r="BF59" i="42"/>
  <c r="BJ59" i="42"/>
  <c r="BN59" i="42"/>
  <c r="BR59" i="42"/>
  <c r="BV59" i="42"/>
  <c r="BZ59" i="42"/>
  <c r="CD59" i="42"/>
  <c r="CH59" i="42"/>
  <c r="CL59" i="42"/>
  <c r="CP59" i="42"/>
  <c r="CT59" i="42"/>
  <c r="CX59" i="42"/>
  <c r="DB59" i="42"/>
  <c r="DJ59" i="42"/>
  <c r="DN59" i="42"/>
  <c r="R60" i="42"/>
  <c r="V60" i="42"/>
  <c r="Z60" i="42"/>
  <c r="AD60" i="42"/>
  <c r="AH60" i="42"/>
  <c r="AL60" i="42"/>
  <c r="AP60" i="42"/>
  <c r="AT60" i="42"/>
  <c r="AX60" i="42"/>
  <c r="BB60" i="42"/>
  <c r="BF60" i="42"/>
  <c r="BJ60" i="42"/>
  <c r="BN60" i="42"/>
  <c r="BR60" i="42"/>
  <c r="BV60" i="42"/>
  <c r="BZ60" i="42"/>
  <c r="CD60" i="42"/>
  <c r="CH60" i="42"/>
  <c r="CL60" i="42"/>
  <c r="CP60" i="42"/>
  <c r="CT60" i="42"/>
  <c r="CX60" i="42"/>
  <c r="DB60" i="42"/>
  <c r="DJ60" i="42"/>
  <c r="DN60" i="42"/>
  <c r="R61" i="42"/>
  <c r="R513" i="42" s="1"/>
  <c r="V61" i="42"/>
  <c r="V513" i="42" s="1"/>
  <c r="Z61" i="42"/>
  <c r="Z513" i="42" s="1"/>
  <c r="AD61" i="42"/>
  <c r="AD513" i="42" s="1"/>
  <c r="AH61" i="42"/>
  <c r="AH513" i="42" s="1"/>
  <c r="AL61" i="42"/>
  <c r="AL513" i="42" s="1"/>
  <c r="AP61" i="42"/>
  <c r="AP513" i="42" s="1"/>
  <c r="AT61" i="42"/>
  <c r="AT513" i="42" s="1"/>
  <c r="AX61" i="42"/>
  <c r="AX513" i="42" s="1"/>
  <c r="BB61" i="42"/>
  <c r="BB513" i="42" s="1"/>
  <c r="BF61" i="42"/>
  <c r="BF513" i="42" s="1"/>
  <c r="BJ61" i="42"/>
  <c r="BN61" i="42"/>
  <c r="BR61" i="42"/>
  <c r="BV61" i="42"/>
  <c r="BZ61" i="42"/>
  <c r="CD61" i="42"/>
  <c r="CH61" i="42"/>
  <c r="CL61" i="42"/>
  <c r="CP61" i="42"/>
  <c r="CT61" i="42"/>
  <c r="CX61" i="42"/>
  <c r="DB61" i="42"/>
  <c r="P62" i="42"/>
  <c r="Q62" i="42"/>
  <c r="R62" i="42" s="1"/>
  <c r="T62" i="42"/>
  <c r="U62" i="42"/>
  <c r="V62" i="42" s="1"/>
  <c r="X62" i="42"/>
  <c r="Y62" i="42"/>
  <c r="Z62" i="42" s="1"/>
  <c r="AB62" i="42"/>
  <c r="AC62" i="42"/>
  <c r="AD62" i="42" s="1"/>
  <c r="AF62" i="42"/>
  <c r="AG62" i="42"/>
  <c r="AH62" i="42" s="1"/>
  <c r="AJ62" i="42"/>
  <c r="AK62" i="42"/>
  <c r="AL62" i="42" s="1"/>
  <c r="AN62" i="42"/>
  <c r="AO62" i="42"/>
  <c r="AP62" i="42" s="1"/>
  <c r="AR62" i="42"/>
  <c r="AS62" i="42"/>
  <c r="AT62" i="42" s="1"/>
  <c r="AV62" i="42"/>
  <c r="AW62" i="42"/>
  <c r="AX62" i="42" s="1"/>
  <c r="AZ62" i="42"/>
  <c r="BA62" i="42"/>
  <c r="BB62" i="42" s="1"/>
  <c r="BD62" i="42"/>
  <c r="BE62" i="42"/>
  <c r="BF62" i="42" s="1"/>
  <c r="BH62" i="42"/>
  <c r="BI62" i="42"/>
  <c r="BL62" i="42"/>
  <c r="BM62" i="42"/>
  <c r="BP62" i="42"/>
  <c r="BQ62" i="42"/>
  <c r="BT62" i="42"/>
  <c r="BU62" i="42"/>
  <c r="BX62" i="42"/>
  <c r="BY62" i="42"/>
  <c r="CB62" i="42"/>
  <c r="CC62" i="42"/>
  <c r="DB62" i="42"/>
  <c r="DB104" i="42"/>
  <c r="DA362" i="42"/>
  <c r="DD360" i="42" s="1"/>
  <c r="CZ336" i="42"/>
  <c r="DA331" i="42" s="1"/>
  <c r="DA332" i="42"/>
  <c r="DB332" i="42" s="1"/>
  <c r="DA334" i="42"/>
  <c r="DB334" i="42" s="1"/>
  <c r="DB107" i="42"/>
  <c r="CP108" i="42"/>
  <c r="DA285" i="42"/>
  <c r="DA312" i="42" s="1"/>
  <c r="DI283" i="42"/>
  <c r="DI268" i="42" s="1"/>
  <c r="DI284" i="42"/>
  <c r="DI269" i="42" s="1"/>
  <c r="DI332" i="42"/>
  <c r="DI334" i="42"/>
  <c r="DL283" i="42"/>
  <c r="DL268" i="42" s="1"/>
  <c r="DL284" i="42"/>
  <c r="DL269" i="42" s="1"/>
  <c r="DL332" i="42"/>
  <c r="DL334" i="42"/>
  <c r="DJ367" i="42"/>
  <c r="DJ368" i="42"/>
  <c r="DM283" i="42"/>
  <c r="DM268" i="42" s="1"/>
  <c r="DM284" i="42"/>
  <c r="DM269" i="42" s="1"/>
  <c r="DM311" i="42"/>
  <c r="DM312" i="42" s="1"/>
  <c r="DM332" i="42"/>
  <c r="DM334" i="42"/>
  <c r="AP65" i="42"/>
  <c r="AT65" i="42"/>
  <c r="AX65" i="42"/>
  <c r="BB65" i="42"/>
  <c r="BF65" i="42"/>
  <c r="BJ65" i="42"/>
  <c r="BN65" i="42"/>
  <c r="BR65" i="42"/>
  <c r="BV65" i="42"/>
  <c r="BZ65" i="42"/>
  <c r="CD65" i="42"/>
  <c r="CH65" i="42"/>
  <c r="CL65" i="42"/>
  <c r="CP65" i="42"/>
  <c r="CT65" i="42"/>
  <c r="CX65" i="42"/>
  <c r="DB65" i="42"/>
  <c r="P66" i="42"/>
  <c r="P68" i="42" s="1"/>
  <c r="P69" i="42" s="1"/>
  <c r="P70" i="42" s="1"/>
  <c r="Q66" i="42"/>
  <c r="R66" i="42" s="1"/>
  <c r="V66" i="42"/>
  <c r="Z66" i="42"/>
  <c r="AD66" i="42"/>
  <c r="AH66" i="42"/>
  <c r="AL66" i="42"/>
  <c r="AP66" i="42"/>
  <c r="AT66" i="42"/>
  <c r="AX66" i="42"/>
  <c r="BB66" i="42"/>
  <c r="BF66" i="42"/>
  <c r="BJ66" i="42"/>
  <c r="BN66" i="42"/>
  <c r="BR66" i="42"/>
  <c r="BV66" i="42"/>
  <c r="BZ66" i="42"/>
  <c r="CD66" i="42"/>
  <c r="CH66" i="42"/>
  <c r="CL66" i="42"/>
  <c r="CP66" i="42"/>
  <c r="CT66" i="42"/>
  <c r="CX66" i="42"/>
  <c r="DB66" i="42"/>
  <c r="R67" i="42"/>
  <c r="V67" i="42"/>
  <c r="Z67" i="42"/>
  <c r="AD67" i="42"/>
  <c r="AH67" i="42"/>
  <c r="AL67" i="42"/>
  <c r="AP67" i="42"/>
  <c r="AT67" i="42"/>
  <c r="AX67" i="42"/>
  <c r="BB67" i="42"/>
  <c r="BF67" i="42"/>
  <c r="BJ67" i="42"/>
  <c r="BN67" i="42"/>
  <c r="BR67" i="42"/>
  <c r="BV67" i="42"/>
  <c r="BZ67" i="42"/>
  <c r="CD67" i="42"/>
  <c r="CH67" i="42"/>
  <c r="CL67" i="42"/>
  <c r="CP67" i="42"/>
  <c r="CT67" i="42"/>
  <c r="CX67" i="42"/>
  <c r="DB67" i="42"/>
  <c r="T68" i="42"/>
  <c r="T69" i="42" s="1"/>
  <c r="T70" i="42" s="1"/>
  <c r="U68" i="42"/>
  <c r="U69" i="42" s="1"/>
  <c r="U70" i="42" s="1"/>
  <c r="X68" i="42"/>
  <c r="X69" i="42" s="1"/>
  <c r="X70" i="42" s="1"/>
  <c r="Y68" i="42"/>
  <c r="Y69" i="42" s="1"/>
  <c r="Y70" i="42" s="1"/>
  <c r="AB68" i="42"/>
  <c r="AB69" i="42" s="1"/>
  <c r="AB70" i="42" s="1"/>
  <c r="AC68" i="42"/>
  <c r="AC69" i="42" s="1"/>
  <c r="AC70" i="42" s="1"/>
  <c r="AF68" i="42"/>
  <c r="AF69" i="42" s="1"/>
  <c r="AF70" i="42" s="1"/>
  <c r="AG68" i="42"/>
  <c r="AG69" i="42" s="1"/>
  <c r="AG70" i="42" s="1"/>
  <c r="AJ68" i="42"/>
  <c r="AJ69" i="42" s="1"/>
  <c r="AJ70" i="42" s="1"/>
  <c r="AK68" i="42"/>
  <c r="AK69" i="42" s="1"/>
  <c r="AK70" i="42" s="1"/>
  <c r="AN68" i="42"/>
  <c r="AN69" i="42" s="1"/>
  <c r="AN70" i="42" s="1"/>
  <c r="AO68" i="42"/>
  <c r="AO69" i="42" s="1"/>
  <c r="AO70" i="42" s="1"/>
  <c r="AR68" i="42"/>
  <c r="AR69" i="42" s="1"/>
  <c r="AR70" i="42" s="1"/>
  <c r="AS68" i="42"/>
  <c r="AS69" i="42" s="1"/>
  <c r="AS70" i="42" s="1"/>
  <c r="AV68" i="42"/>
  <c r="AV69" i="42" s="1"/>
  <c r="AV70" i="42" s="1"/>
  <c r="AW68" i="42"/>
  <c r="AW69" i="42" s="1"/>
  <c r="AW70" i="42" s="1"/>
  <c r="AZ68" i="42"/>
  <c r="BA68" i="42"/>
  <c r="BD68" i="42"/>
  <c r="BD69" i="42" s="1"/>
  <c r="BD70" i="42" s="1"/>
  <c r="BE68" i="42"/>
  <c r="BH68" i="42"/>
  <c r="BH69" i="42" s="1"/>
  <c r="BI68" i="42"/>
  <c r="BI69" i="42" s="1"/>
  <c r="BL68" i="42"/>
  <c r="BM68" i="42"/>
  <c r="BM69" i="42" s="1"/>
  <c r="BP68" i="42"/>
  <c r="BP69" i="42" s="1"/>
  <c r="BQ68" i="42"/>
  <c r="BQ69" i="42" s="1"/>
  <c r="BT68" i="42"/>
  <c r="BT69" i="42" s="1"/>
  <c r="BU68" i="42"/>
  <c r="BU69" i="42" s="1"/>
  <c r="BX68" i="42"/>
  <c r="BY68" i="42"/>
  <c r="BY69" i="42" s="1"/>
  <c r="CB68" i="42"/>
  <c r="CB69" i="42" s="1"/>
  <c r="CC68" i="42"/>
  <c r="CF68" i="42"/>
  <c r="CF69" i="42" s="1"/>
  <c r="CG68" i="42"/>
  <c r="CJ68" i="42"/>
  <c r="CJ484" i="42" s="1"/>
  <c r="CK68" i="42"/>
  <c r="CK69" i="42" s="1"/>
  <c r="CN68" i="42"/>
  <c r="CN69" i="42" s="1"/>
  <c r="CO68" i="42"/>
  <c r="CO69" i="42" s="1"/>
  <c r="CR68" i="42"/>
  <c r="CR69" i="42" s="1"/>
  <c r="CS68" i="42"/>
  <c r="CS69" i="42" s="1"/>
  <c r="CV68" i="42"/>
  <c r="CV69" i="42" s="1"/>
  <c r="CW68" i="42"/>
  <c r="CZ68" i="42"/>
  <c r="DA68" i="42"/>
  <c r="DA69" i="42" s="1"/>
  <c r="A73" i="42"/>
  <c r="A74" i="42"/>
  <c r="A75" i="42"/>
  <c r="A76" i="42"/>
  <c r="A77" i="42"/>
  <c r="A78" i="42"/>
  <c r="A79" i="42"/>
  <c r="A80" i="42"/>
  <c r="A81" i="42"/>
  <c r="A82" i="42"/>
  <c r="A83" i="42"/>
  <c r="A84" i="42"/>
  <c r="A85" i="42"/>
  <c r="A86" i="42"/>
  <c r="A87" i="42"/>
  <c r="A88" i="42"/>
  <c r="A89" i="42"/>
  <c r="A90" i="42"/>
  <c r="A91" i="42"/>
  <c r="A92" i="42"/>
  <c r="P96" i="42"/>
  <c r="Q96" i="42"/>
  <c r="R104" i="42"/>
  <c r="R105" i="42"/>
  <c r="R261" i="42" s="1"/>
  <c r="T96" i="42"/>
  <c r="U96" i="42"/>
  <c r="V104" i="42"/>
  <c r="V260" i="42" s="1"/>
  <c r="V287" i="42" s="1"/>
  <c r="X282" i="42" s="1"/>
  <c r="Z282" i="42" s="1"/>
  <c r="V105" i="42"/>
  <c r="V261" i="42" s="1"/>
  <c r="X96" i="42"/>
  <c r="Y96" i="42"/>
  <c r="Z104" i="42"/>
  <c r="Z260" i="42" s="1"/>
  <c r="Z287" i="42" s="1"/>
  <c r="Z105" i="42"/>
  <c r="Z261" i="42" s="1"/>
  <c r="AB96" i="42"/>
  <c r="AC96" i="42"/>
  <c r="AD104" i="42"/>
  <c r="AD105" i="42"/>
  <c r="AF96" i="42"/>
  <c r="AG96" i="42"/>
  <c r="AH104" i="42"/>
  <c r="AH260" i="42" s="1"/>
  <c r="AH287" i="42" s="1"/>
  <c r="AH105" i="42"/>
  <c r="AH261" i="42" s="1"/>
  <c r="AJ96" i="42"/>
  <c r="AK96" i="42"/>
  <c r="AL104" i="42"/>
  <c r="AL260" i="42" s="1"/>
  <c r="AL287" i="42" s="1"/>
  <c r="AL105" i="42"/>
  <c r="AN96" i="42"/>
  <c r="AO96" i="42"/>
  <c r="AP104" i="42"/>
  <c r="AP260" i="42" s="1"/>
  <c r="AP287" i="42" s="1"/>
  <c r="AR282" i="42" s="1"/>
  <c r="AT282" i="42" s="1"/>
  <c r="AP105" i="42"/>
  <c r="AP106" i="42"/>
  <c r="AP336" i="42" s="1"/>
  <c r="AR96" i="42"/>
  <c r="AS96" i="42"/>
  <c r="AT104" i="42"/>
  <c r="AT260" i="42" s="1"/>
  <c r="AT287" i="42" s="1"/>
  <c r="AT105" i="42"/>
  <c r="AT261" i="42" s="1"/>
  <c r="AT106" i="42"/>
  <c r="AT262" i="42" s="1"/>
  <c r="AV96" i="42"/>
  <c r="AW96" i="42"/>
  <c r="AX104" i="42"/>
  <c r="AX260" i="42" s="1"/>
  <c r="AX287" i="42" s="1"/>
  <c r="AZ282" i="42" s="1"/>
  <c r="BB282" i="42" s="1"/>
  <c r="AX105" i="42"/>
  <c r="AX261" i="42" s="1"/>
  <c r="AX106" i="42"/>
  <c r="AX336" i="42" s="1"/>
  <c r="AZ96" i="42"/>
  <c r="BA96" i="42"/>
  <c r="BB104" i="42"/>
  <c r="BB260" i="42" s="1"/>
  <c r="BB287" i="42" s="1"/>
  <c r="BB105" i="42"/>
  <c r="BB261" i="42" s="1"/>
  <c r="BB106" i="42"/>
  <c r="BB262" i="42" s="1"/>
  <c r="BD96" i="42"/>
  <c r="BE96" i="42"/>
  <c r="BF104" i="42"/>
  <c r="BF260" i="42" s="1"/>
  <c r="BF287" i="42" s="1"/>
  <c r="BH282" i="42" s="1"/>
  <c r="BF105" i="42"/>
  <c r="BF362" i="42" s="1"/>
  <c r="BF106" i="42"/>
  <c r="BH96" i="42"/>
  <c r="BI96" i="42"/>
  <c r="BJ104" i="42"/>
  <c r="BJ105" i="42"/>
  <c r="BJ106" i="42"/>
  <c r="BL96" i="42"/>
  <c r="BM96" i="42"/>
  <c r="BN104" i="42"/>
  <c r="BN105" i="42"/>
  <c r="BN106" i="42"/>
  <c r="BP96" i="42"/>
  <c r="BQ96" i="42"/>
  <c r="BR104" i="42"/>
  <c r="BR105" i="42"/>
  <c r="BR362" i="42" s="1"/>
  <c r="BR106" i="42"/>
  <c r="BT96" i="42"/>
  <c r="BU96" i="42"/>
  <c r="BV104" i="42"/>
  <c r="BV105" i="42"/>
  <c r="BV106" i="42"/>
  <c r="BV336" i="42" s="1"/>
  <c r="BX96" i="42"/>
  <c r="BY96" i="42"/>
  <c r="BZ104" i="42"/>
  <c r="BZ105" i="42"/>
  <c r="BZ106" i="42"/>
  <c r="CB96" i="42"/>
  <c r="CC96" i="42"/>
  <c r="CD104" i="42"/>
  <c r="CD105" i="42"/>
  <c r="CD106" i="42"/>
  <c r="CF96" i="42"/>
  <c r="CG96" i="42"/>
  <c r="CH104" i="42"/>
  <c r="CH105" i="42"/>
  <c r="CH106" i="42"/>
  <c r="CJ96" i="42"/>
  <c r="CK96" i="42"/>
  <c r="CL104" i="42"/>
  <c r="CL105" i="42"/>
  <c r="CL362" i="42" s="1"/>
  <c r="CL106" i="42"/>
  <c r="CN96" i="42"/>
  <c r="CO96" i="42"/>
  <c r="CP104" i="42"/>
  <c r="CP105" i="42"/>
  <c r="CP106" i="42"/>
  <c r="CR96" i="42"/>
  <c r="CS96" i="42"/>
  <c r="CT104" i="42"/>
  <c r="CT105" i="42"/>
  <c r="CT106" i="42"/>
  <c r="CV96" i="42"/>
  <c r="CW96" i="42"/>
  <c r="CX104" i="42"/>
  <c r="CX105" i="42"/>
  <c r="CX106" i="42"/>
  <c r="CZ96" i="42"/>
  <c r="DA96" i="42"/>
  <c r="DB105" i="42"/>
  <c r="DB106" i="42"/>
  <c r="P97" i="42"/>
  <c r="Q97" i="42"/>
  <c r="R107" i="42"/>
  <c r="T97" i="42"/>
  <c r="U97" i="42"/>
  <c r="V107" i="42"/>
  <c r="X97" i="42"/>
  <c r="Y97" i="42"/>
  <c r="Z107" i="42"/>
  <c r="AB97" i="42"/>
  <c r="AC97" i="42"/>
  <c r="AD107" i="42"/>
  <c r="AD369" i="42" s="1"/>
  <c r="AF366" i="42" s="1"/>
  <c r="AH366" i="42" s="1"/>
  <c r="AF97" i="42"/>
  <c r="AG97" i="42"/>
  <c r="AH107" i="42"/>
  <c r="AJ97" i="42"/>
  <c r="AK97" i="42"/>
  <c r="AL107" i="42"/>
  <c r="AL369" i="42" s="1"/>
  <c r="AN366" i="42" s="1"/>
  <c r="AP366" i="42" s="1"/>
  <c r="AN97" i="42"/>
  <c r="AO97" i="42"/>
  <c r="AP107" i="42"/>
  <c r="AP369" i="42" s="1"/>
  <c r="AR366" i="42" s="1"/>
  <c r="AT366" i="42" s="1"/>
  <c r="AR97" i="42"/>
  <c r="AS97" i="42"/>
  <c r="AT107" i="42"/>
  <c r="AT97" i="42" s="1"/>
  <c r="AV97" i="42"/>
  <c r="AW97" i="42"/>
  <c r="AX107" i="42"/>
  <c r="AX369" i="42" s="1"/>
  <c r="AZ366" i="42" s="1"/>
  <c r="BB366" i="42" s="1"/>
  <c r="AZ97" i="42"/>
  <c r="BA97" i="42"/>
  <c r="BB107" i="42"/>
  <c r="BD97" i="42"/>
  <c r="BE97" i="42"/>
  <c r="BF107" i="42"/>
  <c r="BF369" i="42" s="1"/>
  <c r="BH366" i="42" s="1"/>
  <c r="BH97" i="42"/>
  <c r="BI97" i="42"/>
  <c r="BJ107" i="42"/>
  <c r="BL97" i="42"/>
  <c r="BM97" i="42"/>
  <c r="BN107" i="42"/>
  <c r="BN369" i="42" s="1"/>
  <c r="BP366" i="42" s="1"/>
  <c r="BP97" i="42"/>
  <c r="BQ97" i="42"/>
  <c r="BR107" i="42"/>
  <c r="BR263" i="42" s="1"/>
  <c r="BT97" i="42"/>
  <c r="BU97" i="42"/>
  <c r="BV107" i="42"/>
  <c r="BX97" i="42"/>
  <c r="BY97" i="42"/>
  <c r="BZ107" i="42"/>
  <c r="CB97" i="42"/>
  <c r="CC97" i="42"/>
  <c r="CD107" i="42"/>
  <c r="CF97" i="42"/>
  <c r="CG97" i="42"/>
  <c r="CH107" i="42"/>
  <c r="CH263" i="42" s="1"/>
  <c r="CJ97" i="42"/>
  <c r="CK97" i="42"/>
  <c r="CL107" i="42"/>
  <c r="CL369" i="42" s="1"/>
  <c r="CN366" i="42" s="1"/>
  <c r="CN97" i="42"/>
  <c r="CO97" i="42"/>
  <c r="CP107" i="42"/>
  <c r="CR97" i="42"/>
  <c r="CS97" i="42"/>
  <c r="CT107" i="42"/>
  <c r="CV97" i="42"/>
  <c r="CW97" i="42"/>
  <c r="CX107" i="42"/>
  <c r="CZ97" i="42"/>
  <c r="DA97" i="42"/>
  <c r="P98" i="42"/>
  <c r="Q98" i="42"/>
  <c r="R108" i="42"/>
  <c r="T98" i="42"/>
  <c r="U98" i="42"/>
  <c r="V108" i="42"/>
  <c r="X98" i="42"/>
  <c r="Y98" i="42"/>
  <c r="Z108" i="42"/>
  <c r="AB98" i="42"/>
  <c r="AC98" i="42"/>
  <c r="AD108" i="42"/>
  <c r="AD448" i="42" s="1"/>
  <c r="AF444" i="42" s="1"/>
  <c r="AF98" i="42"/>
  <c r="AG98" i="42"/>
  <c r="AH108" i="42"/>
  <c r="AJ98" i="42"/>
  <c r="AK98" i="42"/>
  <c r="AL108" i="42"/>
  <c r="AN98" i="42"/>
  <c r="AO98" i="42"/>
  <c r="AP108" i="42"/>
  <c r="AP448" i="42" s="1"/>
  <c r="AR444" i="42" s="1"/>
  <c r="AT444" i="42" s="1"/>
  <c r="AR98" i="42"/>
  <c r="AS98" i="42"/>
  <c r="AT108" i="42"/>
  <c r="AT98" i="42" s="1"/>
  <c r="AV98" i="42"/>
  <c r="AW98" i="42"/>
  <c r="AX108" i="42"/>
  <c r="AX448" i="42" s="1"/>
  <c r="AZ444" i="42" s="1"/>
  <c r="BB444" i="42" s="1"/>
  <c r="AZ98" i="42"/>
  <c r="BA98" i="42"/>
  <c r="BB108" i="42"/>
  <c r="BD98" i="42"/>
  <c r="BE98" i="42"/>
  <c r="BF108" i="42"/>
  <c r="BH98" i="42"/>
  <c r="BI98" i="42"/>
  <c r="BJ108" i="42"/>
  <c r="BL98" i="42"/>
  <c r="BM98" i="42"/>
  <c r="BN108" i="42"/>
  <c r="BN448" i="42" s="1"/>
  <c r="BP444" i="42" s="1"/>
  <c r="BR444" i="42" s="1"/>
  <c r="BP98" i="42"/>
  <c r="BQ98" i="42"/>
  <c r="BR108" i="42"/>
  <c r="BT98" i="42"/>
  <c r="BU98" i="42"/>
  <c r="BV108" i="42"/>
  <c r="BV264" i="42" s="1"/>
  <c r="BX98" i="42"/>
  <c r="BY98" i="42"/>
  <c r="BZ108" i="42"/>
  <c r="CB98" i="42"/>
  <c r="CC98" i="42"/>
  <c r="CD108" i="42"/>
  <c r="CF98" i="42"/>
  <c r="CG98" i="42"/>
  <c r="CH108" i="42"/>
  <c r="CJ98" i="42"/>
  <c r="CK98" i="42"/>
  <c r="CL108" i="42"/>
  <c r="CL448" i="42" s="1"/>
  <c r="CN444" i="42" s="1"/>
  <c r="CN98" i="42"/>
  <c r="CO98" i="42"/>
  <c r="CR98" i="42"/>
  <c r="CS98" i="42"/>
  <c r="CT108" i="42"/>
  <c r="CT98" i="42" s="1"/>
  <c r="CV98" i="42"/>
  <c r="CW98" i="42"/>
  <c r="CX108" i="42"/>
  <c r="CZ98" i="42"/>
  <c r="DA98" i="42"/>
  <c r="DB108" i="42"/>
  <c r="P100" i="42"/>
  <c r="Q100" i="42"/>
  <c r="R110" i="42"/>
  <c r="R508" i="42" s="1"/>
  <c r="R113" i="42"/>
  <c r="R509" i="42" s="1"/>
  <c r="T100" i="42"/>
  <c r="U100" i="42"/>
  <c r="V110" i="42"/>
  <c r="V508" i="42" s="1"/>
  <c r="V113" i="42"/>
  <c r="V509" i="42" s="1"/>
  <c r="X113" i="42"/>
  <c r="Y100" i="42"/>
  <c r="Z110" i="42"/>
  <c r="Z508" i="42" s="1"/>
  <c r="Z113" i="42"/>
  <c r="Z509" i="42" s="1"/>
  <c r="AB100" i="42"/>
  <c r="AC100" i="42"/>
  <c r="AD110" i="42"/>
  <c r="AD378" i="42" s="1"/>
  <c r="AF374" i="42" s="1"/>
  <c r="AD113" i="42"/>
  <c r="AD402" i="42" s="1"/>
  <c r="AF399" i="42" s="1"/>
  <c r="AF113" i="42"/>
  <c r="AG100" i="42"/>
  <c r="AH110" i="42"/>
  <c r="AH508" i="42" s="1"/>
  <c r="AH113" i="42"/>
  <c r="AJ100" i="42"/>
  <c r="AK100" i="42"/>
  <c r="AL110" i="42"/>
  <c r="AL508" i="42" s="1"/>
  <c r="AL113" i="42"/>
  <c r="AN100" i="42"/>
  <c r="AO113" i="42"/>
  <c r="AO402" i="42" s="1"/>
  <c r="AP110" i="42"/>
  <c r="B69" i="51" s="1"/>
  <c r="AR113" i="42"/>
  <c r="AR100" i="42" s="1"/>
  <c r="AS113" i="42"/>
  <c r="AS509" i="42" s="1"/>
  <c r="AT110" i="42"/>
  <c r="C69" i="51" s="1"/>
  <c r="AV113" i="42"/>
  <c r="AV100" i="42" s="1"/>
  <c r="AW113" i="42"/>
  <c r="AX110" i="42"/>
  <c r="G69" i="51" s="1"/>
  <c r="AZ113" i="42"/>
  <c r="AZ100" i="42" s="1"/>
  <c r="BA113" i="42"/>
  <c r="BA407" i="42" s="1"/>
  <c r="BB110" i="42"/>
  <c r="BD113" i="42"/>
  <c r="BD402" i="42" s="1"/>
  <c r="BE399" i="42" s="1"/>
  <c r="BE113" i="42"/>
  <c r="BF110" i="42"/>
  <c r="BH100" i="42"/>
  <c r="BI100" i="42"/>
  <c r="BJ110" i="42"/>
  <c r="BJ378" i="42" s="1"/>
  <c r="BL374" i="42" s="1"/>
  <c r="BJ113" i="42"/>
  <c r="BJ111" i="42"/>
  <c r="BL100" i="42"/>
  <c r="BM100" i="42"/>
  <c r="BN110" i="42"/>
  <c r="BN508" i="42" s="1"/>
  <c r="BN113" i="42"/>
  <c r="BN111" i="42"/>
  <c r="BP100" i="42"/>
  <c r="BQ100" i="42"/>
  <c r="BR110" i="42"/>
  <c r="BR378" i="42" s="1"/>
  <c r="BT374" i="42" s="1"/>
  <c r="BR113" i="42"/>
  <c r="BR509" i="42" s="1"/>
  <c r="BR111" i="42"/>
  <c r="BT100" i="42"/>
  <c r="BU100" i="42"/>
  <c r="BV110" i="42"/>
  <c r="BV113" i="42"/>
  <c r="BV111" i="42"/>
  <c r="BX100" i="42"/>
  <c r="BY100" i="42"/>
  <c r="BZ110" i="42"/>
  <c r="BZ508" i="42" s="1"/>
  <c r="BZ113" i="42"/>
  <c r="BZ509" i="42" s="1"/>
  <c r="BZ111" i="42"/>
  <c r="CB100" i="42"/>
  <c r="CC100" i="42"/>
  <c r="CD110" i="42"/>
  <c r="CD378" i="42" s="1"/>
  <c r="CF374" i="42" s="1"/>
  <c r="CD113" i="42"/>
  <c r="CD111" i="42"/>
  <c r="CF100" i="42"/>
  <c r="CG100" i="42"/>
  <c r="CH110" i="42"/>
  <c r="AQ69" i="51" s="1"/>
  <c r="CH113" i="42"/>
  <c r="CH111" i="42"/>
  <c r="CJ100" i="42"/>
  <c r="CK100" i="42"/>
  <c r="CL110" i="42"/>
  <c r="CL113" i="42"/>
  <c r="CL111" i="42"/>
  <c r="CN100" i="42"/>
  <c r="CO100" i="42"/>
  <c r="CP110" i="42"/>
  <c r="CP378" i="42" s="1"/>
  <c r="CR374" i="42" s="1"/>
  <c r="CP113" i="42"/>
  <c r="CP509" i="42" s="1"/>
  <c r="CP111" i="42"/>
  <c r="CR100" i="42"/>
  <c r="CS100" i="42"/>
  <c r="CT110" i="42"/>
  <c r="CT508" i="42" s="1"/>
  <c r="CT113" i="42"/>
  <c r="CT111" i="42"/>
  <c r="CV100" i="42"/>
  <c r="CW100" i="42"/>
  <c r="CX110" i="42"/>
  <c r="CX113" i="42"/>
  <c r="CX111" i="42"/>
  <c r="CZ100" i="42"/>
  <c r="DA100" i="42"/>
  <c r="DB110" i="42"/>
  <c r="DB508" i="42" s="1"/>
  <c r="DB113" i="42"/>
  <c r="DB111" i="42"/>
  <c r="CT400" i="42"/>
  <c r="CR402" i="42"/>
  <c r="CS399" i="42" s="1"/>
  <c r="CS402" i="42" s="1"/>
  <c r="CS407" i="42" s="1"/>
  <c r="CX400" i="42"/>
  <c r="CV402" i="42"/>
  <c r="CW399" i="42" s="1"/>
  <c r="DB400" i="42"/>
  <c r="CZ402" i="42"/>
  <c r="DA399" i="42" s="1"/>
  <c r="DI383" i="42"/>
  <c r="DI110" i="42" s="1"/>
  <c r="DI508" i="42" s="1"/>
  <c r="DI111" i="42"/>
  <c r="DI19" i="46" s="1"/>
  <c r="DJ400" i="42"/>
  <c r="DJ111" i="42"/>
  <c r="DJ19" i="46" s="1"/>
  <c r="DL383" i="42"/>
  <c r="DL110" i="42" s="1"/>
  <c r="DL508" i="42" s="1"/>
  <c r="DL111" i="42"/>
  <c r="DL19" i="46" s="1"/>
  <c r="DM111" i="42"/>
  <c r="DM19" i="46" s="1"/>
  <c r="DN400" i="42"/>
  <c r="DN401" i="42"/>
  <c r="DN111" i="42"/>
  <c r="DN19" i="46" s="1"/>
  <c r="P109" i="42"/>
  <c r="P114" i="42" s="1"/>
  <c r="Q109" i="42"/>
  <c r="T109" i="42"/>
  <c r="T114" i="42" s="1"/>
  <c r="U109" i="42"/>
  <c r="V109" i="42" s="1"/>
  <c r="X109" i="42"/>
  <c r="Y109" i="42"/>
  <c r="Y114" i="42" s="1"/>
  <c r="Z114" i="42" s="1"/>
  <c r="AB109" i="42"/>
  <c r="AB114" i="42" s="1"/>
  <c r="AC109" i="42"/>
  <c r="AC114" i="42" s="1"/>
  <c r="AF109" i="42"/>
  <c r="AG109" i="42"/>
  <c r="AH109" i="42" s="1"/>
  <c r="AJ109" i="42"/>
  <c r="AJ114" i="42" s="1"/>
  <c r="AK109" i="42"/>
  <c r="AN109" i="42"/>
  <c r="AN114" i="42" s="1"/>
  <c r="AO109" i="42"/>
  <c r="AR109" i="42"/>
  <c r="AS109" i="42"/>
  <c r="AV109" i="42"/>
  <c r="AW109" i="42"/>
  <c r="AX109" i="42" s="1"/>
  <c r="AZ109" i="42"/>
  <c r="BA109" i="42"/>
  <c r="BB109" i="42" s="1"/>
  <c r="BD109" i="42"/>
  <c r="BE109" i="42"/>
  <c r="BF109" i="42" s="1"/>
  <c r="BH109" i="42"/>
  <c r="BH114" i="42" s="1"/>
  <c r="BI109" i="42"/>
  <c r="BL109" i="42"/>
  <c r="BL114" i="42" s="1"/>
  <c r="BM109" i="42"/>
  <c r="BN109" i="42" s="1"/>
  <c r="BP109" i="42"/>
  <c r="BP114" i="42" s="1"/>
  <c r="BQ109" i="42"/>
  <c r="BR109" i="42" s="1"/>
  <c r="BT109" i="42"/>
  <c r="BT114" i="42" s="1"/>
  <c r="BU109" i="42"/>
  <c r="BX109" i="42"/>
  <c r="BX114" i="42" s="1"/>
  <c r="BY109" i="42"/>
  <c r="BY114" i="42" s="1"/>
  <c r="CB109" i="42"/>
  <c r="CB114" i="42" s="1"/>
  <c r="CC109" i="42"/>
  <c r="CC114" i="42" s="1"/>
  <c r="CF109" i="42"/>
  <c r="CF114" i="42" s="1"/>
  <c r="CG109" i="42"/>
  <c r="CH109" i="42" s="1"/>
  <c r="CJ109" i="42"/>
  <c r="CJ114" i="42" s="1"/>
  <c r="CK109" i="42"/>
  <c r="CK114" i="42" s="1"/>
  <c r="CN109" i="42"/>
  <c r="CN114" i="42" s="1"/>
  <c r="CO109" i="42"/>
  <c r="CO114" i="42" s="1"/>
  <c r="CR109" i="42"/>
  <c r="CR114" i="42" s="1"/>
  <c r="CS109" i="42"/>
  <c r="CT109" i="42" s="1"/>
  <c r="CV109" i="42"/>
  <c r="CV114" i="42" s="1"/>
  <c r="CW109" i="42"/>
  <c r="CZ109" i="42"/>
  <c r="CZ114" i="42" s="1"/>
  <c r="DA114" i="42"/>
  <c r="DB109" i="42"/>
  <c r="DB392" i="42"/>
  <c r="DB393" i="42"/>
  <c r="DB394" i="42"/>
  <c r="CZ395" i="42"/>
  <c r="DB395" i="42" s="1"/>
  <c r="DJ393" i="42"/>
  <c r="DJ394" i="42"/>
  <c r="DJ395" i="42"/>
  <c r="DN393" i="42"/>
  <c r="DN394" i="42"/>
  <c r="DN395" i="42"/>
  <c r="AX118" i="42"/>
  <c r="BB118" i="42"/>
  <c r="BF118" i="42"/>
  <c r="BJ118" i="42"/>
  <c r="BN118" i="42"/>
  <c r="BR118" i="42"/>
  <c r="BV118" i="42"/>
  <c r="BZ118" i="42"/>
  <c r="CD118" i="42"/>
  <c r="CH118" i="42"/>
  <c r="CL118" i="42"/>
  <c r="CP118" i="42"/>
  <c r="CT118" i="42"/>
  <c r="CX118" i="42"/>
  <c r="DB118" i="42"/>
  <c r="BE122" i="42"/>
  <c r="BF122" i="42" s="1"/>
  <c r="BH122" i="42"/>
  <c r="BI122" i="42"/>
  <c r="BL122" i="42"/>
  <c r="BM122" i="42"/>
  <c r="BP122" i="42"/>
  <c r="BQ122" i="42"/>
  <c r="BT122" i="42"/>
  <c r="BU122" i="42"/>
  <c r="BV122" i="42" s="1"/>
  <c r="BX122" i="42"/>
  <c r="BY122" i="42"/>
  <c r="CB122" i="42"/>
  <c r="CC122" i="42"/>
  <c r="CD122" i="42" s="1"/>
  <c r="CF122" i="42"/>
  <c r="CG122" i="42"/>
  <c r="CH122" i="42" s="1"/>
  <c r="CJ122" i="42"/>
  <c r="CK122" i="42"/>
  <c r="CN122" i="42"/>
  <c r="CO122" i="42"/>
  <c r="CR122" i="42"/>
  <c r="CS122" i="42"/>
  <c r="CV122" i="42"/>
  <c r="CW122" i="42"/>
  <c r="CZ122" i="42"/>
  <c r="BE124" i="42"/>
  <c r="BF124" i="42" s="1"/>
  <c r="BL124" i="42"/>
  <c r="BL192" i="46" s="1"/>
  <c r="BM124" i="42"/>
  <c r="BP124" i="42"/>
  <c r="BP192" i="46" s="1"/>
  <c r="BQ124" i="42"/>
  <c r="BT124" i="42"/>
  <c r="BT192" i="46" s="1"/>
  <c r="BU124" i="42"/>
  <c r="BU192" i="46" s="1"/>
  <c r="BX124" i="42"/>
  <c r="BY124" i="42"/>
  <c r="BY464" i="42" s="1"/>
  <c r="BY477" i="42" s="1"/>
  <c r="CB124" i="42"/>
  <c r="CB464" i="42" s="1"/>
  <c r="CB477" i="42" s="1"/>
  <c r="CC124" i="42"/>
  <c r="CD124" i="42" s="1"/>
  <c r="CD464" i="42" s="1"/>
  <c r="DO35" i="41" s="1"/>
  <c r="CF124" i="42"/>
  <c r="CF192" i="46" s="1"/>
  <c r="CG124" i="42"/>
  <c r="CG192" i="46" s="1"/>
  <c r="CJ124" i="42"/>
  <c r="CJ192" i="46" s="1"/>
  <c r="CK124" i="42"/>
  <c r="CN124" i="42"/>
  <c r="CN192" i="46" s="1"/>
  <c r="CO124" i="42"/>
  <c r="CO464" i="42" s="1"/>
  <c r="CO477" i="42" s="1"/>
  <c r="CR124" i="42"/>
  <c r="CR464" i="42" s="1"/>
  <c r="CS124" i="42"/>
  <c r="CV124" i="42"/>
  <c r="CV192" i="46" s="1"/>
  <c r="CW124" i="42"/>
  <c r="CW192" i="46" s="1"/>
  <c r="CZ124" i="42"/>
  <c r="CZ192" i="46" s="1"/>
  <c r="BE127" i="42"/>
  <c r="BH127" i="42"/>
  <c r="BI127" i="42"/>
  <c r="BL127" i="42"/>
  <c r="BM127" i="42"/>
  <c r="BP127" i="42"/>
  <c r="BQ127" i="42"/>
  <c r="BT127" i="42"/>
  <c r="BU127" i="42"/>
  <c r="BX127" i="42"/>
  <c r="BY127" i="42"/>
  <c r="CB127" i="42"/>
  <c r="CC127" i="42"/>
  <c r="CF127" i="42"/>
  <c r="CG127" i="42"/>
  <c r="CJ127" i="42"/>
  <c r="CK127" i="42"/>
  <c r="CN127" i="42"/>
  <c r="CO127" i="42"/>
  <c r="CR127" i="42"/>
  <c r="CS127" i="42"/>
  <c r="CV127" i="42"/>
  <c r="CW127" i="42"/>
  <c r="CZ127" i="42"/>
  <c r="BE129" i="42"/>
  <c r="BL129" i="42"/>
  <c r="BL158" i="46" s="1"/>
  <c r="BM129" i="42"/>
  <c r="BP129" i="42"/>
  <c r="BQ129" i="42"/>
  <c r="BT129" i="42"/>
  <c r="BU129" i="42"/>
  <c r="BX129" i="42"/>
  <c r="BY129" i="42"/>
  <c r="CB129" i="42"/>
  <c r="CC129" i="42"/>
  <c r="CF129" i="42"/>
  <c r="CG129" i="42"/>
  <c r="CJ129" i="42"/>
  <c r="CK129" i="42"/>
  <c r="CN129" i="42"/>
  <c r="CO129" i="42"/>
  <c r="CR129" i="42"/>
  <c r="CS129" i="42"/>
  <c r="CV129" i="42"/>
  <c r="CW129" i="42"/>
  <c r="CZ129" i="42"/>
  <c r="BH132" i="42"/>
  <c r="BH595" i="20" s="1"/>
  <c r="BI132" i="42"/>
  <c r="BI595" i="20" s="1"/>
  <c r="BJ132" i="42"/>
  <c r="BJ595" i="20" s="1"/>
  <c r="BL132" i="42"/>
  <c r="BL595" i="20" s="1"/>
  <c r="BM132" i="42"/>
  <c r="BM595" i="20" s="1"/>
  <c r="BN132" i="42"/>
  <c r="BN595" i="20" s="1"/>
  <c r="BP132" i="42"/>
  <c r="BP595" i="20" s="1"/>
  <c r="BQ132" i="42"/>
  <c r="BQ595" i="20" s="1"/>
  <c r="BR132" i="42"/>
  <c r="BR595" i="20" s="1"/>
  <c r="BT132" i="42"/>
  <c r="BT595" i="20" s="1"/>
  <c r="BU132" i="42"/>
  <c r="BV132" i="42"/>
  <c r="BV595" i="20" s="1"/>
  <c r="BX132" i="42"/>
  <c r="BX595" i="20" s="1"/>
  <c r="BY132" i="42"/>
  <c r="BY595" i="20" s="1"/>
  <c r="BZ132" i="42"/>
  <c r="BZ595" i="20" s="1"/>
  <c r="CB132" i="42"/>
  <c r="CB595" i="20" s="1"/>
  <c r="CC132" i="42"/>
  <c r="CC595" i="20" s="1"/>
  <c r="CD132" i="42"/>
  <c r="CD595" i="20" s="1"/>
  <c r="CF132" i="42"/>
  <c r="CF595" i="20" s="1"/>
  <c r="CG132" i="42"/>
  <c r="CH132" i="42"/>
  <c r="CH595" i="20" s="1"/>
  <c r="CJ132" i="42"/>
  <c r="CJ595" i="20" s="1"/>
  <c r="CK132" i="42"/>
  <c r="CK595" i="20" s="1"/>
  <c r="CL132" i="42"/>
  <c r="CN132" i="42"/>
  <c r="CN595" i="20" s="1"/>
  <c r="CO132" i="42"/>
  <c r="CO595" i="20" s="1"/>
  <c r="CP132" i="42"/>
  <c r="CR132" i="42"/>
  <c r="CR595" i="20" s="1"/>
  <c r="CS132" i="42"/>
  <c r="CT132" i="42"/>
  <c r="CT595" i="20" s="1"/>
  <c r="CV132" i="42"/>
  <c r="CV595" i="20" s="1"/>
  <c r="CW132" i="42"/>
  <c r="CW595" i="20" s="1"/>
  <c r="CX132" i="42"/>
  <c r="CX595" i="20" s="1"/>
  <c r="CZ132" i="42"/>
  <c r="CZ595" i="20" s="1"/>
  <c r="DA132" i="42"/>
  <c r="DA595" i="20" s="1"/>
  <c r="DB132" i="42"/>
  <c r="DB595" i="20" s="1"/>
  <c r="CF133" i="42"/>
  <c r="CF596" i="20" s="1"/>
  <c r="CJ133" i="42"/>
  <c r="CJ596" i="20" s="1"/>
  <c r="CN133" i="42"/>
  <c r="CN596" i="20" s="1"/>
  <c r="CR133" i="42"/>
  <c r="CR596" i="20" s="1"/>
  <c r="CV133" i="42"/>
  <c r="CV596" i="20" s="1"/>
  <c r="CZ133" i="42"/>
  <c r="CZ596" i="20" s="1"/>
  <c r="BH134" i="42"/>
  <c r="BH597" i="20" s="1"/>
  <c r="BI134" i="42"/>
  <c r="BI597" i="20" s="1"/>
  <c r="BL134" i="42"/>
  <c r="BM134" i="42"/>
  <c r="BM597" i="20" s="1"/>
  <c r="BP134" i="42"/>
  <c r="BP597" i="20" s="1"/>
  <c r="BQ134" i="42"/>
  <c r="BQ597" i="20" s="1"/>
  <c r="BT134" i="42"/>
  <c r="BT597" i="20" s="1"/>
  <c r="BU134" i="42"/>
  <c r="BX134" i="42"/>
  <c r="BX597" i="20" s="1"/>
  <c r="BY134" i="42"/>
  <c r="BY597" i="20" s="1"/>
  <c r="CB134" i="42"/>
  <c r="CB597" i="20" s="1"/>
  <c r="CC134" i="42"/>
  <c r="CC597" i="20" s="1"/>
  <c r="CF134" i="42"/>
  <c r="CF597" i="20" s="1"/>
  <c r="CG134" i="42"/>
  <c r="CG597" i="20" s="1"/>
  <c r="CJ134" i="42"/>
  <c r="CJ597" i="20" s="1"/>
  <c r="CK134" i="42"/>
  <c r="CK597" i="20" s="1"/>
  <c r="CN134" i="42"/>
  <c r="CN597" i="20" s="1"/>
  <c r="CO134" i="42"/>
  <c r="CO597" i="20" s="1"/>
  <c r="CR134" i="42"/>
  <c r="CR597" i="20" s="1"/>
  <c r="CS134" i="42"/>
  <c r="CS597" i="20" s="1"/>
  <c r="CV134" i="42"/>
  <c r="CV597" i="20" s="1"/>
  <c r="CW134" i="42"/>
  <c r="CW597" i="20" s="1"/>
  <c r="CZ134" i="42"/>
  <c r="CZ597" i="20" s="1"/>
  <c r="DA134" i="42"/>
  <c r="DA597" i="20" s="1"/>
  <c r="BM136" i="42"/>
  <c r="BM599" i="20" s="1"/>
  <c r="BP136" i="42"/>
  <c r="BP599" i="20" s="1"/>
  <c r="BQ136" i="42"/>
  <c r="BQ599" i="20" s="1"/>
  <c r="BT136" i="42"/>
  <c r="BT599" i="20" s="1"/>
  <c r="BU136" i="42"/>
  <c r="BU599" i="20" s="1"/>
  <c r="BX136" i="42"/>
  <c r="BX599" i="20" s="1"/>
  <c r="BY136" i="42"/>
  <c r="BY599" i="20" s="1"/>
  <c r="CB136" i="42"/>
  <c r="CB599" i="20" s="1"/>
  <c r="CC136" i="42"/>
  <c r="CC599" i="20" s="1"/>
  <c r="CF136" i="42"/>
  <c r="CF599" i="20" s="1"/>
  <c r="CG136" i="42"/>
  <c r="CG599" i="20" s="1"/>
  <c r="CJ136" i="42"/>
  <c r="CJ599" i="20" s="1"/>
  <c r="CK136" i="42"/>
  <c r="CK599" i="20" s="1"/>
  <c r="CN136" i="42"/>
  <c r="CN599" i="20" s="1"/>
  <c r="CO136" i="42"/>
  <c r="CO599" i="20" s="1"/>
  <c r="CR136" i="42"/>
  <c r="CS136" i="42"/>
  <c r="CS599" i="20" s="1"/>
  <c r="CV136" i="42"/>
  <c r="CV599" i="20" s="1"/>
  <c r="CW136" i="42"/>
  <c r="CW599" i="20" s="1"/>
  <c r="CZ136" i="42"/>
  <c r="DA136" i="42"/>
  <c r="DA599" i="20" s="1"/>
  <c r="BT144" i="42"/>
  <c r="BU144" i="42"/>
  <c r="BU146" i="42" s="1"/>
  <c r="BU158" i="42" s="1"/>
  <c r="BX145" i="42"/>
  <c r="BY145" i="42"/>
  <c r="BY214" i="42" s="1"/>
  <c r="BE146" i="42"/>
  <c r="BE158" i="42" s="1"/>
  <c r="BH146" i="42"/>
  <c r="BI146" i="42"/>
  <c r="BL146" i="42"/>
  <c r="BL157" i="42" s="1"/>
  <c r="BM146" i="42"/>
  <c r="BP146" i="42"/>
  <c r="BP149" i="42" s="1"/>
  <c r="BP152" i="42" s="1"/>
  <c r="BQ146" i="42"/>
  <c r="BQ149" i="42" s="1"/>
  <c r="BQ152" i="42" s="1"/>
  <c r="BR152" i="42" s="1"/>
  <c r="CB146" i="42"/>
  <c r="CC146" i="42"/>
  <c r="CC156" i="42" s="1"/>
  <c r="CF146" i="42"/>
  <c r="CF149" i="42" s="1"/>
  <c r="CF152" i="42" s="1"/>
  <c r="CG146" i="42"/>
  <c r="CJ146" i="42"/>
  <c r="CK146" i="42"/>
  <c r="CK158" i="42" s="1"/>
  <c r="CN146" i="42"/>
  <c r="CR146" i="42"/>
  <c r="CR149" i="42" s="1"/>
  <c r="CR152" i="42" s="1"/>
  <c r="CS146" i="42"/>
  <c r="CS149" i="42" s="1"/>
  <c r="CS152" i="42" s="1"/>
  <c r="CV146" i="42"/>
  <c r="CV149" i="42" s="1"/>
  <c r="CV152" i="42" s="1"/>
  <c r="CW146" i="42"/>
  <c r="CW149" i="42" s="1"/>
  <c r="CW152" i="42" s="1"/>
  <c r="CX152" i="42" s="1"/>
  <c r="CZ146" i="42"/>
  <c r="CZ149" i="42" s="1"/>
  <c r="CZ152" i="42" s="1"/>
  <c r="BE151" i="42"/>
  <c r="BH151" i="42"/>
  <c r="BT151" i="42"/>
  <c r="A156" i="42"/>
  <c r="A157" i="42"/>
  <c r="A158" i="42"/>
  <c r="AT160" i="42"/>
  <c r="AT161" i="42"/>
  <c r="AT162" i="42"/>
  <c r="AP163" i="42"/>
  <c r="AP177" i="42" s="1"/>
  <c r="AR163" i="42"/>
  <c r="AS163" i="42"/>
  <c r="AV163" i="42"/>
  <c r="AW163" i="42"/>
  <c r="AZ163" i="42"/>
  <c r="BA163" i="42"/>
  <c r="BD163" i="42"/>
  <c r="BE163" i="42"/>
  <c r="BH163" i="42"/>
  <c r="BI163" i="42"/>
  <c r="BL163" i="42"/>
  <c r="BM163" i="42"/>
  <c r="BP163" i="42"/>
  <c r="BQ163" i="42"/>
  <c r="BT163" i="42"/>
  <c r="BU163" i="42"/>
  <c r="BV163" i="42" s="1"/>
  <c r="DG46" i="41" s="1"/>
  <c r="BX163" i="42"/>
  <c r="BY163" i="42"/>
  <c r="CB163" i="42"/>
  <c r="CC163" i="42"/>
  <c r="CF163" i="42"/>
  <c r="CG163" i="42"/>
  <c r="CH163" i="42" s="1"/>
  <c r="DS46" i="41" s="1"/>
  <c r="CJ163" i="42"/>
  <c r="DU46" i="41" s="1"/>
  <c r="CK163" i="42"/>
  <c r="DV46" i="41" s="1"/>
  <c r="CN163" i="42"/>
  <c r="DY46" i="41" s="1"/>
  <c r="CO163" i="42"/>
  <c r="CR163" i="42"/>
  <c r="EC46" i="41" s="1"/>
  <c r="CS163" i="42"/>
  <c r="ED46" i="41" s="1"/>
  <c r="CV163" i="42"/>
  <c r="EG46" i="41" s="1"/>
  <c r="CW163" i="42"/>
  <c r="CX163" i="42" s="1"/>
  <c r="EI46" i="41" s="1"/>
  <c r="CZ163" i="42"/>
  <c r="DA177" i="42" s="1"/>
  <c r="DB163" i="42"/>
  <c r="EM46" i="41" s="1"/>
  <c r="AT164" i="42"/>
  <c r="AT165" i="42"/>
  <c r="AT167" i="42"/>
  <c r="CC167" i="42"/>
  <c r="CC171" i="42" s="1"/>
  <c r="CF167" i="42"/>
  <c r="CG167" i="42"/>
  <c r="CJ188" i="42" s="1"/>
  <c r="AT168" i="42"/>
  <c r="AT170" i="42"/>
  <c r="BE170" i="42"/>
  <c r="AP171" i="42"/>
  <c r="AP178" i="42" s="1"/>
  <c r="AR171" i="42"/>
  <c r="AR178" i="42" s="1"/>
  <c r="AS171" i="42"/>
  <c r="AV171" i="42"/>
  <c r="AW171" i="42"/>
  <c r="AZ171" i="42"/>
  <c r="BA171" i="42"/>
  <c r="BD171" i="42"/>
  <c r="BH171" i="42"/>
  <c r="BI171" i="42"/>
  <c r="BL171" i="42"/>
  <c r="BM171" i="42"/>
  <c r="BP171" i="42"/>
  <c r="BQ171" i="42"/>
  <c r="BR171" i="42" s="1"/>
  <c r="DC47" i="41" s="1"/>
  <c r="BT171" i="42"/>
  <c r="BU171" i="42"/>
  <c r="BV171" i="42" s="1"/>
  <c r="DG47" i="41" s="1"/>
  <c r="BX171" i="42"/>
  <c r="BY171" i="42"/>
  <c r="BZ171" i="42" s="1"/>
  <c r="DK47" i="41" s="1"/>
  <c r="CB171" i="42"/>
  <c r="CJ171" i="42"/>
  <c r="DU47" i="41" s="1"/>
  <c r="CK171" i="42"/>
  <c r="CL171" i="42" s="1"/>
  <c r="CN171" i="42"/>
  <c r="DY47" i="41" s="1"/>
  <c r="CO171" i="42"/>
  <c r="CO179" i="42" s="1"/>
  <c r="CR171" i="42"/>
  <c r="EC47" i="41" s="1"/>
  <c r="CS171" i="42"/>
  <c r="ED47" i="41" s="1"/>
  <c r="CV171" i="42"/>
  <c r="EG47" i="41" s="1"/>
  <c r="CW171" i="42"/>
  <c r="EH47" i="41" s="1"/>
  <c r="CZ171" i="42"/>
  <c r="EK47" i="41" s="1"/>
  <c r="DA171" i="42"/>
  <c r="EL47" i="41" s="1"/>
  <c r="A181" i="42"/>
  <c r="BH181" i="42"/>
  <c r="BI181" i="42"/>
  <c r="BL181" i="42"/>
  <c r="BM181" i="42"/>
  <c r="BP181" i="42"/>
  <c r="BQ181" i="42"/>
  <c r="BT181" i="42"/>
  <c r="BU181" i="42"/>
  <c r="BX181" i="42"/>
  <c r="BY181" i="42"/>
  <c r="CB181" i="42"/>
  <c r="CC181" i="42"/>
  <c r="CF181" i="42"/>
  <c r="CG181" i="42"/>
  <c r="CJ181" i="42"/>
  <c r="CK181" i="42"/>
  <c r="CN181" i="42"/>
  <c r="CO181" i="42"/>
  <c r="CR181" i="42"/>
  <c r="CS181" i="42"/>
  <c r="CV181" i="42"/>
  <c r="CW181" i="42"/>
  <c r="CZ181" i="42"/>
  <c r="DA181" i="42"/>
  <c r="A182" i="42"/>
  <c r="BH182" i="42"/>
  <c r="BI182" i="42"/>
  <c r="BL182" i="42"/>
  <c r="BM182" i="42"/>
  <c r="BP182" i="42"/>
  <c r="BQ182" i="42"/>
  <c r="BT182" i="42"/>
  <c r="BU182" i="42"/>
  <c r="BX182" i="42"/>
  <c r="BY182" i="42"/>
  <c r="CB182" i="42"/>
  <c r="CC182" i="42"/>
  <c r="CF182" i="42"/>
  <c r="CG182" i="42"/>
  <c r="CJ182" i="42"/>
  <c r="CK182" i="42"/>
  <c r="CN182" i="42"/>
  <c r="CO182" i="42"/>
  <c r="CR182" i="42"/>
  <c r="CS182" i="42"/>
  <c r="CV182" i="42"/>
  <c r="CW182" i="42"/>
  <c r="CZ182" i="42"/>
  <c r="DA182" i="42"/>
  <c r="A183" i="42"/>
  <c r="BH183" i="42"/>
  <c r="BI183" i="42"/>
  <c r="BL183" i="42"/>
  <c r="BM183" i="42"/>
  <c r="BP183" i="42"/>
  <c r="BQ183" i="42"/>
  <c r="BT183" i="42"/>
  <c r="BU183" i="42"/>
  <c r="BX183" i="42"/>
  <c r="BY183" i="42"/>
  <c r="CB183" i="42"/>
  <c r="CC183" i="42"/>
  <c r="CF183" i="42"/>
  <c r="CG183" i="42"/>
  <c r="CJ183" i="42"/>
  <c r="CK183" i="42"/>
  <c r="CN183" i="42"/>
  <c r="CO183" i="42"/>
  <c r="CR183" i="42"/>
  <c r="CS183" i="42"/>
  <c r="CV183" i="42"/>
  <c r="CW183" i="42"/>
  <c r="CZ183" i="42"/>
  <c r="DA183" i="42"/>
  <c r="A184" i="42"/>
  <c r="A185" i="42"/>
  <c r="BH185" i="42"/>
  <c r="BI185" i="42"/>
  <c r="BL185" i="42"/>
  <c r="BM185" i="42"/>
  <c r="BP185" i="42"/>
  <c r="BQ185" i="42"/>
  <c r="BT185" i="42"/>
  <c r="BU185" i="42"/>
  <c r="BX185" i="42"/>
  <c r="BY185" i="42"/>
  <c r="CB185" i="42"/>
  <c r="CC185" i="42"/>
  <c r="CF185" i="42"/>
  <c r="CG185" i="42"/>
  <c r="CJ185" i="42"/>
  <c r="CK185" i="42"/>
  <c r="CN185" i="42"/>
  <c r="CO185" i="42"/>
  <c r="CR185" i="42"/>
  <c r="CS185" i="42"/>
  <c r="CV185" i="42"/>
  <c r="CW185" i="42"/>
  <c r="CZ185" i="42"/>
  <c r="DA185" i="42"/>
  <c r="A186" i="42"/>
  <c r="BH186" i="42"/>
  <c r="BI186" i="42"/>
  <c r="BL186" i="42"/>
  <c r="BM186" i="42"/>
  <c r="BP186" i="42"/>
  <c r="BQ186" i="42"/>
  <c r="BT186" i="42"/>
  <c r="BU186" i="42"/>
  <c r="BX186" i="42"/>
  <c r="BY186" i="42"/>
  <c r="CB186" i="42"/>
  <c r="CC186" i="42"/>
  <c r="CF186" i="42"/>
  <c r="CG186" i="42"/>
  <c r="CJ186" i="42"/>
  <c r="CK186" i="42"/>
  <c r="CN186" i="42"/>
  <c r="CO186" i="42"/>
  <c r="CR186" i="42"/>
  <c r="CS186" i="42"/>
  <c r="CV186" i="42"/>
  <c r="CW186" i="42"/>
  <c r="CZ186" i="42"/>
  <c r="DA186" i="42"/>
  <c r="CK187" i="42"/>
  <c r="CN187" i="42"/>
  <c r="CO187" i="42"/>
  <c r="CR187" i="42"/>
  <c r="CS187" i="42"/>
  <c r="CV187" i="42"/>
  <c r="CW187" i="42"/>
  <c r="CZ187" i="42"/>
  <c r="DA187" i="42"/>
  <c r="A188" i="42"/>
  <c r="BH188" i="42"/>
  <c r="BI188" i="42"/>
  <c r="BL188" i="42"/>
  <c r="BM188" i="42"/>
  <c r="BP188" i="42"/>
  <c r="BQ188" i="42"/>
  <c r="BT188" i="42"/>
  <c r="BU188" i="42"/>
  <c r="BX188" i="42"/>
  <c r="BY188" i="42"/>
  <c r="CB188" i="42"/>
  <c r="CK188" i="42"/>
  <c r="CN188" i="42"/>
  <c r="CO188" i="42"/>
  <c r="CR188" i="42"/>
  <c r="CS188" i="42"/>
  <c r="CV188" i="42"/>
  <c r="CW188" i="42"/>
  <c r="CZ188" i="42"/>
  <c r="DA188" i="42"/>
  <c r="BP189" i="42"/>
  <c r="BQ189" i="42"/>
  <c r="BT189" i="42"/>
  <c r="BU189" i="42"/>
  <c r="BX189" i="42"/>
  <c r="BY189" i="42"/>
  <c r="CB189" i="42"/>
  <c r="CC189" i="42"/>
  <c r="CF189" i="42"/>
  <c r="CG189" i="42"/>
  <c r="CK189" i="42"/>
  <c r="CO189" i="42"/>
  <c r="CS189" i="42"/>
  <c r="CW189" i="42"/>
  <c r="DA189" i="42"/>
  <c r="A191" i="42"/>
  <c r="BI191" i="42"/>
  <c r="BL191" i="42"/>
  <c r="BM191" i="42"/>
  <c r="BP191" i="42"/>
  <c r="BQ191" i="42"/>
  <c r="BT191" i="42"/>
  <c r="BU191" i="42"/>
  <c r="BX191" i="42"/>
  <c r="BY191" i="42"/>
  <c r="CB191" i="42"/>
  <c r="CC191" i="42"/>
  <c r="CF191" i="42"/>
  <c r="CG191" i="42"/>
  <c r="CJ191" i="42"/>
  <c r="CK191" i="42"/>
  <c r="CN191" i="42"/>
  <c r="CO191" i="42"/>
  <c r="CR191" i="42"/>
  <c r="CS191" i="42"/>
  <c r="CV191" i="42"/>
  <c r="CW191" i="42"/>
  <c r="CZ191" i="42"/>
  <c r="DA191" i="42"/>
  <c r="A192" i="42"/>
  <c r="A193" i="42"/>
  <c r="BE196" i="42"/>
  <c r="BH196" i="42"/>
  <c r="BI196" i="42"/>
  <c r="BL196" i="42"/>
  <c r="BM196" i="42"/>
  <c r="BP196" i="42"/>
  <c r="BQ196" i="42"/>
  <c r="BT196" i="42"/>
  <c r="BU196" i="42"/>
  <c r="BX196" i="42"/>
  <c r="BY196" i="42"/>
  <c r="CB196" i="42"/>
  <c r="CC196" i="42"/>
  <c r="CF196" i="42"/>
  <c r="CG196" i="42"/>
  <c r="CJ196" i="42"/>
  <c r="CK196" i="42"/>
  <c r="CN196" i="42"/>
  <c r="CO196" i="42"/>
  <c r="CR196" i="42"/>
  <c r="CS196" i="42"/>
  <c r="CV196" i="42"/>
  <c r="CW196" i="42"/>
  <c r="DA196" i="42"/>
  <c r="DD200" i="42" s="1"/>
  <c r="BE198" i="42"/>
  <c r="BH198" i="42"/>
  <c r="BH197" i="42" s="1"/>
  <c r="BI198" i="42"/>
  <c r="BL198" i="42"/>
  <c r="BM198" i="42"/>
  <c r="BN198" i="42" s="1"/>
  <c r="BP198" i="42"/>
  <c r="BQ198" i="42"/>
  <c r="BR198" i="42" s="1"/>
  <c r="BT198" i="42"/>
  <c r="BT197" i="42" s="1"/>
  <c r="BU198" i="42"/>
  <c r="BX198" i="42"/>
  <c r="BY198" i="42"/>
  <c r="CB198" i="42"/>
  <c r="CC198" i="42"/>
  <c r="CD198" i="42" s="1"/>
  <c r="CF198" i="42"/>
  <c r="CG198" i="42"/>
  <c r="CJ198" i="42"/>
  <c r="CK198" i="42"/>
  <c r="CL198" i="42" s="1"/>
  <c r="CN198" i="42"/>
  <c r="CO198" i="42"/>
  <c r="CR198" i="42"/>
  <c r="CV198" i="42"/>
  <c r="A200" i="42"/>
  <c r="A201" i="42"/>
  <c r="A202" i="42"/>
  <c r="BE205" i="42"/>
  <c r="BH205" i="42"/>
  <c r="BI205" i="42"/>
  <c r="BL205" i="42"/>
  <c r="BM205" i="42"/>
  <c r="BP205" i="42"/>
  <c r="BQ205" i="42"/>
  <c r="BX205" i="42"/>
  <c r="BY205" i="42"/>
  <c r="CB205" i="42"/>
  <c r="CC205" i="42"/>
  <c r="CF205" i="42"/>
  <c r="CG205" i="42"/>
  <c r="CJ205" i="42"/>
  <c r="CK205" i="42"/>
  <c r="CN205" i="42"/>
  <c r="CO205" i="42"/>
  <c r="CR205" i="42"/>
  <c r="CS205" i="42"/>
  <c r="CV205" i="42"/>
  <c r="CW205" i="42"/>
  <c r="DA205" i="42"/>
  <c r="DD209" i="42" s="1"/>
  <c r="BE207" i="42"/>
  <c r="BH207" i="42"/>
  <c r="BI207" i="42"/>
  <c r="BL207" i="42"/>
  <c r="BM207" i="42"/>
  <c r="BP207" i="42"/>
  <c r="BQ207" i="42"/>
  <c r="BR207" i="42" s="1"/>
  <c r="BT207" i="42"/>
  <c r="BU207" i="42"/>
  <c r="BX207" i="42"/>
  <c r="BX206" i="42" s="1"/>
  <c r="BY207" i="42"/>
  <c r="CB207" i="42"/>
  <c r="CC207" i="42"/>
  <c r="CF207" i="42"/>
  <c r="CG207" i="42"/>
  <c r="CH207" i="42" s="1"/>
  <c r="CJ207" i="42"/>
  <c r="CK207" i="42"/>
  <c r="CK206" i="42" s="1"/>
  <c r="CN207" i="42"/>
  <c r="CO207" i="42"/>
  <c r="CR207" i="42"/>
  <c r="CV207" i="42"/>
  <c r="A209" i="42"/>
  <c r="A210" i="42"/>
  <c r="A211" i="42"/>
  <c r="BE214" i="42"/>
  <c r="BH214" i="42"/>
  <c r="BI214" i="42"/>
  <c r="BL214" i="42"/>
  <c r="BM214" i="42"/>
  <c r="BP214" i="42"/>
  <c r="BQ214" i="42"/>
  <c r="BT214" i="42"/>
  <c r="BU214" i="42"/>
  <c r="CB214" i="42"/>
  <c r="CC214" i="42"/>
  <c r="CF214" i="42"/>
  <c r="CG214" i="42"/>
  <c r="CJ214" i="42"/>
  <c r="CK214" i="42"/>
  <c r="CN214" i="42"/>
  <c r="CO214" i="42"/>
  <c r="CR214" i="42"/>
  <c r="CS214" i="42"/>
  <c r="CV214" i="42"/>
  <c r="CW214" i="42"/>
  <c r="CZ214" i="42"/>
  <c r="DA214" i="42"/>
  <c r="DD218" i="42" s="1"/>
  <c r="BE216" i="42"/>
  <c r="BF216" i="42" s="1"/>
  <c r="BH216" i="42"/>
  <c r="BI216" i="42"/>
  <c r="BJ216" i="42" s="1"/>
  <c r="BL216" i="42"/>
  <c r="BM216" i="42"/>
  <c r="BP216" i="42"/>
  <c r="BQ216" i="42"/>
  <c r="BT216" i="42"/>
  <c r="BU216" i="42"/>
  <c r="BV216" i="42" s="1"/>
  <c r="BX216" i="42"/>
  <c r="BY216" i="42"/>
  <c r="CB216" i="42"/>
  <c r="CC216" i="42"/>
  <c r="CD216" i="42" s="1"/>
  <c r="CF216" i="42"/>
  <c r="CG216" i="42"/>
  <c r="CH216" i="42" s="1"/>
  <c r="CJ216" i="42"/>
  <c r="CK216" i="42"/>
  <c r="CN216" i="42"/>
  <c r="CO216" i="42"/>
  <c r="CP216" i="42" s="1"/>
  <c r="CR216" i="42"/>
  <c r="CS216" i="42"/>
  <c r="CV216" i="42"/>
  <c r="CW216" i="42"/>
  <c r="CZ216" i="42"/>
  <c r="DA216" i="42"/>
  <c r="DD220" i="42" s="1"/>
  <c r="A218" i="42"/>
  <c r="A219" i="42"/>
  <c r="A220" i="42"/>
  <c r="BX225" i="42"/>
  <c r="BX229" i="42" s="1"/>
  <c r="A227" i="42"/>
  <c r="A228" i="42"/>
  <c r="A229" i="42"/>
  <c r="BL229" i="42"/>
  <c r="BP229" i="42"/>
  <c r="BT229" i="42"/>
  <c r="CB229" i="42"/>
  <c r="CF229" i="42"/>
  <c r="CJ229" i="42"/>
  <c r="CN229" i="42"/>
  <c r="CR229" i="42"/>
  <c r="CV229" i="42"/>
  <c r="CZ229" i="42"/>
  <c r="BI231" i="42"/>
  <c r="BL231" i="42"/>
  <c r="BM231" i="42"/>
  <c r="BP231" i="42"/>
  <c r="BQ231" i="42"/>
  <c r="BT231" i="42"/>
  <c r="BU231" i="42"/>
  <c r="BX231" i="42"/>
  <c r="BY231" i="42"/>
  <c r="CB231" i="42"/>
  <c r="CC231" i="42"/>
  <c r="CF231" i="42"/>
  <c r="CG231" i="42"/>
  <c r="CJ231" i="42"/>
  <c r="CK231" i="42"/>
  <c r="CN231" i="42"/>
  <c r="CO231" i="42"/>
  <c r="CR231" i="42"/>
  <c r="CS231" i="42"/>
  <c r="CV231" i="42"/>
  <c r="CW231" i="42"/>
  <c r="CZ231" i="42"/>
  <c r="DA231" i="42"/>
  <c r="AB236" i="42"/>
  <c r="AC236" i="42"/>
  <c r="AF236" i="42"/>
  <c r="AG236" i="42"/>
  <c r="AJ236" i="42"/>
  <c r="AK236" i="42"/>
  <c r="AN236" i="42"/>
  <c r="AO236" i="42"/>
  <c r="AR236" i="42"/>
  <c r="AS236" i="42"/>
  <c r="AV236" i="42"/>
  <c r="AW236" i="42"/>
  <c r="AZ236" i="42"/>
  <c r="BA236" i="42"/>
  <c r="BD236" i="42"/>
  <c r="BE236" i="42"/>
  <c r="BH236" i="42"/>
  <c r="BI236" i="42"/>
  <c r="BL236" i="42"/>
  <c r="BM236" i="42"/>
  <c r="BP236" i="42"/>
  <c r="BQ236" i="42"/>
  <c r="BT236" i="42"/>
  <c r="BU236" i="42"/>
  <c r="BX236" i="42"/>
  <c r="BY236" i="42"/>
  <c r="CB236" i="42"/>
  <c r="CC236" i="42"/>
  <c r="CF236" i="42"/>
  <c r="CG236" i="42"/>
  <c r="CJ236" i="42"/>
  <c r="CK236" i="42"/>
  <c r="CN236" i="42"/>
  <c r="CO236" i="42"/>
  <c r="CR236" i="42"/>
  <c r="CS236" i="42"/>
  <c r="CV236" i="42"/>
  <c r="CW236" i="42"/>
  <c r="CZ236" i="42"/>
  <c r="AB237" i="42"/>
  <c r="AC237" i="42"/>
  <c r="AF237" i="42"/>
  <c r="AG237" i="42"/>
  <c r="AJ237" i="42"/>
  <c r="AK237" i="42"/>
  <c r="AN237" i="42"/>
  <c r="AO237" i="42"/>
  <c r="AR237" i="42"/>
  <c r="AS237" i="42"/>
  <c r="AV237" i="42"/>
  <c r="AW237" i="42"/>
  <c r="AZ237" i="42"/>
  <c r="BA237" i="42"/>
  <c r="BD237" i="42"/>
  <c r="BE237" i="42"/>
  <c r="BH237" i="42"/>
  <c r="BI237" i="42"/>
  <c r="BL237" i="42"/>
  <c r="BM237" i="42"/>
  <c r="BP237" i="42"/>
  <c r="BQ237" i="42"/>
  <c r="BT237" i="42"/>
  <c r="BU237" i="42"/>
  <c r="BX237" i="42"/>
  <c r="BY237" i="42"/>
  <c r="CB237" i="42"/>
  <c r="CC237" i="42"/>
  <c r="CF237" i="42"/>
  <c r="CG237" i="42"/>
  <c r="CJ237" i="42"/>
  <c r="CK237" i="42"/>
  <c r="CN237" i="42"/>
  <c r="CO237" i="42"/>
  <c r="CR237" i="42"/>
  <c r="CS237" i="42"/>
  <c r="CV237" i="42"/>
  <c r="CW237" i="42"/>
  <c r="CZ237" i="42"/>
  <c r="AB240" i="42"/>
  <c r="AC240" i="42"/>
  <c r="AF240" i="42"/>
  <c r="AG240" i="42"/>
  <c r="AJ240" i="42"/>
  <c r="AK240" i="42"/>
  <c r="AN240" i="42"/>
  <c r="AO240" i="42"/>
  <c r="AR240" i="42"/>
  <c r="AS240" i="42"/>
  <c r="AV240" i="42"/>
  <c r="AW240" i="42"/>
  <c r="AZ240" i="42"/>
  <c r="BA240" i="42"/>
  <c r="BD240" i="42"/>
  <c r="BE240" i="42"/>
  <c r="BH240" i="42"/>
  <c r="BI240" i="42"/>
  <c r="BL240" i="42"/>
  <c r="BM240" i="42"/>
  <c r="BP240" i="42"/>
  <c r="BQ240" i="42"/>
  <c r="BT240" i="42"/>
  <c r="BU240" i="42"/>
  <c r="BX240" i="42"/>
  <c r="BY240" i="42"/>
  <c r="CB240" i="42"/>
  <c r="CC240" i="42"/>
  <c r="CF240" i="42"/>
  <c r="CG240" i="42"/>
  <c r="CJ240" i="42"/>
  <c r="CK240" i="42"/>
  <c r="CN240" i="42"/>
  <c r="CO240" i="42"/>
  <c r="CR240" i="42"/>
  <c r="CS240" i="42"/>
  <c r="CV240" i="42"/>
  <c r="CW240" i="42"/>
  <c r="CZ240" i="42"/>
  <c r="AB241" i="42"/>
  <c r="AC241" i="42"/>
  <c r="AF241" i="42"/>
  <c r="AG241" i="42"/>
  <c r="AJ241" i="42"/>
  <c r="AK241" i="42"/>
  <c r="AN241" i="42"/>
  <c r="AO241" i="42"/>
  <c r="AR241" i="42"/>
  <c r="AS241" i="42"/>
  <c r="AV241" i="42"/>
  <c r="AW241" i="42"/>
  <c r="AZ241" i="42"/>
  <c r="BA241" i="42"/>
  <c r="BD241" i="42"/>
  <c r="BE241" i="42"/>
  <c r="BH241" i="42"/>
  <c r="BI241" i="42"/>
  <c r="BL241" i="42"/>
  <c r="BM241" i="42"/>
  <c r="BP241" i="42"/>
  <c r="BQ241" i="42"/>
  <c r="BT241" i="42"/>
  <c r="BU241" i="42"/>
  <c r="BX241" i="42"/>
  <c r="BY241" i="42"/>
  <c r="CB241" i="42"/>
  <c r="CC241" i="42"/>
  <c r="CF241" i="42"/>
  <c r="CG241" i="42"/>
  <c r="CJ241" i="42"/>
  <c r="CK241" i="42"/>
  <c r="CN241" i="42"/>
  <c r="CO241" i="42"/>
  <c r="CR241" i="42"/>
  <c r="CS241" i="42"/>
  <c r="CV241" i="42"/>
  <c r="CW241" i="42"/>
  <c r="CZ241" i="42"/>
  <c r="AF244" i="42"/>
  <c r="AG244" i="42"/>
  <c r="AJ244" i="42"/>
  <c r="AK244" i="42"/>
  <c r="AN244" i="42"/>
  <c r="AO244" i="42"/>
  <c r="AR244" i="42"/>
  <c r="AS244" i="42"/>
  <c r="AV244" i="42"/>
  <c r="AW244" i="42"/>
  <c r="AZ244" i="42"/>
  <c r="BA244" i="42"/>
  <c r="BD244" i="42"/>
  <c r="BE244" i="42"/>
  <c r="BH244" i="42"/>
  <c r="BI244" i="42"/>
  <c r="BL244" i="42"/>
  <c r="BM244" i="42"/>
  <c r="BP244" i="42"/>
  <c r="BQ244" i="42"/>
  <c r="BT244" i="42"/>
  <c r="BU244" i="42"/>
  <c r="BX244" i="42"/>
  <c r="BY244" i="42"/>
  <c r="CB244" i="42"/>
  <c r="CC244" i="42"/>
  <c r="CF244" i="42"/>
  <c r="CG244" i="42"/>
  <c r="CJ244" i="42"/>
  <c r="CK244" i="42"/>
  <c r="CN244" i="42"/>
  <c r="CO244" i="42"/>
  <c r="CR244" i="42"/>
  <c r="CS244" i="42"/>
  <c r="CV244" i="42"/>
  <c r="CW244" i="42"/>
  <c r="CZ244" i="42"/>
  <c r="AF245" i="42"/>
  <c r="AG245" i="42"/>
  <c r="AJ245" i="42"/>
  <c r="AK245" i="42"/>
  <c r="AN245" i="42"/>
  <c r="AO245" i="42"/>
  <c r="AR245" i="42"/>
  <c r="AS245" i="42"/>
  <c r="AV245" i="42"/>
  <c r="AW245" i="42"/>
  <c r="AZ245" i="42"/>
  <c r="BA245" i="42"/>
  <c r="BD245" i="42"/>
  <c r="BE245" i="42"/>
  <c r="BH245" i="42"/>
  <c r="BI245" i="42"/>
  <c r="BL245" i="42"/>
  <c r="BM245" i="42"/>
  <c r="BP245" i="42"/>
  <c r="BQ245" i="42"/>
  <c r="BT245" i="42"/>
  <c r="BU245" i="42"/>
  <c r="BX245" i="42"/>
  <c r="BY245" i="42"/>
  <c r="CB245" i="42"/>
  <c r="CC245" i="42"/>
  <c r="CF245" i="42"/>
  <c r="CG245" i="42"/>
  <c r="CJ245" i="42"/>
  <c r="CK245" i="42"/>
  <c r="CN245" i="42"/>
  <c r="CO245" i="42"/>
  <c r="CR245" i="42"/>
  <c r="CS245" i="42"/>
  <c r="CV245" i="42"/>
  <c r="CW245" i="42"/>
  <c r="CZ245" i="42"/>
  <c r="AB248" i="42"/>
  <c r="AC248" i="42"/>
  <c r="AF248" i="42"/>
  <c r="AG248" i="42"/>
  <c r="AJ248" i="42"/>
  <c r="AK248" i="42"/>
  <c r="AN248" i="42"/>
  <c r="AO248" i="42"/>
  <c r="AR248" i="42"/>
  <c r="AS248" i="42"/>
  <c r="AV248" i="42"/>
  <c r="AW248" i="42"/>
  <c r="AZ248" i="42"/>
  <c r="BA248" i="42"/>
  <c r="BD248" i="42"/>
  <c r="BE248" i="42"/>
  <c r="BH248" i="42"/>
  <c r="BI248" i="42"/>
  <c r="BL248" i="42"/>
  <c r="BM248" i="42"/>
  <c r="BP248" i="42"/>
  <c r="BQ248" i="42"/>
  <c r="BT248" i="42"/>
  <c r="BU248" i="42"/>
  <c r="BX248" i="42"/>
  <c r="BY248" i="42"/>
  <c r="CB248" i="42"/>
  <c r="CC248" i="42"/>
  <c r="CF248" i="42"/>
  <c r="CG248" i="42"/>
  <c r="CJ248" i="42"/>
  <c r="CK248" i="42"/>
  <c r="CN248" i="42"/>
  <c r="CO248" i="42"/>
  <c r="CR248" i="42"/>
  <c r="CS248" i="42"/>
  <c r="CV248" i="42"/>
  <c r="CW248" i="42"/>
  <c r="CZ248" i="42"/>
  <c r="DA248" i="42"/>
  <c r="DI249" i="42"/>
  <c r="DI248" i="42" s="1"/>
  <c r="DL249" i="42"/>
  <c r="DL248" i="42" s="1"/>
  <c r="DM249" i="42"/>
  <c r="DM248" i="42" s="1"/>
  <c r="AB249" i="42"/>
  <c r="AC249" i="42"/>
  <c r="AF249" i="42"/>
  <c r="AG249" i="42"/>
  <c r="AJ249" i="42"/>
  <c r="AK249" i="42"/>
  <c r="AN249" i="42"/>
  <c r="AO249" i="42"/>
  <c r="AR249" i="42"/>
  <c r="AS249" i="42"/>
  <c r="AV249" i="42"/>
  <c r="AW249" i="42"/>
  <c r="AZ249" i="42"/>
  <c r="BA249" i="42"/>
  <c r="BD249" i="42"/>
  <c r="BE249" i="42"/>
  <c r="BH249" i="42"/>
  <c r="BI249" i="42"/>
  <c r="BL249" i="42"/>
  <c r="BM249" i="42"/>
  <c r="BP249" i="42"/>
  <c r="BQ249" i="42"/>
  <c r="BT249" i="42"/>
  <c r="BU249" i="42"/>
  <c r="BX249" i="42"/>
  <c r="BY249" i="42"/>
  <c r="CB249" i="42"/>
  <c r="CC249" i="42"/>
  <c r="CF249" i="42"/>
  <c r="CG249" i="42"/>
  <c r="CJ249" i="42"/>
  <c r="CK249" i="42"/>
  <c r="CN249" i="42"/>
  <c r="CO249" i="42"/>
  <c r="CR249" i="42"/>
  <c r="CS249" i="42"/>
  <c r="CV249" i="42"/>
  <c r="CW249" i="42"/>
  <c r="CZ249" i="42"/>
  <c r="DA249" i="42"/>
  <c r="AS253" i="42"/>
  <c r="AV253" i="42" s="1"/>
  <c r="AS254" i="42"/>
  <c r="AV254" i="42" s="1"/>
  <c r="AW254" i="42" s="1"/>
  <c r="AZ254" i="42" s="1"/>
  <c r="BA254" i="42" s="1"/>
  <c r="BD254" i="42" s="1"/>
  <c r="BE254" i="42" s="1"/>
  <c r="BH254" i="42" s="1"/>
  <c r="BI254" i="42" s="1"/>
  <c r="BL254" i="42" s="1"/>
  <c r="BM254" i="42" s="1"/>
  <c r="BP254" i="42" s="1"/>
  <c r="BQ254" i="42" s="1"/>
  <c r="BT254" i="42" s="1"/>
  <c r="BU254" i="42" s="1"/>
  <c r="BX254" i="42" s="1"/>
  <c r="BY254" i="42" s="1"/>
  <c r="CB254" i="42" s="1"/>
  <c r="CC254" i="42" s="1"/>
  <c r="CF254" i="42" s="1"/>
  <c r="CG254" i="42" s="1"/>
  <c r="CJ254" i="42" s="1"/>
  <c r="CK254" i="42" s="1"/>
  <c r="CN254" i="42" s="1"/>
  <c r="CO254" i="42" s="1"/>
  <c r="CR254" i="42" s="1"/>
  <c r="CS254" i="42" s="1"/>
  <c r="CV254" i="42" s="1"/>
  <c r="CW254" i="42" s="1"/>
  <c r="CZ254" i="42" s="1"/>
  <c r="DA254" i="42" s="1"/>
  <c r="AR255" i="42"/>
  <c r="AR256" i="42"/>
  <c r="AS256" i="42"/>
  <c r="AV256" i="42"/>
  <c r="AW256" i="42"/>
  <c r="AZ256" i="42"/>
  <c r="BA256" i="42"/>
  <c r="BD256" i="42"/>
  <c r="BE256" i="42"/>
  <c r="BH256" i="42"/>
  <c r="BI256" i="42"/>
  <c r="BL256" i="42"/>
  <c r="BM256" i="42"/>
  <c r="BP256" i="42"/>
  <c r="BQ256" i="42"/>
  <c r="BT256" i="42"/>
  <c r="BU256" i="42"/>
  <c r="BX256" i="42"/>
  <c r="BY256" i="42"/>
  <c r="CB256" i="42"/>
  <c r="CC256" i="42"/>
  <c r="CF256" i="42"/>
  <c r="CG256" i="42"/>
  <c r="CJ256" i="42"/>
  <c r="CK256" i="42"/>
  <c r="CN256" i="42"/>
  <c r="CO256" i="42"/>
  <c r="CR256" i="42"/>
  <c r="CS256" i="42"/>
  <c r="CV256" i="42"/>
  <c r="CW256" i="42"/>
  <c r="CZ256" i="42"/>
  <c r="DA256" i="42"/>
  <c r="P260" i="42"/>
  <c r="P287" i="42" s="1"/>
  <c r="Q260" i="42"/>
  <c r="Q287" i="42" s="1"/>
  <c r="T260" i="42"/>
  <c r="T287" i="42" s="1"/>
  <c r="U282" i="42" s="1"/>
  <c r="U260" i="42"/>
  <c r="U287" i="42" s="1"/>
  <c r="X260" i="42"/>
  <c r="X287" i="42" s="1"/>
  <c r="Y260" i="42"/>
  <c r="Y287" i="42" s="1"/>
  <c r="AB260" i="42"/>
  <c r="AB287" i="42" s="1"/>
  <c r="AC260" i="42"/>
  <c r="AC287" i="42" s="1"/>
  <c r="AF260" i="42"/>
  <c r="AF287" i="42" s="1"/>
  <c r="AG282" i="42" s="1"/>
  <c r="AG260" i="42"/>
  <c r="AG287" i="42" s="1"/>
  <c r="AJ260" i="42"/>
  <c r="AJ287" i="42" s="1"/>
  <c r="AK282" i="42" s="1"/>
  <c r="AK260" i="42"/>
  <c r="AK287" i="42" s="1"/>
  <c r="AN260" i="42"/>
  <c r="AN287" i="42" s="1"/>
  <c r="AO282" i="42" s="1"/>
  <c r="AO260" i="42"/>
  <c r="AO287" i="42" s="1"/>
  <c r="AR260" i="42"/>
  <c r="AR287" i="42" s="1"/>
  <c r="AS282" i="42" s="1"/>
  <c r="AS260" i="42"/>
  <c r="AS287" i="42" s="1"/>
  <c r="AV260" i="42"/>
  <c r="AV287" i="42" s="1"/>
  <c r="AW282" i="42" s="1"/>
  <c r="AW260" i="42"/>
  <c r="AW287" i="42" s="1"/>
  <c r="AZ260" i="42"/>
  <c r="AZ287" i="42" s="1"/>
  <c r="BA260" i="42"/>
  <c r="BA287" i="42" s="1"/>
  <c r="BD260" i="42"/>
  <c r="BD287" i="42" s="1"/>
  <c r="BE282" i="42" s="1"/>
  <c r="BE260" i="42"/>
  <c r="BE287" i="42" s="1"/>
  <c r="BH260" i="42"/>
  <c r="BH287" i="42" s="1"/>
  <c r="BI282" i="42" s="1"/>
  <c r="BI260" i="42"/>
  <c r="BI287" i="42" s="1"/>
  <c r="BL260" i="42"/>
  <c r="BL287" i="42" s="1"/>
  <c r="BM282" i="42" s="1"/>
  <c r="BM260" i="42"/>
  <c r="BM287" i="42" s="1"/>
  <c r="BP260" i="42"/>
  <c r="BP287" i="42" s="1"/>
  <c r="BQ282" i="42" s="1"/>
  <c r="BQ260" i="42"/>
  <c r="BQ287" i="42" s="1"/>
  <c r="BT260" i="42"/>
  <c r="BT287" i="42" s="1"/>
  <c r="BU282" i="42" s="1"/>
  <c r="BU260" i="42"/>
  <c r="BU287" i="42" s="1"/>
  <c r="BX260" i="42"/>
  <c r="BX287" i="42" s="1"/>
  <c r="BY282" i="42" s="1"/>
  <c r="BY260" i="42"/>
  <c r="BY287" i="42" s="1"/>
  <c r="CB260" i="42"/>
  <c r="CB287" i="42" s="1"/>
  <c r="CC282" i="42" s="1"/>
  <c r="CC260" i="42"/>
  <c r="CC287" i="42" s="1"/>
  <c r="CF260" i="42"/>
  <c r="CG260" i="42"/>
  <c r="CG287" i="42" s="1"/>
  <c r="CJ260" i="42"/>
  <c r="CJ287" i="42" s="1"/>
  <c r="CK282" i="42" s="1"/>
  <c r="CK260" i="42"/>
  <c r="CK287" i="42" s="1"/>
  <c r="CN260" i="42"/>
  <c r="CO260" i="42"/>
  <c r="CO287" i="42" s="1"/>
  <c r="CR260" i="42"/>
  <c r="CR287" i="42" s="1"/>
  <c r="CS282" i="42" s="1"/>
  <c r="CS260" i="42"/>
  <c r="CS287" i="42" s="1"/>
  <c r="CV260" i="42"/>
  <c r="CV287" i="42" s="1"/>
  <c r="CW260" i="42"/>
  <c r="CW287" i="42" s="1"/>
  <c r="CZ260" i="42"/>
  <c r="CZ287" i="42" s="1"/>
  <c r="DA282" i="42" s="1"/>
  <c r="DA260" i="42"/>
  <c r="DA287" i="42" s="1"/>
  <c r="P261" i="42"/>
  <c r="Q261" i="42"/>
  <c r="T261" i="42"/>
  <c r="U261" i="42"/>
  <c r="X261" i="42"/>
  <c r="Y261" i="42"/>
  <c r="AB261" i="42"/>
  <c r="AC261" i="42"/>
  <c r="AF261" i="42"/>
  <c r="AG261" i="42"/>
  <c r="AJ261" i="42"/>
  <c r="AK261" i="42"/>
  <c r="AN261" i="42"/>
  <c r="AO261" i="42"/>
  <c r="AR261" i="42"/>
  <c r="AS261" i="42"/>
  <c r="AV261" i="42"/>
  <c r="AW261" i="42"/>
  <c r="AZ261" i="42"/>
  <c r="BA261" i="42"/>
  <c r="BD261" i="42"/>
  <c r="BE261" i="42"/>
  <c r="BH261" i="42"/>
  <c r="BI261" i="42"/>
  <c r="BL261" i="42"/>
  <c r="BM261" i="42"/>
  <c r="BP261" i="42"/>
  <c r="BQ261" i="42"/>
  <c r="BT261" i="42"/>
  <c r="BU261" i="42"/>
  <c r="BX261" i="42"/>
  <c r="BY261" i="42"/>
  <c r="CB261" i="42"/>
  <c r="CC261" i="42"/>
  <c r="CF261" i="42"/>
  <c r="CG261" i="42"/>
  <c r="CJ261" i="42"/>
  <c r="CK261" i="42"/>
  <c r="CN261" i="42"/>
  <c r="CO261" i="42"/>
  <c r="CR261" i="42"/>
  <c r="CS261" i="42"/>
  <c r="CV261" i="42"/>
  <c r="CW261" i="42"/>
  <c r="CZ261" i="42"/>
  <c r="DA261" i="42"/>
  <c r="P262" i="42"/>
  <c r="Q262" i="42"/>
  <c r="R262" i="42"/>
  <c r="T262" i="42"/>
  <c r="U262" i="42"/>
  <c r="V262" i="42"/>
  <c r="X262" i="42"/>
  <c r="Y262" i="42"/>
  <c r="Z262" i="42"/>
  <c r="AB262" i="42"/>
  <c r="AC262" i="42"/>
  <c r="AD262" i="42"/>
  <c r="AF262" i="42"/>
  <c r="AG262" i="42"/>
  <c r="AH262" i="42"/>
  <c r="AJ262" i="42"/>
  <c r="AK262" i="42"/>
  <c r="AL262" i="42"/>
  <c r="AN262" i="42"/>
  <c r="AO262" i="42"/>
  <c r="AR262" i="42"/>
  <c r="AS262" i="42"/>
  <c r="AV262" i="42"/>
  <c r="AW262" i="42"/>
  <c r="AZ262" i="42"/>
  <c r="BA262" i="42"/>
  <c r="BD262" i="42"/>
  <c r="BE262" i="42"/>
  <c r="BH262" i="42"/>
  <c r="BI262" i="42"/>
  <c r="BL262" i="42"/>
  <c r="BM262" i="42"/>
  <c r="BP262" i="42"/>
  <c r="BQ262" i="42"/>
  <c r="BT262" i="42"/>
  <c r="BU262" i="42"/>
  <c r="BX262" i="42"/>
  <c r="BY262" i="42"/>
  <c r="CB262" i="42"/>
  <c r="CC262" i="42"/>
  <c r="CF262" i="42"/>
  <c r="CG262" i="42"/>
  <c r="CJ262" i="42"/>
  <c r="CK262" i="42"/>
  <c r="CN262" i="42"/>
  <c r="CO262" i="42"/>
  <c r="CR262" i="42"/>
  <c r="CS262" i="42"/>
  <c r="CV262" i="42"/>
  <c r="CW262" i="42"/>
  <c r="CZ262" i="42"/>
  <c r="DA262" i="42"/>
  <c r="P263" i="42"/>
  <c r="Q263" i="42"/>
  <c r="T263" i="42"/>
  <c r="U263" i="42"/>
  <c r="X263" i="42"/>
  <c r="Y263" i="42"/>
  <c r="AB263" i="42"/>
  <c r="AC263" i="42"/>
  <c r="AF263" i="42"/>
  <c r="AG263" i="42"/>
  <c r="AJ263" i="42"/>
  <c r="AK263" i="42"/>
  <c r="AN263" i="42"/>
  <c r="AO263" i="42"/>
  <c r="AR263" i="42"/>
  <c r="AS263" i="42"/>
  <c r="AV263" i="42"/>
  <c r="AW263" i="42"/>
  <c r="AZ263" i="42"/>
  <c r="BA263" i="42"/>
  <c r="BD263" i="42"/>
  <c r="BE263" i="42"/>
  <c r="BH263" i="42"/>
  <c r="BI263" i="42"/>
  <c r="BL263" i="42"/>
  <c r="BM263" i="42"/>
  <c r="BP263" i="42"/>
  <c r="BQ263" i="42"/>
  <c r="BT263" i="42"/>
  <c r="BU263" i="42"/>
  <c r="BX263" i="42"/>
  <c r="BY263" i="42"/>
  <c r="CB263" i="42"/>
  <c r="CC263" i="42"/>
  <c r="CF263" i="42"/>
  <c r="CG263" i="42"/>
  <c r="CJ263" i="42"/>
  <c r="CK263" i="42"/>
  <c r="CN263" i="42"/>
  <c r="CO263" i="42"/>
  <c r="CR263" i="42"/>
  <c r="CS263" i="42"/>
  <c r="CV263" i="42"/>
  <c r="CW263" i="42"/>
  <c r="CZ263" i="42"/>
  <c r="DA263" i="42"/>
  <c r="P264" i="42"/>
  <c r="Q264" i="42"/>
  <c r="T264" i="42"/>
  <c r="U264" i="42"/>
  <c r="X264" i="42"/>
  <c r="Y264" i="42"/>
  <c r="AB264" i="42"/>
  <c r="AC264" i="42"/>
  <c r="AF264" i="42"/>
  <c r="AG264" i="42"/>
  <c r="AJ264" i="42"/>
  <c r="AK264" i="42"/>
  <c r="AN264" i="42"/>
  <c r="AO264" i="42"/>
  <c r="AR264" i="42"/>
  <c r="AS264" i="42"/>
  <c r="AV264" i="42"/>
  <c r="AW264" i="42"/>
  <c r="AZ264" i="42"/>
  <c r="BA264" i="42"/>
  <c r="BD264" i="42"/>
  <c r="BE264" i="42"/>
  <c r="BH264" i="42"/>
  <c r="BI264" i="42"/>
  <c r="BL264" i="42"/>
  <c r="BM264" i="42"/>
  <c r="BP264" i="42"/>
  <c r="BQ264" i="42"/>
  <c r="BT264" i="42"/>
  <c r="BU264" i="42"/>
  <c r="BX264" i="42"/>
  <c r="BY264" i="42"/>
  <c r="CB264" i="42"/>
  <c r="CC264" i="42"/>
  <c r="CF264" i="42"/>
  <c r="CG264" i="42"/>
  <c r="CJ264" i="42"/>
  <c r="CK264" i="42"/>
  <c r="CN264" i="42"/>
  <c r="CO264" i="42"/>
  <c r="CR264" i="42"/>
  <c r="CS264" i="42"/>
  <c r="CV264" i="42"/>
  <c r="CW264" i="42"/>
  <c r="CZ264" i="42"/>
  <c r="DA264" i="42"/>
  <c r="R267" i="42"/>
  <c r="AB366" i="42"/>
  <c r="AD366" i="42" s="1"/>
  <c r="AC362" i="42"/>
  <c r="AF360" i="42" s="1"/>
  <c r="AH360" i="42" s="1"/>
  <c r="AG362" i="42"/>
  <c r="AJ360" i="42" s="1"/>
  <c r="AL360" i="42" s="1"/>
  <c r="AK362" i="42"/>
  <c r="AN360" i="42" s="1"/>
  <c r="AP360" i="42" s="1"/>
  <c r="P268" i="42"/>
  <c r="Q268" i="42"/>
  <c r="T268" i="42"/>
  <c r="U268" i="42"/>
  <c r="X268" i="42"/>
  <c r="Y268" i="42"/>
  <c r="AB268" i="42"/>
  <c r="AC268" i="42"/>
  <c r="AF268" i="42"/>
  <c r="AG268" i="42"/>
  <c r="AJ283" i="42"/>
  <c r="AJ268" i="42" s="1"/>
  <c r="AK268" i="42"/>
  <c r="AN283" i="42"/>
  <c r="AN301" i="42" s="1"/>
  <c r="AO268" i="42"/>
  <c r="AR268" i="42"/>
  <c r="AS268" i="42"/>
  <c r="AV283" i="42"/>
  <c r="AW268" i="42"/>
  <c r="AZ268" i="42"/>
  <c r="BA268" i="42"/>
  <c r="BD268" i="42"/>
  <c r="BE268" i="42"/>
  <c r="BH268" i="42"/>
  <c r="BI283" i="42"/>
  <c r="BI268" i="42" s="1"/>
  <c r="BL268" i="42"/>
  <c r="BM283" i="42"/>
  <c r="BM268" i="42" s="1"/>
  <c r="BP268" i="42"/>
  <c r="BQ283" i="42"/>
  <c r="BT268" i="42"/>
  <c r="BU283" i="42"/>
  <c r="BX268" i="42"/>
  <c r="BY283" i="42"/>
  <c r="CB268" i="42"/>
  <c r="CC283" i="42"/>
  <c r="CF268" i="42"/>
  <c r="CG283" i="42"/>
  <c r="CJ283" i="42"/>
  <c r="CJ268" i="42" s="1"/>
  <c r="CL283" i="42"/>
  <c r="CN268" i="42"/>
  <c r="CO283" i="42"/>
  <c r="CO268" i="42" s="1"/>
  <c r="CR268" i="42"/>
  <c r="CS283" i="42"/>
  <c r="CV268" i="42"/>
  <c r="CW283" i="42"/>
  <c r="CZ268" i="42"/>
  <c r="DA283" i="42"/>
  <c r="P269" i="42"/>
  <c r="Q269" i="42"/>
  <c r="T308" i="42"/>
  <c r="T306" i="42" s="1"/>
  <c r="T284" i="42" s="1"/>
  <c r="T269" i="42" s="1"/>
  <c r="U308" i="42"/>
  <c r="U306" i="42" s="1"/>
  <c r="U284" i="42" s="1"/>
  <c r="U269" i="42" s="1"/>
  <c r="X269" i="42"/>
  <c r="Y269" i="42"/>
  <c r="AB269" i="42"/>
  <c r="AC269" i="42"/>
  <c r="AF269" i="42"/>
  <c r="AG269" i="42"/>
  <c r="AJ269" i="42"/>
  <c r="AK269" i="42"/>
  <c r="AN269" i="42"/>
  <c r="AO269" i="42"/>
  <c r="AR269" i="42"/>
  <c r="AS269" i="42"/>
  <c r="AV269" i="42"/>
  <c r="AW269" i="42"/>
  <c r="AZ269" i="42"/>
  <c r="BA306" i="42"/>
  <c r="BD269" i="42"/>
  <c r="BE269" i="42"/>
  <c r="BH269" i="42"/>
  <c r="BI284" i="42"/>
  <c r="BI269" i="42" s="1"/>
  <c r="BL269" i="42"/>
  <c r="BL91" i="49" s="1"/>
  <c r="BM284" i="42"/>
  <c r="BM269" i="42" s="1"/>
  <c r="BP269" i="42"/>
  <c r="BP91" i="49" s="1"/>
  <c r="BQ284" i="42"/>
  <c r="BQ269" i="42" s="1"/>
  <c r="BT269" i="42"/>
  <c r="BT91" i="49" s="1"/>
  <c r="BU284" i="42"/>
  <c r="BU269" i="42" s="1"/>
  <c r="BX269" i="42"/>
  <c r="BY284" i="42"/>
  <c r="BY269" i="42" s="1"/>
  <c r="CB269" i="42"/>
  <c r="CC284" i="42"/>
  <c r="CC269" i="42" s="1"/>
  <c r="CF269" i="42"/>
  <c r="CG284" i="42"/>
  <c r="CG269" i="42" s="1"/>
  <c r="CJ269" i="42"/>
  <c r="CK284" i="42"/>
  <c r="CK269" i="42" s="1"/>
  <c r="CN269" i="42"/>
  <c r="CO284" i="42"/>
  <c r="CO269" i="42" s="1"/>
  <c r="CR269" i="42"/>
  <c r="CS284" i="42"/>
  <c r="CS269" i="42" s="1"/>
  <c r="CV269" i="42"/>
  <c r="CW284" i="42"/>
  <c r="CW269" i="42" s="1"/>
  <c r="CZ269" i="42"/>
  <c r="DA284" i="42"/>
  <c r="P270" i="42"/>
  <c r="Q270" i="42"/>
  <c r="T270" i="42"/>
  <c r="U270" i="42"/>
  <c r="X270" i="42"/>
  <c r="Y270" i="42"/>
  <c r="AB270" i="42"/>
  <c r="AC270" i="42"/>
  <c r="AF270" i="42"/>
  <c r="AG270" i="42"/>
  <c r="AJ270" i="42"/>
  <c r="AK270" i="42"/>
  <c r="AN270" i="42"/>
  <c r="AO270" i="42"/>
  <c r="AR270" i="42"/>
  <c r="AS270" i="42"/>
  <c r="AV270" i="42"/>
  <c r="AW270" i="42"/>
  <c r="AZ270" i="42"/>
  <c r="BA285" i="42"/>
  <c r="BA312" i="42" s="1"/>
  <c r="BA315" i="42" s="1"/>
  <c r="BD270" i="42"/>
  <c r="BE270" i="42"/>
  <c r="BH270" i="42"/>
  <c r="BI285" i="42"/>
  <c r="BI320" i="42" s="1"/>
  <c r="BL270" i="42"/>
  <c r="BL92" i="49" s="1"/>
  <c r="BM285" i="42"/>
  <c r="BM270" i="42" s="1"/>
  <c r="BP270" i="42"/>
  <c r="BP92" i="49" s="1"/>
  <c r="BQ285" i="42"/>
  <c r="BQ270" i="42" s="1"/>
  <c r="BT270" i="42"/>
  <c r="BT92" i="49" s="1"/>
  <c r="BU285" i="42"/>
  <c r="BX270" i="42"/>
  <c r="BY285" i="42"/>
  <c r="CB270" i="42"/>
  <c r="CC285" i="42"/>
  <c r="CC270" i="42" s="1"/>
  <c r="CF270" i="42"/>
  <c r="CG285" i="42"/>
  <c r="CG270" i="42" s="1"/>
  <c r="CJ270" i="42"/>
  <c r="CK285" i="42"/>
  <c r="CK270" i="42" s="1"/>
  <c r="CN270" i="42"/>
  <c r="CO285" i="42"/>
  <c r="CO270" i="42" s="1"/>
  <c r="CR270" i="42"/>
  <c r="CS285" i="42"/>
  <c r="CS312" i="42" s="1"/>
  <c r="CV270" i="42"/>
  <c r="CW285" i="42"/>
  <c r="CW270" i="42" s="1"/>
  <c r="CZ270" i="42"/>
  <c r="P272" i="42"/>
  <c r="P273" i="42"/>
  <c r="P274" i="42"/>
  <c r="P275" i="42"/>
  <c r="Q272" i="42"/>
  <c r="Q273" i="42"/>
  <c r="Q274" i="42"/>
  <c r="Q275" i="42"/>
  <c r="T272" i="42"/>
  <c r="T273" i="42"/>
  <c r="T274" i="42"/>
  <c r="T275" i="42"/>
  <c r="U272" i="42"/>
  <c r="U273" i="42"/>
  <c r="U274" i="42"/>
  <c r="U275" i="42"/>
  <c r="X272" i="42"/>
  <c r="X273" i="42"/>
  <c r="X274" i="42"/>
  <c r="X275" i="42"/>
  <c r="Y272" i="42"/>
  <c r="Y273" i="42"/>
  <c r="Y274" i="42"/>
  <c r="Y275" i="42"/>
  <c r="AB362" i="42"/>
  <c r="AB361" i="42" s="1"/>
  <c r="AB272" i="42" s="1"/>
  <c r="AB369" i="42"/>
  <c r="AB274" i="42"/>
  <c r="AB275" i="42"/>
  <c r="AC369" i="42"/>
  <c r="AC274" i="42"/>
  <c r="AF362" i="42"/>
  <c r="AF369" i="42"/>
  <c r="AF274" i="42"/>
  <c r="AG369" i="42"/>
  <c r="AG274" i="42"/>
  <c r="AJ362" i="42"/>
  <c r="AJ369" i="42"/>
  <c r="AJ274" i="42"/>
  <c r="AK369" i="42"/>
  <c r="AK274" i="42"/>
  <c r="AN362" i="42"/>
  <c r="AN367" i="42"/>
  <c r="AP367" i="42" s="1"/>
  <c r="AN369" i="42"/>
  <c r="AN274" i="42"/>
  <c r="AO362" i="42"/>
  <c r="AR360" i="42" s="1"/>
  <c r="AO369" i="42"/>
  <c r="AO274" i="42"/>
  <c r="AR362" i="42"/>
  <c r="AS360" i="42" s="1"/>
  <c r="AR369" i="42"/>
  <c r="AS366" i="42" s="1"/>
  <c r="AR274" i="42"/>
  <c r="AS362" i="42"/>
  <c r="AS369" i="42"/>
  <c r="AS274" i="42"/>
  <c r="AV362" i="42"/>
  <c r="AW360" i="42" s="1"/>
  <c r="AV369" i="42"/>
  <c r="AW366" i="42" s="1"/>
  <c r="AV274" i="42"/>
  <c r="AW362" i="42"/>
  <c r="AW369" i="42"/>
  <c r="AW274" i="42"/>
  <c r="AZ362" i="42"/>
  <c r="BA360" i="42" s="1"/>
  <c r="AZ369" i="42"/>
  <c r="BA366" i="42" s="1"/>
  <c r="AZ274" i="42"/>
  <c r="BA362" i="42"/>
  <c r="BD360" i="42" s="1"/>
  <c r="BF360" i="42" s="1"/>
  <c r="BA369" i="42"/>
  <c r="BA274" i="42"/>
  <c r="BD362" i="42"/>
  <c r="BE360" i="42" s="1"/>
  <c r="BD369" i="42"/>
  <c r="BE362" i="42"/>
  <c r="BH360" i="42" s="1"/>
  <c r="BJ360" i="42" s="1"/>
  <c r="BE369" i="42"/>
  <c r="BH362" i="42"/>
  <c r="BI360" i="42" s="1"/>
  <c r="BH369" i="42"/>
  <c r="BI366" i="42" s="1"/>
  <c r="BI362" i="42"/>
  <c r="BI369" i="42"/>
  <c r="BL362" i="42"/>
  <c r="BM360" i="42" s="1"/>
  <c r="BL369" i="42"/>
  <c r="BM366" i="42" s="1"/>
  <c r="BM362" i="42"/>
  <c r="BP360" i="42" s="1"/>
  <c r="BM369" i="42"/>
  <c r="BP362" i="42"/>
  <c r="BQ360" i="42" s="1"/>
  <c r="BP369" i="42"/>
  <c r="BQ366" i="42" s="1"/>
  <c r="BQ362" i="42"/>
  <c r="BT360" i="42" s="1"/>
  <c r="BV360" i="42" s="1"/>
  <c r="BQ369" i="42"/>
  <c r="BT362" i="42"/>
  <c r="BU360" i="42" s="1"/>
  <c r="BT369" i="42"/>
  <c r="BU362" i="42"/>
  <c r="BX360" i="42" s="1"/>
  <c r="BZ360" i="42" s="1"/>
  <c r="BU369" i="42"/>
  <c r="BX362" i="42"/>
  <c r="BY360" i="42" s="1"/>
  <c r="BX369" i="42"/>
  <c r="BY366" i="42" s="1"/>
  <c r="BY362" i="42"/>
  <c r="BY369" i="42"/>
  <c r="CB362" i="42"/>
  <c r="CC360" i="42" s="1"/>
  <c r="CB369" i="42"/>
  <c r="CC366" i="42" s="1"/>
  <c r="CC362" i="42"/>
  <c r="CC369" i="42"/>
  <c r="CF362" i="42"/>
  <c r="CG360" i="42" s="1"/>
  <c r="CF369" i="42"/>
  <c r="CG366" i="42" s="1"/>
  <c r="CG362" i="42"/>
  <c r="CJ360" i="42" s="1"/>
  <c r="CL360" i="42" s="1"/>
  <c r="CG369" i="42"/>
  <c r="CJ362" i="42"/>
  <c r="CJ369" i="42"/>
  <c r="CJ274" i="42"/>
  <c r="CJ275" i="42"/>
  <c r="CK362" i="42"/>
  <c r="CN360" i="42" s="1"/>
  <c r="CP360" i="42" s="1"/>
  <c r="CK369" i="42"/>
  <c r="CK274" i="42"/>
  <c r="CK275" i="42"/>
  <c r="CN362" i="42"/>
  <c r="CO360" i="42" s="1"/>
  <c r="CN369" i="42"/>
  <c r="CO362" i="42"/>
  <c r="CO369" i="42"/>
  <c r="CO274" i="42"/>
  <c r="CO275" i="42"/>
  <c r="CR362" i="42"/>
  <c r="CS360" i="42" s="1"/>
  <c r="CR369" i="42"/>
  <c r="CS366" i="42" s="1"/>
  <c r="CS362" i="42"/>
  <c r="CV360" i="42" s="1"/>
  <c r="CX360" i="42" s="1"/>
  <c r="CS369" i="42"/>
  <c r="CS370" i="42" s="1"/>
  <c r="CV362" i="42"/>
  <c r="CW360" i="42" s="1"/>
  <c r="CV369" i="42"/>
  <c r="CW366" i="42" s="1"/>
  <c r="CW362" i="42"/>
  <c r="CZ360" i="42" s="1"/>
  <c r="DB360" i="42" s="1"/>
  <c r="CW369" i="42"/>
  <c r="CW370" i="42" s="1"/>
  <c r="CZ362" i="42"/>
  <c r="DA360" i="42" s="1"/>
  <c r="CZ369" i="42"/>
  <c r="DA369" i="42"/>
  <c r="DA370" i="42" s="1"/>
  <c r="DI273" i="42"/>
  <c r="DL273" i="42"/>
  <c r="DM273" i="42"/>
  <c r="DM446" i="42"/>
  <c r="DM275" i="42" s="1"/>
  <c r="R282" i="42"/>
  <c r="AD282" i="42"/>
  <c r="R283" i="42"/>
  <c r="R301" i="42" s="1"/>
  <c r="V283" i="42"/>
  <c r="V301" i="42" s="1"/>
  <c r="Z283" i="42"/>
  <c r="Z301" i="42" s="1"/>
  <c r="AD283" i="42"/>
  <c r="AD301" i="42" s="1"/>
  <c r="AH283" i="42"/>
  <c r="AH301" i="42" s="1"/>
  <c r="AT283" i="42"/>
  <c r="AT301" i="42" s="1"/>
  <c r="BB283" i="42"/>
  <c r="BF283" i="42"/>
  <c r="R284" i="42"/>
  <c r="R306" i="42" s="1"/>
  <c r="Z284" i="42"/>
  <c r="Z306" i="42" s="1"/>
  <c r="AD284" i="42"/>
  <c r="AD306" i="42" s="1"/>
  <c r="AH284" i="42"/>
  <c r="AH306" i="42" s="1"/>
  <c r="AL284" i="42"/>
  <c r="AL306" i="42" s="1"/>
  <c r="AP284" i="42"/>
  <c r="AP306" i="42" s="1"/>
  <c r="AT284" i="42"/>
  <c r="AT306" i="42" s="1"/>
  <c r="AX284" i="42"/>
  <c r="AX306" i="42" s="1"/>
  <c r="BF284" i="42"/>
  <c r="R285" i="42"/>
  <c r="R312" i="42" s="1"/>
  <c r="R315" i="42" s="1"/>
  <c r="V285" i="42"/>
  <c r="V312" i="42" s="1"/>
  <c r="V315" i="42" s="1"/>
  <c r="Z285" i="42"/>
  <c r="Z312" i="42" s="1"/>
  <c r="Z315" i="42" s="1"/>
  <c r="AD285" i="42"/>
  <c r="AD312" i="42" s="1"/>
  <c r="AH285" i="42"/>
  <c r="AH312" i="42" s="1"/>
  <c r="AL285" i="42"/>
  <c r="AL312" i="42" s="1"/>
  <c r="AP285" i="42"/>
  <c r="AP312" i="42" s="1"/>
  <c r="AP315" i="42" s="1"/>
  <c r="AT285" i="42"/>
  <c r="AT312" i="42" s="1"/>
  <c r="AX285" i="42"/>
  <c r="AX312" i="42" s="1"/>
  <c r="BF285" i="42"/>
  <c r="BF312" i="42" s="1"/>
  <c r="P295" i="42"/>
  <c r="P43" i="43" s="1"/>
  <c r="P504" i="42" s="1"/>
  <c r="R290" i="42"/>
  <c r="T295" i="42"/>
  <c r="V290" i="42"/>
  <c r="X295" i="42"/>
  <c r="X43" i="43" s="1"/>
  <c r="X504" i="42" s="1"/>
  <c r="Z290" i="42"/>
  <c r="AB295" i="42"/>
  <c r="AD290" i="42"/>
  <c r="AD291" i="42"/>
  <c r="AD303" i="42" s="1"/>
  <c r="AD292" i="42"/>
  <c r="AD308" i="42" s="1"/>
  <c r="AD293" i="42"/>
  <c r="AD314" i="42" s="1"/>
  <c r="AC294" i="42"/>
  <c r="AC325" i="42" s="1"/>
  <c r="AH294" i="42"/>
  <c r="AJ291" i="42"/>
  <c r="AJ303" i="42" s="1"/>
  <c r="AJ294" i="42"/>
  <c r="AJ325" i="42" s="1"/>
  <c r="AL291" i="42"/>
  <c r="AL294" i="42"/>
  <c r="AN291" i="42"/>
  <c r="AN303" i="42" s="1"/>
  <c r="AP291" i="42"/>
  <c r="AP303" i="42" s="1"/>
  <c r="AP293" i="42"/>
  <c r="AP294" i="42"/>
  <c r="AO294" i="42" s="1"/>
  <c r="AO325" i="42" s="1"/>
  <c r="AS290" i="42"/>
  <c r="AV290" i="42"/>
  <c r="AV295" i="42"/>
  <c r="AV43" i="43" s="1"/>
  <c r="AV504" i="42" s="1"/>
  <c r="AV505" i="42" s="1"/>
  <c r="AX290" i="42"/>
  <c r="AZ290" i="42"/>
  <c r="AZ294" i="42" s="1"/>
  <c r="AZ325" i="42" s="1"/>
  <c r="AZ326" i="42" s="1"/>
  <c r="BA290" i="42"/>
  <c r="BB290" i="42"/>
  <c r="BB294" i="42" s="1"/>
  <c r="BD290" i="42"/>
  <c r="BD294" i="42" s="1"/>
  <c r="BD325" i="42" s="1"/>
  <c r="BD326" i="42" s="1"/>
  <c r="BE290" i="42"/>
  <c r="BF290" i="42"/>
  <c r="BF106" i="49" s="1"/>
  <c r="BH290" i="42"/>
  <c r="BI290" i="42"/>
  <c r="BJ290" i="42"/>
  <c r="BJ106" i="49" s="1"/>
  <c r="BL290" i="42"/>
  <c r="BL294" i="42" s="1"/>
  <c r="BL325" i="42" s="1"/>
  <c r="BL326" i="42" s="1"/>
  <c r="BM290" i="42"/>
  <c r="BM308" i="42" s="1"/>
  <c r="BN290" i="42"/>
  <c r="BP290" i="42"/>
  <c r="BP295" i="42"/>
  <c r="BR290" i="42"/>
  <c r="BR106" i="49" s="1"/>
  <c r="BT290" i="42"/>
  <c r="BT294" i="42" s="1"/>
  <c r="BT325" i="42" s="1"/>
  <c r="BT326" i="42" s="1"/>
  <c r="BU290" i="42"/>
  <c r="BV290" i="42"/>
  <c r="BX290" i="42"/>
  <c r="BX294" i="42" s="1"/>
  <c r="BY290" i="42"/>
  <c r="BZ290" i="42"/>
  <c r="BZ106" i="49" s="1"/>
  <c r="CB290" i="42"/>
  <c r="CB294" i="42" s="1"/>
  <c r="CB325" i="42" s="1"/>
  <c r="CB326" i="42" s="1"/>
  <c r="CC290" i="42"/>
  <c r="CD290" i="42"/>
  <c r="CF290" i="42"/>
  <c r="CF294" i="42" s="1"/>
  <c r="CF325" i="42" s="1"/>
  <c r="CF326" i="42" s="1"/>
  <c r="CG290" i="42"/>
  <c r="CH290" i="42"/>
  <c r="CJ290" i="42"/>
  <c r="CK290" i="42"/>
  <c r="CL290" i="42"/>
  <c r="CN290" i="42"/>
  <c r="CN294" i="42" s="1"/>
  <c r="CN325" i="42" s="1"/>
  <c r="CN326" i="42" s="1"/>
  <c r="CO290" i="42"/>
  <c r="CP290" i="42"/>
  <c r="CP106" i="49" s="1"/>
  <c r="CR290" i="42"/>
  <c r="CR294" i="42" s="1"/>
  <c r="CR325" i="42" s="1"/>
  <c r="CR326" i="42" s="1"/>
  <c r="CS290" i="42"/>
  <c r="CT290" i="42"/>
  <c r="CV290" i="42"/>
  <c r="CV294" i="42" s="1"/>
  <c r="CV325" i="42" s="1"/>
  <c r="CV326" i="42" s="1"/>
  <c r="CW290" i="42"/>
  <c r="CX290" i="42"/>
  <c r="CZ290" i="42"/>
  <c r="CZ294" i="42" s="1"/>
  <c r="CZ325" i="42" s="1"/>
  <c r="CZ326" i="42" s="1"/>
  <c r="DA290" i="42"/>
  <c r="R291" i="42"/>
  <c r="R303" i="42" s="1"/>
  <c r="V291" i="42"/>
  <c r="V303" i="42" s="1"/>
  <c r="Z291" i="42"/>
  <c r="Z303" i="42" s="1"/>
  <c r="AG291" i="42"/>
  <c r="AG303" i="42" s="1"/>
  <c r="AS291" i="42"/>
  <c r="AS303" i="42" s="1"/>
  <c r="AV291" i="42"/>
  <c r="AV303" i="42" s="1"/>
  <c r="AX291" i="42"/>
  <c r="BA291" i="42"/>
  <c r="BE291" i="42"/>
  <c r="BI291" i="42"/>
  <c r="BM291" i="42"/>
  <c r="BR291" i="42"/>
  <c r="BV291" i="42"/>
  <c r="BV107" i="49" s="1"/>
  <c r="BY291" i="42"/>
  <c r="CC291" i="42"/>
  <c r="CG291" i="42"/>
  <c r="CJ291" i="42"/>
  <c r="CJ303" i="42" s="1"/>
  <c r="CL291" i="42"/>
  <c r="CO291" i="42"/>
  <c r="CT291" i="42"/>
  <c r="CT107" i="49" s="1"/>
  <c r="CW291" i="42"/>
  <c r="DA291" i="42"/>
  <c r="R292" i="42"/>
  <c r="R308" i="42" s="1"/>
  <c r="V292" i="42"/>
  <c r="V308" i="42" s="1"/>
  <c r="Z292" i="42"/>
  <c r="Z308" i="42" s="1"/>
  <c r="AG292" i="42"/>
  <c r="AG308" i="42" s="1"/>
  <c r="AK292" i="42"/>
  <c r="AK308" i="42" s="1"/>
  <c r="AO292" i="42"/>
  <c r="AO308" i="42" s="1"/>
  <c r="AS292" i="42"/>
  <c r="AS308" i="42" s="1"/>
  <c r="AW292" i="42"/>
  <c r="AW308" i="42" s="1"/>
  <c r="BA292" i="42"/>
  <c r="BE292" i="42"/>
  <c r="BH292" i="42"/>
  <c r="BI292" i="42" s="1"/>
  <c r="BM292" i="42"/>
  <c r="BQ292" i="42"/>
  <c r="BU292" i="42"/>
  <c r="BY292" i="42"/>
  <c r="CC292" i="42"/>
  <c r="CG292" i="42"/>
  <c r="CK292" i="42"/>
  <c r="CO292" i="42"/>
  <c r="CS292" i="42"/>
  <c r="CW292" i="42"/>
  <c r="DA292" i="42"/>
  <c r="R293" i="42"/>
  <c r="R314" i="42" s="1"/>
  <c r="V293" i="42"/>
  <c r="V314" i="42" s="1"/>
  <c r="Z293" i="42"/>
  <c r="Z314" i="42" s="1"/>
  <c r="AG293" i="42"/>
  <c r="AG314" i="42" s="1"/>
  <c r="AK293" i="42"/>
  <c r="AK314" i="42" s="1"/>
  <c r="AT293" i="42"/>
  <c r="AW293" i="42"/>
  <c r="AW314" i="42" s="1"/>
  <c r="BA293" i="42"/>
  <c r="BA314" i="42" s="1"/>
  <c r="BE293" i="42"/>
  <c r="BE314" i="42" s="1"/>
  <c r="BI293" i="42"/>
  <c r="BM293" i="42"/>
  <c r="BM314" i="42" s="1"/>
  <c r="BM313" i="42" s="1"/>
  <c r="BQ293" i="42"/>
  <c r="BQ314" i="42" s="1"/>
  <c r="BV293" i="42"/>
  <c r="BY293" i="42"/>
  <c r="BY314" i="42" s="1"/>
  <c r="CC293" i="42"/>
  <c r="CC314" i="42" s="1"/>
  <c r="CC317" i="42" s="1"/>
  <c r="CC318" i="42" s="1"/>
  <c r="CG293" i="42"/>
  <c r="CG314" i="42" s="1"/>
  <c r="CG317" i="42" s="1"/>
  <c r="CG318" i="42" s="1"/>
  <c r="CK293" i="42"/>
  <c r="CO293" i="42"/>
  <c r="CS293" i="42"/>
  <c r="CW293" i="42"/>
  <c r="DA293" i="42"/>
  <c r="Q294" i="42"/>
  <c r="U294" i="42"/>
  <c r="Y294" i="42"/>
  <c r="AO297" i="42"/>
  <c r="AP297" i="42"/>
  <c r="AS297" i="42"/>
  <c r="AW297" i="42"/>
  <c r="BA297" i="42"/>
  <c r="BI297" i="42"/>
  <c r="BM297" i="42"/>
  <c r="BQ297" i="42"/>
  <c r="BU297" i="42"/>
  <c r="BY297" i="42"/>
  <c r="CC297" i="42"/>
  <c r="P301" i="42"/>
  <c r="Q301" i="42"/>
  <c r="T301" i="42"/>
  <c r="U301" i="42"/>
  <c r="X301" i="42"/>
  <c r="Y301" i="42"/>
  <c r="AB301" i="42"/>
  <c r="AC301" i="42"/>
  <c r="AF301" i="42"/>
  <c r="AG301" i="42"/>
  <c r="AK301" i="42"/>
  <c r="AO301" i="42"/>
  <c r="AR301" i="42"/>
  <c r="AS301" i="42"/>
  <c r="AW301" i="42"/>
  <c r="AZ301" i="42"/>
  <c r="BA301" i="42"/>
  <c r="BD301" i="42"/>
  <c r="BE301" i="42"/>
  <c r="BH301" i="42"/>
  <c r="BI301" i="42"/>
  <c r="BL301" i="42"/>
  <c r="BN301" i="42" s="1"/>
  <c r="BP301" i="42"/>
  <c r="BR301" i="42"/>
  <c r="BT301" i="42"/>
  <c r="BV301" i="42"/>
  <c r="BX301" i="42"/>
  <c r="BZ301" i="42"/>
  <c r="CB301" i="42"/>
  <c r="CD301" i="42"/>
  <c r="CF301" i="42"/>
  <c r="CH301" i="42"/>
  <c r="CN301" i="42"/>
  <c r="CP301" i="42"/>
  <c r="CR301" i="42"/>
  <c r="CT301" i="42"/>
  <c r="CV301" i="42"/>
  <c r="CX301" i="42"/>
  <c r="CZ301" i="42"/>
  <c r="DB301" i="42"/>
  <c r="DJ301" i="42"/>
  <c r="DJ302" i="42" s="1"/>
  <c r="DN301" i="42"/>
  <c r="DN302" i="42" s="1"/>
  <c r="T303" i="42"/>
  <c r="CS302" i="42"/>
  <c r="CW302" i="42"/>
  <c r="DA302" i="42"/>
  <c r="P303" i="42"/>
  <c r="Q303" i="42"/>
  <c r="U303" i="42"/>
  <c r="X303" i="42"/>
  <c r="Y303" i="42"/>
  <c r="AB303" i="42"/>
  <c r="AC303" i="42"/>
  <c r="AF303" i="42"/>
  <c r="AH303" i="42"/>
  <c r="AR303" i="42"/>
  <c r="AT303" i="42"/>
  <c r="AZ303" i="42"/>
  <c r="BA303" i="42"/>
  <c r="BD303" i="42"/>
  <c r="BE303" i="42"/>
  <c r="BH303" i="42"/>
  <c r="BI303" i="42"/>
  <c r="BL303" i="42"/>
  <c r="BM303" i="42"/>
  <c r="BP303" i="42"/>
  <c r="BQ303" i="42"/>
  <c r="BT303" i="42"/>
  <c r="BU303" i="42"/>
  <c r="BX303" i="42"/>
  <c r="BY303" i="42"/>
  <c r="CB303" i="42"/>
  <c r="CC303" i="42"/>
  <c r="CF303" i="42"/>
  <c r="CG303" i="42"/>
  <c r="CK303" i="42"/>
  <c r="CN303" i="42"/>
  <c r="CR303" i="42"/>
  <c r="CV303" i="42"/>
  <c r="CZ303" i="42"/>
  <c r="P306" i="42"/>
  <c r="Q306" i="42"/>
  <c r="X306" i="42"/>
  <c r="Y306" i="42"/>
  <c r="AB306" i="42"/>
  <c r="AC306" i="42"/>
  <c r="AF306" i="42"/>
  <c r="AG306" i="42"/>
  <c r="AJ306" i="42"/>
  <c r="AK306" i="42"/>
  <c r="AN306" i="42"/>
  <c r="AO306" i="42"/>
  <c r="AR306" i="42"/>
  <c r="AS306" i="42"/>
  <c r="AV306" i="42"/>
  <c r="AW306" i="42"/>
  <c r="AZ306" i="42"/>
  <c r="BD306" i="42"/>
  <c r="BE306" i="42"/>
  <c r="BH306" i="42"/>
  <c r="BI306" i="42"/>
  <c r="BL306" i="42"/>
  <c r="BM306" i="42"/>
  <c r="BP306" i="42"/>
  <c r="BR306" i="42" s="1"/>
  <c r="BT306" i="42"/>
  <c r="BV306" i="42" s="1"/>
  <c r="BX306" i="42"/>
  <c r="BZ306" i="42" s="1"/>
  <c r="CB306" i="42"/>
  <c r="CD306" i="42" s="1"/>
  <c r="CF306" i="42"/>
  <c r="CH306" i="42" s="1"/>
  <c r="CJ306" i="42"/>
  <c r="CL306" i="42" s="1"/>
  <c r="CN306" i="42"/>
  <c r="CP306" i="42" s="1"/>
  <c r="CR306" i="42"/>
  <c r="CT306" i="42" s="1"/>
  <c r="CV306" i="42"/>
  <c r="CX306" i="42" s="1"/>
  <c r="CZ306" i="42"/>
  <c r="DJ306" i="42"/>
  <c r="DN306" i="42"/>
  <c r="P308" i="42"/>
  <c r="Q308" i="42"/>
  <c r="X308" i="42"/>
  <c r="Y308" i="42"/>
  <c r="AB308" i="42"/>
  <c r="AC308" i="42"/>
  <c r="AF308" i="42"/>
  <c r="AH308" i="42"/>
  <c r="AJ308" i="42"/>
  <c r="AL308" i="42"/>
  <c r="AN308" i="42"/>
  <c r="AP308" i="42"/>
  <c r="AR308" i="42"/>
  <c r="AT308" i="42"/>
  <c r="AV308" i="42"/>
  <c r="AX308" i="42"/>
  <c r="AZ308" i="42"/>
  <c r="BA308" i="42"/>
  <c r="BD308" i="42"/>
  <c r="BE308" i="42"/>
  <c r="BI308" i="42"/>
  <c r="BL308" i="42"/>
  <c r="BP308" i="42"/>
  <c r="BR308" i="42" s="1"/>
  <c r="BT308" i="42"/>
  <c r="BV308" i="42" s="1"/>
  <c r="BX308" i="42"/>
  <c r="BZ308" i="42" s="1"/>
  <c r="CB308" i="42"/>
  <c r="CD308" i="42" s="1"/>
  <c r="CF308" i="42"/>
  <c r="CH308" i="42" s="1"/>
  <c r="CJ308" i="42"/>
  <c r="CL308" i="42" s="1"/>
  <c r="CN308" i="42"/>
  <c r="CP308" i="42" s="1"/>
  <c r="CR308" i="42"/>
  <c r="CT308" i="42" s="1"/>
  <c r="CV308" i="42"/>
  <c r="CX308" i="42" s="1"/>
  <c r="CZ308" i="42"/>
  <c r="DB308" i="42" s="1"/>
  <c r="BN311" i="42"/>
  <c r="BR311" i="42"/>
  <c r="P312" i="42"/>
  <c r="Q312" i="42"/>
  <c r="T312" i="42"/>
  <c r="T315" i="42" s="1"/>
  <c r="U312" i="42"/>
  <c r="X312" i="42"/>
  <c r="X315" i="42" s="1"/>
  <c r="Y312" i="42"/>
  <c r="Y315" i="42" s="1"/>
  <c r="AB312" i="42"/>
  <c r="AB315" i="42" s="1"/>
  <c r="AC312" i="42"/>
  <c r="AF312" i="42"/>
  <c r="AF315" i="42" s="1"/>
  <c r="AG312" i="42"/>
  <c r="AG315" i="42" s="1"/>
  <c r="AJ312" i="42"/>
  <c r="AJ315" i="42" s="1"/>
  <c r="AK312" i="42"/>
  <c r="AK315" i="42" s="1"/>
  <c r="AN312" i="42"/>
  <c r="AN315" i="42" s="1"/>
  <c r="AO312" i="42"/>
  <c r="AO315" i="42" s="1"/>
  <c r="AR312" i="42"/>
  <c r="AR315" i="42" s="1"/>
  <c r="AS312" i="42"/>
  <c r="AS315" i="42" s="1"/>
  <c r="AV312" i="42"/>
  <c r="AW312" i="42"/>
  <c r="AW315" i="42" s="1"/>
  <c r="AZ312" i="42"/>
  <c r="AZ315" i="42" s="1"/>
  <c r="BD312" i="42"/>
  <c r="BE312" i="42"/>
  <c r="BE315" i="42" s="1"/>
  <c r="BH312" i="42"/>
  <c r="BH315" i="42" s="1"/>
  <c r="BJ312" i="42"/>
  <c r="BJ315" i="42" s="1"/>
  <c r="BL312" i="42"/>
  <c r="BL315" i="42" s="1"/>
  <c r="BN312" i="42"/>
  <c r="BP312" i="42"/>
  <c r="BP315" i="42" s="1"/>
  <c r="BR312" i="42"/>
  <c r="BT312" i="42"/>
  <c r="BV312" i="42"/>
  <c r="BX312" i="42"/>
  <c r="BZ312" i="42"/>
  <c r="BZ320" i="42" s="1"/>
  <c r="CD312" i="42"/>
  <c r="CD320" i="42" s="1"/>
  <c r="CK312" i="42"/>
  <c r="CR312" i="42"/>
  <c r="CR314" i="42" s="1"/>
  <c r="CR317" i="42" s="1"/>
  <c r="CR318" i="42" s="1"/>
  <c r="CV312" i="42"/>
  <c r="CV314" i="42" s="1"/>
  <c r="CZ312" i="42"/>
  <c r="CZ314" i="42" s="1"/>
  <c r="CZ317" i="42" s="1"/>
  <c r="P314" i="42"/>
  <c r="Q314" i="42"/>
  <c r="T314" i="42"/>
  <c r="U314" i="42"/>
  <c r="X314" i="42"/>
  <c r="Y314" i="42"/>
  <c r="AB314" i="42"/>
  <c r="AC314" i="42"/>
  <c r="AF314" i="42"/>
  <c r="AH314" i="42"/>
  <c r="AJ314" i="42"/>
  <c r="AL314" i="42"/>
  <c r="AN314" i="42"/>
  <c r="AR314" i="42"/>
  <c r="AV314" i="42"/>
  <c r="AX314" i="42"/>
  <c r="AZ314" i="42"/>
  <c r="BB314" i="42"/>
  <c r="BD314" i="42"/>
  <c r="BD317" i="42" s="1"/>
  <c r="BF314" i="42"/>
  <c r="BH314" i="42"/>
  <c r="BH313" i="42" s="1"/>
  <c r="BJ314" i="42"/>
  <c r="BJ313" i="42" s="1"/>
  <c r="BL314" i="42"/>
  <c r="BL313" i="42" s="1"/>
  <c r="BN314" i="42"/>
  <c r="BN313" i="42" s="1"/>
  <c r="BP314" i="42"/>
  <c r="BP313" i="42" s="1"/>
  <c r="BR314" i="42"/>
  <c r="BZ314" i="42"/>
  <c r="CD314" i="42"/>
  <c r="CD317" i="42" s="1"/>
  <c r="CD319" i="42" s="1"/>
  <c r="CH314" i="42"/>
  <c r="CH317" i="42" s="1"/>
  <c r="CH319" i="42" s="1"/>
  <c r="CL314" i="42"/>
  <c r="CL317" i="42" s="1"/>
  <c r="CL319" i="42" s="1"/>
  <c r="CP314" i="42"/>
  <c r="CP317" i="42" s="1"/>
  <c r="CP319" i="42" s="1"/>
  <c r="BT314" i="42"/>
  <c r="BT317" i="42" s="1"/>
  <c r="BT318" i="42" s="1"/>
  <c r="BX314" i="42"/>
  <c r="BD319" i="42"/>
  <c r="BH319" i="42"/>
  <c r="BL319" i="42"/>
  <c r="BP319" i="42"/>
  <c r="BD320" i="42"/>
  <c r="BH320" i="42"/>
  <c r="BL320" i="42"/>
  <c r="BP320" i="42"/>
  <c r="P325" i="42"/>
  <c r="P326" i="42" s="1"/>
  <c r="T325" i="42"/>
  <c r="T326" i="42" s="1"/>
  <c r="X325" i="42"/>
  <c r="X326" i="42" s="1"/>
  <c r="AB325" i="42"/>
  <c r="AB326" i="42" s="1"/>
  <c r="AF325" i="42"/>
  <c r="AN325" i="42"/>
  <c r="AN336" i="42"/>
  <c r="AO331" i="42" s="1"/>
  <c r="AP331" i="42"/>
  <c r="AO336" i="42"/>
  <c r="AR336" i="42"/>
  <c r="AS331" i="42" s="1"/>
  <c r="AS336" i="42"/>
  <c r="AV331" i="42" s="1"/>
  <c r="AV336" i="42"/>
  <c r="AW331" i="42" s="1"/>
  <c r="AW336" i="42"/>
  <c r="AZ331" i="42" s="1"/>
  <c r="BB331" i="42" s="1"/>
  <c r="AZ336" i="42"/>
  <c r="BA336" i="42"/>
  <c r="BD331" i="42" s="1"/>
  <c r="BF331" i="42" s="1"/>
  <c r="BD336" i="42"/>
  <c r="BE331" i="42" s="1"/>
  <c r="BE336" i="42"/>
  <c r="BH336" i="42"/>
  <c r="BI331" i="42" s="1"/>
  <c r="BI336" i="42"/>
  <c r="BL331" i="42" s="1"/>
  <c r="BL336" i="42"/>
  <c r="BM331" i="42" s="1"/>
  <c r="BM336" i="42"/>
  <c r="BP331" i="42" s="1"/>
  <c r="BP336" i="42"/>
  <c r="BQ336" i="42"/>
  <c r="BT331" i="42" s="1"/>
  <c r="BT336" i="42"/>
  <c r="BU331" i="42" s="1"/>
  <c r="BU336" i="42"/>
  <c r="BX336" i="42"/>
  <c r="BY331" i="42" s="1"/>
  <c r="BY336" i="42"/>
  <c r="CB331" i="42" s="1"/>
  <c r="CB336" i="42"/>
  <c r="CC331" i="42" s="1"/>
  <c r="CC332" i="42"/>
  <c r="CD332" i="42" s="1"/>
  <c r="CC334" i="42"/>
  <c r="CD334" i="42" s="1"/>
  <c r="CF336" i="42"/>
  <c r="CG331" i="42" s="1"/>
  <c r="CG332" i="42"/>
  <c r="CH332" i="42" s="1"/>
  <c r="CG334" i="42"/>
  <c r="CH334" i="42" s="1"/>
  <c r="CJ336" i="42"/>
  <c r="CK331" i="42" s="1"/>
  <c r="CK332" i="42"/>
  <c r="CK334" i="42"/>
  <c r="CL334" i="42" s="1"/>
  <c r="CN336" i="42"/>
  <c r="CO332" i="42"/>
  <c r="CP332" i="42" s="1"/>
  <c r="CO334" i="42"/>
  <c r="CP334" i="42" s="1"/>
  <c r="CR336" i="42"/>
  <c r="CS331" i="42" s="1"/>
  <c r="CS332" i="42"/>
  <c r="CT332" i="42" s="1"/>
  <c r="CS334" i="42"/>
  <c r="CT334" i="42" s="1"/>
  <c r="CV336" i="42"/>
  <c r="CW331" i="42" s="1"/>
  <c r="CW332" i="42"/>
  <c r="CX332" i="42" s="1"/>
  <c r="CW334" i="42"/>
  <c r="CX334" i="42" s="1"/>
  <c r="AP332" i="42"/>
  <c r="AT332" i="42"/>
  <c r="AX332" i="42"/>
  <c r="BB332" i="42"/>
  <c r="BB348" i="42" s="1"/>
  <c r="BE332" i="42"/>
  <c r="BE348" i="42" s="1"/>
  <c r="BI332" i="42"/>
  <c r="BI348" i="42" s="1"/>
  <c r="BM332" i="42"/>
  <c r="BM348" i="42" s="1"/>
  <c r="BQ332" i="42"/>
  <c r="BQ348" i="42" s="1"/>
  <c r="BU332" i="42"/>
  <c r="BU348" i="42" s="1"/>
  <c r="BY332" i="42"/>
  <c r="BY348" i="42" s="1"/>
  <c r="AP333" i="42"/>
  <c r="AT333" i="42"/>
  <c r="AX333" i="42"/>
  <c r="BB333" i="42"/>
  <c r="BH333" i="42"/>
  <c r="BJ333" i="42"/>
  <c r="BM333" i="42"/>
  <c r="BQ333" i="42"/>
  <c r="BU333" i="42"/>
  <c r="BY333" i="42"/>
  <c r="CD333" i="42"/>
  <c r="CH333" i="42"/>
  <c r="CL333" i="42"/>
  <c r="CP333" i="42"/>
  <c r="CT333" i="42"/>
  <c r="CX333" i="42"/>
  <c r="DB333" i="42"/>
  <c r="DJ333" i="42"/>
  <c r="DN333" i="42"/>
  <c r="AT334" i="42"/>
  <c r="AW334" i="42"/>
  <c r="AX334" i="42" s="1"/>
  <c r="AZ334" i="42"/>
  <c r="BA334" i="42" s="1"/>
  <c r="BF334" i="42"/>
  <c r="BH334" i="42"/>
  <c r="BH353" i="42" s="1"/>
  <c r="BJ334" i="42"/>
  <c r="BJ353" i="42" s="1"/>
  <c r="BN334" i="42"/>
  <c r="BQ334" i="42"/>
  <c r="BQ353" i="42" s="1"/>
  <c r="BU334" i="42"/>
  <c r="BY334" i="42"/>
  <c r="BY353" i="42" s="1"/>
  <c r="DJ335" i="42"/>
  <c r="DN335" i="42"/>
  <c r="AN344" i="42"/>
  <c r="AO339" i="42" s="1"/>
  <c r="AO344" i="42" s="1"/>
  <c r="AR339" i="42" s="1"/>
  <c r="AT339" i="42" s="1"/>
  <c r="AP339" i="42"/>
  <c r="AT342" i="42"/>
  <c r="AS342" i="42" s="1"/>
  <c r="AS355" i="42" s="1"/>
  <c r="AV343" i="42"/>
  <c r="AX342" i="42"/>
  <c r="AW342" i="42" s="1"/>
  <c r="AW355" i="42" s="1"/>
  <c r="AX343" i="42"/>
  <c r="AZ343" i="42"/>
  <c r="BA340" i="42"/>
  <c r="BB340" i="42" s="1"/>
  <c r="BB342" i="42"/>
  <c r="BB341" i="42"/>
  <c r="BD342" i="42"/>
  <c r="BD355" i="42" s="1"/>
  <c r="BD343" i="42"/>
  <c r="BE340" i="42"/>
  <c r="BE350" i="42" s="1"/>
  <c r="BF342" i="42"/>
  <c r="BF343" i="42"/>
  <c r="BH342" i="42"/>
  <c r="BH355" i="42" s="1"/>
  <c r="BH343" i="42"/>
  <c r="BI340" i="42"/>
  <c r="BI350" i="42" s="1"/>
  <c r="BJ342" i="42"/>
  <c r="BJ343" i="42"/>
  <c r="BL342" i="42"/>
  <c r="BL355" i="42" s="1"/>
  <c r="BM340" i="42"/>
  <c r="BM350" i="42" s="1"/>
  <c r="BN342" i="42"/>
  <c r="BM343" i="42"/>
  <c r="BP342" i="42"/>
  <c r="BP355" i="42" s="1"/>
  <c r="BP343" i="42"/>
  <c r="BQ343" i="42" s="1"/>
  <c r="BQ340" i="42"/>
  <c r="BQ350" i="42" s="1"/>
  <c r="BR342" i="42"/>
  <c r="BU339" i="42"/>
  <c r="BU345" i="42" s="1"/>
  <c r="BX339" i="42"/>
  <c r="BZ339" i="42" s="1"/>
  <c r="BY339" i="42"/>
  <c r="BY345" i="42" s="1"/>
  <c r="CB339" i="42"/>
  <c r="CC339" i="42"/>
  <c r="CC345" i="42" s="1"/>
  <c r="CF339" i="42"/>
  <c r="CF343" i="42" s="1"/>
  <c r="CG339" i="42"/>
  <c r="CG345" i="42" s="1"/>
  <c r="CJ339" i="42"/>
  <c r="CK339" i="42"/>
  <c r="CK343" i="42" s="1"/>
  <c r="CO339" i="42"/>
  <c r="CP339" i="42"/>
  <c r="CS339" i="42"/>
  <c r="CT339" i="42"/>
  <c r="CW339" i="42"/>
  <c r="CW345" i="42" s="1"/>
  <c r="CX345" i="42" s="1"/>
  <c r="CX339" i="42"/>
  <c r="DA339" i="42"/>
  <c r="DA343" i="42" s="1"/>
  <c r="DB343" i="42" s="1"/>
  <c r="DB339" i="42"/>
  <c r="DB344" i="42"/>
  <c r="DI340" i="42"/>
  <c r="DI342" i="42"/>
  <c r="DL340" i="42"/>
  <c r="DL342" i="42"/>
  <c r="AP340" i="42"/>
  <c r="AT340" i="42"/>
  <c r="AX340" i="42"/>
  <c r="BV340" i="42"/>
  <c r="BZ340" i="42"/>
  <c r="CD340" i="42"/>
  <c r="CH340" i="42"/>
  <c r="CL340" i="42"/>
  <c r="CP340" i="42"/>
  <c r="CT340" i="42"/>
  <c r="CX340" i="42"/>
  <c r="DB340" i="42"/>
  <c r="DM340" i="42"/>
  <c r="AP341" i="42"/>
  <c r="AT341" i="42"/>
  <c r="AX341" i="42"/>
  <c r="BF341" i="42"/>
  <c r="BJ341" i="42"/>
  <c r="BN341" i="42"/>
  <c r="BR341" i="42"/>
  <c r="BV341" i="42"/>
  <c r="BZ341" i="42"/>
  <c r="CD341" i="42"/>
  <c r="CH341" i="42"/>
  <c r="CL341" i="42"/>
  <c r="CP341" i="42"/>
  <c r="CT341" i="42"/>
  <c r="CX341" i="42"/>
  <c r="DB341" i="42"/>
  <c r="DJ341" i="42"/>
  <c r="DN341" i="42"/>
  <c r="AP342" i="42"/>
  <c r="BT342" i="42"/>
  <c r="BU342" i="42"/>
  <c r="BU355" i="42" s="1"/>
  <c r="BX342" i="42"/>
  <c r="BY342" i="42"/>
  <c r="CB342" i="42"/>
  <c r="CC342" i="42"/>
  <c r="CG342" i="42"/>
  <c r="CH342" i="42" s="1"/>
  <c r="CL342" i="42"/>
  <c r="CP342" i="42"/>
  <c r="CT342" i="42"/>
  <c r="CX342" i="42"/>
  <c r="DB342" i="42"/>
  <c r="DM342" i="42"/>
  <c r="AP343" i="42"/>
  <c r="AT343" i="42"/>
  <c r="CO344" i="42"/>
  <c r="CS344" i="42"/>
  <c r="DJ343" i="42"/>
  <c r="DN343" i="42"/>
  <c r="BV344" i="42"/>
  <c r="BZ344" i="42"/>
  <c r="CD344" i="42"/>
  <c r="CH344" i="42"/>
  <c r="CL344" i="42"/>
  <c r="CX344" i="42"/>
  <c r="AN348" i="42"/>
  <c r="AO348" i="42"/>
  <c r="AR348" i="42"/>
  <c r="AS348" i="42"/>
  <c r="AV348" i="42"/>
  <c r="AW348" i="42"/>
  <c r="AZ348" i="42"/>
  <c r="BA348" i="42"/>
  <c r="BD348" i="42"/>
  <c r="BF348" i="42"/>
  <c r="BH348" i="42"/>
  <c r="BL348" i="42"/>
  <c r="BP348" i="42"/>
  <c r="BT348" i="42"/>
  <c r="BX348" i="42"/>
  <c r="CB348" i="42"/>
  <c r="CD348" i="42" s="1"/>
  <c r="CF348" i="42"/>
  <c r="CJ348" i="42"/>
  <c r="CL348" i="42" s="1"/>
  <c r="CP348" i="42"/>
  <c r="CT348" i="42"/>
  <c r="CX348" i="42"/>
  <c r="DB348" i="42"/>
  <c r="DJ348" i="42"/>
  <c r="DN348" i="42"/>
  <c r="AO350" i="42"/>
  <c r="AV350" i="42"/>
  <c r="BD350" i="42"/>
  <c r="BH350" i="42"/>
  <c r="BL350" i="42"/>
  <c r="BL349" i="42" s="1"/>
  <c r="BP350" i="42"/>
  <c r="BT350" i="42"/>
  <c r="BU350" i="42"/>
  <c r="BX350" i="42"/>
  <c r="BY350" i="42"/>
  <c r="CB350" i="42"/>
  <c r="CF350" i="42"/>
  <c r="CH350" i="42" s="1"/>
  <c r="CJ350" i="42"/>
  <c r="CL350" i="42" s="1"/>
  <c r="AN350" i="42"/>
  <c r="AR350" i="42"/>
  <c r="AS350" i="42"/>
  <c r="AW350" i="42"/>
  <c r="CP350" i="42"/>
  <c r="CT350" i="42"/>
  <c r="CX350" i="42"/>
  <c r="DB350" i="42"/>
  <c r="DJ350" i="42"/>
  <c r="DN350" i="42"/>
  <c r="AN353" i="42"/>
  <c r="AO353" i="42"/>
  <c r="AR353" i="42"/>
  <c r="AS353" i="42"/>
  <c r="AV353" i="42"/>
  <c r="BD353" i="42"/>
  <c r="BL353" i="42"/>
  <c r="BP353" i="42"/>
  <c r="BR353" i="42"/>
  <c r="BT353" i="42"/>
  <c r="BV353" i="42"/>
  <c r="BX353" i="42"/>
  <c r="BZ353" i="42"/>
  <c r="CB353" i="42"/>
  <c r="CD353" i="42" s="1"/>
  <c r="CF353" i="42"/>
  <c r="CH353" i="42" s="1"/>
  <c r="CJ353" i="42"/>
  <c r="CL353" i="42" s="1"/>
  <c r="CP353" i="42"/>
  <c r="CT353" i="42"/>
  <c r="CX353" i="42"/>
  <c r="DB353" i="42"/>
  <c r="DJ353" i="42"/>
  <c r="DN353" i="42"/>
  <c r="AO355" i="42"/>
  <c r="AR355" i="42"/>
  <c r="AV355" i="42"/>
  <c r="AZ355" i="42"/>
  <c r="CF355" i="42"/>
  <c r="CH355" i="42" s="1"/>
  <c r="CJ355" i="42"/>
  <c r="AN355" i="42"/>
  <c r="CP355" i="42"/>
  <c r="CT355" i="42"/>
  <c r="CX355" i="42"/>
  <c r="DB355" i="42"/>
  <c r="DJ355" i="42"/>
  <c r="DN355" i="42"/>
  <c r="AD360" i="42"/>
  <c r="AD367" i="42"/>
  <c r="AH367" i="42"/>
  <c r="AL367" i="42"/>
  <c r="AT367" i="42"/>
  <c r="AX367" i="42"/>
  <c r="BB367" i="42"/>
  <c r="BF367" i="42"/>
  <c r="BJ367" i="42"/>
  <c r="BN367" i="42"/>
  <c r="BR367" i="42"/>
  <c r="BV367" i="42"/>
  <c r="BZ367" i="42"/>
  <c r="CD367" i="42"/>
  <c r="CH367" i="42"/>
  <c r="CL367" i="42"/>
  <c r="CP367" i="42"/>
  <c r="CT367" i="42"/>
  <c r="CX367" i="42"/>
  <c r="DB367" i="42"/>
  <c r="DN367" i="42"/>
  <c r="DN368" i="42"/>
  <c r="AB378" i="42"/>
  <c r="AD374" i="42"/>
  <c r="AF378" i="42"/>
  <c r="AG374" i="42" s="1"/>
  <c r="AJ378" i="42"/>
  <c r="AK374" i="42" s="1"/>
  <c r="AN378" i="42"/>
  <c r="AO374" i="42" s="1"/>
  <c r="AR378" i="42"/>
  <c r="AV378" i="42"/>
  <c r="AV334" i="46" s="1"/>
  <c r="AZ378" i="42"/>
  <c r="AZ334" i="46" s="1"/>
  <c r="BD378" i="42"/>
  <c r="BD334" i="46" s="1"/>
  <c r="BH378" i="42"/>
  <c r="BL378" i="42"/>
  <c r="BM374" i="42" s="1"/>
  <c r="BP378" i="42"/>
  <c r="BQ374" i="42" s="1"/>
  <c r="BT378" i="42"/>
  <c r="BU374" i="42" s="1"/>
  <c r="BX378" i="42"/>
  <c r="CB378" i="42"/>
  <c r="CC374" i="42" s="1"/>
  <c r="CF378" i="42"/>
  <c r="CG374" i="42" s="1"/>
  <c r="CJ378" i="42"/>
  <c r="CK374" i="42" s="1"/>
  <c r="CN378" i="42"/>
  <c r="CR378" i="42"/>
  <c r="CS374" i="42" s="1"/>
  <c r="CS378" i="42" s="1"/>
  <c r="CT375" i="42"/>
  <c r="CT376" i="42"/>
  <c r="CX375" i="42"/>
  <c r="CX376" i="42"/>
  <c r="CX377" i="42"/>
  <c r="DB375" i="42"/>
  <c r="DB376" i="42"/>
  <c r="DB377" i="42"/>
  <c r="DJ375" i="42"/>
  <c r="DJ376" i="42"/>
  <c r="DJ377" i="42"/>
  <c r="AD375" i="42"/>
  <c r="AH375" i="42"/>
  <c r="AL375" i="42"/>
  <c r="AP375" i="42"/>
  <c r="AT375" i="42"/>
  <c r="AX375" i="42"/>
  <c r="BB375" i="42"/>
  <c r="BF375" i="42"/>
  <c r="BJ375" i="42"/>
  <c r="BN375" i="42"/>
  <c r="BR375" i="42"/>
  <c r="BV375" i="42"/>
  <c r="BZ375" i="42"/>
  <c r="CD375" i="42"/>
  <c r="CH375" i="42"/>
  <c r="CL375" i="42"/>
  <c r="CP375" i="42"/>
  <c r="DN375" i="42"/>
  <c r="AD376" i="42"/>
  <c r="AH376" i="42"/>
  <c r="AL376" i="42"/>
  <c r="AP376" i="42"/>
  <c r="AT376" i="42"/>
  <c r="AX376" i="42"/>
  <c r="BB376" i="42"/>
  <c r="BF376" i="42"/>
  <c r="BJ376" i="42"/>
  <c r="BN376" i="42"/>
  <c r="BR376" i="42"/>
  <c r="BV376" i="42"/>
  <c r="BZ376" i="42"/>
  <c r="CD376" i="42"/>
  <c r="CH376" i="42"/>
  <c r="CL376" i="42"/>
  <c r="CP376" i="42"/>
  <c r="DN376" i="42"/>
  <c r="AC378" i="42"/>
  <c r="AG378" i="42"/>
  <c r="AK378" i="42"/>
  <c r="AO378" i="42"/>
  <c r="AO334" i="46" s="1"/>
  <c r="AS378" i="42"/>
  <c r="AS334" i="46" s="1"/>
  <c r="AW378" i="42"/>
  <c r="AW334" i="46" s="1"/>
  <c r="BA378" i="42"/>
  <c r="BA334" i="46" s="1"/>
  <c r="BE378" i="42"/>
  <c r="BE334" i="46" s="1"/>
  <c r="BI378" i="42"/>
  <c r="BM378" i="42"/>
  <c r="BQ378" i="42"/>
  <c r="BU378" i="42"/>
  <c r="BY378" i="42"/>
  <c r="CC378" i="42"/>
  <c r="CG378" i="42"/>
  <c r="CK378" i="42"/>
  <c r="CO378" i="42"/>
  <c r="DN377" i="42"/>
  <c r="AC380" i="42"/>
  <c r="AC387" i="42" s="1"/>
  <c r="AC385" i="42" s="1"/>
  <c r="CP380" i="42"/>
  <c r="CT380" i="42"/>
  <c r="CX380" i="42"/>
  <c r="DB380" i="42"/>
  <c r="DJ380" i="42"/>
  <c r="DN380" i="42"/>
  <c r="AC381" i="42"/>
  <c r="AD381" i="42" s="1"/>
  <c r="AF381" i="42" s="1"/>
  <c r="AG381" i="42" s="1"/>
  <c r="AH381" i="42" s="1"/>
  <c r="AJ381" i="42" s="1"/>
  <c r="AK381" i="42" s="1"/>
  <c r="AL381" i="42" s="1"/>
  <c r="AN381" i="42" s="1"/>
  <c r="AO381" i="42" s="1"/>
  <c r="AP381" i="42" s="1"/>
  <c r="AR381" i="42" s="1"/>
  <c r="AS381" i="42" s="1"/>
  <c r="AT381" i="42" s="1"/>
  <c r="AV381" i="42" s="1"/>
  <c r="AW381" i="42" s="1"/>
  <c r="AX381" i="42" s="1"/>
  <c r="AZ381" i="42" s="1"/>
  <c r="BA381" i="42" s="1"/>
  <c r="BB381" i="42" s="1"/>
  <c r="BD381" i="42" s="1"/>
  <c r="BE381" i="42" s="1"/>
  <c r="BF381" i="42" s="1"/>
  <c r="BH381" i="42" s="1"/>
  <c r="BI381" i="42" s="1"/>
  <c r="BJ381" i="42" s="1"/>
  <c r="BL381" i="42" s="1"/>
  <c r="BM381" i="42" s="1"/>
  <c r="BN381" i="42" s="1"/>
  <c r="BP381" i="42" s="1"/>
  <c r="BQ381" i="42" s="1"/>
  <c r="BR381" i="42" s="1"/>
  <c r="BT381" i="42" s="1"/>
  <c r="BU381" i="42" s="1"/>
  <c r="BV381" i="42" s="1"/>
  <c r="BX381" i="42" s="1"/>
  <c r="BY381" i="42" s="1"/>
  <c r="BZ381" i="42" s="1"/>
  <c r="CB381" i="42" s="1"/>
  <c r="CC381" i="42" s="1"/>
  <c r="CD381" i="42" s="1"/>
  <c r="CF381" i="42" s="1"/>
  <c r="CG381" i="42" s="1"/>
  <c r="CH381" i="42" s="1"/>
  <c r="CJ381" i="42" s="1"/>
  <c r="CK381" i="42" s="1"/>
  <c r="CL381" i="42" s="1"/>
  <c r="CP381" i="42"/>
  <c r="CT381" i="42"/>
  <c r="CX381" i="42"/>
  <c r="DB381" i="42"/>
  <c r="DJ381" i="42"/>
  <c r="DN381" i="42"/>
  <c r="AB382" i="42"/>
  <c r="AC382" i="42" s="1"/>
  <c r="AD382" i="42" s="1"/>
  <c r="CP382" i="42"/>
  <c r="CT382" i="42"/>
  <c r="CX382" i="42"/>
  <c r="DB382" i="42"/>
  <c r="DJ382" i="42"/>
  <c r="DN382" i="42"/>
  <c r="CN383" i="42"/>
  <c r="CO383" i="42" s="1"/>
  <c r="CP383" i="42" s="1"/>
  <c r="CR383" i="42"/>
  <c r="CS383" i="42" s="1"/>
  <c r="CT383" i="42" s="1"/>
  <c r="CV383" i="42"/>
  <c r="CW383" i="42" s="1"/>
  <c r="CX383" i="42" s="1"/>
  <c r="CZ383" i="42"/>
  <c r="DA383" i="42" s="1"/>
  <c r="DB383" i="42" s="1"/>
  <c r="AB387" i="42"/>
  <c r="AB385" i="42" s="1"/>
  <c r="BA386" i="42"/>
  <c r="BE386" i="42"/>
  <c r="BI386" i="42"/>
  <c r="CG388" i="42"/>
  <c r="CK388" i="42"/>
  <c r="CK430" i="42" s="1"/>
  <c r="CO388" i="42"/>
  <c r="CO430" i="42" s="1"/>
  <c r="CS388" i="42"/>
  <c r="CW388" i="42"/>
  <c r="DA388" i="42"/>
  <c r="DB388" i="42" s="1"/>
  <c r="DB430" i="42" s="1"/>
  <c r="DI388" i="42"/>
  <c r="DI430" i="42" s="1"/>
  <c r="DL388" i="42"/>
  <c r="DL726" i="20" s="1"/>
  <c r="DM388" i="42"/>
  <c r="DM430" i="42" s="1"/>
  <c r="AV389" i="42"/>
  <c r="AW389" i="42"/>
  <c r="AZ389" i="42"/>
  <c r="BA389" i="42"/>
  <c r="BD389" i="42"/>
  <c r="BE389" i="42"/>
  <c r="BH389" i="42"/>
  <c r="BI389" i="42"/>
  <c r="BL389" i="42"/>
  <c r="BM389" i="42"/>
  <c r="BP389" i="42"/>
  <c r="BQ389" i="42"/>
  <c r="BT389" i="42"/>
  <c r="BU389" i="42"/>
  <c r="BX389" i="42"/>
  <c r="BY389" i="42"/>
  <c r="CB389" i="42"/>
  <c r="CC389" i="42"/>
  <c r="CF389" i="42"/>
  <c r="CG389" i="42"/>
  <c r="CN389" i="42"/>
  <c r="CR389" i="42"/>
  <c r="CS389" i="42"/>
  <c r="CV389" i="42"/>
  <c r="CW389" i="42"/>
  <c r="CZ389" i="42"/>
  <c r="DA389" i="42"/>
  <c r="BV392" i="42"/>
  <c r="BZ392" i="42"/>
  <c r="CD392" i="42"/>
  <c r="CH392" i="42"/>
  <c r="CL392" i="42"/>
  <c r="CP392" i="42"/>
  <c r="CS392" i="42"/>
  <c r="CS396" i="42" s="1"/>
  <c r="CT392" i="42"/>
  <c r="CW392" i="42"/>
  <c r="CW396" i="42" s="1"/>
  <c r="CX392" i="42"/>
  <c r="DA392" i="42"/>
  <c r="DA396" i="42" s="1"/>
  <c r="BV393" i="42"/>
  <c r="BZ393" i="42"/>
  <c r="CD393" i="42"/>
  <c r="CH393" i="42"/>
  <c r="CL393" i="42"/>
  <c r="CP393" i="42"/>
  <c r="CT393" i="42"/>
  <c r="CX393" i="42"/>
  <c r="BV394" i="42"/>
  <c r="BZ394" i="42"/>
  <c r="CD394" i="42"/>
  <c r="CH394" i="42"/>
  <c r="CL394" i="42"/>
  <c r="CP394" i="42"/>
  <c r="CT394" i="42"/>
  <c r="CX394" i="42"/>
  <c r="BP395" i="42"/>
  <c r="BT395" i="42"/>
  <c r="BU395" i="42"/>
  <c r="BX395" i="42"/>
  <c r="BY395" i="42"/>
  <c r="CB395" i="42"/>
  <c r="CC395" i="42"/>
  <c r="CF395" i="42"/>
  <c r="CG395" i="42"/>
  <c r="CJ395" i="42"/>
  <c r="CK395" i="42"/>
  <c r="CN395" i="42"/>
  <c r="CO395" i="42"/>
  <c r="CR395" i="42"/>
  <c r="CT395" i="42" s="1"/>
  <c r="CV395" i="42"/>
  <c r="CX395" i="42" s="1"/>
  <c r="AB399" i="42"/>
  <c r="AD399" i="42" s="1"/>
  <c r="AB402" i="42"/>
  <c r="AJ402" i="42"/>
  <c r="AK399" i="42" s="1"/>
  <c r="AN402" i="42"/>
  <c r="AO399" i="42" s="1"/>
  <c r="BH402" i="42"/>
  <c r="BL402" i="42"/>
  <c r="BM399" i="42" s="1"/>
  <c r="BP402" i="42"/>
  <c r="BQ399" i="42" s="1"/>
  <c r="BT402" i="42"/>
  <c r="BX402" i="42"/>
  <c r="CB402" i="42"/>
  <c r="CC399" i="42" s="1"/>
  <c r="CF402" i="42"/>
  <c r="CG399" i="42" s="1"/>
  <c r="CJ402" i="42"/>
  <c r="CK399" i="42" s="1"/>
  <c r="CN402" i="42"/>
  <c r="AD400" i="42"/>
  <c r="AH400" i="42"/>
  <c r="AL400" i="42"/>
  <c r="AP400" i="42"/>
  <c r="AT400" i="42"/>
  <c r="AV400" i="42"/>
  <c r="AX400" i="42"/>
  <c r="AZ400" i="42"/>
  <c r="BA400" i="42" s="1"/>
  <c r="BF400" i="42"/>
  <c r="BJ400" i="42"/>
  <c r="BN400" i="42"/>
  <c r="BR400" i="42"/>
  <c r="BV400" i="42"/>
  <c r="BZ400" i="42"/>
  <c r="CD400" i="42"/>
  <c r="CH400" i="42"/>
  <c r="CL400" i="42"/>
  <c r="CP400" i="42"/>
  <c r="AC402" i="42"/>
  <c r="AG402" i="42"/>
  <c r="AK402" i="42"/>
  <c r="BI402" i="42"/>
  <c r="BM402" i="42"/>
  <c r="BQ402" i="42"/>
  <c r="BU402" i="42"/>
  <c r="BY402" i="42"/>
  <c r="CC402" i="42"/>
  <c r="CG402" i="42"/>
  <c r="CK402" i="42"/>
  <c r="CO402" i="42"/>
  <c r="AB419" i="42"/>
  <c r="AB405" i="42" s="1"/>
  <c r="AC419" i="42"/>
  <c r="AC414" i="42" s="1"/>
  <c r="AD416" i="42"/>
  <c r="AF416" i="42" s="1"/>
  <c r="AF419" i="42" s="1"/>
  <c r="AS416" i="42"/>
  <c r="AV405" i="42"/>
  <c r="AV336" i="46" s="1"/>
  <c r="AW419" i="42"/>
  <c r="AZ419" i="42"/>
  <c r="BA405" i="42"/>
  <c r="BA336" i="46" s="1"/>
  <c r="BD405" i="42"/>
  <c r="BD336" i="46" s="1"/>
  <c r="BE405" i="42"/>
  <c r="BH405" i="42"/>
  <c r="BH336" i="46" s="1"/>
  <c r="BI405" i="42"/>
  <c r="BJ405" i="42" s="1"/>
  <c r="BL405" i="42"/>
  <c r="BM405" i="42"/>
  <c r="BN405" i="42" s="1"/>
  <c r="BP405" i="42"/>
  <c r="BQ405" i="42"/>
  <c r="BR405" i="42" s="1"/>
  <c r="BT405" i="42"/>
  <c r="BU405" i="42"/>
  <c r="BV405" i="42" s="1"/>
  <c r="BX405" i="42"/>
  <c r="BY405" i="42"/>
  <c r="BZ405" i="42" s="1"/>
  <c r="CB405" i="42"/>
  <c r="CC405" i="42"/>
  <c r="CD405" i="42" s="1"/>
  <c r="CF405" i="42"/>
  <c r="CG405" i="42"/>
  <c r="CH405" i="42" s="1"/>
  <c r="CJ405" i="42"/>
  <c r="CK405" i="42"/>
  <c r="CL405" i="42" s="1"/>
  <c r="CN405" i="42"/>
  <c r="CO405" i="42"/>
  <c r="CP405" i="42" s="1"/>
  <c r="CR405" i="42"/>
  <c r="CS405" i="42"/>
  <c r="CT405" i="42"/>
  <c r="CV405" i="42"/>
  <c r="CW405" i="42"/>
  <c r="CX405" i="42"/>
  <c r="CZ405" i="42"/>
  <c r="DA405" i="42"/>
  <c r="DB405" i="42"/>
  <c r="DI405" i="42"/>
  <c r="DJ405" i="42"/>
  <c r="DL405" i="42"/>
  <c r="DM405" i="42"/>
  <c r="DN405" i="42"/>
  <c r="AB407" i="42"/>
  <c r="AC407" i="42"/>
  <c r="AG407" i="42"/>
  <c r="AJ407" i="42"/>
  <c r="AK407" i="42"/>
  <c r="AN407" i="42"/>
  <c r="BH407" i="42"/>
  <c r="BI407" i="42"/>
  <c r="BL407" i="42"/>
  <c r="BM407" i="42"/>
  <c r="BP407" i="42"/>
  <c r="BQ407" i="42"/>
  <c r="BT407" i="42"/>
  <c r="BU407" i="42"/>
  <c r="BX407" i="42"/>
  <c r="BY407" i="42"/>
  <c r="CB407" i="42"/>
  <c r="CC407" i="42"/>
  <c r="CF407" i="42"/>
  <c r="CG407" i="42"/>
  <c r="CJ407" i="42"/>
  <c r="CK407" i="42"/>
  <c r="CN407" i="42"/>
  <c r="CO407" i="42"/>
  <c r="CR407" i="42"/>
  <c r="CV407" i="42"/>
  <c r="CZ407" i="42"/>
  <c r="AC411" i="42"/>
  <c r="AV416" i="42"/>
  <c r="BA416" i="42"/>
  <c r="BD416" i="42" s="1"/>
  <c r="BH416" i="42"/>
  <c r="BL416" i="42"/>
  <c r="BP416" i="42"/>
  <c r="AB412" i="42"/>
  <c r="AX416" i="42"/>
  <c r="BF416" i="42"/>
  <c r="BJ416" i="42"/>
  <c r="BN416" i="42"/>
  <c r="BR416" i="42"/>
  <c r="AV414" i="42"/>
  <c r="BA414" i="42"/>
  <c r="BD414" i="42"/>
  <c r="BE414" i="42"/>
  <c r="BE418" i="42" s="1"/>
  <c r="BF418" i="42" s="1"/>
  <c r="BH417" i="42"/>
  <c r="BH414" i="42" s="1"/>
  <c r="BI414" i="42"/>
  <c r="BI418" i="42" s="1"/>
  <c r="BJ418" i="42" s="1"/>
  <c r="BL417" i="42"/>
  <c r="BL414" i="42" s="1"/>
  <c r="BM414" i="42"/>
  <c r="BP417" i="42"/>
  <c r="BP414" i="42" s="1"/>
  <c r="BN417" i="42"/>
  <c r="BQ417" i="42" s="1"/>
  <c r="BT414" i="42"/>
  <c r="BT418" i="42" s="1"/>
  <c r="BX414" i="42"/>
  <c r="BX418" i="42" s="1"/>
  <c r="BY414" i="42"/>
  <c r="CB414" i="42"/>
  <c r="CB418" i="42" s="1"/>
  <c r="CC414" i="42"/>
  <c r="CC423" i="42" s="1"/>
  <c r="CD423" i="42" s="1"/>
  <c r="CF414" i="42"/>
  <c r="CF418" i="42" s="1"/>
  <c r="CG414" i="42"/>
  <c r="CJ414" i="42"/>
  <c r="CJ418" i="42" s="1"/>
  <c r="CK414" i="42"/>
  <c r="CL414" i="42" s="1"/>
  <c r="CN414" i="42"/>
  <c r="CN418" i="42" s="1"/>
  <c r="CO414" i="42"/>
  <c r="CP414" i="42" s="1"/>
  <c r="CR414" i="42"/>
  <c r="CR418" i="42" s="1"/>
  <c r="CS414" i="42"/>
  <c r="CS423" i="42" s="1"/>
  <c r="CT423" i="42" s="1"/>
  <c r="CV414" i="42"/>
  <c r="CV418" i="42" s="1"/>
  <c r="CW414" i="42"/>
  <c r="CX414" i="42" s="1"/>
  <c r="CX418" i="42" s="1"/>
  <c r="CZ414" i="42"/>
  <c r="CZ418" i="42" s="1"/>
  <c r="DA414" i="42"/>
  <c r="DB414" i="42" s="1"/>
  <c r="DB418" i="42" s="1"/>
  <c r="DI414" i="42"/>
  <c r="DL414" i="42"/>
  <c r="DM414" i="42"/>
  <c r="DP423" i="42" s="1"/>
  <c r="BV416" i="42"/>
  <c r="BZ416" i="42"/>
  <c r="CD416" i="42"/>
  <c r="CH416" i="42"/>
  <c r="CL416" i="42"/>
  <c r="CP416" i="42"/>
  <c r="AD417" i="42"/>
  <c r="AH417" i="42"/>
  <c r="AL417" i="42"/>
  <c r="AP417" i="42"/>
  <c r="AT417" i="42"/>
  <c r="AX417" i="42"/>
  <c r="BB417" i="42"/>
  <c r="BF417" i="42"/>
  <c r="BJ417" i="42"/>
  <c r="BZ417" i="42"/>
  <c r="CD417" i="42"/>
  <c r="CH417" i="42"/>
  <c r="CL417" i="42"/>
  <c r="CP417" i="42"/>
  <c r="AD418" i="42"/>
  <c r="AH418" i="42"/>
  <c r="AL418" i="42"/>
  <c r="AP418" i="42"/>
  <c r="AT418" i="42"/>
  <c r="AX418" i="42"/>
  <c r="BB419" i="42"/>
  <c r="BF419" i="42"/>
  <c r="BJ419" i="42"/>
  <c r="BN419" i="42"/>
  <c r="BR419" i="42"/>
  <c r="BV419" i="42"/>
  <c r="BZ419" i="42"/>
  <c r="CD419" i="42"/>
  <c r="CH419" i="42"/>
  <c r="CL419" i="42"/>
  <c r="CP419" i="42"/>
  <c r="AF424" i="42"/>
  <c r="AG424" i="42" s="1"/>
  <c r="AJ424" i="42" s="1"/>
  <c r="AK424" i="42" s="1"/>
  <c r="AN424" i="42" s="1"/>
  <c r="AO424" i="42" s="1"/>
  <c r="AR424" i="42" s="1"/>
  <c r="AS424" i="42" s="1"/>
  <c r="AV424" i="42" s="1"/>
  <c r="AW424" i="42" s="1"/>
  <c r="AV426" i="42"/>
  <c r="AW426" i="42"/>
  <c r="AZ426" i="42"/>
  <c r="BA426" i="42"/>
  <c r="BD426" i="42"/>
  <c r="BE426" i="42"/>
  <c r="BH426" i="42"/>
  <c r="BI426" i="42"/>
  <c r="BL426" i="42"/>
  <c r="BM426" i="42"/>
  <c r="BP426" i="42"/>
  <c r="BQ426" i="42"/>
  <c r="BT426" i="42"/>
  <c r="BU426" i="42"/>
  <c r="BX426" i="42"/>
  <c r="BY426" i="42"/>
  <c r="CB426" i="42"/>
  <c r="CC426" i="42"/>
  <c r="CF426" i="42"/>
  <c r="CG426" i="42"/>
  <c r="CN426" i="42"/>
  <c r="CR426" i="42"/>
  <c r="CS426" i="42"/>
  <c r="CV426" i="42"/>
  <c r="CW426" i="42"/>
  <c r="CZ426" i="42"/>
  <c r="DA426" i="42"/>
  <c r="AB429" i="42"/>
  <c r="AV430" i="42"/>
  <c r="AW430" i="42"/>
  <c r="AX430" i="42"/>
  <c r="AZ430" i="42"/>
  <c r="BA430" i="42"/>
  <c r="BB430" i="42"/>
  <c r="BD430" i="42"/>
  <c r="BE430" i="42"/>
  <c r="BF430" i="42"/>
  <c r="BH430" i="42"/>
  <c r="BI430" i="42"/>
  <c r="BJ430" i="42"/>
  <c r="BL430" i="42"/>
  <c r="BM430" i="42"/>
  <c r="BN430" i="42"/>
  <c r="BP430" i="42"/>
  <c r="BQ430" i="42"/>
  <c r="BR430" i="42"/>
  <c r="BT430" i="42"/>
  <c r="BU430" i="42"/>
  <c r="BV430" i="42"/>
  <c r="BX430" i="42"/>
  <c r="BY430" i="42"/>
  <c r="BZ430" i="42"/>
  <c r="CB430" i="42"/>
  <c r="CC430" i="42"/>
  <c r="CD430" i="42"/>
  <c r="CF430" i="42"/>
  <c r="CH430" i="42"/>
  <c r="CJ430" i="42"/>
  <c r="CL430" i="42"/>
  <c r="CN430" i="42"/>
  <c r="CP430" i="42"/>
  <c r="CR430" i="42"/>
  <c r="CV430" i="42"/>
  <c r="CZ430" i="42"/>
  <c r="AV431" i="42"/>
  <c r="AW431" i="42"/>
  <c r="AZ431" i="42"/>
  <c r="BA431" i="42"/>
  <c r="BD431" i="42"/>
  <c r="BE431" i="42"/>
  <c r="BH431" i="42"/>
  <c r="BI431" i="42"/>
  <c r="BL431" i="42"/>
  <c r="BM431" i="42"/>
  <c r="BP431" i="42"/>
  <c r="BQ431" i="42"/>
  <c r="BT431" i="42"/>
  <c r="BU431" i="42"/>
  <c r="BX431" i="42"/>
  <c r="BY431" i="42"/>
  <c r="CB431" i="42"/>
  <c r="CC431" i="42"/>
  <c r="CF431" i="42"/>
  <c r="CG431" i="42"/>
  <c r="CN431" i="42"/>
  <c r="CR431" i="42"/>
  <c r="CS431" i="42"/>
  <c r="CV431" i="42"/>
  <c r="CW431" i="42"/>
  <c r="CZ431" i="42"/>
  <c r="DA431" i="42"/>
  <c r="AV432" i="42"/>
  <c r="AW432" i="42"/>
  <c r="AZ432" i="42"/>
  <c r="BA432" i="42"/>
  <c r="BD432" i="42"/>
  <c r="BE432" i="42"/>
  <c r="BH432" i="42"/>
  <c r="BI432" i="42"/>
  <c r="BL432" i="42"/>
  <c r="BM432" i="42"/>
  <c r="BP432" i="42"/>
  <c r="BQ432" i="42"/>
  <c r="BT432" i="42"/>
  <c r="BU432" i="42"/>
  <c r="BX432" i="42"/>
  <c r="BY432" i="42"/>
  <c r="CB432" i="42"/>
  <c r="CC432" i="42"/>
  <c r="CF432" i="42"/>
  <c r="CG432" i="42"/>
  <c r="CN432" i="42"/>
  <c r="CR432" i="42"/>
  <c r="CS432" i="42"/>
  <c r="CV432" i="42"/>
  <c r="CW432" i="42"/>
  <c r="CZ432" i="42"/>
  <c r="DA432" i="42"/>
  <c r="AV433" i="42"/>
  <c r="AW433" i="42"/>
  <c r="AX433" i="42"/>
  <c r="AZ433" i="42"/>
  <c r="BA433" i="42"/>
  <c r="BD433" i="42"/>
  <c r="BE433" i="42"/>
  <c r="BH433" i="42"/>
  <c r="BI433" i="42"/>
  <c r="BL433" i="42"/>
  <c r="BM433" i="42"/>
  <c r="BP433" i="42"/>
  <c r="BQ433" i="42"/>
  <c r="BT433" i="42"/>
  <c r="BU433" i="42"/>
  <c r="BX433" i="42"/>
  <c r="BY433" i="42"/>
  <c r="CB433" i="42"/>
  <c r="CC433" i="42"/>
  <c r="CF433" i="42"/>
  <c r="CG433" i="42"/>
  <c r="CH433" i="42"/>
  <c r="CN433" i="42"/>
  <c r="CR433" i="42"/>
  <c r="CS433" i="42"/>
  <c r="CT433" i="42"/>
  <c r="CV433" i="42"/>
  <c r="CW433" i="42"/>
  <c r="CX433" i="42"/>
  <c r="CZ433" i="42"/>
  <c r="DA433" i="42"/>
  <c r="DB433" i="42"/>
  <c r="DI433" i="42"/>
  <c r="DJ433" i="42"/>
  <c r="DL433" i="42"/>
  <c r="DM433" i="42"/>
  <c r="DN433" i="42"/>
  <c r="AV434" i="42"/>
  <c r="AW434" i="42"/>
  <c r="AZ434" i="42"/>
  <c r="BA434" i="42"/>
  <c r="BD434" i="42"/>
  <c r="BE434" i="42"/>
  <c r="BH434" i="42"/>
  <c r="BI434" i="42"/>
  <c r="BL434" i="42"/>
  <c r="BM434" i="42"/>
  <c r="BP434" i="42"/>
  <c r="BQ434" i="42"/>
  <c r="BT434" i="42"/>
  <c r="BU434" i="42"/>
  <c r="BX434" i="42"/>
  <c r="BY434" i="42"/>
  <c r="CB434" i="42"/>
  <c r="CC434" i="42"/>
  <c r="CF434" i="42"/>
  <c r="CG434" i="42"/>
  <c r="CN434" i="42"/>
  <c r="CR434" i="42"/>
  <c r="CS434" i="42"/>
  <c r="CV434" i="42"/>
  <c r="CW434" i="42"/>
  <c r="CZ434" i="42"/>
  <c r="DA434" i="42"/>
  <c r="AV435" i="42"/>
  <c r="AW435" i="42"/>
  <c r="AX435" i="42"/>
  <c r="AZ435" i="42"/>
  <c r="BA435" i="42"/>
  <c r="BB435" i="42"/>
  <c r="BD435" i="42"/>
  <c r="BE435" i="42"/>
  <c r="BF435" i="42"/>
  <c r="BH435" i="42"/>
  <c r="BI435" i="42"/>
  <c r="BJ435" i="42"/>
  <c r="BL435" i="42"/>
  <c r="BM435" i="42"/>
  <c r="BN435" i="42"/>
  <c r="BP435" i="42"/>
  <c r="BQ435" i="42"/>
  <c r="BR435" i="42"/>
  <c r="BT435" i="42"/>
  <c r="BU435" i="42"/>
  <c r="BV435" i="42"/>
  <c r="BX435" i="42"/>
  <c r="BY435" i="42"/>
  <c r="BZ435" i="42"/>
  <c r="CB435" i="42"/>
  <c r="CC435" i="42"/>
  <c r="CD435" i="42"/>
  <c r="CF435" i="42"/>
  <c r="CG435" i="42"/>
  <c r="CH435" i="42"/>
  <c r="CN435" i="42"/>
  <c r="CR435" i="42"/>
  <c r="CS435" i="42"/>
  <c r="CT435" i="42"/>
  <c r="CV435" i="42"/>
  <c r="CW435" i="42"/>
  <c r="CX435" i="42"/>
  <c r="CZ435" i="42"/>
  <c r="DA435" i="42"/>
  <c r="DB435" i="42"/>
  <c r="DI435" i="42"/>
  <c r="DJ435" i="42"/>
  <c r="DL435" i="42"/>
  <c r="DM435" i="42"/>
  <c r="DN435" i="42"/>
  <c r="AV436" i="42"/>
  <c r="AW436" i="42"/>
  <c r="AZ436" i="42"/>
  <c r="BA436" i="42"/>
  <c r="BD436" i="42"/>
  <c r="BE436" i="42"/>
  <c r="BH436" i="42"/>
  <c r="BI436" i="42"/>
  <c r="BL436" i="42"/>
  <c r="BM436" i="42"/>
  <c r="BP436" i="42"/>
  <c r="BQ436" i="42"/>
  <c r="BT436" i="42"/>
  <c r="BU436" i="42"/>
  <c r="BX436" i="42"/>
  <c r="BY436" i="42"/>
  <c r="CB436" i="42"/>
  <c r="CC436" i="42"/>
  <c r="CF436" i="42"/>
  <c r="CG436" i="42"/>
  <c r="CN436" i="42"/>
  <c r="CR436" i="42"/>
  <c r="CS436" i="42"/>
  <c r="CV436" i="42"/>
  <c r="CW436" i="42"/>
  <c r="CZ436" i="42"/>
  <c r="DA436" i="42"/>
  <c r="BX437" i="42"/>
  <c r="BY437" i="42"/>
  <c r="CB437" i="42"/>
  <c r="CC437" i="42"/>
  <c r="CF437" i="42"/>
  <c r="CG437" i="42"/>
  <c r="CN437" i="42"/>
  <c r="CR437" i="42"/>
  <c r="CS437" i="42"/>
  <c r="CV437" i="42"/>
  <c r="CW437" i="42"/>
  <c r="CZ437" i="42"/>
  <c r="DA437" i="42"/>
  <c r="AX438" i="42"/>
  <c r="BB438" i="42"/>
  <c r="BF438" i="42"/>
  <c r="BJ438" i="42"/>
  <c r="BN438" i="42"/>
  <c r="BR438" i="42"/>
  <c r="BV438" i="42"/>
  <c r="BZ438" i="42"/>
  <c r="CD438" i="42"/>
  <c r="CH438" i="42"/>
  <c r="CL438" i="42"/>
  <c r="CP438" i="42"/>
  <c r="CT438" i="42"/>
  <c r="CX438" i="42"/>
  <c r="DB438" i="42"/>
  <c r="DJ438" i="42"/>
  <c r="DN438" i="42"/>
  <c r="P448" i="42"/>
  <c r="R444" i="42"/>
  <c r="T448" i="42"/>
  <c r="U444" i="42" s="1"/>
  <c r="X448" i="42"/>
  <c r="Y444" i="42" s="1"/>
  <c r="AB448" i="42"/>
  <c r="AF448" i="42"/>
  <c r="AG444" i="42" s="1"/>
  <c r="AJ448" i="42"/>
  <c r="AK444" i="42" s="1"/>
  <c r="AN448" i="42"/>
  <c r="AO444" i="42" s="1"/>
  <c r="AR448" i="42"/>
  <c r="AS444" i="42" s="1"/>
  <c r="AV448" i="42"/>
  <c r="AW444" i="42" s="1"/>
  <c r="AZ448" i="42"/>
  <c r="BD448" i="42"/>
  <c r="BE444" i="42" s="1"/>
  <c r="BH448" i="42"/>
  <c r="BI444" i="42" s="1"/>
  <c r="BL448" i="42"/>
  <c r="BM444" i="42" s="1"/>
  <c r="BP448" i="42"/>
  <c r="BT448" i="42"/>
  <c r="BU444" i="42" s="1"/>
  <c r="BX448" i="42"/>
  <c r="BY444" i="42" s="1"/>
  <c r="CB448" i="42"/>
  <c r="CC444" i="42" s="1"/>
  <c r="CF448" i="42"/>
  <c r="CJ448" i="42"/>
  <c r="CK444" i="42" s="1"/>
  <c r="R446" i="42"/>
  <c r="Q448" i="42"/>
  <c r="AC448" i="42"/>
  <c r="AG448" i="42"/>
  <c r="AK448" i="42"/>
  <c r="AO448" i="42"/>
  <c r="AS448" i="42"/>
  <c r="AW448" i="42"/>
  <c r="BA448" i="42"/>
  <c r="BE448" i="42"/>
  <c r="BI448" i="42"/>
  <c r="BM448" i="42"/>
  <c r="BQ448" i="42"/>
  <c r="BU448" i="42"/>
  <c r="BY448" i="42"/>
  <c r="CC448" i="42"/>
  <c r="CG448" i="42"/>
  <c r="CK448" i="42"/>
  <c r="CO448" i="42"/>
  <c r="U448" i="42"/>
  <c r="Y448" i="42"/>
  <c r="BH454" i="42"/>
  <c r="BI454" i="42"/>
  <c r="BL454" i="42"/>
  <c r="BL455" i="42" s="1"/>
  <c r="BM454" i="42"/>
  <c r="BM457" i="42" s="1"/>
  <c r="BP454" i="42"/>
  <c r="BP457" i="42" s="1"/>
  <c r="BQ454" i="42"/>
  <c r="BT454" i="42"/>
  <c r="BU454" i="42"/>
  <c r="BV454" i="42" s="1"/>
  <c r="BX454" i="42"/>
  <c r="BX455" i="42" s="1"/>
  <c r="BY454" i="42"/>
  <c r="CB454" i="42"/>
  <c r="CC454" i="42"/>
  <c r="CC455" i="42" s="1"/>
  <c r="CD455" i="42" s="1"/>
  <c r="CF454" i="42"/>
  <c r="CG454" i="42"/>
  <c r="CH454" i="42" s="1"/>
  <c r="CJ454" i="42"/>
  <c r="CK454" i="42"/>
  <c r="CN454" i="42"/>
  <c r="CN455" i="42" s="1"/>
  <c r="CO454" i="42"/>
  <c r="CR454" i="42"/>
  <c r="CR455" i="42" s="1"/>
  <c r="CS454" i="42"/>
  <c r="CV454" i="42"/>
  <c r="CV455" i="42" s="1"/>
  <c r="CW454" i="42"/>
  <c r="CZ454" i="42"/>
  <c r="DA454" i="42"/>
  <c r="DA455" i="42" s="1"/>
  <c r="DB455" i="42" s="1"/>
  <c r="BJ456" i="42"/>
  <c r="BJ527" i="42" s="1"/>
  <c r="BN456" i="42"/>
  <c r="BN527" i="42" s="1"/>
  <c r="BR456" i="42"/>
  <c r="DC36" i="41" s="1"/>
  <c r="BV456" i="42"/>
  <c r="BV527" i="42" s="1"/>
  <c r="BZ456" i="42"/>
  <c r="BZ486" i="42" s="1"/>
  <c r="CD456" i="42"/>
  <c r="DO36" i="41" s="1"/>
  <c r="CH456" i="42"/>
  <c r="DS36" i="41" s="1"/>
  <c r="CL456" i="42"/>
  <c r="CL527" i="42" s="1"/>
  <c r="CP456" i="42"/>
  <c r="CP486" i="42" s="1"/>
  <c r="CT456" i="42"/>
  <c r="EE36" i="41" s="1"/>
  <c r="CX456" i="42"/>
  <c r="EI36" i="41" s="1"/>
  <c r="DB456" i="42"/>
  <c r="BJ459" i="42"/>
  <c r="BN459" i="42"/>
  <c r="BR459" i="42"/>
  <c r="BV459" i="42"/>
  <c r="BZ459" i="42"/>
  <c r="CD459" i="42"/>
  <c r="CH459" i="42"/>
  <c r="CL459" i="42"/>
  <c r="CP459" i="42"/>
  <c r="CT459" i="42"/>
  <c r="CX459" i="42"/>
  <c r="DB459" i="42"/>
  <c r="DA461" i="42"/>
  <c r="DI461" i="42" s="1"/>
  <c r="DL461" i="42" s="1"/>
  <c r="DM461" i="42" s="1"/>
  <c r="DP461" i="42" s="1"/>
  <c r="DQ461" i="42" s="1"/>
  <c r="BH460" i="42"/>
  <c r="BI460" i="42"/>
  <c r="BJ460" i="42" s="1"/>
  <c r="BL460" i="42"/>
  <c r="BM460" i="42"/>
  <c r="BN460" i="42" s="1"/>
  <c r="BP460" i="42"/>
  <c r="BQ460" i="42"/>
  <c r="BR460" i="42" s="1"/>
  <c r="BT460" i="42"/>
  <c r="BU460" i="42"/>
  <c r="BV460" i="42" s="1"/>
  <c r="BX460" i="42"/>
  <c r="BY460" i="42"/>
  <c r="BZ460" i="42" s="1"/>
  <c r="CB460" i="42"/>
  <c r="CC460" i="42"/>
  <c r="CD460" i="42" s="1"/>
  <c r="CF460" i="42"/>
  <c r="CG460" i="42"/>
  <c r="CH460" i="42" s="1"/>
  <c r="CJ460" i="42"/>
  <c r="CK460" i="42"/>
  <c r="CL460" i="42" s="1"/>
  <c r="CN460" i="42"/>
  <c r="CO460" i="42"/>
  <c r="CP460" i="42" s="1"/>
  <c r="CR460" i="42"/>
  <c r="CS460" i="42"/>
  <c r="CT460" i="42" s="1"/>
  <c r="CV460" i="42"/>
  <c r="CW460" i="42"/>
  <c r="CX460" i="42" s="1"/>
  <c r="CZ460" i="42"/>
  <c r="DA460" i="42"/>
  <c r="DB460" i="42" s="1"/>
  <c r="BH461" i="42"/>
  <c r="BI461" i="42"/>
  <c r="BL461" i="42"/>
  <c r="BM461" i="42"/>
  <c r="BP461" i="42"/>
  <c r="BQ461" i="42"/>
  <c r="BT461" i="42"/>
  <c r="BU461" i="42"/>
  <c r="BX461" i="42"/>
  <c r="BY461" i="42"/>
  <c r="CB461" i="42"/>
  <c r="CC461" i="42"/>
  <c r="CF461" i="42"/>
  <c r="CG461" i="42"/>
  <c r="CJ461" i="42"/>
  <c r="CK461" i="42"/>
  <c r="CN461" i="42"/>
  <c r="CO461" i="42"/>
  <c r="CR461" i="42"/>
  <c r="CS461" i="42"/>
  <c r="CV461" i="42"/>
  <c r="CW461" i="42"/>
  <c r="CZ461" i="42"/>
  <c r="BJ474" i="42"/>
  <c r="BN474" i="42"/>
  <c r="BR474" i="42"/>
  <c r="BV474" i="42"/>
  <c r="BZ474" i="42"/>
  <c r="CD474" i="42"/>
  <c r="CH474" i="42"/>
  <c r="CL474" i="42"/>
  <c r="CP474" i="42"/>
  <c r="CT474" i="42"/>
  <c r="CX474" i="42"/>
  <c r="DB474" i="42"/>
  <c r="BJ475" i="42"/>
  <c r="BN475" i="42"/>
  <c r="BR475" i="42"/>
  <c r="BV475" i="42"/>
  <c r="BZ475" i="42"/>
  <c r="CD475" i="42"/>
  <c r="CH475" i="42"/>
  <c r="CL475" i="42"/>
  <c r="CP475" i="42"/>
  <c r="CT475" i="42"/>
  <c r="CX475" i="42"/>
  <c r="DB475" i="42"/>
  <c r="AP482" i="42"/>
  <c r="AT482" i="42"/>
  <c r="AX482" i="42"/>
  <c r="BB482" i="42"/>
  <c r="BF482" i="42"/>
  <c r="BJ482" i="42"/>
  <c r="BJ498" i="42" s="1"/>
  <c r="BN482" i="42"/>
  <c r="BR482" i="42"/>
  <c r="BV482" i="42"/>
  <c r="BV498" i="42" s="1"/>
  <c r="BZ482" i="42"/>
  <c r="BZ498" i="42" s="1"/>
  <c r="CD482" i="42"/>
  <c r="CH482" i="42"/>
  <c r="CL482" i="42"/>
  <c r="CL498" i="42" s="1"/>
  <c r="CP482" i="42"/>
  <c r="CP498" i="42" s="1"/>
  <c r="CT482" i="42"/>
  <c r="CX482" i="42"/>
  <c r="DB482" i="42"/>
  <c r="DA495" i="42"/>
  <c r="DA494" i="42"/>
  <c r="DA498" i="42"/>
  <c r="AP483" i="42"/>
  <c r="AT483" i="42"/>
  <c r="AX483" i="42"/>
  <c r="BB483" i="42"/>
  <c r="BF483" i="42"/>
  <c r="BJ483" i="42"/>
  <c r="BN483" i="42"/>
  <c r="BN499" i="42" s="1"/>
  <c r="BR483" i="42"/>
  <c r="BR499" i="42" s="1"/>
  <c r="BV483" i="42"/>
  <c r="BV499" i="42" s="1"/>
  <c r="BZ483" i="42"/>
  <c r="CD483" i="42"/>
  <c r="CD499" i="42" s="1"/>
  <c r="CH483" i="42"/>
  <c r="CH499" i="42" s="1"/>
  <c r="CL483" i="42"/>
  <c r="CP483" i="42"/>
  <c r="CT483" i="42"/>
  <c r="CT499" i="42" s="1"/>
  <c r="CX483" i="42"/>
  <c r="CX499" i="42" s="1"/>
  <c r="DB483" i="42"/>
  <c r="DB499" i="42" s="1"/>
  <c r="BT486" i="42"/>
  <c r="BT489" i="42" s="1"/>
  <c r="BU486" i="42"/>
  <c r="BU489" i="42" s="1"/>
  <c r="BX486" i="42"/>
  <c r="BX489" i="42" s="1"/>
  <c r="BY486" i="42"/>
  <c r="CB486" i="42"/>
  <c r="CB489" i="42" s="1"/>
  <c r="CC486" i="42"/>
  <c r="CC489" i="42" s="1"/>
  <c r="CF486" i="42"/>
  <c r="CG486" i="42"/>
  <c r="CG489" i="42" s="1"/>
  <c r="CJ486" i="42"/>
  <c r="CJ489" i="42" s="1"/>
  <c r="DU38" i="41" s="1"/>
  <c r="CK486" i="42"/>
  <c r="CK489" i="42" s="1"/>
  <c r="DV38" i="41" s="1"/>
  <c r="CN486" i="42"/>
  <c r="CO486" i="42"/>
  <c r="CR486" i="42"/>
  <c r="CR489" i="42" s="1"/>
  <c r="EC38" i="41" s="1"/>
  <c r="CS486" i="42"/>
  <c r="CS489" i="42" s="1"/>
  <c r="ED38" i="41" s="1"/>
  <c r="CV486" i="42"/>
  <c r="CW486" i="42"/>
  <c r="CW489" i="42" s="1"/>
  <c r="CZ486" i="42"/>
  <c r="CZ489" i="42" s="1"/>
  <c r="EK38" i="41" s="1"/>
  <c r="DA486" i="42"/>
  <c r="DA489" i="42" s="1"/>
  <c r="EL38" i="41" s="1"/>
  <c r="AP486" i="42"/>
  <c r="AT486" i="42"/>
  <c r="AX486" i="42"/>
  <c r="BB486" i="42"/>
  <c r="BF486" i="42"/>
  <c r="BJ486" i="42"/>
  <c r="BN486" i="42"/>
  <c r="BR486" i="42"/>
  <c r="BH489" i="42"/>
  <c r="BI489" i="42"/>
  <c r="BL489" i="42"/>
  <c r="BM489" i="42"/>
  <c r="BP489" i="42"/>
  <c r="BQ489" i="42"/>
  <c r="BH494" i="42"/>
  <c r="BI494" i="42"/>
  <c r="BL494" i="42"/>
  <c r="BM494" i="42"/>
  <c r="BP494" i="42"/>
  <c r="BQ494" i="42"/>
  <c r="BT494" i="42"/>
  <c r="BU494" i="42"/>
  <c r="BX494" i="42"/>
  <c r="BY494" i="42"/>
  <c r="CB494" i="42"/>
  <c r="CC494" i="42"/>
  <c r="CF494" i="42"/>
  <c r="CG494" i="42"/>
  <c r="CJ494" i="42"/>
  <c r="CK494" i="42"/>
  <c r="CN494" i="42"/>
  <c r="CO494" i="42"/>
  <c r="CR494" i="42"/>
  <c r="CS494" i="42"/>
  <c r="CV494" i="42"/>
  <c r="CW494" i="42"/>
  <c r="CZ494" i="42"/>
  <c r="BH495" i="42"/>
  <c r="BI495" i="42"/>
  <c r="BL495" i="42"/>
  <c r="BM495" i="42"/>
  <c r="BP495" i="42"/>
  <c r="BQ495" i="42"/>
  <c r="BT495" i="42"/>
  <c r="BU495" i="42"/>
  <c r="BX495" i="42"/>
  <c r="BY495" i="42"/>
  <c r="CB495" i="42"/>
  <c r="CC495" i="42"/>
  <c r="CF495" i="42"/>
  <c r="CG495" i="42"/>
  <c r="CJ495" i="42"/>
  <c r="CK495" i="42"/>
  <c r="CN495" i="42"/>
  <c r="CO495" i="42"/>
  <c r="CR495" i="42"/>
  <c r="CS495" i="42"/>
  <c r="CV495" i="42"/>
  <c r="CW495" i="42"/>
  <c r="CZ495" i="42"/>
  <c r="BH498" i="42"/>
  <c r="BI498" i="42"/>
  <c r="BL498" i="42"/>
  <c r="BM498" i="42"/>
  <c r="BP498" i="42"/>
  <c r="BQ498" i="42"/>
  <c r="BT498" i="42"/>
  <c r="BU498" i="42"/>
  <c r="BX498" i="42"/>
  <c r="BY498" i="42"/>
  <c r="CB498" i="42"/>
  <c r="CC498" i="42"/>
  <c r="CF498" i="42"/>
  <c r="CG498" i="42"/>
  <c r="CJ498" i="42"/>
  <c r="CK498" i="42"/>
  <c r="CN498" i="42"/>
  <c r="CO498" i="42"/>
  <c r="CR498" i="42"/>
  <c r="CS498" i="42"/>
  <c r="CV498" i="42"/>
  <c r="CW498" i="42"/>
  <c r="CZ498" i="42"/>
  <c r="BH499" i="42"/>
  <c r="BI499" i="42"/>
  <c r="BL499" i="42"/>
  <c r="BM499" i="42"/>
  <c r="BP499" i="42"/>
  <c r="BQ499" i="42"/>
  <c r="BT499" i="42"/>
  <c r="BU499" i="42"/>
  <c r="BX499" i="42"/>
  <c r="BY499" i="42"/>
  <c r="CB499" i="42"/>
  <c r="CC499" i="42"/>
  <c r="CF499" i="42"/>
  <c r="CG499" i="42"/>
  <c r="CJ499" i="42"/>
  <c r="CK499" i="42"/>
  <c r="CN499" i="42"/>
  <c r="CO499" i="42"/>
  <c r="CR499" i="42"/>
  <c r="CS499" i="42"/>
  <c r="CV499" i="42"/>
  <c r="CW499" i="42"/>
  <c r="CZ499" i="42"/>
  <c r="DA499" i="42"/>
  <c r="P508" i="42"/>
  <c r="Q508" i="42"/>
  <c r="T508" i="42"/>
  <c r="U508" i="42"/>
  <c r="X508" i="42"/>
  <c r="Y508" i="42"/>
  <c r="AB508" i="42"/>
  <c r="AC508" i="42"/>
  <c r="AF508" i="42"/>
  <c r="AG508" i="42"/>
  <c r="AJ508" i="42"/>
  <c r="AK508" i="42"/>
  <c r="AN508" i="42"/>
  <c r="AO508" i="42"/>
  <c r="AR508" i="42"/>
  <c r="AS508" i="42"/>
  <c r="AV508" i="42"/>
  <c r="AW508" i="42"/>
  <c r="AZ508" i="42"/>
  <c r="BA508" i="42"/>
  <c r="BD508" i="42"/>
  <c r="BE508" i="42"/>
  <c r="BH508" i="42"/>
  <c r="BI508" i="42"/>
  <c r="BL508" i="42"/>
  <c r="BM508" i="42"/>
  <c r="BP508" i="42"/>
  <c r="BQ508" i="42"/>
  <c r="BT508" i="42"/>
  <c r="BU508" i="42"/>
  <c r="BX508" i="42"/>
  <c r="BY508" i="42"/>
  <c r="CB508" i="42"/>
  <c r="CC508" i="42"/>
  <c r="CF508" i="42"/>
  <c r="CG508" i="42"/>
  <c r="CJ508" i="42"/>
  <c r="CK508" i="42"/>
  <c r="CN508" i="42"/>
  <c r="CO508" i="42"/>
  <c r="CR508" i="42"/>
  <c r="CS508" i="42"/>
  <c r="CV508" i="42"/>
  <c r="CW508" i="42"/>
  <c r="CZ508" i="42"/>
  <c r="DA508" i="42"/>
  <c r="P509" i="42"/>
  <c r="Q509" i="42"/>
  <c r="T509" i="42"/>
  <c r="U509" i="42"/>
  <c r="Y509" i="42"/>
  <c r="AB509" i="42"/>
  <c r="AC509" i="42"/>
  <c r="AG509" i="42"/>
  <c r="AJ509" i="42"/>
  <c r="AK509" i="42"/>
  <c r="AN509" i="42"/>
  <c r="BH509" i="42"/>
  <c r="BI509" i="42"/>
  <c r="BL509" i="42"/>
  <c r="BM509" i="42"/>
  <c r="BP509" i="42"/>
  <c r="BQ509" i="42"/>
  <c r="BT509" i="42"/>
  <c r="BU509" i="42"/>
  <c r="BX509" i="42"/>
  <c r="BY509" i="42"/>
  <c r="CB509" i="42"/>
  <c r="CC509" i="42"/>
  <c r="CF509" i="42"/>
  <c r="CG509" i="42"/>
  <c r="CJ509" i="42"/>
  <c r="CK509" i="42"/>
  <c r="CN509" i="42"/>
  <c r="CO509" i="42"/>
  <c r="CR509" i="42"/>
  <c r="CS509" i="42"/>
  <c r="CV509" i="42"/>
  <c r="CW509" i="42"/>
  <c r="CZ509" i="42"/>
  <c r="DA509" i="42"/>
  <c r="P511" i="42"/>
  <c r="Q511" i="42"/>
  <c r="T511" i="42"/>
  <c r="U511" i="42"/>
  <c r="X511" i="42"/>
  <c r="Y511" i="42"/>
  <c r="AB511" i="42"/>
  <c r="AC511" i="42"/>
  <c r="AF511" i="42"/>
  <c r="AG511" i="42"/>
  <c r="AJ511" i="42"/>
  <c r="AK511" i="42"/>
  <c r="AN511" i="42"/>
  <c r="AO511" i="42"/>
  <c r="AR511" i="42"/>
  <c r="AS511" i="42"/>
  <c r="AV511" i="42"/>
  <c r="AW511" i="42"/>
  <c r="AZ511" i="42"/>
  <c r="BA511" i="42"/>
  <c r="BD511" i="42"/>
  <c r="BE511" i="42"/>
  <c r="BH511" i="42"/>
  <c r="BI511" i="42"/>
  <c r="BL511" i="42"/>
  <c r="BM511" i="42"/>
  <c r="BP511" i="42"/>
  <c r="BQ511" i="42"/>
  <c r="BT511" i="42"/>
  <c r="BU511" i="42"/>
  <c r="BX511" i="42"/>
  <c r="BY511" i="42"/>
  <c r="CB511" i="42"/>
  <c r="CC511" i="42"/>
  <c r="CF511" i="42"/>
  <c r="CG511" i="42"/>
  <c r="CJ511" i="42"/>
  <c r="CK511" i="42"/>
  <c r="CN511" i="42"/>
  <c r="CO511" i="42"/>
  <c r="CR511" i="42"/>
  <c r="CS511" i="42"/>
  <c r="CV511" i="42"/>
  <c r="CW511" i="42"/>
  <c r="CZ511" i="42"/>
  <c r="DA511" i="42"/>
  <c r="P512" i="42"/>
  <c r="Q512" i="42"/>
  <c r="T512" i="42"/>
  <c r="U512" i="42"/>
  <c r="X512" i="42"/>
  <c r="Y512" i="42"/>
  <c r="AB512" i="42"/>
  <c r="AC512" i="42"/>
  <c r="AF512" i="42"/>
  <c r="AG512" i="42"/>
  <c r="AJ512" i="42"/>
  <c r="AK512" i="42"/>
  <c r="AN512" i="42"/>
  <c r="AO512" i="42"/>
  <c r="AR512" i="42"/>
  <c r="AS512" i="42"/>
  <c r="AV512" i="42"/>
  <c r="AW512" i="42"/>
  <c r="AZ512" i="42"/>
  <c r="BA512" i="42"/>
  <c r="BD512" i="42"/>
  <c r="BE512" i="42"/>
  <c r="BH512" i="42"/>
  <c r="BI512" i="42"/>
  <c r="BL512" i="42"/>
  <c r="BM512" i="42"/>
  <c r="BP512" i="42"/>
  <c r="BQ512" i="42"/>
  <c r="BT512" i="42"/>
  <c r="BU512" i="42"/>
  <c r="BX512" i="42"/>
  <c r="BY512" i="42"/>
  <c r="CB512" i="42"/>
  <c r="CC512" i="42"/>
  <c r="CF512" i="42"/>
  <c r="CG512" i="42"/>
  <c r="CJ512" i="42"/>
  <c r="CK512" i="42"/>
  <c r="CN512" i="42"/>
  <c r="CO512" i="42"/>
  <c r="CR512" i="42"/>
  <c r="CS512" i="42"/>
  <c r="CV512" i="42"/>
  <c r="CW512" i="42"/>
  <c r="CZ512" i="42"/>
  <c r="DA512" i="42"/>
  <c r="P513" i="42"/>
  <c r="Q513" i="42"/>
  <c r="T513" i="42"/>
  <c r="U513" i="42"/>
  <c r="X513" i="42"/>
  <c r="Y513" i="42"/>
  <c r="AB513" i="42"/>
  <c r="AC513" i="42"/>
  <c r="AF513" i="42"/>
  <c r="AG513" i="42"/>
  <c r="AJ513" i="42"/>
  <c r="AK513" i="42"/>
  <c r="AN513" i="42"/>
  <c r="AO513" i="42"/>
  <c r="AR513" i="42"/>
  <c r="AS513" i="42"/>
  <c r="AV513" i="42"/>
  <c r="AW513" i="42"/>
  <c r="AZ513" i="42"/>
  <c r="BA513" i="42"/>
  <c r="BD513" i="42"/>
  <c r="BE513" i="42"/>
  <c r="BH513" i="42"/>
  <c r="BI513" i="42"/>
  <c r="BL513" i="42"/>
  <c r="BM513" i="42"/>
  <c r="BP513" i="42"/>
  <c r="BQ513" i="42"/>
  <c r="BT513" i="42"/>
  <c r="BU513" i="42"/>
  <c r="BX513" i="42"/>
  <c r="BY513" i="42"/>
  <c r="CB513" i="42"/>
  <c r="CC513" i="42"/>
  <c r="CF513" i="42"/>
  <c r="CG513" i="42"/>
  <c r="CJ513" i="42"/>
  <c r="CK513" i="42"/>
  <c r="CN513" i="42"/>
  <c r="CO513" i="42"/>
  <c r="CR513" i="42"/>
  <c r="CS513" i="42"/>
  <c r="CV513" i="42"/>
  <c r="CW513" i="42"/>
  <c r="CZ513" i="42"/>
  <c r="DA513" i="42"/>
  <c r="P526" i="42"/>
  <c r="Q526" i="42"/>
  <c r="R526" i="42"/>
  <c r="T526" i="42"/>
  <c r="U526" i="42"/>
  <c r="V526" i="42"/>
  <c r="X526" i="42"/>
  <c r="Y526" i="42"/>
  <c r="Z526" i="42"/>
  <c r="AB526" i="42"/>
  <c r="AC526" i="42"/>
  <c r="AF526" i="42"/>
  <c r="AG526" i="42"/>
  <c r="AJ526" i="42"/>
  <c r="AK526" i="42"/>
  <c r="AN526" i="42"/>
  <c r="AO526" i="42"/>
  <c r="AR526" i="42"/>
  <c r="AS526" i="42"/>
  <c r="AV526" i="42"/>
  <c r="AW526" i="42"/>
  <c r="AZ526" i="42"/>
  <c r="BA526" i="42"/>
  <c r="BD526" i="42"/>
  <c r="BE526" i="42"/>
  <c r="BH526" i="42"/>
  <c r="BI526" i="42"/>
  <c r="BL526" i="42"/>
  <c r="BM526" i="42"/>
  <c r="BP526" i="42"/>
  <c r="BQ526" i="42"/>
  <c r="BT526" i="42"/>
  <c r="BU526" i="42"/>
  <c r="BX526" i="42"/>
  <c r="BY526" i="42"/>
  <c r="CB526" i="42"/>
  <c r="CC526" i="42"/>
  <c r="CF526" i="42"/>
  <c r="CG526" i="42"/>
  <c r="CJ526" i="42"/>
  <c r="CK526" i="42"/>
  <c r="CN526" i="42"/>
  <c r="CO526" i="42"/>
  <c r="CR526" i="42"/>
  <c r="CS526" i="42"/>
  <c r="CV526" i="42"/>
  <c r="CW526" i="42"/>
  <c r="CZ526" i="42"/>
  <c r="DA526" i="42"/>
  <c r="AP527" i="42"/>
  <c r="AT527" i="42"/>
  <c r="AX527" i="42"/>
  <c r="BB527" i="42"/>
  <c r="BF527" i="42"/>
  <c r="BH527" i="42"/>
  <c r="BI527" i="42"/>
  <c r="BL527" i="42"/>
  <c r="BM527" i="42"/>
  <c r="BP527" i="42"/>
  <c r="BQ527" i="42"/>
  <c r="BT527" i="42"/>
  <c r="BU527" i="42"/>
  <c r="BX527" i="42"/>
  <c r="BY527" i="42"/>
  <c r="CB527" i="42"/>
  <c r="CC527" i="42"/>
  <c r="CF527" i="42"/>
  <c r="CG527" i="42"/>
  <c r="CJ527" i="42"/>
  <c r="CK527" i="42"/>
  <c r="CN527" i="42"/>
  <c r="CO527" i="42"/>
  <c r="CR527" i="42"/>
  <c r="CS527" i="42"/>
  <c r="CV527" i="42"/>
  <c r="CW527" i="42"/>
  <c r="CZ527" i="42"/>
  <c r="DA527" i="42"/>
  <c r="P537" i="42"/>
  <c r="Q537" i="42"/>
  <c r="T537" i="42"/>
  <c r="U537" i="42"/>
  <c r="X537" i="42"/>
  <c r="Y537" i="42"/>
  <c r="AF537" i="42"/>
  <c r="AG537" i="42"/>
  <c r="AJ537" i="42"/>
  <c r="AK537" i="42"/>
  <c r="AN537" i="42"/>
  <c r="AO537" i="42"/>
  <c r="AO66" i="10" s="1"/>
  <c r="AR537" i="42"/>
  <c r="AR66" i="10" s="1"/>
  <c r="AS537" i="42"/>
  <c r="AS66" i="10" s="1"/>
  <c r="AV537" i="42"/>
  <c r="AW537" i="42"/>
  <c r="AW66" i="10" s="1"/>
  <c r="AZ537" i="42"/>
  <c r="AZ66" i="10" s="1"/>
  <c r="BA537" i="42"/>
  <c r="BA66" i="10" s="1"/>
  <c r="BD537" i="42"/>
  <c r="BE537" i="42"/>
  <c r="BE66" i="10" s="1"/>
  <c r="BH537" i="42"/>
  <c r="BH66" i="10" s="1"/>
  <c r="BI537" i="42"/>
  <c r="BI66" i="10" s="1"/>
  <c r="BL537" i="42"/>
  <c r="BL66" i="10" s="1"/>
  <c r="BM537" i="42"/>
  <c r="BM66" i="10" s="1"/>
  <c r="BP537" i="42"/>
  <c r="BP66" i="10" s="1"/>
  <c r="BQ537" i="42"/>
  <c r="BQ66" i="10" s="1"/>
  <c r="BT537" i="42"/>
  <c r="BU537" i="42"/>
  <c r="BU66" i="10" s="1"/>
  <c r="BX537" i="42"/>
  <c r="BX66" i="10" s="1"/>
  <c r="BY537" i="42"/>
  <c r="BY66" i="10" s="1"/>
  <c r="CB537" i="42"/>
  <c r="CC537" i="42"/>
  <c r="CC66" i="10" s="1"/>
  <c r="CF537" i="42"/>
  <c r="CF66" i="10" s="1"/>
  <c r="CG537" i="42"/>
  <c r="CJ537" i="42"/>
  <c r="CK537" i="42"/>
  <c r="CK66" i="10" s="1"/>
  <c r="CN537" i="42"/>
  <c r="CN66" i="10" s="1"/>
  <c r="CO537" i="42"/>
  <c r="CO66" i="10" s="1"/>
  <c r="CR537" i="42"/>
  <c r="CR66" i="10" s="1"/>
  <c r="CS537" i="42"/>
  <c r="CS66" i="10" s="1"/>
  <c r="CV537" i="42"/>
  <c r="CW537" i="42"/>
  <c r="CW66" i="10" s="1"/>
  <c r="CZ537" i="42"/>
  <c r="DA537" i="42"/>
  <c r="DA66" i="10" s="1"/>
  <c r="R543" i="42"/>
  <c r="V543" i="42"/>
  <c r="Z543" i="42"/>
  <c r="AH543" i="42"/>
  <c r="AL543" i="42"/>
  <c r="AD543" i="42"/>
  <c r="A551" i="42"/>
  <c r="AN1" i="10"/>
  <c r="AO3" i="10"/>
  <c r="CR158" i="10"/>
  <c r="CS158" i="10"/>
  <c r="CR159" i="10"/>
  <c r="CR366" i="10" s="1"/>
  <c r="CS159" i="10"/>
  <c r="CS366" i="10" s="1"/>
  <c r="AP9" i="10"/>
  <c r="AT9" i="10"/>
  <c r="AT58" i="10" s="1"/>
  <c r="AX9" i="10"/>
  <c r="AX58" i="10" s="1"/>
  <c r="BB9" i="10"/>
  <c r="BB58" i="10" s="1"/>
  <c r="BF9" i="10"/>
  <c r="BF58" i="10" s="1"/>
  <c r="BJ9" i="10"/>
  <c r="BJ58" i="10" s="1"/>
  <c r="BN9" i="10"/>
  <c r="BN58" i="10" s="1"/>
  <c r="BR9" i="10"/>
  <c r="BV9" i="10"/>
  <c r="AB36" i="41" s="1"/>
  <c r="BZ9" i="10"/>
  <c r="BZ58" i="10" s="1"/>
  <c r="CD9" i="10"/>
  <c r="CD58" i="10" s="1"/>
  <c r="CH9" i="10"/>
  <c r="CH58" i="10" s="1"/>
  <c r="CL9" i="10"/>
  <c r="CL58" i="10" s="1"/>
  <c r="CP9" i="10"/>
  <c r="CP58" i="10" s="1"/>
  <c r="CT9" i="10"/>
  <c r="CT58" i="10" s="1"/>
  <c r="CX9" i="10"/>
  <c r="DB9" i="10"/>
  <c r="BH36" i="41" s="1"/>
  <c r="AP10" i="10"/>
  <c r="AT10" i="10"/>
  <c r="BH13" i="10"/>
  <c r="BH407" i="10" s="1"/>
  <c r="BI13" i="10"/>
  <c r="BI407" i="10" s="1"/>
  <c r="BL158" i="10"/>
  <c r="BL159" i="10"/>
  <c r="BL366" i="10" s="1"/>
  <c r="BL160" i="10"/>
  <c r="BL162" i="10"/>
  <c r="BL164" i="10"/>
  <c r="BL381" i="10"/>
  <c r="BL382" i="10"/>
  <c r="BL383" i="10"/>
  <c r="BL385" i="10"/>
  <c r="BL386" i="10"/>
  <c r="BL88" i="10"/>
  <c r="BL89" i="10"/>
  <c r="BL100" i="10"/>
  <c r="BL101" i="10"/>
  <c r="BL104" i="10"/>
  <c r="BL112" i="10"/>
  <c r="BL118" i="10"/>
  <c r="BM158" i="10"/>
  <c r="BM159" i="10"/>
  <c r="BM366" i="10" s="1"/>
  <c r="BM160" i="10"/>
  <c r="BM162" i="10"/>
  <c r="BM164" i="10"/>
  <c r="BM381" i="10"/>
  <c r="BM382" i="10"/>
  <c r="BM383" i="10"/>
  <c r="BM385" i="10"/>
  <c r="BM386" i="10"/>
  <c r="BM88" i="10"/>
  <c r="BM89" i="10"/>
  <c r="BM100" i="10"/>
  <c r="BM101" i="10"/>
  <c r="BM104" i="10"/>
  <c r="BM112" i="10"/>
  <c r="BM118" i="10"/>
  <c r="BP158" i="10"/>
  <c r="BP159" i="10"/>
  <c r="BP366" i="10" s="1"/>
  <c r="BP160" i="10"/>
  <c r="BP162" i="10"/>
  <c r="BP164" i="10"/>
  <c r="BP381" i="10"/>
  <c r="BP382" i="10"/>
  <c r="BP383" i="10"/>
  <c r="BP385" i="10"/>
  <c r="BP386" i="10"/>
  <c r="BP88" i="10"/>
  <c r="BP89" i="10"/>
  <c r="BP100" i="10"/>
  <c r="BP101" i="10"/>
  <c r="BP104" i="10"/>
  <c r="BP112" i="10"/>
  <c r="BP116" i="10"/>
  <c r="BP118" i="10"/>
  <c r="BQ158" i="10"/>
  <c r="BQ159" i="10"/>
  <c r="BQ366" i="10" s="1"/>
  <c r="BQ160" i="10"/>
  <c r="BQ162" i="10"/>
  <c r="BQ163" i="10" s="1"/>
  <c r="BQ164" i="10"/>
  <c r="BQ381" i="10"/>
  <c r="BQ382" i="10"/>
  <c r="BQ383" i="10"/>
  <c r="BQ385" i="10"/>
  <c r="BQ386" i="10"/>
  <c r="BQ88" i="10"/>
  <c r="BQ89" i="10"/>
  <c r="BQ100" i="10"/>
  <c r="BQ101" i="10"/>
  <c r="BQ104" i="10"/>
  <c r="BQ112" i="10"/>
  <c r="BQ113" i="10"/>
  <c r="BQ118" i="10"/>
  <c r="BT158" i="10"/>
  <c r="BT159" i="10"/>
  <c r="BT366" i="10" s="1"/>
  <c r="BT160" i="10"/>
  <c r="BT162" i="10"/>
  <c r="BT164" i="10"/>
  <c r="BT381" i="10"/>
  <c r="BT382" i="10"/>
  <c r="BT383" i="10"/>
  <c r="BT385" i="10"/>
  <c r="BT386" i="10"/>
  <c r="BT88" i="10"/>
  <c r="BT89" i="10"/>
  <c r="BT100" i="10"/>
  <c r="BT101" i="10"/>
  <c r="BT104" i="10"/>
  <c r="BT112" i="10"/>
  <c r="BT113" i="10"/>
  <c r="BT118" i="10"/>
  <c r="BU158" i="10"/>
  <c r="BU159" i="10"/>
  <c r="BU366" i="10" s="1"/>
  <c r="BU160" i="10"/>
  <c r="BU162" i="10"/>
  <c r="BU163" i="10" s="1"/>
  <c r="BU164" i="10"/>
  <c r="BU381" i="10"/>
  <c r="BU382" i="10"/>
  <c r="BU383" i="10"/>
  <c r="BU385" i="10"/>
  <c r="BU386" i="10"/>
  <c r="BU88" i="10"/>
  <c r="BU89" i="10"/>
  <c r="BU100" i="10"/>
  <c r="BU101" i="10"/>
  <c r="BU104" i="10"/>
  <c r="BU112" i="10"/>
  <c r="BU113" i="10"/>
  <c r="BU118" i="10"/>
  <c r="BX158" i="10"/>
  <c r="BX159" i="10"/>
  <c r="BX366" i="10" s="1"/>
  <c r="BX160" i="10"/>
  <c r="BX162" i="10"/>
  <c r="BX164" i="10"/>
  <c r="BX381" i="10"/>
  <c r="BX382" i="10"/>
  <c r="BX383" i="10"/>
  <c r="BX385" i="10"/>
  <c r="BX386" i="10"/>
  <c r="BX89" i="10"/>
  <c r="BX101" i="10"/>
  <c r="BX102" i="10"/>
  <c r="BX104" i="10"/>
  <c r="BX113" i="10"/>
  <c r="BX114" i="10"/>
  <c r="BX118" i="10"/>
  <c r="BY158" i="10"/>
  <c r="BY159" i="10"/>
  <c r="BY160" i="10"/>
  <c r="BY162" i="10"/>
  <c r="BY164" i="10"/>
  <c r="BY381" i="10"/>
  <c r="BY382" i="10"/>
  <c r="BY383" i="10"/>
  <c r="BY385" i="10"/>
  <c r="BY386" i="10"/>
  <c r="BY89" i="10"/>
  <c r="BY101" i="10"/>
  <c r="BY102" i="10"/>
  <c r="BY104" i="10"/>
  <c r="BY113" i="10"/>
  <c r="BY114" i="10"/>
  <c r="BY118" i="10"/>
  <c r="CB158" i="10"/>
  <c r="CB159" i="10"/>
  <c r="CB366" i="10" s="1"/>
  <c r="CB160" i="10"/>
  <c r="CB162" i="10"/>
  <c r="CB164" i="10"/>
  <c r="CB381" i="10"/>
  <c r="CB382" i="10"/>
  <c r="CB383" i="10"/>
  <c r="CB385" i="10"/>
  <c r="CB386" i="10"/>
  <c r="CB89" i="10"/>
  <c r="CB101" i="10"/>
  <c r="CB102" i="10"/>
  <c r="CB104" i="10"/>
  <c r="CB113" i="10"/>
  <c r="CB114" i="10"/>
  <c r="CB118" i="10"/>
  <c r="CC158" i="10"/>
  <c r="CC159" i="10"/>
  <c r="CC160" i="10"/>
  <c r="CC164" i="10"/>
  <c r="CC381" i="10"/>
  <c r="CC382" i="10"/>
  <c r="CC383" i="10"/>
  <c r="CC385" i="10"/>
  <c r="CC386" i="10"/>
  <c r="CC89" i="10"/>
  <c r="CC101" i="10"/>
  <c r="CC102" i="10"/>
  <c r="CC104" i="10"/>
  <c r="CC113" i="10"/>
  <c r="CC114" i="10"/>
  <c r="CC118" i="10"/>
  <c r="CF158" i="10"/>
  <c r="CF159" i="10"/>
  <c r="CF366" i="10" s="1"/>
  <c r="CF160" i="10"/>
  <c r="CF162" i="10"/>
  <c r="CF164" i="10"/>
  <c r="CF381" i="10"/>
  <c r="CF382" i="10"/>
  <c r="CF383" i="10"/>
  <c r="CF385" i="10"/>
  <c r="CF386" i="10"/>
  <c r="CF88" i="10"/>
  <c r="CF89" i="10"/>
  <c r="CF90" i="10"/>
  <c r="CF92" i="10"/>
  <c r="CF100" i="10"/>
  <c r="CF101" i="10"/>
  <c r="CF102" i="10"/>
  <c r="CF104" i="10"/>
  <c r="CF112" i="10"/>
  <c r="CF113" i="10"/>
  <c r="CF115" i="10"/>
  <c r="CG158" i="10"/>
  <c r="CG159" i="10"/>
  <c r="CG160" i="10"/>
  <c r="CG163" i="10"/>
  <c r="CH163" i="10" s="1"/>
  <c r="CG164" i="10"/>
  <c r="CG381" i="10"/>
  <c r="CG382" i="10"/>
  <c r="CG383" i="10"/>
  <c r="CG385" i="10"/>
  <c r="CG386" i="10"/>
  <c r="CG89" i="10"/>
  <c r="CG90" i="10"/>
  <c r="CG92" i="10"/>
  <c r="CG100" i="10"/>
  <c r="CG101" i="10"/>
  <c r="CG102" i="10"/>
  <c r="CG104" i="10"/>
  <c r="CG113" i="10"/>
  <c r="CG115" i="10"/>
  <c r="CJ158" i="10"/>
  <c r="CJ159" i="10"/>
  <c r="CJ366" i="10" s="1"/>
  <c r="CJ160" i="10"/>
  <c r="CJ162" i="10"/>
  <c r="CJ164" i="10"/>
  <c r="CJ381" i="10"/>
  <c r="CJ382" i="10"/>
  <c r="CJ383" i="10"/>
  <c r="CJ385" i="10"/>
  <c r="CJ386" i="10"/>
  <c r="CJ88" i="10"/>
  <c r="CJ89" i="10"/>
  <c r="CJ90" i="10"/>
  <c r="CJ92" i="10"/>
  <c r="CJ100" i="10"/>
  <c r="CJ101" i="10"/>
  <c r="CJ104" i="10"/>
  <c r="CJ113" i="10"/>
  <c r="CJ115" i="10"/>
  <c r="CJ120" i="10"/>
  <c r="CJ118" i="10"/>
  <c r="CK158" i="10"/>
  <c r="CK159" i="10"/>
  <c r="CK366" i="10" s="1"/>
  <c r="CK160" i="10"/>
  <c r="CK162" i="10"/>
  <c r="CK164" i="10"/>
  <c r="CK381" i="10"/>
  <c r="CK382" i="10"/>
  <c r="CK383" i="10"/>
  <c r="CK385" i="10"/>
  <c r="CK386" i="10"/>
  <c r="CK88" i="10"/>
  <c r="CK89" i="10"/>
  <c r="CK90" i="10"/>
  <c r="CK92" i="10"/>
  <c r="CK100" i="10"/>
  <c r="CK101" i="10"/>
  <c r="CK113" i="10"/>
  <c r="CK115" i="10"/>
  <c r="CK120" i="10"/>
  <c r="CN158" i="10"/>
  <c r="CN159" i="10"/>
  <c r="CN160" i="10"/>
  <c r="CN162" i="10"/>
  <c r="CN164" i="10"/>
  <c r="CN381" i="10"/>
  <c r="CN382" i="10"/>
  <c r="CN383" i="10"/>
  <c r="CN385" i="10"/>
  <c r="CN386" i="10"/>
  <c r="CN88" i="10"/>
  <c r="CN89" i="10"/>
  <c r="CN92" i="10"/>
  <c r="CN100" i="10"/>
  <c r="CN101" i="10"/>
  <c r="CN102" i="10"/>
  <c r="CN104" i="10"/>
  <c r="CN113" i="10"/>
  <c r="CN115" i="10"/>
  <c r="CN120" i="10"/>
  <c r="CN118" i="10"/>
  <c r="CO158" i="10"/>
  <c r="CO159" i="10"/>
  <c r="CO366" i="10" s="1"/>
  <c r="CO160" i="10"/>
  <c r="CO162" i="10"/>
  <c r="CO164" i="10"/>
  <c r="CO381" i="10"/>
  <c r="CO382" i="10"/>
  <c r="CO383" i="10"/>
  <c r="CO385" i="10"/>
  <c r="CO386" i="10"/>
  <c r="CO88" i="10"/>
  <c r="CO89" i="10"/>
  <c r="CO90" i="10"/>
  <c r="CO92" i="10"/>
  <c r="CO100" i="10"/>
  <c r="CO101" i="10"/>
  <c r="CO102" i="10"/>
  <c r="CO113" i="10"/>
  <c r="CO115" i="10"/>
  <c r="CO120" i="10"/>
  <c r="CR160" i="10"/>
  <c r="CR162" i="10"/>
  <c r="CR164" i="10"/>
  <c r="CR381" i="10"/>
  <c r="CR382" i="10"/>
  <c r="CR383" i="10"/>
  <c r="CR385" i="10"/>
  <c r="CR386" i="10"/>
  <c r="CR88" i="10"/>
  <c r="CR89" i="10"/>
  <c r="CR90" i="10"/>
  <c r="CR92" i="10"/>
  <c r="CR100" i="10"/>
  <c r="CR101" i="10"/>
  <c r="CR102" i="10"/>
  <c r="CR104" i="10"/>
  <c r="CR113" i="10"/>
  <c r="CR115" i="10"/>
  <c r="CR120" i="10"/>
  <c r="CS160" i="10"/>
  <c r="CS162" i="10"/>
  <c r="CS164" i="10"/>
  <c r="CS381" i="10"/>
  <c r="CS382" i="10"/>
  <c r="CS383" i="10"/>
  <c r="CS385" i="10"/>
  <c r="CS386" i="10"/>
  <c r="CS88" i="10"/>
  <c r="CS89" i="10"/>
  <c r="CS90" i="10"/>
  <c r="CS92" i="10"/>
  <c r="CS100" i="10"/>
  <c r="CS101" i="10"/>
  <c r="CS102" i="10"/>
  <c r="CS104" i="10"/>
  <c r="CS113" i="10"/>
  <c r="CS115" i="10"/>
  <c r="CS120" i="10"/>
  <c r="CV158" i="10"/>
  <c r="CV159" i="10"/>
  <c r="CV160" i="10"/>
  <c r="CV162" i="10"/>
  <c r="CV164" i="10"/>
  <c r="CV381" i="10"/>
  <c r="CV382" i="10"/>
  <c r="CV383" i="10"/>
  <c r="CV385" i="10"/>
  <c r="CV386" i="10"/>
  <c r="CV88" i="10"/>
  <c r="CV89" i="10"/>
  <c r="CV90" i="10"/>
  <c r="CV92" i="10"/>
  <c r="CV100" i="10"/>
  <c r="CV101" i="10"/>
  <c r="CV102" i="10"/>
  <c r="CV104" i="10"/>
  <c r="CV113" i="10"/>
  <c r="CV115" i="10"/>
  <c r="CW158" i="10"/>
  <c r="CW159" i="10"/>
  <c r="CW366" i="10" s="1"/>
  <c r="CW160" i="10"/>
  <c r="CW162" i="10"/>
  <c r="CW164" i="10"/>
  <c r="CW381" i="10"/>
  <c r="CW382" i="10"/>
  <c r="CW383" i="10"/>
  <c r="CW385" i="10"/>
  <c r="CW386" i="10"/>
  <c r="CW88" i="10"/>
  <c r="CW89" i="10"/>
  <c r="CW90" i="10"/>
  <c r="CW92" i="10"/>
  <c r="CW100" i="10"/>
  <c r="CW101" i="10"/>
  <c r="CW102" i="10"/>
  <c r="CW104" i="10"/>
  <c r="CW113" i="10"/>
  <c r="CW115" i="10"/>
  <c r="CZ158" i="10"/>
  <c r="CZ159" i="10"/>
  <c r="CZ366" i="10" s="1"/>
  <c r="CZ160" i="10"/>
  <c r="CZ162" i="10"/>
  <c r="CZ164" i="10"/>
  <c r="CZ381" i="10"/>
  <c r="CZ382" i="10"/>
  <c r="CZ383" i="10"/>
  <c r="CZ385" i="10"/>
  <c r="CZ88" i="10"/>
  <c r="CZ89" i="10"/>
  <c r="CZ90" i="10"/>
  <c r="CZ92" i="10"/>
  <c r="CZ100" i="10"/>
  <c r="CZ101" i="10"/>
  <c r="CZ102" i="10"/>
  <c r="CZ104" i="10"/>
  <c r="CZ113" i="10"/>
  <c r="CZ115" i="10"/>
  <c r="DA158" i="10"/>
  <c r="DA159" i="10"/>
  <c r="DA366" i="10" s="1"/>
  <c r="DA160" i="10"/>
  <c r="DA162" i="10"/>
  <c r="DA164" i="10"/>
  <c r="DA381" i="10"/>
  <c r="DA382" i="10"/>
  <c r="DA383" i="10"/>
  <c r="DA385" i="10"/>
  <c r="DA88" i="10"/>
  <c r="DA89" i="10"/>
  <c r="DA90" i="10"/>
  <c r="DA92" i="10"/>
  <c r="DA100" i="10"/>
  <c r="DA101" i="10"/>
  <c r="DA102" i="10"/>
  <c r="DA104" i="10"/>
  <c r="DA113" i="10"/>
  <c r="DA115" i="10"/>
  <c r="DA202" i="10"/>
  <c r="DD210" i="10" s="1"/>
  <c r="DA185" i="10"/>
  <c r="DA223" i="10"/>
  <c r="DA224" i="10"/>
  <c r="CZ336" i="10"/>
  <c r="CZ354" i="10" s="1"/>
  <c r="DA336" i="10"/>
  <c r="DA343" i="10"/>
  <c r="DI163" i="10"/>
  <c r="DL163" i="10" s="1"/>
  <c r="DM163" i="10" s="1"/>
  <c r="DP163" i="10" s="1"/>
  <c r="DQ163" i="10" s="1"/>
  <c r="DR163" i="10" s="1"/>
  <c r="DB115" i="10"/>
  <c r="DI360" i="10"/>
  <c r="DI364" i="10" s="1"/>
  <c r="DI320" i="10" s="1"/>
  <c r="DI321" i="10" s="1"/>
  <c r="DI322" i="10" s="1"/>
  <c r="DI164" i="10"/>
  <c r="DI386" i="10"/>
  <c r="DI89" i="10"/>
  <c r="DI115" i="10"/>
  <c r="DL360" i="10"/>
  <c r="DL364" i="10" s="1"/>
  <c r="DL320" i="10" s="1"/>
  <c r="DL321" i="10" s="1"/>
  <c r="DL322" i="10" s="1"/>
  <c r="DJ345" i="10"/>
  <c r="DL164" i="10"/>
  <c r="DL386" i="10"/>
  <c r="DL89" i="10"/>
  <c r="DJ115" i="10"/>
  <c r="DL115" i="10"/>
  <c r="DM360" i="10"/>
  <c r="DM364" i="10" s="1"/>
  <c r="DM320" i="10" s="1"/>
  <c r="DM321" i="10" s="1"/>
  <c r="DM322" i="10" s="1"/>
  <c r="DM164" i="10"/>
  <c r="DM386" i="10"/>
  <c r="DM89" i="10"/>
  <c r="DM115" i="10"/>
  <c r="AP11" i="10"/>
  <c r="AT11" i="10"/>
  <c r="AP12" i="10"/>
  <c r="AT12" i="10"/>
  <c r="AP13" i="10"/>
  <c r="AT13" i="10"/>
  <c r="AV13" i="10"/>
  <c r="AV407" i="10" s="1"/>
  <c r="AW13" i="10"/>
  <c r="AW407" i="10" s="1"/>
  <c r="AZ13" i="10"/>
  <c r="AZ407" i="10" s="1"/>
  <c r="BA13" i="10"/>
  <c r="BA407" i="10" s="1"/>
  <c r="BD13" i="10"/>
  <c r="BD407" i="10" s="1"/>
  <c r="BE13" i="10"/>
  <c r="BE407" i="10" s="1"/>
  <c r="AP14" i="10"/>
  <c r="AT14" i="10"/>
  <c r="AN15" i="10"/>
  <c r="AO15" i="10"/>
  <c r="AR15" i="10"/>
  <c r="AS15" i="10"/>
  <c r="AP16" i="10"/>
  <c r="AT16" i="10"/>
  <c r="AX16" i="10"/>
  <c r="BB16" i="10"/>
  <c r="BB59" i="10" s="1"/>
  <c r="BF16" i="10"/>
  <c r="BF59" i="10" s="1"/>
  <c r="BJ16" i="10"/>
  <c r="P8" i="41" s="1"/>
  <c r="BN16" i="10"/>
  <c r="T37" i="41" s="1"/>
  <c r="BR16" i="10"/>
  <c r="BR59" i="10" s="1"/>
  <c r="BV16" i="10"/>
  <c r="BV59" i="10" s="1"/>
  <c r="BZ16" i="10"/>
  <c r="AF37" i="41" s="1"/>
  <c r="CD16" i="10"/>
  <c r="CD59" i="10" s="1"/>
  <c r="CH16" i="10"/>
  <c r="AN37" i="41" s="1"/>
  <c r="CL16" i="10"/>
  <c r="AR37" i="41" s="1"/>
  <c r="CP16" i="10"/>
  <c r="AV37" i="41" s="1"/>
  <c r="CT16" i="10"/>
  <c r="AZ8" i="41" s="1"/>
  <c r="DB16" i="10"/>
  <c r="DB59" i="10" s="1"/>
  <c r="AP17" i="10"/>
  <c r="BH416" i="10"/>
  <c r="BH417" i="10"/>
  <c r="BH419" i="10"/>
  <c r="BH420" i="10"/>
  <c r="BH421" i="10"/>
  <c r="BH422" i="10"/>
  <c r="BI416" i="10"/>
  <c r="BI417" i="10"/>
  <c r="BI419" i="10"/>
  <c r="BI420" i="10"/>
  <c r="BI421" i="10"/>
  <c r="BI422" i="10"/>
  <c r="BL416" i="10"/>
  <c r="BL417" i="10"/>
  <c r="BL419" i="10"/>
  <c r="BL420" i="10"/>
  <c r="BL421" i="10"/>
  <c r="BL422" i="10"/>
  <c r="BM416" i="10"/>
  <c r="BM417" i="10"/>
  <c r="BM419" i="10"/>
  <c r="BM420" i="10"/>
  <c r="BM421" i="10"/>
  <c r="BM422" i="10"/>
  <c r="BP416" i="10"/>
  <c r="BP417" i="10"/>
  <c r="BP419" i="10"/>
  <c r="BP420" i="10"/>
  <c r="BP421" i="10"/>
  <c r="BP422" i="10"/>
  <c r="BQ416" i="10"/>
  <c r="BQ417" i="10"/>
  <c r="BQ419" i="10"/>
  <c r="BQ420" i="10"/>
  <c r="BQ421" i="10"/>
  <c r="BQ422" i="10"/>
  <c r="BT416" i="10"/>
  <c r="BT417" i="10"/>
  <c r="BT419" i="10"/>
  <c r="BT420" i="10"/>
  <c r="BT421" i="10"/>
  <c r="BT422" i="10"/>
  <c r="BU416" i="10"/>
  <c r="BU417" i="10"/>
  <c r="BU419" i="10"/>
  <c r="BU420" i="10"/>
  <c r="BU421" i="10"/>
  <c r="BU422" i="10"/>
  <c r="BX416" i="10"/>
  <c r="BX417" i="10"/>
  <c r="BX418" i="10"/>
  <c r="BX419" i="10"/>
  <c r="BX420" i="10"/>
  <c r="BX421" i="10"/>
  <c r="BX422" i="10"/>
  <c r="BY416" i="10"/>
  <c r="BY418" i="10"/>
  <c r="BY419" i="10"/>
  <c r="BY420" i="10"/>
  <c r="BY421" i="10"/>
  <c r="BY422" i="10"/>
  <c r="CB416" i="10"/>
  <c r="CB417" i="10"/>
  <c r="CB418" i="10"/>
  <c r="CB419" i="10"/>
  <c r="CB420" i="10"/>
  <c r="CB421" i="10"/>
  <c r="CB422" i="10"/>
  <c r="CC416" i="10"/>
  <c r="CC417" i="10"/>
  <c r="CC418" i="10"/>
  <c r="CC419" i="10"/>
  <c r="CC420" i="10"/>
  <c r="CC421" i="10"/>
  <c r="CC422" i="10"/>
  <c r="CF416" i="10"/>
  <c r="CF417" i="10"/>
  <c r="CF418" i="10"/>
  <c r="CF419" i="10"/>
  <c r="CF420" i="10"/>
  <c r="CF421" i="10"/>
  <c r="CF422" i="10"/>
  <c r="CG416" i="10"/>
  <c r="CG417" i="10"/>
  <c r="CG418" i="10"/>
  <c r="CG419" i="10"/>
  <c r="CG420" i="10"/>
  <c r="CG421" i="10"/>
  <c r="CG422" i="10"/>
  <c r="CJ416" i="10"/>
  <c r="CJ417" i="10"/>
  <c r="CJ418" i="10"/>
  <c r="CJ419" i="10"/>
  <c r="CJ420" i="10"/>
  <c r="CJ421" i="10"/>
  <c r="CJ422" i="10"/>
  <c r="CK417" i="10"/>
  <c r="CK419" i="10"/>
  <c r="CK420" i="10"/>
  <c r="CK421" i="10"/>
  <c r="CK422" i="10"/>
  <c r="CN416" i="10"/>
  <c r="CN417" i="10"/>
  <c r="CN418" i="10"/>
  <c r="CN419" i="10"/>
  <c r="CN420" i="10"/>
  <c r="CN421" i="10"/>
  <c r="CN422" i="10"/>
  <c r="CO416" i="10"/>
  <c r="CO417" i="10"/>
  <c r="CO418" i="10"/>
  <c r="CO419" i="10"/>
  <c r="CO420" i="10"/>
  <c r="CO421" i="10"/>
  <c r="CO422" i="10"/>
  <c r="CR416" i="10"/>
  <c r="CR417" i="10"/>
  <c r="CR418" i="10"/>
  <c r="CR419" i="10"/>
  <c r="CR420" i="10"/>
  <c r="CR421" i="10"/>
  <c r="CR422" i="10"/>
  <c r="CS416" i="10"/>
  <c r="CS417" i="10"/>
  <c r="CS418" i="10"/>
  <c r="CS419" i="10"/>
  <c r="CS420" i="10"/>
  <c r="CS421" i="10"/>
  <c r="CS422" i="10"/>
  <c r="CV416" i="10"/>
  <c r="CV417" i="10"/>
  <c r="CV418" i="10"/>
  <c r="CV419" i="10"/>
  <c r="CV420" i="10"/>
  <c r="CV421" i="10"/>
  <c r="CV422" i="10"/>
  <c r="CW416" i="10"/>
  <c r="CW417" i="10"/>
  <c r="CW418" i="10"/>
  <c r="CW419" i="10"/>
  <c r="CW420" i="10"/>
  <c r="CW421" i="10"/>
  <c r="CW422" i="10"/>
  <c r="CZ416" i="10"/>
  <c r="CZ417" i="10"/>
  <c r="CZ418" i="10"/>
  <c r="CZ419" i="10"/>
  <c r="CZ420" i="10"/>
  <c r="CZ421" i="10"/>
  <c r="CZ422" i="10"/>
  <c r="DA416" i="10"/>
  <c r="DA417" i="10"/>
  <c r="DA418" i="10"/>
  <c r="DA419" i="10"/>
  <c r="DA420" i="10"/>
  <c r="DA421" i="10"/>
  <c r="DA422" i="10"/>
  <c r="CB447" i="10"/>
  <c r="CD447" i="10" s="1"/>
  <c r="BH669" i="10"/>
  <c r="BH670" i="10"/>
  <c r="BH671" i="10"/>
  <c r="BH673" i="10"/>
  <c r="BH674" i="10"/>
  <c r="BH675" i="10"/>
  <c r="BH676" i="10"/>
  <c r="BI669" i="10"/>
  <c r="BI670" i="10"/>
  <c r="BI671" i="10"/>
  <c r="BI673" i="10"/>
  <c r="BI674" i="10"/>
  <c r="BI675" i="10"/>
  <c r="BI676" i="10"/>
  <c r="BL669" i="10"/>
  <c r="BL670" i="10"/>
  <c r="BL671" i="10"/>
  <c r="BL673" i="10"/>
  <c r="BL674" i="10"/>
  <c r="BL675" i="10"/>
  <c r="BL676" i="10"/>
  <c r="BM669" i="10"/>
  <c r="BM670" i="10"/>
  <c r="BM671" i="10"/>
  <c r="BM673" i="10"/>
  <c r="BM674" i="10"/>
  <c r="BM675" i="10"/>
  <c r="BM676" i="10"/>
  <c r="BP669" i="10"/>
  <c r="BP670" i="10"/>
  <c r="BP671" i="10"/>
  <c r="BP673" i="10"/>
  <c r="BP674" i="10"/>
  <c r="BP675" i="10"/>
  <c r="BP676" i="10"/>
  <c r="BQ669" i="10"/>
  <c r="BQ670" i="10"/>
  <c r="BQ671" i="10"/>
  <c r="BQ673" i="10"/>
  <c r="BQ674" i="10"/>
  <c r="BQ675" i="10"/>
  <c r="BQ676" i="10"/>
  <c r="BT669" i="10"/>
  <c r="BT670" i="10"/>
  <c r="BT671" i="10"/>
  <c r="BT673" i="10"/>
  <c r="BT674" i="10"/>
  <c r="BT675" i="10"/>
  <c r="BT676" i="10"/>
  <c r="BU669" i="10"/>
  <c r="BU670" i="10"/>
  <c r="BU671" i="10"/>
  <c r="BU673" i="10"/>
  <c r="BU674" i="10"/>
  <c r="BU675" i="10"/>
  <c r="BU676" i="10"/>
  <c r="BX669" i="10"/>
  <c r="BX670" i="10"/>
  <c r="BX671" i="10"/>
  <c r="BX672" i="10"/>
  <c r="BX673" i="10"/>
  <c r="BX674" i="10"/>
  <c r="BX675" i="10"/>
  <c r="BX676" i="10"/>
  <c r="BY669" i="10"/>
  <c r="BY670" i="10"/>
  <c r="BY672" i="10"/>
  <c r="BY674" i="10"/>
  <c r="BY675" i="10"/>
  <c r="BY676" i="10"/>
  <c r="CB669" i="10"/>
  <c r="CB670" i="10"/>
  <c r="CB671" i="10"/>
  <c r="CB672" i="10"/>
  <c r="CB673" i="10"/>
  <c r="CB674" i="10"/>
  <c r="CB675" i="10"/>
  <c r="CB676" i="10"/>
  <c r="CC669" i="10"/>
  <c r="CC670" i="10"/>
  <c r="CC671" i="10"/>
  <c r="CC672" i="10"/>
  <c r="CC673" i="10"/>
  <c r="CC674" i="10"/>
  <c r="CC675" i="10"/>
  <c r="CC676" i="10"/>
  <c r="CF669" i="10"/>
  <c r="CF670" i="10"/>
  <c r="CF671" i="10"/>
  <c r="CF672" i="10"/>
  <c r="CF674" i="10"/>
  <c r="CF675" i="10"/>
  <c r="CF676" i="10"/>
  <c r="CG669" i="10"/>
  <c r="CG670" i="10"/>
  <c r="CG671" i="10"/>
  <c r="CG672" i="10"/>
  <c r="CG674" i="10"/>
  <c r="CG675" i="10"/>
  <c r="CG676" i="10"/>
  <c r="CJ669" i="10"/>
  <c r="CJ670" i="10"/>
  <c r="CJ671" i="10"/>
  <c r="CJ672" i="10"/>
  <c r="CJ674" i="10"/>
  <c r="CJ675" i="10"/>
  <c r="CJ676" i="10"/>
  <c r="CK669" i="10"/>
  <c r="CK671" i="10"/>
  <c r="CK674" i="10"/>
  <c r="CK675" i="10"/>
  <c r="CK676" i="10"/>
  <c r="CN669" i="10"/>
  <c r="CN670" i="10"/>
  <c r="CN671" i="10"/>
  <c r="CN672" i="10"/>
  <c r="CN674" i="10"/>
  <c r="CN675" i="10"/>
  <c r="CN676" i="10"/>
  <c r="CO669" i="10"/>
  <c r="CO670" i="10"/>
  <c r="CO671" i="10"/>
  <c r="CO672" i="10"/>
  <c r="CO674" i="10"/>
  <c r="CO675" i="10"/>
  <c r="CO676" i="10"/>
  <c r="CR669" i="10"/>
  <c r="CR670" i="10"/>
  <c r="CR671" i="10"/>
  <c r="CR672" i="10"/>
  <c r="CR674" i="10"/>
  <c r="CR675" i="10"/>
  <c r="CR676" i="10"/>
  <c r="CS669" i="10"/>
  <c r="CS670" i="10"/>
  <c r="CS671" i="10"/>
  <c r="CS672" i="10"/>
  <c r="CS674" i="10"/>
  <c r="CS675" i="10"/>
  <c r="CS676" i="10"/>
  <c r="CV669" i="10"/>
  <c r="CV670" i="10"/>
  <c r="CV671" i="10"/>
  <c r="CV672" i="10"/>
  <c r="CV674" i="10"/>
  <c r="CV675" i="10"/>
  <c r="CV676" i="10"/>
  <c r="CW669" i="10"/>
  <c r="CW670" i="10"/>
  <c r="CW671" i="10"/>
  <c r="CW672" i="10"/>
  <c r="CW674" i="10"/>
  <c r="CW675" i="10"/>
  <c r="CW676" i="10"/>
  <c r="CZ669" i="10"/>
  <c r="CZ670" i="10"/>
  <c r="CZ671" i="10"/>
  <c r="CZ672" i="10"/>
  <c r="CZ674" i="10"/>
  <c r="CZ675" i="10"/>
  <c r="CZ676" i="10"/>
  <c r="DA669" i="10"/>
  <c r="DA670" i="10"/>
  <c r="DA671" i="10"/>
  <c r="DA672" i="10"/>
  <c r="DA674" i="10"/>
  <c r="DA675" i="10"/>
  <c r="DI675" i="10" s="1"/>
  <c r="DL675" i="10" s="1"/>
  <c r="DM675" i="10" s="1"/>
  <c r="DP675" i="10" s="1"/>
  <c r="DQ675" i="10" s="1"/>
  <c r="DA676" i="10"/>
  <c r="DI19" i="10"/>
  <c r="DL19" i="10"/>
  <c r="DM19" i="10"/>
  <c r="AP20" i="10"/>
  <c r="AT20" i="10"/>
  <c r="AP21" i="10"/>
  <c r="AP692" i="10" s="1"/>
  <c r="AP697" i="10" s="1"/>
  <c r="AP699" i="10" s="1"/>
  <c r="AP705" i="10" s="1"/>
  <c r="AZ685" i="10"/>
  <c r="AZ751" i="10" s="1"/>
  <c r="AZ686" i="10"/>
  <c r="AZ752" i="10" s="1"/>
  <c r="AZ688" i="10"/>
  <c r="AZ754" i="10" s="1"/>
  <c r="AZ690" i="10"/>
  <c r="AZ756" i="10" s="1"/>
  <c r="BA685" i="10"/>
  <c r="BA751" i="10" s="1"/>
  <c r="BA686" i="10"/>
  <c r="BA752" i="10" s="1"/>
  <c r="BA688" i="10"/>
  <c r="BA754" i="10" s="1"/>
  <c r="BA690" i="10"/>
  <c r="BA756" i="10" s="1"/>
  <c r="BD685" i="10"/>
  <c r="BD751" i="10" s="1"/>
  <c r="BE685" i="10"/>
  <c r="BE686" i="10"/>
  <c r="BE752" i="10" s="1"/>
  <c r="BE688" i="10"/>
  <c r="BE754" i="10" s="1"/>
  <c r="BH685" i="10"/>
  <c r="BH686" i="10"/>
  <c r="BH752" i="10" s="1"/>
  <c r="BH688" i="10"/>
  <c r="BH754" i="10" s="1"/>
  <c r="BH689" i="10"/>
  <c r="BH755" i="10" s="1"/>
  <c r="BH691" i="10"/>
  <c r="BH757" i="10" s="1"/>
  <c r="BI685" i="10"/>
  <c r="BI751" i="10" s="1"/>
  <c r="BI686" i="10"/>
  <c r="BI688" i="10"/>
  <c r="BI754" i="10" s="1"/>
  <c r="BI689" i="10"/>
  <c r="BI755" i="10" s="1"/>
  <c r="BI691" i="10"/>
  <c r="BL685" i="10"/>
  <c r="BL686" i="10"/>
  <c r="BL688" i="10"/>
  <c r="BL689" i="10"/>
  <c r="BL755" i="10" s="1"/>
  <c r="BL691" i="10"/>
  <c r="BM685" i="10"/>
  <c r="BM751" i="10" s="1"/>
  <c r="BM686" i="10"/>
  <c r="BM752" i="10" s="1"/>
  <c r="BM688" i="10"/>
  <c r="BM754" i="10" s="1"/>
  <c r="BM689" i="10"/>
  <c r="BM691" i="10"/>
  <c r="BM757" i="10" s="1"/>
  <c r="BP685" i="10"/>
  <c r="BP686" i="10"/>
  <c r="BP752" i="10" s="1"/>
  <c r="BP688" i="10"/>
  <c r="BP689" i="10"/>
  <c r="BP691" i="10"/>
  <c r="BQ685" i="10"/>
  <c r="BQ751" i="10" s="1"/>
  <c r="BQ686" i="10"/>
  <c r="BQ688" i="10"/>
  <c r="BQ754" i="10" s="1"/>
  <c r="BQ689" i="10"/>
  <c r="BQ755" i="10" s="1"/>
  <c r="BQ691" i="10"/>
  <c r="BQ757" i="10" s="1"/>
  <c r="BT685" i="10"/>
  <c r="BT686" i="10"/>
  <c r="BT752" i="10" s="1"/>
  <c r="BT688" i="10"/>
  <c r="BT689" i="10"/>
  <c r="BT691" i="10"/>
  <c r="BU685" i="10"/>
  <c r="BU751" i="10" s="1"/>
  <c r="BU686" i="10"/>
  <c r="BU752" i="10" s="1"/>
  <c r="BU688" i="10"/>
  <c r="BU754" i="10" s="1"/>
  <c r="BU689" i="10"/>
  <c r="BU755" i="10" s="1"/>
  <c r="BU691" i="10"/>
  <c r="BU757" i="10" s="1"/>
  <c r="BX685" i="10"/>
  <c r="BX686" i="10"/>
  <c r="BX752" i="10" s="1"/>
  <c r="BX687" i="10"/>
  <c r="BX753" i="10" s="1"/>
  <c r="BX688" i="10"/>
  <c r="BX754" i="10" s="1"/>
  <c r="BX689" i="10"/>
  <c r="BX755" i="10" s="1"/>
  <c r="BX691" i="10"/>
  <c r="BY685" i="10"/>
  <c r="BY751" i="10" s="1"/>
  <c r="BY686" i="10"/>
  <c r="BY752" i="10" s="1"/>
  <c r="BY687" i="10"/>
  <c r="BY688" i="10"/>
  <c r="BY754" i="10" s="1"/>
  <c r="BY689" i="10"/>
  <c r="BY755" i="10" s="1"/>
  <c r="BY691" i="10"/>
  <c r="BY757" i="10" s="1"/>
  <c r="CB685" i="10"/>
  <c r="CB686" i="10"/>
  <c r="CB752" i="10" s="1"/>
  <c r="CB687" i="10"/>
  <c r="CB753" i="10" s="1"/>
  <c r="CB688" i="10"/>
  <c r="CB689" i="10"/>
  <c r="CB755" i="10" s="1"/>
  <c r="CB691" i="10"/>
  <c r="CB757" i="10" s="1"/>
  <c r="CC685" i="10"/>
  <c r="CC751" i="10" s="1"/>
  <c r="CC686" i="10"/>
  <c r="CC752" i="10" s="1"/>
  <c r="CC687" i="10"/>
  <c r="CC688" i="10"/>
  <c r="CC754" i="10" s="1"/>
  <c r="CC689" i="10"/>
  <c r="CC691" i="10"/>
  <c r="CC757" i="10" s="1"/>
  <c r="CF685" i="10"/>
  <c r="CF751" i="10" s="1"/>
  <c r="CF686" i="10"/>
  <c r="CF752" i="10" s="1"/>
  <c r="CF687" i="10"/>
  <c r="CF753" i="10" s="1"/>
  <c r="CF688" i="10"/>
  <c r="CF754" i="10" s="1"/>
  <c r="CF689" i="10"/>
  <c r="CF755" i="10" s="1"/>
  <c r="CF691" i="10"/>
  <c r="CG685" i="10"/>
  <c r="CG686" i="10"/>
  <c r="CG687" i="10"/>
  <c r="CG688" i="10"/>
  <c r="CG754" i="10" s="1"/>
  <c r="CG689" i="10"/>
  <c r="CG691" i="10"/>
  <c r="CG757" i="10" s="1"/>
  <c r="CJ686" i="10"/>
  <c r="CJ688" i="10"/>
  <c r="CJ754" i="10" s="1"/>
  <c r="CJ689" i="10"/>
  <c r="CJ755" i="10" s="1"/>
  <c r="CJ691" i="10"/>
  <c r="CJ757" i="10" s="1"/>
  <c r="CK686" i="10"/>
  <c r="CK752" i="10" s="1"/>
  <c r="CK688" i="10"/>
  <c r="CK689" i="10"/>
  <c r="CK755" i="10" s="1"/>
  <c r="CK691" i="10"/>
  <c r="CN685" i="10"/>
  <c r="CN686" i="10"/>
  <c r="CN752" i="10" s="1"/>
  <c r="CN687" i="10"/>
  <c r="CN753" i="10" s="1"/>
  <c r="CN688" i="10"/>
  <c r="CN754" i="10" s="1"/>
  <c r="CN689" i="10"/>
  <c r="CN755" i="10" s="1"/>
  <c r="CN691" i="10"/>
  <c r="CN757" i="10" s="1"/>
  <c r="CO685" i="10"/>
  <c r="CO751" i="10" s="1"/>
  <c r="CO686" i="10"/>
  <c r="CO752" i="10" s="1"/>
  <c r="CO687" i="10"/>
  <c r="CO753" i="10" s="1"/>
  <c r="CO688" i="10"/>
  <c r="CO754" i="10" s="1"/>
  <c r="CO689" i="10"/>
  <c r="CO691" i="10"/>
  <c r="CO757" i="10" s="1"/>
  <c r="CR685" i="10"/>
  <c r="CR686" i="10"/>
  <c r="CR687" i="10"/>
  <c r="CR688" i="10"/>
  <c r="CR754" i="10" s="1"/>
  <c r="CR689" i="10"/>
  <c r="CR755" i="10" s="1"/>
  <c r="CR691" i="10"/>
  <c r="CR757" i="10" s="1"/>
  <c r="CS685" i="10"/>
  <c r="CS751" i="10" s="1"/>
  <c r="CS686" i="10"/>
  <c r="CS752" i="10" s="1"/>
  <c r="CS687" i="10"/>
  <c r="CS753" i="10" s="1"/>
  <c r="CS688" i="10"/>
  <c r="CS754" i="10" s="1"/>
  <c r="CS689" i="10"/>
  <c r="CS691" i="10"/>
  <c r="CV685" i="10"/>
  <c r="CV686" i="10"/>
  <c r="CV752" i="10" s="1"/>
  <c r="CV687" i="10"/>
  <c r="CV688" i="10"/>
  <c r="CV754" i="10" s="1"/>
  <c r="CV689" i="10"/>
  <c r="CV755" i="10" s="1"/>
  <c r="CV691" i="10"/>
  <c r="CV757" i="10" s="1"/>
  <c r="CW685" i="10"/>
  <c r="CW751" i="10" s="1"/>
  <c r="CW686" i="10"/>
  <c r="CW752" i="10" s="1"/>
  <c r="CW687" i="10"/>
  <c r="CW753" i="10" s="1"/>
  <c r="CW688" i="10"/>
  <c r="CW689" i="10"/>
  <c r="CW755" i="10" s="1"/>
  <c r="CW691" i="10"/>
  <c r="CZ685" i="10"/>
  <c r="CZ686" i="10"/>
  <c r="CZ752" i="10" s="1"/>
  <c r="CZ687" i="10"/>
  <c r="CZ753" i="10" s="1"/>
  <c r="CZ688" i="10"/>
  <c r="CZ754" i="10" s="1"/>
  <c r="CZ689" i="10"/>
  <c r="CZ755" i="10" s="1"/>
  <c r="CZ691" i="10"/>
  <c r="CZ757" i="10" s="1"/>
  <c r="DA685" i="10"/>
  <c r="DA751" i="10" s="1"/>
  <c r="DA686" i="10"/>
  <c r="DA752" i="10" s="1"/>
  <c r="DA687" i="10"/>
  <c r="DA753" i="10" s="1"/>
  <c r="DA688" i="10"/>
  <c r="DA754" i="10" s="1"/>
  <c r="DA689" i="10"/>
  <c r="DA755" i="10" s="1"/>
  <c r="DA691" i="10"/>
  <c r="AP22" i="10"/>
  <c r="BH1129" i="10"/>
  <c r="BH1130" i="10"/>
  <c r="BH1132" i="10"/>
  <c r="BH1133" i="10"/>
  <c r="BH1134" i="10"/>
  <c r="BH1135" i="10"/>
  <c r="BI1129" i="10"/>
  <c r="BI1130" i="10"/>
  <c r="BI1132" i="10"/>
  <c r="BI1133" i="10"/>
  <c r="BI1134" i="10"/>
  <c r="BI1135" i="10"/>
  <c r="BL1129" i="10"/>
  <c r="BL1130" i="10"/>
  <c r="BL1132" i="10"/>
  <c r="BL1133" i="10"/>
  <c r="BL1134" i="10"/>
  <c r="BL1135" i="10"/>
  <c r="BM1129" i="10"/>
  <c r="BM1130" i="10"/>
  <c r="BM1132" i="10"/>
  <c r="BM1133" i="10"/>
  <c r="BM1134" i="10"/>
  <c r="BM1135" i="10"/>
  <c r="BP1129" i="10"/>
  <c r="BP1130" i="10"/>
  <c r="BP1132" i="10"/>
  <c r="BP1133" i="10"/>
  <c r="BP1134" i="10"/>
  <c r="BP1135" i="10"/>
  <c r="BQ1129" i="10"/>
  <c r="BQ1130" i="10"/>
  <c r="BQ1132" i="10"/>
  <c r="BQ1133" i="10"/>
  <c r="BQ1134" i="10"/>
  <c r="BQ1135" i="10"/>
  <c r="BT1129" i="10"/>
  <c r="BT1130" i="10"/>
  <c r="BT1132" i="10"/>
  <c r="BT1133" i="10"/>
  <c r="BT1134" i="10"/>
  <c r="BT1135" i="10"/>
  <c r="BU1129" i="10"/>
  <c r="BU1130" i="10"/>
  <c r="BU1132" i="10"/>
  <c r="BU1133" i="10"/>
  <c r="BU1134" i="10"/>
  <c r="BU1135" i="10"/>
  <c r="BX1129" i="10"/>
  <c r="BX1130" i="10"/>
  <c r="BX1131" i="10"/>
  <c r="BX1132" i="10"/>
  <c r="BX1133" i="10"/>
  <c r="BX1135" i="10"/>
  <c r="BY1129" i="10"/>
  <c r="BY1130" i="10"/>
  <c r="BY1131" i="10"/>
  <c r="BY1132" i="10"/>
  <c r="BY1133" i="10"/>
  <c r="BY1135" i="10"/>
  <c r="CB1129" i="10"/>
  <c r="CB1130" i="10"/>
  <c r="CB1131" i="10"/>
  <c r="CB1132" i="10"/>
  <c r="CB1133" i="10"/>
  <c r="CB1135" i="10"/>
  <c r="CC1129" i="10"/>
  <c r="CC1130" i="10"/>
  <c r="CC1131" i="10"/>
  <c r="CC1132" i="10"/>
  <c r="CC1133" i="10"/>
  <c r="CC1135" i="10"/>
  <c r="CF1129" i="10"/>
  <c r="CF1130" i="10"/>
  <c r="CF1131" i="10"/>
  <c r="CF1132" i="10"/>
  <c r="CF1133" i="10"/>
  <c r="CF1135" i="10"/>
  <c r="CG1129" i="10"/>
  <c r="CG1130" i="10"/>
  <c r="CG1131" i="10"/>
  <c r="CG1132" i="10"/>
  <c r="CG1133" i="10"/>
  <c r="CG1135" i="10"/>
  <c r="CJ1130" i="10"/>
  <c r="CJ1132" i="10"/>
  <c r="CJ1133" i="10"/>
  <c r="CJ1135" i="10"/>
  <c r="CK1130" i="10"/>
  <c r="CK1132" i="10"/>
  <c r="CK1133" i="10"/>
  <c r="CK1135" i="10"/>
  <c r="CN1129" i="10"/>
  <c r="CN1130" i="10"/>
  <c r="CN1131" i="10"/>
  <c r="CN1132" i="10"/>
  <c r="CN1133" i="10"/>
  <c r="CN1135" i="10"/>
  <c r="CO1129" i="10"/>
  <c r="CO1130" i="10"/>
  <c r="CO1131" i="10"/>
  <c r="CO1132" i="10"/>
  <c r="CO1133" i="10"/>
  <c r="CO1135" i="10"/>
  <c r="CR1129" i="10"/>
  <c r="CR1130" i="10"/>
  <c r="CR1131" i="10"/>
  <c r="CR1132" i="10"/>
  <c r="CR1133" i="10"/>
  <c r="CR1135" i="10"/>
  <c r="CS1129" i="10"/>
  <c r="CS1130" i="10"/>
  <c r="CS1131" i="10"/>
  <c r="CS1132" i="10"/>
  <c r="CS1133" i="10"/>
  <c r="CS1135" i="10"/>
  <c r="CV1129" i="10"/>
  <c r="CV1130" i="10"/>
  <c r="CV1131" i="10"/>
  <c r="CV1132" i="10"/>
  <c r="CV1133" i="10"/>
  <c r="CV1135" i="10"/>
  <c r="CW1129" i="10"/>
  <c r="CW1130" i="10"/>
  <c r="CW1131" i="10"/>
  <c r="CW1132" i="10"/>
  <c r="CW1133" i="10"/>
  <c r="CW1135" i="10"/>
  <c r="CZ1129" i="10"/>
  <c r="CZ1130" i="10"/>
  <c r="CZ1131" i="10"/>
  <c r="CZ1132" i="10"/>
  <c r="CZ1133" i="10"/>
  <c r="CZ1135" i="10"/>
  <c r="DA1129" i="10"/>
  <c r="DA1130" i="10"/>
  <c r="DA1131" i="10"/>
  <c r="DA1132" i="10"/>
  <c r="DA1133" i="10"/>
  <c r="DA1135" i="10"/>
  <c r="DI1132" i="10"/>
  <c r="DL1132" i="10"/>
  <c r="DM1132" i="10"/>
  <c r="AP23" i="10"/>
  <c r="BD1160" i="10"/>
  <c r="BD23" i="10" s="1"/>
  <c r="J14" i="41" s="1"/>
  <c r="BE1160" i="10"/>
  <c r="BE23" i="10" s="1"/>
  <c r="K14" i="41" s="1"/>
  <c r="BH1159" i="10"/>
  <c r="BH1168" i="10" s="1"/>
  <c r="BI1159" i="10"/>
  <c r="BI1160" i="10" s="1"/>
  <c r="BI23" i="10" s="1"/>
  <c r="O14" i="41" s="1"/>
  <c r="BL1159" i="10"/>
  <c r="BL1160" i="10" s="1"/>
  <c r="BL23" i="10" s="1"/>
  <c r="R14" i="41" s="1"/>
  <c r="BM1159" i="10"/>
  <c r="BM1160" i="10" s="1"/>
  <c r="BP1159" i="10"/>
  <c r="BQ1159" i="10"/>
  <c r="BT1159" i="10"/>
  <c r="BT1160" i="10" s="1"/>
  <c r="BT23" i="10" s="1"/>
  <c r="Z14" i="41" s="1"/>
  <c r="BU1156" i="10"/>
  <c r="BU1165" i="10" s="1"/>
  <c r="BU1159" i="10"/>
  <c r="BX1159" i="10"/>
  <c r="BX1160" i="10" s="1"/>
  <c r="BX23" i="10" s="1"/>
  <c r="BX951" i="10" s="1"/>
  <c r="BX1017" i="10" s="1"/>
  <c r="BY1159" i="10"/>
  <c r="CB1159" i="10"/>
  <c r="CB1160" i="10" s="1"/>
  <c r="CB23" i="10" s="1"/>
  <c r="CB951" i="10" s="1"/>
  <c r="CB1017" i="10" s="1"/>
  <c r="CC1159" i="10"/>
  <c r="CF1159" i="10"/>
  <c r="CF1160" i="10" s="1"/>
  <c r="CF23" i="10" s="1"/>
  <c r="CF951" i="10" s="1"/>
  <c r="CF1017" i="10" s="1"/>
  <c r="CG1159" i="10"/>
  <c r="CG1160" i="10" s="1"/>
  <c r="CG23" i="10" s="1"/>
  <c r="CG951" i="10" s="1"/>
  <c r="CJ1159" i="10"/>
  <c r="CK1159" i="10"/>
  <c r="CK1160" i="10" s="1"/>
  <c r="CK23" i="10" s="1"/>
  <c r="CK951" i="10" s="1"/>
  <c r="CK1017" i="10" s="1"/>
  <c r="CN1159" i="10"/>
  <c r="CN1160" i="10" s="1"/>
  <c r="CN23" i="10" s="1"/>
  <c r="CN951" i="10" s="1"/>
  <c r="CN1017" i="10" s="1"/>
  <c r="CO1159" i="10"/>
  <c r="CR1159" i="10"/>
  <c r="CR1160" i="10" s="1"/>
  <c r="CR23" i="10" s="1"/>
  <c r="CR951" i="10" s="1"/>
  <c r="CR1017" i="10" s="1"/>
  <c r="CS1159" i="10"/>
  <c r="CS1160" i="10" s="1"/>
  <c r="CS23" i="10" s="1"/>
  <c r="CS951" i="10" s="1"/>
  <c r="CS1017" i="10" s="1"/>
  <c r="CV1159" i="10"/>
  <c r="CV1160" i="10" s="1"/>
  <c r="CV23" i="10" s="1"/>
  <c r="CV951" i="10" s="1"/>
  <c r="CV1017" i="10" s="1"/>
  <c r="CW1159" i="10"/>
  <c r="CZ1159" i="10"/>
  <c r="CZ1160" i="10" s="1"/>
  <c r="CZ23" i="10" s="1"/>
  <c r="BF14" i="41" s="1"/>
  <c r="DI1176" i="10"/>
  <c r="DL1176" i="10"/>
  <c r="DM1176" i="10"/>
  <c r="AN24" i="10"/>
  <c r="AN25" i="10" s="1"/>
  <c r="AO24" i="10"/>
  <c r="AO25" i="10" s="1"/>
  <c r="AP26" i="10"/>
  <c r="AT26" i="10"/>
  <c r="AV1201" i="10"/>
  <c r="AV1202" i="10"/>
  <c r="AV1204" i="10"/>
  <c r="AV1205" i="10"/>
  <c r="AV1206" i="10"/>
  <c r="AV1207" i="10"/>
  <c r="AW1201" i="10"/>
  <c r="AW1202" i="10"/>
  <c r="AW1204" i="10"/>
  <c r="AW1205" i="10"/>
  <c r="AW1206" i="10"/>
  <c r="AW1207" i="10"/>
  <c r="AZ1201" i="10"/>
  <c r="AZ1202" i="10"/>
  <c r="AZ1204" i="10"/>
  <c r="AZ1205" i="10"/>
  <c r="AZ1206" i="10"/>
  <c r="AZ1207" i="10"/>
  <c r="BA1201" i="10"/>
  <c r="BA1202" i="10"/>
  <c r="BA1204" i="10"/>
  <c r="BA1205" i="10"/>
  <c r="BA1206" i="10"/>
  <c r="BA1207" i="10"/>
  <c r="BD1201" i="10"/>
  <c r="BD1202" i="10"/>
  <c r="BD1204" i="10"/>
  <c r="BD1205" i="10"/>
  <c r="BD1206" i="10"/>
  <c r="BD1207" i="10"/>
  <c r="BE1201" i="10"/>
  <c r="BE1202" i="10"/>
  <c r="BE1204" i="10"/>
  <c r="BE1205" i="10"/>
  <c r="BE1206" i="10"/>
  <c r="BE1207" i="10"/>
  <c r="BH1201" i="10"/>
  <c r="BH1202" i="10"/>
  <c r="BH1204" i="10"/>
  <c r="BH1205" i="10"/>
  <c r="BH1206" i="10"/>
  <c r="BH1207" i="10"/>
  <c r="BI1201" i="10"/>
  <c r="BI1202" i="10"/>
  <c r="BI1204" i="10"/>
  <c r="BI1205" i="10"/>
  <c r="BI1206" i="10"/>
  <c r="BI1207" i="10"/>
  <c r="BL1201" i="10"/>
  <c r="BL1202" i="10"/>
  <c r="BL1204" i="10"/>
  <c r="BL1205" i="10"/>
  <c r="BL1206" i="10"/>
  <c r="BL1207" i="10"/>
  <c r="BM1201" i="10"/>
  <c r="BM1202" i="10"/>
  <c r="BM1204" i="10"/>
  <c r="BM1205" i="10"/>
  <c r="BM1206" i="10"/>
  <c r="BM1207" i="10"/>
  <c r="BP1201" i="10"/>
  <c r="BP1202" i="10"/>
  <c r="BP1204" i="10"/>
  <c r="BP1205" i="10"/>
  <c r="BP1206" i="10"/>
  <c r="BP1207" i="10"/>
  <c r="BQ1201" i="10"/>
  <c r="BQ1202" i="10"/>
  <c r="BQ1204" i="10"/>
  <c r="BQ1205" i="10"/>
  <c r="BQ1206" i="10"/>
  <c r="BQ1207" i="10"/>
  <c r="BT1201" i="10"/>
  <c r="BT1202" i="10"/>
  <c r="BT1204" i="10"/>
  <c r="BT1205" i="10"/>
  <c r="BT1206" i="10"/>
  <c r="BT1207" i="10"/>
  <c r="BU1201" i="10"/>
  <c r="BU1202" i="10"/>
  <c r="BU1204" i="10"/>
  <c r="BU1205" i="10"/>
  <c r="BU1206" i="10"/>
  <c r="BU1207" i="10"/>
  <c r="BX1201" i="10"/>
  <c r="BX1202" i="10"/>
  <c r="BX1203" i="10"/>
  <c r="BX1204" i="10"/>
  <c r="BX1205" i="10"/>
  <c r="BX1206" i="10"/>
  <c r="BX1207" i="10"/>
  <c r="BY1201" i="10"/>
  <c r="BY1202" i="10"/>
  <c r="BY1203" i="10"/>
  <c r="BY1204" i="10"/>
  <c r="BY1205" i="10"/>
  <c r="BY1206" i="10"/>
  <c r="BY1207" i="10"/>
  <c r="CB1201" i="10"/>
  <c r="CB1202" i="10"/>
  <c r="CB1203" i="10"/>
  <c r="CB1204" i="10"/>
  <c r="CB1205" i="10"/>
  <c r="CB1206" i="10"/>
  <c r="CB1207" i="10"/>
  <c r="CC1201" i="10"/>
  <c r="CC1202" i="10"/>
  <c r="CC1203" i="10"/>
  <c r="CC1204" i="10"/>
  <c r="CC1205" i="10"/>
  <c r="CC1206" i="10"/>
  <c r="CC1207" i="10"/>
  <c r="CF1201" i="10"/>
  <c r="CF1202" i="10"/>
  <c r="CF1203" i="10"/>
  <c r="CF1204" i="10"/>
  <c r="CF1205" i="10"/>
  <c r="CF1206" i="10"/>
  <c r="CF1207" i="10"/>
  <c r="CG1201" i="10"/>
  <c r="CG1202" i="10"/>
  <c r="CG1203" i="10"/>
  <c r="CG1204" i="10"/>
  <c r="CG1205" i="10"/>
  <c r="CG1206" i="10"/>
  <c r="CG1207" i="10"/>
  <c r="CJ1201" i="10"/>
  <c r="CJ1202" i="10"/>
  <c r="CJ1203" i="10"/>
  <c r="CJ1205" i="10"/>
  <c r="CJ1207" i="10"/>
  <c r="CK1201" i="10"/>
  <c r="CK1202" i="10"/>
  <c r="CK1203" i="10"/>
  <c r="CK1204" i="10"/>
  <c r="CK1205" i="10"/>
  <c r="CK1206" i="10"/>
  <c r="CK1207" i="10"/>
  <c r="CN1201" i="10"/>
  <c r="CN1202" i="10"/>
  <c r="CN1203" i="10"/>
  <c r="CN1205" i="10"/>
  <c r="CN1207" i="10"/>
  <c r="CO1201" i="10"/>
  <c r="CO1202" i="10"/>
  <c r="CO1203" i="10"/>
  <c r="CO1204" i="10"/>
  <c r="CO1205" i="10"/>
  <c r="CO1206" i="10"/>
  <c r="CO1207" i="10"/>
  <c r="CR1201" i="10"/>
  <c r="CR1202" i="10"/>
  <c r="CR1203" i="10"/>
  <c r="CR1205" i="10"/>
  <c r="CR1207" i="10"/>
  <c r="CS1201" i="10"/>
  <c r="CS1202" i="10"/>
  <c r="CS1203" i="10"/>
  <c r="CS1204" i="10"/>
  <c r="CS1205" i="10"/>
  <c r="CS1206" i="10"/>
  <c r="CS1207" i="10"/>
  <c r="CV1201" i="10"/>
  <c r="CV1202" i="10"/>
  <c r="CV1203" i="10"/>
  <c r="CV1205" i="10"/>
  <c r="CV1207" i="10"/>
  <c r="CW1201" i="10"/>
  <c r="CW1202" i="10"/>
  <c r="CW1203" i="10"/>
  <c r="CW1205" i="10"/>
  <c r="CW1207" i="10"/>
  <c r="CZ1201" i="10"/>
  <c r="CZ1202" i="10"/>
  <c r="CZ1203" i="10"/>
  <c r="CZ1205" i="10"/>
  <c r="CZ1207" i="10"/>
  <c r="DA1201" i="10"/>
  <c r="DA1202" i="10"/>
  <c r="DA1203" i="10"/>
  <c r="DA1205" i="10"/>
  <c r="DA1207" i="10"/>
  <c r="DI1208" i="10"/>
  <c r="DI26" i="10" s="1"/>
  <c r="DL1208" i="10"/>
  <c r="DM1208" i="10"/>
  <c r="DM26" i="10" s="1"/>
  <c r="AP27" i="10"/>
  <c r="AP1224" i="10" s="1"/>
  <c r="AT27" i="10"/>
  <c r="AT1224" i="10" s="1"/>
  <c r="AV27" i="10"/>
  <c r="AV1224" i="10" s="1"/>
  <c r="AW27" i="10"/>
  <c r="AW1224" i="10" s="1"/>
  <c r="AZ27" i="10"/>
  <c r="AZ1224" i="10" s="1"/>
  <c r="BA27" i="10"/>
  <c r="BA1224" i="10" s="1"/>
  <c r="BD27" i="10"/>
  <c r="BD1224" i="10" s="1"/>
  <c r="BE27" i="10"/>
  <c r="BE1224" i="10" s="1"/>
  <c r="BH27" i="10"/>
  <c r="N17" i="41" s="1"/>
  <c r="BI27" i="10"/>
  <c r="BI1224" i="10" s="1"/>
  <c r="BL27" i="10"/>
  <c r="R17" i="41" s="1"/>
  <c r="BM27" i="10"/>
  <c r="BM1224" i="10" s="1"/>
  <c r="BP27" i="10"/>
  <c r="BP1224" i="10" s="1"/>
  <c r="BQ27" i="10"/>
  <c r="BQ1224" i="10" s="1"/>
  <c r="BT27" i="10"/>
  <c r="BT1224" i="10" s="1"/>
  <c r="BU27" i="10"/>
  <c r="BU1224" i="10" s="1"/>
  <c r="BX27" i="10"/>
  <c r="BX1224" i="10" s="1"/>
  <c r="BY27" i="10"/>
  <c r="BY1224" i="10" s="1"/>
  <c r="CB27" i="10"/>
  <c r="CB1224" i="10" s="1"/>
  <c r="CC27" i="10"/>
  <c r="CC1224" i="10" s="1"/>
  <c r="CF27" i="10"/>
  <c r="CF1224" i="10" s="1"/>
  <c r="CG27" i="10"/>
  <c r="AM17" i="41" s="1"/>
  <c r="CJ27" i="10"/>
  <c r="CJ1224" i="10" s="1"/>
  <c r="CK27" i="10"/>
  <c r="CK1224" i="10" s="1"/>
  <c r="CN27" i="10"/>
  <c r="CN1224" i="10" s="1"/>
  <c r="CO27" i="10"/>
  <c r="CO1224" i="10" s="1"/>
  <c r="CR27" i="10"/>
  <c r="AX17" i="41" s="1"/>
  <c r="CS27" i="10"/>
  <c r="CS1224" i="10" s="1"/>
  <c r="CV27" i="10"/>
  <c r="CV1224" i="10" s="1"/>
  <c r="CW27" i="10"/>
  <c r="CW1224" i="10" s="1"/>
  <c r="CZ27" i="10"/>
  <c r="CZ1224" i="10" s="1"/>
  <c r="DA27" i="10"/>
  <c r="DA1224" i="10" s="1"/>
  <c r="AN28" i="10"/>
  <c r="AN1225" i="10" s="1"/>
  <c r="AO28" i="10"/>
  <c r="AO1225" i="10" s="1"/>
  <c r="AT28" i="10"/>
  <c r="AV28" i="10"/>
  <c r="AW28" i="10"/>
  <c r="AZ28" i="10"/>
  <c r="BA28" i="10"/>
  <c r="BD28" i="10"/>
  <c r="BE28" i="10"/>
  <c r="BH28" i="10"/>
  <c r="BI28" i="10"/>
  <c r="BL28" i="10"/>
  <c r="BM28" i="10"/>
  <c r="BP28" i="10"/>
  <c r="BQ28" i="10"/>
  <c r="BT28" i="10"/>
  <c r="BU28" i="10"/>
  <c r="BX28" i="10"/>
  <c r="BY28" i="10"/>
  <c r="CB28" i="10"/>
  <c r="CC28" i="10"/>
  <c r="CF28" i="10"/>
  <c r="CG28" i="10"/>
  <c r="CJ28" i="10"/>
  <c r="CK28" i="10"/>
  <c r="CN28" i="10"/>
  <c r="CO28" i="10"/>
  <c r="CR28" i="10"/>
  <c r="CS28" i="10"/>
  <c r="CV28" i="10"/>
  <c r="CW28" i="10"/>
  <c r="CZ28" i="10"/>
  <c r="DA28" i="10"/>
  <c r="AP29" i="10"/>
  <c r="AT29" i="10"/>
  <c r="AV29" i="10"/>
  <c r="AW29" i="10"/>
  <c r="AZ29" i="10"/>
  <c r="BA29" i="10"/>
  <c r="BD29" i="10"/>
  <c r="BE29" i="10"/>
  <c r="BH29" i="10"/>
  <c r="BI29" i="10"/>
  <c r="BL29" i="10"/>
  <c r="BM29" i="10"/>
  <c r="BP29" i="10"/>
  <c r="BQ29" i="10"/>
  <c r="BT29" i="10"/>
  <c r="BU29" i="10"/>
  <c r="BX29" i="10"/>
  <c r="BY29" i="10"/>
  <c r="CB29" i="10"/>
  <c r="CC29" i="10"/>
  <c r="CF29" i="10"/>
  <c r="CG29" i="10"/>
  <c r="CJ29" i="10"/>
  <c r="CK29" i="10"/>
  <c r="CN29" i="10"/>
  <c r="CO29" i="10"/>
  <c r="CR29" i="10"/>
  <c r="CS29" i="10"/>
  <c r="CV29" i="10"/>
  <c r="CW29" i="10"/>
  <c r="CZ29" i="10"/>
  <c r="DA29" i="10"/>
  <c r="AP31" i="10"/>
  <c r="AT31" i="10"/>
  <c r="AX31" i="10"/>
  <c r="BB31" i="10"/>
  <c r="H21" i="41" s="1"/>
  <c r="BF31" i="10"/>
  <c r="L21" i="41" s="1"/>
  <c r="BJ31" i="10"/>
  <c r="P21" i="41" s="1"/>
  <c r="BN31" i="10"/>
  <c r="T21" i="41" s="1"/>
  <c r="BR31" i="10"/>
  <c r="X21" i="41" s="1"/>
  <c r="BV31" i="10"/>
  <c r="AB21" i="41" s="1"/>
  <c r="BZ31" i="10"/>
  <c r="AF21" i="41" s="1"/>
  <c r="CD31" i="10"/>
  <c r="AJ21" i="41" s="1"/>
  <c r="CH31" i="10"/>
  <c r="AN21" i="41" s="1"/>
  <c r="CL31" i="10"/>
  <c r="AR21" i="41" s="1"/>
  <c r="CP31" i="10"/>
  <c r="AV21" i="41" s="1"/>
  <c r="CT31" i="10"/>
  <c r="AZ21" i="41" s="1"/>
  <c r="CX31" i="10"/>
  <c r="BD21" i="41" s="1"/>
  <c r="DB31" i="10"/>
  <c r="BH21" i="41" s="1"/>
  <c r="BL21" i="41"/>
  <c r="DJ31" i="10"/>
  <c r="BP21" i="41" s="1"/>
  <c r="DN31" i="10"/>
  <c r="BT21" i="41" s="1"/>
  <c r="BX39" i="10"/>
  <c r="CB39" i="10"/>
  <c r="CC39" i="10"/>
  <c r="CF39" i="10"/>
  <c r="CG39" i="10"/>
  <c r="CJ39" i="10"/>
  <c r="CN39" i="10"/>
  <c r="CO39" i="10"/>
  <c r="CR39" i="10"/>
  <c r="CS39" i="10"/>
  <c r="CV39" i="10"/>
  <c r="CW39" i="10"/>
  <c r="CZ39" i="10"/>
  <c r="DA39" i="10"/>
  <c r="BX43" i="10"/>
  <c r="BY43" i="10"/>
  <c r="CB43" i="10"/>
  <c r="CC43" i="10"/>
  <c r="CF43" i="10"/>
  <c r="CG43" i="10"/>
  <c r="CN43" i="10"/>
  <c r="CO43" i="10"/>
  <c r="CR43" i="10"/>
  <c r="CS43" i="10"/>
  <c r="CV43" i="10"/>
  <c r="CW43" i="10"/>
  <c r="CZ43" i="10"/>
  <c r="DA43" i="10"/>
  <c r="BX44" i="10"/>
  <c r="BY44" i="10"/>
  <c r="CB44" i="10"/>
  <c r="CC44" i="10"/>
  <c r="CF44" i="10"/>
  <c r="CG44" i="10"/>
  <c r="CN44" i="10"/>
  <c r="CO44" i="10"/>
  <c r="CR44" i="10"/>
  <c r="CS44" i="10"/>
  <c r="CV44" i="10"/>
  <c r="CW44" i="10"/>
  <c r="CZ44" i="10"/>
  <c r="DA44" i="10"/>
  <c r="AN58" i="10"/>
  <c r="AO58" i="10"/>
  <c r="AR58" i="10"/>
  <c r="AS58" i="10"/>
  <c r="AV58" i="10"/>
  <c r="AW58" i="10"/>
  <c r="AZ58" i="10"/>
  <c r="BA58" i="10"/>
  <c r="BD58" i="10"/>
  <c r="BE58" i="10"/>
  <c r="BH58" i="10"/>
  <c r="BI58" i="10"/>
  <c r="BL58" i="10"/>
  <c r="BM58" i="10"/>
  <c r="BP58" i="10"/>
  <c r="BQ58" i="10"/>
  <c r="BT58" i="10"/>
  <c r="BU58" i="10"/>
  <c r="BX58" i="10"/>
  <c r="BY58" i="10"/>
  <c r="CB58" i="10"/>
  <c r="CC58" i="10"/>
  <c r="CF58" i="10"/>
  <c r="CG58" i="10"/>
  <c r="CJ58" i="10"/>
  <c r="CK58" i="10"/>
  <c r="CN58" i="10"/>
  <c r="CO58" i="10"/>
  <c r="CR58" i="10"/>
  <c r="CS58" i="10"/>
  <c r="CV58" i="10"/>
  <c r="CW58" i="10"/>
  <c r="CZ58" i="10"/>
  <c r="DA58" i="10"/>
  <c r="AN59" i="10"/>
  <c r="AO59" i="10"/>
  <c r="AR59" i="10"/>
  <c r="AS59" i="10"/>
  <c r="AV59" i="10"/>
  <c r="AW59" i="10"/>
  <c r="AZ59" i="10"/>
  <c r="BA59" i="10"/>
  <c r="BD59" i="10"/>
  <c r="BE59" i="10"/>
  <c r="BH59" i="10"/>
  <c r="BI59" i="10"/>
  <c r="BL59" i="10"/>
  <c r="BM59" i="10"/>
  <c r="BP59" i="10"/>
  <c r="BQ59" i="10"/>
  <c r="BT59" i="10"/>
  <c r="BU59" i="10"/>
  <c r="BX59" i="10"/>
  <c r="BY59" i="10"/>
  <c r="CB59" i="10"/>
  <c r="CC59" i="10"/>
  <c r="CF59" i="10"/>
  <c r="CG59" i="10"/>
  <c r="CJ59" i="10"/>
  <c r="CK59" i="10"/>
  <c r="CN59" i="10"/>
  <c r="CO59" i="10"/>
  <c r="CR59" i="10"/>
  <c r="CS59" i="10"/>
  <c r="CV59" i="10"/>
  <c r="CW59" i="10"/>
  <c r="CX59" i="10"/>
  <c r="CZ59" i="10"/>
  <c r="DA59" i="10"/>
  <c r="DI77" i="10"/>
  <c r="DL77" i="10"/>
  <c r="DM77" i="10"/>
  <c r="AN61" i="10"/>
  <c r="AO61" i="10"/>
  <c r="AR61" i="10"/>
  <c r="AS61" i="10"/>
  <c r="AV61" i="10"/>
  <c r="AW61" i="10"/>
  <c r="AZ61" i="10"/>
  <c r="BA61" i="10"/>
  <c r="BD61" i="10"/>
  <c r="BE61" i="10"/>
  <c r="BH61" i="10"/>
  <c r="BI61" i="10"/>
  <c r="BL61" i="10"/>
  <c r="BM61" i="10"/>
  <c r="BP61" i="10"/>
  <c r="BQ61" i="10"/>
  <c r="BT61" i="10"/>
  <c r="BU61" i="10"/>
  <c r="BX61" i="10"/>
  <c r="BY61" i="10"/>
  <c r="CB61" i="10"/>
  <c r="CC61" i="10"/>
  <c r="CF61" i="10"/>
  <c r="CG61" i="10"/>
  <c r="CJ61" i="10"/>
  <c r="CK61" i="10"/>
  <c r="CN61" i="10"/>
  <c r="CO61" i="10"/>
  <c r="CR61" i="10"/>
  <c r="CS61" i="10"/>
  <c r="CV61" i="10"/>
  <c r="CW61" i="10"/>
  <c r="DA61" i="10"/>
  <c r="AP63" i="10"/>
  <c r="AT63" i="10"/>
  <c r="AX63" i="10"/>
  <c r="BB63" i="10"/>
  <c r="BF63" i="10"/>
  <c r="BJ63" i="10"/>
  <c r="BM63" i="10"/>
  <c r="BQ63" i="10"/>
  <c r="BU63" i="10"/>
  <c r="BU64" i="10" s="1"/>
  <c r="BY63" i="10"/>
  <c r="CC63" i="10"/>
  <c r="CF63" i="10"/>
  <c r="CG63" i="10"/>
  <c r="CJ63" i="10"/>
  <c r="CN63" i="10"/>
  <c r="CR63" i="10"/>
  <c r="CV63" i="10"/>
  <c r="CZ63" i="10"/>
  <c r="AN64" i="10"/>
  <c r="AO64" i="10"/>
  <c r="AR64" i="10"/>
  <c r="AS64" i="10"/>
  <c r="AV64" i="10"/>
  <c r="AW64" i="10"/>
  <c r="AZ64" i="10"/>
  <c r="BA64" i="10"/>
  <c r="BD64" i="10"/>
  <c r="BE64" i="10"/>
  <c r="BH64" i="10"/>
  <c r="BI64" i="10"/>
  <c r="BL64" i="10"/>
  <c r="BP64" i="10"/>
  <c r="BT64" i="10"/>
  <c r="BX65" i="10"/>
  <c r="BX64" i="10" s="1"/>
  <c r="BY65" i="10"/>
  <c r="CB65" i="10"/>
  <c r="CC65" i="10"/>
  <c r="CF65" i="10"/>
  <c r="CG65" i="10"/>
  <c r="CJ65" i="10"/>
  <c r="CK65" i="10"/>
  <c r="CN65" i="10"/>
  <c r="CO65" i="10"/>
  <c r="CR65" i="10"/>
  <c r="CS65" i="10"/>
  <c r="CV65" i="10"/>
  <c r="CW65" i="10"/>
  <c r="CZ65" i="10"/>
  <c r="DA65" i="10"/>
  <c r="AP65" i="10"/>
  <c r="AT65" i="10"/>
  <c r="AX65" i="10"/>
  <c r="BB65" i="10"/>
  <c r="BF65" i="10"/>
  <c r="BJ65" i="10"/>
  <c r="BN65" i="10"/>
  <c r="BR65" i="10"/>
  <c r="BV65" i="10"/>
  <c r="AV74" i="10"/>
  <c r="AW74" i="10"/>
  <c r="AZ74" i="10"/>
  <c r="BA74" i="10"/>
  <c r="BD74" i="10"/>
  <c r="BE74" i="10"/>
  <c r="BH74" i="10"/>
  <c r="BI74" i="10"/>
  <c r="BL74" i="10"/>
  <c r="BM74" i="10"/>
  <c r="BP74" i="10"/>
  <c r="BQ74" i="10"/>
  <c r="BT74" i="10"/>
  <c r="BU74" i="10"/>
  <c r="BX74" i="10"/>
  <c r="BY74" i="10"/>
  <c r="CB74" i="10"/>
  <c r="CC74" i="10"/>
  <c r="CF74" i="10"/>
  <c r="CG74" i="10"/>
  <c r="CN74" i="10"/>
  <c r="CO74" i="10"/>
  <c r="CR74" i="10"/>
  <c r="CS74" i="10"/>
  <c r="CV74" i="10"/>
  <c r="CW74" i="10"/>
  <c r="CZ74" i="10"/>
  <c r="DA74" i="10"/>
  <c r="AV75" i="10"/>
  <c r="AW75" i="10"/>
  <c r="AZ75" i="10"/>
  <c r="BA75" i="10"/>
  <c r="BM75" i="10"/>
  <c r="BP75" i="10"/>
  <c r="BQ75" i="10"/>
  <c r="BT75" i="10"/>
  <c r="BU75" i="10"/>
  <c r="BX75" i="10"/>
  <c r="CB75" i="10"/>
  <c r="CC75" i="10"/>
  <c r="CF75" i="10"/>
  <c r="CG75" i="10"/>
  <c r="CJ75" i="10"/>
  <c r="CK75" i="10"/>
  <c r="CN75" i="10"/>
  <c r="CO75" i="10"/>
  <c r="CR75" i="10"/>
  <c r="CS75" i="10"/>
  <c r="CV75" i="10"/>
  <c r="CW75" i="10"/>
  <c r="CZ75" i="10"/>
  <c r="DA75" i="10"/>
  <c r="AV77" i="10"/>
  <c r="AW77" i="10"/>
  <c r="AZ77" i="10"/>
  <c r="BA77" i="10"/>
  <c r="BD77" i="10"/>
  <c r="BE77" i="10"/>
  <c r="BM77" i="10"/>
  <c r="BP77" i="10"/>
  <c r="BQ77" i="10"/>
  <c r="BT77" i="10"/>
  <c r="BU77" i="10"/>
  <c r="BX77" i="10"/>
  <c r="CB77" i="10"/>
  <c r="CC77" i="10"/>
  <c r="CF77" i="10"/>
  <c r="CG77" i="10"/>
  <c r="CH77" i="10"/>
  <c r="CJ77" i="10"/>
  <c r="CK77" i="10"/>
  <c r="CL77" i="10"/>
  <c r="CN77" i="10"/>
  <c r="CO77" i="10"/>
  <c r="CP77" i="10"/>
  <c r="CR77" i="10"/>
  <c r="CS77" i="10"/>
  <c r="CT77" i="10"/>
  <c r="CV77" i="10"/>
  <c r="CW77" i="10"/>
  <c r="CX77" i="10"/>
  <c r="CZ77" i="10"/>
  <c r="DA77" i="10"/>
  <c r="DB77" i="10"/>
  <c r="DJ77" i="10"/>
  <c r="DN77" i="10"/>
  <c r="AV78" i="10"/>
  <c r="AW78" i="10"/>
  <c r="AZ78" i="10"/>
  <c r="BA78" i="10"/>
  <c r="BM78" i="10"/>
  <c r="BP78" i="10"/>
  <c r="BQ78" i="10"/>
  <c r="BT78" i="10"/>
  <c r="BU78" i="10"/>
  <c r="BX78" i="10"/>
  <c r="BY78" i="10"/>
  <c r="CB78" i="10"/>
  <c r="CC78" i="10"/>
  <c r="CF78" i="10"/>
  <c r="CG78" i="10"/>
  <c r="CJ78" i="10"/>
  <c r="CK78" i="10"/>
  <c r="CN78" i="10"/>
  <c r="CO78" i="10"/>
  <c r="CR78" i="10"/>
  <c r="CS78" i="10"/>
  <c r="CV78" i="10"/>
  <c r="CW78" i="10"/>
  <c r="CZ78" i="10"/>
  <c r="DA78" i="10"/>
  <c r="AV79" i="10"/>
  <c r="AW79" i="10"/>
  <c r="AZ79" i="10"/>
  <c r="BA79" i="10"/>
  <c r="AV80" i="10"/>
  <c r="AW80" i="10"/>
  <c r="AZ80" i="10"/>
  <c r="BA80" i="10"/>
  <c r="BM80" i="10"/>
  <c r="BP80" i="10"/>
  <c r="BQ80" i="10"/>
  <c r="BT80" i="10"/>
  <c r="BU80" i="10"/>
  <c r="BX80" i="10"/>
  <c r="BY80" i="10"/>
  <c r="CB80" i="10"/>
  <c r="CC80" i="10"/>
  <c r="CF80" i="10"/>
  <c r="CG80" i="10"/>
  <c r="CJ80" i="10"/>
  <c r="CK80" i="10"/>
  <c r="CN80" i="10"/>
  <c r="CO80" i="10"/>
  <c r="CR80" i="10"/>
  <c r="CS80" i="10"/>
  <c r="CV80" i="10"/>
  <c r="CW80" i="10"/>
  <c r="CZ80" i="10"/>
  <c r="DA80" i="10"/>
  <c r="AV88" i="10"/>
  <c r="AW88" i="10"/>
  <c r="AZ88" i="10"/>
  <c r="BA88" i="10"/>
  <c r="BD88" i="10"/>
  <c r="BE88" i="10"/>
  <c r="BH88" i="10"/>
  <c r="BI88" i="10"/>
  <c r="AV89" i="10"/>
  <c r="AW89" i="10"/>
  <c r="AZ89" i="10"/>
  <c r="BA89" i="10"/>
  <c r="BD89" i="10"/>
  <c r="BE89" i="10"/>
  <c r="BH89" i="10"/>
  <c r="BI89" i="10"/>
  <c r="AV92" i="10"/>
  <c r="AW92" i="10"/>
  <c r="AZ92" i="10"/>
  <c r="BA92" i="10"/>
  <c r="BD92" i="10"/>
  <c r="BE92" i="10"/>
  <c r="DJ94" i="10"/>
  <c r="DN94" i="10"/>
  <c r="BD100" i="10"/>
  <c r="BE100" i="10"/>
  <c r="BH100" i="10"/>
  <c r="BI100" i="10"/>
  <c r="BD101" i="10"/>
  <c r="BE101" i="10"/>
  <c r="BH101" i="10"/>
  <c r="BI101" i="10"/>
  <c r="BD104" i="10"/>
  <c r="BE104" i="10"/>
  <c r="BH104" i="10"/>
  <c r="BI104" i="10"/>
  <c r="BF105" i="10"/>
  <c r="BJ105" i="10"/>
  <c r="BN105" i="10"/>
  <c r="CB110" i="10"/>
  <c r="BD112" i="10"/>
  <c r="BE112" i="10"/>
  <c r="BH112" i="10"/>
  <c r="BI112" i="10"/>
  <c r="BD113" i="10"/>
  <c r="BE113" i="10"/>
  <c r="CH115" i="10"/>
  <c r="CL115" i="10"/>
  <c r="CP115" i="10"/>
  <c r="CT115" i="10"/>
  <c r="CX115" i="10"/>
  <c r="DN115" i="10"/>
  <c r="BJ117" i="10"/>
  <c r="BN117" i="10"/>
  <c r="BR117" i="10"/>
  <c r="BD118" i="10"/>
  <c r="BE118" i="10"/>
  <c r="BH118" i="10"/>
  <c r="BI118" i="10"/>
  <c r="CF120" i="10"/>
  <c r="CG120" i="10"/>
  <c r="AN125" i="10"/>
  <c r="AN130" i="10" s="1"/>
  <c r="AO125" i="10"/>
  <c r="AO130" i="10" s="1"/>
  <c r="AR125" i="10"/>
  <c r="AS125" i="10"/>
  <c r="AV125" i="10"/>
  <c r="AW125" i="10"/>
  <c r="AZ125" i="10"/>
  <c r="BA125" i="10"/>
  <c r="BD125" i="10"/>
  <c r="BE125" i="10"/>
  <c r="BH125" i="10"/>
  <c r="BI125" i="10"/>
  <c r="BL125" i="10"/>
  <c r="BM125" i="10"/>
  <c r="BP125" i="10"/>
  <c r="BQ125" i="10"/>
  <c r="BT125" i="10"/>
  <c r="BU125" i="10"/>
  <c r="CF125" i="10"/>
  <c r="CJ125" i="10"/>
  <c r="CK125" i="10"/>
  <c r="CN125" i="10"/>
  <c r="CO125" i="10"/>
  <c r="CR125" i="10"/>
  <c r="CS125" i="10"/>
  <c r="CV125" i="10"/>
  <c r="CW125" i="10"/>
  <c r="CZ125" i="10"/>
  <c r="DA125" i="10"/>
  <c r="AR126" i="10"/>
  <c r="AS126" i="10"/>
  <c r="AV126" i="10"/>
  <c r="AW126" i="10"/>
  <c r="BD126" i="10"/>
  <c r="BE126" i="10"/>
  <c r="BH126" i="10"/>
  <c r="BI126" i="10"/>
  <c r="BL126" i="10"/>
  <c r="BM126" i="10"/>
  <c r="BP126" i="10"/>
  <c r="BQ126" i="10"/>
  <c r="BT126" i="10"/>
  <c r="BU126" i="10"/>
  <c r="CF126" i="10"/>
  <c r="AR127" i="10"/>
  <c r="AS127" i="10"/>
  <c r="AV127" i="10"/>
  <c r="AW127" i="10"/>
  <c r="AZ127" i="10"/>
  <c r="BA127" i="10"/>
  <c r="BD127" i="10"/>
  <c r="BE127" i="10"/>
  <c r="BH127" i="10"/>
  <c r="BI127" i="10"/>
  <c r="BL127" i="10"/>
  <c r="BM127" i="10"/>
  <c r="BP127" i="10"/>
  <c r="BQ127" i="10"/>
  <c r="BT127" i="10"/>
  <c r="BU127" i="10"/>
  <c r="BX127" i="10"/>
  <c r="BY127" i="10"/>
  <c r="CB133" i="10" s="1"/>
  <c r="AV128" i="10"/>
  <c r="AW128" i="10"/>
  <c r="AZ128" i="10"/>
  <c r="BA128" i="10"/>
  <c r="BD128" i="10"/>
  <c r="BE128" i="10"/>
  <c r="BH128" i="10"/>
  <c r="BI128" i="10"/>
  <c r="BL128" i="10"/>
  <c r="BM128" i="10"/>
  <c r="BP128" i="10"/>
  <c r="BQ128" i="10"/>
  <c r="BT128" i="10"/>
  <c r="BU128" i="10"/>
  <c r="BX128" i="10"/>
  <c r="BY128" i="10"/>
  <c r="CB128" i="10"/>
  <c r="CC128" i="10"/>
  <c r="CF128" i="10"/>
  <c r="CG128" i="10"/>
  <c r="CJ128" i="10"/>
  <c r="CK128" i="10"/>
  <c r="CN128" i="10"/>
  <c r="CO128" i="10"/>
  <c r="CR128" i="10"/>
  <c r="CS128" i="10"/>
  <c r="CV128" i="10"/>
  <c r="CW128" i="10"/>
  <c r="CZ128" i="10"/>
  <c r="DA128" i="10"/>
  <c r="DI128" i="10"/>
  <c r="DL128" i="10"/>
  <c r="DM128" i="10"/>
  <c r="AV129" i="10"/>
  <c r="AW129" i="10"/>
  <c r="AZ129" i="10"/>
  <c r="BA129" i="10"/>
  <c r="BD129" i="10"/>
  <c r="BE129" i="10"/>
  <c r="BH129" i="10"/>
  <c r="BI129" i="10"/>
  <c r="BL129" i="10"/>
  <c r="BM129" i="10"/>
  <c r="BP129" i="10"/>
  <c r="BQ129" i="10"/>
  <c r="BT129" i="10"/>
  <c r="BU129" i="10"/>
  <c r="BX129" i="10"/>
  <c r="BY129" i="10"/>
  <c r="CB129" i="10"/>
  <c r="CC129" i="10"/>
  <c r="CF129" i="10"/>
  <c r="CG129" i="10"/>
  <c r="CJ129" i="10"/>
  <c r="CK129" i="10"/>
  <c r="CN129" i="10"/>
  <c r="CO129" i="10"/>
  <c r="CR129" i="10"/>
  <c r="CS129" i="10"/>
  <c r="CV129" i="10"/>
  <c r="CW129" i="10"/>
  <c r="CZ129" i="10"/>
  <c r="DA129" i="10"/>
  <c r="CC133" i="10"/>
  <c r="CF133" i="10"/>
  <c r="CG133" i="10"/>
  <c r="CJ133" i="10"/>
  <c r="CK133" i="10"/>
  <c r="CN133" i="10"/>
  <c r="CO133" i="10"/>
  <c r="CR133" i="10"/>
  <c r="CS133" i="10"/>
  <c r="CV133" i="10"/>
  <c r="CW133" i="10"/>
  <c r="CZ133" i="10"/>
  <c r="DA133" i="10"/>
  <c r="DI133" i="10"/>
  <c r="DL133" i="10"/>
  <c r="DM133" i="10"/>
  <c r="AR138" i="10"/>
  <c r="AS138" i="10"/>
  <c r="AV138" i="10"/>
  <c r="AW138" i="10"/>
  <c r="AZ138" i="10"/>
  <c r="BA138" i="10"/>
  <c r="BD138" i="10"/>
  <c r="BE138" i="10"/>
  <c r="BH138" i="10"/>
  <c r="BI138" i="10"/>
  <c r="BL138" i="10"/>
  <c r="BM138" i="10"/>
  <c r="BP138" i="10"/>
  <c r="BQ138" i="10"/>
  <c r="BT138" i="10"/>
  <c r="BU138" i="10"/>
  <c r="BX138" i="10"/>
  <c r="BY138" i="10"/>
  <c r="CB144" i="10" s="1"/>
  <c r="CC138" i="10"/>
  <c r="CF144" i="10" s="1"/>
  <c r="AV139" i="10"/>
  <c r="AV1141" i="10" s="1"/>
  <c r="AW139" i="10"/>
  <c r="AW1141" i="10" s="1"/>
  <c r="AZ139" i="10"/>
  <c r="AZ1141" i="10" s="1"/>
  <c r="BA139" i="10"/>
  <c r="BA1141" i="10" s="1"/>
  <c r="BD139" i="10"/>
  <c r="BE139" i="10"/>
  <c r="BE1141" i="10" s="1"/>
  <c r="BH139" i="10"/>
  <c r="BH1141" i="10" s="1"/>
  <c r="BI139" i="10"/>
  <c r="BI1141" i="10" s="1"/>
  <c r="BL139" i="10"/>
  <c r="BL1141" i="10" s="1"/>
  <c r="BM139" i="10"/>
  <c r="BM1141" i="10" s="1"/>
  <c r="BP139" i="10"/>
  <c r="BP1141" i="10" s="1"/>
  <c r="BQ139" i="10"/>
  <c r="BQ1141" i="10" s="1"/>
  <c r="BT139" i="10"/>
  <c r="BT1141" i="10" s="1"/>
  <c r="BU139" i="10"/>
  <c r="BU1141" i="10" s="1"/>
  <c r="CF139" i="10"/>
  <c r="CF1141" i="10" s="1"/>
  <c r="CG139" i="10"/>
  <c r="CG1141" i="10" s="1"/>
  <c r="CJ139" i="10"/>
  <c r="CJ1141" i="10" s="1"/>
  <c r="CK139" i="10"/>
  <c r="CK1141" i="10" s="1"/>
  <c r="CN139" i="10"/>
  <c r="CN1141" i="10" s="1"/>
  <c r="CO139" i="10"/>
  <c r="CO1141" i="10" s="1"/>
  <c r="CR139" i="10"/>
  <c r="CR1141" i="10" s="1"/>
  <c r="CS139" i="10"/>
  <c r="CS1141" i="10" s="1"/>
  <c r="CV139" i="10"/>
  <c r="CV1141" i="10" s="1"/>
  <c r="CW139" i="10"/>
  <c r="CW1141" i="10" s="1"/>
  <c r="CZ139" i="10"/>
  <c r="CZ1141" i="10" s="1"/>
  <c r="DA139" i="10"/>
  <c r="AR140" i="10"/>
  <c r="AR1145" i="10" s="1"/>
  <c r="AS140" i="10"/>
  <c r="AS1145" i="10" s="1"/>
  <c r="AV140" i="10"/>
  <c r="AV1145" i="10" s="1"/>
  <c r="AW140" i="10"/>
  <c r="AW1145" i="10" s="1"/>
  <c r="BD140" i="10"/>
  <c r="BD1145" i="10" s="1"/>
  <c r="BE140" i="10"/>
  <c r="BE1145" i="10" s="1"/>
  <c r="BH140" i="10"/>
  <c r="BH1145" i="10" s="1"/>
  <c r="BI140" i="10"/>
  <c r="BI1145" i="10" s="1"/>
  <c r="BL140" i="10"/>
  <c r="BL1145" i="10" s="1"/>
  <c r="BM140" i="10"/>
  <c r="BM1145" i="10" s="1"/>
  <c r="BP140" i="10"/>
  <c r="BP1145" i="10" s="1"/>
  <c r="BQ140" i="10"/>
  <c r="BQ1145" i="10" s="1"/>
  <c r="BT140" i="10"/>
  <c r="BT1145" i="10" s="1"/>
  <c r="BU140" i="10"/>
  <c r="BU1145" i="10" s="1"/>
  <c r="BX140" i="10"/>
  <c r="BX1145" i="10" s="1"/>
  <c r="BY140" i="10"/>
  <c r="BY1145" i="10" s="1"/>
  <c r="CB140" i="10"/>
  <c r="CB1145" i="10" s="1"/>
  <c r="CC140" i="10"/>
  <c r="CF140" i="10"/>
  <c r="CF1145" i="10" s="1"/>
  <c r="CG140" i="10"/>
  <c r="CG1145" i="10" s="1"/>
  <c r="CJ140" i="10"/>
  <c r="CJ1145" i="10" s="1"/>
  <c r="CN140" i="10"/>
  <c r="CN1145" i="10" s="1"/>
  <c r="CR140" i="10"/>
  <c r="CR1145" i="10" s="1"/>
  <c r="CS140" i="10"/>
  <c r="CS1145" i="10" s="1"/>
  <c r="CV140" i="10"/>
  <c r="CV1145" i="10" s="1"/>
  <c r="CW140" i="10"/>
  <c r="CW1145" i="10" s="1"/>
  <c r="CZ140" i="10"/>
  <c r="CZ1145" i="10" s="1"/>
  <c r="DA140" i="10"/>
  <c r="AR141" i="10"/>
  <c r="AS141" i="10"/>
  <c r="BP141" i="10"/>
  <c r="CG144" i="10"/>
  <c r="CJ144" i="10"/>
  <c r="CK144" i="10"/>
  <c r="CN144" i="10"/>
  <c r="CO144" i="10"/>
  <c r="CR144" i="10"/>
  <c r="CS144" i="10"/>
  <c r="CV144" i="10"/>
  <c r="CW144" i="10"/>
  <c r="CZ144" i="10"/>
  <c r="DA144" i="10"/>
  <c r="DI144" i="10"/>
  <c r="DL144" i="10"/>
  <c r="DM144" i="10"/>
  <c r="BX151" i="10"/>
  <c r="BX1143" i="10" s="1"/>
  <c r="BY151" i="10"/>
  <c r="BY1143" i="10" s="1"/>
  <c r="CB151" i="10"/>
  <c r="CB1143" i="10" s="1"/>
  <c r="CC151" i="10"/>
  <c r="CC1143" i="10" s="1"/>
  <c r="CF151" i="10"/>
  <c r="CF1143" i="10" s="1"/>
  <c r="CG151" i="10"/>
  <c r="CG1143" i="10" s="1"/>
  <c r="CN151" i="10"/>
  <c r="CN1143" i="10" s="1"/>
  <c r="CO151" i="10"/>
  <c r="CO1143" i="10" s="1"/>
  <c r="CR151" i="10"/>
  <c r="CR1143" i="10" s="1"/>
  <c r="CS151" i="10"/>
  <c r="CS1143" i="10" s="1"/>
  <c r="CV151" i="10"/>
  <c r="CV1143" i="10" s="1"/>
  <c r="CW151" i="10"/>
  <c r="CW1143" i="10" s="1"/>
  <c r="CZ151" i="10"/>
  <c r="DA151" i="10"/>
  <c r="BX152" i="10"/>
  <c r="BY152" i="10"/>
  <c r="CB152" i="10"/>
  <c r="CC152" i="10"/>
  <c r="AR153" i="10"/>
  <c r="AS153" i="10"/>
  <c r="AV153" i="10"/>
  <c r="AW153" i="10"/>
  <c r="AZ153" i="10"/>
  <c r="BA153" i="10"/>
  <c r="BD153" i="10"/>
  <c r="BE153" i="10"/>
  <c r="BQ153" i="10"/>
  <c r="BT153" i="10"/>
  <c r="BU153" i="10"/>
  <c r="BX153" i="10"/>
  <c r="BY153" i="10"/>
  <c r="CB153" i="10"/>
  <c r="CC153" i="10"/>
  <c r="CF153" i="10"/>
  <c r="CG153" i="10"/>
  <c r="CJ153" i="10"/>
  <c r="CK153" i="10"/>
  <c r="CN153" i="10"/>
  <c r="CO153" i="10"/>
  <c r="CR153" i="10"/>
  <c r="CS153" i="10"/>
  <c r="CV153" i="10"/>
  <c r="CW153" i="10"/>
  <c r="CZ153" i="10"/>
  <c r="DA153" i="10"/>
  <c r="AN154" i="10"/>
  <c r="AO154" i="10"/>
  <c r="AV158" i="10"/>
  <c r="AW158" i="10"/>
  <c r="AZ158" i="10"/>
  <c r="BA158" i="10"/>
  <c r="BH158" i="10"/>
  <c r="BI158" i="10"/>
  <c r="AV159" i="10"/>
  <c r="AW159" i="10"/>
  <c r="AZ159" i="10"/>
  <c r="BA159" i="10"/>
  <c r="BH159" i="10"/>
  <c r="BI159" i="10"/>
  <c r="AV160" i="10"/>
  <c r="AW160" i="10"/>
  <c r="AZ160" i="10"/>
  <c r="BA160" i="10"/>
  <c r="BD160" i="10"/>
  <c r="BE160" i="10"/>
  <c r="BH160" i="10"/>
  <c r="BI160" i="10"/>
  <c r="AR161" i="10"/>
  <c r="AS161" i="10"/>
  <c r="AV162" i="10"/>
  <c r="AW162" i="10"/>
  <c r="AZ162" i="10"/>
  <c r="BA162" i="10"/>
  <c r="BE162" i="10"/>
  <c r="BH162" i="10"/>
  <c r="BI162" i="10"/>
  <c r="BF163" i="10"/>
  <c r="BJ163" i="10"/>
  <c r="BN163" i="10"/>
  <c r="BZ163" i="10"/>
  <c r="CD163" i="10"/>
  <c r="CL163" i="10"/>
  <c r="CP163" i="10"/>
  <c r="CT163" i="10"/>
  <c r="CX163" i="10"/>
  <c r="DB163" i="10"/>
  <c r="AV164" i="10"/>
  <c r="AW164" i="10"/>
  <c r="AZ164" i="10"/>
  <c r="BA164" i="10"/>
  <c r="BD164" i="10"/>
  <c r="BE164" i="10"/>
  <c r="BH164" i="10"/>
  <c r="BI164" i="10"/>
  <c r="AV202" i="10"/>
  <c r="AW202" i="10"/>
  <c r="AZ202" i="10"/>
  <c r="BA202" i="10"/>
  <c r="BD202" i="10"/>
  <c r="BE202" i="10"/>
  <c r="BH202" i="10"/>
  <c r="BI202" i="10"/>
  <c r="BL202" i="10"/>
  <c r="BM202" i="10"/>
  <c r="BP202" i="10"/>
  <c r="BQ202" i="10"/>
  <c r="BT202" i="10"/>
  <c r="BU202" i="10"/>
  <c r="BX202" i="10"/>
  <c r="BY202" i="10"/>
  <c r="CB202" i="10"/>
  <c r="CC202" i="10"/>
  <c r="CF202" i="10"/>
  <c r="CG202" i="10"/>
  <c r="CJ202" i="10"/>
  <c r="CK202" i="10"/>
  <c r="CN202" i="10"/>
  <c r="CO202" i="10"/>
  <c r="CR202" i="10"/>
  <c r="CS202" i="10"/>
  <c r="CV202" i="10"/>
  <c r="CW202" i="10"/>
  <c r="CZ202" i="10"/>
  <c r="AV203" i="10"/>
  <c r="AW203" i="10"/>
  <c r="AZ203" i="10"/>
  <c r="BA203" i="10"/>
  <c r="BD203" i="10"/>
  <c r="BE203" i="10"/>
  <c r="BH203" i="10"/>
  <c r="BI203" i="10"/>
  <c r="BL203" i="10"/>
  <c r="BM203" i="10"/>
  <c r="BP203" i="10"/>
  <c r="BQ203" i="10"/>
  <c r="BT203" i="10"/>
  <c r="BU203" i="10"/>
  <c r="BX203" i="10"/>
  <c r="BY203" i="10"/>
  <c r="CB203" i="10"/>
  <c r="CC203" i="10"/>
  <c r="CF183" i="10"/>
  <c r="CF368" i="10" s="1"/>
  <c r="CG183" i="10"/>
  <c r="CJ193" i="10" s="1"/>
  <c r="CK203" i="10"/>
  <c r="CN203" i="10"/>
  <c r="CO203" i="10"/>
  <c r="CR203" i="10"/>
  <c r="CS203" i="10"/>
  <c r="CV203" i="10"/>
  <c r="CW203" i="10"/>
  <c r="CZ203" i="10"/>
  <c r="DA203" i="10"/>
  <c r="DD211" i="10" s="1"/>
  <c r="BX294" i="10"/>
  <c r="BY294" i="10"/>
  <c r="CB294" i="10"/>
  <c r="CC294" i="10"/>
  <c r="CF294" i="10"/>
  <c r="CG294" i="10"/>
  <c r="CJ294" i="10"/>
  <c r="CK294" i="10"/>
  <c r="CN294" i="10"/>
  <c r="CO294" i="10"/>
  <c r="CR294" i="10"/>
  <c r="CS294" i="10"/>
  <c r="CV294" i="10"/>
  <c r="CW294" i="10"/>
  <c r="CZ294" i="10"/>
  <c r="DA294" i="10"/>
  <c r="DD302" i="10" s="1"/>
  <c r="DA308" i="10"/>
  <c r="DA304" i="10"/>
  <c r="AV204" i="10"/>
  <c r="AW204" i="10"/>
  <c r="AZ204" i="10"/>
  <c r="BA204" i="10"/>
  <c r="BD204" i="10"/>
  <c r="BE204" i="10"/>
  <c r="BH204" i="10"/>
  <c r="BI204" i="10"/>
  <c r="BL204" i="10"/>
  <c r="BM204" i="10"/>
  <c r="BP204" i="10"/>
  <c r="BQ204" i="10"/>
  <c r="BT204" i="10"/>
  <c r="BU204" i="10"/>
  <c r="BX204" i="10"/>
  <c r="BY204" i="10"/>
  <c r="CB204" i="10"/>
  <c r="CC204" i="10"/>
  <c r="AV185" i="10"/>
  <c r="AW185" i="10"/>
  <c r="AZ185" i="10"/>
  <c r="BA185" i="10"/>
  <c r="BD185" i="10"/>
  <c r="BE185" i="10"/>
  <c r="BH185" i="10"/>
  <c r="BI185" i="10"/>
  <c r="BJ185" i="10" s="1"/>
  <c r="BL185" i="10"/>
  <c r="BM185" i="10"/>
  <c r="BP185" i="10"/>
  <c r="BQ185" i="10"/>
  <c r="BQ189" i="10" s="1"/>
  <c r="BT185" i="10"/>
  <c r="BU185" i="10"/>
  <c r="BX185" i="10"/>
  <c r="BY185" i="10"/>
  <c r="CB185" i="10"/>
  <c r="CC185" i="10"/>
  <c r="CJ185" i="10"/>
  <c r="CK185" i="10"/>
  <c r="CN185" i="10"/>
  <c r="CO185" i="10"/>
  <c r="CR185" i="10"/>
  <c r="CS185" i="10"/>
  <c r="CT185" i="10" s="1"/>
  <c r="CV185" i="10"/>
  <c r="CW185" i="10"/>
  <c r="CX185" i="10" s="1"/>
  <c r="CZ185" i="10"/>
  <c r="AV207" i="10"/>
  <c r="AW207" i="10"/>
  <c r="AZ207" i="10"/>
  <c r="BA207" i="10"/>
  <c r="BD207" i="10"/>
  <c r="BE207" i="10"/>
  <c r="BH207" i="10"/>
  <c r="BI207" i="10"/>
  <c r="BL207" i="10"/>
  <c r="BM207" i="10"/>
  <c r="BP207" i="10"/>
  <c r="BQ207" i="10"/>
  <c r="BT207" i="10"/>
  <c r="BU207" i="10"/>
  <c r="BX207" i="10"/>
  <c r="BY207" i="10"/>
  <c r="CB207" i="10"/>
  <c r="CC207" i="10"/>
  <c r="CF207" i="10"/>
  <c r="CG207" i="10"/>
  <c r="CJ207" i="10"/>
  <c r="CK207" i="10"/>
  <c r="CN207" i="10"/>
  <c r="CO207" i="10"/>
  <c r="CR207" i="10"/>
  <c r="CS207" i="10"/>
  <c r="CV207" i="10"/>
  <c r="CW207" i="10"/>
  <c r="CZ207" i="10"/>
  <c r="DA207" i="10"/>
  <c r="AV336" i="10"/>
  <c r="AW336" i="10"/>
  <c r="AW377" i="10"/>
  <c r="AV377" i="10"/>
  <c r="AZ336" i="10"/>
  <c r="AZ345" i="10" s="1"/>
  <c r="AX343" i="10"/>
  <c r="BA336" i="10"/>
  <c r="BA345" i="10" s="1"/>
  <c r="BA377" i="10"/>
  <c r="BD336" i="10"/>
  <c r="BB343" i="10"/>
  <c r="BE336" i="10"/>
  <c r="BE343" i="10"/>
  <c r="BH336" i="10"/>
  <c r="BH344" i="10" s="1"/>
  <c r="BH377" i="10"/>
  <c r="BI336" i="10"/>
  <c r="BI345" i="10" s="1"/>
  <c r="BI377" i="10"/>
  <c r="BL336" i="10"/>
  <c r="BL345" i="10" s="1"/>
  <c r="BL377" i="10"/>
  <c r="BM336" i="10"/>
  <c r="BM344" i="10" s="1"/>
  <c r="BM377" i="10"/>
  <c r="BP336" i="10"/>
  <c r="BP345" i="10" s="1"/>
  <c r="BP377" i="10"/>
  <c r="BQ336" i="10"/>
  <c r="BQ345" i="10" s="1"/>
  <c r="BQ377" i="10"/>
  <c r="BT336" i="10"/>
  <c r="BT354" i="10" s="1"/>
  <c r="BT377" i="10"/>
  <c r="BU336" i="10"/>
  <c r="BU377" i="10"/>
  <c r="BX336" i="10"/>
  <c r="BX354" i="10" s="1"/>
  <c r="BX377" i="10"/>
  <c r="BY336" i="10"/>
  <c r="BY377" i="10"/>
  <c r="CB336" i="10"/>
  <c r="CB354" i="10" s="1"/>
  <c r="CB377" i="10"/>
  <c r="CC336" i="10"/>
  <c r="CD336" i="10" s="1"/>
  <c r="CF347" i="10" s="1"/>
  <c r="CC343" i="10"/>
  <c r="CF335" i="10"/>
  <c r="CF336" i="10" s="1"/>
  <c r="CF377" i="10"/>
  <c r="CG335" i="10"/>
  <c r="CG343" i="10"/>
  <c r="CJ336" i="10"/>
  <c r="CJ345" i="10" s="1"/>
  <c r="CJ377" i="10"/>
  <c r="CK336" i="10"/>
  <c r="CK343" i="10"/>
  <c r="CN336" i="10"/>
  <c r="CN377" i="10"/>
  <c r="CO336" i="10"/>
  <c r="CP336" i="10" s="1"/>
  <c r="CP344" i="10" s="1"/>
  <c r="CO343" i="10"/>
  <c r="CR336" i="10"/>
  <c r="CR354" i="10" s="1"/>
  <c r="CR377" i="10"/>
  <c r="CS336" i="10"/>
  <c r="CT336" i="10" s="1"/>
  <c r="CT345" i="10" s="1"/>
  <c r="CS343" i="10"/>
  <c r="CV336" i="10"/>
  <c r="CV377" i="10"/>
  <c r="CW336" i="10"/>
  <c r="CX336" i="10" s="1"/>
  <c r="CX354" i="10" s="1"/>
  <c r="CW343" i="10"/>
  <c r="CZ377" i="10"/>
  <c r="BB182" i="10"/>
  <c r="BF182" i="10"/>
  <c r="BJ182" i="10"/>
  <c r="CU59" i="41" s="1"/>
  <c r="BN182" i="10"/>
  <c r="BR182" i="10"/>
  <c r="BV182" i="10"/>
  <c r="BZ182" i="10"/>
  <c r="DK59" i="41" s="1"/>
  <c r="CD182" i="10"/>
  <c r="CH182" i="10"/>
  <c r="DS59" i="41" s="1"/>
  <c r="CL182" i="10"/>
  <c r="CP182" i="10"/>
  <c r="EA59" i="41" s="1"/>
  <c r="CT182" i="10"/>
  <c r="CX182" i="10"/>
  <c r="DB182" i="10"/>
  <c r="BB183" i="10"/>
  <c r="BF183" i="10"/>
  <c r="BJ183" i="10"/>
  <c r="CU60" i="41" s="1"/>
  <c r="BN183" i="10"/>
  <c r="BR183" i="10"/>
  <c r="DC60" i="41" s="1"/>
  <c r="BV183" i="10"/>
  <c r="BZ183" i="10"/>
  <c r="CD183" i="10"/>
  <c r="CL183" i="10"/>
  <c r="DW60" i="41" s="1"/>
  <c r="CP183" i="10"/>
  <c r="CT183" i="10"/>
  <c r="CX183" i="10"/>
  <c r="DB183" i="10"/>
  <c r="BB184" i="10"/>
  <c r="BF184" i="10"/>
  <c r="BJ184" i="10"/>
  <c r="BN184" i="10"/>
  <c r="BR184" i="10"/>
  <c r="BV184" i="10"/>
  <c r="BZ184" i="10"/>
  <c r="CD184" i="10"/>
  <c r="CH184" i="10"/>
  <c r="CL184" i="10"/>
  <c r="CP184" i="10"/>
  <c r="CT184" i="10"/>
  <c r="CX184" i="10"/>
  <c r="DB184" i="10"/>
  <c r="AV186" i="10"/>
  <c r="AW186" i="10"/>
  <c r="AZ186" i="10"/>
  <c r="AZ370" i="10" s="1"/>
  <c r="BA186" i="10"/>
  <c r="BB186" i="10" s="1"/>
  <c r="BD186" i="10"/>
  <c r="BD311" i="10" s="1"/>
  <c r="BE186" i="10"/>
  <c r="BF186" i="10" s="1"/>
  <c r="BH186" i="10"/>
  <c r="BI186" i="10"/>
  <c r="BL186" i="10"/>
  <c r="BL311" i="10" s="1"/>
  <c r="BM186" i="10"/>
  <c r="BP186" i="10"/>
  <c r="BQ186" i="10"/>
  <c r="BT186" i="10"/>
  <c r="BU186" i="10"/>
  <c r="BX186" i="10"/>
  <c r="BX311" i="10" s="1"/>
  <c r="BY186" i="10"/>
  <c r="CB186" i="10"/>
  <c r="CB311" i="10" s="1"/>
  <c r="CC186" i="10"/>
  <c r="CD186" i="10" s="1"/>
  <c r="CJ186" i="10"/>
  <c r="CJ311" i="10" s="1"/>
  <c r="CK186" i="10"/>
  <c r="CN186" i="10"/>
  <c r="CN311" i="10" s="1"/>
  <c r="CO186" i="10"/>
  <c r="CP186" i="10" s="1"/>
  <c r="CR186" i="10"/>
  <c r="CS186" i="10"/>
  <c r="CV186" i="10"/>
  <c r="CV311" i="10" s="1"/>
  <c r="CW186" i="10"/>
  <c r="CZ186" i="10"/>
  <c r="DA186" i="10"/>
  <c r="BB188" i="10"/>
  <c r="BF188" i="10"/>
  <c r="BJ188" i="10"/>
  <c r="BN188" i="10"/>
  <c r="BN304" i="10" s="1"/>
  <c r="BR188" i="10"/>
  <c r="BR304" i="10" s="1"/>
  <c r="BV188" i="10"/>
  <c r="BV304" i="10" s="1"/>
  <c r="BZ188" i="10"/>
  <c r="CD188" i="10"/>
  <c r="CD304" i="10" s="1"/>
  <c r="CH188" i="10"/>
  <c r="CL188" i="10"/>
  <c r="CP188" i="10"/>
  <c r="CT188" i="10"/>
  <c r="CT304" i="10" s="1"/>
  <c r="CX188" i="10"/>
  <c r="DB188" i="10"/>
  <c r="AW192" i="10"/>
  <c r="AZ192" i="10"/>
  <c r="BA192" i="10"/>
  <c r="BD192" i="10"/>
  <c r="BE192" i="10"/>
  <c r="BH192" i="10"/>
  <c r="BI192" i="10"/>
  <c r="BL192" i="10"/>
  <c r="BM192" i="10"/>
  <c r="BP192" i="10"/>
  <c r="BQ192" i="10"/>
  <c r="BT192" i="10"/>
  <c r="BU192" i="10"/>
  <c r="BX192" i="10"/>
  <c r="BY192" i="10"/>
  <c r="CB192" i="10"/>
  <c r="CC192" i="10"/>
  <c r="CF192" i="10"/>
  <c r="CG192" i="10"/>
  <c r="CJ192" i="10"/>
  <c r="CK192" i="10"/>
  <c r="CN192" i="10"/>
  <c r="CO192" i="10"/>
  <c r="CR192" i="10"/>
  <c r="CS192" i="10"/>
  <c r="CV192" i="10"/>
  <c r="CW192" i="10"/>
  <c r="CZ192" i="10"/>
  <c r="DA192" i="10"/>
  <c r="AW193" i="10"/>
  <c r="AZ193" i="10"/>
  <c r="BA193" i="10"/>
  <c r="BD193" i="10"/>
  <c r="BE193" i="10"/>
  <c r="BH193" i="10"/>
  <c r="BI193" i="10"/>
  <c r="BL193" i="10"/>
  <c r="BM193" i="10"/>
  <c r="BP193" i="10"/>
  <c r="BQ193" i="10"/>
  <c r="BT193" i="10"/>
  <c r="BU193" i="10"/>
  <c r="BX193" i="10"/>
  <c r="BY193" i="10"/>
  <c r="CB193" i="10"/>
  <c r="CC193" i="10"/>
  <c r="CK193" i="10"/>
  <c r="CN193" i="10"/>
  <c r="CO193" i="10"/>
  <c r="CR193" i="10"/>
  <c r="CS193" i="10"/>
  <c r="CV193" i="10"/>
  <c r="CW193" i="10"/>
  <c r="CZ193" i="10"/>
  <c r="DA193" i="10"/>
  <c r="AW194" i="10"/>
  <c r="AZ194" i="10"/>
  <c r="BA194" i="10"/>
  <c r="BD194" i="10"/>
  <c r="BE194" i="10"/>
  <c r="BH194" i="10"/>
  <c r="BI194" i="10"/>
  <c r="BL194" i="10"/>
  <c r="BM194" i="10"/>
  <c r="BP194" i="10"/>
  <c r="BQ194" i="10"/>
  <c r="BT194" i="10"/>
  <c r="BU194" i="10"/>
  <c r="BX194" i="10"/>
  <c r="BY194" i="10"/>
  <c r="CB194" i="10"/>
  <c r="CC194" i="10"/>
  <c r="CF194" i="10"/>
  <c r="AW196" i="10"/>
  <c r="AZ196" i="10"/>
  <c r="BA196" i="10"/>
  <c r="BD196" i="10"/>
  <c r="BE196" i="10"/>
  <c r="BH196" i="10"/>
  <c r="BI196" i="10"/>
  <c r="BL196" i="10"/>
  <c r="BM196" i="10"/>
  <c r="BP196" i="10"/>
  <c r="BQ196" i="10"/>
  <c r="BT196" i="10"/>
  <c r="BU196" i="10"/>
  <c r="BX196" i="10"/>
  <c r="BY196" i="10"/>
  <c r="CB196" i="10"/>
  <c r="CC196" i="10"/>
  <c r="CF196" i="10"/>
  <c r="CG196" i="10"/>
  <c r="CJ196" i="10"/>
  <c r="CK196" i="10"/>
  <c r="CN196" i="10"/>
  <c r="CO196" i="10"/>
  <c r="CR196" i="10"/>
  <c r="CS196" i="10"/>
  <c r="CF204" i="10"/>
  <c r="CG204" i="10"/>
  <c r="CJ204" i="10"/>
  <c r="CK204" i="10"/>
  <c r="CN204" i="10"/>
  <c r="CO204" i="10"/>
  <c r="CR204" i="10"/>
  <c r="CS204" i="10"/>
  <c r="CV204" i="10"/>
  <c r="CW204" i="10"/>
  <c r="CZ204" i="10"/>
  <c r="DA204" i="10"/>
  <c r="A210" i="10"/>
  <c r="A211" i="10"/>
  <c r="A212" i="10"/>
  <c r="BF216" i="10"/>
  <c r="BJ216" i="10"/>
  <c r="BN216" i="10"/>
  <c r="BR216" i="10"/>
  <c r="BV216" i="10"/>
  <c r="BZ216" i="10"/>
  <c r="CD216" i="10"/>
  <c r="CH216" i="10"/>
  <c r="CL216" i="10"/>
  <c r="CP216" i="10"/>
  <c r="CT216" i="10"/>
  <c r="CX216" i="10"/>
  <c r="DB216" i="10"/>
  <c r="DA221" i="10"/>
  <c r="DD232" i="10" s="1"/>
  <c r="BF217" i="10"/>
  <c r="BJ217" i="10"/>
  <c r="BN217" i="10"/>
  <c r="BR217" i="10"/>
  <c r="BV217" i="10"/>
  <c r="BZ217" i="10"/>
  <c r="CD217" i="10"/>
  <c r="CH217" i="10"/>
  <c r="CL217" i="10"/>
  <c r="CP217" i="10"/>
  <c r="CT217" i="10"/>
  <c r="CX217" i="10"/>
  <c r="DB217" i="10"/>
  <c r="BF218" i="10"/>
  <c r="BJ218" i="10"/>
  <c r="BN218" i="10"/>
  <c r="BR218" i="10"/>
  <c r="BV218" i="10"/>
  <c r="BZ218" i="10"/>
  <c r="CD218" i="10"/>
  <c r="CH218" i="10"/>
  <c r="CL218" i="10"/>
  <c r="CP218" i="10"/>
  <c r="CT218" i="10"/>
  <c r="CX218" i="10"/>
  <c r="DB218" i="10"/>
  <c r="BF219" i="10"/>
  <c r="BJ219" i="10"/>
  <c r="BN219" i="10"/>
  <c r="BR219" i="10"/>
  <c r="BV219" i="10"/>
  <c r="BZ219" i="10"/>
  <c r="CD219" i="10"/>
  <c r="CH219" i="10"/>
  <c r="CL219" i="10"/>
  <c r="CP219" i="10"/>
  <c r="CT219" i="10"/>
  <c r="CX219" i="10"/>
  <c r="DB219" i="10"/>
  <c r="BF220" i="10"/>
  <c r="BJ220" i="10"/>
  <c r="BN220" i="10"/>
  <c r="BR220" i="10"/>
  <c r="BV220" i="10"/>
  <c r="BZ220" i="10"/>
  <c r="CD220" i="10"/>
  <c r="CH220" i="10"/>
  <c r="CL220" i="10"/>
  <c r="CP220" i="10"/>
  <c r="CT220" i="10"/>
  <c r="CX220" i="10"/>
  <c r="DB220" i="10"/>
  <c r="BE221" i="10"/>
  <c r="BH221" i="10"/>
  <c r="BI221" i="10"/>
  <c r="BL221" i="10"/>
  <c r="BM221" i="10"/>
  <c r="BN221" i="10" s="1"/>
  <c r="BP221" i="10"/>
  <c r="BQ221" i="10"/>
  <c r="BR221" i="10" s="1"/>
  <c r="BT221" i="10"/>
  <c r="BU221" i="10"/>
  <c r="BV221" i="10" s="1"/>
  <c r="BX221" i="10"/>
  <c r="BY221" i="10"/>
  <c r="BZ221" i="10" s="1"/>
  <c r="CB221" i="10"/>
  <c r="CC221" i="10"/>
  <c r="CD221" i="10" s="1"/>
  <c r="CF221" i="10"/>
  <c r="CG221" i="10"/>
  <c r="CH221" i="10" s="1"/>
  <c r="CJ221" i="10"/>
  <c r="CK221" i="10"/>
  <c r="CL221" i="10" s="1"/>
  <c r="CN221" i="10"/>
  <c r="CO221" i="10"/>
  <c r="CP221" i="10" s="1"/>
  <c r="CR221" i="10"/>
  <c r="CS221" i="10"/>
  <c r="CT221" i="10" s="1"/>
  <c r="CV221" i="10"/>
  <c r="CW221" i="10"/>
  <c r="CX221" i="10" s="1"/>
  <c r="CZ221" i="10"/>
  <c r="BE223" i="10"/>
  <c r="BH223" i="10"/>
  <c r="BI223" i="10"/>
  <c r="BL223" i="10"/>
  <c r="BM223" i="10"/>
  <c r="BN223" i="10" s="1"/>
  <c r="BP223" i="10"/>
  <c r="BQ223" i="10"/>
  <c r="BR223" i="10" s="1"/>
  <c r="BT223" i="10"/>
  <c r="BU223" i="10"/>
  <c r="BX223" i="10"/>
  <c r="BY223" i="10"/>
  <c r="BZ223" i="10" s="1"/>
  <c r="CB223" i="10"/>
  <c r="CC223" i="10"/>
  <c r="CD223" i="10" s="1"/>
  <c r="CJ223" i="10"/>
  <c r="CK223" i="10"/>
  <c r="CN223" i="10"/>
  <c r="CO223" i="10"/>
  <c r="CR223" i="10"/>
  <c r="CS223" i="10"/>
  <c r="CV223" i="10"/>
  <c r="CW223" i="10"/>
  <c r="CZ223" i="10"/>
  <c r="BE224" i="10"/>
  <c r="BH224" i="10"/>
  <c r="BI224" i="10"/>
  <c r="BL224" i="10"/>
  <c r="BM224" i="10"/>
  <c r="BP224" i="10"/>
  <c r="BQ224" i="10"/>
  <c r="BT224" i="10"/>
  <c r="BU224" i="10"/>
  <c r="BX224" i="10"/>
  <c r="BY224" i="10"/>
  <c r="CB224" i="10"/>
  <c r="CC224" i="10"/>
  <c r="CF224" i="10"/>
  <c r="CG224" i="10"/>
  <c r="CJ224" i="10"/>
  <c r="CK224" i="10"/>
  <c r="CN224" i="10"/>
  <c r="CO224" i="10"/>
  <c r="CR224" i="10"/>
  <c r="CS224" i="10"/>
  <c r="CV224" i="10"/>
  <c r="CW224" i="10"/>
  <c r="CZ224" i="10"/>
  <c r="A227" i="10"/>
  <c r="BH227" i="10"/>
  <c r="BI227" i="10"/>
  <c r="BL227" i="10"/>
  <c r="BM227" i="10"/>
  <c r="BP227" i="10"/>
  <c r="BQ227" i="10"/>
  <c r="BT227" i="10"/>
  <c r="BU227" i="10"/>
  <c r="BX227" i="10"/>
  <c r="BY227" i="10"/>
  <c r="CB227" i="10"/>
  <c r="CC227" i="10"/>
  <c r="CF227" i="10"/>
  <c r="CG227" i="10"/>
  <c r="CJ227" i="10"/>
  <c r="CK227" i="10"/>
  <c r="CN227" i="10"/>
  <c r="CO227" i="10"/>
  <c r="CR227" i="10"/>
  <c r="CS227" i="10"/>
  <c r="CV227" i="10"/>
  <c r="CW227" i="10"/>
  <c r="CZ227" i="10"/>
  <c r="DA227" i="10"/>
  <c r="A228" i="10"/>
  <c r="CG228" i="10"/>
  <c r="CJ228" i="10"/>
  <c r="CK228" i="10"/>
  <c r="CN228" i="10"/>
  <c r="CO228" i="10"/>
  <c r="CR228" i="10"/>
  <c r="CS228" i="10"/>
  <c r="CV228" i="10"/>
  <c r="CW228" i="10"/>
  <c r="CZ228" i="10"/>
  <c r="DA228" i="10"/>
  <c r="A229" i="10"/>
  <c r="BH229" i="10"/>
  <c r="BI229" i="10"/>
  <c r="BL229" i="10"/>
  <c r="BM229" i="10"/>
  <c r="BP229" i="10"/>
  <c r="BQ229" i="10"/>
  <c r="BT229" i="10"/>
  <c r="BU229" i="10"/>
  <c r="BX229" i="10"/>
  <c r="BY229" i="10"/>
  <c r="CB229" i="10"/>
  <c r="CC229" i="10"/>
  <c r="CF229" i="10"/>
  <c r="CG229" i="10"/>
  <c r="CJ229" i="10"/>
  <c r="CK229" i="10"/>
  <c r="CN229" i="10"/>
  <c r="CO229" i="10"/>
  <c r="CR229" i="10"/>
  <c r="CS229" i="10"/>
  <c r="CV229" i="10"/>
  <c r="CW229" i="10"/>
  <c r="CZ229" i="10"/>
  <c r="DA229" i="10"/>
  <c r="A230" i="10"/>
  <c r="CG230" i="10"/>
  <c r="CJ230" i="10"/>
  <c r="CK230" i="10"/>
  <c r="CN230" i="10"/>
  <c r="CO230" i="10"/>
  <c r="CR230" i="10"/>
  <c r="CS230" i="10"/>
  <c r="CV230" i="10"/>
  <c r="CW230" i="10"/>
  <c r="CZ230" i="10"/>
  <c r="DA230" i="10"/>
  <c r="A231" i="10"/>
  <c r="A232" i="10"/>
  <c r="A233" i="10"/>
  <c r="BF235" i="10"/>
  <c r="BJ235" i="10"/>
  <c r="BN235" i="10"/>
  <c r="BR235" i="10"/>
  <c r="BV235" i="10"/>
  <c r="BZ235" i="10"/>
  <c r="CD235" i="10"/>
  <c r="CH235" i="10"/>
  <c r="CL235" i="10"/>
  <c r="CP235" i="10"/>
  <c r="CT235" i="10"/>
  <c r="CX235" i="10"/>
  <c r="DB235" i="10"/>
  <c r="BF236" i="10"/>
  <c r="BJ236" i="10"/>
  <c r="BN236" i="10"/>
  <c r="BR236" i="10"/>
  <c r="BV236" i="10"/>
  <c r="BZ236" i="10"/>
  <c r="CD236" i="10"/>
  <c r="CH236" i="10"/>
  <c r="CL236" i="10"/>
  <c r="CP236" i="10"/>
  <c r="CT236" i="10"/>
  <c r="CX236" i="10"/>
  <c r="DB236" i="10"/>
  <c r="BF237" i="10"/>
  <c r="BJ237" i="10"/>
  <c r="BN237" i="10"/>
  <c r="BR237" i="10"/>
  <c r="BV237" i="10"/>
  <c r="BZ237" i="10"/>
  <c r="CD237" i="10"/>
  <c r="CH237" i="10"/>
  <c r="CL237" i="10"/>
  <c r="CP237" i="10"/>
  <c r="CT237" i="10"/>
  <c r="CX237" i="10"/>
  <c r="DB237" i="10"/>
  <c r="BE240" i="10"/>
  <c r="BH240" i="10"/>
  <c r="BI240" i="10"/>
  <c r="BL240" i="10"/>
  <c r="BM240" i="10"/>
  <c r="BP240" i="10"/>
  <c r="BQ240" i="10"/>
  <c r="BT240" i="10"/>
  <c r="BU240" i="10"/>
  <c r="BX240" i="10"/>
  <c r="BY240" i="10"/>
  <c r="CB240" i="10"/>
  <c r="CC240" i="10"/>
  <c r="CF240" i="10"/>
  <c r="CG240" i="10"/>
  <c r="CJ240" i="10"/>
  <c r="CK240" i="10"/>
  <c r="CN240" i="10"/>
  <c r="CO240" i="10"/>
  <c r="CR240" i="10"/>
  <c r="CS240" i="10"/>
  <c r="CV240" i="10"/>
  <c r="CW240" i="10"/>
  <c r="CZ240" i="10"/>
  <c r="DA240" i="10"/>
  <c r="A242" i="10"/>
  <c r="BH242" i="10"/>
  <c r="BI242" i="10"/>
  <c r="BL242" i="10"/>
  <c r="BM242" i="10"/>
  <c r="BP242" i="10"/>
  <c r="BQ242" i="10"/>
  <c r="BT242" i="10"/>
  <c r="BU242" i="10"/>
  <c r="BX242" i="10"/>
  <c r="BY242" i="10"/>
  <c r="CB242" i="10"/>
  <c r="CC242" i="10"/>
  <c r="CF242" i="10"/>
  <c r="CG242" i="10"/>
  <c r="CJ242" i="10"/>
  <c r="CK242" i="10"/>
  <c r="CN242" i="10"/>
  <c r="CO242" i="10"/>
  <c r="CR242" i="10"/>
  <c r="CS242" i="10"/>
  <c r="CV242" i="10"/>
  <c r="CW242" i="10"/>
  <c r="CZ242" i="10"/>
  <c r="DA242" i="10"/>
  <c r="A243" i="10"/>
  <c r="BH243" i="10"/>
  <c r="BI243" i="10"/>
  <c r="BL243" i="10"/>
  <c r="BM243" i="10"/>
  <c r="BP243" i="10"/>
  <c r="BQ243" i="10"/>
  <c r="BT243" i="10"/>
  <c r="BU243" i="10"/>
  <c r="BX243" i="10"/>
  <c r="BY243" i="10"/>
  <c r="CB243" i="10"/>
  <c r="CC243" i="10"/>
  <c r="CF243" i="10"/>
  <c r="CG243" i="10"/>
  <c r="CJ243" i="10"/>
  <c r="CK243" i="10"/>
  <c r="CN243" i="10"/>
  <c r="CO243" i="10"/>
  <c r="CR243" i="10"/>
  <c r="CS243" i="10"/>
  <c r="CV243" i="10"/>
  <c r="CW243" i="10"/>
  <c r="CZ243" i="10"/>
  <c r="DA243" i="10"/>
  <c r="A244" i="10"/>
  <c r="BH244" i="10"/>
  <c r="BI244" i="10"/>
  <c r="BL244" i="10"/>
  <c r="BM244" i="10"/>
  <c r="BP244" i="10"/>
  <c r="BQ244" i="10"/>
  <c r="BT244" i="10"/>
  <c r="BU244" i="10"/>
  <c r="BX244" i="10"/>
  <c r="BY244" i="10"/>
  <c r="CB244" i="10"/>
  <c r="CC244" i="10"/>
  <c r="CF244" i="10"/>
  <c r="CG244" i="10"/>
  <c r="CJ244" i="10"/>
  <c r="CK244" i="10"/>
  <c r="CN244" i="10"/>
  <c r="CO244" i="10"/>
  <c r="CR244" i="10"/>
  <c r="CS244" i="10"/>
  <c r="CV244" i="10"/>
  <c r="CW244" i="10"/>
  <c r="CZ244" i="10"/>
  <c r="DA244" i="10"/>
  <c r="A245" i="10"/>
  <c r="BZ255" i="10"/>
  <c r="BY255" i="10" s="1"/>
  <c r="CC255" i="10"/>
  <c r="CG255" i="10"/>
  <c r="CK255" i="10"/>
  <c r="CL255" i="10" s="1"/>
  <c r="CO255" i="10"/>
  <c r="CP255" i="10" s="1"/>
  <c r="CT255" i="10"/>
  <c r="CV255" i="10"/>
  <c r="CW255" i="10"/>
  <c r="CZ255" i="10"/>
  <c r="DA255" i="10"/>
  <c r="BF262" i="10"/>
  <c r="BJ262" i="10"/>
  <c r="BN262" i="10"/>
  <c r="BR262" i="10"/>
  <c r="BV262" i="10"/>
  <c r="BZ262" i="10"/>
  <c r="CD262" i="10"/>
  <c r="CH262" i="10"/>
  <c r="CL262" i="10"/>
  <c r="CP262" i="10"/>
  <c r="CT262" i="10"/>
  <c r="CX262" i="10"/>
  <c r="DB262" i="10"/>
  <c r="BF263" i="10"/>
  <c r="BJ263" i="10"/>
  <c r="BN263" i="10"/>
  <c r="BR263" i="10"/>
  <c r="BV263" i="10"/>
  <c r="BZ263" i="10"/>
  <c r="CD263" i="10"/>
  <c r="CH263" i="10"/>
  <c r="CL263" i="10"/>
  <c r="CP263" i="10"/>
  <c r="CT263" i="10"/>
  <c r="CX263" i="10"/>
  <c r="DB263" i="10"/>
  <c r="BF264" i="10"/>
  <c r="BJ264" i="10"/>
  <c r="BN264" i="10"/>
  <c r="BR264" i="10"/>
  <c r="BV264" i="10"/>
  <c r="BZ264" i="10"/>
  <c r="CD264" i="10"/>
  <c r="CH264" i="10"/>
  <c r="CL264" i="10"/>
  <c r="CP264" i="10"/>
  <c r="CT264" i="10"/>
  <c r="CX264" i="10"/>
  <c r="DB264" i="10"/>
  <c r="BF265" i="10"/>
  <c r="BJ265" i="10"/>
  <c r="BN265" i="10"/>
  <c r="BR265" i="10"/>
  <c r="BV265" i="10"/>
  <c r="BZ265" i="10"/>
  <c r="CD265" i="10"/>
  <c r="CH265" i="10"/>
  <c r="CL265" i="10"/>
  <c r="CP265" i="10"/>
  <c r="CT265" i="10"/>
  <c r="CX265" i="10"/>
  <c r="DB265" i="10"/>
  <c r="BE266" i="10"/>
  <c r="BH266" i="10"/>
  <c r="BI266" i="10"/>
  <c r="BJ266" i="10" s="1"/>
  <c r="BL266" i="10"/>
  <c r="BM266" i="10"/>
  <c r="BP266" i="10"/>
  <c r="BQ266" i="10"/>
  <c r="BR266" i="10" s="1"/>
  <c r="BT266" i="10"/>
  <c r="BU266" i="10"/>
  <c r="BX266" i="10"/>
  <c r="BY266" i="10"/>
  <c r="CB266" i="10"/>
  <c r="CC266" i="10"/>
  <c r="CD266" i="10" s="1"/>
  <c r="CF266" i="10"/>
  <c r="CG266" i="10"/>
  <c r="CH266" i="10" s="1"/>
  <c r="CJ266" i="10"/>
  <c r="CK266" i="10"/>
  <c r="CL266" i="10" s="1"/>
  <c r="CN266" i="10"/>
  <c r="CO266" i="10"/>
  <c r="CR266" i="10"/>
  <c r="CS266" i="10"/>
  <c r="CV266" i="10"/>
  <c r="CW266" i="10"/>
  <c r="CX266" i="10" s="1"/>
  <c r="CZ266" i="10"/>
  <c r="DA266" i="10"/>
  <c r="DD273" i="10" s="1"/>
  <c r="A269" i="10"/>
  <c r="BH269" i="10"/>
  <c r="BI269" i="10"/>
  <c r="BL269" i="10"/>
  <c r="BM269" i="10"/>
  <c r="BP269" i="10"/>
  <c r="BQ269" i="10"/>
  <c r="BT269" i="10"/>
  <c r="BU269" i="10"/>
  <c r="BX269" i="10"/>
  <c r="BY269" i="10"/>
  <c r="CB269" i="10"/>
  <c r="CC269" i="10"/>
  <c r="CF269" i="10"/>
  <c r="CG269" i="10"/>
  <c r="CJ269" i="10"/>
  <c r="CK269" i="10"/>
  <c r="CN269" i="10"/>
  <c r="CO269" i="10"/>
  <c r="CR269" i="10"/>
  <c r="CS269" i="10"/>
  <c r="CV269" i="10"/>
  <c r="CW269" i="10"/>
  <c r="CZ269" i="10"/>
  <c r="DA269" i="10"/>
  <c r="A270" i="10"/>
  <c r="BH270" i="10"/>
  <c r="BI270" i="10"/>
  <c r="BL270" i="10"/>
  <c r="BM270" i="10"/>
  <c r="BP270" i="10"/>
  <c r="BQ270" i="10"/>
  <c r="BT270" i="10"/>
  <c r="BU270" i="10"/>
  <c r="BX270" i="10"/>
  <c r="BY270" i="10"/>
  <c r="CB270" i="10"/>
  <c r="CC270" i="10"/>
  <c r="CF270" i="10"/>
  <c r="CG270" i="10"/>
  <c r="CJ270" i="10"/>
  <c r="CK270" i="10"/>
  <c r="CN270" i="10"/>
  <c r="CO270" i="10"/>
  <c r="CR270" i="10"/>
  <c r="CS270" i="10"/>
  <c r="CV270" i="10"/>
  <c r="CW270" i="10"/>
  <c r="CZ270" i="10"/>
  <c r="DA270" i="10"/>
  <c r="A271" i="10"/>
  <c r="BH271" i="10"/>
  <c r="BI271" i="10"/>
  <c r="BL271" i="10"/>
  <c r="BM271" i="10"/>
  <c r="BP271" i="10"/>
  <c r="BQ271" i="10"/>
  <c r="BT271" i="10"/>
  <c r="BU271" i="10"/>
  <c r="BX271" i="10"/>
  <c r="BY271" i="10"/>
  <c r="CB271" i="10"/>
  <c r="CC271" i="10"/>
  <c r="CF271" i="10"/>
  <c r="CG271" i="10"/>
  <c r="CJ271" i="10"/>
  <c r="CK271" i="10"/>
  <c r="CN271" i="10"/>
  <c r="CO271" i="10"/>
  <c r="CR271" i="10"/>
  <c r="CS271" i="10"/>
  <c r="CV271" i="10"/>
  <c r="CW271" i="10"/>
  <c r="CZ271" i="10"/>
  <c r="DA271" i="10"/>
  <c r="A272" i="10"/>
  <c r="BH272" i="10"/>
  <c r="BI272" i="10"/>
  <c r="BL272" i="10"/>
  <c r="BM272" i="10"/>
  <c r="BP272" i="10"/>
  <c r="BQ272" i="10"/>
  <c r="BT272" i="10"/>
  <c r="BU272" i="10"/>
  <c r="BX272" i="10"/>
  <c r="BY272" i="10"/>
  <c r="CB272" i="10"/>
  <c r="CC272" i="10"/>
  <c r="CF272" i="10"/>
  <c r="CG272" i="10"/>
  <c r="CJ272" i="10"/>
  <c r="CK272" i="10"/>
  <c r="CN272" i="10"/>
  <c r="CO272" i="10"/>
  <c r="CR272" i="10"/>
  <c r="CS272" i="10"/>
  <c r="CV272" i="10"/>
  <c r="CW272" i="10"/>
  <c r="CZ272" i="10"/>
  <c r="DA272" i="10"/>
  <c r="A273" i="10"/>
  <c r="BE276" i="10"/>
  <c r="BH276" i="10"/>
  <c r="BI276" i="10"/>
  <c r="BL276" i="10"/>
  <c r="BM276" i="10"/>
  <c r="BP276" i="10"/>
  <c r="BQ276" i="10"/>
  <c r="BT276" i="10"/>
  <c r="BU276" i="10"/>
  <c r="BX276" i="10"/>
  <c r="BY276" i="10"/>
  <c r="CB276" i="10"/>
  <c r="CC276" i="10"/>
  <c r="CF276" i="10"/>
  <c r="CG276" i="10"/>
  <c r="CJ276" i="10"/>
  <c r="CK276" i="10"/>
  <c r="BE277" i="10"/>
  <c r="BH277" i="10"/>
  <c r="BI277" i="10"/>
  <c r="BL277" i="10"/>
  <c r="BM277" i="10"/>
  <c r="BP277" i="10"/>
  <c r="BQ277" i="10"/>
  <c r="BT277" i="10"/>
  <c r="BU277" i="10"/>
  <c r="BX277" i="10"/>
  <c r="BY277" i="10"/>
  <c r="CB277" i="10"/>
  <c r="CC277" i="10"/>
  <c r="CF277" i="10"/>
  <c r="CG277" i="10"/>
  <c r="CJ277" i="10"/>
  <c r="CK277" i="10"/>
  <c r="BE278" i="10"/>
  <c r="BH278" i="10"/>
  <c r="BI278" i="10"/>
  <c r="BL278" i="10"/>
  <c r="BM278" i="10"/>
  <c r="BP278" i="10"/>
  <c r="BQ278" i="10"/>
  <c r="BT278" i="10"/>
  <c r="BU278" i="10"/>
  <c r="BX278" i="10"/>
  <c r="BY278" i="10"/>
  <c r="CB278" i="10"/>
  <c r="CC278" i="10"/>
  <c r="CF278" i="10"/>
  <c r="CG278" i="10"/>
  <c r="CJ278" i="10"/>
  <c r="CK278" i="10"/>
  <c r="CN278" i="10"/>
  <c r="CO278" i="10"/>
  <c r="CR278" i="10"/>
  <c r="CS278" i="10"/>
  <c r="CV278" i="10"/>
  <c r="CW278" i="10"/>
  <c r="CZ278" i="10"/>
  <c r="DA278" i="10"/>
  <c r="DD284" i="10" s="1"/>
  <c r="BE279" i="10"/>
  <c r="BH279" i="10"/>
  <c r="BI279" i="10"/>
  <c r="BL279" i="10"/>
  <c r="BM279" i="10"/>
  <c r="BP279" i="10"/>
  <c r="BQ279" i="10"/>
  <c r="BT279" i="10"/>
  <c r="BU279" i="10"/>
  <c r="BX279" i="10"/>
  <c r="BY279" i="10"/>
  <c r="CB279" i="10"/>
  <c r="CC279" i="10"/>
  <c r="CF279" i="10"/>
  <c r="CG279" i="10"/>
  <c r="CJ279" i="10"/>
  <c r="CK279" i="10"/>
  <c r="A282" i="10"/>
  <c r="A283" i="10"/>
  <c r="A284" i="10"/>
  <c r="A285" i="10"/>
  <c r="A286" i="10"/>
  <c r="BM290" i="10"/>
  <c r="BQ290" i="10"/>
  <c r="BU290" i="10"/>
  <c r="AZ292" i="10"/>
  <c r="BA292" i="10"/>
  <c r="BD292" i="10"/>
  <c r="BD307" i="10" s="1"/>
  <c r="BD316" i="10" s="1"/>
  <c r="BE292" i="10"/>
  <c r="BE307" i="10" s="1"/>
  <c r="BE316" i="10" s="1"/>
  <c r="BH292" i="10"/>
  <c r="BI292" i="10"/>
  <c r="BL292" i="10"/>
  <c r="BL307" i="10" s="1"/>
  <c r="BL316" i="10" s="1"/>
  <c r="BM292" i="10"/>
  <c r="BP297" i="10"/>
  <c r="BQ299" i="10" s="1"/>
  <c r="BQ292" i="10"/>
  <c r="BT292" i="10"/>
  <c r="BU292" i="10"/>
  <c r="BX292" i="10"/>
  <c r="AZ294" i="10"/>
  <c r="BA294" i="10"/>
  <c r="BD294" i="10"/>
  <c r="BE294" i="10"/>
  <c r="BH294" i="10"/>
  <c r="BI294" i="10"/>
  <c r="BL294" i="10"/>
  <c r="BM294" i="10"/>
  <c r="BP294" i="10"/>
  <c r="BQ294" i="10"/>
  <c r="BT294" i="10"/>
  <c r="BU294" i="10"/>
  <c r="BA299" i="10"/>
  <c r="BD299" i="10"/>
  <c r="BE299" i="10"/>
  <c r="BH299" i="10"/>
  <c r="BI299" i="10"/>
  <c r="BL299" i="10"/>
  <c r="BM299" i="10"/>
  <c r="BT299" i="10"/>
  <c r="BU299" i="10"/>
  <c r="BX299" i="10"/>
  <c r="A302" i="10"/>
  <c r="AZ304" i="10"/>
  <c r="BA304" i="10"/>
  <c r="BD304" i="10"/>
  <c r="BE304" i="10"/>
  <c r="BH304" i="10"/>
  <c r="BI304" i="10"/>
  <c r="BL304" i="10"/>
  <c r="BM304" i="10"/>
  <c r="BP304" i="10"/>
  <c r="BQ304" i="10"/>
  <c r="BT304" i="10"/>
  <c r="BU304" i="10"/>
  <c r="BX304" i="10"/>
  <c r="BY304" i="10"/>
  <c r="CB304" i="10"/>
  <c r="CC304" i="10"/>
  <c r="CF304" i="10"/>
  <c r="CG304" i="10"/>
  <c r="CJ304" i="10"/>
  <c r="CK304" i="10"/>
  <c r="CN304" i="10"/>
  <c r="CO304" i="10"/>
  <c r="CR304" i="10"/>
  <c r="CS304" i="10"/>
  <c r="CV304" i="10"/>
  <c r="CW304" i="10"/>
  <c r="CZ304" i="10"/>
  <c r="BD308" i="10"/>
  <c r="BD317" i="10" s="1"/>
  <c r="BE308" i="10"/>
  <c r="BE317" i="10" s="1"/>
  <c r="BH308" i="10"/>
  <c r="BI308" i="10"/>
  <c r="BI317" i="10" s="1"/>
  <c r="BL308" i="10"/>
  <c r="BL317" i="10" s="1"/>
  <c r="BM308" i="10"/>
  <c r="BM317" i="10" s="1"/>
  <c r="BP308" i="10"/>
  <c r="BP317" i="10" s="1"/>
  <c r="BQ308" i="10"/>
  <c r="BQ317" i="10" s="1"/>
  <c r="BT308" i="10"/>
  <c r="BT317" i="10" s="1"/>
  <c r="BU308" i="10"/>
  <c r="BU317" i="10" s="1"/>
  <c r="BX308" i="10"/>
  <c r="BX317" i="10" s="1"/>
  <c r="BY308" i="10"/>
  <c r="BY317" i="10" s="1"/>
  <c r="CB308" i="10"/>
  <c r="CB317" i="10" s="1"/>
  <c r="CC308" i="10"/>
  <c r="CC317" i="10" s="1"/>
  <c r="CF308" i="10"/>
  <c r="CF317" i="10" s="1"/>
  <c r="CG308" i="10"/>
  <c r="CG317" i="10" s="1"/>
  <c r="CJ308" i="10"/>
  <c r="CJ317" i="10" s="1"/>
  <c r="CK308" i="10"/>
  <c r="CK317" i="10" s="1"/>
  <c r="CN308" i="10"/>
  <c r="CO308" i="10"/>
  <c r="CR308" i="10"/>
  <c r="CS308" i="10"/>
  <c r="CV308" i="10"/>
  <c r="CW308" i="10"/>
  <c r="CZ308" i="10"/>
  <c r="BD313" i="10"/>
  <c r="BE313" i="10"/>
  <c r="BH313" i="10"/>
  <c r="BI313" i="10"/>
  <c r="BL313" i="10"/>
  <c r="BM313" i="10"/>
  <c r="BP313" i="10"/>
  <c r="BQ313" i="10"/>
  <c r="BT313" i="10"/>
  <c r="BU313" i="10"/>
  <c r="BX313" i="10"/>
  <c r="BY313" i="10"/>
  <c r="CB313" i="10"/>
  <c r="CC313" i="10"/>
  <c r="CF313" i="10"/>
  <c r="CG313" i="10"/>
  <c r="CJ313" i="10"/>
  <c r="CK313" i="10"/>
  <c r="CN313" i="10"/>
  <c r="CO313" i="10"/>
  <c r="CR313" i="10"/>
  <c r="CS313" i="10"/>
  <c r="CV313" i="10"/>
  <c r="CW313" i="10"/>
  <c r="CZ313" i="10"/>
  <c r="DA313" i="10"/>
  <c r="A320" i="10"/>
  <c r="A321" i="10"/>
  <c r="A322" i="10"/>
  <c r="A323" i="10"/>
  <c r="A325" i="10"/>
  <c r="A326" i="10"/>
  <c r="A327" i="10"/>
  <c r="BJ335" i="10"/>
  <c r="BN335" i="10"/>
  <c r="BR335" i="10"/>
  <c r="BV335" i="10"/>
  <c r="BZ335" i="10"/>
  <c r="CD335" i="10"/>
  <c r="CL335" i="10"/>
  <c r="CP335" i="10"/>
  <c r="CT335" i="10"/>
  <c r="CX335" i="10"/>
  <c r="DB335" i="10"/>
  <c r="A338" i="10"/>
  <c r="AW338" i="10"/>
  <c r="AZ338" i="10"/>
  <c r="BA338" i="10"/>
  <c r="BD338" i="10"/>
  <c r="BE338" i="10"/>
  <c r="BH338" i="10"/>
  <c r="BI338" i="10"/>
  <c r="BL338" i="10"/>
  <c r="BM338" i="10"/>
  <c r="BP338" i="10"/>
  <c r="BQ338" i="10"/>
  <c r="BT338" i="10"/>
  <c r="BU338" i="10"/>
  <c r="BX338" i="10"/>
  <c r="BY338" i="10"/>
  <c r="CB338" i="10"/>
  <c r="CC338" i="10"/>
  <c r="CF338" i="10"/>
  <c r="CG338" i="10"/>
  <c r="CJ338" i="10"/>
  <c r="CK338" i="10"/>
  <c r="CN338" i="10"/>
  <c r="CO338" i="10"/>
  <c r="CR338" i="10"/>
  <c r="CS338" i="10"/>
  <c r="CV338" i="10"/>
  <c r="CW338" i="10"/>
  <c r="CZ338" i="10"/>
  <c r="DA338" i="10"/>
  <c r="A339" i="10"/>
  <c r="AW339" i="10"/>
  <c r="AZ339" i="10"/>
  <c r="BA339" i="10"/>
  <c r="BD339" i="10"/>
  <c r="BE339" i="10"/>
  <c r="BH339" i="10"/>
  <c r="BI339" i="10"/>
  <c r="BL339" i="10"/>
  <c r="BM339" i="10"/>
  <c r="BP339" i="10"/>
  <c r="BQ339" i="10"/>
  <c r="BT339" i="10"/>
  <c r="BU339" i="10"/>
  <c r="BX339" i="10"/>
  <c r="BY339" i="10"/>
  <c r="CB339" i="10"/>
  <c r="CC339" i="10"/>
  <c r="CK339" i="10"/>
  <c r="CN339" i="10"/>
  <c r="CO339" i="10"/>
  <c r="CR339" i="10"/>
  <c r="CS339" i="10"/>
  <c r="CV339" i="10"/>
  <c r="CW339" i="10"/>
  <c r="CZ339" i="10"/>
  <c r="DA339" i="10"/>
  <c r="A340" i="10"/>
  <c r="AS343" i="10"/>
  <c r="DN345" i="10"/>
  <c r="CN346" i="10"/>
  <c r="BU348" i="10"/>
  <c r="BY348" i="10"/>
  <c r="CC348" i="10"/>
  <c r="CG348" i="10"/>
  <c r="CK348" i="10"/>
  <c r="CO348" i="10"/>
  <c r="CS348" i="10"/>
  <c r="CW348" i="10"/>
  <c r="DA348" i="10"/>
  <c r="BT349" i="10"/>
  <c r="BV349" i="10"/>
  <c r="BX349" i="10"/>
  <c r="CC349" i="10"/>
  <c r="CH349" i="10"/>
  <c r="CL349" i="10"/>
  <c r="CP349" i="10"/>
  <c r="CT349" i="10"/>
  <c r="CV349" i="10"/>
  <c r="CX349" i="10"/>
  <c r="CZ349" i="10"/>
  <c r="BZ350" i="10"/>
  <c r="CB350" i="10"/>
  <c r="CD350" i="10"/>
  <c r="CF350" i="10"/>
  <c r="CJ350" i="10"/>
  <c r="CN350" i="10"/>
  <c r="CR350" i="10"/>
  <c r="BU351" i="10"/>
  <c r="BY351" i="10"/>
  <c r="CC351" i="10"/>
  <c r="CG351" i="10"/>
  <c r="CL351" i="10"/>
  <c r="CP351" i="10"/>
  <c r="CR351" i="10"/>
  <c r="CT351" i="10"/>
  <c r="CV351" i="10"/>
  <c r="CX351" i="10"/>
  <c r="CZ351" i="10"/>
  <c r="BU352" i="10"/>
  <c r="BY352" i="10"/>
  <c r="CC352" i="10"/>
  <c r="CG352" i="10"/>
  <c r="CK352" i="10"/>
  <c r="CO352" i="10"/>
  <c r="CS352" i="10"/>
  <c r="CW352" i="10"/>
  <c r="DA352" i="10"/>
  <c r="BU357" i="10"/>
  <c r="BY357" i="10"/>
  <c r="CC357" i="10"/>
  <c r="CG357" i="10"/>
  <c r="CK357" i="10"/>
  <c r="CO357" i="10"/>
  <c r="CS357" i="10"/>
  <c r="CW357" i="10"/>
  <c r="DA357" i="10"/>
  <c r="A361" i="10"/>
  <c r="A362" i="10"/>
  <c r="A363" i="10"/>
  <c r="AV368" i="10"/>
  <c r="AW368" i="10"/>
  <c r="AZ368" i="10"/>
  <c r="BA368" i="10"/>
  <c r="BD368" i="10"/>
  <c r="BE368" i="10"/>
  <c r="BH368" i="10"/>
  <c r="BI368" i="10"/>
  <c r="BL368" i="10"/>
  <c r="BM368" i="10"/>
  <c r="BP368" i="10"/>
  <c r="BQ368" i="10"/>
  <c r="BT368" i="10"/>
  <c r="BU368" i="10"/>
  <c r="BX368" i="10"/>
  <c r="BY368" i="10"/>
  <c r="CB368" i="10"/>
  <c r="CC368" i="10"/>
  <c r="CJ368" i="10"/>
  <c r="CK368" i="10"/>
  <c r="CN368" i="10"/>
  <c r="CO368" i="10"/>
  <c r="CR368" i="10"/>
  <c r="CS368" i="10"/>
  <c r="CV368" i="10"/>
  <c r="CW368" i="10"/>
  <c r="CZ368" i="10"/>
  <c r="DA368" i="10"/>
  <c r="AW374" i="10"/>
  <c r="AZ374" i="10"/>
  <c r="BA374" i="10"/>
  <c r="BD374" i="10"/>
  <c r="BE374" i="10"/>
  <c r="BH374" i="10"/>
  <c r="BI374" i="10"/>
  <c r="BL374" i="10"/>
  <c r="BM374" i="10"/>
  <c r="BP374" i="10"/>
  <c r="BQ374" i="10"/>
  <c r="BT374" i="10"/>
  <c r="BU374" i="10"/>
  <c r="BX374" i="10"/>
  <c r="BY374" i="10"/>
  <c r="CB374" i="10"/>
  <c r="CC374" i="10"/>
  <c r="CF374" i="10"/>
  <c r="CG374" i="10"/>
  <c r="CJ374" i="10"/>
  <c r="CK374" i="10"/>
  <c r="CN374" i="10"/>
  <c r="CO374" i="10"/>
  <c r="CR374" i="10"/>
  <c r="CS374" i="10"/>
  <c r="CV374" i="10"/>
  <c r="CW374" i="10"/>
  <c r="CZ374" i="10"/>
  <c r="DA374" i="10"/>
  <c r="AW375" i="10"/>
  <c r="AZ375" i="10"/>
  <c r="BA375" i="10"/>
  <c r="BD375" i="10"/>
  <c r="BE375" i="10"/>
  <c r="BH375" i="10"/>
  <c r="BI375" i="10"/>
  <c r="BL375" i="10"/>
  <c r="BM375" i="10"/>
  <c r="BP375" i="10"/>
  <c r="BQ375" i="10"/>
  <c r="BT375" i="10"/>
  <c r="BU375" i="10"/>
  <c r="BX375" i="10"/>
  <c r="BY375" i="10"/>
  <c r="CB375" i="10"/>
  <c r="CC375" i="10"/>
  <c r="CK375" i="10"/>
  <c r="CN375" i="10"/>
  <c r="CO375" i="10"/>
  <c r="CR375" i="10"/>
  <c r="CS375" i="10"/>
  <c r="CV375" i="10"/>
  <c r="CW375" i="10"/>
  <c r="CZ375" i="10"/>
  <c r="DA375" i="10"/>
  <c r="AV381" i="10"/>
  <c r="AW381" i="10"/>
  <c r="AZ381" i="10"/>
  <c r="BA381" i="10"/>
  <c r="BD381" i="10"/>
  <c r="BE381" i="10"/>
  <c r="BH381" i="10"/>
  <c r="BI381" i="10"/>
  <c r="AV382" i="10"/>
  <c r="AW382" i="10"/>
  <c r="AZ382" i="10"/>
  <c r="BA382" i="10"/>
  <c r="BD382" i="10"/>
  <c r="BE382" i="10"/>
  <c r="BH382" i="10"/>
  <c r="BI382" i="10"/>
  <c r="AV383" i="10"/>
  <c r="AW383" i="10"/>
  <c r="AZ383" i="10"/>
  <c r="BA383" i="10"/>
  <c r="BD383" i="10"/>
  <c r="BE383" i="10"/>
  <c r="BH383" i="10"/>
  <c r="BI383" i="10"/>
  <c r="AV385" i="10"/>
  <c r="AW385" i="10"/>
  <c r="AZ385" i="10"/>
  <c r="BA385" i="10"/>
  <c r="BD385" i="10"/>
  <c r="BE385" i="10"/>
  <c r="BH385" i="10"/>
  <c r="BI385" i="10"/>
  <c r="AV386" i="10"/>
  <c r="AW386" i="10"/>
  <c r="AX386" i="10"/>
  <c r="AZ386" i="10"/>
  <c r="BA386" i="10"/>
  <c r="BD386" i="10"/>
  <c r="BE386" i="10"/>
  <c r="BH386" i="10"/>
  <c r="BI386" i="10"/>
  <c r="AV403" i="10"/>
  <c r="AW403" i="10"/>
  <c r="AZ403" i="10"/>
  <c r="BA403" i="10"/>
  <c r="BD403" i="10"/>
  <c r="BE403" i="10"/>
  <c r="CJ403" i="10"/>
  <c r="CK403" i="10"/>
  <c r="CN403" i="10"/>
  <c r="CO403" i="10"/>
  <c r="AR416" i="10"/>
  <c r="AS416" i="10"/>
  <c r="AV416" i="10"/>
  <c r="AW416" i="10"/>
  <c r="AZ416" i="10"/>
  <c r="BA416" i="10"/>
  <c r="BD416" i="10"/>
  <c r="BE416" i="10"/>
  <c r="DJ416" i="10"/>
  <c r="DN416" i="10"/>
  <c r="AR417" i="10"/>
  <c r="AS417" i="10"/>
  <c r="AV417" i="10"/>
  <c r="AW417" i="10"/>
  <c r="AZ417" i="10"/>
  <c r="BA417" i="10"/>
  <c r="BD417" i="10"/>
  <c r="BE417" i="10"/>
  <c r="AR419" i="10"/>
  <c r="AS419" i="10"/>
  <c r="AV419" i="10"/>
  <c r="AW419" i="10"/>
  <c r="AZ419" i="10"/>
  <c r="BA419" i="10"/>
  <c r="BD419" i="10"/>
  <c r="BE419" i="10"/>
  <c r="AR420" i="10"/>
  <c r="AS420" i="10"/>
  <c r="AV420" i="10"/>
  <c r="AW420" i="10"/>
  <c r="AZ420" i="10"/>
  <c r="BA420" i="10"/>
  <c r="BD420" i="10"/>
  <c r="BE420" i="10"/>
  <c r="AR421" i="10"/>
  <c r="AS421" i="10"/>
  <c r="AV421" i="10"/>
  <c r="AW421" i="10"/>
  <c r="AZ421" i="10"/>
  <c r="BA421" i="10"/>
  <c r="BD421" i="10"/>
  <c r="BE421" i="10"/>
  <c r="AR422" i="10"/>
  <c r="AS422" i="10"/>
  <c r="AV422" i="10"/>
  <c r="AW422" i="10"/>
  <c r="AZ422" i="10"/>
  <c r="BA422" i="10"/>
  <c r="BD422" i="10"/>
  <c r="BE422" i="10"/>
  <c r="AN441" i="10"/>
  <c r="AO441" i="10"/>
  <c r="AN442" i="10"/>
  <c r="AO442" i="10"/>
  <c r="AR442" i="10"/>
  <c r="AS442" i="10"/>
  <c r="AN443" i="10"/>
  <c r="AO443" i="10"/>
  <c r="AR443" i="10"/>
  <c r="AS443" i="10"/>
  <c r="AN445" i="10"/>
  <c r="AO445" i="10"/>
  <c r="AR445" i="10"/>
  <c r="AS445" i="10"/>
  <c r="AN446" i="10"/>
  <c r="AO446" i="10"/>
  <c r="AR446" i="10"/>
  <c r="AS446" i="10"/>
  <c r="AR447" i="10"/>
  <c r="AS447" i="10"/>
  <c r="AN448" i="10"/>
  <c r="AO448" i="10"/>
  <c r="AR448" i="10"/>
  <c r="AS448" i="10"/>
  <c r="AV550" i="10"/>
  <c r="AV551" i="10"/>
  <c r="AV553" i="10"/>
  <c r="AV554" i="10"/>
  <c r="AV555" i="10"/>
  <c r="AV556" i="10"/>
  <c r="AW550" i="10"/>
  <c r="AW551" i="10"/>
  <c r="AW553" i="10"/>
  <c r="AW554" i="10"/>
  <c r="AW555" i="10"/>
  <c r="AW556" i="10"/>
  <c r="AZ551" i="10"/>
  <c r="AZ553" i="10"/>
  <c r="AZ554" i="10"/>
  <c r="AZ555" i="10"/>
  <c r="AZ556" i="10"/>
  <c r="BA551" i="10"/>
  <c r="BA553" i="10"/>
  <c r="BA554" i="10"/>
  <c r="BA555" i="10"/>
  <c r="BA556" i="10"/>
  <c r="BD550" i="10"/>
  <c r="BD551" i="10"/>
  <c r="BD553" i="10"/>
  <c r="BD555" i="10"/>
  <c r="BD556" i="10"/>
  <c r="BE550" i="10"/>
  <c r="BE551" i="10"/>
  <c r="BE553" i="10"/>
  <c r="BE555" i="10"/>
  <c r="BE556" i="10"/>
  <c r="BH550" i="10"/>
  <c r="BH551" i="10"/>
  <c r="BH553" i="10"/>
  <c r="BH555" i="10"/>
  <c r="BH556" i="10"/>
  <c r="BI550" i="10"/>
  <c r="BI551" i="10"/>
  <c r="BI553" i="10"/>
  <c r="BI555" i="10"/>
  <c r="BI556" i="10"/>
  <c r="BL550" i="10"/>
  <c r="BL551" i="10"/>
  <c r="BL553" i="10"/>
  <c r="BL555" i="10"/>
  <c r="BL556" i="10"/>
  <c r="BM550" i="10"/>
  <c r="BM551" i="10"/>
  <c r="BM553" i="10"/>
  <c r="BM555" i="10"/>
  <c r="BM556" i="10"/>
  <c r="BP550" i="10"/>
  <c r="BP551" i="10"/>
  <c r="BP553" i="10"/>
  <c r="BP555" i="10"/>
  <c r="BP556" i="10"/>
  <c r="BQ550" i="10"/>
  <c r="BQ551" i="10"/>
  <c r="BQ553" i="10"/>
  <c r="BQ555" i="10"/>
  <c r="BQ556" i="10"/>
  <c r="BT550" i="10"/>
  <c r="BT551" i="10"/>
  <c r="BT553" i="10"/>
  <c r="BT555" i="10"/>
  <c r="BT556" i="10"/>
  <c r="BU550" i="10"/>
  <c r="BU551" i="10"/>
  <c r="BU553" i="10"/>
  <c r="BU555" i="10"/>
  <c r="BU556" i="10"/>
  <c r="BX550" i="10"/>
  <c r="BX551" i="10"/>
  <c r="BX552" i="10"/>
  <c r="BX553" i="10"/>
  <c r="BX555" i="10"/>
  <c r="BX556" i="10"/>
  <c r="BY550" i="10"/>
  <c r="BY552" i="10"/>
  <c r="BY553" i="10"/>
  <c r="BY555" i="10"/>
  <c r="BY556" i="10"/>
  <c r="CB550" i="10"/>
  <c r="CB551" i="10"/>
  <c r="CB552" i="10"/>
  <c r="CB553" i="10"/>
  <c r="CB555" i="10"/>
  <c r="CB556" i="10"/>
  <c r="CC550" i="10"/>
  <c r="CC551" i="10"/>
  <c r="CC552" i="10"/>
  <c r="CC553" i="10"/>
  <c r="CC555" i="10"/>
  <c r="CC556" i="10"/>
  <c r="CF550" i="10"/>
  <c r="CF551" i="10"/>
  <c r="CF552" i="10"/>
  <c r="CF553" i="10"/>
  <c r="CF555" i="10"/>
  <c r="CF556" i="10"/>
  <c r="CG550" i="10"/>
  <c r="CG551" i="10"/>
  <c r="CG552" i="10"/>
  <c r="CG553" i="10"/>
  <c r="CG555" i="10"/>
  <c r="CG556" i="10"/>
  <c r="CJ550" i="10"/>
  <c r="CJ551" i="10"/>
  <c r="CJ552" i="10"/>
  <c r="CJ553" i="10"/>
  <c r="CJ555" i="10"/>
  <c r="CJ556" i="10"/>
  <c r="CK550" i="10"/>
  <c r="CK551" i="10"/>
  <c r="CK552" i="10"/>
  <c r="CK553" i="10"/>
  <c r="CK555" i="10"/>
  <c r="CK556" i="10"/>
  <c r="CN550" i="10"/>
  <c r="CN551" i="10"/>
  <c r="CN552" i="10"/>
  <c r="CN553" i="10"/>
  <c r="CN555" i="10"/>
  <c r="CN556" i="10"/>
  <c r="CO550" i="10"/>
  <c r="CO551" i="10"/>
  <c r="CO552" i="10"/>
  <c r="CO553" i="10"/>
  <c r="CO555" i="10"/>
  <c r="CO556" i="10"/>
  <c r="CR550" i="10"/>
  <c r="CR551" i="10"/>
  <c r="CR552" i="10"/>
  <c r="CR553" i="10"/>
  <c r="CR555" i="10"/>
  <c r="CR556" i="10"/>
  <c r="CS550" i="10"/>
  <c r="CS551" i="10"/>
  <c r="CS552" i="10"/>
  <c r="CS553" i="10"/>
  <c r="CS555" i="10"/>
  <c r="CS556" i="10"/>
  <c r="CV550" i="10"/>
  <c r="CV551" i="10"/>
  <c r="CV552" i="10"/>
  <c r="CV553" i="10"/>
  <c r="CV555" i="10"/>
  <c r="CV556" i="10"/>
  <c r="CW550" i="10"/>
  <c r="CW551" i="10"/>
  <c r="CW552" i="10"/>
  <c r="CW553" i="10"/>
  <c r="CW555" i="10"/>
  <c r="CW556" i="10"/>
  <c r="CZ550" i="10"/>
  <c r="CZ551" i="10"/>
  <c r="CZ552" i="10"/>
  <c r="CZ553" i="10"/>
  <c r="CZ555" i="10"/>
  <c r="CZ556" i="10"/>
  <c r="DA550" i="10"/>
  <c r="DA551" i="10"/>
  <c r="DA552" i="10"/>
  <c r="DA553" i="10"/>
  <c r="DA555" i="10"/>
  <c r="DA556" i="10"/>
  <c r="AT605" i="10"/>
  <c r="AT606" i="10"/>
  <c r="AT607" i="10"/>
  <c r="AT608" i="10"/>
  <c r="AT609" i="10"/>
  <c r="AT610" i="10"/>
  <c r="AT611" i="10"/>
  <c r="AT517" i="10"/>
  <c r="AT518" i="10"/>
  <c r="AT519" i="10"/>
  <c r="AT520" i="10"/>
  <c r="AT521" i="10"/>
  <c r="AT522" i="10"/>
  <c r="AT523" i="10"/>
  <c r="AT528" i="10"/>
  <c r="AT529" i="10"/>
  <c r="AT530" i="10"/>
  <c r="AT531" i="10"/>
  <c r="AT532" i="10"/>
  <c r="AT533" i="10"/>
  <c r="AT534" i="10"/>
  <c r="AV605" i="10"/>
  <c r="AV606" i="10"/>
  <c r="AV608" i="10"/>
  <c r="AV609" i="10"/>
  <c r="AV610" i="10"/>
  <c r="AV611" i="10"/>
  <c r="AV517" i="10"/>
  <c r="AV518" i="10"/>
  <c r="AV520" i="10"/>
  <c r="AV521" i="10"/>
  <c r="AV522" i="10"/>
  <c r="AV523" i="10"/>
  <c r="AV528" i="10"/>
  <c r="AV529" i="10"/>
  <c r="AV531" i="10"/>
  <c r="AV532" i="10"/>
  <c r="AV533" i="10"/>
  <c r="AV534" i="10"/>
  <c r="AW605" i="10"/>
  <c r="AW606" i="10"/>
  <c r="AW608" i="10"/>
  <c r="AW609" i="10"/>
  <c r="AW610" i="10"/>
  <c r="AW611" i="10"/>
  <c r="AW517" i="10"/>
  <c r="AW518" i="10"/>
  <c r="AW520" i="10"/>
  <c r="AW521" i="10"/>
  <c r="AW522" i="10"/>
  <c r="AW523" i="10"/>
  <c r="AW528" i="10"/>
  <c r="AW529" i="10"/>
  <c r="AW531" i="10"/>
  <c r="AW532" i="10"/>
  <c r="AW533" i="10"/>
  <c r="AW534" i="10"/>
  <c r="AZ605" i="10"/>
  <c r="AZ606" i="10"/>
  <c r="AZ608" i="10"/>
  <c r="AZ609" i="10"/>
  <c r="AZ610" i="10"/>
  <c r="AZ611" i="10"/>
  <c r="AZ517" i="10"/>
  <c r="AZ518" i="10"/>
  <c r="AZ520" i="10"/>
  <c r="AZ521" i="10"/>
  <c r="AZ522" i="10"/>
  <c r="AZ523" i="10"/>
  <c r="AZ528" i="10"/>
  <c r="AZ529" i="10"/>
  <c r="AZ531" i="10"/>
  <c r="AZ532" i="10"/>
  <c r="AZ533" i="10"/>
  <c r="AZ534" i="10"/>
  <c r="BA605" i="10"/>
  <c r="BA606" i="10"/>
  <c r="BA608" i="10"/>
  <c r="BA609" i="10"/>
  <c r="BA610" i="10"/>
  <c r="BA611" i="10"/>
  <c r="BA517" i="10"/>
  <c r="BA518" i="10"/>
  <c r="BA520" i="10"/>
  <c r="BA521" i="10"/>
  <c r="BA522" i="10"/>
  <c r="BA523" i="10"/>
  <c r="BA528" i="10"/>
  <c r="BA529" i="10"/>
  <c r="BA531" i="10"/>
  <c r="BA532" i="10"/>
  <c r="BA533" i="10"/>
  <c r="BA534" i="10"/>
  <c r="BD605" i="10"/>
  <c r="BD606" i="10"/>
  <c r="BD608" i="10"/>
  <c r="BD609" i="10"/>
  <c r="BD611" i="10"/>
  <c r="BD517" i="10"/>
  <c r="BD518" i="10"/>
  <c r="BD520" i="10"/>
  <c r="BD521" i="10"/>
  <c r="BD523" i="10"/>
  <c r="BD528" i="10"/>
  <c r="BD529" i="10"/>
  <c r="BD531" i="10"/>
  <c r="BD532" i="10"/>
  <c r="BD534" i="10"/>
  <c r="BE605" i="10"/>
  <c r="BE606" i="10"/>
  <c r="BE608" i="10"/>
  <c r="BE609" i="10"/>
  <c r="BE611" i="10"/>
  <c r="BE517" i="10"/>
  <c r="BE518" i="10"/>
  <c r="BE520" i="10"/>
  <c r="BE521" i="10"/>
  <c r="BE523" i="10"/>
  <c r="BE528" i="10"/>
  <c r="BE529" i="10"/>
  <c r="BE531" i="10"/>
  <c r="BE532" i="10"/>
  <c r="BE534" i="10"/>
  <c r="BH605" i="10"/>
  <c r="BH606" i="10"/>
  <c r="BH608" i="10"/>
  <c r="BH609" i="10"/>
  <c r="BH611" i="10"/>
  <c r="BH517" i="10"/>
  <c r="BH518" i="10"/>
  <c r="BH520" i="10"/>
  <c r="BH521" i="10"/>
  <c r="BH523" i="10"/>
  <c r="BH528" i="10"/>
  <c r="BH529" i="10"/>
  <c r="BH531" i="10"/>
  <c r="BH532" i="10"/>
  <c r="BH534" i="10"/>
  <c r="BI605" i="10"/>
  <c r="BI606" i="10"/>
  <c r="BI608" i="10"/>
  <c r="BI609" i="10"/>
  <c r="BI611" i="10"/>
  <c r="BI517" i="10"/>
  <c r="BI518" i="10"/>
  <c r="BI520" i="10"/>
  <c r="BI521" i="10"/>
  <c r="BI523" i="10"/>
  <c r="BI528" i="10"/>
  <c r="BI529" i="10"/>
  <c r="BI531" i="10"/>
  <c r="BI532" i="10"/>
  <c r="BI534" i="10"/>
  <c r="BL605" i="10"/>
  <c r="BL606" i="10"/>
  <c r="BL608" i="10"/>
  <c r="BL609" i="10"/>
  <c r="BL611" i="10"/>
  <c r="BL517" i="10"/>
  <c r="BL518" i="10"/>
  <c r="BL520" i="10"/>
  <c r="BL521" i="10"/>
  <c r="BL523" i="10"/>
  <c r="BL528" i="10"/>
  <c r="BL529" i="10"/>
  <c r="BL531" i="10"/>
  <c r="BL532" i="10"/>
  <c r="BL534" i="10"/>
  <c r="BM605" i="10"/>
  <c r="BM606" i="10"/>
  <c r="BM608" i="10"/>
  <c r="BM609" i="10"/>
  <c r="BM611" i="10"/>
  <c r="BM517" i="10"/>
  <c r="BM518" i="10"/>
  <c r="BM520" i="10"/>
  <c r="BM521" i="10"/>
  <c r="BM523" i="10"/>
  <c r="BM528" i="10"/>
  <c r="BM529" i="10"/>
  <c r="BM531" i="10"/>
  <c r="BM532" i="10"/>
  <c r="BM534" i="10"/>
  <c r="BP605" i="10"/>
  <c r="BP606" i="10"/>
  <c r="BP608" i="10"/>
  <c r="BP609" i="10"/>
  <c r="BP611" i="10"/>
  <c r="BP517" i="10"/>
  <c r="BP518" i="10"/>
  <c r="BP520" i="10"/>
  <c r="BP521" i="10"/>
  <c r="BP523" i="10"/>
  <c r="BP528" i="10"/>
  <c r="BP529" i="10"/>
  <c r="BP531" i="10"/>
  <c r="BP532" i="10"/>
  <c r="BP534" i="10"/>
  <c r="BQ605" i="10"/>
  <c r="BQ606" i="10"/>
  <c r="BQ608" i="10"/>
  <c r="BQ609" i="10"/>
  <c r="BQ611" i="10"/>
  <c r="BQ517" i="10"/>
  <c r="BQ518" i="10"/>
  <c r="BQ520" i="10"/>
  <c r="BQ521" i="10"/>
  <c r="BQ523" i="10"/>
  <c r="BQ528" i="10"/>
  <c r="BQ529" i="10"/>
  <c r="BQ531" i="10"/>
  <c r="BQ532" i="10"/>
  <c r="BQ534" i="10"/>
  <c r="BT605" i="10"/>
  <c r="BT606" i="10"/>
  <c r="BT608" i="10"/>
  <c r="BT609" i="10"/>
  <c r="BT611" i="10"/>
  <c r="BT517" i="10"/>
  <c r="BT518" i="10"/>
  <c r="BT520" i="10"/>
  <c r="BT521" i="10"/>
  <c r="BT523" i="10"/>
  <c r="BT528" i="10"/>
  <c r="BT529" i="10"/>
  <c r="BT531" i="10"/>
  <c r="BT532" i="10"/>
  <c r="BT534" i="10"/>
  <c r="BU605" i="10"/>
  <c r="BU606" i="10"/>
  <c r="BU608" i="10"/>
  <c r="BU609" i="10"/>
  <c r="BU611" i="10"/>
  <c r="BU517" i="10"/>
  <c r="BU518" i="10"/>
  <c r="BU520" i="10"/>
  <c r="BU521" i="10"/>
  <c r="BU523" i="10"/>
  <c r="BU528" i="10"/>
  <c r="BU529" i="10"/>
  <c r="BU531" i="10"/>
  <c r="BU532" i="10"/>
  <c r="BU534" i="10"/>
  <c r="BX605" i="10"/>
  <c r="BX606" i="10"/>
  <c r="BX607" i="10"/>
  <c r="BX608" i="10"/>
  <c r="BX609" i="10"/>
  <c r="BX611" i="10"/>
  <c r="BX517" i="10"/>
  <c r="BX518" i="10"/>
  <c r="BX519" i="10"/>
  <c r="BX520" i="10"/>
  <c r="BX521" i="10"/>
  <c r="BX523" i="10"/>
  <c r="BX528" i="10"/>
  <c r="BX529" i="10"/>
  <c r="BX530" i="10"/>
  <c r="BX531" i="10"/>
  <c r="BX532" i="10"/>
  <c r="BX534" i="10"/>
  <c r="BY605" i="10"/>
  <c r="BY606" i="10"/>
  <c r="BY607" i="10"/>
  <c r="BY608" i="10"/>
  <c r="BY609" i="10"/>
  <c r="BY611" i="10"/>
  <c r="BY517" i="10"/>
  <c r="BY518" i="10"/>
  <c r="BY519" i="10"/>
  <c r="BY520" i="10"/>
  <c r="BY521" i="10"/>
  <c r="BY523" i="10"/>
  <c r="BY528" i="10"/>
  <c r="BY529" i="10"/>
  <c r="BY530" i="10"/>
  <c r="BY531" i="10"/>
  <c r="BY532" i="10"/>
  <c r="BY534" i="10"/>
  <c r="CB605" i="10"/>
  <c r="CB606" i="10"/>
  <c r="CB607" i="10"/>
  <c r="CB608" i="10"/>
  <c r="CB609" i="10"/>
  <c r="CB611" i="10"/>
  <c r="CB517" i="10"/>
  <c r="CB518" i="10"/>
  <c r="CB519" i="10"/>
  <c r="CB520" i="10"/>
  <c r="CB521" i="10"/>
  <c r="CB523" i="10"/>
  <c r="CB528" i="10"/>
  <c r="CB529" i="10"/>
  <c r="CB530" i="10"/>
  <c r="CB531" i="10"/>
  <c r="CB532" i="10"/>
  <c r="CB534" i="10"/>
  <c r="CC605" i="10"/>
  <c r="CC606" i="10"/>
  <c r="CC607" i="10"/>
  <c r="CC608" i="10"/>
  <c r="CC609" i="10"/>
  <c r="CC611" i="10"/>
  <c r="CC517" i="10"/>
  <c r="CC518" i="10"/>
  <c r="CC519" i="10"/>
  <c r="CC520" i="10"/>
  <c r="CC521" i="10"/>
  <c r="CC523" i="10"/>
  <c r="CC528" i="10"/>
  <c r="CC529" i="10"/>
  <c r="CC530" i="10"/>
  <c r="CC531" i="10"/>
  <c r="CC532" i="10"/>
  <c r="CC534" i="10"/>
  <c r="CF605" i="10"/>
  <c r="CF606" i="10"/>
  <c r="CF607" i="10"/>
  <c r="CF608" i="10"/>
  <c r="CF609" i="10"/>
  <c r="CF611" i="10"/>
  <c r="CF517" i="10"/>
  <c r="CF518" i="10"/>
  <c r="CF519" i="10"/>
  <c r="CF520" i="10"/>
  <c r="CF521" i="10"/>
  <c r="CF523" i="10"/>
  <c r="CF528" i="10"/>
  <c r="CF529" i="10"/>
  <c r="CF530" i="10"/>
  <c r="CF531" i="10"/>
  <c r="CF532" i="10"/>
  <c r="CF534" i="10"/>
  <c r="CG605" i="10"/>
  <c r="CG606" i="10"/>
  <c r="CG607" i="10"/>
  <c r="CG608" i="10"/>
  <c r="CG609" i="10"/>
  <c r="CG611" i="10"/>
  <c r="CG517" i="10"/>
  <c r="CG518" i="10"/>
  <c r="CG519" i="10"/>
  <c r="CG520" i="10"/>
  <c r="CG521" i="10"/>
  <c r="CG523" i="10"/>
  <c r="CG528" i="10"/>
  <c r="CG529" i="10"/>
  <c r="CG530" i="10"/>
  <c r="CG531" i="10"/>
  <c r="CG532" i="10"/>
  <c r="CG534" i="10"/>
  <c r="CJ606" i="10"/>
  <c r="CJ608" i="10"/>
  <c r="CJ609" i="10"/>
  <c r="CJ611" i="10"/>
  <c r="CJ517" i="10"/>
  <c r="CJ518" i="10"/>
  <c r="CJ519" i="10"/>
  <c r="CJ520" i="10"/>
  <c r="CJ521" i="10"/>
  <c r="CJ523" i="10"/>
  <c r="CJ528" i="10"/>
  <c r="CJ529" i="10"/>
  <c r="CJ530" i="10"/>
  <c r="CJ531" i="10"/>
  <c r="CJ532" i="10"/>
  <c r="CJ534" i="10"/>
  <c r="CK606" i="10"/>
  <c r="CK608" i="10"/>
  <c r="CK609" i="10"/>
  <c r="CK611" i="10"/>
  <c r="CK517" i="10"/>
  <c r="CK518" i="10"/>
  <c r="CK519" i="10"/>
  <c r="CK520" i="10"/>
  <c r="CK521" i="10"/>
  <c r="CK523" i="10"/>
  <c r="CK528" i="10"/>
  <c r="CK529" i="10"/>
  <c r="CK530" i="10"/>
  <c r="CK531" i="10"/>
  <c r="CK532" i="10"/>
  <c r="CK534" i="10"/>
  <c r="CN605" i="10"/>
  <c r="CN606" i="10"/>
  <c r="CN607" i="10"/>
  <c r="CN608" i="10"/>
  <c r="CN609" i="10"/>
  <c r="CN611" i="10"/>
  <c r="CN517" i="10"/>
  <c r="CN518" i="10"/>
  <c r="CN519" i="10"/>
  <c r="CN520" i="10"/>
  <c r="CN521" i="10"/>
  <c r="CN523" i="10"/>
  <c r="CN528" i="10"/>
  <c r="CN529" i="10"/>
  <c r="CN530" i="10"/>
  <c r="CN531" i="10"/>
  <c r="CN532" i="10"/>
  <c r="CN534" i="10"/>
  <c r="CO605" i="10"/>
  <c r="CO606" i="10"/>
  <c r="CO607" i="10"/>
  <c r="CO608" i="10"/>
  <c r="CO609" i="10"/>
  <c r="CO611" i="10"/>
  <c r="CO517" i="10"/>
  <c r="CO518" i="10"/>
  <c r="CO519" i="10"/>
  <c r="CO520" i="10"/>
  <c r="CO521" i="10"/>
  <c r="CO523" i="10"/>
  <c r="CO528" i="10"/>
  <c r="CO529" i="10"/>
  <c r="CO530" i="10"/>
  <c r="CO531" i="10"/>
  <c r="CO532" i="10"/>
  <c r="CO534" i="10"/>
  <c r="CR605" i="10"/>
  <c r="CR606" i="10"/>
  <c r="CR607" i="10"/>
  <c r="CR608" i="10"/>
  <c r="CR609" i="10"/>
  <c r="CR611" i="10"/>
  <c r="CR517" i="10"/>
  <c r="CR518" i="10"/>
  <c r="CR519" i="10"/>
  <c r="CR520" i="10"/>
  <c r="CR521" i="10"/>
  <c r="CR523" i="10"/>
  <c r="CR528" i="10"/>
  <c r="CR529" i="10"/>
  <c r="CR530" i="10"/>
  <c r="CR531" i="10"/>
  <c r="CR532" i="10"/>
  <c r="CR534" i="10"/>
  <c r="CS605" i="10"/>
  <c r="CS606" i="10"/>
  <c r="CS607" i="10"/>
  <c r="CS608" i="10"/>
  <c r="CS609" i="10"/>
  <c r="CS611" i="10"/>
  <c r="CS517" i="10"/>
  <c r="CS518" i="10"/>
  <c r="CS519" i="10"/>
  <c r="CS520" i="10"/>
  <c r="CS521" i="10"/>
  <c r="CS523" i="10"/>
  <c r="CS528" i="10"/>
  <c r="CS529" i="10"/>
  <c r="CS530" i="10"/>
  <c r="CS531" i="10"/>
  <c r="CS532" i="10"/>
  <c r="CS534" i="10"/>
  <c r="CV605" i="10"/>
  <c r="CV606" i="10"/>
  <c r="CV607" i="10"/>
  <c r="CV608" i="10"/>
  <c r="CV609" i="10"/>
  <c r="CV611" i="10"/>
  <c r="CV517" i="10"/>
  <c r="CV518" i="10"/>
  <c r="CV519" i="10"/>
  <c r="CV520" i="10"/>
  <c r="CV521" i="10"/>
  <c r="CV523" i="10"/>
  <c r="CV528" i="10"/>
  <c r="CV529" i="10"/>
  <c r="CV530" i="10"/>
  <c r="CV531" i="10"/>
  <c r="CV532" i="10"/>
  <c r="CV534" i="10"/>
  <c r="CW605" i="10"/>
  <c r="CW606" i="10"/>
  <c r="CW607" i="10"/>
  <c r="CW608" i="10"/>
  <c r="CW609" i="10"/>
  <c r="CW611" i="10"/>
  <c r="CW517" i="10"/>
  <c r="CW518" i="10"/>
  <c r="CW519" i="10"/>
  <c r="CW520" i="10"/>
  <c r="CW521" i="10"/>
  <c r="CW523" i="10"/>
  <c r="CW528" i="10"/>
  <c r="CW529" i="10"/>
  <c r="CW530" i="10"/>
  <c r="CW531" i="10"/>
  <c r="CW532" i="10"/>
  <c r="CW534" i="10"/>
  <c r="CZ605" i="10"/>
  <c r="CZ606" i="10"/>
  <c r="CZ607" i="10"/>
  <c r="CZ608" i="10"/>
  <c r="CZ609" i="10"/>
  <c r="CZ611" i="10"/>
  <c r="CZ517" i="10"/>
  <c r="CZ518" i="10"/>
  <c r="CZ519" i="10"/>
  <c r="CZ520" i="10"/>
  <c r="CZ521" i="10"/>
  <c r="CZ523" i="10"/>
  <c r="CZ528" i="10"/>
  <c r="CZ529" i="10"/>
  <c r="CZ530" i="10"/>
  <c r="CZ531" i="10"/>
  <c r="CZ532" i="10"/>
  <c r="CZ534" i="10"/>
  <c r="DA605" i="10"/>
  <c r="DA606" i="10"/>
  <c r="DA607" i="10"/>
  <c r="DA608" i="10"/>
  <c r="DA609" i="10"/>
  <c r="DA611" i="10"/>
  <c r="DA517" i="10"/>
  <c r="DA518" i="10"/>
  <c r="DA519" i="10"/>
  <c r="DA520" i="10"/>
  <c r="DA521" i="10"/>
  <c r="DA523" i="10"/>
  <c r="DA528" i="10"/>
  <c r="DA529" i="10"/>
  <c r="DA530" i="10"/>
  <c r="DA531" i="10"/>
  <c r="DA532" i="10"/>
  <c r="DA534" i="10"/>
  <c r="DI524" i="10"/>
  <c r="DI535" i="10"/>
  <c r="DI479" i="10" s="1"/>
  <c r="DL524" i="10"/>
  <c r="DL535" i="10"/>
  <c r="DL479" i="10" s="1"/>
  <c r="DM524" i="10"/>
  <c r="DM535" i="10"/>
  <c r="DM479" i="10" s="1"/>
  <c r="AV616" i="10"/>
  <c r="AV617" i="10"/>
  <c r="AV619" i="10"/>
  <c r="AV620" i="10"/>
  <c r="AV621" i="10"/>
  <c r="AV622" i="10"/>
  <c r="AW616" i="10"/>
  <c r="AW617" i="10"/>
  <c r="AW619" i="10"/>
  <c r="AW620" i="10"/>
  <c r="AW621" i="10"/>
  <c r="AW622" i="10"/>
  <c r="AZ616" i="10"/>
  <c r="AZ617" i="10"/>
  <c r="AZ619" i="10"/>
  <c r="AZ620" i="10"/>
  <c r="AZ621" i="10"/>
  <c r="AZ622" i="10"/>
  <c r="BA616" i="10"/>
  <c r="BA617" i="10"/>
  <c r="BA619" i="10"/>
  <c r="BA620" i="10"/>
  <c r="BA621" i="10"/>
  <c r="BA622" i="10"/>
  <c r="BD616" i="10"/>
  <c r="BD617" i="10"/>
  <c r="BD619" i="10"/>
  <c r="BD620" i="10"/>
  <c r="BD622" i="10"/>
  <c r="BE616" i="10"/>
  <c r="BE617" i="10"/>
  <c r="BE619" i="10"/>
  <c r="BE620" i="10"/>
  <c r="BE622" i="10"/>
  <c r="BH616" i="10"/>
  <c r="BH617" i="10"/>
  <c r="BH619" i="10"/>
  <c r="BH620" i="10"/>
  <c r="BH622" i="10"/>
  <c r="BI616" i="10"/>
  <c r="BI617" i="10"/>
  <c r="BI619" i="10"/>
  <c r="BI620" i="10"/>
  <c r="BI622" i="10"/>
  <c r="BL616" i="10"/>
  <c r="BL617" i="10"/>
  <c r="BL619" i="10"/>
  <c r="BL620" i="10"/>
  <c r="BL622" i="10"/>
  <c r="BM616" i="10"/>
  <c r="BM617" i="10"/>
  <c r="BM619" i="10"/>
  <c r="BM620" i="10"/>
  <c r="BM622" i="10"/>
  <c r="BP616" i="10"/>
  <c r="BP617" i="10"/>
  <c r="BP619" i="10"/>
  <c r="BP620" i="10"/>
  <c r="BP622" i="10"/>
  <c r="BQ616" i="10"/>
  <c r="BQ617" i="10"/>
  <c r="BQ619" i="10"/>
  <c r="BQ620" i="10"/>
  <c r="BQ622" i="10"/>
  <c r="BT616" i="10"/>
  <c r="BT617" i="10"/>
  <c r="BT619" i="10"/>
  <c r="BT620" i="10"/>
  <c r="BT622" i="10"/>
  <c r="BU616" i="10"/>
  <c r="BU617" i="10"/>
  <c r="BU619" i="10"/>
  <c r="BU620" i="10"/>
  <c r="BU622" i="10"/>
  <c r="BX616" i="10"/>
  <c r="BX617" i="10"/>
  <c r="BX618" i="10"/>
  <c r="BX619" i="10"/>
  <c r="BX620" i="10"/>
  <c r="BX622" i="10"/>
  <c r="BY616" i="10"/>
  <c r="BY617" i="10"/>
  <c r="BY618" i="10"/>
  <c r="BY619" i="10"/>
  <c r="BY620" i="10"/>
  <c r="BY622" i="10"/>
  <c r="CB616" i="10"/>
  <c r="CB617" i="10"/>
  <c r="CB618" i="10"/>
  <c r="CB619" i="10"/>
  <c r="CB620" i="10"/>
  <c r="CB622" i="10"/>
  <c r="CC616" i="10"/>
  <c r="CC617" i="10"/>
  <c r="CC618" i="10"/>
  <c r="CC619" i="10"/>
  <c r="CC620" i="10"/>
  <c r="CC622" i="10"/>
  <c r="CF616" i="10"/>
  <c r="CF617" i="10"/>
  <c r="CF618" i="10"/>
  <c r="CF619" i="10"/>
  <c r="CF620" i="10"/>
  <c r="CF622" i="10"/>
  <c r="CG616" i="10"/>
  <c r="CG617" i="10"/>
  <c r="CG618" i="10"/>
  <c r="CG619" i="10"/>
  <c r="CG620" i="10"/>
  <c r="CG622" i="10"/>
  <c r="CJ616" i="10"/>
  <c r="CJ617" i="10"/>
  <c r="CJ618" i="10"/>
  <c r="CJ619" i="10"/>
  <c r="CJ620" i="10"/>
  <c r="CJ622" i="10"/>
  <c r="CK616" i="10"/>
  <c r="CK617" i="10"/>
  <c r="CK618" i="10"/>
  <c r="CK619" i="10"/>
  <c r="CK620" i="10"/>
  <c r="CK622" i="10"/>
  <c r="CN616" i="10"/>
  <c r="CN617" i="10"/>
  <c r="CN618" i="10"/>
  <c r="CN619" i="10"/>
  <c r="CN620" i="10"/>
  <c r="CN622" i="10"/>
  <c r="CO616" i="10"/>
  <c r="CO617" i="10"/>
  <c r="CO618" i="10"/>
  <c r="CO619" i="10"/>
  <c r="CO620" i="10"/>
  <c r="CO622" i="10"/>
  <c r="CR616" i="10"/>
  <c r="CR617" i="10"/>
  <c r="CR618" i="10"/>
  <c r="CR619" i="10"/>
  <c r="CR620" i="10"/>
  <c r="CR622" i="10"/>
  <c r="CS616" i="10"/>
  <c r="CS617" i="10"/>
  <c r="CS618" i="10"/>
  <c r="CS619" i="10"/>
  <c r="CS620" i="10"/>
  <c r="CS622" i="10"/>
  <c r="CV616" i="10"/>
  <c r="CV617" i="10"/>
  <c r="CV618" i="10"/>
  <c r="CV619" i="10"/>
  <c r="CV620" i="10"/>
  <c r="CV622" i="10"/>
  <c r="CW616" i="10"/>
  <c r="CW617" i="10"/>
  <c r="CW618" i="10"/>
  <c r="CW619" i="10"/>
  <c r="CW620" i="10"/>
  <c r="CW622" i="10"/>
  <c r="CZ616" i="10"/>
  <c r="CZ617" i="10"/>
  <c r="CZ618" i="10"/>
  <c r="CZ619" i="10"/>
  <c r="CZ620" i="10"/>
  <c r="CZ622" i="10"/>
  <c r="DA616" i="10"/>
  <c r="DA617" i="10"/>
  <c r="DA618" i="10"/>
  <c r="DA619" i="10"/>
  <c r="DA620" i="10"/>
  <c r="DA622" i="10"/>
  <c r="AT495" i="10"/>
  <c r="AT496" i="10"/>
  <c r="AT497" i="10"/>
  <c r="AT498" i="10"/>
  <c r="AT499" i="10"/>
  <c r="AT500" i="10"/>
  <c r="AT501" i="10"/>
  <c r="AT506" i="10"/>
  <c r="AT507" i="10"/>
  <c r="AT508" i="10"/>
  <c r="AT509" i="10"/>
  <c r="AT510" i="10"/>
  <c r="AT511" i="10"/>
  <c r="AT512" i="10"/>
  <c r="AT539" i="10"/>
  <c r="AT540" i="10"/>
  <c r="AT541" i="10"/>
  <c r="AT542" i="10"/>
  <c r="AT543" i="10"/>
  <c r="AT544" i="10"/>
  <c r="AT545" i="10"/>
  <c r="AT561" i="10"/>
  <c r="AT562" i="10"/>
  <c r="AT563" i="10"/>
  <c r="AT564" i="10"/>
  <c r="AT565" i="10"/>
  <c r="AT566" i="10"/>
  <c r="AT567" i="10"/>
  <c r="AT572" i="10"/>
  <c r="AT573" i="10"/>
  <c r="AT574" i="10"/>
  <c r="AT575" i="10"/>
  <c r="AT576" i="10"/>
  <c r="AT577" i="10"/>
  <c r="AT578" i="10"/>
  <c r="AT627" i="10"/>
  <c r="AT628" i="10"/>
  <c r="AT629" i="10"/>
  <c r="AT630" i="10"/>
  <c r="AT631" i="10"/>
  <c r="AT632" i="10"/>
  <c r="AT633" i="10"/>
  <c r="AT583" i="10"/>
  <c r="AT584" i="10"/>
  <c r="AT585" i="10"/>
  <c r="AT586" i="10"/>
  <c r="AT587" i="10"/>
  <c r="AT588" i="10"/>
  <c r="AT589" i="10"/>
  <c r="AT594" i="10"/>
  <c r="AT595" i="10"/>
  <c r="AT596" i="10"/>
  <c r="AT597" i="10"/>
  <c r="AT598" i="10"/>
  <c r="AT599" i="10"/>
  <c r="AT600" i="10"/>
  <c r="AV495" i="10"/>
  <c r="AV496" i="10"/>
  <c r="AV498" i="10"/>
  <c r="AV499" i="10"/>
  <c r="AV500" i="10"/>
  <c r="AV501" i="10"/>
  <c r="AV506" i="10"/>
  <c r="AV507" i="10"/>
  <c r="AV509" i="10"/>
  <c r="AV510" i="10"/>
  <c r="AV511" i="10"/>
  <c r="AV512" i="10"/>
  <c r="AV539" i="10"/>
  <c r="AV540" i="10"/>
  <c r="AV542" i="10"/>
  <c r="AV543" i="10"/>
  <c r="AV544" i="10"/>
  <c r="AV545" i="10"/>
  <c r="AV561" i="10"/>
  <c r="AV562" i="10"/>
  <c r="AV564" i="10"/>
  <c r="AV565" i="10"/>
  <c r="AV566" i="10"/>
  <c r="AV567" i="10"/>
  <c r="AV572" i="10"/>
  <c r="AV573" i="10"/>
  <c r="AV575" i="10"/>
  <c r="AV576" i="10"/>
  <c r="AV577" i="10"/>
  <c r="AV578" i="10"/>
  <c r="AV627" i="10"/>
  <c r="AV628" i="10"/>
  <c r="AV630" i="10"/>
  <c r="AV631" i="10"/>
  <c r="AV632" i="10"/>
  <c r="AV633" i="10"/>
  <c r="AV583" i="10"/>
  <c r="AV584" i="10"/>
  <c r="AV586" i="10"/>
  <c r="AV587" i="10"/>
  <c r="AV588" i="10"/>
  <c r="AV589" i="10"/>
  <c r="AV594" i="10"/>
  <c r="AV595" i="10"/>
  <c r="AV597" i="10"/>
  <c r="AV598" i="10"/>
  <c r="AV599" i="10"/>
  <c r="AV600" i="10"/>
  <c r="AW495" i="10"/>
  <c r="AW496" i="10"/>
  <c r="AW498" i="10"/>
  <c r="AW499" i="10"/>
  <c r="AW500" i="10"/>
  <c r="AW501" i="10"/>
  <c r="AW506" i="10"/>
  <c r="AW507" i="10"/>
  <c r="AW509" i="10"/>
  <c r="AW510" i="10"/>
  <c r="AW511" i="10"/>
  <c r="AW512" i="10"/>
  <c r="AW539" i="10"/>
  <c r="AW540" i="10"/>
  <c r="AW542" i="10"/>
  <c r="AW543" i="10"/>
  <c r="AW544" i="10"/>
  <c r="AW545" i="10"/>
  <c r="AW561" i="10"/>
  <c r="AW562" i="10"/>
  <c r="AW564" i="10"/>
  <c r="AW565" i="10"/>
  <c r="AW566" i="10"/>
  <c r="AW567" i="10"/>
  <c r="AW572" i="10"/>
  <c r="AW573" i="10"/>
  <c r="AW575" i="10"/>
  <c r="AW576" i="10"/>
  <c r="AW577" i="10"/>
  <c r="AW578" i="10"/>
  <c r="AW627" i="10"/>
  <c r="AW628" i="10"/>
  <c r="AW630" i="10"/>
  <c r="AW631" i="10"/>
  <c r="AW632" i="10"/>
  <c r="AW633" i="10"/>
  <c r="AW583" i="10"/>
  <c r="AW584" i="10"/>
  <c r="AW586" i="10"/>
  <c r="AW587" i="10"/>
  <c r="AW588" i="10"/>
  <c r="AW589" i="10"/>
  <c r="AW594" i="10"/>
  <c r="AW595" i="10"/>
  <c r="AW597" i="10"/>
  <c r="AW598" i="10"/>
  <c r="AW599" i="10"/>
  <c r="AW600" i="10"/>
  <c r="AZ495" i="10"/>
  <c r="AZ496" i="10"/>
  <c r="AZ498" i="10"/>
  <c r="AZ499" i="10"/>
  <c r="AZ500" i="10"/>
  <c r="AZ501" i="10"/>
  <c r="AZ506" i="10"/>
  <c r="AZ507" i="10"/>
  <c r="AZ509" i="10"/>
  <c r="AZ510" i="10"/>
  <c r="AZ511" i="10"/>
  <c r="AZ512" i="10"/>
  <c r="AZ539" i="10"/>
  <c r="AZ540" i="10"/>
  <c r="AZ542" i="10"/>
  <c r="AZ543" i="10"/>
  <c r="AZ544" i="10"/>
  <c r="AZ545" i="10"/>
  <c r="AZ561" i="10"/>
  <c r="AZ564" i="10"/>
  <c r="AZ565" i="10"/>
  <c r="AZ566" i="10"/>
  <c r="AZ567" i="10"/>
  <c r="AZ572" i="10"/>
  <c r="AZ573" i="10"/>
  <c r="AZ575" i="10"/>
  <c r="AZ576" i="10"/>
  <c r="AZ577" i="10"/>
  <c r="AZ578" i="10"/>
  <c r="AZ627" i="10"/>
  <c r="AZ628" i="10"/>
  <c r="AZ630" i="10"/>
  <c r="AZ631" i="10"/>
  <c r="AZ632" i="10"/>
  <c r="AZ633" i="10"/>
  <c r="AZ583" i="10"/>
  <c r="AZ584" i="10"/>
  <c r="AZ586" i="10"/>
  <c r="AZ587" i="10"/>
  <c r="AZ588" i="10"/>
  <c r="AZ589" i="10"/>
  <c r="AZ594" i="10"/>
  <c r="AZ595" i="10"/>
  <c r="AZ597" i="10"/>
  <c r="AZ598" i="10"/>
  <c r="AZ599" i="10"/>
  <c r="AZ600" i="10"/>
  <c r="BA495" i="10"/>
  <c r="BA496" i="10"/>
  <c r="BA498" i="10"/>
  <c r="BA499" i="10"/>
  <c r="BA500" i="10"/>
  <c r="BA501" i="10"/>
  <c r="BA506" i="10"/>
  <c r="BA507" i="10"/>
  <c r="BA509" i="10"/>
  <c r="BA510" i="10"/>
  <c r="BA511" i="10"/>
  <c r="BA512" i="10"/>
  <c r="BA539" i="10"/>
  <c r="BA540" i="10"/>
  <c r="BA542" i="10"/>
  <c r="BA543" i="10"/>
  <c r="BA544" i="10"/>
  <c r="BA545" i="10"/>
  <c r="BA561" i="10"/>
  <c r="BA562" i="10"/>
  <c r="BA564" i="10"/>
  <c r="BA565" i="10"/>
  <c r="BA566" i="10"/>
  <c r="BA567" i="10"/>
  <c r="BA572" i="10"/>
  <c r="BA573" i="10"/>
  <c r="BA575" i="10"/>
  <c r="BA576" i="10"/>
  <c r="BA577" i="10"/>
  <c r="BA578" i="10"/>
  <c r="BA627" i="10"/>
  <c r="BA628" i="10"/>
  <c r="BA630" i="10"/>
  <c r="BA631" i="10"/>
  <c r="BA632" i="10"/>
  <c r="BA633" i="10"/>
  <c r="BA583" i="10"/>
  <c r="BA584" i="10"/>
  <c r="BA586" i="10"/>
  <c r="BA587" i="10"/>
  <c r="BA588" i="10"/>
  <c r="BA589" i="10"/>
  <c r="BA594" i="10"/>
  <c r="BA595" i="10"/>
  <c r="BA597" i="10"/>
  <c r="BA598" i="10"/>
  <c r="BA599" i="10"/>
  <c r="BA600" i="10"/>
  <c r="BD495" i="10"/>
  <c r="BD496" i="10"/>
  <c r="BD498" i="10"/>
  <c r="BD499" i="10"/>
  <c r="BD501" i="10"/>
  <c r="BD506" i="10"/>
  <c r="BD507" i="10"/>
  <c r="BD509" i="10"/>
  <c r="BD510" i="10"/>
  <c r="BD512" i="10"/>
  <c r="BD539" i="10"/>
  <c r="BD540" i="10"/>
  <c r="BD542" i="10"/>
  <c r="BD543" i="10"/>
  <c r="BD545" i="10"/>
  <c r="BD561" i="10"/>
  <c r="BD562" i="10"/>
  <c r="BD564" i="10"/>
  <c r="BD565" i="10"/>
  <c r="BD567" i="10"/>
  <c r="BD572" i="10"/>
  <c r="BD573" i="10"/>
  <c r="BD575" i="10"/>
  <c r="BD576" i="10"/>
  <c r="BD578" i="10"/>
  <c r="BD627" i="10"/>
  <c r="BD628" i="10"/>
  <c r="BD630" i="10"/>
  <c r="BD631" i="10"/>
  <c r="BD633" i="10"/>
  <c r="BD583" i="10"/>
  <c r="BD584" i="10"/>
  <c r="BD586" i="10"/>
  <c r="BD587" i="10"/>
  <c r="BD589" i="10"/>
  <c r="BD594" i="10"/>
  <c r="BD595" i="10"/>
  <c r="BD597" i="10"/>
  <c r="BD598" i="10"/>
  <c r="BD600" i="10"/>
  <c r="BE495" i="10"/>
  <c r="BE496" i="10"/>
  <c r="BE498" i="10"/>
  <c r="BE499" i="10"/>
  <c r="BE501" i="10"/>
  <c r="BE506" i="10"/>
  <c r="BE507" i="10"/>
  <c r="BE509" i="10"/>
  <c r="BE510" i="10"/>
  <c r="BE512" i="10"/>
  <c r="BE539" i="10"/>
  <c r="BE540" i="10"/>
  <c r="BE542" i="10"/>
  <c r="BE543" i="10"/>
  <c r="BE545" i="10"/>
  <c r="BE561" i="10"/>
  <c r="BE562" i="10"/>
  <c r="BE564" i="10"/>
  <c r="BE565" i="10"/>
  <c r="BE567" i="10"/>
  <c r="BE572" i="10"/>
  <c r="BE573" i="10"/>
  <c r="BE575" i="10"/>
  <c r="BE576" i="10"/>
  <c r="BE578" i="10"/>
  <c r="BE627" i="10"/>
  <c r="BE628" i="10"/>
  <c r="BE630" i="10"/>
  <c r="BE631" i="10"/>
  <c r="BE633" i="10"/>
  <c r="BE583" i="10"/>
  <c r="BE584" i="10"/>
  <c r="BE586" i="10"/>
  <c r="BE587" i="10"/>
  <c r="BE589" i="10"/>
  <c r="BE594" i="10"/>
  <c r="BE595" i="10"/>
  <c r="BE597" i="10"/>
  <c r="BE598" i="10"/>
  <c r="BE600" i="10"/>
  <c r="BH495" i="10"/>
  <c r="BH496" i="10"/>
  <c r="BH498" i="10"/>
  <c r="BH499" i="10"/>
  <c r="BH501" i="10"/>
  <c r="BH506" i="10"/>
  <c r="BH507" i="10"/>
  <c r="BH509" i="10"/>
  <c r="BH510" i="10"/>
  <c r="BH512" i="10"/>
  <c r="BH539" i="10"/>
  <c r="BH540" i="10"/>
  <c r="BH542" i="10"/>
  <c r="BH543" i="10"/>
  <c r="BH545" i="10"/>
  <c r="BH561" i="10"/>
  <c r="BH562" i="10"/>
  <c r="BH564" i="10"/>
  <c r="BH565" i="10"/>
  <c r="BH567" i="10"/>
  <c r="BH572" i="10"/>
  <c r="BH573" i="10"/>
  <c r="BH575" i="10"/>
  <c r="BH576" i="10"/>
  <c r="BH578" i="10"/>
  <c r="BH627" i="10"/>
  <c r="BH628" i="10"/>
  <c r="BH630" i="10"/>
  <c r="BH631" i="10"/>
  <c r="BH633" i="10"/>
  <c r="BH583" i="10"/>
  <c r="BH584" i="10"/>
  <c r="BH586" i="10"/>
  <c r="BH587" i="10"/>
  <c r="BH589" i="10"/>
  <c r="BH594" i="10"/>
  <c r="BH595" i="10"/>
  <c r="BH597" i="10"/>
  <c r="BH598" i="10"/>
  <c r="BH600" i="10"/>
  <c r="BI495" i="10"/>
  <c r="BI496" i="10"/>
  <c r="BI498" i="10"/>
  <c r="BI499" i="10"/>
  <c r="BI501" i="10"/>
  <c r="BI506" i="10"/>
  <c r="BI507" i="10"/>
  <c r="BI509" i="10"/>
  <c r="BI510" i="10"/>
  <c r="BI539" i="10"/>
  <c r="BI540" i="10"/>
  <c r="BI542" i="10"/>
  <c r="BI543" i="10"/>
  <c r="BI545" i="10"/>
  <c r="BI561" i="10"/>
  <c r="BI562" i="10"/>
  <c r="BI564" i="10"/>
  <c r="BI565" i="10"/>
  <c r="BI567" i="10"/>
  <c r="BI572" i="10"/>
  <c r="BI573" i="10"/>
  <c r="BI575" i="10"/>
  <c r="BI576" i="10"/>
  <c r="BI578" i="10"/>
  <c r="BI627" i="10"/>
  <c r="BI628" i="10"/>
  <c r="BI630" i="10"/>
  <c r="BI631" i="10"/>
  <c r="BI633" i="10"/>
  <c r="BI583" i="10"/>
  <c r="BI584" i="10"/>
  <c r="BI586" i="10"/>
  <c r="BI587" i="10"/>
  <c r="BI589" i="10"/>
  <c r="BI594" i="10"/>
  <c r="BI595" i="10"/>
  <c r="BI597" i="10"/>
  <c r="BI598" i="10"/>
  <c r="BI600" i="10"/>
  <c r="BL495" i="10"/>
  <c r="BL496" i="10"/>
  <c r="BL498" i="10"/>
  <c r="BL499" i="10"/>
  <c r="BL501" i="10"/>
  <c r="BL506" i="10"/>
  <c r="BL507" i="10"/>
  <c r="BL509" i="10"/>
  <c r="BL510" i="10"/>
  <c r="BL512" i="10"/>
  <c r="BL539" i="10"/>
  <c r="BL540" i="10"/>
  <c r="BL542" i="10"/>
  <c r="BL543" i="10"/>
  <c r="BL545" i="10"/>
  <c r="BL561" i="10"/>
  <c r="BL562" i="10"/>
  <c r="BL564" i="10"/>
  <c r="BL565" i="10"/>
  <c r="BL567" i="10"/>
  <c r="BL572" i="10"/>
  <c r="BL573" i="10"/>
  <c r="BL575" i="10"/>
  <c r="BL576" i="10"/>
  <c r="BL578" i="10"/>
  <c r="BL627" i="10"/>
  <c r="BL628" i="10"/>
  <c r="BL630" i="10"/>
  <c r="BL631" i="10"/>
  <c r="BL633" i="10"/>
  <c r="BL583" i="10"/>
  <c r="BL584" i="10"/>
  <c r="BL586" i="10"/>
  <c r="BL587" i="10"/>
  <c r="BL589" i="10"/>
  <c r="BL594" i="10"/>
  <c r="BL595" i="10"/>
  <c r="BL597" i="10"/>
  <c r="BL598" i="10"/>
  <c r="BL600" i="10"/>
  <c r="BM495" i="10"/>
  <c r="BM496" i="10"/>
  <c r="BM498" i="10"/>
  <c r="BM499" i="10"/>
  <c r="BM501" i="10"/>
  <c r="BM506" i="10"/>
  <c r="BM507" i="10"/>
  <c r="BM509" i="10"/>
  <c r="BM510" i="10"/>
  <c r="BM512" i="10"/>
  <c r="BM539" i="10"/>
  <c r="BM540" i="10"/>
  <c r="BM542" i="10"/>
  <c r="BM543" i="10"/>
  <c r="BM545" i="10"/>
  <c r="BM561" i="10"/>
  <c r="BM562" i="10"/>
  <c r="BM564" i="10"/>
  <c r="BM565" i="10"/>
  <c r="BM567" i="10"/>
  <c r="BM572" i="10"/>
  <c r="BM573" i="10"/>
  <c r="BM575" i="10"/>
  <c r="BM576" i="10"/>
  <c r="BM578" i="10"/>
  <c r="BM627" i="10"/>
  <c r="BM628" i="10"/>
  <c r="BM630" i="10"/>
  <c r="BM631" i="10"/>
  <c r="BM633" i="10"/>
  <c r="BM583" i="10"/>
  <c r="BM584" i="10"/>
  <c r="BM586" i="10"/>
  <c r="BM587" i="10"/>
  <c r="BM589" i="10"/>
  <c r="BM594" i="10"/>
  <c r="BM595" i="10"/>
  <c r="BM597" i="10"/>
  <c r="BM598" i="10"/>
  <c r="BM600" i="10"/>
  <c r="BP495" i="10"/>
  <c r="BP496" i="10"/>
  <c r="BP498" i="10"/>
  <c r="BP499" i="10"/>
  <c r="BP501" i="10"/>
  <c r="BP506" i="10"/>
  <c r="BP507" i="10"/>
  <c r="BP509" i="10"/>
  <c r="BP510" i="10"/>
  <c r="BP512" i="10"/>
  <c r="BP539" i="10"/>
  <c r="BP540" i="10"/>
  <c r="BP542" i="10"/>
  <c r="BP543" i="10"/>
  <c r="BP545" i="10"/>
  <c r="BP561" i="10"/>
  <c r="BP562" i="10"/>
  <c r="BP564" i="10"/>
  <c r="BP565" i="10"/>
  <c r="BP567" i="10"/>
  <c r="BP572" i="10"/>
  <c r="BP573" i="10"/>
  <c r="BP575" i="10"/>
  <c r="BP576" i="10"/>
  <c r="BP578" i="10"/>
  <c r="BP627" i="10"/>
  <c r="BP628" i="10"/>
  <c r="BP630" i="10"/>
  <c r="BP631" i="10"/>
  <c r="BP633" i="10"/>
  <c r="BP583" i="10"/>
  <c r="BP584" i="10"/>
  <c r="BP586" i="10"/>
  <c r="BP587" i="10"/>
  <c r="BP589" i="10"/>
  <c r="BP594" i="10"/>
  <c r="BP595" i="10"/>
  <c r="BP597" i="10"/>
  <c r="BP598" i="10"/>
  <c r="BP600" i="10"/>
  <c r="BQ495" i="10"/>
  <c r="BQ496" i="10"/>
  <c r="BQ498" i="10"/>
  <c r="BQ499" i="10"/>
  <c r="BQ501" i="10"/>
  <c r="BQ506" i="10"/>
  <c r="BQ507" i="10"/>
  <c r="BQ509" i="10"/>
  <c r="BQ510" i="10"/>
  <c r="BQ512" i="10"/>
  <c r="BQ539" i="10"/>
  <c r="BQ540" i="10"/>
  <c r="BQ542" i="10"/>
  <c r="BQ543" i="10"/>
  <c r="BQ545" i="10"/>
  <c r="BQ561" i="10"/>
  <c r="BQ562" i="10"/>
  <c r="BQ564" i="10"/>
  <c r="BQ565" i="10"/>
  <c r="BQ567" i="10"/>
  <c r="BQ572" i="10"/>
  <c r="BQ573" i="10"/>
  <c r="BQ575" i="10"/>
  <c r="BQ576" i="10"/>
  <c r="BQ578" i="10"/>
  <c r="BQ627" i="10"/>
  <c r="BQ628" i="10"/>
  <c r="BQ630" i="10"/>
  <c r="BQ631" i="10"/>
  <c r="BQ633" i="10"/>
  <c r="BQ583" i="10"/>
  <c r="BQ584" i="10"/>
  <c r="BQ586" i="10"/>
  <c r="BQ587" i="10"/>
  <c r="BQ589" i="10"/>
  <c r="BQ594" i="10"/>
  <c r="BQ595" i="10"/>
  <c r="BQ597" i="10"/>
  <c r="BQ598" i="10"/>
  <c r="BQ600" i="10"/>
  <c r="BT495" i="10"/>
  <c r="BT1038" i="10" s="1"/>
  <c r="BT496" i="10"/>
  <c r="BT1039" i="10" s="1"/>
  <c r="BT498" i="10"/>
  <c r="BT1041" i="10" s="1"/>
  <c r="BT499" i="10"/>
  <c r="BT1042" i="10" s="1"/>
  <c r="BT501" i="10"/>
  <c r="BT506" i="10"/>
  <c r="BT507" i="10"/>
  <c r="BT509" i="10"/>
  <c r="BT510" i="10"/>
  <c r="BT512" i="10"/>
  <c r="BT539" i="10"/>
  <c r="BT540" i="10"/>
  <c r="BT542" i="10"/>
  <c r="BT543" i="10"/>
  <c r="BT545" i="10"/>
  <c r="BT561" i="10"/>
  <c r="BT562" i="10"/>
  <c r="BT564" i="10"/>
  <c r="BT565" i="10"/>
  <c r="BT567" i="10"/>
  <c r="BT572" i="10"/>
  <c r="BT573" i="10"/>
  <c r="BT575" i="10"/>
  <c r="BT576" i="10"/>
  <c r="BT578" i="10"/>
  <c r="BT627" i="10"/>
  <c r="BT628" i="10"/>
  <c r="BT630" i="10"/>
  <c r="BT631" i="10"/>
  <c r="BT633" i="10"/>
  <c r="BT583" i="10"/>
  <c r="BT584" i="10"/>
  <c r="BT586" i="10"/>
  <c r="BT587" i="10"/>
  <c r="BT589" i="10"/>
  <c r="BT594" i="10"/>
  <c r="BT595" i="10"/>
  <c r="BT597" i="10"/>
  <c r="BT598" i="10"/>
  <c r="BT600" i="10"/>
  <c r="BU495" i="10"/>
  <c r="BU1038" i="10" s="1"/>
  <c r="BU496" i="10"/>
  <c r="BU1039" i="10" s="1"/>
  <c r="BU498" i="10"/>
  <c r="BU499" i="10"/>
  <c r="BU1042" i="10" s="1"/>
  <c r="BU501" i="10"/>
  <c r="BU1044" i="10" s="1"/>
  <c r="BU506" i="10"/>
  <c r="BU507" i="10"/>
  <c r="BU509" i="10"/>
  <c r="BU510" i="10"/>
  <c r="BU512" i="10"/>
  <c r="BU539" i="10"/>
  <c r="BU540" i="10"/>
  <c r="BU542" i="10"/>
  <c r="BU543" i="10"/>
  <c r="BU545" i="10"/>
  <c r="BU561" i="10"/>
  <c r="BU562" i="10"/>
  <c r="BU564" i="10"/>
  <c r="BU565" i="10"/>
  <c r="BU567" i="10"/>
  <c r="BU572" i="10"/>
  <c r="BU573" i="10"/>
  <c r="BU575" i="10"/>
  <c r="BU576" i="10"/>
  <c r="BU578" i="10"/>
  <c r="BU627" i="10"/>
  <c r="BU628" i="10"/>
  <c r="BU630" i="10"/>
  <c r="BU631" i="10"/>
  <c r="BU633" i="10"/>
  <c r="BU583" i="10"/>
  <c r="BU584" i="10"/>
  <c r="BU586" i="10"/>
  <c r="BU587" i="10"/>
  <c r="BU589" i="10"/>
  <c r="BU594" i="10"/>
  <c r="BU595" i="10"/>
  <c r="BU597" i="10"/>
  <c r="BU598" i="10"/>
  <c r="BU600" i="10"/>
  <c r="BX495" i="10"/>
  <c r="BX1038" i="10" s="1"/>
  <c r="BX496" i="10"/>
  <c r="BX1039" i="10" s="1"/>
  <c r="BX497" i="10"/>
  <c r="BX498" i="10"/>
  <c r="BX1041" i="10" s="1"/>
  <c r="BX499" i="10"/>
  <c r="BX501" i="10"/>
  <c r="BX1044" i="10" s="1"/>
  <c r="BX506" i="10"/>
  <c r="BX507" i="10"/>
  <c r="BX508" i="10"/>
  <c r="BX509" i="10"/>
  <c r="BX510" i="10"/>
  <c r="BX512" i="10"/>
  <c r="BX539" i="10"/>
  <c r="BX540" i="10"/>
  <c r="BX541" i="10"/>
  <c r="BX542" i="10"/>
  <c r="BX543" i="10"/>
  <c r="BX545" i="10"/>
  <c r="BX561" i="10"/>
  <c r="BX562" i="10"/>
  <c r="BX563" i="10"/>
  <c r="BX564" i="10"/>
  <c r="BX565" i="10"/>
  <c r="BX567" i="10"/>
  <c r="BX572" i="10"/>
  <c r="BX573" i="10"/>
  <c r="BX574" i="10"/>
  <c r="BX575" i="10"/>
  <c r="BX576" i="10"/>
  <c r="BX578" i="10"/>
  <c r="BX627" i="10"/>
  <c r="BX628" i="10"/>
  <c r="BX629" i="10"/>
  <c r="BX630" i="10"/>
  <c r="BX631" i="10"/>
  <c r="BX633" i="10"/>
  <c r="BX583" i="10"/>
  <c r="BX584" i="10"/>
  <c r="BX585" i="10"/>
  <c r="BX586" i="10"/>
  <c r="BX587" i="10"/>
  <c r="BX589" i="10"/>
  <c r="BX594" i="10"/>
  <c r="BX595" i="10"/>
  <c r="BX596" i="10"/>
  <c r="BX597" i="10"/>
  <c r="BX598" i="10"/>
  <c r="BX600" i="10"/>
  <c r="BY495" i="10"/>
  <c r="BY1038" i="10" s="1"/>
  <c r="BY496" i="10"/>
  <c r="BY1039" i="10" s="1"/>
  <c r="BY497" i="10"/>
  <c r="BY1040" i="10" s="1"/>
  <c r="BY498" i="10"/>
  <c r="BY1041" i="10" s="1"/>
  <c r="BY499" i="10"/>
  <c r="BY1042" i="10" s="1"/>
  <c r="BY501" i="10"/>
  <c r="BY1044" i="10" s="1"/>
  <c r="BY506" i="10"/>
  <c r="BY507" i="10"/>
  <c r="BY508" i="10"/>
  <c r="BY509" i="10"/>
  <c r="BY510" i="10"/>
  <c r="BY512" i="10"/>
  <c r="BY539" i="10"/>
  <c r="BY540" i="10"/>
  <c r="BY541" i="10"/>
  <c r="BY542" i="10"/>
  <c r="BY543" i="10"/>
  <c r="BY545" i="10"/>
  <c r="BY561" i="10"/>
  <c r="BY562" i="10"/>
  <c r="BY563" i="10"/>
  <c r="BY564" i="10"/>
  <c r="BY565" i="10"/>
  <c r="BY567" i="10"/>
  <c r="BY572" i="10"/>
  <c r="BY573" i="10"/>
  <c r="BY574" i="10"/>
  <c r="BY575" i="10"/>
  <c r="BY576" i="10"/>
  <c r="BY578" i="10"/>
  <c r="BY627" i="10"/>
  <c r="BY628" i="10"/>
  <c r="BY629" i="10"/>
  <c r="BY630" i="10"/>
  <c r="BY631" i="10"/>
  <c r="BY633" i="10"/>
  <c r="BY583" i="10"/>
  <c r="BY584" i="10"/>
  <c r="BY585" i="10"/>
  <c r="BY586" i="10"/>
  <c r="BY587" i="10"/>
  <c r="BY589" i="10"/>
  <c r="BY594" i="10"/>
  <c r="BY595" i="10"/>
  <c r="BY596" i="10"/>
  <c r="BY597" i="10"/>
  <c r="BY598" i="10"/>
  <c r="BY600" i="10"/>
  <c r="CB495" i="10"/>
  <c r="CB1038" i="10" s="1"/>
  <c r="CB496" i="10"/>
  <c r="CB1039" i="10" s="1"/>
  <c r="CB497" i="10"/>
  <c r="CB1040" i="10" s="1"/>
  <c r="CB498" i="10"/>
  <c r="CB499" i="10"/>
  <c r="CB501" i="10"/>
  <c r="CB1044" i="10" s="1"/>
  <c r="CB506" i="10"/>
  <c r="CB507" i="10"/>
  <c r="CB508" i="10"/>
  <c r="CB509" i="10"/>
  <c r="CB510" i="10"/>
  <c r="CB512" i="10"/>
  <c r="CB539" i="10"/>
  <c r="CB540" i="10"/>
  <c r="CB541" i="10"/>
  <c r="CB542" i="10"/>
  <c r="CB543" i="10"/>
  <c r="CB545" i="10"/>
  <c r="CB561" i="10"/>
  <c r="CB562" i="10"/>
  <c r="CB563" i="10"/>
  <c r="CB564" i="10"/>
  <c r="CB565" i="10"/>
  <c r="CB567" i="10"/>
  <c r="CB572" i="10"/>
  <c r="CB573" i="10"/>
  <c r="CB574" i="10"/>
  <c r="CB575" i="10"/>
  <c r="CB576" i="10"/>
  <c r="CB578" i="10"/>
  <c r="CB627" i="10"/>
  <c r="CB628" i="10"/>
  <c r="CB629" i="10"/>
  <c r="CB630" i="10"/>
  <c r="CB631" i="10"/>
  <c r="CB633" i="10"/>
  <c r="CB583" i="10"/>
  <c r="CB584" i="10"/>
  <c r="CB585" i="10"/>
  <c r="CB586" i="10"/>
  <c r="CB587" i="10"/>
  <c r="CB589" i="10"/>
  <c r="CB594" i="10"/>
  <c r="CB595" i="10"/>
  <c r="CB596" i="10"/>
  <c r="CB597" i="10"/>
  <c r="CB598" i="10"/>
  <c r="CB600" i="10"/>
  <c r="CC495" i="10"/>
  <c r="CC1038" i="10" s="1"/>
  <c r="CC496" i="10"/>
  <c r="CC1039" i="10" s="1"/>
  <c r="CC497" i="10"/>
  <c r="CC1040" i="10" s="1"/>
  <c r="CC498" i="10"/>
  <c r="CC1041" i="10" s="1"/>
  <c r="CC499" i="10"/>
  <c r="CC1042" i="10" s="1"/>
  <c r="CC501" i="10"/>
  <c r="CC506" i="10"/>
  <c r="CC507" i="10"/>
  <c r="CC508" i="10"/>
  <c r="CC509" i="10"/>
  <c r="CC510" i="10"/>
  <c r="CC512" i="10"/>
  <c r="CC539" i="10"/>
  <c r="CC540" i="10"/>
  <c r="CC541" i="10"/>
  <c r="CC542" i="10"/>
  <c r="CC543" i="10"/>
  <c r="CC545" i="10"/>
  <c r="CC561" i="10"/>
  <c r="CC562" i="10"/>
  <c r="CC563" i="10"/>
  <c r="CC564" i="10"/>
  <c r="CC565" i="10"/>
  <c r="CC567" i="10"/>
  <c r="CC572" i="10"/>
  <c r="CC573" i="10"/>
  <c r="CD573" i="10" s="1"/>
  <c r="CC574" i="10"/>
  <c r="CC575" i="10"/>
  <c r="CC576" i="10"/>
  <c r="CC578" i="10"/>
  <c r="CC627" i="10"/>
  <c r="CC628" i="10"/>
  <c r="CC629" i="10"/>
  <c r="CC630" i="10"/>
  <c r="CC631" i="10"/>
  <c r="CC633" i="10"/>
  <c r="CC583" i="10"/>
  <c r="CC584" i="10"/>
  <c r="CD584" i="10" s="1"/>
  <c r="CC585" i="10"/>
  <c r="CC586" i="10"/>
  <c r="CC587" i="10"/>
  <c r="CC589" i="10"/>
  <c r="CC594" i="10"/>
  <c r="CC595" i="10"/>
  <c r="CC596" i="10"/>
  <c r="CC597" i="10"/>
  <c r="CC598" i="10"/>
  <c r="CC600" i="10"/>
  <c r="CD600" i="10" s="1"/>
  <c r="CF495" i="10"/>
  <c r="CF1038" i="10" s="1"/>
  <c r="CF496" i="10"/>
  <c r="CF1039" i="10" s="1"/>
  <c r="CF497" i="10"/>
  <c r="CF1040" i="10" s="1"/>
  <c r="CF498" i="10"/>
  <c r="CF499" i="10"/>
  <c r="CF1042" i="10" s="1"/>
  <c r="CF501" i="10"/>
  <c r="CF1044" i="10" s="1"/>
  <c r="CF506" i="10"/>
  <c r="CF507" i="10"/>
  <c r="CF508" i="10"/>
  <c r="CF509" i="10"/>
  <c r="CF510" i="10"/>
  <c r="CF512" i="10"/>
  <c r="CF539" i="10"/>
  <c r="CF540" i="10"/>
  <c r="CF541" i="10"/>
  <c r="CF542" i="10"/>
  <c r="CF543" i="10"/>
  <c r="CF545" i="10"/>
  <c r="CF561" i="10"/>
  <c r="CF562" i="10"/>
  <c r="CF563" i="10"/>
  <c r="CF564" i="10"/>
  <c r="CF565" i="10"/>
  <c r="CF567" i="10"/>
  <c r="CF572" i="10"/>
  <c r="CF573" i="10"/>
  <c r="CF574" i="10"/>
  <c r="CF575" i="10"/>
  <c r="CF576" i="10"/>
  <c r="CF578" i="10"/>
  <c r="CF627" i="10"/>
  <c r="CF628" i="10"/>
  <c r="CF629" i="10"/>
  <c r="CF630" i="10"/>
  <c r="CF631" i="10"/>
  <c r="CF633" i="10"/>
  <c r="CF583" i="10"/>
  <c r="CF584" i="10"/>
  <c r="CF585" i="10"/>
  <c r="CF586" i="10"/>
  <c r="CF587" i="10"/>
  <c r="CF589" i="10"/>
  <c r="CF594" i="10"/>
  <c r="CF595" i="10"/>
  <c r="CF596" i="10"/>
  <c r="CF597" i="10"/>
  <c r="CF598" i="10"/>
  <c r="CF600" i="10"/>
  <c r="CG495" i="10"/>
  <c r="CG1038" i="10" s="1"/>
  <c r="CG496" i="10"/>
  <c r="CG1039" i="10" s="1"/>
  <c r="CG497" i="10"/>
  <c r="CG1040" i="10" s="1"/>
  <c r="CG498" i="10"/>
  <c r="CG1041" i="10" s="1"/>
  <c r="CG499" i="10"/>
  <c r="CG1042" i="10" s="1"/>
  <c r="CG501" i="10"/>
  <c r="CG1044" i="10" s="1"/>
  <c r="CG506" i="10"/>
  <c r="CG507" i="10"/>
  <c r="CG508" i="10"/>
  <c r="CG509" i="10"/>
  <c r="CG510" i="10"/>
  <c r="CG512" i="10"/>
  <c r="CG539" i="10"/>
  <c r="CG540" i="10"/>
  <c r="CG541" i="10"/>
  <c r="CG542" i="10"/>
  <c r="CG543" i="10"/>
  <c r="CG545" i="10"/>
  <c r="CG561" i="10"/>
  <c r="CG562" i="10"/>
  <c r="CG563" i="10"/>
  <c r="CG564" i="10"/>
  <c r="CG565" i="10"/>
  <c r="CG567" i="10"/>
  <c r="CG572" i="10"/>
  <c r="CG573" i="10"/>
  <c r="CG574" i="10"/>
  <c r="CG575" i="10"/>
  <c r="CG576" i="10"/>
  <c r="CG578" i="10"/>
  <c r="CG627" i="10"/>
  <c r="CG628" i="10"/>
  <c r="CG629" i="10"/>
  <c r="CG630" i="10"/>
  <c r="CG631" i="10"/>
  <c r="CG633" i="10"/>
  <c r="CG583" i="10"/>
  <c r="CG584" i="10"/>
  <c r="CG585" i="10"/>
  <c r="CG586" i="10"/>
  <c r="CG587" i="10"/>
  <c r="CH587" i="10" s="1"/>
  <c r="CG589" i="10"/>
  <c r="CH589" i="10" s="1"/>
  <c r="CG594" i="10"/>
  <c r="CG595" i="10"/>
  <c r="CG596" i="10"/>
  <c r="CG597" i="10"/>
  <c r="CG598" i="10"/>
  <c r="CH598" i="10" s="1"/>
  <c r="CG600" i="10"/>
  <c r="CJ495" i="10"/>
  <c r="CJ1038" i="10" s="1"/>
  <c r="CJ496" i="10"/>
  <c r="CJ1039" i="10" s="1"/>
  <c r="CJ498" i="10"/>
  <c r="CJ1041" i="10" s="1"/>
  <c r="CJ499" i="10"/>
  <c r="CJ1042" i="10" s="1"/>
  <c r="CJ501" i="10"/>
  <c r="CJ1044" i="10" s="1"/>
  <c r="CJ506" i="10"/>
  <c r="CJ507" i="10"/>
  <c r="CJ508" i="10"/>
  <c r="CJ509" i="10"/>
  <c r="CJ510" i="10"/>
  <c r="CJ512" i="10"/>
  <c r="CJ539" i="10"/>
  <c r="CJ540" i="10"/>
  <c r="CJ541" i="10"/>
  <c r="CJ542" i="10"/>
  <c r="CJ543" i="10"/>
  <c r="CJ545" i="10"/>
  <c r="CJ561" i="10"/>
  <c r="CJ562" i="10"/>
  <c r="CJ563" i="10"/>
  <c r="CJ564" i="10"/>
  <c r="CJ565" i="10"/>
  <c r="CJ567" i="10"/>
  <c r="CJ572" i="10"/>
  <c r="CJ573" i="10"/>
  <c r="CJ574" i="10"/>
  <c r="CJ575" i="10"/>
  <c r="CJ576" i="10"/>
  <c r="CJ578" i="10"/>
  <c r="CJ627" i="10"/>
  <c r="CJ628" i="10"/>
  <c r="CJ629" i="10"/>
  <c r="CJ630" i="10"/>
  <c r="CJ631" i="10"/>
  <c r="CJ633" i="10"/>
  <c r="CJ583" i="10"/>
  <c r="CJ584" i="10"/>
  <c r="CJ585" i="10"/>
  <c r="CJ586" i="10"/>
  <c r="CJ587" i="10"/>
  <c r="CJ589" i="10"/>
  <c r="CJ594" i="10"/>
  <c r="CJ595" i="10"/>
  <c r="CJ596" i="10"/>
  <c r="CJ597" i="10"/>
  <c r="CJ598" i="10"/>
  <c r="CJ600" i="10"/>
  <c r="CK495" i="10"/>
  <c r="CK1038" i="10" s="1"/>
  <c r="CK496" i="10"/>
  <c r="CK1039" i="10" s="1"/>
  <c r="CK498" i="10"/>
  <c r="CK499" i="10"/>
  <c r="CK1042" i="10" s="1"/>
  <c r="CK501" i="10"/>
  <c r="CK506" i="10"/>
  <c r="CK507" i="10"/>
  <c r="CK508" i="10"/>
  <c r="CK509" i="10"/>
  <c r="CK510" i="10"/>
  <c r="CK512" i="10"/>
  <c r="CK539" i="10"/>
  <c r="CK540" i="10"/>
  <c r="CK541" i="10"/>
  <c r="CK542" i="10"/>
  <c r="CK543" i="10"/>
  <c r="CK545" i="10"/>
  <c r="CK561" i="10"/>
  <c r="CK562" i="10"/>
  <c r="CK563" i="10"/>
  <c r="CK564" i="10"/>
  <c r="CK565" i="10"/>
  <c r="CK567" i="10"/>
  <c r="CK572" i="10"/>
  <c r="CK573" i="10"/>
  <c r="CK574" i="10"/>
  <c r="CK575" i="10"/>
  <c r="CK576" i="10"/>
  <c r="CK578" i="10"/>
  <c r="CK627" i="10"/>
  <c r="CK628" i="10"/>
  <c r="CK629" i="10"/>
  <c r="CK630" i="10"/>
  <c r="CK631" i="10"/>
  <c r="CK633" i="10"/>
  <c r="CK583" i="10"/>
  <c r="CK584" i="10"/>
  <c r="CK585" i="10"/>
  <c r="CK586" i="10"/>
  <c r="CK587" i="10"/>
  <c r="CK589" i="10"/>
  <c r="CK594" i="10"/>
  <c r="CK595" i="10"/>
  <c r="CK596" i="10"/>
  <c r="CK597" i="10"/>
  <c r="CK598" i="10"/>
  <c r="CK600" i="10"/>
  <c r="CN495" i="10"/>
  <c r="CN496" i="10"/>
  <c r="CN1039" i="10" s="1"/>
  <c r="CN497" i="10"/>
  <c r="CN1040" i="10" s="1"/>
  <c r="CN498" i="10"/>
  <c r="CN1041" i="10" s="1"/>
  <c r="CN499" i="10"/>
  <c r="CN1042" i="10" s="1"/>
  <c r="CN501" i="10"/>
  <c r="CN506" i="10"/>
  <c r="CN507" i="10"/>
  <c r="CN508" i="10"/>
  <c r="CN509" i="10"/>
  <c r="CN510" i="10"/>
  <c r="CN512" i="10"/>
  <c r="CN539" i="10"/>
  <c r="CN540" i="10"/>
  <c r="CN541" i="10"/>
  <c r="CN542" i="10"/>
  <c r="CN543" i="10"/>
  <c r="CN545" i="10"/>
  <c r="CN561" i="10"/>
  <c r="CN562" i="10"/>
  <c r="CN563" i="10"/>
  <c r="CN564" i="10"/>
  <c r="CN565" i="10"/>
  <c r="CN567" i="10"/>
  <c r="CN572" i="10"/>
  <c r="CN573" i="10"/>
  <c r="CN574" i="10"/>
  <c r="CN575" i="10"/>
  <c r="CN576" i="10"/>
  <c r="CN578" i="10"/>
  <c r="CN627" i="10"/>
  <c r="CN628" i="10"/>
  <c r="CN629" i="10"/>
  <c r="CN630" i="10"/>
  <c r="CN631" i="10"/>
  <c r="CN633" i="10"/>
  <c r="CN583" i="10"/>
  <c r="CN584" i="10"/>
  <c r="CN585" i="10"/>
  <c r="CN586" i="10"/>
  <c r="CN587" i="10"/>
  <c r="CN589" i="10"/>
  <c r="CN594" i="10"/>
  <c r="CN595" i="10"/>
  <c r="CN596" i="10"/>
  <c r="CN597" i="10"/>
  <c r="CN598" i="10"/>
  <c r="CN600" i="10"/>
  <c r="CO495" i="10"/>
  <c r="CO1038" i="10" s="1"/>
  <c r="CO496" i="10"/>
  <c r="CO1039" i="10" s="1"/>
  <c r="CO497" i="10"/>
  <c r="CO1040" i="10" s="1"/>
  <c r="CO498" i="10"/>
  <c r="CO1041" i="10" s="1"/>
  <c r="CO499" i="10"/>
  <c r="CO1042" i="10" s="1"/>
  <c r="CO501" i="10"/>
  <c r="CO1044" i="10" s="1"/>
  <c r="CO506" i="10"/>
  <c r="CO507" i="10"/>
  <c r="CO508" i="10"/>
  <c r="CO509" i="10"/>
  <c r="CO510" i="10"/>
  <c r="CO512" i="10"/>
  <c r="CO539" i="10"/>
  <c r="CO540" i="10"/>
  <c r="CO541" i="10"/>
  <c r="CO542" i="10"/>
  <c r="CO543" i="10"/>
  <c r="CO545" i="10"/>
  <c r="CO561" i="10"/>
  <c r="CO562" i="10"/>
  <c r="CO563" i="10"/>
  <c r="CO564" i="10"/>
  <c r="CP564" i="10" s="1"/>
  <c r="CO565" i="10"/>
  <c r="CO567" i="10"/>
  <c r="CO572" i="10"/>
  <c r="CO573" i="10"/>
  <c r="CP573" i="10" s="1"/>
  <c r="CO574" i="10"/>
  <c r="CO575" i="10"/>
  <c r="CO576" i="10"/>
  <c r="CO578" i="10"/>
  <c r="CO627" i="10"/>
  <c r="CO628" i="10"/>
  <c r="CO629" i="10"/>
  <c r="CO630" i="10"/>
  <c r="CO631" i="10"/>
  <c r="CO633" i="10"/>
  <c r="CO583" i="10"/>
  <c r="CO584" i="10"/>
  <c r="CO585" i="10"/>
  <c r="CO586" i="10"/>
  <c r="CO587" i="10"/>
  <c r="CO589" i="10"/>
  <c r="CO594" i="10"/>
  <c r="CO595" i="10"/>
  <c r="CO596" i="10"/>
  <c r="CO597" i="10"/>
  <c r="CO598" i="10"/>
  <c r="CO600" i="10"/>
  <c r="CR495" i="10"/>
  <c r="CR496" i="10"/>
  <c r="CR497" i="10"/>
  <c r="CR1040" i="10" s="1"/>
  <c r="CR498" i="10"/>
  <c r="CR1041" i="10" s="1"/>
  <c r="CR499" i="10"/>
  <c r="CR1042" i="10" s="1"/>
  <c r="CR501" i="10"/>
  <c r="CR1044" i="10" s="1"/>
  <c r="CR506" i="10"/>
  <c r="CR507" i="10"/>
  <c r="CR508" i="10"/>
  <c r="CR509" i="10"/>
  <c r="CR510" i="10"/>
  <c r="CR512" i="10"/>
  <c r="CR539" i="10"/>
  <c r="CR540" i="10"/>
  <c r="CR541" i="10"/>
  <c r="CR542" i="10"/>
  <c r="CR543" i="10"/>
  <c r="CR545" i="10"/>
  <c r="CR561" i="10"/>
  <c r="CR562" i="10"/>
  <c r="CR563" i="10"/>
  <c r="CR564" i="10"/>
  <c r="CR565" i="10"/>
  <c r="CR567" i="10"/>
  <c r="CR572" i="10"/>
  <c r="CR573" i="10"/>
  <c r="CR574" i="10"/>
  <c r="CR575" i="10"/>
  <c r="CR576" i="10"/>
  <c r="CR578" i="10"/>
  <c r="CR627" i="10"/>
  <c r="CR628" i="10"/>
  <c r="CR629" i="10"/>
  <c r="CR630" i="10"/>
  <c r="CR631" i="10"/>
  <c r="CR633" i="10"/>
  <c r="CR583" i="10"/>
  <c r="CR584" i="10"/>
  <c r="CR585" i="10"/>
  <c r="CR586" i="10"/>
  <c r="CR587" i="10"/>
  <c r="CR589" i="10"/>
  <c r="CR594" i="10"/>
  <c r="CR595" i="10"/>
  <c r="CR596" i="10"/>
  <c r="CR597" i="10"/>
  <c r="CR598" i="10"/>
  <c r="CR600" i="10"/>
  <c r="CS495" i="10"/>
  <c r="CS496" i="10"/>
  <c r="CS1039" i="10" s="1"/>
  <c r="CS497" i="10"/>
  <c r="CS1040" i="10" s="1"/>
  <c r="CS498" i="10"/>
  <c r="CS1041" i="10" s="1"/>
  <c r="CS499" i="10"/>
  <c r="CS1042" i="10" s="1"/>
  <c r="CS501" i="10"/>
  <c r="CS1044" i="10" s="1"/>
  <c r="CS506" i="10"/>
  <c r="CS507" i="10"/>
  <c r="CS508" i="10"/>
  <c r="CS509" i="10"/>
  <c r="CS510" i="10"/>
  <c r="CS512" i="10"/>
  <c r="CS539" i="10"/>
  <c r="CS540" i="10"/>
  <c r="CS541" i="10"/>
  <c r="CS542" i="10"/>
  <c r="CS543" i="10"/>
  <c r="CS545" i="10"/>
  <c r="CS561" i="10"/>
  <c r="CS562" i="10"/>
  <c r="CS563" i="10"/>
  <c r="CS564" i="10"/>
  <c r="CS565" i="10"/>
  <c r="CS567" i="10"/>
  <c r="CS572" i="10"/>
  <c r="CS573" i="10"/>
  <c r="CS574" i="10"/>
  <c r="CS575" i="10"/>
  <c r="CS576" i="10"/>
  <c r="CS578" i="10"/>
  <c r="CS627" i="10"/>
  <c r="CS628" i="10"/>
  <c r="CS629" i="10"/>
  <c r="CS630" i="10"/>
  <c r="CS631" i="10"/>
  <c r="CS633" i="10"/>
  <c r="CS583" i="10"/>
  <c r="CS584" i="10"/>
  <c r="CS585" i="10"/>
  <c r="CS586" i="10"/>
  <c r="CS587" i="10"/>
  <c r="CS589" i="10"/>
  <c r="CS594" i="10"/>
  <c r="CS595" i="10"/>
  <c r="CS596" i="10"/>
  <c r="CS597" i="10"/>
  <c r="CS598" i="10"/>
  <c r="CS600" i="10"/>
  <c r="CV495" i="10"/>
  <c r="CV494" i="10" s="1"/>
  <c r="CV496" i="10"/>
  <c r="CV1039" i="10" s="1"/>
  <c r="CV497" i="10"/>
  <c r="CV1040" i="10" s="1"/>
  <c r="CV498" i="10"/>
  <c r="CV1041" i="10" s="1"/>
  <c r="CV499" i="10"/>
  <c r="CV1042" i="10" s="1"/>
  <c r="CV501" i="10"/>
  <c r="CV1044" i="10" s="1"/>
  <c r="CV506" i="10"/>
  <c r="CV507" i="10"/>
  <c r="CV508" i="10"/>
  <c r="CV509" i="10"/>
  <c r="CV510" i="10"/>
  <c r="CV512" i="10"/>
  <c r="CV539" i="10"/>
  <c r="CV540" i="10"/>
  <c r="CV541" i="10"/>
  <c r="CV542" i="10"/>
  <c r="CV543" i="10"/>
  <c r="CV545" i="10"/>
  <c r="CV561" i="10"/>
  <c r="CV562" i="10"/>
  <c r="CV563" i="10"/>
  <c r="CV564" i="10"/>
  <c r="CV565" i="10"/>
  <c r="CV567" i="10"/>
  <c r="CV572" i="10"/>
  <c r="CV573" i="10"/>
  <c r="CV574" i="10"/>
  <c r="CV575" i="10"/>
  <c r="CV576" i="10"/>
  <c r="CV578" i="10"/>
  <c r="CV627" i="10"/>
  <c r="CV628" i="10"/>
  <c r="CV629" i="10"/>
  <c r="CV630" i="10"/>
  <c r="CV631" i="10"/>
  <c r="CV633" i="10"/>
  <c r="CV583" i="10"/>
  <c r="CV584" i="10"/>
  <c r="CV585" i="10"/>
  <c r="CV586" i="10"/>
  <c r="CV587" i="10"/>
  <c r="CV589" i="10"/>
  <c r="CV594" i="10"/>
  <c r="CV595" i="10"/>
  <c r="CV596" i="10"/>
  <c r="CV597" i="10"/>
  <c r="CV598" i="10"/>
  <c r="CV600" i="10"/>
  <c r="CW495" i="10"/>
  <c r="CW496" i="10"/>
  <c r="CW1039" i="10" s="1"/>
  <c r="CW497" i="10"/>
  <c r="CW1040" i="10" s="1"/>
  <c r="CW498" i="10"/>
  <c r="CW1041" i="10" s="1"/>
  <c r="CW499" i="10"/>
  <c r="CW1042" i="10" s="1"/>
  <c r="CW501" i="10"/>
  <c r="CW1044" i="10" s="1"/>
  <c r="CW506" i="10"/>
  <c r="CW507" i="10"/>
  <c r="CW508" i="10"/>
  <c r="CW509" i="10"/>
  <c r="CW510" i="10"/>
  <c r="CW512" i="10"/>
  <c r="CW539" i="10"/>
  <c r="CW540" i="10"/>
  <c r="CW541" i="10"/>
  <c r="CW542" i="10"/>
  <c r="CW543" i="10"/>
  <c r="CW545" i="10"/>
  <c r="CW561" i="10"/>
  <c r="CW562" i="10"/>
  <c r="CW563" i="10"/>
  <c r="CW564" i="10"/>
  <c r="CW565" i="10"/>
  <c r="CW567" i="10"/>
  <c r="CW572" i="10"/>
  <c r="CW573" i="10"/>
  <c r="CX573" i="10" s="1"/>
  <c r="CW574" i="10"/>
  <c r="CW575" i="10"/>
  <c r="CW576" i="10"/>
  <c r="CW578" i="10"/>
  <c r="CW627" i="10"/>
  <c r="CW628" i="10"/>
  <c r="CW629" i="10"/>
  <c r="CW630" i="10"/>
  <c r="CW631" i="10"/>
  <c r="CW633" i="10"/>
  <c r="CW583" i="10"/>
  <c r="CW584" i="10"/>
  <c r="CW585" i="10"/>
  <c r="CW586" i="10"/>
  <c r="CW587" i="10"/>
  <c r="CW589" i="10"/>
  <c r="CW594" i="10"/>
  <c r="CW595" i="10"/>
  <c r="CW596" i="10"/>
  <c r="CW597" i="10"/>
  <c r="CW598" i="10"/>
  <c r="CW600" i="10"/>
  <c r="CZ495" i="10"/>
  <c r="CZ1038" i="10" s="1"/>
  <c r="CZ496" i="10"/>
  <c r="CZ1039" i="10" s="1"/>
  <c r="CZ497" i="10"/>
  <c r="CZ498" i="10"/>
  <c r="CZ1041" i="10" s="1"/>
  <c r="CZ499" i="10"/>
  <c r="CZ1042" i="10" s="1"/>
  <c r="CZ501" i="10"/>
  <c r="CZ1044" i="10" s="1"/>
  <c r="CZ506" i="10"/>
  <c r="CZ507" i="10"/>
  <c r="CZ508" i="10"/>
  <c r="CZ509" i="10"/>
  <c r="CZ510" i="10"/>
  <c r="CZ512" i="10"/>
  <c r="CZ539" i="10"/>
  <c r="CZ540" i="10"/>
  <c r="CZ541" i="10"/>
  <c r="CZ542" i="10"/>
  <c r="CZ543" i="10"/>
  <c r="CZ545" i="10"/>
  <c r="CZ561" i="10"/>
  <c r="CZ562" i="10"/>
  <c r="CZ563" i="10"/>
  <c r="CZ564" i="10"/>
  <c r="CZ565" i="10"/>
  <c r="CZ567" i="10"/>
  <c r="CZ572" i="10"/>
  <c r="CZ573" i="10"/>
  <c r="CZ574" i="10"/>
  <c r="CZ575" i="10"/>
  <c r="CZ576" i="10"/>
  <c r="CZ578" i="10"/>
  <c r="CZ627" i="10"/>
  <c r="CZ628" i="10"/>
  <c r="CZ629" i="10"/>
  <c r="CZ630" i="10"/>
  <c r="CZ631" i="10"/>
  <c r="CZ633" i="10"/>
  <c r="CZ583" i="10"/>
  <c r="CZ584" i="10"/>
  <c r="CZ585" i="10"/>
  <c r="CZ586" i="10"/>
  <c r="CZ587" i="10"/>
  <c r="CZ589" i="10"/>
  <c r="CZ594" i="10"/>
  <c r="CZ595" i="10"/>
  <c r="CZ596" i="10"/>
  <c r="CZ597" i="10"/>
  <c r="CZ598" i="10"/>
  <c r="CZ600" i="10"/>
  <c r="DA495" i="10"/>
  <c r="DA496" i="10"/>
  <c r="DB496" i="10" s="1"/>
  <c r="DB1039" i="10" s="1"/>
  <c r="DA497" i="10"/>
  <c r="DA1040" i="10" s="1"/>
  <c r="DA498" i="10"/>
  <c r="DA499" i="10"/>
  <c r="DB499" i="10" s="1"/>
  <c r="DB1042" i="10" s="1"/>
  <c r="DA501" i="10"/>
  <c r="DA506" i="10"/>
  <c r="DA507" i="10"/>
  <c r="DA508" i="10"/>
  <c r="DA509" i="10"/>
  <c r="DA510" i="10"/>
  <c r="DA512" i="10"/>
  <c r="DA539" i="10"/>
  <c r="DA540" i="10"/>
  <c r="DA541" i="10"/>
  <c r="DA542" i="10"/>
  <c r="DA543" i="10"/>
  <c r="DA545" i="10"/>
  <c r="DA561" i="10"/>
  <c r="DA562" i="10"/>
  <c r="DA563" i="10"/>
  <c r="DB563" i="10" s="1"/>
  <c r="DA564" i="10"/>
  <c r="DA565" i="10"/>
  <c r="DA567" i="10"/>
  <c r="DA572" i="10"/>
  <c r="DA573" i="10"/>
  <c r="DA574" i="10"/>
  <c r="DA575" i="10"/>
  <c r="DA576" i="10"/>
  <c r="DB576" i="10" s="1"/>
  <c r="DA578" i="10"/>
  <c r="DA627" i="10"/>
  <c r="DA628" i="10"/>
  <c r="DA629" i="10"/>
  <c r="DB629" i="10" s="1"/>
  <c r="DA630" i="10"/>
  <c r="DA631" i="10"/>
  <c r="DA633" i="10"/>
  <c r="DA583" i="10"/>
  <c r="DA584" i="10"/>
  <c r="DA585" i="10"/>
  <c r="DA586" i="10"/>
  <c r="DA587" i="10"/>
  <c r="DB587" i="10" s="1"/>
  <c r="DA589" i="10"/>
  <c r="DA594" i="10"/>
  <c r="DA595" i="10"/>
  <c r="DA596" i="10"/>
  <c r="DB596" i="10" s="1"/>
  <c r="DA597" i="10"/>
  <c r="DA598" i="10"/>
  <c r="DA600" i="10"/>
  <c r="DL1039" i="10"/>
  <c r="DI513" i="10"/>
  <c r="DI568" i="10"/>
  <c r="DI579" i="10"/>
  <c r="DI483" i="10" s="1"/>
  <c r="DI634" i="10"/>
  <c r="DI488" i="10" s="1"/>
  <c r="DI590" i="10"/>
  <c r="DI484" i="10" s="1"/>
  <c r="DI601" i="10"/>
  <c r="DI485" i="10" s="1"/>
  <c r="DL513" i="10"/>
  <c r="DL568" i="10"/>
  <c r="DL482" i="10" s="1"/>
  <c r="DL579" i="10"/>
  <c r="DL483" i="10" s="1"/>
  <c r="DL634" i="10"/>
  <c r="DL488" i="10" s="1"/>
  <c r="DL590" i="10"/>
  <c r="DL484" i="10" s="1"/>
  <c r="DL601" i="10"/>
  <c r="DL485" i="10" s="1"/>
  <c r="DM513" i="10"/>
  <c r="DM568" i="10"/>
  <c r="DM482" i="10" s="1"/>
  <c r="DM579" i="10"/>
  <c r="DM483" i="10" s="1"/>
  <c r="DM634" i="10"/>
  <c r="DM488" i="10" s="1"/>
  <c r="DM590" i="10"/>
  <c r="DM484" i="10" s="1"/>
  <c r="DM601" i="10"/>
  <c r="DM485" i="10" s="1"/>
  <c r="AV638" i="10"/>
  <c r="AV639" i="10"/>
  <c r="AV641" i="10"/>
  <c r="AV642" i="10"/>
  <c r="AV643" i="10"/>
  <c r="AV644" i="10"/>
  <c r="AW638" i="10"/>
  <c r="AW639" i="10"/>
  <c r="AW641" i="10"/>
  <c r="AW642" i="10"/>
  <c r="AW643" i="10"/>
  <c r="AW644" i="10"/>
  <c r="AZ638" i="10"/>
  <c r="AZ639" i="10"/>
  <c r="AZ641" i="10"/>
  <c r="AZ642" i="10"/>
  <c r="AZ643" i="10"/>
  <c r="AZ644" i="10"/>
  <c r="BA638" i="10"/>
  <c r="BA639" i="10"/>
  <c r="BA641" i="10"/>
  <c r="BA642" i="10"/>
  <c r="BA643" i="10"/>
  <c r="BA644" i="10"/>
  <c r="BD638" i="10"/>
  <c r="BD639" i="10"/>
  <c r="BD641" i="10"/>
  <c r="BD642" i="10"/>
  <c r="BD644" i="10"/>
  <c r="BE638" i="10"/>
  <c r="BE639" i="10"/>
  <c r="BE641" i="10"/>
  <c r="BE642" i="10"/>
  <c r="BE644" i="10"/>
  <c r="BH638" i="10"/>
  <c r="BH639" i="10"/>
  <c r="BH641" i="10"/>
  <c r="BH642" i="10"/>
  <c r="BH644" i="10"/>
  <c r="BI638" i="10"/>
  <c r="BI639" i="10"/>
  <c r="BI641" i="10"/>
  <c r="BI642" i="10"/>
  <c r="BI644" i="10"/>
  <c r="BL638" i="10"/>
  <c r="BL639" i="10"/>
  <c r="BL644" i="10"/>
  <c r="BM638" i="10"/>
  <c r="BM639" i="10"/>
  <c r="BM642" i="10"/>
  <c r="BM644" i="10"/>
  <c r="BP638" i="10"/>
  <c r="BP639" i="10"/>
  <c r="BP642" i="10"/>
  <c r="BP644" i="10"/>
  <c r="BQ638" i="10"/>
  <c r="BQ639" i="10"/>
  <c r="BQ642" i="10"/>
  <c r="BQ644" i="10"/>
  <c r="BT638" i="10"/>
  <c r="BT639" i="10"/>
  <c r="BT641" i="10"/>
  <c r="BT642" i="10"/>
  <c r="BT644" i="10"/>
  <c r="BU639" i="10"/>
  <c r="BU641" i="10"/>
  <c r="BU642" i="10"/>
  <c r="BU644" i="10"/>
  <c r="BX638" i="10"/>
  <c r="BX639" i="10"/>
  <c r="BX640" i="10"/>
  <c r="BX641" i="10"/>
  <c r="BX642" i="10"/>
  <c r="BX644" i="10"/>
  <c r="BY638" i="10"/>
  <c r="BY639" i="10"/>
  <c r="BY640" i="10"/>
  <c r="BY641" i="10"/>
  <c r="BY642" i="10"/>
  <c r="BY644" i="10"/>
  <c r="CB638" i="10"/>
  <c r="CB639" i="10"/>
  <c r="CB640" i="10"/>
  <c r="CB641" i="10"/>
  <c r="CB642" i="10"/>
  <c r="CB644" i="10"/>
  <c r="CC638" i="10"/>
  <c r="CC639" i="10"/>
  <c r="CC640" i="10"/>
  <c r="CC641" i="10"/>
  <c r="CC642" i="10"/>
  <c r="CC644" i="10"/>
  <c r="CF638" i="10"/>
  <c r="CF639" i="10"/>
  <c r="CF648" i="10" s="1"/>
  <c r="CF640" i="10"/>
  <c r="CF641" i="10"/>
  <c r="CF642" i="10"/>
  <c r="CF644" i="10"/>
  <c r="CG638" i="10"/>
  <c r="CG639" i="10"/>
  <c r="CG640" i="10"/>
  <c r="CG641" i="10"/>
  <c r="CG642" i="10"/>
  <c r="CG644" i="10"/>
  <c r="CJ639" i="10"/>
  <c r="CJ641" i="10"/>
  <c r="CJ642" i="10"/>
  <c r="CJ644" i="10"/>
  <c r="CK639" i="10"/>
  <c r="CK641" i="10"/>
  <c r="CK642" i="10"/>
  <c r="CK644" i="10"/>
  <c r="CN638" i="10"/>
  <c r="CN639" i="10"/>
  <c r="CN640" i="10"/>
  <c r="CN641" i="10"/>
  <c r="CN642" i="10"/>
  <c r="CN644" i="10"/>
  <c r="CO638" i="10"/>
  <c r="CO639" i="10"/>
  <c r="CO640" i="10"/>
  <c r="CO641" i="10"/>
  <c r="CO642" i="10"/>
  <c r="CO644" i="10"/>
  <c r="CR638" i="10"/>
  <c r="CR639" i="10"/>
  <c r="CR640" i="10"/>
  <c r="CR641" i="10"/>
  <c r="CR642" i="10"/>
  <c r="CR644" i="10"/>
  <c r="CS638" i="10"/>
  <c r="CS639" i="10"/>
  <c r="CS648" i="10" s="1"/>
  <c r="CS649" i="10" s="1"/>
  <c r="CS640" i="10"/>
  <c r="CS641" i="10"/>
  <c r="CS642" i="10"/>
  <c r="CS644" i="10"/>
  <c r="CV638" i="10"/>
  <c r="CV639" i="10"/>
  <c r="CV640" i="10"/>
  <c r="CV641" i="10"/>
  <c r="CV642" i="10"/>
  <c r="CV644" i="10"/>
  <c r="CW638" i="10"/>
  <c r="CW639" i="10"/>
  <c r="CW648" i="10" s="1"/>
  <c r="CW649" i="10" s="1"/>
  <c r="CW640" i="10"/>
  <c r="CW641" i="10"/>
  <c r="CW642" i="10"/>
  <c r="CW644" i="10"/>
  <c r="CZ638" i="10"/>
  <c r="CZ639" i="10"/>
  <c r="CZ640" i="10"/>
  <c r="CZ641" i="10"/>
  <c r="CZ642" i="10"/>
  <c r="CZ644" i="10"/>
  <c r="DA638" i="10"/>
  <c r="DA639" i="10"/>
  <c r="DA648" i="10" s="1"/>
  <c r="DA649" i="10" s="1"/>
  <c r="DA640" i="10"/>
  <c r="DA641" i="10"/>
  <c r="DA642" i="10"/>
  <c r="DA644" i="10"/>
  <c r="AT550" i="10"/>
  <c r="AT551" i="10"/>
  <c r="AT552" i="10"/>
  <c r="AT553" i="10"/>
  <c r="AT554" i="10"/>
  <c r="AT555" i="10"/>
  <c r="AT556" i="10"/>
  <c r="AT616" i="10"/>
  <c r="AT617" i="10"/>
  <c r="AT618" i="10"/>
  <c r="AT619" i="10"/>
  <c r="AT620" i="10"/>
  <c r="AT621" i="10"/>
  <c r="AT622" i="10"/>
  <c r="AT638" i="10"/>
  <c r="AT639" i="10"/>
  <c r="AT640" i="10"/>
  <c r="AT641" i="10"/>
  <c r="AT642" i="10"/>
  <c r="AT643" i="10"/>
  <c r="AT644" i="10"/>
  <c r="AX494" i="10"/>
  <c r="BB494" i="10"/>
  <c r="BF494" i="10"/>
  <c r="BJ494" i="10"/>
  <c r="BN494" i="10"/>
  <c r="BR494" i="10"/>
  <c r="BV494" i="10"/>
  <c r="AP495" i="10"/>
  <c r="AP496" i="10"/>
  <c r="AP497" i="10"/>
  <c r="AP498" i="10"/>
  <c r="DJ498" i="10"/>
  <c r="DJ1041" i="10" s="1"/>
  <c r="DN498" i="10"/>
  <c r="DN1041" i="10" s="1"/>
  <c r="AP499" i="10"/>
  <c r="DJ499" i="10"/>
  <c r="DJ1042" i="10" s="1"/>
  <c r="DN499" i="10"/>
  <c r="DN1042" i="10" s="1"/>
  <c r="AP500" i="10"/>
  <c r="AP501" i="10"/>
  <c r="DJ501" i="10"/>
  <c r="DJ1044" i="10" s="1"/>
  <c r="DN501" i="10"/>
  <c r="DN1044" i="10" s="1"/>
  <c r="BF505" i="10"/>
  <c r="BJ505" i="10"/>
  <c r="BN505" i="10"/>
  <c r="BR505" i="10"/>
  <c r="BV505" i="10"/>
  <c r="AP506" i="10"/>
  <c r="DJ506" i="10"/>
  <c r="DN506" i="10"/>
  <c r="AP507" i="10"/>
  <c r="DJ507" i="10"/>
  <c r="DN507" i="10"/>
  <c r="AP508" i="10"/>
  <c r="DJ508" i="10"/>
  <c r="DN508" i="10"/>
  <c r="AP509" i="10"/>
  <c r="DJ509" i="10"/>
  <c r="DN509" i="10"/>
  <c r="AP510" i="10"/>
  <c r="DJ510" i="10"/>
  <c r="DN510" i="10"/>
  <c r="AP511" i="10"/>
  <c r="AP512" i="10"/>
  <c r="DJ512" i="10"/>
  <c r="DN512" i="10"/>
  <c r="AX516" i="10"/>
  <c r="BB516" i="10"/>
  <c r="BF516" i="10"/>
  <c r="BJ516" i="10"/>
  <c r="BN516" i="10"/>
  <c r="BR516" i="10"/>
  <c r="BV516" i="10"/>
  <c r="AP517" i="10"/>
  <c r="DJ517" i="10"/>
  <c r="DN517" i="10"/>
  <c r="AP518" i="10"/>
  <c r="DJ518" i="10"/>
  <c r="DN518" i="10"/>
  <c r="AP519" i="10"/>
  <c r="DJ519" i="10"/>
  <c r="DN519" i="10"/>
  <c r="AP520" i="10"/>
  <c r="DJ520" i="10"/>
  <c r="DN520" i="10"/>
  <c r="AP521" i="10"/>
  <c r="DJ521" i="10"/>
  <c r="DN521" i="10"/>
  <c r="AP522" i="10"/>
  <c r="AP523" i="10"/>
  <c r="DJ523" i="10"/>
  <c r="DN523" i="10"/>
  <c r="BF527" i="10"/>
  <c r="BJ527" i="10"/>
  <c r="BN527" i="10"/>
  <c r="BR527" i="10"/>
  <c r="BV527" i="10"/>
  <c r="AP528" i="10"/>
  <c r="DJ528" i="10"/>
  <c r="DN528" i="10"/>
  <c r="AP529" i="10"/>
  <c r="DJ529" i="10"/>
  <c r="DN529" i="10"/>
  <c r="AP530" i="10"/>
  <c r="DJ530" i="10"/>
  <c r="DN530" i="10"/>
  <c r="AP531" i="10"/>
  <c r="DJ531" i="10"/>
  <c r="DN531" i="10"/>
  <c r="AP532" i="10"/>
  <c r="DJ532" i="10"/>
  <c r="DN532" i="10"/>
  <c r="AP533" i="10"/>
  <c r="AP534" i="10"/>
  <c r="DJ534" i="10"/>
  <c r="DN534" i="10"/>
  <c r="BF538" i="10"/>
  <c r="BJ538" i="10"/>
  <c r="BN538" i="10"/>
  <c r="BR538" i="10"/>
  <c r="BV538" i="10"/>
  <c r="AP539" i="10"/>
  <c r="AP540" i="10"/>
  <c r="DJ540" i="10"/>
  <c r="DN540" i="10"/>
  <c r="AP541" i="10"/>
  <c r="DJ541" i="10"/>
  <c r="DN541" i="10"/>
  <c r="AP542" i="10"/>
  <c r="DJ542" i="10"/>
  <c r="DN542" i="10"/>
  <c r="AP543" i="10"/>
  <c r="DJ543" i="10"/>
  <c r="DN543" i="10"/>
  <c r="AP544" i="10"/>
  <c r="AP545" i="10"/>
  <c r="DJ545" i="10"/>
  <c r="DN545" i="10"/>
  <c r="BF549" i="10"/>
  <c r="BJ549" i="10"/>
  <c r="BN549" i="10"/>
  <c r="BR549" i="10"/>
  <c r="BV549" i="10"/>
  <c r="AP550" i="10"/>
  <c r="AP551" i="10"/>
  <c r="AP552" i="10"/>
  <c r="AP553" i="10"/>
  <c r="AP554" i="10"/>
  <c r="AP555" i="10"/>
  <c r="DJ555" i="10"/>
  <c r="DN555" i="10"/>
  <c r="AP556" i="10"/>
  <c r="DJ556" i="10"/>
  <c r="DN556" i="10"/>
  <c r="BF560" i="10"/>
  <c r="BJ560" i="10"/>
  <c r="BN560" i="10"/>
  <c r="BR560" i="10"/>
  <c r="BV560" i="10"/>
  <c r="AP561" i="10"/>
  <c r="DJ561" i="10"/>
  <c r="DN561" i="10"/>
  <c r="AP562" i="10"/>
  <c r="DJ562" i="10"/>
  <c r="DN562" i="10"/>
  <c r="AP563" i="10"/>
  <c r="DJ563" i="10"/>
  <c r="DN563" i="10"/>
  <c r="AP564" i="10"/>
  <c r="DJ564" i="10"/>
  <c r="DN564" i="10"/>
  <c r="AP565" i="10"/>
  <c r="DJ565" i="10"/>
  <c r="DN565" i="10"/>
  <c r="AP566" i="10"/>
  <c r="AP567" i="10"/>
  <c r="DJ567" i="10"/>
  <c r="DN567" i="10"/>
  <c r="BF571" i="10"/>
  <c r="BJ571" i="10"/>
  <c r="BN571" i="10"/>
  <c r="BR571" i="10"/>
  <c r="BV571" i="10"/>
  <c r="AP572" i="10"/>
  <c r="DJ572" i="10"/>
  <c r="DN572" i="10"/>
  <c r="AP573" i="10"/>
  <c r="DJ573" i="10"/>
  <c r="DN573" i="10"/>
  <c r="AP574" i="10"/>
  <c r="DJ574" i="10"/>
  <c r="DN574" i="10"/>
  <c r="AP575" i="10"/>
  <c r="DJ575" i="10"/>
  <c r="DN575" i="10"/>
  <c r="AP576" i="10"/>
  <c r="DJ576" i="10"/>
  <c r="DN576" i="10"/>
  <c r="AP577" i="10"/>
  <c r="AP578" i="10"/>
  <c r="DJ578" i="10"/>
  <c r="DN578" i="10"/>
  <c r="BF582" i="10"/>
  <c r="BJ582" i="10"/>
  <c r="BN582" i="10"/>
  <c r="BR582" i="10"/>
  <c r="BV582" i="10"/>
  <c r="AP583" i="10"/>
  <c r="DJ583" i="10"/>
  <c r="DN583" i="10"/>
  <c r="AP584" i="10"/>
  <c r="DJ584" i="10"/>
  <c r="DN584" i="10"/>
  <c r="AP585" i="10"/>
  <c r="DJ585" i="10"/>
  <c r="DN585" i="10"/>
  <c r="AP586" i="10"/>
  <c r="DJ586" i="10"/>
  <c r="DN586" i="10"/>
  <c r="AP587" i="10"/>
  <c r="DJ587" i="10"/>
  <c r="DN587" i="10"/>
  <c r="AP588" i="10"/>
  <c r="AP589" i="10"/>
  <c r="DJ589" i="10"/>
  <c r="DN589" i="10"/>
  <c r="BF593" i="10"/>
  <c r="BJ593" i="10"/>
  <c r="BN593" i="10"/>
  <c r="BR593" i="10"/>
  <c r="BV593" i="10"/>
  <c r="AP594" i="10"/>
  <c r="DJ594" i="10"/>
  <c r="DN594" i="10"/>
  <c r="AP595" i="10"/>
  <c r="DJ595" i="10"/>
  <c r="DN595" i="10"/>
  <c r="AP596" i="10"/>
  <c r="DJ596" i="10"/>
  <c r="DN596" i="10"/>
  <c r="AP597" i="10"/>
  <c r="DJ597" i="10"/>
  <c r="DN597" i="10"/>
  <c r="AP598" i="10"/>
  <c r="DJ598" i="10"/>
  <c r="DN598" i="10"/>
  <c r="AP599" i="10"/>
  <c r="AP600" i="10"/>
  <c r="DJ600" i="10"/>
  <c r="DN600" i="10"/>
  <c r="AX604" i="10"/>
  <c r="BB604" i="10"/>
  <c r="BF604" i="10"/>
  <c r="BJ604" i="10"/>
  <c r="BN604" i="10"/>
  <c r="BR604" i="10"/>
  <c r="BV604" i="10"/>
  <c r="AP605" i="10"/>
  <c r="AP606" i="10"/>
  <c r="AP607" i="10"/>
  <c r="AP608" i="10"/>
  <c r="DJ608" i="10"/>
  <c r="DN608" i="10"/>
  <c r="AP609" i="10"/>
  <c r="AP610" i="10"/>
  <c r="AP611" i="10"/>
  <c r="BF615" i="10"/>
  <c r="BJ615" i="10"/>
  <c r="BN615" i="10"/>
  <c r="BR615" i="10"/>
  <c r="BV615" i="10"/>
  <c r="AP616" i="10"/>
  <c r="DJ616" i="10"/>
  <c r="DN616" i="10"/>
  <c r="AP617" i="10"/>
  <c r="DJ617" i="10"/>
  <c r="DN617" i="10"/>
  <c r="AP618" i="10"/>
  <c r="DJ618" i="10"/>
  <c r="DN618" i="10"/>
  <c r="AP619" i="10"/>
  <c r="DJ619" i="10"/>
  <c r="DN619" i="10"/>
  <c r="AP620" i="10"/>
  <c r="DJ620" i="10"/>
  <c r="DN620" i="10"/>
  <c r="AP621" i="10"/>
  <c r="AP622" i="10"/>
  <c r="BF626" i="10"/>
  <c r="BJ626" i="10"/>
  <c r="BN626" i="10"/>
  <c r="BR626" i="10"/>
  <c r="BV626" i="10"/>
  <c r="AP627" i="10"/>
  <c r="DJ627" i="10"/>
  <c r="DN627" i="10"/>
  <c r="AP628" i="10"/>
  <c r="DJ628" i="10"/>
  <c r="DN628" i="10"/>
  <c r="AP629" i="10"/>
  <c r="DJ629" i="10"/>
  <c r="DN629" i="10"/>
  <c r="AP630" i="10"/>
  <c r="DJ630" i="10"/>
  <c r="DN630" i="10"/>
  <c r="AP631" i="10"/>
  <c r="DJ631" i="10"/>
  <c r="DN631" i="10"/>
  <c r="AP632" i="10"/>
  <c r="AP633" i="10"/>
  <c r="DJ633" i="10"/>
  <c r="DN633" i="10"/>
  <c r="AP638" i="10"/>
  <c r="AP639" i="10"/>
  <c r="AP640" i="10"/>
  <c r="AP641" i="10"/>
  <c r="AP642" i="10"/>
  <c r="AP644" i="10"/>
  <c r="DJ644" i="10"/>
  <c r="DN644" i="10"/>
  <c r="A663" i="10"/>
  <c r="AR669" i="10"/>
  <c r="AS669" i="10"/>
  <c r="AV669" i="10"/>
  <c r="AW669" i="10"/>
  <c r="AZ669" i="10"/>
  <c r="BA669" i="10"/>
  <c r="BD669" i="10"/>
  <c r="BE669" i="10"/>
  <c r="AR670" i="10"/>
  <c r="AS670" i="10"/>
  <c r="AV670" i="10"/>
  <c r="AW670" i="10"/>
  <c r="AZ670" i="10"/>
  <c r="BA670" i="10"/>
  <c r="BD670" i="10"/>
  <c r="BE670" i="10"/>
  <c r="AR671" i="10"/>
  <c r="AS671" i="10"/>
  <c r="AV671" i="10"/>
  <c r="AW671" i="10"/>
  <c r="AZ671" i="10"/>
  <c r="BA671" i="10"/>
  <c r="BD671" i="10"/>
  <c r="BE671" i="10"/>
  <c r="AR673" i="10"/>
  <c r="AS673" i="10"/>
  <c r="AV673" i="10"/>
  <c r="AW673" i="10"/>
  <c r="AZ673" i="10"/>
  <c r="BA673" i="10"/>
  <c r="BD673" i="10"/>
  <c r="BE673" i="10"/>
  <c r="AR674" i="10"/>
  <c r="AS674" i="10"/>
  <c r="AV674" i="10"/>
  <c r="AW674" i="10"/>
  <c r="AZ674" i="10"/>
  <c r="BA674" i="10"/>
  <c r="BD674" i="10"/>
  <c r="BE674" i="10"/>
  <c r="AR675" i="10"/>
  <c r="AS675" i="10"/>
  <c r="AV675" i="10"/>
  <c r="AW675" i="10"/>
  <c r="AZ675" i="10"/>
  <c r="BA675" i="10"/>
  <c r="BD675" i="10"/>
  <c r="BE675" i="10"/>
  <c r="AR676" i="10"/>
  <c r="AS676" i="10"/>
  <c r="AV676" i="10"/>
  <c r="AW676" i="10"/>
  <c r="AZ676" i="10"/>
  <c r="BA676" i="10"/>
  <c r="BD676" i="10"/>
  <c r="BE676" i="10"/>
  <c r="AR685" i="10"/>
  <c r="AR751" i="10" s="1"/>
  <c r="AS685" i="10"/>
  <c r="AS751" i="10" s="1"/>
  <c r="AV685" i="10"/>
  <c r="AV751" i="10" s="1"/>
  <c r="AW685" i="10"/>
  <c r="AW751" i="10" s="1"/>
  <c r="AV686" i="10"/>
  <c r="AV752" i="10" s="1"/>
  <c r="AW686" i="10"/>
  <c r="AW752" i="10" s="1"/>
  <c r="AR688" i="10"/>
  <c r="AR754" i="10" s="1"/>
  <c r="AS688" i="10"/>
  <c r="AS754" i="10" s="1"/>
  <c r="AV688" i="10"/>
  <c r="AV754" i="10" s="1"/>
  <c r="AW688" i="10"/>
  <c r="AW754" i="10" s="1"/>
  <c r="DI688" i="10"/>
  <c r="DI754" i="10" s="1"/>
  <c r="DJ688" i="10"/>
  <c r="DJ754" i="10" s="1"/>
  <c r="DL688" i="10"/>
  <c r="DL754" i="10" s="1"/>
  <c r="DM688" i="10"/>
  <c r="DM754" i="10" s="1"/>
  <c r="DN688" i="10"/>
  <c r="DN754" i="10" s="1"/>
  <c r="AR689" i="10"/>
  <c r="AR755" i="10" s="1"/>
  <c r="AS689" i="10"/>
  <c r="AS755" i="10" s="1"/>
  <c r="AV689" i="10"/>
  <c r="AV755" i="10" s="1"/>
  <c r="AW689" i="10"/>
  <c r="AW755" i="10" s="1"/>
  <c r="AV690" i="10"/>
  <c r="AV756" i="10" s="1"/>
  <c r="AW690" i="10"/>
  <c r="AW756" i="10" s="1"/>
  <c r="AR691" i="10"/>
  <c r="AR757" i="10" s="1"/>
  <c r="AS691" i="10"/>
  <c r="AS757" i="10" s="1"/>
  <c r="AV691" i="10"/>
  <c r="AV757" i="10" s="1"/>
  <c r="AW691" i="10"/>
  <c r="AW757" i="10" s="1"/>
  <c r="DA1079" i="10"/>
  <c r="AN692" i="10"/>
  <c r="AO692" i="10"/>
  <c r="AT698" i="10"/>
  <c r="AX698" i="10"/>
  <c r="BB698" i="10"/>
  <c r="BF698" i="10"/>
  <c r="BJ698" i="10"/>
  <c r="BN698" i="10"/>
  <c r="BR698" i="10"/>
  <c r="BV698" i="10"/>
  <c r="BZ698" i="10"/>
  <c r="CD698" i="10"/>
  <c r="CH698" i="10"/>
  <c r="CL698" i="10"/>
  <c r="CP698" i="10"/>
  <c r="CT698" i="10"/>
  <c r="CX698" i="10"/>
  <c r="DB698" i="10"/>
  <c r="AN699" i="10"/>
  <c r="AO699" i="10"/>
  <c r="AV719" i="10"/>
  <c r="AV720" i="10" s="1"/>
  <c r="AS719" i="10"/>
  <c r="AW719" i="10"/>
  <c r="AZ719" i="10"/>
  <c r="BA719" i="10"/>
  <c r="BD719" i="10"/>
  <c r="BE719" i="10"/>
  <c r="BH719" i="10"/>
  <c r="BH720" i="10" s="1"/>
  <c r="BI719" i="10"/>
  <c r="BL719" i="10"/>
  <c r="BM719" i="10"/>
  <c r="BN719" i="10" s="1"/>
  <c r="BP719" i="10"/>
  <c r="BP720" i="10" s="1"/>
  <c r="BQ719" i="10"/>
  <c r="BR719" i="10" s="1"/>
  <c r="BT719" i="10"/>
  <c r="BT720" i="10" s="1"/>
  <c r="BU719" i="10"/>
  <c r="BX714" i="10"/>
  <c r="BY719" i="10"/>
  <c r="BY720" i="10" s="1"/>
  <c r="CB719" i="10"/>
  <c r="CC719" i="10"/>
  <c r="CF719" i="10"/>
  <c r="CF720" i="10" s="1"/>
  <c r="CG719" i="10"/>
  <c r="CG720" i="10" s="1"/>
  <c r="CJ712" i="10"/>
  <c r="CJ727" i="10" s="1"/>
  <c r="CJ714" i="10"/>
  <c r="CJ729" i="10" s="1"/>
  <c r="CK712" i="10"/>
  <c r="CK714" i="10"/>
  <c r="CL714" i="10" s="1"/>
  <c r="CN719" i="10"/>
  <c r="CN720" i="10" s="1"/>
  <c r="CO719" i="10"/>
  <c r="CR719" i="10"/>
  <c r="CS719" i="10"/>
  <c r="CV719" i="10"/>
  <c r="CW719" i="10"/>
  <c r="CW720" i="10" s="1"/>
  <c r="CZ719" i="10"/>
  <c r="DA746" i="10" s="1"/>
  <c r="DA720" i="10"/>
  <c r="AN704" i="10"/>
  <c r="AO704" i="10"/>
  <c r="AR704" i="10"/>
  <c r="AS704" i="10"/>
  <c r="AX712" i="10"/>
  <c r="BB712" i="10"/>
  <c r="BF712" i="10"/>
  <c r="BJ712" i="10"/>
  <c r="BN712" i="10"/>
  <c r="BR712" i="10"/>
  <c r="BV712" i="10"/>
  <c r="BZ712" i="10"/>
  <c r="CD712" i="10"/>
  <c r="CH712" i="10"/>
  <c r="CP712" i="10"/>
  <c r="CT712" i="10"/>
  <c r="CX712" i="10"/>
  <c r="DB712" i="10"/>
  <c r="AX713" i="10"/>
  <c r="BB713" i="10"/>
  <c r="BF713" i="10"/>
  <c r="BJ713" i="10"/>
  <c r="BN713" i="10"/>
  <c r="BR713" i="10"/>
  <c r="BV713" i="10"/>
  <c r="BZ713" i="10"/>
  <c r="CD713" i="10"/>
  <c r="CH713" i="10"/>
  <c r="CL713" i="10"/>
  <c r="CP713" i="10"/>
  <c r="CT713" i="10"/>
  <c r="CX713" i="10"/>
  <c r="DB713" i="10"/>
  <c r="AX714" i="10"/>
  <c r="BB714" i="10"/>
  <c r="BF714" i="10"/>
  <c r="BJ714" i="10"/>
  <c r="BN714" i="10"/>
  <c r="BR714" i="10"/>
  <c r="BV714" i="10"/>
  <c r="BZ714" i="10"/>
  <c r="CD714" i="10"/>
  <c r="CH714" i="10"/>
  <c r="CP714" i="10"/>
  <c r="CT714" i="10"/>
  <c r="CX714" i="10"/>
  <c r="DB714" i="10"/>
  <c r="AX715" i="10"/>
  <c r="BB715" i="10"/>
  <c r="BF715" i="10"/>
  <c r="BJ715" i="10"/>
  <c r="BN715" i="10"/>
  <c r="BR715" i="10"/>
  <c r="BV715" i="10"/>
  <c r="BZ715" i="10"/>
  <c r="CD715" i="10"/>
  <c r="CH715" i="10"/>
  <c r="CL715" i="10"/>
  <c r="CP715" i="10"/>
  <c r="CT715" i="10"/>
  <c r="CX715" i="10"/>
  <c r="DB715" i="10"/>
  <c r="AX716" i="10"/>
  <c r="BB716" i="10"/>
  <c r="BF716" i="10"/>
  <c r="BJ716" i="10"/>
  <c r="BN716" i="10"/>
  <c r="BR716" i="10"/>
  <c r="BV716" i="10"/>
  <c r="BZ716" i="10"/>
  <c r="CD716" i="10"/>
  <c r="CH716" i="10"/>
  <c r="CL716" i="10"/>
  <c r="CP716" i="10"/>
  <c r="CT716" i="10"/>
  <c r="CX716" i="10"/>
  <c r="DB716" i="10"/>
  <c r="AX717" i="10"/>
  <c r="BB717" i="10"/>
  <c r="BF717" i="10"/>
  <c r="BJ717" i="10"/>
  <c r="BN717" i="10"/>
  <c r="BR717" i="10"/>
  <c r="BV717" i="10"/>
  <c r="BZ717" i="10"/>
  <c r="CD717" i="10"/>
  <c r="CH717" i="10"/>
  <c r="CL717" i="10"/>
  <c r="CP717" i="10"/>
  <c r="CT717" i="10"/>
  <c r="CX717" i="10"/>
  <c r="DB717" i="10"/>
  <c r="AX718" i="10"/>
  <c r="BB718" i="10"/>
  <c r="BF718" i="10"/>
  <c r="BJ718" i="10"/>
  <c r="BN718" i="10"/>
  <c r="BR718" i="10"/>
  <c r="BV718" i="10"/>
  <c r="BZ718" i="10"/>
  <c r="CD718" i="10"/>
  <c r="CH718" i="10"/>
  <c r="CL718" i="10"/>
  <c r="CP718" i="10"/>
  <c r="CT718" i="10"/>
  <c r="CX718" i="10"/>
  <c r="DB718" i="10"/>
  <c r="AR719" i="10"/>
  <c r="AR720" i="10" s="1"/>
  <c r="DB719" i="10"/>
  <c r="AS727" i="10"/>
  <c r="AV727" i="10"/>
  <c r="AW727" i="10"/>
  <c r="AZ727" i="10"/>
  <c r="BA727" i="10"/>
  <c r="BD727" i="10"/>
  <c r="BE727" i="10"/>
  <c r="BH727" i="10"/>
  <c r="BI727" i="10"/>
  <c r="BL727" i="10"/>
  <c r="BM727" i="10"/>
  <c r="BP727" i="10"/>
  <c r="BQ727" i="10"/>
  <c r="BT727" i="10"/>
  <c r="BU727" i="10"/>
  <c r="BX727" i="10"/>
  <c r="BY727" i="10"/>
  <c r="CB727" i="10"/>
  <c r="CC727" i="10"/>
  <c r="CF727" i="10"/>
  <c r="CG727" i="10"/>
  <c r="CO727" i="10"/>
  <c r="CR727" i="10"/>
  <c r="CS727" i="10"/>
  <c r="CV727" i="10"/>
  <c r="CW727" i="10"/>
  <c r="CZ727" i="10"/>
  <c r="DA727" i="10"/>
  <c r="AS728" i="10"/>
  <c r="AV728" i="10"/>
  <c r="AW728" i="10"/>
  <c r="AZ728" i="10"/>
  <c r="BA728" i="10"/>
  <c r="BD728" i="10"/>
  <c r="BE728" i="10"/>
  <c r="BH728" i="10"/>
  <c r="BI728" i="10"/>
  <c r="BL728" i="10"/>
  <c r="BM728" i="10"/>
  <c r="BP728" i="10"/>
  <c r="BQ728" i="10"/>
  <c r="BT728" i="10"/>
  <c r="BU728" i="10"/>
  <c r="BX728" i="10"/>
  <c r="BY728" i="10"/>
  <c r="CB728" i="10"/>
  <c r="CC728" i="10"/>
  <c r="CF728" i="10"/>
  <c r="CG728" i="10"/>
  <c r="CJ728" i="10"/>
  <c r="CK728" i="10"/>
  <c r="CN728" i="10"/>
  <c r="CO728" i="10"/>
  <c r="CR728" i="10"/>
  <c r="CS728" i="10"/>
  <c r="CV728" i="10"/>
  <c r="CW728" i="10"/>
  <c r="CZ728" i="10"/>
  <c r="DA728" i="10"/>
  <c r="AS729" i="10"/>
  <c r="AV729" i="10"/>
  <c r="AW729" i="10"/>
  <c r="AZ729" i="10"/>
  <c r="BA729" i="10"/>
  <c r="BD729" i="10"/>
  <c r="BE729" i="10"/>
  <c r="BH729" i="10"/>
  <c r="BI729" i="10"/>
  <c r="BL729" i="10"/>
  <c r="BM729" i="10"/>
  <c r="BP729" i="10"/>
  <c r="BQ729" i="10"/>
  <c r="BT729" i="10"/>
  <c r="BU729" i="10"/>
  <c r="CB729" i="10"/>
  <c r="CC729" i="10"/>
  <c r="CF729" i="10"/>
  <c r="CG729" i="10"/>
  <c r="CO729" i="10"/>
  <c r="CR729" i="10"/>
  <c r="CS729" i="10"/>
  <c r="CV729" i="10"/>
  <c r="CW729" i="10"/>
  <c r="CZ729" i="10"/>
  <c r="DA729" i="10"/>
  <c r="AS730" i="10"/>
  <c r="AV730" i="10"/>
  <c r="AW730" i="10"/>
  <c r="AZ730" i="10"/>
  <c r="BA730" i="10"/>
  <c r="BD730" i="10"/>
  <c r="BE730" i="10"/>
  <c r="BH730" i="10"/>
  <c r="BI730" i="10"/>
  <c r="BL730" i="10"/>
  <c r="BM730" i="10"/>
  <c r="BP730" i="10"/>
  <c r="BQ730" i="10"/>
  <c r="BT730" i="10"/>
  <c r="BU730" i="10"/>
  <c r="BX730" i="10"/>
  <c r="BY730" i="10"/>
  <c r="CB730" i="10"/>
  <c r="CC730" i="10"/>
  <c r="AS731" i="10"/>
  <c r="AV731" i="10"/>
  <c r="AW731" i="10"/>
  <c r="AZ731" i="10"/>
  <c r="BA731" i="10"/>
  <c r="BD731" i="10"/>
  <c r="BE731" i="10"/>
  <c r="BH731" i="10"/>
  <c r="BI731" i="10"/>
  <c r="BL731" i="10"/>
  <c r="BM731" i="10"/>
  <c r="BP731" i="10"/>
  <c r="BQ731" i="10"/>
  <c r="BT731" i="10"/>
  <c r="BU731" i="10"/>
  <c r="BX731" i="10"/>
  <c r="BY731" i="10"/>
  <c r="CB731" i="10"/>
  <c r="CC731" i="10"/>
  <c r="CF731" i="10"/>
  <c r="CG731" i="10"/>
  <c r="CJ731" i="10"/>
  <c r="CK731" i="10"/>
  <c r="CN731" i="10"/>
  <c r="CO731" i="10"/>
  <c r="CR731" i="10"/>
  <c r="CS731" i="10"/>
  <c r="CV731" i="10"/>
  <c r="CW731" i="10"/>
  <c r="CZ731" i="10"/>
  <c r="DA731" i="10"/>
  <c r="AS732" i="10"/>
  <c r="AV732" i="10"/>
  <c r="AW732" i="10"/>
  <c r="AZ732" i="10"/>
  <c r="BA732" i="10"/>
  <c r="BD732" i="10"/>
  <c r="AS733" i="10"/>
  <c r="AV733" i="10"/>
  <c r="AW733" i="10"/>
  <c r="AZ733" i="10"/>
  <c r="BA733" i="10"/>
  <c r="BD733" i="10"/>
  <c r="BE733" i="10"/>
  <c r="BH733" i="10"/>
  <c r="BI733" i="10"/>
  <c r="BL733" i="10"/>
  <c r="BM733" i="10"/>
  <c r="BP733" i="10"/>
  <c r="BQ733" i="10"/>
  <c r="BT733" i="10"/>
  <c r="BU733" i="10"/>
  <c r="BX733" i="10"/>
  <c r="BY733" i="10"/>
  <c r="CB733" i="10"/>
  <c r="CC733" i="10"/>
  <c r="CF733" i="10"/>
  <c r="CG733" i="10"/>
  <c r="CJ733" i="10"/>
  <c r="CK733" i="10"/>
  <c r="CN733" i="10"/>
  <c r="CO733" i="10"/>
  <c r="CR733" i="10"/>
  <c r="CS733" i="10"/>
  <c r="CV733" i="10"/>
  <c r="CW733" i="10"/>
  <c r="CZ733" i="10"/>
  <c r="DA733" i="10"/>
  <c r="AR739" i="10"/>
  <c r="AS739" i="10"/>
  <c r="AV739" i="10"/>
  <c r="AW739" i="10"/>
  <c r="AZ739" i="10"/>
  <c r="BA739" i="10"/>
  <c r="BD739" i="10"/>
  <c r="BE739" i="10"/>
  <c r="BH739" i="10"/>
  <c r="BI739" i="10"/>
  <c r="BL739" i="10"/>
  <c r="BM739" i="10"/>
  <c r="BP739" i="10"/>
  <c r="BQ739" i="10"/>
  <c r="BT739" i="10"/>
  <c r="BU739" i="10"/>
  <c r="BX739" i="10"/>
  <c r="BY739" i="10"/>
  <c r="CB739" i="10"/>
  <c r="CC739" i="10"/>
  <c r="CF739" i="10"/>
  <c r="CG739" i="10"/>
  <c r="CO739" i="10"/>
  <c r="CR739" i="10"/>
  <c r="CS739" i="10"/>
  <c r="CV739" i="10"/>
  <c r="CW739" i="10"/>
  <c r="CZ739" i="10"/>
  <c r="DA739" i="10"/>
  <c r="AR740" i="10"/>
  <c r="AS740" i="10"/>
  <c r="AV740" i="10"/>
  <c r="AW740" i="10"/>
  <c r="AZ740" i="10"/>
  <c r="BA740" i="10"/>
  <c r="BD740" i="10"/>
  <c r="BE740" i="10"/>
  <c r="BH740" i="10"/>
  <c r="BI740" i="10"/>
  <c r="BL740" i="10"/>
  <c r="BM740" i="10"/>
  <c r="BP740" i="10"/>
  <c r="BQ740" i="10"/>
  <c r="BT740" i="10"/>
  <c r="BU740" i="10"/>
  <c r="BX740" i="10"/>
  <c r="BY740" i="10"/>
  <c r="CB740" i="10"/>
  <c r="CC740" i="10"/>
  <c r="CF740" i="10"/>
  <c r="CG740" i="10"/>
  <c r="CJ740" i="10"/>
  <c r="CK740" i="10"/>
  <c r="CN740" i="10"/>
  <c r="CO740" i="10"/>
  <c r="CR740" i="10"/>
  <c r="CS740" i="10"/>
  <c r="CV740" i="10"/>
  <c r="CW740" i="10"/>
  <c r="CZ740" i="10"/>
  <c r="DA740" i="10"/>
  <c r="AR741" i="10"/>
  <c r="AS741" i="10"/>
  <c r="AV741" i="10"/>
  <c r="AW741" i="10"/>
  <c r="AZ741" i="10"/>
  <c r="BA741" i="10"/>
  <c r="BD741" i="10"/>
  <c r="BE741" i="10"/>
  <c r="BH741" i="10"/>
  <c r="BI741" i="10"/>
  <c r="BL741" i="10"/>
  <c r="BM741" i="10"/>
  <c r="BP741" i="10"/>
  <c r="BQ741" i="10"/>
  <c r="BT741" i="10"/>
  <c r="BU741" i="10"/>
  <c r="CB741" i="10"/>
  <c r="CC741" i="10"/>
  <c r="CF741" i="10"/>
  <c r="CG741" i="10"/>
  <c r="CO741" i="10"/>
  <c r="CR741" i="10"/>
  <c r="CS741" i="10"/>
  <c r="CV741" i="10"/>
  <c r="CW741" i="10"/>
  <c r="CZ741" i="10"/>
  <c r="DA741" i="10"/>
  <c r="AR742" i="10"/>
  <c r="AS742" i="10"/>
  <c r="AV742" i="10"/>
  <c r="AW742" i="10"/>
  <c r="AZ742" i="10"/>
  <c r="BA742" i="10"/>
  <c r="BD742" i="10"/>
  <c r="BE742" i="10"/>
  <c r="BH742" i="10"/>
  <c r="BI742" i="10"/>
  <c r="BL742" i="10"/>
  <c r="BM742" i="10"/>
  <c r="BP742" i="10"/>
  <c r="BQ742" i="10"/>
  <c r="BT742" i="10"/>
  <c r="BU742" i="10"/>
  <c r="BX742" i="10"/>
  <c r="BY742" i="10"/>
  <c r="CB742" i="10"/>
  <c r="CC742" i="10"/>
  <c r="CF742" i="10"/>
  <c r="CG742" i="10"/>
  <c r="CJ742" i="10"/>
  <c r="CK742" i="10"/>
  <c r="CN742" i="10"/>
  <c r="CO742" i="10"/>
  <c r="CR742" i="10"/>
  <c r="CS742" i="10"/>
  <c r="CV742" i="10"/>
  <c r="CW742" i="10"/>
  <c r="CZ742" i="10"/>
  <c r="DA742" i="10"/>
  <c r="AR743" i="10"/>
  <c r="AS743" i="10"/>
  <c r="AV743" i="10"/>
  <c r="AW743" i="10"/>
  <c r="AZ743" i="10"/>
  <c r="BA743" i="10"/>
  <c r="BD743" i="10"/>
  <c r="BE743" i="10"/>
  <c r="BH743" i="10"/>
  <c r="BI743" i="10"/>
  <c r="BL743" i="10"/>
  <c r="BM743" i="10"/>
  <c r="BP743" i="10"/>
  <c r="BQ743" i="10"/>
  <c r="BT743" i="10"/>
  <c r="BU743" i="10"/>
  <c r="BX743" i="10"/>
  <c r="BY743" i="10"/>
  <c r="CB743" i="10"/>
  <c r="CC743" i="10"/>
  <c r="CF743" i="10"/>
  <c r="CG743" i="10"/>
  <c r="CJ743" i="10"/>
  <c r="CK743" i="10"/>
  <c r="CN743" i="10"/>
  <c r="CO743" i="10"/>
  <c r="CR743" i="10"/>
  <c r="CS743" i="10"/>
  <c r="CV743" i="10"/>
  <c r="CW743" i="10"/>
  <c r="CZ743" i="10"/>
  <c r="DA743" i="10"/>
  <c r="AR744" i="10"/>
  <c r="AS744" i="10"/>
  <c r="AV744" i="10"/>
  <c r="AW744" i="10"/>
  <c r="AZ744" i="10"/>
  <c r="BA744" i="10"/>
  <c r="BD744" i="10"/>
  <c r="BE744" i="10"/>
  <c r="BH744" i="10"/>
  <c r="BI744" i="10"/>
  <c r="BL744" i="10"/>
  <c r="BM744" i="10"/>
  <c r="BP744" i="10"/>
  <c r="BQ744" i="10"/>
  <c r="BT744" i="10"/>
  <c r="BU744" i="10"/>
  <c r="BX744" i="10"/>
  <c r="BY744" i="10"/>
  <c r="CB744" i="10"/>
  <c r="CC744" i="10"/>
  <c r="CF744" i="10"/>
  <c r="CG744" i="10"/>
  <c r="CJ744" i="10"/>
  <c r="CK744" i="10"/>
  <c r="CN744" i="10"/>
  <c r="CO744" i="10"/>
  <c r="CR744" i="10"/>
  <c r="CS744" i="10"/>
  <c r="CV744" i="10"/>
  <c r="CW744" i="10"/>
  <c r="CZ744" i="10"/>
  <c r="DA744" i="10"/>
  <c r="AR745" i="10"/>
  <c r="AS745" i="10"/>
  <c r="AV745" i="10"/>
  <c r="AW745" i="10"/>
  <c r="AZ745" i="10"/>
  <c r="BA745" i="10"/>
  <c r="BD745" i="10"/>
  <c r="BE745" i="10"/>
  <c r="BH745" i="10"/>
  <c r="BI745" i="10"/>
  <c r="BL745" i="10"/>
  <c r="BM745" i="10"/>
  <c r="BP745" i="10"/>
  <c r="BQ745" i="10"/>
  <c r="BT745" i="10"/>
  <c r="BU745" i="10"/>
  <c r="BX745" i="10"/>
  <c r="BY745" i="10"/>
  <c r="CB745" i="10"/>
  <c r="CC745" i="10"/>
  <c r="CF745" i="10"/>
  <c r="CG745" i="10"/>
  <c r="CJ745" i="10"/>
  <c r="CK745" i="10"/>
  <c r="CN745" i="10"/>
  <c r="CO745" i="10"/>
  <c r="CR745" i="10"/>
  <c r="CS745" i="10"/>
  <c r="CV745" i="10"/>
  <c r="CW745" i="10"/>
  <c r="CZ745" i="10"/>
  <c r="DA745" i="10"/>
  <c r="CR774" i="10"/>
  <c r="CS774" i="10"/>
  <c r="CX774" i="10"/>
  <c r="CZ774" i="10"/>
  <c r="DA774" i="10"/>
  <c r="CR775" i="10"/>
  <c r="CS775" i="10"/>
  <c r="CX775" i="10"/>
  <c r="CZ775" i="10"/>
  <c r="DA775" i="10"/>
  <c r="CR776" i="10"/>
  <c r="CS776" i="10"/>
  <c r="CX776" i="10"/>
  <c r="CW776" i="10" s="1"/>
  <c r="CP777" i="10"/>
  <c r="CT777" i="10"/>
  <c r="CR777" i="10" s="1"/>
  <c r="DB777" i="10"/>
  <c r="CZ777" i="10" s="1"/>
  <c r="DI828" i="10"/>
  <c r="DI840" i="10" s="1"/>
  <c r="DL828" i="10"/>
  <c r="DL840" i="10" s="1"/>
  <c r="DM828" i="10"/>
  <c r="DM840" i="10" s="1"/>
  <c r="BX830" i="10"/>
  <c r="BX842" i="10" s="1"/>
  <c r="BY830" i="10"/>
  <c r="BY842" i="10" s="1"/>
  <c r="BZ830" i="10"/>
  <c r="BZ842" i="10" s="1"/>
  <c r="CB830" i="10"/>
  <c r="CB842" i="10" s="1"/>
  <c r="CC830" i="10"/>
  <c r="CC842" i="10" s="1"/>
  <c r="CD830" i="10"/>
  <c r="CD842" i="10" s="1"/>
  <c r="CF830" i="10"/>
  <c r="CF842" i="10" s="1"/>
  <c r="CG830" i="10"/>
  <c r="CG842" i="10" s="1"/>
  <c r="CH830" i="10"/>
  <c r="CH842" i="10" s="1"/>
  <c r="CJ830" i="10"/>
  <c r="CJ842" i="10" s="1"/>
  <c r="CK830" i="10"/>
  <c r="CK842" i="10" s="1"/>
  <c r="CL830" i="10"/>
  <c r="CL842" i="10" s="1"/>
  <c r="CN830" i="10"/>
  <c r="CN842" i="10" s="1"/>
  <c r="CO830" i="10"/>
  <c r="CO842" i="10" s="1"/>
  <c r="CP830" i="10"/>
  <c r="CP842" i="10" s="1"/>
  <c r="CR830" i="10"/>
  <c r="CR842" i="10" s="1"/>
  <c r="CS830" i="10"/>
  <c r="CS842" i="10" s="1"/>
  <c r="CT830" i="10"/>
  <c r="CT842" i="10" s="1"/>
  <c r="CV830" i="10"/>
  <c r="CV842" i="10" s="1"/>
  <c r="CW830" i="10"/>
  <c r="CW842" i="10" s="1"/>
  <c r="CX830" i="10"/>
  <c r="CX842" i="10" s="1"/>
  <c r="CZ830" i="10"/>
  <c r="CZ842" i="10" s="1"/>
  <c r="DA830" i="10"/>
  <c r="DA842" i="10" s="1"/>
  <c r="DB830" i="10"/>
  <c r="DB842" i="10" s="1"/>
  <c r="DI830" i="10"/>
  <c r="DI842" i="10" s="1"/>
  <c r="DJ830" i="10"/>
  <c r="DJ842" i="10" s="1"/>
  <c r="DL830" i="10"/>
  <c r="DL842" i="10" s="1"/>
  <c r="DM830" i="10"/>
  <c r="DM842" i="10" s="1"/>
  <c r="DN830" i="10"/>
  <c r="DN842" i="10" s="1"/>
  <c r="CA868" i="10"/>
  <c r="BX944" i="10"/>
  <c r="BY944" i="10"/>
  <c r="CB944" i="10"/>
  <c r="CC944" i="10"/>
  <c r="CF944" i="10"/>
  <c r="CG944" i="10"/>
  <c r="CN944" i="10"/>
  <c r="CO944" i="10"/>
  <c r="CR944" i="10"/>
  <c r="CS944" i="10"/>
  <c r="CV944" i="10"/>
  <c r="CW944" i="10"/>
  <c r="CZ944" i="10"/>
  <c r="DA944" i="10"/>
  <c r="BX945" i="10"/>
  <c r="BY945" i="10"/>
  <c r="CB945" i="10"/>
  <c r="CC945" i="10"/>
  <c r="CF945" i="10"/>
  <c r="CG945" i="10"/>
  <c r="CJ945" i="10"/>
  <c r="CK945" i="10"/>
  <c r="CN945" i="10"/>
  <c r="CO945" i="10"/>
  <c r="CR945" i="10"/>
  <c r="CS945" i="10"/>
  <c r="CV945" i="10"/>
  <c r="CW945" i="10"/>
  <c r="CZ945" i="10"/>
  <c r="DA945" i="10"/>
  <c r="BX946" i="10"/>
  <c r="BY946" i="10"/>
  <c r="CB946" i="10"/>
  <c r="CC946" i="10"/>
  <c r="CF946" i="10"/>
  <c r="CG946" i="10"/>
  <c r="CN946" i="10"/>
  <c r="CO946" i="10"/>
  <c r="CR946" i="10"/>
  <c r="CS946" i="10"/>
  <c r="CV946" i="10"/>
  <c r="CW946" i="10"/>
  <c r="CZ946" i="10"/>
  <c r="DA946" i="10"/>
  <c r="BX947" i="10"/>
  <c r="BY947" i="10"/>
  <c r="CB947" i="10"/>
  <c r="CC947" i="10"/>
  <c r="CF947" i="10"/>
  <c r="CG947" i="10"/>
  <c r="CH947" i="10"/>
  <c r="CJ947" i="10"/>
  <c r="CK947" i="10"/>
  <c r="CL947" i="10"/>
  <c r="CN947" i="10"/>
  <c r="CO947" i="10"/>
  <c r="CP947" i="10"/>
  <c r="CR947" i="10"/>
  <c r="CS947" i="10"/>
  <c r="CT947" i="10"/>
  <c r="CV947" i="10"/>
  <c r="CW947" i="10"/>
  <c r="CX947" i="10"/>
  <c r="CZ947" i="10"/>
  <c r="DA947" i="10"/>
  <c r="DB947" i="10"/>
  <c r="DI947" i="10"/>
  <c r="DJ947" i="10"/>
  <c r="DL947" i="10"/>
  <c r="DM947" i="10"/>
  <c r="DN947" i="10"/>
  <c r="BX950" i="10"/>
  <c r="BY950" i="10"/>
  <c r="CB950" i="10"/>
  <c r="CC950" i="10"/>
  <c r="CF950" i="10"/>
  <c r="CG950" i="10"/>
  <c r="CJ950" i="10"/>
  <c r="CK950" i="10"/>
  <c r="CN950" i="10"/>
  <c r="CO950" i="10"/>
  <c r="CR950" i="10"/>
  <c r="CS950" i="10"/>
  <c r="CV950" i="10"/>
  <c r="CW950" i="10"/>
  <c r="CZ950" i="10"/>
  <c r="DA950" i="10"/>
  <c r="BX955" i="10"/>
  <c r="BY955" i="10"/>
  <c r="CB955" i="10"/>
  <c r="CC955" i="10"/>
  <c r="CF955" i="10"/>
  <c r="CG955" i="10"/>
  <c r="CN955" i="10"/>
  <c r="CO955" i="10"/>
  <c r="CR955" i="10"/>
  <c r="CS955" i="10"/>
  <c r="CV955" i="10"/>
  <c r="CW955" i="10"/>
  <c r="CZ955" i="10"/>
  <c r="DA955" i="10"/>
  <c r="BX956" i="10"/>
  <c r="BY956" i="10"/>
  <c r="CB956" i="10"/>
  <c r="CC956" i="10"/>
  <c r="CF956" i="10"/>
  <c r="CG956" i="10"/>
  <c r="CJ956" i="10"/>
  <c r="CK956" i="10"/>
  <c r="CN956" i="10"/>
  <c r="CO956" i="10"/>
  <c r="CR956" i="10"/>
  <c r="CS956" i="10"/>
  <c r="CV956" i="10"/>
  <c r="CW956" i="10"/>
  <c r="CZ956" i="10"/>
  <c r="DA956" i="10"/>
  <c r="BX957" i="10"/>
  <c r="BY957" i="10"/>
  <c r="CB957" i="10"/>
  <c r="CC957" i="10"/>
  <c r="CF957" i="10"/>
  <c r="CG957" i="10"/>
  <c r="CN957" i="10"/>
  <c r="CO957" i="10"/>
  <c r="CR957" i="10"/>
  <c r="CS957" i="10"/>
  <c r="CV957" i="10"/>
  <c r="CW957" i="10"/>
  <c r="CZ957" i="10"/>
  <c r="DA957" i="10"/>
  <c r="BX958" i="10"/>
  <c r="BY958" i="10"/>
  <c r="CB958" i="10"/>
  <c r="CC958" i="10"/>
  <c r="CF958" i="10"/>
  <c r="CG958" i="10"/>
  <c r="CH958" i="10"/>
  <c r="CJ958" i="10"/>
  <c r="CK958" i="10"/>
  <c r="CL958" i="10"/>
  <c r="CN958" i="10"/>
  <c r="CO958" i="10"/>
  <c r="CP958" i="10"/>
  <c r="CR958" i="10"/>
  <c r="CS958" i="10"/>
  <c r="CT958" i="10"/>
  <c r="CV958" i="10"/>
  <c r="CW958" i="10"/>
  <c r="CX958" i="10"/>
  <c r="CZ958" i="10"/>
  <c r="DA958" i="10"/>
  <c r="DB958" i="10"/>
  <c r="DI958" i="10"/>
  <c r="DJ958" i="10"/>
  <c r="DL958" i="10"/>
  <c r="DM958" i="10"/>
  <c r="DN958" i="10"/>
  <c r="BX959" i="10"/>
  <c r="BY959" i="10"/>
  <c r="CB959" i="10"/>
  <c r="CC959" i="10"/>
  <c r="CF959" i="10"/>
  <c r="CG959" i="10"/>
  <c r="CJ959" i="10"/>
  <c r="CK959" i="10"/>
  <c r="CN959" i="10"/>
  <c r="CO959" i="10"/>
  <c r="CR959" i="10"/>
  <c r="CS959" i="10"/>
  <c r="CV959" i="10"/>
  <c r="CW959" i="10"/>
  <c r="CZ959" i="10"/>
  <c r="DA959" i="10"/>
  <c r="BX961" i="10"/>
  <c r="BY961" i="10"/>
  <c r="CB961" i="10"/>
  <c r="CC961" i="10"/>
  <c r="CF961" i="10"/>
  <c r="CG961" i="10"/>
  <c r="CJ961" i="10"/>
  <c r="CK961" i="10"/>
  <c r="CN961" i="10"/>
  <c r="CO961" i="10"/>
  <c r="CR961" i="10"/>
  <c r="CS961" i="10"/>
  <c r="CV961" i="10"/>
  <c r="CW961" i="10"/>
  <c r="CZ961" i="10"/>
  <c r="DA961" i="10"/>
  <c r="A1038" i="10"/>
  <c r="A1040" i="10"/>
  <c r="A1041" i="10"/>
  <c r="DI1041" i="10"/>
  <c r="DL1041" i="10"/>
  <c r="DM1041" i="10"/>
  <c r="A1042" i="10"/>
  <c r="DI1042" i="10"/>
  <c r="DL1042" i="10"/>
  <c r="DM1042" i="10"/>
  <c r="A1043" i="10"/>
  <c r="BT1043" i="10"/>
  <c r="BU1043" i="10"/>
  <c r="BV1043" i="10"/>
  <c r="BX1043" i="10"/>
  <c r="BY1043" i="10"/>
  <c r="BZ1043" i="10"/>
  <c r="CB1043" i="10"/>
  <c r="CC1043" i="10"/>
  <c r="CD1043" i="10"/>
  <c r="CF1043" i="10"/>
  <c r="CG1043" i="10"/>
  <c r="CH1043" i="10"/>
  <c r="CJ1043" i="10"/>
  <c r="CK1043" i="10"/>
  <c r="CL1043" i="10"/>
  <c r="CN1043" i="10"/>
  <c r="CO1043" i="10"/>
  <c r="CP1043" i="10"/>
  <c r="CR1043" i="10"/>
  <c r="CS1043" i="10"/>
  <c r="CT1043" i="10"/>
  <c r="CV1043" i="10"/>
  <c r="CW1043" i="10"/>
  <c r="CX1043" i="10"/>
  <c r="CZ1043" i="10"/>
  <c r="DA1043" i="10"/>
  <c r="DB1043" i="10"/>
  <c r="DI1043" i="10"/>
  <c r="DJ1043" i="10"/>
  <c r="DL1043" i="10"/>
  <c r="DM1043" i="10"/>
  <c r="DN1043" i="10"/>
  <c r="A1044" i="10"/>
  <c r="DI1044" i="10"/>
  <c r="DL1044" i="10"/>
  <c r="DM1044" i="10"/>
  <c r="A1045" i="10"/>
  <c r="AV1079" i="10"/>
  <c r="AW1079" i="10"/>
  <c r="AZ1079" i="10"/>
  <c r="BA1079" i="10"/>
  <c r="BD1079" i="10"/>
  <c r="BE1079" i="10"/>
  <c r="BH1079" i="10"/>
  <c r="BI1079" i="10"/>
  <c r="BL1079" i="10"/>
  <c r="BM1079" i="10"/>
  <c r="BP1079" i="10"/>
  <c r="BQ1079" i="10"/>
  <c r="BT1079" i="10"/>
  <c r="BU1079" i="10"/>
  <c r="BX1079" i="10"/>
  <c r="BY1079" i="10"/>
  <c r="CB1079" i="10"/>
  <c r="CC1079" i="10"/>
  <c r="CF1079" i="10"/>
  <c r="CG1079" i="10"/>
  <c r="CJ1079" i="10"/>
  <c r="CK1079" i="10"/>
  <c r="CN1079" i="10"/>
  <c r="CO1079" i="10"/>
  <c r="CR1079" i="10"/>
  <c r="CS1079" i="10"/>
  <c r="CV1079" i="10"/>
  <c r="CW1079" i="10"/>
  <c r="CZ1079" i="10"/>
  <c r="DI1111" i="10"/>
  <c r="DL1111" i="10"/>
  <c r="DM1111" i="10"/>
  <c r="DI1112" i="10"/>
  <c r="DL1112" i="10"/>
  <c r="DM1112" i="10"/>
  <c r="DI1113" i="10"/>
  <c r="DL1113" i="10"/>
  <c r="DM1113" i="10"/>
  <c r="DI1114" i="10"/>
  <c r="DL1114" i="10"/>
  <c r="DM1114" i="10"/>
  <c r="DI1115" i="10"/>
  <c r="DL1115" i="10"/>
  <c r="DM1115" i="10"/>
  <c r="DI1116" i="10"/>
  <c r="DL1116" i="10"/>
  <c r="DM1116" i="10"/>
  <c r="DI1117" i="10"/>
  <c r="DL1117" i="10"/>
  <c r="DM1117" i="10"/>
  <c r="AR1129" i="10"/>
  <c r="AS1129" i="10"/>
  <c r="AV1129" i="10"/>
  <c r="AW1129" i="10"/>
  <c r="AZ1129" i="10"/>
  <c r="BA1129" i="10"/>
  <c r="BD1129" i="10"/>
  <c r="AV1130" i="10"/>
  <c r="AW1130" i="10"/>
  <c r="AZ1130" i="10"/>
  <c r="BA1130" i="10"/>
  <c r="BD1130" i="10"/>
  <c r="BE1130" i="10"/>
  <c r="AR1132" i="10"/>
  <c r="AS1132" i="10"/>
  <c r="AV1132" i="10"/>
  <c r="AW1132" i="10"/>
  <c r="AZ1132" i="10"/>
  <c r="BA1132" i="10"/>
  <c r="BD1132" i="10"/>
  <c r="BE1132" i="10"/>
  <c r="CH1132" i="10"/>
  <c r="CL1132" i="10"/>
  <c r="CP1132" i="10"/>
  <c r="CT1132" i="10"/>
  <c r="CX1132" i="10"/>
  <c r="DB1132" i="10"/>
  <c r="DJ1132" i="10"/>
  <c r="DN1132" i="10"/>
  <c r="AR1133" i="10"/>
  <c r="AS1133" i="10"/>
  <c r="AV1133" i="10"/>
  <c r="AW1133" i="10"/>
  <c r="AZ1133" i="10"/>
  <c r="BA1133" i="10"/>
  <c r="BD1133" i="10"/>
  <c r="BE1133" i="10"/>
  <c r="AR1134" i="10"/>
  <c r="AS1134" i="10"/>
  <c r="AV1134" i="10"/>
  <c r="AW1134" i="10"/>
  <c r="AZ1134" i="10"/>
  <c r="BA1134" i="10"/>
  <c r="BD1134" i="10"/>
  <c r="BE1134" i="10"/>
  <c r="DJ1134" i="10"/>
  <c r="DN1134" i="10"/>
  <c r="AR1135" i="10"/>
  <c r="AS1135" i="10"/>
  <c r="AV1135" i="10"/>
  <c r="AW1135" i="10"/>
  <c r="AZ1135" i="10"/>
  <c r="BA1135" i="10"/>
  <c r="BD1135" i="10"/>
  <c r="BE1135" i="10"/>
  <c r="BJ1137" i="10"/>
  <c r="BN1137" i="10"/>
  <c r="BR1137" i="10"/>
  <c r="BV1137" i="10"/>
  <c r="BZ1137" i="10"/>
  <c r="CD1137" i="10"/>
  <c r="CH1137" i="10"/>
  <c r="CL1137" i="10"/>
  <c r="CP1137" i="10"/>
  <c r="CT1137" i="10"/>
  <c r="CX1137" i="10"/>
  <c r="DB1137" i="10"/>
  <c r="AR1141" i="10"/>
  <c r="AS1141" i="10"/>
  <c r="AV1142" i="10"/>
  <c r="AW1142" i="10"/>
  <c r="AZ1142" i="10"/>
  <c r="BA1142" i="10"/>
  <c r="BD1142" i="10"/>
  <c r="BE1142" i="10"/>
  <c r="BH1142" i="10"/>
  <c r="BI1142" i="10"/>
  <c r="BL1142" i="10"/>
  <c r="BM1142" i="10"/>
  <c r="BP1142" i="10"/>
  <c r="BQ1142" i="10"/>
  <c r="BT1142" i="10"/>
  <c r="BU1142" i="10"/>
  <c r="BX1142" i="10"/>
  <c r="BY1142" i="10"/>
  <c r="CB1142" i="10"/>
  <c r="CC1142" i="10"/>
  <c r="CF1142" i="10"/>
  <c r="CG1142" i="10"/>
  <c r="CJ1142" i="10"/>
  <c r="CK1142" i="10"/>
  <c r="CN1142" i="10"/>
  <c r="CO1142" i="10"/>
  <c r="CR1142" i="10"/>
  <c r="CS1142" i="10"/>
  <c r="CV1142" i="10"/>
  <c r="CW1142" i="10"/>
  <c r="CZ1142" i="10"/>
  <c r="DA1142" i="10"/>
  <c r="BB1154" i="10"/>
  <c r="BF1154" i="10"/>
  <c r="BJ1154" i="10"/>
  <c r="BN1154" i="10"/>
  <c r="BR1154" i="10"/>
  <c r="BV1154" i="10"/>
  <c r="BZ1154" i="10"/>
  <c r="CD1154" i="10"/>
  <c r="CH1154" i="10"/>
  <c r="CL1154" i="10"/>
  <c r="CP1154" i="10"/>
  <c r="CT1154" i="10"/>
  <c r="CX1154" i="10"/>
  <c r="DB1154" i="10"/>
  <c r="BB1155" i="10"/>
  <c r="BF1155" i="10"/>
  <c r="BJ1155" i="10"/>
  <c r="BN1155" i="10"/>
  <c r="BR1155" i="10"/>
  <c r="BV1155" i="10"/>
  <c r="BZ1155" i="10"/>
  <c r="CD1155" i="10"/>
  <c r="CH1155" i="10"/>
  <c r="CL1155" i="10"/>
  <c r="CP1155" i="10"/>
  <c r="CT1155" i="10"/>
  <c r="CX1155" i="10"/>
  <c r="DB1155" i="10"/>
  <c r="BB1156" i="10"/>
  <c r="BF1156" i="10"/>
  <c r="BJ1156" i="10"/>
  <c r="BN1156" i="10"/>
  <c r="BR1156" i="10"/>
  <c r="BZ1156" i="10"/>
  <c r="CD1156" i="10"/>
  <c r="CH1156" i="10"/>
  <c r="CL1156" i="10"/>
  <c r="CP1156" i="10"/>
  <c r="CT1156" i="10"/>
  <c r="CX1156" i="10"/>
  <c r="DB1156" i="10"/>
  <c r="BB1157" i="10"/>
  <c r="BF1157" i="10"/>
  <c r="BJ1157" i="10"/>
  <c r="BN1157" i="10"/>
  <c r="BR1157" i="10"/>
  <c r="BV1157" i="10"/>
  <c r="BZ1157" i="10"/>
  <c r="CD1157" i="10"/>
  <c r="CH1157" i="10"/>
  <c r="CL1157" i="10"/>
  <c r="CP1157" i="10"/>
  <c r="CT1157" i="10"/>
  <c r="CX1157" i="10"/>
  <c r="DB1157" i="10"/>
  <c r="DE923" i="20"/>
  <c r="DI1166" i="10"/>
  <c r="DI923" i="20" s="1"/>
  <c r="DL1166" i="10"/>
  <c r="DL923" i="20" s="1"/>
  <c r="DP927" i="20" s="1"/>
  <c r="DM1166" i="10"/>
  <c r="DM923" i="20" s="1"/>
  <c r="DQ927" i="20" s="1"/>
  <c r="BB1158" i="10"/>
  <c r="BF1158" i="10"/>
  <c r="BJ1158" i="10"/>
  <c r="BN1158" i="10"/>
  <c r="BR1158" i="10"/>
  <c r="BV1158" i="10"/>
  <c r="BZ1158" i="10"/>
  <c r="CD1158" i="10"/>
  <c r="CH1158" i="10"/>
  <c r="CL1158" i="10"/>
  <c r="CP1158" i="10"/>
  <c r="CT1158" i="10"/>
  <c r="CX1158" i="10"/>
  <c r="DB1158" i="10"/>
  <c r="DE924" i="20"/>
  <c r="DI1167" i="10"/>
  <c r="DI924" i="20" s="1"/>
  <c r="DL1167" i="10"/>
  <c r="DL924" i="20" s="1"/>
  <c r="DP928" i="20" s="1"/>
  <c r="DM1167" i="10"/>
  <c r="DM924" i="20" s="1"/>
  <c r="DQ928" i="20" s="1"/>
  <c r="BB1159" i="10"/>
  <c r="BF1159" i="10"/>
  <c r="AN1160" i="10"/>
  <c r="AO1160" i="10"/>
  <c r="AR1160" i="10"/>
  <c r="AS1160" i="10"/>
  <c r="AV1160" i="10"/>
  <c r="AW1160" i="10"/>
  <c r="AZ1160" i="10"/>
  <c r="BA1160" i="10"/>
  <c r="BH1161" i="10"/>
  <c r="BI1161" i="10"/>
  <c r="BL1161" i="10"/>
  <c r="BM1161" i="10"/>
  <c r="BP1161" i="10"/>
  <c r="BQ1161" i="10"/>
  <c r="BT1161" i="10"/>
  <c r="BU1161" i="10"/>
  <c r="BX1161" i="10"/>
  <c r="BY1161" i="10"/>
  <c r="CB1161" i="10"/>
  <c r="CC1161" i="10"/>
  <c r="CF1161" i="10"/>
  <c r="CG1161" i="10"/>
  <c r="CK1161" i="10"/>
  <c r="CN1161" i="10"/>
  <c r="CR1161" i="10"/>
  <c r="CV1161" i="10"/>
  <c r="CW1161" i="10"/>
  <c r="CZ1161" i="10"/>
  <c r="AW1163" i="10"/>
  <c r="AZ1163" i="10"/>
  <c r="BA1163" i="10"/>
  <c r="BD1163" i="10"/>
  <c r="BE1163" i="10"/>
  <c r="BH1163" i="10"/>
  <c r="BI1163" i="10"/>
  <c r="BL1163" i="10"/>
  <c r="BM1163" i="10"/>
  <c r="BP1163" i="10"/>
  <c r="BQ1163" i="10"/>
  <c r="BT1163" i="10"/>
  <c r="BU1163" i="10"/>
  <c r="BX1163" i="10"/>
  <c r="BY1163" i="10"/>
  <c r="CB1163" i="10"/>
  <c r="CC1163" i="10"/>
  <c r="CF1163" i="10"/>
  <c r="CG1163" i="10"/>
  <c r="CJ1163" i="10"/>
  <c r="CK1163" i="10"/>
  <c r="CN1163" i="10"/>
  <c r="CO1163" i="10"/>
  <c r="CR1163" i="10"/>
  <c r="CS1163" i="10"/>
  <c r="CV1163" i="10"/>
  <c r="CW1163" i="10"/>
  <c r="CZ1163" i="10"/>
  <c r="DA1163" i="10"/>
  <c r="AW1164" i="10"/>
  <c r="AZ1164" i="10"/>
  <c r="BA1164" i="10"/>
  <c r="BD1164" i="10"/>
  <c r="BE1164" i="10"/>
  <c r="BH1164" i="10"/>
  <c r="BI1164" i="10"/>
  <c r="BL1164" i="10"/>
  <c r="BM1164" i="10"/>
  <c r="BP1164" i="10"/>
  <c r="BQ1164" i="10"/>
  <c r="BT1164" i="10"/>
  <c r="BU1164" i="10"/>
  <c r="BX1164" i="10"/>
  <c r="BY1164" i="10"/>
  <c r="CB1164" i="10"/>
  <c r="CC1164" i="10"/>
  <c r="CF1164" i="10"/>
  <c r="CG1164" i="10"/>
  <c r="CJ1164" i="10"/>
  <c r="CK1164" i="10"/>
  <c r="CN1164" i="10"/>
  <c r="CO1164" i="10"/>
  <c r="CR1164" i="10"/>
  <c r="CS1164" i="10"/>
  <c r="CV1164" i="10"/>
  <c r="CW1164" i="10"/>
  <c r="CZ1164" i="10"/>
  <c r="DA1164" i="10"/>
  <c r="AW1165" i="10"/>
  <c r="AZ1165" i="10"/>
  <c r="BA1165" i="10"/>
  <c r="BD1165" i="10"/>
  <c r="BE1165" i="10"/>
  <c r="BH1165" i="10"/>
  <c r="BI1165" i="10"/>
  <c r="BL1165" i="10"/>
  <c r="BM1165" i="10"/>
  <c r="BP1165" i="10"/>
  <c r="BQ1165" i="10"/>
  <c r="BT1165" i="10"/>
  <c r="BY1165" i="10"/>
  <c r="CB1165" i="10"/>
  <c r="CC1165" i="10"/>
  <c r="CF1165" i="10"/>
  <c r="CG1165" i="10"/>
  <c r="CJ1165" i="10"/>
  <c r="CK1165" i="10"/>
  <c r="CN1165" i="10"/>
  <c r="CO1165" i="10"/>
  <c r="CR1165" i="10"/>
  <c r="CS1165" i="10"/>
  <c r="CV1165" i="10"/>
  <c r="CW1165" i="10"/>
  <c r="CZ1165" i="10"/>
  <c r="DA1165" i="10"/>
  <c r="AW1166" i="10"/>
  <c r="AZ1166" i="10"/>
  <c r="BA1166" i="10"/>
  <c r="BD1166" i="10"/>
  <c r="BE1166" i="10"/>
  <c r="BH1166" i="10"/>
  <c r="BI1166" i="10"/>
  <c r="BL1166" i="10"/>
  <c r="BM1166" i="10"/>
  <c r="BP1166" i="10"/>
  <c r="BQ1166" i="10"/>
  <c r="BT1166" i="10"/>
  <c r="BU1166" i="10"/>
  <c r="BX1166" i="10"/>
  <c r="BY1166" i="10"/>
  <c r="CB1166" i="10"/>
  <c r="CB923" i="20" s="1"/>
  <c r="CB927" i="20" s="1"/>
  <c r="CC1166" i="10"/>
  <c r="CC923" i="20" s="1"/>
  <c r="CC927" i="20" s="1"/>
  <c r="CF1166" i="10"/>
  <c r="CF923" i="20" s="1"/>
  <c r="CG1166" i="10"/>
  <c r="CG923" i="20" s="1"/>
  <c r="CJ1166" i="10"/>
  <c r="CJ923" i="20" s="1"/>
  <c r="CK1166" i="10"/>
  <c r="CK923" i="20" s="1"/>
  <c r="CN1166" i="10"/>
  <c r="CN923" i="20" s="1"/>
  <c r="CO1166" i="10"/>
  <c r="CO923" i="20" s="1"/>
  <c r="AW1167" i="10"/>
  <c r="AZ1167" i="10"/>
  <c r="BA1167" i="10"/>
  <c r="BD1167" i="10"/>
  <c r="BE1167" i="10"/>
  <c r="BH1167" i="10"/>
  <c r="BI1167" i="10"/>
  <c r="BL1167" i="10"/>
  <c r="BM1167" i="10"/>
  <c r="BP1167" i="10"/>
  <c r="BQ1167" i="10"/>
  <c r="BT1167" i="10"/>
  <c r="BU1167" i="10"/>
  <c r="BX1167" i="10"/>
  <c r="BY1167" i="10"/>
  <c r="CB1167" i="10"/>
  <c r="CB924" i="20" s="1"/>
  <c r="CB928" i="20" s="1"/>
  <c r="CC1167" i="10"/>
  <c r="CC924" i="20" s="1"/>
  <c r="CC928" i="20" s="1"/>
  <c r="CF1167" i="10"/>
  <c r="CF924" i="20" s="1"/>
  <c r="CG1167" i="10"/>
  <c r="CG924" i="20" s="1"/>
  <c r="CJ1167" i="10"/>
  <c r="CJ924" i="20" s="1"/>
  <c r="CK1167" i="10"/>
  <c r="CK924" i="20" s="1"/>
  <c r="CN1167" i="10"/>
  <c r="CN924" i="20" s="1"/>
  <c r="CO1167" i="10"/>
  <c r="CO924" i="20" s="1"/>
  <c r="CR1167" i="10"/>
  <c r="CR924" i="20" s="1"/>
  <c r="CS1167" i="10"/>
  <c r="CS924" i="20" s="1"/>
  <c r="CV1167" i="10"/>
  <c r="CV924" i="20" s="1"/>
  <c r="CW1167" i="10"/>
  <c r="CW924" i="20" s="1"/>
  <c r="CZ1167" i="10"/>
  <c r="CZ924" i="20" s="1"/>
  <c r="DA1167" i="10"/>
  <c r="DA924" i="20" s="1"/>
  <c r="AW1168" i="10"/>
  <c r="AZ1168" i="10"/>
  <c r="BA1168" i="10"/>
  <c r="BD1168" i="10"/>
  <c r="BE1168" i="10"/>
  <c r="AV1173" i="10"/>
  <c r="AW1173" i="10"/>
  <c r="BD1173" i="10"/>
  <c r="BH1173" i="10"/>
  <c r="BI1173" i="10"/>
  <c r="BL1173" i="10"/>
  <c r="BM1173" i="10"/>
  <c r="BP1173" i="10"/>
  <c r="BQ1173" i="10"/>
  <c r="BT1173" i="10"/>
  <c r="BX1173" i="10"/>
  <c r="BY1173" i="10"/>
  <c r="CB1173" i="10"/>
  <c r="CC1173" i="10"/>
  <c r="CF1173" i="10"/>
  <c r="CG1173" i="10"/>
  <c r="CN1173" i="10"/>
  <c r="CO1173" i="10"/>
  <c r="CR1173" i="10"/>
  <c r="CS1173" i="10"/>
  <c r="CV1173" i="10"/>
  <c r="CW1173" i="10"/>
  <c r="CZ1173" i="10"/>
  <c r="DA1173" i="10"/>
  <c r="AV1174" i="10"/>
  <c r="AW1174" i="10"/>
  <c r="AZ1174" i="10"/>
  <c r="BA1174" i="10"/>
  <c r="BE1174" i="10"/>
  <c r="BH1174" i="10"/>
  <c r="BI1174" i="10"/>
  <c r="BL1174" i="10"/>
  <c r="BM1174" i="10"/>
  <c r="BP1174" i="10"/>
  <c r="BQ1174" i="10"/>
  <c r="BT1174" i="10"/>
  <c r="BU1174" i="10"/>
  <c r="BX1174" i="10"/>
  <c r="BY1174" i="10"/>
  <c r="CB1174" i="10"/>
  <c r="CC1174" i="10"/>
  <c r="CF1174" i="10"/>
  <c r="CG1174" i="10"/>
  <c r="CJ1174" i="10"/>
  <c r="CK1174" i="10"/>
  <c r="CN1174" i="10"/>
  <c r="CO1174" i="10"/>
  <c r="CR1174" i="10"/>
  <c r="CS1174" i="10"/>
  <c r="CV1174" i="10"/>
  <c r="CW1174" i="10"/>
  <c r="CZ1174" i="10"/>
  <c r="DA1174" i="10"/>
  <c r="BX1175" i="10"/>
  <c r="BY1175" i="10"/>
  <c r="CB1175" i="10"/>
  <c r="CC1175" i="10"/>
  <c r="CF1175" i="10"/>
  <c r="CG1175" i="10"/>
  <c r="CN1175" i="10"/>
  <c r="CO1175" i="10"/>
  <c r="CR1175" i="10"/>
  <c r="CS1175" i="10"/>
  <c r="CV1175" i="10"/>
  <c r="CW1175" i="10"/>
  <c r="CZ1175" i="10"/>
  <c r="DA1175" i="10"/>
  <c r="AV1176" i="10"/>
  <c r="AW1176" i="10"/>
  <c r="AZ1176" i="10"/>
  <c r="BA1176" i="10"/>
  <c r="BE1176" i="10"/>
  <c r="BH1176" i="10"/>
  <c r="BI1176" i="10"/>
  <c r="BL1176" i="10"/>
  <c r="BM1176" i="10"/>
  <c r="BP1176" i="10"/>
  <c r="BQ1176" i="10"/>
  <c r="BT1176" i="10"/>
  <c r="BU1176" i="10"/>
  <c r="BX1176" i="10"/>
  <c r="BY1176" i="10"/>
  <c r="CB1176" i="10"/>
  <c r="CC1176" i="10"/>
  <c r="CF1176" i="10"/>
  <c r="CG1176" i="10"/>
  <c r="CH1176" i="10"/>
  <c r="CJ1176" i="10"/>
  <c r="CK1176" i="10"/>
  <c r="CL1176" i="10"/>
  <c r="CN1176" i="10"/>
  <c r="CO1176" i="10"/>
  <c r="CP1176" i="10"/>
  <c r="CR1176" i="10"/>
  <c r="CS1176" i="10"/>
  <c r="CT1176" i="10"/>
  <c r="CV1176" i="10"/>
  <c r="CW1176" i="10"/>
  <c r="CX1176" i="10"/>
  <c r="CZ1176" i="10"/>
  <c r="DA1176" i="10"/>
  <c r="DB1176" i="10"/>
  <c r="DJ1176" i="10"/>
  <c r="DN1176" i="10"/>
  <c r="AR1177" i="10"/>
  <c r="AS1177" i="10"/>
  <c r="AV1177" i="10"/>
  <c r="AW1177" i="10"/>
  <c r="AZ1177" i="10"/>
  <c r="BA1177" i="10"/>
  <c r="BE1177" i="10"/>
  <c r="BH1177" i="10"/>
  <c r="BI1177" i="10"/>
  <c r="BL1177" i="10"/>
  <c r="BM1177" i="10"/>
  <c r="BP1177" i="10"/>
  <c r="BQ1177" i="10"/>
  <c r="BI1178" i="10"/>
  <c r="BM1178" i="10"/>
  <c r="BQ1178" i="10"/>
  <c r="BU1178" i="10"/>
  <c r="BY1178" i="10"/>
  <c r="CC1178" i="10"/>
  <c r="CG1178" i="10"/>
  <c r="CK1178" i="10"/>
  <c r="CO1178" i="10"/>
  <c r="CS1178" i="10"/>
  <c r="CW1178" i="10"/>
  <c r="DA1178" i="10"/>
  <c r="AR1179" i="10"/>
  <c r="AS1179" i="10"/>
  <c r="AV1179" i="10"/>
  <c r="AW1179" i="10"/>
  <c r="AZ1179" i="10"/>
  <c r="BA1179" i="10"/>
  <c r="BE1179" i="10"/>
  <c r="BH1179" i="10"/>
  <c r="BI1179" i="10"/>
  <c r="BL1179" i="10"/>
  <c r="BM1179" i="10"/>
  <c r="BP1179" i="10"/>
  <c r="BQ1179" i="10"/>
  <c r="BT1179" i="10"/>
  <c r="BU1179" i="10"/>
  <c r="BX1179" i="10"/>
  <c r="BY1179" i="10"/>
  <c r="CB1179" i="10"/>
  <c r="CC1179" i="10"/>
  <c r="CF1179" i="10"/>
  <c r="CG1179" i="10"/>
  <c r="CJ1179" i="10"/>
  <c r="CK1179" i="10"/>
  <c r="CN1179" i="10"/>
  <c r="CO1179" i="10"/>
  <c r="CR1179" i="10"/>
  <c r="CS1179" i="10"/>
  <c r="CV1179" i="10"/>
  <c r="CW1179" i="10"/>
  <c r="CZ1179" i="10"/>
  <c r="DA1179" i="10"/>
  <c r="AN1208" i="10"/>
  <c r="AO1208" i="10"/>
  <c r="AV1221" i="10"/>
  <c r="AW1221" i="10"/>
  <c r="AZ1221" i="10"/>
  <c r="BA1221" i="10"/>
  <c r="BD1221" i="10"/>
  <c r="BE1221" i="10"/>
  <c r="BH1221" i="10"/>
  <c r="BI1221" i="10"/>
  <c r="BL1221" i="10"/>
  <c r="BM1221" i="10"/>
  <c r="BP1221" i="10"/>
  <c r="BQ1221" i="10"/>
  <c r="BT1221" i="10"/>
  <c r="BU1221" i="10"/>
  <c r="BX1221" i="10"/>
  <c r="BY1221" i="10"/>
  <c r="CB1221" i="10"/>
  <c r="CC1221" i="10"/>
  <c r="CG1221" i="10"/>
  <c r="CK1221" i="10"/>
  <c r="CO1221" i="10"/>
  <c r="CR1221" i="10"/>
  <c r="CS1221" i="10"/>
  <c r="CV1221" i="10"/>
  <c r="CW1221" i="10"/>
  <c r="CZ1221" i="10"/>
  <c r="DA1221" i="10"/>
  <c r="AN1224" i="10"/>
  <c r="AO1224" i="10"/>
  <c r="AR1224" i="10"/>
  <c r="AS1224" i="10"/>
  <c r="AR1225" i="10"/>
  <c r="AS1225" i="10"/>
  <c r="BJ1238" i="10"/>
  <c r="BN1238" i="10"/>
  <c r="BR1238" i="10"/>
  <c r="BV1238" i="10"/>
  <c r="BZ1238" i="10"/>
  <c r="CD1238" i="10"/>
  <c r="CH1238" i="10"/>
  <c r="CL1238" i="10"/>
  <c r="BJ1239" i="10"/>
  <c r="BN1239" i="10"/>
  <c r="BR1239" i="10"/>
  <c r="BV1239" i="10"/>
  <c r="BZ1239" i="10"/>
  <c r="CD1239" i="10"/>
  <c r="CH1239" i="10"/>
  <c r="CL1239" i="10"/>
  <c r="BJ1240" i="10"/>
  <c r="BN1240" i="10"/>
  <c r="BR1240" i="10"/>
  <c r="BV1240" i="10"/>
  <c r="BZ1240" i="10"/>
  <c r="CD1240" i="10"/>
  <c r="CH1240" i="10"/>
  <c r="CL1240" i="10"/>
  <c r="BJ1241" i="10"/>
  <c r="BN1241" i="10"/>
  <c r="BR1241" i="10"/>
  <c r="BU1241" i="10"/>
  <c r="BZ1241" i="10"/>
  <c r="CD1241" i="10"/>
  <c r="CH1241" i="10"/>
  <c r="DE1247" i="10"/>
  <c r="DH1251" i="10" s="1"/>
  <c r="DE1248" i="10"/>
  <c r="BL1251" i="10"/>
  <c r="BM1251" i="10"/>
  <c r="BP1251" i="10"/>
  <c r="BQ1251" i="10"/>
  <c r="BT1251" i="10"/>
  <c r="BU1251" i="10"/>
  <c r="BX1251" i="10"/>
  <c r="BY1251" i="10"/>
  <c r="CB1251" i="10"/>
  <c r="CC1251" i="10"/>
  <c r="CF1251" i="10"/>
  <c r="CG1251" i="10"/>
  <c r="CJ1251" i="10"/>
  <c r="CK1251" i="10"/>
  <c r="CN1251" i="10"/>
  <c r="CO1251" i="10"/>
  <c r="CR1251" i="10"/>
  <c r="CS1251" i="10"/>
  <c r="CV1251" i="10"/>
  <c r="CW1251" i="10"/>
  <c r="CZ1251" i="10"/>
  <c r="DA1251" i="10"/>
  <c r="BL1252" i="10"/>
  <c r="BM1252" i="10"/>
  <c r="BP1252" i="10"/>
  <c r="BQ1252" i="10"/>
  <c r="BT1252" i="10"/>
  <c r="BU1252" i="10"/>
  <c r="BX1252" i="10"/>
  <c r="BY1252" i="10"/>
  <c r="CB1252" i="10"/>
  <c r="CC1252" i="10"/>
  <c r="CF1252" i="10"/>
  <c r="CG1252" i="10"/>
  <c r="CJ1252" i="10"/>
  <c r="CO1252" i="10"/>
  <c r="CR1252" i="10"/>
  <c r="CS1252" i="10"/>
  <c r="DA1252" i="10"/>
  <c r="BV1257" i="10"/>
  <c r="BZ1257" i="10"/>
  <c r="CD1257" i="10"/>
  <c r="CH1257" i="10"/>
  <c r="CL1257" i="10"/>
  <c r="CP1257" i="10"/>
  <c r="BV1258" i="10"/>
  <c r="BZ1258" i="10"/>
  <c r="CD1258" i="10"/>
  <c r="CH1258" i="10"/>
  <c r="CL1258" i="10"/>
  <c r="CP1258" i="10"/>
  <c r="BV1259" i="10"/>
  <c r="BZ1259" i="10"/>
  <c r="CD1259" i="10"/>
  <c r="CH1259" i="10"/>
  <c r="CL1259" i="10"/>
  <c r="CP1259" i="10"/>
  <c r="CH1266" i="10"/>
  <c r="CL1266" i="10"/>
  <c r="CP1266" i="10"/>
  <c r="AR1279" i="10"/>
  <c r="AS1279" i="10"/>
  <c r="AV1279" i="10"/>
  <c r="AW1279" i="10"/>
  <c r="AZ1279" i="10"/>
  <c r="BA1279" i="10"/>
  <c r="BD1279" i="10"/>
  <c r="BE1279" i="10"/>
  <c r="AR1280" i="10"/>
  <c r="AS1280" i="10"/>
  <c r="AV1280" i="10"/>
  <c r="AW1280" i="10"/>
  <c r="AZ1280" i="10"/>
  <c r="BA1280" i="10"/>
  <c r="BD1280" i="10"/>
  <c r="BE1280" i="10"/>
  <c r="AR1281" i="10"/>
  <c r="AS1281" i="10"/>
  <c r="AV1281" i="10"/>
  <c r="AW1281" i="10"/>
  <c r="AZ1281" i="10"/>
  <c r="BA1281" i="10"/>
  <c r="BD1281" i="10"/>
  <c r="BE1281" i="10"/>
  <c r="AR1283" i="10"/>
  <c r="AS1283" i="10"/>
  <c r="AV1283" i="10"/>
  <c r="AW1283" i="10"/>
  <c r="AZ1283" i="10"/>
  <c r="BA1283" i="10"/>
  <c r="BD1283" i="10"/>
  <c r="BE1283" i="10"/>
  <c r="AR1284" i="10"/>
  <c r="AS1284" i="10"/>
  <c r="AV1284" i="10"/>
  <c r="AW1284" i="10"/>
  <c r="AZ1284" i="10"/>
  <c r="BA1284" i="10"/>
  <c r="BD1284" i="10"/>
  <c r="BE1284" i="10"/>
  <c r="AR1285" i="10"/>
  <c r="AS1285" i="10"/>
  <c r="AV1285" i="10"/>
  <c r="AW1285" i="10"/>
  <c r="AZ1285" i="10"/>
  <c r="BA1285" i="10"/>
  <c r="BD1285" i="10"/>
  <c r="BE1285" i="10"/>
  <c r="AR1286" i="10"/>
  <c r="AS1286" i="10"/>
  <c r="AV1286" i="10"/>
  <c r="AW1286" i="10"/>
  <c r="AZ1286" i="10"/>
  <c r="BA1286" i="10"/>
  <c r="BD1286" i="10"/>
  <c r="BE1286" i="10"/>
  <c r="AR1292" i="10"/>
  <c r="AS1292" i="10"/>
  <c r="AV1292" i="10"/>
  <c r="AW1292" i="10"/>
  <c r="AV1293" i="10"/>
  <c r="AV1294" i="10"/>
  <c r="AV1296" i="10"/>
  <c r="AV1297" i="10"/>
  <c r="AV1298" i="10"/>
  <c r="AV1299" i="10"/>
  <c r="AW1293" i="10"/>
  <c r="AW1294" i="10"/>
  <c r="AW1296" i="10"/>
  <c r="AW1297" i="10"/>
  <c r="AW1298" i="10"/>
  <c r="AW1299" i="10"/>
  <c r="AZ1292" i="10"/>
  <c r="BA1292" i="10"/>
  <c r="AZ1293" i="10"/>
  <c r="AZ1294" i="10"/>
  <c r="AZ1296" i="10"/>
  <c r="AZ1297" i="10"/>
  <c r="AZ1298" i="10"/>
  <c r="AZ1299" i="10"/>
  <c r="BA1293" i="10"/>
  <c r="BA1294" i="10"/>
  <c r="BA1296" i="10"/>
  <c r="BA1297" i="10"/>
  <c r="BA1298" i="10"/>
  <c r="BA1299" i="10"/>
  <c r="BD1292" i="10"/>
  <c r="BE1292" i="10"/>
  <c r="BD1293" i="10"/>
  <c r="BD1296" i="10"/>
  <c r="BD1298" i="10"/>
  <c r="AR1293" i="10"/>
  <c r="AS1293" i="10"/>
  <c r="BE1293" i="10"/>
  <c r="AR1294" i="10"/>
  <c r="AS1294" i="10"/>
  <c r="AR1296" i="10"/>
  <c r="AS1296" i="10"/>
  <c r="BE1296" i="10"/>
  <c r="AR1297" i="10"/>
  <c r="AS1297" i="10"/>
  <c r="AR1298" i="10"/>
  <c r="AS1298" i="10"/>
  <c r="BE1298" i="10"/>
  <c r="AR1299" i="10"/>
  <c r="AS1299" i="10"/>
  <c r="AR1303" i="10"/>
  <c r="AS1303" i="10"/>
  <c r="AV1303" i="10"/>
  <c r="AW1303" i="10"/>
  <c r="AZ1303" i="10"/>
  <c r="BA1303" i="10"/>
  <c r="BD1303" i="10"/>
  <c r="BE1303" i="10"/>
  <c r="BH1303" i="10"/>
  <c r="BI1303" i="10"/>
  <c r="BL1303" i="10"/>
  <c r="AR1304" i="10"/>
  <c r="AS1304" i="10"/>
  <c r="AV1304" i="10"/>
  <c r="AW1304" i="10"/>
  <c r="AZ1304" i="10"/>
  <c r="BA1304" i="10"/>
  <c r="BD1304" i="10"/>
  <c r="BE1304" i="10"/>
  <c r="BH1304" i="10"/>
  <c r="BI1304" i="10"/>
  <c r="BL1304" i="10"/>
  <c r="AR1305" i="10"/>
  <c r="AS1305" i="10"/>
  <c r="AV1305" i="10"/>
  <c r="AW1305" i="10"/>
  <c r="AZ1305" i="10"/>
  <c r="BA1305" i="10"/>
  <c r="BD1305" i="10"/>
  <c r="BE1305" i="10"/>
  <c r="BH1305" i="10"/>
  <c r="BI1305" i="10"/>
  <c r="BL1305" i="10"/>
  <c r="AR1306" i="10"/>
  <c r="AS1306" i="10"/>
  <c r="AV1306" i="10"/>
  <c r="AW1306" i="10"/>
  <c r="AZ1306" i="10"/>
  <c r="BA1306" i="10"/>
  <c r="BD1306" i="10"/>
  <c r="BE1306" i="10"/>
  <c r="BH1306" i="10"/>
  <c r="BI1306" i="10"/>
  <c r="BL1306" i="10"/>
  <c r="AX1311" i="10"/>
  <c r="BB1311" i="10"/>
  <c r="BF1311" i="10"/>
  <c r="BJ1311" i="10"/>
  <c r="AX1312" i="10"/>
  <c r="BB1312" i="10"/>
  <c r="BF1312" i="10"/>
  <c r="BJ1312" i="10"/>
  <c r="AX1313" i="10"/>
  <c r="BB1313" i="10"/>
  <c r="BF1313" i="10"/>
  <c r="BJ1313" i="10"/>
  <c r="AX1314" i="10"/>
  <c r="BB1314" i="10"/>
  <c r="BF1314" i="10"/>
  <c r="BJ1314" i="10"/>
  <c r="AR1315" i="10"/>
  <c r="AS1315" i="10"/>
  <c r="AV1315" i="10"/>
  <c r="AW1315" i="10"/>
  <c r="AZ1315" i="10"/>
  <c r="BA1315" i="10"/>
  <c r="BD1315" i="10"/>
  <c r="BE1315" i="10"/>
  <c r="BH1315" i="10"/>
  <c r="BI1315" i="10"/>
  <c r="BL1315" i="10"/>
  <c r="AR1322" i="10"/>
  <c r="AS1322" i="10"/>
  <c r="AV1322" i="10"/>
  <c r="AW1322" i="10"/>
  <c r="AZ1322" i="10"/>
  <c r="BA1322" i="10"/>
  <c r="BD1322" i="10"/>
  <c r="BE1322" i="10"/>
  <c r="BH1322" i="10"/>
  <c r="BI1322" i="10"/>
  <c r="BL1322" i="10"/>
  <c r="AN1" i="20"/>
  <c r="AO2" i="20"/>
  <c r="AO1" i="20" s="1"/>
  <c r="BT3" i="20"/>
  <c r="BU3" i="20"/>
  <c r="BV3" i="20"/>
  <c r="BW3" i="20"/>
  <c r="BX3" i="20"/>
  <c r="BY3" i="20"/>
  <c r="BZ3" i="20"/>
  <c r="CA3" i="20"/>
  <c r="AJ14" i="51" s="1"/>
  <c r="AJ55" i="51" s="1"/>
  <c r="CB3" i="20"/>
  <c r="CC3" i="20"/>
  <c r="CD3" i="20"/>
  <c r="CE3" i="20"/>
  <c r="AN14" i="51" s="1"/>
  <c r="AN55" i="51" s="1"/>
  <c r="CF3" i="20"/>
  <c r="AO14" i="51" s="1"/>
  <c r="AO55" i="51" s="1"/>
  <c r="CG3" i="20"/>
  <c r="AP14" i="51" s="1"/>
  <c r="AP55" i="51" s="1"/>
  <c r="CH3" i="20"/>
  <c r="CI3" i="20"/>
  <c r="CJ3" i="20"/>
  <c r="CK3" i="20"/>
  <c r="CL3" i="20"/>
  <c r="CM3" i="20"/>
  <c r="CN3" i="20"/>
  <c r="CO3" i="20"/>
  <c r="CP3" i="20"/>
  <c r="CQ3" i="20"/>
  <c r="CR3" i="20"/>
  <c r="CS3" i="20"/>
  <c r="CT3" i="20"/>
  <c r="CU3" i="20"/>
  <c r="CV3" i="20"/>
  <c r="CW3" i="20"/>
  <c r="CX3" i="20"/>
  <c r="CY3" i="20"/>
  <c r="CZ3" i="20"/>
  <c r="DA3" i="20"/>
  <c r="DB3" i="20"/>
  <c r="DC3" i="20"/>
  <c r="DD3" i="20"/>
  <c r="DE3" i="20"/>
  <c r="DF3" i="20"/>
  <c r="DG3" i="20"/>
  <c r="DI3" i="20"/>
  <c r="DJ3" i="20"/>
  <c r="DK3" i="20"/>
  <c r="DL3" i="20"/>
  <c r="DM3" i="20"/>
  <c r="DN3" i="20"/>
  <c r="BW14" i="51" s="1"/>
  <c r="DO3" i="20"/>
  <c r="BT4" i="20"/>
  <c r="BU4" i="20"/>
  <c r="BV4" i="20"/>
  <c r="BX4" i="20"/>
  <c r="BY4" i="20"/>
  <c r="BZ4" i="20"/>
  <c r="CB4" i="20"/>
  <c r="CC4" i="20"/>
  <c r="CD4" i="20"/>
  <c r="CF4" i="20"/>
  <c r="CG4" i="20"/>
  <c r="CH4" i="20"/>
  <c r="CJ4" i="20"/>
  <c r="CK4" i="20"/>
  <c r="CL4" i="20"/>
  <c r="CN4" i="20"/>
  <c r="CO4" i="20"/>
  <c r="CP4" i="20"/>
  <c r="CR4" i="20"/>
  <c r="CS4" i="20"/>
  <c r="CT4" i="20"/>
  <c r="CV4" i="20"/>
  <c r="CW4" i="20"/>
  <c r="CX4" i="20"/>
  <c r="CZ4" i="20"/>
  <c r="DA4" i="20"/>
  <c r="DB4" i="20"/>
  <c r="DD4" i="20"/>
  <c r="DE4" i="20"/>
  <c r="DF4" i="20"/>
  <c r="DI4" i="20"/>
  <c r="DJ4" i="20"/>
  <c r="DL4" i="20"/>
  <c r="DM4" i="20"/>
  <c r="DN4" i="20"/>
  <c r="AT8" i="20"/>
  <c r="AV8" i="20"/>
  <c r="AW8" i="20"/>
  <c r="AX8" i="20"/>
  <c r="G17" i="51" s="1"/>
  <c r="AZ8" i="20"/>
  <c r="BA8" i="20"/>
  <c r="BB8" i="20"/>
  <c r="K17" i="51" s="1"/>
  <c r="BD8" i="20"/>
  <c r="BE8" i="20"/>
  <c r="BF8" i="20"/>
  <c r="O17" i="51" s="1"/>
  <c r="BH8" i="20"/>
  <c r="BI8" i="20"/>
  <c r="BJ8" i="20"/>
  <c r="S17" i="51" s="1"/>
  <c r="BL8" i="20"/>
  <c r="BM8" i="20"/>
  <c r="BN8" i="20"/>
  <c r="T17" i="51" s="1"/>
  <c r="BP8" i="20"/>
  <c r="BQ8" i="20"/>
  <c r="BR8" i="20"/>
  <c r="BT8" i="20"/>
  <c r="BU8" i="20"/>
  <c r="BV8" i="20"/>
  <c r="AR153" i="20"/>
  <c r="AR115" i="20" s="1"/>
  <c r="AR124" i="20"/>
  <c r="AR217" i="20" s="1"/>
  <c r="AS153" i="20"/>
  <c r="AS115" i="20" s="1"/>
  <c r="AS120" i="20" s="1"/>
  <c r="AS124" i="20"/>
  <c r="AS125" i="20" s="1"/>
  <c r="AV153" i="20"/>
  <c r="AV115" i="20" s="1"/>
  <c r="AV183" i="20"/>
  <c r="AV118" i="20" s="1"/>
  <c r="AV125" i="20"/>
  <c r="AW153" i="20"/>
  <c r="AW115" i="20" s="1"/>
  <c r="AW183" i="20"/>
  <c r="AW118" i="20" s="1"/>
  <c r="AW125" i="20"/>
  <c r="AZ150" i="20"/>
  <c r="AZ174" i="20"/>
  <c r="AZ550" i="10" s="1"/>
  <c r="AZ124" i="20"/>
  <c r="BA150" i="20"/>
  <c r="BA174" i="20"/>
  <c r="BA124" i="20"/>
  <c r="BA125" i="20" s="1"/>
  <c r="BD153" i="20"/>
  <c r="BD183" i="20"/>
  <c r="BD118" i="20" s="1"/>
  <c r="BD125" i="20"/>
  <c r="BE153" i="20"/>
  <c r="BE183" i="20"/>
  <c r="BE118" i="20" s="1"/>
  <c r="BE123" i="20"/>
  <c r="BF123" i="20" s="1"/>
  <c r="BF216" i="20" s="1"/>
  <c r="BE124" i="20"/>
  <c r="BE217" i="20" s="1"/>
  <c r="BH153" i="20"/>
  <c r="BH115" i="20" s="1"/>
  <c r="BH183" i="20"/>
  <c r="BH118" i="20" s="1"/>
  <c r="BH125" i="20"/>
  <c r="BI153" i="20"/>
  <c r="BI115" i="20" s="1"/>
  <c r="BI183" i="20"/>
  <c r="BI118" i="20" s="1"/>
  <c r="BI125" i="20"/>
  <c r="BL153" i="20"/>
  <c r="BL183" i="20"/>
  <c r="BL118" i="20" s="1"/>
  <c r="BL125" i="20"/>
  <c r="BM153" i="20"/>
  <c r="BM183" i="20"/>
  <c r="BM118" i="20" s="1"/>
  <c r="BM125" i="20"/>
  <c r="BP153" i="20"/>
  <c r="BP183" i="20"/>
  <c r="BP118" i="20" s="1"/>
  <c r="BP125" i="20"/>
  <c r="BQ153" i="20"/>
  <c r="BQ183" i="20"/>
  <c r="BQ118" i="20" s="1"/>
  <c r="BQ125" i="20"/>
  <c r="BT153" i="20"/>
  <c r="BX160" i="20" s="1"/>
  <c r="BT183" i="20"/>
  <c r="BT118" i="20" s="1"/>
  <c r="BT125" i="20"/>
  <c r="BU153" i="20"/>
  <c r="BU115" i="20" s="1"/>
  <c r="BU182" i="20"/>
  <c r="BU124" i="20"/>
  <c r="BU217" i="20" s="1"/>
  <c r="BX115" i="20"/>
  <c r="BX183" i="20"/>
  <c r="BX118" i="20" s="1"/>
  <c r="BX125" i="20"/>
  <c r="BY115" i="20"/>
  <c r="BY183" i="20"/>
  <c r="BY118" i="20" s="1"/>
  <c r="BY125" i="20"/>
  <c r="CB115" i="20"/>
  <c r="CB183" i="20"/>
  <c r="CB118" i="20" s="1"/>
  <c r="CB125" i="20"/>
  <c r="CC115" i="20"/>
  <c r="CC183" i="20"/>
  <c r="CC118" i="20" s="1"/>
  <c r="CC125" i="20"/>
  <c r="CF153" i="20"/>
  <c r="CF183" i="20"/>
  <c r="CF118" i="20" s="1"/>
  <c r="CF125" i="20"/>
  <c r="CG148" i="20"/>
  <c r="CG150" i="20"/>
  <c r="CG183" i="20"/>
  <c r="CG118" i="20" s="1"/>
  <c r="CG125" i="20"/>
  <c r="CJ150" i="20"/>
  <c r="CJ159" i="20" s="1"/>
  <c r="CJ116" i="20"/>
  <c r="CJ179" i="20"/>
  <c r="CJ182" i="20"/>
  <c r="CJ638" i="10" s="1"/>
  <c r="CJ122" i="20"/>
  <c r="CJ215" i="20" s="1"/>
  <c r="CJ123" i="20"/>
  <c r="CJ216" i="20" s="1"/>
  <c r="CJ124" i="20"/>
  <c r="CK150" i="20"/>
  <c r="CK116" i="20"/>
  <c r="CK163" i="20" s="1"/>
  <c r="CK165" i="20" s="1"/>
  <c r="CK117" i="20"/>
  <c r="CL117" i="20" s="1"/>
  <c r="CK179" i="20"/>
  <c r="CK182" i="20"/>
  <c r="CK638" i="10" s="1"/>
  <c r="CK119" i="20"/>
  <c r="CL119" i="20" s="1"/>
  <c r="CK122" i="20"/>
  <c r="CK215" i="20" s="1"/>
  <c r="CK123" i="20"/>
  <c r="CK216" i="20" s="1"/>
  <c r="CK124" i="20"/>
  <c r="CK944" i="10" s="1"/>
  <c r="CN150" i="20"/>
  <c r="CN183" i="20"/>
  <c r="CN118" i="20" s="1"/>
  <c r="CN125" i="20"/>
  <c r="CO150" i="20"/>
  <c r="CO183" i="20"/>
  <c r="CO118" i="20" s="1"/>
  <c r="CO125" i="20"/>
  <c r="CR150" i="20"/>
  <c r="CR153" i="20" s="1"/>
  <c r="CR183" i="20"/>
  <c r="CR118" i="20" s="1"/>
  <c r="CR125" i="20"/>
  <c r="CS150" i="20"/>
  <c r="CS183" i="20"/>
  <c r="CS118" i="20" s="1"/>
  <c r="CS125" i="20"/>
  <c r="CV150" i="20"/>
  <c r="CV183" i="20"/>
  <c r="CV118" i="20" s="1"/>
  <c r="CV125" i="20"/>
  <c r="CW150" i="20"/>
  <c r="DA159" i="20" s="1"/>
  <c r="CW183" i="20"/>
  <c r="CW118" i="20" s="1"/>
  <c r="CW125" i="20"/>
  <c r="DA132" i="20" s="1"/>
  <c r="CZ150" i="20"/>
  <c r="CZ183" i="20"/>
  <c r="CZ118" i="20" s="1"/>
  <c r="CZ125" i="20"/>
  <c r="DD132" i="20" s="1"/>
  <c r="DA183" i="20"/>
  <c r="DA118" i="20" s="1"/>
  <c r="DA186" i="20"/>
  <c r="DD187" i="20" s="1"/>
  <c r="CZ137" i="20"/>
  <c r="DD141" i="20" s="1"/>
  <c r="CZ215" i="20"/>
  <c r="DD220" i="20" s="1"/>
  <c r="CZ217" i="20"/>
  <c r="DD222" i="20" s="1"/>
  <c r="DA137" i="20"/>
  <c r="DE141" i="20" s="1"/>
  <c r="DA215" i="20"/>
  <c r="DE220" i="20" s="1"/>
  <c r="DA217" i="20"/>
  <c r="DI114" i="20"/>
  <c r="DI117" i="20"/>
  <c r="DI170" i="20"/>
  <c r="DI171" i="20"/>
  <c r="DI172" i="20"/>
  <c r="DI175" i="20"/>
  <c r="DI176" i="20"/>
  <c r="DI177" i="20"/>
  <c r="DI178" i="20"/>
  <c r="DI180" i="20"/>
  <c r="DI181" i="20"/>
  <c r="DI127" i="20"/>
  <c r="DL114" i="20"/>
  <c r="DL117" i="20"/>
  <c r="DL170" i="20"/>
  <c r="DL171" i="20"/>
  <c r="DL172" i="20"/>
  <c r="DL175" i="20"/>
  <c r="DL176" i="20"/>
  <c r="DL177" i="20"/>
  <c r="DL178" i="20"/>
  <c r="DL180" i="20"/>
  <c r="DL181" i="20"/>
  <c r="DL127" i="20"/>
  <c r="DM114" i="20"/>
  <c r="DM117" i="20"/>
  <c r="DM170" i="20"/>
  <c r="DM171" i="20"/>
  <c r="DM172" i="20"/>
  <c r="DM175" i="20"/>
  <c r="DM176" i="20"/>
  <c r="DM177" i="20"/>
  <c r="DM178" i="20"/>
  <c r="DM180" i="20"/>
  <c r="DM181" i="20"/>
  <c r="DM127" i="20"/>
  <c r="AR230" i="20"/>
  <c r="AR830" i="20"/>
  <c r="AR798" i="20" s="1"/>
  <c r="AR232" i="20"/>
  <c r="AR273" i="20" s="1"/>
  <c r="AR233" i="20"/>
  <c r="AR234" i="20"/>
  <c r="AR235" i="20"/>
  <c r="AR238" i="20"/>
  <c r="AR327" i="20" s="1"/>
  <c r="AR239" i="20"/>
  <c r="AR1131" i="10" s="1"/>
  <c r="AR240" i="20"/>
  <c r="AR329" i="20" s="1"/>
  <c r="AR244" i="20"/>
  <c r="AR1203" i="10" s="1"/>
  <c r="AR1208" i="10" s="1"/>
  <c r="AS230" i="20"/>
  <c r="AS1282" i="10" s="1"/>
  <c r="AS830" i="20"/>
  <c r="AS798" i="20" s="1"/>
  <c r="AS232" i="20"/>
  <c r="AS273" i="20" s="1"/>
  <c r="AS233" i="20"/>
  <c r="AS234" i="20"/>
  <c r="AS235" i="20"/>
  <c r="AS238" i="20"/>
  <c r="AS239" i="20"/>
  <c r="AS328" i="20" s="1"/>
  <c r="AS240" i="20"/>
  <c r="AS1175" i="10" s="1"/>
  <c r="AS244" i="20"/>
  <c r="AS1203" i="10" s="1"/>
  <c r="AS1208" i="10" s="1"/>
  <c r="AV230" i="20"/>
  <c r="AV830" i="20"/>
  <c r="AV798" i="20" s="1"/>
  <c r="AV232" i="20"/>
  <c r="AV1295" i="10" s="1"/>
  <c r="AV233" i="20"/>
  <c r="AV234" i="20"/>
  <c r="AV235" i="20"/>
  <c r="AV238" i="20"/>
  <c r="AV239" i="20"/>
  <c r="AV240" i="20"/>
  <c r="AV244" i="20"/>
  <c r="AW230" i="20"/>
  <c r="AW1282" i="10" s="1"/>
  <c r="AW830" i="20"/>
  <c r="AW798" i="20" s="1"/>
  <c r="AW231" i="20" s="1"/>
  <c r="AW232" i="20"/>
  <c r="AW233" i="20"/>
  <c r="AW234" i="20"/>
  <c r="AW235" i="20"/>
  <c r="AW238" i="20"/>
  <c r="AW327" i="20" s="1"/>
  <c r="AW239" i="20"/>
  <c r="AW328" i="20" s="1"/>
  <c r="AW240" i="20"/>
  <c r="AW244" i="20"/>
  <c r="AZ230" i="20"/>
  <c r="AZ272" i="20" s="1"/>
  <c r="AZ829" i="20"/>
  <c r="AZ837" i="20" s="1"/>
  <c r="AZ799" i="20"/>
  <c r="AZ232" i="20" s="1"/>
  <c r="AZ233" i="20"/>
  <c r="AZ234" i="20"/>
  <c r="AZ235" i="20"/>
  <c r="AZ238" i="20"/>
  <c r="AZ327" i="20" s="1"/>
  <c r="AZ239" i="20"/>
  <c r="AZ22" i="10" s="1"/>
  <c r="F13" i="41" s="1"/>
  <c r="F61" i="41" s="1"/>
  <c r="AZ807" i="20"/>
  <c r="AZ240" i="20" s="1"/>
  <c r="AZ244" i="20"/>
  <c r="BA230" i="20"/>
  <c r="BA829" i="20"/>
  <c r="BA830" i="20" s="1"/>
  <c r="BA799" i="20"/>
  <c r="BA820" i="20" s="1"/>
  <c r="BA233" i="20"/>
  <c r="BA234" i="20"/>
  <c r="BA235" i="20"/>
  <c r="BA238" i="20"/>
  <c r="BA327" i="20" s="1"/>
  <c r="BA239" i="20"/>
  <c r="BA22" i="10" s="1"/>
  <c r="G13" i="41" s="1"/>
  <c r="G61" i="41" s="1"/>
  <c r="BA807" i="20"/>
  <c r="BA240" i="20" s="1"/>
  <c r="BA244" i="20"/>
  <c r="BD230" i="20"/>
  <c r="BD828" i="20"/>
  <c r="BD298" i="20" s="1"/>
  <c r="BD829" i="20"/>
  <c r="BD799" i="20"/>
  <c r="BD232" i="20" s="1"/>
  <c r="BD233" i="20"/>
  <c r="BD234" i="20"/>
  <c r="BD235" i="20"/>
  <c r="BD238" i="20"/>
  <c r="BD327" i="20" s="1"/>
  <c r="BD239" i="20"/>
  <c r="BD328" i="20" s="1"/>
  <c r="BD240" i="20"/>
  <c r="BD1175" i="10" s="1"/>
  <c r="BD244" i="20"/>
  <c r="BE230" i="20"/>
  <c r="BE272" i="20" s="1"/>
  <c r="BE828" i="20"/>
  <c r="BH832" i="20" s="1"/>
  <c r="BE799" i="20"/>
  <c r="BE232" i="20" s="1"/>
  <c r="BE233" i="20"/>
  <c r="BE234" i="20"/>
  <c r="BE235" i="20"/>
  <c r="BE238" i="20"/>
  <c r="BE327" i="20" s="1"/>
  <c r="BE806" i="20"/>
  <c r="BE239" i="20" s="1"/>
  <c r="BE240" i="20"/>
  <c r="BE1175" i="10" s="1"/>
  <c r="BE244" i="20"/>
  <c r="BH230" i="20"/>
  <c r="BH272" i="20" s="1"/>
  <c r="BH298" i="20"/>
  <c r="BH299" i="20"/>
  <c r="BH799" i="20"/>
  <c r="BH286" i="20" s="1"/>
  <c r="BH233" i="20"/>
  <c r="BH308" i="20"/>
  <c r="BH309" i="20"/>
  <c r="BH508" i="10" s="1"/>
  <c r="BH310" i="20"/>
  <c r="BH311" i="20"/>
  <c r="BH530" i="10" s="1"/>
  <c r="BH312" i="20"/>
  <c r="BH541" i="10" s="1"/>
  <c r="BH313" i="20"/>
  <c r="BH314" i="20"/>
  <c r="BH315" i="20"/>
  <c r="BH574" i="10" s="1"/>
  <c r="BH316" i="20"/>
  <c r="BH585" i="10" s="1"/>
  <c r="BH317" i="20"/>
  <c r="BH596" i="10" s="1"/>
  <c r="BH318" i="20"/>
  <c r="BH319" i="20"/>
  <c r="BH629" i="10" s="1"/>
  <c r="BH320" i="20"/>
  <c r="BH321" i="20"/>
  <c r="BH235" i="20"/>
  <c r="BH238" i="20"/>
  <c r="BH239" i="20"/>
  <c r="BH240" i="20"/>
  <c r="BH45" i="10" s="1"/>
  <c r="BH244" i="20"/>
  <c r="BI230" i="20"/>
  <c r="BI272" i="20" s="1"/>
  <c r="BI298" i="20"/>
  <c r="BI299" i="20"/>
  <c r="BI799" i="20"/>
  <c r="BI286" i="20" s="1"/>
  <c r="BI233" i="20"/>
  <c r="BI308" i="20"/>
  <c r="BI309" i="20"/>
  <c r="BI508" i="10" s="1"/>
  <c r="BI310" i="20"/>
  <c r="BI311" i="20"/>
  <c r="BI530" i="10" s="1"/>
  <c r="BI312" i="20"/>
  <c r="BI541" i="10" s="1"/>
  <c r="BI313" i="20"/>
  <c r="BI314" i="20"/>
  <c r="BI563" i="10" s="1"/>
  <c r="BI315" i="20"/>
  <c r="BI574" i="10" s="1"/>
  <c r="BI316" i="20"/>
  <c r="BI585" i="10" s="1"/>
  <c r="BI317" i="20"/>
  <c r="BI596" i="10" s="1"/>
  <c r="BI318" i="20"/>
  <c r="BI319" i="20"/>
  <c r="BI629" i="10" s="1"/>
  <c r="BI320" i="20"/>
  <c r="BI618" i="10" s="1"/>
  <c r="BI321" i="20"/>
  <c r="BI640" i="10" s="1"/>
  <c r="BI235" i="20"/>
  <c r="BI238" i="20"/>
  <c r="BI327" i="20" s="1"/>
  <c r="BI239" i="20"/>
  <c r="BI328" i="20" s="1"/>
  <c r="BI240" i="20"/>
  <c r="BI45" i="10" s="1"/>
  <c r="BI244" i="20"/>
  <c r="BL230" i="20"/>
  <c r="BL272" i="20" s="1"/>
  <c r="BL298" i="20"/>
  <c r="BL303" i="20" s="1"/>
  <c r="BL299" i="20"/>
  <c r="BL304" i="20" s="1"/>
  <c r="BL799" i="20"/>
  <c r="BL286" i="20" s="1"/>
  <c r="BL233" i="20"/>
  <c r="BL308" i="20"/>
  <c r="BL309" i="20"/>
  <c r="BL508" i="10" s="1"/>
  <c r="BL310" i="20"/>
  <c r="BL311" i="20"/>
  <c r="BL530" i="10" s="1"/>
  <c r="BL312" i="20"/>
  <c r="BL541" i="10" s="1"/>
  <c r="BL313" i="20"/>
  <c r="BL314" i="20"/>
  <c r="BL315" i="20"/>
  <c r="BL574" i="10" s="1"/>
  <c r="BL316" i="20"/>
  <c r="BL585" i="10" s="1"/>
  <c r="BL317" i="20"/>
  <c r="BL596" i="10" s="1"/>
  <c r="BL318" i="20"/>
  <c r="BL319" i="20"/>
  <c r="BL320" i="20"/>
  <c r="BL321" i="20"/>
  <c r="BL640" i="10" s="1"/>
  <c r="BL235" i="20"/>
  <c r="BL238" i="20"/>
  <c r="BL327" i="20" s="1"/>
  <c r="BL239" i="20"/>
  <c r="BL328" i="20" s="1"/>
  <c r="BL240" i="20"/>
  <c r="BL45" i="10" s="1"/>
  <c r="BL244" i="20"/>
  <c r="BM230" i="20"/>
  <c r="BM272" i="20" s="1"/>
  <c r="BM298" i="20"/>
  <c r="BM299" i="20"/>
  <c r="BM286" i="20"/>
  <c r="BM233" i="20"/>
  <c r="BM786" i="20" s="1"/>
  <c r="BM308" i="20"/>
  <c r="BM309" i="20"/>
  <c r="BM508" i="10" s="1"/>
  <c r="BM310" i="20"/>
  <c r="BM311" i="20"/>
  <c r="BM530" i="10" s="1"/>
  <c r="BM312" i="20"/>
  <c r="BM541" i="10" s="1"/>
  <c r="BM313" i="20"/>
  <c r="BM314" i="20"/>
  <c r="BM563" i="10" s="1"/>
  <c r="BM315" i="20"/>
  <c r="BM316" i="20"/>
  <c r="BM585" i="10" s="1"/>
  <c r="BM317" i="20"/>
  <c r="BM596" i="10" s="1"/>
  <c r="BM318" i="20"/>
  <c r="BM319" i="20"/>
  <c r="BM629" i="10" s="1"/>
  <c r="BM320" i="20"/>
  <c r="BM618" i="10" s="1"/>
  <c r="BM321" i="20"/>
  <c r="BM640" i="10" s="1"/>
  <c r="BM235" i="20"/>
  <c r="BM788" i="20" s="1"/>
  <c r="BM238" i="20"/>
  <c r="BM327" i="20" s="1"/>
  <c r="BM239" i="20"/>
  <c r="BM328" i="20" s="1"/>
  <c r="BM240" i="20"/>
  <c r="BM45" i="10" s="1"/>
  <c r="BM244" i="20"/>
  <c r="BP230" i="20"/>
  <c r="BP272" i="20" s="1"/>
  <c r="BP298" i="20"/>
  <c r="BP299" i="20"/>
  <c r="BP286" i="20"/>
  <c r="BP233" i="20"/>
  <c r="BP308" i="20"/>
  <c r="BP309" i="20"/>
  <c r="BP310" i="20"/>
  <c r="BP311" i="20"/>
  <c r="BP312" i="20"/>
  <c r="BP541" i="10" s="1"/>
  <c r="BP313" i="20"/>
  <c r="BP314" i="20"/>
  <c r="BP315" i="20"/>
  <c r="BP316" i="20"/>
  <c r="BP585" i="10" s="1"/>
  <c r="BP317" i="20"/>
  <c r="BP596" i="10" s="1"/>
  <c r="BP318" i="20"/>
  <c r="BP319" i="20"/>
  <c r="BP629" i="10" s="1"/>
  <c r="BP320" i="20"/>
  <c r="BP321" i="20"/>
  <c r="BP640" i="10" s="1"/>
  <c r="BP235" i="20"/>
  <c r="BP238" i="20"/>
  <c r="BP239" i="20"/>
  <c r="BP240" i="20"/>
  <c r="BP329" i="20" s="1"/>
  <c r="BP244" i="20"/>
  <c r="BQ230" i="20"/>
  <c r="BQ272" i="20" s="1"/>
  <c r="BQ298" i="20"/>
  <c r="BQ299" i="20"/>
  <c r="BQ286" i="20"/>
  <c r="BQ294" i="20" s="1"/>
  <c r="BQ233" i="20"/>
  <c r="BQ786" i="20" s="1"/>
  <c r="BQ308" i="20"/>
  <c r="BQ309" i="20"/>
  <c r="BQ508" i="10" s="1"/>
  <c r="BQ310" i="20"/>
  <c r="BQ311" i="20"/>
  <c r="BQ530" i="10" s="1"/>
  <c r="BQ312" i="20"/>
  <c r="BQ541" i="10" s="1"/>
  <c r="BQ313" i="20"/>
  <c r="BQ314" i="20"/>
  <c r="BQ563" i="10" s="1"/>
  <c r="BQ315" i="20"/>
  <c r="BQ574" i="10" s="1"/>
  <c r="BQ316" i="20"/>
  <c r="BQ585" i="10" s="1"/>
  <c r="BQ317" i="20"/>
  <c r="BQ596" i="10" s="1"/>
  <c r="BQ318" i="20"/>
  <c r="BQ319" i="20"/>
  <c r="BQ629" i="10" s="1"/>
  <c r="BQ320" i="20"/>
  <c r="BQ618" i="10" s="1"/>
  <c r="BQ321" i="20"/>
  <c r="BQ640" i="10" s="1"/>
  <c r="BQ235" i="20"/>
  <c r="BQ788" i="20" s="1"/>
  <c r="BQ238" i="20"/>
  <c r="BQ327" i="20" s="1"/>
  <c r="BQ239" i="20"/>
  <c r="BQ328" i="20" s="1"/>
  <c r="BQ240" i="20"/>
  <c r="BQ244" i="20"/>
  <c r="BT230" i="20"/>
  <c r="BT272" i="20" s="1"/>
  <c r="BT298" i="20"/>
  <c r="BT303" i="20" s="1"/>
  <c r="BT829" i="20"/>
  <c r="BT299" i="20" s="1"/>
  <c r="BT286" i="20"/>
  <c r="BT233" i="20"/>
  <c r="BT308" i="20"/>
  <c r="BT309" i="20"/>
  <c r="BT508" i="10" s="1"/>
  <c r="BT310" i="20"/>
  <c r="BT311" i="20"/>
  <c r="BT530" i="10" s="1"/>
  <c r="BT312" i="20"/>
  <c r="BT541" i="10" s="1"/>
  <c r="BT313" i="20"/>
  <c r="BT314" i="20"/>
  <c r="BT315" i="20"/>
  <c r="BT316" i="20"/>
  <c r="BT585" i="10" s="1"/>
  <c r="BT317" i="20"/>
  <c r="BT596" i="10" s="1"/>
  <c r="BT318" i="20"/>
  <c r="BT319" i="20"/>
  <c r="BT320" i="20"/>
  <c r="BT321" i="20"/>
  <c r="BT640" i="10" s="1"/>
  <c r="BT235" i="20"/>
  <c r="BT238" i="20"/>
  <c r="BT327" i="20" s="1"/>
  <c r="BT239" i="20"/>
  <c r="BT328" i="20" s="1"/>
  <c r="BT240" i="20"/>
  <c r="BT1175" i="10" s="1"/>
  <c r="BT244" i="20"/>
  <c r="BU230" i="20"/>
  <c r="BU272" i="20" s="1"/>
  <c r="BU298" i="20"/>
  <c r="BY303" i="20" s="1"/>
  <c r="BU299" i="20"/>
  <c r="BY304" i="20" s="1"/>
  <c r="BU286" i="20"/>
  <c r="BU287" i="20" s="1"/>
  <c r="BU232" i="20" s="1"/>
  <c r="BU233" i="20"/>
  <c r="BU786" i="20" s="1"/>
  <c r="BU308" i="20"/>
  <c r="BU309" i="20"/>
  <c r="BU508" i="10" s="1"/>
  <c r="BU310" i="20"/>
  <c r="BU311" i="20"/>
  <c r="BU530" i="10" s="1"/>
  <c r="BU312" i="20"/>
  <c r="BU541" i="10" s="1"/>
  <c r="BU313" i="20"/>
  <c r="BU314" i="20"/>
  <c r="BU563" i="10" s="1"/>
  <c r="BU315" i="20"/>
  <c r="BU574" i="10" s="1"/>
  <c r="BU316" i="20"/>
  <c r="BU585" i="10" s="1"/>
  <c r="BU317" i="20"/>
  <c r="BU596" i="10" s="1"/>
  <c r="BU318" i="20"/>
  <c r="BU319" i="20"/>
  <c r="BU629" i="10" s="1"/>
  <c r="BU320" i="20"/>
  <c r="BU618" i="10" s="1"/>
  <c r="BU321" i="20"/>
  <c r="BU640" i="10" s="1"/>
  <c r="BU235" i="20"/>
  <c r="BU788" i="20" s="1"/>
  <c r="BU238" i="20"/>
  <c r="BU327" i="20" s="1"/>
  <c r="BU239" i="20"/>
  <c r="BU328" i="20" s="1"/>
  <c r="BU240" i="20"/>
  <c r="BU244" i="20"/>
  <c r="BX301" i="20"/>
  <c r="BX231" i="20" s="1"/>
  <c r="BX287" i="20"/>
  <c r="BX232" i="20" s="1"/>
  <c r="BX273" i="20" s="1"/>
  <c r="BX322" i="20"/>
  <c r="BX234" i="20" s="1"/>
  <c r="BX241" i="20"/>
  <c r="BY301" i="20"/>
  <c r="BY287" i="20"/>
  <c r="BY322" i="20"/>
  <c r="BY234" i="20" s="1"/>
  <c r="BY241" i="20"/>
  <c r="CB301" i="20"/>
  <c r="CB231" i="20" s="1"/>
  <c r="CB287" i="20"/>
  <c r="CB232" i="20" s="1"/>
  <c r="CB273" i="20" s="1"/>
  <c r="CB322" i="20"/>
  <c r="CB234" i="20" s="1"/>
  <c r="CB241" i="20"/>
  <c r="CC301" i="20"/>
  <c r="CC287" i="20"/>
  <c r="CC232" i="20" s="1"/>
  <c r="CC322" i="20"/>
  <c r="CC234" i="20" s="1"/>
  <c r="CC241" i="20"/>
  <c r="CF299" i="20"/>
  <c r="CF301" i="20" s="1"/>
  <c r="CF287" i="20"/>
  <c r="CF322" i="20"/>
  <c r="CF234" i="20" s="1"/>
  <c r="CF241" i="20"/>
  <c r="CG299" i="20"/>
  <c r="CG301" i="20" s="1"/>
  <c r="CG260" i="20" s="1"/>
  <c r="CG287" i="20"/>
  <c r="CG322" i="20"/>
  <c r="CG234" i="20" s="1"/>
  <c r="CG241" i="20"/>
  <c r="CJ298" i="20"/>
  <c r="CJ303" i="20" s="1"/>
  <c r="CJ299" i="20"/>
  <c r="CJ286" i="20"/>
  <c r="CN294" i="20" s="1"/>
  <c r="CJ308" i="20"/>
  <c r="CJ318" i="20"/>
  <c r="CJ321" i="20"/>
  <c r="CJ238" i="20"/>
  <c r="CJ239" i="20"/>
  <c r="CJ240" i="20"/>
  <c r="CK298" i="20"/>
  <c r="CK299" i="20"/>
  <c r="CK286" i="20"/>
  <c r="CO294" i="20" s="1"/>
  <c r="CK233" i="20"/>
  <c r="CL233" i="20" s="1"/>
  <c r="CK308" i="20"/>
  <c r="CK318" i="20"/>
  <c r="CK324" i="20" s="1"/>
  <c r="CK321" i="20"/>
  <c r="CK640" i="10" s="1"/>
  <c r="CK235" i="20"/>
  <c r="CL235" i="20" s="1"/>
  <c r="CK238" i="20"/>
  <c r="CK327" i="20" s="1"/>
  <c r="CK239" i="20"/>
  <c r="CK240" i="20"/>
  <c r="CN300" i="20"/>
  <c r="CN287" i="20"/>
  <c r="CN322" i="20"/>
  <c r="CN234" i="20" s="1"/>
  <c r="CN241" i="20"/>
  <c r="CO299" i="20"/>
  <c r="CO287" i="20"/>
  <c r="CO322" i="20"/>
  <c r="CO234" i="20" s="1"/>
  <c r="CO241" i="20"/>
  <c r="CR299" i="20"/>
  <c r="CR287" i="20"/>
  <c r="CR322" i="20"/>
  <c r="CR234" i="20" s="1"/>
  <c r="CR241" i="20"/>
  <c r="CS299" i="20"/>
  <c r="CS301" i="20" s="1"/>
  <c r="CS287" i="20"/>
  <c r="CS322" i="20"/>
  <c r="CS234" i="20" s="1"/>
  <c r="CS241" i="20"/>
  <c r="CZ304" i="20"/>
  <c r="CV287" i="20"/>
  <c r="CV322" i="20"/>
  <c r="CV234" i="20" s="1"/>
  <c r="CV241" i="20"/>
  <c r="CW299" i="20"/>
  <c r="CW287" i="20"/>
  <c r="CW322" i="20"/>
  <c r="CW234" i="20" s="1"/>
  <c r="CW241" i="20"/>
  <c r="CZ301" i="20"/>
  <c r="DD305" i="20" s="1"/>
  <c r="CZ287" i="20"/>
  <c r="DD295" i="20" s="1"/>
  <c r="CZ322" i="20"/>
  <c r="CZ234" i="20" s="1"/>
  <c r="CZ241" i="20"/>
  <c r="DD256" i="20" s="1"/>
  <c r="DA301" i="20"/>
  <c r="DA287" i="20"/>
  <c r="DE295" i="20" s="1"/>
  <c r="DA322" i="20"/>
  <c r="DA234" i="20" s="1"/>
  <c r="CZ272" i="20"/>
  <c r="DL282" i="20"/>
  <c r="CZ283" i="20"/>
  <c r="DD291" i="20" s="1"/>
  <c r="DL286" i="20"/>
  <c r="DP286" i="20" s="1"/>
  <c r="CZ327" i="20"/>
  <c r="DD332" i="20" s="1"/>
  <c r="CZ328" i="20"/>
  <c r="DD333" i="20" s="1"/>
  <c r="CZ329" i="20"/>
  <c r="DD334" i="20" s="1"/>
  <c r="DA272" i="20"/>
  <c r="DD276" i="20" s="1"/>
  <c r="DI282" i="20"/>
  <c r="DI285" i="20"/>
  <c r="DM285" i="20" s="1"/>
  <c r="DA327" i="20"/>
  <c r="DE332" i="20" s="1"/>
  <c r="DA328" i="20"/>
  <c r="DE333" i="20" s="1"/>
  <c r="DA329" i="20"/>
  <c r="DE334" i="20" s="1"/>
  <c r="DI309" i="20"/>
  <c r="DI310" i="20"/>
  <c r="DI311" i="20"/>
  <c r="DI312" i="20"/>
  <c r="DI314" i="20"/>
  <c r="DI315" i="20"/>
  <c r="DI316" i="20"/>
  <c r="DI317" i="20"/>
  <c r="DI319" i="20"/>
  <c r="DI320" i="20"/>
  <c r="DI244" i="20"/>
  <c r="DL309" i="20"/>
  <c r="DL310" i="20"/>
  <c r="DL311" i="20"/>
  <c r="DL312" i="20"/>
  <c r="DL314" i="20"/>
  <c r="DL315" i="20"/>
  <c r="DL316" i="20"/>
  <c r="DL317" i="20"/>
  <c r="DL319" i="20"/>
  <c r="DL320" i="20"/>
  <c r="DL244" i="20"/>
  <c r="DM309" i="20"/>
  <c r="DM310" i="20"/>
  <c r="DM311" i="20"/>
  <c r="DM312" i="20"/>
  <c r="DM314" i="20"/>
  <c r="DM315" i="20"/>
  <c r="DM316" i="20"/>
  <c r="DM317" i="20"/>
  <c r="DM319" i="20"/>
  <c r="DM320" i="20"/>
  <c r="DM244" i="20"/>
  <c r="DM437" i="42" s="1"/>
  <c r="AV400" i="20"/>
  <c r="AV404" i="20"/>
  <c r="AV437" i="20"/>
  <c r="AV346" i="20" s="1"/>
  <c r="AV353" i="20"/>
  <c r="AW400" i="20"/>
  <c r="AW404" i="20"/>
  <c r="AW437" i="20"/>
  <c r="AW346" i="20" s="1"/>
  <c r="AW443" i="10" s="1"/>
  <c r="AW353" i="20"/>
  <c r="AZ400" i="20"/>
  <c r="AZ404" i="20"/>
  <c r="AZ429" i="20"/>
  <c r="AZ353" i="20"/>
  <c r="BA400" i="20"/>
  <c r="BA404" i="20"/>
  <c r="BA437" i="20"/>
  <c r="BA353" i="20"/>
  <c r="BD401" i="20"/>
  <c r="BD402" i="20"/>
  <c r="BD404" i="20"/>
  <c r="BD344" i="20"/>
  <c r="BD447" i="20" s="1"/>
  <c r="BD437" i="20"/>
  <c r="BD346" i="20" s="1"/>
  <c r="BD350" i="20"/>
  <c r="BF350" i="20" s="1"/>
  <c r="BF454" i="20" s="1"/>
  <c r="BD352" i="20"/>
  <c r="BD456" i="20" s="1"/>
  <c r="BE401" i="20"/>
  <c r="BE402" i="20"/>
  <c r="BE404" i="20"/>
  <c r="BE344" i="20"/>
  <c r="BE447" i="20" s="1"/>
  <c r="BE437" i="20"/>
  <c r="BE353" i="20"/>
  <c r="BH400" i="20"/>
  <c r="BH404" i="20"/>
  <c r="BH410" i="20"/>
  <c r="BH442" i="20" s="1"/>
  <c r="BH344" i="20"/>
  <c r="BH447" i="20" s="1"/>
  <c r="BH437" i="20"/>
  <c r="BH346" i="20" s="1"/>
  <c r="BH353" i="20"/>
  <c r="BI400" i="20"/>
  <c r="BI404" i="20"/>
  <c r="BI410" i="20"/>
  <c r="BI344" i="20"/>
  <c r="BI437" i="20"/>
  <c r="BI353" i="20"/>
  <c r="BL400" i="20"/>
  <c r="BL404" i="20"/>
  <c r="BL410" i="20"/>
  <c r="BL344" i="20"/>
  <c r="BN344" i="20" s="1"/>
  <c r="BL437" i="20"/>
  <c r="BL346" i="20" s="1"/>
  <c r="BL353" i="20"/>
  <c r="BM400" i="20"/>
  <c r="BM404" i="20"/>
  <c r="BM410" i="20"/>
  <c r="BM437" i="20"/>
  <c r="BM346" i="20" s="1"/>
  <c r="BM353" i="20"/>
  <c r="BP400" i="20"/>
  <c r="BP404" i="20"/>
  <c r="BP420" i="20" s="1"/>
  <c r="BP410" i="20"/>
  <c r="BP442" i="20" s="1"/>
  <c r="BP437" i="20"/>
  <c r="BP346" i="20" s="1"/>
  <c r="BP353" i="20"/>
  <c r="BQ400" i="20"/>
  <c r="BQ404" i="20"/>
  <c r="BQ420" i="20" s="1"/>
  <c r="BQ437" i="20"/>
  <c r="BQ346" i="20" s="1"/>
  <c r="BQ353" i="20"/>
  <c r="BT400" i="20"/>
  <c r="BT404" i="20"/>
  <c r="BT437" i="20"/>
  <c r="BT353" i="20"/>
  <c r="BU400" i="20"/>
  <c r="BU404" i="20"/>
  <c r="BU420" i="20" s="1"/>
  <c r="BU437" i="20"/>
  <c r="BU346" i="20" s="1"/>
  <c r="BU353" i="20"/>
  <c r="BX400" i="20"/>
  <c r="BX404" i="20"/>
  <c r="BX420" i="20" s="1"/>
  <c r="BX437" i="20"/>
  <c r="BX346" i="20" s="1"/>
  <c r="BX353" i="20"/>
  <c r="BY400" i="20"/>
  <c r="BY404" i="20"/>
  <c r="BY344" i="20"/>
  <c r="BY396" i="20" s="1"/>
  <c r="BY345" i="20"/>
  <c r="BY428" i="20"/>
  <c r="BY347" i="20"/>
  <c r="BZ347" i="20" s="1"/>
  <c r="BY353" i="20"/>
  <c r="CB400" i="20"/>
  <c r="CB404" i="20"/>
  <c r="CB420" i="20" s="1"/>
  <c r="CB437" i="20"/>
  <c r="CB346" i="20" s="1"/>
  <c r="CB353" i="20"/>
  <c r="CC400" i="20"/>
  <c r="CC404" i="20"/>
  <c r="CC420" i="20" s="1"/>
  <c r="CC437" i="20"/>
  <c r="CC346" i="20" s="1"/>
  <c r="CC353" i="20"/>
  <c r="CF400" i="20"/>
  <c r="CF404" i="20"/>
  <c r="CF437" i="20"/>
  <c r="CF346" i="20" s="1"/>
  <c r="CF353" i="20"/>
  <c r="CG400" i="20"/>
  <c r="CG404" i="20"/>
  <c r="CG420" i="20" s="1"/>
  <c r="CG437" i="20"/>
  <c r="CG346" i="20" s="1"/>
  <c r="CG353" i="20"/>
  <c r="CJ400" i="20"/>
  <c r="CJ404" i="20"/>
  <c r="CJ420" i="20" s="1"/>
  <c r="CJ437" i="20"/>
  <c r="CJ353" i="20"/>
  <c r="CK400" i="20"/>
  <c r="CK404" i="20"/>
  <c r="CK437" i="20"/>
  <c r="CK346" i="20" s="1"/>
  <c r="CK353" i="20"/>
  <c r="CN400" i="20"/>
  <c r="CN404" i="20"/>
  <c r="CN420" i="20" s="1"/>
  <c r="CN437" i="20"/>
  <c r="CN353" i="20"/>
  <c r="CO400" i="20"/>
  <c r="CO404" i="20"/>
  <c r="CO437" i="20"/>
  <c r="CO353" i="20"/>
  <c r="CR400" i="20"/>
  <c r="CR404" i="20"/>
  <c r="CR437" i="20"/>
  <c r="CR346" i="20" s="1"/>
  <c r="CR353" i="20"/>
  <c r="CS400" i="20"/>
  <c r="CS404" i="20"/>
  <c r="CS420" i="20" s="1"/>
  <c r="CS437" i="20"/>
  <c r="CS346" i="20" s="1"/>
  <c r="CS353" i="20"/>
  <c r="CV400" i="20"/>
  <c r="CV404" i="20"/>
  <c r="CV420" i="20" s="1"/>
  <c r="CV437" i="20"/>
  <c r="CV346" i="20" s="1"/>
  <c r="CV353" i="20"/>
  <c r="CW400" i="20"/>
  <c r="CW404" i="20"/>
  <c r="CW420" i="20" s="1"/>
  <c r="CW437" i="20"/>
  <c r="CW346" i="20" s="1"/>
  <c r="CW353" i="20"/>
  <c r="CZ400" i="20"/>
  <c r="CZ404" i="20"/>
  <c r="DB404" i="20" s="1"/>
  <c r="CZ437" i="20"/>
  <c r="CZ346" i="20" s="1"/>
  <c r="CZ353" i="20"/>
  <c r="DD365" i="20" s="1"/>
  <c r="DA400" i="20"/>
  <c r="DD414" i="20" s="1"/>
  <c r="DA437" i="20"/>
  <c r="DA346" i="20" s="1"/>
  <c r="DA396" i="20"/>
  <c r="CZ454" i="20"/>
  <c r="DD459" i="20" s="1"/>
  <c r="CZ456" i="20"/>
  <c r="DD461" i="20" s="1"/>
  <c r="DA454" i="20"/>
  <c r="DA456" i="20"/>
  <c r="DE461" i="20" s="1"/>
  <c r="DI342" i="20"/>
  <c r="DI446" i="20" s="1"/>
  <c r="DI424" i="20"/>
  <c r="DI425" i="20"/>
  <c r="DI426" i="20"/>
  <c r="DI427" i="20"/>
  <c r="DI429" i="20"/>
  <c r="DI430" i="20"/>
  <c r="DI431" i="20"/>
  <c r="DI432" i="20"/>
  <c r="DI434" i="20"/>
  <c r="DI435" i="20"/>
  <c r="DI355" i="20"/>
  <c r="DL342" i="20"/>
  <c r="DL446" i="20" s="1"/>
  <c r="DL424" i="20"/>
  <c r="DL425" i="20"/>
  <c r="DL426" i="20"/>
  <c r="DL427" i="20"/>
  <c r="DL429" i="20"/>
  <c r="DL430" i="20"/>
  <c r="DL431" i="20"/>
  <c r="DL432" i="20"/>
  <c r="DL434" i="20"/>
  <c r="DL435" i="20"/>
  <c r="DL355" i="20"/>
  <c r="DM342" i="20"/>
  <c r="DM446" i="20" s="1"/>
  <c r="DM424" i="20"/>
  <c r="DM425" i="20"/>
  <c r="DM426" i="20"/>
  <c r="DM427" i="20"/>
  <c r="DM429" i="20"/>
  <c r="DM430" i="20"/>
  <c r="DM431" i="20"/>
  <c r="DM432" i="20"/>
  <c r="DM434" i="20"/>
  <c r="DM435" i="20"/>
  <c r="DM355" i="20"/>
  <c r="AV525" i="20"/>
  <c r="AV473" i="20" s="1"/>
  <c r="AV480" i="20"/>
  <c r="AW525" i="20"/>
  <c r="AW473" i="20" s="1"/>
  <c r="AW445" i="10" s="1"/>
  <c r="AW480" i="20"/>
  <c r="AZ525" i="20"/>
  <c r="AZ473" i="20" s="1"/>
  <c r="AZ480" i="20"/>
  <c r="BA525" i="20"/>
  <c r="BA473" i="20" s="1"/>
  <c r="BA445" i="10" s="1"/>
  <c r="BA480" i="20"/>
  <c r="BD470" i="20"/>
  <c r="BF470" i="20" s="1"/>
  <c r="BF507" i="20" s="1"/>
  <c r="BF115" i="10" s="1"/>
  <c r="BD525" i="20"/>
  <c r="BD473" i="20" s="1"/>
  <c r="BD445" i="10" s="1"/>
  <c r="BD477" i="20"/>
  <c r="BF477" i="20" s="1"/>
  <c r="BD479" i="20"/>
  <c r="BD533" i="20" s="1"/>
  <c r="BE525" i="20"/>
  <c r="BE473" i="20" s="1"/>
  <c r="BE480" i="20"/>
  <c r="BH471" i="20"/>
  <c r="BH525" i="20"/>
  <c r="BH473" i="20" s="1"/>
  <c r="BH480" i="20"/>
  <c r="BI471" i="20"/>
  <c r="BI525" i="20"/>
  <c r="BI473" i="20" s="1"/>
  <c r="BI480" i="20"/>
  <c r="BL471" i="20"/>
  <c r="BL77" i="10" s="1"/>
  <c r="BL524" i="20"/>
  <c r="BL641" i="10" s="1"/>
  <c r="BL480" i="20"/>
  <c r="BM524" i="20"/>
  <c r="BM641" i="10" s="1"/>
  <c r="BM480" i="20"/>
  <c r="BP524" i="20"/>
  <c r="BP492" i="20" s="1"/>
  <c r="BP480" i="20"/>
  <c r="BQ524" i="20"/>
  <c r="BQ641" i="10" s="1"/>
  <c r="BQ480" i="20"/>
  <c r="BT525" i="20"/>
  <c r="BT473" i="20" s="1"/>
  <c r="BT480" i="20"/>
  <c r="BU525" i="20"/>
  <c r="BU473" i="20" s="1"/>
  <c r="BU445" i="10" s="1"/>
  <c r="BU480" i="20"/>
  <c r="BX525" i="20"/>
  <c r="BX473" i="20" s="1"/>
  <c r="BX480" i="20"/>
  <c r="BY469" i="20"/>
  <c r="BY783" i="20" s="1"/>
  <c r="BY470" i="20"/>
  <c r="BZ470" i="20" s="1"/>
  <c r="BZ507" i="20" s="1"/>
  <c r="BZ115" i="10" s="1"/>
  <c r="BY525" i="20"/>
  <c r="BY473" i="20" s="1"/>
  <c r="BY474" i="20"/>
  <c r="BY673" i="10" s="1"/>
  <c r="BY480" i="20"/>
  <c r="CB525" i="20"/>
  <c r="CB473" i="20" s="1"/>
  <c r="CB445" i="10" s="1"/>
  <c r="CB480" i="20"/>
  <c r="CC525" i="20"/>
  <c r="CC473" i="20" s="1"/>
  <c r="CC480" i="20"/>
  <c r="CF13" i="20"/>
  <c r="AO23" i="51" s="1"/>
  <c r="CG13" i="20"/>
  <c r="AP23" i="51" s="1"/>
  <c r="CH13" i="20"/>
  <c r="CJ13" i="20"/>
  <c r="CK13" i="20"/>
  <c r="CL13" i="20"/>
  <c r="CN13" i="20"/>
  <c r="CO13" i="20"/>
  <c r="CP13" i="20"/>
  <c r="CR13" i="20"/>
  <c r="CS13" i="20"/>
  <c r="CT13" i="20"/>
  <c r="CV13" i="20"/>
  <c r="CW13" i="20"/>
  <c r="CX13" i="20"/>
  <c r="CZ13" i="20"/>
  <c r="DA13" i="20"/>
  <c r="DB13" i="20"/>
  <c r="DI13" i="20"/>
  <c r="DJ13" i="20"/>
  <c r="DL13" i="20"/>
  <c r="DM13" i="20"/>
  <c r="DN13" i="20"/>
  <c r="AV625" i="20"/>
  <c r="AV141" i="10" s="1"/>
  <c r="AV646" i="20"/>
  <c r="AV548" i="20" s="1"/>
  <c r="AV555" i="20"/>
  <c r="AW625" i="20"/>
  <c r="AW141" i="10" s="1"/>
  <c r="AW646" i="20"/>
  <c r="AW548" i="20" s="1"/>
  <c r="AW446" i="10" s="1"/>
  <c r="AW555" i="20"/>
  <c r="AZ624" i="20"/>
  <c r="AZ140" i="10" s="1"/>
  <c r="AZ625" i="20"/>
  <c r="AZ141" i="10" s="1"/>
  <c r="AZ646" i="20"/>
  <c r="AZ548" i="20" s="1"/>
  <c r="AZ552" i="20"/>
  <c r="AZ555" i="20" s="1"/>
  <c r="BA624" i="20"/>
  <c r="BA140" i="10" s="1"/>
  <c r="BA625" i="20"/>
  <c r="BA141" i="10" s="1"/>
  <c r="BA646" i="20"/>
  <c r="BA548" i="20" s="1"/>
  <c r="BA446" i="10" s="1"/>
  <c r="BA552" i="20"/>
  <c r="BA555" i="20" s="1"/>
  <c r="BD621" i="20"/>
  <c r="BF621" i="20" s="1"/>
  <c r="BD625" i="20"/>
  <c r="BD546" i="20"/>
  <c r="BD78" i="10" s="1"/>
  <c r="BD646" i="20"/>
  <c r="BD548" i="20" s="1"/>
  <c r="BD446" i="10" s="1"/>
  <c r="BD552" i="20"/>
  <c r="BD651" i="20" s="1"/>
  <c r="BD554" i="20"/>
  <c r="BD1177" i="10" s="1"/>
  <c r="BE625" i="20"/>
  <c r="BE546" i="20"/>
  <c r="BE78" i="10" s="1"/>
  <c r="BE646" i="20"/>
  <c r="BE548" i="20" s="1"/>
  <c r="BE552" i="20"/>
  <c r="BE555" i="20" s="1"/>
  <c r="BH625" i="20"/>
  <c r="BH627" i="20" s="1"/>
  <c r="BH546" i="20"/>
  <c r="BH78" i="10" s="1"/>
  <c r="BH646" i="20"/>
  <c r="BH548" i="20" s="1"/>
  <c r="BH555" i="20"/>
  <c r="BI625" i="20"/>
  <c r="BI627" i="20" s="1"/>
  <c r="BI545" i="20" s="1"/>
  <c r="BI546" i="20"/>
  <c r="BI78" i="10" s="1"/>
  <c r="BI646" i="20"/>
  <c r="BI548" i="20" s="1"/>
  <c r="BI446" i="10" s="1"/>
  <c r="BI555" i="20"/>
  <c r="BL625" i="20"/>
  <c r="BL627" i="20" s="1"/>
  <c r="BL546" i="20"/>
  <c r="BL78" i="10" s="1"/>
  <c r="BL645" i="20"/>
  <c r="BL642" i="10" s="1"/>
  <c r="BL555" i="20"/>
  <c r="BM625" i="20"/>
  <c r="BM627" i="20" s="1"/>
  <c r="BM646" i="20"/>
  <c r="BM548" i="20" s="1"/>
  <c r="BM446" i="10" s="1"/>
  <c r="BM555" i="20"/>
  <c r="BP627" i="20"/>
  <c r="BP545" i="20" s="1"/>
  <c r="BP646" i="20"/>
  <c r="BP548" i="20" s="1"/>
  <c r="BP555" i="20"/>
  <c r="BQ625" i="20"/>
  <c r="BQ627" i="20" s="1"/>
  <c r="BQ545" i="20" s="1"/>
  <c r="BQ646" i="20"/>
  <c r="BQ548" i="20" s="1"/>
  <c r="BQ446" i="10" s="1"/>
  <c r="BQ555" i="20"/>
  <c r="BT625" i="20"/>
  <c r="BT627" i="20" s="1"/>
  <c r="BT545" i="20" s="1"/>
  <c r="BT646" i="20"/>
  <c r="BT548" i="20" s="1"/>
  <c r="BT554" i="20"/>
  <c r="BT653" i="20" s="1"/>
  <c r="BU625" i="20"/>
  <c r="BU627" i="20" s="1"/>
  <c r="BU646" i="20"/>
  <c r="BU548" i="20" s="1"/>
  <c r="BU554" i="20"/>
  <c r="BX608" i="20"/>
  <c r="BX646" i="20"/>
  <c r="BX548" i="20" s="1"/>
  <c r="BX554" i="20"/>
  <c r="BY608" i="20"/>
  <c r="BY627" i="20" s="1"/>
  <c r="BY646" i="20"/>
  <c r="BY548" i="20" s="1"/>
  <c r="BY554" i="20"/>
  <c r="BY653" i="20" s="1"/>
  <c r="CB608" i="20"/>
  <c r="CB627" i="20" s="1"/>
  <c r="CB545" i="20" s="1"/>
  <c r="CB646" i="20"/>
  <c r="CB548" i="20" s="1"/>
  <c r="CB554" i="20"/>
  <c r="CB653" i="20" s="1"/>
  <c r="CC608" i="20"/>
  <c r="CC646" i="20"/>
  <c r="CC548" i="20" s="1"/>
  <c r="CC554" i="20"/>
  <c r="CC653" i="20" s="1"/>
  <c r="CF608" i="20"/>
  <c r="CF627" i="20" s="1"/>
  <c r="CF545" i="20" s="1"/>
  <c r="CF646" i="20"/>
  <c r="CF548" i="20" s="1"/>
  <c r="CF554" i="20"/>
  <c r="CF653" i="20" s="1"/>
  <c r="CG608" i="20"/>
  <c r="CG627" i="20" s="1"/>
  <c r="CG646" i="20"/>
  <c r="CG548" i="20" s="1"/>
  <c r="CG554" i="20"/>
  <c r="CG653" i="20" s="1"/>
  <c r="CJ608" i="20"/>
  <c r="CJ627" i="20" s="1"/>
  <c r="CJ545" i="20" s="1"/>
  <c r="CJ646" i="20"/>
  <c r="CJ548" i="20" s="1"/>
  <c r="CJ554" i="20"/>
  <c r="CK608" i="20"/>
  <c r="CK646" i="20"/>
  <c r="CK548" i="20" s="1"/>
  <c r="CK554" i="20"/>
  <c r="CN608" i="20"/>
  <c r="CN627" i="20" s="1"/>
  <c r="CN545" i="20" s="1"/>
  <c r="CN646" i="20"/>
  <c r="CN548" i="20" s="1"/>
  <c r="CN554" i="20"/>
  <c r="CN653" i="20" s="1"/>
  <c r="CO608" i="20"/>
  <c r="CO627" i="20" s="1"/>
  <c r="CO646" i="20"/>
  <c r="CO548" i="20" s="1"/>
  <c r="CO554" i="20"/>
  <c r="CO653" i="20" s="1"/>
  <c r="CR608" i="20"/>
  <c r="CR627" i="20" s="1"/>
  <c r="CR545" i="20" s="1"/>
  <c r="CR646" i="20"/>
  <c r="CR548" i="20" s="1"/>
  <c r="CR554" i="20"/>
  <c r="CR653" i="20" s="1"/>
  <c r="CS608" i="20"/>
  <c r="CS627" i="20" s="1"/>
  <c r="CS646" i="20"/>
  <c r="CS548" i="20" s="1"/>
  <c r="CS554" i="20"/>
  <c r="CS653" i="20" s="1"/>
  <c r="CV608" i="20"/>
  <c r="CV627" i="20" s="1"/>
  <c r="CV545" i="20" s="1"/>
  <c r="CV646" i="20"/>
  <c r="CV548" i="20" s="1"/>
  <c r="CV554" i="20"/>
  <c r="CW608" i="20"/>
  <c r="CW627" i="20" s="1"/>
  <c r="CW646" i="20"/>
  <c r="CW548" i="20" s="1"/>
  <c r="CW554" i="20"/>
  <c r="CW653" i="20" s="1"/>
  <c r="CZ608" i="20"/>
  <c r="CZ646" i="20"/>
  <c r="CZ548" i="20" s="1"/>
  <c r="CZ554" i="20"/>
  <c r="DB554" i="20" s="1"/>
  <c r="DA608" i="20"/>
  <c r="DE614" i="20" s="1"/>
  <c r="DA646" i="20"/>
  <c r="DA548" i="20" s="1"/>
  <c r="DA579" i="20"/>
  <c r="DB579" i="20" s="1"/>
  <c r="DA566" i="20"/>
  <c r="DE570" i="20" s="1"/>
  <c r="DA584" i="20"/>
  <c r="CZ651" i="20"/>
  <c r="DD656" i="20" s="1"/>
  <c r="DI606" i="20"/>
  <c r="DM606" i="20" s="1"/>
  <c r="DQ606" i="20" s="1"/>
  <c r="DA651" i="20"/>
  <c r="DE656" i="20" s="1"/>
  <c r="DI598" i="20"/>
  <c r="DI546" i="20"/>
  <c r="DI632" i="20"/>
  <c r="DI633" i="20"/>
  <c r="DI634" i="20"/>
  <c r="DI635" i="20"/>
  <c r="DI636" i="20"/>
  <c r="DI637" i="20"/>
  <c r="DI638" i="20"/>
  <c r="DI639" i="20"/>
  <c r="DI640" i="20"/>
  <c r="DI641" i="20"/>
  <c r="DI642" i="20"/>
  <c r="DI643" i="20"/>
  <c r="DI644" i="20"/>
  <c r="DI557" i="20"/>
  <c r="DL598" i="20"/>
  <c r="DL546" i="20"/>
  <c r="DL632" i="20"/>
  <c r="DL633" i="20"/>
  <c r="DL634" i="20"/>
  <c r="DL635" i="20"/>
  <c r="DL636" i="20"/>
  <c r="DL637" i="20"/>
  <c r="DL638" i="20"/>
  <c r="DL639" i="20"/>
  <c r="DL640" i="20"/>
  <c r="DL641" i="20"/>
  <c r="DL643" i="20"/>
  <c r="DL644" i="20"/>
  <c r="DL557" i="20"/>
  <c r="DM595" i="20"/>
  <c r="DM598" i="20"/>
  <c r="DM546" i="20"/>
  <c r="DM632" i="20"/>
  <c r="DM633" i="20"/>
  <c r="DM634" i="20"/>
  <c r="DM635" i="20"/>
  <c r="DM636" i="20"/>
  <c r="DM637" i="20"/>
  <c r="DM638" i="20"/>
  <c r="DM639" i="20"/>
  <c r="DM640" i="20"/>
  <c r="DM641" i="20"/>
  <c r="DM643" i="20"/>
  <c r="DM644" i="20"/>
  <c r="DM557" i="20"/>
  <c r="AV687" i="20"/>
  <c r="AV688" i="20" s="1"/>
  <c r="AV667" i="20" s="1"/>
  <c r="AV705" i="20"/>
  <c r="AV670" i="20" s="1"/>
  <c r="AV676" i="20"/>
  <c r="AW687" i="20"/>
  <c r="AW688" i="20" s="1"/>
  <c r="AW705" i="20"/>
  <c r="AW670" i="20" s="1"/>
  <c r="AW447" i="10" s="1"/>
  <c r="AW676" i="20"/>
  <c r="AW1178" i="10" s="1"/>
  <c r="AZ687" i="20"/>
  <c r="AZ688" i="20" s="1"/>
  <c r="AZ667" i="20" s="1"/>
  <c r="AZ705" i="20"/>
  <c r="AZ670" i="20" s="1"/>
  <c r="AZ676" i="20"/>
  <c r="AZ1178" i="10" s="1"/>
  <c r="BA688" i="20"/>
  <c r="BA667" i="20" s="1"/>
  <c r="BA705" i="20"/>
  <c r="BA670" i="20" s="1"/>
  <c r="BA447" i="10" s="1"/>
  <c r="BA676" i="20"/>
  <c r="AV761" i="20"/>
  <c r="AV714" i="20" s="1"/>
  <c r="AV721" i="20"/>
  <c r="AW761" i="20"/>
  <c r="AW714" i="20" s="1"/>
  <c r="AW448" i="10" s="1"/>
  <c r="AW721" i="20"/>
  <c r="AZ761" i="20"/>
  <c r="AZ714" i="20" s="1"/>
  <c r="AZ718" i="20"/>
  <c r="AZ721" i="20" s="1"/>
  <c r="BA761" i="20"/>
  <c r="BA714" i="20" s="1"/>
  <c r="BA718" i="20"/>
  <c r="BA721" i="20" s="1"/>
  <c r="BD712" i="20"/>
  <c r="BD80" i="10" s="1"/>
  <c r="BD761" i="20"/>
  <c r="BD714" i="20" s="1"/>
  <c r="BD448" i="10" s="1"/>
  <c r="BD718" i="20"/>
  <c r="BD720" i="20"/>
  <c r="BD1179" i="10" s="1"/>
  <c r="BE712" i="20"/>
  <c r="BE80" i="10" s="1"/>
  <c r="BE761" i="20"/>
  <c r="BE714" i="20" s="1"/>
  <c r="BE448" i="10" s="1"/>
  <c r="BE718" i="20"/>
  <c r="BE765" i="20" s="1"/>
  <c r="BH710" i="20"/>
  <c r="BH80" i="10" s="1"/>
  <c r="BH761" i="20"/>
  <c r="BH714" i="20" s="1"/>
  <c r="BH721" i="20"/>
  <c r="BI710" i="20"/>
  <c r="BI80" i="10" s="1"/>
  <c r="BI748" i="20"/>
  <c r="BI512" i="10" s="1"/>
  <c r="BI721" i="20"/>
  <c r="BL710" i="20"/>
  <c r="BL80" i="10" s="1"/>
  <c r="BL761" i="20"/>
  <c r="BL714" i="20" s="1"/>
  <c r="BL448" i="10" s="1"/>
  <c r="BL721" i="20"/>
  <c r="BM761" i="20"/>
  <c r="BM714" i="20" s="1"/>
  <c r="BM721" i="20"/>
  <c r="BP761" i="20"/>
  <c r="BP714" i="20" s="1"/>
  <c r="BP448" i="10" s="1"/>
  <c r="BP721" i="20"/>
  <c r="BQ761" i="20"/>
  <c r="BQ714" i="20" s="1"/>
  <c r="BQ721" i="20"/>
  <c r="BT761" i="20"/>
  <c r="BT714" i="20" s="1"/>
  <c r="BT721" i="20"/>
  <c r="BU761" i="20"/>
  <c r="BU714" i="20" s="1"/>
  <c r="BU721" i="20"/>
  <c r="BX761" i="20"/>
  <c r="BX714" i="20" s="1"/>
  <c r="BX721" i="20"/>
  <c r="BY761" i="20"/>
  <c r="BY714" i="20" s="1"/>
  <c r="BY721" i="20"/>
  <c r="CB761" i="20"/>
  <c r="CB714" i="20" s="1"/>
  <c r="CB721" i="20"/>
  <c r="CC761" i="20"/>
  <c r="CC714" i="20" s="1"/>
  <c r="CC721" i="20"/>
  <c r="CF761" i="20"/>
  <c r="CF714" i="20" s="1"/>
  <c r="CF721" i="20"/>
  <c r="CG761" i="20"/>
  <c r="CG714" i="20" s="1"/>
  <c r="CG721" i="20"/>
  <c r="CJ761" i="20"/>
  <c r="CJ714" i="20" s="1"/>
  <c r="CJ721" i="20"/>
  <c r="CK761" i="20"/>
  <c r="CK714" i="20" s="1"/>
  <c r="CK721" i="20"/>
  <c r="CN761" i="20"/>
  <c r="CN714" i="20" s="1"/>
  <c r="CN721" i="20"/>
  <c r="CO761" i="20"/>
  <c r="CO714" i="20" s="1"/>
  <c r="CO721" i="20"/>
  <c r="CR761" i="20"/>
  <c r="CR714" i="20" s="1"/>
  <c r="CR721" i="20"/>
  <c r="CS761" i="20"/>
  <c r="CS714" i="20" s="1"/>
  <c r="CS721" i="20"/>
  <c r="CV761" i="20"/>
  <c r="CV714" i="20" s="1"/>
  <c r="CV721" i="20"/>
  <c r="CW761" i="20"/>
  <c r="CW714" i="20" s="1"/>
  <c r="CW448" i="10" s="1"/>
  <c r="CW721" i="20"/>
  <c r="CZ761" i="20"/>
  <c r="CZ714" i="20" s="1"/>
  <c r="CZ721" i="20"/>
  <c r="DA761" i="20"/>
  <c r="DA714" i="20" s="1"/>
  <c r="DA716" i="20" s="1"/>
  <c r="DA722" i="20" s="1"/>
  <c r="DA731" i="20"/>
  <c r="DE735" i="20" s="1"/>
  <c r="CZ766" i="20"/>
  <c r="CZ767" i="20"/>
  <c r="DD772" i="20" s="1"/>
  <c r="DA766" i="20"/>
  <c r="DA767" i="20"/>
  <c r="DE772" i="20" s="1"/>
  <c r="DE389" i="42"/>
  <c r="DI711" i="20"/>
  <c r="DI712" i="20"/>
  <c r="DI747" i="20"/>
  <c r="DI748" i="20"/>
  <c r="DI749" i="20"/>
  <c r="DI750" i="20"/>
  <c r="DI751" i="20"/>
  <c r="DI752" i="20"/>
  <c r="DI753" i="20"/>
  <c r="DI755" i="20"/>
  <c r="DI756" i="20"/>
  <c r="DI758" i="20"/>
  <c r="DI760" i="20"/>
  <c r="DI723" i="20"/>
  <c r="DL711" i="20"/>
  <c r="DL712" i="20"/>
  <c r="DL747" i="20"/>
  <c r="DL748" i="20"/>
  <c r="DL749" i="20"/>
  <c r="DL750" i="20"/>
  <c r="DL751" i="20"/>
  <c r="DL752" i="20"/>
  <c r="DL753" i="20"/>
  <c r="DL755" i="20"/>
  <c r="DL756" i="20"/>
  <c r="DL758" i="20"/>
  <c r="DL760" i="20"/>
  <c r="DL723" i="20"/>
  <c r="DM711" i="20"/>
  <c r="DM712" i="20"/>
  <c r="DM747" i="20"/>
  <c r="DM748" i="20"/>
  <c r="DM749" i="20"/>
  <c r="DM750" i="20"/>
  <c r="DM751" i="20"/>
  <c r="DM752" i="20"/>
  <c r="DM753" i="20"/>
  <c r="DM755" i="20"/>
  <c r="DM756" i="20"/>
  <c r="DM758" i="20"/>
  <c r="DM760" i="20"/>
  <c r="DM723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54" i="20"/>
  <c r="A55" i="20"/>
  <c r="A56" i="20"/>
  <c r="A63" i="20"/>
  <c r="A64" i="20"/>
  <c r="A65" i="20"/>
  <c r="A72" i="20"/>
  <c r="A73" i="20"/>
  <c r="A74" i="20"/>
  <c r="A76" i="20"/>
  <c r="A77" i="20"/>
  <c r="A78" i="20"/>
  <c r="A81" i="20"/>
  <c r="A86" i="20" s="1"/>
  <c r="A82" i="20"/>
  <c r="A87" i="20" s="1"/>
  <c r="A83" i="20"/>
  <c r="A88" i="20" s="1"/>
  <c r="A89" i="20"/>
  <c r="AT114" i="20"/>
  <c r="AT136" i="20" s="1"/>
  <c r="AX114" i="20"/>
  <c r="AX136" i="20" s="1"/>
  <c r="BB114" i="20"/>
  <c r="BB136" i="20" s="1"/>
  <c r="BF114" i="20"/>
  <c r="BF136" i="20" s="1"/>
  <c r="BJ114" i="20"/>
  <c r="BJ136" i="20" s="1"/>
  <c r="BN114" i="20"/>
  <c r="BN136" i="20" s="1"/>
  <c r="BR114" i="20"/>
  <c r="BR136" i="20" s="1"/>
  <c r="BV114" i="20"/>
  <c r="BV136" i="20" s="1"/>
  <c r="BZ114" i="20"/>
  <c r="BZ136" i="20" s="1"/>
  <c r="CD114" i="20"/>
  <c r="CD136" i="20" s="1"/>
  <c r="CH114" i="20"/>
  <c r="CH136" i="20" s="1"/>
  <c r="CL114" i="20"/>
  <c r="CL136" i="20" s="1"/>
  <c r="CP114" i="20"/>
  <c r="CP136" i="20" s="1"/>
  <c r="CT114" i="20"/>
  <c r="CX114" i="20"/>
  <c r="DB114" i="20"/>
  <c r="AN153" i="20"/>
  <c r="AN115" i="20" s="1"/>
  <c r="AN120" i="20" s="1"/>
  <c r="AO153" i="20"/>
  <c r="AT116" i="20"/>
  <c r="AT137" i="20" s="1"/>
  <c r="AX116" i="20"/>
  <c r="AX137" i="20" s="1"/>
  <c r="BB116" i="20"/>
  <c r="BB137" i="20" s="1"/>
  <c r="BF116" i="20"/>
  <c r="BF137" i="20" s="1"/>
  <c r="BJ116" i="20"/>
  <c r="BJ137" i="20" s="1"/>
  <c r="BN116" i="20"/>
  <c r="BN137" i="20" s="1"/>
  <c r="BR116" i="20"/>
  <c r="BR137" i="20" s="1"/>
  <c r="BV116" i="20"/>
  <c r="BZ116" i="20"/>
  <c r="CD116" i="20"/>
  <c r="CH116" i="20"/>
  <c r="CP116" i="20"/>
  <c r="CT116" i="20"/>
  <c r="CX116" i="20"/>
  <c r="CX163" i="20" s="1"/>
  <c r="DB116" i="20"/>
  <c r="DB163" i="20" s="1"/>
  <c r="AT117" i="20"/>
  <c r="AX117" i="20"/>
  <c r="BB117" i="20"/>
  <c r="BF117" i="20"/>
  <c r="BJ117" i="20"/>
  <c r="BN117" i="20"/>
  <c r="BR117" i="20"/>
  <c r="BV117" i="20"/>
  <c r="BZ117" i="20"/>
  <c r="CD117" i="20"/>
  <c r="CH117" i="20"/>
  <c r="CP117" i="20"/>
  <c r="CT117" i="20"/>
  <c r="CX117" i="20"/>
  <c r="DB117" i="20"/>
  <c r="AT119" i="20"/>
  <c r="AX119" i="20"/>
  <c r="BB119" i="20"/>
  <c r="BF119" i="20"/>
  <c r="BJ119" i="20"/>
  <c r="BN119" i="20"/>
  <c r="BR119" i="20"/>
  <c r="BV119" i="20"/>
  <c r="BZ119" i="20"/>
  <c r="CD119" i="20"/>
  <c r="CH119" i="20"/>
  <c r="CP119" i="20"/>
  <c r="CT119" i="20"/>
  <c r="CX119" i="20"/>
  <c r="DB119" i="20"/>
  <c r="AT122" i="20"/>
  <c r="AX122" i="20"/>
  <c r="AX215" i="20" s="1"/>
  <c r="BB122" i="20"/>
  <c r="BF122" i="20"/>
  <c r="BF215" i="20" s="1"/>
  <c r="BJ122" i="20"/>
  <c r="BJ215" i="20" s="1"/>
  <c r="BN122" i="20"/>
  <c r="BN215" i="20" s="1"/>
  <c r="BR122" i="20"/>
  <c r="BR215" i="20" s="1"/>
  <c r="BV122" i="20"/>
  <c r="BV215" i="20" s="1"/>
  <c r="BZ122" i="20"/>
  <c r="CD122" i="20"/>
  <c r="CD215" i="20" s="1"/>
  <c r="CH122" i="20"/>
  <c r="CH215" i="20" s="1"/>
  <c r="CP122" i="20"/>
  <c r="CP215" i="20" s="1"/>
  <c r="CT122" i="20"/>
  <c r="CT215" i="20" s="1"/>
  <c r="CX122" i="20"/>
  <c r="CX215" i="20" s="1"/>
  <c r="DB122" i="20"/>
  <c r="DB215" i="20" s="1"/>
  <c r="DF220" i="20" s="1"/>
  <c r="AT123" i="20"/>
  <c r="AT216" i="20" s="1"/>
  <c r="AX123" i="20"/>
  <c r="AX216" i="20" s="1"/>
  <c r="BB123" i="20"/>
  <c r="BB216" i="20" s="1"/>
  <c r="BJ123" i="20"/>
  <c r="BJ216" i="20" s="1"/>
  <c r="BN123" i="20"/>
  <c r="BN216" i="20" s="1"/>
  <c r="BR123" i="20"/>
  <c r="BV123" i="20"/>
  <c r="BV1129" i="10" s="1"/>
  <c r="BZ123" i="20"/>
  <c r="BZ216" i="20" s="1"/>
  <c r="CD123" i="20"/>
  <c r="CD216" i="20" s="1"/>
  <c r="CH123" i="20"/>
  <c r="CP123" i="20"/>
  <c r="CP216" i="20" s="1"/>
  <c r="CT123" i="20"/>
  <c r="CT216" i="20" s="1"/>
  <c r="CX123" i="20"/>
  <c r="CX1129" i="10" s="1"/>
  <c r="DB123" i="20"/>
  <c r="AX124" i="20"/>
  <c r="AX217" i="20" s="1"/>
  <c r="BJ124" i="20"/>
  <c r="BN124" i="20"/>
  <c r="BN217" i="20" s="1"/>
  <c r="BR124" i="20"/>
  <c r="BR217" i="20" s="1"/>
  <c r="BZ124" i="20"/>
  <c r="BZ944" i="10" s="1"/>
  <c r="CD124" i="20"/>
  <c r="CD217" i="20" s="1"/>
  <c r="CH124" i="20"/>
  <c r="CH217" i="20" s="1"/>
  <c r="CP124" i="20"/>
  <c r="CP944" i="10" s="1"/>
  <c r="CT124" i="20"/>
  <c r="CT217" i="20" s="1"/>
  <c r="CX124" i="20"/>
  <c r="CX217" i="20" s="1"/>
  <c r="DB124" i="20"/>
  <c r="AN125" i="20"/>
  <c r="AO125" i="20"/>
  <c r="AX127" i="20"/>
  <c r="BB127" i="20"/>
  <c r="BF127" i="20"/>
  <c r="BJ127" i="20"/>
  <c r="BN127" i="20"/>
  <c r="BR127" i="20"/>
  <c r="BV127" i="20"/>
  <c r="BZ127" i="20"/>
  <c r="CD127" i="20"/>
  <c r="CH127" i="20"/>
  <c r="CL127" i="20"/>
  <c r="CP127" i="20"/>
  <c r="CT127" i="20"/>
  <c r="CX127" i="20"/>
  <c r="DB127" i="20"/>
  <c r="A131" i="20"/>
  <c r="A132" i="20"/>
  <c r="A133" i="20"/>
  <c r="AN136" i="20"/>
  <c r="AO136" i="20"/>
  <c r="AP136" i="20"/>
  <c r="AR136" i="20"/>
  <c r="AS136" i="20"/>
  <c r="AV136" i="20"/>
  <c r="AW136" i="20"/>
  <c r="AZ136" i="20"/>
  <c r="BA136" i="20"/>
  <c r="BD136" i="20"/>
  <c r="BE136" i="20"/>
  <c r="BH136" i="20"/>
  <c r="BI136" i="20"/>
  <c r="BL136" i="20"/>
  <c r="BM136" i="20"/>
  <c r="BP136" i="20"/>
  <c r="BQ136" i="20"/>
  <c r="BT136" i="20"/>
  <c r="BU136" i="20"/>
  <c r="BX136" i="20"/>
  <c r="BY136" i="20"/>
  <c r="CB136" i="20"/>
  <c r="CC136" i="20"/>
  <c r="CF136" i="20"/>
  <c r="CG136" i="20"/>
  <c r="CJ136" i="20"/>
  <c r="CK136" i="20"/>
  <c r="CN136" i="20"/>
  <c r="CO136" i="20"/>
  <c r="CR136" i="20"/>
  <c r="CS136" i="20"/>
  <c r="CV136" i="20"/>
  <c r="CW136" i="20"/>
  <c r="CZ136" i="20"/>
  <c r="DA136" i="20"/>
  <c r="DJ136" i="20"/>
  <c r="DN136" i="20"/>
  <c r="AN137" i="20"/>
  <c r="AO137" i="20"/>
  <c r="AP137" i="20"/>
  <c r="AR137" i="20"/>
  <c r="AS137" i="20"/>
  <c r="AV137" i="20"/>
  <c r="AW137" i="20"/>
  <c r="AZ137" i="20"/>
  <c r="BA137" i="20"/>
  <c r="BD137" i="20"/>
  <c r="BE137" i="20"/>
  <c r="BH137" i="20"/>
  <c r="BI137" i="20"/>
  <c r="BL137" i="20"/>
  <c r="BM137" i="20"/>
  <c r="BP137" i="20"/>
  <c r="BQ137" i="20"/>
  <c r="BT137" i="20"/>
  <c r="BU137" i="20"/>
  <c r="BX137" i="20"/>
  <c r="BY137" i="20"/>
  <c r="CB137" i="20"/>
  <c r="CC137" i="20"/>
  <c r="CF137" i="20"/>
  <c r="CG137" i="20"/>
  <c r="CN137" i="20"/>
  <c r="CO137" i="20"/>
  <c r="CR137" i="20"/>
  <c r="CS137" i="20"/>
  <c r="CV137" i="20"/>
  <c r="CW137" i="20"/>
  <c r="A140" i="20"/>
  <c r="A141" i="20"/>
  <c r="A142" i="20"/>
  <c r="AP148" i="20"/>
  <c r="AT148" i="20"/>
  <c r="AX148" i="20"/>
  <c r="BB148" i="20"/>
  <c r="BF148" i="20"/>
  <c r="BJ148" i="20"/>
  <c r="BN148" i="20"/>
  <c r="BR148" i="20"/>
  <c r="BV148" i="20"/>
  <c r="CL148" i="20"/>
  <c r="CP148" i="20"/>
  <c r="CT148" i="20"/>
  <c r="CX148" i="20"/>
  <c r="DB148" i="20"/>
  <c r="DF157" i="20" s="1"/>
  <c r="AX149" i="20"/>
  <c r="BB149" i="20"/>
  <c r="BF149" i="20"/>
  <c r="BF100" i="10" s="1"/>
  <c r="BJ149" i="20"/>
  <c r="BN149" i="20"/>
  <c r="BN100" i="10" s="1"/>
  <c r="BR149" i="20"/>
  <c r="BV149" i="20"/>
  <c r="BV100" i="10" s="1"/>
  <c r="CH149" i="20"/>
  <c r="CH100" i="10" s="1"/>
  <c r="CL149" i="20"/>
  <c r="CL100" i="10" s="1"/>
  <c r="CP149" i="20"/>
  <c r="CP100" i="10" s="1"/>
  <c r="CT149" i="20"/>
  <c r="CT100" i="10" s="1"/>
  <c r="CX149" i="20"/>
  <c r="CX100" i="10" s="1"/>
  <c r="DB149" i="20"/>
  <c r="DB100" i="10" s="1"/>
  <c r="AT150" i="20"/>
  <c r="AX150" i="20"/>
  <c r="BF150" i="20"/>
  <c r="BF112" i="10" s="1"/>
  <c r="BJ150" i="20"/>
  <c r="BN150" i="20"/>
  <c r="BR150" i="20"/>
  <c r="BR112" i="10" s="1"/>
  <c r="BV150" i="20"/>
  <c r="BV112" i="10" s="1"/>
  <c r="BE151" i="20"/>
  <c r="BH151" i="20"/>
  <c r="BI151" i="20"/>
  <c r="BL151" i="20"/>
  <c r="BM151" i="20"/>
  <c r="BP151" i="20"/>
  <c r="BQ151" i="20"/>
  <c r="BT151" i="20"/>
  <c r="BU151" i="20"/>
  <c r="CD152" i="20"/>
  <c r="CD386" i="10" s="1"/>
  <c r="CH152" i="20"/>
  <c r="CH386" i="10" s="1"/>
  <c r="CL152" i="20"/>
  <c r="CL386" i="10" s="1"/>
  <c r="CP152" i="20"/>
  <c r="CP386" i="10" s="1"/>
  <c r="CT152" i="20"/>
  <c r="CT386" i="10" s="1"/>
  <c r="CX152" i="20"/>
  <c r="CX386" i="10" s="1"/>
  <c r="DB152" i="20"/>
  <c r="DB386" i="10" s="1"/>
  <c r="DJ152" i="20"/>
  <c r="DJ386" i="10" s="1"/>
  <c r="DN152" i="20"/>
  <c r="DN386" i="10" s="1"/>
  <c r="BZ153" i="20"/>
  <c r="CD153" i="20"/>
  <c r="A157" i="20"/>
  <c r="AZ157" i="20"/>
  <c r="BA157" i="20"/>
  <c r="BD157" i="20"/>
  <c r="BE157" i="20"/>
  <c r="BH157" i="20"/>
  <c r="BI157" i="20"/>
  <c r="BL157" i="20"/>
  <c r="BM157" i="20"/>
  <c r="BP157" i="20"/>
  <c r="BQ157" i="20"/>
  <c r="BT157" i="20"/>
  <c r="BU157" i="20"/>
  <c r="CJ157" i="20"/>
  <c r="CN157" i="20"/>
  <c r="CO157" i="20"/>
  <c r="CR157" i="20"/>
  <c r="CS157" i="20"/>
  <c r="CV157" i="20"/>
  <c r="CW157" i="20"/>
  <c r="CZ157" i="20"/>
  <c r="DA157" i="20"/>
  <c r="A158" i="20"/>
  <c r="AZ158" i="20"/>
  <c r="BA158" i="20"/>
  <c r="BD158" i="20"/>
  <c r="BE158" i="20"/>
  <c r="BH158" i="20"/>
  <c r="BI158" i="20"/>
  <c r="BL158" i="20"/>
  <c r="BM158" i="20"/>
  <c r="BP158" i="20"/>
  <c r="BQ158" i="20"/>
  <c r="BT158" i="20"/>
  <c r="BU158" i="20"/>
  <c r="A159" i="20"/>
  <c r="BH159" i="20"/>
  <c r="BI159" i="20"/>
  <c r="BL159" i="20"/>
  <c r="BM159" i="20"/>
  <c r="BP159" i="20"/>
  <c r="BQ159" i="20"/>
  <c r="BT159" i="20"/>
  <c r="BU159" i="20"/>
  <c r="A160" i="20"/>
  <c r="CB160" i="20"/>
  <c r="CC160" i="20"/>
  <c r="CL169" i="20"/>
  <c r="CL164" i="20" s="1"/>
  <c r="CP169" i="20"/>
  <c r="CP164" i="20" s="1"/>
  <c r="AX169" i="20"/>
  <c r="BB169" i="20"/>
  <c r="BF169" i="20"/>
  <c r="BJ169" i="20"/>
  <c r="BN169" i="20"/>
  <c r="BR169" i="20"/>
  <c r="BV169" i="20"/>
  <c r="BZ169" i="20"/>
  <c r="CD169" i="20"/>
  <c r="CH169" i="20"/>
  <c r="CT169" i="20"/>
  <c r="CT164" i="20" s="1"/>
  <c r="CX169" i="20"/>
  <c r="CX164" i="20" s="1"/>
  <c r="DB169" i="20"/>
  <c r="DB164" i="20" s="1"/>
  <c r="AX170" i="20"/>
  <c r="BB170" i="20"/>
  <c r="BF170" i="20"/>
  <c r="BJ170" i="20"/>
  <c r="BN170" i="20"/>
  <c r="BR170" i="20"/>
  <c r="BV170" i="20"/>
  <c r="BZ170" i="20"/>
  <c r="CD170" i="20"/>
  <c r="CH170" i="20"/>
  <c r="CL170" i="20"/>
  <c r="CP170" i="20"/>
  <c r="CT170" i="20"/>
  <c r="CX170" i="20"/>
  <c r="DB170" i="20"/>
  <c r="AX171" i="20"/>
  <c r="BB171" i="20"/>
  <c r="BF171" i="20"/>
  <c r="BJ171" i="20"/>
  <c r="BN171" i="20"/>
  <c r="BR171" i="20"/>
  <c r="BV171" i="20"/>
  <c r="BZ171" i="20"/>
  <c r="CD171" i="20"/>
  <c r="CH171" i="20"/>
  <c r="CL171" i="20"/>
  <c r="CP171" i="20"/>
  <c r="CT171" i="20"/>
  <c r="CX171" i="20"/>
  <c r="DB171" i="20"/>
  <c r="AX172" i="20"/>
  <c r="BB172" i="20"/>
  <c r="BF172" i="20"/>
  <c r="BJ172" i="20"/>
  <c r="BN172" i="20"/>
  <c r="BR172" i="20"/>
  <c r="BV172" i="20"/>
  <c r="BZ172" i="20"/>
  <c r="CD172" i="20"/>
  <c r="CH172" i="20"/>
  <c r="CL172" i="20"/>
  <c r="CP172" i="20"/>
  <c r="CT172" i="20"/>
  <c r="CX172" i="20"/>
  <c r="DB172" i="20"/>
  <c r="AX173" i="20"/>
  <c r="BB173" i="20"/>
  <c r="BF173" i="20"/>
  <c r="BJ173" i="20"/>
  <c r="BN173" i="20"/>
  <c r="BR173" i="20"/>
  <c r="BV173" i="20"/>
  <c r="BZ173" i="20"/>
  <c r="CD173" i="20"/>
  <c r="CH173" i="20"/>
  <c r="CL173" i="20"/>
  <c r="CP173" i="20"/>
  <c r="CT173" i="20"/>
  <c r="CX173" i="20"/>
  <c r="DB173" i="20"/>
  <c r="AX174" i="20"/>
  <c r="BF174" i="20"/>
  <c r="BJ174" i="20"/>
  <c r="BN174" i="20"/>
  <c r="BR174" i="20"/>
  <c r="BV174" i="20"/>
  <c r="BZ174" i="20"/>
  <c r="CD174" i="20"/>
  <c r="CH174" i="20"/>
  <c r="CL174" i="20"/>
  <c r="CP174" i="20"/>
  <c r="CT174" i="20"/>
  <c r="CX174" i="20"/>
  <c r="DB174" i="20"/>
  <c r="AX175" i="20"/>
  <c r="BB175" i="20"/>
  <c r="BF175" i="20"/>
  <c r="BJ175" i="20"/>
  <c r="BN175" i="20"/>
  <c r="BR175" i="20"/>
  <c r="BV175" i="20"/>
  <c r="BZ175" i="20"/>
  <c r="CD175" i="20"/>
  <c r="CH175" i="20"/>
  <c r="CL175" i="20"/>
  <c r="CP175" i="20"/>
  <c r="CT175" i="20"/>
  <c r="CX175" i="20"/>
  <c r="DB175" i="20"/>
  <c r="AX176" i="20"/>
  <c r="BB176" i="20"/>
  <c r="BF176" i="20"/>
  <c r="BJ176" i="20"/>
  <c r="BN176" i="20"/>
  <c r="BR176" i="20"/>
  <c r="BV176" i="20"/>
  <c r="BZ176" i="20"/>
  <c r="CD176" i="20"/>
  <c r="CH176" i="20"/>
  <c r="CL176" i="20"/>
  <c r="CP176" i="20"/>
  <c r="CT176" i="20"/>
  <c r="CX176" i="20"/>
  <c r="DB176" i="20"/>
  <c r="AX177" i="20"/>
  <c r="BB177" i="20"/>
  <c r="BF177" i="20"/>
  <c r="BJ177" i="20"/>
  <c r="BN177" i="20"/>
  <c r="BR177" i="20"/>
  <c r="BV177" i="20"/>
  <c r="BZ177" i="20"/>
  <c r="CD177" i="20"/>
  <c r="CH177" i="20"/>
  <c r="CL177" i="20"/>
  <c r="CP177" i="20"/>
  <c r="CT177" i="20"/>
  <c r="CX177" i="20"/>
  <c r="DB177" i="20"/>
  <c r="AX178" i="20"/>
  <c r="BB178" i="20"/>
  <c r="BF178" i="20"/>
  <c r="BJ178" i="20"/>
  <c r="BN178" i="20"/>
  <c r="BR178" i="20"/>
  <c r="BV178" i="20"/>
  <c r="BZ178" i="20"/>
  <c r="CD178" i="20"/>
  <c r="CH178" i="20"/>
  <c r="CL178" i="20"/>
  <c r="CP178" i="20"/>
  <c r="CT178" i="20"/>
  <c r="CX178" i="20"/>
  <c r="DB178" i="20"/>
  <c r="AX179" i="20"/>
  <c r="BB179" i="20"/>
  <c r="BF179" i="20"/>
  <c r="BJ179" i="20"/>
  <c r="BN179" i="20"/>
  <c r="BR179" i="20"/>
  <c r="BV179" i="20"/>
  <c r="BZ179" i="20"/>
  <c r="CD179" i="20"/>
  <c r="CH179" i="20"/>
  <c r="CP179" i="20"/>
  <c r="CT179" i="20"/>
  <c r="CX179" i="20"/>
  <c r="DB179" i="20"/>
  <c r="AX180" i="20"/>
  <c r="BB180" i="20"/>
  <c r="BF180" i="20"/>
  <c r="BJ180" i="20"/>
  <c r="BN180" i="20"/>
  <c r="BR180" i="20"/>
  <c r="BV180" i="20"/>
  <c r="BZ180" i="20"/>
  <c r="CD180" i="20"/>
  <c r="CH180" i="20"/>
  <c r="CL180" i="20"/>
  <c r="CP180" i="20"/>
  <c r="CT180" i="20"/>
  <c r="CX180" i="20"/>
  <c r="DB180" i="20"/>
  <c r="AX181" i="20"/>
  <c r="BB181" i="20"/>
  <c r="BF181" i="20"/>
  <c r="BJ181" i="20"/>
  <c r="BN181" i="20"/>
  <c r="BR181" i="20"/>
  <c r="BV181" i="20"/>
  <c r="BZ181" i="20"/>
  <c r="CD181" i="20"/>
  <c r="CH181" i="20"/>
  <c r="CL181" i="20"/>
  <c r="CP181" i="20"/>
  <c r="CT181" i="20"/>
  <c r="CX181" i="20"/>
  <c r="DB181" i="20"/>
  <c r="AX182" i="20"/>
  <c r="BB182" i="20"/>
  <c r="BF182" i="20"/>
  <c r="BJ182" i="20"/>
  <c r="BN182" i="20"/>
  <c r="BR182" i="20"/>
  <c r="BZ182" i="20"/>
  <c r="CD182" i="20"/>
  <c r="CH182" i="20"/>
  <c r="CP182" i="20"/>
  <c r="CT182" i="20"/>
  <c r="CX182" i="20"/>
  <c r="DB182" i="20"/>
  <c r="AP183" i="20"/>
  <c r="AT183" i="20"/>
  <c r="AV186" i="20"/>
  <c r="AW186" i="20"/>
  <c r="AX188" i="20"/>
  <c r="AV188" i="20"/>
  <c r="AW188" i="20"/>
  <c r="AZ186" i="20"/>
  <c r="BA186" i="20"/>
  <c r="BA196" i="20" s="1"/>
  <c r="BB188" i="20"/>
  <c r="AZ188" i="20"/>
  <c r="BA188" i="20"/>
  <c r="BD186" i="20"/>
  <c r="BD196" i="20" s="1"/>
  <c r="BE186" i="20"/>
  <c r="BE196" i="20" s="1"/>
  <c r="BF188" i="20"/>
  <c r="BD188" i="20"/>
  <c r="BE188" i="20"/>
  <c r="BH186" i="20"/>
  <c r="BH196" i="20" s="1"/>
  <c r="BI186" i="20"/>
  <c r="BI196" i="20" s="1"/>
  <c r="BJ188" i="20"/>
  <c r="BH188" i="20"/>
  <c r="BI188" i="20"/>
  <c r="BL186" i="20"/>
  <c r="BM186" i="20"/>
  <c r="BN188" i="20"/>
  <c r="BL188" i="20"/>
  <c r="BM188" i="20"/>
  <c r="BP186" i="20"/>
  <c r="BQ186" i="20"/>
  <c r="BR188" i="20"/>
  <c r="BP188" i="20"/>
  <c r="BQ188" i="20"/>
  <c r="BT186" i="20"/>
  <c r="BT196" i="20" s="1"/>
  <c r="BU186" i="20"/>
  <c r="BV188" i="20"/>
  <c r="BT188" i="20"/>
  <c r="BU188" i="20"/>
  <c r="BZ188" i="20"/>
  <c r="BX188" i="20"/>
  <c r="BY188" i="20"/>
  <c r="CD188" i="20"/>
  <c r="CB188" i="20"/>
  <c r="CC188" i="20"/>
  <c r="CF186" i="20"/>
  <c r="CF196" i="20" s="1"/>
  <c r="CH188" i="20"/>
  <c r="CF188" i="20"/>
  <c r="CG188" i="20"/>
  <c r="CJ186" i="20"/>
  <c r="CJ200" i="20" s="1"/>
  <c r="CK186" i="20"/>
  <c r="CL188" i="20"/>
  <c r="CJ188" i="20"/>
  <c r="CK188" i="20"/>
  <c r="CN186" i="20"/>
  <c r="CN196" i="20" s="1"/>
  <c r="CO186" i="20"/>
  <c r="CP188" i="20"/>
  <c r="CN188" i="20"/>
  <c r="CO188" i="20"/>
  <c r="CR186" i="20"/>
  <c r="CR200" i="20" s="1"/>
  <c r="CS186" i="20"/>
  <c r="CV186" i="20"/>
  <c r="CW186" i="20"/>
  <c r="CZ186" i="20"/>
  <c r="CZ200" i="20" s="1"/>
  <c r="CR188" i="20"/>
  <c r="CS188" i="20"/>
  <c r="CT188" i="20"/>
  <c r="CV188" i="20"/>
  <c r="CW188" i="20"/>
  <c r="CX188" i="20"/>
  <c r="CZ188" i="20"/>
  <c r="DA188" i="20"/>
  <c r="DB188" i="20"/>
  <c r="AV193" i="20"/>
  <c r="AW193" i="20"/>
  <c r="AZ193" i="20"/>
  <c r="BB193" i="20" s="1"/>
  <c r="BF193" i="20"/>
  <c r="BJ193" i="20"/>
  <c r="BN193" i="20"/>
  <c r="BQ193" i="20"/>
  <c r="BV193" i="20"/>
  <c r="BY193" i="20"/>
  <c r="BZ193" i="20" s="1"/>
  <c r="CD193" i="20"/>
  <c r="CH193" i="20"/>
  <c r="CK193" i="20"/>
  <c r="CK206" i="20" s="1"/>
  <c r="CO193" i="20"/>
  <c r="CO206" i="20" s="1"/>
  <c r="CS193" i="20"/>
  <c r="CW193" i="20"/>
  <c r="CW206" i="20" s="1"/>
  <c r="DB193" i="20"/>
  <c r="DF195" i="20" s="1"/>
  <c r="BD194" i="20"/>
  <c r="BE194" i="20"/>
  <c r="BH194" i="20"/>
  <c r="BI194" i="20"/>
  <c r="BL194" i="20"/>
  <c r="BM194" i="20"/>
  <c r="BP194" i="20"/>
  <c r="BU194" i="20"/>
  <c r="BX194" i="20"/>
  <c r="CC194" i="20"/>
  <c r="CF194" i="20"/>
  <c r="CG194" i="20"/>
  <c r="CJ194" i="20"/>
  <c r="BE195" i="20"/>
  <c r="BH195" i="20"/>
  <c r="BI195" i="20"/>
  <c r="BL195" i="20"/>
  <c r="BM195" i="20"/>
  <c r="BP195" i="20"/>
  <c r="BT195" i="20"/>
  <c r="BX195" i="20"/>
  <c r="CB195" i="20"/>
  <c r="CF195" i="20"/>
  <c r="CG195" i="20"/>
  <c r="CJ195" i="20"/>
  <c r="CN195" i="20"/>
  <c r="CR195" i="20"/>
  <c r="CV195" i="20"/>
  <c r="CZ195" i="20"/>
  <c r="BF199" i="20"/>
  <c r="BJ199" i="20"/>
  <c r="BN199" i="20"/>
  <c r="BQ199" i="20"/>
  <c r="BR199" i="20" s="1"/>
  <c r="BV199" i="20"/>
  <c r="BY199" i="20"/>
  <c r="BZ199" i="20" s="1"/>
  <c r="CC199" i="20"/>
  <c r="CD199" i="20" s="1"/>
  <c r="CG199" i="20"/>
  <c r="CK199" i="20"/>
  <c r="CO199" i="20"/>
  <c r="CS199" i="20"/>
  <c r="CW199" i="20"/>
  <c r="DB199" i="20"/>
  <c r="A215" i="20"/>
  <c r="A220" i="20" s="1"/>
  <c r="AN215" i="20"/>
  <c r="AO215" i="20"/>
  <c r="AP215" i="20"/>
  <c r="AR215" i="20"/>
  <c r="AS215" i="20"/>
  <c r="AV215" i="20"/>
  <c r="AW215" i="20"/>
  <c r="AZ215" i="20"/>
  <c r="BA215" i="20"/>
  <c r="BD215" i="20"/>
  <c r="BE215" i="20"/>
  <c r="BH215" i="20"/>
  <c r="BI215" i="20"/>
  <c r="BL215" i="20"/>
  <c r="BM215" i="20"/>
  <c r="BP215" i="20"/>
  <c r="BQ215" i="20"/>
  <c r="BT215" i="20"/>
  <c r="BU215" i="20"/>
  <c r="BX215" i="20"/>
  <c r="BY215" i="20"/>
  <c r="CB215" i="20"/>
  <c r="CC215" i="20"/>
  <c r="CF215" i="20"/>
  <c r="CG215" i="20"/>
  <c r="CN215" i="20"/>
  <c r="CO215" i="20"/>
  <c r="CR215" i="20"/>
  <c r="CS215" i="20"/>
  <c r="CV215" i="20"/>
  <c r="CW215" i="20"/>
  <c r="A216" i="20"/>
  <c r="A221" i="20" s="1"/>
  <c r="AN216" i="20"/>
  <c r="AO216" i="20"/>
  <c r="AP216" i="20"/>
  <c r="AR216" i="20"/>
  <c r="AS216" i="20"/>
  <c r="AV216" i="20"/>
  <c r="AV225" i="20" s="1"/>
  <c r="AW216" i="20"/>
  <c r="AW225" i="20" s="1"/>
  <c r="AZ216" i="20"/>
  <c r="BA216" i="20"/>
  <c r="BD216" i="20"/>
  <c r="BH216" i="20"/>
  <c r="BH225" i="20" s="1"/>
  <c r="BI216" i="20"/>
  <c r="BI225" i="20" s="1"/>
  <c r="BL216" i="20"/>
  <c r="BM216" i="20"/>
  <c r="BM225" i="20" s="1"/>
  <c r="BP216" i="20"/>
  <c r="BP225" i="20" s="1"/>
  <c r="BQ216" i="20"/>
  <c r="BT216" i="20"/>
  <c r="BU216" i="20"/>
  <c r="BU225" i="20" s="1"/>
  <c r="BX216" i="20"/>
  <c r="BY216" i="20"/>
  <c r="CB216" i="20"/>
  <c r="CC216" i="20"/>
  <c r="CF216" i="20"/>
  <c r="CG216" i="20"/>
  <c r="CN216" i="20"/>
  <c r="CO216" i="20"/>
  <c r="CR216" i="20"/>
  <c r="CS216" i="20"/>
  <c r="CV216" i="20"/>
  <c r="CW216" i="20"/>
  <c r="CZ216" i="20"/>
  <c r="DD221" i="20" s="1"/>
  <c r="DA216" i="20"/>
  <c r="DE221" i="20" s="1"/>
  <c r="A217" i="20"/>
  <c r="A222" i="20" s="1"/>
  <c r="AN217" i="20"/>
  <c r="AO217" i="20"/>
  <c r="AP217" i="20"/>
  <c r="AV217" i="20"/>
  <c r="AW217" i="20"/>
  <c r="BD217" i="20"/>
  <c r="BH217" i="20"/>
  <c r="BI217" i="20"/>
  <c r="BL217" i="20"/>
  <c r="BM217" i="20"/>
  <c r="BP217" i="20"/>
  <c r="BQ217" i="20"/>
  <c r="BT217" i="20"/>
  <c r="BX217" i="20"/>
  <c r="BY217" i="20"/>
  <c r="CB217" i="20"/>
  <c r="CC217" i="20"/>
  <c r="CF217" i="20"/>
  <c r="CG217" i="20"/>
  <c r="CN217" i="20"/>
  <c r="CO217" i="20"/>
  <c r="CR217" i="20"/>
  <c r="CS217" i="20"/>
  <c r="CV217" i="20"/>
  <c r="CW217" i="20"/>
  <c r="A223" i="20"/>
  <c r="AN230" i="20"/>
  <c r="AN272" i="20" s="1"/>
  <c r="AO230" i="20"/>
  <c r="AO272" i="20" s="1"/>
  <c r="BZ230" i="20"/>
  <c r="BZ272" i="20" s="1"/>
  <c r="CD230" i="20"/>
  <c r="CD272" i="20" s="1"/>
  <c r="CH230" i="20"/>
  <c r="CL230" i="20"/>
  <c r="CP230" i="20"/>
  <c r="CP249" i="20" s="1"/>
  <c r="CT230" i="20"/>
  <c r="CX230" i="20"/>
  <c r="CX249" i="20" s="1"/>
  <c r="DB230" i="20"/>
  <c r="DB249" i="20" s="1"/>
  <c r="AN830" i="20"/>
  <c r="AN798" i="20" s="1"/>
  <c r="AO830" i="20"/>
  <c r="AO798" i="20" s="1"/>
  <c r="AO231" i="20" s="1"/>
  <c r="AN232" i="20"/>
  <c r="AN273" i="20" s="1"/>
  <c r="AO232" i="20"/>
  <c r="AO273" i="20" s="1"/>
  <c r="AN233" i="20"/>
  <c r="AO233" i="20"/>
  <c r="BZ233" i="20"/>
  <c r="CD233" i="20"/>
  <c r="CH233" i="20"/>
  <c r="CP233" i="20"/>
  <c r="CT233" i="20"/>
  <c r="CX233" i="20"/>
  <c r="DB233" i="20"/>
  <c r="AN234" i="20"/>
  <c r="AO234" i="20"/>
  <c r="AN235" i="20"/>
  <c r="AN19" i="10" s="1"/>
  <c r="AO235" i="20"/>
  <c r="AO19" i="10" s="1"/>
  <c r="BZ235" i="20"/>
  <c r="CD235" i="20"/>
  <c r="CH235" i="20"/>
  <c r="CP235" i="20"/>
  <c r="CT235" i="20"/>
  <c r="CX235" i="20"/>
  <c r="DB235" i="20"/>
  <c r="AN238" i="20"/>
  <c r="AO238" i="20"/>
  <c r="AO327" i="20" s="1"/>
  <c r="BZ238" i="20"/>
  <c r="CD238" i="20"/>
  <c r="CH238" i="20"/>
  <c r="CP238" i="20"/>
  <c r="CT238" i="20"/>
  <c r="CX238" i="20"/>
  <c r="DB238" i="20"/>
  <c r="AN239" i="20"/>
  <c r="AO239" i="20"/>
  <c r="AO328" i="20" s="1"/>
  <c r="BZ239" i="20"/>
  <c r="CD239" i="20"/>
  <c r="CH239" i="20"/>
  <c r="CH957" i="10" s="1"/>
  <c r="CP239" i="20"/>
  <c r="CP957" i="10" s="1"/>
  <c r="CT239" i="20"/>
  <c r="CX239" i="20"/>
  <c r="DB239" i="20"/>
  <c r="DB957" i="10" s="1"/>
  <c r="AN240" i="20"/>
  <c r="AN329" i="20" s="1"/>
  <c r="AO240" i="20"/>
  <c r="AO329" i="20" s="1"/>
  <c r="BZ240" i="20"/>
  <c r="CD240" i="20"/>
  <c r="CH240" i="20"/>
  <c r="CH1175" i="10" s="1"/>
  <c r="CP240" i="20"/>
  <c r="CT240" i="20"/>
  <c r="CX240" i="20"/>
  <c r="DB240" i="20"/>
  <c r="DB946" i="10" s="1"/>
  <c r="AN244" i="20"/>
  <c r="AO244" i="20"/>
  <c r="BZ244" i="20"/>
  <c r="CD244" i="20"/>
  <c r="CH244" i="20"/>
  <c r="CL244" i="20"/>
  <c r="CP244" i="20"/>
  <c r="CT244" i="20"/>
  <c r="CX244" i="20"/>
  <c r="DB244" i="20"/>
  <c r="A255" i="20"/>
  <c r="A256" i="20"/>
  <c r="A257" i="20"/>
  <c r="AZ298" i="20"/>
  <c r="BA298" i="20"/>
  <c r="BB284" i="20"/>
  <c r="AZ280" i="20" s="1"/>
  <c r="BA280" i="20" s="1"/>
  <c r="BD284" i="20"/>
  <c r="BE299" i="20"/>
  <c r="BJ284" i="20"/>
  <c r="BN284" i="20"/>
  <c r="BL280" i="20" s="1"/>
  <c r="BM280" i="20" s="1"/>
  <c r="BR284" i="20"/>
  <c r="BP280" i="20" s="1"/>
  <c r="BQ280" i="20" s="1"/>
  <c r="BV284" i="20"/>
  <c r="BT280" i="20" s="1"/>
  <c r="BU280" i="20" s="1"/>
  <c r="BZ284" i="20"/>
  <c r="CD284" i="20"/>
  <c r="CD1261" i="10" s="1"/>
  <c r="CH284" i="20"/>
  <c r="CH1261" i="10" s="1"/>
  <c r="CL284" i="20"/>
  <c r="AR49" i="41" s="1"/>
  <c r="CP284" i="20"/>
  <c r="DH280" i="20" s="1"/>
  <c r="CT284" i="20"/>
  <c r="AZ49" i="41" s="1"/>
  <c r="CX284" i="20"/>
  <c r="BD49" i="41" s="1"/>
  <c r="DB284" i="20"/>
  <c r="DF292" i="20" s="1"/>
  <c r="AZ285" i="20"/>
  <c r="BA285" i="20"/>
  <c r="BE285" i="20"/>
  <c r="BJ285" i="20"/>
  <c r="BN285" i="20"/>
  <c r="BR285" i="20"/>
  <c r="BV285" i="20"/>
  <c r="BZ285" i="20"/>
  <c r="CD285" i="20"/>
  <c r="CH285" i="20"/>
  <c r="CL285" i="20"/>
  <c r="CP285" i="20"/>
  <c r="CT285" i="20"/>
  <c r="CX285" i="20"/>
  <c r="DB285" i="20"/>
  <c r="DF293" i="20" s="1"/>
  <c r="BZ286" i="20"/>
  <c r="CD286" i="20"/>
  <c r="CH286" i="20"/>
  <c r="CP286" i="20"/>
  <c r="CT286" i="20"/>
  <c r="CX286" i="20"/>
  <c r="DB286" i="20"/>
  <c r="DF294" i="20" s="1"/>
  <c r="BX272" i="20"/>
  <c r="BY272" i="20"/>
  <c r="CB272" i="20"/>
  <c r="CC272" i="20"/>
  <c r="CF272" i="20"/>
  <c r="CG272" i="20"/>
  <c r="CJ272" i="20"/>
  <c r="CK272" i="20"/>
  <c r="CN272" i="20"/>
  <c r="CO272" i="20"/>
  <c r="CR272" i="20"/>
  <c r="CS272" i="20"/>
  <c r="CV272" i="20"/>
  <c r="CW272" i="20"/>
  <c r="BB273" i="20"/>
  <c r="BF273" i="20"/>
  <c r="A278" i="20"/>
  <c r="BN281" i="20"/>
  <c r="BR281" i="20"/>
  <c r="BV281" i="20"/>
  <c r="BZ281" i="20"/>
  <c r="CD281" i="20"/>
  <c r="CH281" i="20"/>
  <c r="CL281" i="20"/>
  <c r="CP281" i="20"/>
  <c r="CT281" i="20"/>
  <c r="CX281" i="20"/>
  <c r="DB281" i="20"/>
  <c r="DF289" i="20" s="1"/>
  <c r="BN282" i="20"/>
  <c r="BR282" i="20"/>
  <c r="BV282" i="20"/>
  <c r="BZ282" i="20"/>
  <c r="CD282" i="20"/>
  <c r="CH282" i="20"/>
  <c r="CL282" i="20"/>
  <c r="CP282" i="20"/>
  <c r="CT282" i="20"/>
  <c r="CX282" i="20"/>
  <c r="DB282" i="20"/>
  <c r="DF290" i="20" s="1"/>
  <c r="BL283" i="20"/>
  <c r="BM283" i="20"/>
  <c r="BP283" i="20"/>
  <c r="BQ283" i="20"/>
  <c r="BT283" i="20"/>
  <c r="BU283" i="20"/>
  <c r="BX283" i="20"/>
  <c r="BY283" i="20"/>
  <c r="CB283" i="20"/>
  <c r="CC283" i="20"/>
  <c r="CF283" i="20"/>
  <c r="CG283" i="20"/>
  <c r="CJ283" i="20"/>
  <c r="CK283" i="20"/>
  <c r="CN283" i="20"/>
  <c r="CO283" i="20"/>
  <c r="CR283" i="20"/>
  <c r="CS283" i="20"/>
  <c r="CV283" i="20"/>
  <c r="CW283" i="20"/>
  <c r="AP285" i="20"/>
  <c r="AT285" i="20"/>
  <c r="AX285" i="20"/>
  <c r="AN286" i="20"/>
  <c r="AN287" i="20" s="1"/>
  <c r="AO286" i="20"/>
  <c r="AR286" i="20"/>
  <c r="AS286" i="20"/>
  <c r="AV286" i="20"/>
  <c r="AW286" i="20"/>
  <c r="CK288" i="20"/>
  <c r="A289" i="20"/>
  <c r="BP289" i="20"/>
  <c r="BQ289" i="20"/>
  <c r="BT289" i="20"/>
  <c r="BU289" i="20"/>
  <c r="BX289" i="20"/>
  <c r="BY289" i="20"/>
  <c r="CB289" i="20"/>
  <c r="CC289" i="20"/>
  <c r="CF289" i="20"/>
  <c r="CG289" i="20"/>
  <c r="CJ289" i="20"/>
  <c r="CK289" i="20"/>
  <c r="CN289" i="20"/>
  <c r="CO289" i="20"/>
  <c r="CR289" i="20"/>
  <c r="CS289" i="20"/>
  <c r="CV289" i="20"/>
  <c r="CW289" i="20"/>
  <c r="CZ289" i="20"/>
  <c r="DA289" i="20"/>
  <c r="A290" i="20"/>
  <c r="BP290" i="20"/>
  <c r="BQ290" i="20"/>
  <c r="BT290" i="20"/>
  <c r="BU290" i="20"/>
  <c r="BX290" i="20"/>
  <c r="BY290" i="20"/>
  <c r="CB290" i="20"/>
  <c r="CC290" i="20"/>
  <c r="CF290" i="20"/>
  <c r="CG290" i="20"/>
  <c r="CJ290" i="20"/>
  <c r="CK290" i="20"/>
  <c r="CN290" i="20"/>
  <c r="CO290" i="20"/>
  <c r="CR290" i="20"/>
  <c r="CS290" i="20"/>
  <c r="CV290" i="20"/>
  <c r="CW290" i="20"/>
  <c r="CZ290" i="20"/>
  <c r="DA290" i="20"/>
  <c r="A291" i="20"/>
  <c r="A292" i="20"/>
  <c r="BL292" i="20"/>
  <c r="BM292" i="20"/>
  <c r="BP292" i="20"/>
  <c r="BQ292" i="20"/>
  <c r="BT292" i="20"/>
  <c r="BU292" i="20"/>
  <c r="BX292" i="20"/>
  <c r="BY292" i="20"/>
  <c r="CB292" i="20"/>
  <c r="CC292" i="20"/>
  <c r="CF292" i="20"/>
  <c r="CG292" i="20"/>
  <c r="CJ292" i="20"/>
  <c r="CK292" i="20"/>
  <c r="CN292" i="20"/>
  <c r="CO292" i="20"/>
  <c r="CR292" i="20"/>
  <c r="CS292" i="20"/>
  <c r="CV292" i="20"/>
  <c r="CW292" i="20"/>
  <c r="CZ292" i="20"/>
  <c r="DA292" i="20"/>
  <c r="A293" i="20"/>
  <c r="BL293" i="20"/>
  <c r="BM293" i="20"/>
  <c r="BP293" i="20"/>
  <c r="BQ293" i="20"/>
  <c r="BT293" i="20"/>
  <c r="BU293" i="20"/>
  <c r="BX293" i="20"/>
  <c r="BY293" i="20"/>
  <c r="CB293" i="20"/>
  <c r="CC293" i="20"/>
  <c r="CF293" i="20"/>
  <c r="CG293" i="20"/>
  <c r="CJ293" i="20"/>
  <c r="CK293" i="20"/>
  <c r="CN293" i="20"/>
  <c r="CO293" i="20"/>
  <c r="CR293" i="20"/>
  <c r="CS293" i="20"/>
  <c r="CV293" i="20"/>
  <c r="CW293" i="20"/>
  <c r="CZ293" i="20"/>
  <c r="DA293" i="20"/>
  <c r="A294" i="20"/>
  <c r="CB294" i="20"/>
  <c r="CC294" i="20"/>
  <c r="CF294" i="20"/>
  <c r="CG294" i="20"/>
  <c r="CR294" i="20"/>
  <c r="CS294" i="20"/>
  <c r="CV294" i="20"/>
  <c r="CW294" i="20"/>
  <c r="CZ294" i="20"/>
  <c r="DA294" i="20"/>
  <c r="A295" i="20"/>
  <c r="AR298" i="20"/>
  <c r="AR151" i="10" s="1"/>
  <c r="AS298" i="20"/>
  <c r="AS151" i="10" s="1"/>
  <c r="AV298" i="20"/>
  <c r="AW298" i="20"/>
  <c r="BZ298" i="20"/>
  <c r="BZ102" i="10" s="1"/>
  <c r="CD298" i="20"/>
  <c r="CD102" i="10" s="1"/>
  <c r="CH298" i="20"/>
  <c r="CH102" i="10" s="1"/>
  <c r="CP298" i="20"/>
  <c r="CP102" i="10" s="1"/>
  <c r="CT298" i="20"/>
  <c r="CT102" i="10" s="1"/>
  <c r="CX298" i="20"/>
  <c r="CX102" i="10" s="1"/>
  <c r="DB298" i="20"/>
  <c r="DF303" i="20" s="1"/>
  <c r="AR299" i="20"/>
  <c r="AS299" i="20"/>
  <c r="AS152" i="10" s="1"/>
  <c r="AV299" i="20"/>
  <c r="AW299" i="20"/>
  <c r="BZ299" i="20"/>
  <c r="BZ114" i="10" s="1"/>
  <c r="CD299" i="20"/>
  <c r="DB299" i="20"/>
  <c r="CH300" i="20"/>
  <c r="CH90" i="10" s="1"/>
  <c r="CL300" i="20"/>
  <c r="CL90" i="10" s="1"/>
  <c r="CT300" i="20"/>
  <c r="CT90" i="10" s="1"/>
  <c r="CX300" i="20"/>
  <c r="CX90" i="10" s="1"/>
  <c r="DB300" i="20"/>
  <c r="DB90" i="10" s="1"/>
  <c r="A303" i="20"/>
  <c r="CB303" i="20"/>
  <c r="CC303" i="20"/>
  <c r="CF303" i="20"/>
  <c r="CG303" i="20"/>
  <c r="CR303" i="20"/>
  <c r="CS303" i="20"/>
  <c r="CV303" i="20"/>
  <c r="CW303" i="20"/>
  <c r="CZ303" i="20"/>
  <c r="DA303" i="20"/>
  <c r="A304" i="20"/>
  <c r="CB304" i="20"/>
  <c r="CC304" i="20"/>
  <c r="A305" i="20"/>
  <c r="AV308" i="20"/>
  <c r="AW308" i="20"/>
  <c r="AZ308" i="20"/>
  <c r="BA308" i="20"/>
  <c r="BD308" i="20"/>
  <c r="BE308" i="20"/>
  <c r="BZ308" i="20"/>
  <c r="CD308" i="20"/>
  <c r="CH308" i="20"/>
  <c r="CP308" i="20"/>
  <c r="CT308" i="20"/>
  <c r="CX308" i="20"/>
  <c r="DB308" i="20"/>
  <c r="AV309" i="20"/>
  <c r="AV508" i="10" s="1"/>
  <c r="AW309" i="20"/>
  <c r="AW508" i="10" s="1"/>
  <c r="AZ309" i="20"/>
  <c r="AZ508" i="10" s="1"/>
  <c r="BA309" i="20"/>
  <c r="BA508" i="10" s="1"/>
  <c r="BD309" i="20"/>
  <c r="BD508" i="10" s="1"/>
  <c r="BE309" i="20"/>
  <c r="BE508" i="10" s="1"/>
  <c r="BZ309" i="20"/>
  <c r="CD309" i="20"/>
  <c r="CH309" i="20"/>
  <c r="CL309" i="20"/>
  <c r="CP309" i="20"/>
  <c r="CT309" i="20"/>
  <c r="CX309" i="20"/>
  <c r="DB309" i="20"/>
  <c r="AV310" i="20"/>
  <c r="AW310" i="20"/>
  <c r="AZ310" i="20"/>
  <c r="BA310" i="20"/>
  <c r="BD310" i="20"/>
  <c r="BE310" i="20"/>
  <c r="BZ310" i="20"/>
  <c r="CD310" i="20"/>
  <c r="CH310" i="20"/>
  <c r="CL310" i="20"/>
  <c r="CP310" i="20"/>
  <c r="CT310" i="20"/>
  <c r="CX310" i="20"/>
  <c r="DB310" i="20"/>
  <c r="AV311" i="20"/>
  <c r="AV530" i="10" s="1"/>
  <c r="AW311" i="20"/>
  <c r="AW530" i="10" s="1"/>
  <c r="AZ311" i="20"/>
  <c r="AZ530" i="10" s="1"/>
  <c r="BA311" i="20"/>
  <c r="BA530" i="10" s="1"/>
  <c r="BD311" i="20"/>
  <c r="BD530" i="10" s="1"/>
  <c r="BE311" i="20"/>
  <c r="BE530" i="10" s="1"/>
  <c r="BZ311" i="20"/>
  <c r="CD311" i="20"/>
  <c r="CH311" i="20"/>
  <c r="CL311" i="20"/>
  <c r="CP311" i="20"/>
  <c r="CT311" i="20"/>
  <c r="CX311" i="20"/>
  <c r="DB311" i="20"/>
  <c r="AV312" i="20"/>
  <c r="AV541" i="10" s="1"/>
  <c r="AW312" i="20"/>
  <c r="AW541" i="10" s="1"/>
  <c r="AZ312" i="20"/>
  <c r="AZ541" i="10" s="1"/>
  <c r="BA312" i="20"/>
  <c r="BA541" i="10" s="1"/>
  <c r="BD312" i="20"/>
  <c r="BD541" i="10" s="1"/>
  <c r="BE312" i="20"/>
  <c r="BE541" i="10" s="1"/>
  <c r="BZ312" i="20"/>
  <c r="CD312" i="20"/>
  <c r="CH312" i="20"/>
  <c r="CL312" i="20"/>
  <c r="CP312" i="20"/>
  <c r="CT312" i="20"/>
  <c r="CX312" i="20"/>
  <c r="DB312" i="20"/>
  <c r="AV313" i="20"/>
  <c r="AW313" i="20"/>
  <c r="AZ313" i="20"/>
  <c r="BA313" i="20"/>
  <c r="BD313" i="20"/>
  <c r="BE313" i="20"/>
  <c r="BZ313" i="20"/>
  <c r="CD313" i="20"/>
  <c r="CH313" i="20"/>
  <c r="CH250" i="20" s="1"/>
  <c r="CL313" i="20"/>
  <c r="CL250" i="20" s="1"/>
  <c r="CP313" i="20"/>
  <c r="CP250" i="20" s="1"/>
  <c r="CT313" i="20"/>
  <c r="CT250" i="20" s="1"/>
  <c r="CX313" i="20"/>
  <c r="CX250" i="20" s="1"/>
  <c r="DB313" i="20"/>
  <c r="DB250" i="20" s="1"/>
  <c r="AV314" i="20"/>
  <c r="AV563" i="10" s="1"/>
  <c r="AW314" i="20"/>
  <c r="AW563" i="10" s="1"/>
  <c r="AZ314" i="20"/>
  <c r="AZ563" i="10" s="1"/>
  <c r="BA314" i="20"/>
  <c r="BA563" i="10" s="1"/>
  <c r="BD314" i="20"/>
  <c r="BD563" i="10" s="1"/>
  <c r="BE314" i="20"/>
  <c r="BE563" i="10" s="1"/>
  <c r="BZ314" i="20"/>
  <c r="CD314" i="20"/>
  <c r="CH314" i="20"/>
  <c r="CL314" i="20"/>
  <c r="CP314" i="20"/>
  <c r="CT314" i="20"/>
  <c r="CX314" i="20"/>
  <c r="DB314" i="20"/>
  <c r="AV315" i="20"/>
  <c r="AV574" i="10" s="1"/>
  <c r="AW315" i="20"/>
  <c r="AW574" i="10" s="1"/>
  <c r="AZ315" i="20"/>
  <c r="AZ574" i="10" s="1"/>
  <c r="BA315" i="20"/>
  <c r="BA574" i="10" s="1"/>
  <c r="BD315" i="20"/>
  <c r="BD574" i="10" s="1"/>
  <c r="BE315" i="20"/>
  <c r="BE574" i="10" s="1"/>
  <c r="BZ315" i="20"/>
  <c r="CD315" i="20"/>
  <c r="CH315" i="20"/>
  <c r="CL315" i="20"/>
  <c r="CP315" i="20"/>
  <c r="CT315" i="20"/>
  <c r="CX315" i="20"/>
  <c r="DB315" i="20"/>
  <c r="AV316" i="20"/>
  <c r="AW316" i="20"/>
  <c r="AW585" i="10" s="1"/>
  <c r="AZ316" i="20"/>
  <c r="AZ585" i="10" s="1"/>
  <c r="BA316" i="20"/>
  <c r="BA585" i="10" s="1"/>
  <c r="BD316" i="20"/>
  <c r="BD585" i="10" s="1"/>
  <c r="BE316" i="20"/>
  <c r="BE585" i="10" s="1"/>
  <c r="BZ316" i="20"/>
  <c r="CD316" i="20"/>
  <c r="CH316" i="20"/>
  <c r="CL316" i="20"/>
  <c r="CP316" i="20"/>
  <c r="CT316" i="20"/>
  <c r="CX316" i="20"/>
  <c r="DB316" i="20"/>
  <c r="AV317" i="20"/>
  <c r="AV596" i="10" s="1"/>
  <c r="AW317" i="20"/>
  <c r="AZ317" i="20"/>
  <c r="AZ596" i="10" s="1"/>
  <c r="BA317" i="20"/>
  <c r="BA596" i="10" s="1"/>
  <c r="BD317" i="20"/>
  <c r="BD596" i="10" s="1"/>
  <c r="BE317" i="20"/>
  <c r="BE596" i="10" s="1"/>
  <c r="BZ317" i="20"/>
  <c r="CD317" i="20"/>
  <c r="CH317" i="20"/>
  <c r="CL317" i="20"/>
  <c r="CP317" i="20"/>
  <c r="CT317" i="20"/>
  <c r="CX317" i="20"/>
  <c r="DB317" i="20"/>
  <c r="AV865" i="20"/>
  <c r="AV318" i="20" s="1"/>
  <c r="AW865" i="20"/>
  <c r="AW318" i="20" s="1"/>
  <c r="AZ318" i="20"/>
  <c r="BA318" i="20"/>
  <c r="BD318" i="20"/>
  <c r="BE318" i="20"/>
  <c r="BZ318" i="20"/>
  <c r="CD318" i="20"/>
  <c r="CH318" i="20"/>
  <c r="CP318" i="20"/>
  <c r="CT318" i="20"/>
  <c r="CX318" i="20"/>
  <c r="DB318" i="20"/>
  <c r="AV319" i="20"/>
  <c r="AV629" i="10" s="1"/>
  <c r="AW319" i="20"/>
  <c r="AW629" i="10" s="1"/>
  <c r="AZ319" i="20"/>
  <c r="AZ629" i="10" s="1"/>
  <c r="BA319" i="20"/>
  <c r="BA629" i="10" s="1"/>
  <c r="BD319" i="20"/>
  <c r="BD629" i="10" s="1"/>
  <c r="BE319" i="20"/>
  <c r="BE629" i="10" s="1"/>
  <c r="BZ319" i="20"/>
  <c r="CD319" i="20"/>
  <c r="CH319" i="20"/>
  <c r="CL319" i="20"/>
  <c r="CP319" i="20"/>
  <c r="CT319" i="20"/>
  <c r="CX319" i="20"/>
  <c r="DB319" i="20"/>
  <c r="AV320" i="20"/>
  <c r="AV618" i="10" s="1"/>
  <c r="AW320" i="20"/>
  <c r="AW618" i="10" s="1"/>
  <c r="AZ320" i="20"/>
  <c r="AZ618" i="10" s="1"/>
  <c r="BA320" i="20"/>
  <c r="BA618" i="10" s="1"/>
  <c r="BD320" i="20"/>
  <c r="BD618" i="10" s="1"/>
  <c r="BE320" i="20"/>
  <c r="BE618" i="10" s="1"/>
  <c r="BZ320" i="20"/>
  <c r="CD320" i="20"/>
  <c r="CH320" i="20"/>
  <c r="CL320" i="20"/>
  <c r="CP320" i="20"/>
  <c r="CT320" i="20"/>
  <c r="CX320" i="20"/>
  <c r="DB320" i="20"/>
  <c r="AV321" i="20"/>
  <c r="AV640" i="10" s="1"/>
  <c r="AW321" i="20"/>
  <c r="AW640" i="10" s="1"/>
  <c r="AZ321" i="20"/>
  <c r="AZ640" i="10" s="1"/>
  <c r="BA321" i="20"/>
  <c r="BA640" i="10" s="1"/>
  <c r="BD321" i="20"/>
  <c r="BD640" i="10" s="1"/>
  <c r="BE321" i="20"/>
  <c r="BE640" i="10" s="1"/>
  <c r="BZ321" i="20"/>
  <c r="CD321" i="20"/>
  <c r="CH321" i="20"/>
  <c r="CP321" i="20"/>
  <c r="CT321" i="20"/>
  <c r="CX321" i="20"/>
  <c r="DB321" i="20"/>
  <c r="AP322" i="20"/>
  <c r="AT322" i="20"/>
  <c r="BX323" i="20"/>
  <c r="BY323" i="20"/>
  <c r="CB323" i="20"/>
  <c r="CC323" i="20"/>
  <c r="CF323" i="20"/>
  <c r="CG323" i="20"/>
  <c r="CN323" i="20"/>
  <c r="CO323" i="20"/>
  <c r="CR323" i="20"/>
  <c r="CS323" i="20"/>
  <c r="CV323" i="20"/>
  <c r="CW323" i="20"/>
  <c r="CZ323" i="20"/>
  <c r="DA323" i="20"/>
  <c r="BX324" i="20"/>
  <c r="BY324" i="20"/>
  <c r="CB324" i="20"/>
  <c r="CC324" i="20"/>
  <c r="CF324" i="20"/>
  <c r="CG324" i="20"/>
  <c r="CN324" i="20"/>
  <c r="CO324" i="20"/>
  <c r="CR324" i="20"/>
  <c r="CS324" i="20"/>
  <c r="CV324" i="20"/>
  <c r="CW324" i="20"/>
  <c r="CZ324" i="20"/>
  <c r="DA324" i="20"/>
  <c r="A327" i="20"/>
  <c r="A332" i="20" s="1"/>
  <c r="BX327" i="20"/>
  <c r="BY327" i="20"/>
  <c r="CB327" i="20"/>
  <c r="CC327" i="20"/>
  <c r="CF327" i="20"/>
  <c r="CG327" i="20"/>
  <c r="CN327" i="20"/>
  <c r="CO327" i="20"/>
  <c r="CR327" i="20"/>
  <c r="CS327" i="20"/>
  <c r="CV327" i="20"/>
  <c r="CW327" i="20"/>
  <c r="A328" i="20"/>
  <c r="A333" i="20" s="1"/>
  <c r="BX328" i="20"/>
  <c r="BY328" i="20"/>
  <c r="CB328" i="20"/>
  <c r="CC328" i="20"/>
  <c r="CF328" i="20"/>
  <c r="CG328" i="20"/>
  <c r="CN328" i="20"/>
  <c r="CO328" i="20"/>
  <c r="CR328" i="20"/>
  <c r="CS328" i="20"/>
  <c r="CV328" i="20"/>
  <c r="CW328" i="20"/>
  <c r="A329" i="20"/>
  <c r="A334" i="20" s="1"/>
  <c r="BX329" i="20"/>
  <c r="BY329" i="20"/>
  <c r="CB329" i="20"/>
  <c r="CC329" i="20"/>
  <c r="CF329" i="20"/>
  <c r="CG329" i="20"/>
  <c r="CN329" i="20"/>
  <c r="CO329" i="20"/>
  <c r="CR329" i="20"/>
  <c r="CS329" i="20"/>
  <c r="CV329" i="20"/>
  <c r="CW329" i="20"/>
  <c r="A335" i="20"/>
  <c r="AT342" i="20"/>
  <c r="AT395" i="20" s="1"/>
  <c r="AX342" i="20"/>
  <c r="BB342" i="20"/>
  <c r="BB446" i="20" s="1"/>
  <c r="BF342" i="20"/>
  <c r="BJ342" i="20"/>
  <c r="BN342" i="20"/>
  <c r="BN446" i="20" s="1"/>
  <c r="BR342" i="20"/>
  <c r="BR446" i="20" s="1"/>
  <c r="BV342" i="20"/>
  <c r="BZ342" i="20"/>
  <c r="BZ446" i="20" s="1"/>
  <c r="CD342" i="20"/>
  <c r="CH342" i="20"/>
  <c r="CL342" i="20"/>
  <c r="CP342" i="20"/>
  <c r="CP395" i="20" s="1"/>
  <c r="CT342" i="20"/>
  <c r="CX342" i="20"/>
  <c r="CX395" i="20" s="1"/>
  <c r="DB342" i="20"/>
  <c r="AR343" i="20"/>
  <c r="AS343" i="20"/>
  <c r="AS348" i="20" s="1"/>
  <c r="AT344" i="20"/>
  <c r="AT396" i="20" s="1"/>
  <c r="AX344" i="20"/>
  <c r="AX396" i="20" s="1"/>
  <c r="BB344" i="20"/>
  <c r="BR344" i="20"/>
  <c r="BV344" i="20"/>
  <c r="CD344" i="20"/>
  <c r="CH344" i="20"/>
  <c r="CH396" i="20" s="1"/>
  <c r="CL344" i="20"/>
  <c r="CP344" i="20"/>
  <c r="CP447" i="20" s="1"/>
  <c r="CT344" i="20"/>
  <c r="CX344" i="20"/>
  <c r="DB344" i="20"/>
  <c r="AT345" i="20"/>
  <c r="AX345" i="20"/>
  <c r="AX448" i="20" s="1"/>
  <c r="BB345" i="20"/>
  <c r="BB448" i="20" s="1"/>
  <c r="BF345" i="20"/>
  <c r="BJ345" i="20"/>
  <c r="BN345" i="20"/>
  <c r="BR345" i="20"/>
  <c r="BV345" i="20"/>
  <c r="CD345" i="20"/>
  <c r="CH345" i="20"/>
  <c r="CL345" i="20"/>
  <c r="CP345" i="20"/>
  <c r="CT345" i="20"/>
  <c r="CX345" i="20"/>
  <c r="DB345" i="20"/>
  <c r="AT346" i="20"/>
  <c r="AT347" i="20"/>
  <c r="AX347" i="20"/>
  <c r="AX450" i="20" s="1"/>
  <c r="BB347" i="20"/>
  <c r="BB450" i="20" s="1"/>
  <c r="BF347" i="20"/>
  <c r="BJ347" i="20"/>
  <c r="BN347" i="20"/>
  <c r="BR347" i="20"/>
  <c r="BV347" i="20"/>
  <c r="CD347" i="20"/>
  <c r="CH347" i="20"/>
  <c r="CL347" i="20"/>
  <c r="CP347" i="20"/>
  <c r="CT347" i="20"/>
  <c r="CX347" i="20"/>
  <c r="DB347" i="20"/>
  <c r="AR350" i="20"/>
  <c r="AR454" i="20" s="1"/>
  <c r="AS350" i="20"/>
  <c r="AS454" i="20" s="1"/>
  <c r="AX350" i="20"/>
  <c r="AX454" i="20" s="1"/>
  <c r="BB350" i="20"/>
  <c r="BJ350" i="20"/>
  <c r="BJ454" i="20" s="1"/>
  <c r="BN350" i="20"/>
  <c r="BN454" i="20" s="1"/>
  <c r="BR350" i="20"/>
  <c r="BV350" i="20"/>
  <c r="BV454" i="20" s="1"/>
  <c r="BZ350" i="20"/>
  <c r="BZ454" i="20" s="1"/>
  <c r="CD350" i="20"/>
  <c r="CD454" i="20" s="1"/>
  <c r="CH350" i="20"/>
  <c r="CH454" i="20" s="1"/>
  <c r="CL350" i="20"/>
  <c r="CL454" i="20" s="1"/>
  <c r="CP350" i="20"/>
  <c r="CP454" i="20" s="1"/>
  <c r="CT350" i="20"/>
  <c r="CT454" i="20" s="1"/>
  <c r="CX350" i="20"/>
  <c r="CX454" i="20" s="1"/>
  <c r="DB350" i="20"/>
  <c r="DB454" i="20" s="1"/>
  <c r="DF459" i="20" s="1"/>
  <c r="AR351" i="20"/>
  <c r="AS351" i="20"/>
  <c r="AX351" i="20"/>
  <c r="BB351" i="20"/>
  <c r="BF351" i="20"/>
  <c r="BJ351" i="20"/>
  <c r="BN351" i="20"/>
  <c r="BR351" i="20"/>
  <c r="BV351" i="20"/>
  <c r="BZ351" i="20"/>
  <c r="CD351" i="20"/>
  <c r="CH351" i="20"/>
  <c r="CL351" i="20"/>
  <c r="CP351" i="20"/>
  <c r="CT351" i="20"/>
  <c r="CX351" i="20"/>
  <c r="DB351" i="20"/>
  <c r="AR352" i="20"/>
  <c r="AR1174" i="10" s="1"/>
  <c r="AS352" i="20"/>
  <c r="AS1174" i="10" s="1"/>
  <c r="AX352" i="20"/>
  <c r="BB352" i="20"/>
  <c r="BJ352" i="20"/>
  <c r="BN352" i="20"/>
  <c r="BR352" i="20"/>
  <c r="BV352" i="20"/>
  <c r="BZ352" i="20"/>
  <c r="CD352" i="20"/>
  <c r="CH352" i="20"/>
  <c r="CL352" i="20"/>
  <c r="CP352" i="20"/>
  <c r="CT352" i="20"/>
  <c r="CX352" i="20"/>
  <c r="DB352" i="20"/>
  <c r="AX355" i="20"/>
  <c r="BB355" i="20"/>
  <c r="BF355" i="20"/>
  <c r="BJ355" i="20"/>
  <c r="BN355" i="20"/>
  <c r="BR355" i="20"/>
  <c r="BV355" i="20"/>
  <c r="BZ355" i="20"/>
  <c r="CD355" i="20"/>
  <c r="CH355" i="20"/>
  <c r="CL355" i="20"/>
  <c r="CP355" i="20"/>
  <c r="CT355" i="20"/>
  <c r="CX355" i="20"/>
  <c r="DB355" i="20"/>
  <c r="AX423" i="20"/>
  <c r="AX424" i="20"/>
  <c r="AX425" i="20"/>
  <c r="AX426" i="20"/>
  <c r="AX427" i="20"/>
  <c r="AX428" i="20"/>
  <c r="AX429" i="20"/>
  <c r="AX430" i="20"/>
  <c r="AX431" i="20"/>
  <c r="AX432" i="20"/>
  <c r="AX433" i="20"/>
  <c r="AX434" i="20"/>
  <c r="AX435" i="20"/>
  <c r="AX436" i="20"/>
  <c r="BB423" i="20"/>
  <c r="BB424" i="20"/>
  <c r="BB425" i="20"/>
  <c r="BB426" i="20"/>
  <c r="BB427" i="20"/>
  <c r="BB428" i="20"/>
  <c r="BB430" i="20"/>
  <c r="BB431" i="20"/>
  <c r="BB432" i="20"/>
  <c r="BB433" i="20"/>
  <c r="BB434" i="20"/>
  <c r="BB435" i="20"/>
  <c r="BB436" i="20"/>
  <c r="BF423" i="20"/>
  <c r="BF424" i="20"/>
  <c r="BF425" i="20"/>
  <c r="BF426" i="20"/>
  <c r="BF427" i="20"/>
  <c r="BF428" i="20"/>
  <c r="BF429" i="20"/>
  <c r="BF430" i="20"/>
  <c r="BF431" i="20"/>
  <c r="BF432" i="20"/>
  <c r="BF433" i="20"/>
  <c r="BF434" i="20"/>
  <c r="BF435" i="20"/>
  <c r="BF436" i="20"/>
  <c r="BJ423" i="20"/>
  <c r="BJ424" i="20"/>
  <c r="BJ425" i="20"/>
  <c r="BJ426" i="20"/>
  <c r="BJ427" i="20"/>
  <c r="BJ428" i="20"/>
  <c r="BJ429" i="20"/>
  <c r="BJ430" i="20"/>
  <c r="BJ431" i="20"/>
  <c r="BJ432" i="20"/>
  <c r="BJ433" i="20"/>
  <c r="BJ434" i="20"/>
  <c r="BJ435" i="20"/>
  <c r="BJ436" i="20"/>
  <c r="BN423" i="20"/>
  <c r="BN424" i="20"/>
  <c r="BN425" i="20"/>
  <c r="BN426" i="20"/>
  <c r="BN427" i="20"/>
  <c r="BN428" i="20"/>
  <c r="BN429" i="20"/>
  <c r="BN430" i="20"/>
  <c r="BN431" i="20"/>
  <c r="BN432" i="20"/>
  <c r="BN433" i="20"/>
  <c r="BN434" i="20"/>
  <c r="BN435" i="20"/>
  <c r="BN436" i="20"/>
  <c r="BR423" i="20"/>
  <c r="BR424" i="20"/>
  <c r="BR425" i="20"/>
  <c r="BR426" i="20"/>
  <c r="BR427" i="20"/>
  <c r="BR428" i="20"/>
  <c r="BR429" i="20"/>
  <c r="BR430" i="20"/>
  <c r="BR431" i="20"/>
  <c r="BR432" i="20"/>
  <c r="BR433" i="20"/>
  <c r="BR434" i="20"/>
  <c r="BR435" i="20"/>
  <c r="BR436" i="20"/>
  <c r="BV423" i="20"/>
  <c r="BV424" i="20"/>
  <c r="BV425" i="20"/>
  <c r="BV426" i="20"/>
  <c r="BV427" i="20"/>
  <c r="BV428" i="20"/>
  <c r="BV429" i="20"/>
  <c r="BV430" i="20"/>
  <c r="BV431" i="20"/>
  <c r="BV432" i="20"/>
  <c r="BV433" i="20"/>
  <c r="BV434" i="20"/>
  <c r="BV435" i="20"/>
  <c r="BV436" i="20"/>
  <c r="BZ423" i="20"/>
  <c r="BZ424" i="20"/>
  <c r="BZ425" i="20"/>
  <c r="BZ426" i="20"/>
  <c r="BZ427" i="20"/>
  <c r="BZ429" i="20"/>
  <c r="BZ430" i="20"/>
  <c r="BZ431" i="20"/>
  <c r="BZ432" i="20"/>
  <c r="BZ433" i="20"/>
  <c r="BZ434" i="20"/>
  <c r="BZ435" i="20"/>
  <c r="BZ436" i="20"/>
  <c r="CD423" i="20"/>
  <c r="CD424" i="20"/>
  <c r="CD425" i="20"/>
  <c r="CD426" i="20"/>
  <c r="CD427" i="20"/>
  <c r="CD428" i="20"/>
  <c r="CD429" i="20"/>
  <c r="CD430" i="20"/>
  <c r="CD431" i="20"/>
  <c r="CD432" i="20"/>
  <c r="CD433" i="20"/>
  <c r="CD434" i="20"/>
  <c r="CD435" i="20"/>
  <c r="CD436" i="20"/>
  <c r="CH423" i="20"/>
  <c r="CH424" i="20"/>
  <c r="CH425" i="20"/>
  <c r="CH426" i="20"/>
  <c r="CH427" i="20"/>
  <c r="CH428" i="20"/>
  <c r="CH429" i="20"/>
  <c r="CH430" i="20"/>
  <c r="CH431" i="20"/>
  <c r="CH432" i="20"/>
  <c r="CH433" i="20"/>
  <c r="CH434" i="20"/>
  <c r="CH435" i="20"/>
  <c r="CH436" i="20"/>
  <c r="CL423" i="20"/>
  <c r="CL424" i="20"/>
  <c r="CL425" i="20"/>
  <c r="CL426" i="20"/>
  <c r="CL427" i="20"/>
  <c r="CL428" i="20"/>
  <c r="CL429" i="20"/>
  <c r="CL430" i="20"/>
  <c r="CL431" i="20"/>
  <c r="CL432" i="20"/>
  <c r="CL433" i="20"/>
  <c r="CL434" i="20"/>
  <c r="CL435" i="20"/>
  <c r="CL436" i="20"/>
  <c r="CP423" i="20"/>
  <c r="CP424" i="20"/>
  <c r="CP425" i="20"/>
  <c r="CP426" i="20"/>
  <c r="CP427" i="20"/>
  <c r="CP428" i="20"/>
  <c r="CP429" i="20"/>
  <c r="CP430" i="20"/>
  <c r="CP431" i="20"/>
  <c r="CP432" i="20"/>
  <c r="CP433" i="20"/>
  <c r="CP434" i="20"/>
  <c r="CP435" i="20"/>
  <c r="CP436" i="20"/>
  <c r="CT423" i="20"/>
  <c r="CT424" i="20"/>
  <c r="CT425" i="20"/>
  <c r="CT426" i="20"/>
  <c r="CT427" i="20"/>
  <c r="CT428" i="20"/>
  <c r="CT429" i="20"/>
  <c r="CT430" i="20"/>
  <c r="CT431" i="20"/>
  <c r="CT432" i="20"/>
  <c r="CT433" i="20"/>
  <c r="CT434" i="20"/>
  <c r="CT435" i="20"/>
  <c r="CT436" i="20"/>
  <c r="CX423" i="20"/>
  <c r="CX424" i="20"/>
  <c r="CX425" i="20"/>
  <c r="CX426" i="20"/>
  <c r="CX427" i="20"/>
  <c r="CX428" i="20"/>
  <c r="CX429" i="20"/>
  <c r="CX430" i="20"/>
  <c r="CX431" i="20"/>
  <c r="CX432" i="20"/>
  <c r="CX433" i="20"/>
  <c r="CX434" i="20"/>
  <c r="CX435" i="20"/>
  <c r="CX436" i="20"/>
  <c r="DB423" i="20"/>
  <c r="DB424" i="20"/>
  <c r="DB425" i="20"/>
  <c r="DB426" i="20"/>
  <c r="DB427" i="20"/>
  <c r="DB428" i="20"/>
  <c r="DB429" i="20"/>
  <c r="DB430" i="20"/>
  <c r="DB431" i="20"/>
  <c r="DB432" i="20"/>
  <c r="DB433" i="20"/>
  <c r="DB434" i="20"/>
  <c r="DB435" i="20"/>
  <c r="DB436" i="20"/>
  <c r="AX401" i="20"/>
  <c r="AX405" i="20"/>
  <c r="BB401" i="20"/>
  <c r="BB405" i="20"/>
  <c r="BF405" i="20"/>
  <c r="BJ401" i="20"/>
  <c r="BJ405" i="20"/>
  <c r="BN401" i="20"/>
  <c r="BN405" i="20"/>
  <c r="BR401" i="20"/>
  <c r="BR405" i="20"/>
  <c r="BV401" i="20"/>
  <c r="BV405" i="20"/>
  <c r="BZ401" i="20"/>
  <c r="BZ405" i="20"/>
  <c r="CD401" i="20"/>
  <c r="CD405" i="20"/>
  <c r="CH401" i="20"/>
  <c r="CH405" i="20"/>
  <c r="CL401" i="20"/>
  <c r="CL405" i="20"/>
  <c r="CP401" i="20"/>
  <c r="CP405" i="20"/>
  <c r="CT401" i="20"/>
  <c r="CT405" i="20"/>
  <c r="CX401" i="20"/>
  <c r="CX405" i="20"/>
  <c r="DB401" i="20"/>
  <c r="DB405" i="20"/>
  <c r="A364" i="20"/>
  <c r="A365" i="20"/>
  <c r="A366" i="20"/>
  <c r="A367" i="20"/>
  <c r="A368" i="20"/>
  <c r="A369" i="20"/>
  <c r="AR395" i="20"/>
  <c r="AS395" i="20"/>
  <c r="AV395" i="20"/>
  <c r="AW395" i="20"/>
  <c r="AZ395" i="20"/>
  <c r="BA395" i="20"/>
  <c r="BD395" i="20"/>
  <c r="BE395" i="20"/>
  <c r="BH395" i="20"/>
  <c r="BI395" i="20"/>
  <c r="BL395" i="20"/>
  <c r="BM395" i="20"/>
  <c r="BP395" i="20"/>
  <c r="BQ395" i="20"/>
  <c r="BT395" i="20"/>
  <c r="BU395" i="20"/>
  <c r="BX395" i="20"/>
  <c r="BY395" i="20"/>
  <c r="CB395" i="20"/>
  <c r="CC395" i="20"/>
  <c r="CF395" i="20"/>
  <c r="CG395" i="20"/>
  <c r="CJ395" i="20"/>
  <c r="CK395" i="20"/>
  <c r="CN395" i="20"/>
  <c r="CO395" i="20"/>
  <c r="CR395" i="20"/>
  <c r="CS395" i="20"/>
  <c r="CV395" i="20"/>
  <c r="CW395" i="20"/>
  <c r="CZ395" i="20"/>
  <c r="DA395" i="20"/>
  <c r="DJ395" i="20"/>
  <c r="DN395" i="20"/>
  <c r="AR396" i="20"/>
  <c r="AS396" i="20"/>
  <c r="AV396" i="20"/>
  <c r="AW396" i="20"/>
  <c r="AZ396" i="20"/>
  <c r="BA396" i="20"/>
  <c r="BM396" i="20"/>
  <c r="BP396" i="20"/>
  <c r="BQ396" i="20"/>
  <c r="BT396" i="20"/>
  <c r="BU396" i="20"/>
  <c r="BX396" i="20"/>
  <c r="CB396" i="20"/>
  <c r="CC396" i="20"/>
  <c r="CF396" i="20"/>
  <c r="CG396" i="20"/>
  <c r="CJ396" i="20"/>
  <c r="CK396" i="20"/>
  <c r="CN396" i="20"/>
  <c r="CO396" i="20"/>
  <c r="CR396" i="20"/>
  <c r="CS396" i="20"/>
  <c r="CV396" i="20"/>
  <c r="CW396" i="20"/>
  <c r="CZ396" i="20"/>
  <c r="AP400" i="20"/>
  <c r="AT401" i="20"/>
  <c r="AX402" i="20"/>
  <c r="BB402" i="20"/>
  <c r="BJ402" i="20"/>
  <c r="BN402" i="20"/>
  <c r="BR402" i="20"/>
  <c r="BV402" i="20"/>
  <c r="BZ402" i="20"/>
  <c r="CD402" i="20"/>
  <c r="CH402" i="20"/>
  <c r="CL402" i="20"/>
  <c r="CP402" i="20"/>
  <c r="CT402" i="20"/>
  <c r="CX402" i="20"/>
  <c r="DB402" i="20"/>
  <c r="AX403" i="20"/>
  <c r="BB403" i="20"/>
  <c r="BF403" i="20"/>
  <c r="BJ403" i="20"/>
  <c r="BN403" i="20"/>
  <c r="BR403" i="20"/>
  <c r="BV403" i="20"/>
  <c r="BZ403" i="20"/>
  <c r="CD403" i="20"/>
  <c r="CH403" i="20"/>
  <c r="CL403" i="20"/>
  <c r="CP403" i="20"/>
  <c r="CT403" i="20"/>
  <c r="CX403" i="20"/>
  <c r="DB403" i="20"/>
  <c r="AP404" i="20"/>
  <c r="AT404" i="20"/>
  <c r="AX406" i="20"/>
  <c r="BB406" i="20"/>
  <c r="BF406" i="20"/>
  <c r="BJ406" i="20"/>
  <c r="BN406" i="20"/>
  <c r="BR406" i="20"/>
  <c r="BV406" i="20"/>
  <c r="BZ406" i="20"/>
  <c r="CD406" i="20"/>
  <c r="CH406" i="20"/>
  <c r="CL406" i="20"/>
  <c r="CP406" i="20"/>
  <c r="CT406" i="20"/>
  <c r="CX406" i="20"/>
  <c r="DB406" i="20"/>
  <c r="AX407" i="20"/>
  <c r="BB407" i="20"/>
  <c r="BF407" i="20"/>
  <c r="BJ407" i="20"/>
  <c r="BN407" i="20"/>
  <c r="BR407" i="20"/>
  <c r="BV407" i="20"/>
  <c r="BZ407" i="20"/>
  <c r="CD407" i="20"/>
  <c r="CH407" i="20"/>
  <c r="CL407" i="20"/>
  <c r="CP407" i="20"/>
  <c r="CT407" i="20"/>
  <c r="CX407" i="20"/>
  <c r="DB407" i="20"/>
  <c r="AX408" i="20"/>
  <c r="AX440" i="20" s="1"/>
  <c r="BB408" i="20"/>
  <c r="BB440" i="20" s="1"/>
  <c r="BF408" i="20"/>
  <c r="BF440" i="20" s="1"/>
  <c r="BJ408" i="20"/>
  <c r="BJ440" i="20" s="1"/>
  <c r="BN408" i="20"/>
  <c r="BN440" i="20" s="1"/>
  <c r="BR408" i="20"/>
  <c r="BR440" i="20" s="1"/>
  <c r="BV408" i="20"/>
  <c r="BV440" i="20" s="1"/>
  <c r="BZ408" i="20"/>
  <c r="BZ440" i="20" s="1"/>
  <c r="CD408" i="20"/>
  <c r="CD440" i="20" s="1"/>
  <c r="CH408" i="20"/>
  <c r="CH440" i="20" s="1"/>
  <c r="CL408" i="20"/>
  <c r="CL440" i="20" s="1"/>
  <c r="CP408" i="20"/>
  <c r="CP440" i="20" s="1"/>
  <c r="CT408" i="20"/>
  <c r="CT440" i="20" s="1"/>
  <c r="CX408" i="20"/>
  <c r="CX440" i="20" s="1"/>
  <c r="DB408" i="20"/>
  <c r="DB440" i="20" s="1"/>
  <c r="DJ408" i="20"/>
  <c r="DJ440" i="20" s="1"/>
  <c r="DN408" i="20"/>
  <c r="AX409" i="20"/>
  <c r="BB409" i="20"/>
  <c r="BF409" i="20"/>
  <c r="BF441" i="20" s="1"/>
  <c r="BJ409" i="20"/>
  <c r="BJ441" i="20" s="1"/>
  <c r="BN409" i="20"/>
  <c r="BN441" i="20" s="1"/>
  <c r="BR409" i="20"/>
  <c r="BR441" i="20" s="1"/>
  <c r="BV409" i="20"/>
  <c r="BV441" i="20" s="1"/>
  <c r="BZ409" i="20"/>
  <c r="BZ441" i="20" s="1"/>
  <c r="CD409" i="20"/>
  <c r="CD441" i="20" s="1"/>
  <c r="CH409" i="20"/>
  <c r="CH441" i="20" s="1"/>
  <c r="CL409" i="20"/>
  <c r="CL441" i="20" s="1"/>
  <c r="CP409" i="20"/>
  <c r="CP441" i="20" s="1"/>
  <c r="CT409" i="20"/>
  <c r="CT441" i="20" s="1"/>
  <c r="CX409" i="20"/>
  <c r="CX441" i="20" s="1"/>
  <c r="DB409" i="20"/>
  <c r="DB441" i="20" s="1"/>
  <c r="AT410" i="20"/>
  <c r="AX410" i="20"/>
  <c r="BB410" i="20"/>
  <c r="BF410" i="20"/>
  <c r="BF442" i="20" s="1"/>
  <c r="BV410" i="20"/>
  <c r="BV442" i="20" s="1"/>
  <c r="BZ410" i="20"/>
  <c r="BZ442" i="20" s="1"/>
  <c r="CD410" i="20"/>
  <c r="CH410" i="20"/>
  <c r="CH442" i="20" s="1"/>
  <c r="CL410" i="20"/>
  <c r="CP410" i="20"/>
  <c r="CP442" i="20" s="1"/>
  <c r="CT410" i="20"/>
  <c r="CX410" i="20"/>
  <c r="CX442" i="20" s="1"/>
  <c r="DB410" i="20"/>
  <c r="DB442" i="20" s="1"/>
  <c r="A414" i="20"/>
  <c r="A415" i="20"/>
  <c r="A416" i="20"/>
  <c r="AW416" i="20"/>
  <c r="AZ416" i="20"/>
  <c r="BA416" i="20"/>
  <c r="BD416" i="20"/>
  <c r="BE416" i="20"/>
  <c r="BH416" i="20"/>
  <c r="BI416" i="20"/>
  <c r="BL416" i="20"/>
  <c r="BM416" i="20"/>
  <c r="BP416" i="20"/>
  <c r="BQ416" i="20"/>
  <c r="A417" i="20"/>
  <c r="BT417" i="20"/>
  <c r="BU417" i="20"/>
  <c r="BX417" i="20"/>
  <c r="BY417" i="20"/>
  <c r="CB417" i="20"/>
  <c r="CC417" i="20"/>
  <c r="CF417" i="20"/>
  <c r="CG417" i="20"/>
  <c r="CJ417" i="20"/>
  <c r="CK417" i="20"/>
  <c r="CN417" i="20"/>
  <c r="CO417" i="20"/>
  <c r="CR417" i="20"/>
  <c r="CS417" i="20"/>
  <c r="CV417" i="20"/>
  <c r="CW417" i="20"/>
  <c r="CZ417" i="20"/>
  <c r="DA417" i="20"/>
  <c r="A418" i="20"/>
  <c r="DA420" i="20"/>
  <c r="DE421" i="20" s="1"/>
  <c r="AP437" i="20"/>
  <c r="AT437" i="20"/>
  <c r="A440" i="20"/>
  <c r="AV440" i="20"/>
  <c r="AW440" i="20"/>
  <c r="AZ440" i="20"/>
  <c r="BA440" i="20"/>
  <c r="BD440" i="20"/>
  <c r="BE440" i="20"/>
  <c r="BH440" i="20"/>
  <c r="BI440" i="20"/>
  <c r="BL440" i="20"/>
  <c r="BM440" i="20"/>
  <c r="BP440" i="20"/>
  <c r="BQ440" i="20"/>
  <c r="BT440" i="20"/>
  <c r="BU440" i="20"/>
  <c r="BX440" i="20"/>
  <c r="BY440" i="20"/>
  <c r="CB440" i="20"/>
  <c r="CC440" i="20"/>
  <c r="CF440" i="20"/>
  <c r="CG440" i="20"/>
  <c r="CJ440" i="20"/>
  <c r="CK440" i="20"/>
  <c r="CN440" i="20"/>
  <c r="CO440" i="20"/>
  <c r="CR440" i="20"/>
  <c r="CS440" i="20"/>
  <c r="CV440" i="20"/>
  <c r="CW440" i="20"/>
  <c r="CZ440" i="20"/>
  <c r="DA440" i="20"/>
  <c r="DI440" i="20"/>
  <c r="DL440" i="20"/>
  <c r="DM440" i="20"/>
  <c r="A441" i="20"/>
  <c r="AV441" i="20"/>
  <c r="AW441" i="20"/>
  <c r="AZ441" i="20"/>
  <c r="BA441" i="20"/>
  <c r="BD441" i="20"/>
  <c r="BE441" i="20"/>
  <c r="BH441" i="20"/>
  <c r="BI441" i="20"/>
  <c r="BL441" i="20"/>
  <c r="BM441" i="20"/>
  <c r="BP441" i="20"/>
  <c r="BQ441" i="20"/>
  <c r="BT441" i="20"/>
  <c r="BU441" i="20"/>
  <c r="BX441" i="20"/>
  <c r="BY441" i="20"/>
  <c r="CB441" i="20"/>
  <c r="CC441" i="20"/>
  <c r="CF441" i="20"/>
  <c r="CG441" i="20"/>
  <c r="CJ441" i="20"/>
  <c r="CK441" i="20"/>
  <c r="CN441" i="20"/>
  <c r="CO441" i="20"/>
  <c r="CR441" i="20"/>
  <c r="CS441" i="20"/>
  <c r="CV441" i="20"/>
  <c r="CW441" i="20"/>
  <c r="CZ441" i="20"/>
  <c r="DA441" i="20"/>
  <c r="A442" i="20"/>
  <c r="AV442" i="20"/>
  <c r="AW442" i="20"/>
  <c r="AZ442" i="20"/>
  <c r="BA442" i="20"/>
  <c r="BD442" i="20"/>
  <c r="BE442" i="20"/>
  <c r="BQ442" i="20"/>
  <c r="BT442" i="20"/>
  <c r="BU442" i="20"/>
  <c r="BX442" i="20"/>
  <c r="BY442" i="20"/>
  <c r="CB442" i="20"/>
  <c r="CC442" i="20"/>
  <c r="CF442" i="20"/>
  <c r="CG442" i="20"/>
  <c r="CJ442" i="20"/>
  <c r="CK442" i="20"/>
  <c r="CN442" i="20"/>
  <c r="CO442" i="20"/>
  <c r="CR442" i="20"/>
  <c r="CS442" i="20"/>
  <c r="CV442" i="20"/>
  <c r="CW442" i="20"/>
  <c r="CZ442" i="20"/>
  <c r="DA442" i="20"/>
  <c r="A446" i="20"/>
  <c r="AV446" i="20"/>
  <c r="AW446" i="20"/>
  <c r="AZ446" i="20"/>
  <c r="BA446" i="20"/>
  <c r="BD446" i="20"/>
  <c r="BE446" i="20"/>
  <c r="BH446" i="20"/>
  <c r="BI446" i="20"/>
  <c r="BL446" i="20"/>
  <c r="BM446" i="20"/>
  <c r="BP446" i="20"/>
  <c r="BQ446" i="20"/>
  <c r="BT446" i="20"/>
  <c r="BU446" i="20"/>
  <c r="BX446" i="20"/>
  <c r="BY446" i="20"/>
  <c r="CB446" i="20"/>
  <c r="CC446" i="20"/>
  <c r="CF446" i="20"/>
  <c r="CG446" i="20"/>
  <c r="CJ446" i="20"/>
  <c r="CK446" i="20"/>
  <c r="CN446" i="20"/>
  <c r="CO446" i="20"/>
  <c r="CR446" i="20"/>
  <c r="CS446" i="20"/>
  <c r="CV446" i="20"/>
  <c r="CW446" i="20"/>
  <c r="CZ446" i="20"/>
  <c r="DA446" i="20"/>
  <c r="A447" i="20"/>
  <c r="AV447" i="20"/>
  <c r="AW447" i="20"/>
  <c r="AZ447" i="20"/>
  <c r="BA447" i="20"/>
  <c r="BM447" i="20"/>
  <c r="BP447" i="20"/>
  <c r="BQ447" i="20"/>
  <c r="BT447" i="20"/>
  <c r="BU447" i="20"/>
  <c r="BX447" i="20"/>
  <c r="CB447" i="20"/>
  <c r="CC447" i="20"/>
  <c r="CF447" i="20"/>
  <c r="CG447" i="20"/>
  <c r="CJ447" i="20"/>
  <c r="CK447" i="20"/>
  <c r="CN447" i="20"/>
  <c r="CO447" i="20"/>
  <c r="CR447" i="20"/>
  <c r="CS447" i="20"/>
  <c r="CV447" i="20"/>
  <c r="CW447" i="20"/>
  <c r="CZ447" i="20"/>
  <c r="DA447" i="20"/>
  <c r="A448" i="20"/>
  <c r="AV448" i="20"/>
  <c r="AW448" i="20"/>
  <c r="AZ448" i="20"/>
  <c r="BA448" i="20"/>
  <c r="BD448" i="20"/>
  <c r="BE448" i="20"/>
  <c r="BH448" i="20"/>
  <c r="BI448" i="20"/>
  <c r="BL448" i="20"/>
  <c r="BM448" i="20"/>
  <c r="BP448" i="20"/>
  <c r="BQ448" i="20"/>
  <c r="BT448" i="20"/>
  <c r="BU448" i="20"/>
  <c r="BX448" i="20"/>
  <c r="CB448" i="20"/>
  <c r="CC448" i="20"/>
  <c r="CF448" i="20"/>
  <c r="CG448" i="20"/>
  <c r="CJ448" i="20"/>
  <c r="CK448" i="20"/>
  <c r="CN448" i="20"/>
  <c r="CO448" i="20"/>
  <c r="CR448" i="20"/>
  <c r="CS448" i="20"/>
  <c r="CV448" i="20"/>
  <c r="CW448" i="20"/>
  <c r="CZ448" i="20"/>
  <c r="DA448" i="20"/>
  <c r="A449" i="20"/>
  <c r="A450" i="20"/>
  <c r="AV450" i="20"/>
  <c r="AW450" i="20"/>
  <c r="AZ450" i="20"/>
  <c r="BA450" i="20"/>
  <c r="BD450" i="20"/>
  <c r="BE450" i="20"/>
  <c r="BH450" i="20"/>
  <c r="BI450" i="20"/>
  <c r="BL450" i="20"/>
  <c r="BM450" i="20"/>
  <c r="BP450" i="20"/>
  <c r="BQ450" i="20"/>
  <c r="BT450" i="20"/>
  <c r="BU450" i="20"/>
  <c r="BX450" i="20"/>
  <c r="CB450" i="20"/>
  <c r="CC450" i="20"/>
  <c r="CF450" i="20"/>
  <c r="CG450" i="20"/>
  <c r="CJ450" i="20"/>
  <c r="CK450" i="20"/>
  <c r="CN450" i="20"/>
  <c r="CO450" i="20"/>
  <c r="CR450" i="20"/>
  <c r="CS450" i="20"/>
  <c r="CV450" i="20"/>
  <c r="CW450" i="20"/>
  <c r="CZ450" i="20"/>
  <c r="DA450" i="20"/>
  <c r="A454" i="20"/>
  <c r="A459" i="20" s="1"/>
  <c r="AN454" i="20"/>
  <c r="AO454" i="20"/>
  <c r="AP454" i="20"/>
  <c r="AV454" i="20"/>
  <c r="AW454" i="20"/>
  <c r="AZ454" i="20"/>
  <c r="BA454" i="20"/>
  <c r="BE454" i="20"/>
  <c r="BH454" i="20"/>
  <c r="BI454" i="20"/>
  <c r="BL454" i="20"/>
  <c r="BM454" i="20"/>
  <c r="BP454" i="20"/>
  <c r="BQ454" i="20"/>
  <c r="BT454" i="20"/>
  <c r="BU454" i="20"/>
  <c r="BX454" i="20"/>
  <c r="BY454" i="20"/>
  <c r="CB454" i="20"/>
  <c r="CC454" i="20"/>
  <c r="CF454" i="20"/>
  <c r="CG454" i="20"/>
  <c r="CJ454" i="20"/>
  <c r="CK454" i="20"/>
  <c r="CN454" i="20"/>
  <c r="CO454" i="20"/>
  <c r="CR454" i="20"/>
  <c r="CS454" i="20"/>
  <c r="CV454" i="20"/>
  <c r="CW454" i="20"/>
  <c r="A455" i="20"/>
  <c r="A460" i="20" s="1"/>
  <c r="AN455" i="20"/>
  <c r="AO455" i="20"/>
  <c r="AP455" i="20"/>
  <c r="AV455" i="20"/>
  <c r="AW455" i="20"/>
  <c r="AZ455" i="20"/>
  <c r="BA455" i="20"/>
  <c r="BD455" i="20"/>
  <c r="BE455" i="20"/>
  <c r="BH455" i="20"/>
  <c r="BI455" i="20"/>
  <c r="BL455" i="20"/>
  <c r="BM455" i="20"/>
  <c r="BP455" i="20"/>
  <c r="BQ455" i="20"/>
  <c r="BT455" i="20"/>
  <c r="BU455" i="20"/>
  <c r="BX455" i="20"/>
  <c r="BY455" i="20"/>
  <c r="CB455" i="20"/>
  <c r="CC455" i="20"/>
  <c r="CF455" i="20"/>
  <c r="CG455" i="20"/>
  <c r="CJ455" i="20"/>
  <c r="CK455" i="20"/>
  <c r="CN455" i="20"/>
  <c r="CO455" i="20"/>
  <c r="CR455" i="20"/>
  <c r="CS455" i="20"/>
  <c r="CV455" i="20"/>
  <c r="CW455" i="20"/>
  <c r="CZ455" i="20"/>
  <c r="DD460" i="20" s="1"/>
  <c r="DA455" i="20"/>
  <c r="DE460" i="20" s="1"/>
  <c r="A456" i="20"/>
  <c r="A461" i="20" s="1"/>
  <c r="AN456" i="20"/>
  <c r="AO456" i="20"/>
  <c r="AP456" i="20"/>
  <c r="AV456" i="20"/>
  <c r="AW456" i="20"/>
  <c r="AZ456" i="20"/>
  <c r="BA456" i="20"/>
  <c r="BE456" i="20"/>
  <c r="BH456" i="20"/>
  <c r="BI456" i="20"/>
  <c r="BL456" i="20"/>
  <c r="BM456" i="20"/>
  <c r="BP456" i="20"/>
  <c r="BQ456" i="20"/>
  <c r="BT456" i="20"/>
  <c r="BU456" i="20"/>
  <c r="BX456" i="20"/>
  <c r="BY456" i="20"/>
  <c r="CB456" i="20"/>
  <c r="CC456" i="20"/>
  <c r="CF456" i="20"/>
  <c r="CG456" i="20"/>
  <c r="CJ456" i="20"/>
  <c r="CK456" i="20"/>
  <c r="CN456" i="20"/>
  <c r="CO456" i="20"/>
  <c r="CR456" i="20"/>
  <c r="CS456" i="20"/>
  <c r="CV456" i="20"/>
  <c r="CW456" i="20"/>
  <c r="A462" i="20"/>
  <c r="AT469" i="20"/>
  <c r="AX469" i="20"/>
  <c r="BB469" i="20"/>
  <c r="BB498" i="20" s="1"/>
  <c r="BF469" i="20"/>
  <c r="BF498" i="20" s="1"/>
  <c r="BJ469" i="20"/>
  <c r="BN469" i="20"/>
  <c r="BN498" i="20" s="1"/>
  <c r="BR469" i="20"/>
  <c r="BR498" i="20" s="1"/>
  <c r="BV469" i="20"/>
  <c r="BV498" i="20" s="1"/>
  <c r="CD469" i="20"/>
  <c r="CD498" i="20" s="1"/>
  <c r="AT470" i="20"/>
  <c r="AT507" i="20" s="1"/>
  <c r="AX470" i="20"/>
  <c r="AX507" i="20" s="1"/>
  <c r="BB470" i="20"/>
  <c r="BB507" i="20" s="1"/>
  <c r="BJ470" i="20"/>
  <c r="BJ507" i="20" s="1"/>
  <c r="BJ115" i="10" s="1"/>
  <c r="BN470" i="20"/>
  <c r="BN507" i="20" s="1"/>
  <c r="BN115" i="10" s="1"/>
  <c r="BR470" i="20"/>
  <c r="BR507" i="20" s="1"/>
  <c r="BR115" i="10" s="1"/>
  <c r="BV470" i="20"/>
  <c r="BV507" i="20" s="1"/>
  <c r="BV115" i="10" s="1"/>
  <c r="CD470" i="20"/>
  <c r="CD507" i="20" s="1"/>
  <c r="CD115" i="10" s="1"/>
  <c r="AT471" i="20"/>
  <c r="AT499" i="20" s="1"/>
  <c r="AX471" i="20"/>
  <c r="AX499" i="20" s="1"/>
  <c r="BB471" i="20"/>
  <c r="BB499" i="20" s="1"/>
  <c r="BF471" i="20"/>
  <c r="BF499" i="20" s="1"/>
  <c r="BR471" i="20"/>
  <c r="BR499" i="20" s="1"/>
  <c r="BV471" i="20"/>
  <c r="BV499" i="20" s="1"/>
  <c r="BZ471" i="20"/>
  <c r="BZ499" i="20" s="1"/>
  <c r="CD471" i="20"/>
  <c r="CD499" i="20" s="1"/>
  <c r="AT472" i="20"/>
  <c r="AX472" i="20"/>
  <c r="BB472" i="20"/>
  <c r="BF472" i="20"/>
  <c r="BJ472" i="20"/>
  <c r="BN472" i="20"/>
  <c r="BR472" i="20"/>
  <c r="BV472" i="20"/>
  <c r="BZ472" i="20"/>
  <c r="CD472" i="20"/>
  <c r="AT474" i="20"/>
  <c r="AX474" i="20"/>
  <c r="BB474" i="20"/>
  <c r="BF474" i="20"/>
  <c r="BJ474" i="20"/>
  <c r="BN474" i="20"/>
  <c r="BR474" i="20"/>
  <c r="BV474" i="20"/>
  <c r="CD474" i="20"/>
  <c r="AN475" i="20"/>
  <c r="AO475" i="20"/>
  <c r="AR475" i="20"/>
  <c r="AS475" i="20"/>
  <c r="AT477" i="20"/>
  <c r="AX477" i="20"/>
  <c r="AX531" i="20" s="1"/>
  <c r="BB477" i="20"/>
  <c r="BJ477" i="20"/>
  <c r="BN477" i="20"/>
  <c r="BR477" i="20"/>
  <c r="BV477" i="20"/>
  <c r="BZ477" i="20"/>
  <c r="CD477" i="20"/>
  <c r="AT478" i="20"/>
  <c r="AT532" i="20" s="1"/>
  <c r="AX478" i="20"/>
  <c r="AX532" i="20" s="1"/>
  <c r="BB478" i="20"/>
  <c r="BB532" i="20" s="1"/>
  <c r="BF478" i="20"/>
  <c r="BF532" i="20" s="1"/>
  <c r="BJ478" i="20"/>
  <c r="BJ1132" i="10" s="1"/>
  <c r="BN478" i="20"/>
  <c r="BR478" i="20"/>
  <c r="BV478" i="20"/>
  <c r="BV1132" i="10" s="1"/>
  <c r="BZ478" i="20"/>
  <c r="BZ958" i="10" s="1"/>
  <c r="CD478" i="20"/>
  <c r="CD958" i="10" s="1"/>
  <c r="AR479" i="20"/>
  <c r="AR1176" i="10" s="1"/>
  <c r="AS479" i="20"/>
  <c r="AS1176" i="10" s="1"/>
  <c r="AX479" i="20"/>
  <c r="AX533" i="20" s="1"/>
  <c r="BB479" i="20"/>
  <c r="BB533" i="20" s="1"/>
  <c r="BJ479" i="20"/>
  <c r="BJ1176" i="10" s="1"/>
  <c r="BN479" i="20"/>
  <c r="BR479" i="20"/>
  <c r="BR1176" i="10" s="1"/>
  <c r="BV479" i="20"/>
  <c r="BV1176" i="10" s="1"/>
  <c r="BZ479" i="20"/>
  <c r="CD479" i="20"/>
  <c r="CD947" i="10" s="1"/>
  <c r="AN480" i="20"/>
  <c r="AO480" i="20"/>
  <c r="BB482" i="20"/>
  <c r="BB433" i="42" s="1"/>
  <c r="BF482" i="20"/>
  <c r="BF433" i="42" s="1"/>
  <c r="BJ482" i="20"/>
  <c r="BJ433" i="42" s="1"/>
  <c r="BN482" i="20"/>
  <c r="BN433" i="42" s="1"/>
  <c r="BR482" i="20"/>
  <c r="BR433" i="42" s="1"/>
  <c r="BV482" i="20"/>
  <c r="BV433" i="42" s="1"/>
  <c r="BZ482" i="20"/>
  <c r="BZ433" i="42" s="1"/>
  <c r="CD482" i="20"/>
  <c r="CD433" i="42" s="1"/>
  <c r="A486" i="20"/>
  <c r="A487" i="20"/>
  <c r="A488" i="20"/>
  <c r="AV491" i="20"/>
  <c r="AW491" i="20"/>
  <c r="AZ491" i="20"/>
  <c r="BA491" i="20"/>
  <c r="BE491" i="20"/>
  <c r="BH491" i="20"/>
  <c r="BI491" i="20"/>
  <c r="BL491" i="20"/>
  <c r="BM491" i="20"/>
  <c r="BP491" i="20"/>
  <c r="BQ491" i="20"/>
  <c r="BT491" i="20"/>
  <c r="BU491" i="20"/>
  <c r="BX491" i="20"/>
  <c r="CB491" i="20"/>
  <c r="CC491" i="20"/>
  <c r="AV492" i="20"/>
  <c r="AW492" i="20"/>
  <c r="AZ492" i="20"/>
  <c r="BA492" i="20"/>
  <c r="BD492" i="20"/>
  <c r="BE492" i="20"/>
  <c r="BT492" i="20"/>
  <c r="BU492" i="20"/>
  <c r="BX492" i="20"/>
  <c r="CB492" i="20"/>
  <c r="CC492" i="20"/>
  <c r="AN498" i="20"/>
  <c r="AO498" i="20"/>
  <c r="AP498" i="20"/>
  <c r="AR498" i="20"/>
  <c r="AS498" i="20"/>
  <c r="AV498" i="20"/>
  <c r="AW498" i="20"/>
  <c r="AZ498" i="20"/>
  <c r="BA498" i="20"/>
  <c r="BD498" i="20"/>
  <c r="BE498" i="20"/>
  <c r="BH498" i="20"/>
  <c r="BI498" i="20"/>
  <c r="BL498" i="20"/>
  <c r="BM498" i="20"/>
  <c r="BP498" i="20"/>
  <c r="BQ498" i="20"/>
  <c r="BT498" i="20"/>
  <c r="BU498" i="20"/>
  <c r="BX498" i="20"/>
  <c r="CB498" i="20"/>
  <c r="CC498" i="20"/>
  <c r="AN499" i="20"/>
  <c r="AO499" i="20"/>
  <c r="AP499" i="20"/>
  <c r="AR499" i="20"/>
  <c r="AS499" i="20"/>
  <c r="AV499" i="20"/>
  <c r="AW499" i="20"/>
  <c r="AZ499" i="20"/>
  <c r="BA499" i="20"/>
  <c r="BD499" i="20"/>
  <c r="BE499" i="20"/>
  <c r="BM499" i="20"/>
  <c r="BP499" i="20"/>
  <c r="BQ499" i="20"/>
  <c r="BT499" i="20"/>
  <c r="BU499" i="20"/>
  <c r="BX499" i="20"/>
  <c r="BY499" i="20"/>
  <c r="CB499" i="20"/>
  <c r="CC499" i="20"/>
  <c r="A502" i="20"/>
  <c r="A503" i="20"/>
  <c r="A504" i="20"/>
  <c r="AR507" i="20"/>
  <c r="AS507" i="20"/>
  <c r="AV507" i="20"/>
  <c r="AW507" i="20"/>
  <c r="AZ507" i="20"/>
  <c r="BA507" i="20"/>
  <c r="BE507" i="20"/>
  <c r="BE115" i="10" s="1"/>
  <c r="BH507" i="20"/>
  <c r="BH115" i="10" s="1"/>
  <c r="BI507" i="20"/>
  <c r="BI115" i="10" s="1"/>
  <c r="BL507" i="20"/>
  <c r="BL115" i="10" s="1"/>
  <c r="BM507" i="20"/>
  <c r="BM115" i="10" s="1"/>
  <c r="BP507" i="20"/>
  <c r="BP115" i="10" s="1"/>
  <c r="BQ507" i="20"/>
  <c r="BQ115" i="10" s="1"/>
  <c r="BT507" i="20"/>
  <c r="BT115" i="10" s="1"/>
  <c r="BU507" i="20"/>
  <c r="BU115" i="10" s="1"/>
  <c r="BX507" i="20"/>
  <c r="BX115" i="10" s="1"/>
  <c r="CB507" i="20"/>
  <c r="CB115" i="10" s="1"/>
  <c r="CC507" i="20"/>
  <c r="CC115" i="10" s="1"/>
  <c r="AS508" i="20"/>
  <c r="AV508" i="20"/>
  <c r="AW508" i="20"/>
  <c r="AZ508" i="20"/>
  <c r="BA508" i="20"/>
  <c r="BH508" i="20"/>
  <c r="BI508" i="20"/>
  <c r="BL508" i="20"/>
  <c r="BM508" i="20"/>
  <c r="BP508" i="20"/>
  <c r="BQ508" i="20"/>
  <c r="BT508" i="20"/>
  <c r="BU508" i="20"/>
  <c r="BX508" i="20"/>
  <c r="CC508" i="20"/>
  <c r="AX511" i="20"/>
  <c r="BB511" i="20"/>
  <c r="BF511" i="20"/>
  <c r="BJ511" i="20"/>
  <c r="BN511" i="20"/>
  <c r="BR511" i="20"/>
  <c r="BV511" i="20"/>
  <c r="BZ511" i="20"/>
  <c r="CD511" i="20"/>
  <c r="AX512" i="20"/>
  <c r="BB512" i="20"/>
  <c r="BF512" i="20"/>
  <c r="BJ512" i="20"/>
  <c r="BN512" i="20"/>
  <c r="BR512" i="20"/>
  <c r="BV512" i="20"/>
  <c r="BZ512" i="20"/>
  <c r="CD512" i="20"/>
  <c r="AX513" i="20"/>
  <c r="BB513" i="20"/>
  <c r="BF513" i="20"/>
  <c r="BJ513" i="20"/>
  <c r="BN513" i="20"/>
  <c r="BR513" i="20"/>
  <c r="BV513" i="20"/>
  <c r="BZ513" i="20"/>
  <c r="CD513" i="20"/>
  <c r="AX514" i="20"/>
  <c r="BB514" i="20"/>
  <c r="BF514" i="20"/>
  <c r="BJ514" i="20"/>
  <c r="BN514" i="20"/>
  <c r="BR514" i="20"/>
  <c r="BV514" i="20"/>
  <c r="BZ514" i="20"/>
  <c r="CD514" i="20"/>
  <c r="AX515" i="20"/>
  <c r="BB515" i="20"/>
  <c r="BF515" i="20"/>
  <c r="BJ515" i="20"/>
  <c r="BN515" i="20"/>
  <c r="BR515" i="20"/>
  <c r="BV515" i="20"/>
  <c r="BZ515" i="20"/>
  <c r="CD515" i="20"/>
  <c r="AX516" i="20"/>
  <c r="BB516" i="20"/>
  <c r="BF516" i="20"/>
  <c r="BJ516" i="20"/>
  <c r="BN516" i="20"/>
  <c r="BR516" i="20"/>
  <c r="BV516" i="20"/>
  <c r="BZ516" i="20"/>
  <c r="CD516" i="20"/>
  <c r="AX517" i="20"/>
  <c r="BB517" i="20"/>
  <c r="BF517" i="20"/>
  <c r="BJ517" i="20"/>
  <c r="BN517" i="20"/>
  <c r="BR517" i="20"/>
  <c r="BV517" i="20"/>
  <c r="BZ517" i="20"/>
  <c r="CD517" i="20"/>
  <c r="AX518" i="20"/>
  <c r="BB518" i="20"/>
  <c r="BF518" i="20"/>
  <c r="BJ518" i="20"/>
  <c r="BN518" i="20"/>
  <c r="BR518" i="20"/>
  <c r="BV518" i="20"/>
  <c r="BZ518" i="20"/>
  <c r="CD518" i="20"/>
  <c r="AX519" i="20"/>
  <c r="BB519" i="20"/>
  <c r="BF519" i="20"/>
  <c r="BJ519" i="20"/>
  <c r="BN519" i="20"/>
  <c r="BR519" i="20"/>
  <c r="BV519" i="20"/>
  <c r="BZ519" i="20"/>
  <c r="CD519" i="20"/>
  <c r="AX520" i="20"/>
  <c r="BB520" i="20"/>
  <c r="BF520" i="20"/>
  <c r="BJ520" i="20"/>
  <c r="BN520" i="20"/>
  <c r="BR520" i="20"/>
  <c r="BV520" i="20"/>
  <c r="BZ520" i="20"/>
  <c r="CD520" i="20"/>
  <c r="AX521" i="20"/>
  <c r="BB521" i="20"/>
  <c r="BF521" i="20"/>
  <c r="BJ521" i="20"/>
  <c r="BN521" i="20"/>
  <c r="BR521" i="20"/>
  <c r="BV521" i="20"/>
  <c r="BZ521" i="20"/>
  <c r="CD521" i="20"/>
  <c r="AX522" i="20"/>
  <c r="BB522" i="20"/>
  <c r="BF522" i="20"/>
  <c r="BJ522" i="20"/>
  <c r="BN522" i="20"/>
  <c r="BR522" i="20"/>
  <c r="BV522" i="20"/>
  <c r="BZ522" i="20"/>
  <c r="CD522" i="20"/>
  <c r="AX523" i="20"/>
  <c r="BB523" i="20"/>
  <c r="BF523" i="20"/>
  <c r="BJ523" i="20"/>
  <c r="BN523" i="20"/>
  <c r="BR523" i="20"/>
  <c r="BV523" i="20"/>
  <c r="BZ523" i="20"/>
  <c r="CD523" i="20"/>
  <c r="AX524" i="20"/>
  <c r="BB524" i="20"/>
  <c r="BF524" i="20"/>
  <c r="BJ524" i="20"/>
  <c r="BV524" i="20"/>
  <c r="BZ524" i="20"/>
  <c r="CD524" i="20"/>
  <c r="AP525" i="20"/>
  <c r="AT525" i="20"/>
  <c r="BT528" i="20"/>
  <c r="BU528" i="20"/>
  <c r="BX528" i="20"/>
  <c r="BY528" i="20"/>
  <c r="CB528" i="20"/>
  <c r="CC528" i="20"/>
  <c r="A531" i="20"/>
  <c r="A536" i="20" s="1"/>
  <c r="AN531" i="20"/>
  <c r="AO531" i="20"/>
  <c r="AP531" i="20"/>
  <c r="AR531" i="20"/>
  <c r="AS531" i="20"/>
  <c r="AV531" i="20"/>
  <c r="AW531" i="20"/>
  <c r="AZ531" i="20"/>
  <c r="BA531" i="20"/>
  <c r="BE531" i="20"/>
  <c r="BH531" i="20"/>
  <c r="BI531" i="20"/>
  <c r="BL531" i="20"/>
  <c r="BM531" i="20"/>
  <c r="BP531" i="20"/>
  <c r="BQ531" i="20"/>
  <c r="BT531" i="20"/>
  <c r="BU531" i="20"/>
  <c r="BX531" i="20"/>
  <c r="BY531" i="20"/>
  <c r="CB531" i="20"/>
  <c r="CC531" i="20"/>
  <c r="A532" i="20"/>
  <c r="A537" i="20" s="1"/>
  <c r="AN532" i="20"/>
  <c r="AO532" i="20"/>
  <c r="AP532" i="20"/>
  <c r="AR532" i="20"/>
  <c r="AS532" i="20"/>
  <c r="AV532" i="20"/>
  <c r="AW532" i="20"/>
  <c r="AZ532" i="20"/>
  <c r="BA532" i="20"/>
  <c r="BD532" i="20"/>
  <c r="BE532" i="20"/>
  <c r="BH532" i="20"/>
  <c r="BI532" i="20"/>
  <c r="BL532" i="20"/>
  <c r="BM532" i="20"/>
  <c r="BP532" i="20"/>
  <c r="BQ532" i="20"/>
  <c r="BT532" i="20"/>
  <c r="BU532" i="20"/>
  <c r="BX532" i="20"/>
  <c r="BY532" i="20"/>
  <c r="CB532" i="20"/>
  <c r="CC532" i="20"/>
  <c r="A533" i="20"/>
  <c r="A538" i="20" s="1"/>
  <c r="AN533" i="20"/>
  <c r="AO533" i="20"/>
  <c r="AP533" i="20"/>
  <c r="AV533" i="20"/>
  <c r="AW533" i="20"/>
  <c r="AZ533" i="20"/>
  <c r="BA533" i="20"/>
  <c r="BE533" i="20"/>
  <c r="BH533" i="20"/>
  <c r="BI533" i="20"/>
  <c r="BL533" i="20"/>
  <c r="BM533" i="20"/>
  <c r="BP533" i="20"/>
  <c r="BQ533" i="20"/>
  <c r="BT533" i="20"/>
  <c r="BU533" i="20"/>
  <c r="BX533" i="20"/>
  <c r="BY533" i="20"/>
  <c r="CB533" i="20"/>
  <c r="CC533" i="20"/>
  <c r="A539" i="20"/>
  <c r="AP544" i="20"/>
  <c r="AP566" i="20" s="1"/>
  <c r="AT544" i="20"/>
  <c r="AX544" i="20"/>
  <c r="BB544" i="20"/>
  <c r="BB566" i="20" s="1"/>
  <c r="BF544" i="20"/>
  <c r="BF566" i="20" s="1"/>
  <c r="BJ544" i="20"/>
  <c r="BJ566" i="20" s="1"/>
  <c r="BN544" i="20"/>
  <c r="BN566" i="20" s="1"/>
  <c r="BR544" i="20"/>
  <c r="BR566" i="20" s="1"/>
  <c r="BV544" i="20"/>
  <c r="BV1267" i="10" s="1"/>
  <c r="BZ544" i="20"/>
  <c r="CD544" i="20"/>
  <c r="CD566" i="20" s="1"/>
  <c r="CH544" i="20"/>
  <c r="CH1267" i="10" s="1"/>
  <c r="CL544" i="20"/>
  <c r="CL566" i="20" s="1"/>
  <c r="CP544" i="20"/>
  <c r="CT544" i="20"/>
  <c r="CT566" i="20" s="1"/>
  <c r="CX544" i="20"/>
  <c r="DB544" i="20"/>
  <c r="DB566" i="20" s="1"/>
  <c r="DF570" i="20" s="1"/>
  <c r="AR627" i="20"/>
  <c r="AR545" i="20" s="1"/>
  <c r="AS627" i="20"/>
  <c r="AS545" i="20" s="1"/>
  <c r="AP546" i="20"/>
  <c r="AP567" i="20" s="1"/>
  <c r="AT546" i="20"/>
  <c r="AT567" i="20" s="1"/>
  <c r="AX546" i="20"/>
  <c r="AX567" i="20" s="1"/>
  <c r="BB546" i="20"/>
  <c r="BB567" i="20" s="1"/>
  <c r="BR546" i="20"/>
  <c r="BR567" i="20" s="1"/>
  <c r="BV546" i="20"/>
  <c r="BZ546" i="20"/>
  <c r="CD546" i="20"/>
  <c r="CH546" i="20"/>
  <c r="CL546" i="20"/>
  <c r="CP546" i="20"/>
  <c r="CT546" i="20"/>
  <c r="CX546" i="20"/>
  <c r="DB546" i="20"/>
  <c r="AT547" i="20"/>
  <c r="AX547" i="20"/>
  <c r="BB547" i="20"/>
  <c r="BF547" i="20"/>
  <c r="BJ547" i="20"/>
  <c r="BN547" i="20"/>
  <c r="BR547" i="20"/>
  <c r="BV547" i="20"/>
  <c r="BZ547" i="20"/>
  <c r="CD547" i="20"/>
  <c r="CH547" i="20"/>
  <c r="CL547" i="20"/>
  <c r="CP547" i="20"/>
  <c r="CT547" i="20"/>
  <c r="CX547" i="20"/>
  <c r="DB547" i="20"/>
  <c r="AT549" i="20"/>
  <c r="AX549" i="20"/>
  <c r="BB549" i="20"/>
  <c r="BF549" i="20"/>
  <c r="BJ549" i="20"/>
  <c r="BN549" i="20"/>
  <c r="BR549" i="20"/>
  <c r="BV549" i="20"/>
  <c r="BZ549" i="20"/>
  <c r="CD549" i="20"/>
  <c r="CH549" i="20"/>
  <c r="CL549" i="20"/>
  <c r="CP549" i="20"/>
  <c r="CT549" i="20"/>
  <c r="CX549" i="20"/>
  <c r="DB549" i="20"/>
  <c r="AN550" i="20"/>
  <c r="AO550" i="20"/>
  <c r="AT552" i="20"/>
  <c r="AX552" i="20"/>
  <c r="AX651" i="20" s="1"/>
  <c r="BJ552" i="20"/>
  <c r="BN552" i="20"/>
  <c r="BR552" i="20"/>
  <c r="BV552" i="20"/>
  <c r="BV651" i="20" s="1"/>
  <c r="BZ552" i="20"/>
  <c r="BZ651" i="20" s="1"/>
  <c r="CD552" i="20"/>
  <c r="CD651" i="20" s="1"/>
  <c r="CH552" i="20"/>
  <c r="CH651" i="20" s="1"/>
  <c r="CL552" i="20"/>
  <c r="CL651" i="20" s="1"/>
  <c r="CP552" i="20"/>
  <c r="CP651" i="20" s="1"/>
  <c r="CT552" i="20"/>
  <c r="CT651" i="20" s="1"/>
  <c r="CX552" i="20"/>
  <c r="CX651" i="20" s="1"/>
  <c r="DB552" i="20"/>
  <c r="DB651" i="20" s="1"/>
  <c r="DF656" i="20" s="1"/>
  <c r="AT553" i="20"/>
  <c r="AT652" i="20" s="1"/>
  <c r="AX553" i="20"/>
  <c r="AX652" i="20" s="1"/>
  <c r="BB553" i="20"/>
  <c r="BB652" i="20" s="1"/>
  <c r="BF553" i="20"/>
  <c r="BF652" i="20" s="1"/>
  <c r="BJ553" i="20"/>
  <c r="BN553" i="20"/>
  <c r="BN1133" i="10" s="1"/>
  <c r="BR553" i="20"/>
  <c r="BR1133" i="10" s="1"/>
  <c r="BV553" i="20"/>
  <c r="BZ553" i="20"/>
  <c r="CD553" i="20"/>
  <c r="CH553" i="20"/>
  <c r="CL553" i="20"/>
  <c r="CP553" i="20"/>
  <c r="CT553" i="20"/>
  <c r="CX553" i="20"/>
  <c r="DB553" i="20"/>
  <c r="AT554" i="20"/>
  <c r="AT653" i="20" s="1"/>
  <c r="AX554" i="20"/>
  <c r="AX653" i="20" s="1"/>
  <c r="BB554" i="20"/>
  <c r="BB653" i="20" s="1"/>
  <c r="BJ554" i="20"/>
  <c r="BJ1177" i="10" s="1"/>
  <c r="BN554" i="20"/>
  <c r="BN1177" i="10" s="1"/>
  <c r="BR554" i="20"/>
  <c r="AN555" i="20"/>
  <c r="AO555" i="20"/>
  <c r="AR555" i="20"/>
  <c r="AS555" i="20"/>
  <c r="AX557" i="20"/>
  <c r="AX434" i="42" s="1"/>
  <c r="BB557" i="20"/>
  <c r="BB434" i="42" s="1"/>
  <c r="BF557" i="20"/>
  <c r="BF434" i="42" s="1"/>
  <c r="BJ557" i="20"/>
  <c r="BJ434" i="42" s="1"/>
  <c r="BN557" i="20"/>
  <c r="BN434" i="42" s="1"/>
  <c r="BR557" i="20"/>
  <c r="BR434" i="42" s="1"/>
  <c r="BV557" i="20"/>
  <c r="BZ557" i="20"/>
  <c r="CD557" i="20"/>
  <c r="CH557" i="20"/>
  <c r="CL557" i="20"/>
  <c r="CP557" i="20"/>
  <c r="CT557" i="20"/>
  <c r="CX557" i="20"/>
  <c r="DB557" i="20"/>
  <c r="A561" i="20"/>
  <c r="A562" i="20"/>
  <c r="A563" i="20"/>
  <c r="AN566" i="20"/>
  <c r="AO566" i="20"/>
  <c r="AR566" i="20"/>
  <c r="AS566" i="20"/>
  <c r="AV566" i="20"/>
  <c r="AW566" i="20"/>
  <c r="AZ566" i="20"/>
  <c r="BA566" i="20"/>
  <c r="BD566" i="20"/>
  <c r="BE566" i="20"/>
  <c r="BH566" i="20"/>
  <c r="BI566" i="20"/>
  <c r="BL566" i="20"/>
  <c r="BM566" i="20"/>
  <c r="BP566" i="20"/>
  <c r="BQ566" i="20"/>
  <c r="BT566" i="20"/>
  <c r="BU566" i="20"/>
  <c r="BX566" i="20"/>
  <c r="BY566" i="20"/>
  <c r="CB566" i="20"/>
  <c r="CC566" i="20"/>
  <c r="CF566" i="20"/>
  <c r="CG566" i="20"/>
  <c r="CJ566" i="20"/>
  <c r="CK566" i="20"/>
  <c r="CN566" i="20"/>
  <c r="CO566" i="20"/>
  <c r="CR566" i="20"/>
  <c r="CS566" i="20"/>
  <c r="CV566" i="20"/>
  <c r="CW566" i="20"/>
  <c r="CZ566" i="20"/>
  <c r="DD570" i="20" s="1"/>
  <c r="AN567" i="20"/>
  <c r="AO567" i="20"/>
  <c r="AR567" i="20"/>
  <c r="AS567" i="20"/>
  <c r="AV567" i="20"/>
  <c r="AW567" i="20"/>
  <c r="AZ567" i="20"/>
  <c r="BA567" i="20"/>
  <c r="BM567" i="20"/>
  <c r="BP567" i="20"/>
  <c r="BQ567" i="20"/>
  <c r="BT567" i="20"/>
  <c r="BU567" i="20"/>
  <c r="BX567" i="20"/>
  <c r="BY567" i="20"/>
  <c r="CB567" i="20"/>
  <c r="CC567" i="20"/>
  <c r="CF567" i="20"/>
  <c r="CG567" i="20"/>
  <c r="CJ567" i="20"/>
  <c r="CK567" i="20"/>
  <c r="CN567" i="20"/>
  <c r="CO567" i="20"/>
  <c r="CR567" i="20"/>
  <c r="CS567" i="20"/>
  <c r="CV567" i="20"/>
  <c r="CW567" i="20"/>
  <c r="CZ567" i="20"/>
  <c r="DA567" i="20"/>
  <c r="DJ567" i="20"/>
  <c r="DN567" i="20"/>
  <c r="A570" i="20"/>
  <c r="A571" i="20"/>
  <c r="A572" i="20"/>
  <c r="BX584" i="20"/>
  <c r="BY584" i="20"/>
  <c r="CB584" i="20"/>
  <c r="CC584" i="20"/>
  <c r="CF584" i="20"/>
  <c r="CG584" i="20"/>
  <c r="CJ584" i="20"/>
  <c r="CK584" i="20"/>
  <c r="CN584" i="20"/>
  <c r="CO584" i="20"/>
  <c r="CR584" i="20"/>
  <c r="CS584" i="20"/>
  <c r="CV584" i="20"/>
  <c r="CW584" i="20"/>
  <c r="CZ584" i="20"/>
  <c r="BV577" i="20"/>
  <c r="BZ577" i="20"/>
  <c r="CD577" i="20"/>
  <c r="CH577" i="20"/>
  <c r="CL577" i="20"/>
  <c r="CP577" i="20"/>
  <c r="CT577" i="20"/>
  <c r="CX577" i="20"/>
  <c r="DB577" i="20"/>
  <c r="DF590" i="20" s="1"/>
  <c r="CD578" i="20"/>
  <c r="CH578" i="20"/>
  <c r="CL578" i="20"/>
  <c r="CP578" i="20"/>
  <c r="CT578" i="20"/>
  <c r="CX578" i="20"/>
  <c r="DB578" i="20"/>
  <c r="DF591" i="20" s="1"/>
  <c r="CB579" i="20"/>
  <c r="CC579" i="20"/>
  <c r="CD579" i="20" s="1"/>
  <c r="CF579" i="20"/>
  <c r="CG579" i="20"/>
  <c r="CG583" i="20" s="1"/>
  <c r="CJ579" i="20"/>
  <c r="CK579" i="20"/>
  <c r="CK583" i="20" s="1"/>
  <c r="CN579" i="20"/>
  <c r="CO579" i="20"/>
  <c r="CO583" i="20" s="1"/>
  <c r="CR579" i="20"/>
  <c r="CS579" i="20"/>
  <c r="CV579" i="20"/>
  <c r="CW579" i="20"/>
  <c r="CW583" i="20" s="1"/>
  <c r="CZ579" i="20"/>
  <c r="CZ583" i="20" s="1"/>
  <c r="CC581" i="20"/>
  <c r="CV581" i="20"/>
  <c r="CC582" i="20"/>
  <c r="CF585" i="20"/>
  <c r="CG585" i="20"/>
  <c r="CJ585" i="20"/>
  <c r="CK585" i="20"/>
  <c r="CN585" i="20"/>
  <c r="CO585" i="20"/>
  <c r="CR585" i="20"/>
  <c r="CS585" i="20"/>
  <c r="CV585" i="20"/>
  <c r="CW585" i="20"/>
  <c r="CZ585" i="20"/>
  <c r="DA585" i="20"/>
  <c r="BV586" i="20"/>
  <c r="BZ586" i="20"/>
  <c r="CD586" i="20"/>
  <c r="CH586" i="20"/>
  <c r="CL586" i="20"/>
  <c r="CP586" i="20"/>
  <c r="CT586" i="20"/>
  <c r="CX586" i="20"/>
  <c r="DB586" i="20"/>
  <c r="DF592" i="20" s="1"/>
  <c r="BU587" i="20"/>
  <c r="BX587" i="20"/>
  <c r="BY587" i="20"/>
  <c r="CB587" i="20"/>
  <c r="CC587" i="20"/>
  <c r="CF587" i="20"/>
  <c r="CG587" i="20"/>
  <c r="CJ587" i="20"/>
  <c r="CK587" i="20"/>
  <c r="CN587" i="20"/>
  <c r="CO587" i="20"/>
  <c r="CR587" i="20"/>
  <c r="CS587" i="20"/>
  <c r="CV587" i="20"/>
  <c r="CW587" i="20"/>
  <c r="CZ587" i="20"/>
  <c r="DD593" i="20" s="1"/>
  <c r="DA587" i="20"/>
  <c r="CB590" i="20"/>
  <c r="CC590" i="20"/>
  <c r="CF590" i="20"/>
  <c r="CG590" i="20"/>
  <c r="CJ590" i="20"/>
  <c r="CK590" i="20"/>
  <c r="CN590" i="20"/>
  <c r="CO590" i="20"/>
  <c r="CR590" i="20"/>
  <c r="CS590" i="20"/>
  <c r="CV590" i="20"/>
  <c r="CW590" i="20"/>
  <c r="CZ590" i="20"/>
  <c r="DA590" i="20"/>
  <c r="CF591" i="20"/>
  <c r="CG591" i="20"/>
  <c r="CJ591" i="20"/>
  <c r="CK591" i="20"/>
  <c r="CN591" i="20"/>
  <c r="CO591" i="20"/>
  <c r="CR591" i="20"/>
  <c r="CS591" i="20"/>
  <c r="CV591" i="20"/>
  <c r="CW591" i="20"/>
  <c r="CZ591" i="20"/>
  <c r="DA591" i="20"/>
  <c r="A592" i="20"/>
  <c r="CB592" i="20"/>
  <c r="CC592" i="20"/>
  <c r="CF592" i="20"/>
  <c r="CG592" i="20"/>
  <c r="CJ592" i="20"/>
  <c r="CK592" i="20"/>
  <c r="CN592" i="20"/>
  <c r="CO592" i="20"/>
  <c r="CR592" i="20"/>
  <c r="CS592" i="20"/>
  <c r="CV592" i="20"/>
  <c r="CW592" i="20"/>
  <c r="CZ592" i="20"/>
  <c r="DA592" i="20"/>
  <c r="A593" i="20"/>
  <c r="A594" i="20"/>
  <c r="BU595" i="20"/>
  <c r="CG595" i="20"/>
  <c r="CL595" i="20"/>
  <c r="CP595" i="20"/>
  <c r="CS595" i="20"/>
  <c r="CC596" i="20"/>
  <c r="CG596" i="20"/>
  <c r="CK596" i="20"/>
  <c r="CO596" i="20"/>
  <c r="CS596" i="20"/>
  <c r="CW596" i="20"/>
  <c r="DA596" i="20"/>
  <c r="DI596" i="20"/>
  <c r="DL596" i="20"/>
  <c r="DM596" i="20"/>
  <c r="BL597" i="20"/>
  <c r="BU597" i="20"/>
  <c r="CR599" i="20"/>
  <c r="CZ599" i="20"/>
  <c r="DI600" i="20"/>
  <c r="DL600" i="20"/>
  <c r="DM600" i="20"/>
  <c r="AZ616" i="20"/>
  <c r="AW616" i="20" s="1"/>
  <c r="AW604" i="20" s="1"/>
  <c r="BA616" i="20"/>
  <c r="BA604" i="20" s="1"/>
  <c r="BD604" i="20"/>
  <c r="BL616" i="20"/>
  <c r="BI616" i="20" s="1"/>
  <c r="BM616" i="20"/>
  <c r="BM604" i="20" s="1"/>
  <c r="BP604" i="20"/>
  <c r="BQ616" i="20"/>
  <c r="BQ604" i="20" s="1"/>
  <c r="BV604" i="20"/>
  <c r="BV616" i="20" s="1"/>
  <c r="BZ604" i="20"/>
  <c r="CD604" i="20"/>
  <c r="CH604" i="20"/>
  <c r="CL604" i="20"/>
  <c r="CP604" i="20"/>
  <c r="CT604" i="20"/>
  <c r="CX604" i="20"/>
  <c r="DB604" i="20"/>
  <c r="BV605" i="20"/>
  <c r="BZ605" i="20"/>
  <c r="CD605" i="20"/>
  <c r="CH605" i="20"/>
  <c r="CL605" i="20"/>
  <c r="CP605" i="20"/>
  <c r="CT605" i="20"/>
  <c r="CX605" i="20"/>
  <c r="DB605" i="20"/>
  <c r="DF611" i="20" s="1"/>
  <c r="BV606" i="20"/>
  <c r="BZ606" i="20"/>
  <c r="CD606" i="20"/>
  <c r="CH606" i="20"/>
  <c r="CL606" i="20"/>
  <c r="CP606" i="20"/>
  <c r="CT606" i="20"/>
  <c r="CX606" i="20"/>
  <c r="DB606" i="20"/>
  <c r="BV607" i="20"/>
  <c r="BZ607" i="20"/>
  <c r="CD607" i="20"/>
  <c r="CH607" i="20"/>
  <c r="CL607" i="20"/>
  <c r="CP607" i="20"/>
  <c r="CT607" i="20"/>
  <c r="CX607" i="20"/>
  <c r="DB607" i="20"/>
  <c r="DJ607" i="20"/>
  <c r="DN607" i="20"/>
  <c r="BT608" i="20"/>
  <c r="BU608" i="20"/>
  <c r="A610" i="20"/>
  <c r="BX610" i="20"/>
  <c r="BY610" i="20"/>
  <c r="CB610" i="20"/>
  <c r="CC610" i="20"/>
  <c r="CF610" i="20"/>
  <c r="CG610" i="20"/>
  <c r="CJ610" i="20"/>
  <c r="CK610" i="20"/>
  <c r="CN610" i="20"/>
  <c r="CO610" i="20"/>
  <c r="CR610" i="20"/>
  <c r="CS610" i="20"/>
  <c r="CV610" i="20"/>
  <c r="CW610" i="20"/>
  <c r="CZ610" i="20"/>
  <c r="DA610" i="20"/>
  <c r="A611" i="20"/>
  <c r="BX611" i="20"/>
  <c r="BY611" i="20"/>
  <c r="CB611" i="20"/>
  <c r="CC611" i="20"/>
  <c r="CF611" i="20"/>
  <c r="CG611" i="20"/>
  <c r="CJ611" i="20"/>
  <c r="CK611" i="20"/>
  <c r="CN611" i="20"/>
  <c r="CO611" i="20"/>
  <c r="CR611" i="20"/>
  <c r="CS611" i="20"/>
  <c r="CV611" i="20"/>
  <c r="CW611" i="20"/>
  <c r="CZ611" i="20"/>
  <c r="DA611" i="20"/>
  <c r="A612" i="20"/>
  <c r="BX612" i="20"/>
  <c r="BY612" i="20"/>
  <c r="CB612" i="20"/>
  <c r="A613" i="20"/>
  <c r="BX613" i="20"/>
  <c r="BY613" i="20"/>
  <c r="CB613" i="20"/>
  <c r="CC613" i="20"/>
  <c r="CF613" i="20"/>
  <c r="CG613" i="20"/>
  <c r="CJ613" i="20"/>
  <c r="CK613" i="20"/>
  <c r="CN613" i="20"/>
  <c r="CO613" i="20"/>
  <c r="CR613" i="20"/>
  <c r="CS613" i="20"/>
  <c r="CV613" i="20"/>
  <c r="CW613" i="20"/>
  <c r="CZ613" i="20"/>
  <c r="DA613" i="20"/>
  <c r="A614" i="20"/>
  <c r="BZ616" i="20"/>
  <c r="CD616" i="20"/>
  <c r="CH616" i="20"/>
  <c r="CL616" i="20"/>
  <c r="CT616" i="20"/>
  <c r="CX616" i="20"/>
  <c r="DB616" i="20"/>
  <c r="CF617" i="20"/>
  <c r="CJ617" i="20"/>
  <c r="CO617" i="20"/>
  <c r="CR617" i="20"/>
  <c r="AX621" i="20"/>
  <c r="BB621" i="20"/>
  <c r="BJ621" i="20"/>
  <c r="BN621" i="20"/>
  <c r="BR621" i="20"/>
  <c r="BV621" i="20"/>
  <c r="BZ621" i="20"/>
  <c r="CC621" i="20"/>
  <c r="CC162" i="10" s="1"/>
  <c r="CG621" i="20"/>
  <c r="CG162" i="10" s="1"/>
  <c r="CL621" i="20"/>
  <c r="CP621" i="20"/>
  <c r="CT621" i="20"/>
  <c r="CX621" i="20"/>
  <c r="DB621" i="20"/>
  <c r="AX622" i="20"/>
  <c r="BB622" i="20"/>
  <c r="BF622" i="20"/>
  <c r="BJ622" i="20"/>
  <c r="BN622" i="20"/>
  <c r="BR622" i="20"/>
  <c r="BV622" i="20"/>
  <c r="BZ622" i="20"/>
  <c r="CD622" i="20"/>
  <c r="CH622" i="20"/>
  <c r="CL622" i="20"/>
  <c r="CP622" i="20"/>
  <c r="CT622" i="20"/>
  <c r="CX622" i="20"/>
  <c r="DB622" i="20"/>
  <c r="AX623" i="20"/>
  <c r="AX92" i="10" s="1"/>
  <c r="BB623" i="20"/>
  <c r="BB92" i="10" s="1"/>
  <c r="BF623" i="20"/>
  <c r="BF92" i="10" s="1"/>
  <c r="BJ623" i="20"/>
  <c r="BN623" i="20"/>
  <c r="BR623" i="20"/>
  <c r="BV623" i="20"/>
  <c r="BZ623" i="20"/>
  <c r="CD623" i="20"/>
  <c r="CH623" i="20"/>
  <c r="CH92" i="10" s="1"/>
  <c r="CL623" i="20"/>
  <c r="CL92" i="10" s="1"/>
  <c r="CP623" i="20"/>
  <c r="CP92" i="10" s="1"/>
  <c r="CT623" i="20"/>
  <c r="CT92" i="10" s="1"/>
  <c r="CX623" i="20"/>
  <c r="CX92" i="10" s="1"/>
  <c r="DB623" i="20"/>
  <c r="DB92" i="10" s="1"/>
  <c r="AT624" i="20"/>
  <c r="AX624" i="20"/>
  <c r="BF624" i="20"/>
  <c r="BF104" i="10" s="1"/>
  <c r="BJ624" i="20"/>
  <c r="BJ104" i="10" s="1"/>
  <c r="BN624" i="20"/>
  <c r="BN104" i="10" s="1"/>
  <c r="BR624" i="20"/>
  <c r="BR104" i="10" s="1"/>
  <c r="BV624" i="20"/>
  <c r="BV104" i="10" s="1"/>
  <c r="BZ624" i="20"/>
  <c r="BZ104" i="10" s="1"/>
  <c r="CD624" i="20"/>
  <c r="CD104" i="10" s="1"/>
  <c r="CH624" i="20"/>
  <c r="CH104" i="10" s="1"/>
  <c r="CK624" i="20"/>
  <c r="CL624" i="20" s="1"/>
  <c r="CL104" i="10" s="1"/>
  <c r="CO624" i="20"/>
  <c r="CP624" i="20" s="1"/>
  <c r="CP104" i="10" s="1"/>
  <c r="CT624" i="20"/>
  <c r="CT104" i="10" s="1"/>
  <c r="CX624" i="20"/>
  <c r="CX104" i="10" s="1"/>
  <c r="DB624" i="20"/>
  <c r="DB104" i="10" s="1"/>
  <c r="AT625" i="20"/>
  <c r="DE626" i="20"/>
  <c r="AT626" i="20"/>
  <c r="AX626" i="20"/>
  <c r="BB626" i="20"/>
  <c r="BF626" i="20"/>
  <c r="BJ626" i="20"/>
  <c r="BN626" i="20"/>
  <c r="BR626" i="20"/>
  <c r="BV626" i="20"/>
  <c r="BZ626" i="20"/>
  <c r="CD626" i="20"/>
  <c r="CH626" i="20"/>
  <c r="CL626" i="20"/>
  <c r="CP626" i="20"/>
  <c r="CT626" i="20"/>
  <c r="CX626" i="20"/>
  <c r="DB626" i="20"/>
  <c r="AN627" i="20"/>
  <c r="AO627" i="20"/>
  <c r="AW628" i="20"/>
  <c r="AZ628" i="20"/>
  <c r="BA628" i="20"/>
  <c r="BD628" i="20"/>
  <c r="BE628" i="20"/>
  <c r="AX632" i="20"/>
  <c r="BB632" i="20"/>
  <c r="BF632" i="20"/>
  <c r="BJ632" i="20"/>
  <c r="BN632" i="20"/>
  <c r="BR632" i="20"/>
  <c r="BV632" i="20"/>
  <c r="BZ632" i="20"/>
  <c r="CD632" i="20"/>
  <c r="CH632" i="20"/>
  <c r="CL632" i="20"/>
  <c r="CP632" i="20"/>
  <c r="CT632" i="20"/>
  <c r="CX632" i="20"/>
  <c r="DB632" i="20"/>
  <c r="AX633" i="20"/>
  <c r="BB633" i="20"/>
  <c r="BF633" i="20"/>
  <c r="BJ633" i="20"/>
  <c r="BN633" i="20"/>
  <c r="BR633" i="20"/>
  <c r="BV633" i="20"/>
  <c r="BZ633" i="20"/>
  <c r="CD633" i="20"/>
  <c r="CH633" i="20"/>
  <c r="CL633" i="20"/>
  <c r="CP633" i="20"/>
  <c r="CT633" i="20"/>
  <c r="CX633" i="20"/>
  <c r="DB633" i="20"/>
  <c r="AX634" i="20"/>
  <c r="BB634" i="20"/>
  <c r="BF634" i="20"/>
  <c r="BJ634" i="20"/>
  <c r="BN634" i="20"/>
  <c r="BR634" i="20"/>
  <c r="BV634" i="20"/>
  <c r="BZ634" i="20"/>
  <c r="CD634" i="20"/>
  <c r="CH634" i="20"/>
  <c r="CL634" i="20"/>
  <c r="CP634" i="20"/>
  <c r="CT634" i="20"/>
  <c r="CX634" i="20"/>
  <c r="DB634" i="20"/>
  <c r="AX635" i="20"/>
  <c r="BB635" i="20"/>
  <c r="BF635" i="20"/>
  <c r="BJ635" i="20"/>
  <c r="BN635" i="20"/>
  <c r="BR635" i="20"/>
  <c r="BV635" i="20"/>
  <c r="BZ635" i="20"/>
  <c r="CD635" i="20"/>
  <c r="CH635" i="20"/>
  <c r="CL635" i="20"/>
  <c r="CP635" i="20"/>
  <c r="CT635" i="20"/>
  <c r="CX635" i="20"/>
  <c r="DB635" i="20"/>
  <c r="AX636" i="20"/>
  <c r="BB636" i="20"/>
  <c r="BF636" i="20"/>
  <c r="BJ636" i="20"/>
  <c r="BN636" i="20"/>
  <c r="BR636" i="20"/>
  <c r="BV636" i="20"/>
  <c r="BZ636" i="20"/>
  <c r="CD636" i="20"/>
  <c r="CH636" i="20"/>
  <c r="CL636" i="20"/>
  <c r="CP636" i="20"/>
  <c r="CT636" i="20"/>
  <c r="CX636" i="20"/>
  <c r="DB636" i="20"/>
  <c r="AX637" i="20"/>
  <c r="BB637" i="20"/>
  <c r="BF637" i="20"/>
  <c r="BJ637" i="20"/>
  <c r="BN637" i="20"/>
  <c r="BR637" i="20"/>
  <c r="BV637" i="20"/>
  <c r="BZ637" i="20"/>
  <c r="CD637" i="20"/>
  <c r="CH637" i="20"/>
  <c r="CL637" i="20"/>
  <c r="CP637" i="20"/>
  <c r="CT637" i="20"/>
  <c r="CX637" i="20"/>
  <c r="DB637" i="20"/>
  <c r="AX638" i="20"/>
  <c r="BB638" i="20"/>
  <c r="BF638" i="20"/>
  <c r="BJ638" i="20"/>
  <c r="BN638" i="20"/>
  <c r="BR638" i="20"/>
  <c r="BV638" i="20"/>
  <c r="BZ638" i="20"/>
  <c r="CD638" i="20"/>
  <c r="CH638" i="20"/>
  <c r="CL638" i="20"/>
  <c r="CP638" i="20"/>
  <c r="CT638" i="20"/>
  <c r="CX638" i="20"/>
  <c r="DB638" i="20"/>
  <c r="AX639" i="20"/>
  <c r="BB639" i="20"/>
  <c r="BF639" i="20"/>
  <c r="BJ639" i="20"/>
  <c r="BN639" i="20"/>
  <c r="BR639" i="20"/>
  <c r="BV639" i="20"/>
  <c r="BZ639" i="20"/>
  <c r="CD639" i="20"/>
  <c r="CH639" i="20"/>
  <c r="CL639" i="20"/>
  <c r="CP639" i="20"/>
  <c r="CT639" i="20"/>
  <c r="CX639" i="20"/>
  <c r="DB639" i="20"/>
  <c r="AX640" i="20"/>
  <c r="BB640" i="20"/>
  <c r="BF640" i="20"/>
  <c r="BJ640" i="20"/>
  <c r="BN640" i="20"/>
  <c r="BR640" i="20"/>
  <c r="BV640" i="20"/>
  <c r="BZ640" i="20"/>
  <c r="CD640" i="20"/>
  <c r="CH640" i="20"/>
  <c r="CL640" i="20"/>
  <c r="CP640" i="20"/>
  <c r="CT640" i="20"/>
  <c r="CX640" i="20"/>
  <c r="DB640" i="20"/>
  <c r="AX641" i="20"/>
  <c r="BB641" i="20"/>
  <c r="BF641" i="20"/>
  <c r="BJ641" i="20"/>
  <c r="BN641" i="20"/>
  <c r="BR641" i="20"/>
  <c r="BV641" i="20"/>
  <c r="BZ641" i="20"/>
  <c r="CD641" i="20"/>
  <c r="CH641" i="20"/>
  <c r="CL641" i="20"/>
  <c r="CP641" i="20"/>
  <c r="CT641" i="20"/>
  <c r="CX641" i="20"/>
  <c r="DB641" i="20"/>
  <c r="AX642" i="20"/>
  <c r="BB642" i="20"/>
  <c r="BF642" i="20"/>
  <c r="BJ642" i="20"/>
  <c r="BN642" i="20"/>
  <c r="BR642" i="20"/>
  <c r="BV642" i="20"/>
  <c r="BZ642" i="20"/>
  <c r="CD642" i="20"/>
  <c r="CH642" i="20"/>
  <c r="CL642" i="20"/>
  <c r="CP642" i="20"/>
  <c r="CT642" i="20"/>
  <c r="CX642" i="20"/>
  <c r="DB642" i="20"/>
  <c r="AX643" i="20"/>
  <c r="BB643" i="20"/>
  <c r="BF643" i="20"/>
  <c r="BJ643" i="20"/>
  <c r="BN643" i="20"/>
  <c r="BR643" i="20"/>
  <c r="BV643" i="20"/>
  <c r="BZ643" i="20"/>
  <c r="CD643" i="20"/>
  <c r="CH643" i="20"/>
  <c r="CL643" i="20"/>
  <c r="CP643" i="20"/>
  <c r="CT643" i="20"/>
  <c r="CX643" i="20"/>
  <c r="DB643" i="20"/>
  <c r="AX644" i="20"/>
  <c r="BB644" i="20"/>
  <c r="BF644" i="20"/>
  <c r="BJ644" i="20"/>
  <c r="BN644" i="20"/>
  <c r="BR644" i="20"/>
  <c r="BV644" i="20"/>
  <c r="BZ644" i="20"/>
  <c r="CD644" i="20"/>
  <c r="CH644" i="20"/>
  <c r="CL644" i="20"/>
  <c r="CP644" i="20"/>
  <c r="CT644" i="20"/>
  <c r="CX644" i="20"/>
  <c r="DB644" i="20"/>
  <c r="AX645" i="20"/>
  <c r="BB645" i="20"/>
  <c r="BF645" i="20"/>
  <c r="BJ645" i="20"/>
  <c r="BR645" i="20"/>
  <c r="BV645" i="20"/>
  <c r="BZ645" i="20"/>
  <c r="CD645" i="20"/>
  <c r="CH645" i="20"/>
  <c r="CL645" i="20"/>
  <c r="CP645" i="20"/>
  <c r="CT645" i="20"/>
  <c r="CX645" i="20"/>
  <c r="DB645" i="20"/>
  <c r="AP646" i="20"/>
  <c r="AT646" i="20"/>
  <c r="A651" i="20"/>
  <c r="A656" i="20" s="1"/>
  <c r="AN651" i="20"/>
  <c r="AO651" i="20"/>
  <c r="AP651" i="20"/>
  <c r="AR651" i="20"/>
  <c r="AS651" i="20"/>
  <c r="AV651" i="20"/>
  <c r="AW651" i="20"/>
  <c r="BH651" i="20"/>
  <c r="BI651" i="20"/>
  <c r="BL651" i="20"/>
  <c r="BM651" i="20"/>
  <c r="BP651" i="20"/>
  <c r="BQ651" i="20"/>
  <c r="BT651" i="20"/>
  <c r="BU651" i="20"/>
  <c r="BX651" i="20"/>
  <c r="BY651" i="20"/>
  <c r="CB651" i="20"/>
  <c r="CC651" i="20"/>
  <c r="CF651" i="20"/>
  <c r="CG651" i="20"/>
  <c r="CJ651" i="20"/>
  <c r="CK651" i="20"/>
  <c r="CN651" i="20"/>
  <c r="CO651" i="20"/>
  <c r="CR651" i="20"/>
  <c r="CS651" i="20"/>
  <c r="CV651" i="20"/>
  <c r="CW651" i="20"/>
  <c r="A652" i="20"/>
  <c r="A657" i="20" s="1"/>
  <c r="AN652" i="20"/>
  <c r="AO652" i="20"/>
  <c r="AP652" i="20"/>
  <c r="AR652" i="20"/>
  <c r="AS652" i="20"/>
  <c r="AV652" i="20"/>
  <c r="AW652" i="20"/>
  <c r="AZ652" i="20"/>
  <c r="BA652" i="20"/>
  <c r="BD652" i="20"/>
  <c r="BE652" i="20"/>
  <c r="BH652" i="20"/>
  <c r="BI652" i="20"/>
  <c r="BL652" i="20"/>
  <c r="BM652" i="20"/>
  <c r="BP652" i="20"/>
  <c r="BQ652" i="20"/>
  <c r="BT652" i="20"/>
  <c r="BU652" i="20"/>
  <c r="BX652" i="20"/>
  <c r="BY652" i="20"/>
  <c r="CB652" i="20"/>
  <c r="CC652" i="20"/>
  <c r="CF652" i="20"/>
  <c r="CG652" i="20"/>
  <c r="CJ652" i="20"/>
  <c r="CK652" i="20"/>
  <c r="CN652" i="20"/>
  <c r="CO652" i="20"/>
  <c r="CR652" i="20"/>
  <c r="CS652" i="20"/>
  <c r="CV652" i="20"/>
  <c r="CW652" i="20"/>
  <c r="CZ652" i="20"/>
  <c r="DD657" i="20" s="1"/>
  <c r="DA652" i="20"/>
  <c r="DE657" i="20" s="1"/>
  <c r="A653" i="20"/>
  <c r="A658" i="20" s="1"/>
  <c r="AN653" i="20"/>
  <c r="AO653" i="20"/>
  <c r="AP653" i="20"/>
  <c r="AR653" i="20"/>
  <c r="AS653" i="20"/>
  <c r="AV653" i="20"/>
  <c r="AW653" i="20"/>
  <c r="AZ653" i="20"/>
  <c r="BA653" i="20"/>
  <c r="BE653" i="20"/>
  <c r="BH653" i="20"/>
  <c r="BI653" i="20"/>
  <c r="BL653" i="20"/>
  <c r="BM653" i="20"/>
  <c r="BP653" i="20"/>
  <c r="BQ653" i="20"/>
  <c r="A659" i="20"/>
  <c r="AP666" i="20"/>
  <c r="AT666" i="20"/>
  <c r="AX666" i="20"/>
  <c r="BB666" i="20"/>
  <c r="BF666" i="20"/>
  <c r="BJ666" i="20"/>
  <c r="BN666" i="20"/>
  <c r="BR666" i="20"/>
  <c r="BV666" i="20"/>
  <c r="BZ666" i="20"/>
  <c r="BD688" i="20"/>
  <c r="BE688" i="20"/>
  <c r="BE667" i="20" s="1"/>
  <c r="BH688" i="20"/>
  <c r="BI688" i="20"/>
  <c r="BI667" i="20" s="1"/>
  <c r="BL688" i="20"/>
  <c r="BL667" i="20" s="1"/>
  <c r="BM688" i="20"/>
  <c r="BM667" i="20" s="1"/>
  <c r="BP688" i="20"/>
  <c r="BP667" i="20" s="1"/>
  <c r="BQ688" i="20"/>
  <c r="BQ667" i="20" s="1"/>
  <c r="BT688" i="20"/>
  <c r="BU688" i="20"/>
  <c r="BU667" i="20" s="1"/>
  <c r="BX688" i="20"/>
  <c r="BY688" i="20"/>
  <c r="BY667" i="20" s="1"/>
  <c r="AP668" i="20"/>
  <c r="AT668" i="20"/>
  <c r="AX668" i="20"/>
  <c r="BB668" i="20"/>
  <c r="BF668" i="20"/>
  <c r="BJ668" i="20"/>
  <c r="BN668" i="20"/>
  <c r="BR668" i="20"/>
  <c r="BV668" i="20"/>
  <c r="BZ668" i="20"/>
  <c r="AT669" i="20"/>
  <c r="AX669" i="20"/>
  <c r="BB669" i="20"/>
  <c r="BF669" i="20"/>
  <c r="BJ669" i="20"/>
  <c r="BN669" i="20"/>
  <c r="BR669" i="20"/>
  <c r="BV669" i="20"/>
  <c r="BZ669" i="20"/>
  <c r="AN670" i="20"/>
  <c r="AN447" i="10" s="1"/>
  <c r="AO670" i="20"/>
  <c r="AO447" i="10" s="1"/>
  <c r="AT670" i="20"/>
  <c r="BD705" i="20"/>
  <c r="BD670" i="20" s="1"/>
  <c r="BD447" i="10" s="1"/>
  <c r="BE705" i="20"/>
  <c r="BE670" i="20" s="1"/>
  <c r="BH705" i="20"/>
  <c r="BH670" i="20" s="1"/>
  <c r="BI705" i="20"/>
  <c r="BI670" i="20" s="1"/>
  <c r="BL705" i="20"/>
  <c r="BL670" i="20" s="1"/>
  <c r="BM705" i="20"/>
  <c r="BM670" i="20" s="1"/>
  <c r="BP705" i="20"/>
  <c r="BP670" i="20" s="1"/>
  <c r="BP447" i="10" s="1"/>
  <c r="BR447" i="10" s="1"/>
  <c r="BQ705" i="20"/>
  <c r="BQ670" i="20" s="1"/>
  <c r="BT705" i="20"/>
  <c r="BT670" i="20" s="1"/>
  <c r="BT447" i="10" s="1"/>
  <c r="BV447" i="10" s="1"/>
  <c r="BU705" i="20"/>
  <c r="BU670" i="20" s="1"/>
  <c r="BX705" i="20"/>
  <c r="BX670" i="20" s="1"/>
  <c r="BY705" i="20"/>
  <c r="BY670" i="20" s="1"/>
  <c r="AT671" i="20"/>
  <c r="AX671" i="20"/>
  <c r="BB671" i="20"/>
  <c r="BF671" i="20"/>
  <c r="BJ671" i="20"/>
  <c r="BN671" i="20"/>
  <c r="BR671" i="20"/>
  <c r="BV671" i="20"/>
  <c r="BZ671" i="20"/>
  <c r="AR672" i="20"/>
  <c r="AS672" i="20"/>
  <c r="AR674" i="20"/>
  <c r="AS674" i="20"/>
  <c r="AX674" i="20"/>
  <c r="BB674" i="20"/>
  <c r="BF674" i="20"/>
  <c r="BJ674" i="20"/>
  <c r="BN674" i="20"/>
  <c r="BR674" i="20"/>
  <c r="BV674" i="20"/>
  <c r="BZ674" i="20"/>
  <c r="AT675" i="20"/>
  <c r="AX675" i="20"/>
  <c r="BB675" i="20"/>
  <c r="BF675" i="20"/>
  <c r="BJ675" i="20"/>
  <c r="BN675" i="20"/>
  <c r="BR675" i="20"/>
  <c r="BV675" i="20"/>
  <c r="BZ675" i="20"/>
  <c r="AR676" i="20"/>
  <c r="AR1178" i="10" s="1"/>
  <c r="AS676" i="20"/>
  <c r="AS1178" i="10" s="1"/>
  <c r="BD676" i="20"/>
  <c r="BD1178" i="10" s="1"/>
  <c r="BE676" i="20"/>
  <c r="BE1178" i="10" s="1"/>
  <c r="BJ676" i="20"/>
  <c r="BN676" i="20"/>
  <c r="BR676" i="20"/>
  <c r="BV676" i="20"/>
  <c r="BZ676" i="20"/>
  <c r="AN677" i="20"/>
  <c r="AO677" i="20"/>
  <c r="BH677" i="20"/>
  <c r="BI677" i="20"/>
  <c r="BL677" i="20"/>
  <c r="BM677" i="20"/>
  <c r="BP677" i="20"/>
  <c r="BQ677" i="20"/>
  <c r="BT677" i="20"/>
  <c r="BU677" i="20"/>
  <c r="BX677" i="20"/>
  <c r="BY677" i="20"/>
  <c r="AX679" i="20"/>
  <c r="BB679" i="20"/>
  <c r="BF679" i="20"/>
  <c r="BJ679" i="20"/>
  <c r="BN679" i="20"/>
  <c r="BR679" i="20"/>
  <c r="BV679" i="20"/>
  <c r="BZ679" i="20"/>
  <c r="BB684" i="20"/>
  <c r="BF684" i="20"/>
  <c r="BJ684" i="20"/>
  <c r="BN684" i="20"/>
  <c r="BR684" i="20"/>
  <c r="BV684" i="20"/>
  <c r="BZ684" i="20"/>
  <c r="BB685" i="20"/>
  <c r="BB386" i="10" s="1"/>
  <c r="BF685" i="20"/>
  <c r="BF386" i="10" s="1"/>
  <c r="BJ685" i="20"/>
  <c r="BJ386" i="10" s="1"/>
  <c r="BN685" i="20"/>
  <c r="BN386" i="10" s="1"/>
  <c r="BR685" i="20"/>
  <c r="BR386" i="10" s="1"/>
  <c r="BV685" i="20"/>
  <c r="BV386" i="10" s="1"/>
  <c r="BZ685" i="20"/>
  <c r="BZ386" i="10" s="1"/>
  <c r="AX686" i="20"/>
  <c r="BB686" i="20"/>
  <c r="BF686" i="20"/>
  <c r="BJ686" i="20"/>
  <c r="BN686" i="20"/>
  <c r="BR686" i="20"/>
  <c r="BV686" i="20"/>
  <c r="BZ686" i="20"/>
  <c r="BF687" i="20"/>
  <c r="BJ687" i="20"/>
  <c r="BN687" i="20"/>
  <c r="BR687" i="20"/>
  <c r="BV687" i="20"/>
  <c r="BZ687" i="20"/>
  <c r="AN688" i="20"/>
  <c r="AO688" i="20"/>
  <c r="AR688" i="20"/>
  <c r="AS688" i="20"/>
  <c r="AX691" i="20"/>
  <c r="BB691" i="20"/>
  <c r="BF691" i="20"/>
  <c r="BJ691" i="20"/>
  <c r="BN691" i="20"/>
  <c r="BR691" i="20"/>
  <c r="BV691" i="20"/>
  <c r="BZ691" i="20"/>
  <c r="AX692" i="20"/>
  <c r="BB692" i="20"/>
  <c r="BF692" i="20"/>
  <c r="BJ692" i="20"/>
  <c r="BN692" i="20"/>
  <c r="BR692" i="20"/>
  <c r="BV692" i="20"/>
  <c r="BZ692" i="20"/>
  <c r="AX693" i="20"/>
  <c r="BB693" i="20"/>
  <c r="BF693" i="20"/>
  <c r="BJ693" i="20"/>
  <c r="BN693" i="20"/>
  <c r="BR693" i="20"/>
  <c r="BV693" i="20"/>
  <c r="BZ693" i="20"/>
  <c r="AX694" i="20"/>
  <c r="BB694" i="20"/>
  <c r="BF694" i="20"/>
  <c r="BJ694" i="20"/>
  <c r="BN694" i="20"/>
  <c r="BR694" i="20"/>
  <c r="BV694" i="20"/>
  <c r="BZ694" i="20"/>
  <c r="AX695" i="20"/>
  <c r="BB695" i="20"/>
  <c r="BF695" i="20"/>
  <c r="BJ695" i="20"/>
  <c r="BN695" i="20"/>
  <c r="BR695" i="20"/>
  <c r="BV695" i="20"/>
  <c r="BZ695" i="20"/>
  <c r="AX696" i="20"/>
  <c r="BB696" i="20"/>
  <c r="BF696" i="20"/>
  <c r="BJ696" i="20"/>
  <c r="BN696" i="20"/>
  <c r="BR696" i="20"/>
  <c r="BV696" i="20"/>
  <c r="BZ696" i="20"/>
  <c r="AX697" i="20"/>
  <c r="BB697" i="20"/>
  <c r="BF697" i="20"/>
  <c r="BJ697" i="20"/>
  <c r="BN697" i="20"/>
  <c r="BR697" i="20"/>
  <c r="BV697" i="20"/>
  <c r="BZ697" i="20"/>
  <c r="AX698" i="20"/>
  <c r="BB698" i="20"/>
  <c r="BF698" i="20"/>
  <c r="BJ698" i="20"/>
  <c r="BN698" i="20"/>
  <c r="BR698" i="20"/>
  <c r="BV698" i="20"/>
  <c r="BZ698" i="20"/>
  <c r="AX699" i="20"/>
  <c r="BB699" i="20"/>
  <c r="BF699" i="20"/>
  <c r="BJ699" i="20"/>
  <c r="BN699" i="20"/>
  <c r="BR699" i="20"/>
  <c r="BV699" i="20"/>
  <c r="BZ699" i="20"/>
  <c r="AX700" i="20"/>
  <c r="BB700" i="20"/>
  <c r="BF700" i="20"/>
  <c r="BJ700" i="20"/>
  <c r="BN700" i="20"/>
  <c r="BR700" i="20"/>
  <c r="BV700" i="20"/>
  <c r="BZ700" i="20"/>
  <c r="AX701" i="20"/>
  <c r="BB701" i="20"/>
  <c r="BF701" i="20"/>
  <c r="BJ701" i="20"/>
  <c r="BN701" i="20"/>
  <c r="BR701" i="20"/>
  <c r="BV701" i="20"/>
  <c r="BZ701" i="20"/>
  <c r="AX702" i="20"/>
  <c r="BB702" i="20"/>
  <c r="BF702" i="20"/>
  <c r="BJ702" i="20"/>
  <c r="BN702" i="20"/>
  <c r="BR702" i="20"/>
  <c r="BV702" i="20"/>
  <c r="BZ702" i="20"/>
  <c r="AX703" i="20"/>
  <c r="BB703" i="20"/>
  <c r="BF703" i="20"/>
  <c r="BJ703" i="20"/>
  <c r="BN703" i="20"/>
  <c r="BR703" i="20"/>
  <c r="BV703" i="20"/>
  <c r="BZ703" i="20"/>
  <c r="AP704" i="20"/>
  <c r="AX704" i="20"/>
  <c r="BB704" i="20"/>
  <c r="BF704" i="20"/>
  <c r="BJ704" i="20"/>
  <c r="BN704" i="20"/>
  <c r="BR704" i="20"/>
  <c r="BV704" i="20"/>
  <c r="BZ704" i="20"/>
  <c r="AT705" i="20"/>
  <c r="AP710" i="20"/>
  <c r="AP731" i="20" s="1"/>
  <c r="AT710" i="20"/>
  <c r="AT731" i="20" s="1"/>
  <c r="AX710" i="20"/>
  <c r="AX731" i="20" s="1"/>
  <c r="BB710" i="20"/>
  <c r="BB731" i="20" s="1"/>
  <c r="BF710" i="20"/>
  <c r="BR710" i="20"/>
  <c r="BR731" i="20" s="1"/>
  <c r="BV710" i="20"/>
  <c r="BZ710" i="20"/>
  <c r="BZ731" i="20" s="1"/>
  <c r="CD710" i="20"/>
  <c r="CD731" i="20" s="1"/>
  <c r="CH710" i="20"/>
  <c r="CH731" i="20" s="1"/>
  <c r="CL710" i="20"/>
  <c r="CP710" i="20"/>
  <c r="CP731" i="20" s="1"/>
  <c r="CT710" i="20"/>
  <c r="CT731" i="20" s="1"/>
  <c r="CX710" i="20"/>
  <c r="CX731" i="20" s="1"/>
  <c r="DB710" i="20"/>
  <c r="DB731" i="20" s="1"/>
  <c r="DF735" i="20" s="1"/>
  <c r="AP711" i="20"/>
  <c r="AT711" i="20"/>
  <c r="AX711" i="20"/>
  <c r="BB711" i="20"/>
  <c r="BF711" i="20"/>
  <c r="BF118" i="10" s="1"/>
  <c r="BJ711" i="20"/>
  <c r="BJ118" i="10" s="1"/>
  <c r="BN711" i="20"/>
  <c r="BN118" i="10" s="1"/>
  <c r="BR711" i="20"/>
  <c r="BR118" i="10" s="1"/>
  <c r="BV711" i="20"/>
  <c r="BZ711" i="20"/>
  <c r="CD711" i="20"/>
  <c r="CH711" i="20"/>
  <c r="CL711" i="20"/>
  <c r="CP711" i="20"/>
  <c r="CT711" i="20"/>
  <c r="CX711" i="20"/>
  <c r="DB711" i="20"/>
  <c r="AP712" i="20"/>
  <c r="AP732" i="20" s="1"/>
  <c r="AT712" i="20"/>
  <c r="AT732" i="20" s="1"/>
  <c r="AX712" i="20"/>
  <c r="AX732" i="20" s="1"/>
  <c r="BB712" i="20"/>
  <c r="BB732" i="20" s="1"/>
  <c r="BJ712" i="20"/>
  <c r="BJ732" i="20" s="1"/>
  <c r="BN712" i="20"/>
  <c r="BN732" i="20" s="1"/>
  <c r="BR712" i="20"/>
  <c r="BR732" i="20" s="1"/>
  <c r="BV712" i="20"/>
  <c r="BZ712" i="20"/>
  <c r="CD712" i="20"/>
  <c r="CH712" i="20"/>
  <c r="CL712" i="20"/>
  <c r="CP712" i="20"/>
  <c r="CT712" i="20"/>
  <c r="CX712" i="20"/>
  <c r="DB712" i="20"/>
  <c r="AT713" i="20"/>
  <c r="AX713" i="20"/>
  <c r="BB713" i="20"/>
  <c r="BF713" i="20"/>
  <c r="BJ713" i="20"/>
  <c r="BN713" i="20"/>
  <c r="BR713" i="20"/>
  <c r="BV713" i="20"/>
  <c r="BZ713" i="20"/>
  <c r="CD713" i="20"/>
  <c r="CH713" i="20"/>
  <c r="CL713" i="20"/>
  <c r="CP713" i="20"/>
  <c r="CT713" i="20"/>
  <c r="CX713" i="20"/>
  <c r="DB713" i="20"/>
  <c r="AT715" i="20"/>
  <c r="AX715" i="20"/>
  <c r="BB715" i="20"/>
  <c r="BF715" i="20"/>
  <c r="BJ715" i="20"/>
  <c r="BN715" i="20"/>
  <c r="BR715" i="20"/>
  <c r="BV715" i="20"/>
  <c r="BZ715" i="20"/>
  <c r="CD715" i="20"/>
  <c r="CH715" i="20"/>
  <c r="CL715" i="20"/>
  <c r="CP715" i="20"/>
  <c r="CT715" i="20"/>
  <c r="CX715" i="20"/>
  <c r="DB715" i="20"/>
  <c r="AN716" i="20"/>
  <c r="AO716" i="20"/>
  <c r="AR716" i="20"/>
  <c r="AS716" i="20"/>
  <c r="AT718" i="20"/>
  <c r="AX718" i="20"/>
  <c r="AX765" i="20" s="1"/>
  <c r="BJ718" i="20"/>
  <c r="BN718" i="20"/>
  <c r="BR718" i="20"/>
  <c r="BV718" i="20"/>
  <c r="BV765" i="20" s="1"/>
  <c r="BZ718" i="20"/>
  <c r="BZ765" i="20" s="1"/>
  <c r="CD718" i="20"/>
  <c r="CD765" i="20" s="1"/>
  <c r="CH718" i="20"/>
  <c r="CH765" i="20" s="1"/>
  <c r="CL718" i="20"/>
  <c r="CL765" i="20" s="1"/>
  <c r="CP718" i="20"/>
  <c r="CP765" i="20" s="1"/>
  <c r="CT718" i="20"/>
  <c r="CT765" i="20" s="1"/>
  <c r="CX718" i="20"/>
  <c r="CX765" i="20" s="1"/>
  <c r="DB718" i="20"/>
  <c r="DB765" i="20" s="1"/>
  <c r="DF770" i="20" s="1"/>
  <c r="AT719" i="20"/>
  <c r="AT766" i="20" s="1"/>
  <c r="AX719" i="20"/>
  <c r="AX766" i="20" s="1"/>
  <c r="BB719" i="20"/>
  <c r="BB766" i="20" s="1"/>
  <c r="BF719" i="20"/>
  <c r="BF766" i="20" s="1"/>
  <c r="BJ719" i="20"/>
  <c r="BJ1135" i="10" s="1"/>
  <c r="BN719" i="20"/>
  <c r="BR719" i="20"/>
  <c r="BV719" i="20"/>
  <c r="BZ719" i="20"/>
  <c r="CD719" i="20"/>
  <c r="CH719" i="20"/>
  <c r="CL719" i="20"/>
  <c r="CP719" i="20"/>
  <c r="CT719" i="20"/>
  <c r="CX719" i="20"/>
  <c r="DB719" i="20"/>
  <c r="AT720" i="20"/>
  <c r="AT767" i="20" s="1"/>
  <c r="AX720" i="20"/>
  <c r="AX767" i="20" s="1"/>
  <c r="BB720" i="20"/>
  <c r="BB767" i="20" s="1"/>
  <c r="BJ720" i="20"/>
  <c r="BJ767" i="20" s="1"/>
  <c r="BN720" i="20"/>
  <c r="BN767" i="20" s="1"/>
  <c r="BR720" i="20"/>
  <c r="BR767" i="20" s="1"/>
  <c r="BV720" i="20"/>
  <c r="BZ720" i="20"/>
  <c r="CD720" i="20"/>
  <c r="CH720" i="20"/>
  <c r="CL720" i="20"/>
  <c r="CP720" i="20"/>
  <c r="CT720" i="20"/>
  <c r="CX720" i="20"/>
  <c r="DB720" i="20"/>
  <c r="AN721" i="20"/>
  <c r="AO721" i="20"/>
  <c r="AR721" i="20"/>
  <c r="AS721" i="20"/>
  <c r="AX723" i="20"/>
  <c r="AX431" i="42" s="1"/>
  <c r="BB723" i="20"/>
  <c r="BB431" i="42" s="1"/>
  <c r="BF723" i="20"/>
  <c r="BF431" i="42" s="1"/>
  <c r="BJ723" i="20"/>
  <c r="BJ431" i="42" s="1"/>
  <c r="BN723" i="20"/>
  <c r="BN431" i="42" s="1"/>
  <c r="BR723" i="20"/>
  <c r="BR431" i="42" s="1"/>
  <c r="BV723" i="20"/>
  <c r="BZ723" i="20"/>
  <c r="CD723" i="20"/>
  <c r="CH723" i="20"/>
  <c r="CL723" i="20"/>
  <c r="CP723" i="20"/>
  <c r="CT723" i="20"/>
  <c r="CX723" i="20"/>
  <c r="DB723" i="20"/>
  <c r="AX724" i="20"/>
  <c r="BB724" i="20"/>
  <c r="BF724" i="20"/>
  <c r="BJ724" i="20"/>
  <c r="BN724" i="20"/>
  <c r="BR724" i="20"/>
  <c r="BV724" i="20"/>
  <c r="BZ724" i="20"/>
  <c r="CD724" i="20"/>
  <c r="CH724" i="20"/>
  <c r="CL724" i="20"/>
  <c r="CP724" i="20"/>
  <c r="CT724" i="20"/>
  <c r="CX724" i="20"/>
  <c r="DB724" i="20"/>
  <c r="AX725" i="20"/>
  <c r="AX426" i="42" s="1"/>
  <c r="BB725" i="20"/>
  <c r="BB426" i="42" s="1"/>
  <c r="BF725" i="20"/>
  <c r="BF426" i="42" s="1"/>
  <c r="BJ725" i="20"/>
  <c r="BJ426" i="42" s="1"/>
  <c r="BN725" i="20"/>
  <c r="BN426" i="42" s="1"/>
  <c r="BR725" i="20"/>
  <c r="BR426" i="42" s="1"/>
  <c r="BV725" i="20"/>
  <c r="BZ725" i="20"/>
  <c r="CD725" i="20"/>
  <c r="CH725" i="20"/>
  <c r="CL725" i="20"/>
  <c r="CP725" i="20"/>
  <c r="CT725" i="20"/>
  <c r="CX725" i="20"/>
  <c r="DB725" i="20"/>
  <c r="AX726" i="20"/>
  <c r="AX389" i="42" s="1"/>
  <c r="BB726" i="20"/>
  <c r="BB389" i="42" s="1"/>
  <c r="BF726" i="20"/>
  <c r="BF389" i="42" s="1"/>
  <c r="BJ726" i="20"/>
  <c r="BJ389" i="42" s="1"/>
  <c r="BN726" i="20"/>
  <c r="BN389" i="42" s="1"/>
  <c r="BR726" i="20"/>
  <c r="BR389" i="42" s="1"/>
  <c r="BV726" i="20"/>
  <c r="BZ726" i="20"/>
  <c r="CD726" i="20"/>
  <c r="CH726" i="20"/>
  <c r="CL726" i="20"/>
  <c r="CP726" i="20"/>
  <c r="CT726" i="20"/>
  <c r="CX726" i="20"/>
  <c r="DB726" i="20"/>
  <c r="AP727" i="20"/>
  <c r="AT727" i="20"/>
  <c r="AN731" i="20"/>
  <c r="AO731" i="20"/>
  <c r="AR731" i="20"/>
  <c r="AS731" i="20"/>
  <c r="AV731" i="20"/>
  <c r="AW731" i="20"/>
  <c r="AZ731" i="20"/>
  <c r="BA731" i="20"/>
  <c r="BD731" i="20"/>
  <c r="BE731" i="20"/>
  <c r="BM731" i="20"/>
  <c r="BP731" i="20"/>
  <c r="BQ731" i="20"/>
  <c r="BT731" i="20"/>
  <c r="BU731" i="20"/>
  <c r="BX731" i="20"/>
  <c r="BY731" i="20"/>
  <c r="CB731" i="20"/>
  <c r="CC731" i="20"/>
  <c r="CF731" i="20"/>
  <c r="CG731" i="20"/>
  <c r="CJ731" i="20"/>
  <c r="CK731" i="20"/>
  <c r="CN731" i="20"/>
  <c r="CO731" i="20"/>
  <c r="CR731" i="20"/>
  <c r="CS731" i="20"/>
  <c r="CV731" i="20"/>
  <c r="CW731" i="20"/>
  <c r="CZ731" i="20"/>
  <c r="DD735" i="20" s="1"/>
  <c r="AN732" i="20"/>
  <c r="AO732" i="20"/>
  <c r="AR732" i="20"/>
  <c r="AS732" i="20"/>
  <c r="AV732" i="20"/>
  <c r="AW732" i="20"/>
  <c r="AZ732" i="20"/>
  <c r="BA732" i="20"/>
  <c r="BH732" i="20"/>
  <c r="BI732" i="20"/>
  <c r="BL732" i="20"/>
  <c r="BM732" i="20"/>
  <c r="BP732" i="20"/>
  <c r="BQ732" i="20"/>
  <c r="BT732" i="20"/>
  <c r="BU732" i="20"/>
  <c r="BX732" i="20"/>
  <c r="BY732" i="20"/>
  <c r="CB732" i="20"/>
  <c r="CC732" i="20"/>
  <c r="CF732" i="20"/>
  <c r="CG732" i="20"/>
  <c r="CJ732" i="20"/>
  <c r="CK732" i="20"/>
  <c r="CN732" i="20"/>
  <c r="CO732" i="20"/>
  <c r="CR732" i="20"/>
  <c r="CS732" i="20"/>
  <c r="CV732" i="20"/>
  <c r="CW732" i="20"/>
  <c r="CZ732" i="20"/>
  <c r="DA732" i="20"/>
  <c r="DJ732" i="20"/>
  <c r="DN732" i="20"/>
  <c r="A736" i="20"/>
  <c r="A737" i="20"/>
  <c r="CF742" i="20"/>
  <c r="CF741" i="20"/>
  <c r="CG742" i="20"/>
  <c r="CJ742" i="20"/>
  <c r="CJ741" i="20"/>
  <c r="CK742" i="20"/>
  <c r="CK741" i="20"/>
  <c r="CN742" i="20"/>
  <c r="CN741" i="20"/>
  <c r="CO742" i="20"/>
  <c r="CO741" i="20"/>
  <c r="CR742" i="20"/>
  <c r="CR741" i="20"/>
  <c r="CS742" i="20"/>
  <c r="CS741" i="20"/>
  <c r="CV742" i="20"/>
  <c r="CV741" i="20"/>
  <c r="CW742" i="20"/>
  <c r="CW741" i="20"/>
  <c r="CZ742" i="20"/>
  <c r="CZ741" i="20"/>
  <c r="DA742" i="20"/>
  <c r="DA741" i="20"/>
  <c r="DD118" i="10"/>
  <c r="DJ742" i="20"/>
  <c r="DN742" i="20"/>
  <c r="AN744" i="20"/>
  <c r="AO744" i="20"/>
  <c r="AR744" i="20"/>
  <c r="AS744" i="20"/>
  <c r="AV744" i="20"/>
  <c r="AW744" i="20"/>
  <c r="AZ744" i="20"/>
  <c r="BA744" i="20"/>
  <c r="BD744" i="20"/>
  <c r="BE744" i="20"/>
  <c r="BM744" i="20"/>
  <c r="BP744" i="20"/>
  <c r="BQ744" i="20"/>
  <c r="BT744" i="20"/>
  <c r="BU744" i="20"/>
  <c r="BX744" i="20"/>
  <c r="BY744" i="20"/>
  <c r="CB744" i="20"/>
  <c r="CC744" i="20"/>
  <c r="CF744" i="20"/>
  <c r="CG744" i="20"/>
  <c r="CJ744" i="20"/>
  <c r="CK744" i="20"/>
  <c r="CN744" i="20"/>
  <c r="CO744" i="20"/>
  <c r="CR744" i="20"/>
  <c r="CS744" i="20"/>
  <c r="CV744" i="20"/>
  <c r="CW744" i="20"/>
  <c r="CZ744" i="20"/>
  <c r="DA744" i="20"/>
  <c r="AX747" i="20"/>
  <c r="BB747" i="20"/>
  <c r="BF747" i="20"/>
  <c r="BJ747" i="20"/>
  <c r="BN747" i="20"/>
  <c r="BR747" i="20"/>
  <c r="BV747" i="20"/>
  <c r="BZ747" i="20"/>
  <c r="CD747" i="20"/>
  <c r="CH747" i="20"/>
  <c r="CL747" i="20"/>
  <c r="CP747" i="20"/>
  <c r="CT747" i="20"/>
  <c r="CX747" i="20"/>
  <c r="DB747" i="20"/>
  <c r="AX748" i="20"/>
  <c r="BB748" i="20"/>
  <c r="BF748" i="20"/>
  <c r="BN748" i="20"/>
  <c r="BR748" i="20"/>
  <c r="BV748" i="20"/>
  <c r="BZ748" i="20"/>
  <c r="CD748" i="20"/>
  <c r="CH748" i="20"/>
  <c r="CL748" i="20"/>
  <c r="CP748" i="20"/>
  <c r="CT748" i="20"/>
  <c r="CX748" i="20"/>
  <c r="DB748" i="20"/>
  <c r="AX749" i="20"/>
  <c r="BB749" i="20"/>
  <c r="BF749" i="20"/>
  <c r="BJ749" i="20"/>
  <c r="BN749" i="20"/>
  <c r="BR749" i="20"/>
  <c r="BV749" i="20"/>
  <c r="BZ749" i="20"/>
  <c r="CD749" i="20"/>
  <c r="CH749" i="20"/>
  <c r="CL749" i="20"/>
  <c r="CP749" i="20"/>
  <c r="CT749" i="20"/>
  <c r="CX749" i="20"/>
  <c r="DB749" i="20"/>
  <c r="AX750" i="20"/>
  <c r="BB750" i="20"/>
  <c r="BF750" i="20"/>
  <c r="BJ750" i="20"/>
  <c r="BN750" i="20"/>
  <c r="BR750" i="20"/>
  <c r="BV750" i="20"/>
  <c r="BZ750" i="20"/>
  <c r="CD750" i="20"/>
  <c r="CH750" i="20"/>
  <c r="CL750" i="20"/>
  <c r="CP750" i="20"/>
  <c r="CT750" i="20"/>
  <c r="CX750" i="20"/>
  <c r="DB750" i="20"/>
  <c r="AX751" i="20"/>
  <c r="BB751" i="20"/>
  <c r="BF751" i="20"/>
  <c r="BJ751" i="20"/>
  <c r="BN751" i="20"/>
  <c r="BR751" i="20"/>
  <c r="BV751" i="20"/>
  <c r="BZ751" i="20"/>
  <c r="CD751" i="20"/>
  <c r="CH751" i="20"/>
  <c r="CL751" i="20"/>
  <c r="CP751" i="20"/>
  <c r="CT751" i="20"/>
  <c r="CX751" i="20"/>
  <c r="DB751" i="20"/>
  <c r="AX752" i="20"/>
  <c r="BB752" i="20"/>
  <c r="BF752" i="20"/>
  <c r="BJ752" i="20"/>
  <c r="BN752" i="20"/>
  <c r="BR752" i="20"/>
  <c r="BV752" i="20"/>
  <c r="BZ752" i="20"/>
  <c r="CD752" i="20"/>
  <c r="CH752" i="20"/>
  <c r="CL752" i="20"/>
  <c r="CP752" i="20"/>
  <c r="CT752" i="20"/>
  <c r="CX752" i="20"/>
  <c r="DB752" i="20"/>
  <c r="AX753" i="20"/>
  <c r="BB753" i="20"/>
  <c r="BF753" i="20"/>
  <c r="BJ753" i="20"/>
  <c r="BN753" i="20"/>
  <c r="BR753" i="20"/>
  <c r="BV753" i="20"/>
  <c r="BZ753" i="20"/>
  <c r="CD753" i="20"/>
  <c r="CH753" i="20"/>
  <c r="CL753" i="20"/>
  <c r="CP753" i="20"/>
  <c r="CT753" i="20"/>
  <c r="CX753" i="20"/>
  <c r="DB753" i="20"/>
  <c r="AX754" i="20"/>
  <c r="BB754" i="20"/>
  <c r="BF754" i="20"/>
  <c r="BJ754" i="20"/>
  <c r="BN754" i="20"/>
  <c r="BR754" i="20"/>
  <c r="BV754" i="20"/>
  <c r="BZ754" i="20"/>
  <c r="CD754" i="20"/>
  <c r="CH754" i="20"/>
  <c r="CL754" i="20"/>
  <c r="CP754" i="20"/>
  <c r="CT754" i="20"/>
  <c r="CX754" i="20"/>
  <c r="DB754" i="20"/>
  <c r="AX755" i="20"/>
  <c r="BB755" i="20"/>
  <c r="BF755" i="20"/>
  <c r="BJ755" i="20"/>
  <c r="BN755" i="20"/>
  <c r="BR755" i="20"/>
  <c r="BV755" i="20"/>
  <c r="BZ755" i="20"/>
  <c r="CD755" i="20"/>
  <c r="CH755" i="20"/>
  <c r="CL755" i="20"/>
  <c r="CP755" i="20"/>
  <c r="CT755" i="20"/>
  <c r="CX755" i="20"/>
  <c r="DB755" i="20"/>
  <c r="AX756" i="20"/>
  <c r="BB756" i="20"/>
  <c r="BF756" i="20"/>
  <c r="BJ756" i="20"/>
  <c r="BN756" i="20"/>
  <c r="BR756" i="20"/>
  <c r="BV756" i="20"/>
  <c r="BZ756" i="20"/>
  <c r="CD756" i="20"/>
  <c r="CH756" i="20"/>
  <c r="CL756" i="20"/>
  <c r="CP756" i="20"/>
  <c r="CT756" i="20"/>
  <c r="CX756" i="20"/>
  <c r="DB756" i="20"/>
  <c r="AX757" i="20"/>
  <c r="BB757" i="20"/>
  <c r="BF757" i="20"/>
  <c r="BJ757" i="20"/>
  <c r="BN757" i="20"/>
  <c r="BR757" i="20"/>
  <c r="BV757" i="20"/>
  <c r="BZ757" i="20"/>
  <c r="CD757" i="20"/>
  <c r="CH757" i="20"/>
  <c r="CL757" i="20"/>
  <c r="CP757" i="20"/>
  <c r="CT757" i="20"/>
  <c r="CX757" i="20"/>
  <c r="DB757" i="20"/>
  <c r="AX758" i="20"/>
  <c r="BB758" i="20"/>
  <c r="BF758" i="20"/>
  <c r="BJ758" i="20"/>
  <c r="BN758" i="20"/>
  <c r="BR758" i="20"/>
  <c r="BV758" i="20"/>
  <c r="BZ758" i="20"/>
  <c r="CD758" i="20"/>
  <c r="CH758" i="20"/>
  <c r="CL758" i="20"/>
  <c r="CP758" i="20"/>
  <c r="CT758" i="20"/>
  <c r="CX758" i="20"/>
  <c r="DB758" i="20"/>
  <c r="AX759" i="20"/>
  <c r="BB759" i="20"/>
  <c r="BF759" i="20"/>
  <c r="BJ759" i="20"/>
  <c r="BN759" i="20"/>
  <c r="BR759" i="20"/>
  <c r="BV759" i="20"/>
  <c r="BZ759" i="20"/>
  <c r="CD759" i="20"/>
  <c r="CH759" i="20"/>
  <c r="CL759" i="20"/>
  <c r="CP759" i="20"/>
  <c r="CT759" i="20"/>
  <c r="CX759" i="20"/>
  <c r="DB759" i="20"/>
  <c r="AX760" i="20"/>
  <c r="BB760" i="20"/>
  <c r="BF760" i="20"/>
  <c r="BJ760" i="20"/>
  <c r="BN760" i="20"/>
  <c r="BR760" i="20"/>
  <c r="BV760" i="20"/>
  <c r="BZ760" i="20"/>
  <c r="CD760" i="20"/>
  <c r="CH760" i="20"/>
  <c r="CL760" i="20"/>
  <c r="CP760" i="20"/>
  <c r="CT760" i="20"/>
  <c r="CX760" i="20"/>
  <c r="DB760" i="20"/>
  <c r="AP761" i="20"/>
  <c r="AT761" i="20"/>
  <c r="A765" i="20"/>
  <c r="A770" i="20" s="1"/>
  <c r="AR765" i="20"/>
  <c r="AS765" i="20"/>
  <c r="AV765" i="20"/>
  <c r="AW765" i="20"/>
  <c r="BH765" i="20"/>
  <c r="BI765" i="20"/>
  <c r="BL765" i="20"/>
  <c r="BM765" i="20"/>
  <c r="BP765" i="20"/>
  <c r="BQ765" i="20"/>
  <c r="BT765" i="20"/>
  <c r="BU765" i="20"/>
  <c r="BX765" i="20"/>
  <c r="BY765" i="20"/>
  <c r="CB765" i="20"/>
  <c r="CC765" i="20"/>
  <c r="CF765" i="20"/>
  <c r="CG765" i="20"/>
  <c r="CJ765" i="20"/>
  <c r="CK765" i="20"/>
  <c r="CN765" i="20"/>
  <c r="CO765" i="20"/>
  <c r="CR765" i="20"/>
  <c r="CS765" i="20"/>
  <c r="CV765" i="20"/>
  <c r="CW765" i="20"/>
  <c r="CZ765" i="20"/>
  <c r="DD770" i="20" s="1"/>
  <c r="DA765" i="20"/>
  <c r="DE770" i="20" s="1"/>
  <c r="A766" i="20"/>
  <c r="A771" i="20" s="1"/>
  <c r="AR766" i="20"/>
  <c r="AS766" i="20"/>
  <c r="AV766" i="20"/>
  <c r="AW766" i="20"/>
  <c r="AZ766" i="20"/>
  <c r="BA766" i="20"/>
  <c r="BD766" i="20"/>
  <c r="BE766" i="20"/>
  <c r="BH766" i="20"/>
  <c r="BI766" i="20"/>
  <c r="BL766" i="20"/>
  <c r="BM766" i="20"/>
  <c r="BP766" i="20"/>
  <c r="BQ766" i="20"/>
  <c r="BT766" i="20"/>
  <c r="BU766" i="20"/>
  <c r="BX766" i="20"/>
  <c r="BY766" i="20"/>
  <c r="CB766" i="20"/>
  <c r="CC766" i="20"/>
  <c r="CF766" i="20"/>
  <c r="CG766" i="20"/>
  <c r="CJ766" i="20"/>
  <c r="CK766" i="20"/>
  <c r="CN766" i="20"/>
  <c r="CO766" i="20"/>
  <c r="CR766" i="20"/>
  <c r="CS766" i="20"/>
  <c r="CV766" i="20"/>
  <c r="CW766" i="20"/>
  <c r="A767" i="20"/>
  <c r="A772" i="20" s="1"/>
  <c r="AR767" i="20"/>
  <c r="AS767" i="20"/>
  <c r="AV767" i="20"/>
  <c r="AW767" i="20"/>
  <c r="AZ767" i="20"/>
  <c r="BA767" i="20"/>
  <c r="BE767" i="20"/>
  <c r="BH767" i="20"/>
  <c r="BI767" i="20"/>
  <c r="BL767" i="20"/>
  <c r="BM767" i="20"/>
  <c r="BP767" i="20"/>
  <c r="BQ767" i="20"/>
  <c r="BT767" i="20"/>
  <c r="BU767" i="20"/>
  <c r="BX767" i="20"/>
  <c r="BY767" i="20"/>
  <c r="CB767" i="20"/>
  <c r="CC767" i="20"/>
  <c r="CF767" i="20"/>
  <c r="CG767" i="20"/>
  <c r="CJ767" i="20"/>
  <c r="CK767" i="20"/>
  <c r="CN767" i="20"/>
  <c r="CO767" i="20"/>
  <c r="CR767" i="20"/>
  <c r="CS767" i="20"/>
  <c r="CV767" i="20"/>
  <c r="CW767" i="20"/>
  <c r="A773" i="20"/>
  <c r="BN783" i="20"/>
  <c r="BN785" i="20"/>
  <c r="BR783" i="20"/>
  <c r="BR785" i="20"/>
  <c r="BV783" i="20"/>
  <c r="BV785" i="20"/>
  <c r="BZ783" i="20"/>
  <c r="BZ785" i="20"/>
  <c r="CC783" i="20"/>
  <c r="CD783" i="20"/>
  <c r="CD785" i="20"/>
  <c r="CG783" i="20"/>
  <c r="CH783" i="20"/>
  <c r="CH785" i="20"/>
  <c r="CK783" i="20"/>
  <c r="CL783" i="20"/>
  <c r="CL785" i="20"/>
  <c r="CO783" i="20"/>
  <c r="CP783" i="20"/>
  <c r="CP785" i="20"/>
  <c r="CS783" i="20"/>
  <c r="CT783" i="20"/>
  <c r="CT785" i="20"/>
  <c r="CW783" i="20"/>
  <c r="CX783" i="20"/>
  <c r="CX785" i="20"/>
  <c r="DA783" i="20"/>
  <c r="DB783" i="20"/>
  <c r="DB785" i="20"/>
  <c r="CC786" i="20"/>
  <c r="CG786" i="20"/>
  <c r="CO786" i="20"/>
  <c r="CS786" i="20"/>
  <c r="CW786" i="20"/>
  <c r="DA786" i="20"/>
  <c r="CC788" i="20"/>
  <c r="CG788" i="20"/>
  <c r="CO788" i="20"/>
  <c r="CS788" i="20"/>
  <c r="CW788" i="20"/>
  <c r="DA788" i="20"/>
  <c r="AP797" i="20"/>
  <c r="AP819" i="20" s="1"/>
  <c r="AT797" i="20"/>
  <c r="AT819" i="20" s="1"/>
  <c r="AX797" i="20"/>
  <c r="AX819" i="20" s="1"/>
  <c r="BB797" i="20"/>
  <c r="BB819" i="20" s="1"/>
  <c r="BF797" i="20"/>
  <c r="BF819" i="20" s="1"/>
  <c r="BJ797" i="20"/>
  <c r="BJ819" i="20" s="1"/>
  <c r="BN797" i="20"/>
  <c r="BN819" i="20" s="1"/>
  <c r="BR797" i="20"/>
  <c r="BR819" i="20" s="1"/>
  <c r="BV797" i="20"/>
  <c r="BV819" i="20" s="1"/>
  <c r="BZ797" i="20"/>
  <c r="BZ819" i="20" s="1"/>
  <c r="CB797" i="20"/>
  <c r="CC797" i="20"/>
  <c r="CF797" i="20"/>
  <c r="CG797" i="20"/>
  <c r="CJ797" i="20"/>
  <c r="CK797" i="20"/>
  <c r="CN797" i="20"/>
  <c r="CO797" i="20"/>
  <c r="CR797" i="20"/>
  <c r="CS797" i="20"/>
  <c r="CV797" i="20"/>
  <c r="CW797" i="20"/>
  <c r="CZ797" i="20"/>
  <c r="DA797" i="20"/>
  <c r="DD797" i="20"/>
  <c r="DE797" i="20"/>
  <c r="DI797" i="20"/>
  <c r="DL797" i="20"/>
  <c r="DM797" i="20"/>
  <c r="BH830" i="20"/>
  <c r="BH798" i="20" s="1"/>
  <c r="BI830" i="20"/>
  <c r="BI798" i="20" s="1"/>
  <c r="BL830" i="20"/>
  <c r="BM830" i="20"/>
  <c r="BM798" i="20" s="1"/>
  <c r="BM803" i="20" s="1"/>
  <c r="BP830" i="20"/>
  <c r="BQ830" i="20"/>
  <c r="BQ798" i="20" s="1"/>
  <c r="BQ803" i="20" s="1"/>
  <c r="BU830" i="20"/>
  <c r="BX829" i="20"/>
  <c r="BY830" i="20"/>
  <c r="BY798" i="20" s="1"/>
  <c r="BY803" i="20" s="1"/>
  <c r="CB828" i="20"/>
  <c r="CC828" i="20" s="1"/>
  <c r="CB829" i="20"/>
  <c r="CC829" i="20" s="1"/>
  <c r="CF829" i="20" s="1"/>
  <c r="AP799" i="20"/>
  <c r="AP820" i="20" s="1"/>
  <c r="AT799" i="20"/>
  <c r="AT820" i="20" s="1"/>
  <c r="AX799" i="20"/>
  <c r="AX820" i="20" s="1"/>
  <c r="BR799" i="20"/>
  <c r="BR820" i="20" s="1"/>
  <c r="BV799" i="20"/>
  <c r="BV820" i="20" s="1"/>
  <c r="BZ799" i="20"/>
  <c r="BZ820" i="20" s="1"/>
  <c r="BX820" i="20"/>
  <c r="CB820" i="20" s="1"/>
  <c r="BY820" i="20"/>
  <c r="CC820" i="20" s="1"/>
  <c r="CC799" i="20" s="1"/>
  <c r="AT800" i="20"/>
  <c r="AX800" i="20"/>
  <c r="BB800" i="20"/>
  <c r="BF800" i="20"/>
  <c r="BJ800" i="20"/>
  <c r="BN800" i="20"/>
  <c r="BR800" i="20"/>
  <c r="BV800" i="20"/>
  <c r="BZ800" i="20"/>
  <c r="CB800" i="20"/>
  <c r="CC800" i="20"/>
  <c r="CF800" i="20"/>
  <c r="CG800" i="20"/>
  <c r="CJ800" i="20"/>
  <c r="CK800" i="20"/>
  <c r="CN800" i="20"/>
  <c r="CO800" i="20"/>
  <c r="CR800" i="20"/>
  <c r="CS800" i="20"/>
  <c r="CV800" i="20"/>
  <c r="CW800" i="20"/>
  <c r="CZ800" i="20"/>
  <c r="DA800" i="20"/>
  <c r="DD800" i="20"/>
  <c r="DE800" i="20"/>
  <c r="DI800" i="20"/>
  <c r="DL800" i="20"/>
  <c r="DM800" i="20"/>
  <c r="AP801" i="20"/>
  <c r="AT801" i="20"/>
  <c r="AX801" i="20"/>
  <c r="BB801" i="20"/>
  <c r="BF801" i="20"/>
  <c r="BJ801" i="20"/>
  <c r="BN801" i="20"/>
  <c r="BR801" i="20"/>
  <c r="BV801" i="20"/>
  <c r="BZ801" i="20"/>
  <c r="CB855" i="20"/>
  <c r="CB856" i="20"/>
  <c r="CB857" i="20"/>
  <c r="CB858" i="20"/>
  <c r="CB859" i="20"/>
  <c r="CB860" i="20"/>
  <c r="CB861" i="20"/>
  <c r="CB862" i="20"/>
  <c r="CB863" i="20"/>
  <c r="CB864" i="20"/>
  <c r="CB865" i="20"/>
  <c r="CB866" i="20"/>
  <c r="CB867" i="20"/>
  <c r="CB868" i="20"/>
  <c r="CC855" i="20"/>
  <c r="CC856" i="20"/>
  <c r="CC857" i="20"/>
  <c r="CC858" i="20"/>
  <c r="CC859" i="20"/>
  <c r="CC860" i="20"/>
  <c r="CC861" i="20"/>
  <c r="CC862" i="20"/>
  <c r="CC863" i="20"/>
  <c r="CC864" i="20"/>
  <c r="CC865" i="20"/>
  <c r="CC866" i="20"/>
  <c r="CC867" i="20"/>
  <c r="CC868" i="20"/>
  <c r="CF855" i="20"/>
  <c r="CF856" i="20"/>
  <c r="CF857" i="20"/>
  <c r="CF858" i="20"/>
  <c r="CF859" i="20"/>
  <c r="CF860" i="20"/>
  <c r="CF861" i="20"/>
  <c r="CF862" i="20"/>
  <c r="CF863" i="20"/>
  <c r="CF864" i="20"/>
  <c r="CF865" i="20"/>
  <c r="CF866" i="20"/>
  <c r="CF867" i="20"/>
  <c r="CF868" i="20"/>
  <c r="CG855" i="20"/>
  <c r="CG856" i="20"/>
  <c r="CG857" i="20"/>
  <c r="CG858" i="20"/>
  <c r="CG859" i="20"/>
  <c r="CG860" i="20"/>
  <c r="CG861" i="20"/>
  <c r="CG862" i="20"/>
  <c r="CG863" i="20"/>
  <c r="CG864" i="20"/>
  <c r="CG865" i="20"/>
  <c r="CG866" i="20"/>
  <c r="CG867" i="20"/>
  <c r="CG868" i="20"/>
  <c r="CJ855" i="20"/>
  <c r="CJ856" i="20"/>
  <c r="CJ857" i="20"/>
  <c r="CJ858" i="20"/>
  <c r="CJ859" i="20"/>
  <c r="CJ860" i="20"/>
  <c r="CJ861" i="20"/>
  <c r="CJ862" i="20"/>
  <c r="CJ863" i="20"/>
  <c r="CJ864" i="20"/>
  <c r="CJ865" i="20"/>
  <c r="CJ866" i="20"/>
  <c r="CJ867" i="20"/>
  <c r="CJ868" i="20"/>
  <c r="CK855" i="20"/>
  <c r="CK856" i="20"/>
  <c r="CK857" i="20"/>
  <c r="CK858" i="20"/>
  <c r="CK859" i="20"/>
  <c r="CK860" i="20"/>
  <c r="CK861" i="20"/>
  <c r="CK862" i="20"/>
  <c r="CK863" i="20"/>
  <c r="CK864" i="20"/>
  <c r="CK865" i="20"/>
  <c r="CK866" i="20"/>
  <c r="CK867" i="20"/>
  <c r="CK868" i="20"/>
  <c r="CN855" i="20"/>
  <c r="CN856" i="20"/>
  <c r="CN857" i="20"/>
  <c r="CN858" i="20"/>
  <c r="CN859" i="20"/>
  <c r="CN860" i="20"/>
  <c r="CN861" i="20"/>
  <c r="CN862" i="20"/>
  <c r="CN863" i="20"/>
  <c r="CN864" i="20"/>
  <c r="CN865" i="20"/>
  <c r="CN866" i="20"/>
  <c r="CN867" i="20"/>
  <c r="CN868" i="20"/>
  <c r="CO855" i="20"/>
  <c r="CO856" i="20"/>
  <c r="CO857" i="20"/>
  <c r="CO858" i="20"/>
  <c r="CO859" i="20"/>
  <c r="CO860" i="20"/>
  <c r="CO861" i="20"/>
  <c r="CO862" i="20"/>
  <c r="CO863" i="20"/>
  <c r="CO864" i="20"/>
  <c r="CO865" i="20"/>
  <c r="CO866" i="20"/>
  <c r="CO867" i="20"/>
  <c r="CO868" i="20"/>
  <c r="CR855" i="20"/>
  <c r="CR856" i="20"/>
  <c r="CR857" i="20"/>
  <c r="CR858" i="20"/>
  <c r="CR859" i="20"/>
  <c r="CR860" i="20"/>
  <c r="CR861" i="20"/>
  <c r="CR862" i="20"/>
  <c r="CR863" i="20"/>
  <c r="CR864" i="20"/>
  <c r="CR865" i="20"/>
  <c r="CR866" i="20"/>
  <c r="CR867" i="20"/>
  <c r="CR868" i="20"/>
  <c r="CS855" i="20"/>
  <c r="CS856" i="20"/>
  <c r="CS857" i="20"/>
  <c r="CS858" i="20"/>
  <c r="CS859" i="20"/>
  <c r="CS860" i="20"/>
  <c r="CS861" i="20"/>
  <c r="CS862" i="20"/>
  <c r="CS863" i="20"/>
  <c r="CS864" i="20"/>
  <c r="CS865" i="20"/>
  <c r="CS866" i="20"/>
  <c r="CS867" i="20"/>
  <c r="CS868" i="20"/>
  <c r="CV855" i="20"/>
  <c r="CV856" i="20"/>
  <c r="CV857" i="20"/>
  <c r="CV858" i="20"/>
  <c r="CV859" i="20"/>
  <c r="CV860" i="20"/>
  <c r="CV861" i="20"/>
  <c r="CV862" i="20"/>
  <c r="CV863" i="20"/>
  <c r="CV864" i="20"/>
  <c r="CV865" i="20"/>
  <c r="CV866" i="20"/>
  <c r="CV867" i="20"/>
  <c r="CV868" i="20"/>
  <c r="CW855" i="20"/>
  <c r="CW856" i="20"/>
  <c r="CW857" i="20"/>
  <c r="CW858" i="20"/>
  <c r="CW859" i="20"/>
  <c r="CW860" i="20"/>
  <c r="CW861" i="20"/>
  <c r="CW862" i="20"/>
  <c r="CW863" i="20"/>
  <c r="CW864" i="20"/>
  <c r="CW865" i="20"/>
  <c r="CW866" i="20"/>
  <c r="CW867" i="20"/>
  <c r="CW868" i="20"/>
  <c r="CZ855" i="20"/>
  <c r="CZ856" i="20"/>
  <c r="CZ857" i="20"/>
  <c r="CZ858" i="20"/>
  <c r="CZ859" i="20"/>
  <c r="CZ860" i="20"/>
  <c r="CZ861" i="20"/>
  <c r="CZ862" i="20"/>
  <c r="CZ863" i="20"/>
  <c r="CZ864" i="20"/>
  <c r="CZ865" i="20"/>
  <c r="CZ866" i="20"/>
  <c r="CZ867" i="20"/>
  <c r="CZ868" i="20"/>
  <c r="DA855" i="20"/>
  <c r="DA856" i="20"/>
  <c r="DA857" i="20"/>
  <c r="DA858" i="20"/>
  <c r="DA859" i="20"/>
  <c r="DA860" i="20"/>
  <c r="DA861" i="20"/>
  <c r="DA862" i="20"/>
  <c r="DA863" i="20"/>
  <c r="DA864" i="20"/>
  <c r="DA865" i="20"/>
  <c r="DA866" i="20"/>
  <c r="DA867" i="20"/>
  <c r="DA868" i="20"/>
  <c r="DD855" i="20"/>
  <c r="DD856" i="20"/>
  <c r="DD857" i="20"/>
  <c r="DD858" i="20"/>
  <c r="DD859" i="20"/>
  <c r="DD860" i="20"/>
  <c r="DD861" i="20"/>
  <c r="DD862" i="20"/>
  <c r="DD863" i="20"/>
  <c r="DD864" i="20"/>
  <c r="DD865" i="20"/>
  <c r="DD866" i="20"/>
  <c r="DD867" i="20"/>
  <c r="DD868" i="20"/>
  <c r="DE855" i="20"/>
  <c r="DE856" i="20"/>
  <c r="DE857" i="20"/>
  <c r="DE858" i="20"/>
  <c r="DE859" i="20"/>
  <c r="DE860" i="20"/>
  <c r="DE861" i="20"/>
  <c r="DE862" i="20"/>
  <c r="DE863" i="20"/>
  <c r="DE864" i="20"/>
  <c r="DE865" i="20"/>
  <c r="DE866" i="20"/>
  <c r="DE867" i="20"/>
  <c r="DE868" i="20"/>
  <c r="DI855" i="20"/>
  <c r="DI856" i="20"/>
  <c r="DI857" i="20"/>
  <c r="DI858" i="20"/>
  <c r="DI859" i="20"/>
  <c r="DI860" i="20"/>
  <c r="DI861" i="20"/>
  <c r="DI862" i="20"/>
  <c r="DI863" i="20"/>
  <c r="DI864" i="20"/>
  <c r="DI865" i="20"/>
  <c r="DI866" i="20"/>
  <c r="DI867" i="20"/>
  <c r="DI868" i="20"/>
  <c r="DL855" i="20"/>
  <c r="DL856" i="20"/>
  <c r="DL857" i="20"/>
  <c r="DL858" i="20"/>
  <c r="DL859" i="20"/>
  <c r="DL860" i="20"/>
  <c r="DL861" i="20"/>
  <c r="DL862" i="20"/>
  <c r="DL863" i="20"/>
  <c r="DL864" i="20"/>
  <c r="DL865" i="20"/>
  <c r="DL866" i="20"/>
  <c r="DL867" i="20"/>
  <c r="DL868" i="20"/>
  <c r="DM855" i="20"/>
  <c r="DM856" i="20"/>
  <c r="DM857" i="20"/>
  <c r="DM858" i="20"/>
  <c r="DM859" i="20"/>
  <c r="DM860" i="20"/>
  <c r="DM861" i="20"/>
  <c r="DM862" i="20"/>
  <c r="DM863" i="20"/>
  <c r="DM864" i="20"/>
  <c r="DM865" i="20"/>
  <c r="DM866" i="20"/>
  <c r="DM867" i="20"/>
  <c r="DM868" i="20"/>
  <c r="AT802" i="20"/>
  <c r="AX802" i="20"/>
  <c r="BB802" i="20"/>
  <c r="BF802" i="20"/>
  <c r="BJ802" i="20"/>
  <c r="BN802" i="20"/>
  <c r="BR802" i="20"/>
  <c r="BV802" i="20"/>
  <c r="BZ802" i="20"/>
  <c r="CB802" i="20"/>
  <c r="CC802" i="20"/>
  <c r="CF802" i="20"/>
  <c r="CG802" i="20"/>
  <c r="CJ802" i="20"/>
  <c r="CK802" i="20"/>
  <c r="CN802" i="20"/>
  <c r="CO802" i="20"/>
  <c r="CR802" i="20"/>
  <c r="CS802" i="20"/>
  <c r="CV802" i="20"/>
  <c r="CW802" i="20"/>
  <c r="CZ802" i="20"/>
  <c r="DA802" i="20"/>
  <c r="DD802" i="20"/>
  <c r="DE802" i="20"/>
  <c r="DI802" i="20"/>
  <c r="DL802" i="20"/>
  <c r="DM802" i="20"/>
  <c r="AP805" i="20"/>
  <c r="AP841" i="20" s="1"/>
  <c r="AT805" i="20"/>
  <c r="AT841" i="20" s="1"/>
  <c r="AX805" i="20"/>
  <c r="AX841" i="20" s="1"/>
  <c r="BB805" i="20"/>
  <c r="BB841" i="20" s="1"/>
  <c r="BF805" i="20"/>
  <c r="BF841" i="20" s="1"/>
  <c r="BJ805" i="20"/>
  <c r="BJ841" i="20" s="1"/>
  <c r="BN805" i="20"/>
  <c r="BN841" i="20" s="1"/>
  <c r="BR805" i="20"/>
  <c r="BR841" i="20" s="1"/>
  <c r="BV805" i="20"/>
  <c r="BV841" i="20" s="1"/>
  <c r="BZ805" i="20"/>
  <c r="BZ841" i="20" s="1"/>
  <c r="BX841" i="20"/>
  <c r="CB841" i="20" s="1"/>
  <c r="BY841" i="20"/>
  <c r="CC841" i="20" s="1"/>
  <c r="AP806" i="20"/>
  <c r="AP842" i="20" s="1"/>
  <c r="AT806" i="20"/>
  <c r="AT842" i="20" s="1"/>
  <c r="AX806" i="20"/>
  <c r="AX842" i="20" s="1"/>
  <c r="BB806" i="20"/>
  <c r="BB842" i="20" s="1"/>
  <c r="BJ806" i="20"/>
  <c r="BJ842" i="20" s="1"/>
  <c r="BN806" i="20"/>
  <c r="BN842" i="20" s="1"/>
  <c r="BR806" i="20"/>
  <c r="BR842" i="20" s="1"/>
  <c r="BV806" i="20"/>
  <c r="BV842" i="20" s="1"/>
  <c r="BZ806" i="20"/>
  <c r="BZ842" i="20" s="1"/>
  <c r="BX842" i="20"/>
  <c r="BY842" i="20"/>
  <c r="BY851" i="20" s="1"/>
  <c r="AP807" i="20"/>
  <c r="AP843" i="20" s="1"/>
  <c r="AT807" i="20"/>
  <c r="AT843" i="20" s="1"/>
  <c r="AX807" i="20"/>
  <c r="AX843" i="20" s="1"/>
  <c r="BF807" i="20"/>
  <c r="BF843" i="20" s="1"/>
  <c r="BJ807" i="20"/>
  <c r="BJ843" i="20" s="1"/>
  <c r="BN807" i="20"/>
  <c r="BN843" i="20" s="1"/>
  <c r="BR807" i="20"/>
  <c r="BR843" i="20" s="1"/>
  <c r="BV807" i="20"/>
  <c r="BV843" i="20" s="1"/>
  <c r="BZ807" i="20"/>
  <c r="BZ843" i="20" s="1"/>
  <c r="BX843" i="20"/>
  <c r="CB843" i="20" s="1"/>
  <c r="CB807" i="20" s="1"/>
  <c r="BY843" i="20"/>
  <c r="CC843" i="20" s="1"/>
  <c r="AN808" i="20"/>
  <c r="AO808" i="20"/>
  <c r="AR808" i="20"/>
  <c r="AS808" i="20"/>
  <c r="AV808" i="20"/>
  <c r="AW808" i="20"/>
  <c r="BD808" i="20"/>
  <c r="BH808" i="20"/>
  <c r="BI808" i="20"/>
  <c r="BL808" i="20"/>
  <c r="BM808" i="20"/>
  <c r="BP808" i="20"/>
  <c r="BQ808" i="20"/>
  <c r="BT808" i="20"/>
  <c r="BU808" i="20"/>
  <c r="BX808" i="20"/>
  <c r="BY808" i="20"/>
  <c r="AP810" i="20"/>
  <c r="AT810" i="20"/>
  <c r="AX810" i="20"/>
  <c r="BB810" i="20"/>
  <c r="BF810" i="20"/>
  <c r="BJ810" i="20"/>
  <c r="BN810" i="20"/>
  <c r="BR810" i="20"/>
  <c r="BV810" i="20"/>
  <c r="BZ810" i="20"/>
  <c r="CB810" i="20"/>
  <c r="CC810" i="20"/>
  <c r="CF810" i="20"/>
  <c r="CG810" i="20"/>
  <c r="CJ810" i="20"/>
  <c r="CK810" i="20"/>
  <c r="CN810" i="20"/>
  <c r="CO810" i="20"/>
  <c r="CR810" i="20"/>
  <c r="CS810" i="20"/>
  <c r="CV810" i="20"/>
  <c r="CW810" i="20"/>
  <c r="CZ810" i="20"/>
  <c r="DA810" i="20"/>
  <c r="DD810" i="20"/>
  <c r="DE810" i="20"/>
  <c r="DI810" i="20"/>
  <c r="DL810" i="20"/>
  <c r="DM810" i="20"/>
  <c r="A814" i="20"/>
  <c r="A815" i="20"/>
  <c r="A816" i="20"/>
  <c r="AN819" i="20"/>
  <c r="AO819" i="20"/>
  <c r="AR819" i="20"/>
  <c r="AS819" i="20"/>
  <c r="AV819" i="20"/>
  <c r="AW819" i="20"/>
  <c r="AZ819" i="20"/>
  <c r="BA819" i="20"/>
  <c r="BD819" i="20"/>
  <c r="BE819" i="20"/>
  <c r="BH819" i="20"/>
  <c r="BI819" i="20"/>
  <c r="BL819" i="20"/>
  <c r="BM819" i="20"/>
  <c r="BP819" i="20"/>
  <c r="BQ819" i="20"/>
  <c r="BT819" i="20"/>
  <c r="BU819" i="20"/>
  <c r="BX819" i="20"/>
  <c r="BY819" i="20"/>
  <c r="CD819" i="20"/>
  <c r="CH819" i="20"/>
  <c r="CL819" i="20"/>
  <c r="CP819" i="20"/>
  <c r="CT819" i="20"/>
  <c r="CX819" i="20"/>
  <c r="DB819" i="20"/>
  <c r="DF819" i="20"/>
  <c r="DJ819" i="20"/>
  <c r="DN819" i="20"/>
  <c r="AN820" i="20"/>
  <c r="AO820" i="20"/>
  <c r="AR820" i="20"/>
  <c r="AS820" i="20"/>
  <c r="AV820" i="20"/>
  <c r="AW820" i="20"/>
  <c r="BM820" i="20"/>
  <c r="BP820" i="20"/>
  <c r="BQ820" i="20"/>
  <c r="BT820" i="20"/>
  <c r="BU820" i="20"/>
  <c r="A823" i="20"/>
  <c r="A824" i="20"/>
  <c r="A825" i="20"/>
  <c r="AP828" i="20"/>
  <c r="AT828" i="20"/>
  <c r="AX828" i="20"/>
  <c r="BB828" i="20"/>
  <c r="BJ828" i="20"/>
  <c r="BN828" i="20"/>
  <c r="BR828" i="20"/>
  <c r="BV828" i="20"/>
  <c r="BZ828" i="20"/>
  <c r="AP829" i="20"/>
  <c r="AT829" i="20"/>
  <c r="AX829" i="20"/>
  <c r="BJ829" i="20"/>
  <c r="BN829" i="20"/>
  <c r="BR829" i="20"/>
  <c r="A832" i="20"/>
  <c r="AR832" i="20"/>
  <c r="AS832" i="20"/>
  <c r="AV832" i="20"/>
  <c r="AW832" i="20"/>
  <c r="AZ832" i="20"/>
  <c r="BA832" i="20"/>
  <c r="BI832" i="20"/>
  <c r="BL832" i="20"/>
  <c r="BM832" i="20"/>
  <c r="BP832" i="20"/>
  <c r="BQ832" i="20"/>
  <c r="BT832" i="20"/>
  <c r="BU832" i="20"/>
  <c r="BX832" i="20"/>
  <c r="BY832" i="20"/>
  <c r="A833" i="20"/>
  <c r="AR833" i="20"/>
  <c r="AS833" i="20"/>
  <c r="AV833" i="20"/>
  <c r="AW833" i="20"/>
  <c r="BH833" i="20"/>
  <c r="BI833" i="20"/>
  <c r="BL833" i="20"/>
  <c r="BM833" i="20"/>
  <c r="BP833" i="20"/>
  <c r="BQ833" i="20"/>
  <c r="A834" i="20"/>
  <c r="A836" i="20"/>
  <c r="AV836" i="20"/>
  <c r="AW836" i="20"/>
  <c r="AZ836" i="20"/>
  <c r="BA836" i="20"/>
  <c r="BL836" i="20"/>
  <c r="BM836" i="20"/>
  <c r="BP836" i="20"/>
  <c r="BQ836" i="20"/>
  <c r="BT836" i="20"/>
  <c r="BU836" i="20"/>
  <c r="BX836" i="20"/>
  <c r="BY836" i="20"/>
  <c r="A837" i="20"/>
  <c r="AV837" i="20"/>
  <c r="AW837" i="20"/>
  <c r="BI837" i="20"/>
  <c r="BL837" i="20"/>
  <c r="BM837" i="20"/>
  <c r="BP837" i="20"/>
  <c r="BQ837" i="20"/>
  <c r="BU837" i="20"/>
  <c r="BY837" i="20"/>
  <c r="A838" i="20"/>
  <c r="A841" i="20"/>
  <c r="A846" i="20" s="1"/>
  <c r="AN841" i="20"/>
  <c r="AO841" i="20"/>
  <c r="AR841" i="20"/>
  <c r="AS841" i="20"/>
  <c r="AV841" i="20"/>
  <c r="AW841" i="20"/>
  <c r="AZ841" i="20"/>
  <c r="BA841" i="20"/>
  <c r="BD841" i="20"/>
  <c r="BE841" i="20"/>
  <c r="BH841" i="20"/>
  <c r="BI841" i="20"/>
  <c r="BL841" i="20"/>
  <c r="BM841" i="20"/>
  <c r="BP841" i="20"/>
  <c r="BQ841" i="20"/>
  <c r="BT841" i="20"/>
  <c r="BU841" i="20"/>
  <c r="A842" i="20"/>
  <c r="A847" i="20" s="1"/>
  <c r="AN842" i="20"/>
  <c r="AN851" i="20" s="1"/>
  <c r="AO842" i="20"/>
  <c r="AO851" i="20" s="1"/>
  <c r="AR842" i="20"/>
  <c r="AS842" i="20"/>
  <c r="AS851" i="20" s="1"/>
  <c r="AV842" i="20"/>
  <c r="AW842" i="20"/>
  <c r="AZ842" i="20"/>
  <c r="BA842" i="20"/>
  <c r="BD842" i="20"/>
  <c r="BH842" i="20"/>
  <c r="BI842" i="20"/>
  <c r="BL842" i="20"/>
  <c r="BL851" i="20" s="1"/>
  <c r="BM842" i="20"/>
  <c r="BP842" i="20"/>
  <c r="BP851" i="20" s="1"/>
  <c r="BQ842" i="20"/>
  <c r="BQ851" i="20" s="1"/>
  <c r="BT842" i="20"/>
  <c r="BU842" i="20"/>
  <c r="BU851" i="20" s="1"/>
  <c r="A843" i="20"/>
  <c r="A848" i="20" s="1"/>
  <c r="AN843" i="20"/>
  <c r="AO843" i="20"/>
  <c r="AR843" i="20"/>
  <c r="AS843" i="20"/>
  <c r="AV843" i="20"/>
  <c r="AW843" i="20"/>
  <c r="BD843" i="20"/>
  <c r="BE843" i="20"/>
  <c r="BH843" i="20"/>
  <c r="BI843" i="20"/>
  <c r="BL843" i="20"/>
  <c r="BM843" i="20"/>
  <c r="BP843" i="20"/>
  <c r="BQ843" i="20"/>
  <c r="BT843" i="20"/>
  <c r="BU843" i="20"/>
  <c r="A849" i="20"/>
  <c r="BX855" i="20"/>
  <c r="BY855" i="20"/>
  <c r="BZ855" i="20"/>
  <c r="CD855" i="20"/>
  <c r="CH855" i="20"/>
  <c r="CL855" i="20"/>
  <c r="CP855" i="20"/>
  <c r="CT855" i="20"/>
  <c r="CX855" i="20"/>
  <c r="DB855" i="20"/>
  <c r="DF855" i="20"/>
  <c r="DJ855" i="20"/>
  <c r="DN855" i="20"/>
  <c r="BX856" i="20"/>
  <c r="BY856" i="20"/>
  <c r="BZ856" i="20"/>
  <c r="CD856" i="20"/>
  <c r="CH856" i="20"/>
  <c r="CL856" i="20"/>
  <c r="CP856" i="20"/>
  <c r="CT856" i="20"/>
  <c r="CX856" i="20"/>
  <c r="DB856" i="20"/>
  <c r="DF856" i="20"/>
  <c r="DJ856" i="20"/>
  <c r="DN856" i="20"/>
  <c r="BX857" i="20"/>
  <c r="BY857" i="20"/>
  <c r="BZ857" i="20"/>
  <c r="CD857" i="20"/>
  <c r="CH857" i="20"/>
  <c r="CL857" i="20"/>
  <c r="CP857" i="20"/>
  <c r="CT857" i="20"/>
  <c r="CX857" i="20"/>
  <c r="DB857" i="20"/>
  <c r="DF857" i="20"/>
  <c r="DJ857" i="20"/>
  <c r="DN857" i="20"/>
  <c r="BX858" i="20"/>
  <c r="BY858" i="20"/>
  <c r="BZ858" i="20"/>
  <c r="CD858" i="20"/>
  <c r="CH858" i="20"/>
  <c r="CL858" i="20"/>
  <c r="CP858" i="20"/>
  <c r="CT858" i="20"/>
  <c r="CX858" i="20"/>
  <c r="DB858" i="20"/>
  <c r="DF858" i="20"/>
  <c r="DJ858" i="20"/>
  <c r="DN858" i="20"/>
  <c r="BX859" i="20"/>
  <c r="BY859" i="20"/>
  <c r="BZ859" i="20"/>
  <c r="CD859" i="20"/>
  <c r="CH859" i="20"/>
  <c r="CL859" i="20"/>
  <c r="CP859" i="20"/>
  <c r="CT859" i="20"/>
  <c r="CX859" i="20"/>
  <c r="DB859" i="20"/>
  <c r="DF859" i="20"/>
  <c r="DJ859" i="20"/>
  <c r="DN859" i="20"/>
  <c r="BX860" i="20"/>
  <c r="BY860" i="20"/>
  <c r="BZ860" i="20"/>
  <c r="CD860" i="20"/>
  <c r="CH860" i="20"/>
  <c r="CL860" i="20"/>
  <c r="CP860" i="20"/>
  <c r="CT860" i="20"/>
  <c r="CX860" i="20"/>
  <c r="DB860" i="20"/>
  <c r="DF860" i="20"/>
  <c r="DJ860" i="20"/>
  <c r="DN860" i="20"/>
  <c r="BX861" i="20"/>
  <c r="BY861" i="20"/>
  <c r="BZ861" i="20"/>
  <c r="CD861" i="20"/>
  <c r="CH861" i="20"/>
  <c r="CL861" i="20"/>
  <c r="CP861" i="20"/>
  <c r="CT861" i="20"/>
  <c r="CX861" i="20"/>
  <c r="DB861" i="20"/>
  <c r="DF861" i="20"/>
  <c r="DJ861" i="20"/>
  <c r="DN861" i="20"/>
  <c r="BX862" i="20"/>
  <c r="BY862" i="20"/>
  <c r="BZ862" i="20"/>
  <c r="CD862" i="20"/>
  <c r="CH862" i="20"/>
  <c r="CL862" i="20"/>
  <c r="CP862" i="20"/>
  <c r="CT862" i="20"/>
  <c r="CX862" i="20"/>
  <c r="DB862" i="20"/>
  <c r="DF862" i="20"/>
  <c r="DJ862" i="20"/>
  <c r="DN862" i="20"/>
  <c r="BX863" i="20"/>
  <c r="BY863" i="20"/>
  <c r="BZ863" i="20"/>
  <c r="CD863" i="20"/>
  <c r="CH863" i="20"/>
  <c r="CL863" i="20"/>
  <c r="CP863" i="20"/>
  <c r="CT863" i="20"/>
  <c r="CX863" i="20"/>
  <c r="DB863" i="20"/>
  <c r="DF863" i="20"/>
  <c r="DJ863" i="20"/>
  <c r="DN863" i="20"/>
  <c r="BX864" i="20"/>
  <c r="BY864" i="20"/>
  <c r="BZ864" i="20"/>
  <c r="CD864" i="20"/>
  <c r="CH864" i="20"/>
  <c r="CL864" i="20"/>
  <c r="CP864" i="20"/>
  <c r="CT864" i="20"/>
  <c r="CX864" i="20"/>
  <c r="DB864" i="20"/>
  <c r="DF864" i="20"/>
  <c r="DJ864" i="20"/>
  <c r="DN864" i="20"/>
  <c r="AX865" i="20"/>
  <c r="BX865" i="20"/>
  <c r="BY865" i="20"/>
  <c r="BZ865" i="20"/>
  <c r="CD865" i="20"/>
  <c r="CH865" i="20"/>
  <c r="CL865" i="20"/>
  <c r="CP865" i="20"/>
  <c r="CT865" i="20"/>
  <c r="CX865" i="20"/>
  <c r="DB865" i="20"/>
  <c r="DF865" i="20"/>
  <c r="DJ865" i="20"/>
  <c r="DN865" i="20"/>
  <c r="BX866" i="20"/>
  <c r="BY866" i="20"/>
  <c r="BZ866" i="20"/>
  <c r="CD866" i="20"/>
  <c r="CH866" i="20"/>
  <c r="CL866" i="20"/>
  <c r="CP866" i="20"/>
  <c r="CT866" i="20"/>
  <c r="CX866" i="20"/>
  <c r="DB866" i="20"/>
  <c r="DF866" i="20"/>
  <c r="DJ866" i="20"/>
  <c r="DN866" i="20"/>
  <c r="BX867" i="20"/>
  <c r="BY867" i="20"/>
  <c r="BZ867" i="20"/>
  <c r="CD867" i="20"/>
  <c r="CH867" i="20"/>
  <c r="CL867" i="20"/>
  <c r="CP867" i="20"/>
  <c r="CT867" i="20"/>
  <c r="CX867" i="20"/>
  <c r="DB867" i="20"/>
  <c r="DF867" i="20"/>
  <c r="DJ867" i="20"/>
  <c r="DN867" i="20"/>
  <c r="BX868" i="20"/>
  <c r="BY868" i="20"/>
  <c r="BZ868" i="20"/>
  <c r="CD868" i="20"/>
  <c r="CH868" i="20"/>
  <c r="CL868" i="20"/>
  <c r="CP868" i="20"/>
  <c r="CT868" i="20"/>
  <c r="CX868" i="20"/>
  <c r="DB868" i="20"/>
  <c r="DF868" i="20"/>
  <c r="DJ868" i="20"/>
  <c r="DN868" i="20"/>
  <c r="AZ869" i="20"/>
  <c r="BA869" i="20"/>
  <c r="BB869" i="20"/>
  <c r="BD869" i="20"/>
  <c r="BE869" i="20"/>
  <c r="BF869" i="20"/>
  <c r="BH869" i="20"/>
  <c r="BI869" i="20"/>
  <c r="BJ869" i="20"/>
  <c r="BL869" i="20"/>
  <c r="BM869" i="20"/>
  <c r="BN869" i="20"/>
  <c r="BP869" i="20"/>
  <c r="BQ869" i="20"/>
  <c r="BR869" i="20"/>
  <c r="BT869" i="20"/>
  <c r="BU869" i="20"/>
  <c r="BV869" i="20"/>
  <c r="BZ876" i="20"/>
  <c r="BZ899" i="20" s="1"/>
  <c r="CB876" i="20"/>
  <c r="CC876" i="20"/>
  <c r="CF876" i="20"/>
  <c r="CG876" i="20"/>
  <c r="CJ876" i="20"/>
  <c r="CK876" i="20"/>
  <c r="CN876" i="20"/>
  <c r="CO876" i="20"/>
  <c r="CR876" i="20"/>
  <c r="CS876" i="20"/>
  <c r="CV876" i="20"/>
  <c r="CW876" i="20"/>
  <c r="CZ876" i="20"/>
  <c r="DA876" i="20"/>
  <c r="DD876" i="20"/>
  <c r="DE876" i="20"/>
  <c r="DI876" i="20"/>
  <c r="DL876" i="20"/>
  <c r="DM876" i="20"/>
  <c r="BW877" i="20"/>
  <c r="BX925" i="20"/>
  <c r="BX877" i="20" s="1"/>
  <c r="BY925" i="20"/>
  <c r="BY877" i="20" s="1"/>
  <c r="CR923" i="20"/>
  <c r="CS923" i="20"/>
  <c r="CV923" i="20"/>
  <c r="CW923" i="20"/>
  <c r="CZ923" i="20"/>
  <c r="DA923" i="20"/>
  <c r="BW878" i="20"/>
  <c r="BX913" i="20"/>
  <c r="BX878" i="20" s="1"/>
  <c r="BX900" i="20" s="1"/>
  <c r="BY913" i="20"/>
  <c r="CB908" i="20"/>
  <c r="CB909" i="20"/>
  <c r="BX910" i="20"/>
  <c r="BX917" i="20" s="1"/>
  <c r="CB912" i="20"/>
  <c r="CC908" i="20"/>
  <c r="CG908" i="20" s="1"/>
  <c r="CC909" i="20"/>
  <c r="CG909" i="20" s="1"/>
  <c r="BY910" i="20"/>
  <c r="BY917" i="20" s="1"/>
  <c r="CC912" i="20"/>
  <c r="CG912" i="20" s="1"/>
  <c r="BZ879" i="20"/>
  <c r="CB879" i="20"/>
  <c r="CC879" i="20"/>
  <c r="CF879" i="20"/>
  <c r="CG879" i="20"/>
  <c r="CJ879" i="20"/>
  <c r="CK879" i="20"/>
  <c r="CN879" i="20"/>
  <c r="CO879" i="20"/>
  <c r="CR879" i="20"/>
  <c r="CS879" i="20"/>
  <c r="CV879" i="20"/>
  <c r="CW879" i="20"/>
  <c r="CZ879" i="20"/>
  <c r="DA879" i="20"/>
  <c r="DD879" i="20"/>
  <c r="DE879" i="20"/>
  <c r="DI879" i="20"/>
  <c r="DL879" i="20"/>
  <c r="DM879" i="20"/>
  <c r="BX946" i="20"/>
  <c r="BX880" i="20" s="1"/>
  <c r="BY946" i="20"/>
  <c r="BY880" i="20" s="1"/>
  <c r="CB932" i="20"/>
  <c r="CB933" i="20"/>
  <c r="CB934" i="20"/>
  <c r="CB935" i="20"/>
  <c r="CB936" i="20"/>
  <c r="CB937" i="20"/>
  <c r="CB938" i="20"/>
  <c r="CB939" i="20"/>
  <c r="CB940" i="20"/>
  <c r="CB941" i="20"/>
  <c r="CB942" i="20"/>
  <c r="CB943" i="20"/>
  <c r="CB944" i="20"/>
  <c r="CB945" i="20"/>
  <c r="CC932" i="20"/>
  <c r="CC933" i="20"/>
  <c r="CC934" i="20"/>
  <c r="CC935" i="20"/>
  <c r="CC936" i="20"/>
  <c r="CC937" i="20"/>
  <c r="CC938" i="20"/>
  <c r="CC939" i="20"/>
  <c r="CC940" i="20"/>
  <c r="CC941" i="20"/>
  <c r="CC942" i="20"/>
  <c r="CC943" i="20"/>
  <c r="CC944" i="20"/>
  <c r="CC945" i="20"/>
  <c r="CF932" i="20"/>
  <c r="CF933" i="20"/>
  <c r="CF934" i="20"/>
  <c r="CF935" i="20"/>
  <c r="CF936" i="20"/>
  <c r="CF937" i="20"/>
  <c r="CF938" i="20"/>
  <c r="CF939" i="20"/>
  <c r="CF940" i="20"/>
  <c r="CF941" i="20"/>
  <c r="CF942" i="20"/>
  <c r="CF943" i="20"/>
  <c r="CF944" i="20"/>
  <c r="CF945" i="20"/>
  <c r="CG932" i="20"/>
  <c r="CG933" i="20"/>
  <c r="CG934" i="20"/>
  <c r="CG935" i="20"/>
  <c r="CG936" i="20"/>
  <c r="CG937" i="20"/>
  <c r="CG938" i="20"/>
  <c r="CG939" i="20"/>
  <c r="CG940" i="20"/>
  <c r="CG941" i="20"/>
  <c r="CG942" i="20"/>
  <c r="CG943" i="20"/>
  <c r="CG944" i="20"/>
  <c r="CG945" i="20"/>
  <c r="CJ932" i="20"/>
  <c r="CJ933" i="20"/>
  <c r="CJ934" i="20"/>
  <c r="CJ935" i="20"/>
  <c r="CJ936" i="20"/>
  <c r="CJ937" i="20"/>
  <c r="CJ938" i="20"/>
  <c r="CJ939" i="20"/>
  <c r="CJ940" i="20"/>
  <c r="CJ941" i="20"/>
  <c r="CJ942" i="20"/>
  <c r="CJ943" i="20"/>
  <c r="CJ944" i="20"/>
  <c r="CJ945" i="20"/>
  <c r="CK932" i="20"/>
  <c r="CK933" i="20"/>
  <c r="CK934" i="20"/>
  <c r="CK935" i="20"/>
  <c r="CK936" i="20"/>
  <c r="CK937" i="20"/>
  <c r="CK938" i="20"/>
  <c r="CK939" i="20"/>
  <c r="CK940" i="20"/>
  <c r="CK941" i="20"/>
  <c r="CK942" i="20"/>
  <c r="CK943" i="20"/>
  <c r="CK944" i="20"/>
  <c r="CK945" i="20"/>
  <c r="CN932" i="20"/>
  <c r="CN933" i="20"/>
  <c r="CN934" i="20"/>
  <c r="CN935" i="20"/>
  <c r="CN936" i="20"/>
  <c r="CN937" i="20"/>
  <c r="CN938" i="20"/>
  <c r="CN939" i="20"/>
  <c r="CN940" i="20"/>
  <c r="CN941" i="20"/>
  <c r="CN942" i="20"/>
  <c r="CN943" i="20"/>
  <c r="CN944" i="20"/>
  <c r="CN945" i="20"/>
  <c r="CO932" i="20"/>
  <c r="CO933" i="20"/>
  <c r="CO934" i="20"/>
  <c r="CO935" i="20"/>
  <c r="CO936" i="20"/>
  <c r="CO937" i="20"/>
  <c r="CO938" i="20"/>
  <c r="CO939" i="20"/>
  <c r="CO940" i="20"/>
  <c r="CO941" i="20"/>
  <c r="CO942" i="20"/>
  <c r="CO943" i="20"/>
  <c r="CO944" i="20"/>
  <c r="CO945" i="20"/>
  <c r="CR932" i="20"/>
  <c r="CR933" i="20"/>
  <c r="CR934" i="20"/>
  <c r="CR935" i="20"/>
  <c r="CR936" i="20"/>
  <c r="CR937" i="20"/>
  <c r="CR938" i="20"/>
  <c r="CR939" i="20"/>
  <c r="CR940" i="20"/>
  <c r="CR941" i="20"/>
  <c r="CR942" i="20"/>
  <c r="CR943" i="20"/>
  <c r="CR944" i="20"/>
  <c r="CR945" i="20"/>
  <c r="CS932" i="20"/>
  <c r="CS933" i="20"/>
  <c r="CS934" i="20"/>
  <c r="CS935" i="20"/>
  <c r="CS936" i="20"/>
  <c r="CS937" i="20"/>
  <c r="CS938" i="20"/>
  <c r="CS939" i="20"/>
  <c r="CS940" i="20"/>
  <c r="CS941" i="20"/>
  <c r="CS942" i="20"/>
  <c r="CS943" i="20"/>
  <c r="CS944" i="20"/>
  <c r="CS945" i="20"/>
  <c r="CV932" i="20"/>
  <c r="CV933" i="20"/>
  <c r="CV934" i="20"/>
  <c r="CV935" i="20"/>
  <c r="CV936" i="20"/>
  <c r="CV937" i="20"/>
  <c r="CV938" i="20"/>
  <c r="CV939" i="20"/>
  <c r="CV940" i="20"/>
  <c r="CV941" i="20"/>
  <c r="CV942" i="20"/>
  <c r="CV943" i="20"/>
  <c r="CV944" i="20"/>
  <c r="CV945" i="20"/>
  <c r="CW932" i="20"/>
  <c r="CW933" i="20"/>
  <c r="CW934" i="20"/>
  <c r="CW935" i="20"/>
  <c r="CW936" i="20"/>
  <c r="CW937" i="20"/>
  <c r="CW938" i="20"/>
  <c r="CW939" i="20"/>
  <c r="CW940" i="20"/>
  <c r="CW941" i="20"/>
  <c r="CW942" i="20"/>
  <c r="CW943" i="20"/>
  <c r="CW944" i="20"/>
  <c r="CW945" i="20"/>
  <c r="CZ932" i="20"/>
  <c r="CZ933" i="20"/>
  <c r="CZ934" i="20"/>
  <c r="CZ935" i="20"/>
  <c r="CZ936" i="20"/>
  <c r="CZ937" i="20"/>
  <c r="CZ938" i="20"/>
  <c r="CZ939" i="20"/>
  <c r="CZ940" i="20"/>
  <c r="CZ941" i="20"/>
  <c r="CZ942" i="20"/>
  <c r="CZ943" i="20"/>
  <c r="CZ944" i="20"/>
  <c r="CZ945" i="20"/>
  <c r="DA932" i="20"/>
  <c r="DA933" i="20"/>
  <c r="DA934" i="20"/>
  <c r="DA935" i="20"/>
  <c r="DA936" i="20"/>
  <c r="DA937" i="20"/>
  <c r="DA938" i="20"/>
  <c r="DA939" i="20"/>
  <c r="DA940" i="20"/>
  <c r="DA941" i="20"/>
  <c r="DA942" i="20"/>
  <c r="DA943" i="20"/>
  <c r="DA944" i="20"/>
  <c r="DA945" i="20"/>
  <c r="DD932" i="20"/>
  <c r="DD933" i="20"/>
  <c r="DD934" i="20"/>
  <c r="DD935" i="20"/>
  <c r="DD936" i="20"/>
  <c r="DD937" i="20"/>
  <c r="DD938" i="20"/>
  <c r="DD939" i="20"/>
  <c r="DD940" i="20"/>
  <c r="DD941" i="20"/>
  <c r="DD942" i="20"/>
  <c r="DD943" i="20"/>
  <c r="DD944" i="20"/>
  <c r="DD945" i="20"/>
  <c r="DE932" i="20"/>
  <c r="DE933" i="20"/>
  <c r="DE934" i="20"/>
  <c r="DE935" i="20"/>
  <c r="DE936" i="20"/>
  <c r="DE937" i="20"/>
  <c r="DE938" i="20"/>
  <c r="DE939" i="20"/>
  <c r="DE940" i="20"/>
  <c r="DE941" i="20"/>
  <c r="DE942" i="20"/>
  <c r="DE943" i="20"/>
  <c r="DE944" i="20"/>
  <c r="DE945" i="20"/>
  <c r="DI932" i="20"/>
  <c r="DI933" i="20"/>
  <c r="DI934" i="20"/>
  <c r="DI935" i="20"/>
  <c r="DI936" i="20"/>
  <c r="DI937" i="20"/>
  <c r="DI938" i="20"/>
  <c r="DI939" i="20"/>
  <c r="DI940" i="20"/>
  <c r="DI941" i="20"/>
  <c r="DI942" i="20"/>
  <c r="DI943" i="20"/>
  <c r="DI944" i="20"/>
  <c r="DI945" i="20"/>
  <c r="DL932" i="20"/>
  <c r="DL933" i="20"/>
  <c r="DL934" i="20"/>
  <c r="DL935" i="20"/>
  <c r="DL936" i="20"/>
  <c r="DL937" i="20"/>
  <c r="DL938" i="20"/>
  <c r="DL939" i="20"/>
  <c r="DL940" i="20"/>
  <c r="DL941" i="20"/>
  <c r="DL942" i="20"/>
  <c r="DL943" i="20"/>
  <c r="DL944" i="20"/>
  <c r="DL945" i="20"/>
  <c r="DM932" i="20"/>
  <c r="DM933" i="20"/>
  <c r="DM934" i="20"/>
  <c r="DM935" i="20"/>
  <c r="DM936" i="20"/>
  <c r="DM937" i="20"/>
  <c r="DM938" i="20"/>
  <c r="DM939" i="20"/>
  <c r="DM940" i="20"/>
  <c r="DM941" i="20"/>
  <c r="DM942" i="20"/>
  <c r="DM943" i="20"/>
  <c r="DM944" i="20"/>
  <c r="DM945" i="20"/>
  <c r="BZ881" i="20"/>
  <c r="CB881" i="20"/>
  <c r="CC881" i="20"/>
  <c r="CF881" i="20"/>
  <c r="CG881" i="20"/>
  <c r="CJ881" i="20"/>
  <c r="CK881" i="20"/>
  <c r="CN881" i="20"/>
  <c r="CO881" i="20"/>
  <c r="CR881" i="20"/>
  <c r="CS881" i="20"/>
  <c r="CV881" i="20"/>
  <c r="CW881" i="20"/>
  <c r="CZ881" i="20"/>
  <c r="DA881" i="20"/>
  <c r="DD881" i="20"/>
  <c r="DE881" i="20"/>
  <c r="DI881" i="20"/>
  <c r="DL881" i="20"/>
  <c r="DM881" i="20"/>
  <c r="BW882" i="20"/>
  <c r="BZ884" i="20"/>
  <c r="BZ950" i="20" s="1"/>
  <c r="BZ955" i="20" s="1"/>
  <c r="BX950" i="20"/>
  <c r="CB950" i="20" s="1"/>
  <c r="BY950" i="20"/>
  <c r="BY955" i="20" s="1"/>
  <c r="BZ885" i="20"/>
  <c r="BZ951" i="20" s="1"/>
  <c r="BZ956" i="20" s="1"/>
  <c r="BX951" i="20"/>
  <c r="CB951" i="20" s="1"/>
  <c r="BY951" i="20"/>
  <c r="CC951" i="20" s="1"/>
  <c r="BZ886" i="20"/>
  <c r="BZ952" i="20" s="1"/>
  <c r="BZ957" i="20" s="1"/>
  <c r="BX952" i="20"/>
  <c r="CB952" i="20" s="1"/>
  <c r="CF952" i="20" s="1"/>
  <c r="BY952" i="20"/>
  <c r="CC952" i="20" s="1"/>
  <c r="BW887" i="20"/>
  <c r="BX887" i="20"/>
  <c r="BY887" i="20"/>
  <c r="BY895" i="20" s="1"/>
  <c r="BZ889" i="20"/>
  <c r="CB889" i="20"/>
  <c r="CC889" i="20"/>
  <c r="CF889" i="20"/>
  <c r="CG889" i="20"/>
  <c r="CJ889" i="20"/>
  <c r="CK889" i="20"/>
  <c r="CN889" i="20"/>
  <c r="CO889" i="20"/>
  <c r="CR889" i="20"/>
  <c r="CS889" i="20"/>
  <c r="CV889" i="20"/>
  <c r="CW889" i="20"/>
  <c r="CZ889" i="20"/>
  <c r="DA889" i="20"/>
  <c r="DD889" i="20"/>
  <c r="DE889" i="20"/>
  <c r="DI889" i="20"/>
  <c r="DL889" i="20"/>
  <c r="DM889" i="20"/>
  <c r="BW890" i="20"/>
  <c r="BW891" i="20"/>
  <c r="A894" i="20"/>
  <c r="A895" i="20"/>
  <c r="A896" i="20"/>
  <c r="BX899" i="20"/>
  <c r="BY899" i="20"/>
  <c r="CD899" i="20"/>
  <c r="CH899" i="20"/>
  <c r="CL899" i="20"/>
  <c r="CP899" i="20"/>
  <c r="CT899" i="20"/>
  <c r="CX899" i="20"/>
  <c r="DB899" i="20"/>
  <c r="DF899" i="20"/>
  <c r="DJ899" i="20"/>
  <c r="DN899" i="20"/>
  <c r="A903" i="20"/>
  <c r="A904" i="20"/>
  <c r="A905" i="20"/>
  <c r="BZ908" i="20"/>
  <c r="BZ915" i="20" s="1"/>
  <c r="BZ909" i="20"/>
  <c r="BZ916" i="20" s="1"/>
  <c r="BZ911" i="20"/>
  <c r="BZ918" i="20" s="1"/>
  <c r="BZ912" i="20"/>
  <c r="A915" i="20"/>
  <c r="BX915" i="20"/>
  <c r="BY915" i="20"/>
  <c r="A916" i="20"/>
  <c r="BX916" i="20"/>
  <c r="BY916" i="20"/>
  <c r="A917" i="20"/>
  <c r="A918" i="20"/>
  <c r="BX918" i="20"/>
  <c r="BY918" i="20"/>
  <c r="A919" i="20"/>
  <c r="BX919" i="20"/>
  <c r="BY919" i="20"/>
  <c r="A920" i="20"/>
  <c r="BZ923" i="20"/>
  <c r="BZ927" i="20" s="1"/>
  <c r="BZ924" i="20"/>
  <c r="BZ928" i="20" s="1"/>
  <c r="A927" i="20"/>
  <c r="BX927" i="20"/>
  <c r="BY927" i="20"/>
  <c r="A928" i="20"/>
  <c r="BX928" i="20"/>
  <c r="BY928" i="20"/>
  <c r="A929" i="20"/>
  <c r="BZ932" i="20"/>
  <c r="BZ933" i="20"/>
  <c r="BZ934" i="20"/>
  <c r="BZ935" i="20"/>
  <c r="BZ936" i="20"/>
  <c r="BZ937" i="20"/>
  <c r="BZ938" i="20"/>
  <c r="BZ939" i="20"/>
  <c r="BZ940" i="20"/>
  <c r="BZ941" i="20"/>
  <c r="BZ942" i="20"/>
  <c r="BZ943" i="20"/>
  <c r="BZ944" i="20"/>
  <c r="BZ945" i="20"/>
  <c r="BX947" i="20"/>
  <c r="BY947" i="20"/>
  <c r="A950" i="20"/>
  <c r="A955" i="20" s="1"/>
  <c r="A951" i="20"/>
  <c r="A956" i="20" s="1"/>
  <c r="A952" i="20"/>
  <c r="A957" i="20" s="1"/>
  <c r="A958" i="20"/>
  <c r="Z5" i="41"/>
  <c r="DE5" i="41" s="1"/>
  <c r="AA5" i="41"/>
  <c r="DF5" i="41" s="1"/>
  <c r="AB5" i="41"/>
  <c r="DG5" i="41" s="1"/>
  <c r="AC5" i="41"/>
  <c r="AD5" i="41"/>
  <c r="DI5" i="41" s="1"/>
  <c r="AE5" i="41"/>
  <c r="DJ5" i="41" s="1"/>
  <c r="AF5" i="41"/>
  <c r="DK5" i="41" s="1"/>
  <c r="AG5" i="41"/>
  <c r="AH5" i="41"/>
  <c r="DM5" i="41" s="1"/>
  <c r="AI5" i="41"/>
  <c r="DN5" i="41" s="1"/>
  <c r="AJ5" i="41"/>
  <c r="DO5" i="41" s="1"/>
  <c r="AK5" i="41"/>
  <c r="AL5" i="41"/>
  <c r="DQ5" i="41" s="1"/>
  <c r="AM5" i="41"/>
  <c r="DR5" i="41" s="1"/>
  <c r="AN5" i="41"/>
  <c r="DS5" i="41" s="1"/>
  <c r="AO5" i="41"/>
  <c r="AP5" i="41"/>
  <c r="DU5" i="41" s="1"/>
  <c r="AQ5" i="41"/>
  <c r="DV5" i="41" s="1"/>
  <c r="AR5" i="41"/>
  <c r="DW5" i="41" s="1"/>
  <c r="AT5" i="41"/>
  <c r="DY5" i="41" s="1"/>
  <c r="AU5" i="41"/>
  <c r="AU50" i="41" s="1"/>
  <c r="AV5" i="41"/>
  <c r="EA5" i="41" s="1"/>
  <c r="AX5" i="41"/>
  <c r="EC5" i="41" s="1"/>
  <c r="AY5" i="41"/>
  <c r="ED5" i="41" s="1"/>
  <c r="AZ5" i="41"/>
  <c r="EE5" i="41" s="1"/>
  <c r="BB5" i="41"/>
  <c r="BC5" i="41"/>
  <c r="BD5" i="41"/>
  <c r="EI5" i="41" s="1"/>
  <c r="BF5" i="41"/>
  <c r="EK5" i="41" s="1"/>
  <c r="BG5" i="41"/>
  <c r="EL5" i="41" s="1"/>
  <c r="BH5" i="41"/>
  <c r="BH50" i="41" s="1"/>
  <c r="BJ5" i="41"/>
  <c r="BJ50" i="41" s="1"/>
  <c r="BK5" i="41"/>
  <c r="BK50" i="41" s="1"/>
  <c r="BL5" i="41"/>
  <c r="EQ5" i="41" s="1"/>
  <c r="BN5" i="41"/>
  <c r="BO5" i="41"/>
  <c r="BP5" i="41"/>
  <c r="EU5" i="41" s="1"/>
  <c r="BR5" i="41"/>
  <c r="EW5" i="41" s="1"/>
  <c r="BS5" i="41"/>
  <c r="EX5" i="41" s="1"/>
  <c r="BT5" i="41"/>
  <c r="EY5" i="41" s="1"/>
  <c r="CB5" i="41"/>
  <c r="CI5" i="41"/>
  <c r="CM5" i="41"/>
  <c r="CQ5" i="41"/>
  <c r="CU5" i="41"/>
  <c r="CW5" i="41"/>
  <c r="CX5" i="41"/>
  <c r="CY5" i="41"/>
  <c r="DA5" i="41"/>
  <c r="DB5" i="41"/>
  <c r="DC5" i="41"/>
  <c r="F6" i="41"/>
  <c r="F51" i="41" s="1"/>
  <c r="G6" i="41"/>
  <c r="G51" i="41" s="1"/>
  <c r="J6" i="41"/>
  <c r="K6" i="41"/>
  <c r="N6" i="41"/>
  <c r="O6" i="41"/>
  <c r="R6" i="41"/>
  <c r="S6" i="41"/>
  <c r="V6" i="41"/>
  <c r="W6" i="41"/>
  <c r="Z6" i="41"/>
  <c r="AA6" i="41"/>
  <c r="AD6" i="41"/>
  <c r="AE6" i="41"/>
  <c r="AF6" i="41"/>
  <c r="AH6" i="41"/>
  <c r="AI6" i="41"/>
  <c r="AL6" i="41"/>
  <c r="AM6" i="41"/>
  <c r="AP6" i="41"/>
  <c r="AQ6" i="41"/>
  <c r="AT6" i="41"/>
  <c r="AU6" i="41"/>
  <c r="AX6" i="41"/>
  <c r="AY6" i="41"/>
  <c r="BB6" i="41"/>
  <c r="BC6" i="41"/>
  <c r="BF6" i="41"/>
  <c r="BG6" i="41"/>
  <c r="F8" i="41"/>
  <c r="G8" i="41"/>
  <c r="G57" i="41" s="1"/>
  <c r="J8" i="41"/>
  <c r="K8" i="41"/>
  <c r="N8" i="41"/>
  <c r="O8" i="41"/>
  <c r="R8" i="41"/>
  <c r="S8" i="41"/>
  <c r="V8" i="41"/>
  <c r="W8" i="41"/>
  <c r="Z8" i="41"/>
  <c r="AA8" i="41"/>
  <c r="AD8" i="41"/>
  <c r="AE8" i="41"/>
  <c r="AH8" i="41"/>
  <c r="AI8" i="41"/>
  <c r="AL8" i="41"/>
  <c r="AM8" i="41"/>
  <c r="AP8" i="41"/>
  <c r="AQ8" i="41"/>
  <c r="AT8" i="41"/>
  <c r="AU8" i="41"/>
  <c r="AX8" i="41"/>
  <c r="AY8" i="41"/>
  <c r="BB8" i="41"/>
  <c r="BC8" i="41"/>
  <c r="BD8" i="41"/>
  <c r="BF8" i="41"/>
  <c r="BG8" i="41"/>
  <c r="CI7" i="41"/>
  <c r="CI8" i="41"/>
  <c r="AY14" i="41"/>
  <c r="CI13" i="41"/>
  <c r="CI15" i="41" s="1"/>
  <c r="CM13" i="41"/>
  <c r="CM15" i="41" s="1"/>
  <c r="DO13" i="41"/>
  <c r="DO15" i="41" s="1"/>
  <c r="DS13" i="41"/>
  <c r="DS15" i="41" s="1"/>
  <c r="DU13" i="41"/>
  <c r="DU15" i="41" s="1"/>
  <c r="DV13" i="41"/>
  <c r="DV15" i="41" s="1"/>
  <c r="DY13" i="41"/>
  <c r="DY15" i="41" s="1"/>
  <c r="DZ13" i="41"/>
  <c r="DZ15" i="41" s="1"/>
  <c r="EA13" i="41"/>
  <c r="EA15" i="41" s="1"/>
  <c r="EC13" i="41"/>
  <c r="ED13" i="41"/>
  <c r="ED15" i="41" s="1"/>
  <c r="EG13" i="41"/>
  <c r="EH13" i="41"/>
  <c r="EH15" i="41" s="1"/>
  <c r="EI13" i="41"/>
  <c r="EI15" i="41" s="1"/>
  <c r="EK13" i="41"/>
  <c r="EL13" i="41"/>
  <c r="EM13" i="41"/>
  <c r="EM15" i="41" s="1"/>
  <c r="ES14" i="41"/>
  <c r="ET14" i="41"/>
  <c r="EW14" i="41"/>
  <c r="EX14" i="41"/>
  <c r="CI16" i="41"/>
  <c r="CU16" i="41"/>
  <c r="DG16" i="41"/>
  <c r="DK16" i="41"/>
  <c r="DU16" i="41"/>
  <c r="DW16" i="41"/>
  <c r="EC16" i="41"/>
  <c r="EE16" i="41"/>
  <c r="EG16" i="41"/>
  <c r="EI16" i="41"/>
  <c r="CI17" i="41"/>
  <c r="CQ17" i="41"/>
  <c r="CU17" i="41"/>
  <c r="DC17" i="41"/>
  <c r="DY17" i="41"/>
  <c r="EA17" i="41"/>
  <c r="EC17" i="41"/>
  <c r="EE17" i="41"/>
  <c r="EG17" i="41"/>
  <c r="EI17" i="41"/>
  <c r="EK17" i="41"/>
  <c r="F21" i="41"/>
  <c r="G21" i="41"/>
  <c r="J21" i="41"/>
  <c r="K21" i="41"/>
  <c r="N21" i="41"/>
  <c r="O21" i="41"/>
  <c r="R21" i="41"/>
  <c r="S21" i="41"/>
  <c r="V21" i="41"/>
  <c r="W21" i="41"/>
  <c r="Z21" i="41"/>
  <c r="AA21" i="41"/>
  <c r="AD21" i="41"/>
  <c r="AE21" i="41"/>
  <c r="AH21" i="41"/>
  <c r="AI21" i="41"/>
  <c r="AL21" i="41"/>
  <c r="AM21" i="41"/>
  <c r="AP21" i="41"/>
  <c r="AQ21" i="41"/>
  <c r="AT21" i="41"/>
  <c r="AU21" i="41"/>
  <c r="AX21" i="41"/>
  <c r="AY21" i="41"/>
  <c r="BB21" i="41"/>
  <c r="BC21" i="41"/>
  <c r="BF21" i="41"/>
  <c r="BG21" i="41"/>
  <c r="BJ21" i="41"/>
  <c r="BK21" i="41"/>
  <c r="BN21" i="41"/>
  <c r="BO21" i="41"/>
  <c r="BR21" i="41"/>
  <c r="BS21" i="41"/>
  <c r="CI21" i="41"/>
  <c r="CM21" i="41"/>
  <c r="CQ21" i="41"/>
  <c r="CU21" i="41"/>
  <c r="CY21" i="41"/>
  <c r="DC21" i="41"/>
  <c r="DG21" i="41"/>
  <c r="DK21" i="41"/>
  <c r="DO21" i="41"/>
  <c r="DS21" i="41"/>
  <c r="DU21" i="41"/>
  <c r="DV21" i="41"/>
  <c r="DW21" i="41"/>
  <c r="DY21" i="41"/>
  <c r="DZ21" i="41"/>
  <c r="EA21" i="41"/>
  <c r="EC21" i="41"/>
  <c r="ED21" i="41"/>
  <c r="EE21" i="41"/>
  <c r="EG21" i="41"/>
  <c r="EH21" i="41"/>
  <c r="EI21" i="41"/>
  <c r="EK21" i="41"/>
  <c r="EL21" i="41"/>
  <c r="F28" i="41"/>
  <c r="F72" i="41" s="1"/>
  <c r="G28" i="41"/>
  <c r="G72" i="41" s="1"/>
  <c r="K28" i="41"/>
  <c r="O28" i="41"/>
  <c r="AD28" i="41"/>
  <c r="AE28" i="41"/>
  <c r="AI28" i="41"/>
  <c r="AM28" i="41"/>
  <c r="AQ28" i="41"/>
  <c r="AY28" i="41"/>
  <c r="BB28" i="41"/>
  <c r="BC28" i="41"/>
  <c r="EL35" i="41"/>
  <c r="CU36" i="41"/>
  <c r="DU36" i="41"/>
  <c r="DV36" i="41"/>
  <c r="DY36" i="41"/>
  <c r="DZ36" i="41"/>
  <c r="EC36" i="41"/>
  <c r="ED36" i="41"/>
  <c r="EG36" i="41"/>
  <c r="EH36" i="41"/>
  <c r="EK36" i="41"/>
  <c r="EL36" i="41"/>
  <c r="EM36" i="41"/>
  <c r="F36" i="41"/>
  <c r="G36" i="41"/>
  <c r="J36" i="41"/>
  <c r="K36" i="41"/>
  <c r="N36" i="41"/>
  <c r="O36" i="41"/>
  <c r="R36" i="41"/>
  <c r="S36" i="41"/>
  <c r="V36" i="41"/>
  <c r="W36" i="41"/>
  <c r="Z36" i="41"/>
  <c r="AA36" i="41"/>
  <c r="AD36" i="41"/>
  <c r="AE36" i="41"/>
  <c r="AH36" i="41"/>
  <c r="AI36" i="41"/>
  <c r="AK36" i="41"/>
  <c r="AL36" i="41"/>
  <c r="AM36" i="41"/>
  <c r="AO36" i="41"/>
  <c r="AP36" i="41"/>
  <c r="AQ36" i="41"/>
  <c r="AR36" i="41"/>
  <c r="AS36" i="41"/>
  <c r="AT36" i="41"/>
  <c r="AU36" i="41"/>
  <c r="AW36" i="41"/>
  <c r="AX36" i="41"/>
  <c r="AY36" i="41"/>
  <c r="BB36" i="41"/>
  <c r="BC36" i="41"/>
  <c r="BD36" i="41"/>
  <c r="BF36" i="41"/>
  <c r="BG36" i="41"/>
  <c r="F37" i="41"/>
  <c r="G37" i="41"/>
  <c r="J37" i="41"/>
  <c r="K37" i="41"/>
  <c r="N37" i="41"/>
  <c r="O37" i="41"/>
  <c r="R37" i="41"/>
  <c r="S37" i="41"/>
  <c r="V37" i="41"/>
  <c r="W37" i="41"/>
  <c r="Z37" i="41"/>
  <c r="AA37" i="41"/>
  <c r="AD37" i="41"/>
  <c r="AE37" i="41"/>
  <c r="AH37" i="41"/>
  <c r="AI37" i="41"/>
  <c r="AK37" i="41"/>
  <c r="AL37" i="41"/>
  <c r="AM37" i="41"/>
  <c r="AO37" i="41"/>
  <c r="AP37" i="41"/>
  <c r="AQ37" i="41"/>
  <c r="AS37" i="41"/>
  <c r="AT37" i="41"/>
  <c r="AU37" i="41"/>
  <c r="AW37" i="41"/>
  <c r="AX37" i="41"/>
  <c r="AY37" i="41"/>
  <c r="BB37" i="41"/>
  <c r="BC37" i="41"/>
  <c r="BD37" i="41"/>
  <c r="BF37" i="41"/>
  <c r="BG37" i="41"/>
  <c r="EH38" i="41"/>
  <c r="EL40" i="41"/>
  <c r="CM43" i="41"/>
  <c r="CQ43" i="41"/>
  <c r="CU43" i="41"/>
  <c r="CY43" i="41"/>
  <c r="DC43" i="41"/>
  <c r="DG43" i="41"/>
  <c r="DK43" i="41"/>
  <c r="DO43" i="41"/>
  <c r="DS43" i="41"/>
  <c r="DU43" i="41"/>
  <c r="DV43" i="41"/>
  <c r="DY43" i="41"/>
  <c r="DZ43" i="41"/>
  <c r="EC43" i="41"/>
  <c r="ED43" i="41"/>
  <c r="EG43" i="41"/>
  <c r="EH43" i="41"/>
  <c r="EI43" i="41"/>
  <c r="EK43" i="41"/>
  <c r="EL43" i="41"/>
  <c r="EM43" i="41"/>
  <c r="U45" i="41"/>
  <c r="DZ46" i="41"/>
  <c r="EL46" i="41"/>
  <c r="DW47" i="41"/>
  <c r="DU49" i="41"/>
  <c r="DV49" i="41"/>
  <c r="DY49" i="41"/>
  <c r="DZ49" i="41"/>
  <c r="EC49" i="41"/>
  <c r="ED49" i="41"/>
  <c r="EG49" i="41"/>
  <c r="EH49" i="41"/>
  <c r="EK49" i="41"/>
  <c r="EL49" i="41"/>
  <c r="AH49" i="41"/>
  <c r="AI49" i="41"/>
  <c r="AL49" i="41"/>
  <c r="AM49" i="41"/>
  <c r="AP49" i="41"/>
  <c r="AQ49" i="41"/>
  <c r="AT49" i="41"/>
  <c r="AU49" i="41"/>
  <c r="AX49" i="41"/>
  <c r="AY49" i="41"/>
  <c r="BB49" i="41"/>
  <c r="BC49" i="41"/>
  <c r="BF49" i="41"/>
  <c r="BG49" i="41"/>
  <c r="AS50" i="41"/>
  <c r="AW50" i="41"/>
  <c r="BA50" i="41"/>
  <c r="BE50" i="41"/>
  <c r="C51" i="41"/>
  <c r="C52" i="41"/>
  <c r="C53" i="41"/>
  <c r="C54" i="41"/>
  <c r="C56" i="41"/>
  <c r="C57" i="41"/>
  <c r="C58" i="41"/>
  <c r="C59" i="41"/>
  <c r="DG59" i="41"/>
  <c r="DU59" i="41"/>
  <c r="DV59" i="41"/>
  <c r="DY59" i="41"/>
  <c r="DZ59" i="41"/>
  <c r="EC59" i="41"/>
  <c r="ED59" i="41"/>
  <c r="EE59" i="41"/>
  <c r="EG59" i="41"/>
  <c r="EH59" i="41"/>
  <c r="EK59" i="41"/>
  <c r="EL59" i="41"/>
  <c r="DU60" i="41"/>
  <c r="DV60" i="41"/>
  <c r="DY60" i="41"/>
  <c r="DZ60" i="41"/>
  <c r="EC60" i="41"/>
  <c r="ED60" i="41"/>
  <c r="EG60" i="41"/>
  <c r="EH60" i="41"/>
  <c r="EK60" i="41"/>
  <c r="EL60" i="41"/>
  <c r="C63" i="41"/>
  <c r="C64" i="41"/>
  <c r="C65" i="41"/>
  <c r="C66" i="41"/>
  <c r="DY67" i="41"/>
  <c r="DZ67" i="41"/>
  <c r="EH67" i="41"/>
  <c r="EJ67" i="41"/>
  <c r="ER67" i="41"/>
  <c r="F68" i="41"/>
  <c r="G68" i="41"/>
  <c r="H68" i="41"/>
  <c r="J68" i="41"/>
  <c r="K68" i="41"/>
  <c r="L68" i="41"/>
  <c r="N68" i="41"/>
  <c r="O68" i="41"/>
  <c r="P68" i="41"/>
  <c r="R68" i="41"/>
  <c r="S68" i="41"/>
  <c r="T68" i="41"/>
  <c r="V68" i="41"/>
  <c r="W68" i="41"/>
  <c r="X68" i="41"/>
  <c r="Z68" i="41"/>
  <c r="AA68" i="41"/>
  <c r="AB68" i="41"/>
  <c r="AD68" i="41"/>
  <c r="AE68" i="41"/>
  <c r="AG68" i="41"/>
  <c r="F69" i="41"/>
  <c r="G69" i="41"/>
  <c r="H69" i="41"/>
  <c r="J69" i="41"/>
  <c r="K69" i="41"/>
  <c r="L69" i="41"/>
  <c r="N69" i="41"/>
  <c r="O69" i="41"/>
  <c r="P69" i="41"/>
  <c r="R69" i="41"/>
  <c r="S69" i="41"/>
  <c r="T69" i="41"/>
  <c r="V69" i="41"/>
  <c r="W69" i="41"/>
  <c r="X69" i="41"/>
  <c r="Z69" i="41"/>
  <c r="AA69" i="41"/>
  <c r="AB69" i="41"/>
  <c r="AD69" i="41"/>
  <c r="AE69" i="41"/>
  <c r="AG69" i="41"/>
  <c r="AK69" i="41"/>
  <c r="AO69" i="41"/>
  <c r="AS69" i="41"/>
  <c r="AW69" i="41"/>
  <c r="EJ69" i="41"/>
  <c r="ER69" i="41"/>
  <c r="EJ70" i="41"/>
  <c r="ER70" i="41"/>
  <c r="EJ71" i="41"/>
  <c r="ER71" i="41"/>
  <c r="EJ72" i="41"/>
  <c r="ER72" i="41"/>
  <c r="AO81" i="41"/>
  <c r="AS81" i="41"/>
  <c r="AW81" i="41"/>
  <c r="BA81" i="41"/>
  <c r="BE81" i="41"/>
  <c r="DT81" i="41"/>
  <c r="DX81" i="41"/>
  <c r="EB81" i="41"/>
  <c r="EF81" i="41"/>
  <c r="EJ81" i="41"/>
  <c r="EN81" i="41"/>
  <c r="ER81" i="41"/>
  <c r="EV81" i="41"/>
  <c r="BA82" i="41"/>
  <c r="BE82" i="41"/>
  <c r="DB648" i="20" l="1"/>
  <c r="CX648" i="20"/>
  <c r="CT648" i="20"/>
  <c r="CP648" i="20"/>
  <c r="CL648" i="20"/>
  <c r="AD14" i="41"/>
  <c r="O17" i="41"/>
  <c r="K17" i="41"/>
  <c r="CG741" i="20"/>
  <c r="BG17" i="41"/>
  <c r="AN8" i="41"/>
  <c r="T6" i="41"/>
  <c r="DL131" i="46"/>
  <c r="DM131" i="46" s="1"/>
  <c r="DK131" i="46"/>
  <c r="DL130" i="46"/>
  <c r="DM130" i="46" s="1"/>
  <c r="DK130" i="46"/>
  <c r="DI133" i="46"/>
  <c r="DG133" i="46"/>
  <c r="DA78" i="46"/>
  <c r="DG128" i="46"/>
  <c r="CQ16" i="41"/>
  <c r="X37" i="41"/>
  <c r="AB6" i="41"/>
  <c r="EK16" i="41"/>
  <c r="L8" i="41"/>
  <c r="P57" i="41" s="1"/>
  <c r="DA776" i="10"/>
  <c r="EM16" i="41"/>
  <c r="DU17" i="41"/>
  <c r="V17" i="41"/>
  <c r="EA60" i="41"/>
  <c r="O33" i="41"/>
  <c r="J33" i="41"/>
  <c r="CM16" i="41"/>
  <c r="P37" i="41"/>
  <c r="L37" i="41"/>
  <c r="X8" i="41"/>
  <c r="AF36" i="41"/>
  <c r="DO16" i="41"/>
  <c r="DE1252" i="10"/>
  <c r="DF1252" i="10" s="1"/>
  <c r="DH1252" i="10"/>
  <c r="DB27" i="43"/>
  <c r="DG21" i="43"/>
  <c r="CY185" i="10"/>
  <c r="DC183" i="10"/>
  <c r="DG183" i="10"/>
  <c r="CY183" i="10"/>
  <c r="DC182" i="10"/>
  <c r="DG182" i="10"/>
  <c r="CU183" i="10"/>
  <c r="CY182" i="10"/>
  <c r="CU182" i="10"/>
  <c r="CO552" i="42"/>
  <c r="BQ552" i="42"/>
  <c r="AS552" i="42"/>
  <c r="DB382" i="20"/>
  <c r="DB387" i="20"/>
  <c r="CL382" i="20"/>
  <c r="CX387" i="20"/>
  <c r="CT387" i="20"/>
  <c r="CP387" i="20"/>
  <c r="CL387" i="20"/>
  <c r="CX382" i="20"/>
  <c r="CP382" i="20"/>
  <c r="CT382" i="20"/>
  <c r="CW552" i="42"/>
  <c r="BY552" i="42"/>
  <c r="CV552" i="42"/>
  <c r="BX552" i="42"/>
  <c r="DE182" i="46"/>
  <c r="DH182" i="46" s="1"/>
  <c r="CR552" i="42"/>
  <c r="BT552" i="42"/>
  <c r="CN552" i="42"/>
  <c r="BP552" i="42"/>
  <c r="AR552" i="42"/>
  <c r="BM552" i="42"/>
  <c r="AO552" i="42"/>
  <c r="BA552" i="42"/>
  <c r="AZ552" i="42"/>
  <c r="CS552" i="42"/>
  <c r="BU552" i="42"/>
  <c r="AW552" i="42"/>
  <c r="AV552" i="42"/>
  <c r="BL552" i="42"/>
  <c r="AN552" i="42"/>
  <c r="BF552" i="42"/>
  <c r="CG552" i="42"/>
  <c r="BI552" i="42"/>
  <c r="BB552" i="42"/>
  <c r="CF552" i="42"/>
  <c r="BH552" i="42"/>
  <c r="AX552" i="42"/>
  <c r="DA552" i="42"/>
  <c r="DD553" i="42" s="1"/>
  <c r="DF553" i="42" s="1"/>
  <c r="CC552" i="42"/>
  <c r="BE552" i="42"/>
  <c r="AT552" i="42"/>
  <c r="CZ552" i="42"/>
  <c r="CB552" i="42"/>
  <c r="BD552" i="42"/>
  <c r="AP552" i="42"/>
  <c r="DG719" i="10"/>
  <c r="DS17" i="41"/>
  <c r="AY17" i="41"/>
  <c r="H37" i="41"/>
  <c r="AI17" i="41"/>
  <c r="AJ8" i="41"/>
  <c r="AZ6" i="41"/>
  <c r="BB14" i="41"/>
  <c r="BF62" i="41" s="1"/>
  <c r="AR6" i="41"/>
  <c r="CI43" i="41"/>
  <c r="EA36" i="41"/>
  <c r="EK46" i="41"/>
  <c r="DV47" i="41"/>
  <c r="EH46" i="41"/>
  <c r="DG36" i="41"/>
  <c r="AA17" i="41"/>
  <c r="AV8" i="41"/>
  <c r="AX14" i="41"/>
  <c r="T36" i="41"/>
  <c r="DA203" i="46"/>
  <c r="DA224" i="46" s="1"/>
  <c r="BW3" i="51"/>
  <c r="BW55" i="51"/>
  <c r="BW29" i="51"/>
  <c r="V68" i="42"/>
  <c r="DF610" i="20"/>
  <c r="DD588" i="20"/>
  <c r="DF588" i="20" s="1"/>
  <c r="DE593" i="20"/>
  <c r="DE1173" i="10"/>
  <c r="DE222" i="20"/>
  <c r="DR423" i="42"/>
  <c r="DE1251" i="10"/>
  <c r="DF1251" i="10" s="1"/>
  <c r="DA231" i="20"/>
  <c r="DE305" i="20"/>
  <c r="BM369" i="10"/>
  <c r="BB336" i="10"/>
  <c r="ET5" i="41"/>
  <c r="BO50" i="41"/>
  <c r="DE686" i="10"/>
  <c r="DF686" i="10" s="1"/>
  <c r="DE459" i="20"/>
  <c r="DQ197" i="46"/>
  <c r="ES5" i="41"/>
  <c r="BN50" i="41"/>
  <c r="DB114" i="10"/>
  <c r="DF304" i="20"/>
  <c r="DQ285" i="20"/>
  <c r="DE950" i="10"/>
  <c r="DE1179" i="10"/>
  <c r="DF1179" i="10" s="1"/>
  <c r="DP282" i="20"/>
  <c r="DD361" i="42"/>
  <c r="DF360" i="42"/>
  <c r="DM423" i="42"/>
  <c r="DE29" i="10"/>
  <c r="DF386" i="10"/>
  <c r="DE944" i="10"/>
  <c r="BQ304" i="20"/>
  <c r="DN431" i="20"/>
  <c r="DF89" i="10"/>
  <c r="DE153" i="10"/>
  <c r="DI153" i="10" s="1"/>
  <c r="DL153" i="10" s="1"/>
  <c r="DM153" i="10" s="1"/>
  <c r="DP153" i="10" s="1"/>
  <c r="DQ153" i="10" s="1"/>
  <c r="DE113" i="10"/>
  <c r="S17" i="41"/>
  <c r="DN163" i="10"/>
  <c r="DN440" i="20"/>
  <c r="BV1156" i="10"/>
  <c r="CG648" i="10"/>
  <c r="CC648" i="10"/>
  <c r="CK648" i="10"/>
  <c r="CO648" i="10"/>
  <c r="CB648" i="10"/>
  <c r="CJ648" i="10"/>
  <c r="CN648" i="10"/>
  <c r="CZ648" i="10"/>
  <c r="CZ649" i="10" s="1"/>
  <c r="CV648" i="10"/>
  <c r="CV649" i="10" s="1"/>
  <c r="CR648" i="10"/>
  <c r="CR649" i="10" s="1"/>
  <c r="AL14" i="41"/>
  <c r="DW59" i="41"/>
  <c r="DN172" i="20"/>
  <c r="DO60" i="41"/>
  <c r="DK60" i="41"/>
  <c r="DB165" i="20"/>
  <c r="CX165" i="20"/>
  <c r="CT163" i="20"/>
  <c r="CT165" i="20" s="1"/>
  <c r="CP163" i="20"/>
  <c r="CP165" i="20" s="1"/>
  <c r="DC116" i="20"/>
  <c r="CY116" i="20"/>
  <c r="CJ137" i="20"/>
  <c r="CJ163" i="20"/>
  <c r="CJ165" i="20" s="1"/>
  <c r="CL199" i="20"/>
  <c r="CK212" i="20"/>
  <c r="CT193" i="20"/>
  <c r="CS206" i="20"/>
  <c r="CX199" i="20"/>
  <c r="CW212" i="20"/>
  <c r="CT199" i="20"/>
  <c r="CS212" i="20"/>
  <c r="CP199" i="20"/>
  <c r="CO212" i="20"/>
  <c r="CG1224" i="10"/>
  <c r="EM59" i="41"/>
  <c r="DZ47" i="41"/>
  <c r="K33" i="41"/>
  <c r="BL1224" i="10"/>
  <c r="AZ833" i="20"/>
  <c r="J17" i="41"/>
  <c r="EI44" i="41"/>
  <c r="EE45" i="41"/>
  <c r="DO44" i="41"/>
  <c r="CY44" i="41"/>
  <c r="AJ37" i="41"/>
  <c r="AN36" i="41"/>
  <c r="BF17" i="41"/>
  <c r="AN6" i="41"/>
  <c r="BA837" i="20"/>
  <c r="DM741" i="20"/>
  <c r="DM740" i="20" s="1"/>
  <c r="DM118" i="10" s="1"/>
  <c r="BV686" i="10"/>
  <c r="CG311" i="42"/>
  <c r="EE44" i="41"/>
  <c r="EA44" i="41"/>
  <c r="DK44" i="41"/>
  <c r="CU44" i="41"/>
  <c r="H36" i="41"/>
  <c r="H6" i="41"/>
  <c r="H51" i="41" s="1"/>
  <c r="EM60" i="41"/>
  <c r="BD6" i="41"/>
  <c r="BD820" i="20"/>
  <c r="DL741" i="20"/>
  <c r="EM45" i="41"/>
  <c r="DW44" i="41"/>
  <c r="DG44" i="41"/>
  <c r="AH17" i="41"/>
  <c r="AZ37" i="41"/>
  <c r="F33" i="41"/>
  <c r="F53" i="41" s="1"/>
  <c r="AP17" i="41"/>
  <c r="DI741" i="20"/>
  <c r="DI740" i="20" s="1"/>
  <c r="DI118" i="10" s="1"/>
  <c r="EM44" i="41"/>
  <c r="EI45" i="41"/>
  <c r="DS44" i="41"/>
  <c r="DC44" i="41"/>
  <c r="EI60" i="41"/>
  <c r="AU17" i="41"/>
  <c r="AZ36" i="41"/>
  <c r="W17" i="41"/>
  <c r="AT14" i="41"/>
  <c r="DA407" i="42"/>
  <c r="DA406" i="42" s="1"/>
  <c r="DA401" i="42"/>
  <c r="DA269" i="42"/>
  <c r="DB269" i="42" s="1"/>
  <c r="DB91" i="49" s="1"/>
  <c r="DA306" i="42"/>
  <c r="DA307" i="42" s="1"/>
  <c r="DA313" i="42" s="1"/>
  <c r="CW407" i="42"/>
  <c r="CW401" i="42"/>
  <c r="DB551" i="10"/>
  <c r="BF504" i="42"/>
  <c r="BF505" i="42" s="1"/>
  <c r="EE60" i="41"/>
  <c r="DS16" i="41"/>
  <c r="AT17" i="41"/>
  <c r="AD17" i="41"/>
  <c r="CO1168" i="10"/>
  <c r="DC59" i="41"/>
  <c r="S28" i="41"/>
  <c r="AQ14" i="41"/>
  <c r="BH744" i="20"/>
  <c r="CN1168" i="10"/>
  <c r="BA833" i="20"/>
  <c r="BV58" i="10"/>
  <c r="CT513" i="42"/>
  <c r="DD340" i="10"/>
  <c r="DD376" i="10"/>
  <c r="DD734" i="10"/>
  <c r="DD746" i="10"/>
  <c r="DF746" i="10" s="1"/>
  <c r="DD721" i="10"/>
  <c r="DF721" i="10" s="1"/>
  <c r="AV49" i="41"/>
  <c r="DD280" i="20"/>
  <c r="DE280" i="20" s="1"/>
  <c r="DD747" i="10"/>
  <c r="DF747" i="10" s="1"/>
  <c r="DD735" i="10"/>
  <c r="DD722" i="10"/>
  <c r="DF722" i="10" s="1"/>
  <c r="DD254" i="42"/>
  <c r="DB122" i="42"/>
  <c r="DD138" i="42"/>
  <c r="DD601" i="20" s="1"/>
  <c r="DA1160" i="10"/>
  <c r="DD1169" i="10" s="1"/>
  <c r="DD1168" i="10"/>
  <c r="DD195" i="10"/>
  <c r="DD205" i="10"/>
  <c r="DD65" i="49" s="1"/>
  <c r="CZ627" i="20"/>
  <c r="CZ545" i="20" s="1"/>
  <c r="DD614" i="20"/>
  <c r="CZ153" i="20"/>
  <c r="DD160" i="20" s="1"/>
  <c r="DD159" i="20"/>
  <c r="DD178" i="42"/>
  <c r="DD192" i="42"/>
  <c r="BR494" i="42"/>
  <c r="BH820" i="20"/>
  <c r="BP304" i="20"/>
  <c r="BP303" i="20"/>
  <c r="BJ748" i="20"/>
  <c r="BU1168" i="10"/>
  <c r="CQ250" i="20"/>
  <c r="CM250" i="20"/>
  <c r="DC250" i="20"/>
  <c r="CT272" i="20"/>
  <c r="CT249" i="20"/>
  <c r="CP251" i="20"/>
  <c r="CY250" i="20"/>
  <c r="CU250" i="20"/>
  <c r="CL272" i="20"/>
  <c r="CL249" i="20"/>
  <c r="CH272" i="20"/>
  <c r="CH249" i="20"/>
  <c r="CH251" i="20" s="1"/>
  <c r="DB251" i="20"/>
  <c r="DC249" i="20"/>
  <c r="CX251" i="20"/>
  <c r="CH688" i="10"/>
  <c r="BT1168" i="10"/>
  <c r="BJ799" i="20"/>
  <c r="BJ820" i="20" s="1"/>
  <c r="BJ821" i="20" s="1"/>
  <c r="BX1165" i="10"/>
  <c r="BQ303" i="20"/>
  <c r="CR1224" i="10"/>
  <c r="DA1143" i="10"/>
  <c r="BB829" i="20"/>
  <c r="DB721" i="20"/>
  <c r="CD622" i="10"/>
  <c r="CP551" i="10"/>
  <c r="AV552" i="10"/>
  <c r="AV557" i="10" s="1"/>
  <c r="AV658" i="10" s="1"/>
  <c r="AX566" i="20"/>
  <c r="AX498" i="20"/>
  <c r="AW287" i="20"/>
  <c r="BY551" i="10"/>
  <c r="BE552" i="10"/>
  <c r="BD552" i="10"/>
  <c r="BU552" i="10"/>
  <c r="BA552" i="10"/>
  <c r="BQ552" i="10"/>
  <c r="BQ557" i="10" s="1"/>
  <c r="BM552" i="10"/>
  <c r="BL552" i="10"/>
  <c r="BL557" i="10" s="1"/>
  <c r="BI552" i="10"/>
  <c r="BH552" i="10"/>
  <c r="AZ552" i="10"/>
  <c r="AW552" i="10"/>
  <c r="AW557" i="10" s="1"/>
  <c r="Y450" i="42"/>
  <c r="BZ550" i="10"/>
  <c r="BD454" i="20"/>
  <c r="BU464" i="42"/>
  <c r="BU477" i="42" s="1"/>
  <c r="BD396" i="20"/>
  <c r="BD397" i="20" s="1"/>
  <c r="BT504" i="42"/>
  <c r="BT505" i="42" s="1"/>
  <c r="CD511" i="42"/>
  <c r="BQ492" i="20"/>
  <c r="BR492" i="20" s="1"/>
  <c r="BA487" i="20"/>
  <c r="CD551" i="10"/>
  <c r="BH396" i="20"/>
  <c r="AH362" i="42"/>
  <c r="BB336" i="42"/>
  <c r="BZ554" i="20"/>
  <c r="CZ420" i="20"/>
  <c r="BX496" i="42"/>
  <c r="CH505" i="42"/>
  <c r="AZ808" i="20"/>
  <c r="BN512" i="42"/>
  <c r="CZ461" i="20"/>
  <c r="CL513" i="42"/>
  <c r="CX210" i="49"/>
  <c r="DA200" i="42"/>
  <c r="BZ622" i="10"/>
  <c r="CX551" i="10"/>
  <c r="CT551" i="10"/>
  <c r="AZ402" i="42"/>
  <c r="BA399" i="42" s="1"/>
  <c r="BH504" i="42"/>
  <c r="BH505" i="42" s="1"/>
  <c r="BF625" i="20"/>
  <c r="BR508" i="42"/>
  <c r="CY77" i="10"/>
  <c r="CY59" i="10"/>
  <c r="EH5" i="41"/>
  <c r="EG5" i="41"/>
  <c r="DB272" i="20"/>
  <c r="BN378" i="42"/>
  <c r="BP374" i="42" s="1"/>
  <c r="BP377" i="42" s="1"/>
  <c r="BD767" i="20"/>
  <c r="BF450" i="20"/>
  <c r="CF484" i="42"/>
  <c r="DA41" i="46"/>
  <c r="BI484" i="42"/>
  <c r="BJ484" i="42" s="1"/>
  <c r="AR509" i="42"/>
  <c r="DA484" i="42"/>
  <c r="DB484" i="42" s="1"/>
  <c r="BJ766" i="20"/>
  <c r="CH508" i="42"/>
  <c r="BB799" i="20"/>
  <c r="BB820" i="20" s="1"/>
  <c r="BQ344" i="10"/>
  <c r="BE842" i="20"/>
  <c r="BR336" i="10"/>
  <c r="CC47" i="46"/>
  <c r="CZ42" i="46"/>
  <c r="BF806" i="20"/>
  <c r="BF842" i="20" s="1"/>
  <c r="BH484" i="42"/>
  <c r="BZ494" i="42"/>
  <c r="BE42" i="46"/>
  <c r="BF42" i="46" s="1"/>
  <c r="AW42" i="46"/>
  <c r="AX42" i="46" s="1"/>
  <c r="BI836" i="20"/>
  <c r="BY60" i="10"/>
  <c r="BV419" i="10"/>
  <c r="BN419" i="10"/>
  <c r="CT511" i="42"/>
  <c r="DA134" i="46"/>
  <c r="BA344" i="10"/>
  <c r="DJ163" i="10"/>
  <c r="BB504" i="42"/>
  <c r="BB505" i="42" s="1"/>
  <c r="AP830" i="20"/>
  <c r="CL551" i="10"/>
  <c r="CH551" i="10"/>
  <c r="CP511" i="42"/>
  <c r="BE836" i="20"/>
  <c r="BL820" i="20"/>
  <c r="BE808" i="20"/>
  <c r="BE732" i="20"/>
  <c r="BE733" i="20" s="1"/>
  <c r="DA189" i="20"/>
  <c r="DD191" i="20" s="1"/>
  <c r="AN49" i="41"/>
  <c r="DW36" i="41"/>
  <c r="AQ17" i="41"/>
  <c r="BI820" i="20"/>
  <c r="BN799" i="20"/>
  <c r="BN820" i="20" s="1"/>
  <c r="BN821" i="20" s="1"/>
  <c r="DM726" i="20"/>
  <c r="DN726" i="20" s="1"/>
  <c r="CZ504" i="42"/>
  <c r="CZ505" i="42" s="1"/>
  <c r="AT504" i="42"/>
  <c r="AT505" i="42" s="1"/>
  <c r="AZ250" i="42"/>
  <c r="AZ843" i="20"/>
  <c r="BD848" i="20" s="1"/>
  <c r="AZ820" i="20"/>
  <c r="BI803" i="20"/>
  <c r="BM814" i="20" s="1"/>
  <c r="CX513" i="42"/>
  <c r="CR504" i="42"/>
  <c r="CR505" i="42" s="1"/>
  <c r="Z47" i="43"/>
  <c r="AW39" i="46"/>
  <c r="AX39" i="46" s="1"/>
  <c r="AS329" i="20"/>
  <c r="DD924" i="20"/>
  <c r="CG1169" i="10"/>
  <c r="BD734" i="10"/>
  <c r="CJ42" i="46"/>
  <c r="AW43" i="46"/>
  <c r="K49" i="51"/>
  <c r="K48" i="51"/>
  <c r="BJ594" i="10"/>
  <c r="AD509" i="42"/>
  <c r="BU33" i="46"/>
  <c r="BV33" i="46" s="1"/>
  <c r="CZ39" i="46"/>
  <c r="BF554" i="20"/>
  <c r="BF653" i="20" s="1"/>
  <c r="BF658" i="20" s="1"/>
  <c r="CS31" i="42"/>
  <c r="BV620" i="10"/>
  <c r="BU500" i="42"/>
  <c r="AP50" i="41"/>
  <c r="AD508" i="42"/>
  <c r="CL173" i="46"/>
  <c r="CI212" i="46"/>
  <c r="AW272" i="20"/>
  <c r="BJ211" i="49"/>
  <c r="CK42" i="46"/>
  <c r="BQ500" i="42"/>
  <c r="S46" i="51"/>
  <c r="S56" i="51" s="1"/>
  <c r="CD576" i="10"/>
  <c r="DB223" i="10"/>
  <c r="CZ215" i="10"/>
  <c r="BJ298" i="20"/>
  <c r="BJ102" i="10" s="1"/>
  <c r="BN600" i="10"/>
  <c r="BN553" i="10"/>
  <c r="BF317" i="49"/>
  <c r="CG26" i="42"/>
  <c r="CW370" i="10"/>
  <c r="CD685" i="10"/>
  <c r="BZ685" i="10"/>
  <c r="CB484" i="42"/>
  <c r="BA402" i="42"/>
  <c r="CR491" i="42"/>
  <c r="EC40" i="41" s="1"/>
  <c r="EC35" i="41"/>
  <c r="BR299" i="20"/>
  <c r="DN723" i="20"/>
  <c r="DJ751" i="20"/>
  <c r="BJ318" i="20"/>
  <c r="CD595" i="10"/>
  <c r="CW211" i="10"/>
  <c r="CT686" i="10"/>
  <c r="CD513" i="42"/>
  <c r="CD505" i="42"/>
  <c r="DF389" i="42"/>
  <c r="AD407" i="42"/>
  <c r="BZ402" i="42"/>
  <c r="CB399" i="42" s="1"/>
  <c r="DN758" i="20"/>
  <c r="DJ749" i="20"/>
  <c r="CX42" i="43"/>
  <c r="CT555" i="10"/>
  <c r="CL555" i="10"/>
  <c r="DN750" i="20"/>
  <c r="DJ756" i="20"/>
  <c r="DB688" i="10"/>
  <c r="BB362" i="42"/>
  <c r="CS449" i="20"/>
  <c r="AZ372" i="20"/>
  <c r="AZ373" i="20" s="1"/>
  <c r="BV532" i="10"/>
  <c r="BV606" i="10"/>
  <c r="BN606" i="10"/>
  <c r="BF532" i="10"/>
  <c r="BF606" i="10"/>
  <c r="AO509" i="42"/>
  <c r="AX504" i="42"/>
  <c r="AX505" i="42" s="1"/>
  <c r="AR30" i="43"/>
  <c r="CG449" i="20"/>
  <c r="DJ755" i="20"/>
  <c r="BX751" i="10"/>
  <c r="BZ751" i="10" s="1"/>
  <c r="DN177" i="20"/>
  <c r="BY788" i="20"/>
  <c r="BY507" i="20"/>
  <c r="BY115" i="10" s="1"/>
  <c r="BL449" i="20"/>
  <c r="AZ286" i="20"/>
  <c r="BQ487" i="20"/>
  <c r="DN427" i="20"/>
  <c r="CD534" i="10"/>
  <c r="BZ534" i="10"/>
  <c r="AX611" i="10"/>
  <c r="CX552" i="10"/>
  <c r="CT552" i="10"/>
  <c r="CP552" i="10"/>
  <c r="CL552" i="10"/>
  <c r="CH552" i="10"/>
  <c r="CD552" i="10"/>
  <c r="BR555" i="10"/>
  <c r="BN551" i="10"/>
  <c r="DB512" i="42"/>
  <c r="CF504" i="42"/>
  <c r="CF505" i="42" s="1"/>
  <c r="CD322" i="49"/>
  <c r="BL744" i="20"/>
  <c r="DJ711" i="20"/>
  <c r="BF352" i="20"/>
  <c r="BF456" i="20" s="1"/>
  <c r="DZ35" i="41"/>
  <c r="DW17" i="41"/>
  <c r="F17" i="41"/>
  <c r="BE837" i="20"/>
  <c r="AW803" i="20"/>
  <c r="AW809" i="20" s="1"/>
  <c r="AW811" i="20" s="1"/>
  <c r="BF714" i="20"/>
  <c r="BQ562" i="20"/>
  <c r="BH449" i="20"/>
  <c r="DC282" i="20"/>
  <c r="BE216" i="20"/>
  <c r="CR752" i="10"/>
  <c r="CO370" i="10"/>
  <c r="CC344" i="10"/>
  <c r="CD512" i="42"/>
  <c r="CB504" i="42"/>
  <c r="CB505" i="42" s="1"/>
  <c r="BD484" i="42"/>
  <c r="AT448" i="42"/>
  <c r="AV444" i="42" s="1"/>
  <c r="AR407" i="42"/>
  <c r="BZ378" i="42"/>
  <c r="CB374" i="42" s="1"/>
  <c r="BZ264" i="42"/>
  <c r="CT135" i="42"/>
  <c r="DB133" i="46"/>
  <c r="DB134" i="46" s="1"/>
  <c r="DB135" i="46" s="1"/>
  <c r="DB138" i="46" s="1"/>
  <c r="CU212" i="46"/>
  <c r="BI46" i="46"/>
  <c r="CH45" i="46"/>
  <c r="C26" i="51"/>
  <c r="C5" i="51" s="1"/>
  <c r="BV319" i="49"/>
  <c r="BN710" i="20"/>
  <c r="BN731" i="20" s="1"/>
  <c r="BA651" i="20"/>
  <c r="AO407" i="42"/>
  <c r="BE46" i="46"/>
  <c r="BF46" i="46" s="1"/>
  <c r="BL329" i="20"/>
  <c r="DB754" i="10"/>
  <c r="BX504" i="42"/>
  <c r="BX505" i="42" s="1"/>
  <c r="CW161" i="46"/>
  <c r="CT315" i="49"/>
  <c r="CP527" i="42"/>
  <c r="BB290" i="46"/>
  <c r="BB291" i="46" s="1"/>
  <c r="CO45" i="46"/>
  <c r="CX314" i="49"/>
  <c r="CT211" i="49"/>
  <c r="DN752" i="20"/>
  <c r="CO415" i="20"/>
  <c r="BB404" i="20"/>
  <c r="CD691" i="10"/>
  <c r="CE145" i="46"/>
  <c r="BH567" i="20"/>
  <c r="AB37" i="41"/>
  <c r="BE567" i="20"/>
  <c r="BQ372" i="20"/>
  <c r="BQ373" i="20" s="1"/>
  <c r="CK217" i="20"/>
  <c r="CK218" i="20" s="1"/>
  <c r="BN141" i="20"/>
  <c r="DN751" i="20"/>
  <c r="BI372" i="20"/>
  <c r="BI373" i="20" s="1"/>
  <c r="CZ1143" i="10"/>
  <c r="CB751" i="10"/>
  <c r="CD751" i="10" s="1"/>
  <c r="CP261" i="42"/>
  <c r="CN26" i="42"/>
  <c r="AB8" i="41"/>
  <c r="EI59" i="41"/>
  <c r="BB17" i="41"/>
  <c r="BY508" i="20"/>
  <c r="DA459" i="20"/>
  <c r="BP500" i="42"/>
  <c r="CL260" i="42"/>
  <c r="CL287" i="42" s="1"/>
  <c r="CN282" i="42" s="1"/>
  <c r="CP282" i="42" s="1"/>
  <c r="X47" i="43"/>
  <c r="AO39" i="46"/>
  <c r="AP39" i="46" s="1"/>
  <c r="BN41" i="46"/>
  <c r="CL317" i="49"/>
  <c r="CL335" i="49" s="1"/>
  <c r="CV504" i="42"/>
  <c r="CV505" i="42" s="1"/>
  <c r="BJ546" i="20"/>
  <c r="BJ567" i="20" s="1"/>
  <c r="T56" i="51"/>
  <c r="C52" i="51"/>
  <c r="C63" i="51" s="1"/>
  <c r="O51" i="51"/>
  <c r="B48" i="51"/>
  <c r="B58" i="51" s="1"/>
  <c r="G17" i="41"/>
  <c r="BD836" i="20"/>
  <c r="BU449" i="20"/>
  <c r="BY365" i="20"/>
  <c r="BZ527" i="42"/>
  <c r="AX391" i="46"/>
  <c r="AE17" i="41"/>
  <c r="BH6" i="41"/>
  <c r="CH534" i="10"/>
  <c r="BV513" i="42"/>
  <c r="CZ464" i="42"/>
  <c r="CJ301" i="42"/>
  <c r="AR47" i="43"/>
  <c r="DK36" i="41"/>
  <c r="AH14" i="41"/>
  <c r="AS456" i="20"/>
  <c r="AX310" i="20"/>
  <c r="DN747" i="20"/>
  <c r="DJ312" i="20"/>
  <c r="BR511" i="42"/>
  <c r="CS406" i="42"/>
  <c r="BU157" i="46"/>
  <c r="BF828" i="20"/>
  <c r="BD653" i="20"/>
  <c r="BJ555" i="20"/>
  <c r="CX216" i="20"/>
  <c r="CP574" i="10"/>
  <c r="CD572" i="10"/>
  <c r="BZ572" i="10"/>
  <c r="BR631" i="10"/>
  <c r="BA370" i="10"/>
  <c r="DB58" i="10"/>
  <c r="DB60" i="10" s="1"/>
  <c r="CX512" i="42"/>
  <c r="CT509" i="42"/>
  <c r="BI500" i="42"/>
  <c r="CV484" i="42"/>
  <c r="AR402" i="42"/>
  <c r="CP269" i="42"/>
  <c r="BX27" i="43"/>
  <c r="AT388" i="46"/>
  <c r="CD633" i="10"/>
  <c r="AX496" i="10"/>
  <c r="BB686" i="10"/>
  <c r="CS484" i="42"/>
  <c r="CT484" i="42" s="1"/>
  <c r="CN457" i="42"/>
  <c r="BB397" i="46"/>
  <c r="BQ161" i="46"/>
  <c r="BZ219" i="49"/>
  <c r="BC17" i="41"/>
  <c r="AR834" i="20"/>
  <c r="CB372" i="20"/>
  <c r="CB373" i="20" s="1"/>
  <c r="DJ723" i="20"/>
  <c r="DJ431" i="42" s="1"/>
  <c r="BB234" i="20"/>
  <c r="CZ951" i="10"/>
  <c r="CZ1017" i="10" s="1"/>
  <c r="BJ540" i="10"/>
  <c r="BZ631" i="10"/>
  <c r="CT534" i="10"/>
  <c r="CP534" i="10"/>
  <c r="CD529" i="10"/>
  <c r="BV611" i="10"/>
  <c r="BR532" i="10"/>
  <c r="BN611" i="10"/>
  <c r="BJ528" i="10"/>
  <c r="CX555" i="10"/>
  <c r="BF421" i="10"/>
  <c r="CP263" i="42"/>
  <c r="CL27" i="43"/>
  <c r="J28" i="41"/>
  <c r="N72" i="41" s="1"/>
  <c r="DY16" i="41"/>
  <c r="L36" i="41"/>
  <c r="AF8" i="41"/>
  <c r="BD851" i="20"/>
  <c r="BD832" i="20"/>
  <c r="BR625" i="20"/>
  <c r="CZ459" i="20"/>
  <c r="CL353" i="20"/>
  <c r="DJ643" i="20"/>
  <c r="CG614" i="20"/>
  <c r="BM417" i="20"/>
  <c r="BI417" i="20"/>
  <c r="CF210" i="10"/>
  <c r="CH313" i="42"/>
  <c r="AT264" i="42"/>
  <c r="DN334" i="42"/>
  <c r="BR353" i="20"/>
  <c r="DB400" i="20"/>
  <c r="CO414" i="20"/>
  <c r="CJ414" i="20"/>
  <c r="CD400" i="20"/>
  <c r="DB1159" i="10"/>
  <c r="DB1160" i="10" s="1"/>
  <c r="DF1169" i="10" s="1"/>
  <c r="CL597" i="10"/>
  <c r="BB341" i="46"/>
  <c r="AX687" i="20"/>
  <c r="CP652" i="20"/>
  <c r="BN642" i="10"/>
  <c r="BE1169" i="10"/>
  <c r="CD1159" i="10"/>
  <c r="BR520" i="10"/>
  <c r="CX530" i="10"/>
  <c r="CF42" i="46"/>
  <c r="EM17" i="41"/>
  <c r="L6" i="41"/>
  <c r="BH836" i="20"/>
  <c r="BF799" i="20"/>
  <c r="BF820" i="20" s="1"/>
  <c r="DJ639" i="20"/>
  <c r="DN320" i="20"/>
  <c r="DI318" i="20"/>
  <c r="DI324" i="20" s="1"/>
  <c r="DA1168" i="10"/>
  <c r="BR685" i="10"/>
  <c r="BJ264" i="42"/>
  <c r="BH215" i="42"/>
  <c r="CG215" i="42"/>
  <c r="BE820" i="20"/>
  <c r="CY16" i="41"/>
  <c r="BH731" i="20"/>
  <c r="CF449" i="20"/>
  <c r="BX415" i="20"/>
  <c r="BL396" i="20"/>
  <c r="BL397" i="20" s="1"/>
  <c r="CO365" i="20"/>
  <c r="CN372" i="20"/>
  <c r="CN373" i="20" s="1"/>
  <c r="DC281" i="20"/>
  <c r="CD688" i="10"/>
  <c r="BZ688" i="10"/>
  <c r="BJ688" i="10"/>
  <c r="BT500" i="42"/>
  <c r="AW484" i="42"/>
  <c r="AX484" i="42" s="1"/>
  <c r="DJ383" i="42"/>
  <c r="BN336" i="42"/>
  <c r="BN299" i="20"/>
  <c r="BN114" i="10" s="1"/>
  <c r="BL1169" i="10"/>
  <c r="CT382" i="10"/>
  <c r="BL369" i="10"/>
  <c r="CL59" i="10"/>
  <c r="CL60" i="10" s="1"/>
  <c r="BR58" i="10"/>
  <c r="BQ215" i="42"/>
  <c r="CZ178" i="42"/>
  <c r="CZ424" i="10" s="1"/>
  <c r="AW178" i="42"/>
  <c r="CG177" i="42"/>
  <c r="AT393" i="46"/>
  <c r="AO45" i="46"/>
  <c r="AP45" i="46" s="1"/>
  <c r="BY33" i="46"/>
  <c r="BZ33" i="46" s="1"/>
  <c r="BJ513" i="42"/>
  <c r="CL509" i="42"/>
  <c r="AT508" i="42"/>
  <c r="BR504" i="42"/>
  <c r="BR505" i="42" s="1"/>
  <c r="CT494" i="42"/>
  <c r="BV395" i="42"/>
  <c r="BV396" i="42" s="1"/>
  <c r="AH378" i="42"/>
  <c r="AJ374" i="42" s="1"/>
  <c r="AJ377" i="42" s="1"/>
  <c r="BN315" i="42"/>
  <c r="BU304" i="20"/>
  <c r="AR8" i="41"/>
  <c r="AX233" i="20"/>
  <c r="AM14" i="41"/>
  <c r="BT830" i="20"/>
  <c r="BY614" i="20"/>
  <c r="BI562" i="20"/>
  <c r="BL447" i="20"/>
  <c r="DJ752" i="20"/>
  <c r="BR721" i="20"/>
  <c r="DN638" i="20"/>
  <c r="DJ635" i="20"/>
  <c r="BV480" i="20"/>
  <c r="DJ1208" i="10"/>
  <c r="BP751" i="10"/>
  <c r="DB686" i="10"/>
  <c r="DB523" i="10"/>
  <c r="BX370" i="10"/>
  <c r="CJ369" i="10"/>
  <c r="CO354" i="10"/>
  <c r="AZ344" i="10"/>
  <c r="BP60" i="10"/>
  <c r="CD508" i="42"/>
  <c r="BL504" i="42"/>
  <c r="BL505" i="42" s="1"/>
  <c r="CR484" i="42"/>
  <c r="AV484" i="42"/>
  <c r="DM418" i="42"/>
  <c r="BX345" i="42"/>
  <c r="BZ345" i="42" s="1"/>
  <c r="CQ151" i="46"/>
  <c r="AM80" i="51"/>
  <c r="CP314" i="49"/>
  <c r="BZ317" i="49"/>
  <c r="BZ335" i="49" s="1"/>
  <c r="AZ328" i="20"/>
  <c r="BD333" i="20" s="1"/>
  <c r="BF712" i="20"/>
  <c r="CY36" i="41"/>
  <c r="BP848" i="20"/>
  <c r="BV317" i="20"/>
  <c r="CL283" i="20"/>
  <c r="CG262" i="20"/>
  <c r="CC487" i="20"/>
  <c r="BI487" i="20"/>
  <c r="BX372" i="20"/>
  <c r="BX373" i="20" s="1"/>
  <c r="DN319" i="20"/>
  <c r="BZ125" i="20"/>
  <c r="BH1224" i="10"/>
  <c r="CX686" i="10"/>
  <c r="BN608" i="10"/>
  <c r="BF555" i="10"/>
  <c r="BB553" i="10"/>
  <c r="BZ383" i="10"/>
  <c r="CC369" i="10"/>
  <c r="CC354" i="10"/>
  <c r="BY211" i="10"/>
  <c r="CX160" i="10"/>
  <c r="CO484" i="42"/>
  <c r="CP484" i="42" s="1"/>
  <c r="AS484" i="42"/>
  <c r="AT484" i="42" s="1"/>
  <c r="CP264" i="42"/>
  <c r="BV96" i="46"/>
  <c r="BT42" i="46"/>
  <c r="BR216" i="49"/>
  <c r="P6" i="41"/>
  <c r="T51" i="41" s="1"/>
  <c r="DJ434" i="20"/>
  <c r="DA1145" i="10"/>
  <c r="CD631" i="10"/>
  <c r="X36" i="41"/>
  <c r="BR627" i="20"/>
  <c r="CS614" i="20"/>
  <c r="BI567" i="20"/>
  <c r="BR317" i="20"/>
  <c r="DI726" i="20"/>
  <c r="DJ747" i="20"/>
  <c r="DJ750" i="20"/>
  <c r="DJ430" i="20"/>
  <c r="BF642" i="10"/>
  <c r="BR61" i="10"/>
  <c r="CP512" i="42"/>
  <c r="BV512" i="42"/>
  <c r="BJ509" i="42"/>
  <c r="BJ508" i="42"/>
  <c r="CP504" i="42"/>
  <c r="CP505" i="42" s="1"/>
  <c r="CP494" i="42"/>
  <c r="BV494" i="42"/>
  <c r="CN484" i="42"/>
  <c r="AR484" i="42"/>
  <c r="AN335" i="42"/>
  <c r="J1" i="42"/>
  <c r="J2" i="42" s="1"/>
  <c r="CP313" i="49"/>
  <c r="AS834" i="20"/>
  <c r="AT830" i="20"/>
  <c r="CT721" i="20"/>
  <c r="BJ317" i="20"/>
  <c r="CG1168" i="10"/>
  <c r="CH1159" i="10"/>
  <c r="CH1160" i="10" s="1"/>
  <c r="BZ1079" i="10"/>
  <c r="AT745" i="10"/>
  <c r="CB754" i="10"/>
  <c r="CP686" i="10"/>
  <c r="BH210" i="10"/>
  <c r="BN691" i="10"/>
  <c r="CH511" i="42"/>
  <c r="CN504" i="42"/>
  <c r="CN505" i="42" s="1"/>
  <c r="CL402" i="42"/>
  <c r="CN399" i="42" s="1"/>
  <c r="AV402" i="42"/>
  <c r="AW399" i="42" s="1"/>
  <c r="CH378" i="42"/>
  <c r="CJ374" i="42" s="1"/>
  <c r="CJ377" i="42" s="1"/>
  <c r="CH362" i="42"/>
  <c r="DB261" i="42"/>
  <c r="CH261" i="42"/>
  <c r="AO246" i="42"/>
  <c r="CF220" i="42"/>
  <c r="CS184" i="42"/>
  <c r="AT242" i="46"/>
  <c r="CP212" i="49"/>
  <c r="BT837" i="20"/>
  <c r="DB619" i="10"/>
  <c r="CX619" i="10"/>
  <c r="CP619" i="10"/>
  <c r="CL619" i="10"/>
  <c r="CH619" i="10"/>
  <c r="CD619" i="10"/>
  <c r="BN622" i="10"/>
  <c r="BJ619" i="10"/>
  <c r="BF616" i="10"/>
  <c r="DB556" i="10"/>
  <c r="CX556" i="10"/>
  <c r="BN511" i="42"/>
  <c r="BL496" i="42"/>
  <c r="BS40" i="43"/>
  <c r="CD212" i="49"/>
  <c r="N33" i="41"/>
  <c r="X6" i="41"/>
  <c r="CK788" i="20"/>
  <c r="AX721" i="20"/>
  <c r="BB718" i="20"/>
  <c r="DA568" i="20"/>
  <c r="DE572" i="20" s="1"/>
  <c r="BZ400" i="20"/>
  <c r="BN1159" i="10"/>
  <c r="BN1160" i="10" s="1"/>
  <c r="BV586" i="10"/>
  <c r="BN595" i="10"/>
  <c r="BF600" i="10"/>
  <c r="BF630" i="10"/>
  <c r="BF561" i="10"/>
  <c r="BN620" i="10"/>
  <c r="BX345" i="10"/>
  <c r="DB160" i="10"/>
  <c r="DB513" i="42"/>
  <c r="BT484" i="42"/>
  <c r="BZ461" i="42"/>
  <c r="CL407" i="42"/>
  <c r="CL406" i="42" s="1"/>
  <c r="AP274" i="42"/>
  <c r="BN262" i="42"/>
  <c r="CS12" i="43"/>
  <c r="BU12" i="43"/>
  <c r="BD340" i="46"/>
  <c r="BN42" i="46"/>
  <c r="CY60" i="41"/>
  <c r="BV829" i="20"/>
  <c r="BP449" i="20"/>
  <c r="AW838" i="20"/>
  <c r="BU833" i="20"/>
  <c r="AO803" i="20"/>
  <c r="AO809" i="20" s="1"/>
  <c r="AO811" i="20" s="1"/>
  <c r="BD732" i="20"/>
  <c r="BD733" i="20" s="1"/>
  <c r="BH417" i="20"/>
  <c r="BR316" i="20"/>
  <c r="CG304" i="20"/>
  <c r="BN721" i="20"/>
  <c r="BU372" i="20"/>
  <c r="BU373" i="20" s="1"/>
  <c r="BD833" i="20"/>
  <c r="BM1168" i="10"/>
  <c r="BZ539" i="10"/>
  <c r="BJ609" i="10"/>
  <c r="BF419" i="10"/>
  <c r="BQ302" i="10"/>
  <c r="BV1134" i="10"/>
  <c r="BR1134" i="10"/>
  <c r="BN1134" i="10"/>
  <c r="BJ1134" i="10"/>
  <c r="CL691" i="10"/>
  <c r="BJ421" i="10"/>
  <c r="BQ484" i="42"/>
  <c r="CW464" i="42"/>
  <c r="CW476" i="42" s="1"/>
  <c r="CW478" i="42" s="1"/>
  <c r="AT362" i="42"/>
  <c r="DB264" i="42"/>
  <c r="AP262" i="42"/>
  <c r="AO99" i="42"/>
  <c r="AO529" i="42" s="1"/>
  <c r="AO533" i="42" s="1"/>
  <c r="CH721" i="20"/>
  <c r="DN711" i="20"/>
  <c r="CD404" i="20"/>
  <c r="AL17" i="41"/>
  <c r="BJ316" i="20"/>
  <c r="DJ760" i="20"/>
  <c r="BF718" i="20"/>
  <c r="BV353" i="20"/>
  <c r="CF305" i="20"/>
  <c r="BL1168" i="10"/>
  <c r="BB518" i="10"/>
  <c r="DB616" i="10"/>
  <c r="BJ622" i="10"/>
  <c r="BF619" i="10"/>
  <c r="DB531" i="10"/>
  <c r="CP531" i="10"/>
  <c r="BQ369" i="10"/>
  <c r="BZ160" i="10"/>
  <c r="CH513" i="42"/>
  <c r="BP484" i="42"/>
  <c r="DA430" i="42"/>
  <c r="CD395" i="42"/>
  <c r="CD396" i="42" s="1"/>
  <c r="AT378" i="42"/>
  <c r="AT334" i="46" s="1"/>
  <c r="AB250" i="42"/>
  <c r="CN31" i="42"/>
  <c r="BJ42" i="43"/>
  <c r="P28" i="41" s="1"/>
  <c r="BU41" i="46"/>
  <c r="BA590" i="10"/>
  <c r="BA484" i="10" s="1"/>
  <c r="DO59" i="41"/>
  <c r="DG60" i="41"/>
  <c r="BT833" i="20"/>
  <c r="P36" i="41"/>
  <c r="BR677" i="20"/>
  <c r="DB584" i="20"/>
  <c r="BD449" i="20"/>
  <c r="BN480" i="20"/>
  <c r="BA365" i="20"/>
  <c r="DJ310" i="20"/>
  <c r="BI1168" i="10"/>
  <c r="BF740" i="10"/>
  <c r="AX518" i="10"/>
  <c r="BM283" i="10"/>
  <c r="CO60" i="10"/>
  <c r="BN513" i="42"/>
  <c r="CB496" i="42"/>
  <c r="CX494" i="42"/>
  <c r="R313" i="42"/>
  <c r="AV114" i="42"/>
  <c r="CW45" i="46"/>
  <c r="AX341" i="46"/>
  <c r="BF393" i="46"/>
  <c r="CL96" i="46"/>
  <c r="CJ43" i="46"/>
  <c r="CJ57" i="46" s="1"/>
  <c r="CK54" i="46" s="1"/>
  <c r="CH304" i="10"/>
  <c r="CG336" i="10"/>
  <c r="CJ339" i="10"/>
  <c r="CJ375" i="10"/>
  <c r="BV336" i="10"/>
  <c r="BU345" i="10"/>
  <c r="CW1160" i="10"/>
  <c r="CW1168" i="10"/>
  <c r="CX1159" i="10"/>
  <c r="CX1160" i="10" s="1"/>
  <c r="CZ1168" i="10"/>
  <c r="BY1160" i="10"/>
  <c r="CB1168" i="10"/>
  <c r="CJ752" i="10"/>
  <c r="CL686" i="10"/>
  <c r="DB382" i="10"/>
  <c r="CT383" i="10"/>
  <c r="CX61" i="10"/>
  <c r="CY61" i="10" s="1"/>
  <c r="CX58" i="10"/>
  <c r="CY58" i="10" s="1"/>
  <c r="BX143" i="46"/>
  <c r="BX162" i="46" s="1"/>
  <c r="BX161" i="46"/>
  <c r="CK653" i="20"/>
  <c r="DN590" i="10"/>
  <c r="CT186" i="10"/>
  <c r="CU186" i="10" s="1"/>
  <c r="CS370" i="10"/>
  <c r="BR186" i="10"/>
  <c r="BQ311" i="10"/>
  <c r="BQ370" i="10"/>
  <c r="AX336" i="10"/>
  <c r="AW344" i="10"/>
  <c r="CH512" i="42"/>
  <c r="DI482" i="10"/>
  <c r="DI754" i="20"/>
  <c r="CP611" i="10"/>
  <c r="BD293" i="10"/>
  <c r="BD296" i="10" s="1"/>
  <c r="CK285" i="10"/>
  <c r="BM285" i="10"/>
  <c r="CN284" i="10"/>
  <c r="BY283" i="10"/>
  <c r="DA270" i="42"/>
  <c r="DB270" i="42" s="1"/>
  <c r="DB92" i="49" s="1"/>
  <c r="CG69" i="42"/>
  <c r="CG484" i="42"/>
  <c r="CH484" i="42" s="1"/>
  <c r="CX68" i="42"/>
  <c r="BZ184" i="46"/>
  <c r="BY185" i="46"/>
  <c r="BZ185" i="46" s="1"/>
  <c r="CC261" i="20"/>
  <c r="CC260" i="20"/>
  <c r="BF829" i="20"/>
  <c r="AX676" i="20"/>
  <c r="CZ415" i="20"/>
  <c r="CT241" i="20"/>
  <c r="CK287" i="20"/>
  <c r="CK294" i="20"/>
  <c r="BR244" i="20"/>
  <c r="CN1169" i="10"/>
  <c r="BY1168" i="10"/>
  <c r="AX362" i="42"/>
  <c r="DJ340" i="42"/>
  <c r="CH407" i="42"/>
  <c r="CH406" i="42" s="1"/>
  <c r="CH402" i="42"/>
  <c r="CJ399" i="42" s="1"/>
  <c r="BD100" i="42"/>
  <c r="BD509" i="42"/>
  <c r="BV448" i="42"/>
  <c r="BX444" i="42" s="1"/>
  <c r="BZ444" i="42" s="1"/>
  <c r="BF98" i="42"/>
  <c r="BF264" i="42"/>
  <c r="Z98" i="42"/>
  <c r="Z448" i="42"/>
  <c r="Z264" i="42"/>
  <c r="AW834" i="20"/>
  <c r="BE833" i="20"/>
  <c r="DJ557" i="20"/>
  <c r="BT487" i="20"/>
  <c r="CN346" i="20"/>
  <c r="CN40" i="10" s="1"/>
  <c r="CN449" i="20"/>
  <c r="BL365" i="20"/>
  <c r="AZ562" i="10"/>
  <c r="BB429" i="20"/>
  <c r="DB631" i="10"/>
  <c r="CD629" i="10"/>
  <c r="DN524" i="10"/>
  <c r="CP608" i="10"/>
  <c r="CO1160" i="10"/>
  <c r="CR1168" i="10"/>
  <c r="CP1159" i="10"/>
  <c r="CP1160" i="10" s="1"/>
  <c r="BD765" i="20"/>
  <c r="BH770" i="20" s="1"/>
  <c r="DN756" i="20"/>
  <c r="DB539" i="10"/>
  <c r="BQ1160" i="10"/>
  <c r="BR1159" i="10"/>
  <c r="BQ1168" i="10"/>
  <c r="BN686" i="10"/>
  <c r="CT486" i="42"/>
  <c r="CT527" i="42"/>
  <c r="DJ712" i="20"/>
  <c r="EC52" i="41"/>
  <c r="DU52" i="41"/>
  <c r="BU783" i="20"/>
  <c r="BD508" i="20"/>
  <c r="DB689" i="10"/>
  <c r="DL26" i="10"/>
  <c r="DN1208" i="10"/>
  <c r="BP1160" i="10"/>
  <c r="BP1168" i="10"/>
  <c r="CZ344" i="10"/>
  <c r="CZ345" i="10"/>
  <c r="BZ336" i="42"/>
  <c r="BR260" i="42"/>
  <c r="BR287" i="42" s="1"/>
  <c r="CW69" i="42"/>
  <c r="CW484" i="42"/>
  <c r="BA69" i="42"/>
  <c r="BA70" i="42" s="1"/>
  <c r="BA484" i="42"/>
  <c r="S51" i="41"/>
  <c r="CD721" i="20"/>
  <c r="BV721" i="20"/>
  <c r="BU653" i="20"/>
  <c r="BN546" i="20"/>
  <c r="CB508" i="20"/>
  <c r="CR449" i="20"/>
  <c r="DJ758" i="20"/>
  <c r="BD1169" i="10"/>
  <c r="BZ1159" i="10"/>
  <c r="CX689" i="10"/>
  <c r="CH606" i="10"/>
  <c r="CP383" i="10"/>
  <c r="CH382" i="10"/>
  <c r="CJ500" i="42"/>
  <c r="BY484" i="42"/>
  <c r="BZ484" i="42" s="1"/>
  <c r="BV508" i="42"/>
  <c r="BV378" i="42"/>
  <c r="BX374" i="42" s="1"/>
  <c r="BZ374" i="42" s="1"/>
  <c r="X100" i="42"/>
  <c r="X509" i="42"/>
  <c r="BX69" i="42"/>
  <c r="BX484" i="42"/>
  <c r="BJ494" i="42"/>
  <c r="DF876" i="20"/>
  <c r="AX830" i="20"/>
  <c r="BU365" i="20"/>
  <c r="CZ333" i="20"/>
  <c r="BH77" i="10"/>
  <c r="BH492" i="20"/>
  <c r="CJ1173" i="10"/>
  <c r="CJ217" i="20"/>
  <c r="CX594" i="10"/>
  <c r="CP594" i="10"/>
  <c r="CP561" i="10"/>
  <c r="CH576" i="10"/>
  <c r="CH543" i="10"/>
  <c r="CD587" i="10"/>
  <c r="CD543" i="10"/>
  <c r="CD499" i="10"/>
  <c r="CD1042" i="10" s="1"/>
  <c r="CB1042" i="10"/>
  <c r="BZ576" i="10"/>
  <c r="BX1042" i="10"/>
  <c r="BZ499" i="10"/>
  <c r="BZ1042" i="10" s="1"/>
  <c r="BN542" i="10"/>
  <c r="BZ385" i="10"/>
  <c r="BZ511" i="42"/>
  <c r="X114" i="42"/>
  <c r="CH212" i="49"/>
  <c r="CH315" i="49"/>
  <c r="CD210" i="49"/>
  <c r="CD313" i="49"/>
  <c r="BR518" i="10"/>
  <c r="BN523" i="10"/>
  <c r="BR556" i="10"/>
  <c r="BV385" i="10"/>
  <c r="BN383" i="10"/>
  <c r="BI369" i="10"/>
  <c r="AS368" i="42"/>
  <c r="AS273" i="42" s="1"/>
  <c r="CF135" i="42"/>
  <c r="CF598" i="20" s="1"/>
  <c r="CT590" i="20"/>
  <c r="CL531" i="10"/>
  <c r="BR385" i="10"/>
  <c r="BU370" i="10"/>
  <c r="CC1160" i="10"/>
  <c r="CC1168" i="10"/>
  <c r="CF1168" i="10"/>
  <c r="BH1160" i="10"/>
  <c r="BJ1159" i="10"/>
  <c r="BJ1160" i="10" s="1"/>
  <c r="BZ262" i="42"/>
  <c r="CH404" i="20"/>
  <c r="CG415" i="20"/>
  <c r="CF115" i="20"/>
  <c r="CF154" i="20"/>
  <c r="Z72" i="41"/>
  <c r="BE832" i="20"/>
  <c r="BM783" i="20"/>
  <c r="BL731" i="20"/>
  <c r="BN651" i="20"/>
  <c r="CL520" i="10"/>
  <c r="CP506" i="10"/>
  <c r="CX186" i="10"/>
  <c r="CW311" i="10"/>
  <c r="AV205" i="10"/>
  <c r="AW205" i="10"/>
  <c r="CL454" i="42"/>
  <c r="CK457" i="42"/>
  <c r="CT362" i="42"/>
  <c r="BQ134" i="46"/>
  <c r="BQ135" i="46" s="1"/>
  <c r="BR133" i="46"/>
  <c r="BR134" i="46" s="1"/>
  <c r="BR135" i="46" s="1"/>
  <c r="BR138" i="46" s="1"/>
  <c r="AV26" i="46"/>
  <c r="AV287" i="46"/>
  <c r="AV234" i="46" s="1"/>
  <c r="AV237" i="46" s="1"/>
  <c r="CO215" i="42"/>
  <c r="DA242" i="42"/>
  <c r="DI242" i="42" s="1"/>
  <c r="DL242" i="42" s="1"/>
  <c r="DM242" i="42" s="1"/>
  <c r="DP242" i="42" s="1"/>
  <c r="DQ242" i="42" s="1"/>
  <c r="DA220" i="20"/>
  <c r="DJ632" i="20"/>
  <c r="AZ146" i="10"/>
  <c r="BA721" i="10"/>
  <c r="CR195" i="10"/>
  <c r="BV505" i="42"/>
  <c r="CV464" i="42"/>
  <c r="EG35" i="41" s="1"/>
  <c r="AJ250" i="42"/>
  <c r="CR138" i="42"/>
  <c r="CR601" i="20" s="1"/>
  <c r="CX173" i="46"/>
  <c r="B46" i="51"/>
  <c r="B56" i="51" s="1"/>
  <c r="BV317" i="49"/>
  <c r="BV335" i="49" s="1"/>
  <c r="DN748" i="20"/>
  <c r="AN1226" i="10"/>
  <c r="DB574" i="10"/>
  <c r="AP508" i="42"/>
  <c r="BH496" i="42"/>
  <c r="CL494" i="42"/>
  <c r="DB297" i="42"/>
  <c r="DB113" i="49" s="1"/>
  <c r="CP369" i="42"/>
  <c r="CR366" i="42" s="1"/>
  <c r="AT369" i="42"/>
  <c r="AV366" i="42" s="1"/>
  <c r="AH274" i="42"/>
  <c r="Q47" i="43"/>
  <c r="AL42" i="43"/>
  <c r="S47" i="51"/>
  <c r="BF322" i="49"/>
  <c r="CF443" i="20"/>
  <c r="DN426" i="20"/>
  <c r="BJ125" i="20"/>
  <c r="BX211" i="10"/>
  <c r="CG210" i="10"/>
  <c r="BI210" i="10"/>
  <c r="BV511" i="42"/>
  <c r="CT505" i="42"/>
  <c r="CC496" i="42"/>
  <c r="DB494" i="42"/>
  <c r="CN464" i="42"/>
  <c r="DY35" i="41" s="1"/>
  <c r="DB362" i="42"/>
  <c r="CF246" i="42"/>
  <c r="BH246" i="42"/>
  <c r="AJ246" i="42"/>
  <c r="BI215" i="42"/>
  <c r="CJ215" i="42"/>
  <c r="BI218" i="42"/>
  <c r="BU156" i="42"/>
  <c r="DB97" i="42"/>
  <c r="BD44" i="43"/>
  <c r="BD46" i="43" s="1"/>
  <c r="X30" i="43"/>
  <c r="BI42" i="46"/>
  <c r="CJ8" i="51"/>
  <c r="CH219" i="49"/>
  <c r="BY496" i="42"/>
  <c r="AX269" i="42"/>
  <c r="Z269" i="42"/>
  <c r="CC246" i="42"/>
  <c r="BE246" i="42"/>
  <c r="AG246" i="42"/>
  <c r="DJ332" i="42"/>
  <c r="CR184" i="46"/>
  <c r="CR185" i="46" s="1"/>
  <c r="CG33" i="46"/>
  <c r="CH33" i="46" s="1"/>
  <c r="BJ41" i="46"/>
  <c r="CR39" i="46"/>
  <c r="AJ30" i="43"/>
  <c r="AW340" i="46"/>
  <c r="AX340" i="46" s="1"/>
  <c r="CF39" i="46"/>
  <c r="CX315" i="49"/>
  <c r="BR219" i="49"/>
  <c r="DN641" i="20"/>
  <c r="BR739" i="10"/>
  <c r="CO311" i="10"/>
  <c r="BD504" i="42"/>
  <c r="BD505" i="42" s="1"/>
  <c r="BM406" i="42"/>
  <c r="AP378" i="42"/>
  <c r="AR374" i="42" s="1"/>
  <c r="AT374" i="42" s="1"/>
  <c r="BN362" i="42"/>
  <c r="BF261" i="42"/>
  <c r="BU200" i="42"/>
  <c r="CF188" i="42"/>
  <c r="CN177" i="42"/>
  <c r="AS42" i="46"/>
  <c r="AT42" i="46" s="1"/>
  <c r="BJ43" i="46"/>
  <c r="K47" i="51"/>
  <c r="BZ210" i="49"/>
  <c r="BH49" i="41"/>
  <c r="BH67" i="41" s="1"/>
  <c r="DC284" i="20"/>
  <c r="BV239" i="20"/>
  <c r="BV1131" i="10" s="1"/>
  <c r="BJ344" i="20"/>
  <c r="BV1159" i="10"/>
  <c r="CX687" i="10"/>
  <c r="CT687" i="10"/>
  <c r="CH689" i="10"/>
  <c r="CD689" i="10"/>
  <c r="BR686" i="10"/>
  <c r="CX420" i="10"/>
  <c r="CT422" i="10"/>
  <c r="CH160" i="10"/>
  <c r="BV158" i="10"/>
  <c r="BV382" i="10"/>
  <c r="BR382" i="10"/>
  <c r="BU484" i="42"/>
  <c r="BV484" i="42" s="1"/>
  <c r="CT461" i="42"/>
  <c r="AO401" i="42"/>
  <c r="CH260" i="42"/>
  <c r="CH287" i="42" s="1"/>
  <c r="CJ282" i="42" s="1"/>
  <c r="CU21" i="43"/>
  <c r="BD27" i="43"/>
  <c r="DJ748" i="20"/>
  <c r="DN644" i="20"/>
  <c r="DJ636" i="20"/>
  <c r="DJ640" i="20"/>
  <c r="CT150" i="20"/>
  <c r="CL594" i="10"/>
  <c r="CL627" i="10"/>
  <c r="CL561" i="10"/>
  <c r="BZ578" i="10"/>
  <c r="BV534" i="10"/>
  <c r="BN534" i="10"/>
  <c r="BF534" i="10"/>
  <c r="BF608" i="10"/>
  <c r="BN556" i="10"/>
  <c r="BJ553" i="10"/>
  <c r="BF550" i="10"/>
  <c r="CZ369" i="10"/>
  <c r="BJ512" i="42"/>
  <c r="BI496" i="42"/>
  <c r="CX461" i="42"/>
  <c r="CG406" i="42"/>
  <c r="AL274" i="42"/>
  <c r="DB263" i="42"/>
  <c r="CO202" i="42"/>
  <c r="AX305" i="46"/>
  <c r="BZ96" i="46"/>
  <c r="O46" i="51"/>
  <c r="O56" i="51" s="1"/>
  <c r="AT296" i="46"/>
  <c r="AT297" i="46" s="1"/>
  <c r="AT307" i="46" s="1"/>
  <c r="BA244" i="46"/>
  <c r="BB244" i="46" s="1"/>
  <c r="CZ43" i="46"/>
  <c r="CZ57" i="46" s="1"/>
  <c r="K46" i="51"/>
  <c r="K56" i="51" s="1"/>
  <c r="BF315" i="49"/>
  <c r="AV6" i="41"/>
  <c r="DN310" i="20"/>
  <c r="BX1168" i="10"/>
  <c r="CC755" i="10"/>
  <c r="DN634" i="10"/>
  <c r="CD541" i="10"/>
  <c r="BV598" i="10"/>
  <c r="CX529" i="10"/>
  <c r="BV531" i="10"/>
  <c r="BV605" i="10"/>
  <c r="BV556" i="10"/>
  <c r="BR553" i="10"/>
  <c r="BN550" i="10"/>
  <c r="CJ354" i="10"/>
  <c r="BP299" i="10"/>
  <c r="CR232" i="10"/>
  <c r="CS205" i="10"/>
  <c r="BI211" i="10"/>
  <c r="DD923" i="20"/>
  <c r="DJ355" i="20"/>
  <c r="CV1168" i="10"/>
  <c r="BQ752" i="10"/>
  <c r="BR752" i="10" s="1"/>
  <c r="BL757" i="10"/>
  <c r="BB688" i="10"/>
  <c r="DB627" i="10"/>
  <c r="CX561" i="10"/>
  <c r="BB606" i="10"/>
  <c r="AX606" i="10"/>
  <c r="DB555" i="10"/>
  <c r="CP555" i="10"/>
  <c r="BY302" i="10"/>
  <c r="BP210" i="10"/>
  <c r="CH29" i="10"/>
  <c r="BB28" i="10"/>
  <c r="CP595" i="10"/>
  <c r="CS1168" i="10"/>
  <c r="CG755" i="10"/>
  <c r="CX385" i="10"/>
  <c r="CO222" i="10"/>
  <c r="CS302" i="10"/>
  <c r="AX64" i="10"/>
  <c r="DB562" i="10"/>
  <c r="Z17" i="41"/>
  <c r="DJ180" i="20"/>
  <c r="CT1159" i="10"/>
  <c r="CT1160" i="10" s="1"/>
  <c r="CP587" i="10"/>
  <c r="BH369" i="10"/>
  <c r="T8" i="41"/>
  <c r="T57" i="41" s="1"/>
  <c r="AV36" i="41"/>
  <c r="DL754" i="20"/>
  <c r="CR753" i="10"/>
  <c r="CT753" i="10" s="1"/>
  <c r="BR521" i="10"/>
  <c r="CL519" i="10"/>
  <c r="BR517" i="10"/>
  <c r="CP382" i="10"/>
  <c r="BM189" i="10"/>
  <c r="CC340" i="10"/>
  <c r="BV160" i="10"/>
  <c r="DB595" i="10"/>
  <c r="CX628" i="10"/>
  <c r="CD589" i="10"/>
  <c r="CD545" i="10"/>
  <c r="BJ521" i="10"/>
  <c r="BT60" i="10"/>
  <c r="CT417" i="10"/>
  <c r="CD578" i="10"/>
  <c r="CS1169" i="10"/>
  <c r="BV743" i="10"/>
  <c r="CL742" i="10"/>
  <c r="BZ689" i="10"/>
  <c r="DB687" i="10"/>
  <c r="DJ590" i="10"/>
  <c r="CT573" i="10"/>
  <c r="BZ567" i="10"/>
  <c r="BJ583" i="10"/>
  <c r="BT345" i="10"/>
  <c r="BN59" i="10"/>
  <c r="BN60" i="10" s="1"/>
  <c r="CN60" i="10"/>
  <c r="DN355" i="20"/>
  <c r="CV1169" i="10"/>
  <c r="CH924" i="20"/>
  <c r="CV753" i="10"/>
  <c r="CX753" i="10" s="1"/>
  <c r="CR340" i="10"/>
  <c r="CF339" i="10"/>
  <c r="BD295" i="10"/>
  <c r="CK302" i="10"/>
  <c r="BT211" i="10"/>
  <c r="DN19" i="10"/>
  <c r="CL158" i="10"/>
  <c r="CH164" i="10"/>
  <c r="CX595" i="10"/>
  <c r="DN760" i="20"/>
  <c r="DN749" i="20"/>
  <c r="DN632" i="20"/>
  <c r="DN636" i="20"/>
  <c r="DJ641" i="20"/>
  <c r="DJ633" i="20"/>
  <c r="BP734" i="10"/>
  <c r="BZ523" i="10"/>
  <c r="BT369" i="10"/>
  <c r="AV369" i="10"/>
  <c r="CT562" i="10"/>
  <c r="CD501" i="10"/>
  <c r="CY59" i="41"/>
  <c r="CL541" i="10"/>
  <c r="CD562" i="10"/>
  <c r="CF375" i="10"/>
  <c r="DJ753" i="20"/>
  <c r="DN432" i="20"/>
  <c r="DN753" i="20"/>
  <c r="AY51" i="41"/>
  <c r="O57" i="41"/>
  <c r="DN311" i="20"/>
  <c r="AV834" i="20"/>
  <c r="AX625" i="20"/>
  <c r="BL567" i="20"/>
  <c r="BL568" i="20" s="1"/>
  <c r="BL499" i="20"/>
  <c r="BN471" i="20"/>
  <c r="BN499" i="20" s="1"/>
  <c r="BT414" i="20"/>
  <c r="BJ410" i="20"/>
  <c r="BJ113" i="10" s="1"/>
  <c r="DA372" i="20"/>
  <c r="DA373" i="20" s="1"/>
  <c r="BA328" i="20"/>
  <c r="BA333" i="20" s="1"/>
  <c r="AV273" i="20"/>
  <c r="AV277" i="20" s="1"/>
  <c r="BY491" i="20"/>
  <c r="BZ491" i="20" s="1"/>
  <c r="BM487" i="20"/>
  <c r="DJ425" i="20"/>
  <c r="CL400" i="20"/>
  <c r="BR400" i="20"/>
  <c r="DN312" i="20"/>
  <c r="BG69" i="51"/>
  <c r="CX508" i="42"/>
  <c r="CD509" i="42"/>
  <c r="CD402" i="42"/>
  <c r="CF399" i="42" s="1"/>
  <c r="AW407" i="42"/>
  <c r="AW402" i="42"/>
  <c r="AH402" i="42"/>
  <c r="AJ399" i="42" s="1"/>
  <c r="AH407" i="42"/>
  <c r="AH509" i="42"/>
  <c r="CT260" i="42"/>
  <c r="CT287" i="42" s="1"/>
  <c r="CV282" i="42" s="1"/>
  <c r="CX282" i="42" s="1"/>
  <c r="BZ362" i="42"/>
  <c r="BZ261" i="42"/>
  <c r="BF336" i="42"/>
  <c r="BF262" i="42"/>
  <c r="AW371" i="46"/>
  <c r="AX397" i="46"/>
  <c r="AS366" i="46"/>
  <c r="AT366" i="46" s="1"/>
  <c r="AT392" i="46"/>
  <c r="BC50" i="41"/>
  <c r="CS925" i="20"/>
  <c r="CS877" i="20" s="1"/>
  <c r="CP721" i="20"/>
  <c r="BF720" i="20"/>
  <c r="BF767" i="20" s="1"/>
  <c r="BJ772" i="20" s="1"/>
  <c r="BH499" i="20"/>
  <c r="BH500" i="20" s="1"/>
  <c r="BD491" i="20"/>
  <c r="BF491" i="20" s="1"/>
  <c r="BZ474" i="20"/>
  <c r="CW449" i="20"/>
  <c r="DA415" i="20"/>
  <c r="DA397" i="20"/>
  <c r="BX303" i="20"/>
  <c r="BX261" i="20"/>
  <c r="DN755" i="20"/>
  <c r="CK614" i="20"/>
  <c r="AX234" i="20"/>
  <c r="CV159" i="20"/>
  <c r="CC132" i="20"/>
  <c r="CB64" i="10"/>
  <c r="CD65" i="10"/>
  <c r="BF61" i="10"/>
  <c r="CD537" i="42"/>
  <c r="CD66" i="10" s="1"/>
  <c r="CB66" i="10"/>
  <c r="BX192" i="46"/>
  <c r="BX464" i="42"/>
  <c r="BX476" i="42" s="1"/>
  <c r="BX478" i="42" s="1"/>
  <c r="BN264" i="42"/>
  <c r="AX98" i="42"/>
  <c r="AX264" i="42"/>
  <c r="BC72" i="41"/>
  <c r="N57" i="41"/>
  <c r="DY52" i="41"/>
  <c r="BA843" i="20"/>
  <c r="AV838" i="20"/>
  <c r="BA808" i="20"/>
  <c r="CZ772" i="20"/>
  <c r="CL721" i="20"/>
  <c r="CH587" i="20"/>
  <c r="BV316" i="20"/>
  <c r="BR298" i="20"/>
  <c r="BR102" i="10" s="1"/>
  <c r="DN640" i="20"/>
  <c r="DN557" i="20"/>
  <c r="DJ637" i="20"/>
  <c r="BX487" i="20"/>
  <c r="BP487" i="20"/>
  <c r="BV404" i="20"/>
  <c r="BJ299" i="20"/>
  <c r="BJ114" i="10" s="1"/>
  <c r="DJ127" i="20"/>
  <c r="BV1251" i="10"/>
  <c r="BV641" i="10"/>
  <c r="CL528" i="10"/>
  <c r="BR528" i="10"/>
  <c r="BN532" i="10"/>
  <c r="BF611" i="10"/>
  <c r="CZ347" i="10"/>
  <c r="BA340" i="10"/>
  <c r="CR189" i="10"/>
  <c r="BH354" i="42"/>
  <c r="DN434" i="20"/>
  <c r="BN531" i="10"/>
  <c r="BN605" i="10"/>
  <c r="BF531" i="10"/>
  <c r="BF605" i="10"/>
  <c r="CL378" i="42"/>
  <c r="CN374" i="42" s="1"/>
  <c r="CP374" i="42" s="1"/>
  <c r="CL508" i="42"/>
  <c r="AF100" i="42"/>
  <c r="AF407" i="42"/>
  <c r="AF402" i="42"/>
  <c r="AG399" i="42" s="1"/>
  <c r="AG401" i="42" s="1"/>
  <c r="AF509" i="42"/>
  <c r="CJ45" i="43"/>
  <c r="CJ504" i="42"/>
  <c r="CJ505" i="42" s="1"/>
  <c r="S71" i="51"/>
  <c r="BJ504" i="42"/>
  <c r="BJ505" i="42" s="1"/>
  <c r="AP389" i="46"/>
  <c r="AO406" i="46"/>
  <c r="AP406" i="46" s="1"/>
  <c r="BA372" i="20"/>
  <c r="BA373" i="20" s="1"/>
  <c r="AV372" i="20"/>
  <c r="AV373" i="20" s="1"/>
  <c r="CX562" i="10"/>
  <c r="CH578" i="10"/>
  <c r="BQ192" i="46"/>
  <c r="BQ464" i="42"/>
  <c r="BQ477" i="42" s="1"/>
  <c r="BD507" i="20"/>
  <c r="BD115" i="10" s="1"/>
  <c r="BF244" i="20"/>
  <c r="BB1315" i="10"/>
  <c r="BA1308" i="10"/>
  <c r="BA1309" i="10" s="1"/>
  <c r="AT740" i="10"/>
  <c r="CH719" i="10"/>
  <c r="CC225" i="10"/>
  <c r="CD225" i="10" s="1"/>
  <c r="BE225" i="10"/>
  <c r="CZ340" i="10"/>
  <c r="CW354" i="10"/>
  <c r="BA189" i="10"/>
  <c r="BB185" i="10"/>
  <c r="BX146" i="42"/>
  <c r="BX156" i="42" s="1"/>
  <c r="BX214" i="42"/>
  <c r="BX218" i="42" s="1"/>
  <c r="CT512" i="42"/>
  <c r="BJ511" i="42"/>
  <c r="AW844" i="20"/>
  <c r="CB661" i="20"/>
  <c r="BM442" i="20"/>
  <c r="BM443" i="20" s="1"/>
  <c r="DB741" i="10"/>
  <c r="BZ186" i="10"/>
  <c r="CE186" i="10" s="1"/>
  <c r="BY370" i="10"/>
  <c r="BZ377" i="10"/>
  <c r="CT96" i="46"/>
  <c r="BB807" i="20"/>
  <c r="BB843" i="20" s="1"/>
  <c r="BF848" i="20" s="1"/>
  <c r="AZ651" i="20"/>
  <c r="BD656" i="20" s="1"/>
  <c r="CZ614" i="20"/>
  <c r="DA583" i="20"/>
  <c r="BI442" i="20"/>
  <c r="BI443" i="20" s="1"/>
  <c r="DA414" i="20"/>
  <c r="BB400" i="20"/>
  <c r="BJ315" i="20"/>
  <c r="AS272" i="20"/>
  <c r="AS274" i="20" s="1"/>
  <c r="BJ471" i="20"/>
  <c r="BJ499" i="20" s="1"/>
  <c r="CL298" i="20"/>
  <c r="BU746" i="10"/>
  <c r="CT587" i="10"/>
  <c r="CH574" i="10"/>
  <c r="BZ585" i="10"/>
  <c r="BZ574" i="10"/>
  <c r="BZ497" i="10"/>
  <c r="BJ565" i="10"/>
  <c r="BJ587" i="10"/>
  <c r="BJ573" i="10"/>
  <c r="CZ311" i="10"/>
  <c r="CZ370" i="10"/>
  <c r="AD411" i="42"/>
  <c r="AC412" i="42"/>
  <c r="BL69" i="42"/>
  <c r="BL484" i="42"/>
  <c r="CH494" i="42"/>
  <c r="AZ765" i="20"/>
  <c r="CR625" i="20"/>
  <c r="BQ783" i="20"/>
  <c r="CJ625" i="20"/>
  <c r="BY487" i="20"/>
  <c r="BQ449" i="20"/>
  <c r="BV216" i="20"/>
  <c r="CW159" i="20"/>
  <c r="DA151" i="20"/>
  <c r="DB150" i="20"/>
  <c r="DF159" i="20" s="1"/>
  <c r="AT235" i="20"/>
  <c r="CL304" i="10"/>
  <c r="BV186" i="10"/>
  <c r="BU311" i="10"/>
  <c r="AV60" i="10"/>
  <c r="AW509" i="42"/>
  <c r="CF496" i="42"/>
  <c r="AS407" i="42"/>
  <c r="BC51" i="41"/>
  <c r="BF50" i="41"/>
  <c r="AK38" i="41"/>
  <c r="AK39" i="41" s="1"/>
  <c r="AK68" i="41" s="1"/>
  <c r="AM72" i="41"/>
  <c r="CL945" i="20"/>
  <c r="BL838" i="20"/>
  <c r="CK786" i="20"/>
  <c r="CR661" i="20"/>
  <c r="CB625" i="20"/>
  <c r="CR614" i="20"/>
  <c r="BE508" i="20"/>
  <c r="CT450" i="20"/>
  <c r="BL417" i="20"/>
  <c r="BN395" i="20"/>
  <c r="CD353" i="20"/>
  <c r="BJ153" i="20"/>
  <c r="CW151" i="20"/>
  <c r="CX150" i="20"/>
  <c r="CX112" i="10" s="1"/>
  <c r="BF235" i="20"/>
  <c r="DJ177" i="20"/>
  <c r="BN1252" i="10"/>
  <c r="DB1079" i="10"/>
  <c r="BP746" i="10"/>
  <c r="CX741" i="10"/>
  <c r="BJ740" i="10"/>
  <c r="DA912" i="10"/>
  <c r="CK727" i="10"/>
  <c r="DN601" i="10"/>
  <c r="BY829" i="10"/>
  <c r="CT574" i="10"/>
  <c r="BL293" i="10"/>
  <c r="BI270" i="42"/>
  <c r="BI312" i="42"/>
  <c r="BI315" i="42" s="1"/>
  <c r="BR336" i="42"/>
  <c r="BR262" i="42"/>
  <c r="AP261" i="42"/>
  <c r="AP362" i="42"/>
  <c r="AD261" i="42"/>
  <c r="AD362" i="42"/>
  <c r="CJ69" i="42"/>
  <c r="CB414" i="20"/>
  <c r="CS151" i="20"/>
  <c r="BP417" i="20"/>
  <c r="BH415" i="20"/>
  <c r="BF404" i="20"/>
  <c r="CB132" i="20"/>
  <c r="BT132" i="20"/>
  <c r="BR264" i="42"/>
  <c r="BR448" i="42"/>
  <c r="BT444" i="42" s="1"/>
  <c r="BB98" i="42"/>
  <c r="BB448" i="42"/>
  <c r="BD444" i="42" s="1"/>
  <c r="BB264" i="42"/>
  <c r="CC69" i="42"/>
  <c r="CC484" i="42"/>
  <c r="CD484" i="42" s="1"/>
  <c r="BE69" i="42"/>
  <c r="BE70" i="42" s="1"/>
  <c r="BE484" i="42"/>
  <c r="BF484" i="42" s="1"/>
  <c r="BB552" i="20"/>
  <c r="BY414" i="20"/>
  <c r="BM414" i="20"/>
  <c r="BZ529" i="10"/>
  <c r="CC283" i="10"/>
  <c r="CC195" i="10"/>
  <c r="CR344" i="10"/>
  <c r="CR345" i="10"/>
  <c r="BH345" i="10"/>
  <c r="BI340" i="10"/>
  <c r="AV345" i="10"/>
  <c r="AV344" i="10"/>
  <c r="CF203" i="10"/>
  <c r="CF211" i="10" s="1"/>
  <c r="CF223" i="10"/>
  <c r="CF222" i="10" s="1"/>
  <c r="CF186" i="10"/>
  <c r="CL446" i="42"/>
  <c r="CZ69" i="42"/>
  <c r="CZ70" i="42" s="1"/>
  <c r="CZ102" i="42" s="1"/>
  <c r="CZ484" i="42"/>
  <c r="CH583" i="10"/>
  <c r="CH572" i="10"/>
  <c r="CD583" i="10"/>
  <c r="BV572" i="10"/>
  <c r="BN578" i="10"/>
  <c r="DB385" i="10"/>
  <c r="BM273" i="10"/>
  <c r="DA302" i="10"/>
  <c r="BR513" i="42"/>
  <c r="DB511" i="42"/>
  <c r="DB552" i="42" s="1"/>
  <c r="AX508" i="42"/>
  <c r="BN504" i="42"/>
  <c r="BN505" i="42" s="1"/>
  <c r="AV407" i="42"/>
  <c r="BJ402" i="42"/>
  <c r="BL399" i="42" s="1"/>
  <c r="AT274" i="42"/>
  <c r="CF238" i="42"/>
  <c r="BM238" i="42"/>
  <c r="CS192" i="42"/>
  <c r="BL158" i="42"/>
  <c r="BV124" i="42"/>
  <c r="BV464" i="42" s="1"/>
  <c r="Z100" i="42"/>
  <c r="AP98" i="42"/>
  <c r="BL99" i="42"/>
  <c r="BL529" i="42" s="1"/>
  <c r="BA26" i="43"/>
  <c r="AR340" i="46"/>
  <c r="CL133" i="46"/>
  <c r="CL134" i="46" s="1"/>
  <c r="CL135" i="46" s="1"/>
  <c r="CL138" i="46" s="1"/>
  <c r="CS47" i="46"/>
  <c r="CG42" i="46"/>
  <c r="AC79" i="51"/>
  <c r="DA209" i="42"/>
  <c r="CT65" i="10"/>
  <c r="BU496" i="42"/>
  <c r="CP395" i="42"/>
  <c r="CP396" i="42" s="1"/>
  <c r="Q313" i="42"/>
  <c r="BQ368" i="42"/>
  <c r="BQ273" i="42" s="1"/>
  <c r="R269" i="42"/>
  <c r="BX265" i="42"/>
  <c r="BX277" i="42" s="1"/>
  <c r="CS215" i="42"/>
  <c r="CV184" i="42"/>
  <c r="BY138" i="42"/>
  <c r="BY601" i="20" s="1"/>
  <c r="CL505" i="42"/>
  <c r="CV27" i="43"/>
  <c r="EG18" i="41" s="1"/>
  <c r="BE27" i="43"/>
  <c r="CC12" i="43"/>
  <c r="CG47" i="46"/>
  <c r="AP264" i="42"/>
  <c r="CS177" i="42"/>
  <c r="CF26" i="42"/>
  <c r="AO413" i="46"/>
  <c r="AP413" i="46" s="1"/>
  <c r="CJ60" i="10"/>
  <c r="CX164" i="10"/>
  <c r="BV509" i="42"/>
  <c r="AZ509" i="42"/>
  <c r="CP508" i="42"/>
  <c r="CV496" i="42"/>
  <c r="CK455" i="42"/>
  <c r="CL455" i="42" s="1"/>
  <c r="BJ407" i="42"/>
  <c r="BJ406" i="42" s="1"/>
  <c r="BJ362" i="42"/>
  <c r="V273" i="42"/>
  <c r="CX270" i="42"/>
  <c r="AX262" i="42"/>
  <c r="AV250" i="42"/>
  <c r="BT211" i="42"/>
  <c r="AV177" i="42"/>
  <c r="BT138" i="42"/>
  <c r="BT601" i="20" s="1"/>
  <c r="AZ99" i="42"/>
  <c r="AZ529" i="42" s="1"/>
  <c r="CH27" i="43"/>
  <c r="DS18" i="41" s="1"/>
  <c r="AZ27" i="43"/>
  <c r="BF315" i="46"/>
  <c r="BF317" i="46" s="1"/>
  <c r="BF323" i="46" s="1"/>
  <c r="CB184" i="46"/>
  <c r="CB185" i="46" s="1"/>
  <c r="BM43" i="46"/>
  <c r="BM57" i="46" s="1"/>
  <c r="BP54" i="46" s="1"/>
  <c r="BR54" i="46" s="1"/>
  <c r="BR27" i="43"/>
  <c r="DC18" i="41" s="1"/>
  <c r="BR214" i="49"/>
  <c r="BA369" i="10"/>
  <c r="BI232" i="10"/>
  <c r="CS345" i="10"/>
  <c r="BT205" i="10"/>
  <c r="BT208" i="10" s="1"/>
  <c r="CN302" i="10"/>
  <c r="CP513" i="42"/>
  <c r="BR512" i="42"/>
  <c r="AV509" i="42"/>
  <c r="AZ505" i="42"/>
  <c r="CR496" i="42"/>
  <c r="CD494" i="42"/>
  <c r="CK484" i="42"/>
  <c r="CL484" i="42" s="1"/>
  <c r="BM484" i="42"/>
  <c r="BN484" i="42" s="1"/>
  <c r="AO484" i="42"/>
  <c r="AP484" i="42" s="1"/>
  <c r="CJ464" i="42"/>
  <c r="CB406" i="42"/>
  <c r="AO349" i="42"/>
  <c r="Y290" i="42"/>
  <c r="BN261" i="42"/>
  <c r="CD260" i="42"/>
  <c r="CD287" i="42" s="1"/>
  <c r="CF282" i="42" s="1"/>
  <c r="CH282" i="42" s="1"/>
  <c r="CK174" i="46"/>
  <c r="CL174" i="46" s="1"/>
  <c r="CC157" i="46"/>
  <c r="CD96" i="46"/>
  <c r="CI83" i="46"/>
  <c r="CM210" i="46"/>
  <c r="CR42" i="46"/>
  <c r="CD319" i="49"/>
  <c r="BJ214" i="49"/>
  <c r="CW369" i="10"/>
  <c r="BX369" i="10"/>
  <c r="AZ369" i="10"/>
  <c r="BT302" i="10"/>
  <c r="BX300" i="10"/>
  <c r="BA145" i="10"/>
  <c r="CP128" i="10"/>
  <c r="CP417" i="10"/>
  <c r="CX509" i="42"/>
  <c r="CH509" i="42"/>
  <c r="CG464" i="42"/>
  <c r="CH461" i="42"/>
  <c r="BJ448" i="42"/>
  <c r="BL444" i="42" s="1"/>
  <c r="BN444" i="42" s="1"/>
  <c r="BD407" i="42"/>
  <c r="BV402" i="42"/>
  <c r="BX399" i="42" s="1"/>
  <c r="AX378" i="42"/>
  <c r="CO345" i="42"/>
  <c r="CP345" i="42" s="1"/>
  <c r="BI333" i="42"/>
  <c r="BZ303" i="42"/>
  <c r="CJ138" i="42"/>
  <c r="CJ601" i="20" s="1"/>
  <c r="BZ98" i="42"/>
  <c r="X27" i="43"/>
  <c r="AW21" i="43"/>
  <c r="AW27" i="43" s="1"/>
  <c r="O52" i="51"/>
  <c r="BR313" i="42"/>
  <c r="AJ242" i="42"/>
  <c r="BL211" i="42"/>
  <c r="BO40" i="43"/>
  <c r="CU145" i="46"/>
  <c r="CO135" i="46"/>
  <c r="CO138" i="46" s="1"/>
  <c r="BX109" i="46"/>
  <c r="BX111" i="46" s="1"/>
  <c r="CQ213" i="46"/>
  <c r="CW33" i="46"/>
  <c r="CX33" i="46" s="1"/>
  <c r="CX46" i="46" s="1"/>
  <c r="G47" i="51"/>
  <c r="BV407" i="42"/>
  <c r="AZ407" i="42"/>
  <c r="CY214" i="46"/>
  <c r="CL498" i="10"/>
  <c r="CL1041" i="10" s="1"/>
  <c r="BN573" i="10"/>
  <c r="BN597" i="10"/>
  <c r="BN627" i="10"/>
  <c r="BJ586" i="10"/>
  <c r="BJ572" i="10"/>
  <c r="BF495" i="10"/>
  <c r="BF631" i="10"/>
  <c r="CX622" i="10"/>
  <c r="CR369" i="10"/>
  <c r="CJ273" i="10"/>
  <c r="BN266" i="10"/>
  <c r="CV210" i="10"/>
  <c r="BJ162" i="10"/>
  <c r="BL134" i="10"/>
  <c r="BM500" i="42"/>
  <c r="BZ448" i="42"/>
  <c r="CB444" i="42" s="1"/>
  <c r="BL418" i="42"/>
  <c r="AD380" i="42"/>
  <c r="CP362" i="42"/>
  <c r="AT336" i="42"/>
  <c r="AN313" i="42"/>
  <c r="BB308" i="42"/>
  <c r="CG238" i="42"/>
  <c r="BT202" i="42"/>
  <c r="BQ158" i="42"/>
  <c r="BQ153" i="42"/>
  <c r="BQ472" i="10" s="1"/>
  <c r="DA238" i="42"/>
  <c r="DI238" i="42" s="1"/>
  <c r="DL238" i="42" s="1"/>
  <c r="DM238" i="42" s="1"/>
  <c r="DP238" i="42" s="1"/>
  <c r="DQ238" i="42" s="1"/>
  <c r="CF31" i="42"/>
  <c r="AG47" i="43"/>
  <c r="CT27" i="43"/>
  <c r="EE18" i="41" s="1"/>
  <c r="AR323" i="46"/>
  <c r="AR324" i="46" s="1"/>
  <c r="AR347" i="46" s="1"/>
  <c r="AR346" i="46" s="1"/>
  <c r="BN96" i="46"/>
  <c r="AS46" i="46"/>
  <c r="AT46" i="46" s="1"/>
  <c r="BF341" i="46"/>
  <c r="CJ927" i="20"/>
  <c r="EL53" i="41"/>
  <c r="BL752" i="10"/>
  <c r="BN752" i="10" s="1"/>
  <c r="AW720" i="10"/>
  <c r="AW734" i="10"/>
  <c r="BU222" i="10"/>
  <c r="BV223" i="10"/>
  <c r="BY448" i="20"/>
  <c r="BZ345" i="20"/>
  <c r="DB186" i="10"/>
  <c r="DA311" i="10"/>
  <c r="DZ52" i="41"/>
  <c r="AJ36" i="41"/>
  <c r="DB935" i="20"/>
  <c r="CT943" i="20"/>
  <c r="CD933" i="20"/>
  <c r="BQ834" i="20"/>
  <c r="CT797" i="20"/>
  <c r="AX658" i="20"/>
  <c r="BM449" i="20"/>
  <c r="BI447" i="20"/>
  <c r="CT353" i="20"/>
  <c r="CS304" i="20"/>
  <c r="CD554" i="20"/>
  <c r="BV554" i="20"/>
  <c r="BZ344" i="20"/>
  <c r="BZ447" i="20" s="1"/>
  <c r="BY447" i="20"/>
  <c r="BB353" i="20"/>
  <c r="CS757" i="10"/>
  <c r="CT757" i="10" s="1"/>
  <c r="CT778" i="10" s="1"/>
  <c r="CT691" i="10"/>
  <c r="CO928" i="20"/>
  <c r="BI731" i="20"/>
  <c r="BI735" i="20" s="1"/>
  <c r="BL492" i="20"/>
  <c r="CL450" i="20"/>
  <c r="CT400" i="20"/>
  <c r="CB280" i="20"/>
  <c r="CC280" i="20" s="1"/>
  <c r="DL606" i="20"/>
  <c r="DJ606" i="20"/>
  <c r="CP520" i="10"/>
  <c r="CJ1160" i="10"/>
  <c r="CL1159" i="10"/>
  <c r="CL1160" i="10" s="1"/>
  <c r="CJ1168" i="10"/>
  <c r="CK1168" i="10"/>
  <c r="BM23" i="10"/>
  <c r="S14" i="41" s="1"/>
  <c r="S62" i="41" s="1"/>
  <c r="BM1169" i="10"/>
  <c r="AS293" i="42"/>
  <c r="AS314" i="42" s="1"/>
  <c r="AS313" i="42" s="1"/>
  <c r="AT314" i="42"/>
  <c r="CW757" i="10"/>
  <c r="CX757" i="10" s="1"/>
  <c r="CX691" i="10"/>
  <c r="CH686" i="10"/>
  <c r="CG752" i="10"/>
  <c r="BR689" i="10"/>
  <c r="BP755" i="10"/>
  <c r="BR755" i="10" s="1"/>
  <c r="W51" i="41"/>
  <c r="G33" i="41"/>
  <c r="G53" i="41" s="1"/>
  <c r="AU57" i="41"/>
  <c r="BY786" i="20"/>
  <c r="EK53" i="41"/>
  <c r="AS38" i="41"/>
  <c r="AS39" i="41" s="1"/>
  <c r="AS82" i="41" s="1"/>
  <c r="R72" i="41"/>
  <c r="AX57" i="41"/>
  <c r="AD57" i="41"/>
  <c r="BB51" i="41"/>
  <c r="AL51" i="41"/>
  <c r="V51" i="41"/>
  <c r="BB687" i="20"/>
  <c r="AR456" i="20"/>
  <c r="CV449" i="20"/>
  <c r="BB158" i="20"/>
  <c r="CD742" i="10"/>
  <c r="CK757" i="10"/>
  <c r="CD686" i="10"/>
  <c r="DB486" i="42"/>
  <c r="DB489" i="42" s="1"/>
  <c r="EM38" i="41" s="1"/>
  <c r="DB527" i="42"/>
  <c r="CF455" i="42"/>
  <c r="CF457" i="42"/>
  <c r="BH37" i="41"/>
  <c r="BJ710" i="20"/>
  <c r="BB688" i="20"/>
  <c r="DB450" i="20"/>
  <c r="AV449" i="20"/>
  <c r="BJ395" i="20"/>
  <c r="BJ446" i="20"/>
  <c r="DB241" i="20"/>
  <c r="BT563" i="10"/>
  <c r="BV314" i="20"/>
  <c r="BP563" i="10"/>
  <c r="BP568" i="10" s="1"/>
  <c r="BR314" i="20"/>
  <c r="BN244" i="20"/>
  <c r="BL563" i="10"/>
  <c r="BN314" i="20"/>
  <c r="BJ244" i="20"/>
  <c r="BH563" i="10"/>
  <c r="BH568" i="10" s="1"/>
  <c r="BJ314" i="20"/>
  <c r="AW1295" i="10"/>
  <c r="AW1300" i="10" s="1"/>
  <c r="AY1292" i="10" s="1"/>
  <c r="AW273" i="20"/>
  <c r="AW277" i="20" s="1"/>
  <c r="AV1282" i="10"/>
  <c r="AV1287" i="10" s="1"/>
  <c r="AX230" i="20"/>
  <c r="AX272" i="20" s="1"/>
  <c r="AV272" i="20"/>
  <c r="AZ276" i="20" s="1"/>
  <c r="AR1175" i="10"/>
  <c r="AT240" i="20"/>
  <c r="AT329" i="20" s="1"/>
  <c r="BZ686" i="10"/>
  <c r="AJ6" i="41"/>
  <c r="AN51" i="41" s="1"/>
  <c r="BT50" i="41"/>
  <c r="AA57" i="41"/>
  <c r="AI51" i="41"/>
  <c r="BJ765" i="20"/>
  <c r="CL611" i="20"/>
  <c r="CS414" i="20"/>
  <c r="CP946" i="10"/>
  <c r="CP329" i="20"/>
  <c r="CP691" i="10"/>
  <c r="CD941" i="20"/>
  <c r="DA735" i="20"/>
  <c r="BN645" i="20"/>
  <c r="BN646" i="20" s="1"/>
  <c r="DN546" i="20"/>
  <c r="BZ456" i="20"/>
  <c r="DB691" i="10"/>
  <c r="DA757" i="10"/>
  <c r="DB757" i="10" s="1"/>
  <c r="DB778" i="10" s="1"/>
  <c r="AJ49" i="41"/>
  <c r="H8" i="41"/>
  <c r="H57" i="41" s="1"/>
  <c r="DA768" i="20"/>
  <c r="DE773" i="20" s="1"/>
  <c r="DA733" i="20"/>
  <c r="DE737" i="20" s="1"/>
  <c r="BT420" i="20"/>
  <c r="CN414" i="20"/>
  <c r="CN90" i="10"/>
  <c r="CP300" i="20"/>
  <c r="CP90" i="10" s="1"/>
  <c r="CJ946" i="10"/>
  <c r="CJ329" i="20"/>
  <c r="CG231" i="20"/>
  <c r="CG261" i="20"/>
  <c r="BP530" i="10"/>
  <c r="BR311" i="20"/>
  <c r="DJ479" i="10"/>
  <c r="DJ535" i="10"/>
  <c r="DB520" i="10"/>
  <c r="CX608" i="10"/>
  <c r="CX520" i="10"/>
  <c r="CT520" i="10"/>
  <c r="CL608" i="10"/>
  <c r="CH523" i="10"/>
  <c r="CH611" i="10"/>
  <c r="CD611" i="10"/>
  <c r="BA346" i="20"/>
  <c r="BA443" i="10" s="1"/>
  <c r="BA449" i="20"/>
  <c r="DZ53" i="41"/>
  <c r="DA365" i="20"/>
  <c r="BN410" i="20"/>
  <c r="BN113" i="10" s="1"/>
  <c r="BL442" i="20"/>
  <c r="BL443" i="20" s="1"/>
  <c r="CJ1131" i="10"/>
  <c r="CJ328" i="20"/>
  <c r="CJ333" i="20" s="1"/>
  <c r="BY729" i="10"/>
  <c r="BX741" i="10"/>
  <c r="CT575" i="10"/>
  <c r="BZ540" i="10"/>
  <c r="BN543" i="10"/>
  <c r="AX499" i="10"/>
  <c r="BL189" i="10"/>
  <c r="BM205" i="10"/>
  <c r="CF302" i="10"/>
  <c r="CG302" i="10"/>
  <c r="CO211" i="10"/>
  <c r="CN211" i="10"/>
  <c r="DA721" i="10"/>
  <c r="DA734" i="10"/>
  <c r="BT163" i="10"/>
  <c r="BV163" i="10" s="1"/>
  <c r="BV162" i="10"/>
  <c r="BH8" i="41"/>
  <c r="BH57" i="41" s="1"/>
  <c r="AI72" i="41"/>
  <c r="BB50" i="41"/>
  <c r="BB72" i="41"/>
  <c r="AV645" i="10"/>
  <c r="AV489" i="10" s="1"/>
  <c r="BM562" i="20"/>
  <c r="BP641" i="10"/>
  <c r="BR641" i="10" s="1"/>
  <c r="BR524" i="20"/>
  <c r="BR525" i="20" s="1"/>
  <c r="BR526" i="20" s="1"/>
  <c r="DJ314" i="20"/>
  <c r="BH640" i="10"/>
  <c r="BH645" i="10" s="1"/>
  <c r="BJ321" i="20"/>
  <c r="BD1295" i="10"/>
  <c r="BD273" i="20"/>
  <c r="AV22" i="10"/>
  <c r="AV328" i="20"/>
  <c r="DN171" i="20"/>
  <c r="BA159" i="20"/>
  <c r="BE159" i="20"/>
  <c r="BD151" i="20"/>
  <c r="BN353" i="42"/>
  <c r="BM334" i="42"/>
  <c r="BM353" i="42" s="1"/>
  <c r="BP500" i="20"/>
  <c r="CV461" i="20"/>
  <c r="BR289" i="20"/>
  <c r="CD287" i="20"/>
  <c r="DM754" i="20"/>
  <c r="DL423" i="20"/>
  <c r="DJ424" i="20"/>
  <c r="CR415" i="20"/>
  <c r="CK372" i="20"/>
  <c r="CK373" i="20" s="1"/>
  <c r="CF372" i="20"/>
  <c r="CF373" i="20" s="1"/>
  <c r="BV400" i="20"/>
  <c r="BQ415" i="20"/>
  <c r="BH372" i="20"/>
  <c r="BH373" i="20" s="1"/>
  <c r="BF402" i="20"/>
  <c r="AW372" i="20"/>
  <c r="AW373" i="20" s="1"/>
  <c r="DJ317" i="20"/>
  <c r="BR239" i="20"/>
  <c r="BR328" i="20" s="1"/>
  <c r="BN239" i="20"/>
  <c r="BN1131" i="10" s="1"/>
  <c r="BJ239" i="20"/>
  <c r="BJ328" i="20" s="1"/>
  <c r="BR1252" i="10"/>
  <c r="CL1251" i="10"/>
  <c r="AT1225" i="10"/>
  <c r="DA1042" i="10"/>
  <c r="BX1040" i="10"/>
  <c r="AW746" i="10"/>
  <c r="BB744" i="10"/>
  <c r="CP743" i="10"/>
  <c r="BR743" i="10"/>
  <c r="AT743" i="10"/>
  <c r="CB746" i="10"/>
  <c r="CB913" i="10" s="1"/>
  <c r="CT539" i="10"/>
  <c r="CS344" i="10"/>
  <c r="CF283" i="10"/>
  <c r="BQ282" i="10"/>
  <c r="AW189" i="10"/>
  <c r="BX60" i="10"/>
  <c r="BN27" i="10"/>
  <c r="BN61" i="10"/>
  <c r="BJ537" i="42"/>
  <c r="BJ66" i="10" s="1"/>
  <c r="CR476" i="42"/>
  <c r="CR478" i="42" s="1"/>
  <c r="CR477" i="42"/>
  <c r="AP348" i="42"/>
  <c r="BA342" i="42"/>
  <c r="BA355" i="42" s="1"/>
  <c r="BB355" i="42"/>
  <c r="R98" i="42"/>
  <c r="R264" i="42"/>
  <c r="R448" i="42"/>
  <c r="T444" i="42" s="1"/>
  <c r="BZ263" i="42"/>
  <c r="BZ369" i="42"/>
  <c r="CB366" i="42" s="1"/>
  <c r="CD366" i="42" s="1"/>
  <c r="BJ263" i="42"/>
  <c r="BJ369" i="42"/>
  <c r="BL366" i="42" s="1"/>
  <c r="DB262" i="42"/>
  <c r="AL362" i="42"/>
  <c r="AL261" i="42"/>
  <c r="BN743" i="10"/>
  <c r="CP543" i="10"/>
  <c r="CK401" i="42"/>
  <c r="CL124" i="42"/>
  <c r="CL464" i="42" s="1"/>
  <c r="DW35" i="41" s="1"/>
  <c r="CK464" i="42"/>
  <c r="CK477" i="42" s="1"/>
  <c r="CK123" i="42"/>
  <c r="BM192" i="46"/>
  <c r="BM464" i="42"/>
  <c r="BM476" i="42" s="1"/>
  <c r="BM478" i="42" s="1"/>
  <c r="CO31" i="42"/>
  <c r="CT214" i="49"/>
  <c r="CT232" i="49" s="1"/>
  <c r="CT317" i="49"/>
  <c r="CT335" i="49" s="1"/>
  <c r="CT219" i="49"/>
  <c r="CT322" i="49"/>
  <c r="CX587" i="10"/>
  <c r="CP499" i="10"/>
  <c r="CP1042" i="10" s="1"/>
  <c r="CS369" i="10"/>
  <c r="CS354" i="10"/>
  <c r="BX350" i="10"/>
  <c r="BM321" i="10"/>
  <c r="BA302" i="10"/>
  <c r="CC280" i="10"/>
  <c r="CR284" i="10"/>
  <c r="BT284" i="10"/>
  <c r="BP282" i="10"/>
  <c r="CS195" i="10"/>
  <c r="BF301" i="42"/>
  <c r="V268" i="42"/>
  <c r="DB509" i="42"/>
  <c r="BF113" i="42"/>
  <c r="BF114" i="42" s="1"/>
  <c r="BE509" i="42"/>
  <c r="BE402" i="42"/>
  <c r="BE401" i="42" s="1"/>
  <c r="BE407" i="42"/>
  <c r="CX27" i="43"/>
  <c r="CX505" i="42"/>
  <c r="T15" i="43"/>
  <c r="T17" i="43" s="1"/>
  <c r="T47" i="43"/>
  <c r="T13" i="43"/>
  <c r="CL322" i="49"/>
  <c r="CL219" i="49"/>
  <c r="BF211" i="49"/>
  <c r="BF314" i="49"/>
  <c r="CH317" i="49"/>
  <c r="CH335" i="49" s="1"/>
  <c r="DJ435" i="20"/>
  <c r="DB1251" i="10"/>
  <c r="CD1251" i="10"/>
  <c r="CH743" i="10"/>
  <c r="CX742" i="10"/>
  <c r="BV68" i="42"/>
  <c r="Z68" i="42"/>
  <c r="CG62" i="42"/>
  <c r="CS311" i="42"/>
  <c r="CS315" i="42" s="1"/>
  <c r="CV218" i="46"/>
  <c r="CV174" i="46"/>
  <c r="BY161" i="46"/>
  <c r="K52" i="51"/>
  <c r="BB225" i="20"/>
  <c r="CN727" i="10"/>
  <c r="CZ734" i="10"/>
  <c r="CP607" i="10"/>
  <c r="BJ520" i="10"/>
  <c r="CL584" i="10"/>
  <c r="CL573" i="10"/>
  <c r="BJ617" i="10"/>
  <c r="BJ556" i="10"/>
  <c r="BF553" i="10"/>
  <c r="BL370" i="10"/>
  <c r="BI344" i="10"/>
  <c r="BM195" i="10"/>
  <c r="CC302" i="10"/>
  <c r="CT202" i="10"/>
  <c r="AX202" i="10"/>
  <c r="CJ64" i="10"/>
  <c r="CK496" i="42"/>
  <c r="AW353" i="42"/>
  <c r="AX353" i="42" s="1"/>
  <c r="BR315" i="42"/>
  <c r="CZ27" i="43"/>
  <c r="EK18" i="41" s="1"/>
  <c r="CZ297" i="42"/>
  <c r="CZ588" i="20"/>
  <c r="AS22" i="10"/>
  <c r="BJ311" i="20"/>
  <c r="DN430" i="20"/>
  <c r="BR318" i="20"/>
  <c r="BB1079" i="10"/>
  <c r="BF743" i="10"/>
  <c r="DJ634" i="10"/>
  <c r="CX611" i="10"/>
  <c r="CH545" i="10"/>
  <c r="CH497" i="10"/>
  <c r="CH1040" i="10" s="1"/>
  <c r="BU354" i="10"/>
  <c r="CU336" i="10"/>
  <c r="CC327" i="10"/>
  <c r="CF285" i="10"/>
  <c r="BH285" i="10"/>
  <c r="CG284" i="10"/>
  <c r="BI284" i="10"/>
  <c r="CC282" i="10"/>
  <c r="BQ210" i="10"/>
  <c r="AP58" i="10"/>
  <c r="CL61" i="10"/>
  <c r="CF464" i="42"/>
  <c r="CF477" i="42" s="1"/>
  <c r="AW405" i="42"/>
  <c r="AX419" i="42"/>
  <c r="AV354" i="42"/>
  <c r="BP349" i="42"/>
  <c r="CJ246" i="42"/>
  <c r="BL246" i="42"/>
  <c r="AN246" i="42"/>
  <c r="BE394" i="46"/>
  <c r="BE398" i="46" s="1"/>
  <c r="BF411" i="46"/>
  <c r="BE415" i="46"/>
  <c r="BF415" i="46" s="1"/>
  <c r="BB390" i="46"/>
  <c r="BA364" i="46"/>
  <c r="BB364" i="46" s="1"/>
  <c r="AS368" i="46"/>
  <c r="AT368" i="46" s="1"/>
  <c r="AT394" i="46"/>
  <c r="BA297" i="46"/>
  <c r="BB296" i="46"/>
  <c r="BB297" i="46" s="1"/>
  <c r="BB307" i="46" s="1"/>
  <c r="BN184" i="46"/>
  <c r="BM185" i="46"/>
  <c r="BN185" i="46" s="1"/>
  <c r="CP15" i="46"/>
  <c r="CP41" i="46" s="1"/>
  <c r="CO41" i="46"/>
  <c r="BV14" i="46"/>
  <c r="BV40" i="46" s="1"/>
  <c r="BU40" i="46"/>
  <c r="AW579" i="10"/>
  <c r="AW483" i="10" s="1"/>
  <c r="CN739" i="10"/>
  <c r="CP739" i="10" s="1"/>
  <c r="BN639" i="10"/>
  <c r="BJ641" i="10"/>
  <c r="BF638" i="10"/>
  <c r="AT42" i="43"/>
  <c r="CD450" i="20"/>
  <c r="BJ353" i="20"/>
  <c r="BH329" i="20"/>
  <c r="DA222" i="20"/>
  <c r="BJ195" i="20"/>
  <c r="BQ187" i="20"/>
  <c r="AW196" i="20"/>
  <c r="BA198" i="20" s="1"/>
  <c r="CL123" i="20"/>
  <c r="CL955" i="10" s="1"/>
  <c r="CT740" i="10"/>
  <c r="BV740" i="10"/>
  <c r="CD606" i="10"/>
  <c r="DN535" i="10"/>
  <c r="CP523" i="10"/>
  <c r="BV595" i="10"/>
  <c r="BV578" i="10"/>
  <c r="BR586" i="10"/>
  <c r="BR572" i="10"/>
  <c r="BN631" i="10"/>
  <c r="BN562" i="10"/>
  <c r="BF584" i="10"/>
  <c r="BF567" i="10"/>
  <c r="CG375" i="10"/>
  <c r="CT354" i="10"/>
  <c r="CL350" i="10"/>
  <c r="CK222" i="10"/>
  <c r="BN185" i="10"/>
  <c r="CB211" i="10"/>
  <c r="CL202" i="10"/>
  <c r="AP61" i="10"/>
  <c r="BZ512" i="42"/>
  <c r="CL511" i="42"/>
  <c r="DA476" i="42"/>
  <c r="DA478" i="42" s="1"/>
  <c r="DI478" i="42" s="1"/>
  <c r="DL478" i="42" s="1"/>
  <c r="DM478" i="42" s="1"/>
  <c r="DP478" i="42" s="1"/>
  <c r="DQ478" i="42" s="1"/>
  <c r="CV406" i="42"/>
  <c r="BX317" i="42"/>
  <c r="BX318" i="42" s="1"/>
  <c r="BX320" i="42" s="1"/>
  <c r="U315" i="42"/>
  <c r="U313" i="42"/>
  <c r="BP43" i="43"/>
  <c r="BP504" i="42" s="1"/>
  <c r="BP505" i="42" s="1"/>
  <c r="BP294" i="42"/>
  <c r="BP325" i="42" s="1"/>
  <c r="BP326" i="42" s="1"/>
  <c r="BJ26" i="46"/>
  <c r="BI39" i="46"/>
  <c r="BD460" i="20"/>
  <c r="AS217" i="20"/>
  <c r="AW222" i="20" s="1"/>
  <c r="CC1044" i="10"/>
  <c r="CG722" i="10"/>
  <c r="BZ606" i="10"/>
  <c r="BZ595" i="10"/>
  <c r="CX531" i="10"/>
  <c r="CP374" i="10"/>
  <c r="CK349" i="10"/>
  <c r="BY225" i="10"/>
  <c r="BI222" i="10"/>
  <c r="BL232" i="10"/>
  <c r="DA222" i="10"/>
  <c r="DI222" i="10" s="1"/>
  <c r="DL222" i="10" s="1"/>
  <c r="DM222" i="10" s="1"/>
  <c r="DP222" i="10" s="1"/>
  <c r="DQ222" i="10" s="1"/>
  <c r="AX377" i="10"/>
  <c r="AZ205" i="10"/>
  <c r="CC60" i="10"/>
  <c r="CK60" i="10"/>
  <c r="AP15" i="10"/>
  <c r="BN537" i="42"/>
  <c r="BN66" i="10" s="1"/>
  <c r="BB416" i="42"/>
  <c r="CL339" i="42"/>
  <c r="CJ343" i="42"/>
  <c r="CL343" i="42" s="1"/>
  <c r="CT262" i="42"/>
  <c r="BR261" i="42"/>
  <c r="AD96" i="42"/>
  <c r="AD260" i="42"/>
  <c r="AD287" i="42" s="1"/>
  <c r="AF282" i="42" s="1"/>
  <c r="AF286" i="42" s="1"/>
  <c r="AF323" i="42" s="1"/>
  <c r="R96" i="42"/>
  <c r="R260" i="42"/>
  <c r="R287" i="42" s="1"/>
  <c r="T282" i="42" s="1"/>
  <c r="V282" i="42" s="1"/>
  <c r="AW291" i="46"/>
  <c r="AW298" i="46" s="1"/>
  <c r="AX290" i="46"/>
  <c r="AX291" i="46" s="1"/>
  <c r="DB182" i="46"/>
  <c r="DB225" i="42" s="1"/>
  <c r="DA184" i="46"/>
  <c r="DB184" i="46" s="1"/>
  <c r="CX22" i="46"/>
  <c r="CX47" i="46" s="1"/>
  <c r="CW47" i="46"/>
  <c r="BZ22" i="46"/>
  <c r="BY47" i="46"/>
  <c r="BV13" i="46"/>
  <c r="BU39" i="46"/>
  <c r="BH60" i="10"/>
  <c r="BZ513" i="42"/>
  <c r="BN494" i="42"/>
  <c r="BE171" i="42"/>
  <c r="CX511" i="42"/>
  <c r="CX552" i="42" s="1"/>
  <c r="CT595" i="10"/>
  <c r="CT628" i="10"/>
  <c r="CP628" i="10"/>
  <c r="CP562" i="10"/>
  <c r="BZ589" i="10"/>
  <c r="BZ501" i="10"/>
  <c r="BZ1044" i="10" s="1"/>
  <c r="CL512" i="42"/>
  <c r="BJ414" i="42"/>
  <c r="BI423" i="42"/>
  <c r="BP202" i="42"/>
  <c r="BP197" i="42"/>
  <c r="BR402" i="42"/>
  <c r="BT399" i="42" s="1"/>
  <c r="BV399" i="42" s="1"/>
  <c r="BR407" i="42"/>
  <c r="BR406" i="42" s="1"/>
  <c r="AS100" i="42"/>
  <c r="AS402" i="42"/>
  <c r="BZ29" i="46"/>
  <c r="BY42" i="46"/>
  <c r="BB26" i="46"/>
  <c r="BA39" i="46"/>
  <c r="BB39" i="46" s="1"/>
  <c r="BN317" i="49"/>
  <c r="BN214" i="49"/>
  <c r="BJ303" i="42"/>
  <c r="BF294" i="42"/>
  <c r="CD270" i="42"/>
  <c r="CK246" i="42"/>
  <c r="AR246" i="42"/>
  <c r="CN238" i="42"/>
  <c r="BP238" i="42"/>
  <c r="AR238" i="42"/>
  <c r="CS218" i="42"/>
  <c r="CS209" i="42"/>
  <c r="BU205" i="42"/>
  <c r="CV192" i="42"/>
  <c r="BU178" i="42"/>
  <c r="CT114" i="42"/>
  <c r="CH12" i="42"/>
  <c r="AZ369" i="46"/>
  <c r="AZ372" i="46" s="1"/>
  <c r="AV323" i="46"/>
  <c r="AV240" i="46" s="1"/>
  <c r="AV241" i="46" s="1"/>
  <c r="CR31" i="46"/>
  <c r="CR36" i="46" s="1"/>
  <c r="CP47" i="46"/>
  <c r="S49" i="51"/>
  <c r="S48" i="51"/>
  <c r="BF319" i="49"/>
  <c r="CD314" i="49"/>
  <c r="Z42" i="43"/>
  <c r="CU211" i="46"/>
  <c r="AT341" i="46"/>
  <c r="CE148" i="46"/>
  <c r="BW147" i="46"/>
  <c r="BN47" i="46"/>
  <c r="BP206" i="42"/>
  <c r="AS114" i="42"/>
  <c r="Y99" i="42"/>
  <c r="Y529" i="42" s="1"/>
  <c r="Y533" i="42" s="1"/>
  <c r="CD27" i="43"/>
  <c r="DO18" i="41" s="1"/>
  <c r="BL31" i="46"/>
  <c r="BL36" i="46" s="1"/>
  <c r="BL48" i="46" s="1"/>
  <c r="BL49" i="46" s="1"/>
  <c r="G49" i="51"/>
  <c r="G48" i="51"/>
  <c r="CS496" i="42"/>
  <c r="BT464" i="42"/>
  <c r="BT477" i="42" s="1"/>
  <c r="BF448" i="42"/>
  <c r="BH444" i="42" s="1"/>
  <c r="BJ444" i="42" s="1"/>
  <c r="CX362" i="42"/>
  <c r="AD270" i="42"/>
  <c r="BV260" i="42"/>
  <c r="BV287" i="42" s="1"/>
  <c r="BX282" i="42" s="1"/>
  <c r="AO250" i="42"/>
  <c r="CO200" i="42"/>
  <c r="BT200" i="42"/>
  <c r="BP178" i="42"/>
  <c r="CB177" i="42"/>
  <c r="AG114" i="42"/>
  <c r="T99" i="42"/>
  <c r="T529" i="42" s="1"/>
  <c r="T533" i="42" s="1"/>
  <c r="DA246" i="42"/>
  <c r="DI246" i="42" s="1"/>
  <c r="DL246" i="42" s="1"/>
  <c r="DM246" i="42" s="1"/>
  <c r="DP246" i="42" s="1"/>
  <c r="DQ246" i="42" s="1"/>
  <c r="AC47" i="43"/>
  <c r="DB42" i="43"/>
  <c r="BH28" i="41" s="1"/>
  <c r="CC225" i="46"/>
  <c r="CC227" i="46" s="1"/>
  <c r="CE211" i="46"/>
  <c r="DC145" i="46"/>
  <c r="BR495" i="42"/>
  <c r="BR496" i="42" s="1"/>
  <c r="BA418" i="42"/>
  <c r="BB418" i="42" s="1"/>
  <c r="AV349" i="42"/>
  <c r="BD335" i="42"/>
  <c r="BD313" i="42"/>
  <c r="Z270" i="42"/>
  <c r="CZ246" i="42"/>
  <c r="CB246" i="42"/>
  <c r="BD246" i="42"/>
  <c r="AF246" i="42"/>
  <c r="BU238" i="42"/>
  <c r="CZ215" i="42"/>
  <c r="BN98" i="42"/>
  <c r="P30" i="43"/>
  <c r="CK39" i="46"/>
  <c r="BN45" i="46"/>
  <c r="O48" i="51"/>
  <c r="CV457" i="42"/>
  <c r="BV461" i="42"/>
  <c r="BQ406" i="42"/>
  <c r="CX261" i="42"/>
  <c r="CV246" i="42"/>
  <c r="BX246" i="42"/>
  <c r="AZ246" i="42"/>
  <c r="CW246" i="42"/>
  <c r="BY246" i="42"/>
  <c r="BA246" i="42"/>
  <c r="CB215" i="42"/>
  <c r="DA218" i="42"/>
  <c r="CC218" i="42"/>
  <c r="BH209" i="42"/>
  <c r="CJ200" i="42"/>
  <c r="BL200" i="42"/>
  <c r="CG39" i="46"/>
  <c r="CS31" i="46"/>
  <c r="CF43" i="46"/>
  <c r="CF57" i="46" s="1"/>
  <c r="CG54" i="46" s="1"/>
  <c r="R273" i="42"/>
  <c r="CG200" i="42"/>
  <c r="BJ68" i="42"/>
  <c r="CR62" i="42"/>
  <c r="CG31" i="42"/>
  <c r="CI145" i="46"/>
  <c r="CH211" i="49"/>
  <c r="CD420" i="10"/>
  <c r="CL160" i="10"/>
  <c r="BZ505" i="42"/>
  <c r="CN496" i="42"/>
  <c r="CX495" i="42"/>
  <c r="CX496" i="42" s="1"/>
  <c r="CC464" i="42"/>
  <c r="CP461" i="42"/>
  <c r="CD407" i="42"/>
  <c r="CD406" i="42" s="1"/>
  <c r="BV362" i="42"/>
  <c r="CF345" i="42"/>
  <c r="CH345" i="42" s="1"/>
  <c r="CC343" i="42"/>
  <c r="CH339" i="42"/>
  <c r="CH270" i="42"/>
  <c r="CT261" i="42"/>
  <c r="BJ261" i="42"/>
  <c r="BN260" i="42"/>
  <c r="BN287" i="42" s="1"/>
  <c r="BP282" i="42" s="1"/>
  <c r="CC220" i="42"/>
  <c r="CV218" i="42"/>
  <c r="AF114" i="42"/>
  <c r="CB44" i="43"/>
  <c r="CW41" i="46"/>
  <c r="AS286" i="42"/>
  <c r="AS323" i="42" s="1"/>
  <c r="BY123" i="42"/>
  <c r="AT13" i="43"/>
  <c r="AT15" i="43" s="1"/>
  <c r="AT17" i="43" s="1"/>
  <c r="CO225" i="46"/>
  <c r="BR96" i="46"/>
  <c r="BY40" i="46"/>
  <c r="B52" i="51"/>
  <c r="B63" i="51" s="1"/>
  <c r="M36" i="78"/>
  <c r="BJ319" i="49"/>
  <c r="BB721" i="20"/>
  <c r="AE72" i="41"/>
  <c r="AX50" i="41"/>
  <c r="EG52" i="41"/>
  <c r="V72" i="41"/>
  <c r="AT57" i="41"/>
  <c r="AV50" i="41"/>
  <c r="ED53" i="41"/>
  <c r="AP72" i="41"/>
  <c r="AZ57" i="41"/>
  <c r="CT455" i="20"/>
  <c r="BY450" i="20"/>
  <c r="CK449" i="20"/>
  <c r="AW449" i="20"/>
  <c r="BI396" i="20"/>
  <c r="BI397" i="20" s="1"/>
  <c r="BN312" i="20"/>
  <c r="BD286" i="20"/>
  <c r="CL292" i="20"/>
  <c r="CF200" i="20"/>
  <c r="CS415" i="20"/>
  <c r="BV744" i="10"/>
  <c r="CX499" i="10"/>
  <c r="CX1042" i="10" s="1"/>
  <c r="DA828" i="10"/>
  <c r="DA840" i="10" s="1"/>
  <c r="CO828" i="10"/>
  <c r="CO840" i="10" s="1"/>
  <c r="BV587" i="10"/>
  <c r="BN496" i="10"/>
  <c r="BF562" i="10"/>
  <c r="BF501" i="10"/>
  <c r="CX534" i="10"/>
  <c r="BU327" i="10"/>
  <c r="BM846" i="20"/>
  <c r="AI57" i="41"/>
  <c r="BZ652" i="20"/>
  <c r="CX447" i="20"/>
  <c r="CK420" i="20"/>
  <c r="BJ312" i="20"/>
  <c r="BZ745" i="10"/>
  <c r="BF742" i="10"/>
  <c r="CT741" i="10"/>
  <c r="BD720" i="10"/>
  <c r="DJ524" i="10"/>
  <c r="AT419" i="10"/>
  <c r="CT375" i="10"/>
  <c r="CB953" i="20"/>
  <c r="BG72" i="41"/>
  <c r="AH57" i="41"/>
  <c r="BF51" i="41"/>
  <c r="J51" i="41"/>
  <c r="BA765" i="20"/>
  <c r="CC657" i="20"/>
  <c r="BE651" i="20"/>
  <c r="BI656" i="20" s="1"/>
  <c r="BF552" i="20"/>
  <c r="BP328" i="20"/>
  <c r="BP333" i="20" s="1"/>
  <c r="CO303" i="20"/>
  <c r="CF189" i="20"/>
  <c r="DJ426" i="20"/>
  <c r="DB584" i="10"/>
  <c r="CH633" i="10"/>
  <c r="CD567" i="10"/>
  <c r="BV630" i="10"/>
  <c r="CT619" i="10"/>
  <c r="BZ619" i="10"/>
  <c r="CO351" i="10"/>
  <c r="BH295" i="10"/>
  <c r="BH293" i="10"/>
  <c r="BH296" i="10" s="1"/>
  <c r="BH307" i="10"/>
  <c r="BH316" i="10" s="1"/>
  <c r="BH320" i="10" s="1"/>
  <c r="BJ304" i="10"/>
  <c r="DY53" i="41"/>
  <c r="AY57" i="41"/>
  <c r="S57" i="41"/>
  <c r="BG51" i="41"/>
  <c r="AQ51" i="41"/>
  <c r="AA51" i="41"/>
  <c r="K51" i="41"/>
  <c r="BL50" i="41"/>
  <c r="AR50" i="41"/>
  <c r="EK52" i="41"/>
  <c r="BF72" i="41"/>
  <c r="AL72" i="41"/>
  <c r="R57" i="41"/>
  <c r="AP51" i="41"/>
  <c r="Z51" i="41"/>
  <c r="BG50" i="41"/>
  <c r="AQ50" i="41"/>
  <c r="DN879" i="20"/>
  <c r="CP879" i="20"/>
  <c r="AO821" i="20"/>
  <c r="CX800" i="20"/>
  <c r="DA772" i="20"/>
  <c r="CP766" i="20"/>
  <c r="BI744" i="20"/>
  <c r="AS677" i="20"/>
  <c r="AS678" i="20" s="1"/>
  <c r="AS680" i="20" s="1"/>
  <c r="CZ656" i="20"/>
  <c r="BV625" i="20"/>
  <c r="CW614" i="20"/>
  <c r="BE487" i="20"/>
  <c r="BZ480" i="20"/>
  <c r="CH456" i="20"/>
  <c r="BX449" i="20"/>
  <c r="CD448" i="20"/>
  <c r="CG414" i="20"/>
  <c r="CB365" i="20"/>
  <c r="CH400" i="20"/>
  <c r="AX404" i="20"/>
  <c r="CN303" i="20"/>
  <c r="CS222" i="20"/>
  <c r="BX222" i="20"/>
  <c r="CS220" i="20"/>
  <c r="DN643" i="20"/>
  <c r="DJ644" i="20"/>
  <c r="DN317" i="20"/>
  <c r="CT742" i="10"/>
  <c r="CJ741" i="10"/>
  <c r="BJ741" i="10"/>
  <c r="BB739" i="10"/>
  <c r="CZ721" i="10"/>
  <c r="BZ545" i="10"/>
  <c r="DJ485" i="10"/>
  <c r="AX375" i="10"/>
  <c r="CT584" i="20"/>
  <c r="BO1177" i="10"/>
  <c r="CT447" i="20"/>
  <c r="CK303" i="20"/>
  <c r="CZ746" i="10"/>
  <c r="CZ912" i="10" s="1"/>
  <c r="CZ720" i="10"/>
  <c r="CZ747" i="10" s="1"/>
  <c r="BM720" i="10"/>
  <c r="BP735" i="10" s="1"/>
  <c r="BA720" i="10"/>
  <c r="DB608" i="10"/>
  <c r="BR609" i="10"/>
  <c r="BZ556" i="10"/>
  <c r="BV555" i="10"/>
  <c r="BR551" i="10"/>
  <c r="CP375" i="10"/>
  <c r="DB118" i="20"/>
  <c r="CD115" i="20"/>
  <c r="BT160" i="20"/>
  <c r="AX1315" i="10"/>
  <c r="AN1227" i="10"/>
  <c r="CH744" i="10"/>
  <c r="AX742" i="10"/>
  <c r="CH741" i="10"/>
  <c r="CX740" i="10"/>
  <c r="CG746" i="10"/>
  <c r="CG914" i="10" s="1"/>
  <c r="CG1015" i="10" s="1"/>
  <c r="BJ595" i="10"/>
  <c r="BJ578" i="10"/>
  <c r="CJ280" i="10"/>
  <c r="BL280" i="10"/>
  <c r="DN435" i="20"/>
  <c r="BD50" i="41"/>
  <c r="AW770" i="20"/>
  <c r="BB676" i="20"/>
  <c r="BJ653" i="20"/>
  <c r="BB625" i="20"/>
  <c r="BN555" i="20"/>
  <c r="BQ417" i="20"/>
  <c r="BU415" i="20"/>
  <c r="BR410" i="20"/>
  <c r="BR442" i="20" s="1"/>
  <c r="BR443" i="20" s="1"/>
  <c r="BP365" i="20"/>
  <c r="CG372" i="20"/>
  <c r="CG373" i="20" s="1"/>
  <c r="BH328" i="20"/>
  <c r="BL333" i="20" s="1"/>
  <c r="BX260" i="20"/>
  <c r="CF160" i="20"/>
  <c r="AZ1169" i="10"/>
  <c r="CP1079" i="10"/>
  <c r="CL745" i="10"/>
  <c r="DJ579" i="10"/>
  <c r="DN513" i="10"/>
  <c r="BR617" i="10"/>
  <c r="DU53" i="41"/>
  <c r="DV52" i="41"/>
  <c r="BG57" i="41"/>
  <c r="AQ57" i="41"/>
  <c r="AE57" i="41"/>
  <c r="K57" i="41"/>
  <c r="AM51" i="41"/>
  <c r="DJ940" i="20"/>
  <c r="DB936" i="20"/>
  <c r="CX940" i="20"/>
  <c r="CP936" i="20"/>
  <c r="CL940" i="20"/>
  <c r="CH944" i="20"/>
  <c r="DE927" i="20"/>
  <c r="BD531" i="20"/>
  <c r="BH536" i="20" s="1"/>
  <c r="DB455" i="20"/>
  <c r="DF460" i="20" s="1"/>
  <c r="DN342" i="20"/>
  <c r="DN446" i="20" s="1"/>
  <c r="BD746" i="10"/>
  <c r="DB744" i="10"/>
  <c r="AX743" i="10"/>
  <c r="CX719" i="10"/>
  <c r="BV644" i="10"/>
  <c r="CL596" i="10"/>
  <c r="CL563" i="10"/>
  <c r="CL595" i="10"/>
  <c r="CL628" i="10"/>
  <c r="CL562" i="10"/>
  <c r="CH627" i="10"/>
  <c r="CD594" i="10"/>
  <c r="BZ561" i="10"/>
  <c r="BR583" i="10"/>
  <c r="BN598" i="10"/>
  <c r="BN628" i="10"/>
  <c r="BF564" i="10"/>
  <c r="DB620" i="10"/>
  <c r="CX620" i="10"/>
  <c r="CT620" i="10"/>
  <c r="CP620" i="10"/>
  <c r="CL620" i="10"/>
  <c r="CH620" i="10"/>
  <c r="CD620" i="10"/>
  <c r="BZ620" i="10"/>
  <c r="BV619" i="10"/>
  <c r="BR616" i="10"/>
  <c r="BJ620" i="10"/>
  <c r="BF617" i="10"/>
  <c r="DB532" i="10"/>
  <c r="BP302" i="10"/>
  <c r="AT651" i="20"/>
  <c r="CT456" i="20"/>
  <c r="BJ450" i="20"/>
  <c r="BL221" i="20"/>
  <c r="CP810" i="20"/>
  <c r="CL767" i="20"/>
  <c r="BL562" i="20"/>
  <c r="BN400" i="20"/>
  <c r="CT404" i="20"/>
  <c r="CJ189" i="20"/>
  <c r="BU141" i="20"/>
  <c r="BD140" i="20"/>
  <c r="CR295" i="20"/>
  <c r="CV776" i="10"/>
  <c r="AS746" i="10"/>
  <c r="CX744" i="10"/>
  <c r="BV741" i="10"/>
  <c r="CK739" i="10"/>
  <c r="BZ719" i="10"/>
  <c r="CX543" i="10"/>
  <c r="AU505" i="10"/>
  <c r="DB594" i="10"/>
  <c r="DB561" i="10"/>
  <c r="CX627" i="10"/>
  <c r="CT594" i="10"/>
  <c r="CT627" i="10"/>
  <c r="CT561" i="10"/>
  <c r="CP627" i="10"/>
  <c r="BZ587" i="10"/>
  <c r="CN222" i="10"/>
  <c r="BV312" i="20"/>
  <c r="CG295" i="20"/>
  <c r="DN429" i="20"/>
  <c r="CD1160" i="10"/>
  <c r="BF745" i="10"/>
  <c r="AQ72" i="41"/>
  <c r="J57" i="41"/>
  <c r="AW736" i="20"/>
  <c r="CP585" i="20"/>
  <c r="AX492" i="20"/>
  <c r="CR420" i="20"/>
  <c r="CV421" i="20" s="1"/>
  <c r="BZ327" i="20"/>
  <c r="BR312" i="20"/>
  <c r="CH554" i="20"/>
  <c r="CX576" i="10"/>
  <c r="CT576" i="10"/>
  <c r="CP576" i="10"/>
  <c r="CL575" i="10"/>
  <c r="CH585" i="10"/>
  <c r="CD585" i="10"/>
  <c r="CD574" i="10"/>
  <c r="BV608" i="10"/>
  <c r="CV189" i="10"/>
  <c r="CW195" i="10"/>
  <c r="CR64" i="10"/>
  <c r="CD61" i="10"/>
  <c r="BN350" i="42"/>
  <c r="CD262" i="42"/>
  <c r="CT374" i="10"/>
  <c r="CG339" i="10"/>
  <c r="CK225" i="10"/>
  <c r="CL225" i="10" s="1"/>
  <c r="CW232" i="10"/>
  <c r="CB189" i="10"/>
  <c r="AV370" i="10"/>
  <c r="BN377" i="10"/>
  <c r="BL211" i="10"/>
  <c r="BV202" i="10"/>
  <c r="CX60" i="10"/>
  <c r="BM60" i="10"/>
  <c r="AR60" i="10"/>
  <c r="CP162" i="10"/>
  <c r="CD381" i="10"/>
  <c r="CZ500" i="42"/>
  <c r="CG500" i="42"/>
  <c r="CJ496" i="42"/>
  <c r="DA477" i="42"/>
  <c r="DI477" i="42" s="1"/>
  <c r="DL477" i="42" s="1"/>
  <c r="DM477" i="42" s="1"/>
  <c r="DP477" i="42" s="1"/>
  <c r="DQ477" i="42" s="1"/>
  <c r="AW414" i="42"/>
  <c r="AX414" i="42" s="1"/>
  <c r="BZ348" i="42"/>
  <c r="BN306" i="42"/>
  <c r="CD269" i="42"/>
  <c r="BL209" i="42"/>
  <c r="CV197" i="42"/>
  <c r="CW197" i="42" s="1"/>
  <c r="BP192" i="42"/>
  <c r="BA177" i="42"/>
  <c r="BM133" i="42"/>
  <c r="BM596" i="20" s="1"/>
  <c r="CW138" i="42"/>
  <c r="CW601" i="20" s="1"/>
  <c r="BZ122" i="42"/>
  <c r="CW62" i="42"/>
  <c r="CZ302" i="10"/>
  <c r="BR63" i="10"/>
  <c r="AP59" i="10"/>
  <c r="AO60" i="10"/>
  <c r="CX498" i="42"/>
  <c r="CB349" i="42"/>
  <c r="DJ342" i="42"/>
  <c r="CW312" i="42"/>
  <c r="CJ361" i="42"/>
  <c r="BP135" i="42"/>
  <c r="BP598" i="20" s="1"/>
  <c r="BI114" i="42"/>
  <c r="BJ109" i="42"/>
  <c r="BJ114" i="42" s="1"/>
  <c r="BA300" i="10"/>
  <c r="CC500" i="42"/>
  <c r="BA313" i="42"/>
  <c r="CN368" i="42"/>
  <c r="CN273" i="42" s="1"/>
  <c r="CG368" i="42"/>
  <c r="CG273" i="42" s="1"/>
  <c r="CX269" i="42"/>
  <c r="BZ269" i="42"/>
  <c r="AS250" i="42"/>
  <c r="BI220" i="42"/>
  <c r="CW153" i="42"/>
  <c r="CW472" i="10" s="1"/>
  <c r="CL261" i="42"/>
  <c r="BJ260" i="42"/>
  <c r="BJ287" i="42" s="1"/>
  <c r="BX376" i="10"/>
  <c r="BL340" i="10"/>
  <c r="BX302" i="10"/>
  <c r="BN348" i="42"/>
  <c r="AB368" i="42"/>
  <c r="AB273" i="42" s="1"/>
  <c r="CS114" i="42"/>
  <c r="CZ496" i="42"/>
  <c r="CK345" i="42"/>
  <c r="BD318" i="42"/>
  <c r="Q315" i="42"/>
  <c r="AN302" i="42"/>
  <c r="AR250" i="42"/>
  <c r="CR215" i="42"/>
  <c r="BY192" i="42"/>
  <c r="BL273" i="10"/>
  <c r="BN202" i="10"/>
  <c r="DA195" i="10"/>
  <c r="CR500" i="42"/>
  <c r="CB491" i="42"/>
  <c r="CL486" i="42"/>
  <c r="CL489" i="42" s="1"/>
  <c r="DW38" i="41" s="1"/>
  <c r="CL461" i="42"/>
  <c r="CC457" i="42"/>
  <c r="CC406" i="42"/>
  <c r="CR370" i="42"/>
  <c r="CJ345" i="42"/>
  <c r="CG312" i="42"/>
  <c r="T313" i="42"/>
  <c r="BF308" i="42"/>
  <c r="BE361" i="42"/>
  <c r="BE272" i="42" s="1"/>
  <c r="V275" i="42"/>
  <c r="CB209" i="42"/>
  <c r="BQ114" i="42"/>
  <c r="BD114" i="42"/>
  <c r="AH114" i="42"/>
  <c r="CS349" i="10"/>
  <c r="CK284" i="10"/>
  <c r="BM284" i="10"/>
  <c r="BU283" i="10"/>
  <c r="CF280" i="10"/>
  <c r="CP223" i="10"/>
  <c r="BH370" i="10"/>
  <c r="BJ377" i="10"/>
  <c r="CV195" i="10"/>
  <c r="CZ60" i="10"/>
  <c r="BU457" i="42"/>
  <c r="AB43" i="43"/>
  <c r="AB504" i="42" s="1"/>
  <c r="AC290" i="42"/>
  <c r="AC326" i="42" s="1"/>
  <c r="CN215" i="42"/>
  <c r="CF197" i="42"/>
  <c r="AD97" i="42"/>
  <c r="AD263" i="42"/>
  <c r="BZ260" i="42"/>
  <c r="BZ287" i="42" s="1"/>
  <c r="AZ298" i="46"/>
  <c r="AZ245" i="46" s="1"/>
  <c r="CS351" i="10"/>
  <c r="BE280" i="10"/>
  <c r="CL223" i="10"/>
  <c r="BU1160" i="10"/>
  <c r="CT537" i="42"/>
  <c r="CT66" i="10" s="1"/>
  <c r="BV486" i="42"/>
  <c r="BV489" i="42" s="1"/>
  <c r="DG38" i="41" s="1"/>
  <c r="BN454" i="42"/>
  <c r="BN457" i="42" s="1"/>
  <c r="AD419" i="42"/>
  <c r="BH406" i="42"/>
  <c r="AW400" i="42"/>
  <c r="P313" i="42"/>
  <c r="CC238" i="42"/>
  <c r="BE238" i="42"/>
  <c r="AG238" i="42"/>
  <c r="CV209" i="42"/>
  <c r="CP171" i="42"/>
  <c r="BR124" i="42"/>
  <c r="BR464" i="42" s="1"/>
  <c r="DC35" i="41" s="1"/>
  <c r="CG123" i="42"/>
  <c r="BV26" i="42"/>
  <c r="BU344" i="10"/>
  <c r="BJ336" i="10"/>
  <c r="BJ344" i="10" s="1"/>
  <c r="CG273" i="10"/>
  <c r="CR205" i="10"/>
  <c r="BN124" i="42"/>
  <c r="BN464" i="42" s="1"/>
  <c r="BH284" i="10"/>
  <c r="CO232" i="10"/>
  <c r="BT225" i="10"/>
  <c r="CG232" i="10"/>
  <c r="CW189" i="10"/>
  <c r="EH62" i="41" s="1"/>
  <c r="EH61" i="41" s="1"/>
  <c r="EH81" i="41" s="1"/>
  <c r="CD202" i="10"/>
  <c r="BF202" i="10"/>
  <c r="BU455" i="42"/>
  <c r="BV455" i="42" s="1"/>
  <c r="BM401" i="42"/>
  <c r="BM403" i="42" s="1"/>
  <c r="AJ313" i="42"/>
  <c r="CH106" i="49"/>
  <c r="CH209" i="49" s="1"/>
  <c r="CH294" i="42"/>
  <c r="AF368" i="42"/>
  <c r="AF273" i="42" s="1"/>
  <c r="R275" i="42"/>
  <c r="AV268" i="42"/>
  <c r="AX283" i="42"/>
  <c r="AX301" i="42" s="1"/>
  <c r="AV301" i="42"/>
  <c r="AV302" i="42" s="1"/>
  <c r="CK265" i="42"/>
  <c r="CK277" i="42" s="1"/>
  <c r="BH200" i="42"/>
  <c r="CL264" i="42"/>
  <c r="AD98" i="42"/>
  <c r="AD264" i="42"/>
  <c r="AH63" i="42"/>
  <c r="CX532" i="10"/>
  <c r="CT532" i="10"/>
  <c r="CP532" i="10"/>
  <c r="CH528" i="10"/>
  <c r="CD517" i="10"/>
  <c r="CD528" i="10"/>
  <c r="CD605" i="10"/>
  <c r="BZ528" i="10"/>
  <c r="BJ605" i="10"/>
  <c r="BB605" i="10"/>
  <c r="AX605" i="10"/>
  <c r="DB553" i="10"/>
  <c r="CT553" i="10"/>
  <c r="CP553" i="10"/>
  <c r="CL553" i="10"/>
  <c r="CH553" i="10"/>
  <c r="CD553" i="10"/>
  <c r="BN555" i="10"/>
  <c r="BU369" i="10"/>
  <c r="BL344" i="10"/>
  <c r="BY340" i="10"/>
  <c r="BE311" i="10"/>
  <c r="CP304" i="10"/>
  <c r="BY285" i="10"/>
  <c r="CB284" i="10"/>
  <c r="CK283" i="10"/>
  <c r="BX282" i="10"/>
  <c r="CO273" i="10"/>
  <c r="BT273" i="10"/>
  <c r="BQ225" i="10"/>
  <c r="BR225" i="10" s="1"/>
  <c r="CZ232" i="10"/>
  <c r="BE222" i="10"/>
  <c r="BP211" i="10"/>
  <c r="CW210" i="10"/>
  <c r="DB61" i="10"/>
  <c r="CS60" i="10"/>
  <c r="CK500" i="42"/>
  <c r="CJ488" i="42"/>
  <c r="DU37" i="41" s="1"/>
  <c r="CD454" i="42"/>
  <c r="CD457" i="42" s="1"/>
  <c r="BD418" i="42"/>
  <c r="AP355" i="42"/>
  <c r="AO354" i="42"/>
  <c r="AP350" i="42"/>
  <c r="BX343" i="42"/>
  <c r="BD354" i="42"/>
  <c r="BD315" i="42"/>
  <c r="Z274" i="42"/>
  <c r="AT263" i="42"/>
  <c r="BA250" i="42"/>
  <c r="AC250" i="42"/>
  <c r="CS246" i="42"/>
  <c r="BU246" i="42"/>
  <c r="AW246" i="42"/>
  <c r="CB200" i="42"/>
  <c r="CW177" i="42"/>
  <c r="CZ153" i="42"/>
  <c r="CZ472" i="10" s="1"/>
  <c r="CN135" i="42"/>
  <c r="CN598" i="20" s="1"/>
  <c r="CL109" i="42"/>
  <c r="CL114" i="42" s="1"/>
  <c r="AT109" i="42"/>
  <c r="CB27" i="43"/>
  <c r="AT317" i="46"/>
  <c r="AT323" i="46" s="1"/>
  <c r="BR40" i="46"/>
  <c r="B51" i="51"/>
  <c r="B62" i="51" s="1"/>
  <c r="CX322" i="49"/>
  <c r="AD100" i="42"/>
  <c r="BF96" i="42"/>
  <c r="CT50" i="42"/>
  <c r="Q34" i="43"/>
  <c r="CG225" i="46"/>
  <c r="CG227" i="46" s="1"/>
  <c r="CA213" i="46"/>
  <c r="CP134" i="46"/>
  <c r="CP135" i="46" s="1"/>
  <c r="CP138" i="46" s="1"/>
  <c r="CS215" i="46"/>
  <c r="CS217" i="46" s="1"/>
  <c r="CM214" i="46"/>
  <c r="BR47" i="46"/>
  <c r="CX45" i="46"/>
  <c r="CV42" i="46"/>
  <c r="BX31" i="46"/>
  <c r="AX18" i="46"/>
  <c r="AX23" i="46" s="1"/>
  <c r="K51" i="51"/>
  <c r="S52" i="51"/>
  <c r="CS26" i="42"/>
  <c r="CC26" i="43"/>
  <c r="AZ330" i="46"/>
  <c r="AP304" i="46"/>
  <c r="AP305" i="46" s="1"/>
  <c r="CI211" i="46"/>
  <c r="BQ45" i="46"/>
  <c r="G51" i="51"/>
  <c r="CD303" i="42"/>
  <c r="BF303" i="42"/>
  <c r="DA361" i="42"/>
  <c r="DA272" i="42" s="1"/>
  <c r="Z273" i="42"/>
  <c r="AT268" i="42"/>
  <c r="BM265" i="42"/>
  <c r="BM277" i="42" s="1"/>
  <c r="BM99" i="49" s="1"/>
  <c r="CP260" i="42"/>
  <c r="CP287" i="42" s="1"/>
  <c r="CR282" i="42" s="1"/>
  <c r="AR242" i="42"/>
  <c r="BI178" i="42"/>
  <c r="BI424" i="10" s="1"/>
  <c r="AW177" i="42"/>
  <c r="CD477" i="42"/>
  <c r="CZ138" i="42"/>
  <c r="CZ601" i="20" s="1"/>
  <c r="BR68" i="42"/>
  <c r="DN284" i="42"/>
  <c r="AT63" i="42"/>
  <c r="CR26" i="42"/>
  <c r="AD1" i="42"/>
  <c r="AD2" i="42" s="1"/>
  <c r="AD42" i="43"/>
  <c r="CI148" i="46"/>
  <c r="BV51" i="46"/>
  <c r="CO42" i="46"/>
  <c r="CT45" i="46"/>
  <c r="CR43" i="46"/>
  <c r="CR57" i="46" s="1"/>
  <c r="CB42" i="46"/>
  <c r="BF18" i="46"/>
  <c r="BF23" i="46" s="1"/>
  <c r="CE213" i="46"/>
  <c r="CH40" i="46"/>
  <c r="BR42" i="43"/>
  <c r="X28" i="41" s="1"/>
  <c r="V42" i="43"/>
  <c r="AO340" i="46"/>
  <c r="CF142" i="46"/>
  <c r="CJ157" i="46"/>
  <c r="BL157" i="46"/>
  <c r="CY213" i="46"/>
  <c r="CE212" i="46"/>
  <c r="CK99" i="42"/>
  <c r="BB68" i="42"/>
  <c r="BP27" i="43"/>
  <c r="AP287" i="46"/>
  <c r="BF287" i="46"/>
  <c r="AS237" i="46"/>
  <c r="CN31" i="46"/>
  <c r="BZ41" i="46"/>
  <c r="AS340" i="46"/>
  <c r="AT340" i="46" s="1"/>
  <c r="BB317" i="46"/>
  <c r="BB323" i="46" s="1"/>
  <c r="BW148" i="46"/>
  <c r="CY211" i="46"/>
  <c r="CI218" i="46"/>
  <c r="CE210" i="46"/>
  <c r="CA212" i="46"/>
  <c r="BQ43" i="46"/>
  <c r="BQ57" i="46" s="1"/>
  <c r="S51" i="51"/>
  <c r="C49" i="51"/>
  <c r="C60" i="51" s="1"/>
  <c r="C48" i="51"/>
  <c r="C58" i="51" s="1"/>
  <c r="C47" i="51"/>
  <c r="C57" i="51" s="1"/>
  <c r="CP262" i="42"/>
  <c r="AS246" i="42"/>
  <c r="CV242" i="42"/>
  <c r="AB242" i="42"/>
  <c r="CK218" i="42"/>
  <c r="CF202" i="42"/>
  <c r="BI202" i="42"/>
  <c r="BI200" i="42"/>
  <c r="CS178" i="42"/>
  <c r="CS424" i="10" s="1"/>
  <c r="AZ178" i="42"/>
  <c r="CJ184" i="42"/>
  <c r="BL177" i="42"/>
  <c r="CO138" i="42"/>
  <c r="CO601" i="20" s="1"/>
  <c r="AR114" i="42"/>
  <c r="AH100" i="42"/>
  <c r="BU99" i="42"/>
  <c r="AG99" i="42"/>
  <c r="AG529" i="42" s="1"/>
  <c r="AG533" i="42" s="1"/>
  <c r="DN332" i="42"/>
  <c r="CF45" i="43"/>
  <c r="AD30" i="43"/>
  <c r="CY210" i="46"/>
  <c r="BQ99" i="42"/>
  <c r="AC30" i="43"/>
  <c r="CA214" i="46"/>
  <c r="CR174" i="46"/>
  <c r="CB157" i="46"/>
  <c r="AT55" i="46"/>
  <c r="BQ42" i="46"/>
  <c r="BQ39" i="46"/>
  <c r="CS33" i="46"/>
  <c r="BH31" i="46"/>
  <c r="BH44" i="46" s="1"/>
  <c r="BH355" i="46" s="1"/>
  <c r="BH356" i="46" s="1"/>
  <c r="CH47" i="46"/>
  <c r="CZ44" i="43"/>
  <c r="CL42" i="43"/>
  <c r="AR28" i="41" s="1"/>
  <c r="AR32" i="43"/>
  <c r="AZ340" i="46"/>
  <c r="CU147" i="46"/>
  <c r="CY83" i="46"/>
  <c r="CL50" i="46"/>
  <c r="BQ31" i="46"/>
  <c r="BQ36" i="46" s="1"/>
  <c r="BQ48" i="46" s="1"/>
  <c r="BQ49" i="46" s="1"/>
  <c r="CH68" i="42"/>
  <c r="DJ334" i="42"/>
  <c r="AP42" i="43"/>
  <c r="CI40" i="43"/>
  <c r="BT161" i="46"/>
  <c r="BX157" i="46"/>
  <c r="CD51" i="46"/>
  <c r="BT18" i="46"/>
  <c r="BT23" i="46" s="1"/>
  <c r="CV39" i="46"/>
  <c r="C51" i="51"/>
  <c r="C62" i="51" s="1"/>
  <c r="BZ644" i="10"/>
  <c r="CD627" i="10"/>
  <c r="CL521" i="10"/>
  <c r="DJ797" i="20"/>
  <c r="CT611" i="20"/>
  <c r="CH610" i="20"/>
  <c r="AZ601" i="10"/>
  <c r="AZ485" i="10" s="1"/>
  <c r="DB294" i="20"/>
  <c r="CC825" i="10"/>
  <c r="CT563" i="10"/>
  <c r="CP596" i="10"/>
  <c r="DB609" i="10"/>
  <c r="AN654" i="20"/>
  <c r="CX641" i="10"/>
  <c r="CP563" i="10"/>
  <c r="CH594" i="10"/>
  <c r="CD561" i="10"/>
  <c r="BZ594" i="10"/>
  <c r="DB942" i="20"/>
  <c r="CT938" i="20"/>
  <c r="CL934" i="20"/>
  <c r="CT923" i="20"/>
  <c r="CF927" i="20"/>
  <c r="BB846" i="20"/>
  <c r="BT838" i="20"/>
  <c r="BJ651" i="20"/>
  <c r="DB591" i="20"/>
  <c r="CH590" i="20"/>
  <c r="CG568" i="20"/>
  <c r="BA634" i="10"/>
  <c r="BA488" i="10" s="1"/>
  <c r="AX517" i="10"/>
  <c r="DB941" i="20"/>
  <c r="CX945" i="20"/>
  <c r="CX933" i="20"/>
  <c r="CT937" i="20"/>
  <c r="CL933" i="20"/>
  <c r="BA847" i="20"/>
  <c r="BP846" i="20"/>
  <c r="BJ836" i="20"/>
  <c r="BY772" i="20"/>
  <c r="BX770" i="20"/>
  <c r="CW256" i="20"/>
  <c r="DA256" i="20"/>
  <c r="CK946" i="10"/>
  <c r="CK329" i="20"/>
  <c r="CK334" i="20" s="1"/>
  <c r="CL240" i="20"/>
  <c r="BR310" i="20"/>
  <c r="BN235" i="20"/>
  <c r="BJ310" i="20"/>
  <c r="CX596" i="10"/>
  <c r="CT629" i="10"/>
  <c r="BN507" i="10"/>
  <c r="BZ605" i="10"/>
  <c r="BB517" i="10"/>
  <c r="CL944" i="20"/>
  <c r="CL932" i="20"/>
  <c r="CD940" i="20"/>
  <c r="CZ925" i="20"/>
  <c r="CZ877" i="20" s="1"/>
  <c r="CP923" i="20"/>
  <c r="CF588" i="20"/>
  <c r="DI281" i="20"/>
  <c r="DM281" i="20" s="1"/>
  <c r="BV575" i="10"/>
  <c r="BR565" i="10"/>
  <c r="BF633" i="10"/>
  <c r="CX521" i="10"/>
  <c r="CX609" i="10"/>
  <c r="CP609" i="10"/>
  <c r="BZ517" i="10"/>
  <c r="BF641" i="10"/>
  <c r="CX193" i="20"/>
  <c r="DB195" i="20" s="1"/>
  <c r="CW194" i="20"/>
  <c r="CZ194" i="20"/>
  <c r="CB487" i="20"/>
  <c r="CD480" i="20"/>
  <c r="DB353" i="20"/>
  <c r="DF365" i="20" s="1"/>
  <c r="CS365" i="20"/>
  <c r="CW365" i="20"/>
  <c r="CR414" i="20"/>
  <c r="CP400" i="20"/>
  <c r="CJ372" i="20"/>
  <c r="CJ373" i="20" s="1"/>
  <c r="CC414" i="20"/>
  <c r="CF414" i="20"/>
  <c r="CC372" i="20"/>
  <c r="CC373" i="20" s="1"/>
  <c r="BZ353" i="20"/>
  <c r="BN404" i="20"/>
  <c r="BM372" i="20"/>
  <c r="BM373" i="20" s="1"/>
  <c r="BM415" i="20"/>
  <c r="BJ404" i="20"/>
  <c r="BI415" i="20"/>
  <c r="BL415" i="20"/>
  <c r="DA1141" i="10"/>
  <c r="BV685" i="10"/>
  <c r="BT751" i="10"/>
  <c r="BV751" i="10" s="1"/>
  <c r="BN689" i="10"/>
  <c r="BM755" i="10"/>
  <c r="BN755" i="10" s="1"/>
  <c r="BJ686" i="10"/>
  <c r="BI752" i="10"/>
  <c r="BJ752" i="10" s="1"/>
  <c r="CT381" i="10"/>
  <c r="CP385" i="10"/>
  <c r="CB825" i="10"/>
  <c r="BZ627" i="10"/>
  <c r="BV539" i="10"/>
  <c r="CL943" i="20"/>
  <c r="BH846" i="20"/>
  <c r="BR533" i="20"/>
  <c r="CI308" i="20"/>
  <c r="DN712" i="20"/>
  <c r="DI605" i="20"/>
  <c r="DM605" i="20" s="1"/>
  <c r="DQ605" i="20" s="1"/>
  <c r="CV948" i="10"/>
  <c r="CV952" i="10" s="1"/>
  <c r="CV653" i="20"/>
  <c r="CX554" i="20"/>
  <c r="CN555" i="20"/>
  <c r="CP554" i="20"/>
  <c r="BX555" i="20"/>
  <c r="BX653" i="20"/>
  <c r="BX654" i="20" s="1"/>
  <c r="CP521" i="10"/>
  <c r="BZ506" i="10"/>
  <c r="CT521" i="10"/>
  <c r="CH605" i="10"/>
  <c r="CD938" i="20"/>
  <c r="CX766" i="20"/>
  <c r="CT448" i="20"/>
  <c r="BE200" i="20"/>
  <c r="CH1129" i="10"/>
  <c r="CH216" i="20"/>
  <c r="CH218" i="20" s="1"/>
  <c r="BZ721" i="20"/>
  <c r="DJ431" i="20"/>
  <c r="CD446" i="20"/>
  <c r="CD395" i="20"/>
  <c r="CT609" i="10"/>
  <c r="BL487" i="20"/>
  <c r="CB831" i="10"/>
  <c r="CT543" i="10"/>
  <c r="BR540" i="10"/>
  <c r="CD512" i="10"/>
  <c r="CT499" i="10"/>
  <c r="CT1042" i="10" s="1"/>
  <c r="CD497" i="10"/>
  <c r="CD1040" i="10" s="1"/>
  <c r="BJ125" i="10"/>
  <c r="BY831" i="10"/>
  <c r="BZ512" i="10"/>
  <c r="BM146" i="10"/>
  <c r="BP536" i="20"/>
  <c r="AX456" i="20"/>
  <c r="BR230" i="20"/>
  <c r="BR272" i="20" s="1"/>
  <c r="BZ137" i="20"/>
  <c r="BZ138" i="20" s="1"/>
  <c r="BD141" i="20"/>
  <c r="CD125" i="20"/>
  <c r="CZ372" i="20"/>
  <c r="CZ373" i="20" s="1"/>
  <c r="CX506" i="10"/>
  <c r="BV639" i="10"/>
  <c r="CL589" i="10"/>
  <c r="CL587" i="10"/>
  <c r="BR499" i="10"/>
  <c r="BR567" i="10"/>
  <c r="BF498" i="10"/>
  <c r="BV609" i="10"/>
  <c r="BN609" i="10"/>
  <c r="BF609" i="10"/>
  <c r="DB550" i="10"/>
  <c r="CT550" i="10"/>
  <c r="DA570" i="20"/>
  <c r="BU502" i="20"/>
  <c r="AS500" i="20"/>
  <c r="CG397" i="20"/>
  <c r="BJ230" i="20"/>
  <c r="BJ272" i="20" s="1"/>
  <c r="CT506" i="10"/>
  <c r="AV634" i="10"/>
  <c r="AV488" i="10" s="1"/>
  <c r="BJ754" i="10"/>
  <c r="CH555" i="10"/>
  <c r="CD555" i="10"/>
  <c r="DA218" i="20"/>
  <c r="DE223" i="20" s="1"/>
  <c r="CZ159" i="20"/>
  <c r="CX1221" i="10"/>
  <c r="CH541" i="10"/>
  <c r="BB685" i="10"/>
  <c r="CX418" i="10"/>
  <c r="BZ158" i="10"/>
  <c r="BN162" i="10"/>
  <c r="BZ755" i="10"/>
  <c r="CX584" i="10"/>
  <c r="CT584" i="10"/>
  <c r="CP584" i="10"/>
  <c r="CH600" i="10"/>
  <c r="BZ600" i="10"/>
  <c r="BZ633" i="10"/>
  <c r="BZ552" i="10"/>
  <c r="BV550" i="10"/>
  <c r="BF556" i="10"/>
  <c r="AP627" i="20"/>
  <c r="DA593" i="20"/>
  <c r="BR455" i="20"/>
  <c r="BU414" i="20"/>
  <c r="CS372" i="20"/>
  <c r="CS373" i="20" s="1"/>
  <c r="BZ428" i="20"/>
  <c r="BD329" i="20"/>
  <c r="CH328" i="20"/>
  <c r="CZ332" i="20"/>
  <c r="CC262" i="20"/>
  <c r="DA1041" i="10"/>
  <c r="DA1039" i="10"/>
  <c r="BF539" i="10"/>
  <c r="CD519" i="10"/>
  <c r="DB507" i="10"/>
  <c r="AS130" i="10"/>
  <c r="CX421" i="10"/>
  <c r="CL420" i="10"/>
  <c r="CD417" i="10"/>
  <c r="BZ419" i="10"/>
  <c r="BV420" i="10"/>
  <c r="BR420" i="10"/>
  <c r="BN420" i="10"/>
  <c r="BJ420" i="10"/>
  <c r="DN164" i="10"/>
  <c r="AZ459" i="20"/>
  <c r="AX447" i="20"/>
  <c r="CF420" i="20"/>
  <c r="CR372" i="20"/>
  <c r="CR373" i="20" s="1"/>
  <c r="CI401" i="20"/>
  <c r="BJ400" i="20"/>
  <c r="BE623" i="10"/>
  <c r="BE487" i="10" s="1"/>
  <c r="BE465" i="10" s="1"/>
  <c r="BN317" i="20"/>
  <c r="CG305" i="20"/>
  <c r="CL299" i="20"/>
  <c r="CL114" i="10" s="1"/>
  <c r="CS828" i="10"/>
  <c r="CS840" i="10" s="1"/>
  <c r="CX507" i="10"/>
  <c r="BN644" i="10"/>
  <c r="BJ638" i="10"/>
  <c r="CL598" i="10"/>
  <c r="CL631" i="10"/>
  <c r="CL565" i="10"/>
  <c r="BR531" i="10"/>
  <c r="BR605" i="10"/>
  <c r="BJ531" i="10"/>
  <c r="CO656" i="20"/>
  <c r="CN568" i="20"/>
  <c r="DA461" i="20"/>
  <c r="BX262" i="20"/>
  <c r="BZ404" i="20"/>
  <c r="BZ420" i="20" s="1"/>
  <c r="BF344" i="20"/>
  <c r="BF447" i="20" s="1"/>
  <c r="CS295" i="20"/>
  <c r="DB542" i="10"/>
  <c r="CT498" i="10"/>
  <c r="CT1041" i="10" s="1"/>
  <c r="BR642" i="10"/>
  <c r="BJ600" i="10"/>
  <c r="BJ630" i="10"/>
  <c r="BJ561" i="10"/>
  <c r="CX616" i="10"/>
  <c r="CT616" i="10"/>
  <c r="CP616" i="10"/>
  <c r="CL616" i="10"/>
  <c r="CD616" i="10"/>
  <c r="BV622" i="10"/>
  <c r="BR619" i="10"/>
  <c r="BN616" i="10"/>
  <c r="DB528" i="10"/>
  <c r="CX528" i="10"/>
  <c r="CT528" i="10"/>
  <c r="CP528" i="10"/>
  <c r="CL532" i="10"/>
  <c r="CH530" i="10"/>
  <c r="CD530" i="10"/>
  <c r="BZ530" i="10"/>
  <c r="BR529" i="10"/>
  <c r="BR534" i="10"/>
  <c r="BR608" i="10"/>
  <c r="BJ529" i="10"/>
  <c r="BJ534" i="10"/>
  <c r="BJ608" i="10"/>
  <c r="BB608" i="10"/>
  <c r="AX608" i="10"/>
  <c r="CT556" i="10"/>
  <c r="CP556" i="10"/>
  <c r="CH556" i="10"/>
  <c r="CD556" i="10"/>
  <c r="AX421" i="10"/>
  <c r="CP687" i="10"/>
  <c r="CV583" i="20"/>
  <c r="CO568" i="20"/>
  <c r="CJ460" i="20"/>
  <c r="BN455" i="20"/>
  <c r="CB449" i="20"/>
  <c r="CH448" i="20"/>
  <c r="CC365" i="20"/>
  <c r="CK828" i="10"/>
  <c r="CK840" i="10" s="1"/>
  <c r="CL542" i="10"/>
  <c r="BJ576" i="10"/>
  <c r="DB534" i="10"/>
  <c r="DB611" i="10"/>
  <c r="AX824" i="20"/>
  <c r="AV768" i="20"/>
  <c r="CT652" i="20"/>
  <c r="BT656" i="20"/>
  <c r="BB658" i="20"/>
  <c r="CH656" i="20"/>
  <c r="BN448" i="20"/>
  <c r="BI329" i="20"/>
  <c r="BZ324" i="20"/>
  <c r="CC220" i="20"/>
  <c r="CR256" i="20"/>
  <c r="CB256" i="20"/>
  <c r="BV244" i="20"/>
  <c r="BV437" i="42" s="1"/>
  <c r="CL545" i="10"/>
  <c r="BE846" i="20"/>
  <c r="DA831" i="10"/>
  <c r="DA1044" i="10"/>
  <c r="DB589" i="10"/>
  <c r="DB578" i="10"/>
  <c r="CX589" i="10"/>
  <c r="CX578" i="10"/>
  <c r="CX545" i="10"/>
  <c r="CT589" i="10"/>
  <c r="CT578" i="10"/>
  <c r="CT545" i="10"/>
  <c r="CP589" i="10"/>
  <c r="CP578" i="10"/>
  <c r="CP545" i="10"/>
  <c r="CP501" i="10"/>
  <c r="CP1044" i="10" s="1"/>
  <c r="CN1044" i="10"/>
  <c r="CL501" i="10"/>
  <c r="CK1044" i="10"/>
  <c r="CL543" i="10"/>
  <c r="CH586" i="10"/>
  <c r="CH575" i="10"/>
  <c r="CH542" i="10"/>
  <c r="CF1041" i="10"/>
  <c r="CH498" i="10"/>
  <c r="CH1041" i="10" s="1"/>
  <c r="CD586" i="10"/>
  <c r="CD575" i="10"/>
  <c r="CB1041" i="10"/>
  <c r="CD498" i="10"/>
  <c r="CD1041" i="10" s="1"/>
  <c r="BJ539" i="10"/>
  <c r="BF545" i="10"/>
  <c r="CT606" i="10"/>
  <c r="CL523" i="10"/>
  <c r="CH608" i="10"/>
  <c r="BZ608" i="10"/>
  <c r="BR523" i="10"/>
  <c r="BJ518" i="10"/>
  <c r="BJ523" i="10"/>
  <c r="AW570" i="20"/>
  <c r="BQ848" i="20"/>
  <c r="BD846" i="20"/>
  <c r="BR765" i="20"/>
  <c r="CG735" i="20"/>
  <c r="BM656" i="20"/>
  <c r="BB646" i="20"/>
  <c r="CL610" i="20"/>
  <c r="BO516" i="20"/>
  <c r="BL459" i="20"/>
  <c r="CU402" i="20"/>
  <c r="AR22" i="10"/>
  <c r="BE329" i="20"/>
  <c r="BX291" i="20"/>
  <c r="BL225" i="20"/>
  <c r="BQ221" i="20"/>
  <c r="BT200" i="20"/>
  <c r="BT372" i="20"/>
  <c r="BT373" i="20" s="1"/>
  <c r="BN346" i="20"/>
  <c r="BB455" i="20"/>
  <c r="CP446" i="20"/>
  <c r="AR328" i="20"/>
  <c r="AO274" i="20"/>
  <c r="BJ240" i="20"/>
  <c r="BJ1175" i="10" s="1"/>
  <c r="CN222" i="20"/>
  <c r="CN221" i="20"/>
  <c r="AW140" i="20"/>
  <c r="DA927" i="20"/>
  <c r="BR847" i="20"/>
  <c r="DB800" i="20"/>
  <c r="CH770" i="20"/>
  <c r="AT716" i="20"/>
  <c r="CX592" i="20"/>
  <c r="AR568" i="20"/>
  <c r="CM402" i="20"/>
  <c r="CE401" i="20"/>
  <c r="BR321" i="20"/>
  <c r="BN309" i="20"/>
  <c r="BF240" i="20"/>
  <c r="BF329" i="20" s="1"/>
  <c r="BD187" i="20"/>
  <c r="BF448" i="20"/>
  <c r="CD447" i="20"/>
  <c r="CD396" i="20"/>
  <c r="AT215" i="20"/>
  <c r="BV584" i="10"/>
  <c r="CC146" i="10"/>
  <c r="CC1145" i="10"/>
  <c r="DB685" i="10"/>
  <c r="CZ751" i="10"/>
  <c r="DB751" i="10" s="1"/>
  <c r="CX685" i="10"/>
  <c r="CV751" i="10"/>
  <c r="CT685" i="10"/>
  <c r="CR751" i="10"/>
  <c r="CT751" i="10" s="1"/>
  <c r="CP685" i="10"/>
  <c r="CN751" i="10"/>
  <c r="CG753" i="10"/>
  <c r="CH753" i="10" s="1"/>
  <c r="CH687" i="10"/>
  <c r="CC753" i="10"/>
  <c r="CD753" i="10" s="1"/>
  <c r="CD687" i="10"/>
  <c r="BY753" i="10"/>
  <c r="BZ753" i="10" s="1"/>
  <c r="BZ687" i="10"/>
  <c r="BP757" i="10"/>
  <c r="BR757" i="10" s="1"/>
  <c r="BR691" i="10"/>
  <c r="BL754" i="10"/>
  <c r="BN754" i="10" s="1"/>
  <c r="BN688" i="10"/>
  <c r="BH751" i="10"/>
  <c r="BJ751" i="10" s="1"/>
  <c r="BJ685" i="10"/>
  <c r="DB383" i="10"/>
  <c r="CX383" i="10"/>
  <c r="CP381" i="10"/>
  <c r="CH159" i="10"/>
  <c r="CH366" i="10" s="1"/>
  <c r="CG366" i="10"/>
  <c r="CD383" i="10"/>
  <c r="CT935" i="20"/>
  <c r="CD939" i="20"/>
  <c r="CT766" i="20"/>
  <c r="CT741" i="20"/>
  <c r="BY733" i="20"/>
  <c r="BN733" i="20"/>
  <c r="BR733" i="20"/>
  <c r="BX656" i="20"/>
  <c r="CP587" i="20"/>
  <c r="BV533" i="20"/>
  <c r="BN313" i="20"/>
  <c r="CN291" i="20"/>
  <c r="CS276" i="20"/>
  <c r="CS218" i="20"/>
  <c r="CO220" i="20"/>
  <c r="CW187" i="20"/>
  <c r="AZ821" i="20"/>
  <c r="CL742" i="20"/>
  <c r="BZ732" i="20"/>
  <c r="BZ733" i="20" s="1"/>
  <c r="CL889" i="20"/>
  <c r="CV735" i="20"/>
  <c r="BN652" i="20"/>
  <c r="BL570" i="20"/>
  <c r="BT460" i="20"/>
  <c r="CW332" i="20"/>
  <c r="BJ313" i="20"/>
  <c r="BV766" i="20"/>
  <c r="AZ733" i="20"/>
  <c r="AS455" i="20"/>
  <c r="AS457" i="20" s="1"/>
  <c r="BT329" i="20"/>
  <c r="BX334" i="20" s="1"/>
  <c r="BM200" i="20"/>
  <c r="BM196" i="20"/>
  <c r="BM198" i="20" s="1"/>
  <c r="DN634" i="20"/>
  <c r="AZ847" i="20"/>
  <c r="CS770" i="20"/>
  <c r="CW330" i="20"/>
  <c r="BY333" i="20"/>
  <c r="BX274" i="20"/>
  <c r="CX137" i="20"/>
  <c r="AZ125" i="20"/>
  <c r="BD132" i="20" s="1"/>
  <c r="AZ217" i="20"/>
  <c r="CD542" i="10"/>
  <c r="DB567" i="20"/>
  <c r="DB568" i="20" s="1"/>
  <c r="DF572" i="20" s="1"/>
  <c r="CH889" i="20"/>
  <c r="DN937" i="20"/>
  <c r="CT945" i="20"/>
  <c r="CX923" i="20"/>
  <c r="CL924" i="20"/>
  <c r="AW847" i="20"/>
  <c r="BY821" i="20"/>
  <c r="DN800" i="20"/>
  <c r="DB797" i="20"/>
  <c r="CS772" i="20"/>
  <c r="AT688" i="20"/>
  <c r="BR651" i="20"/>
  <c r="CL591" i="20"/>
  <c r="BM537" i="20"/>
  <c r="BM536" i="20"/>
  <c r="CD528" i="20"/>
  <c r="AW500" i="20"/>
  <c r="BP460" i="20"/>
  <c r="CX446" i="20"/>
  <c r="BM329" i="20"/>
  <c r="BM330" i="20" s="1"/>
  <c r="CH324" i="20"/>
  <c r="AX308" i="20"/>
  <c r="CJ291" i="20"/>
  <c r="BP115" i="20"/>
  <c r="BR153" i="20"/>
  <c r="DJ311" i="20"/>
  <c r="CF831" i="10"/>
  <c r="DB540" i="10"/>
  <c r="DB512" i="10"/>
  <c r="AT448" i="10"/>
  <c r="CX422" i="10"/>
  <c r="CX417" i="10"/>
  <c r="CL421" i="10"/>
  <c r="CH416" i="10"/>
  <c r="CD418" i="10"/>
  <c r="BR421" i="10"/>
  <c r="CD382" i="10"/>
  <c r="BV164" i="10"/>
  <c r="BR164" i="10"/>
  <c r="BN160" i="10"/>
  <c r="BB140" i="20"/>
  <c r="BR480" i="20"/>
  <c r="BE400" i="20"/>
  <c r="BH414" i="20" s="1"/>
  <c r="DJ244" i="20"/>
  <c r="DJ309" i="20"/>
  <c r="CC831" i="10"/>
  <c r="CP540" i="10"/>
  <c r="CH512" i="10"/>
  <c r="CL585" i="10"/>
  <c r="CL574" i="10"/>
  <c r="CF590" i="10"/>
  <c r="CF484" i="10" s="1"/>
  <c r="CF579" i="10"/>
  <c r="CF483" i="10" s="1"/>
  <c r="CF502" i="10"/>
  <c r="CF1045" i="10" s="1"/>
  <c r="BV573" i="10"/>
  <c r="BR633" i="10"/>
  <c r="BR564" i="10"/>
  <c r="DB755" i="10"/>
  <c r="CH422" i="10"/>
  <c r="CX381" i="10"/>
  <c r="CL164" i="10"/>
  <c r="CD158" i="10"/>
  <c r="CT1221" i="10"/>
  <c r="BN1179" i="10"/>
  <c r="AT416" i="10"/>
  <c r="BT134" i="10"/>
  <c r="BE133" i="10"/>
  <c r="CT496" i="10"/>
  <c r="CT1039" i="10" s="1"/>
  <c r="CH567" i="10"/>
  <c r="CT531" i="10"/>
  <c r="BB611" i="10"/>
  <c r="BJ689" i="10"/>
  <c r="CX419" i="10"/>
  <c r="CT421" i="10"/>
  <c r="CP418" i="10"/>
  <c r="CH420" i="10"/>
  <c r="CD422" i="10"/>
  <c r="BZ416" i="10"/>
  <c r="BV417" i="10"/>
  <c r="BR417" i="10"/>
  <c r="BN417" i="10"/>
  <c r="BJ417" i="10"/>
  <c r="DB162" i="10"/>
  <c r="BN382" i="10"/>
  <c r="AX420" i="10"/>
  <c r="BY222" i="20"/>
  <c r="BB555" i="20"/>
  <c r="DN424" i="20"/>
  <c r="DB234" i="20"/>
  <c r="DB444" i="10" s="1"/>
  <c r="BB244" i="20"/>
  <c r="AX235" i="20"/>
  <c r="AT233" i="20"/>
  <c r="DJ171" i="20"/>
  <c r="BZ118" i="20"/>
  <c r="CD597" i="10"/>
  <c r="BV597" i="10"/>
  <c r="BV627" i="10"/>
  <c r="BV496" i="10"/>
  <c r="BV1039" i="10" s="1"/>
  <c r="BV633" i="10"/>
  <c r="BV564" i="10"/>
  <c r="BR587" i="10"/>
  <c r="BR573" i="10"/>
  <c r="BR597" i="10"/>
  <c r="BR627" i="10"/>
  <c r="BR496" i="10"/>
  <c r="BN633" i="10"/>
  <c r="BN564" i="10"/>
  <c r="BN587" i="10"/>
  <c r="BJ597" i="10"/>
  <c r="BJ627" i="10"/>
  <c r="BJ495" i="10"/>
  <c r="BJ631" i="10"/>
  <c r="BJ562" i="10"/>
  <c r="BJ501" i="10"/>
  <c r="BF586" i="10"/>
  <c r="BF572" i="10"/>
  <c r="BF595" i="10"/>
  <c r="BF578" i="10"/>
  <c r="DB617" i="10"/>
  <c r="CT617" i="10"/>
  <c r="CP617" i="10"/>
  <c r="CL617" i="10"/>
  <c r="CH617" i="10"/>
  <c r="CD617" i="10"/>
  <c r="BZ617" i="10"/>
  <c r="BV616" i="10"/>
  <c r="BR620" i="10"/>
  <c r="BN617" i="10"/>
  <c r="BF622" i="10"/>
  <c r="DB529" i="10"/>
  <c r="CX606" i="10"/>
  <c r="CT529" i="10"/>
  <c r="CP529" i="10"/>
  <c r="CL529" i="10"/>
  <c r="CL534" i="10"/>
  <c r="CH531" i="10"/>
  <c r="CD531" i="10"/>
  <c r="BZ531" i="10"/>
  <c r="BB609" i="10"/>
  <c r="AX609" i="10"/>
  <c r="CX550" i="10"/>
  <c r="CP550" i="10"/>
  <c r="CL550" i="10"/>
  <c r="CH550" i="10"/>
  <c r="CD550" i="10"/>
  <c r="BY291" i="20"/>
  <c r="BB157" i="20"/>
  <c r="BX138" i="20"/>
  <c r="CT554" i="20"/>
  <c r="CX234" i="20"/>
  <c r="CX444" i="10" s="1"/>
  <c r="BZ115" i="20"/>
  <c r="BF644" i="10"/>
  <c r="CH629" i="10"/>
  <c r="CF827" i="10"/>
  <c r="BF620" i="10"/>
  <c r="BJ555" i="10"/>
  <c r="BF551" i="10"/>
  <c r="DB421" i="10"/>
  <c r="CL422" i="10"/>
  <c r="CH417" i="10"/>
  <c r="CD419" i="10"/>
  <c r="AX225" i="20"/>
  <c r="DJ634" i="20"/>
  <c r="CN415" i="20"/>
  <c r="CF415" i="20"/>
  <c r="BP415" i="20"/>
  <c r="DJ316" i="20"/>
  <c r="CN151" i="20"/>
  <c r="BX132" i="20"/>
  <c r="CR1039" i="10"/>
  <c r="BV576" i="10"/>
  <c r="BV600" i="10"/>
  <c r="BV561" i="10"/>
  <c r="BR584" i="10"/>
  <c r="BR594" i="10"/>
  <c r="BR576" i="10"/>
  <c r="BN584" i="10"/>
  <c r="BN567" i="10"/>
  <c r="BJ598" i="10"/>
  <c r="BJ628" i="10"/>
  <c r="BJ498" i="10"/>
  <c r="BF589" i="10"/>
  <c r="BF575" i="10"/>
  <c r="CH529" i="10"/>
  <c r="CP125" i="10"/>
  <c r="DB157" i="20"/>
  <c r="BQ414" i="20"/>
  <c r="BU301" i="20"/>
  <c r="BV298" i="20"/>
  <c r="BN298" i="20"/>
  <c r="BN102" i="10" s="1"/>
  <c r="BI590" i="10"/>
  <c r="BI484" i="10" s="1"/>
  <c r="BB238" i="20"/>
  <c r="DN127" i="20"/>
  <c r="DN436" i="42" s="1"/>
  <c r="BR638" i="10"/>
  <c r="CX563" i="10"/>
  <c r="CT596" i="10"/>
  <c r="CP629" i="10"/>
  <c r="BV589" i="10"/>
  <c r="DN635" i="20"/>
  <c r="CH501" i="10"/>
  <c r="CH1044" i="10" s="1"/>
  <c r="CF134" i="10"/>
  <c r="BE134" i="10"/>
  <c r="CX29" i="10"/>
  <c r="BB29" i="10"/>
  <c r="BR28" i="10"/>
  <c r="BI568" i="10"/>
  <c r="BI482" i="10" s="1"/>
  <c r="CH499" i="10"/>
  <c r="CH1042" i="10" s="1"/>
  <c r="BV29" i="10"/>
  <c r="CL28" i="10"/>
  <c r="CP353" i="20"/>
  <c r="BJ455" i="20"/>
  <c r="BE332" i="20"/>
  <c r="CT1175" i="10"/>
  <c r="CT329" i="20"/>
  <c r="BI77" i="10"/>
  <c r="BI492" i="20"/>
  <c r="BI499" i="20"/>
  <c r="BI500" i="20" s="1"/>
  <c r="CN365" i="20"/>
  <c r="BF455" i="20"/>
  <c r="DB446" i="20"/>
  <c r="DB395" i="20"/>
  <c r="BF395" i="20"/>
  <c r="BF446" i="20"/>
  <c r="CR330" i="20"/>
  <c r="CR332" i="20"/>
  <c r="BR555" i="20"/>
  <c r="BP562" i="20"/>
  <c r="DF943" i="20"/>
  <c r="CL939" i="20"/>
  <c r="CD456" i="20"/>
  <c r="CX455" i="20"/>
  <c r="BA332" i="20"/>
  <c r="DJ546" i="20"/>
  <c r="BX627" i="20"/>
  <c r="CB614" i="20"/>
  <c r="CG365" i="20"/>
  <c r="CK365" i="20"/>
  <c r="BI414" i="20"/>
  <c r="CZ831" i="10"/>
  <c r="CS755" i="10"/>
  <c r="CT755" i="10" s="1"/>
  <c r="CT689" i="10"/>
  <c r="CY689" i="10" s="1"/>
  <c r="CO755" i="10"/>
  <c r="CP755" i="10" s="1"/>
  <c r="CP689" i="10"/>
  <c r="CG751" i="10"/>
  <c r="CH751" i="10" s="1"/>
  <c r="CH685" i="10"/>
  <c r="BT757" i="10"/>
  <c r="BV757" i="10" s="1"/>
  <c r="BV691" i="10"/>
  <c r="BR688" i="10"/>
  <c r="BP754" i="10"/>
  <c r="BR754" i="10" s="1"/>
  <c r="BN685" i="10"/>
  <c r="BL751" i="10"/>
  <c r="BN751" i="10" s="1"/>
  <c r="DB419" i="10"/>
  <c r="AO672" i="20"/>
  <c r="AO678" i="20" s="1"/>
  <c r="AO680" i="20" s="1"/>
  <c r="CH943" i="20"/>
  <c r="BR1132" i="10"/>
  <c r="BR532" i="20"/>
  <c r="DN932" i="20"/>
  <c r="DJ938" i="20"/>
  <c r="DF940" i="20"/>
  <c r="CP934" i="20"/>
  <c r="CH940" i="20"/>
  <c r="CD944" i="20"/>
  <c r="CD934" i="20"/>
  <c r="DF810" i="20"/>
  <c r="CC770" i="20"/>
  <c r="DJ741" i="20"/>
  <c r="CG740" i="20"/>
  <c r="CG118" i="10" s="1"/>
  <c r="AN733" i="20"/>
  <c r="AP721" i="20"/>
  <c r="BN772" i="20"/>
  <c r="CW657" i="20"/>
  <c r="CD652" i="20"/>
  <c r="BY656" i="20"/>
  <c r="BN625" i="20"/>
  <c r="BN116" i="10" s="1"/>
  <c r="BB624" i="20"/>
  <c r="CX585" i="20"/>
  <c r="CS568" i="20"/>
  <c r="AW503" i="20"/>
  <c r="BM492" i="20"/>
  <c r="BB491" i="20"/>
  <c r="CV459" i="20"/>
  <c r="CP450" i="20"/>
  <c r="BJ448" i="20"/>
  <c r="BP323" i="20"/>
  <c r="CP327" i="20"/>
  <c r="CW831" i="10"/>
  <c r="CD889" i="20"/>
  <c r="DJ939" i="20"/>
  <c r="CP935" i="20"/>
  <c r="CD935" i="20"/>
  <c r="DN934" i="20"/>
  <c r="DF942" i="20"/>
  <c r="DB934" i="20"/>
  <c r="CT942" i="20"/>
  <c r="CL938" i="20"/>
  <c r="CH942" i="20"/>
  <c r="CC947" i="20"/>
  <c r="CD879" i="20"/>
  <c r="CH923" i="20"/>
  <c r="DN945" i="20"/>
  <c r="DN933" i="20"/>
  <c r="DJ937" i="20"/>
  <c r="DB945" i="20"/>
  <c r="DB933" i="20"/>
  <c r="CX937" i="20"/>
  <c r="CT941" i="20"/>
  <c r="CL935" i="20"/>
  <c r="CL937" i="20"/>
  <c r="CH941" i="20"/>
  <c r="CD943" i="20"/>
  <c r="CD945" i="20"/>
  <c r="BU848" i="20"/>
  <c r="DN797" i="20"/>
  <c r="CT732" i="20"/>
  <c r="CT733" i="20" s="1"/>
  <c r="AW658" i="20"/>
  <c r="BM657" i="20"/>
  <c r="CN656" i="20"/>
  <c r="CV614" i="20"/>
  <c r="CN588" i="20"/>
  <c r="BH570" i="20"/>
  <c r="BV566" i="20"/>
  <c r="AZ538" i="20"/>
  <c r="AZ460" i="20"/>
  <c r="BB454" i="20"/>
  <c r="BF277" i="20"/>
  <c r="AP447" i="10"/>
  <c r="BH656" i="20"/>
  <c r="DB585" i="20"/>
  <c r="CP289" i="20"/>
  <c r="CR196" i="20"/>
  <c r="BN761" i="20"/>
  <c r="BP834" i="20"/>
  <c r="BZ450" i="20"/>
  <c r="BR292" i="20"/>
  <c r="BS284" i="20"/>
  <c r="BZ469" i="20"/>
  <c r="BY498" i="20"/>
  <c r="BD1176" i="10"/>
  <c r="BF479" i="20"/>
  <c r="BF533" i="20" s="1"/>
  <c r="BF538" i="20" s="1"/>
  <c r="CP241" i="20"/>
  <c r="CL318" i="20"/>
  <c r="CL324" i="20" s="1"/>
  <c r="CJ324" i="20"/>
  <c r="CC305" i="20"/>
  <c r="BY261" i="20"/>
  <c r="BY260" i="20"/>
  <c r="BY262" i="20"/>
  <c r="BR233" i="20"/>
  <c r="BR39" i="10" s="1"/>
  <c r="BL629" i="10"/>
  <c r="BN629" i="10" s="1"/>
  <c r="BN319" i="20"/>
  <c r="BN233" i="20"/>
  <c r="BJ233" i="20"/>
  <c r="AW22" i="10"/>
  <c r="AX239" i="20"/>
  <c r="AX328" i="20" s="1"/>
  <c r="DN170" i="20"/>
  <c r="BH132" i="20"/>
  <c r="CX638" i="10"/>
  <c r="CL642" i="10"/>
  <c r="CD640" i="10"/>
  <c r="BZ640" i="10"/>
  <c r="DB600" i="10"/>
  <c r="CX600" i="10"/>
  <c r="CX633" i="10"/>
  <c r="CT633" i="10"/>
  <c r="CT567" i="10"/>
  <c r="CO831" i="10"/>
  <c r="CK831" i="10"/>
  <c r="CH630" i="10"/>
  <c r="CH564" i="10"/>
  <c r="CH509" i="10"/>
  <c r="CD630" i="10"/>
  <c r="CD564" i="10"/>
  <c r="BZ597" i="10"/>
  <c r="BZ630" i="10"/>
  <c r="BZ564" i="10"/>
  <c r="CP606" i="10"/>
  <c r="CL611" i="10"/>
  <c r="CD520" i="10"/>
  <c r="BZ520" i="10"/>
  <c r="BV518" i="10"/>
  <c r="BV523" i="10"/>
  <c r="BF518" i="10"/>
  <c r="BF523" i="10"/>
  <c r="BB521" i="10"/>
  <c r="AX521" i="10"/>
  <c r="CD942" i="20"/>
  <c r="CT879" i="20"/>
  <c r="BV677" i="20"/>
  <c r="CV625" i="20"/>
  <c r="CN614" i="20"/>
  <c r="CD533" i="20"/>
  <c r="BJ531" i="20"/>
  <c r="BE461" i="20"/>
  <c r="CV397" i="20"/>
  <c r="BJ456" i="20"/>
  <c r="BV450" i="20"/>
  <c r="BB396" i="20"/>
  <c r="BB447" i="20"/>
  <c r="DA330" i="20"/>
  <c r="DE335" i="20" s="1"/>
  <c r="CP234" i="20"/>
  <c r="BV318" i="20"/>
  <c r="BT287" i="20"/>
  <c r="BT232" i="20" s="1"/>
  <c r="BT37" i="10" s="1"/>
  <c r="BT294" i="20"/>
  <c r="BX294" i="20"/>
  <c r="BP287" i="20"/>
  <c r="BP232" i="20" s="1"/>
  <c r="BP76" i="10" s="1"/>
  <c r="BP81" i="10" s="1"/>
  <c r="BR286" i="20"/>
  <c r="BR287" i="20" s="1"/>
  <c r="BN318" i="20"/>
  <c r="BE830" i="20"/>
  <c r="BI838" i="20" s="1"/>
  <c r="BE298" i="20"/>
  <c r="BE301" i="20" s="1"/>
  <c r="BF230" i="20"/>
  <c r="BF272" i="20" s="1"/>
  <c r="BF274" i="20" s="1"/>
  <c r="BD272" i="20"/>
  <c r="BD276" i="20" s="1"/>
  <c r="AR1282" i="10"/>
  <c r="AR1287" i="10" s="1"/>
  <c r="AT230" i="20"/>
  <c r="AT272" i="20" s="1"/>
  <c r="AR272" i="20"/>
  <c r="DN117" i="20"/>
  <c r="BZ639" i="10"/>
  <c r="DA829" i="10"/>
  <c r="DB598" i="10"/>
  <c r="DB565" i="10"/>
  <c r="DB510" i="10"/>
  <c r="CX631" i="10"/>
  <c r="CX565" i="10"/>
  <c r="CX510" i="10"/>
  <c r="CS829" i="10"/>
  <c r="CT598" i="10"/>
  <c r="CT631" i="10"/>
  <c r="CT510" i="10"/>
  <c r="CO829" i="10"/>
  <c r="CP631" i="10"/>
  <c r="CP565" i="10"/>
  <c r="CK829" i="10"/>
  <c r="CH596" i="10"/>
  <c r="CH563" i="10"/>
  <c r="CD596" i="10"/>
  <c r="CD563" i="10"/>
  <c r="BZ616" i="10"/>
  <c r="BY825" i="10"/>
  <c r="DB605" i="10"/>
  <c r="DB517" i="10"/>
  <c r="CX605" i="10"/>
  <c r="CX517" i="10"/>
  <c r="CT605" i="10"/>
  <c r="CT517" i="10"/>
  <c r="CP605" i="10"/>
  <c r="CP517" i="10"/>
  <c r="CL609" i="10"/>
  <c r="CH519" i="10"/>
  <c r="CH607" i="10"/>
  <c r="CD607" i="10"/>
  <c r="BZ519" i="10"/>
  <c r="BV517" i="10"/>
  <c r="CS928" i="20"/>
  <c r="DL925" i="20"/>
  <c r="AT821" i="20"/>
  <c r="CN770" i="20"/>
  <c r="DB741" i="20"/>
  <c r="CP741" i="20"/>
  <c r="BU735" i="20"/>
  <c r="BF688" i="20"/>
  <c r="CH592" i="20"/>
  <c r="BH568" i="20"/>
  <c r="BJ533" i="20"/>
  <c r="DB447" i="20"/>
  <c r="DA334" i="20"/>
  <c r="BZ301" i="20"/>
  <c r="BA195" i="20"/>
  <c r="AX193" i="20"/>
  <c r="BP196" i="20"/>
  <c r="BT198" i="20" s="1"/>
  <c r="BP200" i="20"/>
  <c r="CW372" i="20"/>
  <c r="CW373" i="20" s="1"/>
  <c r="CZ414" i="20"/>
  <c r="BX414" i="20"/>
  <c r="BL414" i="20"/>
  <c r="BL372" i="20"/>
  <c r="BL373" i="20" s="1"/>
  <c r="DN315" i="20"/>
  <c r="BN506" i="10"/>
  <c r="BQ838" i="20"/>
  <c r="DJ802" i="20"/>
  <c r="BV732" i="20"/>
  <c r="CC925" i="20"/>
  <c r="CC877" i="20" s="1"/>
  <c r="BM834" i="20"/>
  <c r="DJ942" i="20"/>
  <c r="CX942" i="20"/>
  <c r="CT934" i="20"/>
  <c r="CP938" i="20"/>
  <c r="CH934" i="20"/>
  <c r="BQ815" i="20"/>
  <c r="BI772" i="20"/>
  <c r="CS657" i="20"/>
  <c r="CJ656" i="20"/>
  <c r="CN625" i="20"/>
  <c r="CN116" i="10" s="1"/>
  <c r="CJ614" i="20"/>
  <c r="BX614" i="20"/>
  <c r="CH566" i="20"/>
  <c r="CI566" i="20" s="1"/>
  <c r="BY492" i="20"/>
  <c r="BZ492" i="20" s="1"/>
  <c r="BJ480" i="20"/>
  <c r="BB500" i="20"/>
  <c r="CX450" i="20"/>
  <c r="CX456" i="20"/>
  <c r="BR319" i="20"/>
  <c r="CO194" i="20"/>
  <c r="CR194" i="20"/>
  <c r="CP193" i="20"/>
  <c r="CZ365" i="20"/>
  <c r="CX353" i="20"/>
  <c r="CY353" i="20" s="1"/>
  <c r="CV365" i="20"/>
  <c r="CK414" i="20"/>
  <c r="BX365" i="20"/>
  <c r="BT365" i="20"/>
  <c r="BE365" i="20"/>
  <c r="BF401" i="20"/>
  <c r="DN314" i="20"/>
  <c r="CJ304" i="20"/>
  <c r="CO740" i="20"/>
  <c r="CO118" i="10" s="1"/>
  <c r="DN938" i="20"/>
  <c r="DB938" i="20"/>
  <c r="BX956" i="20"/>
  <c r="DJ941" i="20"/>
  <c r="DB937" i="20"/>
  <c r="CX941" i="20"/>
  <c r="CT933" i="20"/>
  <c r="CL941" i="20"/>
  <c r="CH945" i="20"/>
  <c r="CH933" i="20"/>
  <c r="CD937" i="20"/>
  <c r="DJ879" i="20"/>
  <c r="CK925" i="20"/>
  <c r="CK877" i="20" s="1"/>
  <c r="BI844" i="20"/>
  <c r="BU821" i="20"/>
  <c r="BA823" i="20"/>
  <c r="BP815" i="20"/>
  <c r="BZ767" i="20"/>
  <c r="CG770" i="20"/>
  <c r="AV770" i="20"/>
  <c r="AT674" i="20"/>
  <c r="CC658" i="20"/>
  <c r="CN661" i="20"/>
  <c r="BA657" i="20"/>
  <c r="BB657" i="20"/>
  <c r="CL567" i="20"/>
  <c r="CL568" i="20" s="1"/>
  <c r="CC538" i="20"/>
  <c r="BN524" i="20"/>
  <c r="BN525" i="20" s="1"/>
  <c r="BN526" i="20" s="1"/>
  <c r="BB480" i="20"/>
  <c r="CL456" i="20"/>
  <c r="BY460" i="20"/>
  <c r="CF459" i="20"/>
  <c r="AV459" i="20"/>
  <c r="BY294" i="20"/>
  <c r="BV286" i="20"/>
  <c r="BV287" i="20" s="1"/>
  <c r="BE198" i="20"/>
  <c r="CN947" i="20"/>
  <c r="DN936" i="20"/>
  <c r="DF944" i="20"/>
  <c r="CH932" i="20"/>
  <c r="CD936" i="20"/>
  <c r="BD824" i="20"/>
  <c r="BH658" i="20"/>
  <c r="CF625" i="20"/>
  <c r="CF614" i="20"/>
  <c r="CF570" i="20"/>
  <c r="BI568" i="20"/>
  <c r="BU487" i="20"/>
  <c r="BJ459" i="20"/>
  <c r="CZ449" i="20"/>
  <c r="BY443" i="20"/>
  <c r="CR365" i="20"/>
  <c r="CC333" i="20"/>
  <c r="CT327" i="20"/>
  <c r="BU294" i="20"/>
  <c r="CO291" i="20"/>
  <c r="DJ342" i="20"/>
  <c r="DJ446" i="20" s="1"/>
  <c r="DB606" i="10"/>
  <c r="CP592" i="20"/>
  <c r="CL584" i="20"/>
  <c r="BY568" i="20"/>
  <c r="AN500" i="20"/>
  <c r="BL500" i="20"/>
  <c r="AX491" i="20"/>
  <c r="BF503" i="20"/>
  <c r="BU459" i="20"/>
  <c r="BE459" i="20"/>
  <c r="CW421" i="20"/>
  <c r="BX221" i="20"/>
  <c r="BH220" i="20"/>
  <c r="BD195" i="20"/>
  <c r="AV189" i="20"/>
  <c r="AP125" i="20"/>
  <c r="BB124" i="20"/>
  <c r="BB217" i="20" s="1"/>
  <c r="BB222" i="20" s="1"/>
  <c r="BN225" i="20"/>
  <c r="BJ721" i="20"/>
  <c r="DN316" i="20"/>
  <c r="CX299" i="20"/>
  <c r="CL321" i="20"/>
  <c r="BU323" i="20"/>
  <c r="BT323" i="20"/>
  <c r="BQ323" i="20"/>
  <c r="BM323" i="20"/>
  <c r="BI323" i="20"/>
  <c r="BH323" i="20"/>
  <c r="BF233" i="20"/>
  <c r="BF39" i="10" s="1"/>
  <c r="AT234" i="20"/>
  <c r="DJ176" i="20"/>
  <c r="CK183" i="20"/>
  <c r="CK118" i="20" s="1"/>
  <c r="CV827" i="10"/>
  <c r="CX752" i="10"/>
  <c r="CD642" i="10"/>
  <c r="CX540" i="10"/>
  <c r="BJ510" i="10"/>
  <c r="BR506" i="10"/>
  <c r="DB420" i="10"/>
  <c r="CN366" i="10"/>
  <c r="CP159" i="10"/>
  <c r="CP366" i="10" s="1"/>
  <c r="CL385" i="10"/>
  <c r="CL585" i="20"/>
  <c r="CP591" i="20"/>
  <c r="AW568" i="20"/>
  <c r="CS570" i="20"/>
  <c r="BD500" i="20"/>
  <c r="BE502" i="20"/>
  <c r="BP457" i="20"/>
  <c r="BT415" i="20"/>
  <c r="CE402" i="20"/>
  <c r="BE396" i="20"/>
  <c r="BE397" i="20" s="1"/>
  <c r="CB333" i="20"/>
  <c r="BA623" i="10"/>
  <c r="BA487" i="10" s="1"/>
  <c r="BA465" i="10" s="1"/>
  <c r="BF318" i="20"/>
  <c r="BN316" i="20"/>
  <c r="CE310" i="20"/>
  <c r="BU303" i="20"/>
  <c r="AX298" i="20"/>
  <c r="CX283" i="20"/>
  <c r="CH289" i="20"/>
  <c r="BN240" i="20"/>
  <c r="BN45" i="10" s="1"/>
  <c r="CR220" i="20"/>
  <c r="BH301" i="20"/>
  <c r="BH260" i="20" s="1"/>
  <c r="CS159" i="20"/>
  <c r="BR639" i="10"/>
  <c r="DB597" i="10"/>
  <c r="CL630" i="10"/>
  <c r="CL564" i="10"/>
  <c r="CL629" i="10"/>
  <c r="CH628" i="10"/>
  <c r="BZ562" i="10"/>
  <c r="BD133" i="10"/>
  <c r="AV140" i="20"/>
  <c r="DJ315" i="20"/>
  <c r="CP508" i="10"/>
  <c r="BN545" i="10"/>
  <c r="DB521" i="10"/>
  <c r="CH517" i="10"/>
  <c r="CK570" i="20"/>
  <c r="BQ570" i="20"/>
  <c r="BU500" i="20"/>
  <c r="BB492" i="20"/>
  <c r="BN491" i="20"/>
  <c r="CV460" i="20"/>
  <c r="DA443" i="20"/>
  <c r="DC401" i="20"/>
  <c r="BV283" i="20"/>
  <c r="CD289" i="20"/>
  <c r="AX232" i="20"/>
  <c r="AX273" i="20" s="1"/>
  <c r="BB277" i="20" s="1"/>
  <c r="BA194" i="20"/>
  <c r="CL124" i="20"/>
  <c r="DN425" i="20"/>
  <c r="DJ429" i="20"/>
  <c r="DJ432" i="20"/>
  <c r="BN230" i="20"/>
  <c r="BN272" i="20" s="1"/>
  <c r="BI579" i="10"/>
  <c r="BI483" i="10" s="1"/>
  <c r="BB235" i="20"/>
  <c r="DJ117" i="20"/>
  <c r="CX118" i="20"/>
  <c r="CX442" i="10" s="1"/>
  <c r="BJ1179" i="10"/>
  <c r="CG831" i="10"/>
  <c r="CT754" i="10"/>
  <c r="CD752" i="10"/>
  <c r="CH638" i="10"/>
  <c r="AV443" i="20"/>
  <c r="CM401" i="20"/>
  <c r="CV291" i="20"/>
  <c r="AZ194" i="20"/>
  <c r="CW138" i="20"/>
  <c r="DJ638" i="20"/>
  <c r="AX400" i="20"/>
  <c r="DN309" i="20"/>
  <c r="CV151" i="20"/>
  <c r="CN159" i="20"/>
  <c r="AT124" i="20"/>
  <c r="AT217" i="20" s="1"/>
  <c r="CK1041" i="10"/>
  <c r="CP754" i="10"/>
  <c r="CD644" i="10"/>
  <c r="DB545" i="10"/>
  <c r="CS146" i="10"/>
  <c r="BH144" i="10"/>
  <c r="DN178" i="20"/>
  <c r="CS132" i="20"/>
  <c r="CD324" i="20"/>
  <c r="AZ590" i="10"/>
  <c r="AZ484" i="10" s="1"/>
  <c r="BR293" i="20"/>
  <c r="CO189" i="20"/>
  <c r="CG141" i="20"/>
  <c r="DN639" i="20"/>
  <c r="BJ755" i="10"/>
  <c r="DJ320" i="20"/>
  <c r="BR238" i="20"/>
  <c r="BH241" i="20"/>
  <c r="BF238" i="20"/>
  <c r="BF234" i="20"/>
  <c r="BB233" i="20"/>
  <c r="AX244" i="20"/>
  <c r="CX755" i="10"/>
  <c r="BB751" i="10"/>
  <c r="BJ644" i="10"/>
  <c r="DB586" i="10"/>
  <c r="CP586" i="10"/>
  <c r="BU397" i="20"/>
  <c r="BL323" i="20"/>
  <c r="AW634" i="10"/>
  <c r="AW488" i="10" s="1"/>
  <c r="CB295" i="20"/>
  <c r="AP239" i="20"/>
  <c r="AP328" i="20" s="1"/>
  <c r="AW220" i="20"/>
  <c r="BD200" i="20"/>
  <c r="CL182" i="20"/>
  <c r="CD137" i="20"/>
  <c r="BD721" i="20"/>
  <c r="DN633" i="20"/>
  <c r="DN637" i="20"/>
  <c r="BU324" i="20"/>
  <c r="CT125" i="20"/>
  <c r="CT1179" i="10"/>
  <c r="BV1179" i="10"/>
  <c r="CN828" i="10"/>
  <c r="CN840" i="10" s="1"/>
  <c r="CT642" i="10"/>
  <c r="CT497" i="10"/>
  <c r="CG222" i="20"/>
  <c r="CR221" i="20"/>
  <c r="CO196" i="20"/>
  <c r="CO197" i="20" s="1"/>
  <c r="BP189" i="20"/>
  <c r="BV752" i="10"/>
  <c r="CT540" i="10"/>
  <c r="BZ381" i="10"/>
  <c r="BV381" i="10"/>
  <c r="BR381" i="10"/>
  <c r="CP507" i="10"/>
  <c r="BJ639" i="10"/>
  <c r="CZ590" i="10"/>
  <c r="CZ484" i="10" s="1"/>
  <c r="CN825" i="10"/>
  <c r="CL583" i="10"/>
  <c r="CL572" i="10"/>
  <c r="CL600" i="10"/>
  <c r="CL633" i="10"/>
  <c r="CL567" i="10"/>
  <c r="BV628" i="10"/>
  <c r="BV498" i="10"/>
  <c r="BV1041" i="10" s="1"/>
  <c r="BV583" i="10"/>
  <c r="BV565" i="10"/>
  <c r="BR589" i="10"/>
  <c r="BR575" i="10"/>
  <c r="BR598" i="10"/>
  <c r="BR628" i="10"/>
  <c r="BR498" i="10"/>
  <c r="BN583" i="10"/>
  <c r="BN565" i="10"/>
  <c r="BN589" i="10"/>
  <c r="BJ496" i="10"/>
  <c r="BJ633" i="10"/>
  <c r="BJ564" i="10"/>
  <c r="BF587" i="10"/>
  <c r="BF573" i="10"/>
  <c r="BF597" i="10"/>
  <c r="BF627" i="10"/>
  <c r="BB496" i="10"/>
  <c r="BB495" i="10"/>
  <c r="AX495" i="10"/>
  <c r="DB618" i="10"/>
  <c r="CX618" i="10"/>
  <c r="CT618" i="10"/>
  <c r="CP618" i="10"/>
  <c r="CL618" i="10"/>
  <c r="BV617" i="10"/>
  <c r="BR622" i="10"/>
  <c r="BN619" i="10"/>
  <c r="BJ616" i="10"/>
  <c r="DB530" i="10"/>
  <c r="CT530" i="10"/>
  <c r="CP530" i="10"/>
  <c r="CL530" i="10"/>
  <c r="CH532" i="10"/>
  <c r="BZ532" i="10"/>
  <c r="BV528" i="10"/>
  <c r="BR606" i="10"/>
  <c r="BR611" i="10"/>
  <c r="BN528" i="10"/>
  <c r="BJ532" i="10"/>
  <c r="BJ606" i="10"/>
  <c r="BJ611" i="10"/>
  <c r="BF528" i="10"/>
  <c r="AT420" i="10"/>
  <c r="AX419" i="10"/>
  <c r="CV146" i="10"/>
  <c r="BU134" i="10"/>
  <c r="DB622" i="10"/>
  <c r="CT622" i="10"/>
  <c r="CP622" i="10"/>
  <c r="CL622" i="10"/>
  <c r="CH622" i="10"/>
  <c r="BQ145" i="10"/>
  <c r="BR129" i="10"/>
  <c r="BF28" i="10"/>
  <c r="CR1134" i="10"/>
  <c r="CR1136" i="10" s="1"/>
  <c r="CR22" i="10" s="1"/>
  <c r="CT688" i="10"/>
  <c r="CP688" i="10"/>
  <c r="CP419" i="10"/>
  <c r="CL419" i="10"/>
  <c r="CH421" i="10"/>
  <c r="CD416" i="10"/>
  <c r="BZ418" i="10"/>
  <c r="BR419" i="10"/>
  <c r="BJ419" i="10"/>
  <c r="DB164" i="10"/>
  <c r="CP160" i="10"/>
  <c r="BV127" i="10"/>
  <c r="DB416" i="10"/>
  <c r="CT420" i="10"/>
  <c r="CP422" i="10"/>
  <c r="CL417" i="10"/>
  <c r="BZ422" i="10"/>
  <c r="BV416" i="10"/>
  <c r="BR416" i="10"/>
  <c r="BN416" i="10"/>
  <c r="CZ94" i="10"/>
  <c r="CZ95" i="10" s="1"/>
  <c r="CZ13" i="10" s="1"/>
  <c r="BY384" i="10"/>
  <c r="BF420" i="10"/>
  <c r="BJ158" i="10"/>
  <c r="BI134" i="10"/>
  <c r="CL689" i="10"/>
  <c r="CT419" i="10"/>
  <c r="CP421" i="10"/>
  <c r="CP416" i="10"/>
  <c r="CH418" i="10"/>
  <c r="BZ421" i="10"/>
  <c r="BV422" i="10"/>
  <c r="BR422" i="10"/>
  <c r="BN422" i="10"/>
  <c r="BJ422" i="10"/>
  <c r="CX416" i="10"/>
  <c r="CT418" i="10"/>
  <c r="CP420" i="10"/>
  <c r="BN498" i="10"/>
  <c r="CL556" i="10"/>
  <c r="BZ555" i="10"/>
  <c r="BJ382" i="10"/>
  <c r="CD495" i="10"/>
  <c r="BZ583" i="10"/>
  <c r="BZ495" i="10"/>
  <c r="BR562" i="10"/>
  <c r="BN495" i="10"/>
  <c r="BB499" i="10"/>
  <c r="AX498" i="10"/>
  <c r="CX553" i="10"/>
  <c r="BZ553" i="10"/>
  <c r="BV551" i="10"/>
  <c r="BJ550" i="10"/>
  <c r="AX553" i="10"/>
  <c r="AP448" i="10"/>
  <c r="BV529" i="10"/>
  <c r="BN529" i="10"/>
  <c r="BF529" i="10"/>
  <c r="BZ128" i="10"/>
  <c r="AP643" i="10"/>
  <c r="AP705" i="20"/>
  <c r="CH766" i="20"/>
  <c r="BJ100" i="10"/>
  <c r="BJ158" i="20"/>
  <c r="CK137" i="20"/>
  <c r="CL116" i="20"/>
  <c r="CL163" i="20" s="1"/>
  <c r="CL165" i="20" s="1"/>
  <c r="CK157" i="20"/>
  <c r="CH148" i="20"/>
  <c r="CG186" i="20"/>
  <c r="CG189" i="20" s="1"/>
  <c r="BL115" i="20"/>
  <c r="BL160" i="20"/>
  <c r="BP160" i="20"/>
  <c r="BT851" i="20"/>
  <c r="BT847" i="20"/>
  <c r="AX837" i="20"/>
  <c r="CC830" i="20"/>
  <c r="CC798" i="20" s="1"/>
  <c r="BZ781" i="20"/>
  <c r="BR772" i="20"/>
  <c r="BM658" i="20"/>
  <c r="CR568" i="20"/>
  <c r="BA570" i="20"/>
  <c r="BH538" i="20"/>
  <c r="CR397" i="20"/>
  <c r="BT346" i="20"/>
  <c r="BT449" i="20"/>
  <c r="BQ365" i="20"/>
  <c r="BN353" i="20"/>
  <c r="BR365" i="20" s="1"/>
  <c r="BI346" i="20"/>
  <c r="BI449" i="20"/>
  <c r="BE346" i="20"/>
  <c r="BE449" i="20"/>
  <c r="AX353" i="20"/>
  <c r="AZ365" i="20"/>
  <c r="DA332" i="20"/>
  <c r="CX644" i="10"/>
  <c r="CL641" i="10"/>
  <c r="CJ828" i="10"/>
  <c r="CJ840" i="10" s="1"/>
  <c r="CH639" i="10"/>
  <c r="BZ607" i="10"/>
  <c r="BX827" i="10"/>
  <c r="BV521" i="10"/>
  <c r="BN517" i="10"/>
  <c r="BN521" i="10"/>
  <c r="BF517" i="10"/>
  <c r="BB520" i="10"/>
  <c r="AX520" i="10"/>
  <c r="BZ821" i="20"/>
  <c r="DN944" i="20"/>
  <c r="AR846" i="20"/>
  <c r="BH657" i="20"/>
  <c r="BX332" i="20"/>
  <c r="AT232" i="20"/>
  <c r="AT273" i="20" s="1"/>
  <c r="CP889" i="20"/>
  <c r="CH937" i="20"/>
  <c r="CH802" i="20"/>
  <c r="AP677" i="20"/>
  <c r="AP480" i="20"/>
  <c r="BA443" i="20"/>
  <c r="CB415" i="20"/>
  <c r="CK323" i="20"/>
  <c r="BJ308" i="20"/>
  <c r="DA627" i="20"/>
  <c r="DA545" i="20" s="1"/>
  <c r="DB545" i="20" s="1"/>
  <c r="DA614" i="20"/>
  <c r="CK627" i="20"/>
  <c r="CK661" i="20" s="1"/>
  <c r="CO614" i="20"/>
  <c r="CC627" i="20"/>
  <c r="CD627" i="20" s="1"/>
  <c r="CC614" i="20"/>
  <c r="AZ562" i="20"/>
  <c r="AX555" i="20"/>
  <c r="AX480" i="20"/>
  <c r="AZ487" i="20"/>
  <c r="CT579" i="20"/>
  <c r="CS583" i="20"/>
  <c r="BT658" i="20"/>
  <c r="AV851" i="20"/>
  <c r="AV847" i="20"/>
  <c r="BV308" i="20"/>
  <c r="CA308" i="20" s="1"/>
  <c r="CV372" i="20"/>
  <c r="CV373" i="20" s="1"/>
  <c r="CV415" i="20"/>
  <c r="CW415" i="20"/>
  <c r="CX404" i="20"/>
  <c r="DC404" i="20" s="1"/>
  <c r="DN940" i="20"/>
  <c r="DJ944" i="20"/>
  <c r="DB940" i="20"/>
  <c r="CX944" i="20"/>
  <c r="CP940" i="20"/>
  <c r="BU798" i="20"/>
  <c r="BU834" i="20"/>
  <c r="CW768" i="20"/>
  <c r="DB742" i="20"/>
  <c r="CP742" i="20"/>
  <c r="CP732" i="20"/>
  <c r="CP733" i="20" s="1"/>
  <c r="BB772" i="20"/>
  <c r="BR1135" i="10"/>
  <c r="BR766" i="20"/>
  <c r="BX657" i="20"/>
  <c r="CO460" i="20"/>
  <c r="CL554" i="20"/>
  <c r="CJ653" i="20"/>
  <c r="CJ654" i="20" s="1"/>
  <c r="AV446" i="10"/>
  <c r="AX446" i="10" s="1"/>
  <c r="AX548" i="20"/>
  <c r="BB837" i="20"/>
  <c r="BV767" i="20"/>
  <c r="BV772" i="20" s="1"/>
  <c r="DB611" i="20"/>
  <c r="DN942" i="20"/>
  <c r="CZ330" i="20"/>
  <c r="DD335" i="20" s="1"/>
  <c r="DF881" i="20"/>
  <c r="CH881" i="20"/>
  <c r="DB939" i="20"/>
  <c r="CP939" i="20"/>
  <c r="CZ927" i="20"/>
  <c r="CD829" i="20"/>
  <c r="DF797" i="20"/>
  <c r="BV781" i="20"/>
  <c r="CT767" i="20"/>
  <c r="CC654" i="20"/>
  <c r="CP1267" i="10"/>
  <c r="CP566" i="20"/>
  <c r="CP570" i="20" s="1"/>
  <c r="AT566" i="20"/>
  <c r="BZ947" i="10"/>
  <c r="BZ533" i="20"/>
  <c r="BB456" i="20"/>
  <c r="AW457" i="20"/>
  <c r="DB396" i="20"/>
  <c r="AV301" i="20"/>
  <c r="DJ936" i="20"/>
  <c r="CT940" i="20"/>
  <c r="CG459" i="20"/>
  <c r="CT936" i="20"/>
  <c r="DF889" i="20"/>
  <c r="DB881" i="20"/>
  <c r="CD912" i="20"/>
  <c r="CD919" i="20" s="1"/>
  <c r="DI925" i="20"/>
  <c r="DI877" i="20" s="1"/>
  <c r="CR927" i="20"/>
  <c r="BQ821" i="20"/>
  <c r="AP808" i="20"/>
  <c r="AX846" i="20"/>
  <c r="CD802" i="20"/>
  <c r="CT800" i="20"/>
  <c r="DB767" i="20"/>
  <c r="DF772" i="20" s="1"/>
  <c r="CD767" i="20"/>
  <c r="CL766" i="20"/>
  <c r="BQ768" i="20"/>
  <c r="CB770" i="20"/>
  <c r="BM770" i="20"/>
  <c r="AX761" i="20"/>
  <c r="BB733" i="20"/>
  <c r="BI658" i="20"/>
  <c r="CN657" i="20"/>
  <c r="CA634" i="20"/>
  <c r="AT627" i="20"/>
  <c r="CC583" i="20"/>
  <c r="CD656" i="20"/>
  <c r="CC449" i="20"/>
  <c r="BN456" i="20"/>
  <c r="DB459" i="20"/>
  <c r="CX448" i="20"/>
  <c r="BN447" i="20"/>
  <c r="CT395" i="20"/>
  <c r="CT446" i="20"/>
  <c r="AX395" i="20"/>
  <c r="AX397" i="20" s="1"/>
  <c r="AX446" i="20"/>
  <c r="BQ333" i="20"/>
  <c r="CE286" i="20"/>
  <c r="CX721" i="20"/>
  <c r="DB420" i="20"/>
  <c r="DF421" i="20" s="1"/>
  <c r="BV848" i="20"/>
  <c r="AW654" i="20"/>
  <c r="BZ531" i="20"/>
  <c r="CO346" i="20"/>
  <c r="CO449" i="20"/>
  <c r="O53" i="41"/>
  <c r="AS844" i="20"/>
  <c r="BT824" i="20"/>
  <c r="AW824" i="20"/>
  <c r="AV823" i="20"/>
  <c r="CF843" i="20"/>
  <c r="CF807" i="20" s="1"/>
  <c r="AP851" i="20"/>
  <c r="BR761" i="20"/>
  <c r="CR733" i="20"/>
  <c r="BA733" i="20"/>
  <c r="CS658" i="20"/>
  <c r="CS654" i="20"/>
  <c r="BU534" i="20"/>
  <c r="BU536" i="20"/>
  <c r="AZ536" i="20"/>
  <c r="CZ457" i="20"/>
  <c r="DD462" i="20" s="1"/>
  <c r="CZ460" i="20"/>
  <c r="AR152" i="10"/>
  <c r="AR154" i="10" s="1"/>
  <c r="AR301" i="20"/>
  <c r="CY238" i="20"/>
  <c r="CX327" i="20"/>
  <c r="CX220" i="20"/>
  <c r="BU332" i="20"/>
  <c r="BI332" i="20"/>
  <c r="CP456" i="20"/>
  <c r="BJ677" i="20"/>
  <c r="CO772" i="20"/>
  <c r="BV293" i="20"/>
  <c r="CJ346" i="20"/>
  <c r="CL346" i="20" s="1"/>
  <c r="CJ449" i="20"/>
  <c r="CX932" i="20"/>
  <c r="CX881" i="20"/>
  <c r="DF879" i="20"/>
  <c r="CD909" i="20"/>
  <c r="CD916" i="20" s="1"/>
  <c r="CX924" i="20"/>
  <c r="BU846" i="20"/>
  <c r="AS821" i="20"/>
  <c r="BL815" i="20"/>
  <c r="CH781" i="20"/>
  <c r="BR781" i="20"/>
  <c r="DB766" i="20"/>
  <c r="BT735" i="20"/>
  <c r="CJ588" i="20"/>
  <c r="CJ593" i="20"/>
  <c r="CX652" i="20"/>
  <c r="BL538" i="20"/>
  <c r="DA449" i="20"/>
  <c r="DB456" i="20"/>
  <c r="BZ455" i="20"/>
  <c r="CL395" i="20"/>
  <c r="CL446" i="20"/>
  <c r="AT672" i="20"/>
  <c r="CG829" i="20"/>
  <c r="CH829" i="20" s="1"/>
  <c r="CK927" i="20"/>
  <c r="AW846" i="20"/>
  <c r="CC837" i="20"/>
  <c r="BN765" i="20"/>
  <c r="AR533" i="20"/>
  <c r="AV538" i="20" s="1"/>
  <c r="CK459" i="20"/>
  <c r="BV455" i="20"/>
  <c r="BN450" i="20"/>
  <c r="CL448" i="20"/>
  <c r="CH446" i="20"/>
  <c r="CH395" i="20"/>
  <c r="CH397" i="20" s="1"/>
  <c r="BZ946" i="10"/>
  <c r="BZ329" i="20"/>
  <c r="CD1131" i="10"/>
  <c r="CD328" i="20"/>
  <c r="DA276" i="20"/>
  <c r="CK1131" i="10"/>
  <c r="CL239" i="20"/>
  <c r="CK328" i="20"/>
  <c r="CK333" i="20" s="1"/>
  <c r="CL238" i="20"/>
  <c r="CJ327" i="20"/>
  <c r="CN332" i="20" s="1"/>
  <c r="BP508" i="10"/>
  <c r="BR508" i="10" s="1"/>
  <c r="BR309" i="20"/>
  <c r="CW304" i="20"/>
  <c r="DA304" i="20"/>
  <c r="CR301" i="20"/>
  <c r="CR231" i="20" s="1"/>
  <c r="CV304" i="20"/>
  <c r="CT299" i="20"/>
  <c r="CT114" i="10" s="1"/>
  <c r="CK332" i="20"/>
  <c r="CF295" i="20"/>
  <c r="BT618" i="10"/>
  <c r="BV618" i="10" s="1"/>
  <c r="BV320" i="20"/>
  <c r="BP618" i="10"/>
  <c r="BP623" i="10" s="1"/>
  <c r="BR320" i="20"/>
  <c r="BR308" i="20"/>
  <c r="BL618" i="10"/>
  <c r="BN320" i="20"/>
  <c r="BN308" i="20"/>
  <c r="BH618" i="10"/>
  <c r="BJ618" i="10" s="1"/>
  <c r="BJ320" i="20"/>
  <c r="BD299" i="20"/>
  <c r="BD837" i="20"/>
  <c r="BH837" i="20"/>
  <c r="BA272" i="20"/>
  <c r="BB230" i="20"/>
  <c r="BB272" i="20" s="1"/>
  <c r="BB274" i="20" s="1"/>
  <c r="AW1175" i="10"/>
  <c r="AW1180" i="10" s="1"/>
  <c r="AW1181" i="10" s="1"/>
  <c r="AW329" i="20"/>
  <c r="AX238" i="20"/>
  <c r="AX687" i="10" s="1"/>
  <c r="AX753" i="10" s="1"/>
  <c r="AV327" i="20"/>
  <c r="BE115" i="20"/>
  <c r="BI160" i="20"/>
  <c r="CR740" i="20"/>
  <c r="CR118" i="10" s="1"/>
  <c r="CR735" i="20"/>
  <c r="BQ735" i="20"/>
  <c r="BR705" i="20"/>
  <c r="BR667" i="20"/>
  <c r="AV657" i="20"/>
  <c r="CR654" i="20"/>
  <c r="AR654" i="20"/>
  <c r="BY588" i="20"/>
  <c r="BZ588" i="20" s="1"/>
  <c r="CH585" i="20"/>
  <c r="BT568" i="20"/>
  <c r="BF546" i="20"/>
  <c r="BF567" i="20" s="1"/>
  <c r="BF571" i="20" s="1"/>
  <c r="BR456" i="20"/>
  <c r="DA457" i="20"/>
  <c r="DE462" i="20" s="1"/>
  <c r="BP459" i="20"/>
  <c r="BR395" i="20"/>
  <c r="BB395" i="20"/>
  <c r="DA333" i="20"/>
  <c r="CB305" i="20"/>
  <c r="CB262" i="20"/>
  <c r="CZ220" i="20"/>
  <c r="CV218" i="20"/>
  <c r="CC218" i="20"/>
  <c r="CD160" i="20"/>
  <c r="CZ256" i="20"/>
  <c r="CF231" i="20"/>
  <c r="CH301" i="20"/>
  <c r="BT629" i="10"/>
  <c r="BV629" i="10" s="1"/>
  <c r="BV319" i="20"/>
  <c r="BV233" i="20"/>
  <c r="BV39" i="10" s="1"/>
  <c r="BR125" i="20"/>
  <c r="BQ132" i="20"/>
  <c r="CV1148" i="10"/>
  <c r="CS827" i="10"/>
  <c r="AV848" i="20"/>
  <c r="CV733" i="20"/>
  <c r="AO733" i="20"/>
  <c r="BN653" i="20"/>
  <c r="AW657" i="20"/>
  <c r="BV608" i="20"/>
  <c r="CO593" i="20"/>
  <c r="CL579" i="20"/>
  <c r="CJ570" i="20"/>
  <c r="AV570" i="20"/>
  <c r="BA538" i="20"/>
  <c r="BV528" i="20"/>
  <c r="BW516" i="20"/>
  <c r="CW459" i="20"/>
  <c r="BV396" i="20"/>
  <c r="AZ397" i="20"/>
  <c r="BH222" i="20"/>
  <c r="BI198" i="20"/>
  <c r="CV295" i="20"/>
  <c r="CZ295" i="20"/>
  <c r="CJ287" i="20"/>
  <c r="CJ232" i="20" s="1"/>
  <c r="CJ294" i="20"/>
  <c r="CW153" i="20"/>
  <c r="CW115" i="20" s="1"/>
  <c r="CZ151" i="20"/>
  <c r="BD115" i="20"/>
  <c r="BD120" i="20" s="1"/>
  <c r="BH160" i="20"/>
  <c r="BF153" i="20"/>
  <c r="CO825" i="10"/>
  <c r="CV568" i="20"/>
  <c r="BE571" i="20"/>
  <c r="BI536" i="20"/>
  <c r="AZ500" i="20"/>
  <c r="CF460" i="20"/>
  <c r="CG443" i="20"/>
  <c r="CV443" i="20"/>
  <c r="BA397" i="20"/>
  <c r="AN328" i="20"/>
  <c r="CG218" i="20"/>
  <c r="AP138" i="20"/>
  <c r="BJ141" i="20"/>
  <c r="DL437" i="42"/>
  <c r="DN244" i="20"/>
  <c r="DN437" i="42" s="1"/>
  <c r="BU1041" i="10"/>
  <c r="BR545" i="10"/>
  <c r="DA925" i="20"/>
  <c r="DA877" i="20" s="1"/>
  <c r="CR925" i="20"/>
  <c r="CL876" i="20"/>
  <c r="BV836" i="20"/>
  <c r="CX810" i="20"/>
  <c r="AW815" i="20"/>
  <c r="BN846" i="20"/>
  <c r="CP802" i="20"/>
  <c r="CH800" i="20"/>
  <c r="BJ688" i="20"/>
  <c r="BF657" i="20"/>
  <c r="BJ625" i="20"/>
  <c r="BJ116" i="10" s="1"/>
  <c r="BD567" i="20"/>
  <c r="BD568" i="20" s="1"/>
  <c r="BQ538" i="20"/>
  <c r="BY536" i="20"/>
  <c r="AR455" i="20"/>
  <c r="CH450" i="20"/>
  <c r="DB448" i="20"/>
  <c r="BT397" i="20"/>
  <c r="BM397" i="20"/>
  <c r="AV397" i="20"/>
  <c r="CC334" i="20"/>
  <c r="CF333" i="20"/>
  <c r="BP327" i="20"/>
  <c r="CD301" i="20"/>
  <c r="BT187" i="20"/>
  <c r="BQ196" i="20"/>
  <c r="BT197" i="20" s="1"/>
  <c r="BH138" i="20"/>
  <c r="BB215" i="20"/>
  <c r="BB220" i="20" s="1"/>
  <c r="BT574" i="10"/>
  <c r="BT579" i="10" s="1"/>
  <c r="BV315" i="20"/>
  <c r="BV230" i="20"/>
  <c r="BV272" i="20" s="1"/>
  <c r="BP574" i="10"/>
  <c r="BR315" i="20"/>
  <c r="BM574" i="10"/>
  <c r="BM579" i="10" s="1"/>
  <c r="BM483" i="10" s="1"/>
  <c r="BN315" i="20"/>
  <c r="CL755" i="10"/>
  <c r="BE457" i="20"/>
  <c r="CJ397" i="20"/>
  <c r="BR396" i="20"/>
  <c r="BN238" i="20"/>
  <c r="BN43" i="10" s="1"/>
  <c r="CW218" i="20"/>
  <c r="DJ114" i="20"/>
  <c r="BR500" i="20"/>
  <c r="AO457" i="20"/>
  <c r="BQ397" i="20"/>
  <c r="CC397" i="20"/>
  <c r="CP290" i="20"/>
  <c r="CL290" i="20"/>
  <c r="CB261" i="20"/>
  <c r="CB260" i="20"/>
  <c r="BJ238" i="20"/>
  <c r="BJ43" i="10" s="1"/>
  <c r="DB283" i="20"/>
  <c r="DF291" i="20" s="1"/>
  <c r="CZ291" i="20"/>
  <c r="CK304" i="20"/>
  <c r="CO304" i="20"/>
  <c r="BD145" i="10"/>
  <c r="BD1141" i="10"/>
  <c r="BP538" i="20"/>
  <c r="BP534" i="20"/>
  <c r="AW536" i="20"/>
  <c r="BM500" i="20"/>
  <c r="CD491" i="20"/>
  <c r="BB538" i="20"/>
  <c r="AT475" i="20"/>
  <c r="CI404" i="20"/>
  <c r="CB332" i="20"/>
  <c r="BH327" i="20"/>
  <c r="BH332" i="20" s="1"/>
  <c r="BV311" i="20"/>
  <c r="DF90" i="10"/>
  <c r="CV196" i="20"/>
  <c r="CV200" i="20"/>
  <c r="CF141" i="20"/>
  <c r="CT136" i="20"/>
  <c r="DB1179" i="10"/>
  <c r="DB583" i="10"/>
  <c r="BZ611" i="10"/>
  <c r="BX831" i="10"/>
  <c r="BJ517" i="10"/>
  <c r="BB523" i="10"/>
  <c r="AX523" i="10"/>
  <c r="DB552" i="10"/>
  <c r="CS291" i="20"/>
  <c r="BV238" i="20"/>
  <c r="BV43" i="10" s="1"/>
  <c r="AZ830" i="20"/>
  <c r="AZ798" i="20" s="1"/>
  <c r="AZ299" i="20"/>
  <c r="AZ15" i="10" s="1"/>
  <c r="AS1131" i="10"/>
  <c r="AT239" i="20"/>
  <c r="AT328" i="20" s="1"/>
  <c r="DN176" i="20"/>
  <c r="DB639" i="10"/>
  <c r="CX639" i="10"/>
  <c r="CT639" i="10"/>
  <c r="CH641" i="10"/>
  <c r="CD641" i="10"/>
  <c r="CB828" i="10"/>
  <c r="BX828" i="10"/>
  <c r="DA825" i="10"/>
  <c r="DA1038" i="10"/>
  <c r="DB495" i="10"/>
  <c r="DB1038" i="10" s="1"/>
  <c r="CW825" i="10"/>
  <c r="CW1038" i="10"/>
  <c r="CX583" i="10"/>
  <c r="CX572" i="10"/>
  <c r="CX539" i="10"/>
  <c r="CV825" i="10"/>
  <c r="CV1038" i="10"/>
  <c r="CS825" i="10"/>
  <c r="CS1038" i="10"/>
  <c r="CT583" i="10"/>
  <c r="CT572" i="10"/>
  <c r="CT495" i="10"/>
  <c r="CT1038" i="10" s="1"/>
  <c r="CR1038" i="10"/>
  <c r="CR494" i="10"/>
  <c r="CP583" i="10"/>
  <c r="CP572" i="10"/>
  <c r="CP539" i="10"/>
  <c r="CN1038" i="10"/>
  <c r="CP495" i="10"/>
  <c r="CL539" i="10"/>
  <c r="CJ831" i="10"/>
  <c r="CL512" i="10"/>
  <c r="CH631" i="10"/>
  <c r="CH565" i="10"/>
  <c r="CH510" i="10"/>
  <c r="CD598" i="10"/>
  <c r="CD565" i="10"/>
  <c r="CD510" i="10"/>
  <c r="CB829" i="10"/>
  <c r="BZ598" i="10"/>
  <c r="BZ565" i="10"/>
  <c r="BZ510" i="10"/>
  <c r="BX829" i="10"/>
  <c r="BV545" i="10"/>
  <c r="BV507" i="10"/>
  <c r="BR539" i="10"/>
  <c r="BN539" i="10"/>
  <c r="BF512" i="10"/>
  <c r="BF543" i="10"/>
  <c r="CH618" i="10"/>
  <c r="CG827" i="10"/>
  <c r="CD618" i="10"/>
  <c r="CC827" i="10"/>
  <c r="BZ618" i="10"/>
  <c r="BY827" i="10"/>
  <c r="DB607" i="10"/>
  <c r="DB519" i="10"/>
  <c r="CW827" i="10"/>
  <c r="CX607" i="10"/>
  <c r="CX519" i="10"/>
  <c r="CT607" i="10"/>
  <c r="CT519" i="10"/>
  <c r="CP519" i="10"/>
  <c r="CL606" i="10"/>
  <c r="CD521" i="10"/>
  <c r="CD609" i="10"/>
  <c r="BZ521" i="10"/>
  <c r="BZ609" i="10"/>
  <c r="BV520" i="10"/>
  <c r="BN520" i="10"/>
  <c r="BF520" i="10"/>
  <c r="CN654" i="20"/>
  <c r="CW654" i="20"/>
  <c r="BM654" i="20"/>
  <c r="DB610" i="20"/>
  <c r="CP611" i="20"/>
  <c r="BM538" i="20"/>
  <c r="AT531" i="20"/>
  <c r="CC500" i="20"/>
  <c r="BV447" i="20"/>
  <c r="AZ443" i="20"/>
  <c r="CZ397" i="20"/>
  <c r="CU401" i="20"/>
  <c r="BY332" i="20"/>
  <c r="CX324" i="20"/>
  <c r="AW596" i="10"/>
  <c r="AW601" i="10" s="1"/>
  <c r="AW485" i="10" s="1"/>
  <c r="AX317" i="20"/>
  <c r="BN311" i="20"/>
  <c r="CT322" i="20"/>
  <c r="DB293" i="20"/>
  <c r="BM220" i="20"/>
  <c r="BI200" i="20"/>
  <c r="BV157" i="20"/>
  <c r="BR157" i="20"/>
  <c r="BJ1173" i="10"/>
  <c r="BJ217" i="20"/>
  <c r="BN222" i="20" s="1"/>
  <c r="BR1129" i="10"/>
  <c r="BW1129" i="10" s="1"/>
  <c r="BR216" i="20"/>
  <c r="BR225" i="20" s="1"/>
  <c r="AO115" i="20"/>
  <c r="AO120" i="20" s="1"/>
  <c r="AP153" i="20"/>
  <c r="BZ241" i="20"/>
  <c r="BV235" i="20"/>
  <c r="BV310" i="20"/>
  <c r="BT324" i="20"/>
  <c r="BR235" i="20"/>
  <c r="BN310" i="20"/>
  <c r="BJ235" i="20"/>
  <c r="BA232" i="20"/>
  <c r="BA1295" i="10" s="1"/>
  <c r="BA1300" i="10" s="1"/>
  <c r="BC1292" i="10" s="1"/>
  <c r="BA286" i="20"/>
  <c r="BA287" i="20" s="1"/>
  <c r="AV329" i="20"/>
  <c r="AV334" i="20" s="1"/>
  <c r="AX240" i="20"/>
  <c r="AX329" i="20" s="1"/>
  <c r="AT238" i="20"/>
  <c r="AS327" i="20"/>
  <c r="CF829" i="10"/>
  <c r="BZ1179" i="10"/>
  <c r="DB638" i="10"/>
  <c r="CH640" i="10"/>
  <c r="DB567" i="10"/>
  <c r="CX567" i="10"/>
  <c r="CT600" i="10"/>
  <c r="CT512" i="10"/>
  <c r="CP600" i="10"/>
  <c r="CP633" i="10"/>
  <c r="CP567" i="10"/>
  <c r="CH597" i="10"/>
  <c r="BZ509" i="10"/>
  <c r="BV506" i="10"/>
  <c r="BR512" i="10"/>
  <c r="BR543" i="10"/>
  <c r="BN512" i="10"/>
  <c r="BF542" i="10"/>
  <c r="AT590" i="10"/>
  <c r="AT484" i="10" s="1"/>
  <c r="CX518" i="10"/>
  <c r="CP518" i="10"/>
  <c r="CD608" i="10"/>
  <c r="BI634" i="10"/>
  <c r="BI488" i="10" s="1"/>
  <c r="CF825" i="10"/>
  <c r="BN638" i="10"/>
  <c r="DB630" i="10"/>
  <c r="CH595" i="10"/>
  <c r="CH562" i="10"/>
  <c r="CD628" i="10"/>
  <c r="BZ628" i="10"/>
  <c r="BZ507" i="10"/>
  <c r="BV540" i="10"/>
  <c r="BN509" i="10"/>
  <c r="BJ545" i="10"/>
  <c r="BF507" i="10"/>
  <c r="CT523" i="10"/>
  <c r="CT611" i="10"/>
  <c r="CH518" i="10"/>
  <c r="CD518" i="10"/>
  <c r="BZ518" i="10"/>
  <c r="CP158" i="10"/>
  <c r="CL383" i="10"/>
  <c r="CH385" i="10"/>
  <c r="BN321" i="20"/>
  <c r="BJ309" i="20"/>
  <c r="BV292" i="20"/>
  <c r="BA299" i="20"/>
  <c r="BA301" i="20" s="1"/>
  <c r="BX218" i="20"/>
  <c r="BY160" i="20"/>
  <c r="CW141" i="20"/>
  <c r="CN138" i="20"/>
  <c r="CW132" i="20"/>
  <c r="CV831" i="10"/>
  <c r="CZ829" i="10"/>
  <c r="CB827" i="10"/>
  <c r="BX825" i="10"/>
  <c r="DB641" i="10"/>
  <c r="CD638" i="10"/>
  <c r="BV543" i="10"/>
  <c r="CX512" i="10"/>
  <c r="CD757" i="10"/>
  <c r="DB418" i="10"/>
  <c r="CT385" i="10"/>
  <c r="CL382" i="10"/>
  <c r="CH383" i="10"/>
  <c r="BN385" i="10"/>
  <c r="AT397" i="20"/>
  <c r="AW623" i="10"/>
  <c r="AW487" i="10" s="1"/>
  <c r="AW465" i="10" s="1"/>
  <c r="CO276" i="20"/>
  <c r="CX294" i="20"/>
  <c r="AP218" i="20"/>
  <c r="CS189" i="20"/>
  <c r="CR159" i="20"/>
  <c r="AX153" i="20"/>
  <c r="BF157" i="20"/>
  <c r="BY141" i="20"/>
  <c r="CG132" i="20"/>
  <c r="BR404" i="20"/>
  <c r="CG1148" i="10"/>
  <c r="CS831" i="10"/>
  <c r="CW829" i="10"/>
  <c r="CF828" i="10"/>
  <c r="CF840" i="10" s="1"/>
  <c r="BZ638" i="10"/>
  <c r="DB518" i="10"/>
  <c r="CP512" i="10"/>
  <c r="BV499" i="10"/>
  <c r="BV1042" i="10" s="1"/>
  <c r="CL29" i="10"/>
  <c r="DB28" i="10"/>
  <c r="DB57" i="49" s="1"/>
  <c r="BV688" i="10"/>
  <c r="BT754" i="10"/>
  <c r="BV754" i="10" s="1"/>
  <c r="DB417" i="10"/>
  <c r="CR423" i="10"/>
  <c r="CR17" i="10" s="1"/>
  <c r="CT416" i="10"/>
  <c r="CT323" i="20"/>
  <c r="CT289" i="20"/>
  <c r="BE286" i="20"/>
  <c r="AP240" i="20"/>
  <c r="AP329" i="20" s="1"/>
  <c r="BZ217" i="20"/>
  <c r="CD222" i="20" s="1"/>
  <c r="BY220" i="20"/>
  <c r="CS138" i="20"/>
  <c r="BQ138" i="20"/>
  <c r="BR138" i="20"/>
  <c r="BA147" i="10"/>
  <c r="BP301" i="20"/>
  <c r="BI301" i="20"/>
  <c r="AS1287" i="10"/>
  <c r="DN114" i="20"/>
  <c r="CL122" i="20"/>
  <c r="CN1148" i="10"/>
  <c r="CR831" i="10"/>
  <c r="CV829" i="10"/>
  <c r="CC828" i="10"/>
  <c r="CR778" i="10"/>
  <c r="CH755" i="10"/>
  <c r="CP641" i="10"/>
  <c r="BJ543" i="10"/>
  <c r="CH381" i="10"/>
  <c r="CP752" i="10"/>
  <c r="CH754" i="10"/>
  <c r="CD755" i="10"/>
  <c r="BF510" i="10"/>
  <c r="BB754" i="10"/>
  <c r="BA645" i="10"/>
  <c r="BA489" i="10" s="1"/>
  <c r="BA468" i="10" s="1"/>
  <c r="G45" i="41" s="1"/>
  <c r="BJ319" i="20"/>
  <c r="CP324" i="20"/>
  <c r="CF291" i="20"/>
  <c r="AZ287" i="20"/>
  <c r="BB239" i="20"/>
  <c r="BB328" i="20" s="1"/>
  <c r="BA221" i="20"/>
  <c r="CR187" i="20"/>
  <c r="DJ427" i="20"/>
  <c r="CC415" i="20"/>
  <c r="CD118" i="20"/>
  <c r="BB150" i="20"/>
  <c r="CN831" i="10"/>
  <c r="CR829" i="10"/>
  <c r="BY828" i="10"/>
  <c r="DB642" i="10"/>
  <c r="CL639" i="10"/>
  <c r="DB541" i="10"/>
  <c r="CX523" i="10"/>
  <c r="DI217" i="20"/>
  <c r="DI124" i="20" s="1"/>
  <c r="DB575" i="10"/>
  <c r="DB498" i="10"/>
  <c r="DB1041" i="10" s="1"/>
  <c r="CX586" i="10"/>
  <c r="CX575" i="10"/>
  <c r="CX542" i="10"/>
  <c r="CX498" i="10"/>
  <c r="CX1041" i="10" s="1"/>
  <c r="CT586" i="10"/>
  <c r="CP575" i="10"/>
  <c r="CP542" i="10"/>
  <c r="CP498" i="10"/>
  <c r="CP1041" i="10" s="1"/>
  <c r="CD496" i="10"/>
  <c r="CD1039" i="10" s="1"/>
  <c r="BZ584" i="10"/>
  <c r="BZ573" i="10"/>
  <c r="BZ496" i="10"/>
  <c r="BZ1039" i="10" s="1"/>
  <c r="BV512" i="10"/>
  <c r="AS147" i="10"/>
  <c r="BT144" i="10"/>
  <c r="AV144" i="10"/>
  <c r="AT244" i="20"/>
  <c r="BA217" i="20"/>
  <c r="CZ218" i="20"/>
  <c r="DD223" i="20" s="1"/>
  <c r="CG220" i="20"/>
  <c r="CP157" i="20"/>
  <c r="CJ141" i="20"/>
  <c r="AW138" i="20"/>
  <c r="BJ138" i="20"/>
  <c r="BB141" i="20"/>
  <c r="CN829" i="10"/>
  <c r="BZ752" i="10"/>
  <c r="CP642" i="10"/>
  <c r="CT641" i="10"/>
  <c r="CH644" i="10"/>
  <c r="DB585" i="10"/>
  <c r="CX585" i="10"/>
  <c r="CX574" i="10"/>
  <c r="CX541" i="10"/>
  <c r="CX497" i="10"/>
  <c r="CT585" i="10"/>
  <c r="CP541" i="10"/>
  <c r="CP497" i="10"/>
  <c r="CL540" i="10"/>
  <c r="CH495" i="10"/>
  <c r="CX598" i="10"/>
  <c r="CT565" i="10"/>
  <c r="CP598" i="10"/>
  <c r="BZ596" i="10"/>
  <c r="BZ629" i="10"/>
  <c r="BZ563" i="10"/>
  <c r="BV631" i="10"/>
  <c r="BV562" i="10"/>
  <c r="BR595" i="10"/>
  <c r="BR578" i="10"/>
  <c r="BR495" i="10"/>
  <c r="BN586" i="10"/>
  <c r="BN572" i="10"/>
  <c r="BJ499" i="10"/>
  <c r="BF594" i="10"/>
  <c r="BF576" i="10"/>
  <c r="AT443" i="10"/>
  <c r="BY146" i="10"/>
  <c r="AW146" i="10"/>
  <c r="CT27" i="10"/>
  <c r="AX27" i="10"/>
  <c r="AX1224" i="10" s="1"/>
  <c r="CJ677" i="10"/>
  <c r="CJ19" i="10" s="1"/>
  <c r="CH419" i="10"/>
  <c r="CD421" i="10"/>
  <c r="BJ416" i="10"/>
  <c r="CX162" i="10"/>
  <c r="BT161" i="10"/>
  <c r="CX629" i="10"/>
  <c r="CO827" i="10"/>
  <c r="AT447" i="10"/>
  <c r="AP443" i="10"/>
  <c r="AV146" i="10"/>
  <c r="BM144" i="10"/>
  <c r="DB128" i="10"/>
  <c r="BA95" i="10"/>
  <c r="DB29" i="10"/>
  <c r="CP27" i="10"/>
  <c r="BZ420" i="10"/>
  <c r="BV421" i="10"/>
  <c r="BN421" i="10"/>
  <c r="BL92" i="10"/>
  <c r="BL95" i="10" s="1"/>
  <c r="BL13" i="10" s="1"/>
  <c r="BJ13" i="10"/>
  <c r="P33" i="41" s="1"/>
  <c r="CP757" i="10"/>
  <c r="CP778" i="10" s="1"/>
  <c r="CD639" i="10"/>
  <c r="CH539" i="10"/>
  <c r="CG829" i="10"/>
  <c r="BV642" i="10"/>
  <c r="BR644" i="10"/>
  <c r="BJ642" i="10"/>
  <c r="BF639" i="10"/>
  <c r="BX524" i="10"/>
  <c r="AT442" i="10"/>
  <c r="BB421" i="10"/>
  <c r="AX416" i="10"/>
  <c r="BV28" i="10"/>
  <c r="BV57" i="49" s="1"/>
  <c r="CD539" i="10"/>
  <c r="CT507" i="10"/>
  <c r="CL578" i="10"/>
  <c r="BR501" i="10"/>
  <c r="BF499" i="10"/>
  <c r="BJ164" i="10"/>
  <c r="CC154" i="10"/>
  <c r="CX129" i="10"/>
  <c r="BV495" i="10"/>
  <c r="BV1038" i="10" s="1"/>
  <c r="DB501" i="10"/>
  <c r="DB1044" i="10" s="1"/>
  <c r="CT501" i="10"/>
  <c r="CT1044" i="10" s="1"/>
  <c r="BV594" i="10"/>
  <c r="BN630" i="10"/>
  <c r="BN561" i="10"/>
  <c r="BN499" i="10"/>
  <c r="BJ584" i="10"/>
  <c r="BJ567" i="10"/>
  <c r="BF583" i="10"/>
  <c r="BF565" i="10"/>
  <c r="BV510" i="10"/>
  <c r="BN575" i="10"/>
  <c r="CZ145" i="10"/>
  <c r="BV129" i="10"/>
  <c r="BJ27" i="10"/>
  <c r="BF13" i="10"/>
  <c r="L33" i="41" s="1"/>
  <c r="CF161" i="10"/>
  <c r="CF165" i="10" s="1"/>
  <c r="BZ162" i="10"/>
  <c r="BF417" i="10"/>
  <c r="BL146" i="10"/>
  <c r="CK94" i="10"/>
  <c r="CK95" i="10" s="1"/>
  <c r="CK13" i="10" s="1"/>
  <c r="BR159" i="10"/>
  <c r="BR366" i="10" s="1"/>
  <c r="BM132" i="10"/>
  <c r="BZ382" i="10"/>
  <c r="BB752" i="10"/>
  <c r="CD508" i="10"/>
  <c r="CX496" i="10"/>
  <c r="CX1039" i="10" s="1"/>
  <c r="CL495" i="10"/>
  <c r="CL1038" i="10" s="1"/>
  <c r="BB498" i="10"/>
  <c r="BV553" i="10"/>
  <c r="BR550" i="10"/>
  <c r="BJ551" i="10"/>
  <c r="BF382" i="10"/>
  <c r="CF146" i="10"/>
  <c r="BH146" i="10"/>
  <c r="CR145" i="10"/>
  <c r="BL145" i="10"/>
  <c r="BU144" i="10"/>
  <c r="AW144" i="10"/>
  <c r="CH28" i="10"/>
  <c r="CH57" i="49" s="1"/>
  <c r="BZ27" i="10"/>
  <c r="BB13" i="10"/>
  <c r="H33" i="41" s="1"/>
  <c r="H53" i="41" s="1"/>
  <c r="DB381" i="10"/>
  <c r="CP164" i="10"/>
  <c r="BB823" i="20"/>
  <c r="AX823" i="20"/>
  <c r="AX821" i="20"/>
  <c r="BX904" i="20"/>
  <c r="BX901" i="20"/>
  <c r="BX905" i="20" s="1"/>
  <c r="BV847" i="20"/>
  <c r="CX770" i="20"/>
  <c r="BR846" i="20"/>
  <c r="BR844" i="20"/>
  <c r="BR848" i="20"/>
  <c r="BQ657" i="20"/>
  <c r="BQ661" i="20"/>
  <c r="DB653" i="20"/>
  <c r="DF658" i="20" s="1"/>
  <c r="EL52" i="41"/>
  <c r="BF823" i="20"/>
  <c r="BT798" i="20"/>
  <c r="BT803" i="20" s="1"/>
  <c r="BT809" i="20" s="1"/>
  <c r="BT834" i="20"/>
  <c r="BZ1261" i="10"/>
  <c r="CE284" i="20"/>
  <c r="CD292" i="20"/>
  <c r="CA284" i="20"/>
  <c r="BZ287" i="20"/>
  <c r="BX280" i="20"/>
  <c r="BY280" i="20" s="1"/>
  <c r="BX929" i="20"/>
  <c r="CL923" i="20"/>
  <c r="CF912" i="20"/>
  <c r="CJ912" i="20" s="1"/>
  <c r="CN912" i="20" s="1"/>
  <c r="CR912" i="20" s="1"/>
  <c r="BC57" i="41"/>
  <c r="AD62" i="41"/>
  <c r="BB57" i="41"/>
  <c r="AL57" i="41"/>
  <c r="V57" i="41"/>
  <c r="AT51" i="41"/>
  <c r="AD51" i="41"/>
  <c r="N51" i="41"/>
  <c r="CN927" i="20"/>
  <c r="CT924" i="20"/>
  <c r="BX920" i="20"/>
  <c r="DA946" i="20"/>
  <c r="DA880" i="20" s="1"/>
  <c r="CJ947" i="20"/>
  <c r="DL928" i="20"/>
  <c r="CJ928" i="20"/>
  <c r="BB844" i="20"/>
  <c r="BJ848" i="20"/>
  <c r="BL847" i="20"/>
  <c r="AR847" i="20"/>
  <c r="AO844" i="20"/>
  <c r="BV830" i="20"/>
  <c r="BU815" i="20"/>
  <c r="BV844" i="20"/>
  <c r="CN869" i="20"/>
  <c r="CN801" i="20" s="1"/>
  <c r="CG768" i="20"/>
  <c r="DB732" i="20"/>
  <c r="DB733" i="20" s="1"/>
  <c r="DF737" i="20" s="1"/>
  <c r="BH667" i="20"/>
  <c r="BJ667" i="20" s="1"/>
  <c r="BT815" i="20"/>
  <c r="BV808" i="20"/>
  <c r="CD766" i="20"/>
  <c r="CG927" i="20"/>
  <c r="DN881" i="20"/>
  <c r="CB910" i="20"/>
  <c r="CF910" i="20" s="1"/>
  <c r="CJ910" i="20" s="1"/>
  <c r="CN910" i="20" s="1"/>
  <c r="CR910" i="20" s="1"/>
  <c r="CV910" i="20" s="1"/>
  <c r="CZ910" i="20" s="1"/>
  <c r="DD910" i="20" s="1"/>
  <c r="AR844" i="20"/>
  <c r="BH844" i="20"/>
  <c r="CT810" i="20"/>
  <c r="CT802" i="20"/>
  <c r="CJ869" i="20"/>
  <c r="CJ801" i="20" s="1"/>
  <c r="CD732" i="20"/>
  <c r="CD733" i="20" s="1"/>
  <c r="CX936" i="20"/>
  <c r="CH567" i="20"/>
  <c r="DN923" i="20"/>
  <c r="DR927" i="20" s="1"/>
  <c r="DF939" i="20"/>
  <c r="BZ869" i="20"/>
  <c r="AT808" i="20"/>
  <c r="BF844" i="20"/>
  <c r="DE869" i="20"/>
  <c r="DE801" i="20" s="1"/>
  <c r="CO735" i="20"/>
  <c r="CD735" i="20"/>
  <c r="BN705" i="20"/>
  <c r="AW656" i="20"/>
  <c r="BJ1133" i="10"/>
  <c r="BO1133" i="10" s="1"/>
  <c r="BJ652" i="20"/>
  <c r="AN556" i="20"/>
  <c r="AN558" i="20" s="1"/>
  <c r="BV567" i="20"/>
  <c r="CY544" i="20"/>
  <c r="CX566" i="20"/>
  <c r="CY566" i="20" s="1"/>
  <c r="BN1132" i="10"/>
  <c r="BO1132" i="10" s="1"/>
  <c r="BN532" i="20"/>
  <c r="BF531" i="20"/>
  <c r="BZ459" i="20"/>
  <c r="DB944" i="20"/>
  <c r="BE534" i="20"/>
  <c r="BE536" i="20"/>
  <c r="BT500" i="20"/>
  <c r="BT502" i="20"/>
  <c r="EH53" i="41"/>
  <c r="DB943" i="20"/>
  <c r="CT939" i="20"/>
  <c r="CP943" i="20"/>
  <c r="AY50" i="41"/>
  <c r="BZ946" i="20"/>
  <c r="DB923" i="20"/>
  <c r="CL881" i="20"/>
  <c r="DI947" i="20"/>
  <c r="DJ934" i="20"/>
  <c r="DF938" i="20"/>
  <c r="CX934" i="20"/>
  <c r="CS947" i="20"/>
  <c r="CP942" i="20"/>
  <c r="CH936" i="20"/>
  <c r="CH938" i="20"/>
  <c r="DJ923" i="20"/>
  <c r="CW925" i="20"/>
  <c r="CP876" i="20"/>
  <c r="AS847" i="20"/>
  <c r="BT846" i="20"/>
  <c r="BM838" i="20"/>
  <c r="BL834" i="20"/>
  <c r="BT821" i="20"/>
  <c r="AN821" i="20"/>
  <c r="DJ810" i="20"/>
  <c r="DF800" i="20"/>
  <c r="BP798" i="20"/>
  <c r="BP838" i="20"/>
  <c r="CL797" i="20"/>
  <c r="CP781" i="20"/>
  <c r="CX767" i="20"/>
  <c r="CH767" i="20"/>
  <c r="BE735" i="20"/>
  <c r="BN1135" i="10"/>
  <c r="BO1135" i="10" s="1"/>
  <c r="BN766" i="20"/>
  <c r="AO722" i="20"/>
  <c r="BL654" i="20"/>
  <c r="BL657" i="20"/>
  <c r="BP502" i="20"/>
  <c r="BN1176" i="10"/>
  <c r="BS1176" i="10" s="1"/>
  <c r="BN533" i="20"/>
  <c r="AP286" i="20"/>
  <c r="AO287" i="20"/>
  <c r="CL936" i="20"/>
  <c r="BX667" i="20"/>
  <c r="BZ667" i="20" s="1"/>
  <c r="BZ688" i="20"/>
  <c r="DB292" i="20"/>
  <c r="DB287" i="20"/>
  <c r="W57" i="41"/>
  <c r="AZ50" i="41"/>
  <c r="AO38" i="41"/>
  <c r="AO39" i="41" s="1"/>
  <c r="DJ935" i="20"/>
  <c r="EG53" i="41"/>
  <c r="EH52" i="41"/>
  <c r="BY957" i="20"/>
  <c r="DN941" i="20"/>
  <c r="DJ943" i="20"/>
  <c r="DJ945" i="20"/>
  <c r="DJ933" i="20"/>
  <c r="DF935" i="20"/>
  <c r="BA851" i="20"/>
  <c r="AZ846" i="20"/>
  <c r="BV837" i="20"/>
  <c r="BI815" i="20"/>
  <c r="BB848" i="20"/>
  <c r="BA735" i="20"/>
  <c r="AN722" i="20"/>
  <c r="CO588" i="20"/>
  <c r="AW571" i="20"/>
  <c r="CP272" i="20"/>
  <c r="CU230" i="20"/>
  <c r="BX957" i="20"/>
  <c r="BY929" i="20"/>
  <c r="CC950" i="20"/>
  <c r="CG950" i="20" s="1"/>
  <c r="DD947" i="20"/>
  <c r="CO947" i="20"/>
  <c r="BR837" i="20"/>
  <c r="BA821" i="20"/>
  <c r="AT847" i="20"/>
  <c r="BR646" i="20"/>
  <c r="BR116" i="10"/>
  <c r="BX536" i="20"/>
  <c r="BT536" i="20"/>
  <c r="BB441" i="20"/>
  <c r="AP821" i="20"/>
  <c r="DD869" i="20"/>
  <c r="DD801" i="20" s="1"/>
  <c r="BN830" i="20"/>
  <c r="BL798" i="20"/>
  <c r="BL803" i="20" s="1"/>
  <c r="BL809" i="20" s="1"/>
  <c r="BL811" i="20" s="1"/>
  <c r="AX772" i="20"/>
  <c r="AX705" i="20"/>
  <c r="CL608" i="20"/>
  <c r="CZ570" i="20"/>
  <c r="CZ568" i="20"/>
  <c r="DD572" i="20" s="1"/>
  <c r="CI410" i="20"/>
  <c r="CD442" i="20"/>
  <c r="CD443" i="20" s="1"/>
  <c r="CH761" i="20"/>
  <c r="CZ946" i="20"/>
  <c r="CZ880" i="20" s="1"/>
  <c r="CD932" i="20"/>
  <c r="BI851" i="20"/>
  <c r="AT50" i="41"/>
  <c r="DV53" i="41"/>
  <c r="EC53" i="41"/>
  <c r="ED52" i="41"/>
  <c r="AD72" i="41"/>
  <c r="BY956" i="20"/>
  <c r="DF936" i="20"/>
  <c r="CS927" i="20"/>
  <c r="BZ925" i="20"/>
  <c r="BZ929" i="20" s="1"/>
  <c r="DE947" i="20"/>
  <c r="DF934" i="20"/>
  <c r="CL942" i="20"/>
  <c r="BJ837" i="20"/>
  <c r="BB836" i="20"/>
  <c r="BF808" i="20"/>
  <c r="CX797" i="20"/>
  <c r="CD797" i="20"/>
  <c r="DB781" i="20"/>
  <c r="CL781" i="20"/>
  <c r="BM772" i="20"/>
  <c r="BZ766" i="20"/>
  <c r="AT765" i="20"/>
  <c r="CO733" i="20"/>
  <c r="CC733" i="20"/>
  <c r="AR733" i="20"/>
  <c r="CR570" i="20"/>
  <c r="CL652" i="20"/>
  <c r="CP657" i="20" s="1"/>
  <c r="CX567" i="20"/>
  <c r="BL537" i="20"/>
  <c r="BX830" i="20"/>
  <c r="BZ829" i="20"/>
  <c r="BZ837" i="20" s="1"/>
  <c r="CP944" i="20"/>
  <c r="AN57" i="41"/>
  <c r="BP50" i="41"/>
  <c r="AU72" i="41"/>
  <c r="K72" i="41"/>
  <c r="O62" i="41"/>
  <c r="DN924" i="20"/>
  <c r="DR928" i="20" s="1"/>
  <c r="CD923" i="20"/>
  <c r="CD927" i="20" s="1"/>
  <c r="BX953" i="20"/>
  <c r="BX958" i="20" s="1"/>
  <c r="CB925" i="20"/>
  <c r="CB929" i="20" s="1"/>
  <c r="CF837" i="20"/>
  <c r="BA815" i="20"/>
  <c r="CN570" i="20"/>
  <c r="CV570" i="20"/>
  <c r="BR1177" i="10"/>
  <c r="BS1177" i="10" s="1"/>
  <c r="BR653" i="20"/>
  <c r="CH652" i="20"/>
  <c r="BZ1267" i="10"/>
  <c r="BZ566" i="20"/>
  <c r="CD570" i="20" s="1"/>
  <c r="CJ459" i="20"/>
  <c r="CJ457" i="20"/>
  <c r="BV456" i="20"/>
  <c r="CP455" i="20"/>
  <c r="BV652" i="20"/>
  <c r="BV821" i="20"/>
  <c r="BY735" i="20"/>
  <c r="CG654" i="20"/>
  <c r="CG657" i="20"/>
  <c r="AM57" i="41"/>
  <c r="BD57" i="41"/>
  <c r="AT72" i="41"/>
  <c r="AA72" i="41"/>
  <c r="J72" i="41"/>
  <c r="CZ928" i="20"/>
  <c r="CO927" i="20"/>
  <c r="DN889" i="20"/>
  <c r="BZ887" i="20"/>
  <c r="BZ895" i="20" s="1"/>
  <c r="CX938" i="20"/>
  <c r="CT944" i="20"/>
  <c r="CT932" i="20"/>
  <c r="CJ925" i="20"/>
  <c r="DB876" i="20"/>
  <c r="BM847" i="20"/>
  <c r="BY833" i="20"/>
  <c r="CD810" i="20"/>
  <c r="BX815" i="20"/>
  <c r="BZ847" i="20"/>
  <c r="CX802" i="20"/>
  <c r="CO869" i="20"/>
  <c r="CO801" i="20" s="1"/>
  <c r="CA799" i="20"/>
  <c r="CX781" i="20"/>
  <c r="CP767" i="20"/>
  <c r="BJ568" i="20"/>
  <c r="CT1131" i="10"/>
  <c r="CT328" i="20"/>
  <c r="CW220" i="20"/>
  <c r="CN220" i="20"/>
  <c r="CV132" i="20"/>
  <c r="CX125" i="20"/>
  <c r="CO153" i="20"/>
  <c r="CP150" i="20"/>
  <c r="CP112" i="10" s="1"/>
  <c r="CO151" i="20"/>
  <c r="CR151" i="20"/>
  <c r="CH125" i="20"/>
  <c r="CF132" i="20"/>
  <c r="BR836" i="20"/>
  <c r="BY824" i="20"/>
  <c r="BY847" i="20"/>
  <c r="CD800" i="20"/>
  <c r="AP803" i="20"/>
  <c r="BL772" i="20"/>
  <c r="AV772" i="20"/>
  <c r="CR770" i="20"/>
  <c r="BL770" i="20"/>
  <c r="DA740" i="20"/>
  <c r="DA118" i="10" s="1"/>
  <c r="CJ733" i="20"/>
  <c r="AP688" i="20"/>
  <c r="BR652" i="20"/>
  <c r="BR661" i="20" s="1"/>
  <c r="CX646" i="20"/>
  <c r="CE616" i="20"/>
  <c r="CD584" i="20"/>
  <c r="BA568" i="20"/>
  <c r="BX538" i="20"/>
  <c r="BQ537" i="20"/>
  <c r="AW534" i="20"/>
  <c r="BI460" i="20"/>
  <c r="CP459" i="20"/>
  <c r="BY459" i="20"/>
  <c r="BO350" i="20"/>
  <c r="CT324" i="20"/>
  <c r="CY284" i="20"/>
  <c r="CX287" i="20"/>
  <c r="CX292" i="20"/>
  <c r="CD1175" i="10"/>
  <c r="CI1175" i="10" s="1"/>
  <c r="CD329" i="20"/>
  <c r="BF138" i="20"/>
  <c r="CA122" i="20"/>
  <c r="BZ215" i="20"/>
  <c r="CD220" i="20" s="1"/>
  <c r="CD610" i="20"/>
  <c r="CK588" i="20"/>
  <c r="CT587" i="20"/>
  <c r="CX584" i="20"/>
  <c r="BZ584" i="20"/>
  <c r="CJ568" i="20"/>
  <c r="BQ568" i="20"/>
  <c r="AP555" i="20"/>
  <c r="BQ500" i="20"/>
  <c r="BR491" i="20"/>
  <c r="CB459" i="20"/>
  <c r="CE423" i="20"/>
  <c r="CU410" i="20"/>
  <c r="CT442" i="20"/>
  <c r="CT443" i="20" s="1"/>
  <c r="CY410" i="20"/>
  <c r="CH455" i="20"/>
  <c r="BF319" i="20"/>
  <c r="BB318" i="20"/>
  <c r="BN293" i="20"/>
  <c r="DB1173" i="10"/>
  <c r="DB217" i="20"/>
  <c r="DF222" i="20" s="1"/>
  <c r="CL308" i="20"/>
  <c r="CJ323" i="20"/>
  <c r="CC256" i="20"/>
  <c r="CG256" i="20"/>
  <c r="CD241" i="20"/>
  <c r="BY232" i="20"/>
  <c r="BY76" i="10" s="1"/>
  <c r="CC295" i="20"/>
  <c r="BY295" i="20"/>
  <c r="CR459" i="20"/>
  <c r="BQ220" i="20"/>
  <c r="BQ218" i="20"/>
  <c r="DB955" i="10"/>
  <c r="DB216" i="20"/>
  <c r="BF221" i="20"/>
  <c r="BF225" i="20"/>
  <c r="DM282" i="20"/>
  <c r="DQ282" i="20" s="1"/>
  <c r="DJ282" i="20"/>
  <c r="CW774" i="10"/>
  <c r="CV774" i="10"/>
  <c r="BE340" i="10"/>
  <c r="BE370" i="10"/>
  <c r="BH340" i="10"/>
  <c r="BE345" i="10"/>
  <c r="BF336" i="10"/>
  <c r="BF344" i="10" s="1"/>
  <c r="BZ317" i="42"/>
  <c r="BZ319" i="42" s="1"/>
  <c r="BZ313" i="42"/>
  <c r="CD608" i="20"/>
  <c r="CT585" i="20"/>
  <c r="AV568" i="20"/>
  <c r="BM568" i="20"/>
  <c r="BU457" i="20"/>
  <c r="CO443" i="20"/>
  <c r="BV443" i="20"/>
  <c r="CW397" i="20"/>
  <c r="DB290" i="20"/>
  <c r="CH293" i="20"/>
  <c r="CI285" i="20"/>
  <c r="AZ221" i="20"/>
  <c r="AZ225" i="20"/>
  <c r="CW740" i="20"/>
  <c r="CK740" i="20"/>
  <c r="CK118" i="10" s="1"/>
  <c r="AS733" i="20"/>
  <c r="CD611" i="20"/>
  <c r="DA588" i="20"/>
  <c r="DB588" i="20" s="1"/>
  <c r="CX590" i="20"/>
  <c r="CF568" i="20"/>
  <c r="CG570" i="20"/>
  <c r="AS568" i="20"/>
  <c r="BE562" i="20"/>
  <c r="DC544" i="20"/>
  <c r="CD532" i="20"/>
  <c r="AV500" i="20"/>
  <c r="BV492" i="20"/>
  <c r="AT479" i="20"/>
  <c r="AT533" i="20" s="1"/>
  <c r="AX538" i="20" s="1"/>
  <c r="BK469" i="20"/>
  <c r="CL455" i="20"/>
  <c r="BT459" i="20"/>
  <c r="CF451" i="20"/>
  <c r="AX442" i="20"/>
  <c r="CD420" i="20"/>
  <c r="CD283" i="20"/>
  <c r="CT294" i="20"/>
  <c r="BP372" i="20"/>
  <c r="BP373" i="20" s="1"/>
  <c r="BP414" i="20"/>
  <c r="BM365" i="20"/>
  <c r="BI365" i="20"/>
  <c r="CN1252" i="10"/>
  <c r="CP1252" i="10" s="1"/>
  <c r="CK1252" i="10"/>
  <c r="CL1252" i="10" s="1"/>
  <c r="DI928" i="20"/>
  <c r="DF869" i="20"/>
  <c r="BP847" i="20"/>
  <c r="AX836" i="20"/>
  <c r="BP821" i="20"/>
  <c r="AZ823" i="20"/>
  <c r="BN808" i="20"/>
  <c r="DN802" i="20"/>
  <c r="CW869" i="20"/>
  <c r="CW801" i="20" s="1"/>
  <c r="BJ824" i="20"/>
  <c r="CJ772" i="20"/>
  <c r="BT772" i="20"/>
  <c r="BD772" i="20"/>
  <c r="CV740" i="20"/>
  <c r="CV118" i="10" s="1"/>
  <c r="BP733" i="20"/>
  <c r="CS733" i="20"/>
  <c r="CB733" i="20"/>
  <c r="BV688" i="20"/>
  <c r="AP654" i="20"/>
  <c r="CR656" i="20"/>
  <c r="CB656" i="20"/>
  <c r="BL656" i="20"/>
  <c r="AV656" i="20"/>
  <c r="BZ613" i="20"/>
  <c r="BZ612" i="20"/>
  <c r="CD592" i="20"/>
  <c r="BA562" i="20"/>
  <c r="BP537" i="20"/>
  <c r="CB500" i="20"/>
  <c r="BI502" i="20"/>
  <c r="AR500" i="20"/>
  <c r="BJ491" i="20"/>
  <c r="CV457" i="20"/>
  <c r="CK461" i="20"/>
  <c r="BU461" i="20"/>
  <c r="AZ457" i="20"/>
  <c r="BR448" i="20"/>
  <c r="CA410" i="20"/>
  <c r="CV333" i="20"/>
  <c r="CR333" i="20"/>
  <c r="CL293" i="20"/>
  <c r="CK276" i="20"/>
  <c r="CF225" i="20"/>
  <c r="CF221" i="20"/>
  <c r="BY415" i="20"/>
  <c r="BY420" i="20"/>
  <c r="BY372" i="20"/>
  <c r="BY373" i="20" s="1"/>
  <c r="CZ733" i="20"/>
  <c r="DD737" i="20" s="1"/>
  <c r="CF733" i="20"/>
  <c r="BB705" i="20"/>
  <c r="CT656" i="20"/>
  <c r="CH646" i="20"/>
  <c r="BL604" i="20"/>
  <c r="CV593" i="20"/>
  <c r="CB593" i="20"/>
  <c r="BY570" i="20"/>
  <c r="AN568" i="20"/>
  <c r="BB525" i="20"/>
  <c r="BA503" i="20"/>
  <c r="BV531" i="20"/>
  <c r="BQ443" i="20"/>
  <c r="CY401" i="20"/>
  <c r="BP397" i="20"/>
  <c r="BV420" i="20"/>
  <c r="CP328" i="20"/>
  <c r="CV414" i="20"/>
  <c r="CX400" i="20"/>
  <c r="CW414" i="20"/>
  <c r="CP404" i="20"/>
  <c r="CO372" i="20"/>
  <c r="CO373" i="20" s="1"/>
  <c r="CO420" i="20"/>
  <c r="CJ415" i="20"/>
  <c r="CK415" i="20"/>
  <c r="CL404" i="20"/>
  <c r="CL372" i="20" s="1"/>
  <c r="CL373" i="20" s="1"/>
  <c r="BE734" i="10"/>
  <c r="BF719" i="10"/>
  <c r="CT781" i="20"/>
  <c r="CW772" i="20"/>
  <c r="BQ772" i="20"/>
  <c r="CR768" i="20"/>
  <c r="CB768" i="20"/>
  <c r="BL768" i="20"/>
  <c r="CW770" i="20"/>
  <c r="BQ770" i="20"/>
  <c r="CT761" i="20"/>
  <c r="CT742" i="20"/>
  <c r="CH741" i="20"/>
  <c r="AV736" i="20"/>
  <c r="CP567" i="20"/>
  <c r="BX568" i="20"/>
  <c r="BE568" i="20"/>
  <c r="CM544" i="20"/>
  <c r="CC536" i="20"/>
  <c r="AO500" i="20"/>
  <c r="AX455" i="20"/>
  <c r="BQ459" i="20"/>
  <c r="BA459" i="20"/>
  <c r="AW397" i="20"/>
  <c r="CP396" i="20"/>
  <c r="CP397" i="20" s="1"/>
  <c r="BV395" i="20"/>
  <c r="BV446" i="20"/>
  <c r="AW301" i="20"/>
  <c r="CH327" i="20"/>
  <c r="AN241" i="20"/>
  <c r="AN327" i="20"/>
  <c r="AV222" i="20"/>
  <c r="AV218" i="20"/>
  <c r="BR193" i="20"/>
  <c r="BR195" i="20" s="1"/>
  <c r="BQ195" i="20"/>
  <c r="BQ194" i="20"/>
  <c r="BT194" i="20"/>
  <c r="CT157" i="20"/>
  <c r="BN112" i="10"/>
  <c r="BN159" i="20"/>
  <c r="CF948" i="10"/>
  <c r="CF952" i="10" s="1"/>
  <c r="CF555" i="20"/>
  <c r="BA132" i="20"/>
  <c r="AX125" i="20"/>
  <c r="BM672" i="20"/>
  <c r="BM678" i="20" s="1"/>
  <c r="BM680" i="20" s="1"/>
  <c r="CP610" i="20"/>
  <c r="CH584" i="20"/>
  <c r="BD570" i="20"/>
  <c r="CB538" i="20"/>
  <c r="BU537" i="20"/>
  <c r="AO534" i="20"/>
  <c r="CE516" i="20"/>
  <c r="BE500" i="20"/>
  <c r="BY457" i="20"/>
  <c r="CC457" i="20"/>
  <c r="BM457" i="20"/>
  <c r="CT459" i="20"/>
  <c r="AW443" i="20"/>
  <c r="CF397" i="20"/>
  <c r="CB330" i="20"/>
  <c r="CB277" i="20"/>
  <c r="CD327" i="20"/>
  <c r="BM218" i="20"/>
  <c r="BM222" i="20"/>
  <c r="AV1178" i="10"/>
  <c r="AV677" i="20"/>
  <c r="BE241" i="20"/>
  <c r="BE328" i="20"/>
  <c r="BI333" i="20" s="1"/>
  <c r="BF239" i="20"/>
  <c r="BF328" i="20" s="1"/>
  <c r="BT115" i="20"/>
  <c r="BV153" i="20"/>
  <c r="CB150" i="20" s="1"/>
  <c r="BP132" i="20"/>
  <c r="BN125" i="20"/>
  <c r="BN132" i="20" s="1"/>
  <c r="BL132" i="20"/>
  <c r="AZ534" i="20"/>
  <c r="CA516" i="20"/>
  <c r="BS350" i="20"/>
  <c r="BR454" i="20"/>
  <c r="BR459" i="20" s="1"/>
  <c r="CH447" i="20"/>
  <c r="CD322" i="20"/>
  <c r="CX1131" i="10"/>
  <c r="CX328" i="20"/>
  <c r="BF140" i="20"/>
  <c r="CR334" i="20"/>
  <c r="BZ323" i="20"/>
  <c r="BN283" i="20"/>
  <c r="CP293" i="20"/>
  <c r="CX241" i="20"/>
  <c r="BR222" i="20"/>
  <c r="BH221" i="20"/>
  <c r="AN218" i="20"/>
  <c r="BV220" i="20"/>
  <c r="BH200" i="20"/>
  <c r="CJ196" i="20"/>
  <c r="CS195" i="20"/>
  <c r="CH195" i="20"/>
  <c r="CV187" i="20"/>
  <c r="CT186" i="20"/>
  <c r="CT196" i="20" s="1"/>
  <c r="CK189" i="20"/>
  <c r="BE189" i="20"/>
  <c r="BW169" i="20"/>
  <c r="AT153" i="20"/>
  <c r="CX157" i="20"/>
  <c r="BI141" i="20"/>
  <c r="CI122" i="20"/>
  <c r="DJ172" i="20"/>
  <c r="AZ183" i="20"/>
  <c r="AZ118" i="20" s="1"/>
  <c r="AR125" i="20"/>
  <c r="BF1221" i="10"/>
  <c r="CD1179" i="10"/>
  <c r="CW1148" i="10"/>
  <c r="DA911" i="10"/>
  <c r="AU516" i="10"/>
  <c r="CW754" i="10"/>
  <c r="CX754" i="10" s="1"/>
  <c r="CX688" i="10"/>
  <c r="CL688" i="10"/>
  <c r="CK754" i="10"/>
  <c r="CL754" i="10" s="1"/>
  <c r="CH691" i="10"/>
  <c r="CM691" i="10" s="1"/>
  <c r="CF757" i="10"/>
  <c r="CH757" i="10" s="1"/>
  <c r="BX757" i="10"/>
  <c r="BZ757" i="10" s="1"/>
  <c r="BZ691" i="10"/>
  <c r="BV689" i="10"/>
  <c r="BT755" i="10"/>
  <c r="BV755" i="10" s="1"/>
  <c r="BI757" i="10"/>
  <c r="BJ757" i="10" s="1"/>
  <c r="BJ691" i="10"/>
  <c r="BE751" i="10"/>
  <c r="BF751" i="10" s="1"/>
  <c r="BF685" i="10"/>
  <c r="CI423" i="20"/>
  <c r="BM333" i="20"/>
  <c r="BW284" i="20"/>
  <c r="CH283" i="20"/>
  <c r="CL291" i="20" s="1"/>
  <c r="DB289" i="20"/>
  <c r="AO330" i="20"/>
  <c r="CY233" i="20"/>
  <c r="BQ222" i="20"/>
  <c r="AR1308" i="10"/>
  <c r="CV720" i="10"/>
  <c r="CW746" i="10"/>
  <c r="CW914" i="10" s="1"/>
  <c r="DB640" i="10"/>
  <c r="CZ827" i="10"/>
  <c r="CX640" i="10"/>
  <c r="CT640" i="10"/>
  <c r="CR827" i="10"/>
  <c r="CP640" i="10"/>
  <c r="CN827" i="10"/>
  <c r="CH642" i="10"/>
  <c r="CC829" i="10"/>
  <c r="BZ642" i="10"/>
  <c r="BJ64" i="10"/>
  <c r="BN407" i="42"/>
  <c r="BN406" i="42" s="1"/>
  <c r="BN402" i="42"/>
  <c r="BP399" i="42" s="1"/>
  <c r="BR399" i="42" s="1"/>
  <c r="BN509" i="42"/>
  <c r="K69" i="51"/>
  <c r="BB378" i="42"/>
  <c r="BB334" i="46" s="1"/>
  <c r="BB508" i="42"/>
  <c r="AL509" i="42"/>
  <c r="AL407" i="42"/>
  <c r="AL402" i="42"/>
  <c r="AN399" i="42" s="1"/>
  <c r="AP399" i="42" s="1"/>
  <c r="BN501" i="10"/>
  <c r="CH137" i="20"/>
  <c r="CH138" i="20" s="1"/>
  <c r="BD480" i="20"/>
  <c r="DJ319" i="20"/>
  <c r="BU720" i="10"/>
  <c r="BU735" i="10" s="1"/>
  <c r="BU734" i="10"/>
  <c r="BQ720" i="10"/>
  <c r="BT747" i="10" s="1"/>
  <c r="BT746" i="10"/>
  <c r="BV746" i="10" s="1"/>
  <c r="BQ734" i="10"/>
  <c r="BT734" i="10"/>
  <c r="BQ721" i="10"/>
  <c r="BJ719" i="10"/>
  <c r="BL746" i="10"/>
  <c r="CN443" i="20"/>
  <c r="DA421" i="20"/>
  <c r="BN396" i="20"/>
  <c r="CQ401" i="20"/>
  <c r="BX333" i="20"/>
  <c r="CO332" i="20"/>
  <c r="CI318" i="20"/>
  <c r="CF304" i="20"/>
  <c r="CL289" i="20"/>
  <c r="AW274" i="20"/>
  <c r="CF261" i="20"/>
  <c r="AP233" i="20"/>
  <c r="BL222" i="20"/>
  <c r="AW218" i="20"/>
  <c r="BN195" i="20"/>
  <c r="BP187" i="20"/>
  <c r="BH189" i="20"/>
  <c r="BD159" i="20"/>
  <c r="BF158" i="20"/>
  <c r="BT141" i="20"/>
  <c r="BD555" i="20"/>
  <c r="DI300" i="20"/>
  <c r="BJ744" i="10"/>
  <c r="BY538" i="20"/>
  <c r="BI538" i="20"/>
  <c r="CD492" i="20"/>
  <c r="BB503" i="20"/>
  <c r="CF457" i="20"/>
  <c r="BR447" i="20"/>
  <c r="CK443" i="20"/>
  <c r="CA402" i="20"/>
  <c r="CT396" i="20"/>
  <c r="CS397" i="20"/>
  <c r="CB397" i="20"/>
  <c r="BV365" i="20"/>
  <c r="BS401" i="20"/>
  <c r="CN333" i="20"/>
  <c r="BV328" i="20"/>
  <c r="BV321" i="20"/>
  <c r="CP323" i="20"/>
  <c r="AX314" i="20"/>
  <c r="AX311" i="20"/>
  <c r="BV309" i="20"/>
  <c r="AS287" i="20"/>
  <c r="CF262" i="20"/>
  <c r="CV256" i="20"/>
  <c r="AN274" i="20"/>
  <c r="CC222" i="20"/>
  <c r="CB222" i="20"/>
  <c r="AV221" i="20"/>
  <c r="CH220" i="20"/>
  <c r="BH187" i="20"/>
  <c r="AZ196" i="20"/>
  <c r="BV159" i="20"/>
  <c r="BN138" i="20"/>
  <c r="BA672" i="20"/>
  <c r="CJ125" i="20"/>
  <c r="CJ132" i="20" s="1"/>
  <c r="BM132" i="20"/>
  <c r="DB329" i="20"/>
  <c r="DF334" i="20" s="1"/>
  <c r="CD303" i="20"/>
  <c r="CH299" i="20"/>
  <c r="CH114" i="10" s="1"/>
  <c r="BB298" i="20"/>
  <c r="CD294" i="20"/>
  <c r="CM284" i="20"/>
  <c r="CS256" i="20"/>
  <c r="AP234" i="20"/>
  <c r="CR222" i="20"/>
  <c r="CV221" i="20"/>
  <c r="CB218" i="20"/>
  <c r="BP221" i="20"/>
  <c r="CO200" i="20"/>
  <c r="CV189" i="20"/>
  <c r="BE187" i="20"/>
  <c r="BI189" i="20"/>
  <c r="AP411" i="20"/>
  <c r="BZ289" i="20"/>
  <c r="BZ292" i="20"/>
  <c r="DJ175" i="20"/>
  <c r="DJ178" i="20"/>
  <c r="AZ1308" i="10"/>
  <c r="DN828" i="10"/>
  <c r="DN840" i="10" s="1"/>
  <c r="BO351" i="20"/>
  <c r="AP232" i="20"/>
  <c r="AP273" i="20" s="1"/>
  <c r="BH218" i="20"/>
  <c r="AR218" i="20"/>
  <c r="CV194" i="20"/>
  <c r="CG138" i="20"/>
  <c r="CZ132" i="20"/>
  <c r="DB125" i="20"/>
  <c r="DF132" i="20" s="1"/>
  <c r="CF1148" i="10"/>
  <c r="BF1079" i="10"/>
  <c r="CW734" i="10"/>
  <c r="CW623" i="10"/>
  <c r="CW487" i="10" s="1"/>
  <c r="CW465" i="10" s="1"/>
  <c r="CX617" i="10"/>
  <c r="CX437" i="20"/>
  <c r="CX449" i="20" s="1"/>
  <c r="BJ437" i="20"/>
  <c r="BJ449" i="20" s="1"/>
  <c r="CH323" i="20"/>
  <c r="BR283" i="20"/>
  <c r="BI222" i="20"/>
  <c r="CR189" i="20"/>
  <c r="BD189" i="20"/>
  <c r="BN157" i="20"/>
  <c r="DN181" i="20"/>
  <c r="CV734" i="10"/>
  <c r="BZ508" i="10"/>
  <c r="BV542" i="10"/>
  <c r="BT1044" i="10"/>
  <c r="BV501" i="10"/>
  <c r="BR542" i="10"/>
  <c r="BN510" i="10"/>
  <c r="BJ542" i="10"/>
  <c r="BF509" i="10"/>
  <c r="BF540" i="10"/>
  <c r="BD443" i="20"/>
  <c r="CH443" i="20"/>
  <c r="CK397" i="20"/>
  <c r="CS334" i="20"/>
  <c r="CB334" i="20"/>
  <c r="CG333" i="20"/>
  <c r="CF330" i="20"/>
  <c r="AX313" i="20"/>
  <c r="CD323" i="20"/>
  <c r="BT291" i="20"/>
  <c r="CF260" i="20"/>
  <c r="CU240" i="20"/>
  <c r="BL220" i="20"/>
  <c r="AO218" i="20"/>
  <c r="CN218" i="20"/>
  <c r="BX220" i="20"/>
  <c r="BI220" i="20"/>
  <c r="BM138" i="20"/>
  <c r="CT234" i="20"/>
  <c r="BI241" i="20"/>
  <c r="BI46" i="10" s="1"/>
  <c r="BI50" i="10" s="1"/>
  <c r="CH1179" i="10"/>
  <c r="CX1079" i="10"/>
  <c r="CD739" i="10"/>
  <c r="BV719" i="10"/>
  <c r="CO720" i="10"/>
  <c r="CP719" i="10"/>
  <c r="CO734" i="10"/>
  <c r="CZ828" i="10"/>
  <c r="CZ840" i="10" s="1"/>
  <c r="DB509" i="10"/>
  <c r="CW828" i="10"/>
  <c r="CW840" i="10" s="1"/>
  <c r="CX597" i="10"/>
  <c r="CX630" i="10"/>
  <c r="CX564" i="10"/>
  <c r="CV828" i="10"/>
  <c r="CV840" i="10" s="1"/>
  <c r="CX509" i="10"/>
  <c r="CT597" i="10"/>
  <c r="CT630" i="10"/>
  <c r="CT564" i="10"/>
  <c r="CT509" i="10"/>
  <c r="CR828" i="10"/>
  <c r="CR840" i="10" s="1"/>
  <c r="CP509" i="10"/>
  <c r="CP597" i="10"/>
  <c r="CP630" i="10"/>
  <c r="CP745" i="10"/>
  <c r="BR745" i="10"/>
  <c r="CL744" i="10"/>
  <c r="DB742" i="10"/>
  <c r="AT741" i="10"/>
  <c r="CH739" i="10"/>
  <c r="CO568" i="10"/>
  <c r="CD509" i="10"/>
  <c r="CW222" i="10"/>
  <c r="CX223" i="10"/>
  <c r="CO345" i="10"/>
  <c r="DB207" i="10"/>
  <c r="BP195" i="10"/>
  <c r="DB336" i="10"/>
  <c r="DA340" i="10"/>
  <c r="DA345" i="10"/>
  <c r="DA354" i="10"/>
  <c r="DA344" i="10"/>
  <c r="DA370" i="10"/>
  <c r="CX382" i="10"/>
  <c r="CR94" i="10"/>
  <c r="CR95" i="10" s="1"/>
  <c r="CR13" i="10" s="1"/>
  <c r="CL381" i="10"/>
  <c r="CG161" i="10"/>
  <c r="CG165" i="10" s="1"/>
  <c r="CH158" i="10"/>
  <c r="CD159" i="10"/>
  <c r="CC366" i="10"/>
  <c r="BY161" i="10"/>
  <c r="BY165" i="10" s="1"/>
  <c r="BY11" i="10" s="1"/>
  <c r="AU604" i="10"/>
  <c r="CL508" i="10"/>
  <c r="BT307" i="10"/>
  <c r="BT316" i="10" s="1"/>
  <c r="BU300" i="10"/>
  <c r="CT223" i="10"/>
  <c r="CS225" i="10"/>
  <c r="CT225" i="10" s="1"/>
  <c r="CK189" i="10"/>
  <c r="CK195" i="10"/>
  <c r="BQ144" i="10"/>
  <c r="BP144" i="10"/>
  <c r="BF739" i="10"/>
  <c r="CP510" i="10"/>
  <c r="DB628" i="10"/>
  <c r="BP284" i="10"/>
  <c r="BP280" i="10"/>
  <c r="BZ304" i="10"/>
  <c r="CR370" i="10"/>
  <c r="CR311" i="10"/>
  <c r="BT370" i="10"/>
  <c r="BT311" i="10"/>
  <c r="CN376" i="10"/>
  <c r="CO340" i="10"/>
  <c r="CN344" i="10"/>
  <c r="CN354" i="10"/>
  <c r="CN370" i="10"/>
  <c r="CB345" i="10"/>
  <c r="CB369" i="10"/>
  <c r="CB340" i="10"/>
  <c r="CB344" i="10"/>
  <c r="CB370" i="10"/>
  <c r="BD345" i="10"/>
  <c r="BD369" i="10"/>
  <c r="BD344" i="10"/>
  <c r="BJ128" i="10"/>
  <c r="CH59" i="10"/>
  <c r="CH60" i="10" s="1"/>
  <c r="CH61" i="10"/>
  <c r="BM423" i="42"/>
  <c r="BN414" i="42"/>
  <c r="BM418" i="42"/>
  <c r="BN418" i="42" s="1"/>
  <c r="AV315" i="42"/>
  <c r="AV313" i="42"/>
  <c r="CG188" i="42"/>
  <c r="BQ172" i="42"/>
  <c r="BR163" i="42"/>
  <c r="DC46" i="41" s="1"/>
  <c r="BQ177" i="42"/>
  <c r="BU623" i="10"/>
  <c r="BU487" i="10" s="1"/>
  <c r="BU465" i="10" s="1"/>
  <c r="AW1287" i="10"/>
  <c r="DN180" i="20"/>
  <c r="CT118" i="20"/>
  <c r="CD1252" i="10"/>
  <c r="AR746" i="10"/>
  <c r="CH745" i="10"/>
  <c r="BJ745" i="10"/>
  <c r="CD744" i="10"/>
  <c r="BF744" i="10"/>
  <c r="BB743" i="10"/>
  <c r="DB740" i="10"/>
  <c r="CD740" i="10"/>
  <c r="CX739" i="10"/>
  <c r="CG734" i="10"/>
  <c r="DB753" i="10"/>
  <c r="CP639" i="10"/>
  <c r="CL510" i="10"/>
  <c r="CO513" i="10"/>
  <c r="CJ546" i="10"/>
  <c r="CL506" i="10"/>
  <c r="CG557" i="10"/>
  <c r="BD340" i="10"/>
  <c r="DB266" i="10"/>
  <c r="DC268" i="10" s="1"/>
  <c r="DA273" i="10"/>
  <c r="CW345" i="10"/>
  <c r="CW344" i="10"/>
  <c r="BU146" i="10"/>
  <c r="BX146" i="10"/>
  <c r="CG145" i="10"/>
  <c r="CJ145" i="10"/>
  <c r="BB60" i="10"/>
  <c r="AB313" i="42"/>
  <c r="DJ181" i="20"/>
  <c r="DJ170" i="20"/>
  <c r="DB752" i="10"/>
  <c r="BR751" i="10"/>
  <c r="AU560" i="10"/>
  <c r="CX508" i="10"/>
  <c r="CD374" i="10"/>
  <c r="BM327" i="10"/>
  <c r="BM307" i="10"/>
  <c r="BM316" i="10" s="1"/>
  <c r="BM300" i="10"/>
  <c r="BH282" i="10"/>
  <c r="BI282" i="10"/>
  <c r="CL185" i="10"/>
  <c r="CL189" i="10" s="1"/>
  <c r="CK354" i="10"/>
  <c r="CL336" i="10"/>
  <c r="CQ336" i="10" s="1"/>
  <c r="CK369" i="10"/>
  <c r="CK340" i="10"/>
  <c r="CK344" i="10"/>
  <c r="BZ336" i="10"/>
  <c r="BZ345" i="10" s="1"/>
  <c r="BY345" i="10"/>
  <c r="BY369" i="10"/>
  <c r="BY354" i="10"/>
  <c r="BH205" i="10"/>
  <c r="BH208" i="10" s="1"/>
  <c r="BH195" i="10"/>
  <c r="BI205" i="10"/>
  <c r="BI195" i="10"/>
  <c r="BH189" i="10"/>
  <c r="BA134" i="10"/>
  <c r="BD134" i="10"/>
  <c r="DA189" i="10"/>
  <c r="DB185" i="10"/>
  <c r="CV366" i="10"/>
  <c r="CX159" i="10"/>
  <c r="CX366" i="10" s="1"/>
  <c r="BF1315" i="10"/>
  <c r="BH1308" i="10"/>
  <c r="BH1309" i="10" s="1"/>
  <c r="BE1308" i="10"/>
  <c r="BE1309" i="10" s="1"/>
  <c r="BZ1252" i="10"/>
  <c r="CX1251" i="10"/>
  <c r="AP1225" i="10"/>
  <c r="BV1221" i="10"/>
  <c r="BZ1160" i="10"/>
  <c r="CR1148" i="10"/>
  <c r="CZ1040" i="10"/>
  <c r="CG828" i="10"/>
  <c r="CG840" i="10" s="1"/>
  <c r="CO746" i="10"/>
  <c r="CD745" i="10"/>
  <c r="BZ744" i="10"/>
  <c r="AT742" i="10"/>
  <c r="BB740" i="10"/>
  <c r="AX719" i="10"/>
  <c r="CL752" i="10"/>
  <c r="BT721" i="10"/>
  <c r="BD721" i="10"/>
  <c r="DJ601" i="10"/>
  <c r="AU582" i="10"/>
  <c r="BZ543" i="10"/>
  <c r="CT542" i="10"/>
  <c r="CL517" i="10"/>
  <c r="CT508" i="10"/>
  <c r="CD507" i="10"/>
  <c r="DB497" i="10"/>
  <c r="CL586" i="10"/>
  <c r="CL499" i="10"/>
  <c r="CL186" i="10"/>
  <c r="CQ186" i="10" s="1"/>
  <c r="CK370" i="10"/>
  <c r="CK311" i="10"/>
  <c r="BN186" i="10"/>
  <c r="BM370" i="10"/>
  <c r="BM311" i="10"/>
  <c r="CG186" i="10"/>
  <c r="CG185" i="10"/>
  <c r="CG189" i="10" s="1"/>
  <c r="CG368" i="10"/>
  <c r="BT130" i="10"/>
  <c r="BR60" i="10"/>
  <c r="CB690" i="10"/>
  <c r="CB692" i="10" s="1"/>
  <c r="CD342" i="42"/>
  <c r="CB355" i="42"/>
  <c r="CB354" i="42" s="1"/>
  <c r="BP354" i="42"/>
  <c r="CN157" i="42"/>
  <c r="CN156" i="42"/>
  <c r="CN158" i="42"/>
  <c r="CN149" i="42"/>
  <c r="CN152" i="42" s="1"/>
  <c r="BH156" i="42"/>
  <c r="BH157" i="42"/>
  <c r="BH149" i="42"/>
  <c r="BH152" i="42" s="1"/>
  <c r="BH158" i="42"/>
  <c r="BI601" i="10"/>
  <c r="BI485" i="10" s="1"/>
  <c r="DN175" i="20"/>
  <c r="CP118" i="20"/>
  <c r="CL1079" i="10"/>
  <c r="CL712" i="10"/>
  <c r="BN757" i="10"/>
  <c r="AU571" i="10"/>
  <c r="BD370" i="10"/>
  <c r="CH350" i="10"/>
  <c r="BM295" i="10"/>
  <c r="BE302" i="10"/>
  <c r="BH302" i="10"/>
  <c r="BX189" i="10"/>
  <c r="BX267" i="10" s="1"/>
  <c r="BY195" i="10"/>
  <c r="BD205" i="10"/>
  <c r="BE205" i="10"/>
  <c r="CW1134" i="10"/>
  <c r="CW1136" i="10" s="1"/>
  <c r="CW22" i="10" s="1"/>
  <c r="AX294" i="42"/>
  <c r="AX303" i="42"/>
  <c r="CT106" i="49"/>
  <c r="CT312" i="49" s="1"/>
  <c r="CT294" i="42"/>
  <c r="CD106" i="49"/>
  <c r="CD312" i="49" s="1"/>
  <c r="CD294" i="42"/>
  <c r="CD110" i="49" s="1"/>
  <c r="BN106" i="49"/>
  <c r="BN209" i="49" s="1"/>
  <c r="BN294" i="42"/>
  <c r="AH325" i="42"/>
  <c r="AG294" i="42"/>
  <c r="AG325" i="42" s="1"/>
  <c r="DA268" i="42"/>
  <c r="DB268" i="42" s="1"/>
  <c r="DB90" i="49" s="1"/>
  <c r="DA301" i="42"/>
  <c r="DA303" i="42" s="1"/>
  <c r="DB303" i="42" s="1"/>
  <c r="CC268" i="42"/>
  <c r="CD268" i="42" s="1"/>
  <c r="CC301" i="42"/>
  <c r="BM734" i="10"/>
  <c r="AU593" i="10"/>
  <c r="CO590" i="10"/>
  <c r="CO484" i="10" s="1"/>
  <c r="CL496" i="10"/>
  <c r="CL1039" i="10" s="1"/>
  <c r="CR535" i="10"/>
  <c r="CD532" i="10"/>
  <c r="BJ186" i="10"/>
  <c r="BI311" i="10"/>
  <c r="CV302" i="10"/>
  <c r="CW302" i="10"/>
  <c r="CG477" i="42"/>
  <c r="CG476" i="42"/>
  <c r="CG478" i="42" s="1"/>
  <c r="CT1251" i="10"/>
  <c r="BN1079" i="10"/>
  <c r="AX744" i="10"/>
  <c r="BN742" i="10"/>
  <c r="AT739" i="10"/>
  <c r="AP612" i="10"/>
  <c r="BR507" i="10"/>
  <c r="DN482" i="10"/>
  <c r="DB573" i="10"/>
  <c r="CO579" i="10"/>
  <c r="CO483" i="10" s="1"/>
  <c r="CK590" i="10"/>
  <c r="CK484" i="10" s="1"/>
  <c r="CK579" i="10"/>
  <c r="CK483" i="10" s="1"/>
  <c r="BY590" i="10"/>
  <c r="BY484" i="10" s="1"/>
  <c r="BY579" i="10"/>
  <c r="BY483" i="10" s="1"/>
  <c r="CD375" i="10"/>
  <c r="BV266" i="10"/>
  <c r="BX273" i="10"/>
  <c r="BV128" i="10"/>
  <c r="CX454" i="42"/>
  <c r="CX457" i="42" s="1"/>
  <c r="CW457" i="42"/>
  <c r="CW268" i="42"/>
  <c r="CX268" i="42" s="1"/>
  <c r="CW301" i="42"/>
  <c r="CW303" i="42" s="1"/>
  <c r="CX303" i="42" s="1"/>
  <c r="BQ141" i="20"/>
  <c r="AX141" i="20"/>
  <c r="AW1308" i="10"/>
  <c r="CT1252" i="10"/>
  <c r="BR1251" i="10"/>
  <c r="AW1169" i="10"/>
  <c r="BV1160" i="10"/>
  <c r="BQ746" i="10"/>
  <c r="BR746" i="10" s="1"/>
  <c r="CT745" i="10"/>
  <c r="AX745" i="10"/>
  <c r="BR744" i="10"/>
  <c r="CH742" i="10"/>
  <c r="BJ742" i="10"/>
  <c r="AX741" i="10"/>
  <c r="CP740" i="10"/>
  <c r="CJ739" i="10"/>
  <c r="BZ754" i="10"/>
  <c r="CL644" i="10"/>
  <c r="CT541" i="10"/>
  <c r="DJ488" i="10"/>
  <c r="CZ494" i="10"/>
  <c r="CZ502" i="10"/>
  <c r="CN524" i="10"/>
  <c r="CN345" i="10"/>
  <c r="BY344" i="10"/>
  <c r="BX321" i="10"/>
  <c r="BT293" i="10"/>
  <c r="BT296" i="10" s="1"/>
  <c r="AZ340" i="10"/>
  <c r="AW369" i="10"/>
  <c r="AW340" i="10"/>
  <c r="BQ205" i="10"/>
  <c r="BQ208" i="10" s="1"/>
  <c r="BV383" i="10"/>
  <c r="BR383" i="10"/>
  <c r="BM161" i="10"/>
  <c r="BM165" i="10" s="1"/>
  <c r="BN158" i="10"/>
  <c r="BN381" i="10"/>
  <c r="CD486" i="42"/>
  <c r="CD489" i="42" s="1"/>
  <c r="DO38" i="41" s="1"/>
  <c r="CD527" i="42"/>
  <c r="BZ414" i="42"/>
  <c r="BY418" i="42"/>
  <c r="BZ418" i="42" s="1"/>
  <c r="BY423" i="42"/>
  <c r="BZ423" i="42" s="1"/>
  <c r="AR361" i="42"/>
  <c r="AR272" i="42" s="1"/>
  <c r="AT360" i="42"/>
  <c r="CT518" i="10"/>
  <c r="BJ509" i="10"/>
  <c r="BJ506" i="10"/>
  <c r="DB633" i="10"/>
  <c r="BF496" i="10"/>
  <c r="CK345" i="10"/>
  <c r="CN340" i="10"/>
  <c r="BT340" i="10"/>
  <c r="BT344" i="10"/>
  <c r="BU340" i="10"/>
  <c r="BY366" i="10"/>
  <c r="BZ159" i="10"/>
  <c r="BX220" i="42"/>
  <c r="BX215" i="42"/>
  <c r="BY220" i="42"/>
  <c r="BZ586" i="10"/>
  <c r="BZ575" i="10"/>
  <c r="BZ498" i="10"/>
  <c r="BZ1041" i="10" s="1"/>
  <c r="BV567" i="10"/>
  <c r="BR600" i="10"/>
  <c r="BR630" i="10"/>
  <c r="BR561" i="10"/>
  <c r="BN594" i="10"/>
  <c r="BN576" i="10"/>
  <c r="BJ589" i="10"/>
  <c r="BJ575" i="10"/>
  <c r="BF598" i="10"/>
  <c r="BF628" i="10"/>
  <c r="BB501" i="10"/>
  <c r="AX501" i="10"/>
  <c r="CW557" i="10"/>
  <c r="AP445" i="10"/>
  <c r="CC370" i="10"/>
  <c r="BN336" i="10"/>
  <c r="BS336" i="10" s="1"/>
  <c r="BL302" i="10"/>
  <c r="CC273" i="10"/>
  <c r="BH222" i="10"/>
  <c r="CO344" i="10"/>
  <c r="BH376" i="10"/>
  <c r="BB160" i="10"/>
  <c r="BB159" i="10"/>
  <c r="AV133" i="10"/>
  <c r="BU60" i="10"/>
  <c r="BE60" i="10"/>
  <c r="AN60" i="10"/>
  <c r="BR29" i="10"/>
  <c r="BR58" i="49" s="1"/>
  <c r="BP384" i="10"/>
  <c r="AX313" i="42"/>
  <c r="AX315" i="42"/>
  <c r="CP407" i="42"/>
  <c r="CP406" i="42" s="1"/>
  <c r="BB113" i="42"/>
  <c r="K68" i="51" s="1"/>
  <c r="BA509" i="42"/>
  <c r="AL100" i="42"/>
  <c r="AL378" i="42"/>
  <c r="AN374" i="42" s="1"/>
  <c r="AP374" i="42" s="1"/>
  <c r="BI293" i="10"/>
  <c r="BI296" i="10" s="1"/>
  <c r="BP285" i="10"/>
  <c r="CB283" i="10"/>
  <c r="CK280" i="10"/>
  <c r="BE344" i="10"/>
  <c r="BX210" i="10"/>
  <c r="AX160" i="10"/>
  <c r="AX159" i="10"/>
  <c r="CR134" i="10"/>
  <c r="BP133" i="10"/>
  <c r="AT64" i="10"/>
  <c r="BD60" i="10"/>
  <c r="CJ1208" i="10"/>
  <c r="CJ26" i="10" s="1"/>
  <c r="BM455" i="42"/>
  <c r="BN455" i="42" s="1"/>
  <c r="BA406" i="42"/>
  <c r="AC315" i="42"/>
  <c r="AC313" i="42"/>
  <c r="CV238" i="42"/>
  <c r="BX238" i="42"/>
  <c r="AZ238" i="42"/>
  <c r="AB238" i="42"/>
  <c r="BL206" i="42"/>
  <c r="BL193" i="46" s="1"/>
  <c r="CJ209" i="42"/>
  <c r="CK209" i="42"/>
  <c r="CS192" i="46"/>
  <c r="CT124" i="42"/>
  <c r="CT464" i="42" s="1"/>
  <c r="CS464" i="42"/>
  <c r="ED35" i="41" s="1"/>
  <c r="DB564" i="10"/>
  <c r="CZ601" i="10"/>
  <c r="CZ485" i="10" s="1"/>
  <c r="CO502" i="10"/>
  <c r="BY568" i="10"/>
  <c r="BY482" i="10" s="1"/>
  <c r="BY513" i="10"/>
  <c r="CN369" i="10"/>
  <c r="BM345" i="10"/>
  <c r="CY336" i="10"/>
  <c r="CX304" i="10"/>
  <c r="BL295" i="10"/>
  <c r="BX222" i="10"/>
  <c r="CS189" i="10"/>
  <c r="ED62" i="41" s="1"/>
  <c r="ED61" i="41" s="1"/>
  <c r="ED81" i="41" s="1"/>
  <c r="CD185" i="10"/>
  <c r="BY297" i="10"/>
  <c r="BY292" i="10" s="1"/>
  <c r="BH211" i="10"/>
  <c r="CP129" i="10"/>
  <c r="BQ134" i="10"/>
  <c r="CT128" i="10"/>
  <c r="BM133" i="10"/>
  <c r="AP64" i="10"/>
  <c r="DA225" i="10"/>
  <c r="DB225" i="10" s="1"/>
  <c r="BH457" i="42"/>
  <c r="BH455" i="42"/>
  <c r="DN340" i="42"/>
  <c r="AG366" i="42"/>
  <c r="AG368" i="42" s="1"/>
  <c r="CZ242" i="42"/>
  <c r="CB242" i="42"/>
  <c r="BU215" i="42"/>
  <c r="BU218" i="42"/>
  <c r="BB420" i="10"/>
  <c r="BB207" i="10"/>
  <c r="BL144" i="10"/>
  <c r="CL129" i="10"/>
  <c r="CX537" i="42"/>
  <c r="CX66" i="10" s="1"/>
  <c r="CR246" i="42"/>
  <c r="BT246" i="42"/>
  <c r="CB206" i="42"/>
  <c r="CB193" i="46" s="1"/>
  <c r="CC211" i="42"/>
  <c r="CK157" i="42"/>
  <c r="CK149" i="42"/>
  <c r="CK152" i="42" s="1"/>
  <c r="CL152" i="42" s="1"/>
  <c r="CK156" i="42"/>
  <c r="CX98" i="42"/>
  <c r="CX264" i="42"/>
  <c r="CH264" i="42"/>
  <c r="CH448" i="42"/>
  <c r="CJ444" i="42" s="1"/>
  <c r="CL444" i="42" s="1"/>
  <c r="CX369" i="42"/>
  <c r="CX263" i="42"/>
  <c r="CH369" i="42"/>
  <c r="CJ366" i="42" s="1"/>
  <c r="CL366" i="42" s="1"/>
  <c r="BR369" i="42"/>
  <c r="BT366" i="42" s="1"/>
  <c r="BV366" i="42" s="1"/>
  <c r="BB97" i="42"/>
  <c r="BB369" i="42"/>
  <c r="BD366" i="42" s="1"/>
  <c r="BF366" i="42" s="1"/>
  <c r="AL97" i="42"/>
  <c r="AL263" i="42"/>
  <c r="V97" i="42"/>
  <c r="V263" i="42"/>
  <c r="CX260" i="42"/>
  <c r="CX287" i="42" s="1"/>
  <c r="CD261" i="42"/>
  <c r="BJ262" i="42"/>
  <c r="BJ336" i="42"/>
  <c r="DJ284" i="42"/>
  <c r="DJ269" i="42"/>
  <c r="DJ91" i="49" s="1"/>
  <c r="DA218" i="46"/>
  <c r="DB173" i="46"/>
  <c r="CJ601" i="10"/>
  <c r="CJ485" i="10" s="1"/>
  <c r="CN535" i="10"/>
  <c r="AT446" i="10"/>
  <c r="CX350" i="10"/>
  <c r="BV350" i="10"/>
  <c r="CT344" i="10"/>
  <c r="BH311" i="10"/>
  <c r="BM302" i="10"/>
  <c r="BD302" i="10"/>
  <c r="BE295" i="10"/>
  <c r="CO284" i="10"/>
  <c r="CC285" i="10"/>
  <c r="CF284" i="10"/>
  <c r="BQ283" i="10"/>
  <c r="CN273" i="10"/>
  <c r="CH204" i="10"/>
  <c r="CC189" i="10"/>
  <c r="CS377" i="10"/>
  <c r="CT377" i="10" s="1"/>
  <c r="CJ370" i="10"/>
  <c r="BB164" i="10"/>
  <c r="BB162" i="10"/>
  <c r="CW145" i="10"/>
  <c r="BY144" i="10"/>
  <c r="BR126" i="10"/>
  <c r="CF64" i="10"/>
  <c r="CO677" i="10"/>
  <c r="CO19" i="10" s="1"/>
  <c r="CO47" i="49" s="1"/>
  <c r="CO423" i="10"/>
  <c r="CO17" i="10" s="1"/>
  <c r="AO1" i="10"/>
  <c r="AO67" i="10" s="1"/>
  <c r="AR3" i="10"/>
  <c r="AR1" i="10" s="1"/>
  <c r="AR69" i="10" s="1"/>
  <c r="BB537" i="42"/>
  <c r="BB66" i="10" s="1"/>
  <c r="CW496" i="42"/>
  <c r="CH495" i="42"/>
  <c r="CH498" i="42"/>
  <c r="V313" i="42"/>
  <c r="Z275" i="42"/>
  <c r="BF270" i="42"/>
  <c r="BF92" i="49" s="1"/>
  <c r="BF191" i="49" s="1"/>
  <c r="AP269" i="42"/>
  <c r="CS268" i="42"/>
  <c r="CT268" i="42" s="1"/>
  <c r="CS301" i="42"/>
  <c r="CS303" i="42" s="1"/>
  <c r="CT303" i="42" s="1"/>
  <c r="CN220" i="42"/>
  <c r="CO218" i="42"/>
  <c r="BP218" i="42"/>
  <c r="BP215" i="42"/>
  <c r="BX184" i="42"/>
  <c r="AW328" i="46"/>
  <c r="AW330" i="46" s="1"/>
  <c r="AW323" i="46"/>
  <c r="AW324" i="46" s="1"/>
  <c r="AW347" i="46" s="1"/>
  <c r="AP446" i="10"/>
  <c r="BM340" i="10"/>
  <c r="CF321" i="10"/>
  <c r="BI302" i="10"/>
  <c r="BU302" i="10"/>
  <c r="BP283" i="10"/>
  <c r="BY282" i="10"/>
  <c r="CW225" i="10"/>
  <c r="CX225" i="10" s="1"/>
  <c r="CO225" i="10"/>
  <c r="CP225" i="10" s="1"/>
  <c r="BY376" i="10"/>
  <c r="BY378" i="10" s="1"/>
  <c r="CC205" i="10"/>
  <c r="CC65" i="49" s="1"/>
  <c r="CC164" i="49" s="1"/>
  <c r="CC267" i="49" s="1"/>
  <c r="AV161" i="10"/>
  <c r="AV165" i="10" s="1"/>
  <c r="CL128" i="10"/>
  <c r="AZ95" i="10"/>
  <c r="CZ64" i="10"/>
  <c r="CC64" i="10"/>
  <c r="CS63" i="10"/>
  <c r="AS60" i="10"/>
  <c r="BL60" i="10"/>
  <c r="CZ677" i="10"/>
  <c r="CZ19" i="10" s="1"/>
  <c r="CZ47" i="49" s="1"/>
  <c r="CH414" i="42"/>
  <c r="CG418" i="42"/>
  <c r="CH418" i="42" s="1"/>
  <c r="DA345" i="42"/>
  <c r="DB345" i="42" s="1"/>
  <c r="BH308" i="42"/>
  <c r="BJ308" i="42" s="1"/>
  <c r="BY270" i="42"/>
  <c r="BZ270" i="42" s="1"/>
  <c r="BZ92" i="49" s="1"/>
  <c r="BY312" i="42"/>
  <c r="BY315" i="42" s="1"/>
  <c r="BA282" i="42"/>
  <c r="AZ286" i="42"/>
  <c r="AZ323" i="42" s="1"/>
  <c r="AZ324" i="42" s="1"/>
  <c r="AS238" i="42"/>
  <c r="BM215" i="42"/>
  <c r="BN216" i="42"/>
  <c r="BM220" i="42"/>
  <c r="BU184" i="42"/>
  <c r="BU172" i="42"/>
  <c r="AZ69" i="42"/>
  <c r="AZ70" i="42" s="1"/>
  <c r="AZ484" i="42"/>
  <c r="CW601" i="10"/>
  <c r="CW485" i="10" s="1"/>
  <c r="CW634" i="10"/>
  <c r="CW488" i="10" s="1"/>
  <c r="CW568" i="10"/>
  <c r="CW482" i="10" s="1"/>
  <c r="CS601" i="10"/>
  <c r="CS485" i="10" s="1"/>
  <c r="CS634" i="10"/>
  <c r="CS488" i="10" s="1"/>
  <c r="CS568" i="10"/>
  <c r="CS482" i="10" s="1"/>
  <c r="CR601" i="10"/>
  <c r="CR634" i="10"/>
  <c r="CR568" i="10"/>
  <c r="CJ568" i="10"/>
  <c r="CJ482" i="10" s="1"/>
  <c r="CG601" i="10"/>
  <c r="CG485" i="10" s="1"/>
  <c r="CG634" i="10"/>
  <c r="CG488" i="10" s="1"/>
  <c r="CG568" i="10"/>
  <c r="CG482" i="10" s="1"/>
  <c r="CC601" i="10"/>
  <c r="CC485" i="10" s="1"/>
  <c r="CC634" i="10"/>
  <c r="CC488" i="10" s="1"/>
  <c r="CC568" i="10"/>
  <c r="CC482" i="10" s="1"/>
  <c r="CB601" i="10"/>
  <c r="CB634" i="10"/>
  <c r="CB488" i="10" s="1"/>
  <c r="CB568" i="10"/>
  <c r="BY601" i="10"/>
  <c r="BY485" i="10" s="1"/>
  <c r="CK623" i="10"/>
  <c r="CK487" i="10" s="1"/>
  <c r="CK465" i="10" s="1"/>
  <c r="CZ557" i="10"/>
  <c r="CV557" i="10"/>
  <c r="CR557" i="10"/>
  <c r="CJ557" i="10"/>
  <c r="DA369" i="10"/>
  <c r="BE369" i="10"/>
  <c r="CV347" i="10"/>
  <c r="CC311" i="10"/>
  <c r="BM282" i="10"/>
  <c r="BE95" i="10"/>
  <c r="BV495" i="42"/>
  <c r="CL495" i="42"/>
  <c r="CL499" i="42"/>
  <c r="CT388" i="42"/>
  <c r="CT430" i="42" s="1"/>
  <c r="CS430" i="42"/>
  <c r="BV109" i="49"/>
  <c r="BV212" i="49" s="1"/>
  <c r="BU293" i="42"/>
  <c r="BU314" i="42" s="1"/>
  <c r="CX106" i="49"/>
  <c r="CX312" i="49" s="1"/>
  <c r="CX294" i="42"/>
  <c r="AK291" i="42"/>
  <c r="AK303" i="42" s="1"/>
  <c r="AL303" i="42"/>
  <c r="CW282" i="42"/>
  <c r="CW286" i="42" s="1"/>
  <c r="CW323" i="42" s="1"/>
  <c r="CV286" i="42"/>
  <c r="CV323" i="42" s="1"/>
  <c r="CF265" i="42"/>
  <c r="CF277" i="42" s="1"/>
  <c r="CG267" i="42" s="1"/>
  <c r="CF287" i="42"/>
  <c r="BM246" i="42"/>
  <c r="AW172" i="42"/>
  <c r="CK178" i="42"/>
  <c r="CJ179" i="42"/>
  <c r="CK192" i="42"/>
  <c r="BZ407" i="42"/>
  <c r="BZ406" i="42" s="1"/>
  <c r="O69" i="51"/>
  <c r="BF508" i="42"/>
  <c r="BF378" i="42"/>
  <c r="CD264" i="42"/>
  <c r="CD448" i="42"/>
  <c r="CF444" i="42" s="1"/>
  <c r="CH444" i="42" s="1"/>
  <c r="AL98" i="42"/>
  <c r="AL264" i="42"/>
  <c r="AL448" i="42"/>
  <c r="AN444" i="42" s="1"/>
  <c r="AP444" i="42" s="1"/>
  <c r="V98" i="42"/>
  <c r="V264" i="42"/>
  <c r="V448" i="42"/>
  <c r="CT263" i="42"/>
  <c r="CT369" i="42"/>
  <c r="CD263" i="42"/>
  <c r="CD369" i="42"/>
  <c r="CF366" i="42" s="1"/>
  <c r="CF368" i="42" s="1"/>
  <c r="BN263" i="42"/>
  <c r="AX97" i="42"/>
  <c r="AX263" i="42"/>
  <c r="AH97" i="42"/>
  <c r="AH263" i="42"/>
  <c r="AH369" i="42"/>
  <c r="AJ366" i="42" s="1"/>
  <c r="AL366" i="42" s="1"/>
  <c r="R97" i="42"/>
  <c r="R263" i="42"/>
  <c r="R265" i="42" s="1"/>
  <c r="R277" i="42" s="1"/>
  <c r="T267" i="42" s="1"/>
  <c r="V267" i="42" s="1"/>
  <c r="CF623" i="10"/>
  <c r="CF487" i="10" s="1"/>
  <c r="CF465" i="10" s="1"/>
  <c r="CF557" i="10"/>
  <c r="CF658" i="10" s="1"/>
  <c r="AZ295" i="10"/>
  <c r="BQ284" i="10"/>
  <c r="BU225" i="10"/>
  <c r="BV225" i="10" s="1"/>
  <c r="BT189" i="10"/>
  <c r="BT197" i="10" s="1"/>
  <c r="BI376" i="10"/>
  <c r="BI378" i="10" s="1"/>
  <c r="CX189" i="10"/>
  <c r="CV211" i="10"/>
  <c r="BI161" i="10"/>
  <c r="BI165" i="10" s="1"/>
  <c r="BI144" i="10"/>
  <c r="CD129" i="10"/>
  <c r="BN128" i="10"/>
  <c r="BA133" i="10"/>
  <c r="BP132" i="10"/>
  <c r="CV66" i="10"/>
  <c r="BV61" i="10"/>
  <c r="CD60" i="10"/>
  <c r="CD164" i="10"/>
  <c r="CD461" i="42"/>
  <c r="CC401" i="42"/>
  <c r="CC403" i="42" s="1"/>
  <c r="AB383" i="42"/>
  <c r="AC383" i="42" s="1"/>
  <c r="AD383" i="42" s="1"/>
  <c r="CD362" i="42"/>
  <c r="BQ361" i="42"/>
  <c r="BQ272" i="42" s="1"/>
  <c r="BQ94" i="49" s="1"/>
  <c r="BI192" i="42"/>
  <c r="BJ171" i="42"/>
  <c r="CU47" i="41" s="1"/>
  <c r="CW135" i="42"/>
  <c r="CW598" i="20" s="1"/>
  <c r="CZ135" i="42"/>
  <c r="CZ598" i="20" s="1"/>
  <c r="DB135" i="42"/>
  <c r="BY135" i="42"/>
  <c r="BY598" i="20" s="1"/>
  <c r="BX133" i="42"/>
  <c r="BX596" i="20" s="1"/>
  <c r="BU133" i="42"/>
  <c r="BU596" i="20" s="1"/>
  <c r="BM123" i="42"/>
  <c r="BN122" i="42"/>
  <c r="CT264" i="42"/>
  <c r="AD68" i="42"/>
  <c r="BY311" i="10"/>
  <c r="BU295" i="10"/>
  <c r="CG283" i="10"/>
  <c r="BI283" i="10"/>
  <c r="CF273" i="10"/>
  <c r="CJ225" i="10"/>
  <c r="CK232" i="10"/>
  <c r="BE195" i="10"/>
  <c r="CS376" i="10"/>
  <c r="BV377" i="10"/>
  <c r="CV205" i="10"/>
  <c r="CV208" i="10" s="1"/>
  <c r="BY205" i="10"/>
  <c r="BY208" i="10" s="1"/>
  <c r="CJ302" i="10"/>
  <c r="CZ134" i="10"/>
  <c r="CB134" i="10"/>
  <c r="BU133" i="10"/>
  <c r="AW133" i="10"/>
  <c r="BJ126" i="10"/>
  <c r="CT125" i="10"/>
  <c r="BI60" i="10"/>
  <c r="BD349" i="42"/>
  <c r="CW343" i="42"/>
  <c r="CX343" i="42" s="1"/>
  <c r="V294" i="42"/>
  <c r="V325" i="42" s="1"/>
  <c r="V326" i="42" s="1"/>
  <c r="U325" i="42"/>
  <c r="AK286" i="42"/>
  <c r="AK323" i="42" s="1"/>
  <c r="CO366" i="42"/>
  <c r="CN370" i="42"/>
  <c r="BB263" i="42"/>
  <c r="BB265" i="42" s="1"/>
  <c r="BB277" i="42" s="1"/>
  <c r="BD267" i="42" s="1"/>
  <c r="BF267" i="42" s="1"/>
  <c r="AW265" i="42"/>
  <c r="AW277" i="42" s="1"/>
  <c r="AG265" i="42"/>
  <c r="AG277" i="42" s="1"/>
  <c r="Q265" i="42"/>
  <c r="Q277" i="42" s="1"/>
  <c r="BT184" i="42"/>
  <c r="BX135" i="42"/>
  <c r="BX598" i="20" s="1"/>
  <c r="BZ537" i="42"/>
  <c r="BZ66" i="10" s="1"/>
  <c r="AH537" i="42"/>
  <c r="AW423" i="42"/>
  <c r="AW425" i="42" s="1"/>
  <c r="BP406" i="42"/>
  <c r="BM342" i="42"/>
  <c r="BM355" i="42" s="1"/>
  <c r="BN355" i="42" s="1"/>
  <c r="BF306" i="42"/>
  <c r="BH368" i="42"/>
  <c r="BH273" i="42" s="1"/>
  <c r="CO220" i="42"/>
  <c r="CC178" i="42"/>
  <c r="BI149" i="42"/>
  <c r="BI152" i="42" s="1"/>
  <c r="BJ152" i="42" s="1"/>
  <c r="BI157" i="42"/>
  <c r="BI158" i="42"/>
  <c r="BZ100" i="42"/>
  <c r="AP113" i="42"/>
  <c r="AP100" i="42" s="1"/>
  <c r="AO100" i="42"/>
  <c r="BA99" i="42"/>
  <c r="U99" i="42"/>
  <c r="CW99" i="42"/>
  <c r="CL262" i="42"/>
  <c r="AP68" i="42"/>
  <c r="CV677" i="10"/>
  <c r="CV19" i="10" s="1"/>
  <c r="CZ423" i="10"/>
  <c r="CZ17" i="10" s="1"/>
  <c r="BF9" i="41" s="1"/>
  <c r="BQ92" i="10"/>
  <c r="BR537" i="42"/>
  <c r="BR66" i="10" s="1"/>
  <c r="BP496" i="42"/>
  <c r="BL457" i="42"/>
  <c r="BJ461" i="42"/>
  <c r="U450" i="42"/>
  <c r="DA418" i="42"/>
  <c r="AC405" i="42"/>
  <c r="AD405" i="42" s="1"/>
  <c r="AK401" i="42"/>
  <c r="BU399" i="42"/>
  <c r="BU401" i="42" s="1"/>
  <c r="BI342" i="42"/>
  <c r="BI355" i="42" s="1"/>
  <c r="BJ355" i="42" s="1"/>
  <c r="BJ354" i="42" s="1"/>
  <c r="CH303" i="42"/>
  <c r="BM368" i="42"/>
  <c r="BM273" i="42" s="1"/>
  <c r="AX274" i="42"/>
  <c r="AC366" i="42"/>
  <c r="AC368" i="42" s="1"/>
  <c r="AD368" i="42" s="1"/>
  <c r="Z268" i="42"/>
  <c r="CC265" i="42"/>
  <c r="CC277" i="42" s="1"/>
  <c r="AB286" i="42"/>
  <c r="AB323" i="42" s="1"/>
  <c r="AB324" i="42" s="1"/>
  <c r="AC282" i="42"/>
  <c r="AC286" i="42" s="1"/>
  <c r="AK250" i="42"/>
  <c r="AN250" i="42"/>
  <c r="BH220" i="42"/>
  <c r="BM184" i="42"/>
  <c r="BD172" i="42"/>
  <c r="CF171" i="42"/>
  <c r="CF172" i="42" s="1"/>
  <c r="CF223" i="42" s="1"/>
  <c r="CF224" i="42" s="1"/>
  <c r="CF232" i="42" s="1"/>
  <c r="BP172" i="42"/>
  <c r="BP223" i="42" s="1"/>
  <c r="BP224" i="42" s="1"/>
  <c r="BP232" i="42" s="1"/>
  <c r="AR177" i="42"/>
  <c r="BN114" i="42"/>
  <c r="CG134" i="46"/>
  <c r="CG86" i="46" s="1"/>
  <c r="CG87" i="46" s="1"/>
  <c r="CH87" i="46" s="1"/>
  <c r="BM134" i="46"/>
  <c r="BM86" i="46" s="1"/>
  <c r="BN133" i="46"/>
  <c r="BN134" i="46" s="1"/>
  <c r="BN135" i="46" s="1"/>
  <c r="BN138" i="46" s="1"/>
  <c r="BT496" i="42"/>
  <c r="BR461" i="42"/>
  <c r="DA286" i="42"/>
  <c r="DA323" i="42" s="1"/>
  <c r="CG361" i="42"/>
  <c r="CG272" i="42" s="1"/>
  <c r="BU312" i="42"/>
  <c r="BU270" i="42"/>
  <c r="BV270" i="42" s="1"/>
  <c r="BV92" i="49" s="1"/>
  <c r="CN287" i="42"/>
  <c r="CO282" i="42" s="1"/>
  <c r="CO286" i="42" s="1"/>
  <c r="CO323" i="42" s="1"/>
  <c r="CN265" i="42"/>
  <c r="CN277" i="42" s="1"/>
  <c r="CO267" i="42" s="1"/>
  <c r="AW242" i="42"/>
  <c r="CO238" i="42"/>
  <c r="BQ238" i="42"/>
  <c r="CL163" i="42"/>
  <c r="CN184" i="42"/>
  <c r="AH98" i="42"/>
  <c r="AH448" i="42"/>
  <c r="AJ444" i="42" s="1"/>
  <c r="AL444" i="42" s="1"/>
  <c r="AH264" i="42"/>
  <c r="CH262" i="42"/>
  <c r="BP99" i="42"/>
  <c r="CF27" i="43"/>
  <c r="R27" i="43"/>
  <c r="R30" i="43"/>
  <c r="CX13" i="46"/>
  <c r="CW39" i="46"/>
  <c r="R537" i="42"/>
  <c r="BY500" i="42"/>
  <c r="BQ496" i="42"/>
  <c r="BV457" i="42"/>
  <c r="BX406" i="42"/>
  <c r="AX348" i="42"/>
  <c r="AZ313" i="42"/>
  <c r="CO301" i="42"/>
  <c r="CO303" i="42" s="1"/>
  <c r="CP303" i="42" s="1"/>
  <c r="CS265" i="42"/>
  <c r="CS277" i="42" s="1"/>
  <c r="AO286" i="42"/>
  <c r="AO323" i="42" s="1"/>
  <c r="AO324" i="42" s="1"/>
  <c r="CV206" i="42"/>
  <c r="CW206" i="42" s="1"/>
  <c r="CW207" i="42" s="1"/>
  <c r="BT146" i="42"/>
  <c r="BT158" i="42" s="1"/>
  <c r="AX113" i="42"/>
  <c r="AX114" i="42" s="1"/>
  <c r="AW114" i="42"/>
  <c r="CD27" i="10"/>
  <c r="BB61" i="10"/>
  <c r="DA94" i="10"/>
  <c r="CT164" i="10"/>
  <c r="CO94" i="10"/>
  <c r="CO95" i="10" s="1"/>
  <c r="CO13" i="10" s="1"/>
  <c r="CO500" i="42"/>
  <c r="BX500" i="42"/>
  <c r="CB476" i="42"/>
  <c r="CB478" i="42" s="1"/>
  <c r="CK377" i="42"/>
  <c r="BA374" i="42"/>
  <c r="BA377" i="42" s="1"/>
  <c r="CJ354" i="42"/>
  <c r="AR354" i="42"/>
  <c r="AT348" i="42"/>
  <c r="AW343" i="42"/>
  <c r="BT320" i="42"/>
  <c r="BU361" i="42"/>
  <c r="BU272" i="42" s="1"/>
  <c r="BB274" i="42"/>
  <c r="AX270" i="42"/>
  <c r="Y265" i="42"/>
  <c r="Y277" i="42" s="1"/>
  <c r="BT205" i="42"/>
  <c r="BT206" i="42" s="1"/>
  <c r="AO114" i="42"/>
  <c r="R109" i="42"/>
  <c r="Q114" i="42"/>
  <c r="R114" i="42" s="1"/>
  <c r="BR184" i="46"/>
  <c r="BQ185" i="46"/>
  <c r="BR185" i="46" s="1"/>
  <c r="CD214" i="49"/>
  <c r="CD232" i="49" s="1"/>
  <c r="CD317" i="49"/>
  <c r="CD335" i="49" s="1"/>
  <c r="CB1208" i="10"/>
  <c r="CB26" i="10" s="1"/>
  <c r="BF23" i="10"/>
  <c r="L14" i="41" s="1"/>
  <c r="CG1134" i="10"/>
  <c r="CG1136" i="10" s="1"/>
  <c r="CG22" i="10" s="1"/>
  <c r="DA690" i="10"/>
  <c r="DA692" i="10" s="1"/>
  <c r="CW105" i="10"/>
  <c r="CW107" i="10" s="1"/>
  <c r="CW14" i="10" s="1"/>
  <c r="CV94" i="10"/>
  <c r="CV95" i="10" s="1"/>
  <c r="CV13" i="10" s="1"/>
  <c r="CT162" i="10"/>
  <c r="CJ94" i="10"/>
  <c r="CF105" i="10"/>
  <c r="CN500" i="42"/>
  <c r="BM496" i="42"/>
  <c r="CK447" i="42"/>
  <c r="DA423" i="42"/>
  <c r="DB423" i="42" s="1"/>
  <c r="CO418" i="42"/>
  <c r="CP418" i="42" s="1"/>
  <c r="AB414" i="42"/>
  <c r="AB413" i="42" s="1"/>
  <c r="CK406" i="42"/>
  <c r="CF354" i="42"/>
  <c r="BR348" i="42"/>
  <c r="AF313" i="42"/>
  <c r="CL113" i="49"/>
  <c r="CL216" i="49" s="1"/>
  <c r="CK297" i="42"/>
  <c r="AJ361" i="42"/>
  <c r="AJ272" i="42" s="1"/>
  <c r="CL270" i="42"/>
  <c r="AN268" i="42"/>
  <c r="AP268" i="42" s="1"/>
  <c r="AP283" i="42"/>
  <c r="AP301" i="42" s="1"/>
  <c r="AP302" i="42" s="1"/>
  <c r="BH265" i="42"/>
  <c r="BH277" i="42" s="1"/>
  <c r="BI267" i="42" s="1"/>
  <c r="CV265" i="42"/>
  <c r="CV277" i="42" s="1"/>
  <c r="CW267" i="42" s="1"/>
  <c r="DA265" i="42"/>
  <c r="DA277" i="42" s="1"/>
  <c r="CN242" i="42"/>
  <c r="BP242" i="42"/>
  <c r="CR172" i="42"/>
  <c r="CN179" i="42"/>
  <c r="CN192" i="42"/>
  <c r="CO192" i="42"/>
  <c r="CN172" i="42"/>
  <c r="BT178" i="42"/>
  <c r="BT424" i="10" s="1"/>
  <c r="CL263" i="42"/>
  <c r="BV263" i="42"/>
  <c r="BV369" i="42"/>
  <c r="BX366" i="42" s="1"/>
  <c r="BX368" i="42" s="1"/>
  <c r="BF97" i="42"/>
  <c r="BF99" i="42" s="1"/>
  <c r="BF263" i="42"/>
  <c r="AP97" i="42"/>
  <c r="AP263" i="42"/>
  <c r="Z97" i="42"/>
  <c r="Z263" i="42"/>
  <c r="Z265" i="42" s="1"/>
  <c r="Z277" i="42" s="1"/>
  <c r="BV262" i="42"/>
  <c r="BF29" i="10"/>
  <c r="CX28" i="10"/>
  <c r="CB1134" i="10"/>
  <c r="CB1136" i="10" s="1"/>
  <c r="CB22" i="10" s="1"/>
  <c r="BT92" i="10"/>
  <c r="BT95" i="10" s="1"/>
  <c r="BT13" i="10" s="1"/>
  <c r="BT41" i="49" s="1"/>
  <c r="BT68" i="49" s="1"/>
  <c r="BT166" i="49" s="1"/>
  <c r="BT269" i="49" s="1"/>
  <c r="BP92" i="10"/>
  <c r="BP95" i="10" s="1"/>
  <c r="BP13" i="10" s="1"/>
  <c r="AL537" i="42"/>
  <c r="CG496" i="42"/>
  <c r="CL457" i="42"/>
  <c r="CC377" i="42"/>
  <c r="BR350" i="42"/>
  <c r="AL313" i="42"/>
  <c r="T302" i="42"/>
  <c r="Z313" i="42"/>
  <c r="CJ294" i="42"/>
  <c r="CJ325" i="42" s="1"/>
  <c r="CJ326" i="42" s="1"/>
  <c r="V272" i="42"/>
  <c r="BU265" i="42"/>
  <c r="BU277" i="42" s="1"/>
  <c r="BE265" i="42"/>
  <c r="BE277" i="42" s="1"/>
  <c r="AO265" i="42"/>
  <c r="AO277" i="42" s="1"/>
  <c r="CF242" i="42"/>
  <c r="BH242" i="42"/>
  <c r="CK242" i="42"/>
  <c r="CS220" i="42"/>
  <c r="CT216" i="42"/>
  <c r="BX211" i="42"/>
  <c r="CJ197" i="42"/>
  <c r="BH191" i="42"/>
  <c r="AR44" i="43"/>
  <c r="AR48" i="43" s="1"/>
  <c r="AR45" i="43"/>
  <c r="AR49" i="43" s="1"/>
  <c r="CH15" i="46"/>
  <c r="CG41" i="46"/>
  <c r="BM99" i="42"/>
  <c r="BM101" i="42" s="1"/>
  <c r="AZ45" i="43"/>
  <c r="AZ44" i="43"/>
  <c r="CJ27" i="43"/>
  <c r="DU18" i="41" s="1"/>
  <c r="BH27" i="43"/>
  <c r="BH251" i="46"/>
  <c r="BH255" i="46" s="1"/>
  <c r="BH358" i="46"/>
  <c r="BH359" i="46" s="1"/>
  <c r="CH134" i="46"/>
  <c r="CH135" i="46" s="1"/>
  <c r="CH138" i="46" s="1"/>
  <c r="BH109" i="46"/>
  <c r="BH111" i="46" s="1"/>
  <c r="CO218" i="46"/>
  <c r="CP218" i="46" s="1"/>
  <c r="CU218" i="46" s="1"/>
  <c r="CP173" i="46"/>
  <c r="BY18" i="46"/>
  <c r="BY23" i="46" s="1"/>
  <c r="BY39" i="46"/>
  <c r="AW368" i="42"/>
  <c r="AW273" i="42" s="1"/>
  <c r="AD274" i="42"/>
  <c r="AL268" i="42"/>
  <c r="CN218" i="42"/>
  <c r="BM218" i="42"/>
  <c r="CG197" i="42"/>
  <c r="BQ192" i="42"/>
  <c r="CS172" i="42"/>
  <c r="BH133" i="42"/>
  <c r="BH596" i="20" s="1"/>
  <c r="AH96" i="42"/>
  <c r="T27" i="43"/>
  <c r="T30" i="43"/>
  <c r="U34" i="43"/>
  <c r="CE214" i="46"/>
  <c r="CA211" i="46"/>
  <c r="CQ148" i="46"/>
  <c r="CY212" i="46"/>
  <c r="DC212" i="46"/>
  <c r="CQ214" i="46"/>
  <c r="BI215" i="46"/>
  <c r="BJ215" i="46" s="1"/>
  <c r="CL15" i="46"/>
  <c r="CL41" i="46" s="1"/>
  <c r="CK41" i="46"/>
  <c r="CO18" i="46"/>
  <c r="CO23" i="46" s="1"/>
  <c r="CO40" i="46"/>
  <c r="Y313" i="42"/>
  <c r="AW291" i="42"/>
  <c r="AW303" i="42" s="1"/>
  <c r="BN308" i="42"/>
  <c r="CS368" i="42"/>
  <c r="CS273" i="42" s="1"/>
  <c r="CH269" i="42"/>
  <c r="BJ269" i="42"/>
  <c r="BJ91" i="49" s="1"/>
  <c r="AL269" i="42"/>
  <c r="CX262" i="42"/>
  <c r="CN246" i="42"/>
  <c r="BP246" i="42"/>
  <c r="CC242" i="42"/>
  <c r="BE242" i="42"/>
  <c r="AG242" i="42"/>
  <c r="BY238" i="42"/>
  <c r="BA238" i="42"/>
  <c r="BH238" i="42"/>
  <c r="AJ238" i="42"/>
  <c r="BH218" i="42"/>
  <c r="BY209" i="42"/>
  <c r="CG202" i="42"/>
  <c r="AV172" i="42"/>
  <c r="CK192" i="46"/>
  <c r="DB114" i="42"/>
  <c r="CP100" i="42"/>
  <c r="CV99" i="42"/>
  <c r="CV101" i="42" s="1"/>
  <c r="CZ197" i="42"/>
  <c r="DA197" i="42" s="1"/>
  <c r="CZ26" i="42"/>
  <c r="CO157" i="42"/>
  <c r="CR157" i="42" s="1"/>
  <c r="CS157" i="42" s="1"/>
  <c r="CO149" i="42"/>
  <c r="CO152" i="42" s="1"/>
  <c r="DA192" i="46"/>
  <c r="DB124" i="42"/>
  <c r="DB464" i="42" s="1"/>
  <c r="AR298" i="46"/>
  <c r="AR245" i="46" s="1"/>
  <c r="AR246" i="46" s="1"/>
  <c r="AR254" i="46" s="1"/>
  <c r="AR307" i="46"/>
  <c r="AR308" i="46" s="1"/>
  <c r="AR279" i="46" s="1"/>
  <c r="DC213" i="46"/>
  <c r="BX33" i="46"/>
  <c r="BX46" i="46" s="1"/>
  <c r="BZ315" i="49"/>
  <c r="BZ212" i="49"/>
  <c r="BZ314" i="49"/>
  <c r="BZ211" i="49"/>
  <c r="BN313" i="49"/>
  <c r="BN210" i="49"/>
  <c r="AT27" i="42"/>
  <c r="AD27" i="42"/>
  <c r="CU40" i="43"/>
  <c r="CY40" i="43"/>
  <c r="AD34" i="43"/>
  <c r="AP397" i="46"/>
  <c r="AO414" i="46"/>
  <c r="AP414" i="46" s="1"/>
  <c r="CV215" i="46"/>
  <c r="CV217" i="46" s="1"/>
  <c r="CZ142" i="46"/>
  <c r="CZ162" i="46"/>
  <c r="BR212" i="49"/>
  <c r="BR315" i="49"/>
  <c r="BV211" i="49"/>
  <c r="BV314" i="49"/>
  <c r="BJ313" i="49"/>
  <c r="BJ210" i="49"/>
  <c r="CX135" i="42"/>
  <c r="BT133" i="42"/>
  <c r="BT596" i="20" s="1"/>
  <c r="CX109" i="42"/>
  <c r="CX114" i="42" s="1"/>
  <c r="CW114" i="42"/>
  <c r="AJ99" i="42"/>
  <c r="CW26" i="42"/>
  <c r="CX26" i="42" s="1"/>
  <c r="BT45" i="42"/>
  <c r="BU45" i="42"/>
  <c r="CP42" i="43"/>
  <c r="AV28" i="41" s="1"/>
  <c r="AP13" i="43"/>
  <c r="AP47" i="43"/>
  <c r="AS330" i="46"/>
  <c r="BN322" i="49"/>
  <c r="BN27" i="43"/>
  <c r="BS27" i="43" s="1"/>
  <c r="AS364" i="46"/>
  <c r="AT364" i="46" s="1"/>
  <c r="AT390" i="46"/>
  <c r="AR372" i="46"/>
  <c r="CL30" i="46"/>
  <c r="CL43" i="46" s="1"/>
  <c r="CK43" i="46"/>
  <c r="CK57" i="46" s="1"/>
  <c r="CN54" i="46" s="1"/>
  <c r="CP54" i="46" s="1"/>
  <c r="BN26" i="46"/>
  <c r="BN39" i="46" s="1"/>
  <c r="BM31" i="46"/>
  <c r="BM44" i="46" s="1"/>
  <c r="BM39" i="46"/>
  <c r="CP20" i="46"/>
  <c r="CP46" i="46" s="1"/>
  <c r="CO46" i="46"/>
  <c r="BJ219" i="49"/>
  <c r="BJ322" i="49"/>
  <c r="BJ315" i="49"/>
  <c r="BJ212" i="49"/>
  <c r="BN314" i="49"/>
  <c r="BN211" i="49"/>
  <c r="AO291" i="42"/>
  <c r="AO303" i="42" s="1"/>
  <c r="CC361" i="42"/>
  <c r="CC272" i="42" s="1"/>
  <c r="AT270" i="42"/>
  <c r="AD269" i="42"/>
  <c r="CK283" i="42"/>
  <c r="CK286" i="42" s="1"/>
  <c r="CK323" i="42" s="1"/>
  <c r="AR265" i="42"/>
  <c r="AR277" i="42" s="1"/>
  <c r="AS267" i="42" s="1"/>
  <c r="AB265" i="42"/>
  <c r="AB277" i="42" s="1"/>
  <c r="AC267" i="42" s="1"/>
  <c r="BE250" i="42"/>
  <c r="AG250" i="42"/>
  <c r="BT242" i="42"/>
  <c r="AV242" i="42"/>
  <c r="CW242" i="42"/>
  <c r="BY242" i="42"/>
  <c r="BA242" i="42"/>
  <c r="AC242" i="42"/>
  <c r="AW238" i="42"/>
  <c r="BQ209" i="42"/>
  <c r="BM172" i="42"/>
  <c r="AS178" i="42"/>
  <c r="AT178" i="42" s="1"/>
  <c r="CF177" i="42"/>
  <c r="BL184" i="42"/>
  <c r="CC192" i="46"/>
  <c r="CC123" i="42"/>
  <c r="CR99" i="42"/>
  <c r="Z96" i="42"/>
  <c r="BY70" i="42"/>
  <c r="AL68" i="42"/>
  <c r="CL68" i="42"/>
  <c r="DA336" i="42"/>
  <c r="Y13" i="43"/>
  <c r="Y15" i="43" s="1"/>
  <c r="Y17" i="43" s="1"/>
  <c r="Y34" i="43" s="1"/>
  <c r="Y47" i="43"/>
  <c r="Y30" i="43"/>
  <c r="CA210" i="46"/>
  <c r="BB51" i="46"/>
  <c r="BI334" i="42"/>
  <c r="BI353" i="42" s="1"/>
  <c r="CS336" i="42"/>
  <c r="CV331" i="42" s="1"/>
  <c r="AR313" i="42"/>
  <c r="BR294" i="42"/>
  <c r="BR110" i="49" s="1"/>
  <c r="CW368" i="42"/>
  <c r="CW273" i="42" s="1"/>
  <c r="AN368" i="42"/>
  <c r="AN273" i="42" s="1"/>
  <c r="AP270" i="42"/>
  <c r="BV261" i="42"/>
  <c r="BD250" i="42"/>
  <c r="AF250" i="42"/>
  <c r="BX242" i="42"/>
  <c r="AZ242" i="42"/>
  <c r="CK238" i="42"/>
  <c r="AO238" i="42"/>
  <c r="CV220" i="42"/>
  <c r="DA178" i="42"/>
  <c r="CC177" i="42"/>
  <c r="BH172" i="42"/>
  <c r="CX122" i="42"/>
  <c r="CW123" i="42"/>
  <c r="BE99" i="42"/>
  <c r="BE529" i="42" s="1"/>
  <c r="AK99" i="42"/>
  <c r="AH68" i="42"/>
  <c r="CO62" i="42"/>
  <c r="AB47" i="43"/>
  <c r="AS13" i="43"/>
  <c r="AS15" i="43" s="1"/>
  <c r="AS17" i="43" s="1"/>
  <c r="AS47" i="43"/>
  <c r="AT287" i="46"/>
  <c r="CM145" i="46"/>
  <c r="CQ145" i="46"/>
  <c r="BX142" i="46"/>
  <c r="CV46" i="46"/>
  <c r="BT40" i="46"/>
  <c r="BN33" i="46"/>
  <c r="BN46" i="46" s="1"/>
  <c r="BM46" i="46"/>
  <c r="BJ32" i="46"/>
  <c r="BJ45" i="46" s="1"/>
  <c r="BI45" i="46"/>
  <c r="BV17" i="46"/>
  <c r="BU43" i="46"/>
  <c r="BU57" i="46" s="1"/>
  <c r="BX54" i="46" s="1"/>
  <c r="BZ54" i="46" s="1"/>
  <c r="BN315" i="49"/>
  <c r="BN212" i="49"/>
  <c r="BF210" i="49"/>
  <c r="BF313" i="49"/>
  <c r="CS135" i="42"/>
  <c r="CS598" i="20" s="1"/>
  <c r="AV99" i="42"/>
  <c r="AV529" i="42" s="1"/>
  <c r="CB99" i="42"/>
  <c r="CB529" i="42" s="1"/>
  <c r="CT96" i="42"/>
  <c r="AF99" i="42"/>
  <c r="Q68" i="42"/>
  <c r="Q69" i="42" s="1"/>
  <c r="Q70" i="42" s="1"/>
  <c r="CF62" i="42"/>
  <c r="R1" i="42"/>
  <c r="R2" i="42" s="1"/>
  <c r="R541" i="42" s="1"/>
  <c r="CN44" i="43"/>
  <c r="CN46" i="43" s="1"/>
  <c r="BW21" i="43"/>
  <c r="BB27" i="43"/>
  <c r="CM18" i="41" s="1"/>
  <c r="AP392" i="46"/>
  <c r="BH340" i="46"/>
  <c r="BD415" i="46"/>
  <c r="BD417" i="46" s="1"/>
  <c r="BD251" i="46" s="1"/>
  <c r="BD255" i="46" s="1"/>
  <c r="BY225" i="46"/>
  <c r="BY227" i="46" s="1"/>
  <c r="BQ174" i="46"/>
  <c r="BR174" i="46" s="1"/>
  <c r="CO174" i="46"/>
  <c r="CP174" i="46" s="1"/>
  <c r="CS161" i="46"/>
  <c r="CZ109" i="46"/>
  <c r="CZ111" i="46" s="1"/>
  <c r="BP87" i="46"/>
  <c r="CQ212" i="46"/>
  <c r="AX50" i="46"/>
  <c r="AX51" i="46"/>
  <c r="CG43" i="46"/>
  <c r="CG57" i="46" s="1"/>
  <c r="AO43" i="46"/>
  <c r="CH313" i="49"/>
  <c r="BT123" i="42"/>
  <c r="BR100" i="42"/>
  <c r="AT113" i="42"/>
  <c r="AP96" i="42"/>
  <c r="CD62" i="42"/>
  <c r="BJ26" i="42"/>
  <c r="AP27" i="42"/>
  <c r="BZ42" i="43"/>
  <c r="AF28" i="41" s="1"/>
  <c r="CE40" i="43"/>
  <c r="CW26" i="43"/>
  <c r="BT27" i="43"/>
  <c r="AJ13" i="43"/>
  <c r="AJ15" i="43" s="1"/>
  <c r="AJ17" i="43" s="1"/>
  <c r="BA367" i="46"/>
  <c r="BB367" i="46" s="1"/>
  <c r="BA415" i="46"/>
  <c r="DA223" i="46"/>
  <c r="DA225" i="46" s="1"/>
  <c r="DA227" i="46" s="1"/>
  <c r="CR215" i="46"/>
  <c r="CN174" i="46"/>
  <c r="CI151" i="46"/>
  <c r="BP161" i="46"/>
  <c r="BT157" i="46"/>
  <c r="BV133" i="46"/>
  <c r="BV134" i="46" s="1"/>
  <c r="BV135" i="46" s="1"/>
  <c r="BV138" i="46" s="1"/>
  <c r="BJ96" i="46"/>
  <c r="CI213" i="46"/>
  <c r="CA218" i="46"/>
  <c r="BU215" i="46"/>
  <c r="CW42" i="46"/>
  <c r="BZ42" i="46"/>
  <c r="BB29" i="46"/>
  <c r="BA42" i="46"/>
  <c r="BB42" i="46" s="1"/>
  <c r="CL20" i="46"/>
  <c r="CL46" i="46" s="1"/>
  <c r="CK46" i="46"/>
  <c r="BO48" i="51"/>
  <c r="CJ5" i="51" s="1"/>
  <c r="AX96" i="42"/>
  <c r="R68" i="42"/>
  <c r="CB45" i="42"/>
  <c r="BS21" i="43"/>
  <c r="AO30" i="43"/>
  <c r="AX287" i="46"/>
  <c r="BU225" i="46"/>
  <c r="BU227" i="46" s="1"/>
  <c r="CJ142" i="46"/>
  <c r="CO215" i="46"/>
  <c r="CO205" i="46" s="1"/>
  <c r="BH42" i="46"/>
  <c r="CW40" i="46"/>
  <c r="DA33" i="46"/>
  <c r="DB33" i="46" s="1"/>
  <c r="DB46" i="46" s="1"/>
  <c r="BZ40" i="46"/>
  <c r="BV219" i="49"/>
  <c r="CX214" i="49"/>
  <c r="DB209" i="49" s="1"/>
  <c r="CX317" i="49"/>
  <c r="BL133" i="42"/>
  <c r="BL596" i="20" s="1"/>
  <c r="BP138" i="42"/>
  <c r="BP601" i="20" s="1"/>
  <c r="BY45" i="42"/>
  <c r="AL1" i="42"/>
  <c r="AL2" i="42" s="1"/>
  <c r="AL541" i="42" s="1"/>
  <c r="CA40" i="43"/>
  <c r="CS26" i="43"/>
  <c r="CG12" i="43"/>
  <c r="AO398" i="46"/>
  <c r="AO400" i="46" s="1"/>
  <c r="AP400" i="46" s="1"/>
  <c r="AW364" i="46"/>
  <c r="AX364" i="46" s="1"/>
  <c r="CV223" i="46"/>
  <c r="CV225" i="46" s="1"/>
  <c r="CV227" i="46" s="1"/>
  <c r="CU213" i="46"/>
  <c r="CJ174" i="46"/>
  <c r="DC151" i="46"/>
  <c r="CE151" i="46"/>
  <c r="CY145" i="46"/>
  <c r="BP157" i="46"/>
  <c r="BM215" i="46"/>
  <c r="BM217" i="46" s="1"/>
  <c r="BV29" i="46"/>
  <c r="BU42" i="46"/>
  <c r="AZ31" i="46"/>
  <c r="AZ39" i="46"/>
  <c r="CJ39" i="46"/>
  <c r="AB30" i="43"/>
  <c r="AR36" i="43" s="1"/>
  <c r="AX317" i="46"/>
  <c r="AX323" i="46" s="1"/>
  <c r="AS291" i="46"/>
  <c r="AS298" i="46" s="1"/>
  <c r="AZ323" i="46"/>
  <c r="AZ324" i="46" s="1"/>
  <c r="AZ347" i="46" s="1"/>
  <c r="AZ346" i="46" s="1"/>
  <c r="CU210" i="46"/>
  <c r="BU46" i="46"/>
  <c r="CG99" i="42"/>
  <c r="DA99" i="42"/>
  <c r="DD539" i="42" s="1"/>
  <c r="DF539" i="42" s="1"/>
  <c r="DF138" i="49" s="1"/>
  <c r="AB99" i="42"/>
  <c r="AB101" i="42" s="1"/>
  <c r="DB68" i="42"/>
  <c r="BF68" i="42"/>
  <c r="AD63" i="42"/>
  <c r="Q13" i="43"/>
  <c r="Q32" i="43" s="1"/>
  <c r="BN319" i="49"/>
  <c r="BN216" i="49"/>
  <c r="CL212" i="49"/>
  <c r="CL315" i="49"/>
  <c r="CL211" i="49"/>
  <c r="CL314" i="49"/>
  <c r="BI133" i="42"/>
  <c r="BI596" i="20" s="1"/>
  <c r="CF99" i="42"/>
  <c r="CF101" i="42" s="1"/>
  <c r="AL96" i="42"/>
  <c r="P99" i="42"/>
  <c r="BI45" i="42"/>
  <c r="BB27" i="42"/>
  <c r="CZ206" i="42"/>
  <c r="CZ193" i="46" s="1"/>
  <c r="AK47" i="43"/>
  <c r="BF42" i="43"/>
  <c r="L28" i="41" s="1"/>
  <c r="P72" i="41" s="1"/>
  <c r="R42" i="43"/>
  <c r="BL27" i="43"/>
  <c r="AV340" i="46"/>
  <c r="AS308" i="46"/>
  <c r="AS279" i="46" s="1"/>
  <c r="BF290" i="46"/>
  <c r="BF291" i="46" s="1"/>
  <c r="CK225" i="46"/>
  <c r="CK227" i="46" s="1"/>
  <c r="CM212" i="46"/>
  <c r="CZ174" i="46"/>
  <c r="CG161" i="46"/>
  <c r="BI161" i="46"/>
  <c r="BM157" i="46"/>
  <c r="CG157" i="46"/>
  <c r="BI157" i="46"/>
  <c r="BP109" i="46"/>
  <c r="BP111" i="46" s="1"/>
  <c r="CY218" i="46"/>
  <c r="CM213" i="46"/>
  <c r="BA43" i="46"/>
  <c r="BB43" i="46" s="1"/>
  <c r="AX33" i="46"/>
  <c r="AW46" i="46"/>
  <c r="AX46" i="46" s="1"/>
  <c r="BT31" i="46"/>
  <c r="BT36" i="46" s="1"/>
  <c r="CR18" i="46"/>
  <c r="CR23" i="46" s="1"/>
  <c r="CR41" i="46"/>
  <c r="C46" i="51"/>
  <c r="C56" i="51" s="1"/>
  <c r="C59" i="51" s="1"/>
  <c r="F1" i="42"/>
  <c r="F2" i="42" s="1"/>
  <c r="BV42" i="43"/>
  <c r="CE21" i="43"/>
  <c r="BK21" i="43"/>
  <c r="AS21" i="43"/>
  <c r="AS27" i="43" s="1"/>
  <c r="BT215" i="46"/>
  <c r="BT217" i="46" s="1"/>
  <c r="DA174" i="46"/>
  <c r="DB174" i="46" s="1"/>
  <c r="CC161" i="46"/>
  <c r="CU148" i="46"/>
  <c r="CM147" i="46"/>
  <c r="CF157" i="46"/>
  <c r="CG40" i="46"/>
  <c r="BR46" i="46"/>
  <c r="CB43" i="46"/>
  <c r="CB57" i="46" s="1"/>
  <c r="CC54" i="46" s="1"/>
  <c r="CB39" i="46"/>
  <c r="BR314" i="49"/>
  <c r="CP45" i="46"/>
  <c r="BR45" i="46"/>
  <c r="CF18" i="46"/>
  <c r="CF23" i="46" s="1"/>
  <c r="AN86" i="51"/>
  <c r="CP317" i="49"/>
  <c r="CP335" i="49" s="1"/>
  <c r="CG31" i="46"/>
  <c r="CG36" i="46" s="1"/>
  <c r="CP43" i="46"/>
  <c r="BT43" i="46"/>
  <c r="BT57" i="46" s="1"/>
  <c r="CJ18" i="46"/>
  <c r="BN18" i="46"/>
  <c r="BN23" i="46" s="1"/>
  <c r="BZ319" i="49"/>
  <c r="BY45" i="46"/>
  <c r="BJ46" i="46"/>
  <c r="CD45" i="46"/>
  <c r="BN43" i="46"/>
  <c r="CZ46" i="46"/>
  <c r="BP31" i="46"/>
  <c r="BP44" i="46" s="1"/>
  <c r="CZ18" i="46"/>
  <c r="CZ23" i="46" s="1"/>
  <c r="CD43" i="46"/>
  <c r="CT41" i="46"/>
  <c r="CV43" i="46"/>
  <c r="CV57" i="46" s="1"/>
  <c r="CW54" i="46" s="1"/>
  <c r="DM1038" i="10"/>
  <c r="DM169" i="20"/>
  <c r="DM164" i="20" s="1"/>
  <c r="DM1039" i="10"/>
  <c r="DN496" i="10"/>
  <c r="DN1039" i="10" s="1"/>
  <c r="DM423" i="20"/>
  <c r="DJ609" i="10"/>
  <c r="DL285" i="20"/>
  <c r="DP285" i="20" s="1"/>
  <c r="DJ285" i="20"/>
  <c r="CC805" i="20"/>
  <c r="CG841" i="20"/>
  <c r="CF841" i="20"/>
  <c r="CF805" i="20" s="1"/>
  <c r="CB805" i="20"/>
  <c r="CD841" i="20"/>
  <c r="CD846" i="20" s="1"/>
  <c r="BU847" i="20"/>
  <c r="BF57" i="41"/>
  <c r="AP57" i="41"/>
  <c r="CN946" i="20"/>
  <c r="CN880" i="20" s="1"/>
  <c r="DF802" i="20"/>
  <c r="CL802" i="20"/>
  <c r="BN781" i="20"/>
  <c r="EP5" i="41"/>
  <c r="DZ5" i="41"/>
  <c r="DJ889" i="20"/>
  <c r="CK946" i="20"/>
  <c r="CK880" i="20" s="1"/>
  <c r="CL879" i="20"/>
  <c r="CF909" i="20"/>
  <c r="CJ909" i="20" s="1"/>
  <c r="CN909" i="20" s="1"/>
  <c r="CR909" i="20" s="1"/>
  <c r="CV909" i="20" s="1"/>
  <c r="CZ909" i="20" s="1"/>
  <c r="DD909" i="20" s="1"/>
  <c r="BQ847" i="20"/>
  <c r="BR821" i="20"/>
  <c r="CV869" i="20"/>
  <c r="CV801" i="20" s="1"/>
  <c r="CP800" i="20"/>
  <c r="BE616" i="20"/>
  <c r="BE604" i="20" s="1"/>
  <c r="BH616" i="20"/>
  <c r="BH604" i="20" s="1"/>
  <c r="Z57" i="41"/>
  <c r="AH72" i="41"/>
  <c r="O72" i="41"/>
  <c r="EO5" i="41"/>
  <c r="DJ932" i="20"/>
  <c r="DM927" i="20"/>
  <c r="CD924" i="20"/>
  <c r="CD928" i="20" s="1"/>
  <c r="BZ836" i="20"/>
  <c r="BX833" i="20"/>
  <c r="BN836" i="20"/>
  <c r="BP824" i="20"/>
  <c r="AZ824" i="20"/>
  <c r="BY815" i="20"/>
  <c r="DB802" i="20"/>
  <c r="DJ800" i="20"/>
  <c r="CR772" i="20"/>
  <c r="CN772" i="20"/>
  <c r="CB772" i="20"/>
  <c r="BX772" i="20"/>
  <c r="BI672" i="20"/>
  <c r="BI678" i="20" s="1"/>
  <c r="BI680" i="20" s="1"/>
  <c r="AY72" i="41"/>
  <c r="F57" i="41"/>
  <c r="EM5" i="41"/>
  <c r="DF932" i="20"/>
  <c r="DL927" i="20"/>
  <c r="DA947" i="20"/>
  <c r="CH879" i="20"/>
  <c r="CP869" i="20"/>
  <c r="BQ844" i="20"/>
  <c r="BF836" i="20"/>
  <c r="AV815" i="20"/>
  <c r="CL810" i="20"/>
  <c r="BR808" i="20"/>
  <c r="BX847" i="20"/>
  <c r="CS869" i="20"/>
  <c r="CS801" i="20" s="1"/>
  <c r="CL800" i="20"/>
  <c r="CL770" i="20"/>
  <c r="AP844" i="20"/>
  <c r="AX72" i="41"/>
  <c r="AW38" i="41"/>
  <c r="AW39" i="41" s="1"/>
  <c r="DB932" i="20"/>
  <c r="CN928" i="20"/>
  <c r="DI927" i="20"/>
  <c r="CJ946" i="20"/>
  <c r="CJ880" i="20" s="1"/>
  <c r="BL848" i="20"/>
  <c r="BY846" i="20"/>
  <c r="AS846" i="20"/>
  <c r="BT844" i="20"/>
  <c r="BD844" i="20"/>
  <c r="AN844" i="20"/>
  <c r="CB837" i="20"/>
  <c r="BZ848" i="20"/>
  <c r="DA869" i="20"/>
  <c r="DA801" i="20" s="1"/>
  <c r="AX51" i="41"/>
  <c r="AH51" i="41"/>
  <c r="R51" i="41"/>
  <c r="BX895" i="20"/>
  <c r="DB889" i="20"/>
  <c r="CD881" i="20"/>
  <c r="CX943" i="20"/>
  <c r="CX879" i="20"/>
  <c r="DM928" i="20"/>
  <c r="CV928" i="20"/>
  <c r="CF928" i="20"/>
  <c r="BX846" i="20"/>
  <c r="BH847" i="20"/>
  <c r="BZ824" i="20"/>
  <c r="BM821" i="20"/>
  <c r="AW823" i="20"/>
  <c r="DB810" i="20"/>
  <c r="CH810" i="20"/>
  <c r="AX808" i="20"/>
  <c r="DM869" i="20"/>
  <c r="DM801" i="20" s="1"/>
  <c r="CR869" i="20"/>
  <c r="CR801" i="20" s="1"/>
  <c r="CP797" i="20"/>
  <c r="CD761" i="20"/>
  <c r="AF51" i="41"/>
  <c r="CF925" i="20"/>
  <c r="BX837" i="20"/>
  <c r="BJ830" i="20"/>
  <c r="BE823" i="20"/>
  <c r="BV824" i="20"/>
  <c r="BL821" i="20"/>
  <c r="AV821" i="20"/>
  <c r="BM815" i="20"/>
  <c r="CZ869" i="20"/>
  <c r="CZ801" i="20" s="1"/>
  <c r="AU51" i="41"/>
  <c r="AE51" i="41"/>
  <c r="O51" i="41"/>
  <c r="BX955" i="20"/>
  <c r="CZ947" i="20"/>
  <c r="CP932" i="20"/>
  <c r="AZ851" i="20"/>
  <c r="BX844" i="20"/>
  <c r="BL844" i="20"/>
  <c r="AV844" i="20"/>
  <c r="BI834" i="20"/>
  <c r="BD823" i="20"/>
  <c r="DL869" i="20"/>
  <c r="DL801" i="20" s="1"/>
  <c r="CF869" i="20"/>
  <c r="CF801" i="20" s="1"/>
  <c r="BZ953" i="20"/>
  <c r="BZ958" i="20" s="1"/>
  <c r="BV851" i="20"/>
  <c r="BD847" i="20"/>
  <c r="BJ846" i="20"/>
  <c r="AT846" i="20"/>
  <c r="CV768" i="20"/>
  <c r="CF768" i="20"/>
  <c r="BP768" i="20"/>
  <c r="AT848" i="20"/>
  <c r="DJ924" i="20"/>
  <c r="DJ881" i="20"/>
  <c r="CP881" i="20"/>
  <c r="CK947" i="20"/>
  <c r="BM844" i="20"/>
  <c r="BB847" i="20"/>
  <c r="BB824" i="20"/>
  <c r="BX821" i="20"/>
  <c r="BH821" i="20"/>
  <c r="AR821" i="20"/>
  <c r="DN810" i="20"/>
  <c r="BH815" i="20"/>
  <c r="DI869" i="20"/>
  <c r="DI801" i="20" s="1"/>
  <c r="CH797" i="20"/>
  <c r="BB761" i="20"/>
  <c r="CT889" i="20"/>
  <c r="BI846" i="20"/>
  <c r="BX824" i="20"/>
  <c r="BU824" i="20"/>
  <c r="BF821" i="20"/>
  <c r="CK869" i="20"/>
  <c r="CK801" i="20" s="1"/>
  <c r="CD828" i="20"/>
  <c r="CD836" i="20" s="1"/>
  <c r="CG772" i="20"/>
  <c r="CC772" i="20"/>
  <c r="BA772" i="20"/>
  <c r="AW772" i="20"/>
  <c r="AT733" i="20"/>
  <c r="AX736" i="20"/>
  <c r="CT735" i="20"/>
  <c r="AX733" i="20"/>
  <c r="AX735" i="20"/>
  <c r="BB568" i="20"/>
  <c r="BB570" i="20"/>
  <c r="BF772" i="20"/>
  <c r="CN740" i="20"/>
  <c r="CK735" i="20"/>
  <c r="CK733" i="20"/>
  <c r="BE736" i="20"/>
  <c r="CG733" i="20"/>
  <c r="BD677" i="20"/>
  <c r="BF676" i="20"/>
  <c r="AP670" i="20"/>
  <c r="CR657" i="20"/>
  <c r="CS656" i="20"/>
  <c r="BQ654" i="20"/>
  <c r="BZ611" i="20"/>
  <c r="CE604" i="20"/>
  <c r="CL587" i="20"/>
  <c r="BZ567" i="20"/>
  <c r="BT570" i="20"/>
  <c r="BU538" i="20"/>
  <c r="BE538" i="20"/>
  <c r="CC537" i="20"/>
  <c r="BI534" i="20"/>
  <c r="BQ534" i="20"/>
  <c r="AZ503" i="20"/>
  <c r="BV500" i="20"/>
  <c r="CR461" i="20"/>
  <c r="CB461" i="20"/>
  <c r="BL461" i="20"/>
  <c r="BR437" i="20"/>
  <c r="BR449" i="20" s="1"/>
  <c r="AV585" i="10"/>
  <c r="AV590" i="10" s="1"/>
  <c r="AV484" i="10" s="1"/>
  <c r="AX316" i="20"/>
  <c r="CG869" i="20"/>
  <c r="CG801" i="20" s="1"/>
  <c r="CK772" i="20"/>
  <c r="BU772" i="20"/>
  <c r="BE772" i="20"/>
  <c r="CP761" i="20"/>
  <c r="AZ736" i="20"/>
  <c r="CJ735" i="20"/>
  <c r="CW733" i="20"/>
  <c r="AW733" i="20"/>
  <c r="AS722" i="20"/>
  <c r="BZ705" i="20"/>
  <c r="BB79" i="10"/>
  <c r="CW658" i="20"/>
  <c r="CG658" i="20"/>
  <c r="BQ658" i="20"/>
  <c r="BA658" i="20"/>
  <c r="AO654" i="20"/>
  <c r="CL656" i="20"/>
  <c r="DB608" i="20"/>
  <c r="DF614" i="20" s="1"/>
  <c r="CE605" i="20"/>
  <c r="CK593" i="20"/>
  <c r="CG593" i="20"/>
  <c r="CL592" i="20"/>
  <c r="CW570" i="20"/>
  <c r="CC570" i="20"/>
  <c r="CC568" i="20"/>
  <c r="AZ568" i="20"/>
  <c r="CU544" i="20"/>
  <c r="BO544" i="20"/>
  <c r="BT538" i="20"/>
  <c r="BD538" i="20"/>
  <c r="BH537" i="20"/>
  <c r="AV534" i="20"/>
  <c r="BS516" i="20"/>
  <c r="BJ525" i="20"/>
  <c r="BD502" i="20"/>
  <c r="BS469" i="20"/>
  <c r="BX457" i="20"/>
  <c r="BH457" i="20"/>
  <c r="AP457" i="20"/>
  <c r="CO459" i="20"/>
  <c r="CO457" i="20"/>
  <c r="BI459" i="20"/>
  <c r="BI457" i="20"/>
  <c r="CA423" i="20"/>
  <c r="BL187" i="20"/>
  <c r="BL189" i="20"/>
  <c r="BL200" i="20"/>
  <c r="CL761" i="20"/>
  <c r="BT733" i="20"/>
  <c r="BM733" i="20"/>
  <c r="AV733" i="20"/>
  <c r="BV705" i="20"/>
  <c r="CP646" i="20"/>
  <c r="CX587" i="20"/>
  <c r="CE586" i="20"/>
  <c r="CB570" i="20"/>
  <c r="BP568" i="20"/>
  <c r="CQ544" i="20"/>
  <c r="BY534" i="20"/>
  <c r="AN534" i="20"/>
  <c r="CD525" i="20"/>
  <c r="CD526" i="20" s="1"/>
  <c r="BF525" i="20"/>
  <c r="AZ502" i="20"/>
  <c r="CD500" i="20"/>
  <c r="BD461" i="20"/>
  <c r="CN457" i="20"/>
  <c r="BU443" i="20"/>
  <c r="CP1261" i="10"/>
  <c r="CQ284" i="20"/>
  <c r="CP292" i="20"/>
  <c r="CU284" i="20"/>
  <c r="CP287" i="20"/>
  <c r="CN280" i="20"/>
  <c r="CO280" i="20" s="1"/>
  <c r="CT292" i="20"/>
  <c r="CR280" i="20"/>
  <c r="CS280" i="20" s="1"/>
  <c r="CV280" i="20"/>
  <c r="CW280" i="20" s="1"/>
  <c r="CZ280" i="20"/>
  <c r="DA280" i="20" s="1"/>
  <c r="BF284" i="20"/>
  <c r="BU200" i="20"/>
  <c r="BU187" i="20"/>
  <c r="BU189" i="20"/>
  <c r="BU196" i="20"/>
  <c r="CT770" i="20"/>
  <c r="CD770" i="20"/>
  <c r="CF735" i="20"/>
  <c r="BD735" i="20"/>
  <c r="AR677" i="20"/>
  <c r="CB657" i="20"/>
  <c r="CC656" i="20"/>
  <c r="BH654" i="20"/>
  <c r="CL646" i="20"/>
  <c r="CH621" i="20"/>
  <c r="BZ608" i="20"/>
  <c r="CF593" i="20"/>
  <c r="CW593" i="20"/>
  <c r="CC588" i="20"/>
  <c r="CD587" i="20"/>
  <c r="CH593" i="20" s="1"/>
  <c r="CT591" i="20"/>
  <c r="CD590" i="20"/>
  <c r="BX570" i="20"/>
  <c r="CW568" i="20"/>
  <c r="BN570" i="20"/>
  <c r="BX537" i="20"/>
  <c r="BL534" i="20"/>
  <c r="BA500" i="20"/>
  <c r="AZ461" i="20"/>
  <c r="CK457" i="20"/>
  <c r="CJ461" i="20"/>
  <c r="BT461" i="20"/>
  <c r="AN457" i="20"/>
  <c r="BU451" i="20"/>
  <c r="BE443" i="20"/>
  <c r="CP437" i="20"/>
  <c r="CP449" i="20" s="1"/>
  <c r="AR722" i="20"/>
  <c r="CK451" i="20"/>
  <c r="BD451" i="20"/>
  <c r="DB443" i="20"/>
  <c r="CM410" i="20"/>
  <c r="CQ410" i="20"/>
  <c r="BB442" i="20"/>
  <c r="BR450" i="20"/>
  <c r="CP448" i="20"/>
  <c r="BJ396" i="20"/>
  <c r="BJ397" i="20" s="1"/>
  <c r="BZ957" i="10"/>
  <c r="BZ328" i="20"/>
  <c r="DB327" i="20"/>
  <c r="DF332" i="20" s="1"/>
  <c r="CC869" i="20"/>
  <c r="CC801" i="20" s="1"/>
  <c r="CV772" i="20"/>
  <c r="CF772" i="20"/>
  <c r="BP772" i="20"/>
  <c r="AZ772" i="20"/>
  <c r="BZ761" i="20"/>
  <c r="CB735" i="20"/>
  <c r="AZ735" i="20"/>
  <c r="BJ705" i="20"/>
  <c r="CR658" i="20"/>
  <c r="CB658" i="20"/>
  <c r="BL658" i="20"/>
  <c r="AV658" i="20"/>
  <c r="CF654" i="20"/>
  <c r="BP654" i="20"/>
  <c r="AZ654" i="20"/>
  <c r="CW656" i="20"/>
  <c r="CG656" i="20"/>
  <c r="BQ656" i="20"/>
  <c r="BA656" i="20"/>
  <c r="CD621" i="20"/>
  <c r="CS588" i="20"/>
  <c r="CO570" i="20"/>
  <c r="BM570" i="20"/>
  <c r="CK568" i="20"/>
  <c r="CI544" i="20"/>
  <c r="BT534" i="20"/>
  <c r="CB534" i="20"/>
  <c r="AP534" i="20"/>
  <c r="CA401" i="20"/>
  <c r="BW401" i="20"/>
  <c r="CF334" i="20"/>
  <c r="DB102" i="10"/>
  <c r="BZ293" i="20"/>
  <c r="CD293" i="20"/>
  <c r="CA285" i="20"/>
  <c r="CE285" i="20"/>
  <c r="CW232" i="20"/>
  <c r="CW295" i="20"/>
  <c r="DA295" i="20"/>
  <c r="CF256" i="20"/>
  <c r="CH241" i="20"/>
  <c r="BU1175" i="10"/>
  <c r="BV240" i="20"/>
  <c r="BU329" i="20"/>
  <c r="BY334" i="20" s="1"/>
  <c r="BT552" i="10"/>
  <c r="BV313" i="20"/>
  <c r="BQ45" i="10"/>
  <c r="BQ329" i="20"/>
  <c r="BP45" i="10"/>
  <c r="BR240" i="20"/>
  <c r="BR45" i="10" s="1"/>
  <c r="BP552" i="10"/>
  <c r="BR552" i="10" s="1"/>
  <c r="BR313" i="20"/>
  <c r="BU638" i="10"/>
  <c r="BV638" i="10" s="1"/>
  <c r="BV182" i="20"/>
  <c r="BV183" i="20" s="1"/>
  <c r="BU183" i="20"/>
  <c r="BU118" i="20" s="1"/>
  <c r="BH772" i="20"/>
  <c r="BV761" i="20"/>
  <c r="CL741" i="20"/>
  <c r="CZ735" i="20"/>
  <c r="BH733" i="20"/>
  <c r="BF705" i="20"/>
  <c r="BA654" i="20"/>
  <c r="AX646" i="20"/>
  <c r="CT646" i="20"/>
  <c r="BZ646" i="20"/>
  <c r="CR593" i="20"/>
  <c r="BF492" i="20"/>
  <c r="BV491" i="20"/>
  <c r="BN500" i="20"/>
  <c r="BP461" i="20"/>
  <c r="CV334" i="20"/>
  <c r="CZ334" i="20"/>
  <c r="CX1175" i="10"/>
  <c r="DC240" i="20"/>
  <c r="CX329" i="20"/>
  <c r="CT112" i="10"/>
  <c r="BY445" i="10"/>
  <c r="BY475" i="20"/>
  <c r="CJ365" i="20"/>
  <c r="CH353" i="20"/>
  <c r="CI353" i="20" s="1"/>
  <c r="CF365" i="20"/>
  <c r="CB869" i="20"/>
  <c r="CB801" i="20" s="1"/>
  <c r="CD781" i="20"/>
  <c r="CO770" i="20"/>
  <c r="BY770" i="20"/>
  <c r="BI770" i="20"/>
  <c r="AS768" i="20"/>
  <c r="CJ740" i="20"/>
  <c r="CW735" i="20"/>
  <c r="AV735" i="20"/>
  <c r="BX733" i="20"/>
  <c r="BN677" i="20"/>
  <c r="AN672" i="20"/>
  <c r="BV646" i="20"/>
  <c r="CH579" i="20"/>
  <c r="CH591" i="20"/>
  <c r="AZ571" i="20"/>
  <c r="BI570" i="20"/>
  <c r="CE544" i="20"/>
  <c r="AP568" i="20"/>
  <c r="BE503" i="20"/>
  <c r="BW1176" i="10"/>
  <c r="BT457" i="20"/>
  <c r="BA461" i="20"/>
  <c r="CH437" i="20"/>
  <c r="CH449" i="20" s="1"/>
  <c r="CH420" i="20"/>
  <c r="CD114" i="10"/>
  <c r="CD304" i="20"/>
  <c r="CT293" i="20"/>
  <c r="CT287" i="20"/>
  <c r="CX293" i="20"/>
  <c r="CN733" i="20"/>
  <c r="BU672" i="20"/>
  <c r="BU678" i="20" s="1"/>
  <c r="BU680" i="20" s="1"/>
  <c r="BR688" i="20"/>
  <c r="CB654" i="20"/>
  <c r="AV654" i="20"/>
  <c r="CX579" i="20"/>
  <c r="AO568" i="20"/>
  <c r="AP550" i="20"/>
  <c r="CA544" i="20"/>
  <c r="CE511" i="20"/>
  <c r="CW461" i="20"/>
  <c r="CG461" i="20"/>
  <c r="BQ461" i="20"/>
  <c r="BP443" i="20"/>
  <c r="BJ225" i="20"/>
  <c r="BJ221" i="20"/>
  <c r="BJ761" i="20"/>
  <c r="BZ528" i="20"/>
  <c r="BS402" i="20"/>
  <c r="BW402" i="20"/>
  <c r="CV332" i="20"/>
  <c r="CV330" i="20"/>
  <c r="CY230" i="20"/>
  <c r="CX272" i="20"/>
  <c r="BA140" i="20"/>
  <c r="BA138" i="20"/>
  <c r="BR220" i="20"/>
  <c r="CK768" i="20"/>
  <c r="BU768" i="20"/>
  <c r="BE768" i="20"/>
  <c r="BF761" i="20"/>
  <c r="CZ740" i="20"/>
  <c r="CZ118" i="10" s="1"/>
  <c r="BY672" i="20"/>
  <c r="BY678" i="20" s="1"/>
  <c r="BY680" i="20" s="1"/>
  <c r="CD646" i="20"/>
  <c r="BJ646" i="20"/>
  <c r="DF626" i="20"/>
  <c r="CP608" i="20"/>
  <c r="CZ593" i="20"/>
  <c r="BA534" i="20"/>
  <c r="AX525" i="20"/>
  <c r="BV525" i="20"/>
  <c r="BV526" i="20" s="1"/>
  <c r="AP500" i="20"/>
  <c r="AV461" i="20"/>
  <c r="CS457" i="20"/>
  <c r="CL442" i="20"/>
  <c r="CL443" i="20" s="1"/>
  <c r="CY402" i="20"/>
  <c r="DC402" i="20"/>
  <c r="CA400" i="20"/>
  <c r="CF332" i="20"/>
  <c r="AW333" i="20"/>
  <c r="CP322" i="20"/>
  <c r="CZ276" i="20"/>
  <c r="CH294" i="20"/>
  <c r="CI286" i="20"/>
  <c r="CH222" i="20"/>
  <c r="CZ770" i="20"/>
  <c r="CJ770" i="20"/>
  <c r="BT770" i="20"/>
  <c r="CX761" i="20"/>
  <c r="CX741" i="20"/>
  <c r="CF740" i="20"/>
  <c r="CF118" i="10" s="1"/>
  <c r="CL732" i="20"/>
  <c r="BU733" i="20"/>
  <c r="BQ733" i="20"/>
  <c r="AP733" i="20"/>
  <c r="BZ677" i="20"/>
  <c r="BE677" i="20"/>
  <c r="BQ672" i="20"/>
  <c r="BQ678" i="20" s="1"/>
  <c r="BQ680" i="20" s="1"/>
  <c r="CX656" i="20"/>
  <c r="BF646" i="20"/>
  <c r="CP584" i="20"/>
  <c r="CB568" i="20"/>
  <c r="BU568" i="20"/>
  <c r="BS544" i="20"/>
  <c r="CB537" i="20"/>
  <c r="BX500" i="20"/>
  <c r="BF500" i="20"/>
  <c r="CF461" i="20"/>
  <c r="CR443" i="20"/>
  <c r="CB443" i="20"/>
  <c r="CD455" i="20"/>
  <c r="CS333" i="20"/>
  <c r="CW333" i="20"/>
  <c r="BV290" i="20"/>
  <c r="BZ290" i="20"/>
  <c r="CX218" i="20"/>
  <c r="CX222" i="20"/>
  <c r="CL396" i="20"/>
  <c r="BZ395" i="20"/>
  <c r="BS352" i="20"/>
  <c r="CC332" i="20"/>
  <c r="BD323" i="20"/>
  <c r="BF321" i="20"/>
  <c r="BB308" i="20"/>
  <c r="CW276" i="20"/>
  <c r="CG276" i="20"/>
  <c r="BQ225" i="20"/>
  <c r="BA225" i="20"/>
  <c r="BL138" i="20"/>
  <c r="BL141" i="20"/>
  <c r="BP141" i="20"/>
  <c r="AV141" i="20"/>
  <c r="AV138" i="20"/>
  <c r="CR232" i="20"/>
  <c r="CR37" i="10" s="1"/>
  <c r="DB137" i="20"/>
  <c r="DF141" i="20" s="1"/>
  <c r="CZ141" i="20"/>
  <c r="BA550" i="10"/>
  <c r="BA557" i="10" s="1"/>
  <c r="BA183" i="20"/>
  <c r="BA118" i="20" s="1"/>
  <c r="BB174" i="20"/>
  <c r="BB183" i="20" s="1"/>
  <c r="CS330" i="20"/>
  <c r="CC330" i="20"/>
  <c r="AW323" i="20"/>
  <c r="CX322" i="20"/>
  <c r="BR290" i="20"/>
  <c r="CR218" i="20"/>
  <c r="CV222" i="20"/>
  <c r="CF222" i="20"/>
  <c r="BP222" i="20"/>
  <c r="AZ222" i="20"/>
  <c r="CO187" i="20"/>
  <c r="CN200" i="20"/>
  <c r="CN187" i="20"/>
  <c r="BJ183" i="20"/>
  <c r="AX138" i="20"/>
  <c r="AX140" i="20"/>
  <c r="CZ948" i="10"/>
  <c r="CZ555" i="20"/>
  <c r="CR948" i="10"/>
  <c r="CR952" i="10" s="1"/>
  <c r="CR555" i="20"/>
  <c r="CR562" i="20" s="1"/>
  <c r="CJ555" i="20"/>
  <c r="CR132" i="20"/>
  <c r="CP125" i="20"/>
  <c r="CK151" i="20"/>
  <c r="CL150" i="20"/>
  <c r="CK159" i="20"/>
  <c r="CO159" i="20"/>
  <c r="CJ151" i="20"/>
  <c r="CH150" i="20"/>
  <c r="CH112" i="10" s="1"/>
  <c r="CG151" i="20"/>
  <c r="BD1308" i="10"/>
  <c r="BD1309" i="10" s="1"/>
  <c r="CN397" i="20"/>
  <c r="BX397" i="20"/>
  <c r="BH397" i="20"/>
  <c r="AR397" i="20"/>
  <c r="CE308" i="20"/>
  <c r="CH292" i="20"/>
  <c r="CC291" i="20"/>
  <c r="BP291" i="20"/>
  <c r="AP19" i="10"/>
  <c r="CJ222" i="20"/>
  <c r="BD222" i="20"/>
  <c r="CK221" i="20"/>
  <c r="BU218" i="20"/>
  <c r="AZ218" i="20"/>
  <c r="CL193" i="20"/>
  <c r="CL195" i="20" s="1"/>
  <c r="CN194" i="20"/>
  <c r="CB138" i="20"/>
  <c r="CB141" i="20"/>
  <c r="BN220" i="20"/>
  <c r="CB948" i="10"/>
  <c r="CB952" i="10" s="1"/>
  <c r="CB555" i="20"/>
  <c r="BE1173" i="10"/>
  <c r="BE1180" i="10" s="1"/>
  <c r="BE1181" i="10" s="1"/>
  <c r="BF124" i="20"/>
  <c r="CL447" i="20"/>
  <c r="CP443" i="20"/>
  <c r="BF443" i="20"/>
  <c r="CX396" i="20"/>
  <c r="CX397" i="20" s="1"/>
  <c r="CS332" i="20"/>
  <c r="BF310" i="20"/>
  <c r="CX289" i="20"/>
  <c r="BO284" i="20"/>
  <c r="CV276" i="20"/>
  <c r="AP230" i="20"/>
  <c r="AP272" i="20" s="1"/>
  <c r="CG221" i="20"/>
  <c r="BA220" i="20"/>
  <c r="CH199" i="20"/>
  <c r="CO195" i="20"/>
  <c r="CZ196" i="20"/>
  <c r="DD198" i="20" s="1"/>
  <c r="DA187" i="20"/>
  <c r="CZ189" i="20"/>
  <c r="DB186" i="20"/>
  <c r="DB196" i="20" s="1"/>
  <c r="DF198" i="20" s="1"/>
  <c r="CV232" i="20"/>
  <c r="CV37" i="10" s="1"/>
  <c r="BM160" i="20"/>
  <c r="BN153" i="20"/>
  <c r="BM115" i="20"/>
  <c r="BH197" i="20"/>
  <c r="BH198" i="20"/>
  <c r="CT137" i="20"/>
  <c r="CR138" i="20"/>
  <c r="CR141" i="20"/>
  <c r="CV141" i="20"/>
  <c r="BT555" i="20"/>
  <c r="BT322" i="20"/>
  <c r="BT234" i="20" s="1"/>
  <c r="BL322" i="20"/>
  <c r="BL234" i="20" s="1"/>
  <c r="DA141" i="20"/>
  <c r="DA460" i="20"/>
  <c r="CK460" i="20"/>
  <c r="BU460" i="20"/>
  <c r="BE460" i="20"/>
  <c r="CX459" i="20"/>
  <c r="CL459" i="20"/>
  <c r="BV448" i="20"/>
  <c r="BT443" i="20"/>
  <c r="AT343" i="20"/>
  <c r="BU333" i="20"/>
  <c r="CG330" i="20"/>
  <c r="CN330" i="20"/>
  <c r="BX330" i="20"/>
  <c r="AR330" i="20"/>
  <c r="CX323" i="20"/>
  <c r="BZ322" i="20"/>
  <c r="CH322" i="20"/>
  <c r="BN292" i="20"/>
  <c r="AX286" i="20"/>
  <c r="CX290" i="20"/>
  <c r="CN276" i="20"/>
  <c r="AP238" i="20"/>
  <c r="AP327" i="20" s="1"/>
  <c r="DC233" i="20"/>
  <c r="CB221" i="20"/>
  <c r="CB220" i="20"/>
  <c r="AV220" i="20"/>
  <c r="BP218" i="20"/>
  <c r="CP217" i="20"/>
  <c r="BV137" i="20"/>
  <c r="BV138" i="20" s="1"/>
  <c r="BD162" i="10"/>
  <c r="BF162" i="10" s="1"/>
  <c r="BD627" i="20"/>
  <c r="BD545" i="20" s="1"/>
  <c r="BD550" i="20" s="1"/>
  <c r="BL411" i="20"/>
  <c r="BL343" i="20" s="1"/>
  <c r="CO232" i="20"/>
  <c r="CO37" i="10" s="1"/>
  <c r="BR629" i="10"/>
  <c r="BA151" i="20"/>
  <c r="AZ159" i="20"/>
  <c r="AZ151" i="20"/>
  <c r="CJ443" i="20"/>
  <c r="CC443" i="20"/>
  <c r="DB328" i="20"/>
  <c r="DF333" i="20" s="1"/>
  <c r="DB324" i="20"/>
  <c r="DG324" i="20" s="1"/>
  <c r="BB310" i="20"/>
  <c r="AX299" i="20"/>
  <c r="AT286" i="20"/>
  <c r="AT287" i="20" s="1"/>
  <c r="BH280" i="20"/>
  <c r="BI280" i="20" s="1"/>
  <c r="CX221" i="20"/>
  <c r="BB221" i="20"/>
  <c r="BJ112" i="10"/>
  <c r="BJ159" i="20"/>
  <c r="BA1178" i="10"/>
  <c r="BA677" i="20"/>
  <c r="BH411" i="20"/>
  <c r="CZ232" i="20"/>
  <c r="CZ273" i="20" s="1"/>
  <c r="DD277" i="20" s="1"/>
  <c r="CO461" i="20"/>
  <c r="BY461" i="20"/>
  <c r="BI461" i="20"/>
  <c r="CV451" i="20"/>
  <c r="CZ443" i="20"/>
  <c r="CS443" i="20"/>
  <c r="CE410" i="20"/>
  <c r="CQ402" i="20"/>
  <c r="BZ437" i="20"/>
  <c r="BZ449" i="20" s="1"/>
  <c r="AT352" i="20"/>
  <c r="AT456" i="20" s="1"/>
  <c r="BQ332" i="20"/>
  <c r="AX315" i="20"/>
  <c r="AV287" i="20"/>
  <c r="CT283" i="20"/>
  <c r="BZ283" i="20"/>
  <c r="CJ280" i="20"/>
  <c r="CK280" i="20" s="1"/>
  <c r="CF276" i="20"/>
  <c r="CU233" i="20"/>
  <c r="DB220" i="20"/>
  <c r="BL218" i="20"/>
  <c r="DI193" i="20"/>
  <c r="AZ141" i="20"/>
  <c r="CJ605" i="10"/>
  <c r="CL179" i="20"/>
  <c r="BJ1079" i="10"/>
  <c r="CG1017" i="10"/>
  <c r="CD459" i="20"/>
  <c r="BN459" i="20"/>
  <c r="BB372" i="20"/>
  <c r="BB373" i="20" s="1"/>
  <c r="BD332" i="20"/>
  <c r="BD322" i="20"/>
  <c r="CZ222" i="20"/>
  <c r="BT222" i="20"/>
  <c r="DA221" i="20"/>
  <c r="BU221" i="20"/>
  <c r="CF218" i="20"/>
  <c r="BD197" i="20"/>
  <c r="BE197" i="20"/>
  <c r="BR100" i="10"/>
  <c r="BR158" i="20"/>
  <c r="BA141" i="20"/>
  <c r="BE141" i="20"/>
  <c r="CS232" i="20"/>
  <c r="CS76" i="10" s="1"/>
  <c r="CS81" i="10" s="1"/>
  <c r="BQ160" i="20"/>
  <c r="BU160" i="20"/>
  <c r="BQ115" i="20"/>
  <c r="BQ120" i="20" s="1"/>
  <c r="CW443" i="20"/>
  <c r="BH443" i="20"/>
  <c r="BZ443" i="20"/>
  <c r="AT400" i="20"/>
  <c r="AT411" i="20" s="1"/>
  <c r="AR353" i="20"/>
  <c r="BM332" i="20"/>
  <c r="CH329" i="20"/>
  <c r="AW322" i="20"/>
  <c r="CH287" i="20"/>
  <c r="CH290" i="20"/>
  <c r="CF280" i="20"/>
  <c r="CG280" i="20" s="1"/>
  <c r="CB274" i="20"/>
  <c r="CJ276" i="20"/>
  <c r="CL286" i="20"/>
  <c r="CL287" i="20" s="1"/>
  <c r="AP244" i="20"/>
  <c r="CW221" i="20"/>
  <c r="CK222" i="20"/>
  <c r="BU222" i="20"/>
  <c r="BZ183" i="20"/>
  <c r="BV158" i="20"/>
  <c r="CN232" i="20"/>
  <c r="CN37" i="10" s="1"/>
  <c r="BX443" i="20"/>
  <c r="DC410" i="20"/>
  <c r="CI402" i="20"/>
  <c r="CO397" i="20"/>
  <c r="BY397" i="20"/>
  <c r="AS397" i="20"/>
  <c r="BB437" i="20"/>
  <c r="BB449" i="20" s="1"/>
  <c r="CG332" i="20"/>
  <c r="CW334" i="20"/>
  <c r="CG334" i="20"/>
  <c r="BF320" i="20"/>
  <c r="AX312" i="20"/>
  <c r="BF308" i="20"/>
  <c r="CT303" i="20"/>
  <c r="AR287" i="20"/>
  <c r="CI284" i="20"/>
  <c r="CP283" i="20"/>
  <c r="BV289" i="20"/>
  <c r="DC230" i="20"/>
  <c r="BT225" i="20"/>
  <c r="BD225" i="20"/>
  <c r="CS221" i="20"/>
  <c r="CC221" i="20"/>
  <c r="BM221" i="20"/>
  <c r="AW221" i="20"/>
  <c r="BU195" i="20"/>
  <c r="BF183" i="20"/>
  <c r="BV124" i="20"/>
  <c r="BU125" i="20"/>
  <c r="CS196" i="20"/>
  <c r="AZ187" i="20"/>
  <c r="BM189" i="20"/>
  <c r="CP183" i="20"/>
  <c r="CS141" i="20"/>
  <c r="CC141" i="20"/>
  <c r="BM141" i="20"/>
  <c r="AW141" i="20"/>
  <c r="BD475" i="20"/>
  <c r="BN596" i="10"/>
  <c r="CP1179" i="10"/>
  <c r="BF1160" i="10"/>
  <c r="DA917" i="10"/>
  <c r="BX719" i="10"/>
  <c r="BX746" i="10" s="1"/>
  <c r="BX729" i="10"/>
  <c r="BY741" i="10"/>
  <c r="BZ741" i="10" s="1"/>
  <c r="AS720" i="10"/>
  <c r="AV735" i="10" s="1"/>
  <c r="AS734" i="10"/>
  <c r="AV734" i="10"/>
  <c r="AV746" i="10"/>
  <c r="CH609" i="10"/>
  <c r="CH521" i="10"/>
  <c r="BB1160" i="10"/>
  <c r="CC195" i="20"/>
  <c r="AZ189" i="20"/>
  <c r="DB183" i="20"/>
  <c r="BB138" i="20"/>
  <c r="CP137" i="20"/>
  <c r="CX136" i="20"/>
  <c r="CF138" i="20"/>
  <c r="BP138" i="20"/>
  <c r="AZ140" i="20"/>
  <c r="CH1251" i="10"/>
  <c r="BN1251" i="10"/>
  <c r="CL1179" i="10"/>
  <c r="BR1179" i="10"/>
  <c r="CH1079" i="10"/>
  <c r="CB915" i="10"/>
  <c r="CL740" i="10"/>
  <c r="CC720" i="10"/>
  <c r="CF722" i="10" s="1"/>
  <c r="CD719" i="10"/>
  <c r="CC734" i="10"/>
  <c r="CF734" i="10"/>
  <c r="CF746" i="10"/>
  <c r="AZ720" i="10"/>
  <c r="AZ734" i="10"/>
  <c r="BA734" i="10"/>
  <c r="AZ746" i="10"/>
  <c r="BA746" i="10"/>
  <c r="AZ721" i="10"/>
  <c r="AU615" i="10"/>
  <c r="CG825" i="10"/>
  <c r="CH616" i="10"/>
  <c r="CV369" i="10"/>
  <c r="CW376" i="10"/>
  <c r="CV344" i="10"/>
  <c r="CV370" i="10"/>
  <c r="CV354" i="10"/>
  <c r="CV340" i="10"/>
  <c r="CV345" i="10"/>
  <c r="CW340" i="10"/>
  <c r="BY195" i="20"/>
  <c r="CX186" i="20"/>
  <c r="BA189" i="20"/>
  <c r="CC138" i="20"/>
  <c r="CN141" i="20"/>
  <c r="BX141" i="20"/>
  <c r="BH141" i="20"/>
  <c r="DI767" i="20"/>
  <c r="DI764" i="20" s="1"/>
  <c r="AZ677" i="20"/>
  <c r="BD400" i="20"/>
  <c r="CN299" i="20"/>
  <c r="CN152" i="10" s="1"/>
  <c r="CN154" i="10" s="1"/>
  <c r="BD830" i="20"/>
  <c r="AO1226" i="10"/>
  <c r="AO1227" i="10" s="1"/>
  <c r="CD1079" i="10"/>
  <c r="CX743" i="10"/>
  <c r="AP704" i="10"/>
  <c r="AP706" i="10" s="1"/>
  <c r="CS720" i="10"/>
  <c r="CV746" i="10"/>
  <c r="CT719" i="10"/>
  <c r="CS734" i="10"/>
  <c r="BP722" i="10"/>
  <c r="AP535" i="10"/>
  <c r="AP524" i="10"/>
  <c r="CJ579" i="10"/>
  <c r="CJ483" i="10" s="1"/>
  <c r="CL576" i="10"/>
  <c r="CJ829" i="10"/>
  <c r="DI220" i="10"/>
  <c r="BY194" i="20"/>
  <c r="CE153" i="20"/>
  <c r="BF141" i="20"/>
  <c r="CZ1148" i="10"/>
  <c r="BL720" i="10"/>
  <c r="BM746" i="10"/>
  <c r="BL734" i="10"/>
  <c r="BU285" i="10"/>
  <c r="BX285" i="10"/>
  <c r="CV284" i="10"/>
  <c r="CW284" i="10"/>
  <c r="BX280" i="10"/>
  <c r="BX284" i="10"/>
  <c r="BY284" i="10"/>
  <c r="BT280" i="10"/>
  <c r="BU282" i="10"/>
  <c r="BQ189" i="20"/>
  <c r="BJ157" i="20"/>
  <c r="AR138" i="20"/>
  <c r="AT138" i="20"/>
  <c r="BU322" i="20"/>
  <c r="BU234" i="20" s="1"/>
  <c r="BU444" i="10" s="1"/>
  <c r="BV1252" i="10"/>
  <c r="BA1169" i="10"/>
  <c r="DA915" i="10"/>
  <c r="AP623" i="10"/>
  <c r="AU549" i="10"/>
  <c r="CJ220" i="20"/>
  <c r="BT220" i="20"/>
  <c r="BD220" i="20"/>
  <c r="BI187" i="20"/>
  <c r="CO138" i="20"/>
  <c r="BY138" i="20"/>
  <c r="BI138" i="20"/>
  <c r="AS138" i="20"/>
  <c r="CV411" i="20"/>
  <c r="BR640" i="10"/>
  <c r="BJ1315" i="10"/>
  <c r="AV1308" i="10"/>
  <c r="AS1308" i="10"/>
  <c r="BZ1251" i="10"/>
  <c r="DB1221" i="10"/>
  <c r="CT1079" i="10"/>
  <c r="DA914" i="10"/>
  <c r="CZ579" i="10"/>
  <c r="CZ483" i="10" s="1"/>
  <c r="DB572" i="10"/>
  <c r="CZ825" i="10"/>
  <c r="BT300" i="10"/>
  <c r="BQ295" i="10"/>
  <c r="BQ307" i="10"/>
  <c r="BQ316" i="10" s="1"/>
  <c r="BR141" i="20"/>
  <c r="BP322" i="20"/>
  <c r="BP234" i="20" s="1"/>
  <c r="BP444" i="10" s="1"/>
  <c r="CX1179" i="10"/>
  <c r="CS1148" i="10"/>
  <c r="BV1079" i="10"/>
  <c r="DJ828" i="10"/>
  <c r="DJ840" i="10" s="1"/>
  <c r="AX739" i="10"/>
  <c r="CK327" i="10"/>
  <c r="CK321" i="10"/>
  <c r="BR1160" i="10"/>
  <c r="CW775" i="10"/>
  <c r="CV775" i="10"/>
  <c r="CF759" i="10"/>
  <c r="CB720" i="10"/>
  <c r="CB747" i="10" s="1"/>
  <c r="CB734" i="10"/>
  <c r="CC746" i="10"/>
  <c r="AX374" i="10"/>
  <c r="BI197" i="20"/>
  <c r="CN189" i="20"/>
  <c r="AW189" i="20"/>
  <c r="BU138" i="20"/>
  <c r="BE140" i="20"/>
  <c r="AO138" i="20"/>
  <c r="BF448" i="10"/>
  <c r="CZ411" i="20"/>
  <c r="CP1251" i="10"/>
  <c r="AX1079" i="10"/>
  <c r="CP753" i="10"/>
  <c r="CK729" i="10"/>
  <c r="CN729" i="10"/>
  <c r="CK741" i="10"/>
  <c r="CL741" i="10" s="1"/>
  <c r="CN741" i="10"/>
  <c r="CP741" i="10" s="1"/>
  <c r="DJ513" i="10"/>
  <c r="DB508" i="10"/>
  <c r="DA827" i="10"/>
  <c r="CT220" i="20"/>
  <c r="AX220" i="20"/>
  <c r="CK200" i="20"/>
  <c r="BA187" i="20"/>
  <c r="BT189" i="20"/>
  <c r="AV196" i="20"/>
  <c r="CE169" i="20"/>
  <c r="DA138" i="20"/>
  <c r="DE142" i="20" s="1"/>
  <c r="CJ138" i="20"/>
  <c r="BT138" i="20"/>
  <c r="BD138" i="20"/>
  <c r="AN138" i="20"/>
  <c r="CE122" i="20"/>
  <c r="CV555" i="20"/>
  <c r="AW147" i="10"/>
  <c r="BR596" i="10"/>
  <c r="BL1308" i="10"/>
  <c r="BL1309" i="10" s="1"/>
  <c r="BI1308" i="10"/>
  <c r="BI1309" i="10" s="1"/>
  <c r="CH1252" i="10"/>
  <c r="BR1079" i="10"/>
  <c r="CZ914" i="10"/>
  <c r="CS777" i="10"/>
  <c r="CP744" i="10"/>
  <c r="CR720" i="10"/>
  <c r="CR746" i="10"/>
  <c r="CS746" i="10"/>
  <c r="CR734" i="10"/>
  <c r="BI720" i="10"/>
  <c r="BI734" i="10"/>
  <c r="BI746" i="10"/>
  <c r="BE720" i="10"/>
  <c r="BH747" i="10" s="1"/>
  <c r="BH734" i="10"/>
  <c r="BE746" i="10"/>
  <c r="BH746" i="10"/>
  <c r="DI712" i="10"/>
  <c r="CH496" i="10"/>
  <c r="CZ634" i="10"/>
  <c r="CZ488" i="10" s="1"/>
  <c r="CJ513" i="10"/>
  <c r="CD506" i="10"/>
  <c r="DM478" i="10"/>
  <c r="DM467" i="10" s="1"/>
  <c r="BE384" i="10"/>
  <c r="DB304" i="10"/>
  <c r="CN210" i="10"/>
  <c r="CO210" i="10"/>
  <c r="BN745" i="10"/>
  <c r="CT743" i="10"/>
  <c r="BZ743" i="10"/>
  <c r="CD741" i="10"/>
  <c r="CH740" i="10"/>
  <c r="BN740" i="10"/>
  <c r="BB719" i="10"/>
  <c r="CK719" i="10"/>
  <c r="BP721" i="10"/>
  <c r="BZ641" i="10"/>
  <c r="AU626" i="10"/>
  <c r="CT608" i="10"/>
  <c r="AP601" i="10"/>
  <c r="DN568" i="10"/>
  <c r="AP557" i="10"/>
  <c r="BN540" i="10"/>
  <c r="CD523" i="10"/>
  <c r="CG645" i="10"/>
  <c r="DN484" i="10"/>
  <c r="DN488" i="10"/>
  <c r="DI477" i="10"/>
  <c r="CW590" i="10"/>
  <c r="CW484" i="10" s="1"/>
  <c r="CW579" i="10"/>
  <c r="CW502" i="10"/>
  <c r="CW1045" i="10" s="1"/>
  <c r="CX495" i="10"/>
  <c r="CS590" i="10"/>
  <c r="CS484" i="10" s="1"/>
  <c r="CS579" i="10"/>
  <c r="CS483" i="10" s="1"/>
  <c r="CS502" i="10"/>
  <c r="CS1045" i="10" s="1"/>
  <c r="CR590" i="10"/>
  <c r="CR484" i="10" s="1"/>
  <c r="CR579" i="10"/>
  <c r="CR502" i="10"/>
  <c r="CR476" i="10" s="1"/>
  <c r="CC623" i="10"/>
  <c r="CC487" i="10" s="1"/>
  <c r="CC465" i="10" s="1"/>
  <c r="BY623" i="10"/>
  <c r="BY487" i="10" s="1"/>
  <c r="BY465" i="10" s="1"/>
  <c r="CL518" i="10"/>
  <c r="CH520" i="10"/>
  <c r="BM225" i="10"/>
  <c r="DI219" i="10"/>
  <c r="DJ219" i="10" s="1"/>
  <c r="DB745" i="10"/>
  <c r="BF741" i="10"/>
  <c r="BN739" i="10"/>
  <c r="DJ568" i="10"/>
  <c r="CJ590" i="10"/>
  <c r="CJ484" i="10" s="1"/>
  <c r="BW182" i="10"/>
  <c r="CO302" i="10"/>
  <c r="CR302" i="10"/>
  <c r="BZ742" i="10"/>
  <c r="DB644" i="10"/>
  <c r="AP634" i="10"/>
  <c r="DN579" i="10"/>
  <c r="AP513" i="10"/>
  <c r="AT645" i="10"/>
  <c r="AT489" i="10" s="1"/>
  <c r="CP496" i="10"/>
  <c r="BR510" i="10"/>
  <c r="CB557" i="10"/>
  <c r="BX557" i="10"/>
  <c r="CC350" i="10"/>
  <c r="CX204" i="10"/>
  <c r="DA205" i="10"/>
  <c r="DA65" i="49" s="1"/>
  <c r="DA164" i="49" s="1"/>
  <c r="CZ195" i="10"/>
  <c r="CZ205" i="10"/>
  <c r="CZ189" i="10"/>
  <c r="DB129" i="10"/>
  <c r="DN483" i="10"/>
  <c r="BJ507" i="10"/>
  <c r="AT546" i="10"/>
  <c r="CC535" i="10"/>
  <c r="BZ266" i="10"/>
  <c r="BY273" i="10"/>
  <c r="BF266" i="10"/>
  <c r="BH273" i="10"/>
  <c r="BV354" i="10"/>
  <c r="BV345" i="10"/>
  <c r="BX347" i="10"/>
  <c r="BV344" i="10"/>
  <c r="BW336" i="10"/>
  <c r="DB746" i="10"/>
  <c r="CX745" i="10"/>
  <c r="BN744" i="10"/>
  <c r="AT744" i="10"/>
  <c r="BB742" i="10"/>
  <c r="BB741" i="10"/>
  <c r="BJ739" i="10"/>
  <c r="CT644" i="10"/>
  <c r="AP568" i="10"/>
  <c r="DB543" i="10"/>
  <c r="BZ542" i="10"/>
  <c r="BF506" i="10"/>
  <c r="CV623" i="10"/>
  <c r="CV487" i="10" s="1"/>
  <c r="CV465" i="10" s="1"/>
  <c r="CS535" i="10"/>
  <c r="CS479" i="10" s="1"/>
  <c r="AW384" i="10"/>
  <c r="CT266" i="10"/>
  <c r="CS273" i="10"/>
  <c r="CR825" i="10"/>
  <c r="CL743" i="10"/>
  <c r="CP742" i="10"/>
  <c r="BV742" i="10"/>
  <c r="BZ740" i="10"/>
  <c r="CJ719" i="10"/>
  <c r="CJ734" i="10" s="1"/>
  <c r="CP644" i="10"/>
  <c r="CX642" i="10"/>
  <c r="CT638" i="10"/>
  <c r="CP585" i="10"/>
  <c r="CH573" i="10"/>
  <c r="AU527" i="10"/>
  <c r="BV509" i="10"/>
  <c r="CL507" i="10"/>
  <c r="CZ568" i="10"/>
  <c r="CZ482" i="10" s="1"/>
  <c r="DB506" i="10"/>
  <c r="CZ513" i="10"/>
  <c r="CV601" i="10"/>
  <c r="CV485" i="10" s="1"/>
  <c r="CV634" i="10"/>
  <c r="CV568" i="10"/>
  <c r="CO634" i="10"/>
  <c r="CO488" i="10" s="1"/>
  <c r="BY546" i="10"/>
  <c r="BY502" i="10"/>
  <c r="CW535" i="10"/>
  <c r="CW612" i="10"/>
  <c r="AX381" i="10"/>
  <c r="AV384" i="10"/>
  <c r="BU280" i="10"/>
  <c r="CP638" i="10"/>
  <c r="BR509" i="10"/>
  <c r="CO601" i="10"/>
  <c r="DI478" i="10"/>
  <c r="DI467" i="10" s="1"/>
  <c r="BO44" i="41" s="1"/>
  <c r="BB385" i="10"/>
  <c r="BH317" i="10"/>
  <c r="BI327" i="10" s="1"/>
  <c r="BE320" i="10"/>
  <c r="CD344" i="10"/>
  <c r="CD354" i="10"/>
  <c r="CD345" i="10"/>
  <c r="BX195" i="10"/>
  <c r="BV185" i="10"/>
  <c r="BV189" i="10" s="1"/>
  <c r="BX205" i="10"/>
  <c r="BU189" i="10"/>
  <c r="BU195" i="10"/>
  <c r="CD385" i="10"/>
  <c r="BV745" i="10"/>
  <c r="BB745" i="10"/>
  <c r="BR742" i="10"/>
  <c r="BR741" i="10"/>
  <c r="CT739" i="10"/>
  <c r="BZ739" i="10"/>
  <c r="DC689" i="10"/>
  <c r="CH584" i="10"/>
  <c r="CH540" i="10"/>
  <c r="AT623" i="10"/>
  <c r="AT487" i="10" s="1"/>
  <c r="AT557" i="10"/>
  <c r="AT481" i="10" s="1"/>
  <c r="CB645" i="10"/>
  <c r="CX501" i="10"/>
  <c r="CJ634" i="10"/>
  <c r="CJ488" i="10" s="1"/>
  <c r="BN518" i="10"/>
  <c r="BP370" i="10"/>
  <c r="BP311" i="10"/>
  <c r="CZ778" i="10"/>
  <c r="AP590" i="10"/>
  <c r="AP579" i="10"/>
  <c r="CH561" i="10"/>
  <c r="CD540" i="10"/>
  <c r="CH506" i="10"/>
  <c r="CO546" i="10"/>
  <c r="CL509" i="10"/>
  <c r="CH508" i="10"/>
  <c r="BX535" i="10"/>
  <c r="BX479" i="10" s="1"/>
  <c r="BF521" i="10"/>
  <c r="CO557" i="10"/>
  <c r="BB422" i="10"/>
  <c r="CT744" i="10"/>
  <c r="CD743" i="10"/>
  <c r="BJ743" i="10"/>
  <c r="BN741" i="10"/>
  <c r="BR740" i="10"/>
  <c r="AX740" i="10"/>
  <c r="BV739" i="10"/>
  <c r="AT704" i="10"/>
  <c r="BZ541" i="10"/>
  <c r="CR645" i="10"/>
  <c r="DN485" i="10"/>
  <c r="CF601" i="10"/>
  <c r="CF485" i="10" s="1"/>
  <c r="CF634" i="10"/>
  <c r="CF488" i="10" s="1"/>
  <c r="CF568" i="10"/>
  <c r="CF482" i="10" s="1"/>
  <c r="CH507" i="10"/>
  <c r="BY634" i="10"/>
  <c r="BY488" i="10" s="1"/>
  <c r="CC524" i="10"/>
  <c r="CB612" i="10"/>
  <c r="CE236" i="10"/>
  <c r="BP376" i="10"/>
  <c r="BP344" i="10"/>
  <c r="BP340" i="10"/>
  <c r="BQ340" i="10"/>
  <c r="BP369" i="10"/>
  <c r="CN195" i="10"/>
  <c r="CN205" i="10"/>
  <c r="CO205" i="10"/>
  <c r="CO195" i="10"/>
  <c r="CN189" i="10"/>
  <c r="BQ267" i="10"/>
  <c r="CO369" i="10"/>
  <c r="BR354" i="10"/>
  <c r="BT350" i="10"/>
  <c r="AW345" i="10"/>
  <c r="BX344" i="10"/>
  <c r="BH300" i="10"/>
  <c r="BP292" i="10"/>
  <c r="BP307" i="10" s="1"/>
  <c r="BM280" i="10"/>
  <c r="BQ211" i="10"/>
  <c r="BY210" i="10"/>
  <c r="BD376" i="10"/>
  <c r="CW205" i="10"/>
  <c r="CW65" i="49" s="1"/>
  <c r="CW164" i="49" s="1"/>
  <c r="AW195" i="10"/>
  <c r="BQ146" i="10"/>
  <c r="BN126" i="10"/>
  <c r="BD95" i="10"/>
  <c r="AV95" i="10"/>
  <c r="DM607" i="10"/>
  <c r="DQ607" i="10" s="1"/>
  <c r="CG535" i="10"/>
  <c r="AX422" i="10"/>
  <c r="AT421" i="10"/>
  <c r="AX417" i="10"/>
  <c r="AX385" i="10"/>
  <c r="BB383" i="10"/>
  <c r="BN375" i="10"/>
  <c r="BN374" i="10"/>
  <c r="BU349" i="10"/>
  <c r="CC345" i="10"/>
  <c r="CS340" i="10"/>
  <c r="CS311" i="10"/>
  <c r="BE300" i="10"/>
  <c r="BU293" i="10"/>
  <c r="BU309" i="10" s="1"/>
  <c r="BE293" i="10"/>
  <c r="BL284" i="10"/>
  <c r="BH280" i="10"/>
  <c r="BQ280" i="10"/>
  <c r="CS284" i="10"/>
  <c r="BU284" i="10"/>
  <c r="CP266" i="10"/>
  <c r="BW236" i="10"/>
  <c r="CI235" i="10"/>
  <c r="BI225" i="10"/>
  <c r="BT222" i="10"/>
  <c r="CT204" i="10"/>
  <c r="CO189" i="10"/>
  <c r="BP189" i="10"/>
  <c r="CP185" i="10"/>
  <c r="CP189" i="10" s="1"/>
  <c r="CX207" i="10"/>
  <c r="CK205" i="10"/>
  <c r="CJ189" i="10"/>
  <c r="BU205" i="10"/>
  <c r="BV205" i="10" s="1"/>
  <c r="BT195" i="10"/>
  <c r="AS144" i="10"/>
  <c r="BP146" i="10"/>
  <c r="BE144" i="10"/>
  <c r="BX133" i="10"/>
  <c r="CG64" i="10"/>
  <c r="CN489" i="42"/>
  <c r="DY38" i="41" s="1"/>
  <c r="CN590" i="10"/>
  <c r="CN484" i="10" s="1"/>
  <c r="CN579" i="10"/>
  <c r="CN502" i="10"/>
  <c r="CS557" i="10"/>
  <c r="CS481" i="10" s="1"/>
  <c r="CS464" i="10" s="1"/>
  <c r="AY32" i="41" s="1"/>
  <c r="BQ222" i="10"/>
  <c r="CW63" i="10"/>
  <c r="CS457" i="42"/>
  <c r="CS455" i="42"/>
  <c r="CT455" i="42" s="1"/>
  <c r="CT454" i="42"/>
  <c r="CT457" i="42" s="1"/>
  <c r="BX590" i="10"/>
  <c r="BX484" i="10" s="1"/>
  <c r="BX579" i="10"/>
  <c r="BX483" i="10" s="1"/>
  <c r="BX502" i="10"/>
  <c r="AT634" i="10"/>
  <c r="AT488" i="10" s="1"/>
  <c r="AT568" i="10"/>
  <c r="AT482" i="10" s="1"/>
  <c r="CZ623" i="10"/>
  <c r="CZ487" i="10" s="1"/>
  <c r="CR623" i="10"/>
  <c r="CR487" i="10" s="1"/>
  <c r="CS524" i="10"/>
  <c r="AT445" i="10"/>
  <c r="AP442" i="10"/>
  <c r="AT417" i="10"/>
  <c r="BU307" i="10"/>
  <c r="BU316" i="10" s="1"/>
  <c r="BL296" i="10"/>
  <c r="CZ222" i="10"/>
  <c r="BR185" i="10"/>
  <c r="BF164" i="10"/>
  <c r="CV134" i="10"/>
  <c r="CH128" i="10"/>
  <c r="CT61" i="10"/>
  <c r="CT59" i="10"/>
  <c r="CT60" i="10" s="1"/>
  <c r="AX61" i="10"/>
  <c r="AX59" i="10"/>
  <c r="AX60" i="10" s="1"/>
  <c r="CN623" i="10"/>
  <c r="CN487" i="10" s="1"/>
  <c r="CR612" i="10"/>
  <c r="CO535" i="10"/>
  <c r="CK557" i="10"/>
  <c r="CK481" i="10" s="1"/>
  <c r="CK464" i="10" s="1"/>
  <c r="AQ32" i="41" s="1"/>
  <c r="AT422" i="10"/>
  <c r="BB419" i="10"/>
  <c r="BH384" i="10"/>
  <c r="AX383" i="10"/>
  <c r="BJ375" i="10"/>
  <c r="BJ374" i="10"/>
  <c r="AW370" i="10"/>
  <c r="CP354" i="10"/>
  <c r="CP345" i="10"/>
  <c r="CJ344" i="10"/>
  <c r="BR344" i="10"/>
  <c r="CB302" i="10"/>
  <c r="BQ293" i="10"/>
  <c r="BQ309" i="10" s="1"/>
  <c r="BA293" i="10"/>
  <c r="BA296" i="10" s="1"/>
  <c r="BI300" i="10"/>
  <c r="BQ285" i="10"/>
  <c r="CJ284" i="10"/>
  <c r="BU273" i="10"/>
  <c r="BP273" i="10"/>
  <c r="CI237" i="10"/>
  <c r="CA235" i="10"/>
  <c r="CJ232" i="10"/>
  <c r="CZ225" i="10"/>
  <c r="CG223" i="10"/>
  <c r="BX232" i="10"/>
  <c r="BD195" i="10"/>
  <c r="CQ183" i="10"/>
  <c r="CR376" i="10"/>
  <c r="AZ376" i="10"/>
  <c r="BP205" i="10"/>
  <c r="CC144" i="10"/>
  <c r="CG146" i="10"/>
  <c r="BI146" i="10"/>
  <c r="AZ144" i="10"/>
  <c r="BA144" i="10"/>
  <c r="BN125" i="10"/>
  <c r="CB60" i="10"/>
  <c r="CJ423" i="10"/>
  <c r="CJ17" i="10" s="1"/>
  <c r="AP9" i="41" s="1"/>
  <c r="CV590" i="10"/>
  <c r="CV484" i="10" s="1"/>
  <c r="CV579" i="10"/>
  <c r="CV483" i="10" s="1"/>
  <c r="CV502" i="10"/>
  <c r="CV1045" i="10" s="1"/>
  <c r="CJ623" i="10"/>
  <c r="CB623" i="10"/>
  <c r="CB487" i="10" s="1"/>
  <c r="AT612" i="10"/>
  <c r="AT486" i="10" s="1"/>
  <c r="AT463" i="10" s="1"/>
  <c r="BT347" i="10"/>
  <c r="CX344" i="10"/>
  <c r="AZ293" i="10"/>
  <c r="AZ296" i="10" s="1"/>
  <c r="CK282" i="10"/>
  <c r="CG280" i="10"/>
  <c r="BI280" i="10"/>
  <c r="BL286" i="10" s="1"/>
  <c r="BA195" i="10"/>
  <c r="CH183" i="10"/>
  <c r="CM183" i="10" s="1"/>
  <c r="CB205" i="10"/>
  <c r="BD189" i="10"/>
  <c r="CR60" i="10"/>
  <c r="BX623" i="10"/>
  <c r="BX487" i="10" s="1"/>
  <c r="CZ535" i="10"/>
  <c r="CK535" i="10"/>
  <c r="CK479" i="10" s="1"/>
  <c r="BY535" i="10"/>
  <c r="CC557" i="10"/>
  <c r="BF416" i="10"/>
  <c r="BA384" i="10"/>
  <c r="BZ375" i="10"/>
  <c r="BZ374" i="10"/>
  <c r="CR347" i="10"/>
  <c r="CC321" i="10"/>
  <c r="BT295" i="10"/>
  <c r="CG282" i="10"/>
  <c r="BT283" i="10"/>
  <c r="BI273" i="10"/>
  <c r="BT232" i="10"/>
  <c r="CC222" i="10"/>
  <c r="CN232" i="10"/>
  <c r="BU232" i="10"/>
  <c r="BE189" i="10"/>
  <c r="CZ376" i="10"/>
  <c r="CO377" i="10"/>
  <c r="CP377" i="10" s="1"/>
  <c r="BT145" i="10"/>
  <c r="BX144" i="10"/>
  <c r="BE146" i="10"/>
  <c r="CO145" i="10"/>
  <c r="BI145" i="10"/>
  <c r="BI130" i="10"/>
  <c r="BP418" i="42"/>
  <c r="BP423" i="42"/>
  <c r="CX388" i="42"/>
  <c r="CX430" i="42" s="1"/>
  <c r="CW430" i="42"/>
  <c r="CK601" i="10"/>
  <c r="CK634" i="10"/>
  <c r="CK488" i="10" s="1"/>
  <c r="CK568" i="10"/>
  <c r="CK482" i="10" s="1"/>
  <c r="CG590" i="10"/>
  <c r="CG484" i="10" s="1"/>
  <c r="CG579" i="10"/>
  <c r="CG483" i="10" s="1"/>
  <c r="CG502" i="10"/>
  <c r="CG1045" i="10" s="1"/>
  <c r="CC590" i="10"/>
  <c r="CC484" i="10" s="1"/>
  <c r="CC579" i="10"/>
  <c r="CC483" i="10" s="1"/>
  <c r="CC502" i="10"/>
  <c r="CC1045" i="10" s="1"/>
  <c r="CB590" i="10"/>
  <c r="CB579" i="10"/>
  <c r="CB502" i="10"/>
  <c r="CV535" i="10"/>
  <c r="AZ384" i="10"/>
  <c r="BB381" i="10"/>
  <c r="BU321" i="10"/>
  <c r="BP321" i="10"/>
  <c r="BM293" i="10"/>
  <c r="BM296" i="10" s="1"/>
  <c r="BI285" i="10"/>
  <c r="CF282" i="10"/>
  <c r="CB280" i="10"/>
  <c r="CC286" i="10" s="1"/>
  <c r="CZ273" i="10"/>
  <c r="CA237" i="10"/>
  <c r="BQ232" i="10"/>
  <c r="CB195" i="10"/>
  <c r="BY189" i="10"/>
  <c r="BF185" i="10"/>
  <c r="CJ203" i="10"/>
  <c r="CL203" i="10" s="1"/>
  <c r="AX164" i="10"/>
  <c r="BH145" i="10"/>
  <c r="CH63" i="10"/>
  <c r="CG1208" i="10"/>
  <c r="CG26" i="10" s="1"/>
  <c r="CN601" i="10"/>
  <c r="CN485" i="10" s="1"/>
  <c r="CN634" i="10"/>
  <c r="CN488" i="10" s="1"/>
  <c r="CN568" i="10"/>
  <c r="CN482" i="10" s="1"/>
  <c r="BZ185" i="10"/>
  <c r="AZ195" i="10"/>
  <c r="BA205" i="10"/>
  <c r="BA208" i="10" s="1"/>
  <c r="AV66" i="10"/>
  <c r="AX537" i="42"/>
  <c r="AX66" i="10" s="1"/>
  <c r="BX601" i="10"/>
  <c r="BX634" i="10"/>
  <c r="BX568" i="10"/>
  <c r="BX482" i="10" s="1"/>
  <c r="AT579" i="10"/>
  <c r="AT483" i="10" s="1"/>
  <c r="CG612" i="10"/>
  <c r="CF535" i="10"/>
  <c r="CF479" i="10" s="1"/>
  <c r="BF422" i="10"/>
  <c r="BR345" i="10"/>
  <c r="BY280" i="10"/>
  <c r="DA284" i="10"/>
  <c r="CC284" i="10"/>
  <c r="CV273" i="10"/>
  <c r="BQ239" i="10"/>
  <c r="AZ189" i="10"/>
  <c r="CE182" i="10"/>
  <c r="BE377" i="10"/>
  <c r="BY134" i="10"/>
  <c r="BV126" i="10"/>
  <c r="CX158" i="10"/>
  <c r="CW161" i="10"/>
  <c r="CW165" i="10" s="1"/>
  <c r="CW11" i="10" s="1"/>
  <c r="AU494" i="10"/>
  <c r="CZ546" i="10"/>
  <c r="AT601" i="10"/>
  <c r="AT485" i="10" s="1"/>
  <c r="CS623" i="10"/>
  <c r="CO623" i="10"/>
  <c r="CO487" i="10" s="1"/>
  <c r="CO465" i="10" s="1"/>
  <c r="CG623" i="10"/>
  <c r="CG487" i="10" s="1"/>
  <c r="CG465" i="10" s="1"/>
  <c r="CJ535" i="10"/>
  <c r="CB535" i="10"/>
  <c r="CN557" i="10"/>
  <c r="CN481" i="10" s="1"/>
  <c r="BB417" i="10"/>
  <c r="BI370" i="10"/>
  <c r="CT350" i="10"/>
  <c r="CX345" i="10"/>
  <c r="BX340" i="10"/>
  <c r="CG285" i="10"/>
  <c r="CZ284" i="10"/>
  <c r="BX283" i="10"/>
  <c r="CJ283" i="10"/>
  <c r="BL283" i="10"/>
  <c r="CB273" i="10"/>
  <c r="BQ195" i="10"/>
  <c r="BL195" i="10"/>
  <c r="BI189" i="10"/>
  <c r="BL197" i="10" s="1"/>
  <c r="BL205" i="10"/>
  <c r="AX158" i="10"/>
  <c r="CJ134" i="10"/>
  <c r="BM130" i="10"/>
  <c r="BX677" i="10"/>
  <c r="BX19" i="10" s="1"/>
  <c r="CH537" i="42"/>
  <c r="CH66" i="10" s="1"/>
  <c r="CG66" i="10"/>
  <c r="BR377" i="10"/>
  <c r="CB154" i="10"/>
  <c r="CW146" i="10"/>
  <c r="AS146" i="10"/>
  <c r="CN134" i="10"/>
  <c r="AR130" i="10"/>
  <c r="BQ64" i="10"/>
  <c r="CZ1208" i="10"/>
  <c r="CZ26" i="10" s="1"/>
  <c r="BY1208" i="10"/>
  <c r="BY26" i="10" s="1"/>
  <c r="BX690" i="10"/>
  <c r="CR677" i="10"/>
  <c r="CR19" i="10" s="1"/>
  <c r="DJ164" i="10"/>
  <c r="CW384" i="10"/>
  <c r="CJ161" i="10"/>
  <c r="CV500" i="42"/>
  <c r="CS500" i="42"/>
  <c r="CB500" i="42"/>
  <c r="CG491" i="42"/>
  <c r="CO423" i="42"/>
  <c r="CP423" i="42" s="1"/>
  <c r="BQ401" i="42"/>
  <c r="BQ403" i="42" s="1"/>
  <c r="AP353" i="42"/>
  <c r="BA161" i="10"/>
  <c r="BA165" i="10" s="1"/>
  <c r="BY154" i="10"/>
  <c r="AZ145" i="10"/>
  <c r="BE132" i="10"/>
  <c r="BH92" i="10"/>
  <c r="BH95" i="10" s="1"/>
  <c r="BV60" i="10"/>
  <c r="BF60" i="10"/>
  <c r="DA377" i="10"/>
  <c r="DB377" i="10" s="1"/>
  <c r="DC115" i="10"/>
  <c r="BU161" i="10"/>
  <c r="BL161" i="10"/>
  <c r="BL165" i="10" s="1"/>
  <c r="BU476" i="42"/>
  <c r="BU478" i="42" s="1"/>
  <c r="BP455" i="42"/>
  <c r="BR454" i="42"/>
  <c r="BR457" i="42" s="1"/>
  <c r="BQ457" i="42"/>
  <c r="CK423" i="42"/>
  <c r="CL423" i="42" s="1"/>
  <c r="CW418" i="42"/>
  <c r="CW423" i="42"/>
  <c r="CX423" i="42" s="1"/>
  <c r="CZ406" i="42"/>
  <c r="CF406" i="42"/>
  <c r="CL395" i="42"/>
  <c r="CL396" i="42" s="1"/>
  <c r="DN388" i="42"/>
  <c r="DN430" i="42" s="1"/>
  <c r="DL430" i="42"/>
  <c r="CP366" i="42"/>
  <c r="CH348" i="42"/>
  <c r="CF349" i="42"/>
  <c r="BX325" i="42"/>
  <c r="BX326" i="42" s="1"/>
  <c r="BE286" i="42"/>
  <c r="BE323" i="42" s="1"/>
  <c r="DA60" i="10"/>
  <c r="CN690" i="10"/>
  <c r="CN692" i="10" s="1"/>
  <c r="CF423" i="10"/>
  <c r="CF17" i="10" s="1"/>
  <c r="AL9" i="41" s="1"/>
  <c r="CV105" i="10"/>
  <c r="CV107" i="10" s="1"/>
  <c r="CV14" i="10" s="1"/>
  <c r="BZ164" i="10"/>
  <c r="BR489" i="42"/>
  <c r="DC38" i="41" s="1"/>
  <c r="BR498" i="42"/>
  <c r="DJ388" i="42"/>
  <c r="DJ430" i="42" s="1"/>
  <c r="Y282" i="42"/>
  <c r="Y286" i="42" s="1"/>
  <c r="X286" i="42"/>
  <c r="X323" i="42" s="1"/>
  <c r="X324" i="42" s="1"/>
  <c r="CV690" i="10"/>
  <c r="CV692" i="10" s="1"/>
  <c r="CG690" i="10"/>
  <c r="CG692" i="10" s="1"/>
  <c r="DB454" i="42"/>
  <c r="DB457" i="42" s="1"/>
  <c r="DA457" i="42"/>
  <c r="DI457" i="42" s="1"/>
  <c r="DL457" i="42" s="1"/>
  <c r="DM457" i="42" s="1"/>
  <c r="DP457" i="42" s="1"/>
  <c r="DQ457" i="42" s="1"/>
  <c r="AX331" i="42"/>
  <c r="AV335" i="42"/>
  <c r="CZ319" i="42"/>
  <c r="CZ318" i="42"/>
  <c r="CZ320" i="42" s="1"/>
  <c r="BP145" i="10"/>
  <c r="BD144" i="10"/>
  <c r="CD128" i="10"/>
  <c r="AW132" i="10"/>
  <c r="CG60" i="10"/>
  <c r="BQ60" i="10"/>
  <c r="BA60" i="10"/>
  <c r="CW1208" i="10"/>
  <c r="CW26" i="10" s="1"/>
  <c r="CW55" i="49" s="1"/>
  <c r="CB423" i="10"/>
  <c r="CB17" i="10" s="1"/>
  <c r="CB45" i="49" s="1"/>
  <c r="CB73" i="49" s="1"/>
  <c r="CB171" i="49" s="1"/>
  <c r="CB274" i="49" s="1"/>
  <c r="CZ105" i="10"/>
  <c r="CZ107" i="10" s="1"/>
  <c r="CZ14" i="10" s="1"/>
  <c r="CG105" i="10"/>
  <c r="CB161" i="10"/>
  <c r="CJ552" i="42"/>
  <c r="CP537" i="42"/>
  <c r="CP66" i="10" s="1"/>
  <c r="BU491" i="42"/>
  <c r="DB495" i="42"/>
  <c r="DB496" i="42" s="1"/>
  <c r="DB498" i="42"/>
  <c r="DB461" i="42"/>
  <c r="CK418" i="42"/>
  <c r="CL418" i="42" s="1"/>
  <c r="DL418" i="42"/>
  <c r="DL423" i="42"/>
  <c r="DN423" i="42" s="1"/>
  <c r="CG401" i="42"/>
  <c r="CG403" i="42" s="1"/>
  <c r="BN331" i="42"/>
  <c r="BL335" i="42"/>
  <c r="BL337" i="42" s="1"/>
  <c r="BZ282" i="42"/>
  <c r="BX286" i="42"/>
  <c r="BX323" i="42" s="1"/>
  <c r="AW130" i="10"/>
  <c r="BR127" i="10"/>
  <c r="AW95" i="10"/>
  <c r="BF64" i="10"/>
  <c r="DA63" i="10"/>
  <c r="BZ63" i="10"/>
  <c r="AW60" i="10"/>
  <c r="CF60" i="10"/>
  <c r="AZ60" i="10"/>
  <c r="BX1208" i="10"/>
  <c r="CV423" i="10"/>
  <c r="CV17" i="10" s="1"/>
  <c r="BB9" i="41" s="1"/>
  <c r="CF94" i="10"/>
  <c r="CF95" i="10" s="1"/>
  <c r="CF13" i="10" s="1"/>
  <c r="BX161" i="10"/>
  <c r="BQ161" i="10"/>
  <c r="BQ165" i="10" s="1"/>
  <c r="BE423" i="42"/>
  <c r="BF414" i="42"/>
  <c r="AF380" i="42"/>
  <c r="AD387" i="42"/>
  <c r="AD385" i="42" s="1"/>
  <c r="BB334" i="42"/>
  <c r="BB353" i="42" s="1"/>
  <c r="BB354" i="42" s="1"/>
  <c r="BA353" i="42"/>
  <c r="BA354" i="42" s="1"/>
  <c r="CD331" i="42"/>
  <c r="CB335" i="42"/>
  <c r="CD335" i="42" s="1"/>
  <c r="CS314" i="42"/>
  <c r="CT314" i="42" s="1"/>
  <c r="CW690" i="10"/>
  <c r="CW692" i="10" s="1"/>
  <c r="CW94" i="10"/>
  <c r="CK552" i="42"/>
  <c r="CN553" i="42" s="1"/>
  <c r="AC413" i="42"/>
  <c r="AD413" i="42" s="1"/>
  <c r="AD414" i="42"/>
  <c r="CN406" i="42"/>
  <c r="AB406" i="42"/>
  <c r="BV350" i="42"/>
  <c r="BT349" i="42"/>
  <c r="AT355" i="42"/>
  <c r="AS354" i="42"/>
  <c r="CV1208" i="10"/>
  <c r="CC1208" i="10"/>
  <c r="BY690" i="10"/>
  <c r="BY692" i="10" s="1"/>
  <c r="BM491" i="42"/>
  <c r="BM477" i="42"/>
  <c r="CB455" i="42"/>
  <c r="CB457" i="42"/>
  <c r="BQ414" i="42"/>
  <c r="BR417" i="42"/>
  <c r="BU417" i="42" s="1"/>
  <c r="BV406" i="42"/>
  <c r="AH313" i="42"/>
  <c r="AH315" i="42"/>
  <c r="Q282" i="42"/>
  <c r="Q286" i="42" s="1"/>
  <c r="P286" i="42"/>
  <c r="P323" i="42" s="1"/>
  <c r="P324" i="42" s="1"/>
  <c r="CF1134" i="10"/>
  <c r="CZ161" i="10"/>
  <c r="CZ165" i="10" s="1"/>
  <c r="CY115" i="10"/>
  <c r="CL162" i="10"/>
  <c r="CD160" i="10"/>
  <c r="BM92" i="10"/>
  <c r="BM95" i="10" s="1"/>
  <c r="BM13" i="10" s="1"/>
  <c r="CF500" i="42"/>
  <c r="CO496" i="42"/>
  <c r="CG457" i="42"/>
  <c r="BE336" i="46"/>
  <c r="BE337" i="46" s="1"/>
  <c r="BF405" i="42"/>
  <c r="BF336" i="46" s="1"/>
  <c r="CT396" i="42"/>
  <c r="BQ376" i="10"/>
  <c r="BJ160" i="10"/>
  <c r="BX154" i="10"/>
  <c r="BH133" i="10"/>
  <c r="CV1134" i="10"/>
  <c r="CR690" i="10"/>
  <c r="CR692" i="10" s="1"/>
  <c r="CO690" i="10"/>
  <c r="CO692" i="10" s="1"/>
  <c r="CF384" i="10"/>
  <c r="CF826" i="10" s="1"/>
  <c r="AT537" i="42"/>
  <c r="AT66" i="10" s="1"/>
  <c r="V537" i="42"/>
  <c r="BH500" i="42"/>
  <c r="AT350" i="42"/>
  <c r="BJ282" i="42"/>
  <c r="BJ286" i="42" s="1"/>
  <c r="BJ323" i="42" s="1"/>
  <c r="BH286" i="42"/>
  <c r="BH323" i="42" s="1"/>
  <c r="BN461" i="42"/>
  <c r="BJ366" i="42"/>
  <c r="AT344" i="42"/>
  <c r="AT345" i="42" s="1"/>
  <c r="AH282" i="42"/>
  <c r="AH286" i="42" s="1"/>
  <c r="AH323" i="42" s="1"/>
  <c r="DA366" i="42"/>
  <c r="DA368" i="42" s="1"/>
  <c r="DA273" i="42" s="1"/>
  <c r="R274" i="42"/>
  <c r="CP270" i="42"/>
  <c r="CP92" i="49" s="1"/>
  <c r="BJ270" i="42"/>
  <c r="BP265" i="42"/>
  <c r="BP277" i="42" s="1"/>
  <c r="BP99" i="49" s="1"/>
  <c r="AZ265" i="42"/>
  <c r="AZ277" i="42" s="1"/>
  <c r="BA267" i="42" s="1"/>
  <c r="AJ265" i="42"/>
  <c r="AJ277" i="42" s="1"/>
  <c r="AK267" i="42" s="1"/>
  <c r="T265" i="42"/>
  <c r="T277" i="42" s="1"/>
  <c r="U267" i="42" s="1"/>
  <c r="CR220" i="42"/>
  <c r="BL215" i="42"/>
  <c r="BH177" i="42"/>
  <c r="CG135" i="42"/>
  <c r="CG598" i="20" s="1"/>
  <c r="CO70" i="42"/>
  <c r="R63" i="42"/>
  <c r="BI27" i="43"/>
  <c r="BX457" i="42"/>
  <c r="CO406" i="42"/>
  <c r="BY406" i="42"/>
  <c r="BI406" i="42"/>
  <c r="BZ395" i="42"/>
  <c r="BZ396" i="42" s="1"/>
  <c r="CG377" i="42"/>
  <c r="AK377" i="42"/>
  <c r="BE374" i="42"/>
  <c r="BE377" i="42" s="1"/>
  <c r="CZ370" i="42"/>
  <c r="AZ353" i="42"/>
  <c r="AZ354" i="42" s="1"/>
  <c r="BV348" i="42"/>
  <c r="CG343" i="42"/>
  <c r="CH343" i="42" s="1"/>
  <c r="BI343" i="42"/>
  <c r="AS335" i="42"/>
  <c r="CG336" i="42"/>
  <c r="AW313" i="42"/>
  <c r="AK313" i="42"/>
  <c r="BQ312" i="42"/>
  <c r="BQ315" i="42" s="1"/>
  <c r="BV303" i="42"/>
  <c r="BB303" i="42"/>
  <c r="CJ302" i="42"/>
  <c r="CN361" i="42"/>
  <c r="CN272" i="42" s="1"/>
  <c r="CF360" i="42"/>
  <c r="CH360" i="42" s="1"/>
  <c r="AR368" i="42"/>
  <c r="AR273" i="42" s="1"/>
  <c r="AN361" i="42"/>
  <c r="AN272" i="42" s="1"/>
  <c r="CP268" i="42"/>
  <c r="AW286" i="42"/>
  <c r="AW323" i="42" s="1"/>
  <c r="AG286" i="42"/>
  <c r="AG323" i="42" s="1"/>
  <c r="AS255" i="42"/>
  <c r="CS242" i="42"/>
  <c r="BU242" i="42"/>
  <c r="CB220" i="42"/>
  <c r="BZ216" i="42"/>
  <c r="BY215" i="42"/>
  <c r="CR218" i="42"/>
  <c r="CN206" i="42"/>
  <c r="CN193" i="46" s="1"/>
  <c r="CN211" i="42"/>
  <c r="BU192" i="42"/>
  <c r="CB184" i="42"/>
  <c r="BY192" i="46"/>
  <c r="BZ124" i="42"/>
  <c r="BZ464" i="42" s="1"/>
  <c r="BZ477" i="42" s="1"/>
  <c r="BT70" i="42"/>
  <c r="BF27" i="42"/>
  <c r="AG377" i="42"/>
  <c r="BX355" i="42"/>
  <c r="BX354" i="42" s="1"/>
  <c r="AL315" i="42"/>
  <c r="CL313" i="42"/>
  <c r="BQ290" i="42"/>
  <c r="AZ368" i="42"/>
  <c r="AZ273" i="42" s="1"/>
  <c r="AL270" i="42"/>
  <c r="CT269" i="42"/>
  <c r="CT91" i="49" s="1"/>
  <c r="BV269" i="42"/>
  <c r="DB216" i="42"/>
  <c r="DA220" i="42"/>
  <c r="CC188" i="42"/>
  <c r="CB133" i="42"/>
  <c r="CB596" i="20" s="1"/>
  <c r="BY133" i="42"/>
  <c r="BY596" i="20" s="1"/>
  <c r="CO192" i="46"/>
  <c r="CP124" i="42"/>
  <c r="CP464" i="42" s="1"/>
  <c r="CP476" i="42" s="1"/>
  <c r="CP478" i="42" s="1"/>
  <c r="BJ122" i="42"/>
  <c r="BI138" i="42"/>
  <c r="BI601" i="20" s="1"/>
  <c r="CG246" i="42"/>
  <c r="BI246" i="42"/>
  <c r="AK246" i="42"/>
  <c r="CL216" i="42"/>
  <c r="CK215" i="42"/>
  <c r="CK220" i="42"/>
  <c r="BP209" i="42"/>
  <c r="BP156" i="42"/>
  <c r="BP157" i="42"/>
  <c r="BP158" i="42"/>
  <c r="CW500" i="42"/>
  <c r="BU406" i="42"/>
  <c r="BE406" i="42"/>
  <c r="AJ401" i="42"/>
  <c r="BU377" i="42"/>
  <c r="BQ342" i="42"/>
  <c r="BQ355" i="42" s="1"/>
  <c r="BQ354" i="42" s="1"/>
  <c r="CC336" i="42"/>
  <c r="CF331" i="42" s="1"/>
  <c r="AW335" i="42"/>
  <c r="AP325" i="42"/>
  <c r="BM312" i="42"/>
  <c r="BM315" i="42" s="1"/>
  <c r="CL303" i="42"/>
  <c r="BR303" i="42"/>
  <c r="CL301" i="42"/>
  <c r="BZ294" i="42"/>
  <c r="BY294" i="42" s="1"/>
  <c r="AL283" i="42"/>
  <c r="AL301" i="42" s="1"/>
  <c r="CV361" i="42"/>
  <c r="CV272" i="42" s="1"/>
  <c r="BY368" i="42"/>
  <c r="BY273" i="42" s="1"/>
  <c r="AK366" i="42"/>
  <c r="AK368" i="42" s="1"/>
  <c r="V274" i="42"/>
  <c r="DN269" i="42"/>
  <c r="DN91" i="49" s="1"/>
  <c r="BL218" i="42"/>
  <c r="BM157" i="42"/>
  <c r="BM156" i="42"/>
  <c r="BM158" i="42"/>
  <c r="CS138" i="42"/>
  <c r="CS601" i="20" s="1"/>
  <c r="CS123" i="42"/>
  <c r="CT122" i="42"/>
  <c r="BL500" i="42"/>
  <c r="CR457" i="42"/>
  <c r="DN414" i="42"/>
  <c r="DN418" i="42" s="1"/>
  <c r="BL423" i="42"/>
  <c r="CJ406" i="42"/>
  <c r="BT406" i="42"/>
  <c r="BD406" i="42"/>
  <c r="CW406" i="42"/>
  <c r="BQ377" i="42"/>
  <c r="CF377" i="42"/>
  <c r="CL355" i="42"/>
  <c r="AT353" i="42"/>
  <c r="CC312" i="42"/>
  <c r="BJ306" i="42"/>
  <c r="V306" i="42"/>
  <c r="V307" i="42" s="1"/>
  <c r="BN303" i="42"/>
  <c r="AV294" i="42"/>
  <c r="AV325" i="42" s="1"/>
  <c r="AV326" i="42" s="1"/>
  <c r="AR286" i="42"/>
  <c r="AR323" i="42" s="1"/>
  <c r="CC368" i="42"/>
  <c r="CC273" i="42" s="1"/>
  <c r="BI368" i="42"/>
  <c r="BI273" i="42" s="1"/>
  <c r="AH270" i="42"/>
  <c r="AT269" i="42"/>
  <c r="BM242" i="42"/>
  <c r="AO242" i="42"/>
  <c r="BI238" i="42"/>
  <c r="AK238" i="42"/>
  <c r="BP220" i="42"/>
  <c r="CZ220" i="42"/>
  <c r="CW215" i="42"/>
  <c r="CX216" i="42"/>
  <c r="CW220" i="42"/>
  <c r="BE215" i="42"/>
  <c r="CR200" i="42"/>
  <c r="BX197" i="42"/>
  <c r="CW200" i="42"/>
  <c r="BY200" i="42"/>
  <c r="CO178" i="42"/>
  <c r="AT171" i="42"/>
  <c r="BL101" i="42"/>
  <c r="AD412" i="42"/>
  <c r="BM377" i="42"/>
  <c r="BL354" i="42"/>
  <c r="AX350" i="42"/>
  <c r="BF350" i="42"/>
  <c r="BF349" i="42" s="1"/>
  <c r="BJ348" i="42"/>
  <c r="BE343" i="42"/>
  <c r="CD313" i="42"/>
  <c r="X313" i="42"/>
  <c r="BJ301" i="42"/>
  <c r="AW290" i="42"/>
  <c r="BY286" i="42"/>
  <c r="BY323" i="42" s="1"/>
  <c r="CK360" i="42"/>
  <c r="CK361" i="42" s="1"/>
  <c r="CK272" i="42" s="1"/>
  <c r="BT361" i="42"/>
  <c r="BT272" i="42" s="1"/>
  <c r="BD361" i="42"/>
  <c r="BD272" i="42" s="1"/>
  <c r="AK360" i="42"/>
  <c r="AK361" i="42" s="1"/>
  <c r="AK272" i="42" s="1"/>
  <c r="Z272" i="42"/>
  <c r="CL269" i="42"/>
  <c r="CL91" i="49" s="1"/>
  <c r="AN242" i="42"/>
  <c r="CO242" i="42"/>
  <c r="CV215" i="42"/>
  <c r="BU220" i="42"/>
  <c r="BT215" i="42"/>
  <c r="CF218" i="42"/>
  <c r="CL207" i="42"/>
  <c r="BH211" i="42"/>
  <c r="BH206" i="42"/>
  <c r="BH184" i="42"/>
  <c r="CN178" i="42"/>
  <c r="DB171" i="42"/>
  <c r="EM47" i="41" s="1"/>
  <c r="DA192" i="42"/>
  <c r="BL138" i="42"/>
  <c r="BL601" i="20" s="1"/>
  <c r="CP122" i="42"/>
  <c r="CO123" i="42"/>
  <c r="AL109" i="42"/>
  <c r="AL114" i="42" s="1"/>
  <c r="AK114" i="42"/>
  <c r="AG313" i="42"/>
  <c r="BU291" i="42"/>
  <c r="CS361" i="42"/>
  <c r="CS272" i="42" s="1"/>
  <c r="V284" i="42"/>
  <c r="BE206" i="42"/>
  <c r="BF207" i="42"/>
  <c r="CF209" i="42"/>
  <c r="CC209" i="42"/>
  <c r="AR172" i="42"/>
  <c r="DA184" i="42"/>
  <c r="CZ184" i="42"/>
  <c r="BP133" i="42"/>
  <c r="BP596" i="20" s="1"/>
  <c r="BU286" i="42"/>
  <c r="BU323" i="42" s="1"/>
  <c r="V302" i="42"/>
  <c r="CG220" i="42"/>
  <c r="CF215" i="42"/>
  <c r="BT220" i="42"/>
  <c r="BR216" i="42"/>
  <c r="BQ220" i="42"/>
  <c r="CX171" i="42"/>
  <c r="EI47" i="41" s="1"/>
  <c r="CW172" i="42"/>
  <c r="CW192" i="42"/>
  <c r="BE157" i="42"/>
  <c r="BE149" i="42"/>
  <c r="BE152" i="42" s="1"/>
  <c r="CO135" i="42"/>
  <c r="CO598" i="20" s="1"/>
  <c r="BQ135" i="42"/>
  <c r="BQ598" i="20" s="1"/>
  <c r="AH13" i="43"/>
  <c r="AH32" i="43" s="1"/>
  <c r="AH30" i="43"/>
  <c r="AH47" i="43"/>
  <c r="CH395" i="42"/>
  <c r="CH396" i="42" s="1"/>
  <c r="CO343" i="42"/>
  <c r="CP343" i="42" s="1"/>
  <c r="BV342" i="42"/>
  <c r="DN342" i="42"/>
  <c r="CW336" i="42"/>
  <c r="CO297" i="42"/>
  <c r="CP294" i="42"/>
  <c r="BQ286" i="42"/>
  <c r="BQ323" i="42" s="1"/>
  <c r="BM361" i="42"/>
  <c r="BM272" i="42" s="1"/>
  <c r="BM94" i="49" s="1"/>
  <c r="BA368" i="42"/>
  <c r="CS270" i="42"/>
  <c r="CT270" i="42" s="1"/>
  <c r="CC215" i="42"/>
  <c r="CV178" i="42"/>
  <c r="CV172" i="42"/>
  <c r="CF157" i="42"/>
  <c r="CG149" i="42"/>
  <c r="CG152" i="42" s="1"/>
  <c r="CH152" i="42" s="1"/>
  <c r="CG157" i="42"/>
  <c r="CG158" i="42"/>
  <c r="BU114" i="42"/>
  <c r="BV109" i="42"/>
  <c r="BV114" i="42" s="1"/>
  <c r="AX63" i="42"/>
  <c r="BJ294" i="42"/>
  <c r="AC360" i="42"/>
  <c r="AC361" i="42" s="1"/>
  <c r="R272" i="42"/>
  <c r="AW250" i="42"/>
  <c r="AV246" i="42"/>
  <c r="CG242" i="42"/>
  <c r="BI242" i="42"/>
  <c r="AK242" i="42"/>
  <c r="BQ200" i="42"/>
  <c r="CB172" i="42"/>
  <c r="CF156" i="42"/>
  <c r="CF158" i="42"/>
  <c r="BX157" i="42"/>
  <c r="BX149" i="42"/>
  <c r="BX152" i="42" s="1"/>
  <c r="CG423" i="42"/>
  <c r="CH423" i="42" s="1"/>
  <c r="CR406" i="42"/>
  <c r="BL406" i="42"/>
  <c r="AV406" i="42"/>
  <c r="CJ349" i="42"/>
  <c r="BV314" i="42"/>
  <c r="BB301" i="42"/>
  <c r="AJ301" i="42"/>
  <c r="AJ302" i="42" s="1"/>
  <c r="BE294" i="42"/>
  <c r="CS291" i="42"/>
  <c r="BI286" i="42"/>
  <c r="BI323" i="42" s="1"/>
  <c r="DN273" i="42"/>
  <c r="DN95" i="49" s="1"/>
  <c r="CW361" i="42"/>
  <c r="CW272" i="42" s="1"/>
  <c r="BX361" i="42"/>
  <c r="BX272" i="42" s="1"/>
  <c r="BH361" i="42"/>
  <c r="BH272" i="42" s="1"/>
  <c r="BA361" i="42"/>
  <c r="BA272" i="42" s="1"/>
  <c r="AS361" i="42"/>
  <c r="AS272" i="42" s="1"/>
  <c r="V270" i="42"/>
  <c r="BF269" i="42"/>
  <c r="BF91" i="49" s="1"/>
  <c r="BF190" i="49" s="1"/>
  <c r="BB268" i="42"/>
  <c r="CO246" i="42"/>
  <c r="BQ246" i="42"/>
  <c r="CS238" i="42"/>
  <c r="CR206" i="42"/>
  <c r="CS206" i="42" s="1"/>
  <c r="CS193" i="46" s="1"/>
  <c r="CR211" i="42"/>
  <c r="CV177" i="42"/>
  <c r="CT163" i="42"/>
  <c r="EE46" i="41" s="1"/>
  <c r="BE177" i="42"/>
  <c r="BQ157" i="42"/>
  <c r="BE156" i="42"/>
  <c r="BM149" i="42"/>
  <c r="BM152" i="42" s="1"/>
  <c r="CC157" i="42"/>
  <c r="CC149" i="42"/>
  <c r="CC152" i="42" s="1"/>
  <c r="CC158" i="42"/>
  <c r="BU157" i="42"/>
  <c r="BU149" i="42"/>
  <c r="BU152" i="42" s="1"/>
  <c r="CG209" i="42"/>
  <c r="BI209" i="42"/>
  <c r="CD163" i="42"/>
  <c r="DO46" i="41" s="1"/>
  <c r="CG138" i="42"/>
  <c r="CG601" i="20" s="1"/>
  <c r="BR114" i="42"/>
  <c r="AZ114" i="42"/>
  <c r="DB98" i="42"/>
  <c r="CP98" i="42"/>
  <c r="BV96" i="42"/>
  <c r="CC45" i="42"/>
  <c r="CW31" i="42"/>
  <c r="CK26" i="42"/>
  <c r="CN45" i="42" s="1"/>
  <c r="BR26" i="42"/>
  <c r="CR45" i="43"/>
  <c r="BJ27" i="43"/>
  <c r="CG26" i="43"/>
  <c r="CG27" i="43" s="1"/>
  <c r="P13" i="43"/>
  <c r="P32" i="43" s="1"/>
  <c r="P15" i="43"/>
  <c r="P17" i="43" s="1"/>
  <c r="P34" i="43" s="1"/>
  <c r="AP393" i="46"/>
  <c r="AP347" i="46"/>
  <c r="AP324" i="46" s="1"/>
  <c r="CI214" i="46"/>
  <c r="CQ210" i="46"/>
  <c r="CG185" i="46"/>
  <c r="CH185" i="46" s="1"/>
  <c r="CP184" i="46"/>
  <c r="CO185" i="46"/>
  <c r="CP185" i="46" s="1"/>
  <c r="BM80" i="46"/>
  <c r="BM68" i="46" s="1"/>
  <c r="BN78" i="46"/>
  <c r="DC211" i="46"/>
  <c r="CN67" i="46"/>
  <c r="DY68" i="41" s="1"/>
  <c r="CN220" i="46"/>
  <c r="AV31" i="46"/>
  <c r="AV44" i="46" s="1"/>
  <c r="AV355" i="46" s="1"/>
  <c r="AV39" i="46"/>
  <c r="CB138" i="42"/>
  <c r="CB601" i="20" s="1"/>
  <c r="CH114" i="42"/>
  <c r="DM383" i="42"/>
  <c r="BA100" i="42"/>
  <c r="CD96" i="42"/>
  <c r="AW99" i="42"/>
  <c r="AN99" i="42"/>
  <c r="BZ62" i="42"/>
  <c r="CX50" i="42"/>
  <c r="CV31" i="42"/>
  <c r="AH27" i="42"/>
  <c r="AH526" i="42" s="1"/>
  <c r="CJ44" i="43"/>
  <c r="CM40" i="43"/>
  <c r="BG40" i="43"/>
  <c r="AJ27" i="43"/>
  <c r="CA21" i="43"/>
  <c r="AG15" i="43"/>
  <c r="AG17" i="43" s="1"/>
  <c r="AG34" i="43" s="1"/>
  <c r="AG32" i="43"/>
  <c r="AX339" i="46"/>
  <c r="BE297" i="46"/>
  <c r="BE298" i="46" s="1"/>
  <c r="BF296" i="46"/>
  <c r="BF297" i="46" s="1"/>
  <c r="CQ211" i="46"/>
  <c r="CM148" i="46"/>
  <c r="BM114" i="42"/>
  <c r="BJ100" i="42"/>
  <c r="AZ101" i="42"/>
  <c r="CL96" i="42"/>
  <c r="Q99" i="42"/>
  <c r="T539" i="42" s="1"/>
  <c r="CT12" i="42"/>
  <c r="AH1" i="42"/>
  <c r="AH2" i="42" s="1"/>
  <c r="AH541" i="42" s="1"/>
  <c r="N1" i="42"/>
  <c r="N2" i="42" s="1"/>
  <c r="BC40" i="43"/>
  <c r="AF13" i="43"/>
  <c r="AF15" i="43" s="1"/>
  <c r="AF17" i="43" s="1"/>
  <c r="AF34" i="43" s="1"/>
  <c r="AF30" i="43"/>
  <c r="CO227" i="46"/>
  <c r="CM211" i="46"/>
  <c r="CI210" i="46"/>
  <c r="BJ184" i="46"/>
  <c r="BI185" i="46"/>
  <c r="BJ185" i="46" s="1"/>
  <c r="CR142" i="46"/>
  <c r="CR162" i="46"/>
  <c r="CF80" i="46"/>
  <c r="CF68" i="46" s="1"/>
  <c r="CF105" i="46"/>
  <c r="CF114" i="46" s="1"/>
  <c r="CD109" i="42"/>
  <c r="CD114" i="42" s="1"/>
  <c r="AD109" i="42"/>
  <c r="AD114" i="42" s="1"/>
  <c r="CL98" i="42"/>
  <c r="BD99" i="42"/>
  <c r="BD101" i="42" s="1"/>
  <c r="DJ283" i="42"/>
  <c r="AV330" i="46"/>
  <c r="AW305" i="46"/>
  <c r="AW398" i="46"/>
  <c r="AW400" i="46" s="1"/>
  <c r="AX388" i="46"/>
  <c r="AX68" i="42"/>
  <c r="DN283" i="42"/>
  <c r="Z63" i="42"/>
  <c r="BX45" i="43"/>
  <c r="AR34" i="43"/>
  <c r="BE340" i="46"/>
  <c r="BF340" i="46" s="1"/>
  <c r="CD184" i="46"/>
  <c r="CC185" i="46"/>
  <c r="CD185" i="46" s="1"/>
  <c r="CV80" i="46"/>
  <c r="CV105" i="46"/>
  <c r="CV114" i="46" s="1"/>
  <c r="DI147" i="46"/>
  <c r="DL147" i="46" s="1"/>
  <c r="DM147" i="46" s="1"/>
  <c r="DP147" i="46" s="1"/>
  <c r="DQ147" i="46" s="1"/>
  <c r="DR147" i="46" s="1"/>
  <c r="DG147" i="46"/>
  <c r="CW238" i="42"/>
  <c r="AC238" i="42"/>
  <c r="BX200" i="42"/>
  <c r="CF184" i="42"/>
  <c r="CK172" i="42"/>
  <c r="CK194" i="46" s="1"/>
  <c r="BQ133" i="42"/>
  <c r="BQ596" i="20" s="1"/>
  <c r="CH100" i="42"/>
  <c r="V100" i="42"/>
  <c r="CO99" i="42"/>
  <c r="BY99" i="42"/>
  <c r="BI99" i="42"/>
  <c r="BI101" i="42" s="1"/>
  <c r="AS99" i="42"/>
  <c r="AC99" i="42"/>
  <c r="CC99" i="42"/>
  <c r="BT99" i="42"/>
  <c r="BT101" i="42" s="1"/>
  <c r="AT96" i="42"/>
  <c r="BI70" i="42"/>
  <c r="BQ45" i="42"/>
  <c r="CK31" i="42"/>
  <c r="CP12" i="42"/>
  <c r="AD47" i="43"/>
  <c r="BL45" i="43"/>
  <c r="BT44" i="43"/>
  <c r="BU311" i="42" s="1"/>
  <c r="BB42" i="43"/>
  <c r="AP30" i="43"/>
  <c r="CM21" i="43"/>
  <c r="AO13" i="43"/>
  <c r="AW368" i="46"/>
  <c r="AX368" i="46" s="1"/>
  <c r="BF305" i="46"/>
  <c r="CZ225" i="46"/>
  <c r="CZ227" i="46" s="1"/>
  <c r="CN161" i="46"/>
  <c r="CN143" i="46"/>
  <c r="CN142" i="46" s="1"/>
  <c r="BQ242" i="42"/>
  <c r="AS242" i="42"/>
  <c r="CN197" i="42"/>
  <c r="BQ197" i="42"/>
  <c r="BT201" i="42" s="1"/>
  <c r="CC184" i="42"/>
  <c r="CC138" i="42"/>
  <c r="CC601" i="20" s="1"/>
  <c r="BM138" i="42"/>
  <c r="BM601" i="20" s="1"/>
  <c r="BZ109" i="42"/>
  <c r="BZ114" i="42" s="1"/>
  <c r="Z109" i="42"/>
  <c r="CN99" i="42"/>
  <c r="BX99" i="42"/>
  <c r="BH99" i="42"/>
  <c r="AR99" i="42"/>
  <c r="BB96" i="42"/>
  <c r="CK62" i="42"/>
  <c r="BM45" i="42"/>
  <c r="BZ26" i="42"/>
  <c r="BH45" i="43"/>
  <c r="AN30" i="43"/>
  <c r="BV27" i="43"/>
  <c r="AB27" i="43"/>
  <c r="AB32" i="43" s="1"/>
  <c r="AO330" i="46"/>
  <c r="BE417" i="46"/>
  <c r="BH414" i="46"/>
  <c r="BH397" i="46" s="1"/>
  <c r="BH385" i="46" s="1"/>
  <c r="BA298" i="46"/>
  <c r="BA245" i="46" s="1"/>
  <c r="BB245" i="46" s="1"/>
  <c r="CE218" i="46"/>
  <c r="CT182" i="46"/>
  <c r="CT225" i="42" s="1"/>
  <c r="CW229" i="42" s="1"/>
  <c r="CS184" i="46"/>
  <c r="CA145" i="46"/>
  <c r="BP67" i="46"/>
  <c r="BP103" i="49" s="1"/>
  <c r="BP220" i="46"/>
  <c r="BA114" i="42"/>
  <c r="CP109" i="42"/>
  <c r="CP114" i="42" s="1"/>
  <c r="AP109" i="42"/>
  <c r="CX100" i="42"/>
  <c r="CH98" i="42"/>
  <c r="BV98" i="42"/>
  <c r="BJ98" i="42"/>
  <c r="CS99" i="42"/>
  <c r="CJ99" i="42"/>
  <c r="CJ101" i="42" s="1"/>
  <c r="X99" i="42"/>
  <c r="CP68" i="42"/>
  <c r="AT68" i="42"/>
  <c r="AT69" i="42" s="1"/>
  <c r="CJ62" i="42"/>
  <c r="BL45" i="42"/>
  <c r="I2" i="42"/>
  <c r="Z1" i="42"/>
  <c r="Z2" i="42" s="1"/>
  <c r="Z541" i="42" s="1"/>
  <c r="BH44" i="43"/>
  <c r="CH42" i="43"/>
  <c r="AN28" i="41" s="1"/>
  <c r="AR72" i="41" s="1"/>
  <c r="DC40" i="43"/>
  <c r="BW40" i="43"/>
  <c r="AH42" i="43"/>
  <c r="BU26" i="43"/>
  <c r="CI21" i="43"/>
  <c r="AP394" i="46"/>
  <c r="BB391" i="46"/>
  <c r="DC214" i="46"/>
  <c r="CJ215" i="46"/>
  <c r="CJ217" i="46" s="1"/>
  <c r="CX172" i="46"/>
  <c r="CW174" i="46"/>
  <c r="CX174" i="46" s="1"/>
  <c r="DB396" i="42"/>
  <c r="BN62" i="42"/>
  <c r="BF63" i="42"/>
  <c r="CL50" i="42"/>
  <c r="AT27" i="43"/>
  <c r="AT34" i="43" s="1"/>
  <c r="AT30" i="43"/>
  <c r="U13" i="43"/>
  <c r="U32" i="43" s="1"/>
  <c r="U30" i="43"/>
  <c r="AP388" i="46"/>
  <c r="AS398" i="46"/>
  <c r="AS400" i="46" s="1"/>
  <c r="BL161" i="46"/>
  <c r="BL143" i="46"/>
  <c r="BE114" i="42"/>
  <c r="BE100" i="42"/>
  <c r="R100" i="42"/>
  <c r="CZ99" i="42"/>
  <c r="V96" i="42"/>
  <c r="AX27" i="42"/>
  <c r="CN27" i="43"/>
  <c r="DY18" i="41" s="1"/>
  <c r="BA21" i="43"/>
  <c r="BA27" i="43" s="1"/>
  <c r="CU214" i="46"/>
  <c r="DC210" i="46"/>
  <c r="AL27" i="42"/>
  <c r="AL526" i="42" s="1"/>
  <c r="V1" i="42"/>
  <c r="V2" i="42" s="1"/>
  <c r="V541" i="42" s="1"/>
  <c r="CV44" i="43"/>
  <c r="BB305" i="46"/>
  <c r="BH298" i="46"/>
  <c r="BH299" i="46" s="1"/>
  <c r="BH307" i="46"/>
  <c r="BH308" i="46" s="1"/>
  <c r="BH279" i="46" s="1"/>
  <c r="BV172" i="46"/>
  <c r="BU174" i="46"/>
  <c r="BV174" i="46" s="1"/>
  <c r="CY148" i="46"/>
  <c r="DC148" i="46"/>
  <c r="BY134" i="46"/>
  <c r="BY86" i="46" s="1"/>
  <c r="BZ133" i="46"/>
  <c r="BZ134" i="46" s="1"/>
  <c r="BZ135" i="46" s="1"/>
  <c r="BZ138" i="46" s="1"/>
  <c r="CJ220" i="42"/>
  <c r="BL220" i="42"/>
  <c r="CF206" i="42"/>
  <c r="CF193" i="46" s="1"/>
  <c r="CN123" i="42"/>
  <c r="CD98" i="42"/>
  <c r="BR98" i="42"/>
  <c r="BN96" i="42"/>
  <c r="BZ68" i="42"/>
  <c r="BJ62" i="42"/>
  <c r="CH50" i="42"/>
  <c r="AN47" i="43"/>
  <c r="U47" i="43"/>
  <c r="CQ40" i="43"/>
  <c r="BK40" i="43"/>
  <c r="AD32" i="43"/>
  <c r="Z30" i="43"/>
  <c r="CR27" i="43"/>
  <c r="EC18" i="41" s="1"/>
  <c r="AX411" i="46"/>
  <c r="AP317" i="46"/>
  <c r="AP323" i="46" s="1"/>
  <c r="AW415" i="46"/>
  <c r="AW366" i="46"/>
  <c r="AX366" i="46" s="1"/>
  <c r="AX392" i="46"/>
  <c r="AO297" i="46"/>
  <c r="AO298" i="46" s="1"/>
  <c r="AP296" i="46"/>
  <c r="AP297" i="46" s="1"/>
  <c r="AP307" i="46" s="1"/>
  <c r="BU161" i="46"/>
  <c r="CS134" i="46"/>
  <c r="CS135" i="46" s="1"/>
  <c r="CT133" i="46"/>
  <c r="CT134" i="46" s="1"/>
  <c r="CT135" i="46" s="1"/>
  <c r="CT138" i="46" s="1"/>
  <c r="CY21" i="43"/>
  <c r="BO21" i="43"/>
  <c r="CW12" i="43"/>
  <c r="R13" i="43"/>
  <c r="BN210" i="46"/>
  <c r="CB215" i="46"/>
  <c r="CB205" i="46" s="1"/>
  <c r="CK184" i="46"/>
  <c r="CJ162" i="46"/>
  <c r="BM161" i="46"/>
  <c r="DC147" i="46"/>
  <c r="CD133" i="46"/>
  <c r="CD134" i="46" s="1"/>
  <c r="CD135" i="46" s="1"/>
  <c r="CD138" i="46" s="1"/>
  <c r="CX96" i="46"/>
  <c r="CQ83" i="46"/>
  <c r="BN40" i="46"/>
  <c r="CL42" i="46"/>
  <c r="DB14" i="46"/>
  <c r="DB40" i="46" s="1"/>
  <c r="DA18" i="46"/>
  <c r="DA23" i="46" s="1"/>
  <c r="CB225" i="46"/>
  <c r="CB227" i="46" s="1"/>
  <c r="BJ210" i="46"/>
  <c r="CY147" i="46"/>
  <c r="CM83" i="46"/>
  <c r="CM218" i="46"/>
  <c r="CG215" i="46"/>
  <c r="CG217" i="46" s="1"/>
  <c r="CC31" i="46"/>
  <c r="CW223" i="46"/>
  <c r="CW225" i="46" s="1"/>
  <c r="CW227" i="46" s="1"/>
  <c r="BX225" i="46"/>
  <c r="BX227" i="46" s="1"/>
  <c r="BP215" i="46"/>
  <c r="BP205" i="46" s="1"/>
  <c r="CV161" i="46"/>
  <c r="CQ147" i="46"/>
  <c r="BW145" i="46"/>
  <c r="BT143" i="46"/>
  <c r="CE83" i="46"/>
  <c r="BY215" i="46"/>
  <c r="BY217" i="46" s="1"/>
  <c r="DB51" i="46"/>
  <c r="CJ40" i="46"/>
  <c r="DB42" i="46"/>
  <c r="AT51" i="46"/>
  <c r="CW18" i="46"/>
  <c r="CW23" i="46" s="1"/>
  <c r="CT43" i="46"/>
  <c r="CQ21" i="43"/>
  <c r="AO407" i="46"/>
  <c r="AT291" i="46"/>
  <c r="AS323" i="46"/>
  <c r="AS324" i="46" s="1"/>
  <c r="AS347" i="46" s="1"/>
  <c r="CR225" i="46"/>
  <c r="CR227" i="46" s="1"/>
  <c r="BT225" i="46"/>
  <c r="BT227" i="46" s="1"/>
  <c r="CZ215" i="46"/>
  <c r="CZ205" i="46" s="1"/>
  <c r="BX215" i="46"/>
  <c r="BU185" i="46"/>
  <c r="BV185" i="46" s="1"/>
  <c r="CW184" i="46"/>
  <c r="CY151" i="46"/>
  <c r="CA151" i="46"/>
  <c r="CI147" i="46"/>
  <c r="CZ161" i="46"/>
  <c r="CJ161" i="46"/>
  <c r="BY157" i="46"/>
  <c r="BJ133" i="46"/>
  <c r="BJ134" i="46" s="1"/>
  <c r="BJ135" i="46" s="1"/>
  <c r="BJ138" i="46" s="1"/>
  <c r="CP96" i="46"/>
  <c r="BQ215" i="46"/>
  <c r="BR215" i="46" s="1"/>
  <c r="BJ51" i="46"/>
  <c r="CK45" i="46"/>
  <c r="BE45" i="46"/>
  <c r="BF45" i="46" s="1"/>
  <c r="CW43" i="46"/>
  <c r="CW57" i="46" s="1"/>
  <c r="CZ54" i="46" s="1"/>
  <c r="DB54" i="46" s="1"/>
  <c r="BT39" i="46"/>
  <c r="AP29" i="46"/>
  <c r="AP31" i="46" s="1"/>
  <c r="AO31" i="46"/>
  <c r="AT26" i="46"/>
  <c r="AT31" i="46" s="1"/>
  <c r="AT36" i="46" s="1"/>
  <c r="AS31" i="46"/>
  <c r="AS36" i="46" s="1"/>
  <c r="AS48" i="46" s="1"/>
  <c r="AS49" i="46" s="1"/>
  <c r="CV18" i="46"/>
  <c r="CV23" i="46" s="1"/>
  <c r="BQ12" i="43"/>
  <c r="AX393" i="46"/>
  <c r="AP391" i="46"/>
  <c r="BD372" i="46"/>
  <c r="AZ415" i="46"/>
  <c r="AZ417" i="46" s="1"/>
  <c r="AZ358" i="46" s="1"/>
  <c r="AZ359" i="46" s="1"/>
  <c r="AV394" i="46"/>
  <c r="AV368" i="46" s="1"/>
  <c r="AV372" i="46" s="1"/>
  <c r="BA323" i="46"/>
  <c r="BA240" i="46" s="1"/>
  <c r="CG174" i="46"/>
  <c r="CH174" i="46" s="1"/>
  <c r="CT173" i="46"/>
  <c r="BJ173" i="46"/>
  <c r="CK161" i="46"/>
  <c r="CO161" i="46"/>
  <c r="CE147" i="46"/>
  <c r="BP143" i="46"/>
  <c r="BP142" i="46" s="1"/>
  <c r="CZ135" i="46"/>
  <c r="CK215" i="46"/>
  <c r="CN36" i="46"/>
  <c r="BJ42" i="46"/>
  <c r="CH46" i="46"/>
  <c r="CK12" i="43"/>
  <c r="BA330" i="46"/>
  <c r="BD398" i="46"/>
  <c r="BD400" i="46" s="1"/>
  <c r="BD249" i="46" s="1"/>
  <c r="BD259" i="46" s="1"/>
  <c r="CN223" i="46"/>
  <c r="CN225" i="46" s="1"/>
  <c r="CN227" i="46" s="1"/>
  <c r="CF215" i="46"/>
  <c r="CF217" i="46" s="1"/>
  <c r="CF161" i="46"/>
  <c r="CU151" i="46"/>
  <c r="BW151" i="46"/>
  <c r="CA148" i="46"/>
  <c r="CA147" i="46"/>
  <c r="CX133" i="46"/>
  <c r="CX134" i="46" s="1"/>
  <c r="CX135" i="46" s="1"/>
  <c r="CX138" i="46" s="1"/>
  <c r="CW215" i="46"/>
  <c r="CW217" i="46" s="1"/>
  <c r="CG45" i="46"/>
  <c r="BA45" i="46"/>
  <c r="BB45" i="46" s="1"/>
  <c r="BE43" i="46"/>
  <c r="BM42" i="46"/>
  <c r="AP33" i="46"/>
  <c r="DA42" i="46"/>
  <c r="BZ47" i="46"/>
  <c r="CB18" i="46"/>
  <c r="CB23" i="46" s="1"/>
  <c r="CN109" i="46"/>
  <c r="CN111" i="46" s="1"/>
  <c r="CF87" i="46"/>
  <c r="CF95" i="46" s="1"/>
  <c r="CF97" i="46" s="1"/>
  <c r="CC215" i="46"/>
  <c r="CC205" i="46" s="1"/>
  <c r="CT51" i="46"/>
  <c r="CO47" i="46"/>
  <c r="AT18" i="46"/>
  <c r="AT23" i="46" s="1"/>
  <c r="AR398" i="46"/>
  <c r="AR400" i="46" s="1"/>
  <c r="AR249" i="46" s="1"/>
  <c r="AR259" i="46" s="1"/>
  <c r="AO323" i="46"/>
  <c r="AO240" i="46" s="1"/>
  <c r="AP240" i="46" s="1"/>
  <c r="CJ225" i="46"/>
  <c r="CJ227" i="46" s="1"/>
  <c r="CN215" i="46"/>
  <c r="CN217" i="46" s="1"/>
  <c r="BL215" i="46"/>
  <c r="BL205" i="46" s="1"/>
  <c r="CG153" i="46"/>
  <c r="BQ157" i="46"/>
  <c r="DB96" i="46"/>
  <c r="DC83" i="46"/>
  <c r="CO39" i="46"/>
  <c r="CC33" i="46"/>
  <c r="CD33" i="46" s="1"/>
  <c r="CD46" i="46" s="1"/>
  <c r="DA45" i="46"/>
  <c r="CB31" i="46"/>
  <c r="CB36" i="46" s="1"/>
  <c r="BV47" i="46"/>
  <c r="CL14" i="46"/>
  <c r="CL40" i="46" s="1"/>
  <c r="CK18" i="46"/>
  <c r="CK23" i="46" s="1"/>
  <c r="AP18" i="46"/>
  <c r="AP23" i="46" s="1"/>
  <c r="BD43" i="46"/>
  <c r="BD57" i="46" s="1"/>
  <c r="BE54" i="46" s="1"/>
  <c r="BD31" i="46"/>
  <c r="BD36" i="46" s="1"/>
  <c r="BD48" i="46" s="1"/>
  <c r="BD49" i="46" s="1"/>
  <c r="CX29" i="46"/>
  <c r="CX42" i="46" s="1"/>
  <c r="CW31" i="46"/>
  <c r="BF27" i="43"/>
  <c r="CQ18" i="41" s="1"/>
  <c r="CK26" i="43"/>
  <c r="AG30" i="43"/>
  <c r="Q30" i="43"/>
  <c r="BB287" i="46"/>
  <c r="AZ234" i="46"/>
  <c r="AZ237" i="46" s="1"/>
  <c r="CF225" i="46"/>
  <c r="CF227" i="46" s="1"/>
  <c r="CM151" i="46"/>
  <c r="CR161" i="46"/>
  <c r="CH96" i="46"/>
  <c r="CU83" i="46"/>
  <c r="DA215" i="46"/>
  <c r="BU45" i="46"/>
  <c r="AS45" i="46"/>
  <c r="AT45" i="46" s="1"/>
  <c r="BY41" i="46"/>
  <c r="BJ18" i="46"/>
  <c r="BJ23" i="46" s="1"/>
  <c r="CF31" i="46"/>
  <c r="CF36" i="46" s="1"/>
  <c r="CD40" i="46"/>
  <c r="CN18" i="46"/>
  <c r="CN23" i="46" s="1"/>
  <c r="CJ7" i="51"/>
  <c r="CP42" i="46"/>
  <c r="CZ31" i="46"/>
  <c r="CZ36" i="46" s="1"/>
  <c r="DB47" i="46"/>
  <c r="BJ47" i="46"/>
  <c r="CR46" i="46"/>
  <c r="BV46" i="46"/>
  <c r="CN43" i="46"/>
  <c r="CN57" i="46" s="1"/>
  <c r="CO54" i="46" s="1"/>
  <c r="BR41" i="46"/>
  <c r="BR18" i="46"/>
  <c r="BR23" i="46" s="1"/>
  <c r="CG18" i="46"/>
  <c r="CT40" i="46"/>
  <c r="G46" i="51"/>
  <c r="G56" i="51" s="1"/>
  <c r="BZ45" i="46"/>
  <c r="CV31" i="46"/>
  <c r="CV36" i="46" s="1"/>
  <c r="DB41" i="46"/>
  <c r="CJ6" i="51"/>
  <c r="CD47" i="46"/>
  <c r="BX42" i="46"/>
  <c r="CP14" i="46"/>
  <c r="CX41" i="46"/>
  <c r="BB18" i="46"/>
  <c r="BB23" i="46" s="1"/>
  <c r="AR86" i="51"/>
  <c r="D37" i="78"/>
  <c r="L9" i="79" s="1"/>
  <c r="BJ40" i="46"/>
  <c r="CT47" i="46"/>
  <c r="BU18" i="46"/>
  <c r="BU23" i="46" s="1"/>
  <c r="CN42" i="46"/>
  <c r="CD41" i="46"/>
  <c r="G52" i="51"/>
  <c r="O49" i="51"/>
  <c r="O47" i="51"/>
  <c r="CP219" i="49"/>
  <c r="D80" i="78"/>
  <c r="CJ31" i="46"/>
  <c r="CJ36" i="46" s="1"/>
  <c r="CB46" i="46"/>
  <c r="BX43" i="46"/>
  <c r="BX57" i="46" s="1"/>
  <c r="BY54" i="46" s="1"/>
  <c r="BX18" i="46"/>
  <c r="B49" i="51"/>
  <c r="B60" i="51" s="1"/>
  <c r="B47" i="51"/>
  <c r="B57" i="51" s="1"/>
  <c r="CL47" i="46"/>
  <c r="BZ46" i="46"/>
  <c r="BV41" i="46"/>
  <c r="CX40" i="46"/>
  <c r="CW645" i="10"/>
  <c r="CV60" i="10"/>
  <c r="CW60" i="10"/>
  <c r="CX443" i="20"/>
  <c r="DC21" i="43"/>
  <c r="DB422" i="10"/>
  <c r="DA297" i="42"/>
  <c r="DB322" i="49"/>
  <c r="DA314" i="42"/>
  <c r="DB314" i="42" s="1"/>
  <c r="DB317" i="42" s="1"/>
  <c r="DB319" i="42" s="1"/>
  <c r="DB312" i="42"/>
  <c r="DB320" i="42" s="1"/>
  <c r="DA172" i="42"/>
  <c r="DA215" i="42"/>
  <c r="DA123" i="42"/>
  <c r="DB96" i="42"/>
  <c r="DB369" i="42"/>
  <c r="DD366" i="42" s="1"/>
  <c r="DB761" i="20"/>
  <c r="DI766" i="20"/>
  <c r="DB770" i="20"/>
  <c r="DB646" i="20"/>
  <c r="DI604" i="20"/>
  <c r="DB592" i="20"/>
  <c r="DB587" i="20"/>
  <c r="DF593" i="20" s="1"/>
  <c r="DB656" i="20"/>
  <c r="DB652" i="20"/>
  <c r="DF657" i="20" s="1"/>
  <c r="DA759" i="10"/>
  <c r="DA557" i="10"/>
  <c r="DA623" i="10"/>
  <c r="DA487" i="10" s="1"/>
  <c r="DA465" i="10" s="1"/>
  <c r="DA535" i="10"/>
  <c r="DG410" i="20"/>
  <c r="DA677" i="10"/>
  <c r="DA19" i="10" s="1"/>
  <c r="DB323" i="20"/>
  <c r="DB322" i="20"/>
  <c r="DA590" i="10"/>
  <c r="DA502" i="10"/>
  <c r="DA1045" i="10" s="1"/>
  <c r="DA601" i="10"/>
  <c r="DI1143" i="10"/>
  <c r="DA232" i="20"/>
  <c r="DA76" i="10" s="1"/>
  <c r="DA81" i="10" s="1"/>
  <c r="DA1134" i="10"/>
  <c r="DA1136" i="10" s="1"/>
  <c r="DA22" i="10" s="1"/>
  <c r="DA579" i="10"/>
  <c r="DA483" i="10" s="1"/>
  <c r="DA634" i="10"/>
  <c r="DA488" i="10" s="1"/>
  <c r="DA568" i="10"/>
  <c r="DA482" i="10" s="1"/>
  <c r="DA105" i="10"/>
  <c r="DB136" i="20"/>
  <c r="CJ485" i="42"/>
  <c r="CJ490" i="42" s="1"/>
  <c r="DU39" i="41" s="1"/>
  <c r="DE928" i="20"/>
  <c r="DB924" i="20"/>
  <c r="DI1156" i="10"/>
  <c r="DJ1156" i="10" s="1"/>
  <c r="DA913" i="10"/>
  <c r="DB743" i="10"/>
  <c r="DB739" i="10"/>
  <c r="CF886" i="20"/>
  <c r="CJ952" i="20"/>
  <c r="BY953" i="20"/>
  <c r="DN943" i="20"/>
  <c r="DN939" i="20"/>
  <c r="DL947" i="20"/>
  <c r="DL946" i="20"/>
  <c r="DL880" i="20" s="1"/>
  <c r="DN935" i="20"/>
  <c r="DD946" i="20"/>
  <c r="DD880" i="20" s="1"/>
  <c r="CP945" i="20"/>
  <c r="CP941" i="20"/>
  <c r="CP937" i="20"/>
  <c r="CP933" i="20"/>
  <c r="CC946" i="20"/>
  <c r="CC880" i="20" s="1"/>
  <c r="BZ880" i="20"/>
  <c r="CV912" i="20"/>
  <c r="CK908" i="20"/>
  <c r="CK909" i="20"/>
  <c r="CF908" i="20"/>
  <c r="CD908" i="20"/>
  <c r="DE925" i="20"/>
  <c r="DA928" i="20"/>
  <c r="CW928" i="20"/>
  <c r="CN925" i="20"/>
  <c r="DN876" i="20"/>
  <c r="CH876" i="20"/>
  <c r="BN667" i="20"/>
  <c r="AX503" i="20"/>
  <c r="CD195" i="20"/>
  <c r="BZ195" i="20"/>
  <c r="CX714" i="20"/>
  <c r="CW716" i="20"/>
  <c r="CG448" i="10"/>
  <c r="CH714" i="20"/>
  <c r="CG716" i="20"/>
  <c r="BQ448" i="10"/>
  <c r="BR448" i="10" s="1"/>
  <c r="BR714" i="20"/>
  <c r="BQ716" i="20"/>
  <c r="BA448" i="10"/>
  <c r="BA716" i="20"/>
  <c r="AV448" i="10"/>
  <c r="AX448" i="10" s="1"/>
  <c r="AX714" i="20"/>
  <c r="AV716" i="20"/>
  <c r="BB667" i="20"/>
  <c r="AZ672" i="20"/>
  <c r="AV447" i="10"/>
  <c r="AX447" i="10" s="1"/>
  <c r="AX670" i="20"/>
  <c r="CT627" i="20"/>
  <c r="CS661" i="20"/>
  <c r="CS545" i="20"/>
  <c r="CT545" i="20" s="1"/>
  <c r="CS625" i="20"/>
  <c r="CR550" i="20"/>
  <c r="CN446" i="10"/>
  <c r="CP548" i="20"/>
  <c r="CB550" i="20"/>
  <c r="BX446" i="10"/>
  <c r="BZ548" i="20"/>
  <c r="BJ627" i="20"/>
  <c r="BH661" i="20"/>
  <c r="BH545" i="20"/>
  <c r="BH445" i="10"/>
  <c r="BJ473" i="20"/>
  <c r="BH475" i="20"/>
  <c r="BH493" i="20" s="1"/>
  <c r="BU443" i="10"/>
  <c r="BV346" i="20"/>
  <c r="DA260" i="20"/>
  <c r="DA261" i="20"/>
  <c r="DA262" i="20"/>
  <c r="CS261" i="20"/>
  <c r="CS262" i="20"/>
  <c r="CS231" i="20"/>
  <c r="CS260" i="20"/>
  <c r="CF444" i="10"/>
  <c r="CH234" i="20"/>
  <c r="BY444" i="10"/>
  <c r="BZ234" i="20"/>
  <c r="BX295" i="20"/>
  <c r="BP273" i="20"/>
  <c r="BH287" i="20"/>
  <c r="BJ286" i="20"/>
  <c r="BA838" i="20"/>
  <c r="BA798" i="20"/>
  <c r="AW236" i="20"/>
  <c r="DF1173" i="10"/>
  <c r="AS126" i="20"/>
  <c r="AS128" i="20" s="1"/>
  <c r="AT115" i="20"/>
  <c r="AR120" i="20"/>
  <c r="DI1158" i="10"/>
  <c r="BZ947" i="20"/>
  <c r="BZ919" i="20"/>
  <c r="CC886" i="20"/>
  <c r="CG952" i="20"/>
  <c r="CH952" i="20" s="1"/>
  <c r="CF951" i="20"/>
  <c r="CB885" i="20"/>
  <c r="CD951" i="20"/>
  <c r="CD956" i="20" s="1"/>
  <c r="CB884" i="20"/>
  <c r="CF950" i="20"/>
  <c r="DM947" i="20"/>
  <c r="DM946" i="20"/>
  <c r="DM880" i="20" s="1"/>
  <c r="CX939" i="20"/>
  <c r="CV947" i="20"/>
  <c r="CV946" i="20"/>
  <c r="CV880" i="20" s="1"/>
  <c r="CX935" i="20"/>
  <c r="CR946" i="20"/>
  <c r="CR880" i="20" s="1"/>
  <c r="CR947" i="20"/>
  <c r="BY878" i="20"/>
  <c r="BZ878" i="20" s="1"/>
  <c r="BY920" i="20"/>
  <c r="BZ877" i="20"/>
  <c r="CA877" i="20" s="1"/>
  <c r="BX882" i="20"/>
  <c r="CT876" i="20"/>
  <c r="DB869" i="20"/>
  <c r="CL869" i="20"/>
  <c r="BY869" i="20"/>
  <c r="DJ869" i="20"/>
  <c r="CT869" i="20"/>
  <c r="CD869" i="20"/>
  <c r="CF820" i="20"/>
  <c r="CD820" i="20"/>
  <c r="CD824" i="20" s="1"/>
  <c r="CB821" i="20"/>
  <c r="CB799" i="20"/>
  <c r="CD799" i="20" s="1"/>
  <c r="CE799" i="20" s="1"/>
  <c r="BN803" i="20"/>
  <c r="BM809" i="20"/>
  <c r="BB736" i="20"/>
  <c r="DB735" i="20"/>
  <c r="BX447" i="10"/>
  <c r="BZ447" i="10" s="1"/>
  <c r="BZ670" i="20"/>
  <c r="BH447" i="10"/>
  <c r="BJ447" i="10" s="1"/>
  <c r="BJ670" i="20"/>
  <c r="BF570" i="20"/>
  <c r="AX534" i="20"/>
  <c r="AX536" i="20"/>
  <c r="AV607" i="10"/>
  <c r="AX318" i="20"/>
  <c r="CS448" i="10"/>
  <c r="CT714" i="20"/>
  <c r="CS716" i="20"/>
  <c r="CC448" i="10"/>
  <c r="CD714" i="20"/>
  <c r="CC716" i="20"/>
  <c r="BM448" i="10"/>
  <c r="BN448" i="10" s="1"/>
  <c r="BN714" i="20"/>
  <c r="BM716" i="20"/>
  <c r="AW667" i="20"/>
  <c r="AW672" i="20" s="1"/>
  <c r="AX688" i="20"/>
  <c r="AV672" i="20"/>
  <c r="DI651" i="20"/>
  <c r="DE689" i="10"/>
  <c r="CZ446" i="10"/>
  <c r="DB548" i="20"/>
  <c r="CO625" i="20"/>
  <c r="CP627" i="20"/>
  <c r="CO545" i="20"/>
  <c r="CP545" i="20" s="1"/>
  <c r="CN550" i="20"/>
  <c r="CJ446" i="10"/>
  <c r="CL548" i="20"/>
  <c r="BY625" i="20"/>
  <c r="BY545" i="20"/>
  <c r="BT446" i="10"/>
  <c r="BV548" i="20"/>
  <c r="BP446" i="10"/>
  <c r="BR446" i="10" s="1"/>
  <c r="BR548" i="20"/>
  <c r="CC445" i="10"/>
  <c r="CD445" i="10" s="1"/>
  <c r="CD473" i="20"/>
  <c r="CC475" i="20"/>
  <c r="CC493" i="20" s="1"/>
  <c r="BX445" i="10"/>
  <c r="BX475" i="20"/>
  <c r="BX493" i="20" s="1"/>
  <c r="BZ473" i="20"/>
  <c r="BI445" i="10"/>
  <c r="BI475" i="20"/>
  <c r="BI494" i="20" s="1"/>
  <c r="DA443" i="10"/>
  <c r="DB346" i="20"/>
  <c r="DA787" i="20"/>
  <c r="CK443" i="10"/>
  <c r="BQ443" i="10"/>
  <c r="BR346" i="20"/>
  <c r="AV443" i="10"/>
  <c r="AX443" i="10" s="1"/>
  <c r="AX346" i="20"/>
  <c r="DI329" i="20"/>
  <c r="CC444" i="10"/>
  <c r="CD234" i="20"/>
  <c r="CC787" i="20"/>
  <c r="BU260" i="20"/>
  <c r="BU261" i="20"/>
  <c r="BY305" i="20"/>
  <c r="BT152" i="10"/>
  <c r="BT114" i="10"/>
  <c r="BX304" i="20"/>
  <c r="BT304" i="20"/>
  <c r="BV299" i="20"/>
  <c r="BT301" i="20"/>
  <c r="BL294" i="20"/>
  <c r="BL287" i="20"/>
  <c r="BN286" i="20"/>
  <c r="BP294" i="20"/>
  <c r="BE273" i="20"/>
  <c r="BE1295" i="10"/>
  <c r="BA1175" i="10"/>
  <c r="BA329" i="20"/>
  <c r="BA241" i="20"/>
  <c r="AZ273" i="20"/>
  <c r="AZ1295" i="10"/>
  <c r="AS231" i="20"/>
  <c r="AS803" i="20"/>
  <c r="AS809" i="20" s="1"/>
  <c r="AS811" i="20" s="1"/>
  <c r="CZ225" i="20"/>
  <c r="CZ115" i="20"/>
  <c r="CW225" i="20"/>
  <c r="CR225" i="20"/>
  <c r="CR115" i="20"/>
  <c r="CF442" i="10"/>
  <c r="CF40" i="10"/>
  <c r="CH118" i="20"/>
  <c r="AV18" i="10"/>
  <c r="AV442" i="10"/>
  <c r="AX118" i="20"/>
  <c r="DI1247" i="10"/>
  <c r="DL1247" i="10" s="1"/>
  <c r="CB886" i="20"/>
  <c r="CD952" i="20"/>
  <c r="CD957" i="20" s="1"/>
  <c r="CT881" i="20"/>
  <c r="DI946" i="20"/>
  <c r="DI880" i="20" s="1"/>
  <c r="DE946" i="20"/>
  <c r="DE880" i="20" s="1"/>
  <c r="CW947" i="20"/>
  <c r="CW946" i="20"/>
  <c r="CW880" i="20" s="1"/>
  <c r="CH939" i="20"/>
  <c r="CF947" i="20"/>
  <c r="CF946" i="20"/>
  <c r="CF880" i="20" s="1"/>
  <c r="CH935" i="20"/>
  <c r="CB946" i="20"/>
  <c r="CB880" i="20" s="1"/>
  <c r="CB947" i="20"/>
  <c r="CO925" i="20"/>
  <c r="CK928" i="20"/>
  <c r="CG928" i="20"/>
  <c r="CX876" i="20"/>
  <c r="DN869" i="20"/>
  <c r="CX869" i="20"/>
  <c r="CH869" i="20"/>
  <c r="BX869" i="20"/>
  <c r="BN844" i="20"/>
  <c r="BN847" i="20"/>
  <c r="BN851" i="20"/>
  <c r="AX844" i="20"/>
  <c r="AX847" i="20"/>
  <c r="AX851" i="20"/>
  <c r="BY809" i="20"/>
  <c r="BQ809" i="20"/>
  <c r="BQ814" i="20"/>
  <c r="BL447" i="10"/>
  <c r="BN447" i="10" s="1"/>
  <c r="BL672" i="20"/>
  <c r="BN670" i="20"/>
  <c r="BE447" i="10"/>
  <c r="BF447" i="10" s="1"/>
  <c r="BE672" i="20"/>
  <c r="DI626" i="20"/>
  <c r="DL626" i="20" s="1"/>
  <c r="BB571" i="20"/>
  <c r="AX568" i="20"/>
  <c r="AX571" i="20"/>
  <c r="BR568" i="20"/>
  <c r="BR570" i="20"/>
  <c r="AN803" i="20"/>
  <c r="AN809" i="20" s="1"/>
  <c r="AN231" i="20"/>
  <c r="CT195" i="20"/>
  <c r="BB195" i="20"/>
  <c r="BF195" i="20"/>
  <c r="CO448" i="10"/>
  <c r="CO716" i="20"/>
  <c r="CP714" i="20"/>
  <c r="BY448" i="10"/>
  <c r="BY716" i="20"/>
  <c r="BZ714" i="20"/>
  <c r="BH448" i="10"/>
  <c r="BH716" i="20"/>
  <c r="CZ550" i="20"/>
  <c r="DD561" i="20" s="1"/>
  <c r="CV446" i="10"/>
  <c r="CX548" i="20"/>
  <c r="CJ550" i="20"/>
  <c r="CF446" i="10"/>
  <c r="CH548" i="20"/>
  <c r="BU545" i="20"/>
  <c r="BV545" i="20" s="1"/>
  <c r="BV627" i="20"/>
  <c r="BT550" i="20"/>
  <c r="BQ550" i="20"/>
  <c r="BP550" i="20"/>
  <c r="BR545" i="20"/>
  <c r="BM661" i="20"/>
  <c r="BM545" i="20"/>
  <c r="BN627" i="20"/>
  <c r="BN661" i="20" s="1"/>
  <c r="BL661" i="20"/>
  <c r="BL545" i="20"/>
  <c r="BH446" i="10"/>
  <c r="BJ446" i="10" s="1"/>
  <c r="BJ548" i="20"/>
  <c r="AZ446" i="10"/>
  <c r="BB446" i="10" s="1"/>
  <c r="BB548" i="20"/>
  <c r="BT445" i="10"/>
  <c r="BV445" i="10" s="1"/>
  <c r="BV473" i="20"/>
  <c r="BT475" i="20"/>
  <c r="BT493" i="20" s="1"/>
  <c r="AZ445" i="10"/>
  <c r="BB445" i="10" s="1"/>
  <c r="BB473" i="20"/>
  <c r="AZ475" i="20"/>
  <c r="AZ494" i="20" s="1"/>
  <c r="CW443" i="10"/>
  <c r="CW787" i="20"/>
  <c r="CX346" i="20"/>
  <c r="CG443" i="10"/>
  <c r="CH346" i="20"/>
  <c r="BD443" i="10"/>
  <c r="CZ260" i="20"/>
  <c r="CZ261" i="20"/>
  <c r="CZ262" i="20"/>
  <c r="DB301" i="20"/>
  <c r="DF305" i="20" s="1"/>
  <c r="CZ231" i="20"/>
  <c r="CC76" i="10"/>
  <c r="CC81" i="10" s="1"/>
  <c r="CC82" i="10" s="1"/>
  <c r="CC37" i="10"/>
  <c r="CD232" i="20"/>
  <c r="CD76" i="10" s="1"/>
  <c r="CC785" i="20"/>
  <c r="CC781" i="20" s="1"/>
  <c r="CC273" i="20"/>
  <c r="BU273" i="20"/>
  <c r="BU785" i="20"/>
  <c r="BM294" i="20"/>
  <c r="BI287" i="20"/>
  <c r="DE685" i="10"/>
  <c r="DI215" i="20"/>
  <c r="CF120" i="20"/>
  <c r="BT442" i="10"/>
  <c r="BP442" i="10"/>
  <c r="BR118" i="20"/>
  <c r="BL442" i="10"/>
  <c r="BN118" i="20"/>
  <c r="BH442" i="10"/>
  <c r="BJ118" i="20"/>
  <c r="AX115" i="20"/>
  <c r="AV120" i="20"/>
  <c r="AV1300" i="10"/>
  <c r="AX1295" i="10" s="1"/>
  <c r="BZ913" i="20"/>
  <c r="BZ920" i="20" s="1"/>
  <c r="CX889" i="20"/>
  <c r="CC885" i="20"/>
  <c r="CG951" i="20"/>
  <c r="DF945" i="20"/>
  <c r="DF941" i="20"/>
  <c r="DF937" i="20"/>
  <c r="DF933" i="20"/>
  <c r="CS946" i="20"/>
  <c r="CS880" i="20" s="1"/>
  <c r="CO946" i="20"/>
  <c r="CO880" i="20" s="1"/>
  <c r="CG947" i="20"/>
  <c r="CG946" i="20"/>
  <c r="CG880" i="20" s="1"/>
  <c r="DB879" i="20"/>
  <c r="CK912" i="20"/>
  <c r="CC910" i="20"/>
  <c r="CC911" i="20" s="1"/>
  <c r="BZ910" i="20"/>
  <c r="BZ917" i="20" s="1"/>
  <c r="DM925" i="20"/>
  <c r="DQ929" i="20" s="1"/>
  <c r="CV925" i="20"/>
  <c r="CP924" i="20"/>
  <c r="CR928" i="20"/>
  <c r="CG925" i="20"/>
  <c r="DJ876" i="20"/>
  <c r="CD876" i="20"/>
  <c r="CD843" i="20"/>
  <c r="CD848" i="20" s="1"/>
  <c r="CC807" i="20"/>
  <c r="CD807" i="20" s="1"/>
  <c r="CG843" i="20"/>
  <c r="BH803" i="20"/>
  <c r="BJ798" i="20"/>
  <c r="BS1133" i="10"/>
  <c r="AT545" i="20"/>
  <c r="AR550" i="20"/>
  <c r="AP120" i="20"/>
  <c r="DA448" i="10"/>
  <c r="DB714" i="20"/>
  <c r="CK448" i="10"/>
  <c r="CL714" i="20"/>
  <c r="CK716" i="20"/>
  <c r="BU448" i="10"/>
  <c r="BV714" i="20"/>
  <c r="BU716" i="20"/>
  <c r="AZ448" i="10"/>
  <c r="AZ716" i="20"/>
  <c r="BB714" i="20"/>
  <c r="AZ447" i="10"/>
  <c r="BB447" i="10" s="1"/>
  <c r="BB670" i="20"/>
  <c r="DL605" i="20"/>
  <c r="CW661" i="20"/>
  <c r="CW625" i="20"/>
  <c r="CX627" i="20"/>
  <c r="CW545" i="20"/>
  <c r="CX545" i="20" s="1"/>
  <c r="CV550" i="20"/>
  <c r="CR446" i="10"/>
  <c r="CT548" i="20"/>
  <c r="CG661" i="20"/>
  <c r="CG625" i="20"/>
  <c r="CH627" i="20"/>
  <c r="CG545" i="20"/>
  <c r="CH545" i="20" s="1"/>
  <c r="CF550" i="20"/>
  <c r="CB446" i="10"/>
  <c r="CD548" i="20"/>
  <c r="BI550" i="20"/>
  <c r="BE446" i="10"/>
  <c r="BF446" i="10" s="1"/>
  <c r="BF548" i="20"/>
  <c r="BE445" i="10"/>
  <c r="BF445" i="10" s="1"/>
  <c r="BE475" i="20"/>
  <c r="BF473" i="20"/>
  <c r="AV445" i="10"/>
  <c r="AX445" i="10" s="1"/>
  <c r="AV475" i="20"/>
  <c r="AX473" i="20"/>
  <c r="DI456" i="20"/>
  <c r="CS443" i="10"/>
  <c r="CT346" i="20"/>
  <c r="CS787" i="20"/>
  <c r="CC443" i="10"/>
  <c r="CD346" i="20"/>
  <c r="BE11" i="10"/>
  <c r="BE411" i="20"/>
  <c r="BE372" i="20"/>
  <c r="BE373" i="20" s="1"/>
  <c r="CG444" i="10"/>
  <c r="CG787" i="20"/>
  <c r="AZ1175" i="10"/>
  <c r="BB240" i="20"/>
  <c r="BB329" i="20" s="1"/>
  <c r="AZ329" i="20"/>
  <c r="AZ241" i="20"/>
  <c r="AX798" i="20"/>
  <c r="AV231" i="20"/>
  <c r="AV803" i="20"/>
  <c r="AR803" i="20"/>
  <c r="AR231" i="20"/>
  <c r="AT798" i="20"/>
  <c r="BP120" i="20"/>
  <c r="BJ115" i="20"/>
  <c r="BH120" i="20"/>
  <c r="BD18" i="10"/>
  <c r="BD40" i="10"/>
  <c r="BD442" i="10"/>
  <c r="BF118" i="20"/>
  <c r="BY848" i="20"/>
  <c r="BT848" i="20"/>
  <c r="BN848" i="20"/>
  <c r="BI848" i="20"/>
  <c r="AX848" i="20"/>
  <c r="AS848" i="20"/>
  <c r="BV846" i="20"/>
  <c r="BQ846" i="20"/>
  <c r="BL846" i="20"/>
  <c r="BF846" i="20"/>
  <c r="BA846" i="20"/>
  <c r="AV846" i="20"/>
  <c r="BZ844" i="20"/>
  <c r="BZ849" i="20" s="1"/>
  <c r="BU844" i="20"/>
  <c r="BP844" i="20"/>
  <c r="BJ844" i="20"/>
  <c r="BE844" i="20"/>
  <c r="AT844" i="20"/>
  <c r="BU838" i="20"/>
  <c r="BN837" i="20"/>
  <c r="CC836" i="20"/>
  <c r="BR830" i="20"/>
  <c r="BQ824" i="20"/>
  <c r="BL824" i="20"/>
  <c r="BF824" i="20"/>
  <c r="BA824" i="20"/>
  <c r="AV824" i="20"/>
  <c r="CC821" i="20"/>
  <c r="CC825" i="20" s="1"/>
  <c r="BB821" i="20"/>
  <c r="AW821" i="20"/>
  <c r="BZ808" i="20"/>
  <c r="BJ808" i="20"/>
  <c r="CG820" i="20"/>
  <c r="CF828" i="20"/>
  <c r="CB830" i="20"/>
  <c r="DA770" i="20"/>
  <c r="CV770" i="20"/>
  <c r="CP770" i="20"/>
  <c r="CK770" i="20"/>
  <c r="CF770" i="20"/>
  <c r="BZ770" i="20"/>
  <c r="BU770" i="20"/>
  <c r="BP770" i="20"/>
  <c r="CZ768" i="20"/>
  <c r="DD773" i="20" s="1"/>
  <c r="CO768" i="20"/>
  <c r="CJ768" i="20"/>
  <c r="BY768" i="20"/>
  <c r="BT768" i="20"/>
  <c r="BI768" i="20"/>
  <c r="AX768" i="20"/>
  <c r="CX742" i="20"/>
  <c r="CH742" i="20"/>
  <c r="CS740" i="20"/>
  <c r="BZ389" i="42"/>
  <c r="CX426" i="42"/>
  <c r="CH426" i="42"/>
  <c r="DN431" i="42"/>
  <c r="CX431" i="42"/>
  <c r="CH431" i="42"/>
  <c r="AT721" i="20"/>
  <c r="AP716" i="20"/>
  <c r="CD118" i="10"/>
  <c r="CT80" i="10"/>
  <c r="CD80" i="10"/>
  <c r="BN80" i="10"/>
  <c r="AX80" i="10"/>
  <c r="AT676" i="20"/>
  <c r="BR670" i="20"/>
  <c r="AX79" i="10"/>
  <c r="CZ661" i="20"/>
  <c r="CO661" i="20"/>
  <c r="CJ661" i="20"/>
  <c r="BY661" i="20"/>
  <c r="BT661" i="20"/>
  <c r="BI661" i="20"/>
  <c r="CF658" i="20"/>
  <c r="BP658" i="20"/>
  <c r="BE658" i="20"/>
  <c r="AZ658" i="20"/>
  <c r="CZ657" i="20"/>
  <c r="CO657" i="20"/>
  <c r="CJ657" i="20"/>
  <c r="CD657" i="20"/>
  <c r="BY657" i="20"/>
  <c r="BT657" i="20"/>
  <c r="BI657" i="20"/>
  <c r="BD657" i="20"/>
  <c r="AX657" i="20"/>
  <c r="DA656" i="20"/>
  <c r="CV656" i="20"/>
  <c r="CP656" i="20"/>
  <c r="CK656" i="20"/>
  <c r="CF656" i="20"/>
  <c r="BZ656" i="20"/>
  <c r="BU656" i="20"/>
  <c r="BP656" i="20"/>
  <c r="AZ656" i="20"/>
  <c r="CO654" i="20"/>
  <c r="BY654" i="20"/>
  <c r="BT654" i="20"/>
  <c r="BI654" i="20"/>
  <c r="AX654" i="20"/>
  <c r="AS654" i="20"/>
  <c r="CI642" i="20"/>
  <c r="CK140" i="10"/>
  <c r="CK104" i="10"/>
  <c r="CX611" i="20"/>
  <c r="CH611" i="20"/>
  <c r="CT610" i="20"/>
  <c r="CT608" i="20"/>
  <c r="BI604" i="20"/>
  <c r="AZ604" i="20"/>
  <c r="CS593" i="20"/>
  <c r="CN593" i="20"/>
  <c r="CC593" i="20"/>
  <c r="CX591" i="20"/>
  <c r="CP590" i="20"/>
  <c r="CW588" i="20"/>
  <c r="CR588" i="20"/>
  <c r="CG588" i="20"/>
  <c r="CH588" i="20" s="1"/>
  <c r="CB588" i="20"/>
  <c r="BZ587" i="20"/>
  <c r="CE577" i="20"/>
  <c r="BA571" i="20"/>
  <c r="AV571" i="20"/>
  <c r="BU570" i="20"/>
  <c r="BP570" i="20"/>
  <c r="BJ570" i="20"/>
  <c r="BE570" i="20"/>
  <c r="AZ570" i="20"/>
  <c r="CT567" i="20"/>
  <c r="CT568" i="20" s="1"/>
  <c r="CD567" i="20"/>
  <c r="CD568" i="20" s="1"/>
  <c r="CX434" i="42"/>
  <c r="CH434" i="42"/>
  <c r="AO556" i="20"/>
  <c r="AT555" i="20"/>
  <c r="AS550" i="20"/>
  <c r="BW544" i="20"/>
  <c r="BB78" i="10"/>
  <c r="BY537" i="20"/>
  <c r="BT537" i="20"/>
  <c r="BI537" i="20"/>
  <c r="CC534" i="20"/>
  <c r="BX534" i="20"/>
  <c r="BM534" i="20"/>
  <c r="BH534" i="20"/>
  <c r="AS533" i="20"/>
  <c r="AW538" i="20" s="1"/>
  <c r="BV532" i="20"/>
  <c r="CD531" i="20"/>
  <c r="BN531" i="20"/>
  <c r="BZ525" i="20"/>
  <c r="BZ526" i="20" s="1"/>
  <c r="BX502" i="20"/>
  <c r="BR502" i="20"/>
  <c r="BM502" i="20"/>
  <c r="BH502" i="20"/>
  <c r="AW502" i="20"/>
  <c r="BZ498" i="20"/>
  <c r="BJ498" i="20"/>
  <c r="AT498" i="20"/>
  <c r="AN481" i="20"/>
  <c r="AS480" i="20"/>
  <c r="CD77" i="10"/>
  <c r="BV77" i="10"/>
  <c r="BN77" i="10"/>
  <c r="BB77" i="10"/>
  <c r="CS461" i="20"/>
  <c r="CN461" i="20"/>
  <c r="CC461" i="20"/>
  <c r="BX461" i="20"/>
  <c r="BM461" i="20"/>
  <c r="BH461" i="20"/>
  <c r="AW461" i="20"/>
  <c r="CW460" i="20"/>
  <c r="CR460" i="20"/>
  <c r="CG460" i="20"/>
  <c r="CB460" i="20"/>
  <c r="BQ460" i="20"/>
  <c r="BL460" i="20"/>
  <c r="BA460" i="20"/>
  <c r="CS459" i="20"/>
  <c r="CN459" i="20"/>
  <c r="CH459" i="20"/>
  <c r="CC459" i="20"/>
  <c r="BX459" i="20"/>
  <c r="BM459" i="20"/>
  <c r="AW459" i="20"/>
  <c r="CW457" i="20"/>
  <c r="CR457" i="20"/>
  <c r="CG457" i="20"/>
  <c r="CB457" i="20"/>
  <c r="BQ457" i="20"/>
  <c r="BL457" i="20"/>
  <c r="BA457" i="20"/>
  <c r="AV457" i="20"/>
  <c r="CS451" i="20"/>
  <c r="CN451" i="20"/>
  <c r="BM451" i="20"/>
  <c r="CP101" i="10"/>
  <c r="BZ101" i="10"/>
  <c r="BJ101" i="10"/>
  <c r="DN128" i="10"/>
  <c r="DN89" i="10"/>
  <c r="CX89" i="10"/>
  <c r="CH89" i="10"/>
  <c r="BR89" i="10"/>
  <c r="BB89" i="10"/>
  <c r="DB437" i="20"/>
  <c r="DB449" i="20" s="1"/>
  <c r="CT437" i="20"/>
  <c r="CT449" i="20" s="1"/>
  <c r="CL437" i="20"/>
  <c r="CL449" i="20" s="1"/>
  <c r="CD437" i="20"/>
  <c r="CD449" i="20" s="1"/>
  <c r="BV437" i="20"/>
  <c r="BV449" i="20" s="1"/>
  <c r="BN437" i="20"/>
  <c r="BN449" i="20" s="1"/>
  <c r="BF437" i="20"/>
  <c r="BF449" i="20" s="1"/>
  <c r="AX437" i="20"/>
  <c r="AX449" i="20" s="1"/>
  <c r="DN432" i="42"/>
  <c r="CX432" i="42"/>
  <c r="CH432" i="42"/>
  <c r="BR432" i="42"/>
  <c r="BB432" i="42"/>
  <c r="AS353" i="20"/>
  <c r="BO352" i="20"/>
  <c r="AT350" i="20"/>
  <c r="AR348" i="20"/>
  <c r="CX75" i="10"/>
  <c r="CY75" i="10" s="1"/>
  <c r="CH75" i="10"/>
  <c r="BR75" i="10"/>
  <c r="BB75" i="10"/>
  <c r="CO330" i="20"/>
  <c r="CJ330" i="20"/>
  <c r="BY330" i="20"/>
  <c r="BT330" i="20"/>
  <c r="BI330" i="20"/>
  <c r="BD330" i="20"/>
  <c r="BA323" i="20"/>
  <c r="AV323" i="20"/>
  <c r="BA322" i="20"/>
  <c r="AV322" i="20"/>
  <c r="BF640" i="10"/>
  <c r="AX321" i="20"/>
  <c r="BF618" i="10"/>
  <c r="AX320" i="20"/>
  <c r="BD634" i="10"/>
  <c r="BF629" i="10"/>
  <c r="AX319" i="20"/>
  <c r="BE607" i="10"/>
  <c r="BE612" i="10" s="1"/>
  <c r="BE486" i="10" s="1"/>
  <c r="BE463" i="10" s="1"/>
  <c r="AZ607" i="10"/>
  <c r="BB317" i="20"/>
  <c r="BB316" i="20"/>
  <c r="BB315" i="20"/>
  <c r="BB314" i="20"/>
  <c r="BB313" i="20"/>
  <c r="BB312" i="20"/>
  <c r="BB311" i="20"/>
  <c r="BD519" i="10"/>
  <c r="BD513" i="10"/>
  <c r="BF508" i="10"/>
  <c r="AX309" i="20"/>
  <c r="AW497" i="10"/>
  <c r="CX303" i="20"/>
  <c r="CH303" i="20"/>
  <c r="BR303" i="20"/>
  <c r="AW152" i="10"/>
  <c r="AW15" i="10"/>
  <c r="AW14" i="10"/>
  <c r="AW151" i="10"/>
  <c r="CW291" i="20"/>
  <c r="CR291" i="20"/>
  <c r="CG291" i="20"/>
  <c r="CB291" i="20"/>
  <c r="BQ291" i="20"/>
  <c r="CT290" i="20"/>
  <c r="CD290" i="20"/>
  <c r="CR276" i="20"/>
  <c r="BX263" i="20"/>
  <c r="BX266" i="20" s="1"/>
  <c r="BF285" i="20"/>
  <c r="BE152" i="10"/>
  <c r="BE15" i="10"/>
  <c r="BE114" i="10"/>
  <c r="BZ437" i="42"/>
  <c r="BJ437" i="42"/>
  <c r="DC239" i="20"/>
  <c r="CU239" i="20"/>
  <c r="CY235" i="20"/>
  <c r="AN18" i="10"/>
  <c r="AN444" i="10"/>
  <c r="AN449" i="10" s="1"/>
  <c r="AN450" i="10" s="1"/>
  <c r="CW222" i="20"/>
  <c r="CZ221" i="20"/>
  <c r="CT221" i="20"/>
  <c r="CO221" i="20"/>
  <c r="CJ221" i="20"/>
  <c r="CD221" i="20"/>
  <c r="BY221" i="20"/>
  <c r="BT221" i="20"/>
  <c r="BN221" i="20"/>
  <c r="BD221" i="20"/>
  <c r="AX221" i="20"/>
  <c r="CV220" i="20"/>
  <c r="CK220" i="20"/>
  <c r="CF220" i="20"/>
  <c r="BU220" i="20"/>
  <c r="BP220" i="20"/>
  <c r="BJ220" i="20"/>
  <c r="BE220" i="20"/>
  <c r="AZ220" i="20"/>
  <c r="CT218" i="20"/>
  <c r="CO218" i="20"/>
  <c r="CJ218" i="20"/>
  <c r="CD218" i="20"/>
  <c r="BY218" i="20"/>
  <c r="BT218" i="20"/>
  <c r="BN218" i="20"/>
  <c r="BI218" i="20"/>
  <c r="BD218" i="20"/>
  <c r="AX218" i="20"/>
  <c r="AS218" i="20"/>
  <c r="CR198" i="20"/>
  <c r="CR197" i="20"/>
  <c r="CW196" i="20"/>
  <c r="BL196" i="20"/>
  <c r="CW195" i="20"/>
  <c r="DA194" i="20"/>
  <c r="CS194" i="20"/>
  <c r="CK194" i="20"/>
  <c r="CW189" i="20"/>
  <c r="CS187" i="20"/>
  <c r="CK187" i="20"/>
  <c r="BM187" i="20"/>
  <c r="CX183" i="20"/>
  <c r="CH183" i="20"/>
  <c r="BR183" i="20"/>
  <c r="CI169" i="20"/>
  <c r="CA169" i="20"/>
  <c r="CX159" i="20"/>
  <c r="BR159" i="20"/>
  <c r="BN158" i="20"/>
  <c r="CP88" i="10"/>
  <c r="BY148" i="20"/>
  <c r="BR88" i="10"/>
  <c r="BB88" i="10"/>
  <c r="CV138" i="20"/>
  <c r="BE138" i="20"/>
  <c r="AZ138" i="20"/>
  <c r="BZ436" i="42"/>
  <c r="BJ436" i="42"/>
  <c r="CT44" i="10"/>
  <c r="CD44" i="10"/>
  <c r="CP43" i="10"/>
  <c r="DB39" i="10"/>
  <c r="CL39" i="10"/>
  <c r="DB74" i="10"/>
  <c r="BV74" i="10"/>
  <c r="BF74" i="10"/>
  <c r="DM431" i="42"/>
  <c r="DI431" i="42"/>
  <c r="CZ448" i="10"/>
  <c r="CV448" i="10"/>
  <c r="CR448" i="10"/>
  <c r="CN448" i="10"/>
  <c r="CJ448" i="10"/>
  <c r="CF448" i="10"/>
  <c r="CB448" i="10"/>
  <c r="BX448" i="10"/>
  <c r="BT448" i="10"/>
  <c r="BJ512" i="10"/>
  <c r="BE691" i="10"/>
  <c r="BE757" i="10" s="1"/>
  <c r="DM434" i="42"/>
  <c r="DA45" i="10"/>
  <c r="CW45" i="10"/>
  <c r="CS45" i="10"/>
  <c r="CO45" i="10"/>
  <c r="CG45" i="10"/>
  <c r="CC45" i="10"/>
  <c r="BY45" i="10"/>
  <c r="BE116" i="10"/>
  <c r="BE141" i="10"/>
  <c r="BE142" i="10" s="1"/>
  <c r="BA146" i="10"/>
  <c r="BA142" i="10"/>
  <c r="BD146" i="10"/>
  <c r="BN641" i="10"/>
  <c r="DL432" i="42"/>
  <c r="BY75" i="10"/>
  <c r="BM443" i="10"/>
  <c r="BM113" i="10"/>
  <c r="BM153" i="10"/>
  <c r="BL443" i="10"/>
  <c r="BI113" i="10"/>
  <c r="BI153" i="10"/>
  <c r="BI15" i="10"/>
  <c r="BH443" i="10"/>
  <c r="BE12" i="10"/>
  <c r="BD45" i="10"/>
  <c r="BD12" i="10"/>
  <c r="BA11" i="10"/>
  <c r="AZ568" i="10"/>
  <c r="AZ482" i="10" s="1"/>
  <c r="AZ11" i="10"/>
  <c r="AW12" i="10"/>
  <c r="AV11" i="10"/>
  <c r="DA444" i="10"/>
  <c r="CZ444" i="10"/>
  <c r="CW114" i="10"/>
  <c r="CW152" i="10"/>
  <c r="CW154" i="10" s="1"/>
  <c r="CV152" i="10"/>
  <c r="CV154" i="10" s="1"/>
  <c r="CV114" i="10"/>
  <c r="CS444" i="10"/>
  <c r="CR444" i="10"/>
  <c r="CO114" i="10"/>
  <c r="CO152" i="10"/>
  <c r="CO154" i="10" s="1"/>
  <c r="CK672" i="10"/>
  <c r="CK607" i="10"/>
  <c r="CK152" i="10"/>
  <c r="CK114" i="10"/>
  <c r="CJ687" i="10"/>
  <c r="CJ640" i="10"/>
  <c r="CJ645" i="10" s="1"/>
  <c r="CJ114" i="10"/>
  <c r="CJ152" i="10"/>
  <c r="CB37" i="10"/>
  <c r="CB76" i="10"/>
  <c r="CB81" i="10" s="1"/>
  <c r="BX76" i="10"/>
  <c r="BX81" i="10" s="1"/>
  <c r="BX82" i="10" s="1"/>
  <c r="BX37" i="10"/>
  <c r="BU1203" i="10"/>
  <c r="BU1208" i="10" s="1"/>
  <c r="BU26" i="10" s="1"/>
  <c r="BU437" i="42"/>
  <c r="BU1131" i="10"/>
  <c r="BU1136" i="10" s="1"/>
  <c r="BU22" i="10" s="1"/>
  <c r="BU44" i="10"/>
  <c r="BU39" i="10"/>
  <c r="BU418" i="10"/>
  <c r="BU423" i="10" s="1"/>
  <c r="BU37" i="10"/>
  <c r="BU76" i="10"/>
  <c r="BU81" i="10" s="1"/>
  <c r="BT43" i="10"/>
  <c r="BT687" i="10"/>
  <c r="BT607" i="10"/>
  <c r="BT612" i="10" s="1"/>
  <c r="BT519" i="10"/>
  <c r="BQ672" i="10"/>
  <c r="BQ677" i="10" s="1"/>
  <c r="BQ19" i="10" s="1"/>
  <c r="BQ497" i="10"/>
  <c r="BQ502" i="10" s="1"/>
  <c r="BQ151" i="10"/>
  <c r="BQ102" i="10"/>
  <c r="BQ105" i="10" s="1"/>
  <c r="BP1203" i="10"/>
  <c r="BP1208" i="10" s="1"/>
  <c r="BP437" i="42"/>
  <c r="BP1131" i="10"/>
  <c r="BP1136" i="10" s="1"/>
  <c r="BP22" i="10" s="1"/>
  <c r="BP44" i="10"/>
  <c r="BP39" i="10"/>
  <c r="BP418" i="10"/>
  <c r="BP423" i="10" s="1"/>
  <c r="BP37" i="10"/>
  <c r="BM672" i="10"/>
  <c r="BM677" i="10" s="1"/>
  <c r="BM19" i="10" s="1"/>
  <c r="BM497" i="10"/>
  <c r="BM502" i="10" s="1"/>
  <c r="BM102" i="10"/>
  <c r="BM107" i="10" s="1"/>
  <c r="BM14" i="10" s="1"/>
  <c r="BM151" i="10"/>
  <c r="BL1203" i="10"/>
  <c r="BL1208" i="10" s="1"/>
  <c r="BL437" i="42"/>
  <c r="BL44" i="10"/>
  <c r="BL1131" i="10"/>
  <c r="BL1136" i="10" s="1"/>
  <c r="BL22" i="10" s="1"/>
  <c r="BN530" i="10"/>
  <c r="BL418" i="10"/>
  <c r="BL423" i="10" s="1"/>
  <c r="BL39" i="10"/>
  <c r="BL102" i="10"/>
  <c r="BL107" i="10" s="1"/>
  <c r="BL14" i="10" s="1"/>
  <c r="BL151" i="10"/>
  <c r="BI513" i="10"/>
  <c r="BJ596" i="10"/>
  <c r="BJ508" i="10"/>
  <c r="BE1203" i="10"/>
  <c r="BE1208" i="10" s="1"/>
  <c r="BE26" i="10" s="1"/>
  <c r="BE437" i="42"/>
  <c r="BE19" i="10"/>
  <c r="BE672" i="10"/>
  <c r="BE677" i="10" s="1"/>
  <c r="BD1203" i="10"/>
  <c r="BD1208" i="10" s="1"/>
  <c r="BD26" i="10" s="1"/>
  <c r="BD437" i="42"/>
  <c r="BD44" i="10"/>
  <c r="BD22" i="10"/>
  <c r="BD444" i="10"/>
  <c r="BA687" i="10"/>
  <c r="BA753" i="10" s="1"/>
  <c r="BA17" i="10"/>
  <c r="BA418" i="10"/>
  <c r="BA423" i="10" s="1"/>
  <c r="AZ687" i="10"/>
  <c r="AZ17" i="10"/>
  <c r="AZ418" i="10"/>
  <c r="AZ423" i="10" s="1"/>
  <c r="AZ433" i="10" s="1"/>
  <c r="AW437" i="42"/>
  <c r="AW1203" i="10"/>
  <c r="AW1208" i="10" s="1"/>
  <c r="AW26" i="10" s="1"/>
  <c r="AW51" i="49"/>
  <c r="AW444" i="10"/>
  <c r="AV23" i="10"/>
  <c r="AV19" i="10"/>
  <c r="AV672" i="10"/>
  <c r="AV677" i="10" s="1"/>
  <c r="AS687" i="10"/>
  <c r="AS753" i="10" s="1"/>
  <c r="AS17" i="10"/>
  <c r="AS418" i="10"/>
  <c r="AR687" i="10"/>
  <c r="AR753" i="10" s="1"/>
  <c r="AR418" i="10"/>
  <c r="AR17" i="10"/>
  <c r="DA442" i="10"/>
  <c r="DA40" i="10"/>
  <c r="DA126" i="10"/>
  <c r="DA130" i="10" s="1"/>
  <c r="DA112" i="10"/>
  <c r="CV442" i="10"/>
  <c r="CV40" i="10"/>
  <c r="CV126" i="10"/>
  <c r="CV130" i="10" s="1"/>
  <c r="CV112" i="10"/>
  <c r="CS442" i="10"/>
  <c r="CS40" i="10"/>
  <c r="CS112" i="10"/>
  <c r="CS126" i="10"/>
  <c r="CN442" i="10"/>
  <c r="CN112" i="10"/>
  <c r="CN126" i="10"/>
  <c r="CK1129" i="10"/>
  <c r="CK44" i="10"/>
  <c r="CK416" i="10"/>
  <c r="CK39" i="10"/>
  <c r="CK126" i="10"/>
  <c r="CK130" i="10" s="1"/>
  <c r="CK112" i="10"/>
  <c r="CJ112" i="10"/>
  <c r="CJ126" i="10"/>
  <c r="CJ130" i="10" s="1"/>
  <c r="CG442" i="10"/>
  <c r="CG40" i="10"/>
  <c r="CG126" i="10"/>
  <c r="CH126" i="10" s="1"/>
  <c r="CG112" i="10"/>
  <c r="BY442" i="10"/>
  <c r="BX442" i="10"/>
  <c r="BX40" i="10"/>
  <c r="BQ442" i="10"/>
  <c r="BM442" i="10"/>
  <c r="BI442" i="10"/>
  <c r="BE22" i="10"/>
  <c r="BE44" i="10"/>
  <c r="BA126" i="10"/>
  <c r="BD132" i="10" s="1"/>
  <c r="AZ126" i="10"/>
  <c r="AW18" i="10"/>
  <c r="AW442" i="10"/>
  <c r="BS14" i="51"/>
  <c r="BO14" i="51"/>
  <c r="BK14" i="51"/>
  <c r="BG14" i="51"/>
  <c r="BC14" i="51"/>
  <c r="AY14" i="51"/>
  <c r="AU14" i="51"/>
  <c r="AQ14" i="51"/>
  <c r="AM14" i="51"/>
  <c r="AF14" i="51"/>
  <c r="AF55" i="51" s="1"/>
  <c r="AB14" i="51"/>
  <c r="AB55" i="51" s="1"/>
  <c r="BD1299" i="10"/>
  <c r="AZ1282" i="10"/>
  <c r="AZ1287" i="10" s="1"/>
  <c r="CD1266" i="10"/>
  <c r="CL1262" i="10"/>
  <c r="BV1261" i="10"/>
  <c r="CJ1175" i="10"/>
  <c r="BP1175" i="10"/>
  <c r="BP1180" i="10" s="1"/>
  <c r="BP1181" i="10" s="1"/>
  <c r="BL1175" i="10"/>
  <c r="BL1180" i="10" s="1"/>
  <c r="BL1181" i="10" s="1"/>
  <c r="AR1143" i="10"/>
  <c r="AR1148" i="10" s="1"/>
  <c r="CT1135" i="10"/>
  <c r="CD1132" i="10"/>
  <c r="CI1132" i="10" s="1"/>
  <c r="AZ1131" i="10"/>
  <c r="AZ1136" i="10" s="1"/>
  <c r="DB1130" i="10"/>
  <c r="CP1130" i="10"/>
  <c r="CH1130" i="10"/>
  <c r="BZ1130" i="10"/>
  <c r="BR1130" i="10"/>
  <c r="CL1129" i="10"/>
  <c r="CD1129" i="10"/>
  <c r="BN1129" i="10"/>
  <c r="CP961" i="10"/>
  <c r="BZ961" i="10"/>
  <c r="DB959" i="10"/>
  <c r="CL959" i="10"/>
  <c r="CT957" i="10"/>
  <c r="CJ957" i="10"/>
  <c r="CD957" i="10"/>
  <c r="CP956" i="10"/>
  <c r="BZ956" i="10"/>
  <c r="CP950" i="10"/>
  <c r="BZ950" i="10"/>
  <c r="DB948" i="10"/>
  <c r="CW948" i="10"/>
  <c r="CG948" i="10"/>
  <c r="CG952" i="10" s="1"/>
  <c r="CT946" i="10"/>
  <c r="CD946" i="10"/>
  <c r="CP945" i="10"/>
  <c r="BZ945" i="10"/>
  <c r="DB944" i="10"/>
  <c r="AR747" i="10"/>
  <c r="BE645" i="10"/>
  <c r="BE489" i="10" s="1"/>
  <c r="BE468" i="10" s="1"/>
  <c r="DJ484" i="10"/>
  <c r="BU601" i="10"/>
  <c r="BU485" i="10" s="1"/>
  <c r="BU568" i="10"/>
  <c r="BU482" i="10" s="1"/>
  <c r="BQ579" i="10"/>
  <c r="BQ483" i="10" s="1"/>
  <c r="BP601" i="10"/>
  <c r="BL579" i="10"/>
  <c r="BH601" i="10"/>
  <c r="BE590" i="10"/>
  <c r="BE484" i="10" s="1"/>
  <c r="BA601" i="10"/>
  <c r="BA485" i="10" s="1"/>
  <c r="BB485" i="10" s="1"/>
  <c r="BA568" i="10"/>
  <c r="BA482" i="10" s="1"/>
  <c r="AW568" i="10"/>
  <c r="AW482" i="10" s="1"/>
  <c r="BQ623" i="10"/>
  <c r="BQ487" i="10" s="1"/>
  <c r="BQ465" i="10" s="1"/>
  <c r="BD623" i="10"/>
  <c r="AZ623" i="10"/>
  <c r="AZ487" i="10" s="1"/>
  <c r="BU535" i="10"/>
  <c r="BE535" i="10"/>
  <c r="BX851" i="20"/>
  <c r="BR851" i="20"/>
  <c r="BM851" i="20"/>
  <c r="BH851" i="20"/>
  <c r="BB851" i="20"/>
  <c r="AW851" i="20"/>
  <c r="AR851" i="20"/>
  <c r="BX848" i="20"/>
  <c r="BM848" i="20"/>
  <c r="BH848" i="20"/>
  <c r="AW848" i="20"/>
  <c r="AR848" i="20"/>
  <c r="BZ846" i="20"/>
  <c r="BY844" i="20"/>
  <c r="BY838" i="20"/>
  <c r="CB836" i="20"/>
  <c r="BW799" i="20"/>
  <c r="CS768" i="20"/>
  <c r="CN768" i="20"/>
  <c r="CC768" i="20"/>
  <c r="BX768" i="20"/>
  <c r="BM768" i="20"/>
  <c r="BH768" i="20"/>
  <c r="AW768" i="20"/>
  <c r="AR768" i="20"/>
  <c r="AV773" i="20" s="1"/>
  <c r="DE118" i="10"/>
  <c r="BA736" i="20"/>
  <c r="CX735" i="20"/>
  <c r="CS735" i="20"/>
  <c r="CN735" i="20"/>
  <c r="CH735" i="20"/>
  <c r="CC735" i="20"/>
  <c r="BX735" i="20"/>
  <c r="BR735" i="20"/>
  <c r="BM735" i="20"/>
  <c r="BH735" i="20"/>
  <c r="BB735" i="20"/>
  <c r="AW735" i="20"/>
  <c r="CX732" i="20"/>
  <c r="CX733" i="20" s="1"/>
  <c r="CH732" i="20"/>
  <c r="CH733" i="20" s="1"/>
  <c r="DB389" i="42"/>
  <c r="BV389" i="42"/>
  <c r="CT426" i="42"/>
  <c r="CD426" i="42"/>
  <c r="CT431" i="42"/>
  <c r="CD431" i="42"/>
  <c r="AX691" i="10"/>
  <c r="AX757" i="10" s="1"/>
  <c r="BZ118" i="10"/>
  <c r="CP80" i="10"/>
  <c r="BZ80" i="10"/>
  <c r="BN688" i="20"/>
  <c r="AS690" i="10"/>
  <c r="AS756" i="10" s="1"/>
  <c r="BT667" i="20"/>
  <c r="BD667" i="20"/>
  <c r="CB141" i="10"/>
  <c r="CB116" i="10"/>
  <c r="BV116" i="10"/>
  <c r="BF116" i="10"/>
  <c r="CD162" i="10"/>
  <c r="CX610" i="20"/>
  <c r="AV616" i="20"/>
  <c r="AV604" i="20" s="1"/>
  <c r="CT592" i="20"/>
  <c r="CV588" i="20"/>
  <c r="CP579" i="20"/>
  <c r="CT434" i="42"/>
  <c r="CD434" i="42"/>
  <c r="AX689" i="10"/>
  <c r="AX755" i="10" s="1"/>
  <c r="DB78" i="10"/>
  <c r="CT78" i="10"/>
  <c r="CL78" i="10"/>
  <c r="CD78" i="10"/>
  <c r="BV78" i="10"/>
  <c r="AX78" i="10"/>
  <c r="CB536" i="20"/>
  <c r="BQ536" i="20"/>
  <c r="BL536" i="20"/>
  <c r="BA536" i="20"/>
  <c r="AV536" i="20"/>
  <c r="BZ532" i="20"/>
  <c r="BJ532" i="20"/>
  <c r="BR531" i="20"/>
  <c r="BB531" i="20"/>
  <c r="CB502" i="20"/>
  <c r="BV502" i="20"/>
  <c r="BQ502" i="20"/>
  <c r="BL502" i="20"/>
  <c r="BF502" i="20"/>
  <c r="BA502" i="20"/>
  <c r="AV502" i="20"/>
  <c r="AR480" i="20"/>
  <c r="AP475" i="20"/>
  <c r="AX77" i="10"/>
  <c r="CR451" i="20"/>
  <c r="CG451" i="20"/>
  <c r="CB451" i="20"/>
  <c r="BQ451" i="20"/>
  <c r="AV451" i="20"/>
  <c r="AX441" i="20"/>
  <c r="DB113" i="10"/>
  <c r="DC113" i="10" s="1"/>
  <c r="CT113" i="10"/>
  <c r="CL113" i="10"/>
  <c r="CD113" i="10"/>
  <c r="BV113" i="10"/>
  <c r="DB101" i="10"/>
  <c r="CL101" i="10"/>
  <c r="BV101" i="10"/>
  <c r="BF101" i="10"/>
  <c r="DJ128" i="10"/>
  <c r="DJ89" i="10"/>
  <c r="CT89" i="10"/>
  <c r="CD89" i="10"/>
  <c r="BN89" i="10"/>
  <c r="AX89" i="10"/>
  <c r="DJ432" i="42"/>
  <c r="CT432" i="42"/>
  <c r="CD432" i="42"/>
  <c r="BN432" i="42"/>
  <c r="AX432" i="42"/>
  <c r="BS351" i="20"/>
  <c r="AT351" i="20"/>
  <c r="AT455" i="20" s="1"/>
  <c r="AS21" i="10"/>
  <c r="AS686" i="10"/>
  <c r="CT75" i="10"/>
  <c r="CD75" i="10"/>
  <c r="BN75" i="10"/>
  <c r="AX75" i="10"/>
  <c r="BE323" i="20"/>
  <c r="AZ323" i="20"/>
  <c r="BE322" i="20"/>
  <c r="AZ322" i="20"/>
  <c r="BB321" i="20"/>
  <c r="BB320" i="20"/>
  <c r="BB319" i="20"/>
  <c r="BD607" i="10"/>
  <c r="BF317" i="20"/>
  <c r="BF316" i="20"/>
  <c r="BF315" i="20"/>
  <c r="BF314" i="20"/>
  <c r="BF313" i="20"/>
  <c r="BF312" i="20"/>
  <c r="BA546" i="10"/>
  <c r="AV546" i="10"/>
  <c r="BF311" i="20"/>
  <c r="BA535" i="10"/>
  <c r="AV535" i="10"/>
  <c r="AW519" i="10"/>
  <c r="BB309" i="20"/>
  <c r="AW513" i="10"/>
  <c r="BA497" i="10"/>
  <c r="BA502" i="10" s="1"/>
  <c r="AV497" i="10"/>
  <c r="AV502" i="10" s="1"/>
  <c r="DB303" i="20"/>
  <c r="CL303" i="20"/>
  <c r="AS301" i="20"/>
  <c r="AV15" i="10"/>
  <c r="AV152" i="10"/>
  <c r="AV14" i="10"/>
  <c r="AV151" i="10"/>
  <c r="DA291" i="20"/>
  <c r="CK291" i="20"/>
  <c r="BU291" i="20"/>
  <c r="BB285" i="20"/>
  <c r="BD15" i="10"/>
  <c r="BD114" i="10"/>
  <c r="BA14" i="10"/>
  <c r="BA151" i="10"/>
  <c r="AZ151" i="10"/>
  <c r="AZ14" i="10"/>
  <c r="DB437" i="42"/>
  <c r="BF437" i="42"/>
  <c r="CY240" i="20"/>
  <c r="DC238" i="20"/>
  <c r="CU238" i="20"/>
  <c r="AO236" i="20"/>
  <c r="AP235" i="20"/>
  <c r="BQ200" i="20"/>
  <c r="DA196" i="20"/>
  <c r="CK196" i="20"/>
  <c r="CN197" i="20" s="1"/>
  <c r="DA195" i="20"/>
  <c r="CK195" i="20"/>
  <c r="AZ195" i="20"/>
  <c r="CB194" i="20"/>
  <c r="CZ187" i="20"/>
  <c r="CT183" i="20"/>
  <c r="CD183" i="20"/>
  <c r="BN183" i="20"/>
  <c r="AX183" i="20"/>
  <c r="BY149" i="20"/>
  <c r="DB88" i="10"/>
  <c r="CL88" i="10"/>
  <c r="CC148" i="20"/>
  <c r="BN88" i="10"/>
  <c r="AX88" i="10"/>
  <c r="CZ138" i="20"/>
  <c r="DD142" i="20" s="1"/>
  <c r="DB436" i="42"/>
  <c r="BV436" i="42"/>
  <c r="BF436" i="42"/>
  <c r="AN126" i="20"/>
  <c r="CT45" i="10"/>
  <c r="CD45" i="10"/>
  <c r="CP44" i="10"/>
  <c r="BZ44" i="10"/>
  <c r="BJ44" i="10"/>
  <c r="DB43" i="10"/>
  <c r="CD43" i="10"/>
  <c r="CX39" i="10"/>
  <c r="CH39" i="10"/>
  <c r="CX74" i="10"/>
  <c r="CY74" i="10" s="1"/>
  <c r="CH74" i="10"/>
  <c r="BR74" i="10"/>
  <c r="BB74" i="10"/>
  <c r="DM29" i="10"/>
  <c r="DM389" i="42"/>
  <c r="DL431" i="42"/>
  <c r="DI389" i="42"/>
  <c r="DI29" i="10"/>
  <c r="BE716" i="20"/>
  <c r="BA691" i="10"/>
  <c r="BA757" i="10" s="1"/>
  <c r="AZ691" i="10"/>
  <c r="AW677" i="20"/>
  <c r="DA653" i="20"/>
  <c r="CZ653" i="20"/>
  <c r="BT116" i="10"/>
  <c r="BT141" i="10"/>
  <c r="BQ141" i="10"/>
  <c r="BQ116" i="10"/>
  <c r="BL646" i="20"/>
  <c r="BL548" i="20" s="1"/>
  <c r="BE689" i="10"/>
  <c r="BE755" i="10" s="1"/>
  <c r="BD141" i="10"/>
  <c r="BD116" i="10"/>
  <c r="BA689" i="10"/>
  <c r="BA755" i="10" s="1"/>
  <c r="AZ689" i="10"/>
  <c r="AV627" i="20"/>
  <c r="BY77" i="10"/>
  <c r="BQ525" i="20"/>
  <c r="BQ473" i="20" s="1"/>
  <c r="BP525" i="20"/>
  <c r="BP473" i="20" s="1"/>
  <c r="BA475" i="20"/>
  <c r="AW475" i="20"/>
  <c r="CR411" i="20"/>
  <c r="CN411" i="20"/>
  <c r="CJ411" i="20"/>
  <c r="CF411" i="20"/>
  <c r="CB411" i="20"/>
  <c r="BY437" i="20"/>
  <c r="BX411" i="20"/>
  <c r="BT411" i="20"/>
  <c r="BP411" i="20"/>
  <c r="BL153" i="10"/>
  <c r="BL113" i="10"/>
  <c r="BI75" i="10"/>
  <c r="BI12" i="10"/>
  <c r="BH15" i="10"/>
  <c r="BH113" i="10"/>
  <c r="BH153" i="10"/>
  <c r="BE75" i="10"/>
  <c r="BD686" i="10"/>
  <c r="BD43" i="10"/>
  <c r="BD75" i="10"/>
  <c r="AW11" i="10"/>
  <c r="DI328" i="20"/>
  <c r="DI286" i="20"/>
  <c r="CN94" i="10"/>
  <c r="CK497" i="10"/>
  <c r="CK502" i="10" s="1"/>
  <c r="CK102" i="10"/>
  <c r="CK151" i="10"/>
  <c r="CJ241" i="20"/>
  <c r="CJ607" i="10"/>
  <c r="CJ151" i="10"/>
  <c r="CJ102" i="10"/>
  <c r="CJ105" i="10" s="1"/>
  <c r="CB236" i="20"/>
  <c r="BX236" i="20"/>
  <c r="BU687" i="10"/>
  <c r="BU43" i="10"/>
  <c r="BU607" i="10"/>
  <c r="BU612" i="10" s="1"/>
  <c r="BU486" i="10" s="1"/>
  <c r="BU463" i="10" s="1"/>
  <c r="BU519" i="10"/>
  <c r="BT241" i="20"/>
  <c r="BV640" i="10"/>
  <c r="BT601" i="10"/>
  <c r="BV596" i="10"/>
  <c r="BT513" i="10"/>
  <c r="BV508" i="10"/>
  <c r="BQ1203" i="10"/>
  <c r="BQ1208" i="10" s="1"/>
  <c r="BQ26" i="10" s="1"/>
  <c r="BQ437" i="42"/>
  <c r="BQ44" i="10"/>
  <c r="BQ1131" i="10"/>
  <c r="BQ1136" i="10" s="1"/>
  <c r="BQ22" i="10" s="1"/>
  <c r="BQ418" i="10"/>
  <c r="BQ423" i="10" s="1"/>
  <c r="BQ39" i="10"/>
  <c r="BP687" i="10"/>
  <c r="BP692" i="10" s="1"/>
  <c r="BP43" i="10"/>
  <c r="BP607" i="10"/>
  <c r="BP612" i="10" s="1"/>
  <c r="BP519" i="10"/>
  <c r="BM437" i="42"/>
  <c r="BM1203" i="10"/>
  <c r="BM1208" i="10" s="1"/>
  <c r="BM26" i="10" s="1"/>
  <c r="BM1131" i="10"/>
  <c r="BM1136" i="10" s="1"/>
  <c r="BM22" i="10" s="1"/>
  <c r="BM44" i="10"/>
  <c r="BM535" i="10"/>
  <c r="BM418" i="10"/>
  <c r="BM423" i="10" s="1"/>
  <c r="BM39" i="10"/>
  <c r="BL43" i="10"/>
  <c r="BL687" i="10"/>
  <c r="BL692" i="10" s="1"/>
  <c r="BL607" i="10"/>
  <c r="BN563" i="10"/>
  <c r="BL519" i="10"/>
  <c r="BL524" i="10" s="1"/>
  <c r="BI672" i="10"/>
  <c r="BI677" i="10" s="1"/>
  <c r="BI19" i="10" s="1"/>
  <c r="BI546" i="10"/>
  <c r="BI497" i="10"/>
  <c r="BI114" i="10"/>
  <c r="BI152" i="10"/>
  <c r="BH672" i="10"/>
  <c r="BH677" i="10" s="1"/>
  <c r="BH19" i="10" s="1"/>
  <c r="BJ585" i="10"/>
  <c r="BJ541" i="10"/>
  <c r="BH497" i="10"/>
  <c r="BH502" i="10" s="1"/>
  <c r="BH114" i="10"/>
  <c r="BH152" i="10"/>
  <c r="BE444" i="10"/>
  <c r="BE76" i="10"/>
  <c r="BE37" i="10"/>
  <c r="BD687" i="10"/>
  <c r="BD17" i="10"/>
  <c r="BD39" i="10"/>
  <c r="BD418" i="10"/>
  <c r="BD76" i="10"/>
  <c r="BD37" i="10"/>
  <c r="AW21" i="10"/>
  <c r="AW687" i="10"/>
  <c r="AW418" i="10"/>
  <c r="AW17" i="10"/>
  <c r="AV1203" i="10"/>
  <c r="AV1208" i="10" s="1"/>
  <c r="AV26" i="10" s="1"/>
  <c r="AV437" i="42"/>
  <c r="AV51" i="49"/>
  <c r="AV444" i="10"/>
  <c r="AS241" i="20"/>
  <c r="AR241" i="20"/>
  <c r="DL436" i="42"/>
  <c r="CK685" i="10"/>
  <c r="CK43" i="10"/>
  <c r="CK74" i="10"/>
  <c r="CJ45" i="10"/>
  <c r="CJ74" i="10"/>
  <c r="CG125" i="10"/>
  <c r="CH125" i="10" s="1"/>
  <c r="CG88" i="10"/>
  <c r="CC120" i="20"/>
  <c r="CB120" i="20"/>
  <c r="BU45" i="10"/>
  <c r="BA23" i="10"/>
  <c r="AZ23" i="10"/>
  <c r="AZ557" i="10"/>
  <c r="AR23" i="10"/>
  <c r="AL14" i="51"/>
  <c r="AL55" i="51" s="1"/>
  <c r="BE1299" i="10"/>
  <c r="BE1297" i="10"/>
  <c r="BD1294" i="10"/>
  <c r="BE1282" i="10"/>
  <c r="BE1287" i="10" s="1"/>
  <c r="CD1267" i="10"/>
  <c r="CH1262" i="10"/>
  <c r="BV1262" i="10"/>
  <c r="CP1260" i="10"/>
  <c r="BV1241" i="10"/>
  <c r="BO1241" i="10"/>
  <c r="BW1240" i="10"/>
  <c r="BO1240" i="10"/>
  <c r="BW1239" i="10"/>
  <c r="BO1239" i="10"/>
  <c r="BW1238" i="10"/>
  <c r="BO1238" i="10"/>
  <c r="BR1221" i="10"/>
  <c r="BB1221" i="10"/>
  <c r="DB1177" i="10"/>
  <c r="CT1177" i="10"/>
  <c r="CP1177" i="10"/>
  <c r="CD1177" i="10"/>
  <c r="AV1175" i="10"/>
  <c r="BJ1174" i="10"/>
  <c r="BD1174" i="10"/>
  <c r="BA1145" i="10"/>
  <c r="CP1135" i="10"/>
  <c r="CD1135" i="10"/>
  <c r="BV1135" i="10"/>
  <c r="BW1135" i="10" s="1"/>
  <c r="DB1133" i="10"/>
  <c r="CP1133" i="10"/>
  <c r="CH1133" i="10"/>
  <c r="BZ1133" i="10"/>
  <c r="DB1131" i="10"/>
  <c r="CP1131" i="10"/>
  <c r="CH1131" i="10"/>
  <c r="BZ1131" i="10"/>
  <c r="CA1131" i="10" s="1"/>
  <c r="BE1131" i="10"/>
  <c r="AW1131" i="10"/>
  <c r="AW1136" i="10" s="1"/>
  <c r="CX1130" i="10"/>
  <c r="CT1129" i="10"/>
  <c r="BJ1129" i="10"/>
  <c r="CT961" i="10"/>
  <c r="CD961" i="10"/>
  <c r="CP959" i="10"/>
  <c r="BZ959" i="10"/>
  <c r="CX957" i="10"/>
  <c r="CT956" i="10"/>
  <c r="CD956" i="10"/>
  <c r="CP955" i="10"/>
  <c r="CK955" i="10"/>
  <c r="BZ955" i="10"/>
  <c r="CT950" i="10"/>
  <c r="CD950" i="10"/>
  <c r="DA948" i="10"/>
  <c r="CP948" i="10"/>
  <c r="CK948" i="10"/>
  <c r="CX946" i="10"/>
  <c r="CH946" i="10"/>
  <c r="CT945" i="10"/>
  <c r="CD945" i="10"/>
  <c r="BM645" i="10"/>
  <c r="BM489" i="10" s="1"/>
  <c r="BM468" i="10" s="1"/>
  <c r="BD645" i="10"/>
  <c r="AZ645" i="10"/>
  <c r="AZ489" i="10" s="1"/>
  <c r="BU590" i="10"/>
  <c r="BU484" i="10" s="1"/>
  <c r="BQ601" i="10"/>
  <c r="BQ485" i="10" s="1"/>
  <c r="BQ568" i="10"/>
  <c r="BQ482" i="10" s="1"/>
  <c r="BP590" i="10"/>
  <c r="BM601" i="10"/>
  <c r="BM485" i="10" s="1"/>
  <c r="BM568" i="10"/>
  <c r="BM482" i="10" s="1"/>
  <c r="BL601" i="10"/>
  <c r="BL568" i="10"/>
  <c r="BH590" i="10"/>
  <c r="BE634" i="10"/>
  <c r="BE488" i="10" s="1"/>
  <c r="AZ634" i="10"/>
  <c r="AZ488" i="10" s="1"/>
  <c r="AW590" i="10"/>
  <c r="AW484" i="10" s="1"/>
  <c r="BI623" i="10"/>
  <c r="BI487" i="10" s="1"/>
  <c r="BI465" i="10" s="1"/>
  <c r="DN479" i="10"/>
  <c r="CR479" i="10"/>
  <c r="BQ535" i="10"/>
  <c r="AZ535" i="10"/>
  <c r="BH557" i="10"/>
  <c r="CF376" i="10"/>
  <c r="CF354" i="10"/>
  <c r="CF369" i="10"/>
  <c r="CF340" i="10"/>
  <c r="CF344" i="10"/>
  <c r="CF345" i="10"/>
  <c r="CX389" i="42"/>
  <c r="CH389" i="42"/>
  <c r="BZ426" i="42"/>
  <c r="BZ431" i="42"/>
  <c r="BV118" i="10"/>
  <c r="DB80" i="10"/>
  <c r="CL80" i="10"/>
  <c r="BV80" i="10"/>
  <c r="AR690" i="10"/>
  <c r="AR756" i="10" s="1"/>
  <c r="CO104" i="10"/>
  <c r="CO105" i="10" s="1"/>
  <c r="CO140" i="10"/>
  <c r="CR146" i="10" s="1"/>
  <c r="BZ434" i="42"/>
  <c r="BJ78" i="10"/>
  <c r="BR77" i="10"/>
  <c r="BJ77" i="10"/>
  <c r="BF113" i="10"/>
  <c r="CX101" i="10"/>
  <c r="CH101" i="10"/>
  <c r="BR101" i="10"/>
  <c r="CP89" i="10"/>
  <c r="BZ89" i="10"/>
  <c r="BJ89" i="10"/>
  <c r="BZ432" i="42"/>
  <c r="BJ432" i="42"/>
  <c r="AR21" i="10"/>
  <c r="AR686" i="10"/>
  <c r="AR752" i="10" s="1"/>
  <c r="CP75" i="10"/>
  <c r="AV468" i="10"/>
  <c r="AW607" i="10"/>
  <c r="AW612" i="10" s="1"/>
  <c r="AW486" i="10" s="1"/>
  <c r="AW463" i="10" s="1"/>
  <c r="AZ546" i="10"/>
  <c r="BA519" i="10"/>
  <c r="AV519" i="10"/>
  <c r="AV524" i="10" s="1"/>
  <c r="BF309" i="20"/>
  <c r="BA513" i="10"/>
  <c r="AV513" i="10"/>
  <c r="BE497" i="10"/>
  <c r="BE502" i="10" s="1"/>
  <c r="AZ497" i="10"/>
  <c r="AT299" i="20"/>
  <c r="AT298" i="20"/>
  <c r="BD151" i="10"/>
  <c r="BD14" i="10"/>
  <c r="BD102" i="10"/>
  <c r="BD107" i="10" s="1"/>
  <c r="CX437" i="42"/>
  <c r="CH437" i="42"/>
  <c r="BR437" i="42"/>
  <c r="BB437" i="42"/>
  <c r="AO241" i="20"/>
  <c r="CY239" i="20"/>
  <c r="DC235" i="20"/>
  <c r="CU235" i="20"/>
  <c r="CX88" i="10"/>
  <c r="BJ88" i="10"/>
  <c r="CX436" i="42"/>
  <c r="CH436" i="42"/>
  <c r="BR436" i="42"/>
  <c r="BB436" i="42"/>
  <c r="CP45" i="10"/>
  <c r="DB44" i="10"/>
  <c r="CL44" i="10"/>
  <c r="BV44" i="10"/>
  <c r="CX43" i="10"/>
  <c r="AX685" i="10"/>
  <c r="DB442" i="10"/>
  <c r="CT39" i="10"/>
  <c r="CD39" i="10"/>
  <c r="BN39" i="10"/>
  <c r="CT74" i="10"/>
  <c r="CD74" i="10"/>
  <c r="BN74" i="10"/>
  <c r="AX74" i="10"/>
  <c r="DL29" i="10"/>
  <c r="DL389" i="42"/>
  <c r="BD691" i="10"/>
  <c r="DL434" i="42"/>
  <c r="DI434" i="42"/>
  <c r="DA446" i="10"/>
  <c r="CW446" i="10"/>
  <c r="CS446" i="10"/>
  <c r="CO446" i="10"/>
  <c r="CK446" i="10"/>
  <c r="CG446" i="10"/>
  <c r="CC446" i="10"/>
  <c r="BY446" i="10"/>
  <c r="BU446" i="10"/>
  <c r="BU116" i="10"/>
  <c r="BU141" i="10"/>
  <c r="BM116" i="10"/>
  <c r="BM141" i="10"/>
  <c r="BM142" i="10" s="1"/>
  <c r="BL116" i="10"/>
  <c r="BL141" i="10"/>
  <c r="BH116" i="10"/>
  <c r="BH141" i="10"/>
  <c r="BH142" i="10" s="1"/>
  <c r="BD689" i="10"/>
  <c r="BA627" i="20"/>
  <c r="AZ627" i="20"/>
  <c r="AZ661" i="20" s="1"/>
  <c r="AV147" i="10"/>
  <c r="AV142" i="10"/>
  <c r="BD688" i="10"/>
  <c r="DA411" i="20"/>
  <c r="DD418" i="20" s="1"/>
  <c r="CZ443" i="10"/>
  <c r="CW411" i="20"/>
  <c r="CV443" i="10"/>
  <c r="CS411" i="20"/>
  <c r="CR443" i="10"/>
  <c r="CO411" i="20"/>
  <c r="CN443" i="10"/>
  <c r="CK411" i="20"/>
  <c r="CG411" i="20"/>
  <c r="CF443" i="10"/>
  <c r="CC411" i="20"/>
  <c r="CC464" i="20" s="1"/>
  <c r="CB443" i="10"/>
  <c r="BY557" i="10"/>
  <c r="BZ551" i="10"/>
  <c r="BY411" i="20"/>
  <c r="BX443" i="10"/>
  <c r="BU411" i="20"/>
  <c r="BT443" i="10"/>
  <c r="BQ411" i="20"/>
  <c r="BP443" i="10"/>
  <c r="BP113" i="10"/>
  <c r="BP153" i="10"/>
  <c r="BL75" i="10"/>
  <c r="BI11" i="10"/>
  <c r="BH75" i="10"/>
  <c r="BH12" i="10"/>
  <c r="BE159" i="10"/>
  <c r="BD159" i="10"/>
  <c r="BA411" i="20"/>
  <c r="AZ411" i="20"/>
  <c r="AV411" i="20"/>
  <c r="DA152" i="10"/>
  <c r="DA114" i="10"/>
  <c r="CZ114" i="10"/>
  <c r="CZ152" i="10"/>
  <c r="CZ154" i="10" s="1"/>
  <c r="CW444" i="10"/>
  <c r="CV444" i="10"/>
  <c r="CS152" i="10"/>
  <c r="CS154" i="10" s="1"/>
  <c r="CS114" i="10"/>
  <c r="CR114" i="10"/>
  <c r="CR152" i="10"/>
  <c r="CR154" i="10" s="1"/>
  <c r="CO444" i="10"/>
  <c r="CN444" i="10"/>
  <c r="CK687" i="10"/>
  <c r="CK753" i="10" s="1"/>
  <c r="CK322" i="20"/>
  <c r="CK234" i="20" s="1"/>
  <c r="CK418" i="10"/>
  <c r="CL418" i="10" s="1"/>
  <c r="CJ497" i="10"/>
  <c r="CB444" i="10"/>
  <c r="BX444" i="10"/>
  <c r="BU241" i="20"/>
  <c r="BU152" i="10"/>
  <c r="BU114" i="10"/>
  <c r="BT45" i="10"/>
  <c r="BT672" i="10"/>
  <c r="BT677" i="10" s="1"/>
  <c r="BT19" i="10" s="1"/>
  <c r="BT590" i="10"/>
  <c r="BV585" i="10"/>
  <c r="BT546" i="10"/>
  <c r="BV541" i="10"/>
  <c r="BT497" i="10"/>
  <c r="BQ43" i="10"/>
  <c r="BQ687" i="10"/>
  <c r="BQ753" i="10" s="1"/>
  <c r="BQ759" i="10" s="1"/>
  <c r="BQ322" i="20"/>
  <c r="BQ234" i="20" s="1"/>
  <c r="BQ607" i="10"/>
  <c r="BQ612" i="10" s="1"/>
  <c r="BQ486" i="10" s="1"/>
  <c r="BQ463" i="10" s="1"/>
  <c r="BQ519" i="10"/>
  <c r="BQ301" i="20"/>
  <c r="BU305" i="20" s="1"/>
  <c r="BP241" i="20"/>
  <c r="BP46" i="10" s="1"/>
  <c r="BP152" i="10"/>
  <c r="BP114" i="10"/>
  <c r="BM43" i="10"/>
  <c r="BM687" i="10"/>
  <c r="BM322" i="20"/>
  <c r="BM234" i="20" s="1"/>
  <c r="BM607" i="10"/>
  <c r="BM612" i="10" s="1"/>
  <c r="BM486" i="10" s="1"/>
  <c r="BM463" i="10" s="1"/>
  <c r="BM519" i="10"/>
  <c r="BM301" i="20"/>
  <c r="BL241" i="20"/>
  <c r="BL46" i="10" s="1"/>
  <c r="BL50" i="10" s="1"/>
  <c r="BL645" i="10"/>
  <c r="BN640" i="10"/>
  <c r="BN508" i="10"/>
  <c r="BL301" i="20"/>
  <c r="BL262" i="20" s="1"/>
  <c r="BI1203" i="10"/>
  <c r="BI1208" i="10" s="1"/>
  <c r="BI26" i="10" s="1"/>
  <c r="BI437" i="42"/>
  <c r="BI1131" i="10"/>
  <c r="BI1136" i="10" s="1"/>
  <c r="BI22" i="10" s="1"/>
  <c r="BI44" i="10"/>
  <c r="BI418" i="10"/>
  <c r="BI423" i="10" s="1"/>
  <c r="BI39" i="10"/>
  <c r="BI151" i="10"/>
  <c r="BI14" i="10"/>
  <c r="BI102" i="10"/>
  <c r="BI107" i="10" s="1"/>
  <c r="BH437" i="42"/>
  <c r="BH1203" i="10"/>
  <c r="BH1208" i="10" s="1"/>
  <c r="BH1131" i="10"/>
  <c r="BH1136" i="10" s="1"/>
  <c r="BH22" i="10" s="1"/>
  <c r="BH44" i="10"/>
  <c r="BJ629" i="10"/>
  <c r="BJ574" i="10"/>
  <c r="BH535" i="10"/>
  <c r="BJ530" i="10"/>
  <c r="BH418" i="10"/>
  <c r="BH423" i="10" s="1"/>
  <c r="BH39" i="10"/>
  <c r="BH14" i="10"/>
  <c r="BH102" i="10"/>
  <c r="BH107" i="10" s="1"/>
  <c r="BH151" i="10"/>
  <c r="BE687" i="10"/>
  <c r="BE753" i="10" s="1"/>
  <c r="BE43" i="10"/>
  <c r="BE17" i="10"/>
  <c r="BE418" i="10"/>
  <c r="BE423" i="10" s="1"/>
  <c r="BE39" i="10"/>
  <c r="BD241" i="20"/>
  <c r="BA1203" i="10"/>
  <c r="BA1208" i="10" s="1"/>
  <c r="BA26" i="10" s="1"/>
  <c r="BA437" i="42"/>
  <c r="BA19" i="10"/>
  <c r="BA672" i="10"/>
  <c r="BA677" i="10" s="1"/>
  <c r="AZ1203" i="10"/>
  <c r="AZ1208" i="10" s="1"/>
  <c r="AZ26" i="10" s="1"/>
  <c r="AZ437" i="42"/>
  <c r="AZ19" i="10"/>
  <c r="AZ672" i="10"/>
  <c r="AZ677" i="10" s="1"/>
  <c r="AW241" i="20"/>
  <c r="AW76" i="10"/>
  <c r="AW81" i="10" s="1"/>
  <c r="AV21" i="10"/>
  <c r="AV687" i="10"/>
  <c r="AV17" i="10"/>
  <c r="AV418" i="10"/>
  <c r="AV423" i="10" s="1"/>
  <c r="AV434" i="10" s="1"/>
  <c r="AS19" i="10"/>
  <c r="AS672" i="10"/>
  <c r="AS677" i="10" s="1"/>
  <c r="AR19" i="10"/>
  <c r="AR672" i="10"/>
  <c r="AR677" i="10" s="1"/>
  <c r="DM436" i="42"/>
  <c r="DI436" i="42"/>
  <c r="CZ442" i="10"/>
  <c r="CZ40" i="10"/>
  <c r="CZ112" i="10"/>
  <c r="CZ126" i="10"/>
  <c r="CW442" i="10"/>
  <c r="CW40" i="10"/>
  <c r="CW126" i="10"/>
  <c r="CW112" i="10"/>
  <c r="CR40" i="10"/>
  <c r="CR442" i="10"/>
  <c r="CR112" i="10"/>
  <c r="CR126" i="10"/>
  <c r="CO442" i="10"/>
  <c r="CO112" i="10"/>
  <c r="CO126" i="10"/>
  <c r="CN46" i="10"/>
  <c r="CK125" i="20"/>
  <c r="CK645" i="10"/>
  <c r="CJ44" i="10"/>
  <c r="CJ1129" i="10"/>
  <c r="CJ183" i="20"/>
  <c r="CJ118" i="20" s="1"/>
  <c r="CC442" i="10"/>
  <c r="CC40" i="10"/>
  <c r="CB40" i="10"/>
  <c r="CB442" i="10"/>
  <c r="BX46" i="10"/>
  <c r="BE125" i="20"/>
  <c r="BE442" i="10"/>
  <c r="AS23" i="10"/>
  <c r="AK14" i="51"/>
  <c r="AK55" i="51" s="1"/>
  <c r="AR2" i="20"/>
  <c r="BD1297" i="10"/>
  <c r="BD1282" i="10"/>
  <c r="BD1287" i="10" s="1"/>
  <c r="CD1262" i="10"/>
  <c r="CL1260" i="10"/>
  <c r="CD1221" i="10"/>
  <c r="BN1221" i="10"/>
  <c r="AX1221" i="10"/>
  <c r="DA1177" i="10"/>
  <c r="DA1180" i="10" s="1"/>
  <c r="DA1181" i="10" s="1"/>
  <c r="CW1177" i="10"/>
  <c r="CW1180" i="10" s="1"/>
  <c r="CS1177" i="10"/>
  <c r="CS1180" i="10" s="1"/>
  <c r="CS1181" i="10" s="1"/>
  <c r="CO1177" i="10"/>
  <c r="CO1180" i="10" s="1"/>
  <c r="CK1177" i="10"/>
  <c r="CG1177" i="10"/>
  <c r="CG1180" i="10" s="1"/>
  <c r="CG1181" i="10" s="1"/>
  <c r="CC1177" i="10"/>
  <c r="CC1180" i="10" s="1"/>
  <c r="CC1181" i="10" s="1"/>
  <c r="BY1177" i="10"/>
  <c r="BY1180" i="10" s="1"/>
  <c r="BU1177" i="10"/>
  <c r="CD1176" i="10"/>
  <c r="CI1176" i="10" s="1"/>
  <c r="BZ1176" i="10"/>
  <c r="CA1176" i="10" s="1"/>
  <c r="DB1175" i="10"/>
  <c r="CP1175" i="10"/>
  <c r="CL1175" i="10"/>
  <c r="CM1175" i="10" s="1"/>
  <c r="BZ1175" i="10"/>
  <c r="BI1175" i="10"/>
  <c r="BI1180" i="10" s="1"/>
  <c r="BI1181" i="10" s="1"/>
  <c r="DB1174" i="10"/>
  <c r="CX1174" i="10"/>
  <c r="CT1174" i="10"/>
  <c r="CP1174" i="10"/>
  <c r="CL1174" i="10"/>
  <c r="CH1174" i="10"/>
  <c r="CD1174" i="10"/>
  <c r="BZ1174" i="10"/>
  <c r="BV1174" i="10"/>
  <c r="BR1174" i="10"/>
  <c r="BN1174" i="10"/>
  <c r="CX1173" i="10"/>
  <c r="CT1173" i="10"/>
  <c r="CP1173" i="10"/>
  <c r="CH1173" i="10"/>
  <c r="CD1173" i="10"/>
  <c r="BZ1173" i="10"/>
  <c r="BR1173" i="10"/>
  <c r="BN1173" i="10"/>
  <c r="BA1173" i="10"/>
  <c r="AS1173" i="10"/>
  <c r="AS1180" i="10" s="1"/>
  <c r="AS1181" i="10" s="1"/>
  <c r="AZ1145" i="10"/>
  <c r="DB1135" i="10"/>
  <c r="CL1135" i="10"/>
  <c r="CX1133" i="10"/>
  <c r="BZ1132" i="10"/>
  <c r="CA1132" i="10" s="1"/>
  <c r="BD1131" i="10"/>
  <c r="BD1136" i="10" s="1"/>
  <c r="AV1131" i="10"/>
  <c r="AV1136" i="10" s="1"/>
  <c r="CT1130" i="10"/>
  <c r="CL1130" i="10"/>
  <c r="CD1130" i="10"/>
  <c r="BV1130" i="10"/>
  <c r="BN1130" i="10"/>
  <c r="AS1130" i="10"/>
  <c r="CP1129" i="10"/>
  <c r="BZ1129" i="10"/>
  <c r="BE1129" i="10"/>
  <c r="CX961" i="10"/>
  <c r="CH961" i="10"/>
  <c r="CT959" i="10"/>
  <c r="CD959" i="10"/>
  <c r="CL957" i="10"/>
  <c r="CX956" i="10"/>
  <c r="CH956" i="10"/>
  <c r="CT955" i="10"/>
  <c r="CJ955" i="10"/>
  <c r="CD955" i="10"/>
  <c r="CX950" i="10"/>
  <c r="CH950" i="10"/>
  <c r="CT948" i="10"/>
  <c r="CO948" i="10"/>
  <c r="CJ948" i="10"/>
  <c r="CD948" i="10"/>
  <c r="BY948" i="10"/>
  <c r="CX945" i="10"/>
  <c r="CH945" i="10"/>
  <c r="CT944" i="10"/>
  <c r="CJ944" i="10"/>
  <c r="CD944" i="10"/>
  <c r="AP645" i="10"/>
  <c r="BT645" i="10"/>
  <c r="BI645" i="10"/>
  <c r="BI489" i="10" s="1"/>
  <c r="BI468" i="10" s="1"/>
  <c r="BU634" i="10"/>
  <c r="BU488" i="10" s="1"/>
  <c r="BQ590" i="10"/>
  <c r="BQ484" i="10" s="1"/>
  <c r="BP634" i="10"/>
  <c r="BM590" i="10"/>
  <c r="BM484" i="10" s="1"/>
  <c r="BL590" i="10"/>
  <c r="BH634" i="10"/>
  <c r="BE579" i="10"/>
  <c r="BE483" i="10" s="1"/>
  <c r="AZ579" i="10"/>
  <c r="AZ483" i="10" s="1"/>
  <c r="AV579" i="10"/>
  <c r="AV483" i="10" s="1"/>
  <c r="AX483" i="10" s="1"/>
  <c r="BL535" i="10"/>
  <c r="BI535" i="10"/>
  <c r="AW535" i="10"/>
  <c r="BU557" i="10"/>
  <c r="BM557" i="10"/>
  <c r="BE557" i="10"/>
  <c r="V269" i="42"/>
  <c r="BZ851" i="20"/>
  <c r="BJ851" i="20"/>
  <c r="AT851" i="20"/>
  <c r="CL731" i="20"/>
  <c r="BV731" i="20"/>
  <c r="BF731" i="20"/>
  <c r="CT389" i="42"/>
  <c r="CD389" i="42"/>
  <c r="DB426" i="42"/>
  <c r="BV426" i="42"/>
  <c r="DB431" i="42"/>
  <c r="BV431" i="42"/>
  <c r="CX80" i="10"/>
  <c r="CY80" i="10" s="1"/>
  <c r="CH80" i="10"/>
  <c r="BR80" i="10"/>
  <c r="BB80" i="10"/>
  <c r="AX690" i="10"/>
  <c r="AX756" i="10" s="1"/>
  <c r="BP672" i="20"/>
  <c r="BV670" i="20"/>
  <c r="BF670" i="20"/>
  <c r="CV661" i="20"/>
  <c r="CF661" i="20"/>
  <c r="BU661" i="20"/>
  <c r="BP661" i="20"/>
  <c r="DA657" i="20"/>
  <c r="CV657" i="20"/>
  <c r="CK657" i="20"/>
  <c r="CF657" i="20"/>
  <c r="BU657" i="20"/>
  <c r="BP657" i="20"/>
  <c r="BJ657" i="20"/>
  <c r="BE657" i="20"/>
  <c r="AZ657" i="20"/>
  <c r="CJ116" i="10"/>
  <c r="CJ141" i="10"/>
  <c r="CH162" i="10"/>
  <c r="BZ610" i="20"/>
  <c r="CX608" i="20"/>
  <c r="CH608" i="20"/>
  <c r="BR604" i="20"/>
  <c r="DB590" i="20"/>
  <c r="CL590" i="20"/>
  <c r="DB434" i="42"/>
  <c r="BV434" i="42"/>
  <c r="CX78" i="10"/>
  <c r="CY78" i="10" s="1"/>
  <c r="CP78" i="10"/>
  <c r="CH78" i="10"/>
  <c r="BZ78" i="10"/>
  <c r="BR78" i="10"/>
  <c r="BR487" i="20"/>
  <c r="AO481" i="20"/>
  <c r="AO483" i="20" s="1"/>
  <c r="AX688" i="10"/>
  <c r="AX754" i="10" s="1"/>
  <c r="BW469" i="20"/>
  <c r="BO469" i="20"/>
  <c r="BF77" i="10"/>
  <c r="CS460" i="20"/>
  <c r="CN460" i="20"/>
  <c r="CC460" i="20"/>
  <c r="BX460" i="20"/>
  <c r="BR460" i="20"/>
  <c r="BM460" i="20"/>
  <c r="BH460" i="20"/>
  <c r="CX113" i="10"/>
  <c r="CY113" i="10" s="1"/>
  <c r="CP113" i="10"/>
  <c r="CH113" i="10"/>
  <c r="BZ113" i="10"/>
  <c r="BR113" i="10"/>
  <c r="CT101" i="10"/>
  <c r="CD101" i="10"/>
  <c r="BN101" i="10"/>
  <c r="DB89" i="10"/>
  <c r="CL89" i="10"/>
  <c r="BV89" i="10"/>
  <c r="BF89" i="10"/>
  <c r="DB372" i="20"/>
  <c r="DB373" i="20" s="1"/>
  <c r="BV372" i="20"/>
  <c r="BV373" i="20" s="1"/>
  <c r="DB432" i="42"/>
  <c r="BV432" i="42"/>
  <c r="BF432" i="42"/>
  <c r="AX686" i="10"/>
  <c r="AX752" i="10" s="1"/>
  <c r="DB75" i="10"/>
  <c r="CL75" i="10"/>
  <c r="BV75" i="10"/>
  <c r="BF75" i="10"/>
  <c r="BA607" i="10"/>
  <c r="BA612" i="10" s="1"/>
  <c r="BA486" i="10" s="1"/>
  <c r="BA463" i="10" s="1"/>
  <c r="BD601" i="10"/>
  <c r="BF596" i="10"/>
  <c r="BD590" i="10"/>
  <c r="BF585" i="10"/>
  <c r="BD579" i="10"/>
  <c r="BF574" i="10"/>
  <c r="BD568" i="10"/>
  <c r="BF563" i="10"/>
  <c r="BD546" i="10"/>
  <c r="BF541" i="10"/>
  <c r="BF530" i="10"/>
  <c r="BE519" i="10"/>
  <c r="AZ519" i="10"/>
  <c r="AZ524" i="10" s="1"/>
  <c r="BD497" i="10"/>
  <c r="AS154" i="10"/>
  <c r="CT437" i="42"/>
  <c r="CD437" i="42"/>
  <c r="BN437" i="42"/>
  <c r="AO444" i="10"/>
  <c r="AO449" i="10" s="1"/>
  <c r="AO450" i="10" s="1"/>
  <c r="AO18" i="10"/>
  <c r="CT88" i="10"/>
  <c r="BV88" i="10"/>
  <c r="BF88" i="10"/>
  <c r="CT436" i="42"/>
  <c r="CD436" i="42"/>
  <c r="BN436" i="42"/>
  <c r="AX436" i="42"/>
  <c r="DB45" i="10"/>
  <c r="CX44" i="10"/>
  <c r="CH44" i="10"/>
  <c r="BR44" i="10"/>
  <c r="CT43" i="10"/>
  <c r="CH43" i="10"/>
  <c r="BZ43" i="10"/>
  <c r="CP39" i="10"/>
  <c r="BZ39" i="10"/>
  <c r="BJ39" i="10"/>
  <c r="CP74" i="10"/>
  <c r="BZ74" i="10"/>
  <c r="BJ74" i="10"/>
  <c r="CZ716" i="20"/>
  <c r="CV716" i="20"/>
  <c r="CR716" i="20"/>
  <c r="CN716" i="20"/>
  <c r="CJ716" i="20"/>
  <c r="CF716" i="20"/>
  <c r="CB716" i="20"/>
  <c r="BX716" i="20"/>
  <c r="BT716" i="20"/>
  <c r="BP716" i="20"/>
  <c r="BL716" i="20"/>
  <c r="BI761" i="20"/>
  <c r="BI714" i="20" s="1"/>
  <c r="BE721" i="20"/>
  <c r="BD716" i="20"/>
  <c r="AW716" i="20"/>
  <c r="DA555" i="20"/>
  <c r="DE562" i="20" s="1"/>
  <c r="CZ45" i="10"/>
  <c r="CW555" i="20"/>
  <c r="CV45" i="10"/>
  <c r="CS555" i="20"/>
  <c r="CR45" i="10"/>
  <c r="CO555" i="20"/>
  <c r="CO46" i="10" s="1"/>
  <c r="CN45" i="10"/>
  <c r="CK555" i="20"/>
  <c r="CG555" i="20"/>
  <c r="CG46" i="10" s="1"/>
  <c r="CF45" i="10"/>
  <c r="CC555" i="20"/>
  <c r="CB45" i="10"/>
  <c r="BY555" i="20"/>
  <c r="BX45" i="10"/>
  <c r="BU555" i="20"/>
  <c r="BI141" i="10"/>
  <c r="BI116" i="10"/>
  <c r="BE627" i="20"/>
  <c r="BE661" i="20" s="1"/>
  <c r="AZ147" i="10"/>
  <c r="AW627" i="20"/>
  <c r="CB475" i="20"/>
  <c r="BU475" i="20"/>
  <c r="BU494" i="20" s="1"/>
  <c r="BM525" i="20"/>
  <c r="BM473" i="20" s="1"/>
  <c r="BL525" i="20"/>
  <c r="BL473" i="20" s="1"/>
  <c r="DM432" i="42"/>
  <c r="DI432" i="42"/>
  <c r="DI454" i="20"/>
  <c r="DI410" i="20"/>
  <c r="BY671" i="10"/>
  <c r="BY677" i="10" s="1"/>
  <c r="BY19" i="10" s="1"/>
  <c r="BY417" i="10"/>
  <c r="BY39" i="10"/>
  <c r="BM411" i="20"/>
  <c r="BM464" i="20" s="1"/>
  <c r="BI411" i="20"/>
  <c r="BH343" i="20"/>
  <c r="BH11" i="10"/>
  <c r="BE158" i="10"/>
  <c r="BD353" i="20"/>
  <c r="BD158" i="10"/>
  <c r="BA12" i="10"/>
  <c r="AZ437" i="20"/>
  <c r="AZ12" i="10"/>
  <c r="AW411" i="20"/>
  <c r="AW464" i="20" s="1"/>
  <c r="AV12" i="10"/>
  <c r="DI437" i="42"/>
  <c r="CW301" i="20"/>
  <c r="DA305" i="20" s="1"/>
  <c r="CV301" i="20"/>
  <c r="CO301" i="20"/>
  <c r="CK241" i="20"/>
  <c r="CK301" i="20"/>
  <c r="CJ322" i="20"/>
  <c r="CJ234" i="20" s="1"/>
  <c r="CJ301" i="20"/>
  <c r="CG232" i="20"/>
  <c r="CG114" i="10"/>
  <c r="CG152" i="10"/>
  <c r="CG154" i="10" s="1"/>
  <c r="CF232" i="20"/>
  <c r="CF114" i="10"/>
  <c r="CF152" i="10"/>
  <c r="CF154" i="10" s="1"/>
  <c r="CC231" i="20"/>
  <c r="BY231" i="20"/>
  <c r="BU672" i="10"/>
  <c r="BU677" i="10" s="1"/>
  <c r="BU19" i="10" s="1"/>
  <c r="BU497" i="10"/>
  <c r="BU502" i="10" s="1"/>
  <c r="BU102" i="10"/>
  <c r="BU105" i="10" s="1"/>
  <c r="BU151" i="10"/>
  <c r="BT1203" i="10"/>
  <c r="BT1208" i="10" s="1"/>
  <c r="BT437" i="42"/>
  <c r="BT1131" i="10"/>
  <c r="BT1136" i="10" s="1"/>
  <c r="BT22" i="10" s="1"/>
  <c r="BT44" i="10"/>
  <c r="BV530" i="10"/>
  <c r="BT418" i="10"/>
  <c r="BT39" i="10"/>
  <c r="BT102" i="10"/>
  <c r="BT105" i="10" s="1"/>
  <c r="BT151" i="10"/>
  <c r="BQ241" i="20"/>
  <c r="BQ46" i="10" s="1"/>
  <c r="BQ645" i="10"/>
  <c r="BQ489" i="10" s="1"/>
  <c r="BQ468" i="10" s="1"/>
  <c r="BQ287" i="20"/>
  <c r="BQ114" i="10"/>
  <c r="BQ152" i="10"/>
  <c r="BP672" i="10"/>
  <c r="BP677" i="10" s="1"/>
  <c r="BP19" i="10" s="1"/>
  <c r="BR618" i="10"/>
  <c r="BR585" i="10"/>
  <c r="BR541" i="10"/>
  <c r="BP497" i="10"/>
  <c r="BP502" i="10" s="1"/>
  <c r="BP151" i="10"/>
  <c r="BP102" i="10"/>
  <c r="BP105" i="10" s="1"/>
  <c r="BM241" i="20"/>
  <c r="BM287" i="20"/>
  <c r="BM152" i="10"/>
  <c r="BM114" i="10"/>
  <c r="BL672" i="10"/>
  <c r="BL677" i="10" s="1"/>
  <c r="BL19" i="10" s="1"/>
  <c r="BN585" i="10"/>
  <c r="BN541" i="10"/>
  <c r="BL497" i="10"/>
  <c r="BL502" i="10" s="1"/>
  <c r="BL114" i="10"/>
  <c r="BL152" i="10"/>
  <c r="BI43" i="10"/>
  <c r="BI687" i="10"/>
  <c r="BI322" i="20"/>
  <c r="BI234" i="20" s="1"/>
  <c r="BI607" i="10"/>
  <c r="BI612" i="10" s="1"/>
  <c r="BI486" i="10" s="1"/>
  <c r="BI463" i="10" s="1"/>
  <c r="BI519" i="10"/>
  <c r="BH43" i="10"/>
  <c r="BH687" i="10"/>
  <c r="BH322" i="20"/>
  <c r="BH234" i="20" s="1"/>
  <c r="BH607" i="10"/>
  <c r="BH612" i="10" s="1"/>
  <c r="BJ563" i="10"/>
  <c r="BH519" i="10"/>
  <c r="BH231" i="20"/>
  <c r="BD19" i="10"/>
  <c r="BD672" i="10"/>
  <c r="BD677" i="10" s="1"/>
  <c r="BA51" i="49"/>
  <c r="BA444" i="10"/>
  <c r="BA76" i="10"/>
  <c r="BA81" i="10" s="1"/>
  <c r="AZ51" i="49"/>
  <c r="BB22" i="10"/>
  <c r="AZ444" i="10"/>
  <c r="AZ76" i="10"/>
  <c r="AZ81" i="10" s="1"/>
  <c r="AW23" i="10"/>
  <c r="AW672" i="10"/>
  <c r="AW677" i="10" s="1"/>
  <c r="AW19" i="10"/>
  <c r="AV241" i="20"/>
  <c r="AV76" i="10"/>
  <c r="AV81" i="10" s="1"/>
  <c r="AV82" i="10" s="1"/>
  <c r="AS444" i="10"/>
  <c r="AS449" i="10" s="1"/>
  <c r="AS450" i="10" s="1"/>
  <c r="AR444" i="10"/>
  <c r="DA153" i="20"/>
  <c r="CV153" i="20"/>
  <c r="CS153" i="20"/>
  <c r="CT153" i="20" s="1"/>
  <c r="CN153" i="20"/>
  <c r="CR160" i="20" s="1"/>
  <c r="CK45" i="10"/>
  <c r="CK670" i="10"/>
  <c r="CK605" i="10"/>
  <c r="CK153" i="20"/>
  <c r="CJ43" i="10"/>
  <c r="CJ685" i="10"/>
  <c r="CL638" i="10"/>
  <c r="CJ153" i="20"/>
  <c r="CG153" i="20"/>
  <c r="BY120" i="20"/>
  <c r="BX120" i="20"/>
  <c r="BI120" i="20"/>
  <c r="BE45" i="10"/>
  <c r="BA153" i="20"/>
  <c r="AZ153" i="20"/>
  <c r="AW120" i="20"/>
  <c r="BE1294" i="10"/>
  <c r="BA1282" i="10"/>
  <c r="BA1287" i="10" s="1"/>
  <c r="CL1267" i="10"/>
  <c r="BV1266" i="10"/>
  <c r="CP1262" i="10"/>
  <c r="BZ1262" i="10"/>
  <c r="CL1261" i="10"/>
  <c r="BV1260" i="10"/>
  <c r="BS1241" i="10"/>
  <c r="BS1240" i="10"/>
  <c r="BS1239" i="10"/>
  <c r="BS1238" i="10"/>
  <c r="BZ1221" i="10"/>
  <c r="BJ1221" i="10"/>
  <c r="CZ1177" i="10"/>
  <c r="CZ1180" i="10" s="1"/>
  <c r="CZ1181" i="10" s="1"/>
  <c r="CV1177" i="10"/>
  <c r="CV1180" i="10" s="1"/>
  <c r="CV1181" i="10" s="1"/>
  <c r="CR1177" i="10"/>
  <c r="CR1180" i="10" s="1"/>
  <c r="CR1181" i="10" s="1"/>
  <c r="CN1177" i="10"/>
  <c r="CN1180" i="10" s="1"/>
  <c r="CN1181" i="10" s="1"/>
  <c r="CJ1177" i="10"/>
  <c r="CF1177" i="10"/>
  <c r="CF1180" i="10" s="1"/>
  <c r="CF1181" i="10" s="1"/>
  <c r="CB1177" i="10"/>
  <c r="CB1180" i="10" s="1"/>
  <c r="CB1181" i="10" s="1"/>
  <c r="BX1177" i="10"/>
  <c r="BX1180" i="10" s="1"/>
  <c r="BX1181" i="10" s="1"/>
  <c r="BT1177" i="10"/>
  <c r="BT1180" i="10" s="1"/>
  <c r="BT1181" i="10" s="1"/>
  <c r="CK1175" i="10"/>
  <c r="BQ1175" i="10"/>
  <c r="BQ1180" i="10" s="1"/>
  <c r="BQ1181" i="10" s="1"/>
  <c r="BM1175" i="10"/>
  <c r="BM1180" i="10" s="1"/>
  <c r="BM1181" i="10" s="1"/>
  <c r="BH1175" i="10"/>
  <c r="BH1180" i="10" s="1"/>
  <c r="CK1173" i="10"/>
  <c r="BU1173" i="10"/>
  <c r="AZ1173" i="10"/>
  <c r="AR1173" i="10"/>
  <c r="AR1180" i="10" s="1"/>
  <c r="AR1181" i="10" s="1"/>
  <c r="AS1143" i="10"/>
  <c r="AS1148" i="10" s="1"/>
  <c r="CX1135" i="10"/>
  <c r="CH1135" i="10"/>
  <c r="BZ1135" i="10"/>
  <c r="CT1133" i="10"/>
  <c r="CL1133" i="10"/>
  <c r="CD1133" i="10"/>
  <c r="BV1133" i="10"/>
  <c r="BW1133" i="10" s="1"/>
  <c r="BA1131" i="10"/>
  <c r="BA1136" i="10" s="1"/>
  <c r="BJ1130" i="10"/>
  <c r="AR1130" i="10"/>
  <c r="AR1136" i="10" s="1"/>
  <c r="DB1129" i="10"/>
  <c r="DB961" i="10"/>
  <c r="CL961" i="10"/>
  <c r="CX959" i="10"/>
  <c r="CH959" i="10"/>
  <c r="CK957" i="10"/>
  <c r="DB956" i="10"/>
  <c r="CL956" i="10"/>
  <c r="CX955" i="10"/>
  <c r="CH955" i="10"/>
  <c r="DB950" i="10"/>
  <c r="CL950" i="10"/>
  <c r="CS948" i="10"/>
  <c r="CN948" i="10"/>
  <c r="CC948" i="10"/>
  <c r="BX948" i="10"/>
  <c r="DB945" i="10"/>
  <c r="CL945" i="10"/>
  <c r="CX944" i="10"/>
  <c r="CH944" i="10"/>
  <c r="CO735" i="10"/>
  <c r="CG735" i="10"/>
  <c r="CG747" i="10"/>
  <c r="AW645" i="10"/>
  <c r="AW489" i="10" s="1"/>
  <c r="AW468" i="10" s="1"/>
  <c r="DJ483" i="10"/>
  <c r="BU579" i="10"/>
  <c r="BU483" i="10" s="1"/>
  <c r="BQ634" i="10"/>
  <c r="BQ488" i="10" s="1"/>
  <c r="BM634" i="10"/>
  <c r="BM488" i="10" s="1"/>
  <c r="BH579" i="10"/>
  <c r="BE601" i="10"/>
  <c r="BE485" i="10" s="1"/>
  <c r="BE568" i="10"/>
  <c r="BE482" i="10" s="1"/>
  <c r="BA579" i="10"/>
  <c r="BA483" i="10" s="1"/>
  <c r="AV601" i="10"/>
  <c r="AV485" i="10" s="1"/>
  <c r="AV568" i="10"/>
  <c r="AV482" i="10" s="1"/>
  <c r="BM623" i="10"/>
  <c r="BM487" i="10" s="1"/>
  <c r="BM465" i="10" s="1"/>
  <c r="AV623" i="10"/>
  <c r="AV487" i="10" s="1"/>
  <c r="BT535" i="10"/>
  <c r="BD535" i="10"/>
  <c r="CG327" i="10"/>
  <c r="CJ327" i="10"/>
  <c r="CG321" i="10"/>
  <c r="CJ321" i="10"/>
  <c r="BY327" i="10"/>
  <c r="CB327" i="10"/>
  <c r="BY321" i="10"/>
  <c r="CB321" i="10"/>
  <c r="BQ327" i="10"/>
  <c r="BT327" i="10"/>
  <c r="BQ321" i="10"/>
  <c r="BT321" i="10"/>
  <c r="BL327" i="10"/>
  <c r="BL321" i="10"/>
  <c r="DI217" i="10"/>
  <c r="AZ424" i="42"/>
  <c r="BA424" i="42" s="1"/>
  <c r="BD424" i="42" s="1"/>
  <c r="BE424" i="42" s="1"/>
  <c r="DA777" i="10"/>
  <c r="DA722" i="10"/>
  <c r="CR721" i="10"/>
  <c r="CO721" i="10"/>
  <c r="CB721" i="10"/>
  <c r="BU721" i="10"/>
  <c r="BH721" i="10"/>
  <c r="BE721" i="10"/>
  <c r="DC687" i="10"/>
  <c r="CU687" i="10"/>
  <c r="AP502" i="10"/>
  <c r="DA645" i="10"/>
  <c r="CV645" i="10"/>
  <c r="CF645" i="10"/>
  <c r="CS546" i="10"/>
  <c r="CS513" i="10"/>
  <c r="CN546" i="10"/>
  <c r="CN513" i="10"/>
  <c r="CC546" i="10"/>
  <c r="CC513" i="10"/>
  <c r="BX546" i="10"/>
  <c r="BX513" i="10"/>
  <c r="BM546" i="10"/>
  <c r="BM513" i="10"/>
  <c r="BH546" i="10"/>
  <c r="BH513" i="10"/>
  <c r="AZ513" i="10"/>
  <c r="AT513" i="10"/>
  <c r="CZ524" i="10"/>
  <c r="CS612" i="10"/>
  <c r="CO524" i="10"/>
  <c r="CN612" i="10"/>
  <c r="CJ524" i="10"/>
  <c r="CC612" i="10"/>
  <c r="BY524" i="10"/>
  <c r="BX612" i="10"/>
  <c r="DB350" i="10"/>
  <c r="BB345" i="10"/>
  <c r="CF327" i="10"/>
  <c r="BX327" i="10"/>
  <c r="BP327" i="10"/>
  <c r="BI307" i="10"/>
  <c r="BI295" i="10"/>
  <c r="BA295" i="10"/>
  <c r="BX293" i="10"/>
  <c r="CJ282" i="10"/>
  <c r="CB282" i="10"/>
  <c r="BT282" i="10"/>
  <c r="BL282" i="10"/>
  <c r="CW273" i="10"/>
  <c r="BQ273" i="10"/>
  <c r="CB232" i="10"/>
  <c r="BX225" i="10"/>
  <c r="BX239" i="10" s="1"/>
  <c r="CR222" i="10"/>
  <c r="CR225" i="10"/>
  <c r="CR239" i="10" s="1"/>
  <c r="CB222" i="10"/>
  <c r="CB225" i="10"/>
  <c r="CB239" i="10" s="1"/>
  <c r="BL222" i="10"/>
  <c r="BL225" i="10"/>
  <c r="BL239" i="10" s="1"/>
  <c r="DB204" i="10"/>
  <c r="CP204" i="10"/>
  <c r="CC197" i="10"/>
  <c r="BL267" i="10"/>
  <c r="BW183" i="10"/>
  <c r="CI182" i="10"/>
  <c r="CW377" i="10"/>
  <c r="CX377" i="10" s="1"/>
  <c r="BD377" i="10"/>
  <c r="BA376" i="10"/>
  <c r="AV208" i="10"/>
  <c r="AZ208" i="10"/>
  <c r="DB203" i="10"/>
  <c r="CT203" i="10"/>
  <c r="CF193" i="10"/>
  <c r="CF185" i="10"/>
  <c r="CG193" i="10"/>
  <c r="BJ159" i="10"/>
  <c r="BH161" i="10"/>
  <c r="DA146" i="10"/>
  <c r="BT146" i="10"/>
  <c r="AZ133" i="10"/>
  <c r="BH130" i="10"/>
  <c r="CT129" i="10"/>
  <c r="BZ129" i="10"/>
  <c r="BX134" i="10"/>
  <c r="BN129" i="10"/>
  <c r="CX128" i="10"/>
  <c r="BR128" i="10"/>
  <c r="BE130" i="10"/>
  <c r="CF130" i="10"/>
  <c r="BU130" i="10"/>
  <c r="BI132" i="10"/>
  <c r="BL132" i="10"/>
  <c r="AS132" i="10"/>
  <c r="BI92" i="10"/>
  <c r="BI95" i="10" s="1"/>
  <c r="BB64" i="10"/>
  <c r="CO63" i="10"/>
  <c r="CO64" i="10" s="1"/>
  <c r="CN64" i="10"/>
  <c r="BV63" i="10"/>
  <c r="BX58" i="49"/>
  <c r="BZ29" i="10"/>
  <c r="CC57" i="49"/>
  <c r="AW57" i="49"/>
  <c r="AP28" i="10"/>
  <c r="CF56" i="49"/>
  <c r="CF84" i="49" s="1"/>
  <c r="CH27" i="10"/>
  <c r="AZ56" i="49"/>
  <c r="BB27" i="10"/>
  <c r="DA1208" i="10"/>
  <c r="CF1208" i="10"/>
  <c r="AP25" i="10"/>
  <c r="CR52" i="49"/>
  <c r="CR79" i="49" s="1"/>
  <c r="CT23" i="10"/>
  <c r="BI52" i="49"/>
  <c r="BI79" i="49" s="1"/>
  <c r="BI177" i="49" s="1"/>
  <c r="BI280" i="49" s="1"/>
  <c r="CS1134" i="10"/>
  <c r="CN1134" i="10"/>
  <c r="CN1136" i="10" s="1"/>
  <c r="CN22" i="10" s="1"/>
  <c r="CC1134" i="10"/>
  <c r="BX1134" i="10"/>
  <c r="BX1136" i="10" s="1"/>
  <c r="BX22" i="10" s="1"/>
  <c r="CZ690" i="10"/>
  <c r="CC690" i="10"/>
  <c r="CW677" i="10"/>
  <c r="CW19" i="10" s="1"/>
  <c r="CN423" i="10"/>
  <c r="DA95" i="10"/>
  <c r="DA13" i="10" s="1"/>
  <c r="CV384" i="10"/>
  <c r="CN105" i="10"/>
  <c r="CN107" i="10" s="1"/>
  <c r="CN14" i="10" s="1"/>
  <c r="CL159" i="10"/>
  <c r="BU384" i="10"/>
  <c r="BR158" i="10"/>
  <c r="BW158" i="10" s="1"/>
  <c r="BP161" i="10"/>
  <c r="BN164" i="10"/>
  <c r="BH41" i="49"/>
  <c r="BH68" i="49" s="1"/>
  <c r="BH166" i="49" s="1"/>
  <c r="BH269" i="49" s="1"/>
  <c r="CP37" i="49"/>
  <c r="CP63" i="49" s="1"/>
  <c r="CP61" i="10"/>
  <c r="BZ37" i="49"/>
  <c r="BZ63" i="49" s="1"/>
  <c r="BZ61" i="10"/>
  <c r="BJ37" i="49"/>
  <c r="BJ63" i="49" s="1"/>
  <c r="BJ61" i="10"/>
  <c r="AT61" i="10"/>
  <c r="DB537" i="42"/>
  <c r="DB66" i="10" s="1"/>
  <c r="CZ66" i="10"/>
  <c r="BV537" i="42"/>
  <c r="BV66" i="10" s="1"/>
  <c r="BT66" i="10"/>
  <c r="AP537" i="42"/>
  <c r="AP66" i="10" s="1"/>
  <c r="AN66" i="10"/>
  <c r="Z537" i="42"/>
  <c r="CO476" i="42"/>
  <c r="CO478" i="42" s="1"/>
  <c r="CO491" i="42"/>
  <c r="DZ40" i="41" s="1"/>
  <c r="CJ476" i="42"/>
  <c r="CJ478" i="42" s="1"/>
  <c r="CJ491" i="42"/>
  <c r="DU40" i="41" s="1"/>
  <c r="CP454" i="42"/>
  <c r="CP457" i="42" s="1"/>
  <c r="CO455" i="42"/>
  <c r="CP455" i="42" s="1"/>
  <c r="CO457" i="42"/>
  <c r="CJ455" i="42"/>
  <c r="CJ457" i="42"/>
  <c r="BJ454" i="42"/>
  <c r="BJ457" i="42" s="1"/>
  <c r="BI455" i="42"/>
  <c r="BJ455" i="42" s="1"/>
  <c r="BI457" i="42"/>
  <c r="BV444" i="42"/>
  <c r="DJ414" i="42"/>
  <c r="DJ418" i="42" s="1"/>
  <c r="DI418" i="42"/>
  <c r="DI423" i="42"/>
  <c r="AS419" i="42"/>
  <c r="AT416" i="42"/>
  <c r="CK403" i="42"/>
  <c r="BZ399" i="42"/>
  <c r="BI399" i="42"/>
  <c r="AH399" i="42"/>
  <c r="CG430" i="42"/>
  <c r="CO374" i="42"/>
  <c r="CO377" i="42" s="1"/>
  <c r="CN377" i="42"/>
  <c r="BL377" i="42"/>
  <c r="BN374" i="42"/>
  <c r="BZ342" i="42"/>
  <c r="BY355" i="42"/>
  <c r="BY343" i="42"/>
  <c r="BZ343" i="42" s="1"/>
  <c r="CD339" i="42"/>
  <c r="CB345" i="42"/>
  <c r="CD345" i="42" s="1"/>
  <c r="BE334" i="42"/>
  <c r="BE353" i="42" s="1"/>
  <c r="BF353" i="42"/>
  <c r="BR331" i="42"/>
  <c r="BA331" i="42"/>
  <c r="BA335" i="42" s="1"/>
  <c r="AZ335" i="42"/>
  <c r="AR331" i="42"/>
  <c r="AO335" i="42"/>
  <c r="AP335" i="42" s="1"/>
  <c r="CV317" i="42"/>
  <c r="CV318" i="42" s="1"/>
  <c r="CV320" i="42" s="1"/>
  <c r="BF313" i="42"/>
  <c r="BF315" i="42"/>
  <c r="DB106" i="49"/>
  <c r="CL106" i="49"/>
  <c r="CL294" i="42"/>
  <c r="BV106" i="49"/>
  <c r="BV294" i="42"/>
  <c r="BH294" i="42"/>
  <c r="T43" i="43"/>
  <c r="U290" i="42"/>
  <c r="DJ273" i="42"/>
  <c r="CZ361" i="42"/>
  <c r="CR368" i="42"/>
  <c r="CR273" i="42" s="1"/>
  <c r="CT366" i="42"/>
  <c r="CO361" i="42"/>
  <c r="CR360" i="42"/>
  <c r="CK366" i="42"/>
  <c r="CK368" i="42" s="1"/>
  <c r="CJ272" i="42"/>
  <c r="BU366" i="42"/>
  <c r="BU368" i="42" s="1"/>
  <c r="BL368" i="42"/>
  <c r="BL273" i="42" s="1"/>
  <c r="BN366" i="42"/>
  <c r="BD368" i="42"/>
  <c r="BD273" i="42" s="1"/>
  <c r="AV368" i="42"/>
  <c r="AV273" i="42" s="1"/>
  <c r="AX366" i="42"/>
  <c r="AF361" i="42"/>
  <c r="AG360" i="42"/>
  <c r="AG361" i="42" s="1"/>
  <c r="AG272" i="42" s="1"/>
  <c r="CG268" i="42"/>
  <c r="CG301" i="42"/>
  <c r="BY268" i="42"/>
  <c r="BY301" i="42"/>
  <c r="BQ268" i="42"/>
  <c r="BQ301" i="42"/>
  <c r="BJ268" i="42"/>
  <c r="AH268" i="42"/>
  <c r="AH444" i="42"/>
  <c r="CS286" i="42"/>
  <c r="CS323" i="42" s="1"/>
  <c r="CC286" i="42"/>
  <c r="CC323" i="42" s="1"/>
  <c r="BT282" i="42"/>
  <c r="BM286" i="42"/>
  <c r="BM323" i="42" s="1"/>
  <c r="BD282" i="42"/>
  <c r="CZ218" i="42"/>
  <c r="CW218" i="42"/>
  <c r="CJ218" i="42"/>
  <c r="CG218" i="42"/>
  <c r="CB218" i="42"/>
  <c r="BY218" i="42"/>
  <c r="BT218" i="42"/>
  <c r="BQ218" i="42"/>
  <c r="CC206" i="42"/>
  <c r="CF211" i="42"/>
  <c r="BP193" i="46"/>
  <c r="CZ209" i="42"/>
  <c r="CW209" i="42"/>
  <c r="CB197" i="42"/>
  <c r="CB202" i="42"/>
  <c r="BE197" i="42"/>
  <c r="BH201" i="42" s="1"/>
  <c r="BF198" i="42"/>
  <c r="CV200" i="42"/>
  <c r="CS200" i="42"/>
  <c r="CN200" i="42"/>
  <c r="CK200" i="42"/>
  <c r="CF200" i="42"/>
  <c r="CC200" i="42"/>
  <c r="BP200" i="42"/>
  <c r="BM200" i="42"/>
  <c r="CD171" i="42"/>
  <c r="CC192" i="42"/>
  <c r="CC172" i="42"/>
  <c r="BX178" i="42"/>
  <c r="BY178" i="42"/>
  <c r="BX192" i="42"/>
  <c r="BL178" i="42"/>
  <c r="BL192" i="42"/>
  <c r="BL172" i="42"/>
  <c r="BM178" i="42"/>
  <c r="BM192" i="42"/>
  <c r="BP177" i="42"/>
  <c r="BN163" i="42"/>
  <c r="BP184" i="42"/>
  <c r="BM177" i="42"/>
  <c r="CT152" i="42"/>
  <c r="CV153" i="42"/>
  <c r="CJ149" i="42"/>
  <c r="CJ152" i="42" s="1"/>
  <c r="CJ156" i="42"/>
  <c r="CJ157" i="42"/>
  <c r="CJ158" i="42"/>
  <c r="CB149" i="42"/>
  <c r="CB152" i="42" s="1"/>
  <c r="CB156" i="42"/>
  <c r="CB158" i="42"/>
  <c r="CB157" i="42"/>
  <c r="CX777" i="10"/>
  <c r="CV721" i="10"/>
  <c r="CS721" i="10"/>
  <c r="CL757" i="10"/>
  <c r="CF721" i="10"/>
  <c r="CC721" i="10"/>
  <c r="BL721" i="10"/>
  <c r="BI721" i="10"/>
  <c r="AW721" i="10"/>
  <c r="AV721" i="10"/>
  <c r="AP546" i="10"/>
  <c r="AU538" i="10"/>
  <c r="CZ645" i="10"/>
  <c r="CO645" i="10"/>
  <c r="BY645" i="10"/>
  <c r="DM477" i="10"/>
  <c r="CW546" i="10"/>
  <c r="CW513" i="10"/>
  <c r="CR546" i="10"/>
  <c r="CR513" i="10"/>
  <c r="CG546" i="10"/>
  <c r="CG513" i="10"/>
  <c r="CB546" i="10"/>
  <c r="CB513" i="10"/>
  <c r="BQ546" i="10"/>
  <c r="BQ513" i="10"/>
  <c r="BL546" i="10"/>
  <c r="BL513" i="10"/>
  <c r="AW546" i="10"/>
  <c r="AT502" i="10"/>
  <c r="DA524" i="10"/>
  <c r="CZ612" i="10"/>
  <c r="CV524" i="10"/>
  <c r="CO612" i="10"/>
  <c r="CK524" i="10"/>
  <c r="CF524" i="10"/>
  <c r="BY612" i="10"/>
  <c r="AT535" i="10"/>
  <c r="BB416" i="10"/>
  <c r="BF385" i="10"/>
  <c r="BI384" i="10"/>
  <c r="BD384" i="10"/>
  <c r="BF383" i="10"/>
  <c r="AX382" i="10"/>
  <c r="BF381" i="10"/>
  <c r="CX375" i="10"/>
  <c r="CH375" i="10"/>
  <c r="BR375" i="10"/>
  <c r="BB375" i="10"/>
  <c r="CX374" i="10"/>
  <c r="CH374" i="10"/>
  <c r="BR374" i="10"/>
  <c r="BB374" i="10"/>
  <c r="CW351" i="10"/>
  <c r="CK351" i="10"/>
  <c r="CV350" i="10"/>
  <c r="CP350" i="10"/>
  <c r="CK350" i="10"/>
  <c r="CW349" i="10"/>
  <c r="BY349" i="10"/>
  <c r="BY350" i="10" s="1"/>
  <c r="DB347" i="10"/>
  <c r="CH347" i="10"/>
  <c r="AX344" i="10"/>
  <c r="BT309" i="10"/>
  <c r="BL309" i="10"/>
  <c r="BD309" i="10"/>
  <c r="BD310" i="10" s="1"/>
  <c r="BD314" i="10" s="1"/>
  <c r="BX307" i="10"/>
  <c r="BL300" i="10"/>
  <c r="BD300" i="10"/>
  <c r="BX295" i="10"/>
  <c r="CK273" i="10"/>
  <c r="DB255" i="10"/>
  <c r="CQ237" i="10"/>
  <c r="CM236" i="10"/>
  <c r="CQ235" i="10"/>
  <c r="BY232" i="10"/>
  <c r="CN225" i="10"/>
  <c r="CV222" i="10"/>
  <c r="CV225" i="10"/>
  <c r="CV239" i="10" s="1"/>
  <c r="BY222" i="10"/>
  <c r="BP222" i="10"/>
  <c r="BP225" i="10"/>
  <c r="CC232" i="10"/>
  <c r="CF232" i="10"/>
  <c r="DB221" i="10"/>
  <c r="DA232" i="10"/>
  <c r="BT267" i="10"/>
  <c r="BJ189" i="10"/>
  <c r="CA183" i="10"/>
  <c r="CQ182" i="10"/>
  <c r="CV376" i="10"/>
  <c r="CK377" i="10"/>
  <c r="CL377" i="10" s="1"/>
  <c r="CC377" i="10"/>
  <c r="CD377" i="10" s="1"/>
  <c r="BT376" i="10"/>
  <c r="BU376" i="10"/>
  <c r="CP207" i="10"/>
  <c r="CH207" i="10"/>
  <c r="BZ207" i="10"/>
  <c r="BR207" i="10"/>
  <c r="BJ207" i="10"/>
  <c r="BT65" i="49"/>
  <c r="BT164" i="49" s="1"/>
  <c r="BT267" i="49" s="1"/>
  <c r="CD204" i="10"/>
  <c r="BV204" i="10"/>
  <c r="BN204" i="10"/>
  <c r="BF204" i="10"/>
  <c r="AX204" i="10"/>
  <c r="CX203" i="10"/>
  <c r="CP203" i="10"/>
  <c r="CG203" i="10"/>
  <c r="BZ203" i="10"/>
  <c r="BR203" i="10"/>
  <c r="BJ203" i="10"/>
  <c r="BB203" i="10"/>
  <c r="DB202" i="10"/>
  <c r="CZ210" i="10"/>
  <c r="DA210" i="10"/>
  <c r="CR210" i="10"/>
  <c r="CS210" i="10"/>
  <c r="CJ210" i="10"/>
  <c r="CK210" i="10"/>
  <c r="CB210" i="10"/>
  <c r="CC210" i="10"/>
  <c r="BT210" i="10"/>
  <c r="BU210" i="10"/>
  <c r="BL210" i="10"/>
  <c r="BM210" i="10"/>
  <c r="BE210" i="10"/>
  <c r="AX162" i="10"/>
  <c r="AZ161" i="10"/>
  <c r="CZ146" i="10"/>
  <c r="CB146" i="10"/>
  <c r="AS142" i="10"/>
  <c r="BU145" i="10"/>
  <c r="BM145" i="10"/>
  <c r="BE145" i="10"/>
  <c r="AW142" i="10"/>
  <c r="AW145" i="10"/>
  <c r="BP142" i="10"/>
  <c r="AZ142" i="10"/>
  <c r="AR142" i="10"/>
  <c r="BH132" i="10"/>
  <c r="AR132" i="10"/>
  <c r="BD130" i="10"/>
  <c r="BY133" i="10"/>
  <c r="BZ127" i="10"/>
  <c r="BN127" i="10"/>
  <c r="BL130" i="10"/>
  <c r="BL133" i="10"/>
  <c r="DB125" i="10"/>
  <c r="BV125" i="10"/>
  <c r="BT132" i="10"/>
  <c r="CD63" i="10"/>
  <c r="CC58" i="49"/>
  <c r="AW58" i="49"/>
  <c r="CN57" i="49"/>
  <c r="CP28" i="10"/>
  <c r="BH57" i="49"/>
  <c r="BJ28" i="10"/>
  <c r="CK56" i="49"/>
  <c r="CK84" i="49" s="1"/>
  <c r="BE56" i="49"/>
  <c r="DI55" i="49"/>
  <c r="CS1208" i="10"/>
  <c r="CS26" i="10" s="1"/>
  <c r="CK1208" i="10"/>
  <c r="CF52" i="49"/>
  <c r="CF79" i="49" s="1"/>
  <c r="CH23" i="10"/>
  <c r="BT52" i="49"/>
  <c r="BT79" i="49" s="1"/>
  <c r="BT177" i="49" s="1"/>
  <c r="BT280" i="49" s="1"/>
  <c r="BM52" i="49"/>
  <c r="BM79" i="49" s="1"/>
  <c r="BM177" i="49" s="1"/>
  <c r="BM280" i="49" s="1"/>
  <c r="BD52" i="49"/>
  <c r="CS690" i="10"/>
  <c r="CF690" i="10"/>
  <c r="CF677" i="10"/>
  <c r="CF19" i="10" s="1"/>
  <c r="CB677" i="10"/>
  <c r="CB19" i="10" s="1"/>
  <c r="DA423" i="10"/>
  <c r="CS423" i="10"/>
  <c r="CC423" i="10"/>
  <c r="AW41" i="49"/>
  <c r="DA384" i="10"/>
  <c r="CV161" i="10"/>
  <c r="CS105" i="10"/>
  <c r="CS107" i="10" s="1"/>
  <c r="CS14" i="10" s="1"/>
  <c r="CJ165" i="10"/>
  <c r="CF107" i="10"/>
  <c r="CF14" i="10" s="1"/>
  <c r="CC161" i="10"/>
  <c r="BV159" i="10"/>
  <c r="BP163" i="10"/>
  <c r="BR163" i="10" s="1"/>
  <c r="BR162" i="10"/>
  <c r="CT158" i="10"/>
  <c r="CR161" i="10"/>
  <c r="CX484" i="42"/>
  <c r="CT476" i="42"/>
  <c r="CT478" i="42" s="1"/>
  <c r="CT491" i="42"/>
  <c r="EE40" i="41" s="1"/>
  <c r="CJ447" i="42"/>
  <c r="BA444" i="42"/>
  <c r="AX444" i="42"/>
  <c r="Q444" i="42"/>
  <c r="Q447" i="42" s="1"/>
  <c r="P447" i="42"/>
  <c r="P450" i="42" s="1"/>
  <c r="CT414" i="42"/>
  <c r="CT418" i="42" s="1"/>
  <c r="CS418" i="42"/>
  <c r="AZ405" i="42"/>
  <c r="AZ336" i="46" s="1"/>
  <c r="AZ337" i="46" s="1"/>
  <c r="AZ414" i="42"/>
  <c r="AZ423" i="42" s="1"/>
  <c r="CB401" i="42"/>
  <c r="CB403" i="42" s="1"/>
  <c r="CD399" i="42"/>
  <c r="AS399" i="42"/>
  <c r="AS401" i="42" s="1"/>
  <c r="CX396" i="42"/>
  <c r="BY374" i="42"/>
  <c r="BY377" i="42" s="1"/>
  <c r="BX377" i="42"/>
  <c r="AL374" i="42"/>
  <c r="AC374" i="42"/>
  <c r="AC377" i="42" s="1"/>
  <c r="AB377" i="42"/>
  <c r="AW354" i="42"/>
  <c r="AX355" i="42"/>
  <c r="AX354" i="42" s="1"/>
  <c r="BU353" i="42"/>
  <c r="BU354" i="42" s="1"/>
  <c r="CL332" i="42"/>
  <c r="CK336" i="42"/>
  <c r="BY335" i="42"/>
  <c r="BY337" i="42" s="1"/>
  <c r="BT335" i="42"/>
  <c r="BT337" i="42" s="1"/>
  <c r="BV331" i="42"/>
  <c r="BM335" i="42"/>
  <c r="AF324" i="42"/>
  <c r="BY317" i="42"/>
  <c r="BY318" i="42" s="1"/>
  <c r="CR319" i="42"/>
  <c r="CT312" i="42"/>
  <c r="CR320" i="42"/>
  <c r="CG320" i="42"/>
  <c r="CH325" i="42"/>
  <c r="CH326" i="42" s="1"/>
  <c r="BA294" i="42"/>
  <c r="BA325" i="42" s="1"/>
  <c r="BA326" i="42" s="1"/>
  <c r="BB325" i="42"/>
  <c r="BB326" i="42" s="1"/>
  <c r="AO293" i="42"/>
  <c r="AO314" i="42" s="1"/>
  <c r="AO313" i="42" s="1"/>
  <c r="AP314" i="42"/>
  <c r="AP313" i="42" s="1"/>
  <c r="AL325" i="42"/>
  <c r="AK294" i="42"/>
  <c r="AK325" i="42" s="1"/>
  <c r="AD294" i="42"/>
  <c r="AD325" i="42" s="1"/>
  <c r="AD326" i="42" s="1"/>
  <c r="Y295" i="42"/>
  <c r="U286" i="42"/>
  <c r="BL282" i="42"/>
  <c r="CL275" i="42"/>
  <c r="BP361" i="42"/>
  <c r="BR360" i="42"/>
  <c r="BE366" i="42"/>
  <c r="BE368" i="42" s="1"/>
  <c r="AW361" i="42"/>
  <c r="AW272" i="42" s="1"/>
  <c r="AZ360" i="42"/>
  <c r="BB360" i="42" s="1"/>
  <c r="CX91" i="49"/>
  <c r="CP91" i="49"/>
  <c r="CH91" i="49"/>
  <c r="BQ91" i="49"/>
  <c r="BR269" i="42"/>
  <c r="BA284" i="42"/>
  <c r="BB306" i="42"/>
  <c r="AH269" i="42"/>
  <c r="DJ268" i="42"/>
  <c r="R268" i="42"/>
  <c r="AN282" i="42"/>
  <c r="CR242" i="42"/>
  <c r="CJ242" i="42"/>
  <c r="BL242" i="42"/>
  <c r="BD242" i="42"/>
  <c r="AF242" i="42"/>
  <c r="CW193" i="46"/>
  <c r="CJ206" i="42"/>
  <c r="CK210" i="42" s="1"/>
  <c r="CJ211" i="42"/>
  <c r="BM206" i="42"/>
  <c r="BN207" i="42"/>
  <c r="BM211" i="42"/>
  <c r="BL197" i="42"/>
  <c r="BL202" i="42"/>
  <c r="BX172" i="42"/>
  <c r="CP163" i="42"/>
  <c r="CO172" i="42"/>
  <c r="CO184" i="42"/>
  <c r="CR177" i="42"/>
  <c r="CR184" i="42"/>
  <c r="CJ172" i="42"/>
  <c r="CK177" i="42"/>
  <c r="CK184" i="42"/>
  <c r="BY177" i="42"/>
  <c r="BX177" i="42"/>
  <c r="CW721" i="10"/>
  <c r="CG721" i="10"/>
  <c r="BM721" i="10"/>
  <c r="CS645" i="10"/>
  <c r="CN645" i="10"/>
  <c r="CC645" i="10"/>
  <c r="BX645" i="10"/>
  <c r="DL477" i="10"/>
  <c r="DA546" i="10"/>
  <c r="DA513" i="10"/>
  <c r="CV546" i="10"/>
  <c r="CV513" i="10"/>
  <c r="CK546" i="10"/>
  <c r="CK513" i="10"/>
  <c r="CF546" i="10"/>
  <c r="CF513" i="10"/>
  <c r="BU546" i="10"/>
  <c r="BU513" i="10"/>
  <c r="BP546" i="10"/>
  <c r="BP513" i="10"/>
  <c r="BE546" i="10"/>
  <c r="BE513" i="10"/>
  <c r="DL478" i="10"/>
  <c r="DA612" i="10"/>
  <c r="CW524" i="10"/>
  <c r="CV612" i="10"/>
  <c r="CR524" i="10"/>
  <c r="CG524" i="10"/>
  <c r="CF612" i="10"/>
  <c r="CB524" i="10"/>
  <c r="AT524" i="10"/>
  <c r="BJ385" i="10"/>
  <c r="BJ383" i="10"/>
  <c r="BB382" i="10"/>
  <c r="BJ381" i="10"/>
  <c r="DB375" i="10"/>
  <c r="CL375" i="10"/>
  <c r="BV375" i="10"/>
  <c r="BF375" i="10"/>
  <c r="DB374" i="10"/>
  <c r="CL374" i="10"/>
  <c r="BV374" i="10"/>
  <c r="BF374" i="10"/>
  <c r="CR353" i="10"/>
  <c r="DA351" i="10"/>
  <c r="CZ350" i="10"/>
  <c r="DA349" i="10"/>
  <c r="CO349" i="10"/>
  <c r="CO350" i="10" s="1"/>
  <c r="CG349" i="10"/>
  <c r="DA347" i="10"/>
  <c r="CS347" i="10"/>
  <c r="CC347" i="10"/>
  <c r="BY347" i="10"/>
  <c r="BU347" i="10"/>
  <c r="BB344" i="10"/>
  <c r="CJ285" i="10"/>
  <c r="CB285" i="10"/>
  <c r="BT285" i="10"/>
  <c r="BL285" i="10"/>
  <c r="CR273" i="10"/>
  <c r="BH225" i="10"/>
  <c r="BH239" i="10" s="1"/>
  <c r="CS222" i="10"/>
  <c r="CJ222" i="10"/>
  <c r="BM222" i="10"/>
  <c r="BH232" i="10"/>
  <c r="CL204" i="10"/>
  <c r="CE184" i="10"/>
  <c r="CM182" i="10"/>
  <c r="CO376" i="10"/>
  <c r="BE376" i="10"/>
  <c r="AW376" i="10"/>
  <c r="CT207" i="10"/>
  <c r="CS208" i="10"/>
  <c r="CL207" i="10"/>
  <c r="CD207" i="10"/>
  <c r="BV207" i="10"/>
  <c r="BN207" i="10"/>
  <c r="BM208" i="10"/>
  <c r="BF207" i="10"/>
  <c r="AX207" i="10"/>
  <c r="AW208" i="10"/>
  <c r="BH65" i="49"/>
  <c r="BH164" i="49" s="1"/>
  <c r="BH267" i="49" s="1"/>
  <c r="BZ204" i="10"/>
  <c r="BR204" i="10"/>
  <c r="BJ204" i="10"/>
  <c r="BB204" i="10"/>
  <c r="CD203" i="10"/>
  <c r="CC211" i="10"/>
  <c r="BV203" i="10"/>
  <c r="BU211" i="10"/>
  <c r="BN203" i="10"/>
  <c r="BM211" i="10"/>
  <c r="BF203" i="10"/>
  <c r="BE211" i="10"/>
  <c r="AX203" i="10"/>
  <c r="BF160" i="10"/>
  <c r="AW161" i="10"/>
  <c r="BB158" i="10"/>
  <c r="CJ146" i="10"/>
  <c r="CV145" i="10"/>
  <c r="CN145" i="10"/>
  <c r="BU132" i="10"/>
  <c r="CH129" i="10"/>
  <c r="BJ129" i="10"/>
  <c r="BH134" i="10"/>
  <c r="AZ134" i="10"/>
  <c r="BQ133" i="10"/>
  <c r="BQ130" i="10"/>
  <c r="BT133" i="10"/>
  <c r="CH65" i="10"/>
  <c r="BV64" i="10"/>
  <c r="BW122" i="42"/>
  <c r="CN58" i="49"/>
  <c r="CP29" i="10"/>
  <c r="CH58" i="49"/>
  <c r="BH58" i="49"/>
  <c r="BJ29" i="10"/>
  <c r="BB58" i="49"/>
  <c r="CS57" i="49"/>
  <c r="BM57" i="49"/>
  <c r="CV56" i="49"/>
  <c r="CV84" i="49" s="1"/>
  <c r="CX27" i="10"/>
  <c r="BP56" i="49"/>
  <c r="BP84" i="49" s="1"/>
  <c r="BR27" i="10"/>
  <c r="DM55" i="49"/>
  <c r="CR1208" i="10"/>
  <c r="CO1208" i="10"/>
  <c r="CO26" i="10" s="1"/>
  <c r="CZ52" i="49"/>
  <c r="CZ79" i="49" s="1"/>
  <c r="CV52" i="49"/>
  <c r="CV79" i="49" s="1"/>
  <c r="CK52" i="49"/>
  <c r="CK79" i="49" s="1"/>
  <c r="CK177" i="49" s="1"/>
  <c r="CK280" i="49" s="1"/>
  <c r="BX52" i="49"/>
  <c r="BX79" i="49" s="1"/>
  <c r="BX177" i="49" s="1"/>
  <c r="BX280" i="49" s="1"/>
  <c r="CO1134" i="10"/>
  <c r="BY1134" i="10"/>
  <c r="DI47" i="49"/>
  <c r="CN677" i="10"/>
  <c r="CN19" i="10" s="1"/>
  <c r="CC677" i="10"/>
  <c r="CC19" i="10" s="1"/>
  <c r="CW423" i="10"/>
  <c r="CG423" i="10"/>
  <c r="CP44" i="49"/>
  <c r="CP72" i="49" s="1"/>
  <c r="CP59" i="10"/>
  <c r="CP60" i="10" s="1"/>
  <c r="BZ44" i="49"/>
  <c r="BZ72" i="49" s="1"/>
  <c r="BZ59" i="10"/>
  <c r="BW123" i="42" s="1"/>
  <c r="BJ44" i="49"/>
  <c r="BJ72" i="49" s="1"/>
  <c r="BJ59" i="10"/>
  <c r="BJ60" i="10" s="1"/>
  <c r="AT59" i="10"/>
  <c r="AT60" i="10" s="1"/>
  <c r="DA376" i="10"/>
  <c r="DB158" i="10"/>
  <c r="DA161" i="10"/>
  <c r="CS94" i="10"/>
  <c r="CS161" i="10"/>
  <c r="CT160" i="10"/>
  <c r="CN161" i="10"/>
  <c r="CK384" i="10"/>
  <c r="CB384" i="10"/>
  <c r="BY387" i="10"/>
  <c r="AR67" i="10"/>
  <c r="CL537" i="42"/>
  <c r="CL66" i="10" s="1"/>
  <c r="CJ66" i="10"/>
  <c r="BF537" i="42"/>
  <c r="BF66" i="10" s="1"/>
  <c r="BD66" i="10"/>
  <c r="CV489" i="42"/>
  <c r="EG38" i="41" s="1"/>
  <c r="CO489" i="42"/>
  <c r="DZ38" i="41" s="1"/>
  <c r="CF489" i="42"/>
  <c r="BY489" i="42"/>
  <c r="BB484" i="42"/>
  <c r="DA496" i="42"/>
  <c r="DA500" i="42"/>
  <c r="DI500" i="42" s="1"/>
  <c r="DL500" i="42" s="1"/>
  <c r="DM500" i="42" s="1"/>
  <c r="DP500" i="42" s="1"/>
  <c r="DQ500" i="42" s="1"/>
  <c r="CT489" i="42"/>
  <c r="EE38" i="41" s="1"/>
  <c r="CT495" i="42"/>
  <c r="CT496" i="42" s="1"/>
  <c r="CT498" i="42"/>
  <c r="CD495" i="42"/>
  <c r="CD496" i="42" s="1"/>
  <c r="CD498" i="42"/>
  <c r="BN489" i="42"/>
  <c r="CY38" i="41" s="1"/>
  <c r="BN495" i="42"/>
  <c r="BN498" i="42"/>
  <c r="CZ476" i="42"/>
  <c r="CZ478" i="42" s="1"/>
  <c r="CZ491" i="42"/>
  <c r="EK40" i="41" s="1"/>
  <c r="CX486" i="42"/>
  <c r="CX527" i="42"/>
  <c r="CH457" i="42"/>
  <c r="CH486" i="42"/>
  <c r="CH527" i="42"/>
  <c r="BR527" i="42"/>
  <c r="CZ455" i="42"/>
  <c r="CZ457" i="42"/>
  <c r="BZ454" i="42"/>
  <c r="BZ457" i="42" s="1"/>
  <c r="BY455" i="42"/>
  <c r="BZ455" i="42" s="1"/>
  <c r="BY457" i="42"/>
  <c r="BT455" i="42"/>
  <c r="BT457" i="42"/>
  <c r="BQ444" i="42"/>
  <c r="AC444" i="42"/>
  <c r="T447" i="42"/>
  <c r="T450" i="42" s="1"/>
  <c r="V444" i="42"/>
  <c r="CD414" i="42"/>
  <c r="CC418" i="42"/>
  <c r="CD418" i="42" s="1"/>
  <c r="BH418" i="42"/>
  <c r="BH423" i="42"/>
  <c r="BA423" i="42"/>
  <c r="BB414" i="42"/>
  <c r="BD423" i="42"/>
  <c r="AF411" i="42"/>
  <c r="AW336" i="46"/>
  <c r="AW337" i="46" s="1"/>
  <c r="AX405" i="42"/>
  <c r="AX336" i="46" s="1"/>
  <c r="AG416" i="42"/>
  <c r="CO399" i="42"/>
  <c r="CN401" i="42"/>
  <c r="CN403" i="42" s="1"/>
  <c r="BL401" i="42"/>
  <c r="BL403" i="42" s="1"/>
  <c r="BN399" i="42"/>
  <c r="CR377" i="42"/>
  <c r="CT377" i="42" s="1"/>
  <c r="CT374" i="42"/>
  <c r="CH374" i="42"/>
  <c r="BV374" i="42"/>
  <c r="BT377" i="42"/>
  <c r="BH334" i="46"/>
  <c r="BH337" i="46" s="1"/>
  <c r="BI374" i="42"/>
  <c r="BI377" i="42" s="1"/>
  <c r="AF377" i="42"/>
  <c r="AH374" i="42"/>
  <c r="AP344" i="42"/>
  <c r="BE342" i="42"/>
  <c r="BE355" i="42" s="1"/>
  <c r="BF355" i="42"/>
  <c r="BX331" i="42"/>
  <c r="BU335" i="42"/>
  <c r="BU337" i="42" s="1"/>
  <c r="CC319" i="42"/>
  <c r="CX312" i="42"/>
  <c r="CW314" i="42"/>
  <c r="CX113" i="49"/>
  <c r="CW297" i="42"/>
  <c r="R294" i="42"/>
  <c r="Q325" i="42"/>
  <c r="BR107" i="49"/>
  <c r="BQ291" i="42"/>
  <c r="AT315" i="42"/>
  <c r="AT313" i="42"/>
  <c r="AD315" i="42"/>
  <c r="AD313" i="42"/>
  <c r="CO370" i="42"/>
  <c r="CO368" i="42"/>
  <c r="BY361" i="42"/>
  <c r="CB360" i="42"/>
  <c r="CD92" i="49"/>
  <c r="BM92" i="49"/>
  <c r="BN270" i="42"/>
  <c r="BA270" i="42"/>
  <c r="BB270" i="42" s="1"/>
  <c r="BB285" i="42"/>
  <c r="BB312" i="42" s="1"/>
  <c r="DN268" i="42"/>
  <c r="BU268" i="42"/>
  <c r="BU301" i="42"/>
  <c r="BM90" i="49"/>
  <c r="BN268" i="42"/>
  <c r="AX268" i="42"/>
  <c r="AJ282" i="42"/>
  <c r="BY267" i="42"/>
  <c r="CZ265" i="42"/>
  <c r="CZ277" i="42" s="1"/>
  <c r="CO265" i="42"/>
  <c r="CO277" i="42" s="1"/>
  <c r="CJ265" i="42"/>
  <c r="BY265" i="42"/>
  <c r="BY277" i="42" s="1"/>
  <c r="BT265" i="42"/>
  <c r="BT277" i="42" s="1"/>
  <c r="BI265" i="42"/>
  <c r="BI277" i="42" s="1"/>
  <c r="BD265" i="42"/>
  <c r="BD277" i="42" s="1"/>
  <c r="AS265" i="42"/>
  <c r="AS277" i="42" s="1"/>
  <c r="AN265" i="42"/>
  <c r="AN277" i="42" s="1"/>
  <c r="AC265" i="42"/>
  <c r="AC277" i="42" s="1"/>
  <c r="X265" i="42"/>
  <c r="X277" i="42" s="1"/>
  <c r="CD207" i="42"/>
  <c r="BU211" i="42"/>
  <c r="CK197" i="42"/>
  <c r="CK202" i="42"/>
  <c r="CW198" i="42"/>
  <c r="CX255" i="10"/>
  <c r="BZ225" i="10"/>
  <c r="CS232" i="10"/>
  <c r="CV232" i="10"/>
  <c r="BM232" i="10"/>
  <c r="BP232" i="10"/>
  <c r="CB267" i="10"/>
  <c r="CT189" i="10"/>
  <c r="CA182" i="10"/>
  <c r="CJ376" i="10"/>
  <c r="CK376" i="10"/>
  <c r="CG377" i="10"/>
  <c r="CH377" i="10" s="1"/>
  <c r="CB376" i="10"/>
  <c r="CC376" i="10"/>
  <c r="BX378" i="10"/>
  <c r="BL376" i="10"/>
  <c r="BM376" i="10"/>
  <c r="CZ211" i="10"/>
  <c r="DA211" i="10"/>
  <c r="CR211" i="10"/>
  <c r="CS211" i="10"/>
  <c r="CX202" i="10"/>
  <c r="CP202" i="10"/>
  <c r="CH202" i="10"/>
  <c r="BZ202" i="10"/>
  <c r="CE202" i="10" s="1"/>
  <c r="BR202" i="10"/>
  <c r="BJ202" i="10"/>
  <c r="BB202" i="10"/>
  <c r="DA145" i="10"/>
  <c r="CS145" i="10"/>
  <c r="CK145" i="10"/>
  <c r="BM134" i="10"/>
  <c r="BP134" i="10"/>
  <c r="BI133" i="10"/>
  <c r="BJ127" i="10"/>
  <c r="CX125" i="10"/>
  <c r="CL125" i="10"/>
  <c r="BP130" i="10"/>
  <c r="BQ132" i="10"/>
  <c r="BR125" i="10"/>
  <c r="AV130" i="10"/>
  <c r="AV132" i="10"/>
  <c r="CV64" i="10"/>
  <c r="CX65" i="10"/>
  <c r="CP65" i="10"/>
  <c r="BY64" i="10"/>
  <c r="BZ65" i="10"/>
  <c r="BN63" i="10"/>
  <c r="BM64" i="10"/>
  <c r="DB16" i="43"/>
  <c r="CL16" i="43"/>
  <c r="BV16" i="43"/>
  <c r="BF16" i="43"/>
  <c r="CS58" i="49"/>
  <c r="BM58" i="49"/>
  <c r="BX57" i="49"/>
  <c r="BZ28" i="10"/>
  <c r="DA56" i="49"/>
  <c r="DA84" i="49" s="1"/>
  <c r="BU56" i="49"/>
  <c r="BU84" i="49" s="1"/>
  <c r="DJ26" i="10"/>
  <c r="CN1208" i="10"/>
  <c r="CJ55" i="49"/>
  <c r="AO30" i="10"/>
  <c r="CS52" i="49"/>
  <c r="CS79" i="49" s="1"/>
  <c r="CS177" i="49" s="1"/>
  <c r="CS280" i="49" s="1"/>
  <c r="CN52" i="49"/>
  <c r="CN79" i="49" s="1"/>
  <c r="CG52" i="49"/>
  <c r="CG79" i="49" s="1"/>
  <c r="CG177" i="49" s="1"/>
  <c r="CG280" i="49" s="1"/>
  <c r="CB52" i="49"/>
  <c r="CB79" i="49" s="1"/>
  <c r="CB177" i="49" s="1"/>
  <c r="CB280" i="49" s="1"/>
  <c r="BL52" i="49"/>
  <c r="BL79" i="49" s="1"/>
  <c r="BL177" i="49" s="1"/>
  <c r="BL280" i="49" s="1"/>
  <c r="BN23" i="10"/>
  <c r="CZ1134" i="10"/>
  <c r="DN47" i="49"/>
  <c r="CS677" i="10"/>
  <c r="CS19" i="10" s="1"/>
  <c r="CG677" i="10"/>
  <c r="CG19" i="10" s="1"/>
  <c r="BX423" i="10"/>
  <c r="AT15" i="10"/>
  <c r="DB159" i="10"/>
  <c r="CR105" i="10"/>
  <c r="CR107" i="10" s="1"/>
  <c r="CR14" i="10" s="1"/>
  <c r="CO161" i="10"/>
  <c r="CK161" i="10"/>
  <c r="BU92" i="10"/>
  <c r="BR160" i="10"/>
  <c r="BN159" i="10"/>
  <c r="CT159" i="10"/>
  <c r="AZ533" i="42"/>
  <c r="BR484" i="42"/>
  <c r="CP499" i="42"/>
  <c r="CP489" i="42"/>
  <c r="EA38" i="41" s="1"/>
  <c r="CP495" i="42"/>
  <c r="BZ499" i="42"/>
  <c r="BZ489" i="42"/>
  <c r="DK38" i="41" s="1"/>
  <c r="BZ495" i="42"/>
  <c r="BJ499" i="42"/>
  <c r="BJ489" i="42"/>
  <c r="CU38" i="41" s="1"/>
  <c r="BJ495" i="42"/>
  <c r="CD476" i="42"/>
  <c r="CD478" i="42" s="1"/>
  <c r="CD491" i="42"/>
  <c r="DO40" i="41" s="1"/>
  <c r="BY476" i="42"/>
  <c r="BY478" i="42" s="1"/>
  <c r="BY491" i="42"/>
  <c r="BT476" i="42"/>
  <c r="BT478" i="42" s="1"/>
  <c r="BT491" i="42"/>
  <c r="CP444" i="42"/>
  <c r="CG444" i="42"/>
  <c r="CD444" i="42"/>
  <c r="BF444" i="42"/>
  <c r="AF414" i="42"/>
  <c r="AF405" i="42"/>
  <c r="AF406" i="42" s="1"/>
  <c r="CP399" i="42"/>
  <c r="BY399" i="42"/>
  <c r="BX401" i="42"/>
  <c r="BX403" i="42" s="1"/>
  <c r="BP401" i="42"/>
  <c r="AL399" i="42"/>
  <c r="AC399" i="42"/>
  <c r="AC401" i="42" s="1"/>
  <c r="AB401" i="42"/>
  <c r="CB377" i="42"/>
  <c r="CD374" i="42"/>
  <c r="AX334" i="46"/>
  <c r="AZ374" i="42"/>
  <c r="AR334" i="46"/>
  <c r="AS374" i="42"/>
  <c r="AS377" i="42" s="1"/>
  <c r="BX349" i="42"/>
  <c r="BZ350" i="42"/>
  <c r="BH349" i="42"/>
  <c r="BJ350" i="42"/>
  <c r="BJ349" i="42" s="1"/>
  <c r="CS343" i="42"/>
  <c r="CT343" i="42" s="1"/>
  <c r="CS345" i="42"/>
  <c r="CT345" i="42" s="1"/>
  <c r="CT344" i="42"/>
  <c r="CB343" i="42"/>
  <c r="CD343" i="42" s="1"/>
  <c r="BT355" i="42"/>
  <c r="BV355" i="42" s="1"/>
  <c r="BV354" i="42" s="1"/>
  <c r="AR344" i="42"/>
  <c r="CO331" i="42"/>
  <c r="CO336" i="42" s="1"/>
  <c r="BQ331" i="42"/>
  <c r="BP335" i="42"/>
  <c r="BH331" i="42"/>
  <c r="CG319" i="42"/>
  <c r="CH113" i="49"/>
  <c r="CG297" i="42"/>
  <c r="Z294" i="42"/>
  <c r="Y325" i="42"/>
  <c r="Y326" i="42" s="1"/>
  <c r="BU317" i="42"/>
  <c r="BI314" i="42"/>
  <c r="BI313" i="42" s="1"/>
  <c r="BI319" i="42"/>
  <c r="CL107" i="49"/>
  <c r="CK291" i="42"/>
  <c r="CB282" i="42"/>
  <c r="AV282" i="42"/>
  <c r="AT286" i="42"/>
  <c r="AT323" i="42" s="1"/>
  <c r="CV370" i="42"/>
  <c r="CL274" i="42"/>
  <c r="BP368" i="42"/>
  <c r="BR366" i="42"/>
  <c r="BI361" i="42"/>
  <c r="BL360" i="42"/>
  <c r="BQ92" i="49"/>
  <c r="BR270" i="42"/>
  <c r="R270" i="42"/>
  <c r="BM91" i="49"/>
  <c r="BN269" i="42"/>
  <c r="BF268" i="42"/>
  <c r="BF90" i="49" s="1"/>
  <c r="AD268" i="42"/>
  <c r="CW265" i="42"/>
  <c r="CW277" i="42" s="1"/>
  <c r="CR265" i="42"/>
  <c r="CR277" i="42" s="1"/>
  <c r="CG265" i="42"/>
  <c r="CG277" i="42" s="1"/>
  <c r="CB265" i="42"/>
  <c r="CB277" i="42" s="1"/>
  <c r="BQ265" i="42"/>
  <c r="BQ277" i="42" s="1"/>
  <c r="BL265" i="42"/>
  <c r="BL277" i="42" s="1"/>
  <c r="BA265" i="42"/>
  <c r="BA277" i="42" s="1"/>
  <c r="AV265" i="42"/>
  <c r="AV277" i="42" s="1"/>
  <c r="AK265" i="42"/>
  <c r="AK277" i="42" s="1"/>
  <c r="AF265" i="42"/>
  <c r="AF277" i="42" s="1"/>
  <c r="U265" i="42"/>
  <c r="U277" i="42" s="1"/>
  <c r="P265" i="42"/>
  <c r="P277" i="42" s="1"/>
  <c r="AV255" i="42"/>
  <c r="AW253" i="42"/>
  <c r="BX193" i="46"/>
  <c r="CR197" i="42"/>
  <c r="CR202" i="42"/>
  <c r="BU197" i="42"/>
  <c r="BU202" i="42"/>
  <c r="BV198" i="42"/>
  <c r="BX202" i="42"/>
  <c r="BB171" i="42"/>
  <c r="BD178" i="42"/>
  <c r="BA172" i="42"/>
  <c r="DN16" i="43"/>
  <c r="CX16" i="43"/>
  <c r="CH16" i="43"/>
  <c r="BR16" i="43"/>
  <c r="BB16" i="43"/>
  <c r="CW58" i="49"/>
  <c r="CR58" i="49"/>
  <c r="CG58" i="49"/>
  <c r="CB58" i="49"/>
  <c r="BV58" i="49"/>
  <c r="BQ58" i="49"/>
  <c r="BL58" i="49"/>
  <c r="BA58" i="49"/>
  <c r="AV58" i="49"/>
  <c r="CW57" i="49"/>
  <c r="CR57" i="49"/>
  <c r="CL57" i="49"/>
  <c r="CG57" i="49"/>
  <c r="CB57" i="49"/>
  <c r="BQ57" i="49"/>
  <c r="BL57" i="49"/>
  <c r="BA57" i="49"/>
  <c r="AV57" i="49"/>
  <c r="CZ56" i="49"/>
  <c r="CZ84" i="49" s="1"/>
  <c r="CT56" i="49"/>
  <c r="CT84" i="49" s="1"/>
  <c r="CO56" i="49"/>
  <c r="CO84" i="49" s="1"/>
  <c r="CJ56" i="49"/>
  <c r="CJ84" i="49" s="1"/>
  <c r="BY56" i="49"/>
  <c r="BY84" i="49" s="1"/>
  <c r="BT56" i="49"/>
  <c r="BT84" i="49" s="1"/>
  <c r="BI56" i="49"/>
  <c r="BI84" i="49" s="1"/>
  <c r="BD56" i="49"/>
  <c r="DL55" i="49"/>
  <c r="BE52" i="49"/>
  <c r="DM47" i="49"/>
  <c r="DB44" i="49"/>
  <c r="DB72" i="49" s="1"/>
  <c r="DG72" i="49" s="1"/>
  <c r="CL44" i="49"/>
  <c r="CL72" i="49" s="1"/>
  <c r="BV44" i="49"/>
  <c r="BV72" i="49" s="1"/>
  <c r="BF44" i="49"/>
  <c r="BF72" i="49" s="1"/>
  <c r="BF41" i="49"/>
  <c r="BF68" i="49" s="1"/>
  <c r="BA41" i="49"/>
  <c r="AV41" i="49"/>
  <c r="DB37" i="49"/>
  <c r="DB63" i="49" s="1"/>
  <c r="DG63" i="49" s="1"/>
  <c r="CL37" i="49"/>
  <c r="CL63" i="49" s="1"/>
  <c r="BV37" i="49"/>
  <c r="BV63" i="49" s="1"/>
  <c r="BF37" i="49"/>
  <c r="BF63" i="49" s="1"/>
  <c r="CW455" i="42"/>
  <c r="CX455" i="42" s="1"/>
  <c r="CG455" i="42"/>
  <c r="CH455" i="42" s="1"/>
  <c r="BQ455" i="42"/>
  <c r="BR455" i="42" s="1"/>
  <c r="BB405" i="42"/>
  <c r="BB336" i="46" s="1"/>
  <c r="AO377" i="42"/>
  <c r="BD337" i="46"/>
  <c r="BU343" i="42"/>
  <c r="CT313" i="49"/>
  <c r="CT210" i="49"/>
  <c r="CP209" i="49"/>
  <c r="CP312" i="49"/>
  <c r="BZ209" i="49"/>
  <c r="BZ312" i="49"/>
  <c r="BF209" i="49"/>
  <c r="BF312" i="49"/>
  <c r="AV45" i="43"/>
  <c r="AV44" i="43"/>
  <c r="X44" i="43"/>
  <c r="X45" i="43"/>
  <c r="X49" i="43" s="1"/>
  <c r="AV360" i="42"/>
  <c r="AO366" i="42"/>
  <c r="AO368" i="42" s="1"/>
  <c r="AO360" i="42"/>
  <c r="AO361" i="42" s="1"/>
  <c r="AO272" i="42" s="1"/>
  <c r="BT90" i="49"/>
  <c r="BP90" i="49"/>
  <c r="BL90" i="49"/>
  <c r="CK211" i="42"/>
  <c r="CB211" i="42"/>
  <c r="BP211" i="42"/>
  <c r="BM209" i="42"/>
  <c r="BV207" i="42"/>
  <c r="CG206" i="42"/>
  <c r="CG211" i="42"/>
  <c r="BQ206" i="42"/>
  <c r="BQ211" i="42"/>
  <c r="CN202" i="42"/>
  <c r="BQ202" i="42"/>
  <c r="BH202" i="42"/>
  <c r="CZ200" i="42"/>
  <c r="CH198" i="42"/>
  <c r="CO197" i="42"/>
  <c r="CP198" i="42"/>
  <c r="BY197" i="42"/>
  <c r="BZ198" i="42"/>
  <c r="BI197" i="42"/>
  <c r="BI201" i="42" s="1"/>
  <c r="BJ198" i="42"/>
  <c r="AP172" i="42"/>
  <c r="CT171" i="42"/>
  <c r="CB178" i="42"/>
  <c r="CB192" i="42"/>
  <c r="BT192" i="42"/>
  <c r="CZ172" i="42"/>
  <c r="CO177" i="42"/>
  <c r="CS158" i="46"/>
  <c r="CV135" i="42"/>
  <c r="CV598" i="20" s="1"/>
  <c r="CK158" i="46"/>
  <c r="CK135" i="42"/>
  <c r="CK598" i="20" s="1"/>
  <c r="CC158" i="46"/>
  <c r="CC135" i="42"/>
  <c r="CC598" i="20" s="1"/>
  <c r="BU158" i="46"/>
  <c r="BU135" i="42"/>
  <c r="BU598" i="20" s="1"/>
  <c r="BM158" i="46"/>
  <c r="BM135" i="42"/>
  <c r="BM598" i="20" s="1"/>
  <c r="CL122" i="42"/>
  <c r="CK138" i="42"/>
  <c r="CK601" i="20" s="1"/>
  <c r="CN138" i="42"/>
  <c r="CN601" i="20" s="1"/>
  <c r="CF123" i="42"/>
  <c r="CF138" i="42"/>
  <c r="CF601" i="20" s="1"/>
  <c r="BU138" i="42"/>
  <c r="BU601" i="20" s="1"/>
  <c r="BU123" i="42"/>
  <c r="BX138" i="42"/>
  <c r="BX601" i="20" s="1"/>
  <c r="CR70" i="42"/>
  <c r="BX70" i="42"/>
  <c r="BL70" i="42"/>
  <c r="AP63" i="42"/>
  <c r="AP69" i="42" s="1"/>
  <c r="BB63" i="42"/>
  <c r="AL63" i="42"/>
  <c r="V63" i="42"/>
  <c r="AR1" i="42"/>
  <c r="AR2" i="42" s="1"/>
  <c r="AS3" i="42"/>
  <c r="BF232" i="49"/>
  <c r="BF335" i="49"/>
  <c r="AC15" i="43"/>
  <c r="AC17" i="43" s="1"/>
  <c r="AC34" i="43" s="1"/>
  <c r="AC32" i="43"/>
  <c r="X15" i="43"/>
  <c r="X17" i="43" s="1"/>
  <c r="X34" i="43" s="1"/>
  <c r="X32" i="43"/>
  <c r="AT330" i="46"/>
  <c r="AT417" i="46"/>
  <c r="AS358" i="46"/>
  <c r="AS251" i="46"/>
  <c r="AS255" i="46" s="1"/>
  <c r="AT255" i="46" s="1"/>
  <c r="BB362" i="46"/>
  <c r="AX371" i="46"/>
  <c r="AW307" i="46"/>
  <c r="BD323" i="46"/>
  <c r="BD328" i="46"/>
  <c r="BD330" i="46" s="1"/>
  <c r="AS240" i="46"/>
  <c r="BB237" i="46"/>
  <c r="AW237" i="46"/>
  <c r="AX234" i="46"/>
  <c r="AX237" i="46" s="1"/>
  <c r="CS142" i="46"/>
  <c r="CS162" i="46"/>
  <c r="CC142" i="46"/>
  <c r="CC162" i="46"/>
  <c r="BQ142" i="46"/>
  <c r="BQ162" i="46"/>
  <c r="CV135" i="46"/>
  <c r="CV86" i="46"/>
  <c r="CV87" i="46" s="1"/>
  <c r="CV95" i="46" s="1"/>
  <c r="CV97" i="46" s="1"/>
  <c r="CN135" i="46"/>
  <c r="CN86" i="46"/>
  <c r="CN87" i="46" s="1"/>
  <c r="CN95" i="46" s="1"/>
  <c r="CN97" i="46" s="1"/>
  <c r="CB86" i="46"/>
  <c r="CB135" i="46"/>
  <c r="BT86" i="46"/>
  <c r="BT135" i="46"/>
  <c r="BH135" i="46"/>
  <c r="BH138" i="46" s="1"/>
  <c r="BH86" i="46"/>
  <c r="BH87" i="46" s="1"/>
  <c r="BH95" i="46" s="1"/>
  <c r="BH97" i="46" s="1"/>
  <c r="CR105" i="46"/>
  <c r="CR80" i="46"/>
  <c r="CB105" i="46"/>
  <c r="CB80" i="46"/>
  <c r="CB68" i="46" s="1"/>
  <c r="BP80" i="46"/>
  <c r="BP68" i="46" s="1"/>
  <c r="BP95" i="46"/>
  <c r="BP97" i="46" s="1"/>
  <c r="BP105" i="46"/>
  <c r="DG148" i="46"/>
  <c r="DI148" i="46"/>
  <c r="CZ220" i="46"/>
  <c r="CZ67" i="46"/>
  <c r="CV67" i="46"/>
  <c r="CV220" i="46"/>
  <c r="CV109" i="46"/>
  <c r="CV111" i="46" s="1"/>
  <c r="CR109" i="46"/>
  <c r="CR111" i="46" s="1"/>
  <c r="CR220" i="46"/>
  <c r="CR67" i="46"/>
  <c r="BX220" i="46"/>
  <c r="BX67" i="46"/>
  <c r="BM54" i="46"/>
  <c r="AW54" i="46"/>
  <c r="DB31" i="46"/>
  <c r="CT31" i="46"/>
  <c r="BZ39" i="46"/>
  <c r="BZ31" i="46"/>
  <c r="BZ36" i="46" s="1"/>
  <c r="BR31" i="46"/>
  <c r="BR36" i="46" s="1"/>
  <c r="DB45" i="46"/>
  <c r="CL45" i="46"/>
  <c r="BV45" i="46"/>
  <c r="DB43" i="46"/>
  <c r="CH43" i="46"/>
  <c r="CD42" i="46"/>
  <c r="CT18" i="46"/>
  <c r="CT39" i="46"/>
  <c r="CJ4" i="51"/>
  <c r="B26" i="51"/>
  <c r="B10" i="51" s="1"/>
  <c r="CM237" i="10"/>
  <c r="CE237" i="10"/>
  <c r="BW237" i="10"/>
  <c r="CQ236" i="10"/>
  <c r="CI236" i="10"/>
  <c r="CA236" i="10"/>
  <c r="CM235" i="10"/>
  <c r="CE235" i="10"/>
  <c r="BW235" i="10"/>
  <c r="CA184" i="10"/>
  <c r="CE183" i="10"/>
  <c r="AZ377" i="10"/>
  <c r="BB377" i="10" s="1"/>
  <c r="CS65" i="49"/>
  <c r="CS164" i="49" s="1"/>
  <c r="BQ65" i="49"/>
  <c r="BQ164" i="49" s="1"/>
  <c r="BQ267" i="49" s="1"/>
  <c r="BM65" i="49"/>
  <c r="BM164" i="49" s="1"/>
  <c r="BM267" i="49" s="1"/>
  <c r="DB65" i="10"/>
  <c r="CL65" i="10"/>
  <c r="CK63" i="10"/>
  <c r="DJ16" i="43"/>
  <c r="CT16" i="43"/>
  <c r="CD16" i="43"/>
  <c r="BN16" i="43"/>
  <c r="DA58" i="49"/>
  <c r="CV58" i="49"/>
  <c r="CK58" i="49"/>
  <c r="CF58" i="49"/>
  <c r="BU58" i="49"/>
  <c r="BP58" i="49"/>
  <c r="BE58" i="49"/>
  <c r="AZ58" i="49"/>
  <c r="DA57" i="49"/>
  <c r="CV57" i="49"/>
  <c r="CK57" i="49"/>
  <c r="CF57" i="49"/>
  <c r="BU57" i="49"/>
  <c r="BP57" i="49"/>
  <c r="BE57" i="49"/>
  <c r="AZ57" i="49"/>
  <c r="CS56" i="49"/>
  <c r="CS84" i="49" s="1"/>
  <c r="CN56" i="49"/>
  <c r="CN84" i="49" s="1"/>
  <c r="CC56" i="49"/>
  <c r="CC84" i="49" s="1"/>
  <c r="BX56" i="49"/>
  <c r="BX84" i="49" s="1"/>
  <c r="BM56" i="49"/>
  <c r="BM84" i="49" s="1"/>
  <c r="BH56" i="49"/>
  <c r="BH84" i="49" s="1"/>
  <c r="AW56" i="49"/>
  <c r="DN26" i="10"/>
  <c r="DL47" i="49"/>
  <c r="CX44" i="49"/>
  <c r="CX72" i="49" s="1"/>
  <c r="CH44" i="49"/>
  <c r="CH72" i="49" s="1"/>
  <c r="BR44" i="49"/>
  <c r="BR72" i="49" s="1"/>
  <c r="BB44" i="49"/>
  <c r="BE41" i="49"/>
  <c r="AZ41" i="49"/>
  <c r="CZ384" i="10"/>
  <c r="CR384" i="10"/>
  <c r="CO384" i="10"/>
  <c r="CJ384" i="10"/>
  <c r="BX384" i="10"/>
  <c r="BQ95" i="10"/>
  <c r="BQ13" i="10" s="1"/>
  <c r="BQ384" i="10"/>
  <c r="BM384" i="10"/>
  <c r="BL384" i="10"/>
  <c r="BI41" i="49"/>
  <c r="BI68" i="49" s="1"/>
  <c r="BI166" i="49" s="1"/>
  <c r="BI269" i="49" s="1"/>
  <c r="CX37" i="49"/>
  <c r="CX63" i="49" s="1"/>
  <c r="CH37" i="49"/>
  <c r="CH63" i="49" s="1"/>
  <c r="BR37" i="49"/>
  <c r="BR63" i="49" s="1"/>
  <c r="BB37" i="49"/>
  <c r="BL464" i="42"/>
  <c r="BA337" i="46"/>
  <c r="AW374" i="42"/>
  <c r="AW377" i="42" s="1"/>
  <c r="CD350" i="42"/>
  <c r="CP344" i="42"/>
  <c r="CS297" i="42"/>
  <c r="CP319" i="49"/>
  <c r="CP324" i="49" s="1"/>
  <c r="CP216" i="49"/>
  <c r="CP221" i="49" s="1"/>
  <c r="CS294" i="42"/>
  <c r="CS325" i="42" s="1"/>
  <c r="CS326" i="42" s="1"/>
  <c r="CC294" i="42"/>
  <c r="BM294" i="42"/>
  <c r="BM325" i="42" s="1"/>
  <c r="BM326" i="42" s="1"/>
  <c r="BV210" i="49"/>
  <c r="BV313" i="49"/>
  <c r="BJ209" i="49"/>
  <c r="BJ312" i="49"/>
  <c r="Q290" i="42"/>
  <c r="Q295" i="42" s="1"/>
  <c r="Q43" i="43" s="1"/>
  <c r="CZ238" i="42"/>
  <c r="CR238" i="42"/>
  <c r="CJ238" i="42"/>
  <c r="CB238" i="42"/>
  <c r="BT238" i="42"/>
  <c r="BL238" i="42"/>
  <c r="BD238" i="42"/>
  <c r="AV238" i="42"/>
  <c r="AN238" i="42"/>
  <c r="AF238" i="42"/>
  <c r="CV193" i="46"/>
  <c r="CK193" i="46"/>
  <c r="CJ202" i="42"/>
  <c r="BY202" i="42"/>
  <c r="CC197" i="42"/>
  <c r="CC202" i="42"/>
  <c r="BM197" i="42"/>
  <c r="BM202" i="42"/>
  <c r="AX172" i="42"/>
  <c r="CR178" i="42"/>
  <c r="CR192" i="42"/>
  <c r="CG171" i="42"/>
  <c r="AX171" i="42"/>
  <c r="BJ163" i="42"/>
  <c r="BI172" i="42"/>
  <c r="BI184" i="42"/>
  <c r="BD177" i="42"/>
  <c r="AT163" i="42"/>
  <c r="BT149" i="42"/>
  <c r="BT152" i="42" s="1"/>
  <c r="BT156" i="42"/>
  <c r="BL149" i="42"/>
  <c r="BL152" i="42" s="1"/>
  <c r="BL156" i="42"/>
  <c r="BY146" i="42"/>
  <c r="BY158" i="42" s="1"/>
  <c r="BQ138" i="42"/>
  <c r="BQ601" i="20" s="1"/>
  <c r="CZ158" i="46"/>
  <c r="DA135" i="42"/>
  <c r="DA598" i="20" s="1"/>
  <c r="CR158" i="46"/>
  <c r="CR135" i="42"/>
  <c r="CR598" i="20" s="1"/>
  <c r="CJ158" i="46"/>
  <c r="CJ135" i="42"/>
  <c r="CJ598" i="20" s="1"/>
  <c r="CB158" i="46"/>
  <c r="CB135" i="42"/>
  <c r="CB598" i="20" s="1"/>
  <c r="BT158" i="46"/>
  <c r="BT135" i="42"/>
  <c r="BT598" i="20" s="1"/>
  <c r="CR192" i="46"/>
  <c r="CR123" i="42"/>
  <c r="CB192" i="46"/>
  <c r="CB123" i="42"/>
  <c r="CB137" i="42" s="1"/>
  <c r="CB600" i="20" s="1"/>
  <c r="CV123" i="42"/>
  <c r="CV138" i="42"/>
  <c r="CV601" i="20" s="1"/>
  <c r="CJ123" i="42"/>
  <c r="CJ137" i="42" s="1"/>
  <c r="CJ600" i="20" s="1"/>
  <c r="CG114" i="42"/>
  <c r="U114" i="42"/>
  <c r="V114" i="42" s="1"/>
  <c r="CW70" i="42"/>
  <c r="CC70" i="42"/>
  <c r="BQ70" i="42"/>
  <c r="DA27" i="43"/>
  <c r="AN32" i="43"/>
  <c r="AN15" i="43"/>
  <c r="AN17" i="43" s="1"/>
  <c r="AN34" i="43" s="1"/>
  <c r="AR358" i="46"/>
  <c r="AR359" i="46" s="1"/>
  <c r="AR251" i="46"/>
  <c r="BH240" i="46"/>
  <c r="BH241" i="46" s="1"/>
  <c r="BH324" i="46"/>
  <c r="BH347" i="46" s="1"/>
  <c r="CW142" i="46"/>
  <c r="CW162" i="46"/>
  <c r="CG142" i="46"/>
  <c r="CG162" i="46"/>
  <c r="CB162" i="46"/>
  <c r="CB142" i="46"/>
  <c r="BU142" i="46"/>
  <c r="BU162" i="46"/>
  <c r="CJ109" i="46"/>
  <c r="CJ111" i="46" s="1"/>
  <c r="BT109" i="46"/>
  <c r="BT111" i="46" s="1"/>
  <c r="CZ103" i="46"/>
  <c r="CZ104" i="46" s="1"/>
  <c r="CZ113" i="46" s="1"/>
  <c r="EK69" i="41" s="1"/>
  <c r="CZ69" i="46"/>
  <c r="CZ87" i="46"/>
  <c r="CZ95" i="46" s="1"/>
  <c r="CZ97" i="46" s="1"/>
  <c r="CK86" i="46"/>
  <c r="CK135" i="46"/>
  <c r="CF69" i="46"/>
  <c r="CF70" i="46" s="1"/>
  <c r="CF103" i="46"/>
  <c r="CF104" i="46" s="1"/>
  <c r="DB78" i="46"/>
  <c r="DA80" i="46"/>
  <c r="DA105" i="46"/>
  <c r="CO68" i="46"/>
  <c r="CP80" i="46"/>
  <c r="EA67" i="41" s="1"/>
  <c r="CL78" i="46"/>
  <c r="CK80" i="46"/>
  <c r="CK105" i="46"/>
  <c r="BY68" i="46"/>
  <c r="BZ80" i="46"/>
  <c r="DK67" i="41" s="1"/>
  <c r="BV78" i="46"/>
  <c r="BU80" i="46"/>
  <c r="BU105" i="46"/>
  <c r="BJ78" i="46"/>
  <c r="BI105" i="46"/>
  <c r="BI80" i="46"/>
  <c r="CB109" i="46"/>
  <c r="CB111" i="46" s="1"/>
  <c r="CB220" i="46"/>
  <c r="CB67" i="46"/>
  <c r="AT59" i="46"/>
  <c r="CJ54" i="46"/>
  <c r="CL54" i="46" s="1"/>
  <c r="BT54" i="46"/>
  <c r="BV54" i="46" s="1"/>
  <c r="DA54" i="46"/>
  <c r="CD31" i="46"/>
  <c r="BJ39" i="46"/>
  <c r="BJ31" i="46"/>
  <c r="DI47" i="46"/>
  <c r="BZ18" i="46"/>
  <c r="BZ43" i="46"/>
  <c r="BR43" i="46"/>
  <c r="CH42" i="46"/>
  <c r="CL39" i="46"/>
  <c r="C4" i="51"/>
  <c r="C9" i="51"/>
  <c r="C8" i="51"/>
  <c r="CP16" i="43"/>
  <c r="BZ16" i="43"/>
  <c r="BJ16" i="43"/>
  <c r="AN30" i="10"/>
  <c r="CZ58" i="49"/>
  <c r="CT29" i="10"/>
  <c r="CO58" i="49"/>
  <c r="CJ58" i="49"/>
  <c r="CD29" i="10"/>
  <c r="BY58" i="49"/>
  <c r="BT58" i="49"/>
  <c r="BN29" i="10"/>
  <c r="BI58" i="49"/>
  <c r="BD58" i="49"/>
  <c r="AX29" i="10"/>
  <c r="CZ57" i="49"/>
  <c r="CT28" i="10"/>
  <c r="CO57" i="49"/>
  <c r="CJ57" i="49"/>
  <c r="CD28" i="10"/>
  <c r="BY57" i="49"/>
  <c r="BT57" i="49"/>
  <c r="BN28" i="10"/>
  <c r="BI57" i="49"/>
  <c r="BD57" i="49"/>
  <c r="AX28" i="10"/>
  <c r="DB27" i="10"/>
  <c r="CW56" i="49"/>
  <c r="CW84" i="49" s="1"/>
  <c r="CR56" i="49"/>
  <c r="CR84" i="49" s="1"/>
  <c r="CL27" i="10"/>
  <c r="CG56" i="49"/>
  <c r="CG84" i="49" s="1"/>
  <c r="CB56" i="49"/>
  <c r="CB84" i="49" s="1"/>
  <c r="BV27" i="10"/>
  <c r="BQ56" i="49"/>
  <c r="BQ84" i="49" s="1"/>
  <c r="BL56" i="49"/>
  <c r="BL84" i="49" s="1"/>
  <c r="BF27" i="10"/>
  <c r="BA56" i="49"/>
  <c r="AV56" i="49"/>
  <c r="AP24" i="10"/>
  <c r="DJ19" i="10"/>
  <c r="CT44" i="49"/>
  <c r="CT72" i="49" s="1"/>
  <c r="CD44" i="49"/>
  <c r="CD72" i="49" s="1"/>
  <c r="BN44" i="49"/>
  <c r="BN72" i="49" s="1"/>
  <c r="AX44" i="49"/>
  <c r="BD41" i="49"/>
  <c r="AX13" i="10"/>
  <c r="CS384" i="10"/>
  <c r="CN384" i="10"/>
  <c r="CG384" i="10"/>
  <c r="CC384" i="10"/>
  <c r="BT384" i="10"/>
  <c r="CT37" i="49"/>
  <c r="CT63" i="49" s="1"/>
  <c r="CD37" i="49"/>
  <c r="CD63" i="49" s="1"/>
  <c r="BN37" i="49"/>
  <c r="BN63" i="49" s="1"/>
  <c r="AX37" i="49"/>
  <c r="AS3" i="10"/>
  <c r="BP464" i="42"/>
  <c r="AV337" i="46"/>
  <c r="BT319" i="42"/>
  <c r="CT319" i="49"/>
  <c r="CT324" i="49" s="1"/>
  <c r="CT216" i="49"/>
  <c r="CT221" i="49" s="1"/>
  <c r="CD316" i="49"/>
  <c r="CD213" i="49"/>
  <c r="BR209" i="49"/>
  <c r="BR312" i="49"/>
  <c r="BN312" i="49"/>
  <c r="P45" i="43"/>
  <c r="P49" i="43" s="1"/>
  <c r="P44" i="43"/>
  <c r="CO206" i="42"/>
  <c r="CP207" i="42"/>
  <c r="CO211" i="42"/>
  <c r="BY206" i="42"/>
  <c r="BZ207" i="42"/>
  <c r="BY211" i="42"/>
  <c r="BI206" i="42"/>
  <c r="BJ207" i="42"/>
  <c r="BI211" i="42"/>
  <c r="CR209" i="42"/>
  <c r="CZ192" i="42"/>
  <c r="BN171" i="42"/>
  <c r="AV178" i="42"/>
  <c r="BZ163" i="42"/>
  <c r="BY172" i="42"/>
  <c r="BY184" i="42"/>
  <c r="BT172" i="42"/>
  <c r="BU177" i="42"/>
  <c r="BI177" i="42"/>
  <c r="AZ172" i="42"/>
  <c r="AZ177" i="42"/>
  <c r="AS172" i="42"/>
  <c r="CS153" i="42"/>
  <c r="CS472" i="10" s="1"/>
  <c r="BP123" i="42"/>
  <c r="BP137" i="42" s="1"/>
  <c r="BP600" i="20" s="1"/>
  <c r="BL123" i="42"/>
  <c r="CZ123" i="42"/>
  <c r="DA138" i="42"/>
  <c r="DA601" i="20" s="1"/>
  <c r="BX123" i="42"/>
  <c r="BR122" i="42"/>
  <c r="BQ123" i="42"/>
  <c r="DI20" i="46"/>
  <c r="DJ110" i="42"/>
  <c r="AT99" i="42"/>
  <c r="CN70" i="42"/>
  <c r="CB70" i="42"/>
  <c r="BH70" i="42"/>
  <c r="CZ46" i="43"/>
  <c r="AK32" i="43"/>
  <c r="AK15" i="43"/>
  <c r="AK17" i="43" s="1"/>
  <c r="AK34" i="43" s="1"/>
  <c r="Z32" i="43"/>
  <c r="Z15" i="43"/>
  <c r="Z17" i="43" s="1"/>
  <c r="Z34" i="43" s="1"/>
  <c r="AL47" i="43"/>
  <c r="AL13" i="43"/>
  <c r="AL30" i="43"/>
  <c r="V15" i="43"/>
  <c r="V17" i="43" s="1"/>
  <c r="V34" i="43" s="1"/>
  <c r="V47" i="43"/>
  <c r="V30" i="43"/>
  <c r="AH35" i="43" s="1"/>
  <c r="V13" i="43"/>
  <c r="V32" i="43" s="1"/>
  <c r="BA368" i="46"/>
  <c r="BB394" i="46"/>
  <c r="BA398" i="46"/>
  <c r="AZ398" i="46"/>
  <c r="AZ400" i="46" s="1"/>
  <c r="AV251" i="46"/>
  <c r="AV358" i="46"/>
  <c r="AV359" i="46" s="1"/>
  <c r="BD307" i="46"/>
  <c r="BD308" i="46" s="1"/>
  <c r="BD298" i="46"/>
  <c r="AV298" i="46"/>
  <c r="AV307" i="46"/>
  <c r="AV308" i="46" s="1"/>
  <c r="AZ246" i="46"/>
  <c r="BE237" i="46"/>
  <c r="BF234" i="46"/>
  <c r="BF237" i="46" s="1"/>
  <c r="AT237" i="46"/>
  <c r="AO237" i="46"/>
  <c r="AP234" i="46"/>
  <c r="AP237" i="46" s="1"/>
  <c r="BP217" i="46"/>
  <c r="CR194" i="46"/>
  <c r="CK142" i="46"/>
  <c r="CK162" i="46"/>
  <c r="BY142" i="46"/>
  <c r="BY162" i="46"/>
  <c r="BI142" i="46"/>
  <c r="BI162" i="46"/>
  <c r="CR86" i="46"/>
  <c r="CR135" i="46"/>
  <c r="CJ86" i="46"/>
  <c r="CJ135" i="46"/>
  <c r="BX135" i="46"/>
  <c r="BX86" i="46"/>
  <c r="BX87" i="46" s="1"/>
  <c r="BX95" i="46" s="1"/>
  <c r="BX97" i="46" s="1"/>
  <c r="BL86" i="46"/>
  <c r="BL135" i="46"/>
  <c r="CZ80" i="46"/>
  <c r="CZ105" i="46"/>
  <c r="CJ80" i="46"/>
  <c r="CJ105" i="46"/>
  <c r="BT80" i="46"/>
  <c r="BT68" i="46" s="1"/>
  <c r="BT105" i="46"/>
  <c r="BH105" i="46"/>
  <c r="BH80" i="46"/>
  <c r="BH68" i="46" s="1"/>
  <c r="CF220" i="46"/>
  <c r="CF67" i="46"/>
  <c r="CF109" i="46"/>
  <c r="CF111" i="46" s="1"/>
  <c r="AX31" i="46"/>
  <c r="CX43" i="46"/>
  <c r="CT42" i="46"/>
  <c r="CD18" i="46"/>
  <c r="CD39" i="46"/>
  <c r="BE123" i="42"/>
  <c r="BH138" i="42"/>
  <c r="BH601" i="20" s="1"/>
  <c r="CS70" i="42"/>
  <c r="CG70" i="42"/>
  <c r="BM70" i="42"/>
  <c r="DA152" i="42"/>
  <c r="DD153" i="42" s="1"/>
  <c r="BR332" i="49"/>
  <c r="BR229" i="49"/>
  <c r="AX244" i="46"/>
  <c r="BE328" i="46"/>
  <c r="BE323" i="46"/>
  <c r="BD237" i="46"/>
  <c r="CR217" i="46"/>
  <c r="CO142" i="46"/>
  <c r="CO162" i="46"/>
  <c r="BM142" i="46"/>
  <c r="BM162" i="46"/>
  <c r="CW86" i="46"/>
  <c r="CW135" i="46"/>
  <c r="CO69" i="46"/>
  <c r="CP69" i="46" s="1"/>
  <c r="CP86" i="46"/>
  <c r="CO87" i="46"/>
  <c r="CP87" i="46" s="1"/>
  <c r="CO103" i="46"/>
  <c r="CO104" i="46" s="1"/>
  <c r="CG69" i="46"/>
  <c r="CH69" i="46" s="1"/>
  <c r="CH86" i="46"/>
  <c r="CG103" i="46"/>
  <c r="CG104" i="46" s="1"/>
  <c r="CC135" i="46"/>
  <c r="CC86" i="46"/>
  <c r="BU86" i="46"/>
  <c r="BU135" i="46"/>
  <c r="BP69" i="46"/>
  <c r="BP103" i="46"/>
  <c r="BP104" i="46" s="1"/>
  <c r="BP113" i="46" s="1"/>
  <c r="BI135" i="46"/>
  <c r="BI138" i="46" s="1"/>
  <c r="BI86" i="46"/>
  <c r="CW68" i="46"/>
  <c r="CX80" i="46"/>
  <c r="EI67" i="41" s="1"/>
  <c r="CS105" i="46"/>
  <c r="CS80" i="46"/>
  <c r="CT78" i="46"/>
  <c r="CG68" i="46"/>
  <c r="CH80" i="46"/>
  <c r="DS67" i="41" s="1"/>
  <c r="CC105" i="46"/>
  <c r="CC80" i="46"/>
  <c r="CD78" i="46"/>
  <c r="BR78" i="46"/>
  <c r="BQ105" i="46"/>
  <c r="BQ80" i="46"/>
  <c r="DA162" i="46"/>
  <c r="DI162" i="46" s="1"/>
  <c r="DL162" i="46" s="1"/>
  <c r="DM162" i="46" s="1"/>
  <c r="DP162" i="46" s="1"/>
  <c r="DQ162" i="46" s="1"/>
  <c r="DA142" i="46"/>
  <c r="CJ220" i="46"/>
  <c r="CJ67" i="46"/>
  <c r="BT220" i="46"/>
  <c r="BT67" i="46"/>
  <c r="BL109" i="46"/>
  <c r="BL111" i="46" s="1"/>
  <c r="BL220" i="46"/>
  <c r="BL67" i="46"/>
  <c r="CS54" i="46"/>
  <c r="BU54" i="46"/>
  <c r="CP39" i="46"/>
  <c r="CP31" i="46"/>
  <c r="CH31" i="46"/>
  <c r="CH36" i="46" s="1"/>
  <c r="AV36" i="46"/>
  <c r="AV48" i="46" s="1"/>
  <c r="AV49" i="46" s="1"/>
  <c r="BR42" i="46"/>
  <c r="DI41" i="46"/>
  <c r="DB39" i="46"/>
  <c r="BV39" i="46"/>
  <c r="H7" i="79"/>
  <c r="D17" i="78"/>
  <c r="H11" i="79" s="1"/>
  <c r="DA101" i="42"/>
  <c r="DD538" i="42" s="1"/>
  <c r="DF538" i="42" s="1"/>
  <c r="CK101" i="42"/>
  <c r="BU101" i="42"/>
  <c r="DB100" i="42"/>
  <c r="CT100" i="42"/>
  <c r="CL100" i="42"/>
  <c r="CD100" i="42"/>
  <c r="BV100" i="42"/>
  <c r="BN100" i="42"/>
  <c r="BF100" i="42"/>
  <c r="CX96" i="42"/>
  <c r="CP96" i="42"/>
  <c r="CH96" i="42"/>
  <c r="BZ96" i="42"/>
  <c r="BR96" i="42"/>
  <c r="BJ96" i="42"/>
  <c r="BR129" i="49"/>
  <c r="BP128" i="49"/>
  <c r="BJ128" i="49"/>
  <c r="CP127" i="49"/>
  <c r="BZ127" i="49"/>
  <c r="BJ127" i="49"/>
  <c r="CP122" i="49"/>
  <c r="BZ122" i="49"/>
  <c r="BT118" i="49"/>
  <c r="BP118" i="49"/>
  <c r="BL118" i="49"/>
  <c r="DB121" i="49"/>
  <c r="CP121" i="49"/>
  <c r="BZ121" i="49"/>
  <c r="CW191" i="46"/>
  <c r="CO191" i="46"/>
  <c r="CG191" i="46"/>
  <c r="CW158" i="46"/>
  <c r="CO158" i="46"/>
  <c r="CG158" i="46"/>
  <c r="BY158" i="46"/>
  <c r="BQ158" i="46"/>
  <c r="DA158" i="46"/>
  <c r="BC68" i="51"/>
  <c r="AM68" i="51"/>
  <c r="S68" i="51"/>
  <c r="CH129" i="49"/>
  <c r="BQ162" i="49"/>
  <c r="BQ265" i="49" s="1"/>
  <c r="CW184" i="42"/>
  <c r="CG184" i="42"/>
  <c r="BQ184" i="42"/>
  <c r="CK179" i="42"/>
  <c r="CW178" i="42"/>
  <c r="BQ178" i="42"/>
  <c r="BA178" i="42"/>
  <c r="CZ177" i="42"/>
  <c r="CJ177" i="42"/>
  <c r="BT177" i="42"/>
  <c r="AS177" i="42"/>
  <c r="BX158" i="42"/>
  <c r="CG156" i="42"/>
  <c r="BQ156" i="42"/>
  <c r="BI156" i="42"/>
  <c r="CP135" i="42"/>
  <c r="CX124" i="42"/>
  <c r="CX464" i="42" s="1"/>
  <c r="CH124" i="42"/>
  <c r="CH464" i="42" s="1"/>
  <c r="CP402" i="42"/>
  <c r="CR399" i="42" s="1"/>
  <c r="AW100" i="42"/>
  <c r="AT100" i="42"/>
  <c r="CX97" i="42"/>
  <c r="CT97" i="42"/>
  <c r="CP97" i="42"/>
  <c r="CL97" i="42"/>
  <c r="CH97" i="42"/>
  <c r="CD97" i="42"/>
  <c r="BZ97" i="42"/>
  <c r="BV97" i="42"/>
  <c r="BR97" i="42"/>
  <c r="BN97" i="42"/>
  <c r="BJ97" i="42"/>
  <c r="DA70" i="42"/>
  <c r="CV70" i="42"/>
  <c r="CK70" i="42"/>
  <c r="CF70" i="42"/>
  <c r="BU70" i="42"/>
  <c r="BP70" i="42"/>
  <c r="CT68" i="42"/>
  <c r="CD68" i="42"/>
  <c r="BN68" i="42"/>
  <c r="DB260" i="42"/>
  <c r="DB287" i="42" s="1"/>
  <c r="DD282" i="42" s="1"/>
  <c r="CZ62" i="42"/>
  <c r="CS62" i="42"/>
  <c r="CN62" i="42"/>
  <c r="BR62" i="42"/>
  <c r="DB50" i="42"/>
  <c r="CP50" i="42"/>
  <c r="CV45" i="42"/>
  <c r="CF45" i="42"/>
  <c r="BX45" i="42"/>
  <c r="BP45" i="42"/>
  <c r="BH45" i="42"/>
  <c r="CZ31" i="42"/>
  <c r="CR31" i="42"/>
  <c r="CJ31" i="42"/>
  <c r="CT26" i="42"/>
  <c r="CO26" i="42"/>
  <c r="CJ26" i="42"/>
  <c r="CD26" i="42"/>
  <c r="BN26" i="42"/>
  <c r="CO158" i="42"/>
  <c r="CR158" i="42" s="1"/>
  <c r="CS158" i="42" s="1"/>
  <c r="CV158" i="42" s="1"/>
  <c r="CW158" i="42" s="1"/>
  <c r="CZ158" i="42" s="1"/>
  <c r="DA158" i="42" s="1"/>
  <c r="CX12" i="42"/>
  <c r="CL12" i="42"/>
  <c r="AC2" i="42"/>
  <c r="M2" i="42"/>
  <c r="AO1" i="42"/>
  <c r="CB46" i="43"/>
  <c r="BT45" i="43"/>
  <c r="BL130" i="49"/>
  <c r="DB129" i="49"/>
  <c r="CL129" i="49"/>
  <c r="BV129" i="49"/>
  <c r="BL129" i="49"/>
  <c r="CT42" i="43"/>
  <c r="CD42" i="43"/>
  <c r="BT128" i="49"/>
  <c r="BN42" i="43"/>
  <c r="AX42" i="43"/>
  <c r="DB127" i="49"/>
  <c r="CL127" i="49"/>
  <c r="BV127" i="49"/>
  <c r="BF127" i="49"/>
  <c r="CP126" i="49"/>
  <c r="BZ126" i="49"/>
  <c r="BJ126" i="49"/>
  <c r="AK30" i="43"/>
  <c r="CT122" i="49"/>
  <c r="CD122" i="49"/>
  <c r="CT121" i="49"/>
  <c r="CD121" i="49"/>
  <c r="BM116" i="49"/>
  <c r="BI10" i="43"/>
  <c r="AR2" i="43"/>
  <c r="AT415" i="46"/>
  <c r="BB411" i="46"/>
  <c r="BB392" i="46"/>
  <c r="AT391" i="46"/>
  <c r="BB388" i="46"/>
  <c r="BE369" i="46"/>
  <c r="BE372" i="46" s="1"/>
  <c r="BF372" i="46" s="1"/>
  <c r="AS365" i="46"/>
  <c r="BH328" i="46"/>
  <c r="BH330" i="46" s="1"/>
  <c r="AR328" i="46"/>
  <c r="AR330" i="46" s="1"/>
  <c r="BA307" i="46"/>
  <c r="BA308" i="46" s="1"/>
  <c r="AZ307" i="46"/>
  <c r="AZ308" i="46" s="1"/>
  <c r="AP290" i="46"/>
  <c r="AP291" i="46" s="1"/>
  <c r="BE244" i="46"/>
  <c r="AX242" i="46"/>
  <c r="BH237" i="46"/>
  <c r="AR237" i="46"/>
  <c r="CS223" i="46"/>
  <c r="CS225" i="46" s="1"/>
  <c r="CS227" i="46" s="1"/>
  <c r="CN191" i="46"/>
  <c r="CF191" i="46"/>
  <c r="BY174" i="46"/>
  <c r="BZ174" i="46" s="1"/>
  <c r="BI174" i="46"/>
  <c r="BJ174" i="46" s="1"/>
  <c r="CV162" i="46"/>
  <c r="CF162" i="46"/>
  <c r="CB161" i="46"/>
  <c r="CV158" i="46"/>
  <c r="CV159" i="46" s="1"/>
  <c r="CN158" i="46"/>
  <c r="CF158" i="46"/>
  <c r="CF159" i="46" s="1"/>
  <c r="BX158" i="46"/>
  <c r="BP158" i="46"/>
  <c r="CO153" i="46"/>
  <c r="DA135" i="46"/>
  <c r="DG135" i="46" s="1"/>
  <c r="CF135" i="46"/>
  <c r="BP135" i="46"/>
  <c r="CO105" i="46"/>
  <c r="BY105" i="46"/>
  <c r="CP78" i="46"/>
  <c r="BZ78" i="46"/>
  <c r="DA161" i="46"/>
  <c r="DI161" i="46" s="1"/>
  <c r="DL161" i="46" s="1"/>
  <c r="DM161" i="46" s="1"/>
  <c r="DP161" i="46" s="1"/>
  <c r="DQ161" i="46" s="1"/>
  <c r="CP51" i="46"/>
  <c r="BZ51" i="46"/>
  <c r="BN51" i="46"/>
  <c r="CS40" i="46"/>
  <c r="CC40" i="46"/>
  <c r="CS39" i="46"/>
  <c r="CN39" i="46"/>
  <c r="CH39" i="46"/>
  <c r="CC39" i="46"/>
  <c r="BX39" i="46"/>
  <c r="BR39" i="46"/>
  <c r="DA47" i="46"/>
  <c r="DA31" i="46"/>
  <c r="CK31" i="46"/>
  <c r="BU31" i="46"/>
  <c r="AW31" i="46"/>
  <c r="AR31" i="46"/>
  <c r="DA43" i="46"/>
  <c r="DA39" i="46"/>
  <c r="DL20" i="46"/>
  <c r="CS18" i="46"/>
  <c r="CC18" i="46"/>
  <c r="O71" i="51"/>
  <c r="BC69" i="51"/>
  <c r="AM69" i="51"/>
  <c r="AY68" i="51"/>
  <c r="AF68" i="51"/>
  <c r="T69" i="51"/>
  <c r="BR126" i="49"/>
  <c r="BQ116" i="49"/>
  <c r="CB162" i="49"/>
  <c r="CB265" i="49" s="1"/>
  <c r="CP448" i="42"/>
  <c r="CR444" i="42" s="1"/>
  <c r="CX62" i="42"/>
  <c r="BV62" i="42"/>
  <c r="CP129" i="49"/>
  <c r="BZ129" i="49"/>
  <c r="BJ129" i="49"/>
  <c r="CX127" i="49"/>
  <c r="CH127" i="49"/>
  <c r="AY40" i="43"/>
  <c r="CP27" i="43"/>
  <c r="CU27" i="43" s="1"/>
  <c r="BZ27" i="43"/>
  <c r="CE27" i="43" s="1"/>
  <c r="CX122" i="49"/>
  <c r="CH122" i="49"/>
  <c r="DB118" i="49"/>
  <c r="CX118" i="49"/>
  <c r="CT118" i="49"/>
  <c r="CP118" i="49"/>
  <c r="CL118" i="49"/>
  <c r="CH118" i="49"/>
  <c r="CD118" i="49"/>
  <c r="BZ118" i="49"/>
  <c r="BV118" i="49"/>
  <c r="BR118" i="49"/>
  <c r="BN118" i="49"/>
  <c r="BJ118" i="49"/>
  <c r="R15" i="43"/>
  <c r="R17" i="43" s="1"/>
  <c r="DB122" i="49"/>
  <c r="CX121" i="49"/>
  <c r="CH121" i="49"/>
  <c r="BA340" i="46"/>
  <c r="BB340" i="46" s="1"/>
  <c r="AX329" i="46"/>
  <c r="AT304" i="46"/>
  <c r="AT305" i="46" s="1"/>
  <c r="AX296" i="46"/>
  <c r="AX297" i="46" s="1"/>
  <c r="BA237" i="46"/>
  <c r="CS191" i="46"/>
  <c r="CK191" i="46"/>
  <c r="CS174" i="46"/>
  <c r="CT174" i="46" s="1"/>
  <c r="CC174" i="46"/>
  <c r="CD174" i="46" s="1"/>
  <c r="BM174" i="46"/>
  <c r="BN174" i="46" s="1"/>
  <c r="CK153" i="46"/>
  <c r="CN105" i="46"/>
  <c r="BX105" i="46"/>
  <c r="BM105" i="46"/>
  <c r="DA191" i="46"/>
  <c r="DI191" i="46" s="1"/>
  <c r="DL191" i="46" s="1"/>
  <c r="DM191" i="46" s="1"/>
  <c r="DP191" i="46" s="1"/>
  <c r="DQ191" i="46" s="1"/>
  <c r="BR51" i="46"/>
  <c r="CK47" i="46"/>
  <c r="BU47" i="46"/>
  <c r="CG46" i="46"/>
  <c r="BQ46" i="46"/>
  <c r="BA46" i="46"/>
  <c r="BB46" i="46" s="1"/>
  <c r="CS45" i="46"/>
  <c r="CN45" i="46"/>
  <c r="CC45" i="46"/>
  <c r="BX45" i="46"/>
  <c r="BM45" i="46"/>
  <c r="BH45" i="46"/>
  <c r="AW45" i="46"/>
  <c r="AX45" i="46" s="1"/>
  <c r="BQ44" i="46"/>
  <c r="AS44" i="46"/>
  <c r="AS355" i="46" s="1"/>
  <c r="CO43" i="46"/>
  <c r="CO57" i="46" s="1"/>
  <c r="BY43" i="46"/>
  <c r="BY57" i="46" s="1"/>
  <c r="BI43" i="46"/>
  <c r="BI57" i="46" s="1"/>
  <c r="AS43" i="46"/>
  <c r="CS41" i="46"/>
  <c r="CC41" i="46"/>
  <c r="CO31" i="46"/>
  <c r="BY31" i="46"/>
  <c r="BI31" i="46"/>
  <c r="BA31" i="46"/>
  <c r="AY69" i="51"/>
  <c r="AF69" i="51"/>
  <c r="BK68" i="51"/>
  <c r="AU68" i="51"/>
  <c r="AB68" i="51"/>
  <c r="T68" i="51"/>
  <c r="L7" i="79"/>
  <c r="CW273" i="49"/>
  <c r="BN129" i="49"/>
  <c r="CW162" i="49"/>
  <c r="CG162" i="49"/>
  <c r="CG265" i="49" s="1"/>
  <c r="CO162" i="49"/>
  <c r="CO265" i="49" s="1"/>
  <c r="BY162" i="49"/>
  <c r="BY265" i="49" s="1"/>
  <c r="BH162" i="49"/>
  <c r="BH265" i="49" s="1"/>
  <c r="BP162" i="49"/>
  <c r="BP265" i="49" s="1"/>
  <c r="CT129" i="49"/>
  <c r="CD129" i="49"/>
  <c r="DB128" i="49"/>
  <c r="DB8" i="49" s="1"/>
  <c r="DG8" i="49" s="1"/>
  <c r="CL128" i="49"/>
  <c r="CL8" i="49" s="1"/>
  <c r="BQ128" i="49"/>
  <c r="BL128" i="49"/>
  <c r="BN127" i="49"/>
  <c r="DB126" i="49"/>
  <c r="CT126" i="49"/>
  <c r="CL126" i="49"/>
  <c r="CD126" i="49"/>
  <c r="BV126" i="49"/>
  <c r="BN126" i="49"/>
  <c r="BF126" i="49"/>
  <c r="BM27" i="43"/>
  <c r="AX27" i="43"/>
  <c r="CI18" i="41" s="1"/>
  <c r="CO26" i="43"/>
  <c r="CL122" i="49"/>
  <c r="BY26" i="43"/>
  <c r="BV122" i="49"/>
  <c r="BQ118" i="49"/>
  <c r="DA12" i="43"/>
  <c r="CO12" i="43"/>
  <c r="CL121" i="49"/>
  <c r="BY12" i="43"/>
  <c r="BV121" i="49"/>
  <c r="BI12" i="43"/>
  <c r="BB329" i="46"/>
  <c r="BB330" i="46" s="1"/>
  <c r="BF242" i="46"/>
  <c r="CZ191" i="46"/>
  <c r="CR191" i="46"/>
  <c r="CJ191" i="46"/>
  <c r="CW105" i="46"/>
  <c r="CG105" i="46"/>
  <c r="BL105" i="46"/>
  <c r="CX78" i="46"/>
  <c r="CH78" i="46"/>
  <c r="CX51" i="46"/>
  <c r="CH51" i="46"/>
  <c r="BF51" i="46"/>
  <c r="CS43" i="46"/>
  <c r="CS57" i="46" s="1"/>
  <c r="CC43" i="46"/>
  <c r="CC57" i="46" s="1"/>
  <c r="CS42" i="46"/>
  <c r="CC42" i="46"/>
  <c r="AF87" i="51"/>
  <c r="T71" i="51"/>
  <c r="BK69" i="51"/>
  <c r="AU69" i="51"/>
  <c r="AB69" i="51"/>
  <c r="BG68" i="51"/>
  <c r="AQ68" i="51"/>
  <c r="S69" i="51"/>
  <c r="BF324" i="49"/>
  <c r="CX129" i="49"/>
  <c r="CD127" i="49"/>
  <c r="CX126" i="49"/>
  <c r="BM118" i="49"/>
  <c r="BL162" i="49"/>
  <c r="BL265" i="49" s="1"/>
  <c r="CF194" i="46" l="1"/>
  <c r="BU194" i="46"/>
  <c r="BU722" i="10"/>
  <c r="CI1129" i="10"/>
  <c r="CN141" i="10"/>
  <c r="CN142" i="10" s="1"/>
  <c r="BE798" i="20"/>
  <c r="CU189" i="10"/>
  <c r="CO102" i="42"/>
  <c r="CL31" i="46"/>
  <c r="CL36" i="46" s="1"/>
  <c r="BS159" i="10"/>
  <c r="BR491" i="42"/>
  <c r="DC40" i="41" s="1"/>
  <c r="CW347" i="10"/>
  <c r="AH62" i="41"/>
  <c r="N53" i="41"/>
  <c r="CT768" i="20"/>
  <c r="AR51" i="41"/>
  <c r="AB57" i="41"/>
  <c r="J53" i="41"/>
  <c r="C10" i="51"/>
  <c r="C28" i="51"/>
  <c r="C3" i="51"/>
  <c r="C11" i="51"/>
  <c r="C6" i="51"/>
  <c r="AB529" i="42"/>
  <c r="AB533" i="42" s="1"/>
  <c r="CN194" i="46"/>
  <c r="BX353" i="10"/>
  <c r="CV197" i="10"/>
  <c r="BI309" i="10"/>
  <c r="BY205" i="46"/>
  <c r="CK268" i="42"/>
  <c r="CK301" i="42"/>
  <c r="CO722" i="10"/>
  <c r="CJ443" i="10"/>
  <c r="CL443" i="10" s="1"/>
  <c r="G68" i="51"/>
  <c r="AP70" i="42"/>
  <c r="CL92" i="49"/>
  <c r="CL191" i="49" s="1"/>
  <c r="CT336" i="42"/>
  <c r="DB36" i="46"/>
  <c r="CT92" i="49"/>
  <c r="BY320" i="42"/>
  <c r="CZ378" i="10"/>
  <c r="BQ481" i="10"/>
  <c r="BQ464" i="10" s="1"/>
  <c r="W32" i="41" s="1"/>
  <c r="BQ658" i="10"/>
  <c r="BI733" i="20"/>
  <c r="AB51" i="41"/>
  <c r="BN423" i="42"/>
  <c r="DL133" i="46"/>
  <c r="DM133" i="46" s="1"/>
  <c r="DK133" i="46"/>
  <c r="DP130" i="46"/>
  <c r="DQ130" i="46" s="1"/>
  <c r="DS130" i="46" s="1"/>
  <c r="DO130" i="46"/>
  <c r="DA86" i="46"/>
  <c r="DG134" i="46"/>
  <c r="DP131" i="46"/>
  <c r="DQ131" i="46" s="1"/>
  <c r="DS131" i="46" s="1"/>
  <c r="DO131" i="46"/>
  <c r="AT22" i="10"/>
  <c r="BP645" i="10"/>
  <c r="BP489" i="10" s="1"/>
  <c r="DE225" i="42"/>
  <c r="DE224" i="42" s="1"/>
  <c r="BA324" i="46"/>
  <c r="BA347" i="46" s="1"/>
  <c r="BA346" i="46" s="1"/>
  <c r="BX672" i="20"/>
  <c r="CO553" i="42"/>
  <c r="CP553" i="42" s="1"/>
  <c r="AS553" i="42"/>
  <c r="BQ553" i="42"/>
  <c r="BJ92" i="49"/>
  <c r="CT457" i="20"/>
  <c r="AX398" i="46"/>
  <c r="DD928" i="20"/>
  <c r="DH928" i="20"/>
  <c r="DF923" i="20"/>
  <c r="DF927" i="20" s="1"/>
  <c r="DH927" i="20"/>
  <c r="EM18" i="41"/>
  <c r="DG27" i="43"/>
  <c r="CX215" i="46"/>
  <c r="DH909" i="20"/>
  <c r="DL909" i="20" s="1"/>
  <c r="DP909" i="20" s="1"/>
  <c r="DH910" i="20"/>
  <c r="DL910" i="20" s="1"/>
  <c r="DP910" i="20" s="1"/>
  <c r="BP553" i="42"/>
  <c r="DJ434" i="42"/>
  <c r="CL216" i="20"/>
  <c r="CP221" i="20" s="1"/>
  <c r="CL327" i="20"/>
  <c r="CL332" i="20" s="1"/>
  <c r="AV274" i="20"/>
  <c r="BN492" i="20"/>
  <c r="BV552" i="42"/>
  <c r="AR553" i="42"/>
  <c r="CY186" i="10"/>
  <c r="CY189" i="10"/>
  <c r="DC185" i="10"/>
  <c r="DG185" i="10"/>
  <c r="AV553" i="42"/>
  <c r="DC186" i="10"/>
  <c r="DG186" i="10"/>
  <c r="DG336" i="10"/>
  <c r="CU185" i="10"/>
  <c r="AW553" i="42"/>
  <c r="CC553" i="42"/>
  <c r="CR553" i="42"/>
  <c r="BD553" i="42"/>
  <c r="CW553" i="42"/>
  <c r="BY553" i="42"/>
  <c r="DA553" i="42"/>
  <c r="BD51" i="41"/>
  <c r="BH553" i="42"/>
  <c r="CT334" i="20"/>
  <c r="BJ552" i="42"/>
  <c r="CF553" i="42"/>
  <c r="BM553" i="42"/>
  <c r="BA553" i="42"/>
  <c r="BU553" i="42"/>
  <c r="CS553" i="42"/>
  <c r="BH262" i="20"/>
  <c r="BR552" i="42"/>
  <c r="BT553" i="42"/>
  <c r="CJ553" i="42"/>
  <c r="BZ552" i="42"/>
  <c r="CT265" i="42"/>
  <c r="BN552" i="42"/>
  <c r="CH552" i="42"/>
  <c r="CT552" i="42"/>
  <c r="CB553" i="42"/>
  <c r="CZ553" i="42"/>
  <c r="AZ553" i="42"/>
  <c r="CP552" i="42"/>
  <c r="BE553" i="42"/>
  <c r="CG553" i="42"/>
  <c r="BX553" i="42"/>
  <c r="BW404" i="20"/>
  <c r="CD552" i="42"/>
  <c r="BF837" i="20"/>
  <c r="CV553" i="42"/>
  <c r="BI553" i="42"/>
  <c r="BL553" i="42"/>
  <c r="AO553" i="42"/>
  <c r="AN553" i="42"/>
  <c r="CW27" i="43"/>
  <c r="BB100" i="42"/>
  <c r="BU65" i="49"/>
  <c r="BU164" i="49" s="1"/>
  <c r="BU267" i="49" s="1"/>
  <c r="BR563" i="10"/>
  <c r="BH834" i="20"/>
  <c r="BV27" i="42"/>
  <c r="BZ286" i="42"/>
  <c r="BZ323" i="42" s="1"/>
  <c r="CB914" i="10"/>
  <c r="BR160" i="20"/>
  <c r="DA737" i="20"/>
  <c r="CP370" i="42"/>
  <c r="BZ657" i="20"/>
  <c r="CO115" i="42"/>
  <c r="BY135" i="46"/>
  <c r="BR64" i="10"/>
  <c r="BH378" i="10"/>
  <c r="BO1176" i="10"/>
  <c r="AR353" i="46"/>
  <c r="AX328" i="46"/>
  <c r="CP215" i="46"/>
  <c r="CT209" i="49"/>
  <c r="AL69" i="42"/>
  <c r="AL70" i="42" s="1"/>
  <c r="CX57" i="49"/>
  <c r="CF192" i="42"/>
  <c r="CX195" i="20"/>
  <c r="BN809" i="20"/>
  <c r="AS330" i="20"/>
  <c r="BJ160" i="20"/>
  <c r="BY734" i="10"/>
  <c r="CI1131" i="10"/>
  <c r="CB197" i="10"/>
  <c r="CO239" i="10"/>
  <c r="CR246" i="10" s="1"/>
  <c r="BH301" i="10"/>
  <c r="BD534" i="20"/>
  <c r="BH539" i="20" s="1"/>
  <c r="CK286" i="10"/>
  <c r="BX759" i="10"/>
  <c r="AX334" i="20"/>
  <c r="CG205" i="46"/>
  <c r="CD177" i="42"/>
  <c r="BX720" i="10"/>
  <c r="BY735" i="10" s="1"/>
  <c r="BU193" i="42"/>
  <c r="BP36" i="46"/>
  <c r="BP48" i="46" s="1"/>
  <c r="BP49" i="46" s="1"/>
  <c r="CH215" i="46"/>
  <c r="CO101" i="42"/>
  <c r="AF32" i="43"/>
  <c r="DJ147" i="46"/>
  <c r="DK147" i="46" s="1"/>
  <c r="BT205" i="46"/>
  <c r="Q529" i="42"/>
  <c r="Q533" i="42" s="1"/>
  <c r="BY201" i="42"/>
  <c r="CW197" i="10"/>
  <c r="BX734" i="10"/>
  <c r="BV574" i="10"/>
  <c r="AX372" i="20"/>
  <c r="AX373" i="20" s="1"/>
  <c r="BP50" i="10"/>
  <c r="BH309" i="10"/>
  <c r="BH310" i="10" s="1"/>
  <c r="BH314" i="10" s="1"/>
  <c r="AX746" i="10"/>
  <c r="BW410" i="20"/>
  <c r="CT215" i="46"/>
  <c r="BR824" i="20"/>
  <c r="BB62" i="41"/>
  <c r="BJ658" i="20"/>
  <c r="CO217" i="46"/>
  <c r="BP162" i="46"/>
  <c r="CF178" i="42"/>
  <c r="AT398" i="46"/>
  <c r="CG178" i="42"/>
  <c r="CC208" i="10"/>
  <c r="BX721" i="10"/>
  <c r="BF272" i="42"/>
  <c r="BF94" i="49" s="1"/>
  <c r="CG201" i="42"/>
  <c r="BL533" i="42"/>
  <c r="BW480" i="20"/>
  <c r="AJ57" i="41"/>
  <c r="AX838" i="20"/>
  <c r="CZ625" i="20"/>
  <c r="CZ141" i="10" s="1"/>
  <c r="CZ142" i="10" s="1"/>
  <c r="BZ487" i="20"/>
  <c r="AV51" i="41"/>
  <c r="CN721" i="10"/>
  <c r="CP721" i="10" s="1"/>
  <c r="AL99" i="42"/>
  <c r="CF286" i="10"/>
  <c r="CF287" i="10" s="1"/>
  <c r="CY686" i="10"/>
  <c r="CX460" i="20"/>
  <c r="CG263" i="20"/>
  <c r="CG266" i="20" s="1"/>
  <c r="AT77" i="51" s="1"/>
  <c r="BH824" i="20"/>
  <c r="BV265" i="42"/>
  <c r="BN768" i="20"/>
  <c r="BF265" i="42"/>
  <c r="BF277" i="42" s="1"/>
  <c r="BF99" i="49" s="1"/>
  <c r="CH461" i="20"/>
  <c r="CH1169" i="10"/>
  <c r="AP36" i="43"/>
  <c r="BB31" i="46"/>
  <c r="BB36" i="46" s="1"/>
  <c r="BP504" i="20"/>
  <c r="CH231" i="20"/>
  <c r="AX265" i="42"/>
  <c r="AX277" i="42" s="1"/>
  <c r="AZ267" i="42" s="1"/>
  <c r="BB267" i="42" s="1"/>
  <c r="CL377" i="42"/>
  <c r="CD132" i="20"/>
  <c r="BL504" i="20"/>
  <c r="BN349" i="42"/>
  <c r="DL740" i="20"/>
  <c r="DL118" i="10" s="1"/>
  <c r="DN741" i="20"/>
  <c r="CL1044" i="10"/>
  <c r="CF116" i="10"/>
  <c r="CF141" i="10"/>
  <c r="CF142" i="10" s="1"/>
  <c r="CK232" i="20"/>
  <c r="CK37" i="10" s="1"/>
  <c r="BL330" i="20"/>
  <c r="BP334" i="20"/>
  <c r="DB788" i="20"/>
  <c r="DA47" i="49"/>
  <c r="CO480" i="10"/>
  <c r="BR574" i="10"/>
  <c r="BP579" i="10"/>
  <c r="BR579" i="10" s="1"/>
  <c r="DF461" i="20"/>
  <c r="DB457" i="20"/>
  <c r="DF462" i="20" s="1"/>
  <c r="CX751" i="10"/>
  <c r="CV759" i="10"/>
  <c r="CH62" i="42"/>
  <c r="BI208" i="10"/>
  <c r="BI65" i="49"/>
  <c r="BI164" i="49" s="1"/>
  <c r="BI267" i="49" s="1"/>
  <c r="AW747" i="10"/>
  <c r="AW722" i="10"/>
  <c r="CF311" i="10"/>
  <c r="CF370" i="10"/>
  <c r="BZ1040" i="10"/>
  <c r="CE497" i="10"/>
  <c r="CK65" i="49"/>
  <c r="CK164" i="49" s="1"/>
  <c r="CK267" i="49" s="1"/>
  <c r="CK208" i="10"/>
  <c r="CP56" i="49"/>
  <c r="CP84" i="49" s="1"/>
  <c r="CD1044" i="10"/>
  <c r="BP735" i="20"/>
  <c r="BL735" i="20"/>
  <c r="BL733" i="20"/>
  <c r="BP737" i="20" s="1"/>
  <c r="BF732" i="20"/>
  <c r="BF736" i="20" s="1"/>
  <c r="BF80" i="10"/>
  <c r="CR759" i="10"/>
  <c r="CT752" i="10"/>
  <c r="BM824" i="20"/>
  <c r="BI821" i="20"/>
  <c r="BM825" i="20" s="1"/>
  <c r="BI824" i="20"/>
  <c r="DD421" i="20"/>
  <c r="CZ421" i="20"/>
  <c r="BJ552" i="10"/>
  <c r="BI557" i="10"/>
  <c r="BI658" i="10" s="1"/>
  <c r="BD557" i="10"/>
  <c r="BD658" i="10" s="1"/>
  <c r="BF552" i="10"/>
  <c r="BD28" i="41"/>
  <c r="CX128" i="49"/>
  <c r="CX8" i="49" s="1"/>
  <c r="DC8" i="49" s="1"/>
  <c r="BU206" i="42"/>
  <c r="BX209" i="42"/>
  <c r="DG35" i="41"/>
  <c r="BV476" i="42"/>
  <c r="BV478" i="42" s="1"/>
  <c r="BV491" i="42"/>
  <c r="DG40" i="41" s="1"/>
  <c r="EC62" i="41"/>
  <c r="EC61" i="41" s="1"/>
  <c r="EC81" i="41" s="1"/>
  <c r="CR267" i="10"/>
  <c r="BA848" i="20"/>
  <c r="BA844" i="20"/>
  <c r="BA849" i="20" s="1"/>
  <c r="BU658" i="20"/>
  <c r="BU654" i="20"/>
  <c r="BY659" i="20" s="1"/>
  <c r="BY658" i="20"/>
  <c r="CN478" i="10"/>
  <c r="AW735" i="10"/>
  <c r="BQ418" i="42"/>
  <c r="BR418" i="42" s="1"/>
  <c r="BQ423" i="42"/>
  <c r="CB485" i="10"/>
  <c r="CD485" i="10" s="1"/>
  <c r="CD601" i="10"/>
  <c r="CT63" i="10"/>
  <c r="CS64" i="10"/>
  <c r="CZ282" i="42"/>
  <c r="CX286" i="42"/>
  <c r="CX323" i="42" s="1"/>
  <c r="BQ529" i="42"/>
  <c r="BQ101" i="42"/>
  <c r="AX177" i="42"/>
  <c r="EA47" i="41"/>
  <c r="CD91" i="49"/>
  <c r="BN562" i="20"/>
  <c r="BO555" i="20"/>
  <c r="BH178" i="42"/>
  <c r="BE178" i="42"/>
  <c r="CK347" i="10"/>
  <c r="CO658" i="20"/>
  <c r="CK654" i="20"/>
  <c r="CK659" i="20" s="1"/>
  <c r="CK658" i="20"/>
  <c r="BF651" i="20"/>
  <c r="BF654" i="20" s="1"/>
  <c r="BF217" i="20"/>
  <c r="BF218" i="20" s="1"/>
  <c r="BF45" i="10"/>
  <c r="CX110" i="49"/>
  <c r="CW294" i="42"/>
  <c r="CW325" i="42" s="1"/>
  <c r="CW326" i="42" s="1"/>
  <c r="CX325" i="42"/>
  <c r="CX326" i="42" s="1"/>
  <c r="CD64" i="10"/>
  <c r="CG294" i="42"/>
  <c r="CG325" i="42" s="1"/>
  <c r="CG326" i="42" s="1"/>
  <c r="CH110" i="49"/>
  <c r="CY35" i="41"/>
  <c r="BN491" i="42"/>
  <c r="CY40" i="41" s="1"/>
  <c r="BN476" i="42"/>
  <c r="BN478" i="42" s="1"/>
  <c r="CH399" i="42"/>
  <c r="CF401" i="42"/>
  <c r="CF403" i="42" s="1"/>
  <c r="CW451" i="20"/>
  <c r="BR282" i="42"/>
  <c r="BR286" i="42" s="1"/>
  <c r="BR323" i="42" s="1"/>
  <c r="BP286" i="42"/>
  <c r="BP323" i="42" s="1"/>
  <c r="BP324" i="42" s="1"/>
  <c r="AZ768" i="20"/>
  <c r="AZ773" i="20" s="1"/>
  <c r="AZ770" i="20"/>
  <c r="CX114" i="10"/>
  <c r="CY114" i="10" s="1"/>
  <c r="DB304" i="20"/>
  <c r="AZ735" i="10"/>
  <c r="CX90" i="49"/>
  <c r="DB58" i="49"/>
  <c r="BD287" i="20"/>
  <c r="BT568" i="10"/>
  <c r="BV563" i="10"/>
  <c r="BF171" i="42"/>
  <c r="CV194" i="46"/>
  <c r="EH48" i="41"/>
  <c r="CW223" i="42"/>
  <c r="CD56" i="49"/>
  <c r="CD84" i="49" s="1"/>
  <c r="BL120" i="20"/>
  <c r="BF57" i="49"/>
  <c r="CX45" i="10"/>
  <c r="CX948" i="10"/>
  <c r="CX1177" i="10"/>
  <c r="CY1177" i="10" s="1"/>
  <c r="BB459" i="20"/>
  <c r="BF459" i="20"/>
  <c r="BR530" i="10"/>
  <c r="BP535" i="10"/>
  <c r="CR116" i="10"/>
  <c r="CR141" i="10"/>
  <c r="CR142" i="10" s="1"/>
  <c r="CD372" i="20"/>
  <c r="CD373" i="20" s="1"/>
  <c r="CE400" i="20"/>
  <c r="BE225" i="20"/>
  <c r="BE218" i="20"/>
  <c r="BI221" i="20"/>
  <c r="BE221" i="20"/>
  <c r="BH192" i="42"/>
  <c r="DC241" i="20"/>
  <c r="CY241" i="20"/>
  <c r="CF46" i="10"/>
  <c r="CF49" i="10" s="1"/>
  <c r="CH948" i="10"/>
  <c r="BF76" i="10"/>
  <c r="BP197" i="20"/>
  <c r="CI27" i="43"/>
  <c r="R34" i="43"/>
  <c r="AO307" i="46"/>
  <c r="AO308" i="46" s="1"/>
  <c r="BA57" i="46"/>
  <c r="BD54" i="46" s="1"/>
  <c r="CB44" i="46"/>
  <c r="BD358" i="46"/>
  <c r="BD359" i="46" s="1"/>
  <c r="AZ240" i="46"/>
  <c r="AZ241" i="46" s="1"/>
  <c r="AR240" i="46"/>
  <c r="AR241" i="46" s="1"/>
  <c r="CH312" i="49"/>
  <c r="AZ251" i="46"/>
  <c r="BZ349" i="42"/>
  <c r="BR57" i="49"/>
  <c r="CK201" i="42"/>
  <c r="CF225" i="10"/>
  <c r="BS353" i="20"/>
  <c r="BQ294" i="42"/>
  <c r="BQ325" i="42" s="1"/>
  <c r="BQ326" i="42" s="1"/>
  <c r="AW451" i="20"/>
  <c r="BE656" i="20"/>
  <c r="AP398" i="46"/>
  <c r="DB159" i="20"/>
  <c r="CR335" i="20"/>
  <c r="BR477" i="42"/>
  <c r="CD1169" i="10"/>
  <c r="CO222" i="20"/>
  <c r="BM135" i="46"/>
  <c r="BM154" i="46" s="1"/>
  <c r="CL374" i="42"/>
  <c r="CE125" i="20"/>
  <c r="CP593" i="20"/>
  <c r="BX159" i="46"/>
  <c r="CH366" i="42"/>
  <c r="CW208" i="10"/>
  <c r="CO347" i="10"/>
  <c r="BB57" i="49"/>
  <c r="CL187" i="10"/>
  <c r="BN344" i="10"/>
  <c r="DA778" i="10"/>
  <c r="BH1181" i="10"/>
  <c r="BE102" i="10"/>
  <c r="BE107" i="10" s="1"/>
  <c r="AX460" i="20"/>
  <c r="BJ640" i="10"/>
  <c r="BH451" i="20"/>
  <c r="BA834" i="20"/>
  <c r="DB112" i="10"/>
  <c r="DC112" i="10" s="1"/>
  <c r="AX461" i="20"/>
  <c r="BZ396" i="20"/>
  <c r="BT165" i="10"/>
  <c r="BT11" i="10" s="1"/>
  <c r="BF765" i="20"/>
  <c r="BJ770" i="20" s="1"/>
  <c r="BN56" i="49"/>
  <c r="BN84" i="49" s="1"/>
  <c r="BN285" i="49" s="1"/>
  <c r="CG236" i="20"/>
  <c r="AZ838" i="20"/>
  <c r="BU153" i="42"/>
  <c r="BU472" i="10" s="1"/>
  <c r="BY65" i="49"/>
  <c r="BY164" i="49" s="1"/>
  <c r="BY267" i="49" s="1"/>
  <c r="V69" i="42"/>
  <c r="V70" i="42" s="1"/>
  <c r="CT94" i="10"/>
  <c r="BN372" i="20"/>
  <c r="BN373" i="20" s="1"/>
  <c r="CO1181" i="10"/>
  <c r="BE14" i="10"/>
  <c r="BE408" i="10" s="1"/>
  <c r="CW36" i="46"/>
  <c r="CW48" i="46" s="1"/>
  <c r="CW49" i="46" s="1"/>
  <c r="BH260" i="46"/>
  <c r="T286" i="42"/>
  <c r="T323" i="42" s="1"/>
  <c r="T324" i="42" s="1"/>
  <c r="CL476" i="42"/>
  <c r="CL478" i="42" s="1"/>
  <c r="AT114" i="42"/>
  <c r="CG911" i="10"/>
  <c r="CT256" i="20"/>
  <c r="DA23" i="10"/>
  <c r="CZ952" i="10"/>
  <c r="BN770" i="20"/>
  <c r="BU209" i="42"/>
  <c r="BD821" i="20"/>
  <c r="BD825" i="20" s="1"/>
  <c r="BR13" i="10"/>
  <c r="CH92" i="49"/>
  <c r="CH191" i="49" s="1"/>
  <c r="CH286" i="42"/>
  <c r="CH323" i="42" s="1"/>
  <c r="CO747" i="10"/>
  <c r="BB487" i="20"/>
  <c r="BZ45" i="10"/>
  <c r="BZ75" i="10"/>
  <c r="BZ948" i="10"/>
  <c r="BV1177" i="10"/>
  <c r="CH45" i="10"/>
  <c r="BI809" i="20"/>
  <c r="AZ834" i="20"/>
  <c r="DA1169" i="10"/>
  <c r="BE654" i="20"/>
  <c r="BI659" i="20" s="1"/>
  <c r="BZ653" i="20"/>
  <c r="BZ654" i="20" s="1"/>
  <c r="BZ1177" i="10"/>
  <c r="CX92" i="49"/>
  <c r="BV92" i="10"/>
  <c r="BV95" i="10" s="1"/>
  <c r="CJ47" i="49"/>
  <c r="AX437" i="42"/>
  <c r="CH614" i="20"/>
  <c r="BN552" i="10"/>
  <c r="BV537" i="20"/>
  <c r="AP35" i="43"/>
  <c r="BR500" i="42"/>
  <c r="P51" i="41"/>
  <c r="CL491" i="42"/>
  <c r="DW40" i="41" s="1"/>
  <c r="BR128" i="49"/>
  <c r="BI231" i="20"/>
  <c r="BE208" i="10"/>
  <c r="CV353" i="10"/>
  <c r="BY1181" i="10"/>
  <c r="CH1177" i="10"/>
  <c r="CI1177" i="10" s="1"/>
  <c r="DN434" i="42"/>
  <c r="BI262" i="20"/>
  <c r="CP18" i="46"/>
  <c r="CP23" i="46" s="1"/>
  <c r="BH36" i="46"/>
  <c r="BH48" i="46" s="1"/>
  <c r="BH49" i="46" s="1"/>
  <c r="CZ759" i="10"/>
  <c r="CG915" i="10"/>
  <c r="CX768" i="20"/>
  <c r="CX773" i="20" s="1"/>
  <c r="BT504" i="20"/>
  <c r="AZ51" i="41"/>
  <c r="CO154" i="46"/>
  <c r="CZ353" i="10"/>
  <c r="BB76" i="10"/>
  <c r="BE18" i="10"/>
  <c r="K10" i="41" s="1"/>
  <c r="BL451" i="20"/>
  <c r="BE443" i="10"/>
  <c r="BE449" i="10" s="1"/>
  <c r="CL496" i="42"/>
  <c r="CH496" i="42"/>
  <c r="CY719" i="10"/>
  <c r="CU719" i="10"/>
  <c r="DC719" i="10"/>
  <c r="CA480" i="20"/>
  <c r="CS36" i="46"/>
  <c r="AX62" i="41"/>
  <c r="BV653" i="20"/>
  <c r="BV654" i="20" s="1"/>
  <c r="AV57" i="41"/>
  <c r="BQ86" i="46"/>
  <c r="BR86" i="46" s="1"/>
  <c r="BL334" i="20"/>
  <c r="CQ691" i="10"/>
  <c r="CF491" i="42"/>
  <c r="BI335" i="42"/>
  <c r="BI337" i="42" s="1"/>
  <c r="CF476" i="42"/>
  <c r="CF478" i="42" s="1"/>
  <c r="AP272" i="42"/>
  <c r="BM95" i="49"/>
  <c r="BR476" i="42"/>
  <c r="BR478" i="42" s="1"/>
  <c r="CD355" i="42"/>
  <c r="CF46" i="43"/>
  <c r="CF54" i="43" s="1"/>
  <c r="BU137" i="42"/>
  <c r="BU600" i="20" s="1"/>
  <c r="CK153" i="42"/>
  <c r="CK472" i="10" s="1"/>
  <c r="AF401" i="42"/>
  <c r="AH401" i="42" s="1"/>
  <c r="CX209" i="49"/>
  <c r="BQ313" i="42"/>
  <c r="CO201" i="42"/>
  <c r="BQ95" i="49"/>
  <c r="CK476" i="42"/>
  <c r="CK478" i="42" s="1"/>
  <c r="BM223" i="42"/>
  <c r="BM194" i="46"/>
  <c r="BN496" i="42"/>
  <c r="CL62" i="42"/>
  <c r="CD209" i="49"/>
  <c r="BN172" i="42"/>
  <c r="CB368" i="42"/>
  <c r="CN476" i="42"/>
  <c r="CN478" i="42" s="1"/>
  <c r="CC153" i="42"/>
  <c r="CC472" i="10" s="1"/>
  <c r="AH377" i="42"/>
  <c r="DE184" i="46"/>
  <c r="DE223" i="46"/>
  <c r="DF182" i="46"/>
  <c r="DE194" i="46"/>
  <c r="BF286" i="20"/>
  <c r="BE848" i="20"/>
  <c r="DF29" i="10"/>
  <c r="DF58" i="49" s="1"/>
  <c r="DE58" i="49"/>
  <c r="CL319" i="49"/>
  <c r="BF294" i="49"/>
  <c r="DE752" i="10"/>
  <c r="DF752" i="10" s="1"/>
  <c r="DA654" i="20"/>
  <c r="DE658" i="20"/>
  <c r="DR282" i="20"/>
  <c r="DQ318" i="20"/>
  <c r="DF256" i="20"/>
  <c r="DB221" i="20"/>
  <c r="DF221" i="20"/>
  <c r="CD768" i="20"/>
  <c r="DF295" i="20"/>
  <c r="CR48" i="46"/>
  <c r="CR49" i="46" s="1"/>
  <c r="AL62" i="41"/>
  <c r="L51" i="41"/>
  <c r="BD572" i="20"/>
  <c r="DA115" i="20"/>
  <c r="DA120" i="20" s="1"/>
  <c r="DA126" i="20" s="1"/>
  <c r="DE160" i="20"/>
  <c r="DD197" i="20"/>
  <c r="DE198" i="20"/>
  <c r="AT125" i="20"/>
  <c r="DQ281" i="20"/>
  <c r="DP741" i="20"/>
  <c r="DR285" i="20"/>
  <c r="DE946" i="10"/>
  <c r="DE1175" i="10"/>
  <c r="DN606" i="20"/>
  <c r="DP606" i="20"/>
  <c r="DR606" i="20" s="1"/>
  <c r="DN605" i="20"/>
  <c r="DP605" i="20"/>
  <c r="DR605" i="20" s="1"/>
  <c r="DL877" i="20"/>
  <c r="DP929" i="20"/>
  <c r="DE945" i="10"/>
  <c r="DE1174" i="10"/>
  <c r="BF398" i="46"/>
  <c r="BE400" i="46"/>
  <c r="CW46" i="46"/>
  <c r="CR44" i="46"/>
  <c r="DN147" i="46"/>
  <c r="DS147" i="46" s="1"/>
  <c r="BA299" i="46"/>
  <c r="BL217" i="46"/>
  <c r="BF394" i="46"/>
  <c r="BE382" i="46"/>
  <c r="CS86" i="46"/>
  <c r="BL44" i="46"/>
  <c r="DE254" i="42"/>
  <c r="DD424" i="10"/>
  <c r="DF178" i="42"/>
  <c r="DD368" i="42"/>
  <c r="DF368" i="42" s="1"/>
  <c r="DF366" i="42"/>
  <c r="DD286" i="42"/>
  <c r="DD323" i="42" s="1"/>
  <c r="DF282" i="42"/>
  <c r="DF286" i="42" s="1"/>
  <c r="DF323" i="42" s="1"/>
  <c r="DD272" i="42"/>
  <c r="DF272" i="42" s="1"/>
  <c r="DF94" i="49" s="1"/>
  <c r="DF361" i="42"/>
  <c r="DD472" i="10"/>
  <c r="DF153" i="42"/>
  <c r="DF924" i="20"/>
  <c r="DF928" i="20" s="1"/>
  <c r="DE751" i="10"/>
  <c r="DF685" i="10"/>
  <c r="DE957" i="10"/>
  <c r="DE1131" i="10"/>
  <c r="DF101" i="10"/>
  <c r="BZ457" i="20"/>
  <c r="DE961" i="10"/>
  <c r="DE1135" i="10"/>
  <c r="DF689" i="10"/>
  <c r="DE755" i="10"/>
  <c r="DF723" i="10"/>
  <c r="CY27" i="43"/>
  <c r="DF113" i="10"/>
  <c r="DG113" i="10" s="1"/>
  <c r="DF912" i="10"/>
  <c r="DF913" i="10"/>
  <c r="DF914" i="10"/>
  <c r="DF915" i="10"/>
  <c r="DF911" i="10"/>
  <c r="DF917" i="10"/>
  <c r="DF944" i="10"/>
  <c r="BM737" i="20"/>
  <c r="BQ539" i="42"/>
  <c r="BQ138" i="49" s="1"/>
  <c r="DE1142" i="10"/>
  <c r="DE101" i="10"/>
  <c r="CD215" i="46"/>
  <c r="CB101" i="42"/>
  <c r="AH69" i="42"/>
  <c r="AH70" i="42" s="1"/>
  <c r="AV72" i="41"/>
  <c r="DD208" i="10"/>
  <c r="DE212" i="10" s="1"/>
  <c r="DF205" i="10"/>
  <c r="DD378" i="10"/>
  <c r="DF376" i="10"/>
  <c r="DF378" i="10" s="1"/>
  <c r="BT239" i="10"/>
  <c r="CX347" i="10"/>
  <c r="BA735" i="10"/>
  <c r="CC759" i="10"/>
  <c r="BY55" i="49"/>
  <c r="CG486" i="10"/>
  <c r="CG463" i="10" s="1"/>
  <c r="CM495" i="10"/>
  <c r="AZ722" i="10"/>
  <c r="BF52" i="49"/>
  <c r="BF79" i="49" s="1"/>
  <c r="CR45" i="49"/>
  <c r="CR73" i="49" s="1"/>
  <c r="CF747" i="10"/>
  <c r="CH747" i="10" s="1"/>
  <c r="BY721" i="10"/>
  <c r="BM735" i="10"/>
  <c r="BN107" i="10"/>
  <c r="AS1136" i="10"/>
  <c r="CN378" i="10"/>
  <c r="BY826" i="10"/>
  <c r="DN282" i="20"/>
  <c r="DN285" i="20"/>
  <c r="CK295" i="20"/>
  <c r="BP295" i="10"/>
  <c r="DA208" i="10"/>
  <c r="EL63" i="41" s="1"/>
  <c r="BO153" i="20"/>
  <c r="BH245" i="46"/>
  <c r="BH246" i="46" s="1"/>
  <c r="BH254" i="46" s="1"/>
  <c r="BH256" i="46" s="1"/>
  <c r="BH51" i="41"/>
  <c r="CD648" i="10"/>
  <c r="CL648" i="10"/>
  <c r="BU773" i="20"/>
  <c r="AX22" i="10"/>
  <c r="BE815" i="20"/>
  <c r="CH648" i="10"/>
  <c r="CP648" i="10"/>
  <c r="CX648" i="10"/>
  <c r="CX649" i="10" s="1"/>
  <c r="DB648" i="10"/>
  <c r="DB649" i="10" s="1"/>
  <c r="CT648" i="10"/>
  <c r="CT649" i="10" s="1"/>
  <c r="DA929" i="20"/>
  <c r="BA401" i="42"/>
  <c r="BF377" i="10"/>
  <c r="DL219" i="10"/>
  <c r="DM219" i="10" s="1"/>
  <c r="DP219" i="10" s="1"/>
  <c r="DQ219" i="10" s="1"/>
  <c r="DR219" i="10" s="1"/>
  <c r="BE309" i="10"/>
  <c r="BH286" i="10"/>
  <c r="BH287" i="10" s="1"/>
  <c r="BL301" i="10"/>
  <c r="CS778" i="10"/>
  <c r="DC1175" i="10"/>
  <c r="BT623" i="10"/>
  <c r="BT487" i="10" s="1"/>
  <c r="BY197" i="10"/>
  <c r="CC239" i="10"/>
  <c r="CU165" i="20"/>
  <c r="CY165" i="20"/>
  <c r="DC165" i="20"/>
  <c r="AD265" i="42"/>
  <c r="AD277" i="42" s="1"/>
  <c r="AH265" i="42"/>
  <c r="AH277" i="42" s="1"/>
  <c r="BN798" i="20"/>
  <c r="BV538" i="20"/>
  <c r="CP484" i="10"/>
  <c r="CM1179" i="10"/>
  <c r="AX205" i="10"/>
  <c r="AX208" i="10" s="1"/>
  <c r="CA186" i="10"/>
  <c r="AT265" i="42"/>
  <c r="AT277" i="42" s="1"/>
  <c r="AV267" i="42" s="1"/>
  <c r="AX267" i="42" s="1"/>
  <c r="AW276" i="20"/>
  <c r="CV722" i="10"/>
  <c r="AD99" i="42"/>
  <c r="DA1148" i="10"/>
  <c r="CP286" i="42"/>
  <c r="CP323" i="42" s="1"/>
  <c r="CU685" i="10"/>
  <c r="BJ768" i="20"/>
  <c r="CY691" i="10"/>
  <c r="AJ35" i="43"/>
  <c r="BA770" i="20"/>
  <c r="BA768" i="20"/>
  <c r="AX345" i="10"/>
  <c r="CG354" i="10"/>
  <c r="CG340" i="10"/>
  <c r="CG376" i="10"/>
  <c r="CH336" i="10"/>
  <c r="CM336" i="10" s="1"/>
  <c r="CG344" i="10"/>
  <c r="BP451" i="20"/>
  <c r="BB765" i="20"/>
  <c r="BB770" i="20" s="1"/>
  <c r="CD754" i="10"/>
  <c r="CB759" i="10"/>
  <c r="BE824" i="20"/>
  <c r="BE821" i="20"/>
  <c r="BE825" i="20" s="1"/>
  <c r="DW18" i="41"/>
  <c r="CM27" i="43"/>
  <c r="BD658" i="20"/>
  <c r="BD654" i="20"/>
  <c r="BR114" i="10"/>
  <c r="BR304" i="20"/>
  <c r="CG45" i="42"/>
  <c r="AX43" i="46"/>
  <c r="AX44" i="46" s="1"/>
  <c r="AW57" i="46"/>
  <c r="AZ54" i="46" s="1"/>
  <c r="BB54" i="46" s="1"/>
  <c r="BJ847" i="20"/>
  <c r="BF851" i="20"/>
  <c r="BF847" i="20"/>
  <c r="BE851" i="20"/>
  <c r="BE847" i="20"/>
  <c r="BI847" i="20"/>
  <c r="BB808" i="20"/>
  <c r="BB815" i="20" s="1"/>
  <c r="BD815" i="20"/>
  <c r="BD459" i="20"/>
  <c r="BD457" i="20"/>
  <c r="BH462" i="20" s="1"/>
  <c r="AX500" i="20"/>
  <c r="BB502" i="20"/>
  <c r="W72" i="41"/>
  <c r="S72" i="41"/>
  <c r="BE770" i="20"/>
  <c r="AV324" i="46"/>
  <c r="AV347" i="46" s="1"/>
  <c r="AV346" i="46" s="1"/>
  <c r="CW477" i="42"/>
  <c r="BL287" i="10"/>
  <c r="CB148" i="20"/>
  <c r="CA153" i="20"/>
  <c r="CZ735" i="10"/>
  <c r="DA747" i="10"/>
  <c r="DB747" i="10" s="1"/>
  <c r="CI399" i="20"/>
  <c r="CI400" i="20"/>
  <c r="CH372" i="20"/>
  <c r="CH373" i="20" s="1"/>
  <c r="BX451" i="20"/>
  <c r="AZ815" i="20"/>
  <c r="CJ70" i="42"/>
  <c r="CJ115" i="42" s="1"/>
  <c r="CL102" i="10"/>
  <c r="CP303" i="20"/>
  <c r="BB189" i="10"/>
  <c r="BW400" i="20"/>
  <c r="BR372" i="20"/>
  <c r="BR373" i="20" s="1"/>
  <c r="BS400" i="20"/>
  <c r="BJ442" i="20"/>
  <c r="BJ443" i="20" s="1"/>
  <c r="BU27" i="43"/>
  <c r="CA185" i="10"/>
  <c r="AC295" i="42"/>
  <c r="AC43" i="43" s="1"/>
  <c r="AC44" i="43" s="1"/>
  <c r="AV481" i="10"/>
  <c r="BH459" i="20"/>
  <c r="CG286" i="10"/>
  <c r="CG287" i="10" s="1"/>
  <c r="BR374" i="42"/>
  <c r="BY37" i="10"/>
  <c r="BY273" i="20"/>
  <c r="BY785" i="20"/>
  <c r="BY781" i="20" s="1"/>
  <c r="BP803" i="20"/>
  <c r="BR803" i="20" s="1"/>
  <c r="BR814" i="20" s="1"/>
  <c r="BR798" i="20"/>
  <c r="BN824" i="20"/>
  <c r="BF299" i="20"/>
  <c r="BF114" i="10" s="1"/>
  <c r="BF119" i="10" s="1"/>
  <c r="BD152" i="10"/>
  <c r="BB484" i="10"/>
  <c r="CS45" i="42"/>
  <c r="AX656" i="20"/>
  <c r="AT654" i="20"/>
  <c r="AX659" i="20" s="1"/>
  <c r="AR57" i="41"/>
  <c r="BO353" i="20"/>
  <c r="AP60" i="10"/>
  <c r="EI18" i="41"/>
  <c r="DC27" i="43"/>
  <c r="BN442" i="20"/>
  <c r="BN443" i="20" s="1"/>
  <c r="BS410" i="20"/>
  <c r="BA451" i="20"/>
  <c r="CJ334" i="20"/>
  <c r="CN334" i="20"/>
  <c r="BJ731" i="20"/>
  <c r="BJ735" i="20" s="1"/>
  <c r="BJ80" i="10"/>
  <c r="BN567" i="20"/>
  <c r="BN568" i="20" s="1"/>
  <c r="BN572" i="20" s="1"/>
  <c r="BN78" i="10"/>
  <c r="CL399" i="42"/>
  <c r="CJ401" i="42"/>
  <c r="CJ403" i="42" s="1"/>
  <c r="CX31" i="46"/>
  <c r="CX36" i="46" s="1"/>
  <c r="AZ844" i="20"/>
  <c r="AZ849" i="20" s="1"/>
  <c r="CP661" i="20"/>
  <c r="CH26" i="42"/>
  <c r="CV481" i="10"/>
  <c r="CV658" i="10"/>
  <c r="BV102" i="10"/>
  <c r="BV303" i="20"/>
  <c r="DC234" i="20"/>
  <c r="BV656" i="20"/>
  <c r="BR656" i="20"/>
  <c r="CP751" i="10"/>
  <c r="CN759" i="10"/>
  <c r="BV770" i="20"/>
  <c r="BR768" i="20"/>
  <c r="AZ848" i="20"/>
  <c r="CV658" i="20"/>
  <c r="CV654" i="20"/>
  <c r="CD365" i="20"/>
  <c r="CE353" i="20"/>
  <c r="CG345" i="10"/>
  <c r="BJ447" i="20"/>
  <c r="BJ75" i="10"/>
  <c r="CH460" i="20"/>
  <c r="AO101" i="42"/>
  <c r="BN265" i="42"/>
  <c r="BA276" i="20"/>
  <c r="AW849" i="20"/>
  <c r="AW401" i="42"/>
  <c r="CG315" i="42"/>
  <c r="BF746" i="10"/>
  <c r="BJ825" i="20"/>
  <c r="AJ36" i="43"/>
  <c r="AD406" i="42"/>
  <c r="CG369" i="10"/>
  <c r="CT925" i="20"/>
  <c r="BO480" i="20"/>
  <c r="CT657" i="20"/>
  <c r="BB488" i="10"/>
  <c r="BD1180" i="10"/>
  <c r="BD1181" i="10" s="1"/>
  <c r="BJ107" i="10"/>
  <c r="BD277" i="20"/>
  <c r="CJ46" i="43"/>
  <c r="BR377" i="42"/>
  <c r="CT376" i="10"/>
  <c r="BV18" i="46"/>
  <c r="DB178" i="42"/>
  <c r="T32" i="43"/>
  <c r="BV496" i="42"/>
  <c r="DC400" i="20"/>
  <c r="DA773" i="20"/>
  <c r="CM689" i="10"/>
  <c r="BI205" i="46"/>
  <c r="DB313" i="42"/>
  <c r="BA286" i="42"/>
  <c r="BA323" i="42" s="1"/>
  <c r="BA324" i="42" s="1"/>
  <c r="BZ232" i="20"/>
  <c r="CF387" i="10"/>
  <c r="CR191" i="20"/>
  <c r="CR137" i="42"/>
  <c r="CR600" i="20" s="1"/>
  <c r="BH464" i="20"/>
  <c r="Y101" i="42"/>
  <c r="Y528" i="42" s="1"/>
  <c r="AV572" i="20"/>
  <c r="CH457" i="20"/>
  <c r="CG913" i="10"/>
  <c r="CG917" i="10"/>
  <c r="CG912" i="10"/>
  <c r="AW737" i="20"/>
  <c r="BD722" i="10"/>
  <c r="CX457" i="20"/>
  <c r="DB462" i="20" s="1"/>
  <c r="BP557" i="10"/>
  <c r="BP658" i="10" s="1"/>
  <c r="AW240" i="46"/>
  <c r="AX240" i="46" s="1"/>
  <c r="CQ185" i="10"/>
  <c r="BX197" i="10"/>
  <c r="CB142" i="20"/>
  <c r="CN132" i="20"/>
  <c r="BE172" i="42"/>
  <c r="BF172" i="42" s="1"/>
  <c r="CL477" i="42"/>
  <c r="BZ376" i="10"/>
  <c r="X57" i="41"/>
  <c r="DD927" i="20"/>
  <c r="CD653" i="20"/>
  <c r="CD654" i="20" s="1"/>
  <c r="CL928" i="20"/>
  <c r="AG36" i="43"/>
  <c r="BN397" i="20"/>
  <c r="CL772" i="20"/>
  <c r="BX477" i="42"/>
  <c r="CV476" i="42"/>
  <c r="CV478" i="42" s="1"/>
  <c r="CV477" i="42"/>
  <c r="CW44" i="46"/>
  <c r="CN159" i="46"/>
  <c r="CL99" i="42"/>
  <c r="CV44" i="46"/>
  <c r="BY101" i="42"/>
  <c r="BY528" i="42" s="1"/>
  <c r="CZ477" i="10"/>
  <c r="CH690" i="10"/>
  <c r="BQ267" i="42"/>
  <c r="BX47" i="49"/>
  <c r="BB376" i="10"/>
  <c r="BA197" i="10"/>
  <c r="BE722" i="10"/>
  <c r="BE723" i="10" s="1"/>
  <c r="AX677" i="20"/>
  <c r="AX443" i="20"/>
  <c r="BV115" i="20"/>
  <c r="CA115" i="20" s="1"/>
  <c r="AX189" i="20"/>
  <c r="AX186" i="20" s="1"/>
  <c r="AX196" i="20" s="1"/>
  <c r="CI241" i="20"/>
  <c r="BN477" i="42"/>
  <c r="CS350" i="10"/>
  <c r="CR159" i="46"/>
  <c r="CW440" i="42"/>
  <c r="BF361" i="42"/>
  <c r="CI183" i="10"/>
  <c r="BE533" i="42"/>
  <c r="CJ479" i="10"/>
  <c r="CL479" i="10" s="1"/>
  <c r="CR76" i="10"/>
  <c r="CR81" i="10" s="1"/>
  <c r="CR82" i="10" s="1"/>
  <c r="BZ220" i="20"/>
  <c r="BV661" i="20"/>
  <c r="BS1135" i="10"/>
  <c r="CP189" i="20"/>
  <c r="CP186" i="20" s="1"/>
  <c r="BF276" i="20"/>
  <c r="CN162" i="46"/>
  <c r="BD353" i="46"/>
  <c r="BY239" i="10"/>
  <c r="CB246" i="10" s="1"/>
  <c r="BT423" i="42"/>
  <c r="CZ55" i="49"/>
  <c r="BD301" i="10"/>
  <c r="BT46" i="10"/>
  <c r="BT49" i="10" s="1"/>
  <c r="BF220" i="20"/>
  <c r="CP653" i="20"/>
  <c r="CP654" i="20" s="1"/>
  <c r="AV276" i="20"/>
  <c r="CJ721" i="10"/>
  <c r="CL719" i="10"/>
  <c r="BR221" i="20"/>
  <c r="CZ451" i="20"/>
  <c r="DJ293" i="20"/>
  <c r="BN825" i="20"/>
  <c r="AV747" i="10"/>
  <c r="AX747" i="10" s="1"/>
  <c r="CK720" i="10"/>
  <c r="CS197" i="10"/>
  <c r="CC572" i="20"/>
  <c r="BM849" i="20"/>
  <c r="AQ62" i="41"/>
  <c r="BN335" i="42"/>
  <c r="BN337" i="42" s="1"/>
  <c r="BE301" i="10"/>
  <c r="CL484" i="10"/>
  <c r="CS491" i="42"/>
  <c r="ED40" i="41" s="1"/>
  <c r="CD205" i="10"/>
  <c r="CS267" i="10"/>
  <c r="CN44" i="46"/>
  <c r="BV91" i="49"/>
  <c r="BV293" i="49" s="1"/>
  <c r="CZ480" i="10"/>
  <c r="CT347" i="10"/>
  <c r="CZ479" i="10"/>
  <c r="B64" i="51"/>
  <c r="CS476" i="42"/>
  <c r="CS478" i="42" s="1"/>
  <c r="DI717" i="10"/>
  <c r="DI744" i="10" s="1"/>
  <c r="AZ82" i="10"/>
  <c r="CB149" i="20"/>
  <c r="CB100" i="10" s="1"/>
  <c r="BI773" i="20"/>
  <c r="CC287" i="10"/>
  <c r="BD301" i="20"/>
  <c r="ES45" i="41"/>
  <c r="EP45" i="41"/>
  <c r="AW481" i="10"/>
  <c r="AW464" i="10" s="1"/>
  <c r="AW658" i="10"/>
  <c r="AX557" i="10"/>
  <c r="AX658" i="10" s="1"/>
  <c r="CC263" i="20"/>
  <c r="CC266" i="20" s="1"/>
  <c r="BZ590" i="10"/>
  <c r="BU301" i="10"/>
  <c r="CY234" i="20"/>
  <c r="BJ492" i="20"/>
  <c r="BN656" i="20"/>
  <c r="AV374" i="42"/>
  <c r="DB306" i="42"/>
  <c r="DN305" i="42" s="1"/>
  <c r="BT286" i="10"/>
  <c r="BT287" i="10" s="1"/>
  <c r="DL193" i="20"/>
  <c r="DP193" i="20" s="1"/>
  <c r="CV491" i="42"/>
  <c r="EG40" i="41" s="1"/>
  <c r="DD723" i="10"/>
  <c r="BZ366" i="42"/>
  <c r="CL461" i="20"/>
  <c r="CX272" i="42"/>
  <c r="CX172" i="42"/>
  <c r="CX223" i="42" s="1"/>
  <c r="CO197" i="10"/>
  <c r="BW354" i="10"/>
  <c r="CP590" i="10"/>
  <c r="CW194" i="46"/>
  <c r="BV377" i="42"/>
  <c r="CN197" i="10"/>
  <c r="BI321" i="10"/>
  <c r="CR735" i="10"/>
  <c r="CL272" i="42"/>
  <c r="AW142" i="20"/>
  <c r="CN572" i="20"/>
  <c r="BH334" i="20"/>
  <c r="CV48" i="46"/>
  <c r="CV49" i="46" s="1"/>
  <c r="BM197" i="10"/>
  <c r="DB460" i="20"/>
  <c r="CD488" i="10"/>
  <c r="CN193" i="42"/>
  <c r="BT320" i="10"/>
  <c r="BI737" i="20"/>
  <c r="CO190" i="20"/>
  <c r="CK205" i="46"/>
  <c r="CD187" i="10"/>
  <c r="CR46" i="43"/>
  <c r="BN99" i="42"/>
  <c r="BN529" i="42" s="1"/>
  <c r="BQ205" i="46"/>
  <c r="CD189" i="10"/>
  <c r="CN239" i="10"/>
  <c r="BZ347" i="10"/>
  <c r="BF293" i="49"/>
  <c r="BI301" i="10"/>
  <c r="BA747" i="10"/>
  <c r="BY746" i="10"/>
  <c r="BY913" i="10" s="1"/>
  <c r="DJ740" i="20"/>
  <c r="DJ118" i="10" s="1"/>
  <c r="BE296" i="10"/>
  <c r="BO1173" i="10"/>
  <c r="AP241" i="20"/>
  <c r="CK746" i="10"/>
  <c r="CJ843" i="20"/>
  <c r="CN843" i="20" s="1"/>
  <c r="BT295" i="20"/>
  <c r="BH142" i="20"/>
  <c r="AT177" i="42"/>
  <c r="CL215" i="46"/>
  <c r="CF44" i="46"/>
  <c r="BR414" i="42"/>
  <c r="BM193" i="42"/>
  <c r="AZ747" i="10"/>
  <c r="CL304" i="20"/>
  <c r="BU231" i="20"/>
  <c r="BU236" i="20" s="1"/>
  <c r="AZ299" i="46"/>
  <c r="AZ272" i="46" s="1"/>
  <c r="V99" i="42"/>
  <c r="V101" i="42" s="1"/>
  <c r="BJ27" i="42"/>
  <c r="CD325" i="42"/>
  <c r="CD326" i="42" s="1"/>
  <c r="BR218" i="20"/>
  <c r="CE528" i="20"/>
  <c r="CV190" i="20"/>
  <c r="BJ538" i="20"/>
  <c r="CJ205" i="46"/>
  <c r="CL361" i="42"/>
  <c r="CN658" i="10"/>
  <c r="CS476" i="10"/>
  <c r="AV1180" i="10"/>
  <c r="AV1181" i="10" s="1"/>
  <c r="BI747" i="10"/>
  <c r="CH912" i="20"/>
  <c r="CH919" i="20" s="1"/>
  <c r="BU262" i="20"/>
  <c r="R32" i="43"/>
  <c r="BQ735" i="10"/>
  <c r="BA142" i="20"/>
  <c r="CY1175" i="10"/>
  <c r="CE115" i="20"/>
  <c r="BJ815" i="20"/>
  <c r="AT70" i="42"/>
  <c r="BM205" i="46"/>
  <c r="BU320" i="10"/>
  <c r="BV459" i="20"/>
  <c r="DB94" i="10"/>
  <c r="BF128" i="49"/>
  <c r="BF333" i="49" s="1"/>
  <c r="BT130" i="49"/>
  <c r="BT115" i="42"/>
  <c r="CZ101" i="42"/>
  <c r="CW486" i="10"/>
  <c r="CW463" i="10" s="1"/>
  <c r="BC43" i="41" s="1"/>
  <c r="CK193" i="42"/>
  <c r="CU495" i="10"/>
  <c r="CN746" i="10"/>
  <c r="CP746" i="10" s="1"/>
  <c r="BT326" i="10"/>
  <c r="BL735" i="10"/>
  <c r="AP330" i="20"/>
  <c r="BB286" i="20"/>
  <c r="AI32" i="43"/>
  <c r="EL62" i="41"/>
  <c r="EL61" i="41" s="1"/>
  <c r="EL81" i="41" s="1"/>
  <c r="DD197" i="10"/>
  <c r="DA194" i="46"/>
  <c r="DD193" i="42"/>
  <c r="CZ654" i="20"/>
  <c r="DD659" i="20" s="1"/>
  <c r="DD658" i="20"/>
  <c r="DD158" i="42"/>
  <c r="DE158" i="42" s="1"/>
  <c r="DH158" i="42" s="1"/>
  <c r="DD132" i="10"/>
  <c r="DD914" i="10"/>
  <c r="DD1015" i="10" s="1"/>
  <c r="DD917" i="10"/>
  <c r="DD911" i="10"/>
  <c r="DD915" i="10"/>
  <c r="DD913" i="10"/>
  <c r="DD912" i="10"/>
  <c r="AT218" i="20"/>
  <c r="AX223" i="20" s="1"/>
  <c r="DD562" i="20"/>
  <c r="DI123" i="42"/>
  <c r="DL123" i="42" s="1"/>
  <c r="DM123" i="42" s="1"/>
  <c r="DP123" i="42" s="1"/>
  <c r="DQ123" i="42" s="1"/>
  <c r="DD137" i="42"/>
  <c r="DD600" i="20" s="1"/>
  <c r="CZ190" i="20"/>
  <c r="DD190" i="20"/>
  <c r="DB336" i="42"/>
  <c r="DD331" i="42"/>
  <c r="DF331" i="42" s="1"/>
  <c r="DI197" i="42"/>
  <c r="DL197" i="42" s="1"/>
  <c r="DM197" i="42" s="1"/>
  <c r="DP197" i="42" s="1"/>
  <c r="DQ197" i="42" s="1"/>
  <c r="DD201" i="42"/>
  <c r="DC336" i="10"/>
  <c r="DD347" i="10"/>
  <c r="DI46" i="46"/>
  <c r="DJ46" i="46" s="1"/>
  <c r="DM46" i="46" s="1"/>
  <c r="DP46" i="46" s="1"/>
  <c r="DP33" i="46" s="1"/>
  <c r="AT32" i="43"/>
  <c r="BL46" i="43"/>
  <c r="BV99" i="42"/>
  <c r="CK217" i="46"/>
  <c r="CC217" i="46"/>
  <c r="CC207" i="46" s="1"/>
  <c r="AH15" i="43"/>
  <c r="AH17" i="43" s="1"/>
  <c r="AH34" i="43" s="1"/>
  <c r="AI34" i="43" s="1"/>
  <c r="CS207" i="42"/>
  <c r="CF361" i="42"/>
  <c r="CL535" i="10"/>
  <c r="BL722" i="10"/>
  <c r="CC735" i="10"/>
  <c r="CN301" i="20"/>
  <c r="CN231" i="20" s="1"/>
  <c r="BI722" i="10"/>
  <c r="CB735" i="10"/>
  <c r="CS37" i="10"/>
  <c r="BD838" i="20"/>
  <c r="CR737" i="20"/>
  <c r="BD44" i="46"/>
  <c r="BD355" i="46" s="1"/>
  <c r="BD260" i="46" s="1"/>
  <c r="BL131" i="49"/>
  <c r="BZ215" i="46"/>
  <c r="CF205" i="46"/>
  <c r="BQ217" i="46"/>
  <c r="BQ219" i="46" s="1"/>
  <c r="BN80" i="46"/>
  <c r="CY67" i="41" s="1"/>
  <c r="CV210" i="42"/>
  <c r="CZ217" i="46"/>
  <c r="BB384" i="10"/>
  <c r="CH64" i="10"/>
  <c r="CB479" i="10"/>
  <c r="CH483" i="10"/>
  <c r="AS735" i="10"/>
  <c r="BM747" i="10"/>
  <c r="CF735" i="10"/>
  <c r="CX590" i="10"/>
  <c r="CB722" i="10"/>
  <c r="BU326" i="10"/>
  <c r="AS747" i="10"/>
  <c r="BE276" i="20"/>
  <c r="CJ332" i="20"/>
  <c r="AX222" i="20"/>
  <c r="CH304" i="20"/>
  <c r="BB461" i="20"/>
  <c r="CU400" i="20"/>
  <c r="CD36" i="46"/>
  <c r="CW193" i="42"/>
  <c r="CS478" i="10"/>
  <c r="CG489" i="10"/>
  <c r="CG468" i="10" s="1"/>
  <c r="DB19" i="10"/>
  <c r="BA387" i="10"/>
  <c r="AL272" i="42"/>
  <c r="BT301" i="10"/>
  <c r="CH579" i="10"/>
  <c r="BL747" i="10"/>
  <c r="CX484" i="10"/>
  <c r="BI735" i="10"/>
  <c r="CC747" i="10"/>
  <c r="CY496" i="10"/>
  <c r="BB460" i="20"/>
  <c r="CW479" i="10"/>
  <c r="BU296" i="10"/>
  <c r="AV722" i="10"/>
  <c r="AV723" i="10" s="1"/>
  <c r="BA130" i="10"/>
  <c r="DJ726" i="20"/>
  <c r="CK677" i="10"/>
  <c r="CK19" i="10" s="1"/>
  <c r="CL19" i="10" s="1"/>
  <c r="DB252" i="20"/>
  <c r="BH72" i="41"/>
  <c r="AS68" i="41"/>
  <c r="BR291" i="20"/>
  <c r="BJ218" i="20"/>
  <c r="BZ815" i="20"/>
  <c r="CR46" i="10"/>
  <c r="CR50" i="10" s="1"/>
  <c r="CA887" i="20"/>
  <c r="DE687" i="10"/>
  <c r="DI327" i="20"/>
  <c r="DI330" i="20" s="1"/>
  <c r="DI335" i="20" s="1"/>
  <c r="CL251" i="20"/>
  <c r="CM251" i="20" s="1"/>
  <c r="CM249" i="20"/>
  <c r="CQ249" i="20"/>
  <c r="CY249" i="20"/>
  <c r="CT251" i="20"/>
  <c r="CT252" i="20" s="1"/>
  <c r="CU249" i="20"/>
  <c r="CM686" i="10"/>
  <c r="BX504" i="20"/>
  <c r="BU142" i="20"/>
  <c r="AW278" i="20"/>
  <c r="BV160" i="20"/>
  <c r="DL767" i="20"/>
  <c r="CD588" i="20"/>
  <c r="BQ825" i="20"/>
  <c r="DB740" i="20"/>
  <c r="DB118" i="10" s="1"/>
  <c r="DC118" i="10" s="1"/>
  <c r="DB461" i="20"/>
  <c r="CU689" i="10"/>
  <c r="AR274" i="20"/>
  <c r="CU686" i="10"/>
  <c r="CY1039" i="10"/>
  <c r="AW346" i="46"/>
  <c r="AX347" i="46"/>
  <c r="AX324" i="46" s="1"/>
  <c r="AX325" i="46" s="1"/>
  <c r="CP90" i="49"/>
  <c r="BZ484" i="10"/>
  <c r="AZ190" i="20"/>
  <c r="AX488" i="10"/>
  <c r="T101" i="42"/>
  <c r="T528" i="42" s="1"/>
  <c r="CX614" i="20"/>
  <c r="CJ746" i="10"/>
  <c r="CJ913" i="10" s="1"/>
  <c r="CC722" i="10"/>
  <c r="BZ623" i="10"/>
  <c r="DB482" i="10"/>
  <c r="BB99" i="42"/>
  <c r="BN487" i="20"/>
  <c r="CP588" i="20"/>
  <c r="BL142" i="20"/>
  <c r="BQ659" i="20"/>
  <c r="BX36" i="46"/>
  <c r="CU691" i="10"/>
  <c r="CM400" i="20"/>
  <c r="CS239" i="10"/>
  <c r="BP286" i="10"/>
  <c r="CY687" i="10"/>
  <c r="DC686" i="10"/>
  <c r="BQ138" i="46"/>
  <c r="BQ154" i="46"/>
  <c r="K53" i="41"/>
  <c r="BY46" i="46"/>
  <c r="BM354" i="42"/>
  <c r="BQ722" i="10"/>
  <c r="BD536" i="20"/>
  <c r="CT593" i="20"/>
  <c r="BR770" i="20"/>
  <c r="CD461" i="20"/>
  <c r="AZ1180" i="10"/>
  <c r="AZ1181" i="10" s="1"/>
  <c r="CK239" i="10"/>
  <c r="CL239" i="10" s="1"/>
  <c r="CL927" i="20"/>
  <c r="AZ223" i="20"/>
  <c r="CD460" i="20"/>
  <c r="CU241" i="20"/>
  <c r="BO400" i="20"/>
  <c r="L57" i="41"/>
  <c r="BW153" i="20"/>
  <c r="BB737" i="20"/>
  <c r="CK721" i="10"/>
  <c r="CB82" i="10"/>
  <c r="CL397" i="20"/>
  <c r="AF57" i="41"/>
  <c r="BO27" i="43"/>
  <c r="AF267" i="42"/>
  <c r="AH267" i="42" s="1"/>
  <c r="CN734" i="10"/>
  <c r="CD141" i="20"/>
  <c r="BD661" i="20"/>
  <c r="AN330" i="20"/>
  <c r="CH657" i="20"/>
  <c r="AW406" i="42"/>
  <c r="BR349" i="42"/>
  <c r="CY60" i="10"/>
  <c r="DN389" i="42"/>
  <c r="AJ51" i="41"/>
  <c r="DJ754" i="20"/>
  <c r="CH333" i="20"/>
  <c r="BL444" i="10"/>
  <c r="CF48" i="46"/>
  <c r="CF49" i="46" s="1"/>
  <c r="R69" i="42"/>
  <c r="R70" i="42" s="1"/>
  <c r="CH653" i="20"/>
  <c r="CH654" i="20" s="1"/>
  <c r="BZ825" i="20"/>
  <c r="CB286" i="10"/>
  <c r="CB287" i="10" s="1"/>
  <c r="DC353" i="20"/>
  <c r="CC201" i="42"/>
  <c r="CO333" i="20"/>
  <c r="BI572" i="20"/>
  <c r="AR534" i="20"/>
  <c r="AV539" i="20" s="1"/>
  <c r="CD37" i="10"/>
  <c r="AJ34" i="43"/>
  <c r="Y32" i="43"/>
  <c r="BV324" i="20"/>
  <c r="CA324" i="20" s="1"/>
  <c r="CI125" i="20"/>
  <c r="DJ482" i="10"/>
  <c r="BV443" i="10"/>
  <c r="BU286" i="10"/>
  <c r="BU287" i="10" s="1"/>
  <c r="BU313" i="42"/>
  <c r="BU318" i="42" s="1"/>
  <c r="BU320" i="42" s="1"/>
  <c r="BM219" i="46"/>
  <c r="BN219" i="46" s="1"/>
  <c r="BM207" i="46"/>
  <c r="BN217" i="46"/>
  <c r="BQ524" i="10"/>
  <c r="BI217" i="46"/>
  <c r="BI207" i="46" s="1"/>
  <c r="AZ132" i="20"/>
  <c r="AO82" i="41"/>
  <c r="CJ451" i="20"/>
  <c r="CO334" i="20"/>
  <c r="CL768" i="20"/>
  <c r="AW332" i="20"/>
  <c r="BX658" i="20"/>
  <c r="CA1039" i="10"/>
  <c r="CW378" i="10"/>
  <c r="CN114" i="10"/>
  <c r="CN117" i="10" s="1"/>
  <c r="CN119" i="10" s="1"/>
  <c r="CN15" i="10" s="1"/>
  <c r="CP195" i="20"/>
  <c r="BN215" i="46"/>
  <c r="CX334" i="20"/>
  <c r="BZ831" i="10"/>
  <c r="AT746" i="10"/>
  <c r="BT334" i="20"/>
  <c r="BA722" i="10"/>
  <c r="CJ720" i="10"/>
  <c r="CJ735" i="10" s="1"/>
  <c r="CX623" i="10"/>
  <c r="CD557" i="10"/>
  <c r="CD658" i="10" s="1"/>
  <c r="CD1265" i="10" s="1"/>
  <c r="BT451" i="20"/>
  <c r="CH661" i="20"/>
  <c r="BB830" i="20"/>
  <c r="BB838" i="20" s="1"/>
  <c r="CP1169" i="10"/>
  <c r="BB218" i="20"/>
  <c r="BB223" i="20" s="1"/>
  <c r="CP330" i="20"/>
  <c r="CL590" i="10"/>
  <c r="DB634" i="10"/>
  <c r="BA101" i="42"/>
  <c r="BQ747" i="10"/>
  <c r="CX196" i="20"/>
  <c r="CX198" i="20" s="1"/>
  <c r="BV825" i="20"/>
  <c r="BR538" i="20"/>
  <c r="CR193" i="46"/>
  <c r="CR190" i="20"/>
  <c r="CY400" i="20"/>
  <c r="CD661" i="20"/>
  <c r="CJ340" i="10"/>
  <c r="BB125" i="20"/>
  <c r="BC125" i="20" s="1"/>
  <c r="BC126" i="20" s="1"/>
  <c r="CH132" i="20"/>
  <c r="DB768" i="20"/>
  <c r="BB308" i="46"/>
  <c r="BB273" i="46" s="1"/>
  <c r="CW205" i="46"/>
  <c r="BF69" i="42"/>
  <c r="BF70" i="42" s="1"/>
  <c r="BH572" i="20"/>
  <c r="CI324" i="20"/>
  <c r="BR1131" i="10"/>
  <c r="BR1136" i="10" s="1"/>
  <c r="CG95" i="46"/>
  <c r="CG97" i="46" s="1"/>
  <c r="BY825" i="20"/>
  <c r="C64" i="51"/>
  <c r="C65" i="51" s="1"/>
  <c r="C53" i="51" s="1"/>
  <c r="C66" i="51" s="1"/>
  <c r="C67" i="51" s="1"/>
  <c r="BJ322" i="20"/>
  <c r="BZ538" i="20"/>
  <c r="CM324" i="20"/>
  <c r="BF460" i="20"/>
  <c r="CH484" i="10"/>
  <c r="CL460" i="20"/>
  <c r="CH265" i="42"/>
  <c r="CH277" i="42" s="1"/>
  <c r="BE191" i="20"/>
  <c r="CB335" i="20"/>
  <c r="BZ536" i="20"/>
  <c r="CD772" i="20"/>
  <c r="AV333" i="20"/>
  <c r="CE480" i="20"/>
  <c r="B59" i="51"/>
  <c r="AB528" i="42"/>
  <c r="AB532" i="42" s="1"/>
  <c r="AB507" i="42"/>
  <c r="AB510" i="42" s="1"/>
  <c r="AB514" i="42" s="1"/>
  <c r="AB516" i="42" s="1"/>
  <c r="AB521" i="42" s="1"/>
  <c r="AW101" i="42"/>
  <c r="AW507" i="42" s="1"/>
  <c r="AW510" i="42" s="1"/>
  <c r="AC273" i="42"/>
  <c r="AD273" i="42" s="1"/>
  <c r="CJ45" i="49"/>
  <c r="CJ73" i="49" s="1"/>
  <c r="V450" i="42"/>
  <c r="CV65" i="49"/>
  <c r="BP41" i="49"/>
  <c r="BP68" i="49" s="1"/>
  <c r="BP166" i="49" s="1"/>
  <c r="BP269" i="49" s="1"/>
  <c r="DA267" i="10"/>
  <c r="CC36" i="46"/>
  <c r="BZ354" i="10"/>
  <c r="CA354" i="10" s="1"/>
  <c r="CG142" i="20"/>
  <c r="BM267" i="10"/>
  <c r="CL18" i="46"/>
  <c r="CZ46" i="10"/>
  <c r="CZ50" i="10" s="1"/>
  <c r="BZ344" i="10"/>
  <c r="BN460" i="20"/>
  <c r="BV221" i="20"/>
  <c r="AX99" i="42"/>
  <c r="CI51" i="41" s="1"/>
  <c r="DA317" i="42"/>
  <c r="DA318" i="42" s="1"/>
  <c r="DA320" i="42" s="1"/>
  <c r="EQ45" i="41"/>
  <c r="CN205" i="46"/>
  <c r="BU159" i="46"/>
  <c r="BD374" i="42"/>
  <c r="BF374" i="42" s="1"/>
  <c r="BB337" i="46"/>
  <c r="AX56" i="49"/>
  <c r="CS378" i="10"/>
  <c r="DJ477" i="10"/>
  <c r="AT130" i="10"/>
  <c r="CL457" i="20"/>
  <c r="V295" i="42"/>
  <c r="V43" i="43" s="1"/>
  <c r="V504" i="42" s="1"/>
  <c r="CA336" i="10"/>
  <c r="BE190" i="20"/>
  <c r="CL323" i="20"/>
  <c r="R99" i="42"/>
  <c r="BX491" i="42"/>
  <c r="AX274" i="20"/>
  <c r="CG759" i="10"/>
  <c r="CH759" i="10" s="1"/>
  <c r="AP265" i="42"/>
  <c r="AP277" i="42" s="1"/>
  <c r="AR267" i="42" s="1"/>
  <c r="AT267" i="42" s="1"/>
  <c r="DI161" i="42"/>
  <c r="BM159" i="46"/>
  <c r="BB298" i="46"/>
  <c r="BB299" i="46" s="1"/>
  <c r="BB300" i="46" s="1"/>
  <c r="BP227" i="42"/>
  <c r="BR355" i="42"/>
  <c r="BR354" i="42" s="1"/>
  <c r="CD634" i="10"/>
  <c r="BJ45" i="10"/>
  <c r="BQ197" i="20"/>
  <c r="BU315" i="42"/>
  <c r="BP723" i="10"/>
  <c r="BQ198" i="20"/>
  <c r="BH398" i="46"/>
  <c r="BH400" i="46" s="1"/>
  <c r="BH351" i="46" s="1"/>
  <c r="AS30" i="43"/>
  <c r="AS36" i="43" s="1"/>
  <c r="AW372" i="46"/>
  <c r="AX372" i="46" s="1"/>
  <c r="CK27" i="43"/>
  <c r="BV315" i="49"/>
  <c r="CC451" i="20"/>
  <c r="CB48" i="46"/>
  <c r="CB49" i="46" s="1"/>
  <c r="CJ737" i="20"/>
  <c r="CU497" i="10"/>
  <c r="CS572" i="20"/>
  <c r="BP194" i="46"/>
  <c r="CP128" i="49"/>
  <c r="CP8" i="49" s="1"/>
  <c r="CQ8" i="49" s="1"/>
  <c r="AX100" i="42"/>
  <c r="CJ286" i="10"/>
  <c r="CJ287" i="10" s="1"/>
  <c r="CL944" i="10"/>
  <c r="CT442" i="10"/>
  <c r="BM572" i="20"/>
  <c r="AW223" i="20"/>
  <c r="CE336" i="10"/>
  <c r="BH261" i="20"/>
  <c r="DB880" i="20"/>
  <c r="BO404" i="20"/>
  <c r="CP265" i="42"/>
  <c r="CP277" i="42" s="1"/>
  <c r="BB69" i="42"/>
  <c r="BB70" i="42" s="1"/>
  <c r="AN377" i="42"/>
  <c r="AP377" i="42" s="1"/>
  <c r="CC658" i="10"/>
  <c r="CH590" i="10"/>
  <c r="BD119" i="10"/>
  <c r="CX205" i="10"/>
  <c r="CX65" i="49" s="1"/>
  <c r="BV294" i="20"/>
  <c r="CE158" i="10"/>
  <c r="CN210" i="42"/>
  <c r="CC481" i="10"/>
  <c r="CC464" i="10" s="1"/>
  <c r="AI32" i="41" s="1"/>
  <c r="BF44" i="10"/>
  <c r="CS193" i="42"/>
  <c r="V265" i="42"/>
  <c r="V277" i="42" s="1"/>
  <c r="X267" i="42" s="1"/>
  <c r="Z267" i="42" s="1"/>
  <c r="BJ56" i="49"/>
  <c r="BJ84" i="49" s="1"/>
  <c r="BJ285" i="49" s="1"/>
  <c r="BU208" i="10"/>
  <c r="CB347" i="10"/>
  <c r="CD347" i="10" s="1"/>
  <c r="BB562" i="20"/>
  <c r="AW462" i="20"/>
  <c r="CY685" i="10"/>
  <c r="CZ477" i="42"/>
  <c r="EK35" i="41"/>
  <c r="BH153" i="42"/>
  <c r="AT480" i="10"/>
  <c r="AG35" i="43"/>
  <c r="AW572" i="20"/>
  <c r="BJ1169" i="10"/>
  <c r="BD737" i="20"/>
  <c r="BP82" i="10"/>
  <c r="CR51" i="49"/>
  <c r="CR78" i="49" s="1"/>
  <c r="AT298" i="46"/>
  <c r="AT299" i="46" s="1"/>
  <c r="AT272" i="46" s="1"/>
  <c r="AO325" i="46"/>
  <c r="AO242" i="46" s="1"/>
  <c r="AO241" i="46" s="1"/>
  <c r="AP241" i="46" s="1"/>
  <c r="BP45" i="43"/>
  <c r="BN189" i="10"/>
  <c r="CY62" i="41" s="1"/>
  <c r="CY61" i="41" s="1"/>
  <c r="BZ91" i="49"/>
  <c r="BZ190" i="49" s="1"/>
  <c r="BE267" i="10"/>
  <c r="CZ116" i="10"/>
  <c r="CZ117" i="10" s="1"/>
  <c r="BZ444" i="10"/>
  <c r="BV195" i="20"/>
  <c r="BZ483" i="10"/>
  <c r="BN574" i="10"/>
  <c r="BH330" i="20"/>
  <c r="CY404" i="20"/>
  <c r="CQ686" i="10"/>
  <c r="BY102" i="42"/>
  <c r="BH273" i="46"/>
  <c r="AR299" i="46"/>
  <c r="AR300" i="46" s="1"/>
  <c r="BP44" i="43"/>
  <c r="BP130" i="49" s="1"/>
  <c r="CH203" i="10"/>
  <c r="CB65" i="49"/>
  <c r="CB164" i="49" s="1"/>
  <c r="CB267" i="49" s="1"/>
  <c r="BH197" i="10"/>
  <c r="CX177" i="42"/>
  <c r="BV43" i="46"/>
  <c r="AT273" i="42"/>
  <c r="CH221" i="20"/>
  <c r="BB276" i="20"/>
  <c r="DB141" i="20"/>
  <c r="BR504" i="20"/>
  <c r="CL739" i="10"/>
  <c r="BJ323" i="20"/>
  <c r="X51" i="41"/>
  <c r="CH128" i="49"/>
  <c r="CH8" i="49" s="1"/>
  <c r="CM8" i="49" s="1"/>
  <c r="BV178" i="42"/>
  <c r="BP129" i="49"/>
  <c r="AT368" i="42"/>
  <c r="DJ436" i="42"/>
  <c r="AW460" i="20"/>
  <c r="BR325" i="42"/>
  <c r="BR326" i="42" s="1"/>
  <c r="AX276" i="20"/>
  <c r="BD768" i="20"/>
  <c r="BU781" i="20"/>
  <c r="BU825" i="20"/>
  <c r="CT1169" i="10"/>
  <c r="BH849" i="20"/>
  <c r="AS849" i="20"/>
  <c r="BT212" i="10"/>
  <c r="CI497" i="10"/>
  <c r="CR208" i="10"/>
  <c r="CS212" i="10" s="1"/>
  <c r="AZ333" i="20"/>
  <c r="BE451" i="20"/>
  <c r="CH752" i="10"/>
  <c r="BR265" i="42"/>
  <c r="BY115" i="42"/>
  <c r="CS194" i="46"/>
  <c r="DJ437" i="42"/>
  <c r="CT372" i="20"/>
  <c r="CT373" i="20" s="1"/>
  <c r="CN286" i="42"/>
  <c r="CN323" i="42" s="1"/>
  <c r="CT205" i="10"/>
  <c r="CT208" i="10" s="1"/>
  <c r="BN354" i="42"/>
  <c r="DB927" i="20"/>
  <c r="BJ372" i="20"/>
  <c r="BJ373" i="20" s="1"/>
  <c r="CO295" i="20"/>
  <c r="DA193" i="42"/>
  <c r="BM36" i="46"/>
  <c r="BM48" i="46" s="1"/>
  <c r="BM49" i="46" s="1"/>
  <c r="BZ128" i="49"/>
  <c r="BZ8" i="49" s="1"/>
  <c r="CB194" i="46"/>
  <c r="BN368" i="42"/>
  <c r="BJ368" i="42"/>
  <c r="CT1134" i="10"/>
  <c r="CT1136" i="10" s="1"/>
  <c r="CB208" i="10"/>
  <c r="AZ191" i="20"/>
  <c r="DB601" i="10"/>
  <c r="BN31" i="46"/>
  <c r="BN44" i="46" s="1"/>
  <c r="CQ218" i="46"/>
  <c r="CJ195" i="10"/>
  <c r="BZ221" i="20"/>
  <c r="BZ365" i="20"/>
  <c r="BV225" i="20"/>
  <c r="CW491" i="42"/>
  <c r="EH40" i="41" s="1"/>
  <c r="EH35" i="41"/>
  <c r="BN161" i="10"/>
  <c r="CI498" i="10"/>
  <c r="AX76" i="10"/>
  <c r="CQ400" i="20"/>
  <c r="CA158" i="10"/>
  <c r="BQ50" i="10"/>
  <c r="AB45" i="43"/>
  <c r="AB49" i="43" s="1"/>
  <c r="AS273" i="46"/>
  <c r="AH324" i="42"/>
  <c r="CB440" i="42"/>
  <c r="CW1181" i="10"/>
  <c r="CD256" i="20"/>
  <c r="DD925" i="20"/>
  <c r="CO759" i="10"/>
  <c r="CP759" i="10" s="1"/>
  <c r="CX141" i="20"/>
  <c r="BN365" i="20"/>
  <c r="AB44" i="43"/>
  <c r="CR65" i="49"/>
  <c r="CB55" i="49"/>
  <c r="CB86" i="49" s="1"/>
  <c r="CB184" i="49" s="1"/>
  <c r="CB287" i="49" s="1"/>
  <c r="CP372" i="20"/>
  <c r="CP373" i="20" s="1"/>
  <c r="CN76" i="10"/>
  <c r="CN81" i="10" s="1"/>
  <c r="CN82" i="10" s="1"/>
  <c r="CT661" i="20"/>
  <c r="BQ491" i="42"/>
  <c r="BD770" i="20"/>
  <c r="BV504" i="20"/>
  <c r="BH333" i="20"/>
  <c r="CT420" i="20"/>
  <c r="CN477" i="42"/>
  <c r="CD99" i="42"/>
  <c r="CR205" i="46"/>
  <c r="BE307" i="46"/>
  <c r="BE308" i="46" s="1"/>
  <c r="BE273" i="46" s="1"/>
  <c r="AR377" i="42"/>
  <c r="AT377" i="42" s="1"/>
  <c r="AZ197" i="10"/>
  <c r="BJ849" i="20"/>
  <c r="DB721" i="10"/>
  <c r="DA46" i="46"/>
  <c r="CL500" i="42"/>
  <c r="DA198" i="42"/>
  <c r="DD202" i="42" s="1"/>
  <c r="BQ476" i="42"/>
  <c r="BQ478" i="42" s="1"/>
  <c r="CE185" i="10"/>
  <c r="BQ310" i="10"/>
  <c r="BD493" i="20"/>
  <c r="CI1040" i="10"/>
  <c r="CN491" i="42"/>
  <c r="DY40" i="41" s="1"/>
  <c r="CC27" i="43"/>
  <c r="CA1135" i="10"/>
  <c r="CJ205" i="10"/>
  <c r="CL205" i="10" s="1"/>
  <c r="CL208" i="10" s="1"/>
  <c r="CI420" i="20"/>
  <c r="AS299" i="46"/>
  <c r="AS245" i="46"/>
  <c r="BY23" i="10"/>
  <c r="CB1169" i="10"/>
  <c r="BY1169" i="10"/>
  <c r="CT500" i="42"/>
  <c r="AB34" i="43"/>
  <c r="CX304" i="20"/>
  <c r="BQ23" i="10"/>
  <c r="BQ1169" i="10"/>
  <c r="BT1169" i="10"/>
  <c r="BH191" i="20"/>
  <c r="CT772" i="20"/>
  <c r="CZ572" i="20"/>
  <c r="CX500" i="42"/>
  <c r="AZ406" i="42"/>
  <c r="CH451" i="20"/>
  <c r="AT354" i="42"/>
  <c r="BB44" i="46"/>
  <c r="BB48" i="46" s="1"/>
  <c r="BB49" i="46" s="1"/>
  <c r="BU504" i="20"/>
  <c r="BN457" i="20"/>
  <c r="CX461" i="20"/>
  <c r="CW23" i="10"/>
  <c r="CW1169" i="10"/>
  <c r="CZ1169" i="10"/>
  <c r="BM201" i="42"/>
  <c r="BM334" i="20"/>
  <c r="BH23" i="10"/>
  <c r="BI1169" i="10"/>
  <c r="BH1169" i="10"/>
  <c r="BZ303" i="20"/>
  <c r="CK223" i="20"/>
  <c r="CG659" i="20"/>
  <c r="BZ768" i="20"/>
  <c r="CD773" i="20" s="1"/>
  <c r="DC283" i="20"/>
  <c r="CO23" i="10"/>
  <c r="CR1169" i="10"/>
  <c r="CO1169" i="10"/>
  <c r="BR443" i="10"/>
  <c r="CH185" i="10"/>
  <c r="AW504" i="20"/>
  <c r="BV477" i="42"/>
  <c r="CC23" i="10"/>
  <c r="CC1169" i="10"/>
  <c r="CF1169" i="10"/>
  <c r="DB365" i="20"/>
  <c r="BD735" i="10"/>
  <c r="BM301" i="10"/>
  <c r="DB911" i="10"/>
  <c r="DA239" i="10"/>
  <c r="DB333" i="20"/>
  <c r="BJ205" i="10"/>
  <c r="CX653" i="20"/>
  <c r="DB658" i="20" s="1"/>
  <c r="CV198" i="20"/>
  <c r="BP23" i="10"/>
  <c r="BP1169" i="10"/>
  <c r="BZ1169" i="10"/>
  <c r="DC691" i="10"/>
  <c r="CZ913" i="10"/>
  <c r="DN754" i="20"/>
  <c r="CH1134" i="10"/>
  <c r="CH1136" i="10" s="1"/>
  <c r="CU1179" i="10"/>
  <c r="CI158" i="10"/>
  <c r="BY479" i="10"/>
  <c r="BZ479" i="10" s="1"/>
  <c r="BA301" i="10"/>
  <c r="DB915" i="10"/>
  <c r="BZ205" i="10"/>
  <c r="BQ296" i="10"/>
  <c r="BN746" i="10"/>
  <c r="BR205" i="10"/>
  <c r="BD747" i="10"/>
  <c r="CC929" i="20"/>
  <c r="CL947" i="20"/>
  <c r="DN925" i="20"/>
  <c r="DR929" i="20" s="1"/>
  <c r="BX210" i="42"/>
  <c r="BU193" i="46"/>
  <c r="BA295" i="42"/>
  <c r="CZ239" i="10"/>
  <c r="CC150" i="20"/>
  <c r="CC151" i="20" s="1"/>
  <c r="CL801" i="20"/>
  <c r="Z99" i="42"/>
  <c r="AL361" i="42"/>
  <c r="CT333" i="20"/>
  <c r="BV457" i="20"/>
  <c r="AV330" i="20"/>
  <c r="AV335" i="20" s="1"/>
  <c r="CJ190" i="20"/>
  <c r="CZ915" i="10"/>
  <c r="BN1169" i="10"/>
  <c r="CT927" i="20"/>
  <c r="BB651" i="20"/>
  <c r="CJ159" i="46"/>
  <c r="DB877" i="20"/>
  <c r="CD291" i="20"/>
  <c r="DJ626" i="20"/>
  <c r="AP274" i="20"/>
  <c r="BZ294" i="20"/>
  <c r="CJ477" i="42"/>
  <c r="DU35" i="41"/>
  <c r="BU210" i="42"/>
  <c r="BV189" i="20"/>
  <c r="BV186" i="20" s="1"/>
  <c r="BV196" i="20" s="1"/>
  <c r="CA286" i="20"/>
  <c r="BJ654" i="20"/>
  <c r="AZ737" i="20"/>
  <c r="CC137" i="42"/>
  <c r="CC600" i="20" s="1"/>
  <c r="BT735" i="10"/>
  <c r="BE539" i="20"/>
  <c r="BB327" i="20"/>
  <c r="BB330" i="20" s="1"/>
  <c r="BY286" i="10"/>
  <c r="BY287" i="10" s="1"/>
  <c r="BI153" i="42"/>
  <c r="BI472" i="10" s="1"/>
  <c r="BT401" i="42"/>
  <c r="BT403" i="42" s="1"/>
  <c r="CX361" i="42"/>
  <c r="BB457" i="20"/>
  <c r="AX36" i="46"/>
  <c r="BU787" i="20"/>
  <c r="CO572" i="20"/>
  <c r="CK572" i="20"/>
  <c r="CJ23" i="46"/>
  <c r="CJ44" i="46"/>
  <c r="AB28" i="41"/>
  <c r="AB72" i="41" s="1"/>
  <c r="BV128" i="49"/>
  <c r="BV8" i="49" s="1"/>
  <c r="BV42" i="46"/>
  <c r="BV31" i="46"/>
  <c r="BV36" i="46" s="1"/>
  <c r="CS27" i="43"/>
  <c r="CR378" i="10"/>
  <c r="BP267" i="10"/>
  <c r="BP197" i="10"/>
  <c r="BQ197" i="10"/>
  <c r="BY493" i="20"/>
  <c r="BY481" i="20"/>
  <c r="BY483" i="20" s="1"/>
  <c r="DI1173" i="10"/>
  <c r="DI944" i="10"/>
  <c r="CL215" i="20"/>
  <c r="CL43" i="10"/>
  <c r="BX205" i="46"/>
  <c r="BX217" i="46"/>
  <c r="BX219" i="46" s="1"/>
  <c r="CR47" i="49"/>
  <c r="CV343" i="20"/>
  <c r="BX478" i="10"/>
  <c r="CX1040" i="10"/>
  <c r="CY497" i="10"/>
  <c r="CR1045" i="10"/>
  <c r="CT502" i="10"/>
  <c r="CS503" i="10" s="1"/>
  <c r="BQ194" i="46"/>
  <c r="BR172" i="42"/>
  <c r="BQ193" i="42"/>
  <c r="BQ223" i="42"/>
  <c r="AZ825" i="20"/>
  <c r="CL58" i="49"/>
  <c r="BQ378" i="10"/>
  <c r="AV387" i="10"/>
  <c r="CV482" i="10"/>
  <c r="CX482" i="10" s="1"/>
  <c r="CX568" i="10"/>
  <c r="BX481" i="10"/>
  <c r="BX464" i="10" s="1"/>
  <c r="BX658" i="10"/>
  <c r="CT579" i="10"/>
  <c r="CR483" i="10"/>
  <c r="CT483" i="10" s="1"/>
  <c r="CR722" i="10"/>
  <c r="CR723" i="10" s="1"/>
  <c r="CR747" i="10"/>
  <c r="CS735" i="10"/>
  <c r="CS722" i="10"/>
  <c r="CS747" i="10"/>
  <c r="CV46" i="10"/>
  <c r="CN54" i="43"/>
  <c r="AX325" i="42"/>
  <c r="AX326" i="42" s="1"/>
  <c r="AW294" i="42"/>
  <c r="AW325" i="42" s="1"/>
  <c r="AW326" i="42" s="1"/>
  <c r="CL1042" i="10"/>
  <c r="DB187" i="10"/>
  <c r="DB189" i="10"/>
  <c r="BM320" i="10"/>
  <c r="BM326" i="10"/>
  <c r="CP420" i="20"/>
  <c r="AX333" i="20"/>
  <c r="CG23" i="46"/>
  <c r="CG44" i="46"/>
  <c r="CZ115" i="42"/>
  <c r="CX634" i="10"/>
  <c r="CV488" i="10"/>
  <c r="CX488" i="10" s="1"/>
  <c r="CV76" i="10"/>
  <c r="CV81" i="10" s="1"/>
  <c r="CV82" i="10" s="1"/>
  <c r="BF604" i="20"/>
  <c r="CX18" i="46"/>
  <c r="CX23" i="46" s="1"/>
  <c r="CX39" i="46"/>
  <c r="DW46" i="41"/>
  <c r="BP524" i="10"/>
  <c r="CB223" i="42"/>
  <c r="CB224" i="42" s="1"/>
  <c r="CB232" i="42" s="1"/>
  <c r="CO208" i="10"/>
  <c r="CO65" i="49"/>
  <c r="CO164" i="49" s="1"/>
  <c r="CO267" i="49" s="1"/>
  <c r="CC478" i="10"/>
  <c r="BF334" i="46"/>
  <c r="BF337" i="46" s="1"/>
  <c r="BH374" i="42"/>
  <c r="DI739" i="10"/>
  <c r="CN1045" i="10"/>
  <c r="CN208" i="10"/>
  <c r="DY63" i="41" s="1"/>
  <c r="CN65" i="49"/>
  <c r="CH825" i="10"/>
  <c r="CH41" i="46"/>
  <c r="CH18" i="46"/>
  <c r="CV747" i="10"/>
  <c r="CW735" i="10"/>
  <c r="CW747" i="10"/>
  <c r="CW722" i="10"/>
  <c r="CV735" i="10"/>
  <c r="CN198" i="20"/>
  <c r="CJ198" i="20"/>
  <c r="BY817" i="10"/>
  <c r="BY925" i="10" s="1"/>
  <c r="BU753" i="10"/>
  <c r="BU759" i="10" s="1"/>
  <c r="BU692" i="10"/>
  <c r="BU694" i="10" s="1"/>
  <c r="BX153" i="42"/>
  <c r="BV152" i="42"/>
  <c r="BZ161" i="10"/>
  <c r="BX165" i="10"/>
  <c r="BZ165" i="10" s="1"/>
  <c r="BV347" i="10"/>
  <c r="BV353" i="10" s="1"/>
  <c r="BT353" i="10"/>
  <c r="BU350" i="10"/>
  <c r="CR153" i="42"/>
  <c r="CR472" i="10" s="1"/>
  <c r="CP152" i="42"/>
  <c r="CO153" i="42"/>
  <c r="CO472" i="10" s="1"/>
  <c r="BR44" i="46"/>
  <c r="BP239" i="10"/>
  <c r="BX23" i="46"/>
  <c r="BX44" i="46"/>
  <c r="Q101" i="42"/>
  <c r="Q539" i="42"/>
  <c r="CG101" i="42"/>
  <c r="CG481" i="42" s="1"/>
  <c r="BN205" i="10"/>
  <c r="BN208" i="10" s="1"/>
  <c r="BL208" i="10"/>
  <c r="BL65" i="49"/>
  <c r="BL164" i="49" s="1"/>
  <c r="BL267" i="49" s="1"/>
  <c r="CS487" i="10"/>
  <c r="CS465" i="10" s="1"/>
  <c r="CT623" i="10"/>
  <c r="CZ208" i="10"/>
  <c r="CZ212" i="10" s="1"/>
  <c r="DB205" i="10"/>
  <c r="CZ65" i="49"/>
  <c r="BH735" i="10"/>
  <c r="BH722" i="10"/>
  <c r="BE735" i="10"/>
  <c r="BE747" i="10"/>
  <c r="DM217" i="20"/>
  <c r="DA217" i="46"/>
  <c r="DA207" i="46" s="1"/>
  <c r="DA205" i="46"/>
  <c r="DB215" i="46"/>
  <c r="CO485" i="10"/>
  <c r="CP485" i="10" s="1"/>
  <c r="CP601" i="10"/>
  <c r="BV215" i="46"/>
  <c r="BU217" i="46"/>
  <c r="BU219" i="46" s="1"/>
  <c r="BU205" i="46"/>
  <c r="CB533" i="42"/>
  <c r="CT217" i="46"/>
  <c r="CS219" i="46"/>
  <c r="CS90" i="46" s="1"/>
  <c r="CS207" i="46"/>
  <c r="AP32" i="43"/>
  <c r="AP15" i="43"/>
  <c r="AP17" i="43" s="1"/>
  <c r="AP34" i="43" s="1"/>
  <c r="AU34" i="43" s="1"/>
  <c r="CZ159" i="46"/>
  <c r="CN153" i="42"/>
  <c r="BP159" i="46"/>
  <c r="CH623" i="10"/>
  <c r="BT120" i="20"/>
  <c r="DJ605" i="20"/>
  <c r="CN137" i="42"/>
  <c r="CN600" i="20" s="1"/>
  <c r="AP114" i="42"/>
  <c r="BM722" i="10"/>
  <c r="DA735" i="10"/>
  <c r="CX333" i="20"/>
  <c r="CA404" i="20"/>
  <c r="BY759" i="10"/>
  <c r="BV333" i="20"/>
  <c r="CC737" i="20"/>
  <c r="CX657" i="20"/>
  <c r="BJ1131" i="10"/>
  <c r="BO1131" i="10" s="1"/>
  <c r="BF327" i="20"/>
  <c r="BF330" i="20" s="1"/>
  <c r="BF376" i="10"/>
  <c r="AO69" i="10"/>
  <c r="CX58" i="49"/>
  <c r="DI1157" i="10"/>
  <c r="DJ1157" i="10" s="1"/>
  <c r="DB925" i="20"/>
  <c r="CS477" i="42"/>
  <c r="CB155" i="10"/>
  <c r="CZ722" i="10"/>
  <c r="CT159" i="20"/>
  <c r="BK153" i="20"/>
  <c r="BN328" i="20"/>
  <c r="BN333" i="20" s="1"/>
  <c r="CK491" i="42"/>
  <c r="DV40" i="41" s="1"/>
  <c r="DV35" i="41"/>
  <c r="BF101" i="42"/>
  <c r="BF507" i="42" s="1"/>
  <c r="BM153" i="42"/>
  <c r="BM472" i="10" s="1"/>
  <c r="CH502" i="10"/>
  <c r="CF503" i="10" s="1"/>
  <c r="AZ723" i="10"/>
  <c r="BP40" i="10"/>
  <c r="BP809" i="20"/>
  <c r="CK191" i="20"/>
  <c r="AL401" i="42"/>
  <c r="BV161" i="10"/>
  <c r="BJ746" i="10"/>
  <c r="CB912" i="10"/>
  <c r="BZ372" i="20"/>
  <c r="BZ373" i="20" s="1"/>
  <c r="CP614" i="20"/>
  <c r="BF396" i="20"/>
  <c r="BF397" i="20" s="1"/>
  <c r="BS480" i="20"/>
  <c r="CL552" i="42"/>
  <c r="BN1224" i="10"/>
  <c r="T17" i="41"/>
  <c r="CF476" i="10"/>
  <c r="CF50" i="10"/>
  <c r="BU747" i="10"/>
  <c r="BV747" i="10" s="1"/>
  <c r="BU82" i="10"/>
  <c r="BN44" i="10"/>
  <c r="BE838" i="20"/>
  <c r="DA82" i="10"/>
  <c r="BP747" i="10"/>
  <c r="CB911" i="10"/>
  <c r="BJ142" i="20"/>
  <c r="BF770" i="20"/>
  <c r="BI334" i="20"/>
  <c r="CC311" i="42"/>
  <c r="CC315" i="42" s="1"/>
  <c r="CD690" i="10"/>
  <c r="DC1173" i="10"/>
  <c r="BV487" i="20"/>
  <c r="Z69" i="42"/>
  <c r="Z70" i="42" s="1"/>
  <c r="CJ368" i="42"/>
  <c r="CJ273" i="42" s="1"/>
  <c r="CP187" i="10"/>
  <c r="CX330" i="20"/>
  <c r="CB917" i="10"/>
  <c r="BY737" i="20"/>
  <c r="BH737" i="20"/>
  <c r="CX420" i="20"/>
  <c r="DB421" i="20" s="1"/>
  <c r="CE324" i="20"/>
  <c r="CE404" i="20"/>
  <c r="CD487" i="20"/>
  <c r="BP773" i="20"/>
  <c r="CF929" i="20"/>
  <c r="BP424" i="10"/>
  <c r="CV418" i="20"/>
  <c r="CH485" i="10"/>
  <c r="CK105" i="10"/>
  <c r="CL105" i="10" s="1"/>
  <c r="DB593" i="20"/>
  <c r="BZ265" i="42"/>
  <c r="AX384" i="10"/>
  <c r="DA142" i="20"/>
  <c r="BB365" i="20"/>
  <c r="BT462" i="20"/>
  <c r="CW267" i="10"/>
  <c r="CH161" i="10"/>
  <c r="CW915" i="10"/>
  <c r="BT333" i="20"/>
  <c r="CL345" i="42"/>
  <c r="CC476" i="42"/>
  <c r="CC478" i="42" s="1"/>
  <c r="CC477" i="42"/>
  <c r="CC491" i="42"/>
  <c r="BZ355" i="42"/>
  <c r="BZ354" i="42" s="1"/>
  <c r="AW308" i="46"/>
  <c r="CJ153" i="42"/>
  <c r="CJ472" i="10" s="1"/>
  <c r="BE692" i="10"/>
  <c r="BE693" i="10" s="1"/>
  <c r="BI147" i="10"/>
  <c r="CL593" i="20"/>
  <c r="AZ442" i="10"/>
  <c r="DB1169" i="10"/>
  <c r="T34" i="43"/>
  <c r="DA185" i="46"/>
  <c r="DB185" i="46" s="1"/>
  <c r="AG101" i="42"/>
  <c r="AG507" i="42" s="1"/>
  <c r="AG510" i="42" s="1"/>
  <c r="AG514" i="42" s="1"/>
  <c r="CL189" i="20"/>
  <c r="CL186" i="20" s="1"/>
  <c r="CQ186" i="20" s="1"/>
  <c r="BU424" i="10"/>
  <c r="CC159" i="46"/>
  <c r="CT690" i="10"/>
  <c r="BR119" i="10"/>
  <c r="BJ661" i="20"/>
  <c r="BA1180" i="10"/>
  <c r="BA1181" i="10" s="1"/>
  <c r="BF43" i="10"/>
  <c r="BE678" i="20"/>
  <c r="BE680" i="20" s="1"/>
  <c r="DI608" i="20"/>
  <c r="DI614" i="20" s="1"/>
  <c r="CZ48" i="46"/>
  <c r="CZ49" i="46" s="1"/>
  <c r="BR1169" i="10"/>
  <c r="BQ191" i="20"/>
  <c r="CW335" i="20"/>
  <c r="CP927" i="20"/>
  <c r="CT365" i="20"/>
  <c r="CZ917" i="10"/>
  <c r="BF110" i="49"/>
  <c r="BF325" i="42"/>
  <c r="BF326" i="42" s="1"/>
  <c r="BX319" i="42"/>
  <c r="CT99" i="42"/>
  <c r="CT101" i="42" s="1"/>
  <c r="AZ254" i="46"/>
  <c r="AO68" i="41"/>
  <c r="BT48" i="46"/>
  <c r="BT49" i="46" s="1"/>
  <c r="BJ265" i="42"/>
  <c r="CZ462" i="20"/>
  <c r="AX825" i="20"/>
  <c r="CW142" i="20"/>
  <c r="BR397" i="20"/>
  <c r="CD397" i="20"/>
  <c r="O68" i="51"/>
  <c r="BF402" i="42"/>
  <c r="BH399" i="42" s="1"/>
  <c r="BF407" i="42"/>
  <c r="BF406" i="42" s="1"/>
  <c r="BF509" i="42"/>
  <c r="CJ23" i="10"/>
  <c r="CJ1169" i="10"/>
  <c r="CK1169" i="10"/>
  <c r="BZ448" i="20"/>
  <c r="CA420" i="20"/>
  <c r="CE420" i="20"/>
  <c r="BR376" i="10"/>
  <c r="CH601" i="10"/>
  <c r="AR46" i="43"/>
  <c r="CD265" i="42"/>
  <c r="CT557" i="10"/>
  <c r="CT658" i="10" s="1"/>
  <c r="BQ504" i="20"/>
  <c r="CK529" i="42"/>
  <c r="DV51" i="41"/>
  <c r="CR142" i="20"/>
  <c r="AX69" i="42"/>
  <c r="AX70" i="42" s="1"/>
  <c r="AV533" i="42"/>
  <c r="CP461" i="20"/>
  <c r="DA335" i="20"/>
  <c r="BU23" i="10"/>
  <c r="BU1169" i="10"/>
  <c r="BX1169" i="10"/>
  <c r="T507" i="42"/>
  <c r="T510" i="42" s="1"/>
  <c r="T514" i="42" s="1"/>
  <c r="CO95" i="46"/>
  <c r="CO97" i="46" s="1"/>
  <c r="BE524" i="10"/>
  <c r="BE478" i="10" s="1"/>
  <c r="AP308" i="46"/>
  <c r="AP273" i="46" s="1"/>
  <c r="AO36" i="43"/>
  <c r="BP193" i="42"/>
  <c r="CT33" i="46"/>
  <c r="CT46" i="46" s="1"/>
  <c r="CS46" i="46"/>
  <c r="CZ911" i="10"/>
  <c r="BY849" i="20"/>
  <c r="CX557" i="10"/>
  <c r="CX658" i="10" s="1"/>
  <c r="AV223" i="20"/>
  <c r="BJ457" i="20"/>
  <c r="BL572" i="20"/>
  <c r="DA311" i="42"/>
  <c r="DA315" i="42" s="1"/>
  <c r="AX368" i="42"/>
  <c r="BA425" i="42"/>
  <c r="BA429" i="42" s="1"/>
  <c r="BA439" i="42" s="1"/>
  <c r="CP377" i="42"/>
  <c r="DC1177" i="10"/>
  <c r="CK734" i="10"/>
  <c r="DB99" i="42"/>
  <c r="AP36" i="46"/>
  <c r="CV562" i="20"/>
  <c r="AS32" i="43"/>
  <c r="BV568" i="20"/>
  <c r="BV572" i="20" s="1"/>
  <c r="BJ345" i="10"/>
  <c r="CV267" i="10"/>
  <c r="EG62" i="41"/>
  <c r="EG61" i="41" s="1"/>
  <c r="EG81" i="41" s="1"/>
  <c r="DM179" i="20"/>
  <c r="CL265" i="42"/>
  <c r="CL277" i="42" s="1"/>
  <c r="AZ46" i="43"/>
  <c r="BA446" i="42" s="1"/>
  <c r="BA275" i="42" s="1"/>
  <c r="BZ825" i="10"/>
  <c r="BU529" i="42"/>
  <c r="AP99" i="42"/>
  <c r="AP529" i="42" s="1"/>
  <c r="AP533" i="42" s="1"/>
  <c r="CH500" i="42"/>
  <c r="BH190" i="20"/>
  <c r="BJ189" i="20"/>
  <c r="BJ186" i="20" s="1"/>
  <c r="BJ196" i="20" s="1"/>
  <c r="CP365" i="20"/>
  <c r="DL1156" i="10"/>
  <c r="DM1156" i="10" s="1"/>
  <c r="DP1156" i="10" s="1"/>
  <c r="DQ1156" i="10" s="1"/>
  <c r="DR1156" i="10" s="1"/>
  <c r="AH99" i="42"/>
  <c r="AH101" i="42" s="1"/>
  <c r="BV461" i="20"/>
  <c r="CG200" i="20"/>
  <c r="AX277" i="20"/>
  <c r="BT153" i="42"/>
  <c r="CB159" i="46"/>
  <c r="BF607" i="10"/>
  <c r="CT946" i="20"/>
  <c r="BN323" i="20"/>
  <c r="BZ570" i="20"/>
  <c r="BF189" i="20"/>
  <c r="BV570" i="20"/>
  <c r="BZ445" i="10"/>
  <c r="CZ223" i="20"/>
  <c r="BF278" i="20"/>
  <c r="BR737" i="20"/>
  <c r="BN92" i="10"/>
  <c r="BN95" i="10" s="1"/>
  <c r="BI191" i="20"/>
  <c r="BD798" i="20"/>
  <c r="BD231" i="20" s="1"/>
  <c r="CV464" i="20"/>
  <c r="BY155" i="10"/>
  <c r="BP659" i="20"/>
  <c r="CH801" i="20"/>
  <c r="BR457" i="20"/>
  <c r="CM566" i="20"/>
  <c r="CU324" i="20"/>
  <c r="CV45" i="49"/>
  <c r="CV73" i="49" s="1"/>
  <c r="BS1129" i="10"/>
  <c r="BI190" i="20"/>
  <c r="CW659" i="20"/>
  <c r="CE1040" i="10"/>
  <c r="CX535" i="10"/>
  <c r="CO76" i="10"/>
  <c r="CO81" i="10" s="1"/>
  <c r="CO82" i="10" s="1"/>
  <c r="BY773" i="20"/>
  <c r="BA273" i="20"/>
  <c r="BA277" i="20" s="1"/>
  <c r="BH672" i="20"/>
  <c r="BH678" i="20" s="1"/>
  <c r="CS759" i="10"/>
  <c r="DN927" i="20"/>
  <c r="CD444" i="10"/>
  <c r="CF737" i="20"/>
  <c r="BE256" i="20"/>
  <c r="BV323" i="20"/>
  <c r="BM462" i="20"/>
  <c r="CC803" i="20"/>
  <c r="CC814" i="20" s="1"/>
  <c r="CH448" i="10"/>
  <c r="BT737" i="20"/>
  <c r="CH568" i="20"/>
  <c r="CL572" i="20" s="1"/>
  <c r="CO451" i="20"/>
  <c r="BJ460" i="20"/>
  <c r="CD538" i="20"/>
  <c r="BM504" i="20"/>
  <c r="CL946" i="10"/>
  <c r="CL329" i="20"/>
  <c r="CP334" i="20" s="1"/>
  <c r="CE1133" i="10"/>
  <c r="DA37" i="10"/>
  <c r="BB448" i="10"/>
  <c r="CC625" i="20"/>
  <c r="CC141" i="10" s="1"/>
  <c r="CC147" i="10" s="1"/>
  <c r="CB278" i="20"/>
  <c r="CE566" i="20"/>
  <c r="BJ301" i="20"/>
  <c r="CM1133" i="10"/>
  <c r="CC545" i="20"/>
  <c r="CP557" i="10"/>
  <c r="CP658" i="10" s="1"/>
  <c r="CP1265" i="10" s="1"/>
  <c r="DC324" i="20"/>
  <c r="CT295" i="20"/>
  <c r="BL659" i="20"/>
  <c r="BP572" i="20"/>
  <c r="CD334" i="20"/>
  <c r="BI119" i="10"/>
  <c r="AT353" i="20"/>
  <c r="BN657" i="20"/>
  <c r="CC661" i="20"/>
  <c r="BN838" i="20"/>
  <c r="BO158" i="10"/>
  <c r="DB397" i="20"/>
  <c r="DA485" i="10"/>
  <c r="DB485" i="10" s="1"/>
  <c r="BD190" i="20"/>
  <c r="BZ568" i="20"/>
  <c r="CD572" i="20" s="1"/>
  <c r="BY150" i="20"/>
  <c r="BY159" i="20" s="1"/>
  <c r="BJ333" i="20"/>
  <c r="BL332" i="20"/>
  <c r="BZ829" i="10"/>
  <c r="BB397" i="20"/>
  <c r="CL488" i="10"/>
  <c r="CG191" i="20"/>
  <c r="CJ191" i="20"/>
  <c r="CK190" i="20"/>
  <c r="CH189" i="20"/>
  <c r="CH186" i="20" s="1"/>
  <c r="CH196" i="20" s="1"/>
  <c r="CP1134" i="10"/>
  <c r="CP1136" i="10" s="1"/>
  <c r="BZ535" i="10"/>
  <c r="BH623" i="10"/>
  <c r="BJ623" i="10" s="1"/>
  <c r="CK658" i="10"/>
  <c r="CX256" i="20"/>
  <c r="DA451" i="20"/>
  <c r="CF335" i="20"/>
  <c r="AV737" i="20"/>
  <c r="BS1132" i="10"/>
  <c r="CT653" i="20"/>
  <c r="CT654" i="20" s="1"/>
  <c r="AZ429" i="10"/>
  <c r="CF45" i="49"/>
  <c r="CF73" i="49" s="1"/>
  <c r="BF78" i="10"/>
  <c r="BT76" i="10"/>
  <c r="BT81" i="10" s="1"/>
  <c r="BT82" i="10" s="1"/>
  <c r="DB256" i="20"/>
  <c r="AT534" i="20"/>
  <c r="AX539" i="20" s="1"/>
  <c r="BN461" i="20"/>
  <c r="CT189" i="20"/>
  <c r="BF504" i="20"/>
  <c r="BN119" i="10"/>
  <c r="BO1174" i="10"/>
  <c r="AW825" i="20"/>
  <c r="CC838" i="20"/>
  <c r="BB189" i="20"/>
  <c r="BB186" i="20" s="1"/>
  <c r="BB196" i="20" s="1"/>
  <c r="CT138" i="20"/>
  <c r="BF37" i="10"/>
  <c r="CH927" i="20"/>
  <c r="BN142" i="20"/>
  <c r="BJ329" i="20"/>
  <c r="BJ334" i="20" s="1"/>
  <c r="BU165" i="10"/>
  <c r="BU11" i="10" s="1"/>
  <c r="BD612" i="10"/>
  <c r="BD486" i="10" s="1"/>
  <c r="CV479" i="10"/>
  <c r="DB825" i="10"/>
  <c r="AP115" i="20"/>
  <c r="AO126" i="20"/>
  <c r="AO128" i="20" s="1"/>
  <c r="BU191" i="20"/>
  <c r="BF568" i="20"/>
  <c r="BF572" i="20" s="1"/>
  <c r="CC142" i="20"/>
  <c r="DJ767" i="20"/>
  <c r="DJ772" i="20" s="1"/>
  <c r="CY324" i="20"/>
  <c r="BI539" i="20"/>
  <c r="CV773" i="20"/>
  <c r="CB223" i="20"/>
  <c r="P53" i="41"/>
  <c r="CK330" i="20"/>
  <c r="CK335" i="20" s="1"/>
  <c r="CT397" i="20"/>
  <c r="CA287" i="20"/>
  <c r="DB568" i="10"/>
  <c r="CJ841" i="20"/>
  <c r="CN191" i="20"/>
  <c r="BZ482" i="10"/>
  <c r="CP488" i="10"/>
  <c r="DC495" i="10"/>
  <c r="BU572" i="20"/>
  <c r="CQ566" i="20"/>
  <c r="BF849" i="20"/>
  <c r="BY39" i="49"/>
  <c r="BY64" i="49" s="1"/>
  <c r="BI142" i="10"/>
  <c r="BI148" i="10" s="1"/>
  <c r="DB623" i="10"/>
  <c r="CJ46" i="10"/>
  <c r="DB451" i="20"/>
  <c r="BP849" i="20"/>
  <c r="BA191" i="20"/>
  <c r="BZ502" i="10"/>
  <c r="CU566" i="20"/>
  <c r="CL322" i="20"/>
  <c r="CL588" i="20"/>
  <c r="DC685" i="10"/>
  <c r="CH535" i="10"/>
  <c r="BQ119" i="10"/>
  <c r="BQ15" i="10" s="1"/>
  <c r="CC476" i="10"/>
  <c r="BA132" i="10"/>
  <c r="BD191" i="20"/>
  <c r="BA190" i="20"/>
  <c r="AW816" i="20"/>
  <c r="CD161" i="10"/>
  <c r="DF801" i="20"/>
  <c r="CD138" i="20"/>
  <c r="CD142" i="20" s="1"/>
  <c r="CQ324" i="20"/>
  <c r="BQ692" i="10"/>
  <c r="BQ697" i="10" s="1"/>
  <c r="BF95" i="10"/>
  <c r="CT614" i="20"/>
  <c r="CA495" i="10"/>
  <c r="CD590" i="10"/>
  <c r="BZ397" i="20"/>
  <c r="BN538" i="20"/>
  <c r="BP825" i="20"/>
  <c r="CH141" i="20"/>
  <c r="BZ218" i="20"/>
  <c r="DC496" i="10"/>
  <c r="CG479" i="10"/>
  <c r="CH479" i="10" s="1"/>
  <c r="CH557" i="10"/>
  <c r="CH658" i="10" s="1"/>
  <c r="CH1265" i="10" s="1"/>
  <c r="CP568" i="20"/>
  <c r="CP572" i="20" s="1"/>
  <c r="BV105" i="10"/>
  <c r="BB41" i="49"/>
  <c r="BZ1134" i="10"/>
  <c r="BZ1136" i="10" s="1"/>
  <c r="AX444" i="10"/>
  <c r="AT301" i="20"/>
  <c r="CL634" i="10"/>
  <c r="BT773" i="20"/>
  <c r="CP880" i="20"/>
  <c r="CF877" i="20"/>
  <c r="DB189" i="20"/>
  <c r="CH334" i="20"/>
  <c r="DB222" i="20"/>
  <c r="CX462" i="20"/>
  <c r="BD462" i="20"/>
  <c r="CT570" i="20"/>
  <c r="CT737" i="20"/>
  <c r="BZ772" i="20"/>
  <c r="BG13" i="41"/>
  <c r="DA51" i="49"/>
  <c r="DA78" i="49" s="1"/>
  <c r="DB590" i="10"/>
  <c r="DA484" i="10"/>
  <c r="DB484" i="10" s="1"/>
  <c r="DA658" i="10"/>
  <c r="DA481" i="10"/>
  <c r="DA464" i="10" s="1"/>
  <c r="BG32" i="41" s="1"/>
  <c r="CK485" i="10"/>
  <c r="CL485" i="10" s="1"/>
  <c r="CL601" i="10"/>
  <c r="CO479" i="10"/>
  <c r="CG884" i="20"/>
  <c r="CK950" i="20"/>
  <c r="CK884" i="20" s="1"/>
  <c r="CX451" i="20"/>
  <c r="AZ197" i="20"/>
  <c r="BD198" i="20"/>
  <c r="BA197" i="20"/>
  <c r="CD332" i="20"/>
  <c r="CD330" i="20"/>
  <c r="CD261" i="20"/>
  <c r="CD262" i="20"/>
  <c r="CH262" i="20"/>
  <c r="CH261" i="20"/>
  <c r="BY502" i="20"/>
  <c r="CC502" i="20"/>
  <c r="BY500" i="20"/>
  <c r="BY504" i="20" s="1"/>
  <c r="CP634" i="10"/>
  <c r="BX488" i="10"/>
  <c r="BZ488" i="10" s="1"/>
  <c r="BZ634" i="10"/>
  <c r="CB1045" i="10"/>
  <c r="CD502" i="10"/>
  <c r="CC503" i="10" s="1"/>
  <c r="CB476" i="10"/>
  <c r="CJ477" i="10"/>
  <c r="CJ142" i="20"/>
  <c r="CN142" i="20"/>
  <c r="BR115" i="20"/>
  <c r="CF223" i="20"/>
  <c r="CB46" i="10"/>
  <c r="CB48" i="10" s="1"/>
  <c r="CT132" i="20"/>
  <c r="CD366" i="10"/>
  <c r="CI159" i="10"/>
  <c r="CO482" i="10"/>
  <c r="CP482" i="10" s="1"/>
  <c r="CP568" i="10"/>
  <c r="BV1044" i="10"/>
  <c r="CB263" i="20"/>
  <c r="CB268" i="20" s="1"/>
  <c r="AO79" i="51" s="1"/>
  <c r="BP332" i="20"/>
  <c r="BP330" i="20"/>
  <c r="BZ1266" i="10"/>
  <c r="CE469" i="20"/>
  <c r="BZ77" i="10"/>
  <c r="CA469" i="20"/>
  <c r="BN189" i="20"/>
  <c r="BN186" i="20" s="1"/>
  <c r="BN196" i="20" s="1"/>
  <c r="BL190" i="20"/>
  <c r="CK442" i="10"/>
  <c r="BZ260" i="20"/>
  <c r="BZ262" i="20"/>
  <c r="BZ261" i="20"/>
  <c r="CT825" i="10"/>
  <c r="CT829" i="10"/>
  <c r="CV116" i="10"/>
  <c r="CV117" i="10" s="1"/>
  <c r="CV119" i="10" s="1"/>
  <c r="CV15" i="10" s="1"/>
  <c r="CV141" i="10"/>
  <c r="CV142" i="10" s="1"/>
  <c r="BT634" i="10"/>
  <c r="BT488" i="10" s="1"/>
  <c r="BV488" i="10" s="1"/>
  <c r="BA434" i="10"/>
  <c r="BA430" i="10"/>
  <c r="CD448" i="10"/>
  <c r="CH105" i="10"/>
  <c r="CH107" i="10" s="1"/>
  <c r="CG107" i="10"/>
  <c r="CG14" i="10" s="1"/>
  <c r="CG42" i="49" s="1"/>
  <c r="CG69" i="49" s="1"/>
  <c r="CG167" i="49" s="1"/>
  <c r="CG270" i="49" s="1"/>
  <c r="CJ487" i="10"/>
  <c r="CJ465" i="10" s="1"/>
  <c r="CL465" i="10" s="1"/>
  <c r="CL623" i="10"/>
  <c r="CN483" i="10"/>
  <c r="CP483" i="10" s="1"/>
  <c r="CP579" i="10"/>
  <c r="CC479" i="10"/>
  <c r="CD535" i="10"/>
  <c r="CW483" i="10"/>
  <c r="CX483" i="10" s="1"/>
  <c r="CX579" i="10"/>
  <c r="CH295" i="20"/>
  <c r="CH260" i="20"/>
  <c r="CG572" i="20"/>
  <c r="BW1132" i="10"/>
  <c r="AT677" i="20"/>
  <c r="AR678" i="20"/>
  <c r="AT678" i="20" s="1"/>
  <c r="CJ95" i="10"/>
  <c r="CJ13" i="10" s="1"/>
  <c r="CJ407" i="10" s="1"/>
  <c r="CL94" i="10"/>
  <c r="CL95" i="10" s="1"/>
  <c r="CT568" i="10"/>
  <c r="CR482" i="10"/>
  <c r="CT482" i="10" s="1"/>
  <c r="CO45" i="49"/>
  <c r="CO73" i="49" s="1"/>
  <c r="CO171" i="49" s="1"/>
  <c r="CO274" i="49" s="1"/>
  <c r="CU234" i="20"/>
  <c r="CT444" i="10"/>
  <c r="BA572" i="20"/>
  <c r="BE572" i="20"/>
  <c r="CX132" i="20"/>
  <c r="AT768" i="20"/>
  <c r="AX773" i="20" s="1"/>
  <c r="AX770" i="20"/>
  <c r="CD837" i="20"/>
  <c r="BF346" i="20"/>
  <c r="BE40" i="10"/>
  <c r="CR572" i="20"/>
  <c r="CV572" i="20"/>
  <c r="CH1260" i="10"/>
  <c r="CH88" i="10"/>
  <c r="CL157" i="20"/>
  <c r="BZ1038" i="10"/>
  <c r="CA1038" i="10" s="1"/>
  <c r="BH46" i="10"/>
  <c r="BH50" i="10" s="1"/>
  <c r="CT330" i="20"/>
  <c r="CT332" i="20"/>
  <c r="BY263" i="20"/>
  <c r="BY267" i="20" s="1"/>
  <c r="BX545" i="20"/>
  <c r="BZ545" i="20" s="1"/>
  <c r="BX625" i="20"/>
  <c r="BZ625" i="20" s="1"/>
  <c r="BZ116" i="10" s="1"/>
  <c r="BX661" i="20"/>
  <c r="BZ627" i="20"/>
  <c r="BZ661" i="20" s="1"/>
  <c r="CW223" i="20"/>
  <c r="DA223" i="20"/>
  <c r="BD504" i="20"/>
  <c r="AZ504" i="20"/>
  <c r="BJ656" i="20"/>
  <c r="CO130" i="10"/>
  <c r="CO132" i="10"/>
  <c r="CG55" i="49"/>
  <c r="CG86" i="49" s="1"/>
  <c r="CG184" i="49" s="1"/>
  <c r="CG287" i="49" s="1"/>
  <c r="CG440" i="42"/>
  <c r="CB486" i="10"/>
  <c r="CB463" i="10" s="1"/>
  <c r="BD280" i="20"/>
  <c r="BE280" i="20" s="1"/>
  <c r="CN462" i="20"/>
  <c r="CT634" i="10"/>
  <c r="CR488" i="10"/>
  <c r="CT488" i="10" s="1"/>
  <c r="CP788" i="20"/>
  <c r="BY477" i="10"/>
  <c r="CJ480" i="10"/>
  <c r="BF333" i="20"/>
  <c r="BB333" i="20"/>
  <c r="BA152" i="10"/>
  <c r="BA154" i="10" s="1"/>
  <c r="BA15" i="10"/>
  <c r="G35" i="41" s="1"/>
  <c r="G55" i="41" s="1"/>
  <c r="CD828" i="10"/>
  <c r="CO443" i="10"/>
  <c r="CO449" i="10" s="1"/>
  <c r="CO18" i="10" s="1"/>
  <c r="CP346" i="20"/>
  <c r="CP40" i="10" s="1"/>
  <c r="CO787" i="20"/>
  <c r="CO40" i="10"/>
  <c r="BI451" i="20"/>
  <c r="BR327" i="20"/>
  <c r="BR43" i="10"/>
  <c r="CD946" i="20"/>
  <c r="BF298" i="20"/>
  <c r="BF102" i="10" s="1"/>
  <c r="BF107" i="10" s="1"/>
  <c r="BE151" i="10"/>
  <c r="CW826" i="10"/>
  <c r="CW387" i="10"/>
  <c r="BX485" i="10"/>
  <c r="BZ485" i="10" s="1"/>
  <c r="BZ601" i="10"/>
  <c r="BY480" i="10"/>
  <c r="DB557" i="10"/>
  <c r="DB658" i="10" s="1"/>
  <c r="BS555" i="20"/>
  <c r="BR562" i="20"/>
  <c r="CZ45" i="49"/>
  <c r="CZ73" i="49" s="1"/>
  <c r="CO160" i="20"/>
  <c r="BR451" i="20"/>
  <c r="BP190" i="20"/>
  <c r="AZ572" i="20"/>
  <c r="AH9" i="41"/>
  <c r="BN115" i="20"/>
  <c r="BM120" i="20"/>
  <c r="BM126" i="20" s="1"/>
  <c r="BE504" i="20"/>
  <c r="BA504" i="20"/>
  <c r="CD568" i="10"/>
  <c r="CB482" i="10"/>
  <c r="CD482" i="10" s="1"/>
  <c r="CT601" i="10"/>
  <c r="CR485" i="10"/>
  <c r="CT485" i="10" s="1"/>
  <c r="CN479" i="10"/>
  <c r="CP535" i="10"/>
  <c r="CP1040" i="10"/>
  <c r="AX9" i="41"/>
  <c r="BA260" i="20"/>
  <c r="BA262" i="20"/>
  <c r="BA261" i="20"/>
  <c r="CL831" i="10"/>
  <c r="AZ152" i="10"/>
  <c r="AZ154" i="10" s="1"/>
  <c r="BB299" i="20"/>
  <c r="BE737" i="20"/>
  <c r="BA737" i="20"/>
  <c r="AX570" i="20"/>
  <c r="AT568" i="20"/>
  <c r="AX572" i="20" s="1"/>
  <c r="CJ658" i="20"/>
  <c r="CN658" i="20"/>
  <c r="BU803" i="20"/>
  <c r="BV798" i="20"/>
  <c r="CK625" i="20"/>
  <c r="CL625" i="20" s="1"/>
  <c r="CL116" i="10" s="1"/>
  <c r="CK545" i="20"/>
  <c r="CL545" i="20" s="1"/>
  <c r="CL627" i="20"/>
  <c r="CL661" i="20" s="1"/>
  <c r="BI443" i="10"/>
  <c r="BJ443" i="10" s="1"/>
  <c r="BJ346" i="20"/>
  <c r="CL137" i="20"/>
  <c r="CP141" i="20" s="1"/>
  <c r="CL74" i="10"/>
  <c r="CD1038" i="10"/>
  <c r="CE495" i="10"/>
  <c r="CX365" i="20"/>
  <c r="DB291" i="20"/>
  <c r="AX287" i="20"/>
  <c r="BJ451" i="20"/>
  <c r="BJ327" i="20"/>
  <c r="BN604" i="20"/>
  <c r="CL1177" i="10"/>
  <c r="CL948" i="10"/>
  <c r="CL45" i="10"/>
  <c r="CK141" i="20"/>
  <c r="CO141" i="20"/>
  <c r="CK138" i="20"/>
  <c r="CK142" i="20" s="1"/>
  <c r="CT1040" i="10"/>
  <c r="BX1045" i="10"/>
  <c r="BX476" i="10"/>
  <c r="CB165" i="10"/>
  <c r="CB11" i="10" s="1"/>
  <c r="CT484" i="10"/>
  <c r="BZ568" i="10"/>
  <c r="BL191" i="20"/>
  <c r="BD524" i="10"/>
  <c r="BD478" i="10" s="1"/>
  <c r="CX291" i="20"/>
  <c r="CB572" i="20"/>
  <c r="CF572" i="20"/>
  <c r="BV322" i="20"/>
  <c r="BJ536" i="20"/>
  <c r="BF534" i="20"/>
  <c r="CP829" i="10"/>
  <c r="BE222" i="20"/>
  <c r="BA218" i="20"/>
  <c r="BA223" i="20" s="1"/>
  <c r="BA222" i="20"/>
  <c r="BF159" i="20"/>
  <c r="BB159" i="20"/>
  <c r="BJ461" i="20"/>
  <c r="BF461" i="20"/>
  <c r="BF457" i="20"/>
  <c r="AP287" i="20"/>
  <c r="BT524" i="10"/>
  <c r="CD579" i="10"/>
  <c r="CB483" i="10"/>
  <c r="CD483" i="10" s="1"/>
  <c r="CW759" i="10"/>
  <c r="CX759" i="10" s="1"/>
  <c r="DI137" i="20"/>
  <c r="DI116" i="20" s="1"/>
  <c r="DI163" i="20" s="1"/>
  <c r="CT590" i="10"/>
  <c r="CW489" i="10"/>
  <c r="CW468" i="10" s="1"/>
  <c r="BA18" i="10"/>
  <c r="BA442" i="10"/>
  <c r="BA449" i="10" s="1"/>
  <c r="BB118" i="20"/>
  <c r="CP768" i="20"/>
  <c r="CT773" i="20" s="1"/>
  <c r="BT557" i="10"/>
  <c r="BT481" i="10" s="1"/>
  <c r="BV552" i="10"/>
  <c r="AX457" i="20"/>
  <c r="DJ290" i="20"/>
  <c r="BZ56" i="49"/>
  <c r="BZ84" i="49" s="1"/>
  <c r="BZ285" i="49" s="1"/>
  <c r="BE120" i="20"/>
  <c r="BF115" i="20"/>
  <c r="BK115" i="20" s="1"/>
  <c r="BN322" i="20"/>
  <c r="BN658" i="20"/>
  <c r="BN654" i="20"/>
  <c r="BN659" i="20" s="1"/>
  <c r="BE260" i="20"/>
  <c r="BE261" i="20"/>
  <c r="CO225" i="20"/>
  <c r="CO115" i="20"/>
  <c r="CO120" i="20" s="1"/>
  <c r="DB1134" i="10"/>
  <c r="DB1136" i="10" s="1"/>
  <c r="CR486" i="10"/>
  <c r="CR463" i="10" s="1"/>
  <c r="CL482" i="10"/>
  <c r="DA479" i="10"/>
  <c r="DB535" i="10"/>
  <c r="BD274" i="20"/>
  <c r="AX301" i="20"/>
  <c r="CW118" i="10"/>
  <c r="CX740" i="20"/>
  <c r="CX118" i="10" s="1"/>
  <c r="CH837" i="20"/>
  <c r="BR537" i="20"/>
  <c r="AZ332" i="20"/>
  <c r="AV332" i="20"/>
  <c r="BV460" i="20"/>
  <c r="BZ460" i="20"/>
  <c r="CJ829" i="20"/>
  <c r="CG837" i="20"/>
  <c r="BR323" i="20"/>
  <c r="AV460" i="20"/>
  <c r="AR457" i="20"/>
  <c r="AW330" i="20"/>
  <c r="AW335" i="20" s="1"/>
  <c r="AW334" i="20"/>
  <c r="BL634" i="10"/>
  <c r="CN476" i="10"/>
  <c r="CL568" i="10"/>
  <c r="CD886" i="20"/>
  <c r="CH740" i="20"/>
  <c r="CH118" i="10" s="1"/>
  <c r="BP191" i="20"/>
  <c r="BM190" i="20"/>
  <c r="BT332" i="20"/>
  <c r="BD262" i="20"/>
  <c r="BD260" i="20"/>
  <c r="CC884" i="20"/>
  <c r="CC887" i="20" s="1"/>
  <c r="CC895" i="20" s="1"/>
  <c r="CC953" i="20"/>
  <c r="CC958" i="20" s="1"/>
  <c r="CD950" i="20"/>
  <c r="CD955" i="20" s="1"/>
  <c r="CH772" i="20"/>
  <c r="CH768" i="20"/>
  <c r="AX327" i="20"/>
  <c r="BL623" i="10"/>
  <c r="BL487" i="10" s="1"/>
  <c r="BN618" i="10"/>
  <c r="CT301" i="20"/>
  <c r="CT262" i="20" s="1"/>
  <c r="CR261" i="20"/>
  <c r="CR262" i="20"/>
  <c r="CR260" i="20"/>
  <c r="BB1287" i="10"/>
  <c r="CE1130" i="10"/>
  <c r="CR155" i="10"/>
  <c r="AW659" i="20"/>
  <c r="CJ773" i="20"/>
  <c r="BR849" i="20"/>
  <c r="AZ198" i="20"/>
  <c r="BH504" i="20"/>
  <c r="BA659" i="20"/>
  <c r="BT539" i="20"/>
  <c r="BP539" i="20"/>
  <c r="CX593" i="20"/>
  <c r="BL849" i="20"/>
  <c r="BQ142" i="20"/>
  <c r="CE1039" i="10"/>
  <c r="CP801" i="20"/>
  <c r="CR659" i="20"/>
  <c r="BR322" i="20"/>
  <c r="CH570" i="20"/>
  <c r="CL570" i="20"/>
  <c r="AX482" i="10"/>
  <c r="CM1130" i="10"/>
  <c r="BM539" i="20"/>
  <c r="AV659" i="20"/>
  <c r="CD801" i="20"/>
  <c r="DB801" i="20"/>
  <c r="CS737" i="20"/>
  <c r="CX568" i="20"/>
  <c r="DB572" i="20" s="1"/>
  <c r="CD737" i="20"/>
  <c r="CZ737" i="20"/>
  <c r="CQ689" i="10"/>
  <c r="AX485" i="10"/>
  <c r="CZ155" i="10"/>
  <c r="AX484" i="10"/>
  <c r="BF536" i="20"/>
  <c r="CD593" i="20"/>
  <c r="BB825" i="20"/>
  <c r="BF677" i="20"/>
  <c r="BX148" i="20"/>
  <c r="BV397" i="20"/>
  <c r="BT825" i="20"/>
  <c r="BU147" i="10"/>
  <c r="AT849" i="20"/>
  <c r="BB334" i="20"/>
  <c r="CH947" i="20"/>
  <c r="BZ614" i="20"/>
  <c r="CG737" i="20"/>
  <c r="CX801" i="20"/>
  <c r="DB132" i="20"/>
  <c r="CD947" i="20"/>
  <c r="L53" i="41"/>
  <c r="CL1173" i="10"/>
  <c r="CQ1173" i="10" s="1"/>
  <c r="CL217" i="20"/>
  <c r="CL222" i="20" s="1"/>
  <c r="CP448" i="10"/>
  <c r="BV45" i="10"/>
  <c r="DC186" i="20"/>
  <c r="CK773" i="20"/>
  <c r="BX825" i="20"/>
  <c r="BR825" i="20"/>
  <c r="BV291" i="20"/>
  <c r="BR658" i="20"/>
  <c r="BF721" i="20"/>
  <c r="CK787" i="20"/>
  <c r="CD443" i="10"/>
  <c r="AW449" i="10"/>
  <c r="BE142" i="20"/>
  <c r="CT588" i="20"/>
  <c r="DB488" i="10"/>
  <c r="CO737" i="20"/>
  <c r="CL483" i="10"/>
  <c r="BX149" i="20"/>
  <c r="BX158" i="20" s="1"/>
  <c r="BX572" i="20"/>
  <c r="CP457" i="20"/>
  <c r="CD1134" i="10"/>
  <c r="CD1136" i="10" s="1"/>
  <c r="CX40" i="10"/>
  <c r="CX94" i="10"/>
  <c r="CX95" i="10" s="1"/>
  <c r="CL829" i="10"/>
  <c r="BP142" i="20"/>
  <c r="DB947" i="20"/>
  <c r="CH841" i="20"/>
  <c r="DB502" i="10"/>
  <c r="CV191" i="20"/>
  <c r="CX332" i="20"/>
  <c r="BU539" i="20"/>
  <c r="BN1175" i="10"/>
  <c r="BO1175" i="10" s="1"/>
  <c r="BN329" i="20"/>
  <c r="BV142" i="20"/>
  <c r="CL740" i="20"/>
  <c r="CL118" i="10" s="1"/>
  <c r="CW572" i="20"/>
  <c r="CP740" i="20"/>
  <c r="CP118" i="10" s="1"/>
  <c r="CH332" i="20"/>
  <c r="AV504" i="20"/>
  <c r="BQ572" i="20"/>
  <c r="CB51" i="49"/>
  <c r="CB78" i="49" s="1"/>
  <c r="CB176" i="49" s="1"/>
  <c r="BU524" i="10"/>
  <c r="CX825" i="10"/>
  <c r="CU1174" i="10"/>
  <c r="CX588" i="20"/>
  <c r="BH838" i="20"/>
  <c r="BM191" i="20"/>
  <c r="BZ291" i="20"/>
  <c r="CH291" i="20"/>
  <c r="DA550" i="20"/>
  <c r="DA551" i="20" s="1"/>
  <c r="CA496" i="10"/>
  <c r="DB827" i="10"/>
  <c r="BR132" i="20"/>
  <c r="CB659" i="20"/>
  <c r="CE496" i="10"/>
  <c r="CC462" i="20"/>
  <c r="CJ929" i="20"/>
  <c r="CD623" i="10"/>
  <c r="BU645" i="10"/>
  <c r="BP260" i="20"/>
  <c r="BD834" i="20"/>
  <c r="DB627" i="20"/>
  <c r="DB661" i="20" s="1"/>
  <c r="CT461" i="20"/>
  <c r="BZ1224" i="10"/>
  <c r="AF17" i="41"/>
  <c r="CH831" i="10"/>
  <c r="CA159" i="10"/>
  <c r="CR489" i="10"/>
  <c r="CR468" i="10" s="1"/>
  <c r="CZ41" i="49"/>
  <c r="CZ68" i="49" s="1"/>
  <c r="CN50" i="10"/>
  <c r="CC449" i="10"/>
  <c r="BH147" i="10"/>
  <c r="BF323" i="20"/>
  <c r="CP825" i="10"/>
  <c r="BT494" i="20"/>
  <c r="BT495" i="20" s="1"/>
  <c r="BX539" i="20"/>
  <c r="BP231" i="20"/>
  <c r="BP236" i="20" s="1"/>
  <c r="BF830" i="20"/>
  <c r="BJ838" i="20" s="1"/>
  <c r="DB759" i="10"/>
  <c r="BM142" i="20"/>
  <c r="CD827" i="10"/>
  <c r="CP772" i="20"/>
  <c r="CX928" i="20"/>
  <c r="CF692" i="10"/>
  <c r="CF697" i="10" s="1"/>
  <c r="BH119" i="10"/>
  <c r="BJ119" i="10"/>
  <c r="CB484" i="10"/>
  <c r="CD484" i="10" s="1"/>
  <c r="CJ335" i="20"/>
  <c r="BR461" i="20"/>
  <c r="BP262" i="20"/>
  <c r="DA625" i="20"/>
  <c r="BR189" i="20"/>
  <c r="CH909" i="20"/>
  <c r="CH916" i="20" s="1"/>
  <c r="CD457" i="20"/>
  <c r="CD462" i="20" s="1"/>
  <c r="BI462" i="20"/>
  <c r="AV825" i="20"/>
  <c r="BX849" i="20"/>
  <c r="DJ946" i="20"/>
  <c r="BV815" i="20"/>
  <c r="AT327" i="20"/>
  <c r="CZ773" i="20"/>
  <c r="BP261" i="20"/>
  <c r="CP827" i="10"/>
  <c r="CP1224" i="10"/>
  <c r="AV17" i="41"/>
  <c r="DC1039" i="10"/>
  <c r="CP105" i="10"/>
  <c r="CP107" i="10" s="1"/>
  <c r="BJ41" i="49"/>
  <c r="BJ68" i="49" s="1"/>
  <c r="BK68" i="49" s="1"/>
  <c r="DB13" i="10"/>
  <c r="DB41" i="49" s="1"/>
  <c r="DB68" i="49" s="1"/>
  <c r="CZ449" i="10"/>
  <c r="CZ18" i="10" s="1"/>
  <c r="AZ142" i="20"/>
  <c r="BE834" i="20"/>
  <c r="DB928" i="20"/>
  <c r="CA528" i="20"/>
  <c r="CV659" i="20"/>
  <c r="BE1300" i="10"/>
  <c r="BE1301" i="10" s="1"/>
  <c r="DA476" i="10"/>
  <c r="CH634" i="10"/>
  <c r="BD481" i="20"/>
  <c r="BA678" i="20"/>
  <c r="BA680" i="20" s="1"/>
  <c r="BJ1224" i="10"/>
  <c r="P17" i="41"/>
  <c r="BN327" i="20"/>
  <c r="CD260" i="20"/>
  <c r="CD305" i="20"/>
  <c r="AZ301" i="20"/>
  <c r="CF155" i="10"/>
  <c r="BN234" i="20"/>
  <c r="AR759" i="10"/>
  <c r="CH488" i="10"/>
  <c r="DL137" i="20"/>
  <c r="DP137" i="20" s="1"/>
  <c r="CX947" i="20"/>
  <c r="DN946" i="20"/>
  <c r="CX690" i="10"/>
  <c r="CX827" i="10"/>
  <c r="BE287" i="20"/>
  <c r="BZ461" i="20"/>
  <c r="CB958" i="20"/>
  <c r="CI495" i="10"/>
  <c r="CH1038" i="10"/>
  <c r="BS404" i="20"/>
  <c r="BR420" i="20"/>
  <c r="BW420" i="20" s="1"/>
  <c r="BV327" i="20"/>
  <c r="BZ332" i="20" s="1"/>
  <c r="AT274" i="20"/>
  <c r="CL1131" i="10"/>
  <c r="CQ1131" i="10" s="1"/>
  <c r="CL328" i="20"/>
  <c r="CL333" i="20" s="1"/>
  <c r="CS95" i="10"/>
  <c r="CS13" i="10" s="1"/>
  <c r="AY33" i="41" s="1"/>
  <c r="BW1177" i="10"/>
  <c r="CI287" i="20"/>
  <c r="CY186" i="20"/>
  <c r="BY539" i="20"/>
  <c r="BV657" i="20"/>
  <c r="DN928" i="20"/>
  <c r="CL946" i="20"/>
  <c r="CT947" i="20"/>
  <c r="AR849" i="20"/>
  <c r="CN295" i="20"/>
  <c r="CJ295" i="20"/>
  <c r="CC155" i="10"/>
  <c r="CS658" i="10"/>
  <c r="DA661" i="20"/>
  <c r="DB579" i="10"/>
  <c r="CV737" i="20"/>
  <c r="BT190" i="20"/>
  <c r="BU40" i="10"/>
  <c r="AZ539" i="20"/>
  <c r="CR877" i="20"/>
  <c r="CT877" i="20" s="1"/>
  <c r="CT1224" i="10"/>
  <c r="AZ17" i="41"/>
  <c r="CQ495" i="10"/>
  <c r="CP1038" i="10"/>
  <c r="CQ1038" i="10" s="1"/>
  <c r="CH305" i="20"/>
  <c r="CL653" i="20"/>
  <c r="CG187" i="20"/>
  <c r="CG196" i="20"/>
  <c r="CK198" i="20" s="1"/>
  <c r="CJ187" i="20"/>
  <c r="CB489" i="10"/>
  <c r="CB468" i="10" s="1"/>
  <c r="CX487" i="10"/>
  <c r="DB483" i="10"/>
  <c r="BU117" i="10"/>
  <c r="BU119" i="10" s="1"/>
  <c r="BU15" i="10" s="1"/>
  <c r="BU849" i="20"/>
  <c r="CX661" i="20"/>
  <c r="DB657" i="20"/>
  <c r="CF773" i="20"/>
  <c r="CL557" i="10"/>
  <c r="CL658" i="10" s="1"/>
  <c r="CL1265" i="10" s="1"/>
  <c r="BI260" i="20"/>
  <c r="BI261" i="20"/>
  <c r="CG223" i="20"/>
  <c r="BV768" i="20"/>
  <c r="BY325" i="42"/>
  <c r="BY295" i="42"/>
  <c r="CB296" i="42" s="1"/>
  <c r="BX273" i="42"/>
  <c r="BZ368" i="42"/>
  <c r="AD286" i="42"/>
  <c r="AD323" i="42" s="1"/>
  <c r="AD324" i="42" s="1"/>
  <c r="AC323" i="42"/>
  <c r="AC324" i="42" s="1"/>
  <c r="AG273" i="42"/>
  <c r="AH273" i="42" s="1"/>
  <c r="AH368" i="42"/>
  <c r="BY293" i="10"/>
  <c r="BY301" i="10" s="1"/>
  <c r="BY300" i="10"/>
  <c r="CO41" i="49"/>
  <c r="CO68" i="49" s="1"/>
  <c r="CO166" i="49" s="1"/>
  <c r="CO269" i="49" s="1"/>
  <c r="CR407" i="10"/>
  <c r="AX33" i="41"/>
  <c r="CR41" i="49"/>
  <c r="CR68" i="49" s="1"/>
  <c r="Y323" i="42"/>
  <c r="Y324" i="42" s="1"/>
  <c r="Z286" i="42"/>
  <c r="Z323" i="42" s="1"/>
  <c r="CD27" i="42"/>
  <c r="U295" i="42"/>
  <c r="U296" i="42" s="1"/>
  <c r="U326" i="42"/>
  <c r="BU403" i="42"/>
  <c r="DB18" i="46"/>
  <c r="DB44" i="46" s="1"/>
  <c r="CB217" i="46"/>
  <c r="CB219" i="46" s="1"/>
  <c r="CV205" i="46"/>
  <c r="BP387" i="10"/>
  <c r="CD401" i="42"/>
  <c r="CO477" i="10"/>
  <c r="DI40" i="46"/>
  <c r="DL40" i="46" s="1"/>
  <c r="CZ44" i="46"/>
  <c r="AS34" i="43"/>
  <c r="BF58" i="49"/>
  <c r="BP378" i="10"/>
  <c r="CT535" i="10"/>
  <c r="CH568" i="10"/>
  <c r="BZ579" i="10"/>
  <c r="BV1169" i="10"/>
  <c r="BV118" i="20"/>
  <c r="BU442" i="10"/>
  <c r="BU449" i="10" s="1"/>
  <c r="CH957" i="20"/>
  <c r="DI714" i="10"/>
  <c r="AJ32" i="43"/>
  <c r="AV101" i="42"/>
  <c r="AV481" i="42" s="1"/>
  <c r="AV485" i="42" s="1"/>
  <c r="AC406" i="42"/>
  <c r="CQ1179" i="10"/>
  <c r="BL223" i="20"/>
  <c r="BU223" i="20"/>
  <c r="CF529" i="42"/>
  <c r="BI354" i="42"/>
  <c r="CR101" i="42"/>
  <c r="CR529" i="42"/>
  <c r="EC51" i="41"/>
  <c r="AT526" i="42"/>
  <c r="CJ201" i="42"/>
  <c r="BR92" i="10"/>
  <c r="BR95" i="10" s="1"/>
  <c r="CZ201" i="42"/>
  <c r="CZ407" i="10"/>
  <c r="BF33" i="41"/>
  <c r="BJ376" i="10"/>
  <c r="DW62" i="41"/>
  <c r="DW61" i="41" s="1"/>
  <c r="DW81" i="41" s="1"/>
  <c r="CP828" i="10"/>
  <c r="CP840" i="10" s="1"/>
  <c r="DI90" i="10"/>
  <c r="DM300" i="20"/>
  <c r="CW911" i="10"/>
  <c r="CW912" i="10"/>
  <c r="CW913" i="10"/>
  <c r="CW917" i="10"/>
  <c r="BE262" i="20"/>
  <c r="CD925" i="20"/>
  <c r="CD929" i="20" s="1"/>
  <c r="CB877" i="20"/>
  <c r="CD877" i="20" s="1"/>
  <c r="CE877" i="20" s="1"/>
  <c r="AO35" i="43"/>
  <c r="CD377" i="42"/>
  <c r="BN401" i="42"/>
  <c r="BN403" i="42" s="1"/>
  <c r="BN500" i="42"/>
  <c r="BN377" i="42"/>
  <c r="DJ423" i="42"/>
  <c r="CP502" i="10"/>
  <c r="CN503" i="10" s="1"/>
  <c r="CL579" i="10"/>
  <c r="CZ132" i="10"/>
  <c r="CP444" i="10"/>
  <c r="DB411" i="20"/>
  <c r="CT479" i="10"/>
  <c r="CH482" i="10"/>
  <c r="CG476" i="10"/>
  <c r="CX485" i="10"/>
  <c r="BN443" i="10"/>
  <c r="CL1169" i="10"/>
  <c r="BI256" i="20"/>
  <c r="CP291" i="20"/>
  <c r="DB295" i="20"/>
  <c r="CZ562" i="20"/>
  <c r="CS462" i="20"/>
  <c r="CP451" i="20"/>
  <c r="DA572" i="20"/>
  <c r="DN801" i="20"/>
  <c r="CD805" i="20"/>
  <c r="DB491" i="42"/>
  <c r="EM40" i="41" s="1"/>
  <c r="EM35" i="41"/>
  <c r="CC424" i="10"/>
  <c r="CK424" i="10"/>
  <c r="BQ481" i="42"/>
  <c r="CX265" i="42"/>
  <c r="CJ1225" i="10"/>
  <c r="AP19" i="41"/>
  <c r="DB476" i="42"/>
  <c r="DB478" i="42" s="1"/>
  <c r="CO914" i="10"/>
  <c r="CO915" i="10"/>
  <c r="CO917" i="10"/>
  <c r="CK267" i="10"/>
  <c r="DV62" i="41"/>
  <c r="DV61" i="41" s="1"/>
  <c r="DV81" i="41" s="1"/>
  <c r="BF555" i="20"/>
  <c r="BH562" i="20"/>
  <c r="BD562" i="20"/>
  <c r="BZ830" i="20"/>
  <c r="BZ838" i="20" s="1"/>
  <c r="BY834" i="20"/>
  <c r="BX798" i="20"/>
  <c r="BX834" i="20"/>
  <c r="DB772" i="20"/>
  <c r="CX772" i="20"/>
  <c r="DE424" i="10"/>
  <c r="BI115" i="42"/>
  <c r="CK287" i="10"/>
  <c r="CB297" i="10"/>
  <c r="CB292" i="10" s="1"/>
  <c r="CF481" i="10"/>
  <c r="CF464" i="10" s="1"/>
  <c r="CD336" i="42"/>
  <c r="CP623" i="10"/>
  <c r="CX601" i="10"/>
  <c r="CL448" i="10"/>
  <c r="BT40" i="10"/>
  <c r="CT291" i="20"/>
  <c r="CJ572" i="20"/>
  <c r="CH177" i="42"/>
  <c r="BY299" i="10"/>
  <c r="CH330" i="20"/>
  <c r="AP43" i="46"/>
  <c r="AP44" i="46" s="1"/>
  <c r="AP48" i="46" s="1"/>
  <c r="AP49" i="46" s="1"/>
  <c r="AR54" i="46"/>
  <c r="AK101" i="42"/>
  <c r="AK539" i="42"/>
  <c r="AK540" i="42" s="1"/>
  <c r="AK529" i="42"/>
  <c r="AK533" i="42" s="1"/>
  <c r="CV529" i="42"/>
  <c r="EG51" i="41"/>
  <c r="AD69" i="42"/>
  <c r="AD70" i="42" s="1"/>
  <c r="CZ366" i="42"/>
  <c r="CX370" i="42"/>
  <c r="CD829" i="10"/>
  <c r="BT722" i="10"/>
  <c r="CO913" i="10"/>
  <c r="CQ404" i="20"/>
  <c r="CU404" i="20"/>
  <c r="CT460" i="20"/>
  <c r="BZ189" i="10"/>
  <c r="CE189" i="10" s="1"/>
  <c r="CX19" i="10"/>
  <c r="BI48" i="10"/>
  <c r="CP94" i="10"/>
  <c r="CP95" i="10" s="1"/>
  <c r="BD494" i="20"/>
  <c r="CX1169" i="10"/>
  <c r="BB443" i="20"/>
  <c r="DB312" i="49"/>
  <c r="CX335" i="49"/>
  <c r="CE159" i="10"/>
  <c r="BZ366" i="10"/>
  <c r="CZ476" i="10"/>
  <c r="CZ1045" i="10"/>
  <c r="DB345" i="10"/>
  <c r="DB354" i="10"/>
  <c r="DB344" i="10"/>
  <c r="CL221" i="20"/>
  <c r="CL925" i="20"/>
  <c r="CJ877" i="20"/>
  <c r="CL877" i="20" s="1"/>
  <c r="CS223" i="42"/>
  <c r="CS224" i="42" s="1"/>
  <c r="CS232" i="42" s="1"/>
  <c r="ED48" i="41"/>
  <c r="BP539" i="42"/>
  <c r="BP529" i="42"/>
  <c r="CW101" i="42"/>
  <c r="CW529" i="42"/>
  <c r="CW539" i="42"/>
  <c r="EH51" i="41"/>
  <c r="CF286" i="42"/>
  <c r="CF323" i="42" s="1"/>
  <c r="CF324" i="42" s="1"/>
  <c r="CG282" i="42"/>
  <c r="CG286" i="42" s="1"/>
  <c r="CG323" i="42" s="1"/>
  <c r="CT172" i="42"/>
  <c r="CS159" i="46"/>
  <c r="BA692" i="10"/>
  <c r="CK211" i="10"/>
  <c r="DN477" i="10"/>
  <c r="BI524" i="10"/>
  <c r="CW476" i="10"/>
  <c r="CX502" i="10"/>
  <c r="BF451" i="20"/>
  <c r="CW76" i="10"/>
  <c r="CW81" i="10" s="1"/>
  <c r="CW82" i="10" s="1"/>
  <c r="CZ464" i="20"/>
  <c r="AX815" i="20"/>
  <c r="CX232" i="49"/>
  <c r="BN63" i="42"/>
  <c r="BN69" i="42" s="1"/>
  <c r="BT368" i="42"/>
  <c r="BT273" i="42" s="1"/>
  <c r="BV349" i="42"/>
  <c r="BT142" i="20"/>
  <c r="DL604" i="20"/>
  <c r="DP604" i="20" s="1"/>
  <c r="BB677" i="20"/>
  <c r="CF142" i="20"/>
  <c r="CR223" i="20"/>
  <c r="BI504" i="20"/>
  <c r="BZ295" i="20"/>
  <c r="CX570" i="20"/>
  <c r="BH825" i="20"/>
  <c r="AV849" i="20"/>
  <c r="DB946" i="20"/>
  <c r="BB526" i="42"/>
  <c r="CM49" i="41"/>
  <c r="AX402" i="42"/>
  <c r="AZ399" i="42" s="1"/>
  <c r="AX407" i="42"/>
  <c r="AX406" i="42" s="1"/>
  <c r="AX509" i="42"/>
  <c r="U101" i="42"/>
  <c r="U529" i="42"/>
  <c r="U533" i="42" s="1"/>
  <c r="U539" i="42"/>
  <c r="U540" i="42" s="1"/>
  <c r="CR481" i="10"/>
  <c r="CR464" i="10" s="1"/>
  <c r="CT464" i="10" s="1"/>
  <c r="AZ32" i="41" s="1"/>
  <c r="CR658" i="10"/>
  <c r="AL265" i="42"/>
  <c r="AL277" i="42" s="1"/>
  <c r="BN345" i="10"/>
  <c r="BO336" i="10"/>
  <c r="BN110" i="49"/>
  <c r="BN325" i="42"/>
  <c r="BN326" i="42" s="1"/>
  <c r="AP722" i="20"/>
  <c r="AR273" i="46"/>
  <c r="T271" i="42"/>
  <c r="BV130" i="10"/>
  <c r="CJ211" i="10"/>
  <c r="CV47" i="49"/>
  <c r="CO1136" i="10"/>
  <c r="CO22" i="10" s="1"/>
  <c r="BX208" i="10"/>
  <c r="CJ267" i="10"/>
  <c r="CT90" i="49"/>
  <c r="CV476" i="10"/>
  <c r="CH443" i="10"/>
  <c r="BM309" i="10"/>
  <c r="BM310" i="10" s="1"/>
  <c r="CW37" i="10"/>
  <c r="BV448" i="10"/>
  <c r="CD295" i="20"/>
  <c r="AY1295" i="10"/>
  <c r="BR142" i="20"/>
  <c r="BB849" i="20"/>
  <c r="CS142" i="20"/>
  <c r="BV234" i="20"/>
  <c r="CZ343" i="20"/>
  <c r="CP40" i="46"/>
  <c r="BV500" i="42"/>
  <c r="CX105" i="10"/>
  <c r="CX107" i="10" s="1"/>
  <c r="BF205" i="10"/>
  <c r="DA529" i="42"/>
  <c r="EL51" i="41"/>
  <c r="AP526" i="42"/>
  <c r="CO311" i="42"/>
  <c r="CO312" i="42" s="1"/>
  <c r="CO314" i="42" s="1"/>
  <c r="CY18" i="41"/>
  <c r="BT157" i="42"/>
  <c r="BA529" i="42"/>
  <c r="BA539" i="42"/>
  <c r="CV366" i="42"/>
  <c r="CT370" i="42"/>
  <c r="BB114" i="42"/>
  <c r="BB509" i="42"/>
  <c r="BB402" i="42"/>
  <c r="BD399" i="42" s="1"/>
  <c r="BB407" i="42"/>
  <c r="BB406" i="42" s="1"/>
  <c r="CG267" i="10"/>
  <c r="DC497" i="10"/>
  <c r="DB1040" i="10"/>
  <c r="CL657" i="20"/>
  <c r="BR657" i="20"/>
  <c r="CW877" i="20"/>
  <c r="CW929" i="20"/>
  <c r="BR27" i="42"/>
  <c r="BR401" i="42"/>
  <c r="BR403" i="42" s="1"/>
  <c r="BX65" i="49"/>
  <c r="BX164" i="49" s="1"/>
  <c r="BX267" i="49" s="1"/>
  <c r="AC423" i="42"/>
  <c r="AC425" i="42" s="1"/>
  <c r="CJ239" i="10"/>
  <c r="CJ825" i="10"/>
  <c r="CZ418" i="20"/>
  <c r="BF400" i="20"/>
  <c r="BF372" i="20" s="1"/>
  <c r="BF373" i="20" s="1"/>
  <c r="BT444" i="10"/>
  <c r="BV444" i="10" s="1"/>
  <c r="BE101" i="42"/>
  <c r="BE528" i="42" s="1"/>
  <c r="BQ286" i="10"/>
  <c r="BQ287" i="10" s="1"/>
  <c r="BD208" i="10"/>
  <c r="DB828" i="10"/>
  <c r="DB840" i="10" s="1"/>
  <c r="BE773" i="20"/>
  <c r="BR815" i="20"/>
  <c r="DJ947" i="20"/>
  <c r="CG539" i="42"/>
  <c r="CG529" i="42"/>
  <c r="CW45" i="42"/>
  <c r="CN223" i="42"/>
  <c r="CN224" i="42" s="1"/>
  <c r="CN232" i="42" s="1"/>
  <c r="DY48" i="41"/>
  <c r="CB1225" i="10"/>
  <c r="AH19" i="41"/>
  <c r="CZ481" i="10"/>
  <c r="CZ658" i="10"/>
  <c r="CH186" i="10"/>
  <c r="CG311" i="10"/>
  <c r="CG370" i="10"/>
  <c r="CF263" i="20"/>
  <c r="CF267" i="20" s="1"/>
  <c r="AS78" i="51" s="1"/>
  <c r="CO912" i="10"/>
  <c r="BD487" i="20"/>
  <c r="BH487" i="20"/>
  <c r="BF480" i="20"/>
  <c r="AK49" i="41"/>
  <c r="CJ481" i="10"/>
  <c r="CJ658" i="10"/>
  <c r="CO476" i="10"/>
  <c r="CO1045" i="10"/>
  <c r="BJ241" i="20"/>
  <c r="CP95" i="46"/>
  <c r="CP97" i="46" s="1"/>
  <c r="BP101" i="42"/>
  <c r="BQ538" i="42" s="1"/>
  <c r="CS137" i="42"/>
  <c r="CS600" i="20" s="1"/>
  <c r="BQ201" i="42"/>
  <c r="BN177" i="42"/>
  <c r="AZ361" i="42"/>
  <c r="BB361" i="42" s="1"/>
  <c r="CT368" i="42"/>
  <c r="CZ210" i="42"/>
  <c r="BD378" i="10"/>
  <c r="DB690" i="10"/>
  <c r="BE1136" i="10"/>
  <c r="DC114" i="10"/>
  <c r="BV451" i="20"/>
  <c r="CL126" i="10"/>
  <c r="BZ448" i="10"/>
  <c r="BB451" i="20"/>
  <c r="CT40" i="10"/>
  <c r="BD372" i="20"/>
  <c r="BD373" i="20" s="1"/>
  <c r="CO191" i="20"/>
  <c r="CW737" i="20"/>
  <c r="AL302" i="42"/>
  <c r="AG324" i="42"/>
  <c r="CP690" i="10"/>
  <c r="BB205" i="10"/>
  <c r="BB208" i="10" s="1"/>
  <c r="CM496" i="10"/>
  <c r="CP138" i="20"/>
  <c r="BB142" i="20"/>
  <c r="BQ737" i="20"/>
  <c r="BB278" i="20"/>
  <c r="BA539" i="20"/>
  <c r="CN737" i="20"/>
  <c r="BX737" i="20"/>
  <c r="AT722" i="20"/>
  <c r="AZ36" i="46"/>
  <c r="AZ48" i="46" s="1"/>
  <c r="AZ49" i="46" s="1"/>
  <c r="AZ44" i="46"/>
  <c r="AZ355" i="46" s="1"/>
  <c r="AZ351" i="46" s="1"/>
  <c r="DA424" i="10"/>
  <c r="CD1224" i="10"/>
  <c r="AJ17" i="41"/>
  <c r="B68" i="51"/>
  <c r="AP407" i="42"/>
  <c r="AP509" i="42"/>
  <c r="AP402" i="42"/>
  <c r="AR399" i="42" s="1"/>
  <c r="CT477" i="42"/>
  <c r="EE35" i="41"/>
  <c r="CW481" i="10"/>
  <c r="CW464" i="10" s="1"/>
  <c r="BC32" i="41" s="1"/>
  <c r="CW658" i="10"/>
  <c r="CT827" i="10"/>
  <c r="CX828" i="10"/>
  <c r="CX840" i="10" s="1"/>
  <c r="AS49" i="41"/>
  <c r="CX372" i="20"/>
  <c r="CX373" i="20" s="1"/>
  <c r="BX150" i="20"/>
  <c r="CB159" i="20" s="1"/>
  <c r="BZ160" i="20"/>
  <c r="CC149" i="20"/>
  <c r="CD149" i="20" s="1"/>
  <c r="BY462" i="20"/>
  <c r="BF345" i="10"/>
  <c r="CJ462" i="20"/>
  <c r="BR654" i="20"/>
  <c r="BV658" i="20"/>
  <c r="DB570" i="20"/>
  <c r="CB911" i="20"/>
  <c r="BV849" i="20"/>
  <c r="BY354" i="42"/>
  <c r="BP208" i="10"/>
  <c r="CE287" i="20"/>
  <c r="BD411" i="20"/>
  <c r="AL377" i="42"/>
  <c r="BD539" i="20"/>
  <c r="AJ101" i="42"/>
  <c r="AJ529" i="42"/>
  <c r="AJ533" i="42" s="1"/>
  <c r="AJ539" i="42"/>
  <c r="EI62" i="41"/>
  <c r="EI61" i="41" s="1"/>
  <c r="EI81" i="41" s="1"/>
  <c r="AB444" i="42"/>
  <c r="X444" i="42"/>
  <c r="CC267" i="10"/>
  <c r="CT110" i="49"/>
  <c r="CT325" i="42"/>
  <c r="CT326" i="42" s="1"/>
  <c r="BH267" i="10"/>
  <c r="CG481" i="10"/>
  <c r="CG464" i="10" s="1"/>
  <c r="AM32" i="41" s="1"/>
  <c r="CG658" i="10"/>
  <c r="CM404" i="20"/>
  <c r="CL420" i="20"/>
  <c r="CP460" i="20"/>
  <c r="BQ223" i="20"/>
  <c r="BF815" i="20"/>
  <c r="DC566" i="20"/>
  <c r="DA206" i="42"/>
  <c r="DD210" i="42" s="1"/>
  <c r="DB218" i="46"/>
  <c r="DC218" i="46" s="1"/>
  <c r="BV361" i="42"/>
  <c r="AD377" i="42"/>
  <c r="BP65" i="49"/>
  <c r="BP164" i="49" s="1"/>
  <c r="BP267" i="49" s="1"/>
  <c r="CH737" i="20"/>
  <c r="BM286" i="10"/>
  <c r="BM287" i="10" s="1"/>
  <c r="CC539" i="20"/>
  <c r="CO773" i="20"/>
  <c r="AW814" i="20"/>
  <c r="CK737" i="20"/>
  <c r="BD11" i="10"/>
  <c r="J31" i="41" s="1"/>
  <c r="CD880" i="20"/>
  <c r="CX946" i="20"/>
  <c r="BU120" i="20"/>
  <c r="CN190" i="20"/>
  <c r="DA918" i="10"/>
  <c r="DA919" i="10" s="1"/>
  <c r="BT209" i="42"/>
  <c r="DJ801" i="20"/>
  <c r="P101" i="42"/>
  <c r="P529" i="42"/>
  <c r="P533" i="42" s="1"/>
  <c r="P539" i="42"/>
  <c r="P540" i="42" s="1"/>
  <c r="C68" i="51"/>
  <c r="AT402" i="42"/>
  <c r="AV399" i="42" s="1"/>
  <c r="AT407" i="42"/>
  <c r="AT509" i="42"/>
  <c r="AF101" i="42"/>
  <c r="AG539" i="42"/>
  <c r="AG540" i="42" s="1"/>
  <c r="AF529" i="42"/>
  <c r="AF533" i="42" s="1"/>
  <c r="CP62" i="42"/>
  <c r="BV172" i="42"/>
  <c r="BU223" i="42"/>
  <c r="BU224" i="42" s="1"/>
  <c r="BU232" i="42" s="1"/>
  <c r="CL354" i="10"/>
  <c r="CQ354" i="10" s="1"/>
  <c r="CL345" i="10"/>
  <c r="CL344" i="10"/>
  <c r="CN347" i="10"/>
  <c r="CW239" i="10"/>
  <c r="CW246" i="10" s="1"/>
  <c r="CO911" i="10"/>
  <c r="BM539" i="42"/>
  <c r="BM138" i="49" s="1"/>
  <c r="BM529" i="42"/>
  <c r="BT44" i="46"/>
  <c r="AT308" i="46"/>
  <c r="CJ132" i="10"/>
  <c r="CH95" i="46"/>
  <c r="CH97" i="46" s="1"/>
  <c r="CK159" i="46"/>
  <c r="CS1136" i="10"/>
  <c r="CS22" i="10" s="1"/>
  <c r="CD239" i="10"/>
  <c r="BM337" i="42"/>
  <c r="BU1180" i="10"/>
  <c r="BU1181" i="10" s="1"/>
  <c r="CX465" i="10"/>
  <c r="AY1294" i="10"/>
  <c r="CW449" i="10"/>
  <c r="CW18" i="10" s="1"/>
  <c r="AX95" i="10"/>
  <c r="CX737" i="20"/>
  <c r="CH946" i="20"/>
  <c r="CG135" i="46"/>
  <c r="AN401" i="42"/>
  <c r="AP401" i="42" s="1"/>
  <c r="BX324" i="42"/>
  <c r="DB500" i="42"/>
  <c r="CE498" i="10"/>
  <c r="DB917" i="10"/>
  <c r="BX838" i="20"/>
  <c r="BA417" i="46"/>
  <c r="BB415" i="46"/>
  <c r="CD63" i="42"/>
  <c r="CD69" i="42" s="1"/>
  <c r="AD526" i="42"/>
  <c r="CZ45" i="42"/>
  <c r="AJ368" i="42"/>
  <c r="AJ273" i="42" s="1"/>
  <c r="CR223" i="42"/>
  <c r="CR224" i="42" s="1"/>
  <c r="CR232" i="42" s="1"/>
  <c r="EC48" i="41"/>
  <c r="CP786" i="20"/>
  <c r="AU9" i="41"/>
  <c r="DB477" i="42"/>
  <c r="BE333" i="20"/>
  <c r="BE330" i="20"/>
  <c r="BI335" i="20" s="1"/>
  <c r="DB218" i="20"/>
  <c r="CE241" i="20"/>
  <c r="DN423" i="20"/>
  <c r="DM642" i="20"/>
  <c r="DJ642" i="20"/>
  <c r="CZ76" i="10"/>
  <c r="CZ81" i="10" s="1"/>
  <c r="CZ82" i="10" s="1"/>
  <c r="CZ37" i="10"/>
  <c r="CR697" i="10"/>
  <c r="CR693" i="10"/>
  <c r="CR758" i="10"/>
  <c r="Q323" i="42"/>
  <c r="Q324" i="42" s="1"/>
  <c r="R286" i="42"/>
  <c r="R323" i="42" s="1"/>
  <c r="BF298" i="46"/>
  <c r="BF299" i="46" s="1"/>
  <c r="BF300" i="46" s="1"/>
  <c r="BF307" i="46"/>
  <c r="BF308" i="46" s="1"/>
  <c r="BF279" i="46" s="1"/>
  <c r="BV65" i="49"/>
  <c r="BV267" i="49" s="1"/>
  <c r="CC1136" i="10"/>
  <c r="CC22" i="10" s="1"/>
  <c r="AI13" i="41" s="1"/>
  <c r="BY1136" i="10"/>
  <c r="BY22" i="10" s="1"/>
  <c r="BY962" i="10" s="1"/>
  <c r="BW1130" i="10"/>
  <c r="CJ1180" i="10"/>
  <c r="CJ1181" i="10" s="1"/>
  <c r="BQ190" i="20"/>
  <c r="CT184" i="46"/>
  <c r="CS185" i="46"/>
  <c r="CT185" i="46" s="1"/>
  <c r="CS205" i="46"/>
  <c r="AN35" i="43"/>
  <c r="AN36" i="43"/>
  <c r="CN101" i="42"/>
  <c r="CN538" i="42" s="1"/>
  <c r="CN539" i="42"/>
  <c r="CN529" i="42"/>
  <c r="DY51" i="41"/>
  <c r="AS101" i="42"/>
  <c r="AS529" i="42"/>
  <c r="AS533" i="42" s="1"/>
  <c r="AS539" i="42"/>
  <c r="AV539" i="42"/>
  <c r="BN152" i="42"/>
  <c r="BP153" i="42"/>
  <c r="CP491" i="42"/>
  <c r="EA40" i="41" s="1"/>
  <c r="EA35" i="41"/>
  <c r="CJ331" i="42"/>
  <c r="CH336" i="42"/>
  <c r="BU414" i="42"/>
  <c r="BV417" i="42"/>
  <c r="BX26" i="10"/>
  <c r="BZ1208" i="10"/>
  <c r="CB962" i="10"/>
  <c r="CB963" i="10" s="1"/>
  <c r="AH13" i="41"/>
  <c r="BR239" i="10"/>
  <c r="BQ238" i="10"/>
  <c r="CO481" i="10"/>
  <c r="CO464" i="10" s="1"/>
  <c r="AU32" i="41" s="1"/>
  <c r="CO658" i="10"/>
  <c r="CT831" i="10"/>
  <c r="BR721" i="10"/>
  <c r="BF142" i="20"/>
  <c r="CL294" i="20"/>
  <c r="CP294" i="20"/>
  <c r="CL183" i="20"/>
  <c r="CZ274" i="20"/>
  <c r="DD278" i="20" s="1"/>
  <c r="BV295" i="20"/>
  <c r="CB504" i="20"/>
  <c r="BV1175" i="10"/>
  <c r="CA1175" i="10" s="1"/>
  <c r="BV329" i="20"/>
  <c r="BT572" i="20"/>
  <c r="CO462" i="20"/>
  <c r="CL880" i="20"/>
  <c r="AX337" i="46"/>
  <c r="BT142" i="46"/>
  <c r="BT159" i="46" s="1"/>
  <c r="BT162" i="46"/>
  <c r="BF529" i="42"/>
  <c r="CQ51" i="41"/>
  <c r="BI529" i="42"/>
  <c r="BI539" i="42"/>
  <c r="BL539" i="42"/>
  <c r="CK311" i="42"/>
  <c r="CK315" i="42" s="1"/>
  <c r="CK317" i="42" s="1"/>
  <c r="CP110" i="49"/>
  <c r="CP325" i="42"/>
  <c r="CP326" i="42" s="1"/>
  <c r="CO424" i="10"/>
  <c r="CC26" i="10"/>
  <c r="CD1208" i="10"/>
  <c r="BD197" i="10"/>
  <c r="BQ300" i="10"/>
  <c r="BP300" i="10"/>
  <c r="BP293" i="10"/>
  <c r="CZ1015" i="10"/>
  <c r="DJ220" i="10"/>
  <c r="DL220" i="10"/>
  <c r="DM220" i="10" s="1"/>
  <c r="DP220" i="10" s="1"/>
  <c r="DQ220" i="10" s="1"/>
  <c r="DR220" i="10" s="1"/>
  <c r="CX295" i="20"/>
  <c r="BU319" i="42"/>
  <c r="CZ1136" i="10"/>
  <c r="CZ22" i="10" s="1"/>
  <c r="BZ377" i="42"/>
  <c r="CK1180" i="10"/>
  <c r="CK1181" i="10" s="1"/>
  <c r="BW1174" i="10"/>
  <c r="CQ1175" i="10"/>
  <c r="CU1177" i="10"/>
  <c r="CD40" i="10"/>
  <c r="CB225" i="20"/>
  <c r="BY572" i="20"/>
  <c r="BU737" i="20"/>
  <c r="AO415" i="46"/>
  <c r="AP407" i="46"/>
  <c r="BV526" i="42"/>
  <c r="BM507" i="42"/>
  <c r="BM510" i="42" s="1"/>
  <c r="BM514" i="42" s="1"/>
  <c r="BM481" i="42"/>
  <c r="BM528" i="42"/>
  <c r="BM538" i="42"/>
  <c r="CG446" i="42"/>
  <c r="CG275" i="42" s="1"/>
  <c r="BY539" i="42"/>
  <c r="CB539" i="42"/>
  <c r="BY529" i="42"/>
  <c r="CL26" i="42"/>
  <c r="BE325" i="42"/>
  <c r="BE295" i="42"/>
  <c r="BZ110" i="49"/>
  <c r="BZ325" i="42"/>
  <c r="BZ326" i="42" s="1"/>
  <c r="CV26" i="10"/>
  <c r="CX1208" i="10"/>
  <c r="BF189" i="10"/>
  <c r="BT405" i="10"/>
  <c r="CH223" i="10"/>
  <c r="CG222" i="10"/>
  <c r="BU239" i="10"/>
  <c r="BX246" i="10" s="1"/>
  <c r="BU197" i="10"/>
  <c r="BU267" i="10"/>
  <c r="CZ267" i="10"/>
  <c r="CZ197" i="10"/>
  <c r="DA197" i="10"/>
  <c r="EK62" i="41"/>
  <c r="EK61" i="41" s="1"/>
  <c r="EK81" i="41" s="1"/>
  <c r="CQ496" i="10"/>
  <c r="CP1039" i="10"/>
  <c r="BY142" i="20"/>
  <c r="CS273" i="20"/>
  <c r="CS274" i="20" s="1"/>
  <c r="CS785" i="20"/>
  <c r="CS781" i="20" s="1"/>
  <c r="DL456" i="20"/>
  <c r="BS153" i="20"/>
  <c r="BN160" i="20"/>
  <c r="CH256" i="20"/>
  <c r="BY494" i="20"/>
  <c r="DJ744" i="10"/>
  <c r="AX1299" i="10"/>
  <c r="CL184" i="46"/>
  <c r="CK185" i="46"/>
  <c r="CL185" i="46" s="1"/>
  <c r="AW417" i="46"/>
  <c r="AX415" i="46"/>
  <c r="CO539" i="42"/>
  <c r="CR539" i="42"/>
  <c r="CO529" i="42"/>
  <c r="DZ51" i="41"/>
  <c r="CZ331" i="42"/>
  <c r="CX336" i="42"/>
  <c r="BZ491" i="42"/>
  <c r="DK40" i="41" s="1"/>
  <c r="DK35" i="41"/>
  <c r="CK553" i="42"/>
  <c r="CB337" i="42"/>
  <c r="CG153" i="42"/>
  <c r="CG472" i="10" s="1"/>
  <c r="CX63" i="10"/>
  <c r="CW64" i="10"/>
  <c r="CN267" i="10"/>
  <c r="DY62" i="41"/>
  <c r="DY61" i="41" s="1"/>
  <c r="DY81" i="41" s="1"/>
  <c r="BZ827" i="10"/>
  <c r="BY476" i="10"/>
  <c r="BY1045" i="10"/>
  <c r="AW387" i="10"/>
  <c r="CU496" i="10"/>
  <c r="CH746" i="10"/>
  <c r="CH912" i="10" s="1"/>
  <c r="CF912" i="10"/>
  <c r="CF911" i="10"/>
  <c r="CF917" i="10"/>
  <c r="CF913" i="10"/>
  <c r="CF914" i="10"/>
  <c r="CF1015" i="10" s="1"/>
  <c r="CF915" i="10"/>
  <c r="CT801" i="20"/>
  <c r="CH928" i="20"/>
  <c r="CE1174" i="10"/>
  <c r="CL451" i="20"/>
  <c r="CW185" i="46"/>
  <c r="CX185" i="46" s="1"/>
  <c r="CX184" i="46"/>
  <c r="AP325" i="46"/>
  <c r="BZ27" i="42"/>
  <c r="CP178" i="42"/>
  <c r="CN424" i="10"/>
  <c r="BZ476" i="42"/>
  <c r="BZ478" i="42" s="1"/>
  <c r="BY267" i="10"/>
  <c r="AZ387" i="10"/>
  <c r="DS60" i="41"/>
  <c r="BR189" i="10"/>
  <c r="BW189" i="10" s="1"/>
  <c r="CH827" i="10"/>
  <c r="CD831" i="10"/>
  <c r="CI496" i="10"/>
  <c r="CH1039" i="10"/>
  <c r="CS911" i="10"/>
  <c r="CS913" i="10"/>
  <c r="CS914" i="10"/>
  <c r="CS1015" i="10" s="1"/>
  <c r="CS915" i="10"/>
  <c r="CS917" i="10"/>
  <c r="CS912" i="10"/>
  <c r="CC911" i="10"/>
  <c r="CC912" i="10"/>
  <c r="CC913" i="10"/>
  <c r="CC914" i="10"/>
  <c r="CC915" i="10"/>
  <c r="CC917" i="10"/>
  <c r="CX746" i="10"/>
  <c r="CX917" i="10" s="1"/>
  <c r="CV913" i="10"/>
  <c r="CV917" i="10"/>
  <c r="CV912" i="10"/>
  <c r="CV914" i="10"/>
  <c r="CV1015" i="10" s="1"/>
  <c r="CV915" i="10"/>
  <c r="CV911" i="10"/>
  <c r="CV273" i="20"/>
  <c r="CX232" i="20"/>
  <c r="CL112" i="10"/>
  <c r="CL159" i="20"/>
  <c r="CP159" i="20"/>
  <c r="CB737" i="20"/>
  <c r="BX462" i="20"/>
  <c r="BE57" i="46"/>
  <c r="BH54" i="46" s="1"/>
  <c r="BJ54" i="46" s="1"/>
  <c r="BF43" i="46"/>
  <c r="AX526" i="42"/>
  <c r="CI49" i="41"/>
  <c r="BD529" i="42"/>
  <c r="BD539" i="42"/>
  <c r="BE539" i="42"/>
  <c r="BX46" i="43"/>
  <c r="CC320" i="42"/>
  <c r="CV1136" i="10"/>
  <c r="CV22" i="10" s="1"/>
  <c r="CX1134" i="10"/>
  <c r="CX1136" i="10" s="1"/>
  <c r="CO267" i="10"/>
  <c r="CR197" i="10"/>
  <c r="DZ62" i="41"/>
  <c r="DZ61" i="41" s="1"/>
  <c r="DZ81" i="41" s="1"/>
  <c r="BE387" i="10"/>
  <c r="CT746" i="10"/>
  <c r="CT915" i="10" s="1"/>
  <c r="CR917" i="10"/>
  <c r="CR911" i="10"/>
  <c r="CR912" i="10"/>
  <c r="CR914" i="10"/>
  <c r="CR1015" i="10" s="1"/>
  <c r="CR915" i="10"/>
  <c r="CR913" i="10"/>
  <c r="CN304" i="20"/>
  <c r="CP299" i="20"/>
  <c r="CR304" i="20"/>
  <c r="CV197" i="20"/>
  <c r="CS197" i="20"/>
  <c r="CS198" i="20"/>
  <c r="BX142" i="20"/>
  <c r="CO273" i="20"/>
  <c r="CO785" i="20"/>
  <c r="CO781" i="20" s="1"/>
  <c r="CP218" i="20"/>
  <c r="CR273" i="20"/>
  <c r="CT232" i="20"/>
  <c r="CV335" i="20"/>
  <c r="CZ335" i="20"/>
  <c r="BR1175" i="10"/>
  <c r="BR1180" i="10" s="1"/>
  <c r="BR329" i="20"/>
  <c r="DB332" i="20"/>
  <c r="DB330" i="20"/>
  <c r="DF335" i="20" s="1"/>
  <c r="CD614" i="20"/>
  <c r="BE659" i="20"/>
  <c r="AX737" i="20"/>
  <c r="BQ849" i="20"/>
  <c r="AP298" i="46"/>
  <c r="AP299" i="46" s="1"/>
  <c r="AP278" i="46" s="1"/>
  <c r="BU142" i="10"/>
  <c r="AV430" i="10"/>
  <c r="BX50" i="10"/>
  <c r="CM1174" i="10"/>
  <c r="CV46" i="43"/>
  <c r="CW311" i="42"/>
  <c r="CW315" i="42" s="1"/>
  <c r="BE251" i="46"/>
  <c r="BF417" i="46"/>
  <c r="BE358" i="46"/>
  <c r="AO15" i="43"/>
  <c r="AO17" i="43" s="1"/>
  <c r="AO34" i="43" s="1"/>
  <c r="AO32" i="43"/>
  <c r="CV68" i="46"/>
  <c r="EG67" i="41"/>
  <c r="AB531" i="42"/>
  <c r="BZ63" i="42"/>
  <c r="BZ69" i="42" s="1"/>
  <c r="CV223" i="42"/>
  <c r="CV193" i="42"/>
  <c r="EG48" i="41"/>
  <c r="BH210" i="42"/>
  <c r="CR962" i="10"/>
  <c r="CR963" i="10" s="1"/>
  <c r="AX13" i="41"/>
  <c r="CP205" i="10"/>
  <c r="CL828" i="10"/>
  <c r="CL840" i="10" s="1"/>
  <c r="BX286" i="10"/>
  <c r="BX287" i="10" s="1"/>
  <c r="AP1226" i="10"/>
  <c r="AP1227" i="10" s="1"/>
  <c r="BP223" i="20"/>
  <c r="CG335" i="20"/>
  <c r="CT141" i="20"/>
  <c r="BU198" i="20"/>
  <c r="BU197" i="20"/>
  <c r="CP295" i="20"/>
  <c r="BU659" i="20"/>
  <c r="CG805" i="20"/>
  <c r="CH805" i="20" s="1"/>
  <c r="CK841" i="20"/>
  <c r="BU95" i="10"/>
  <c r="BU13" i="10" s="1"/>
  <c r="AX667" i="20"/>
  <c r="DI136" i="46"/>
  <c r="DK136" i="46" s="1"/>
  <c r="CZ529" i="42"/>
  <c r="CZ539" i="42"/>
  <c r="DA539" i="42"/>
  <c r="EK51" i="41"/>
  <c r="X101" i="42"/>
  <c r="Y539" i="42"/>
  <c r="Y540" i="42" s="1"/>
  <c r="X529" i="42"/>
  <c r="X533" i="42" s="1"/>
  <c r="X539" i="42"/>
  <c r="AF36" i="43"/>
  <c r="AF35" i="43"/>
  <c r="AR35" i="43"/>
  <c r="AN101" i="42"/>
  <c r="AO538" i="42" s="1"/>
  <c r="AN529" i="42"/>
  <c r="AN533" i="42" s="1"/>
  <c r="AN539" i="42"/>
  <c r="AO539" i="42"/>
  <c r="BJ63" i="42"/>
  <c r="BJ69" i="42" s="1"/>
  <c r="BV313" i="42"/>
  <c r="BV317" i="42"/>
  <c r="AC272" i="42"/>
  <c r="AD272" i="42" s="1"/>
  <c r="AD361" i="42"/>
  <c r="CV424" i="10"/>
  <c r="CO407" i="10"/>
  <c r="AU33" i="41"/>
  <c r="BI197" i="10"/>
  <c r="BI239" i="10"/>
  <c r="BL246" i="10" s="1"/>
  <c r="BI267" i="10"/>
  <c r="BI286" i="10"/>
  <c r="BI287" i="10" s="1"/>
  <c r="BP287" i="10"/>
  <c r="CW95" i="10"/>
  <c r="CW13" i="10" s="1"/>
  <c r="CX13" i="10" s="1"/>
  <c r="DB912" i="10"/>
  <c r="DB914" i="10"/>
  <c r="BM239" i="10"/>
  <c r="BM246" i="10" s="1"/>
  <c r="BN225" i="10"/>
  <c r="BZ142" i="20"/>
  <c r="DL300" i="20"/>
  <c r="DP300" i="20" s="1"/>
  <c r="DP90" i="10" s="1"/>
  <c r="DJ300" i="20"/>
  <c r="DJ90" i="10" s="1"/>
  <c r="CP332" i="20"/>
  <c r="BL464" i="20"/>
  <c r="AX142" i="20"/>
  <c r="AV142" i="20"/>
  <c r="CV223" i="20"/>
  <c r="BQ334" i="20"/>
  <c r="BQ330" i="20"/>
  <c r="BQ335" i="20" s="1"/>
  <c r="CW273" i="20"/>
  <c r="CW785" i="20"/>
  <c r="CW781" i="20" s="1"/>
  <c r="BZ330" i="20"/>
  <c r="BZ333" i="20"/>
  <c r="CD333" i="20"/>
  <c r="BU190" i="20"/>
  <c r="CF113" i="46"/>
  <c r="CK137" i="42"/>
  <c r="CK600" i="20" s="1"/>
  <c r="CY112" i="10"/>
  <c r="BT191" i="20"/>
  <c r="CC46" i="46"/>
  <c r="CZ138" i="46"/>
  <c r="CZ154" i="46"/>
  <c r="AV398" i="46"/>
  <c r="AV400" i="46" s="1"/>
  <c r="AV351" i="46" s="1"/>
  <c r="AU30" i="43"/>
  <c r="AT35" i="43"/>
  <c r="AT36" i="43"/>
  <c r="BB529" i="42"/>
  <c r="AZ481" i="42"/>
  <c r="AZ485" i="42" s="1"/>
  <c r="AZ507" i="42"/>
  <c r="AZ510" i="42" s="1"/>
  <c r="AZ528" i="42"/>
  <c r="AW539" i="42"/>
  <c r="AZ539" i="42"/>
  <c r="AW529" i="42"/>
  <c r="CP477" i="42"/>
  <c r="CG1225" i="10"/>
  <c r="AM19" i="41"/>
  <c r="CX831" i="10"/>
  <c r="CX1044" i="10"/>
  <c r="CE354" i="10"/>
  <c r="DB831" i="10"/>
  <c r="CH828" i="10"/>
  <c r="CH840" i="10" s="1"/>
  <c r="CY495" i="10"/>
  <c r="CX1038" i="10"/>
  <c r="DI720" i="20"/>
  <c r="DJ720" i="20" s="1"/>
  <c r="DM767" i="20"/>
  <c r="DM764" i="20" s="1"/>
  <c r="BV125" i="20"/>
  <c r="BU132" i="20"/>
  <c r="BY132" i="20"/>
  <c r="CN273" i="20"/>
  <c r="CN274" i="20" s="1"/>
  <c r="CP232" i="20"/>
  <c r="CL295" i="20"/>
  <c r="DL766" i="20"/>
  <c r="AN678" i="20"/>
  <c r="AP672" i="20"/>
  <c r="AZ659" i="20"/>
  <c r="BB335" i="42"/>
  <c r="AX1292" i="10"/>
  <c r="BD1300" i="10"/>
  <c r="BF1292" i="10" s="1"/>
  <c r="BB322" i="20"/>
  <c r="BI493" i="20"/>
  <c r="BI495" i="20" s="1"/>
  <c r="BL825" i="20"/>
  <c r="AP346" i="46"/>
  <c r="BH46" i="43"/>
  <c r="CJ539" i="42"/>
  <c r="CK539" i="42"/>
  <c r="CJ529" i="42"/>
  <c r="DU51" i="41"/>
  <c r="AR101" i="42"/>
  <c r="AR529" i="42"/>
  <c r="AR533" i="42" s="1"/>
  <c r="AR539" i="42"/>
  <c r="H28" i="41"/>
  <c r="BU539" i="42"/>
  <c r="BT529" i="42"/>
  <c r="BT539" i="42"/>
  <c r="CK223" i="42"/>
  <c r="CL172" i="42"/>
  <c r="DV48" i="41"/>
  <c r="BJ110" i="49"/>
  <c r="BJ325" i="42"/>
  <c r="BJ326" i="42" s="1"/>
  <c r="AI30" i="43"/>
  <c r="AH36" i="43"/>
  <c r="AK273" i="42"/>
  <c r="BF526" i="42"/>
  <c r="CQ49" i="41"/>
  <c r="CH377" i="42"/>
  <c r="BT407" i="10"/>
  <c r="Z33" i="41"/>
  <c r="AF387" i="42"/>
  <c r="AF385" i="42" s="1"/>
  <c r="AF382" i="42"/>
  <c r="AG380" i="42"/>
  <c r="BX692" i="10"/>
  <c r="BZ692" i="10" s="1"/>
  <c r="BZ690" i="10"/>
  <c r="CG225" i="10"/>
  <c r="BZ828" i="10"/>
  <c r="CT828" i="10"/>
  <c r="CT840" i="10" s="1"/>
  <c r="CD825" i="10"/>
  <c r="DL328" i="20"/>
  <c r="BB721" i="10"/>
  <c r="CH829" i="10"/>
  <c r="BV1173" i="10"/>
  <c r="BW1173" i="10" s="1"/>
  <c r="BV217" i="20"/>
  <c r="CZ198" i="20"/>
  <c r="DB913" i="10"/>
  <c r="CJ562" i="20"/>
  <c r="CN562" i="20"/>
  <c r="AW49" i="41"/>
  <c r="DJ925" i="20"/>
  <c r="DN929" i="20" s="1"/>
  <c r="DJ877" i="20"/>
  <c r="DL929" i="20"/>
  <c r="BA246" i="46"/>
  <c r="BB246" i="46" s="1"/>
  <c r="DC1174" i="10"/>
  <c r="CR449" i="10"/>
  <c r="CR18" i="10" s="1"/>
  <c r="CE1177" i="10"/>
  <c r="BB95" i="10"/>
  <c r="M37" i="78"/>
  <c r="AO36" i="46"/>
  <c r="AO48" i="46" s="1"/>
  <c r="AO49" i="46" s="1"/>
  <c r="AO44" i="46"/>
  <c r="CS101" i="42"/>
  <c r="CV538" i="42" s="1"/>
  <c r="CS539" i="42"/>
  <c r="CV539" i="42"/>
  <c r="CS529" i="42"/>
  <c r="ED51" i="41"/>
  <c r="BH101" i="42"/>
  <c r="BH539" i="42"/>
  <c r="BH529" i="42"/>
  <c r="CC101" i="42"/>
  <c r="CF538" i="42" s="1"/>
  <c r="CC529" i="42"/>
  <c r="CC539" i="42"/>
  <c r="CF539" i="42"/>
  <c r="BK27" i="43"/>
  <c r="CU18" i="41"/>
  <c r="CF153" i="42"/>
  <c r="CD152" i="42"/>
  <c r="CO294" i="42"/>
  <c r="BA273" i="42"/>
  <c r="BB273" i="42" s="1"/>
  <c r="BB368" i="42"/>
  <c r="BL481" i="42"/>
  <c r="BL528" i="42"/>
  <c r="BL507" i="42"/>
  <c r="BL510" i="42" s="1"/>
  <c r="BY405" i="10"/>
  <c r="AE31" i="41"/>
  <c r="CS317" i="42"/>
  <c r="CS318" i="42" s="1"/>
  <c r="CS320" i="42" s="1"/>
  <c r="AT361" i="42"/>
  <c r="BY440" i="42"/>
  <c r="BY1225" i="10"/>
  <c r="AE19" i="41"/>
  <c r="CF1136" i="10"/>
  <c r="CF22" i="10" s="1"/>
  <c r="DM318" i="20"/>
  <c r="CX829" i="10"/>
  <c r="DB829" i="10"/>
  <c r="AO49" i="41"/>
  <c r="BT562" i="20"/>
  <c r="BX562" i="20"/>
  <c r="CH365" i="20"/>
  <c r="CF659" i="20"/>
  <c r="BL737" i="20"/>
  <c r="CT222" i="20"/>
  <c r="AW68" i="41"/>
  <c r="AW82" i="41"/>
  <c r="DI33" i="46"/>
  <c r="DJ33" i="46" s="1"/>
  <c r="BT107" i="10"/>
  <c r="BT14" i="10" s="1"/>
  <c r="BT42" i="49" s="1"/>
  <c r="BT69" i="49" s="1"/>
  <c r="BT167" i="49" s="1"/>
  <c r="BT270" i="49" s="1"/>
  <c r="CG155" i="10"/>
  <c r="BD81" i="10"/>
  <c r="BD82" i="10" s="1"/>
  <c r="BL142" i="46"/>
  <c r="BL159" i="46" s="1"/>
  <c r="BL162" i="46"/>
  <c r="BW27" i="43"/>
  <c r="DG18" i="41"/>
  <c r="BX101" i="42"/>
  <c r="BX538" i="42" s="1"/>
  <c r="BX539" i="42"/>
  <c r="BX529" i="42"/>
  <c r="AC101" i="42"/>
  <c r="AF539" i="42"/>
  <c r="AC529" i="42"/>
  <c r="AC533" i="42" s="1"/>
  <c r="DM110" i="42"/>
  <c r="DN383" i="42"/>
  <c r="CB481" i="42"/>
  <c r="CO137" i="42"/>
  <c r="CO600" i="20" s="1"/>
  <c r="CW1225" i="10"/>
  <c r="BC19" i="41"/>
  <c r="AX335" i="42"/>
  <c r="AT272" i="42"/>
  <c r="CB697" i="10"/>
  <c r="CB758" i="10"/>
  <c r="CB693" i="10"/>
  <c r="CZ440" i="42"/>
  <c r="CZ1225" i="10"/>
  <c r="BF19" i="41"/>
  <c r="BP407" i="10"/>
  <c r="V33" i="41"/>
  <c r="BE197" i="10"/>
  <c r="BE239" i="10"/>
  <c r="BH246" i="10" s="1"/>
  <c r="BH387" i="10"/>
  <c r="CK197" i="10"/>
  <c r="CJ197" i="10"/>
  <c r="DU62" i="41"/>
  <c r="DU61" i="41" s="1"/>
  <c r="DU81" i="41" s="1"/>
  <c r="BY295" i="10"/>
  <c r="BY307" i="10"/>
  <c r="CP831" i="10"/>
  <c r="CB481" i="10"/>
  <c r="CB464" i="10" s="1"/>
  <c r="AH32" i="41" s="1"/>
  <c r="CB658" i="10"/>
  <c r="BB746" i="10"/>
  <c r="CD746" i="10"/>
  <c r="CD915" i="10" s="1"/>
  <c r="BV141" i="20"/>
  <c r="BZ141" i="20"/>
  <c r="CB562" i="20"/>
  <c r="CF562" i="20"/>
  <c r="BU330" i="20"/>
  <c r="BU334" i="20"/>
  <c r="DB334" i="20"/>
  <c r="CL365" i="20"/>
  <c r="EL48" i="41"/>
  <c r="DB172" i="42"/>
  <c r="DA223" i="42"/>
  <c r="DB370" i="42"/>
  <c r="DB40" i="10"/>
  <c r="DI719" i="20"/>
  <c r="DM766" i="20"/>
  <c r="DQ766" i="20" s="1"/>
  <c r="DQ719" i="20" s="1"/>
  <c r="DJ766" i="20"/>
  <c r="DM604" i="20"/>
  <c r="DQ604" i="20" s="1"/>
  <c r="DJ604" i="20"/>
  <c r="DI578" i="20"/>
  <c r="DI585" i="20" s="1"/>
  <c r="DB654" i="20"/>
  <c r="DF659" i="20" s="1"/>
  <c r="DI102" i="10"/>
  <c r="DM1143" i="10"/>
  <c r="DA236" i="20"/>
  <c r="DA243" i="20" s="1"/>
  <c r="DA273" i="20"/>
  <c r="DE277" i="20" s="1"/>
  <c r="DA785" i="20"/>
  <c r="DA781" i="20" s="1"/>
  <c r="DB232" i="20"/>
  <c r="DA962" i="10"/>
  <c r="DA963" i="10" s="1"/>
  <c r="DA107" i="10"/>
  <c r="DA14" i="10" s="1"/>
  <c r="DB14" i="10" s="1"/>
  <c r="DB105" i="10"/>
  <c r="DB107" i="10" s="1"/>
  <c r="DA951" i="10"/>
  <c r="DA952" i="10" s="1"/>
  <c r="BG14" i="41"/>
  <c r="DB23" i="10"/>
  <c r="DJ712" i="10"/>
  <c r="DL712" i="10"/>
  <c r="CD101" i="42"/>
  <c r="CD529" i="42"/>
  <c r="CP104" i="46"/>
  <c r="Q450" i="42"/>
  <c r="R447" i="42"/>
  <c r="R450" i="42" s="1"/>
  <c r="AX307" i="46"/>
  <c r="AX308" i="46" s="1"/>
  <c r="AX298" i="46"/>
  <c r="AX299" i="46" s="1"/>
  <c r="BD279" i="46"/>
  <c r="BD273" i="46"/>
  <c r="CV246" i="10"/>
  <c r="CV238" i="10"/>
  <c r="CT225" i="20"/>
  <c r="CT529" i="42"/>
  <c r="AT300" i="46"/>
  <c r="AT278" i="46"/>
  <c r="AT262" i="46"/>
  <c r="AV273" i="46"/>
  <c r="AV279" i="46"/>
  <c r="CG48" i="10"/>
  <c r="CG49" i="10"/>
  <c r="CO48" i="10"/>
  <c r="CO49" i="10"/>
  <c r="DC545" i="20"/>
  <c r="BN101" i="42"/>
  <c r="CH104" i="46"/>
  <c r="G43" i="41"/>
  <c r="CR42" i="49"/>
  <c r="CR69" i="49" s="1"/>
  <c r="CT14" i="10"/>
  <c r="CR408" i="10"/>
  <c r="CR1149" i="10"/>
  <c r="AX34" i="41"/>
  <c r="O43" i="41"/>
  <c r="BN502" i="10"/>
  <c r="BL503" i="10" s="1"/>
  <c r="BL476" i="10"/>
  <c r="CG243" i="20"/>
  <c r="CG816" i="10"/>
  <c r="CV54" i="46"/>
  <c r="CW114" i="46"/>
  <c r="CX114" i="46" s="1"/>
  <c r="CX105" i="46"/>
  <c r="BF228" i="49"/>
  <c r="BF331" i="49"/>
  <c r="CO36" i="46"/>
  <c r="CO48" i="46" s="1"/>
  <c r="CO49" i="46" s="1"/>
  <c r="CO44" i="46"/>
  <c r="CB54" i="46"/>
  <c r="BX114" i="46"/>
  <c r="BJ221" i="49"/>
  <c r="BJ324" i="49"/>
  <c r="BJ232" i="49"/>
  <c r="BJ335" i="49"/>
  <c r="CT444" i="42"/>
  <c r="BR331" i="49"/>
  <c r="BQ331" i="49" s="1"/>
  <c r="BR228" i="49"/>
  <c r="CS23" i="46"/>
  <c r="CS44" i="46"/>
  <c r="AR44" i="46"/>
  <c r="AR355" i="46" s="1"/>
  <c r="AR36" i="46"/>
  <c r="AR48" i="46" s="1"/>
  <c r="AR49" i="46" s="1"/>
  <c r="DA44" i="46"/>
  <c r="DA36" i="46"/>
  <c r="DA48" i="46" s="1"/>
  <c r="DA49" i="46" s="1"/>
  <c r="DA154" i="46"/>
  <c r="DA138" i="46"/>
  <c r="AZ273" i="46"/>
  <c r="AZ279" i="46"/>
  <c r="AK35" i="43"/>
  <c r="AK36" i="43"/>
  <c r="CB54" i="43"/>
  <c r="CC446" i="42"/>
  <c r="CX27" i="42"/>
  <c r="DI129" i="42"/>
  <c r="DA45" i="42"/>
  <c r="DB26" i="42"/>
  <c r="DI54" i="42"/>
  <c r="CX63" i="42"/>
  <c r="CX69" i="42" s="1"/>
  <c r="DI66" i="42"/>
  <c r="CK102" i="42"/>
  <c r="CK115" i="42"/>
  <c r="CH491" i="42"/>
  <c r="DS40" i="41" s="1"/>
  <c r="CH477" i="42"/>
  <c r="CH476" i="42"/>
  <c r="CH478" i="42" s="1"/>
  <c r="DS35" i="41"/>
  <c r="BV177" i="42"/>
  <c r="BQ424" i="10"/>
  <c r="BJ8" i="49"/>
  <c r="BJ333" i="49"/>
  <c r="BJ27" i="49" s="1"/>
  <c r="BJ230" i="49"/>
  <c r="BJ15" i="49" s="1"/>
  <c r="CH99" i="42"/>
  <c r="CV528" i="42"/>
  <c r="CV507" i="42"/>
  <c r="CV510" i="42" s="1"/>
  <c r="CV481" i="42"/>
  <c r="DJ41" i="46"/>
  <c r="DM41" i="46" s="1"/>
  <c r="DP41" i="46" s="1"/>
  <c r="DL41" i="46"/>
  <c r="AV260" i="46"/>
  <c r="AV356" i="46"/>
  <c r="CD80" i="46"/>
  <c r="DO67" i="41" s="1"/>
  <c r="CC68" i="46"/>
  <c r="CT80" i="46"/>
  <c r="EE67" i="41" s="1"/>
  <c r="CS68" i="46"/>
  <c r="ED67" i="41"/>
  <c r="BI69" i="46"/>
  <c r="BJ69" i="46" s="1"/>
  <c r="BI87" i="46"/>
  <c r="BI103" i="46"/>
  <c r="BI104" i="46" s="1"/>
  <c r="BI106" i="46" s="1"/>
  <c r="BU154" i="46"/>
  <c r="BU138" i="46"/>
  <c r="CW138" i="46"/>
  <c r="CW154" i="46"/>
  <c r="CO159" i="46"/>
  <c r="BE330" i="46"/>
  <c r="BF328" i="46"/>
  <c r="BF330" i="46" s="1"/>
  <c r="AS249" i="46"/>
  <c r="AS250" i="46" s="1"/>
  <c r="AT250" i="46" s="1"/>
  <c r="AS353" i="46"/>
  <c r="AT400" i="46"/>
  <c r="AT353" i="46" s="1"/>
  <c r="AO273" i="46"/>
  <c r="AO279" i="46"/>
  <c r="DB152" i="42"/>
  <c r="DA153" i="42"/>
  <c r="BM115" i="42"/>
  <c r="CD23" i="46"/>
  <c r="CD44" i="46"/>
  <c r="BT114" i="46"/>
  <c r="CJ68" i="46"/>
  <c r="DU67" i="41"/>
  <c r="BX138" i="46"/>
  <c r="BX154" i="46"/>
  <c r="CR103" i="46"/>
  <c r="CR104" i="46" s="1"/>
  <c r="CR113" i="46" s="1"/>
  <c r="EC69" i="41" s="1"/>
  <c r="CR87" i="46"/>
  <c r="CR95" i="46" s="1"/>
  <c r="CR97" i="46" s="1"/>
  <c r="CR69" i="46"/>
  <c r="AV299" i="46"/>
  <c r="AV245" i="46"/>
  <c r="AV246" i="46" s="1"/>
  <c r="AV254" i="46" s="1"/>
  <c r="AV255" i="46"/>
  <c r="BB377" i="46"/>
  <c r="BB368" i="46"/>
  <c r="BB369" i="46" s="1"/>
  <c r="BA369" i="46"/>
  <c r="BA372" i="46" s="1"/>
  <c r="BB372" i="46" s="1"/>
  <c r="BD250" i="46"/>
  <c r="CR156" i="42"/>
  <c r="BH115" i="42"/>
  <c r="BI193" i="46"/>
  <c r="BI210" i="42"/>
  <c r="CC387" i="10"/>
  <c r="CC826" i="10"/>
  <c r="AX41" i="49"/>
  <c r="CE72" i="49"/>
  <c r="CD170" i="49"/>
  <c r="CD273" i="49"/>
  <c r="DJ47" i="49"/>
  <c r="BL182" i="49"/>
  <c r="BL285" i="49" s="1"/>
  <c r="BV56" i="49"/>
  <c r="BV84" i="49" s="1"/>
  <c r="BV1224" i="10"/>
  <c r="AB17" i="41"/>
  <c r="DB56" i="49"/>
  <c r="DB84" i="49" s="1"/>
  <c r="DB1224" i="10"/>
  <c r="BH17" i="41"/>
  <c r="BN58" i="49"/>
  <c r="BJ44" i="46"/>
  <c r="BJ36" i="46"/>
  <c r="BJ48" i="46" s="1"/>
  <c r="BJ49" i="46" s="1"/>
  <c r="CG219" i="46"/>
  <c r="CG207" i="46"/>
  <c r="CH217" i="46"/>
  <c r="BI114" i="46"/>
  <c r="BJ114" i="46" s="1"/>
  <c r="BJ105" i="46"/>
  <c r="BN68" i="46"/>
  <c r="BM138" i="46"/>
  <c r="CS154" i="46"/>
  <c r="CS138" i="46"/>
  <c r="CW159" i="46"/>
  <c r="AR250" i="46"/>
  <c r="AR255" i="46"/>
  <c r="AR256" i="46" s="1"/>
  <c r="BF177" i="42"/>
  <c r="BI194" i="46"/>
  <c r="BI223" i="42"/>
  <c r="BI224" i="42" s="1"/>
  <c r="BI232" i="42" s="1"/>
  <c r="BJ172" i="42"/>
  <c r="BI193" i="42"/>
  <c r="BR178" i="42"/>
  <c r="BL491" i="42"/>
  <c r="BL477" i="42"/>
  <c r="BL476" i="42"/>
  <c r="BL478" i="42" s="1"/>
  <c r="AB515" i="42"/>
  <c r="AB520" i="42" s="1"/>
  <c r="BL41" i="49"/>
  <c r="BL68" i="49" s="1"/>
  <c r="BL166" i="49" s="1"/>
  <c r="BL269" i="49" s="1"/>
  <c r="BN13" i="10"/>
  <c r="BL407" i="10"/>
  <c r="R33" i="41"/>
  <c r="CO387" i="10"/>
  <c r="CO826" i="10"/>
  <c r="BM182" i="49"/>
  <c r="BM285" i="49" s="1"/>
  <c r="CL63" i="10"/>
  <c r="CK64" i="10"/>
  <c r="B3" i="51"/>
  <c r="B4" i="51"/>
  <c r="B9" i="51"/>
  <c r="B8" i="51"/>
  <c r="B28" i="51"/>
  <c r="B5" i="51"/>
  <c r="B6" i="51"/>
  <c r="CN48" i="46"/>
  <c r="CN49" i="46" s="1"/>
  <c r="CC219" i="46"/>
  <c r="EK68" i="41"/>
  <c r="DL148" i="46"/>
  <c r="DM148" i="46" s="1"/>
  <c r="DP148" i="46" s="1"/>
  <c r="DQ148" i="46" s="1"/>
  <c r="DR148" i="46" s="1"/>
  <c r="DJ148" i="46"/>
  <c r="DK148" i="46" s="1"/>
  <c r="BP70" i="46"/>
  <c r="CB69" i="46"/>
  <c r="CB70" i="46" s="1"/>
  <c r="CB103" i="46"/>
  <c r="CB104" i="46" s="1"/>
  <c r="CB113" i="46" s="1"/>
  <c r="CB87" i="46"/>
  <c r="CB95" i="46" s="1"/>
  <c r="CB97" i="46" s="1"/>
  <c r="CV154" i="46"/>
  <c r="CV138" i="46"/>
  <c r="BQ159" i="46"/>
  <c r="CZ207" i="46"/>
  <c r="CZ219" i="46"/>
  <c r="AO299" i="46"/>
  <c r="AO245" i="46"/>
  <c r="AP245" i="46" s="1"/>
  <c r="AT251" i="46"/>
  <c r="DI65" i="42"/>
  <c r="CD178" i="42"/>
  <c r="CB424" i="10"/>
  <c r="BQ193" i="46"/>
  <c r="BQ210" i="42"/>
  <c r="AX360" i="42"/>
  <c r="AV361" i="42"/>
  <c r="BF162" i="49"/>
  <c r="BF265" i="49"/>
  <c r="BF170" i="49"/>
  <c r="BF273" i="49"/>
  <c r="BV170" i="49"/>
  <c r="BW72" i="49"/>
  <c r="BV273" i="49"/>
  <c r="BI182" i="49"/>
  <c r="BI285" i="49" s="1"/>
  <c r="BT182" i="49"/>
  <c r="BT285" i="49" s="1"/>
  <c r="CT182" i="49"/>
  <c r="CT285" i="49"/>
  <c r="BF178" i="42"/>
  <c r="BM224" i="42"/>
  <c r="BP228" i="42" s="1"/>
  <c r="CS197" i="42"/>
  <c r="CR201" i="42"/>
  <c r="Q267" i="42"/>
  <c r="Q271" i="42" s="1"/>
  <c r="Q276" i="42" s="1"/>
  <c r="P271" i="42"/>
  <c r="BH267" i="42"/>
  <c r="CC267" i="42"/>
  <c r="CL293" i="49"/>
  <c r="CL190" i="49"/>
  <c r="BN360" i="42"/>
  <c r="BL361" i="42"/>
  <c r="CL96" i="49"/>
  <c r="CR331" i="42"/>
  <c r="CP336" i="42"/>
  <c r="AS339" i="42"/>
  <c r="AS344" i="42" s="1"/>
  <c r="AR345" i="42"/>
  <c r="BT354" i="42"/>
  <c r="AZ377" i="42"/>
  <c r="BB377" i="42" s="1"/>
  <c r="BB374" i="42"/>
  <c r="BY401" i="42"/>
  <c r="BZ401" i="42" s="1"/>
  <c r="BZ403" i="42" s="1"/>
  <c r="AF423" i="42"/>
  <c r="CP496" i="42"/>
  <c r="CP500" i="42"/>
  <c r="CS42" i="49"/>
  <c r="CS69" i="49" s="1"/>
  <c r="CS167" i="49" s="1"/>
  <c r="CS408" i="10"/>
  <c r="AY34" i="41"/>
  <c r="CJ86" i="49"/>
  <c r="CN26" i="10"/>
  <c r="CP1208" i="10"/>
  <c r="DJ55" i="49"/>
  <c r="BU182" i="49"/>
  <c r="BU285" i="49" s="1"/>
  <c r="BN64" i="10"/>
  <c r="BZ64" i="10"/>
  <c r="AX130" i="10"/>
  <c r="BR130" i="10"/>
  <c r="BB378" i="10"/>
  <c r="BM378" i="10"/>
  <c r="BO189" i="10"/>
  <c r="CB238" i="10"/>
  <c r="BY238" i="10"/>
  <c r="CX198" i="42"/>
  <c r="CW202" i="42"/>
  <c r="CZ202" i="42"/>
  <c r="CT207" i="42"/>
  <c r="BT193" i="46"/>
  <c r="BT210" i="42"/>
  <c r="BT99" i="49"/>
  <c r="BU267" i="42"/>
  <c r="BB313" i="42"/>
  <c r="BB315" i="42"/>
  <c r="CD191" i="49"/>
  <c r="CD294" i="49"/>
  <c r="BY272" i="42"/>
  <c r="BZ272" i="42" s="1"/>
  <c r="BZ361" i="42"/>
  <c r="BR313" i="49"/>
  <c r="BR210" i="49"/>
  <c r="CX320" i="42"/>
  <c r="AG411" i="42"/>
  <c r="AF413" i="42"/>
  <c r="AF412" i="42"/>
  <c r="BJ423" i="42"/>
  <c r="CX489" i="42"/>
  <c r="EI38" i="41" s="1"/>
  <c r="CB387" i="10"/>
  <c r="CD384" i="10"/>
  <c r="CB826" i="10"/>
  <c r="CN165" i="10"/>
  <c r="CP161" i="10"/>
  <c r="BJ273" i="49"/>
  <c r="BJ170" i="49"/>
  <c r="BK72" i="49"/>
  <c r="BP17" i="10"/>
  <c r="BR423" i="10"/>
  <c r="BM47" i="49"/>
  <c r="BN788" i="20"/>
  <c r="CC47" i="49"/>
  <c r="CD788" i="20"/>
  <c r="BR56" i="49"/>
  <c r="BR84" i="49" s="1"/>
  <c r="BR1224" i="10"/>
  <c r="X17" i="41"/>
  <c r="CX56" i="49"/>
  <c r="CX84" i="49" s="1"/>
  <c r="CX1224" i="10"/>
  <c r="BD17" i="41"/>
  <c r="BJ58" i="49"/>
  <c r="CP58" i="49"/>
  <c r="CE203" i="10"/>
  <c r="CV212" i="10"/>
  <c r="EG63" i="41"/>
  <c r="BV208" i="10"/>
  <c r="ED63" i="41"/>
  <c r="AX376" i="10"/>
  <c r="AW378" i="10"/>
  <c r="CO378" i="10"/>
  <c r="CG350" i="10"/>
  <c r="CT524" i="10"/>
  <c r="CR478" i="10"/>
  <c r="CW478" i="10"/>
  <c r="DL467" i="10"/>
  <c r="DN478" i="10"/>
  <c r="BE480" i="10"/>
  <c r="BP480" i="10"/>
  <c r="BR546" i="10"/>
  <c r="BU480" i="10"/>
  <c r="CF480" i="10"/>
  <c r="CH546" i="10"/>
  <c r="BZ177" i="42"/>
  <c r="CJ194" i="46"/>
  <c r="CJ223" i="42"/>
  <c r="DU48" i="41"/>
  <c r="CT177" i="42"/>
  <c r="BX194" i="46"/>
  <c r="BX193" i="42"/>
  <c r="BX223" i="42"/>
  <c r="BB178" i="42"/>
  <c r="CF201" i="42"/>
  <c r="BJ190" i="49"/>
  <c r="BJ293" i="49"/>
  <c r="BZ191" i="49"/>
  <c r="BZ294" i="49"/>
  <c r="BT94" i="49"/>
  <c r="BV272" i="42"/>
  <c r="BN282" i="42"/>
  <c r="BN286" i="42" s="1"/>
  <c r="BN323" i="42" s="1"/>
  <c r="BL286" i="42"/>
  <c r="BL323" i="42" s="1"/>
  <c r="BL324" i="42" s="1"/>
  <c r="Y43" i="43"/>
  <c r="Y296" i="42"/>
  <c r="AC296" i="42" s="1"/>
  <c r="CH213" i="49"/>
  <c r="CH316" i="49"/>
  <c r="CL336" i="42"/>
  <c r="CN331" i="42"/>
  <c r="CU1" i="10"/>
  <c r="BR105" i="10"/>
  <c r="BR107" i="10" s="1"/>
  <c r="CO107" i="10"/>
  <c r="CO14" i="10" s="1"/>
  <c r="CP14" i="10" s="1"/>
  <c r="CT105" i="10"/>
  <c r="CT107" i="10" s="1"/>
  <c r="CW42" i="49"/>
  <c r="CW69" i="49" s="1"/>
  <c r="CW167" i="49" s="1"/>
  <c r="CW408" i="10"/>
  <c r="BC34" i="41"/>
  <c r="CB47" i="49"/>
  <c r="CD19" i="10"/>
  <c r="BL697" i="10"/>
  <c r="BL758" i="10"/>
  <c r="BL693" i="10"/>
  <c r="BL694" i="10"/>
  <c r="CG51" i="49"/>
  <c r="CG78" i="49" s="1"/>
  <c r="CG962" i="10"/>
  <c r="AM13" i="41"/>
  <c r="CZ86" i="49"/>
  <c r="BF130" i="10"/>
  <c r="AZ148" i="10"/>
  <c r="BB161" i="10"/>
  <c r="AZ165" i="10"/>
  <c r="CG211" i="10"/>
  <c r="CU62" i="41"/>
  <c r="CU61" i="41" s="1"/>
  <c r="BL322" i="10"/>
  <c r="BL325" i="10"/>
  <c r="CW350" i="10"/>
  <c r="BI387" i="10"/>
  <c r="BJ384" i="10"/>
  <c r="AT479" i="10"/>
  <c r="CH524" i="10"/>
  <c r="CF478" i="10"/>
  <c r="CO486" i="10"/>
  <c r="CO463" i="10" s="1"/>
  <c r="CZ486" i="10"/>
  <c r="DB612" i="10"/>
  <c r="AT476" i="10"/>
  <c r="CB477" i="10"/>
  <c r="CD513" i="10"/>
  <c r="CR477" i="10"/>
  <c r="CT513" i="10"/>
  <c r="BY489" i="10"/>
  <c r="BY468" i="10" s="1"/>
  <c r="CX153" i="42"/>
  <c r="CX472" i="10" s="1"/>
  <c r="CV472" i="10"/>
  <c r="BL424" i="10"/>
  <c r="BN178" i="42"/>
  <c r="CD172" i="42"/>
  <c r="CC193" i="42"/>
  <c r="CC194" i="46"/>
  <c r="CF193" i="42"/>
  <c r="CC223" i="42"/>
  <c r="CX207" i="42"/>
  <c r="CW211" i="42"/>
  <c r="CZ211" i="42"/>
  <c r="BF282" i="42"/>
  <c r="BF286" i="42" s="1"/>
  <c r="BF323" i="42" s="1"/>
  <c r="BD286" i="42"/>
  <c r="BD323" i="42" s="1"/>
  <c r="BD324" i="42" s="1"/>
  <c r="BQ89" i="49"/>
  <c r="AP361" i="42"/>
  <c r="CO272" i="42"/>
  <c r="CP272" i="42" s="1"/>
  <c r="CP361" i="42"/>
  <c r="BM295" i="42"/>
  <c r="DB110" i="49"/>
  <c r="DA294" i="42"/>
  <c r="DB325" i="42"/>
  <c r="DB326" i="42" s="1"/>
  <c r="CV319" i="42"/>
  <c r="AR335" i="42"/>
  <c r="AT335" i="42" s="1"/>
  <c r="AT331" i="42"/>
  <c r="CV335" i="42"/>
  <c r="CX335" i="42" s="1"/>
  <c r="CX331" i="42"/>
  <c r="BM11" i="10"/>
  <c r="CV387" i="10"/>
  <c r="CX384" i="10"/>
  <c r="CV826" i="10"/>
  <c r="DA41" i="49"/>
  <c r="DA68" i="49" s="1"/>
  <c r="DA166" i="49" s="1"/>
  <c r="DA407" i="10"/>
  <c r="BG33" i="41"/>
  <c r="BQ17" i="10"/>
  <c r="CN17" i="10"/>
  <c r="CP423" i="10"/>
  <c r="CN697" i="10"/>
  <c r="CP692" i="10"/>
  <c r="CN693" i="10"/>
  <c r="CN758" i="10"/>
  <c r="BQ51" i="49"/>
  <c r="BQ78" i="49" s="1"/>
  <c r="W13" i="41"/>
  <c r="BZ58" i="49"/>
  <c r="CP63" i="10"/>
  <c r="BJ130" i="10"/>
  <c r="DG62" i="41"/>
  <c r="DG61" i="41" s="1"/>
  <c r="AV478" i="10"/>
  <c r="DN609" i="10"/>
  <c r="DL642" i="20"/>
  <c r="BX480" i="10"/>
  <c r="BZ546" i="10"/>
  <c r="CN480" i="10"/>
  <c r="CP546" i="10"/>
  <c r="CV489" i="10"/>
  <c r="CX645" i="10"/>
  <c r="CO723" i="10"/>
  <c r="BL42" i="49"/>
  <c r="BL69" i="49" s="1"/>
  <c r="BL167" i="49" s="1"/>
  <c r="BL270" i="49" s="1"/>
  <c r="BN14" i="10"/>
  <c r="BL408" i="10"/>
  <c r="BL1149" i="10"/>
  <c r="R34" i="41"/>
  <c r="CN464" i="10"/>
  <c r="BT479" i="10"/>
  <c r="BV535" i="10"/>
  <c r="BA476" i="10"/>
  <c r="BH476" i="10"/>
  <c r="BR502" i="10"/>
  <c r="BP503" i="10" s="1"/>
  <c r="BP476" i="10"/>
  <c r="DJ717" i="10"/>
  <c r="CX747" i="10"/>
  <c r="BB153" i="20"/>
  <c r="BD160" i="20"/>
  <c r="AZ115" i="20"/>
  <c r="AZ160" i="20"/>
  <c r="BY814" i="10"/>
  <c r="BY126" i="20"/>
  <c r="DA160" i="20"/>
  <c r="DA225" i="20"/>
  <c r="AW47" i="49"/>
  <c r="BB51" i="49"/>
  <c r="H13" i="41"/>
  <c r="H61" i="41" s="1"/>
  <c r="BD47" i="49"/>
  <c r="BF19" i="10"/>
  <c r="BJ231" i="20"/>
  <c r="BH444" i="10"/>
  <c r="BH449" i="10" s="1"/>
  <c r="BJ234" i="20"/>
  <c r="BM232" i="20"/>
  <c r="BM295" i="20"/>
  <c r="W45" i="41"/>
  <c r="BT483" i="10"/>
  <c r="BV483" i="10" s="1"/>
  <c r="BV579" i="10"/>
  <c r="BU154" i="10"/>
  <c r="BU1143" i="10"/>
  <c r="BU1148" i="10" s="1"/>
  <c r="BY236" i="20"/>
  <c r="BZ236" i="20" s="1"/>
  <c r="BZ231" i="20"/>
  <c r="CJ444" i="10"/>
  <c r="CL234" i="20"/>
  <c r="CN260" i="20"/>
  <c r="CN261" i="20"/>
  <c r="CN262" i="20"/>
  <c r="CN305" i="20"/>
  <c r="DI283" i="20"/>
  <c r="AZ40" i="49"/>
  <c r="BB12" i="10"/>
  <c r="AZ406" i="10"/>
  <c r="F41" i="41"/>
  <c r="AZ449" i="20"/>
  <c r="AZ346" i="20"/>
  <c r="BH348" i="20"/>
  <c r="DM454" i="20"/>
  <c r="DQ454" i="20" s="1"/>
  <c r="DI350" i="20"/>
  <c r="CB817" i="10"/>
  <c r="CB494" i="20"/>
  <c r="CB493" i="20"/>
  <c r="CB481" i="20"/>
  <c r="CD475" i="20"/>
  <c r="CB486" i="20"/>
  <c r="CD555" i="20"/>
  <c r="CC562" i="20"/>
  <c r="CK562" i="20"/>
  <c r="CL555" i="20"/>
  <c r="DA562" i="20"/>
  <c r="DB555" i="20"/>
  <c r="DF562" i="20" s="1"/>
  <c r="BD722" i="20"/>
  <c r="BF716" i="20"/>
  <c r="BR716" i="20"/>
  <c r="BP722" i="20"/>
  <c r="CH716" i="20"/>
  <c r="CF820" i="10"/>
  <c r="CF722" i="20"/>
  <c r="CX716" i="20"/>
  <c r="CV820" i="10"/>
  <c r="CV722" i="20"/>
  <c r="CT95" i="10"/>
  <c r="BD502" i="10"/>
  <c r="BF497" i="10"/>
  <c r="BB519" i="10"/>
  <c r="BD481" i="10"/>
  <c r="BD483" i="10"/>
  <c r="BF483" i="10" s="1"/>
  <c r="BF579" i="10"/>
  <c r="BD485" i="10"/>
  <c r="BF485" i="10" s="1"/>
  <c r="BF601" i="10"/>
  <c r="CJ142" i="10"/>
  <c r="BP678" i="20"/>
  <c r="BR672" i="20"/>
  <c r="BF735" i="20"/>
  <c r="BR213" i="49"/>
  <c r="BR316" i="49"/>
  <c r="BQ314" i="10"/>
  <c r="BE658" i="10"/>
  <c r="BE481" i="10"/>
  <c r="BE464" i="10" s="1"/>
  <c r="K32" i="41" s="1"/>
  <c r="BI479" i="10"/>
  <c r="BE476" i="10"/>
  <c r="O45" i="41"/>
  <c r="CA1129" i="10"/>
  <c r="CI1173" i="10"/>
  <c r="CN48" i="10"/>
  <c r="CN49" i="10"/>
  <c r="CR130" i="10"/>
  <c r="CR132" i="10"/>
  <c r="CT126" i="10"/>
  <c r="DA46" i="10"/>
  <c r="DA50" i="10" s="1"/>
  <c r="AT19" i="10"/>
  <c r="AX81" i="10"/>
  <c r="AX82" i="10" s="1"/>
  <c r="AW82" i="10"/>
  <c r="BA55" i="49"/>
  <c r="BA440" i="42"/>
  <c r="BA1225" i="10"/>
  <c r="G19" i="41"/>
  <c r="BM524" i="10"/>
  <c r="BN524" i="10" s="1"/>
  <c r="BM692" i="10"/>
  <c r="BN692" i="10" s="1"/>
  <c r="BM753" i="10"/>
  <c r="BQ444" i="10"/>
  <c r="BR444" i="10" s="1"/>
  <c r="BQ787" i="20"/>
  <c r="CS82" i="10"/>
  <c r="AZ464" i="20"/>
  <c r="BB411" i="20"/>
  <c r="AZ343" i="20"/>
  <c r="BU464" i="20"/>
  <c r="BU343" i="20"/>
  <c r="BU784" i="20" s="1"/>
  <c r="BU418" i="20"/>
  <c r="BY658" i="10"/>
  <c r="BY481" i="10"/>
  <c r="BY464" i="10" s="1"/>
  <c r="AE32" i="41" s="1"/>
  <c r="CG418" i="20"/>
  <c r="CG464" i="20"/>
  <c r="CG343" i="20"/>
  <c r="CO418" i="20"/>
  <c r="CO343" i="20"/>
  <c r="CO464" i="20"/>
  <c r="BA661" i="20"/>
  <c r="BA545" i="20"/>
  <c r="BF691" i="10"/>
  <c r="BD757" i="10"/>
  <c r="BB497" i="10"/>
  <c r="AX519" i="10"/>
  <c r="AZ480" i="10"/>
  <c r="AX489" i="10"/>
  <c r="CO146" i="10"/>
  <c r="CO1145" i="10"/>
  <c r="CO1148" i="10" s="1"/>
  <c r="BQ47" i="49"/>
  <c r="BR788" i="20"/>
  <c r="BP481" i="10"/>
  <c r="AZ479" i="10"/>
  <c r="BQ479" i="10"/>
  <c r="AZ468" i="10"/>
  <c r="BB489" i="10"/>
  <c r="CL746" i="10"/>
  <c r="CJ911" i="10"/>
  <c r="CJ914" i="10"/>
  <c r="CJ917" i="10"/>
  <c r="CA1133" i="10"/>
  <c r="BW1241" i="10"/>
  <c r="AT23" i="10"/>
  <c r="BA52" i="49"/>
  <c r="G14" i="41"/>
  <c r="CF48" i="10"/>
  <c r="CG132" i="10"/>
  <c r="CG130" i="10"/>
  <c r="CH130" i="10" s="1"/>
  <c r="AW423" i="10"/>
  <c r="AW431" i="10" s="1"/>
  <c r="AW24" i="10"/>
  <c r="BD423" i="10"/>
  <c r="BD431" i="10" s="1"/>
  <c r="BF418" i="10"/>
  <c r="BP48" i="10"/>
  <c r="CJ154" i="10"/>
  <c r="CJ155" i="10" s="1"/>
  <c r="CJ1143" i="10"/>
  <c r="CJ1148" i="10" s="1"/>
  <c r="CL607" i="10"/>
  <c r="CK154" i="10"/>
  <c r="CN155" i="10" s="1"/>
  <c r="CK1143" i="10"/>
  <c r="DJ328" i="20"/>
  <c r="DJ333" i="20" s="1"/>
  <c r="DM328" i="20"/>
  <c r="DQ328" i="20" s="1"/>
  <c r="DQ239" i="20" s="1"/>
  <c r="DI239" i="20"/>
  <c r="AW39" i="49"/>
  <c r="AW405" i="10"/>
  <c r="BE81" i="10"/>
  <c r="BH43" i="49"/>
  <c r="BH70" i="49" s="1"/>
  <c r="BH168" i="49" s="1"/>
  <c r="BH271" i="49" s="1"/>
  <c r="BJ15" i="10"/>
  <c r="BH409" i="10"/>
  <c r="N35" i="41"/>
  <c r="BZ411" i="20"/>
  <c r="BX343" i="20"/>
  <c r="BX418" i="20"/>
  <c r="CJ418" i="20"/>
  <c r="CJ343" i="20"/>
  <c r="CL411" i="20"/>
  <c r="CJ464" i="20"/>
  <c r="DI409" i="20"/>
  <c r="DJ409" i="20" s="1"/>
  <c r="BQ445" i="10"/>
  <c r="BQ475" i="20"/>
  <c r="BU486" i="20" s="1"/>
  <c r="AX627" i="20"/>
  <c r="AX661" i="20" s="1"/>
  <c r="AV661" i="20"/>
  <c r="AV545" i="20"/>
  <c r="BT147" i="10"/>
  <c r="BT142" i="10"/>
  <c r="DE627" i="20"/>
  <c r="DE80" i="10"/>
  <c r="DM58" i="49"/>
  <c r="DB95" i="10"/>
  <c r="BY139" i="10"/>
  <c r="BY100" i="10"/>
  <c r="BY225" i="20"/>
  <c r="BY158" i="20"/>
  <c r="BA1143" i="10"/>
  <c r="BA1148" i="10" s="1"/>
  <c r="BE42" i="49"/>
  <c r="K34" i="41"/>
  <c r="BA480" i="10"/>
  <c r="BR534" i="20"/>
  <c r="BR536" i="20"/>
  <c r="BV536" i="20"/>
  <c r="AX604" i="20"/>
  <c r="BF667" i="20"/>
  <c r="BD672" i="20"/>
  <c r="CB773" i="20"/>
  <c r="BX773" i="20"/>
  <c r="CW773" i="20"/>
  <c r="CS773" i="20"/>
  <c r="BU479" i="10"/>
  <c r="BH482" i="10"/>
  <c r="BJ482" i="10" s="1"/>
  <c r="BJ568" i="10"/>
  <c r="BM476" i="10"/>
  <c r="BQ476" i="10"/>
  <c r="CM1129" i="10"/>
  <c r="CQ1130" i="10"/>
  <c r="AM29" i="51"/>
  <c r="AM55" i="51"/>
  <c r="AM3" i="51"/>
  <c r="BC29" i="51"/>
  <c r="BC55" i="51"/>
  <c r="BC3" i="51"/>
  <c r="BS29" i="51"/>
  <c r="BS55" i="51"/>
  <c r="BS3" i="51"/>
  <c r="AZ130" i="10"/>
  <c r="AZ132" i="10"/>
  <c r="BE51" i="49"/>
  <c r="K13" i="41"/>
  <c r="K61" i="41" s="1"/>
  <c r="CP126" i="10"/>
  <c r="CN132" i="10"/>
  <c r="CN130" i="10"/>
  <c r="CS130" i="10"/>
  <c r="CS132" i="10"/>
  <c r="CV449" i="10"/>
  <c r="DA132" i="10"/>
  <c r="AV47" i="49"/>
  <c r="AX19" i="10"/>
  <c r="BA431" i="10"/>
  <c r="BN418" i="10"/>
  <c r="BV519" i="10"/>
  <c r="BD40" i="49"/>
  <c r="BF12" i="10"/>
  <c r="BD406" i="10"/>
  <c r="J41" i="41"/>
  <c r="BI43" i="49"/>
  <c r="BI70" i="49" s="1"/>
  <c r="BI168" i="49" s="1"/>
  <c r="BI271" i="49" s="1"/>
  <c r="BI409" i="10"/>
  <c r="O35" i="41"/>
  <c r="BM119" i="10"/>
  <c r="BM15" i="10" s="1"/>
  <c r="BA148" i="10"/>
  <c r="BX223" i="20"/>
  <c r="BT223" i="20"/>
  <c r="CS223" i="20"/>
  <c r="CO223" i="20"/>
  <c r="AP444" i="10"/>
  <c r="AP449" i="10" s="1"/>
  <c r="AP450" i="10" s="1"/>
  <c r="BE43" i="49"/>
  <c r="BE409" i="10"/>
  <c r="K35" i="41"/>
  <c r="AW42" i="49"/>
  <c r="AW408" i="10"/>
  <c r="AW502" i="10"/>
  <c r="AX502" i="10" s="1"/>
  <c r="BD488" i="10"/>
  <c r="BF488" i="10" s="1"/>
  <c r="BF634" i="10"/>
  <c r="CF462" i="20"/>
  <c r="CB462" i="20"/>
  <c r="DA462" i="20"/>
  <c r="CW462" i="20"/>
  <c r="AP481" i="20"/>
  <c r="AN483" i="20"/>
  <c r="AP483" i="20" s="1"/>
  <c r="CD502" i="20"/>
  <c r="BZ500" i="20"/>
  <c r="BZ502" i="20"/>
  <c r="BN534" i="20"/>
  <c r="BN536" i="20"/>
  <c r="AS556" i="20"/>
  <c r="AS558" i="20" s="1"/>
  <c r="BB604" i="20"/>
  <c r="BX659" i="20"/>
  <c r="BT659" i="20"/>
  <c r="CS659" i="20"/>
  <c r="CO659" i="20"/>
  <c r="CS118" i="10"/>
  <c r="CT740" i="20"/>
  <c r="CT118" i="10" s="1"/>
  <c r="CF830" i="20"/>
  <c r="CF836" i="20"/>
  <c r="CG828" i="20"/>
  <c r="CF842" i="20"/>
  <c r="AR236" i="20"/>
  <c r="AT231" i="20"/>
  <c r="AZ330" i="20"/>
  <c r="BD334" i="20"/>
  <c r="AZ334" i="20"/>
  <c r="BC1295" i="10"/>
  <c r="BE464" i="20"/>
  <c r="BE343" i="20"/>
  <c r="BH418" i="20"/>
  <c r="CG550" i="20"/>
  <c r="CH550" i="20" s="1"/>
  <c r="CT446" i="10"/>
  <c r="CY545" i="20"/>
  <c r="CW550" i="20"/>
  <c r="CX550" i="20" s="1"/>
  <c r="CB105" i="10"/>
  <c r="CB107" i="10" s="1"/>
  <c r="CB14" i="10" s="1"/>
  <c r="AT550" i="20"/>
  <c r="AR556" i="20"/>
  <c r="BI849" i="20"/>
  <c r="CG877" i="20"/>
  <c r="CG929" i="20"/>
  <c r="CK929" i="20"/>
  <c r="AZ231" i="20"/>
  <c r="AZ803" i="20"/>
  <c r="BB798" i="20"/>
  <c r="BR234" i="20"/>
  <c r="CD273" i="20"/>
  <c r="CE232" i="20"/>
  <c r="DJ329" i="20"/>
  <c r="DJ334" i="20" s="1"/>
  <c r="DL329" i="20"/>
  <c r="DP329" i="20" s="1"/>
  <c r="CX443" i="10"/>
  <c r="DL454" i="20"/>
  <c r="DP454" i="20" s="1"/>
  <c r="DJ454" i="20"/>
  <c r="AZ493" i="20"/>
  <c r="AZ495" i="20" s="1"/>
  <c r="AZ481" i="20"/>
  <c r="AZ486" i="20"/>
  <c r="BB475" i="20"/>
  <c r="BP551" i="20"/>
  <c r="BP556" i="20"/>
  <c r="BR550" i="20"/>
  <c r="BU550" i="20"/>
  <c r="BU551" i="20" s="1"/>
  <c r="CJ561" i="20"/>
  <c r="CJ818" i="10"/>
  <c r="CJ970" i="10" s="1"/>
  <c r="CJ551" i="20"/>
  <c r="CJ556" i="20"/>
  <c r="BH722" i="20"/>
  <c r="AN236" i="20"/>
  <c r="AP231" i="20"/>
  <c r="CN335" i="20"/>
  <c r="BQ539" i="20"/>
  <c r="BN815" i="20"/>
  <c r="CS929" i="20"/>
  <c r="CO877" i="20"/>
  <c r="CO929" i="20"/>
  <c r="CA878" i="20"/>
  <c r="BZ900" i="20"/>
  <c r="CF449" i="10"/>
  <c r="CH442" i="10"/>
  <c r="CW160" i="20"/>
  <c r="DB153" i="20"/>
  <c r="DF160" i="20" s="1"/>
  <c r="BA330" i="20"/>
  <c r="BE334" i="20"/>
  <c r="BA334" i="20"/>
  <c r="BT231" i="20"/>
  <c r="BT260" i="20"/>
  <c r="BT261" i="20"/>
  <c r="BT262" i="20"/>
  <c r="BX305" i="20"/>
  <c r="BV301" i="20"/>
  <c r="BT305" i="20"/>
  <c r="BT119" i="10"/>
  <c r="BT15" i="10" s="1"/>
  <c r="DM329" i="20"/>
  <c r="DI240" i="20"/>
  <c r="BD486" i="20"/>
  <c r="CA473" i="20"/>
  <c r="CE473" i="20"/>
  <c r="BY550" i="20"/>
  <c r="BY551" i="20" s="1"/>
  <c r="CL446" i="10"/>
  <c r="BM722" i="20"/>
  <c r="BM727" i="20" s="1"/>
  <c r="CT448" i="10"/>
  <c r="CE1131" i="10"/>
  <c r="BF322" i="20"/>
  <c r="BZ672" i="20"/>
  <c r="BX678" i="20"/>
  <c r="CF117" i="10"/>
  <c r="CF821" i="20"/>
  <c r="CF799" i="20"/>
  <c r="CJ820" i="20"/>
  <c r="CH820" i="20"/>
  <c r="CH824" i="20" s="1"/>
  <c r="BF825" i="20"/>
  <c r="BY882" i="20"/>
  <c r="BZ882" i="20" s="1"/>
  <c r="BY900" i="20"/>
  <c r="CD884" i="20"/>
  <c r="CB887" i="20"/>
  <c r="CD885" i="20"/>
  <c r="BC1298" i="10"/>
  <c r="BD126" i="20"/>
  <c r="BA231" i="20"/>
  <c r="BA803" i="20"/>
  <c r="BH232" i="20"/>
  <c r="BT273" i="20"/>
  <c r="BV232" i="20"/>
  <c r="CA232" i="20" s="1"/>
  <c r="CS236" i="20"/>
  <c r="BK473" i="20"/>
  <c r="CU545" i="20"/>
  <c r="CS141" i="10"/>
  <c r="CS116" i="10"/>
  <c r="CT625" i="20"/>
  <c r="CT116" i="10" s="1"/>
  <c r="BA722" i="20"/>
  <c r="BA727" i="20" s="1"/>
  <c r="CU1175" i="10"/>
  <c r="CD915" i="20"/>
  <c r="CP947" i="20"/>
  <c r="CP946" i="20"/>
  <c r="DI129" i="46"/>
  <c r="CO27" i="43"/>
  <c r="BF230" i="49"/>
  <c r="BN335" i="49"/>
  <c r="BN232" i="49"/>
  <c r="BA36" i="46"/>
  <c r="BA48" i="46" s="1"/>
  <c r="BA49" i="46" s="1"/>
  <c r="BA44" i="46"/>
  <c r="BA355" i="46" s="1"/>
  <c r="CR54" i="46"/>
  <c r="CN114" i="46"/>
  <c r="BR221" i="49"/>
  <c r="BR324" i="49"/>
  <c r="BV221" i="49"/>
  <c r="BV324" i="49"/>
  <c r="BZ221" i="49"/>
  <c r="BZ324" i="49"/>
  <c r="CD221" i="49"/>
  <c r="CD324" i="49"/>
  <c r="CH221" i="49"/>
  <c r="CH324" i="49"/>
  <c r="CL221" i="49"/>
  <c r="CL324" i="49"/>
  <c r="EO47" i="41"/>
  <c r="AW44" i="46"/>
  <c r="AW355" i="46" s="1"/>
  <c r="AW36" i="46"/>
  <c r="AW48" i="46" s="1"/>
  <c r="AW49" i="46" s="1"/>
  <c r="DI176" i="46"/>
  <c r="BY114" i="46"/>
  <c r="BZ114" i="46" s="1"/>
  <c r="BZ105" i="46"/>
  <c r="BF244" i="46"/>
  <c r="BA273" i="46"/>
  <c r="BA279" i="46"/>
  <c r="AS35" i="43"/>
  <c r="BJ228" i="49"/>
  <c r="BJ331" i="49"/>
  <c r="BF229" i="49"/>
  <c r="BF332" i="49"/>
  <c r="CD128" i="49"/>
  <c r="CD8" i="49" s="1"/>
  <c r="CE8" i="49" s="1"/>
  <c r="AJ28" i="41"/>
  <c r="CS446" i="42"/>
  <c r="CR54" i="43"/>
  <c r="DI164" i="42"/>
  <c r="CJ45" i="42"/>
  <c r="CK45" i="42"/>
  <c r="BN27" i="42"/>
  <c r="CT62" i="42"/>
  <c r="DI67" i="42"/>
  <c r="BP115" i="42"/>
  <c r="CV115" i="42"/>
  <c r="CV102" i="42"/>
  <c r="CX491" i="42"/>
  <c r="EI40" i="41" s="1"/>
  <c r="CX477" i="42"/>
  <c r="CX476" i="42"/>
  <c r="CX478" i="42" s="1"/>
  <c r="EI35" i="41"/>
  <c r="CL177" i="42"/>
  <c r="BJ99" i="42"/>
  <c r="CP99" i="42"/>
  <c r="BU528" i="42"/>
  <c r="BU538" i="42"/>
  <c r="BU481" i="42"/>
  <c r="BU507" i="42"/>
  <c r="BU510" i="42" s="1"/>
  <c r="DA528" i="42"/>
  <c r="DA481" i="42"/>
  <c r="DA507" i="42"/>
  <c r="DA510" i="42" s="1"/>
  <c r="DA538" i="42"/>
  <c r="CP44" i="46"/>
  <c r="CP36" i="46"/>
  <c r="CW219" i="46"/>
  <c r="CW207" i="46"/>
  <c r="CX217" i="46"/>
  <c r="DA159" i="46"/>
  <c r="DI159" i="46" s="1"/>
  <c r="DL159" i="46" s="1"/>
  <c r="DM159" i="46" s="1"/>
  <c r="DP159" i="46" s="1"/>
  <c r="DQ159" i="46" s="1"/>
  <c r="BQ68" i="46"/>
  <c r="BR80" i="46"/>
  <c r="DC67" i="41" s="1"/>
  <c r="CC114" i="46"/>
  <c r="CD114" i="46" s="1"/>
  <c r="CD105" i="46"/>
  <c r="CS114" i="46"/>
  <c r="CT114" i="46" s="1"/>
  <c r="CT105" i="46"/>
  <c r="BU87" i="46"/>
  <c r="BU103" i="46"/>
  <c r="BU104" i="46" s="1"/>
  <c r="BU106" i="46" s="1"/>
  <c r="BU69" i="46"/>
  <c r="BV69" i="46" s="1"/>
  <c r="BV86" i="46"/>
  <c r="CW69" i="46"/>
  <c r="CX69" i="46" s="1"/>
  <c r="CX86" i="46"/>
  <c r="CW87" i="46"/>
  <c r="CW103" i="46"/>
  <c r="CW104" i="46" s="1"/>
  <c r="CW106" i="46" s="1"/>
  <c r="CR219" i="46"/>
  <c r="CR207" i="46"/>
  <c r="CS102" i="42"/>
  <c r="CS115" i="42"/>
  <c r="AX48" i="46"/>
  <c r="AX49" i="46" s="1"/>
  <c r="BV217" i="46"/>
  <c r="CT219" i="46"/>
  <c r="BL138" i="46"/>
  <c r="BL154" i="46"/>
  <c r="CJ138" i="46"/>
  <c r="CJ154" i="46"/>
  <c r="BY159" i="46"/>
  <c r="BP207" i="46"/>
  <c r="BP219" i="46"/>
  <c r="BD245" i="46"/>
  <c r="BD246" i="46" s="1"/>
  <c r="BD254" i="46" s="1"/>
  <c r="BD256" i="46" s="1"/>
  <c r="BD299" i="46"/>
  <c r="AZ249" i="46"/>
  <c r="AZ259" i="46" s="1"/>
  <c r="AZ353" i="46"/>
  <c r="AX346" i="46"/>
  <c r="AM30" i="43"/>
  <c r="AL35" i="43"/>
  <c r="AL36" i="43"/>
  <c r="CV157" i="42"/>
  <c r="CS156" i="42"/>
  <c r="CN102" i="42"/>
  <c r="CN115" i="42"/>
  <c r="AT101" i="42"/>
  <c r="AT529" i="42"/>
  <c r="AT533" i="42" s="1"/>
  <c r="DJ20" i="46"/>
  <c r="BS69" i="51"/>
  <c r="DJ508" i="42"/>
  <c r="BQ137" i="42"/>
  <c r="BQ600" i="20" s="1"/>
  <c r="DA137" i="42"/>
  <c r="DA600" i="20" s="1"/>
  <c r="CZ137" i="42"/>
  <c r="CZ600" i="20" s="1"/>
  <c r="BB177" i="42"/>
  <c r="BT194" i="46"/>
  <c r="BT223" i="42"/>
  <c r="BT193" i="42"/>
  <c r="BY194" i="46"/>
  <c r="BY223" i="42"/>
  <c r="BZ172" i="42"/>
  <c r="CB193" i="42"/>
  <c r="BY193" i="42"/>
  <c r="AX178" i="42"/>
  <c r="DB424" i="10"/>
  <c r="CG387" i="10"/>
  <c r="CH384" i="10"/>
  <c r="CG826" i="10"/>
  <c r="CU72" i="49"/>
  <c r="CT170" i="49"/>
  <c r="CT273" i="49"/>
  <c r="CB182" i="49"/>
  <c r="CB285" i="49" s="1"/>
  <c r="CL56" i="49"/>
  <c r="CL84" i="49" s="1"/>
  <c r="CL1224" i="10"/>
  <c r="AR17" i="41"/>
  <c r="AX57" i="49"/>
  <c r="BN57" i="49"/>
  <c r="AX58" i="49"/>
  <c r="BR48" i="46"/>
  <c r="BR49" i="46" s="1"/>
  <c r="DJ47" i="46"/>
  <c r="DM47" i="46" s="1"/>
  <c r="DP47" i="46" s="1"/>
  <c r="DL47" i="46"/>
  <c r="DL46" i="46"/>
  <c r="DL33" i="46" s="1"/>
  <c r="BV105" i="46"/>
  <c r="BU114" i="46"/>
  <c r="BV114" i="46" s="1"/>
  <c r="CL105" i="46"/>
  <c r="CK114" i="46"/>
  <c r="CL114" i="46" s="1"/>
  <c r="DB105" i="46"/>
  <c r="DA114" i="46"/>
  <c r="DB114" i="46" s="1"/>
  <c r="BY69" i="46"/>
  <c r="BZ69" i="46" s="1"/>
  <c r="BZ86" i="46"/>
  <c r="BY87" i="46"/>
  <c r="BY103" i="46"/>
  <c r="BY104" i="46" s="1"/>
  <c r="CK154" i="46"/>
  <c r="CK138" i="46"/>
  <c r="CG159" i="46"/>
  <c r="BT207" i="46"/>
  <c r="BT219" i="46"/>
  <c r="BB347" i="46"/>
  <c r="BH300" i="46"/>
  <c r="BH272" i="46"/>
  <c r="BH278" i="46"/>
  <c r="BH262" i="46"/>
  <c r="BH342" i="46"/>
  <c r="BH310" i="46"/>
  <c r="BD54" i="43"/>
  <c r="BE446" i="42"/>
  <c r="CC102" i="42"/>
  <c r="CC115" i="42"/>
  <c r="BY481" i="42"/>
  <c r="CU46" i="41"/>
  <c r="Q45" i="43"/>
  <c r="Q44" i="43"/>
  <c r="Q504" i="42"/>
  <c r="CC295" i="42"/>
  <c r="CC325" i="42"/>
  <c r="CC326" i="42" s="1"/>
  <c r="BD377" i="42"/>
  <c r="BF377" i="42" s="1"/>
  <c r="BR265" i="49"/>
  <c r="BS63" i="49"/>
  <c r="BR162" i="49"/>
  <c r="CI63" i="49"/>
  <c r="CH162" i="49"/>
  <c r="CH265" i="49"/>
  <c r="CY63" i="49"/>
  <c r="CX162" i="49"/>
  <c r="CX265" i="49"/>
  <c r="BM387" i="10"/>
  <c r="BQ387" i="10"/>
  <c r="BR384" i="10"/>
  <c r="CR387" i="10"/>
  <c r="CT384" i="10"/>
  <c r="CR826" i="10"/>
  <c r="CH170" i="49"/>
  <c r="CI72" i="49"/>
  <c r="CH273" i="49"/>
  <c r="CO697" i="10"/>
  <c r="CO693" i="10"/>
  <c r="CO758" i="10"/>
  <c r="BX51" i="49"/>
  <c r="BX78" i="49" s="1"/>
  <c r="BX962" i="10"/>
  <c r="AD13" i="41"/>
  <c r="BH182" i="49"/>
  <c r="BH285" i="49" s="1"/>
  <c r="DB63" i="10"/>
  <c r="DA64" i="10"/>
  <c r="CS267" i="49"/>
  <c r="B11" i="51"/>
  <c r="CR68" i="46"/>
  <c r="EC67" i="41"/>
  <c r="BT138" i="46"/>
  <c r="BT154" i="46"/>
  <c r="CN103" i="46"/>
  <c r="CN104" i="46" s="1"/>
  <c r="CN113" i="46" s="1"/>
  <c r="DY69" i="41" s="1"/>
  <c r="CN69" i="46"/>
  <c r="CN70" i="46" s="1"/>
  <c r="BD240" i="46"/>
  <c r="BD241" i="46" s="1"/>
  <c r="BD324" i="46"/>
  <c r="BD347" i="46" s="1"/>
  <c r="BE245" i="46"/>
  <c r="BF245" i="46" s="1"/>
  <c r="BE299" i="46"/>
  <c r="AT358" i="46"/>
  <c r="AS359" i="46"/>
  <c r="AT359" i="46" s="1"/>
  <c r="AQ30" i="43"/>
  <c r="BX102" i="42"/>
  <c r="BX115" i="42"/>
  <c r="CJ528" i="42"/>
  <c r="CJ507" i="42"/>
  <c r="CJ510" i="42" s="1"/>
  <c r="CJ538" i="42"/>
  <c r="EE47" i="41"/>
  <c r="BF166" i="49"/>
  <c r="BF269" i="49"/>
  <c r="CL170" i="49"/>
  <c r="CL273" i="49"/>
  <c r="CM72" i="49"/>
  <c r="CT153" i="42"/>
  <c r="CT472" i="10" s="1"/>
  <c r="DF225" i="42"/>
  <c r="DF224" i="42" s="1"/>
  <c r="U271" i="42"/>
  <c r="U276" i="42" s="1"/>
  <c r="BL99" i="49"/>
  <c r="BM267" i="42"/>
  <c r="BF292" i="49"/>
  <c r="BF189" i="49"/>
  <c r="BI272" i="42"/>
  <c r="BJ272" i="42" s="1"/>
  <c r="BJ361" i="42"/>
  <c r="CB286" i="42"/>
  <c r="CB323" i="42" s="1"/>
  <c r="CB324" i="42" s="1"/>
  <c r="CD282" i="42"/>
  <c r="CD286" i="42" s="1"/>
  <c r="CD323" i="42" s="1"/>
  <c r="Z295" i="42"/>
  <c r="Z43" i="43" s="1"/>
  <c r="Z504" i="42" s="1"/>
  <c r="Z325" i="42"/>
  <c r="Z326" i="42" s="1"/>
  <c r="AD401" i="42"/>
  <c r="BP403" i="42"/>
  <c r="BZ496" i="42"/>
  <c r="BZ500" i="42"/>
  <c r="CV41" i="49"/>
  <c r="CV68" i="49" s="1"/>
  <c r="CV407" i="10"/>
  <c r="BB33" i="41"/>
  <c r="BU697" i="10"/>
  <c r="BH51" i="49"/>
  <c r="BH78" i="49" s="1"/>
  <c r="BJ22" i="10"/>
  <c r="N13" i="41"/>
  <c r="BM55" i="49"/>
  <c r="BM86" i="49" s="1"/>
  <c r="BM184" i="49" s="1"/>
  <c r="BM287" i="49" s="1"/>
  <c r="BM440" i="42"/>
  <c r="BM1225" i="10"/>
  <c r="S19" i="41"/>
  <c r="BS202" i="10"/>
  <c r="BW202" i="10"/>
  <c r="BN376" i="10"/>
  <c r="BL378" i="10"/>
  <c r="CK378" i="10"/>
  <c r="EE62" i="41"/>
  <c r="EE61" i="41" s="1"/>
  <c r="EE81" i="41" s="1"/>
  <c r="BP201" i="42"/>
  <c r="BL210" i="42"/>
  <c r="BE267" i="42"/>
  <c r="CT277" i="42"/>
  <c r="BN90" i="49"/>
  <c r="BV268" i="42"/>
  <c r="CT317" i="42"/>
  <c r="CT319" i="42" s="1"/>
  <c r="CT378" i="42"/>
  <c r="CV374" i="42" s="1"/>
  <c r="BF423" i="42"/>
  <c r="BD425" i="42"/>
  <c r="BD429" i="42" s="1"/>
  <c r="BD439" i="42" s="1"/>
  <c r="CH489" i="42"/>
  <c r="DS38" i="41" s="1"/>
  <c r="CD500" i="42"/>
  <c r="CK387" i="10"/>
  <c r="CK826" i="10"/>
  <c r="CN42" i="49"/>
  <c r="CN69" i="49" s="1"/>
  <c r="CN408" i="10"/>
  <c r="CN1149" i="10"/>
  <c r="AT34" i="41"/>
  <c r="CZ42" i="49"/>
  <c r="CZ69" i="49" s="1"/>
  <c r="CZ408" i="10"/>
  <c r="BF34" i="41"/>
  <c r="DA378" i="10"/>
  <c r="DI184" i="10"/>
  <c r="DI204" i="10" s="1"/>
  <c r="CP170" i="49"/>
  <c r="CP273" i="49"/>
  <c r="CQ72" i="49"/>
  <c r="CG17" i="10"/>
  <c r="CH423" i="10"/>
  <c r="BP47" i="49"/>
  <c r="BR19" i="10"/>
  <c r="CN47" i="49"/>
  <c r="CP19" i="10"/>
  <c r="BT51" i="49"/>
  <c r="BT78" i="49" s="1"/>
  <c r="BV22" i="10"/>
  <c r="Z13" i="41"/>
  <c r="AW55" i="49"/>
  <c r="AW440" i="42"/>
  <c r="AW1225" i="10"/>
  <c r="CO55" i="49"/>
  <c r="CO86" i="49" s="1"/>
  <c r="CO184" i="49" s="1"/>
  <c r="CO287" i="49" s="1"/>
  <c r="CO1225" i="10"/>
  <c r="AU19" i="41"/>
  <c r="BS204" i="10"/>
  <c r="DV63" i="41"/>
  <c r="CR238" i="10"/>
  <c r="CS246" i="10"/>
  <c r="BH238" i="10"/>
  <c r="BL478" i="10"/>
  <c r="BX467" i="10"/>
  <c r="CD524" i="10"/>
  <c r="CB478" i="10"/>
  <c r="CG478" i="10"/>
  <c r="CL513" i="10"/>
  <c r="CK477" i="10"/>
  <c r="CX513" i="10"/>
  <c r="CV477" i="10"/>
  <c r="DB513" i="10"/>
  <c r="DA477" i="10"/>
  <c r="BZ645" i="10"/>
  <c r="BX489" i="10"/>
  <c r="CP645" i="10"/>
  <c r="CN489" i="10"/>
  <c r="CG723" i="10"/>
  <c r="BT137" i="42"/>
  <c r="BT600" i="20" s="1"/>
  <c r="CN201" i="42"/>
  <c r="AP282" i="42"/>
  <c r="AP286" i="42" s="1"/>
  <c r="AP323" i="42" s="1"/>
  <c r="AP324" i="42" s="1"/>
  <c r="AN267" i="42"/>
  <c r="AP267" i="42" s="1"/>
  <c r="DJ90" i="49"/>
  <c r="CL97" i="49"/>
  <c r="DN194" i="49"/>
  <c r="DN297" i="49"/>
  <c r="AD295" i="42"/>
  <c r="BV335" i="42"/>
  <c r="BV337" i="42" s="1"/>
  <c r="CF42" i="49"/>
  <c r="CF69" i="49" s="1"/>
  <c r="CF408" i="10"/>
  <c r="CF1149" i="10"/>
  <c r="AL34" i="41"/>
  <c r="CV165" i="10"/>
  <c r="CZ167" i="10" s="1"/>
  <c r="CX161" i="10"/>
  <c r="DA387" i="10"/>
  <c r="DA826" i="10"/>
  <c r="CT423" i="10"/>
  <c r="CS17" i="10"/>
  <c r="CF47" i="49"/>
  <c r="CH19" i="10"/>
  <c r="BP697" i="10"/>
  <c r="BP758" i="10"/>
  <c r="BP694" i="10"/>
  <c r="BP693" i="10"/>
  <c r="CW697" i="10"/>
  <c r="CW758" i="10"/>
  <c r="CW693" i="10"/>
  <c r="CW51" i="49"/>
  <c r="CW78" i="49" s="1"/>
  <c r="CW962" i="10"/>
  <c r="BC13" i="41"/>
  <c r="BP26" i="10"/>
  <c r="BR1208" i="10"/>
  <c r="CK26" i="10"/>
  <c r="CL1208" i="10"/>
  <c r="CK182" i="49"/>
  <c r="CK285" i="49" s="1"/>
  <c r="CP57" i="49"/>
  <c r="BH148" i="10"/>
  <c r="BW204" i="10"/>
  <c r="BU378" i="10"/>
  <c r="DB376" i="10"/>
  <c r="CN238" i="10"/>
  <c r="CN246" i="10"/>
  <c r="BP316" i="10"/>
  <c r="BT322" i="10"/>
  <c r="BT325" i="10"/>
  <c r="BY486" i="10"/>
  <c r="BY463" i="10" s="1"/>
  <c r="CK478" i="10"/>
  <c r="DA478" i="10"/>
  <c r="DJ478" i="10"/>
  <c r="CD546" i="10"/>
  <c r="CB480" i="10"/>
  <c r="CT546" i="10"/>
  <c r="CR480" i="10"/>
  <c r="CO489" i="10"/>
  <c r="CO468" i="10" s="1"/>
  <c r="AX721" i="10"/>
  <c r="CH721" i="10"/>
  <c r="CF723" i="10"/>
  <c r="BX472" i="10"/>
  <c r="BM424" i="10"/>
  <c r="BQ224" i="42"/>
  <c r="CB201" i="42"/>
  <c r="CC193" i="46"/>
  <c r="CC210" i="42"/>
  <c r="CF210" i="42"/>
  <c r="BM324" i="42"/>
  <c r="CH324" i="42"/>
  <c r="DB282" i="42"/>
  <c r="DB286" i="42" s="1"/>
  <c r="CZ286" i="42"/>
  <c r="CZ323" i="42" s="1"/>
  <c r="BQ90" i="49"/>
  <c r="BR268" i="42"/>
  <c r="CH268" i="42"/>
  <c r="CL94" i="49"/>
  <c r="DJ95" i="49"/>
  <c r="T44" i="43"/>
  <c r="T45" i="43"/>
  <c r="T49" i="43" s="1"/>
  <c r="T504" i="42"/>
  <c r="CL110" i="49"/>
  <c r="CK294" i="42"/>
  <c r="CK325" i="42" s="1"/>
  <c r="CK326" i="42" s="1"/>
  <c r="CL325" i="42"/>
  <c r="CL326" i="42" s="1"/>
  <c r="AK324" i="42"/>
  <c r="BF354" i="42"/>
  <c r="CL447" i="42"/>
  <c r="BJ162" i="49"/>
  <c r="BJ265" i="49"/>
  <c r="BK63" i="49"/>
  <c r="BR161" i="10"/>
  <c r="BP165" i="10"/>
  <c r="BU387" i="10"/>
  <c r="CH165" i="10"/>
  <c r="CF11" i="10"/>
  <c r="CL366" i="10"/>
  <c r="CC692" i="10"/>
  <c r="CZ692" i="10"/>
  <c r="CT52" i="49"/>
  <c r="CT79" i="49" s="1"/>
  <c r="CT951" i="10"/>
  <c r="AZ14" i="41"/>
  <c r="AZ55" i="49"/>
  <c r="AZ440" i="42"/>
  <c r="BB26" i="10"/>
  <c r="AZ1225" i="10"/>
  <c r="F19" i="41"/>
  <c r="CC297" i="10"/>
  <c r="BX238" i="10"/>
  <c r="BX309" i="10"/>
  <c r="BX310" i="10" s="1"/>
  <c r="BX296" i="10"/>
  <c r="BX301" i="10"/>
  <c r="BL310" i="10"/>
  <c r="CJ478" i="10"/>
  <c r="CL524" i="10"/>
  <c r="CZ478" i="10"/>
  <c r="DB524" i="10"/>
  <c r="AT477" i="10"/>
  <c r="BH477" i="10"/>
  <c r="BJ513" i="10"/>
  <c r="BM477" i="10"/>
  <c r="CC477" i="10"/>
  <c r="CS477" i="10"/>
  <c r="DA489" i="10"/>
  <c r="DA468" i="10" s="1"/>
  <c r="BF721" i="10"/>
  <c r="CB723" i="10"/>
  <c r="CD721" i="10"/>
  <c r="CT721" i="10"/>
  <c r="CK107" i="10"/>
  <c r="CK14" i="10" s="1"/>
  <c r="DL217" i="10"/>
  <c r="DM217" i="10" s="1"/>
  <c r="DP217" i="10" s="1"/>
  <c r="DQ217" i="10" s="1"/>
  <c r="DR217" i="10" s="1"/>
  <c r="DJ217" i="10"/>
  <c r="CZ465" i="10"/>
  <c r="DB465" i="10" s="1"/>
  <c r="DB487" i="10"/>
  <c r="BH483" i="10"/>
  <c r="BJ483" i="10" s="1"/>
  <c r="BJ579" i="10"/>
  <c r="BN722" i="10"/>
  <c r="BA115" i="20"/>
  <c r="BE160" i="20"/>
  <c r="BA160" i="20"/>
  <c r="BQ126" i="20"/>
  <c r="CG115" i="20"/>
  <c r="CH153" i="20"/>
  <c r="CG160" i="20"/>
  <c r="CG225" i="20"/>
  <c r="CL788" i="20"/>
  <c r="CN115" i="20"/>
  <c r="CP153" i="20"/>
  <c r="CN154" i="20"/>
  <c r="CN160" i="20"/>
  <c r="CN225" i="20"/>
  <c r="AT444" i="10"/>
  <c r="AT449" i="10" s="1"/>
  <c r="AT450" i="10" s="1"/>
  <c r="AR449" i="10"/>
  <c r="AR450" i="10" s="1"/>
  <c r="BB444" i="10"/>
  <c r="BH524" i="10"/>
  <c r="BJ519" i="10"/>
  <c r="BH692" i="10"/>
  <c r="BH753" i="10"/>
  <c r="BJ687" i="10"/>
  <c r="BI444" i="10"/>
  <c r="BM256" i="20"/>
  <c r="BU295" i="20"/>
  <c r="BQ232" i="20"/>
  <c r="BQ295" i="20"/>
  <c r="BQ256" i="20"/>
  <c r="BT423" i="10"/>
  <c r="BV418" i="10"/>
  <c r="BU107" i="10"/>
  <c r="BU14" i="10" s="1"/>
  <c r="BU1040" i="10"/>
  <c r="CG37" i="10"/>
  <c r="CG76" i="10"/>
  <c r="CG81" i="10" s="1"/>
  <c r="CG785" i="20"/>
  <c r="CG781" i="20" s="1"/>
  <c r="CG273" i="20"/>
  <c r="CK231" i="20"/>
  <c r="CK260" i="20"/>
  <c r="CK261" i="20"/>
  <c r="CK262" i="20"/>
  <c r="CK305" i="20"/>
  <c r="CO231" i="20"/>
  <c r="CO260" i="20"/>
  <c r="CO261" i="20"/>
  <c r="CO262" i="20"/>
  <c r="CO305" i="20"/>
  <c r="BA40" i="49"/>
  <c r="BA406" i="10"/>
  <c r="G41" i="41"/>
  <c r="BF158" i="10"/>
  <c r="BD161" i="10"/>
  <c r="BH365" i="20"/>
  <c r="BD365" i="20"/>
  <c r="BF353" i="20"/>
  <c r="BI418" i="20"/>
  <c r="BI343" i="20"/>
  <c r="BJ343" i="20" s="1"/>
  <c r="BL418" i="20"/>
  <c r="BJ411" i="20"/>
  <c r="BI464" i="20"/>
  <c r="BZ417" i="10"/>
  <c r="BY423" i="10"/>
  <c r="BZ423" i="10" s="1"/>
  <c r="BL445" i="10"/>
  <c r="BN473" i="20"/>
  <c r="BO473" i="20" s="1"/>
  <c r="BL475" i="20"/>
  <c r="AW545" i="20"/>
  <c r="AW661" i="20"/>
  <c r="BY562" i="20"/>
  <c r="BZ555" i="20"/>
  <c r="CW562" i="20"/>
  <c r="CX555" i="20"/>
  <c r="BV716" i="20"/>
  <c r="BT722" i="20"/>
  <c r="CL716" i="20"/>
  <c r="CJ722" i="20"/>
  <c r="CJ820" i="10"/>
  <c r="DB716" i="20"/>
  <c r="CZ722" i="20"/>
  <c r="CZ820" i="10"/>
  <c r="BD480" i="10"/>
  <c r="BF546" i="10"/>
  <c r="CG11" i="10"/>
  <c r="BZ735" i="20"/>
  <c r="BV735" i="20"/>
  <c r="BV733" i="20"/>
  <c r="BJ273" i="42"/>
  <c r="BM42" i="49"/>
  <c r="BM69" i="49" s="1"/>
  <c r="BM167" i="49" s="1"/>
  <c r="BM270" i="49" s="1"/>
  <c r="BM408" i="10"/>
  <c r="BM1149" i="10"/>
  <c r="S34" i="41"/>
  <c r="BU310" i="10"/>
  <c r="BU322" i="10"/>
  <c r="BU325" i="10"/>
  <c r="BM481" i="10"/>
  <c r="BM658" i="10"/>
  <c r="BL479" i="10"/>
  <c r="BN535" i="10"/>
  <c r="BX465" i="10"/>
  <c r="BZ465" i="10" s="1"/>
  <c r="BZ487" i="10"/>
  <c r="AV476" i="10"/>
  <c r="BP488" i="10"/>
  <c r="BR488" i="10" s="1"/>
  <c r="BR634" i="10"/>
  <c r="CD747" i="10"/>
  <c r="BS1173" i="10"/>
  <c r="CP1180" i="10"/>
  <c r="BS1174" i="10"/>
  <c r="CI1174" i="10"/>
  <c r="CY1174" i="10"/>
  <c r="CE1176" i="10"/>
  <c r="BE46" i="10"/>
  <c r="BE48" i="10" s="1"/>
  <c r="BI132" i="20"/>
  <c r="BE132" i="20"/>
  <c r="BF125" i="20"/>
  <c r="CJ442" i="10"/>
  <c r="CJ40" i="10"/>
  <c r="CL118" i="20"/>
  <c r="CK489" i="10"/>
  <c r="CK468" i="10" s="1"/>
  <c r="CR117" i="10"/>
  <c r="CR119" i="10" s="1"/>
  <c r="CR15" i="10" s="1"/>
  <c r="CV48" i="10"/>
  <c r="AV431" i="10"/>
  <c r="AX418" i="10"/>
  <c r="AV753" i="10"/>
  <c r="AV692" i="10"/>
  <c r="BA47" i="49"/>
  <c r="BE45" i="49"/>
  <c r="K9" i="41"/>
  <c r="BE759" i="10"/>
  <c r="BH42" i="49"/>
  <c r="BH69" i="49" s="1"/>
  <c r="BH167" i="49" s="1"/>
  <c r="BH270" i="49" s="1"/>
  <c r="BJ14" i="10"/>
  <c r="BH408" i="10"/>
  <c r="BH1149" i="10"/>
  <c r="N34" i="41"/>
  <c r="BI17" i="10"/>
  <c r="BL489" i="10"/>
  <c r="BN645" i="10"/>
  <c r="W43" i="41"/>
  <c r="BT50" i="10"/>
  <c r="BA464" i="20"/>
  <c r="BA343" i="20"/>
  <c r="BA348" i="20" s="1"/>
  <c r="BI39" i="49"/>
  <c r="BI64" i="49" s="1"/>
  <c r="BI10" i="10"/>
  <c r="BI405" i="10"/>
  <c r="O31" i="41"/>
  <c r="CS343" i="20"/>
  <c r="CS418" i="20"/>
  <c r="DA464" i="20"/>
  <c r="DA343" i="20"/>
  <c r="DA348" i="20" s="1"/>
  <c r="DA418" i="20"/>
  <c r="BM147" i="10"/>
  <c r="BP147" i="10"/>
  <c r="DJ29" i="10"/>
  <c r="BA477" i="10"/>
  <c r="AT21" i="10"/>
  <c r="AR24" i="10"/>
  <c r="AR692" i="10"/>
  <c r="CG347" i="10"/>
  <c r="CF353" i="10"/>
  <c r="BT486" i="10"/>
  <c r="BV612" i="10"/>
  <c r="BH484" i="10"/>
  <c r="BJ484" i="10" s="1"/>
  <c r="BJ590" i="10"/>
  <c r="CK476" i="10"/>
  <c r="CK1045" i="10"/>
  <c r="BF645" i="10"/>
  <c r="BD489" i="10"/>
  <c r="DI669" i="10"/>
  <c r="CL721" i="10"/>
  <c r="CI1133" i="10"/>
  <c r="CE1135" i="10"/>
  <c r="BB557" i="10"/>
  <c r="BB658" i="10" s="1"/>
  <c r="AZ658" i="10"/>
  <c r="AZ481" i="10"/>
  <c r="BD46" i="10"/>
  <c r="BD48" i="10" s="1"/>
  <c r="AT241" i="20"/>
  <c r="AV55" i="49"/>
  <c r="AV440" i="42"/>
  <c r="AX26" i="10"/>
  <c r="AV1225" i="10"/>
  <c r="BF687" i="10"/>
  <c r="BD753" i="10"/>
  <c r="BH47" i="49"/>
  <c r="BJ19" i="10"/>
  <c r="BI480" i="10"/>
  <c r="BN519" i="10"/>
  <c r="BN687" i="10"/>
  <c r="BL753" i="10"/>
  <c r="BR607" i="10"/>
  <c r="BR687" i="10"/>
  <c r="BP753" i="10"/>
  <c r="BQ49" i="10"/>
  <c r="CK827" i="10"/>
  <c r="CK1040" i="10"/>
  <c r="BD752" i="10"/>
  <c r="BD692" i="10"/>
  <c r="BF686" i="10"/>
  <c r="BY346" i="20"/>
  <c r="BY449" i="20"/>
  <c r="CP411" i="20"/>
  <c r="CN343" i="20"/>
  <c r="CN418" i="20"/>
  <c r="AW481" i="20"/>
  <c r="AW483" i="20" s="1"/>
  <c r="AW494" i="20"/>
  <c r="BB689" i="10"/>
  <c r="AZ755" i="10"/>
  <c r="BL446" i="10"/>
  <c r="BN446" i="10" s="1"/>
  <c r="BN548" i="20"/>
  <c r="DA658" i="20"/>
  <c r="DB138" i="20"/>
  <c r="DF142" i="20" s="1"/>
  <c r="CZ142" i="20"/>
  <c r="BA42" i="49"/>
  <c r="BA408" i="10"/>
  <c r="G34" i="41"/>
  <c r="G54" i="41" s="1"/>
  <c r="BD43" i="49"/>
  <c r="BF15" i="10"/>
  <c r="BD409" i="10"/>
  <c r="J35" i="41"/>
  <c r="AV43" i="49"/>
  <c r="AX15" i="10"/>
  <c r="AV409" i="10"/>
  <c r="AW524" i="10"/>
  <c r="AS692" i="10"/>
  <c r="AS752" i="10"/>
  <c r="AS759" i="10" s="1"/>
  <c r="BJ537" i="20"/>
  <c r="BJ534" i="20"/>
  <c r="BV667" i="20"/>
  <c r="BT672" i="20"/>
  <c r="BL773" i="20"/>
  <c r="BH773" i="20"/>
  <c r="CG773" i="20"/>
  <c r="CC773" i="20"/>
  <c r="BB487" i="10"/>
  <c r="AZ465" i="10"/>
  <c r="BB465" i="10" s="1"/>
  <c r="CH465" i="10"/>
  <c r="BH485" i="10"/>
  <c r="BJ485" i="10" s="1"/>
  <c r="BJ601" i="10"/>
  <c r="BX503" i="10"/>
  <c r="CN915" i="10"/>
  <c r="CN917" i="10"/>
  <c r="CN912" i="10"/>
  <c r="AT747" i="10"/>
  <c r="BS1130" i="10"/>
  <c r="AQ3" i="51"/>
  <c r="AQ29" i="51"/>
  <c r="AQ55" i="51"/>
  <c r="BG3" i="51"/>
  <c r="BG29" i="51"/>
  <c r="BG55" i="51"/>
  <c r="AZ43" i="49"/>
  <c r="AZ409" i="10"/>
  <c r="F35" i="41"/>
  <c r="F55" i="41" s="1"/>
  <c r="BI40" i="10"/>
  <c r="BX449" i="10"/>
  <c r="BZ442" i="10"/>
  <c r="CJ117" i="10"/>
  <c r="CJ119" i="10" s="1"/>
  <c r="CJ15" i="10" s="1"/>
  <c r="CK132" i="10"/>
  <c r="CR49" i="10"/>
  <c r="AT17" i="10"/>
  <c r="AR18" i="10"/>
  <c r="BA45" i="49"/>
  <c r="G9" i="41"/>
  <c r="BD51" i="49"/>
  <c r="BF22" i="10"/>
  <c r="J13" i="41"/>
  <c r="J61" i="41" s="1"/>
  <c r="BI477" i="10"/>
  <c r="BL154" i="10"/>
  <c r="BL1143" i="10"/>
  <c r="BL1148" i="10" s="1"/>
  <c r="BL26" i="10"/>
  <c r="BN1208" i="10"/>
  <c r="BP49" i="10"/>
  <c r="BV568" i="10"/>
  <c r="BT482" i="10"/>
  <c r="BV482" i="10" s="1"/>
  <c r="BV687" i="10"/>
  <c r="BT753" i="10"/>
  <c r="BT692" i="10"/>
  <c r="BU51" i="49"/>
  <c r="BU78" i="49" s="1"/>
  <c r="AA13" i="41"/>
  <c r="CL687" i="10"/>
  <c r="CJ753" i="10"/>
  <c r="CV155" i="10"/>
  <c r="CW155" i="10"/>
  <c r="AV39" i="49"/>
  <c r="AX11" i="10"/>
  <c r="AV405" i="10"/>
  <c r="BB482" i="10"/>
  <c r="BY81" i="10"/>
  <c r="BE147" i="10"/>
  <c r="CO50" i="10"/>
  <c r="CX138" i="20"/>
  <c r="CV142" i="20"/>
  <c r="CB126" i="10"/>
  <c r="CB112" i="10"/>
  <c r="CF159" i="20"/>
  <c r="BM197" i="20"/>
  <c r="BL197" i="20"/>
  <c r="BL198" i="20"/>
  <c r="BH223" i="20"/>
  <c r="BD223" i="20"/>
  <c r="CC223" i="20"/>
  <c r="BY223" i="20"/>
  <c r="CX223" i="20"/>
  <c r="AP18" i="10"/>
  <c r="AW43" i="49"/>
  <c r="AW409" i="10"/>
  <c r="BD477" i="10"/>
  <c r="BF513" i="10"/>
  <c r="AT348" i="20"/>
  <c r="AR354" i="20"/>
  <c r="AX451" i="20"/>
  <c r="CD451" i="20"/>
  <c r="BP462" i="20"/>
  <c r="BL462" i="20"/>
  <c r="CK462" i="20"/>
  <c r="CG462" i="20"/>
  <c r="CD534" i="20"/>
  <c r="CD536" i="20"/>
  <c r="BH659" i="20"/>
  <c r="BD659" i="20"/>
  <c r="CC659" i="20"/>
  <c r="DF118" i="10"/>
  <c r="DG118" i="10" s="1"/>
  <c r="CG799" i="20"/>
  <c r="CK820" i="20"/>
  <c r="CG821" i="20"/>
  <c r="CG825" i="20" s="1"/>
  <c r="BI811" i="20"/>
  <c r="CC918" i="20"/>
  <c r="CC913" i="20"/>
  <c r="BF442" i="10"/>
  <c r="BD449" i="10"/>
  <c r="BH126" i="20"/>
  <c r="BJ120" i="20"/>
  <c r="BH131" i="20"/>
  <c r="BN120" i="20"/>
  <c r="BP126" i="20"/>
  <c r="BR120" i="20"/>
  <c r="BP131" i="20"/>
  <c r="BT131" i="20"/>
  <c r="AT803" i="20"/>
  <c r="AR809" i="20"/>
  <c r="BP305" i="20"/>
  <c r="BE39" i="49"/>
  <c r="BE405" i="10"/>
  <c r="K31" i="41"/>
  <c r="CT443" i="10"/>
  <c r="BE493" i="20"/>
  <c r="BE486" i="20"/>
  <c r="BE481" i="20"/>
  <c r="BF481" i="20" s="1"/>
  <c r="BI556" i="20"/>
  <c r="CD446" i="10"/>
  <c r="BU722" i="20"/>
  <c r="CK820" i="10"/>
  <c r="CK722" i="20"/>
  <c r="DA820" i="10"/>
  <c r="BV534" i="20"/>
  <c r="BT849" i="20"/>
  <c r="CG910" i="20"/>
  <c r="CD910" i="20"/>
  <c r="CD917" i="20" s="1"/>
  <c r="DF947" i="20"/>
  <c r="DF946" i="20"/>
  <c r="CG885" i="20"/>
  <c r="CK951" i="20"/>
  <c r="CG953" i="20"/>
  <c r="AX1294" i="10"/>
  <c r="AX1298" i="10"/>
  <c r="AX120" i="20"/>
  <c r="AV126" i="20"/>
  <c r="DM215" i="20"/>
  <c r="DQ215" i="20" s="1"/>
  <c r="DI122" i="20"/>
  <c r="BE231" i="20"/>
  <c r="BE803" i="20"/>
  <c r="BU274" i="20"/>
  <c r="CZ236" i="20"/>
  <c r="DD255" i="20" s="1"/>
  <c r="DB231" i="20"/>
  <c r="BM550" i="20"/>
  <c r="BQ561" i="20" s="1"/>
  <c r="CH446" i="10"/>
  <c r="BD142" i="20"/>
  <c r="DJ193" i="20"/>
  <c r="DI194" i="20"/>
  <c r="AN811" i="20"/>
  <c r="AP811" i="20" s="1"/>
  <c r="AP809" i="20"/>
  <c r="BX335" i="20"/>
  <c r="CS335" i="20"/>
  <c r="DM626" i="20"/>
  <c r="BQ811" i="20"/>
  <c r="BQ816" i="20"/>
  <c r="DD929" i="20"/>
  <c r="DM1247" i="10"/>
  <c r="DP1247" i="10" s="1"/>
  <c r="DL1251" i="10"/>
  <c r="DB115" i="20"/>
  <c r="CZ120" i="20"/>
  <c r="DD131" i="20" s="1"/>
  <c r="AZ277" i="20"/>
  <c r="AZ274" i="20"/>
  <c r="BR294" i="20"/>
  <c r="BN294" i="20"/>
  <c r="BN287" i="20"/>
  <c r="BV114" i="10"/>
  <c r="BZ304" i="20"/>
  <c r="BV304" i="20"/>
  <c r="BF475" i="20"/>
  <c r="BZ475" i="20"/>
  <c r="BX494" i="20"/>
  <c r="BX495" i="20" s="1"/>
  <c r="BX817" i="10"/>
  <c r="BX481" i="20"/>
  <c r="BX486" i="20"/>
  <c r="BV446" i="10"/>
  <c r="CO116" i="10"/>
  <c r="CO117" i="10" s="1"/>
  <c r="CO141" i="10"/>
  <c r="CO147" i="10" s="1"/>
  <c r="CP625" i="20"/>
  <c r="CP116" i="10" s="1"/>
  <c r="DL651" i="20"/>
  <c r="DP651" i="20" s="1"/>
  <c r="DJ651" i="20"/>
  <c r="AV678" i="20"/>
  <c r="AX672" i="20"/>
  <c r="BV1136" i="10"/>
  <c r="BL539" i="20"/>
  <c r="BJ672" i="20"/>
  <c r="CX880" i="20"/>
  <c r="CF885" i="20"/>
  <c r="CJ951" i="20"/>
  <c r="CH951" i="20"/>
  <c r="CH956" i="20" s="1"/>
  <c r="AR126" i="20"/>
  <c r="AT120" i="20"/>
  <c r="BP274" i="20"/>
  <c r="CH444" i="10"/>
  <c r="DA263" i="20"/>
  <c r="DA267" i="20" s="1"/>
  <c r="BJ445" i="10"/>
  <c r="CB818" i="10"/>
  <c r="CB551" i="20"/>
  <c r="CB556" i="20"/>
  <c r="CD625" i="20"/>
  <c r="CD116" i="10" s="1"/>
  <c r="CR818" i="10"/>
  <c r="CR551" i="20"/>
  <c r="CR556" i="20"/>
  <c r="CR561" i="20"/>
  <c r="CS550" i="20"/>
  <c r="CS551" i="20" s="1"/>
  <c r="AZ678" i="20"/>
  <c r="BB672" i="20"/>
  <c r="AV722" i="20"/>
  <c r="AX716" i="20"/>
  <c r="CG722" i="20"/>
  <c r="CG820" i="10"/>
  <c r="CW722" i="20"/>
  <c r="CW820" i="10"/>
  <c r="CP196" i="20"/>
  <c r="CT198" i="20" s="1"/>
  <c r="CF911" i="20"/>
  <c r="CJ908" i="20"/>
  <c r="CL908" i="20" s="1"/>
  <c r="CH908" i="20"/>
  <c r="CZ912" i="20"/>
  <c r="DF880" i="20"/>
  <c r="DN880" i="20"/>
  <c r="BY958" i="20"/>
  <c r="BL114" i="46"/>
  <c r="BY27" i="43"/>
  <c r="BN228" i="49"/>
  <c r="BN331" i="49"/>
  <c r="BN229" i="49"/>
  <c r="BN332" i="49"/>
  <c r="BI36" i="46"/>
  <c r="BI48" i="46" s="1"/>
  <c r="BI49" i="46" s="1"/>
  <c r="BI44" i="46"/>
  <c r="AT43" i="46"/>
  <c r="AT44" i="46" s="1"/>
  <c r="AT48" i="46" s="1"/>
  <c r="AT49" i="46" s="1"/>
  <c r="AS57" i="46"/>
  <c r="AS351" i="46"/>
  <c r="AT355" i="46"/>
  <c r="AS260" i="46"/>
  <c r="AS356" i="46"/>
  <c r="BN221" i="49"/>
  <c r="BN324" i="49"/>
  <c r="CQ27" i="43"/>
  <c r="EA18" i="41"/>
  <c r="BR8" i="49"/>
  <c r="BR333" i="49"/>
  <c r="BR27" i="49" s="1"/>
  <c r="BR230" i="49"/>
  <c r="BR15" i="49" s="1"/>
  <c r="EO46" i="41"/>
  <c r="BU44" i="46"/>
  <c r="BU36" i="46"/>
  <c r="BU48" i="46" s="1"/>
  <c r="BU49" i="46" s="1"/>
  <c r="CO114" i="46"/>
  <c r="CP114" i="46" s="1"/>
  <c r="CP105" i="46"/>
  <c r="CO106" i="46"/>
  <c r="BP154" i="46"/>
  <c r="BP138" i="46"/>
  <c r="AS372" i="46"/>
  <c r="AT372" i="46" s="1"/>
  <c r="AT365" i="46"/>
  <c r="AS2" i="43"/>
  <c r="AR1" i="43"/>
  <c r="CT128" i="49"/>
  <c r="CT8" i="49" s="1"/>
  <c r="AZ28" i="41"/>
  <c r="BT131" i="49"/>
  <c r="BT46" i="43"/>
  <c r="AP1" i="42"/>
  <c r="AP2" i="42" s="1"/>
  <c r="AO2" i="42"/>
  <c r="DI168" i="42"/>
  <c r="CR45" i="42"/>
  <c r="CP26" i="42"/>
  <c r="CO45" i="42"/>
  <c r="CD526" i="42"/>
  <c r="DB63" i="42"/>
  <c r="DB69" i="42" s="1"/>
  <c r="BR63" i="42"/>
  <c r="BR69" i="42" s="1"/>
  <c r="BU115" i="42"/>
  <c r="DA102" i="42"/>
  <c r="DA115" i="42"/>
  <c r="DB177" i="42"/>
  <c r="CW424" i="10"/>
  <c r="CX178" i="42"/>
  <c r="BR335" i="49"/>
  <c r="BR232" i="49"/>
  <c r="DI126" i="42"/>
  <c r="DI165" i="42"/>
  <c r="BR99" i="42"/>
  <c r="CX99" i="42"/>
  <c r="D22" i="78"/>
  <c r="H16" i="79" s="1"/>
  <c r="CF528" i="42"/>
  <c r="CF481" i="42"/>
  <c r="CF507" i="42"/>
  <c r="CF510" i="42" s="1"/>
  <c r="DB23" i="46"/>
  <c r="BT103" i="49"/>
  <c r="BY219" i="46"/>
  <c r="BY207" i="46"/>
  <c r="BZ217" i="46"/>
  <c r="BQ114" i="46"/>
  <c r="BR114" i="46" s="1"/>
  <c r="BR105" i="46"/>
  <c r="CC69" i="46"/>
  <c r="CD69" i="46" s="1"/>
  <c r="CD86" i="46"/>
  <c r="CC103" i="46"/>
  <c r="CC104" i="46" s="1"/>
  <c r="CC87" i="46"/>
  <c r="BE279" i="46"/>
  <c r="DI25" i="43"/>
  <c r="DJ25" i="43" s="1"/>
  <c r="CG102" i="42"/>
  <c r="CG115" i="42"/>
  <c r="CO207" i="46"/>
  <c r="CO219" i="46"/>
  <c r="CP217" i="46"/>
  <c r="CZ114" i="46"/>
  <c r="CZ106" i="46"/>
  <c r="CZ115" i="46" s="1"/>
  <c r="BL69" i="46"/>
  <c r="BL70" i="46" s="1"/>
  <c r="BL103" i="46"/>
  <c r="BL104" i="46" s="1"/>
  <c r="BL113" i="46" s="1"/>
  <c r="BL87" i="46"/>
  <c r="BL95" i="46" s="1"/>
  <c r="BL97" i="46" s="1"/>
  <c r="CJ103" i="46"/>
  <c r="CJ104" i="46" s="1"/>
  <c r="CJ113" i="46" s="1"/>
  <c r="DU69" i="41" s="1"/>
  <c r="CJ69" i="46"/>
  <c r="CJ87" i="46"/>
  <c r="CJ95" i="46" s="1"/>
  <c r="CJ97" i="46" s="1"/>
  <c r="BB398" i="46"/>
  <c r="BA400" i="46"/>
  <c r="BB272" i="46"/>
  <c r="BB278" i="46"/>
  <c r="BB262" i="46"/>
  <c r="BB310" i="46"/>
  <c r="BB279" i="46"/>
  <c r="AL15" i="43"/>
  <c r="AL17" i="43" s="1"/>
  <c r="AL34" i="43" s="1"/>
  <c r="AL32" i="43"/>
  <c r="AM32" i="43" s="1"/>
  <c r="CZ54" i="43"/>
  <c r="DA446" i="42"/>
  <c r="CB102" i="42"/>
  <c r="CB115" i="42"/>
  <c r="AX101" i="42"/>
  <c r="AX529" i="42"/>
  <c r="CZ528" i="42"/>
  <c r="DK46" i="41"/>
  <c r="CY47" i="41"/>
  <c r="BJ177" i="42"/>
  <c r="CO193" i="46"/>
  <c r="CO210" i="42"/>
  <c r="BP477" i="42"/>
  <c r="BP476" i="42"/>
  <c r="BP478" i="42" s="1"/>
  <c r="BP491" i="42"/>
  <c r="T540" i="42"/>
  <c r="CN387" i="10"/>
  <c r="CP384" i="10"/>
  <c r="CN826" i="10"/>
  <c r="BN170" i="49"/>
  <c r="BO72" i="49"/>
  <c r="BN273" i="49"/>
  <c r="BQ182" i="49"/>
  <c r="BQ285" i="49" s="1"/>
  <c r="CD57" i="49"/>
  <c r="CT58" i="49"/>
  <c r="AN543" i="42"/>
  <c r="AN541" i="42" s="1"/>
  <c r="AN551" i="42" s="1"/>
  <c r="AN554" i="42" s="1"/>
  <c r="AN555" i="42" s="1"/>
  <c r="AP30" i="10"/>
  <c r="AN32" i="10"/>
  <c r="AN545" i="42" s="1"/>
  <c r="BM90" i="46"/>
  <c r="BV80" i="46"/>
  <c r="DG67" i="41" s="1"/>
  <c r="BU68" i="46"/>
  <c r="BZ68" i="46"/>
  <c r="CL80" i="46"/>
  <c r="DW67" i="41" s="1"/>
  <c r="CK68" i="46"/>
  <c r="DV67" i="41"/>
  <c r="CO70" i="46"/>
  <c r="CP68" i="46"/>
  <c r="DB80" i="46"/>
  <c r="EM67" i="41" s="1"/>
  <c r="DA68" i="46"/>
  <c r="EL67" i="41"/>
  <c r="BY138" i="46"/>
  <c r="BY154" i="46"/>
  <c r="CK87" i="46"/>
  <c r="CK103" i="46"/>
  <c r="CK104" i="46" s="1"/>
  <c r="CK69" i="46"/>
  <c r="CL69" i="46" s="1"/>
  <c r="CL86" i="46"/>
  <c r="CV207" i="46"/>
  <c r="CV219" i="46"/>
  <c r="BB240" i="46"/>
  <c r="BA241" i="46"/>
  <c r="BB241" i="46" s="1"/>
  <c r="BA310" i="46"/>
  <c r="BA342" i="46"/>
  <c r="BA262" i="46"/>
  <c r="BA300" i="46"/>
  <c r="BA272" i="46"/>
  <c r="BA278" i="46"/>
  <c r="BB342" i="46"/>
  <c r="EL18" i="41"/>
  <c r="EH18" i="41"/>
  <c r="BQ115" i="42"/>
  <c r="BY149" i="42"/>
  <c r="BY152" i="42" s="1"/>
  <c r="BY156" i="42"/>
  <c r="BY157" i="42"/>
  <c r="AB48" i="43"/>
  <c r="BM41" i="49"/>
  <c r="BM68" i="49" s="1"/>
  <c r="BM166" i="49" s="1"/>
  <c r="BM269" i="49" s="1"/>
  <c r="BM407" i="10"/>
  <c r="S33" i="41"/>
  <c r="S53" i="41" s="1"/>
  <c r="BQ41" i="49"/>
  <c r="BQ68" i="49" s="1"/>
  <c r="BQ166" i="49" s="1"/>
  <c r="BQ269" i="49" s="1"/>
  <c r="BQ407" i="10"/>
  <c r="W33" i="41"/>
  <c r="CF41" i="49"/>
  <c r="CF68" i="49" s="1"/>
  <c r="CF407" i="10"/>
  <c r="AL33" i="41"/>
  <c r="CX170" i="49"/>
  <c r="CY72" i="49"/>
  <c r="CX273" i="49"/>
  <c r="CV697" i="10"/>
  <c r="CX692" i="10"/>
  <c r="CV758" i="10"/>
  <c r="CV693" i="10"/>
  <c r="BX182" i="49"/>
  <c r="BX285" i="49" s="1"/>
  <c r="CT23" i="46"/>
  <c r="CT44" i="46"/>
  <c r="DI45" i="46"/>
  <c r="EC68" i="41"/>
  <c r="BP106" i="46"/>
  <c r="BP115" i="46" s="1"/>
  <c r="BP119" i="46" s="1"/>
  <c r="BP121" i="46" s="1"/>
  <c r="BP114" i="46"/>
  <c r="CR114" i="46"/>
  <c r="BT103" i="46"/>
  <c r="BT104" i="46" s="1"/>
  <c r="BT113" i="46" s="1"/>
  <c r="BT69" i="46"/>
  <c r="BT70" i="46" s="1"/>
  <c r="BT87" i="46"/>
  <c r="BT95" i="46" s="1"/>
  <c r="BT97" i="46" s="1"/>
  <c r="CN138" i="46"/>
  <c r="CN154" i="46"/>
  <c r="CN219" i="46"/>
  <c r="CN207" i="46"/>
  <c r="AT240" i="46"/>
  <c r="AS241" i="46"/>
  <c r="AT241" i="46" s="1"/>
  <c r="AW245" i="46"/>
  <c r="AW299" i="46"/>
  <c r="BL115" i="42"/>
  <c r="AL101" i="42"/>
  <c r="AL529" i="42"/>
  <c r="AL533" i="42" s="1"/>
  <c r="CP177" i="42"/>
  <c r="BV424" i="10"/>
  <c r="CG193" i="46"/>
  <c r="CG210" i="42"/>
  <c r="X46" i="43"/>
  <c r="X48" i="43"/>
  <c r="Q540" i="42"/>
  <c r="DB170" i="49"/>
  <c r="DB273" i="49"/>
  <c r="DJ273" i="49" s="1"/>
  <c r="DN273" i="49" s="1"/>
  <c r="DR273" i="49" s="1"/>
  <c r="DC72" i="49"/>
  <c r="BN182" i="49"/>
  <c r="BY182" i="49"/>
  <c r="BY285" i="49" s="1"/>
  <c r="CW224" i="42"/>
  <c r="BU201" i="42"/>
  <c r="BX201" i="42"/>
  <c r="AW255" i="42"/>
  <c r="AZ253" i="42"/>
  <c r="AW267" i="42"/>
  <c r="BQ99" i="49"/>
  <c r="BN91" i="49"/>
  <c r="BR92" i="49"/>
  <c r="CL210" i="49"/>
  <c r="CL313" i="49"/>
  <c r="BQ335" i="42"/>
  <c r="BR335" i="42" s="1"/>
  <c r="BR337" i="42" s="1"/>
  <c r="BJ496" i="42"/>
  <c r="BJ500" i="42"/>
  <c r="CU161" i="10"/>
  <c r="CU2" i="10"/>
  <c r="CT366" i="10"/>
  <c r="BO159" i="10"/>
  <c r="BN366" i="10"/>
  <c r="CO165" i="10"/>
  <c r="BX17" i="10"/>
  <c r="BT47" i="49"/>
  <c r="BV19" i="10"/>
  <c r="CS47" i="49"/>
  <c r="CT788" i="20"/>
  <c r="BM51" i="49"/>
  <c r="BM78" i="49" s="1"/>
  <c r="S13" i="41"/>
  <c r="BN52" i="49"/>
  <c r="BN79" i="49" s="1"/>
  <c r="T14" i="41"/>
  <c r="AO32" i="10"/>
  <c r="AO545" i="42" s="1"/>
  <c r="AO543" i="42"/>
  <c r="BT26" i="10"/>
  <c r="BV1208" i="10"/>
  <c r="CW86" i="49"/>
  <c r="CW184" i="49" s="1"/>
  <c r="CW287" i="49" s="1"/>
  <c r="DA182" i="49"/>
  <c r="DA285" i="49" s="1"/>
  <c r="CA202" i="10"/>
  <c r="CQ202" i="10"/>
  <c r="CC378" i="10"/>
  <c r="CJ378" i="10"/>
  <c r="CL376" i="10"/>
  <c r="AO267" i="42"/>
  <c r="CD277" i="42"/>
  <c r="DA267" i="42"/>
  <c r="DN90" i="49"/>
  <c r="BN92" i="49"/>
  <c r="CF273" i="42"/>
  <c r="CH368" i="42"/>
  <c r="BA296" i="42"/>
  <c r="BA298" i="42" s="1"/>
  <c r="Q326" i="42"/>
  <c r="CX314" i="42"/>
  <c r="CX313" i="42" s="1"/>
  <c r="CW317" i="42"/>
  <c r="CW318" i="42" s="1"/>
  <c r="CW320" i="42" s="1"/>
  <c r="BX335" i="42"/>
  <c r="BZ335" i="42" s="1"/>
  <c r="BZ331" i="42"/>
  <c r="AG419" i="42"/>
  <c r="AH416" i="42"/>
  <c r="AJ416" i="42" s="1"/>
  <c r="BY12" i="10"/>
  <c r="BY656" i="10"/>
  <c r="CV42" i="49"/>
  <c r="CV69" i="49" s="1"/>
  <c r="CV408" i="10"/>
  <c r="CX14" i="10"/>
  <c r="BB34" i="41"/>
  <c r="DA165" i="10"/>
  <c r="DB165" i="10" s="1"/>
  <c r="DB161" i="10"/>
  <c r="BH17" i="10"/>
  <c r="BJ423" i="10"/>
  <c r="CW17" i="10"/>
  <c r="CX423" i="10"/>
  <c r="BU47" i="49"/>
  <c r="BV788" i="20"/>
  <c r="CT19" i="10"/>
  <c r="DA176" i="49"/>
  <c r="BF177" i="49"/>
  <c r="BF280" i="49"/>
  <c r="BD55" i="49"/>
  <c r="BF26" i="10"/>
  <c r="BD440" i="42"/>
  <c r="BD1225" i="10"/>
  <c r="J19" i="41"/>
  <c r="CR26" i="10"/>
  <c r="CT1208" i="10"/>
  <c r="BP182" i="49"/>
  <c r="BP285" i="49" s="1"/>
  <c r="BZ60" i="10"/>
  <c r="BH212" i="10"/>
  <c r="BI212" i="10"/>
  <c r="CC212" i="10"/>
  <c r="CW212" i="10"/>
  <c r="EH63" i="41"/>
  <c r="DA350" i="10"/>
  <c r="AT478" i="10"/>
  <c r="CV486" i="10"/>
  <c r="CX612" i="10"/>
  <c r="CK480" i="10"/>
  <c r="CL480" i="10" s="1"/>
  <c r="CL546" i="10"/>
  <c r="CV480" i="10"/>
  <c r="CX546" i="10"/>
  <c r="DA480" i="10"/>
  <c r="DB546" i="10"/>
  <c r="CO194" i="46"/>
  <c r="CO223" i="42"/>
  <c r="CP172" i="42"/>
  <c r="CO193" i="42"/>
  <c r="CR193" i="42"/>
  <c r="DZ48" i="41"/>
  <c r="BM193" i="46"/>
  <c r="BM210" i="42"/>
  <c r="CJ193" i="46"/>
  <c r="CJ210" i="42"/>
  <c r="CL268" i="42"/>
  <c r="BR91" i="49"/>
  <c r="CH293" i="49"/>
  <c r="CH190" i="49"/>
  <c r="BJ191" i="49"/>
  <c r="BJ294" i="49"/>
  <c r="BF368" i="42"/>
  <c r="BE273" i="42"/>
  <c r="BF273" i="42" s="1"/>
  <c r="BF95" i="49" s="1"/>
  <c r="BP272" i="42"/>
  <c r="BR361" i="42"/>
  <c r="CT282" i="42"/>
  <c r="CT286" i="42" s="1"/>
  <c r="CT323" i="42" s="1"/>
  <c r="CR286" i="42"/>
  <c r="CR323" i="42" s="1"/>
  <c r="AN286" i="42"/>
  <c r="AN323" i="42" s="1"/>
  <c r="AN324" i="42" s="1"/>
  <c r="CT320" i="42"/>
  <c r="CT313" i="42"/>
  <c r="BY319" i="42"/>
  <c r="BV366" i="10"/>
  <c r="BW159" i="10"/>
  <c r="CC165" i="10"/>
  <c r="CJ167" i="10"/>
  <c r="CJ11" i="10"/>
  <c r="BU17" i="10"/>
  <c r="DA17" i="10"/>
  <c r="DB423" i="10"/>
  <c r="DB47" i="49"/>
  <c r="BI51" i="49"/>
  <c r="BI78" i="49" s="1"/>
  <c r="O13" i="41"/>
  <c r="BU55" i="49"/>
  <c r="BU86" i="49" s="1"/>
  <c r="BU184" i="49" s="1"/>
  <c r="BU287" i="49" s="1"/>
  <c r="BU440" i="42"/>
  <c r="BU1225" i="10"/>
  <c r="AA19" i="41"/>
  <c r="CS55" i="49"/>
  <c r="CS86" i="49" s="1"/>
  <c r="CS184" i="49" s="1"/>
  <c r="CS287" i="49" s="1"/>
  <c r="CS440" i="42"/>
  <c r="CS1225" i="10"/>
  <c r="AY19" i="41"/>
  <c r="BJ57" i="49"/>
  <c r="BP148" i="10"/>
  <c r="BS203" i="10"/>
  <c r="CQ203" i="10"/>
  <c r="CE204" i="10"/>
  <c r="BV376" i="10"/>
  <c r="BT378" i="10"/>
  <c r="CV378" i="10"/>
  <c r="CX376" i="10"/>
  <c r="BX316" i="10"/>
  <c r="CT353" i="10"/>
  <c r="AV429" i="10"/>
  <c r="AV433" i="10"/>
  <c r="AV435" i="10"/>
  <c r="AV428" i="10"/>
  <c r="AV432" i="10"/>
  <c r="AV436" i="10"/>
  <c r="BL477" i="10"/>
  <c r="BN513" i="10"/>
  <c r="BQ477" i="10"/>
  <c r="CG477" i="10"/>
  <c r="CW477" i="10"/>
  <c r="DB645" i="10"/>
  <c r="CZ489" i="10"/>
  <c r="AW723" i="10"/>
  <c r="BN721" i="10"/>
  <c r="BL723" i="10"/>
  <c r="CX721" i="10"/>
  <c r="CV723" i="10"/>
  <c r="CW777" i="10"/>
  <c r="CW778" i="10" s="1"/>
  <c r="CV777" i="10"/>
  <c r="CV778" i="10" s="1"/>
  <c r="BL153" i="42"/>
  <c r="CY46" i="41"/>
  <c r="BL194" i="46"/>
  <c r="BL193" i="42"/>
  <c r="BL223" i="42"/>
  <c r="BY424" i="10"/>
  <c r="DO47" i="41"/>
  <c r="BP210" i="42"/>
  <c r="CR210" i="42"/>
  <c r="CL282" i="42"/>
  <c r="CL286" i="42" s="1"/>
  <c r="CL323" i="42" s="1"/>
  <c r="CJ286" i="42"/>
  <c r="CJ323" i="42" s="1"/>
  <c r="BF89" i="49"/>
  <c r="BJ90" i="49"/>
  <c r="BV191" i="49"/>
  <c r="BV294" i="49"/>
  <c r="BL95" i="49"/>
  <c r="BN273" i="42"/>
  <c r="CK273" i="42"/>
  <c r="CT273" i="42"/>
  <c r="BV110" i="49"/>
  <c r="BU294" i="42"/>
  <c r="BV325" i="42"/>
  <c r="BV326" i="42" s="1"/>
  <c r="CL209" i="49"/>
  <c r="CL312" i="49"/>
  <c r="CS295" i="42"/>
  <c r="BI401" i="42"/>
  <c r="AS405" i="42"/>
  <c r="AS414" i="42"/>
  <c r="AT419" i="42"/>
  <c r="BZ162" i="49"/>
  <c r="BZ265" i="49"/>
  <c r="CA63" i="49"/>
  <c r="BL11" i="10"/>
  <c r="BN165" i="10"/>
  <c r="BE55" i="49"/>
  <c r="BE440" i="42"/>
  <c r="BE1225" i="10"/>
  <c r="K19" i="41"/>
  <c r="CF26" i="10"/>
  <c r="CH1208" i="10"/>
  <c r="CH56" i="49"/>
  <c r="CH84" i="49" s="1"/>
  <c r="CH1224" i="10"/>
  <c r="AN17" i="41"/>
  <c r="CT64" i="10"/>
  <c r="CG205" i="10"/>
  <c r="CF195" i="10"/>
  <c r="CG195" i="10"/>
  <c r="CF205" i="10"/>
  <c r="CF189" i="10"/>
  <c r="BL212" i="10"/>
  <c r="BA378" i="10"/>
  <c r="BL238" i="10"/>
  <c r="CO246" i="10"/>
  <c r="CO238" i="10"/>
  <c r="CP239" i="10"/>
  <c r="BT310" i="10"/>
  <c r="BX486" i="10"/>
  <c r="BX1212" i="10" s="1"/>
  <c r="BX1214" i="10" s="1"/>
  <c r="BX1219" i="10" s="1"/>
  <c r="BZ612" i="10"/>
  <c r="CC486" i="10"/>
  <c r="CC463" i="10" s="1"/>
  <c r="CD612" i="10"/>
  <c r="CN486" i="10"/>
  <c r="CM611" i="10"/>
  <c r="CP612" i="10"/>
  <c r="CM605" i="10"/>
  <c r="CM606" i="10"/>
  <c r="CM607" i="10"/>
  <c r="CM608" i="10"/>
  <c r="CM609" i="10"/>
  <c r="CM610" i="10"/>
  <c r="CS486" i="10"/>
  <c r="CS463" i="10" s="1"/>
  <c r="CT612" i="10"/>
  <c r="AZ477" i="10"/>
  <c r="BH480" i="10"/>
  <c r="BJ546" i="10"/>
  <c r="BM480" i="10"/>
  <c r="CC480" i="10"/>
  <c r="CS480" i="10"/>
  <c r="DN495" i="10"/>
  <c r="DL169" i="20"/>
  <c r="DL164" i="20" s="1"/>
  <c r="DL1038" i="10"/>
  <c r="DI713" i="10"/>
  <c r="DI740" i="10" s="1"/>
  <c r="BJ721" i="10"/>
  <c r="DA723" i="10"/>
  <c r="AW429" i="42"/>
  <c r="AW439" i="42" s="1"/>
  <c r="BD479" i="10"/>
  <c r="BF535" i="10"/>
  <c r="CT476" i="10"/>
  <c r="BZ746" i="10"/>
  <c r="BX913" i="10"/>
  <c r="BX914" i="10"/>
  <c r="BX911" i="10"/>
  <c r="BX915" i="10"/>
  <c r="BX917" i="10"/>
  <c r="BX912" i="10"/>
  <c r="BY911" i="10"/>
  <c r="BY915" i="10"/>
  <c r="BY912" i="10"/>
  <c r="BY917" i="10"/>
  <c r="CH722" i="10"/>
  <c r="CN952" i="10"/>
  <c r="CL153" i="20"/>
  <c r="CJ160" i="20"/>
  <c r="CJ225" i="20"/>
  <c r="CJ115" i="20"/>
  <c r="CJ154" i="20"/>
  <c r="CJ690" i="10"/>
  <c r="CL685" i="10"/>
  <c r="CJ751" i="10"/>
  <c r="CK115" i="20"/>
  <c r="CK160" i="20"/>
  <c r="CK225" i="20"/>
  <c r="CS115" i="20"/>
  <c r="CT115" i="20" s="1"/>
  <c r="CS160" i="20"/>
  <c r="CS225" i="20"/>
  <c r="BJ607" i="10"/>
  <c r="BI753" i="10"/>
  <c r="BI692" i="10"/>
  <c r="BP107" i="10"/>
  <c r="BP14" i="10" s="1"/>
  <c r="BT154" i="10"/>
  <c r="BT1143" i="10"/>
  <c r="BT1148" i="10" s="1"/>
  <c r="CF37" i="10"/>
  <c r="CF76" i="10"/>
  <c r="CF81" i="10" s="1"/>
  <c r="CF82" i="10" s="1"/>
  <c r="CH232" i="20"/>
  <c r="CF273" i="20"/>
  <c r="CJ260" i="20"/>
  <c r="CJ231" i="20"/>
  <c r="CJ261" i="20"/>
  <c r="CJ262" i="20"/>
  <c r="CL301" i="20"/>
  <c r="CJ305" i="20"/>
  <c r="CK76" i="10"/>
  <c r="CK81" i="10" s="1"/>
  <c r="CK273" i="20"/>
  <c r="CK785" i="20"/>
  <c r="CK781" i="20" s="1"/>
  <c r="CV231" i="20"/>
  <c r="CX301" i="20"/>
  <c r="DB305" i="20" s="1"/>
  <c r="CV261" i="20"/>
  <c r="CV262" i="20"/>
  <c r="CV260" i="20"/>
  <c r="CV305" i="20"/>
  <c r="BE161" i="10"/>
  <c r="BH39" i="49"/>
  <c r="BH64" i="49" s="1"/>
  <c r="BH10" i="10"/>
  <c r="BJ11" i="10"/>
  <c r="BH405" i="10"/>
  <c r="N31" i="41"/>
  <c r="BL348" i="20"/>
  <c r="BM445" i="10"/>
  <c r="BM475" i="20"/>
  <c r="BU562" i="20"/>
  <c r="BV555" i="20"/>
  <c r="CT555" i="20"/>
  <c r="CS562" i="20"/>
  <c r="BI448" i="10"/>
  <c r="BJ448" i="10" s="1"/>
  <c r="BI716" i="20"/>
  <c r="BX820" i="10"/>
  <c r="BX722" i="20"/>
  <c r="BZ716" i="20"/>
  <c r="CN820" i="10"/>
  <c r="CN722" i="20"/>
  <c r="CP716" i="20"/>
  <c r="BF568" i="10"/>
  <c r="BD482" i="10"/>
  <c r="BF482" i="10" s="1"/>
  <c r="BF590" i="10"/>
  <c r="BD484" i="10"/>
  <c r="BF484" i="10" s="1"/>
  <c r="CP735" i="20"/>
  <c r="CL735" i="20"/>
  <c r="CL733" i="20"/>
  <c r="BJ92" i="10"/>
  <c r="BJ95" i="10" s="1"/>
  <c r="BE310" i="10"/>
  <c r="BE322" i="10"/>
  <c r="BU658" i="10"/>
  <c r="BU481" i="10"/>
  <c r="BU464" i="10" s="1"/>
  <c r="AA32" i="41" s="1"/>
  <c r="AW479" i="10"/>
  <c r="S43" i="41"/>
  <c r="BH488" i="10"/>
  <c r="BJ488" i="10" s="1"/>
  <c r="BJ634" i="10"/>
  <c r="BT489" i="10"/>
  <c r="CD722" i="10"/>
  <c r="BZ1180" i="10"/>
  <c r="CT1180" i="10"/>
  <c r="CU1173" i="10"/>
  <c r="AR1" i="20"/>
  <c r="AS2" i="20"/>
  <c r="BM46" i="10"/>
  <c r="BM50" i="10" s="1"/>
  <c r="BX48" i="10"/>
  <c r="BX49" i="10"/>
  <c r="BY46" i="10"/>
  <c r="BY50" i="10" s="1"/>
  <c r="CJ1134" i="10"/>
  <c r="CJ1136" i="10" s="1"/>
  <c r="CJ22" i="10" s="1"/>
  <c r="CS46" i="10"/>
  <c r="CS50" i="10" s="1"/>
  <c r="CW132" i="10"/>
  <c r="CW130" i="10"/>
  <c r="CX130" i="10" s="1"/>
  <c r="DB126" i="10"/>
  <c r="CZ130" i="10"/>
  <c r="DB130" i="10" s="1"/>
  <c r="AV45" i="49"/>
  <c r="AX17" i="10"/>
  <c r="AV24" i="10"/>
  <c r="AX21" i="10"/>
  <c r="BH256" i="20"/>
  <c r="BF241" i="20"/>
  <c r="BD256" i="20"/>
  <c r="BI42" i="49"/>
  <c r="BI69" i="49" s="1"/>
  <c r="BI167" i="49" s="1"/>
  <c r="BI270" i="49" s="1"/>
  <c r="BI408" i="10"/>
  <c r="BI1149" i="10"/>
  <c r="O34" i="41"/>
  <c r="BI49" i="10"/>
  <c r="BN241" i="20"/>
  <c r="BL256" i="20"/>
  <c r="BR241" i="20"/>
  <c r="BP256" i="20"/>
  <c r="BQ48" i="10"/>
  <c r="BV590" i="10"/>
  <c r="BT484" i="10"/>
  <c r="BV484" i="10" s="1"/>
  <c r="CJ502" i="10"/>
  <c r="CL497" i="10"/>
  <c r="CJ1040" i="10"/>
  <c r="CJ827" i="10"/>
  <c r="DA154" i="10"/>
  <c r="DA155" i="10" s="1"/>
  <c r="BF159" i="10"/>
  <c r="BH40" i="49"/>
  <c r="BH67" i="49" s="1"/>
  <c r="BH165" i="49" s="1"/>
  <c r="BH268" i="49" s="1"/>
  <c r="BJ12" i="10"/>
  <c r="BH406" i="10"/>
  <c r="N41" i="41"/>
  <c r="BP119" i="10"/>
  <c r="BP15" i="10" s="1"/>
  <c r="BQ418" i="20"/>
  <c r="BQ464" i="20"/>
  <c r="BQ343" i="20"/>
  <c r="BY418" i="20"/>
  <c r="BY343" i="20"/>
  <c r="BY784" i="20" s="1"/>
  <c r="BY464" i="20"/>
  <c r="CC343" i="20"/>
  <c r="CC784" i="20" s="1"/>
  <c r="CC418" i="20"/>
  <c r="CK464" i="20"/>
  <c r="CK343" i="20"/>
  <c r="CK418" i="20"/>
  <c r="BF688" i="10"/>
  <c r="BD754" i="10"/>
  <c r="DL58" i="49"/>
  <c r="DN29" i="10"/>
  <c r="BD42" i="49"/>
  <c r="BF14" i="10"/>
  <c r="BD408" i="10"/>
  <c r="BD1149" i="10"/>
  <c r="J34" i="41"/>
  <c r="AZ378" i="10"/>
  <c r="CG378" i="10"/>
  <c r="CP376" i="10"/>
  <c r="AZ428" i="10"/>
  <c r="AZ430" i="10"/>
  <c r="AZ432" i="10"/>
  <c r="AZ434" i="10"/>
  <c r="AZ436" i="10"/>
  <c r="AZ435" i="10"/>
  <c r="BB423" i="10"/>
  <c r="BZ557" i="10"/>
  <c r="BZ658" i="10" s="1"/>
  <c r="BZ1265" i="10" s="1"/>
  <c r="CV464" i="10"/>
  <c r="K43" i="41"/>
  <c r="AA43" i="41"/>
  <c r="CB465" i="10"/>
  <c r="CD465" i="10" s="1"/>
  <c r="CD487" i="10"/>
  <c r="AZ502" i="10"/>
  <c r="BN568" i="10"/>
  <c r="BL482" i="10"/>
  <c r="BN482" i="10" s="1"/>
  <c r="BP484" i="10"/>
  <c r="BR484" i="10" s="1"/>
  <c r="BR590" i="10"/>
  <c r="DB476" i="10"/>
  <c r="S45" i="41"/>
  <c r="CJ747" i="10"/>
  <c r="CK747" i="10"/>
  <c r="CJ722" i="10"/>
  <c r="CQ1133" i="10"/>
  <c r="BF1287" i="10"/>
  <c r="AZ52" i="49"/>
  <c r="BB23" i="10"/>
  <c r="F14" i="41"/>
  <c r="CB126" i="20"/>
  <c r="CD120" i="20"/>
  <c r="CB131" i="20"/>
  <c r="CB814" i="10"/>
  <c r="CK751" i="10"/>
  <c r="CK690" i="10"/>
  <c r="CK692" i="10" s="1"/>
  <c r="DJ217" i="20"/>
  <c r="DJ222" i="20" s="1"/>
  <c r="DL217" i="20"/>
  <c r="DP217" i="20" s="1"/>
  <c r="AX51" i="49"/>
  <c r="BD45" i="49"/>
  <c r="BF17" i="10"/>
  <c r="J9" i="41"/>
  <c r="BJ497" i="10"/>
  <c r="BI502" i="10"/>
  <c r="BL48" i="10"/>
  <c r="BT477" i="10"/>
  <c r="BV513" i="10"/>
  <c r="BX256" i="20"/>
  <c r="BT256" i="20"/>
  <c r="BV241" i="20"/>
  <c r="CB816" i="10"/>
  <c r="CB243" i="20"/>
  <c r="CB255" i="20"/>
  <c r="BL119" i="10"/>
  <c r="BL15" i="10" s="1"/>
  <c r="BP464" i="20"/>
  <c r="BR411" i="20"/>
  <c r="BP343" i="20"/>
  <c r="BP418" i="20"/>
  <c r="CB418" i="20"/>
  <c r="CB464" i="20"/>
  <c r="CB343" i="20"/>
  <c r="CD411" i="20"/>
  <c r="CR418" i="20"/>
  <c r="CR464" i="20"/>
  <c r="CR343" i="20"/>
  <c r="CR38" i="10" s="1"/>
  <c r="CR41" i="10" s="1"/>
  <c r="CT411" i="20"/>
  <c r="BA481" i="20"/>
  <c r="BA494" i="20"/>
  <c r="BA493" i="20"/>
  <c r="BA486" i="20"/>
  <c r="BD147" i="10"/>
  <c r="BD142" i="10"/>
  <c r="BE148" i="10" s="1"/>
  <c r="DI58" i="49"/>
  <c r="AN128" i="20"/>
  <c r="CK197" i="20"/>
  <c r="CO198" i="20"/>
  <c r="AO243" i="20"/>
  <c r="AO245" i="20" s="1"/>
  <c r="AZ42" i="49"/>
  <c r="BB14" i="10"/>
  <c r="AZ408" i="10"/>
  <c r="F34" i="41"/>
  <c r="F54" i="41" s="1"/>
  <c r="AV154" i="10"/>
  <c r="AV1143" i="10"/>
  <c r="AV1148" i="10" s="1"/>
  <c r="AX497" i="10"/>
  <c r="AW477" i="10"/>
  <c r="BA479" i="10"/>
  <c r="AV480" i="10"/>
  <c r="AS24" i="10"/>
  <c r="CN464" i="20"/>
  <c r="BZ537" i="20"/>
  <c r="BZ534" i="20"/>
  <c r="BQ773" i="20"/>
  <c r="BM773" i="20"/>
  <c r="CF335" i="42"/>
  <c r="CH335" i="42" s="1"/>
  <c r="CH331" i="42"/>
  <c r="BE479" i="10"/>
  <c r="BD487" i="10"/>
  <c r="BF623" i="10"/>
  <c r="CH487" i="10"/>
  <c r="BP482" i="10"/>
  <c r="BR482" i="10" s="1"/>
  <c r="BR568" i="10"/>
  <c r="K45" i="41"/>
  <c r="AX722" i="10"/>
  <c r="BV722" i="10"/>
  <c r="BO1129" i="10"/>
  <c r="BN1136" i="10"/>
  <c r="CA1130" i="10"/>
  <c r="AU29" i="51"/>
  <c r="AU55" i="51"/>
  <c r="AU3" i="51"/>
  <c r="BK29" i="51"/>
  <c r="BK55" i="51"/>
  <c r="BK3" i="51"/>
  <c r="BQ40" i="10"/>
  <c r="CC46" i="10"/>
  <c r="CG449" i="10"/>
  <c r="CJ612" i="10"/>
  <c r="CK1134" i="10"/>
  <c r="CN449" i="10"/>
  <c r="CP442" i="10"/>
  <c r="CV132" i="10"/>
  <c r="CX126" i="10"/>
  <c r="DA449" i="10"/>
  <c r="DA18" i="10" s="1"/>
  <c r="AT418" i="10"/>
  <c r="AR423" i="10"/>
  <c r="AR431" i="10" s="1"/>
  <c r="AS423" i="10"/>
  <c r="AS431" i="10" s="1"/>
  <c r="AV52" i="49"/>
  <c r="AX23" i="10"/>
  <c r="BB418" i="10"/>
  <c r="AZ431" i="10"/>
  <c r="BB687" i="10"/>
  <c r="AZ753" i="10"/>
  <c r="AZ692" i="10"/>
  <c r="BF444" i="10"/>
  <c r="BR418" i="10"/>
  <c r="BP51" i="49"/>
  <c r="BP78" i="49" s="1"/>
  <c r="BR22" i="10"/>
  <c r="V13" i="41"/>
  <c r="BV607" i="10"/>
  <c r="BT48" i="10"/>
  <c r="CO155" i="10"/>
  <c r="BA39" i="49"/>
  <c r="BA405" i="10"/>
  <c r="G31" i="41"/>
  <c r="BE40" i="49"/>
  <c r="BE406" i="10"/>
  <c r="K41" i="41"/>
  <c r="BY88" i="10"/>
  <c r="BY125" i="10"/>
  <c r="BY186" i="20"/>
  <c r="BY157" i="20"/>
  <c r="CX189" i="20"/>
  <c r="CZ191" i="20"/>
  <c r="BM223" i="20"/>
  <c r="BI223" i="20"/>
  <c r="CH223" i="20"/>
  <c r="CD223" i="20"/>
  <c r="BX268" i="20"/>
  <c r="BX267" i="20"/>
  <c r="AZ612" i="10"/>
  <c r="BB607" i="10"/>
  <c r="AT454" i="20"/>
  <c r="AS354" i="20"/>
  <c r="AS356" i="20" s="1"/>
  <c r="AZ462" i="20"/>
  <c r="AV462" i="20"/>
  <c r="BU462" i="20"/>
  <c r="BQ462" i="20"/>
  <c r="CL462" i="20"/>
  <c r="AX502" i="20"/>
  <c r="AT500" i="20"/>
  <c r="AX504" i="20" s="1"/>
  <c r="AP556" i="20"/>
  <c r="AO558" i="20"/>
  <c r="AP558" i="20" s="1"/>
  <c r="BM659" i="20"/>
  <c r="BV838" i="20"/>
  <c r="BR838" i="20"/>
  <c r="AX803" i="20"/>
  <c r="AV809" i="20"/>
  <c r="AV814" i="20"/>
  <c r="BR301" i="20"/>
  <c r="AV494" i="20"/>
  <c r="AV481" i="20"/>
  <c r="AV493" i="20"/>
  <c r="AX475" i="20"/>
  <c r="CG141" i="10"/>
  <c r="CJ147" i="10" s="1"/>
  <c r="CG116" i="10"/>
  <c r="CG117" i="10" s="1"/>
  <c r="CG119" i="10" s="1"/>
  <c r="CG15" i="10" s="1"/>
  <c r="CW141" i="10"/>
  <c r="CW116" i="10"/>
  <c r="DB448" i="10"/>
  <c r="CL196" i="20"/>
  <c r="BB323" i="20"/>
  <c r="AW493" i="20"/>
  <c r="CB539" i="20"/>
  <c r="CL614" i="20"/>
  <c r="CP928" i="20"/>
  <c r="CT928" i="20"/>
  <c r="AX1296" i="10"/>
  <c r="BH40" i="10"/>
  <c r="BN442" i="10"/>
  <c r="CF814" i="10"/>
  <c r="CF131" i="20"/>
  <c r="CF126" i="20"/>
  <c r="DJ215" i="20"/>
  <c r="DL215" i="20"/>
  <c r="DP215" i="20" s="1"/>
  <c r="BI232" i="20"/>
  <c r="CC277" i="20"/>
  <c r="CC274" i="20"/>
  <c r="CD81" i="10"/>
  <c r="CD82" i="10" s="1"/>
  <c r="CR236" i="20"/>
  <c r="CT231" i="20"/>
  <c r="CR305" i="20"/>
  <c r="CZ305" i="20"/>
  <c r="CZ263" i="20"/>
  <c r="CZ268" i="20" s="1"/>
  <c r="BL550" i="20"/>
  <c r="BP561" i="20" s="1"/>
  <c r="BN545" i="20"/>
  <c r="BS545" i="20" s="1"/>
  <c r="BW545" i="20"/>
  <c r="CX446" i="10"/>
  <c r="CZ561" i="20"/>
  <c r="CZ818" i="10"/>
  <c r="CZ551" i="20"/>
  <c r="CZ556" i="20"/>
  <c r="DD563" i="20" s="1"/>
  <c r="BI142" i="20"/>
  <c r="CC335" i="20"/>
  <c r="BL678" i="20"/>
  <c r="BN672" i="20"/>
  <c r="BY811" i="20"/>
  <c r="BN849" i="20"/>
  <c r="CH880" i="20"/>
  <c r="DI1251" i="10"/>
  <c r="DJ1251" i="10" s="1"/>
  <c r="AX1297" i="10"/>
  <c r="AX442" i="10"/>
  <c r="AV449" i="10"/>
  <c r="CH40" i="10"/>
  <c r="CR120" i="20"/>
  <c r="CW120" i="20"/>
  <c r="BJ49" i="41"/>
  <c r="BJ67" i="41" s="1"/>
  <c r="CX411" i="20"/>
  <c r="DB443" i="10"/>
  <c r="BD483" i="20"/>
  <c r="BI486" i="20"/>
  <c r="BI481" i="20"/>
  <c r="BY116" i="10"/>
  <c r="BY141" i="10"/>
  <c r="CN551" i="20"/>
  <c r="CN556" i="20"/>
  <c r="CN818" i="10"/>
  <c r="CN561" i="20"/>
  <c r="DB446" i="10"/>
  <c r="DB1180" i="10"/>
  <c r="BP198" i="20"/>
  <c r="AV612" i="10"/>
  <c r="AX607" i="10"/>
  <c r="CD537" i="20"/>
  <c r="CH625" i="20"/>
  <c r="CH116" i="10" s="1"/>
  <c r="CD821" i="20"/>
  <c r="CD825" i="20" s="1"/>
  <c r="CB825" i="20"/>
  <c r="CH846" i="20"/>
  <c r="BA825" i="20"/>
  <c r="CH925" i="20"/>
  <c r="CD953" i="20"/>
  <c r="CD958" i="20" s="1"/>
  <c r="CG886" i="20"/>
  <c r="CK952" i="20"/>
  <c r="CL952" i="20" s="1"/>
  <c r="CL957" i="20" s="1"/>
  <c r="DL1158" i="10"/>
  <c r="DM1158" i="10" s="1"/>
  <c r="DP1158" i="10" s="1"/>
  <c r="DQ1158" i="10" s="1"/>
  <c r="DR1158" i="10" s="1"/>
  <c r="DJ1158" i="10"/>
  <c r="AX1293" i="10"/>
  <c r="AW243" i="20"/>
  <c r="AW245" i="20" s="1"/>
  <c r="BJ545" i="20"/>
  <c r="BH550" i="20"/>
  <c r="BZ446" i="10"/>
  <c r="CC550" i="20"/>
  <c r="CP446" i="10"/>
  <c r="BQ722" i="20"/>
  <c r="BQ727" i="20" s="1"/>
  <c r="CX448" i="10"/>
  <c r="CU186" i="20"/>
  <c r="BB504" i="20"/>
  <c r="CN929" i="20"/>
  <c r="CN877" i="20"/>
  <c r="CR929" i="20"/>
  <c r="CP925" i="20"/>
  <c r="CO908" i="20"/>
  <c r="CJ886" i="20"/>
  <c r="CN952" i="20"/>
  <c r="CF54" i="46"/>
  <c r="CG114" i="46"/>
  <c r="CH114" i="46" s="1"/>
  <c r="CH105" i="46"/>
  <c r="CG106" i="46"/>
  <c r="CW265" i="49"/>
  <c r="BY36" i="46"/>
  <c r="BY48" i="46" s="1"/>
  <c r="BY49" i="46" s="1"/>
  <c r="BY44" i="46"/>
  <c r="BL54" i="46"/>
  <c r="BD351" i="46"/>
  <c r="BD356" i="46"/>
  <c r="BD352" i="46" s="1"/>
  <c r="BM114" i="46"/>
  <c r="BN114" i="46" s="1"/>
  <c r="BN105" i="46"/>
  <c r="CA27" i="43"/>
  <c r="DK18" i="41"/>
  <c r="CC23" i="46"/>
  <c r="CC44" i="46"/>
  <c r="DA57" i="46"/>
  <c r="DD54" i="46" s="1"/>
  <c r="DF54" i="46" s="1"/>
  <c r="CK44" i="46"/>
  <c r="CK36" i="46"/>
  <c r="CK48" i="46" s="1"/>
  <c r="CK49" i="46" s="1"/>
  <c r="CF154" i="46"/>
  <c r="CF138" i="46"/>
  <c r="BN128" i="49"/>
  <c r="T28" i="41"/>
  <c r="BL132" i="49"/>
  <c r="BL54" i="43"/>
  <c r="BM446" i="42"/>
  <c r="DI160" i="42"/>
  <c r="CT27" i="42"/>
  <c r="DB265" i="42"/>
  <c r="DB277" i="42" s="1"/>
  <c r="DD267" i="42" s="1"/>
  <c r="DF267" i="42" s="1"/>
  <c r="DF89" i="49" s="1"/>
  <c r="CH63" i="42"/>
  <c r="CH69" i="42" s="1"/>
  <c r="CF115" i="42"/>
  <c r="CF102" i="42"/>
  <c r="DG51" i="41"/>
  <c r="CL101" i="42"/>
  <c r="CL529" i="42"/>
  <c r="DW51" i="41"/>
  <c r="CT399" i="42"/>
  <c r="CR401" i="42"/>
  <c r="CT401" i="42" s="1"/>
  <c r="BJ229" i="49"/>
  <c r="BJ332" i="49"/>
  <c r="DI169" i="42"/>
  <c r="BV63" i="42"/>
  <c r="BV69" i="42" s="1"/>
  <c r="BZ99" i="42"/>
  <c r="CK528" i="42"/>
  <c r="CK481" i="42"/>
  <c r="CK507" i="42"/>
  <c r="CK510" i="42" s="1"/>
  <c r="CK538" i="42"/>
  <c r="BV23" i="46"/>
  <c r="BL103" i="49"/>
  <c r="DU68" i="41"/>
  <c r="CG70" i="46"/>
  <c r="CH68" i="46"/>
  <c r="CX68" i="46"/>
  <c r="CC154" i="46"/>
  <c r="CC138" i="46"/>
  <c r="AX330" i="46"/>
  <c r="BE240" i="46"/>
  <c r="BE324" i="46"/>
  <c r="BE347" i="46" s="1"/>
  <c r="BF347" i="46" s="1"/>
  <c r="BF324" i="46" s="1"/>
  <c r="BF325" i="46" s="1"/>
  <c r="DI20" i="43"/>
  <c r="DL20" i="43" s="1"/>
  <c r="CK219" i="46"/>
  <c r="CK207" i="46"/>
  <c r="CL217" i="46"/>
  <c r="CU215" i="46"/>
  <c r="CQ215" i="46"/>
  <c r="BH114" i="46"/>
  <c r="CJ114" i="46"/>
  <c r="CZ68" i="46"/>
  <c r="EK67" i="41"/>
  <c r="BX103" i="46"/>
  <c r="BX104" i="46" s="1"/>
  <c r="BX113" i="46" s="1"/>
  <c r="BX69" i="46"/>
  <c r="BX70" i="46" s="1"/>
  <c r="CR138" i="46"/>
  <c r="CR154" i="46"/>
  <c r="CF207" i="46"/>
  <c r="CF219" i="46"/>
  <c r="BE353" i="46"/>
  <c r="BF400" i="46"/>
  <c r="BF353" i="46" s="1"/>
  <c r="BE249" i="46"/>
  <c r="BH352" i="46"/>
  <c r="R101" i="42"/>
  <c r="R529" i="42"/>
  <c r="R533" i="42" s="1"/>
  <c r="BT528" i="42"/>
  <c r="BT481" i="42"/>
  <c r="BT507" i="42"/>
  <c r="BT510" i="42" s="1"/>
  <c r="BT538" i="42"/>
  <c r="BX137" i="42"/>
  <c r="BX600" i="20" s="1"/>
  <c r="BY137" i="42"/>
  <c r="BY600" i="20" s="1"/>
  <c r="AT172" i="42"/>
  <c r="BY193" i="46"/>
  <c r="BY210" i="42"/>
  <c r="P46" i="43"/>
  <c r="P50" i="43" s="1"/>
  <c r="P48" i="43"/>
  <c r="AS1" i="10"/>
  <c r="AV3" i="10"/>
  <c r="BO63" i="49"/>
  <c r="BN162" i="49"/>
  <c r="BN265" i="49"/>
  <c r="CD265" i="49"/>
  <c r="CE63" i="49"/>
  <c r="CD162" i="49"/>
  <c r="CT265" i="49"/>
  <c r="CU63" i="49"/>
  <c r="CT162" i="49"/>
  <c r="BT387" i="10"/>
  <c r="BV384" i="10"/>
  <c r="CS387" i="10"/>
  <c r="CS826" i="10"/>
  <c r="BF56" i="49"/>
  <c r="BF84" i="49" s="1"/>
  <c r="BF1224" i="10"/>
  <c r="L17" i="41"/>
  <c r="CG182" i="49"/>
  <c r="CG285" i="49" s="1"/>
  <c r="CW182" i="49"/>
  <c r="CW285" i="49" s="1"/>
  <c r="CT57" i="49"/>
  <c r="CD58" i="49"/>
  <c r="CL44" i="46"/>
  <c r="CL23" i="46"/>
  <c r="BZ44" i="46"/>
  <c r="BZ23" i="46"/>
  <c r="BI68" i="46"/>
  <c r="BJ80" i="46"/>
  <c r="CU67" i="41" s="1"/>
  <c r="CF71" i="46"/>
  <c r="CF72" i="46"/>
  <c r="BM69" i="46"/>
  <c r="BN69" i="46" s="1"/>
  <c r="BM103" i="46"/>
  <c r="BM104" i="46" s="1"/>
  <c r="BM87" i="46"/>
  <c r="CT86" i="46"/>
  <c r="CS103" i="46"/>
  <c r="CS104" i="46" s="1"/>
  <c r="CS106" i="46" s="1"/>
  <c r="CS87" i="46"/>
  <c r="CS69" i="46"/>
  <c r="CT69" i="46" s="1"/>
  <c r="CF106" i="46"/>
  <c r="CF115" i="46" s="1"/>
  <c r="CF119" i="46" s="1"/>
  <c r="CF121" i="46" s="1"/>
  <c r="CJ207" i="46"/>
  <c r="CJ219" i="46"/>
  <c r="AW249" i="46"/>
  <c r="AX400" i="46"/>
  <c r="AX353" i="46" s="1"/>
  <c r="AW353" i="46"/>
  <c r="AZ255" i="46"/>
  <c r="AZ256" i="46" s="1"/>
  <c r="CW102" i="42"/>
  <c r="CW115" i="42"/>
  <c r="BL538" i="42"/>
  <c r="BI528" i="42"/>
  <c r="BI481" i="42"/>
  <c r="BI507" i="42"/>
  <c r="BI510" i="42" s="1"/>
  <c r="BI538" i="42"/>
  <c r="CO528" i="42"/>
  <c r="CO481" i="42"/>
  <c r="CO507" i="42"/>
  <c r="CO510" i="42" s="1"/>
  <c r="CV137" i="42"/>
  <c r="CV600" i="20" s="1"/>
  <c r="CW137" i="42"/>
  <c r="CW600" i="20" s="1"/>
  <c r="CJ192" i="42"/>
  <c r="CG179" i="42"/>
  <c r="CH171" i="42"/>
  <c r="CG192" i="42"/>
  <c r="CG172" i="42"/>
  <c r="CJ193" i="42" s="1"/>
  <c r="CJ178" i="42"/>
  <c r="CT178" i="42"/>
  <c r="CR424" i="10"/>
  <c r="CT223" i="42"/>
  <c r="CT224" i="42" s="1"/>
  <c r="BL387" i="10"/>
  <c r="BN384" i="10"/>
  <c r="BX387" i="10"/>
  <c r="BZ384" i="10"/>
  <c r="BX826" i="10"/>
  <c r="CJ387" i="10"/>
  <c r="CL384" i="10"/>
  <c r="CJ826" i="10"/>
  <c r="CZ387" i="10"/>
  <c r="DB384" i="10"/>
  <c r="CZ826" i="10"/>
  <c r="BS72" i="49"/>
  <c r="BR170" i="49"/>
  <c r="BR273" i="49"/>
  <c r="BY697" i="10"/>
  <c r="BY693" i="10"/>
  <c r="BY758" i="10"/>
  <c r="CN51" i="49"/>
  <c r="CN78" i="49" s="1"/>
  <c r="CN962" i="10"/>
  <c r="AT13" i="41"/>
  <c r="DN55" i="49"/>
  <c r="CC182" i="49"/>
  <c r="CC285" i="49" s="1"/>
  <c r="CS182" i="49"/>
  <c r="CS285" i="49" s="1"/>
  <c r="CW267" i="49"/>
  <c r="EG68" i="41"/>
  <c r="CB114" i="46"/>
  <c r="CB106" i="46"/>
  <c r="CB115" i="46" s="1"/>
  <c r="CB119" i="46" s="1"/>
  <c r="CB121" i="46" s="1"/>
  <c r="BH103" i="46"/>
  <c r="BH104" i="46" s="1"/>
  <c r="BH113" i="46" s="1"/>
  <c r="BH69" i="46"/>
  <c r="BH70" i="46" s="1"/>
  <c r="CB138" i="46"/>
  <c r="CB154" i="46"/>
  <c r="CV69" i="46"/>
  <c r="CV103" i="46"/>
  <c r="CV104" i="46" s="1"/>
  <c r="BL207" i="46"/>
  <c r="BL219" i="46"/>
  <c r="AT347" i="46"/>
  <c r="AS346" i="46"/>
  <c r="AW273" i="46"/>
  <c r="AW279" i="46"/>
  <c r="AV3" i="42"/>
  <c r="AS1" i="42"/>
  <c r="CR102" i="42"/>
  <c r="CR115" i="42"/>
  <c r="BD528" i="42"/>
  <c r="BD481" i="42"/>
  <c r="BD485" i="42" s="1"/>
  <c r="BD507" i="42"/>
  <c r="BD510" i="42" s="1"/>
  <c r="BD538" i="42"/>
  <c r="CF137" i="42"/>
  <c r="CF600" i="20" s="1"/>
  <c r="CG137" i="42"/>
  <c r="CG600" i="20" s="1"/>
  <c r="BM137" i="42"/>
  <c r="BM600" i="20" s="1"/>
  <c r="CZ194" i="46"/>
  <c r="CZ223" i="42"/>
  <c r="CZ193" i="42"/>
  <c r="EK48" i="41"/>
  <c r="AO273" i="42"/>
  <c r="AP273" i="42" s="1"/>
  <c r="AP368" i="42"/>
  <c r="AV46" i="43"/>
  <c r="BP131" i="49"/>
  <c r="BV265" i="49"/>
  <c r="BV162" i="49"/>
  <c r="BW63" i="49"/>
  <c r="CL265" i="49"/>
  <c r="CL162" i="49"/>
  <c r="CM63" i="49"/>
  <c r="DB265" i="49"/>
  <c r="DB162" i="49"/>
  <c r="DC63" i="49"/>
  <c r="CD182" i="49"/>
  <c r="CD285" i="49"/>
  <c r="CO182" i="49"/>
  <c r="CO285" i="49" s="1"/>
  <c r="BB172" i="42"/>
  <c r="BN223" i="42"/>
  <c r="BN224" i="42" s="1"/>
  <c r="CY48" i="41"/>
  <c r="AG267" i="42"/>
  <c r="BV277" i="42"/>
  <c r="CS267" i="42"/>
  <c r="BP273" i="42"/>
  <c r="BR368" i="42"/>
  <c r="AV286" i="42"/>
  <c r="AV323" i="42" s="1"/>
  <c r="AV324" i="42" s="1"/>
  <c r="AX282" i="42"/>
  <c r="AX286" i="42" s="1"/>
  <c r="AX323" i="42" s="1"/>
  <c r="AX324" i="42" s="1"/>
  <c r="CH216" i="49"/>
  <c r="CH319" i="49"/>
  <c r="BH335" i="42"/>
  <c r="BJ335" i="42" s="1"/>
  <c r="BJ331" i="42"/>
  <c r="CK165" i="10"/>
  <c r="CL161" i="10"/>
  <c r="DB366" i="10"/>
  <c r="CG47" i="49"/>
  <c r="CH788" i="20"/>
  <c r="BA694" i="10"/>
  <c r="BY86" i="49"/>
  <c r="BY184" i="49" s="1"/>
  <c r="BY287" i="49" s="1"/>
  <c r="BZ57" i="49"/>
  <c r="CP64" i="10"/>
  <c r="BB81" i="10"/>
  <c r="BB82" i="10" s="1"/>
  <c r="BA82" i="10"/>
  <c r="CI202" i="10"/>
  <c r="CM202" i="10"/>
  <c r="CI203" i="10"/>
  <c r="CB378" i="10"/>
  <c r="CD376" i="10"/>
  <c r="DO62" i="41"/>
  <c r="DO61" i="41" s="1"/>
  <c r="X271" i="42"/>
  <c r="Y267" i="42"/>
  <c r="Y271" i="42" s="1"/>
  <c r="Y276" i="42" s="1"/>
  <c r="CJ277" i="42"/>
  <c r="AL282" i="42"/>
  <c r="AL286" i="42" s="1"/>
  <c r="AL323" i="42" s="1"/>
  <c r="AL324" i="42" s="1"/>
  <c r="AJ286" i="42"/>
  <c r="AJ323" i="42" s="1"/>
  <c r="AJ324" i="42" s="1"/>
  <c r="AJ267" i="42"/>
  <c r="CD90" i="49"/>
  <c r="BF296" i="49"/>
  <c r="BF193" i="49"/>
  <c r="CD360" i="42"/>
  <c r="CB361" i="42"/>
  <c r="CP368" i="42"/>
  <c r="CO273" i="42"/>
  <c r="R295" i="42"/>
  <c r="R43" i="43" s="1"/>
  <c r="R504" i="42" s="1"/>
  <c r="R325" i="42"/>
  <c r="R326" i="42" s="1"/>
  <c r="CX216" i="49"/>
  <c r="CX221" i="49" s="1"/>
  <c r="CX319" i="49"/>
  <c r="CX324" i="49" s="1"/>
  <c r="CO401" i="42"/>
  <c r="CP401" i="42" s="1"/>
  <c r="CP403" i="42" s="1"/>
  <c r="CS165" i="10"/>
  <c r="BZ170" i="49"/>
  <c r="BZ273" i="49"/>
  <c r="CA72" i="49"/>
  <c r="BM17" i="10"/>
  <c r="BI47" i="49"/>
  <c r="BY47" i="49"/>
  <c r="BZ19" i="10"/>
  <c r="BZ788" i="20"/>
  <c r="BI55" i="49"/>
  <c r="BI86" i="49" s="1"/>
  <c r="BI184" i="49" s="1"/>
  <c r="BI287" i="49" s="1"/>
  <c r="BI440" i="42"/>
  <c r="BI1225" i="10"/>
  <c r="O19" i="41"/>
  <c r="CP182" i="49"/>
  <c r="CP285" i="49"/>
  <c r="AW165" i="10"/>
  <c r="AX161" i="10"/>
  <c r="BW203" i="10"/>
  <c r="CA204" i="10"/>
  <c r="BU212" i="10"/>
  <c r="BE378" i="10"/>
  <c r="CF486" i="10"/>
  <c r="CH612" i="10"/>
  <c r="CS467" i="10"/>
  <c r="DA486" i="10"/>
  <c r="DA463" i="10" s="1"/>
  <c r="BE477" i="10"/>
  <c r="BR513" i="10"/>
  <c r="BP477" i="10"/>
  <c r="BU477" i="10"/>
  <c r="CH513" i="10"/>
  <c r="CF477" i="10"/>
  <c r="CC489" i="10"/>
  <c r="CC468" i="10" s="1"/>
  <c r="CD645" i="10"/>
  <c r="CS489" i="10"/>
  <c r="CS468" i="10" s="1"/>
  <c r="CT645" i="10"/>
  <c r="EA46" i="41"/>
  <c r="BL201" i="42"/>
  <c r="CB210" i="42"/>
  <c r="BA269" i="42"/>
  <c r="BB284" i="42"/>
  <c r="BB286" i="42" s="1"/>
  <c r="BB323" i="42" s="1"/>
  <c r="BB324" i="42" s="1"/>
  <c r="CX94" i="49"/>
  <c r="V286" i="42"/>
  <c r="V323" i="42" s="1"/>
  <c r="V324" i="42" s="1"/>
  <c r="U323" i="42"/>
  <c r="U324" i="42" s="1"/>
  <c r="CX316" i="49"/>
  <c r="CX213" i="49"/>
  <c r="CD403" i="42"/>
  <c r="BB423" i="42"/>
  <c r="AZ425" i="42"/>
  <c r="AZ429" i="42" s="1"/>
  <c r="AZ439" i="42" s="1"/>
  <c r="CR165" i="10"/>
  <c r="CT161" i="10"/>
  <c r="BQ11" i="10"/>
  <c r="CF12" i="10"/>
  <c r="CF656" i="10"/>
  <c r="CK41" i="49"/>
  <c r="CK68" i="49" s="1"/>
  <c r="CK166" i="49" s="1"/>
  <c r="CK269" i="49" s="1"/>
  <c r="CK407" i="10"/>
  <c r="AQ33" i="41"/>
  <c r="CW39" i="49"/>
  <c r="CW64" i="49" s="1"/>
  <c r="CW405" i="10"/>
  <c r="BC31" i="41"/>
  <c r="CD423" i="10"/>
  <c r="CC17" i="10"/>
  <c r="BL47" i="49"/>
  <c r="BN19" i="10"/>
  <c r="CS692" i="10"/>
  <c r="BL51" i="49"/>
  <c r="BL78" i="49" s="1"/>
  <c r="BN22" i="10"/>
  <c r="R13" i="41"/>
  <c r="CH52" i="49"/>
  <c r="CH79" i="49" s="1"/>
  <c r="CH951" i="10"/>
  <c r="AN14" i="41"/>
  <c r="BN130" i="10"/>
  <c r="CA203" i="10"/>
  <c r="CQ189" i="10"/>
  <c r="EA62" i="41"/>
  <c r="EA61" i="41" s="1"/>
  <c r="EA81" i="41" s="1"/>
  <c r="CX353" i="10"/>
  <c r="BF384" i="10"/>
  <c r="BD387" i="10"/>
  <c r="BA656" i="10"/>
  <c r="BA428" i="10"/>
  <c r="BA432" i="10"/>
  <c r="BA436" i="10"/>
  <c r="BA429" i="10"/>
  <c r="BA433" i="10"/>
  <c r="BA435" i="10"/>
  <c r="AZ478" i="10"/>
  <c r="CX524" i="10"/>
  <c r="CV478" i="10"/>
  <c r="AW480" i="10"/>
  <c r="BN546" i="10"/>
  <c r="BL480" i="10"/>
  <c r="BQ480" i="10"/>
  <c r="CG480" i="10"/>
  <c r="CW480" i="10"/>
  <c r="BH472" i="10"/>
  <c r="CP153" i="42"/>
  <c r="CP472" i="10" s="1"/>
  <c r="CN472" i="10"/>
  <c r="BR177" i="42"/>
  <c r="BZ178" i="42"/>
  <c r="BX424" i="10"/>
  <c r="CH178" i="42"/>
  <c r="CF424" i="10"/>
  <c r="BR223" i="42"/>
  <c r="DC48" i="41"/>
  <c r="BV282" i="42"/>
  <c r="BV286" i="42" s="1"/>
  <c r="BV323" i="42" s="1"/>
  <c r="BT286" i="42"/>
  <c r="BT323" i="42" s="1"/>
  <c r="BT324" i="42" s="1"/>
  <c r="BZ268" i="42"/>
  <c r="AH361" i="42"/>
  <c r="AF272" i="42"/>
  <c r="AH272" i="42" s="1"/>
  <c r="AX273" i="42"/>
  <c r="BU273" i="42"/>
  <c r="CF272" i="42"/>
  <c r="CH272" i="42" s="1"/>
  <c r="CH361" i="42"/>
  <c r="CT360" i="42"/>
  <c r="CR361" i="42"/>
  <c r="DB361" i="42"/>
  <c r="CZ272" i="42"/>
  <c r="DB272" i="42" s="1"/>
  <c r="DB94" i="49" s="1"/>
  <c r="T296" i="42"/>
  <c r="BH325" i="42"/>
  <c r="BI294" i="42"/>
  <c r="BV209" i="49"/>
  <c r="BV312" i="49"/>
  <c r="CW295" i="42"/>
  <c r="BP337" i="42"/>
  <c r="BR423" i="42"/>
  <c r="AN69" i="10"/>
  <c r="AN67" i="10"/>
  <c r="CP162" i="49"/>
  <c r="CP265" i="49"/>
  <c r="CQ63" i="49"/>
  <c r="BS158" i="10"/>
  <c r="BQ107" i="10"/>
  <c r="BQ14" i="10" s="1"/>
  <c r="CZ11" i="10"/>
  <c r="BL17" i="10"/>
  <c r="BN423" i="10"/>
  <c r="CW47" i="49"/>
  <c r="CX788" i="20"/>
  <c r="CG697" i="10"/>
  <c r="CG758" i="10"/>
  <c r="CG693" i="10"/>
  <c r="DA697" i="10"/>
  <c r="DA758" i="10"/>
  <c r="DA693" i="10"/>
  <c r="BH26" i="10"/>
  <c r="BJ1208" i="10"/>
  <c r="DA26" i="10"/>
  <c r="DB1208" i="10"/>
  <c r="BB56" i="49"/>
  <c r="BB1224" i="10"/>
  <c r="H17" i="41"/>
  <c r="BH165" i="10"/>
  <c r="BJ161" i="10"/>
  <c r="DA267" i="49"/>
  <c r="CB212" i="10"/>
  <c r="BI316" i="10"/>
  <c r="BI310" i="10"/>
  <c r="BT478" i="10"/>
  <c r="BY478" i="10"/>
  <c r="BZ478" i="10" s="1"/>
  <c r="BZ524" i="10"/>
  <c r="CO478" i="10"/>
  <c r="CP524" i="10"/>
  <c r="DI757" i="20"/>
  <c r="BX477" i="10"/>
  <c r="BZ513" i="10"/>
  <c r="CN477" i="10"/>
  <c r="CP477" i="10" s="1"/>
  <c r="CP513" i="10"/>
  <c r="CF489" i="10"/>
  <c r="CH645" i="10"/>
  <c r="BU723" i="10"/>
  <c r="BV721" i="10"/>
  <c r="BE425" i="42"/>
  <c r="BH424" i="42"/>
  <c r="BI424" i="42" s="1"/>
  <c r="BH486" i="10"/>
  <c r="BJ612" i="10"/>
  <c r="AV465" i="10"/>
  <c r="AX465" i="10" s="1"/>
  <c r="AX487" i="10"/>
  <c r="CR465" i="10"/>
  <c r="CT487" i="10"/>
  <c r="BU476" i="10"/>
  <c r="BU1045" i="10"/>
  <c r="CT1045" i="10"/>
  <c r="BX722" i="10"/>
  <c r="BX723" i="10" s="1"/>
  <c r="BX747" i="10"/>
  <c r="BY747" i="10"/>
  <c r="BX735" i="10"/>
  <c r="BZ721" i="10"/>
  <c r="BY722" i="10"/>
  <c r="BX952" i="10"/>
  <c r="CS952" i="10"/>
  <c r="AW126" i="20"/>
  <c r="AW128" i="20" s="1"/>
  <c r="BI126" i="20"/>
  <c r="BX814" i="10"/>
  <c r="BX126" i="20"/>
  <c r="BZ120" i="20"/>
  <c r="CL645" i="10"/>
  <c r="CJ489" i="10"/>
  <c r="CJ48" i="10"/>
  <c r="CK612" i="10"/>
  <c r="CK825" i="10"/>
  <c r="CV115" i="20"/>
  <c r="CV160" i="20"/>
  <c r="CV225" i="20"/>
  <c r="CX153" i="20"/>
  <c r="AX241" i="20"/>
  <c r="AW52" i="49"/>
  <c r="BN497" i="10"/>
  <c r="BP154" i="10"/>
  <c r="BP1143" i="10"/>
  <c r="BP1148" i="10" s="1"/>
  <c r="BR497" i="10"/>
  <c r="BR623" i="10"/>
  <c r="BP487" i="10"/>
  <c r="CD231" i="20"/>
  <c r="CC236" i="20"/>
  <c r="CD236" i="20" s="1"/>
  <c r="CJ76" i="10"/>
  <c r="CJ81" i="10" s="1"/>
  <c r="CJ82" i="10" s="1"/>
  <c r="CJ273" i="20"/>
  <c r="CL232" i="20"/>
  <c r="CO256" i="20"/>
  <c r="CK256" i="20"/>
  <c r="CW260" i="20"/>
  <c r="CW305" i="20"/>
  <c r="CW231" i="20"/>
  <c r="CW261" i="20"/>
  <c r="CW262" i="20"/>
  <c r="DL281" i="20"/>
  <c r="DJ281" i="20"/>
  <c r="AV40" i="49"/>
  <c r="AX12" i="10"/>
  <c r="AV406" i="10"/>
  <c r="AW343" i="20"/>
  <c r="BN411" i="20"/>
  <c r="BM343" i="20"/>
  <c r="BM418" i="20"/>
  <c r="DI113" i="10"/>
  <c r="DI442" i="20"/>
  <c r="DJ410" i="20"/>
  <c r="DL410" i="20"/>
  <c r="BY486" i="20"/>
  <c r="BU493" i="20"/>
  <c r="BU495" i="20" s="1"/>
  <c r="BU481" i="20"/>
  <c r="BE545" i="20"/>
  <c r="BF627" i="20"/>
  <c r="BF661" i="20" s="1"/>
  <c r="CG562" i="20"/>
  <c r="CH555" i="20"/>
  <c r="CO562" i="20"/>
  <c r="CP555" i="20"/>
  <c r="AW722" i="20"/>
  <c r="AW727" i="20" s="1"/>
  <c r="BL722" i="20"/>
  <c r="BN716" i="20"/>
  <c r="CB722" i="20"/>
  <c r="CB820" i="10"/>
  <c r="CD716" i="20"/>
  <c r="CR722" i="20"/>
  <c r="CR820" i="10"/>
  <c r="CT716" i="20"/>
  <c r="T276" i="42"/>
  <c r="DI421" i="10"/>
  <c r="DL421" i="10" s="1"/>
  <c r="BP486" i="10"/>
  <c r="BR612" i="10"/>
  <c r="BB483" i="10"/>
  <c r="BN590" i="10"/>
  <c r="BL484" i="10"/>
  <c r="BN484" i="10" s="1"/>
  <c r="CX1045" i="10"/>
  <c r="BJ645" i="10"/>
  <c r="BH489" i="10"/>
  <c r="BF722" i="10"/>
  <c r="BO1130" i="10"/>
  <c r="CE1173" i="10"/>
  <c r="CD1180" i="10"/>
  <c r="CX1180" i="10"/>
  <c r="CY1173" i="10"/>
  <c r="CA1174" i="10"/>
  <c r="CQ1174" i="10"/>
  <c r="BE46" i="49"/>
  <c r="CB449" i="10"/>
  <c r="CD442" i="10"/>
  <c r="CJ49" i="10"/>
  <c r="CK46" i="10"/>
  <c r="CK50" i="10" s="1"/>
  <c r="CO132" i="20"/>
  <c r="CK132" i="20"/>
  <c r="CL125" i="20"/>
  <c r="AZ47" i="49"/>
  <c r="BB19" i="10"/>
  <c r="BH154" i="10"/>
  <c r="BH1143" i="10"/>
  <c r="BH1148" i="10" s="1"/>
  <c r="BJ418" i="10"/>
  <c r="BH479" i="10"/>
  <c r="BJ535" i="10"/>
  <c r="BI154" i="10"/>
  <c r="BI1143" i="10"/>
  <c r="BI1148" i="10" s="1"/>
  <c r="BN301" i="20"/>
  <c r="BL261" i="20"/>
  <c r="BL231" i="20"/>
  <c r="BL38" i="10" s="1"/>
  <c r="BL260" i="20"/>
  <c r="BL305" i="20"/>
  <c r="BN557" i="10"/>
  <c r="BN658" i="10" s="1"/>
  <c r="BL481" i="10"/>
  <c r="BL658" i="10"/>
  <c r="BM231" i="20"/>
  <c r="BM261" i="20"/>
  <c r="BM262" i="20"/>
  <c r="BM260" i="20"/>
  <c r="BM444" i="10"/>
  <c r="BN444" i="10" s="1"/>
  <c r="BM787" i="20"/>
  <c r="BQ260" i="20"/>
  <c r="BQ305" i="20"/>
  <c r="BQ231" i="20"/>
  <c r="BQ261" i="20"/>
  <c r="BQ262" i="20"/>
  <c r="BT502" i="10"/>
  <c r="BV497" i="10"/>
  <c r="BT1040" i="10"/>
  <c r="BT480" i="10"/>
  <c r="BV546" i="10"/>
  <c r="BY256" i="20"/>
  <c r="BU256" i="20"/>
  <c r="CK444" i="10"/>
  <c r="CS155" i="10"/>
  <c r="AX411" i="20"/>
  <c r="AV464" i="20"/>
  <c r="AV343" i="20"/>
  <c r="CW418" i="20"/>
  <c r="CW464" i="20"/>
  <c r="CW343" i="20"/>
  <c r="AZ545" i="20"/>
  <c r="BB627" i="20"/>
  <c r="BB661" i="20" s="1"/>
  <c r="BD755" i="10"/>
  <c r="BF689" i="10"/>
  <c r="BL147" i="10"/>
  <c r="BL142" i="10"/>
  <c r="AX692" i="10"/>
  <c r="AX751" i="10"/>
  <c r="BD154" i="10"/>
  <c r="BD1143" i="10"/>
  <c r="BD1148" i="10" s="1"/>
  <c r="AV477" i="10"/>
  <c r="BA524" i="10"/>
  <c r="AX468" i="10"/>
  <c r="BZ208" i="10"/>
  <c r="CF378" i="10"/>
  <c r="CH376" i="10"/>
  <c r="BH322" i="10"/>
  <c r="BH481" i="10"/>
  <c r="BJ557" i="10"/>
  <c r="BJ658" i="10" s="1"/>
  <c r="BH658" i="10"/>
  <c r="BR535" i="10"/>
  <c r="BP479" i="10"/>
  <c r="BS44" i="41"/>
  <c r="BN601" i="10"/>
  <c r="BL485" i="10"/>
  <c r="BN485" i="10" s="1"/>
  <c r="CK913" i="10"/>
  <c r="CK917" i="10"/>
  <c r="CK914" i="10"/>
  <c r="CK912" i="10"/>
  <c r="CX778" i="10"/>
  <c r="BJ1136" i="10"/>
  <c r="CA1177" i="10"/>
  <c r="CQ1177" i="10"/>
  <c r="BA481" i="10"/>
  <c r="BA464" i="10" s="1"/>
  <c r="G32" i="41" s="1"/>
  <c r="BA658" i="10"/>
  <c r="CC814" i="10"/>
  <c r="CC126" i="20"/>
  <c r="CC131" i="20"/>
  <c r="CG94" i="10"/>
  <c r="CH94" i="10" s="1"/>
  <c r="CJ37" i="10"/>
  <c r="CJ50" i="10"/>
  <c r="AW45" i="49"/>
  <c r="AW692" i="10"/>
  <c r="AW753" i="10"/>
  <c r="BL612" i="10"/>
  <c r="BN607" i="10"/>
  <c r="BM479" i="10"/>
  <c r="BR519" i="10"/>
  <c r="BQ55" i="49"/>
  <c r="BQ86" i="49" s="1"/>
  <c r="BQ184" i="49" s="1"/>
  <c r="BQ287" i="49" s="1"/>
  <c r="BQ440" i="42"/>
  <c r="BQ1225" i="10"/>
  <c r="W19" i="41"/>
  <c r="BT485" i="10"/>
  <c r="BV485" i="10" s="1"/>
  <c r="BV601" i="10"/>
  <c r="BX243" i="20"/>
  <c r="BX816" i="10"/>
  <c r="CJ107" i="10"/>
  <c r="CJ14" i="10" s="1"/>
  <c r="CN256" i="20"/>
  <c r="CJ256" i="20"/>
  <c r="CL241" i="20"/>
  <c r="CN95" i="10"/>
  <c r="CN13" i="10" s="1"/>
  <c r="DM286" i="20"/>
  <c r="DQ286" i="20" s="1"/>
  <c r="DJ286" i="20"/>
  <c r="BI40" i="49"/>
  <c r="BI67" i="49" s="1"/>
  <c r="BI165" i="49" s="1"/>
  <c r="BI268" i="49" s="1"/>
  <c r="BI406" i="10"/>
  <c r="O41" i="41"/>
  <c r="BT418" i="20"/>
  <c r="BT343" i="20"/>
  <c r="BV411" i="20"/>
  <c r="BT464" i="20"/>
  <c r="CF464" i="20"/>
  <c r="CH411" i="20"/>
  <c r="CF343" i="20"/>
  <c r="CF418" i="20"/>
  <c r="BP445" i="10"/>
  <c r="BP475" i="20"/>
  <c r="BT486" i="20" s="1"/>
  <c r="BR473" i="20"/>
  <c r="BQ147" i="10"/>
  <c r="BQ142" i="10"/>
  <c r="CZ658" i="20"/>
  <c r="BB691" i="10"/>
  <c r="AZ757" i="10"/>
  <c r="BE722" i="20"/>
  <c r="BE727" i="20" s="1"/>
  <c r="CC88" i="10"/>
  <c r="CC125" i="10"/>
  <c r="CG157" i="20"/>
  <c r="CC186" i="20"/>
  <c r="CC157" i="20"/>
  <c r="DA197" i="20"/>
  <c r="DA198" i="20"/>
  <c r="AZ1143" i="10"/>
  <c r="AZ1148" i="10" s="1"/>
  <c r="AV42" i="49"/>
  <c r="AX14" i="10"/>
  <c r="AV408" i="10"/>
  <c r="AV479" i="10"/>
  <c r="BX464" i="20"/>
  <c r="CS464" i="20"/>
  <c r="AT480" i="20"/>
  <c r="AR481" i="20"/>
  <c r="BB534" i="20"/>
  <c r="BB536" i="20"/>
  <c r="BA773" i="20"/>
  <c r="AW773" i="20"/>
  <c r="BR773" i="20"/>
  <c r="CR773" i="20"/>
  <c r="CN773" i="20"/>
  <c r="CJ807" i="20"/>
  <c r="CL130" i="10"/>
  <c r="CN465" i="10"/>
  <c r="CP465" i="10" s="1"/>
  <c r="CP487" i="10"/>
  <c r="BN579" i="10"/>
  <c r="BL483" i="10"/>
  <c r="BN483" i="10" s="1"/>
  <c r="BR601" i="10"/>
  <c r="BP485" i="10"/>
  <c r="BR485" i="10" s="1"/>
  <c r="BA759" i="10"/>
  <c r="BJ747" i="10"/>
  <c r="CN722" i="10"/>
  <c r="CN747" i="10"/>
  <c r="CK735" i="10"/>
  <c r="CN735" i="10"/>
  <c r="CE1129" i="10"/>
  <c r="CI1130" i="10"/>
  <c r="CE1132" i="10"/>
  <c r="AY3" i="51"/>
  <c r="AY29" i="51"/>
  <c r="AY55" i="51"/>
  <c r="BO3" i="51"/>
  <c r="BO29" i="51"/>
  <c r="BO55" i="51"/>
  <c r="AW46" i="49"/>
  <c r="BA409" i="10"/>
  <c r="BM40" i="10"/>
  <c r="BU46" i="10"/>
  <c r="BU49" i="10" s="1"/>
  <c r="CL605" i="10"/>
  <c r="CK423" i="10"/>
  <c r="CL416" i="10"/>
  <c r="CS449" i="10"/>
  <c r="CW46" i="10"/>
  <c r="CW50" i="10" s="1"/>
  <c r="CZ48" i="10"/>
  <c r="CZ49" i="10"/>
  <c r="AS18" i="10"/>
  <c r="AZ45" i="49"/>
  <c r="BB17" i="10"/>
  <c r="F9" i="41"/>
  <c r="BE47" i="49"/>
  <c r="BL49" i="10"/>
  <c r="BM154" i="10"/>
  <c r="BM1143" i="10"/>
  <c r="BM1148" i="10" s="1"/>
  <c r="BQ154" i="10"/>
  <c r="BQ1143" i="10"/>
  <c r="BQ1148" i="10" s="1"/>
  <c r="CL640" i="10"/>
  <c r="AW40" i="49"/>
  <c r="AW406" i="10"/>
  <c r="AZ39" i="49"/>
  <c r="BB11" i="10"/>
  <c r="AZ405" i="10"/>
  <c r="F31" i="41"/>
  <c r="CG50" i="10"/>
  <c r="CW197" i="20"/>
  <c r="CW198" i="20"/>
  <c r="BR223" i="20"/>
  <c r="BN223" i="20"/>
  <c r="CN223" i="20"/>
  <c r="CJ223" i="20"/>
  <c r="BE119" i="10"/>
  <c r="AW154" i="10"/>
  <c r="AW1143" i="10"/>
  <c r="AW1148" i="10" s="1"/>
  <c r="AX322" i="20"/>
  <c r="AX323" i="20"/>
  <c r="BF519" i="10"/>
  <c r="BN451" i="20"/>
  <c r="CT451" i="20"/>
  <c r="BE462" i="20"/>
  <c r="BA462" i="20"/>
  <c r="BZ462" i="20"/>
  <c r="CV462" i="20"/>
  <c r="CR462" i="20"/>
  <c r="BN502" i="20"/>
  <c r="BJ500" i="20"/>
  <c r="BJ502" i="20"/>
  <c r="CN146" i="10"/>
  <c r="CK146" i="10"/>
  <c r="CK1145" i="10"/>
  <c r="BR659" i="20"/>
  <c r="CN659" i="20"/>
  <c r="CJ659" i="20"/>
  <c r="AR680" i="20"/>
  <c r="AT680" i="20" s="1"/>
  <c r="CB798" i="20"/>
  <c r="CB838" i="20"/>
  <c r="CB834" i="20"/>
  <c r="CD830" i="20"/>
  <c r="BT811" i="20"/>
  <c r="DI1248" i="10"/>
  <c r="DL1248" i="10" s="1"/>
  <c r="BC1296" i="10"/>
  <c r="BC1297" i="10"/>
  <c r="BC1299" i="10"/>
  <c r="BC1293" i="10"/>
  <c r="BC1294" i="10"/>
  <c r="BD46" i="49"/>
  <c r="BF18" i="10"/>
  <c r="J10" i="41"/>
  <c r="BH38" i="10"/>
  <c r="CK40" i="10"/>
  <c r="AV236" i="20"/>
  <c r="AX231" i="20"/>
  <c r="BB241" i="20"/>
  <c r="AZ256" i="20"/>
  <c r="BA274" i="20"/>
  <c r="BA278" i="20" s="1"/>
  <c r="DM456" i="20"/>
  <c r="DQ456" i="20" s="1"/>
  <c r="DQ352" i="20" s="1"/>
  <c r="DI352" i="20"/>
  <c r="DJ456" i="20"/>
  <c r="DJ461" i="20" s="1"/>
  <c r="CF551" i="20"/>
  <c r="CF561" i="20"/>
  <c r="CF556" i="20"/>
  <c r="CF818" i="10"/>
  <c r="CV551" i="20"/>
  <c r="CV561" i="20"/>
  <c r="CV556" i="20"/>
  <c r="CV818" i="10"/>
  <c r="AZ722" i="20"/>
  <c r="BB716" i="20"/>
  <c r="BE494" i="20"/>
  <c r="BN537" i="20"/>
  <c r="BJ803" i="20"/>
  <c r="BH809" i="20"/>
  <c r="BL814" i="20"/>
  <c r="CC834" i="20"/>
  <c r="CG807" i="20"/>
  <c r="CH807" i="20" s="1"/>
  <c r="CK843" i="20"/>
  <c r="CL843" i="20" s="1"/>
  <c r="CH843" i="20"/>
  <c r="CH848" i="20" s="1"/>
  <c r="BD849" i="20"/>
  <c r="CV877" i="20"/>
  <c r="CX925" i="20"/>
  <c r="CZ929" i="20"/>
  <c r="CV929" i="20"/>
  <c r="DM877" i="20"/>
  <c r="DM929" i="20"/>
  <c r="CO912" i="20"/>
  <c r="CL912" i="20"/>
  <c r="CL919" i="20" s="1"/>
  <c r="BJ442" i="10"/>
  <c r="BL40" i="10"/>
  <c r="BR442" i="10"/>
  <c r="CK952" i="10"/>
  <c r="BI263" i="20"/>
  <c r="BI268" i="20" s="1"/>
  <c r="CF236" i="20"/>
  <c r="DB260" i="20"/>
  <c r="DB261" i="20"/>
  <c r="DB262" i="20"/>
  <c r="BD343" i="20"/>
  <c r="BF411" i="20"/>
  <c r="BD464" i="20"/>
  <c r="BF443" i="10"/>
  <c r="BV475" i="20"/>
  <c r="BT481" i="20"/>
  <c r="BQ556" i="20"/>
  <c r="BQ551" i="20"/>
  <c r="BT561" i="20"/>
  <c r="BT551" i="20"/>
  <c r="BT556" i="20"/>
  <c r="CM545" i="20"/>
  <c r="DB550" i="20"/>
  <c r="BJ714" i="20"/>
  <c r="BY722" i="20"/>
  <c r="BY820" i="10"/>
  <c r="CO722" i="20"/>
  <c r="CO820" i="10"/>
  <c r="DL720" i="20"/>
  <c r="CD148" i="20"/>
  <c r="DL194" i="20"/>
  <c r="BM335" i="20"/>
  <c r="CH335" i="20"/>
  <c r="BF334" i="20"/>
  <c r="BB572" i="20"/>
  <c r="DB614" i="20"/>
  <c r="AX849" i="20"/>
  <c r="AY1293" i="10"/>
  <c r="AY1296" i="10"/>
  <c r="AY1297" i="10"/>
  <c r="AY1298" i="10"/>
  <c r="AY1299" i="10"/>
  <c r="AV46" i="49"/>
  <c r="AX18" i="10"/>
  <c r="CZ160" i="20"/>
  <c r="AS236" i="20"/>
  <c r="BA256" i="20"/>
  <c r="BE274" i="20"/>
  <c r="BP295" i="20"/>
  <c r="BL295" i="20"/>
  <c r="BL232" i="20"/>
  <c r="BU263" i="20"/>
  <c r="BU267" i="20" s="1"/>
  <c r="BY274" i="20"/>
  <c r="BY277" i="20"/>
  <c r="DL283" i="20"/>
  <c r="DL327" i="20"/>
  <c r="DP327" i="20" s="1"/>
  <c r="DJ327" i="20"/>
  <c r="CC481" i="20"/>
  <c r="CC494" i="20"/>
  <c r="CC495" i="20" s="1"/>
  <c r="CC817" i="10"/>
  <c r="CC486" i="20"/>
  <c r="CQ545" i="20"/>
  <c r="CO550" i="20"/>
  <c r="DI552" i="20"/>
  <c r="DM651" i="20"/>
  <c r="DQ651" i="20" s="1"/>
  <c r="AW678" i="20"/>
  <c r="AW680" i="20" s="1"/>
  <c r="CC820" i="10"/>
  <c r="CC722" i="20"/>
  <c r="CS820" i="10"/>
  <c r="CS722" i="20"/>
  <c r="CM1173" i="10"/>
  <c r="BK189" i="20"/>
  <c r="BF287" i="20"/>
  <c r="BJ604" i="20"/>
  <c r="CX625" i="20"/>
  <c r="CX116" i="10" s="1"/>
  <c r="DB737" i="20"/>
  <c r="BM811" i="20"/>
  <c r="BN811" i="20" s="1"/>
  <c r="BM816" i="20"/>
  <c r="CJ805" i="20"/>
  <c r="CN841" i="20"/>
  <c r="BX894" i="20"/>
  <c r="BX888" i="20"/>
  <c r="CT880" i="20"/>
  <c r="CF884" i="20"/>
  <c r="CJ950" i="20"/>
  <c r="CH950" i="20"/>
  <c r="CF953" i="20"/>
  <c r="CF958" i="20" s="1"/>
  <c r="AZ1300" i="10"/>
  <c r="BJ287" i="20"/>
  <c r="CS263" i="20"/>
  <c r="CS267" i="20" s="1"/>
  <c r="CS305" i="20"/>
  <c r="DE75" i="10"/>
  <c r="BH481" i="20"/>
  <c r="BJ475" i="20"/>
  <c r="BH494" i="20"/>
  <c r="BH495" i="20" s="1"/>
  <c r="BH486" i="20"/>
  <c r="BD556" i="20"/>
  <c r="BF186" i="20"/>
  <c r="BF196" i="20" s="1"/>
  <c r="BF198" i="20" s="1"/>
  <c r="CZ197" i="20"/>
  <c r="CE1175" i="10"/>
  <c r="AS481" i="20"/>
  <c r="AS483" i="20" s="1"/>
  <c r="AS534" i="20"/>
  <c r="AW539" i="20" s="1"/>
  <c r="DI929" i="20"/>
  <c r="DE877" i="20"/>
  <c r="DE929" i="20"/>
  <c r="CO909" i="20"/>
  <c r="CL909" i="20"/>
  <c r="DJ880" i="20"/>
  <c r="DN947" i="20"/>
  <c r="BV462" i="20" l="1"/>
  <c r="CN212" i="10"/>
  <c r="CD324" i="42"/>
  <c r="BY246" i="10"/>
  <c r="DO51" i="41"/>
  <c r="BD723" i="10"/>
  <c r="CP22" i="10"/>
  <c r="BJ262" i="20"/>
  <c r="BW115" i="20"/>
  <c r="BY914" i="10"/>
  <c r="AC504" i="42"/>
  <c r="CT378" i="10"/>
  <c r="CV348" i="20"/>
  <c r="BL131" i="20"/>
  <c r="CR48" i="10"/>
  <c r="CN911" i="10"/>
  <c r="BR645" i="10"/>
  <c r="BP483" i="10"/>
  <c r="BR483" i="10" s="1"/>
  <c r="CG424" i="10"/>
  <c r="BE1149" i="10"/>
  <c r="CJ912" i="10"/>
  <c r="CH1180" i="10"/>
  <c r="CL294" i="49"/>
  <c r="AM43" i="41"/>
  <c r="CL63" i="42"/>
  <c r="CL69" i="42" s="1"/>
  <c r="CG267" i="20"/>
  <c r="AT78" i="51" s="1"/>
  <c r="BF656" i="20"/>
  <c r="AV278" i="20"/>
  <c r="BR378" i="10"/>
  <c r="BV165" i="10"/>
  <c r="BB287" i="20"/>
  <c r="AC45" i="43"/>
  <c r="CG538" i="42"/>
  <c r="BL126" i="20"/>
  <c r="CJ915" i="10"/>
  <c r="BF557" i="10"/>
  <c r="BF658" i="10" s="1"/>
  <c r="BI322" i="10"/>
  <c r="CG268" i="20"/>
  <c r="AT79" i="51" s="1"/>
  <c r="DB625" i="20"/>
  <c r="DB116" i="10" s="1"/>
  <c r="CT462" i="20"/>
  <c r="BD773" i="20"/>
  <c r="EE48" i="41"/>
  <c r="BV634" i="10"/>
  <c r="CD150" i="20"/>
  <c r="BY507" i="42"/>
  <c r="BY510" i="42" s="1"/>
  <c r="BR557" i="10"/>
  <c r="BR658" i="10" s="1"/>
  <c r="CD217" i="46"/>
  <c r="BJ526" i="42"/>
  <c r="Z31" i="41"/>
  <c r="BF768" i="20"/>
  <c r="DA52" i="49"/>
  <c r="DA79" i="49" s="1"/>
  <c r="DA177" i="49" s="1"/>
  <c r="DA280" i="49" s="1"/>
  <c r="BP814" i="20"/>
  <c r="AZ342" i="46"/>
  <c r="BV164" i="49"/>
  <c r="DJ40" i="46"/>
  <c r="DM40" i="46" s="1"/>
  <c r="DP40" i="46" s="1"/>
  <c r="BZ239" i="10"/>
  <c r="CH401" i="42"/>
  <c r="CH403" i="42" s="1"/>
  <c r="BT39" i="49"/>
  <c r="BT64" i="49" s="1"/>
  <c r="DB101" i="42"/>
  <c r="DO49" i="41"/>
  <c r="BQ207" i="46"/>
  <c r="BU207" i="46"/>
  <c r="CP301" i="20"/>
  <c r="BV190" i="49"/>
  <c r="AT342" i="46"/>
  <c r="AZ262" i="46"/>
  <c r="CX48" i="46"/>
  <c r="CX49" i="46" s="1"/>
  <c r="CU49" i="41"/>
  <c r="CM1177" i="10"/>
  <c r="BT814" i="20"/>
  <c r="BB768" i="20"/>
  <c r="BB773" i="20" s="1"/>
  <c r="CD759" i="10"/>
  <c r="BI325" i="10"/>
  <c r="BN773" i="20"/>
  <c r="BZ353" i="10"/>
  <c r="BI723" i="10"/>
  <c r="CB507" i="42"/>
  <c r="CB510" i="42" s="1"/>
  <c r="CB538" i="42"/>
  <c r="BD296" i="42"/>
  <c r="BA43" i="43"/>
  <c r="DF773" i="20"/>
  <c r="DB773" i="20"/>
  <c r="CK722" i="10"/>
  <c r="CC723" i="10"/>
  <c r="AM45" i="41"/>
  <c r="CZ481" i="42"/>
  <c r="CZ507" i="42"/>
  <c r="CZ510" i="42" s="1"/>
  <c r="BN277" i="42"/>
  <c r="X33" i="41"/>
  <c r="BR41" i="49"/>
  <c r="BR68" i="49" s="1"/>
  <c r="CD190" i="49"/>
  <c r="CD293" i="49"/>
  <c r="BQ528" i="42"/>
  <c r="BQ507" i="42"/>
  <c r="BQ510" i="42" s="1"/>
  <c r="BQ514" i="42" s="1"/>
  <c r="DG49" i="41"/>
  <c r="CV503" i="10"/>
  <c r="CY502" i="10"/>
  <c r="BU489" i="10"/>
  <c r="BU468" i="10" s="1"/>
  <c r="BV645" i="10"/>
  <c r="BE1143" i="10"/>
  <c r="BE1148" i="10" s="1"/>
  <c r="BE154" i="10"/>
  <c r="CV49" i="10"/>
  <c r="CV50" i="10"/>
  <c r="BA528" i="42"/>
  <c r="BA532" i="42" s="1"/>
  <c r="BA481" i="42"/>
  <c r="BA485" i="42" s="1"/>
  <c r="BB485" i="42" s="1"/>
  <c r="CK911" i="10"/>
  <c r="CK915" i="10"/>
  <c r="AO481" i="42"/>
  <c r="AO485" i="42" s="1"/>
  <c r="AP485" i="42" s="1"/>
  <c r="AO507" i="42"/>
  <c r="AO510" i="42" s="1"/>
  <c r="AO514" i="42" s="1"/>
  <c r="AO528" i="42"/>
  <c r="AO532" i="42" s="1"/>
  <c r="BP243" i="20"/>
  <c r="AS246" i="46"/>
  <c r="AT245" i="46"/>
  <c r="BV101" i="42"/>
  <c r="BV529" i="42"/>
  <c r="CN913" i="10"/>
  <c r="CN914" i="10"/>
  <c r="BF301" i="20"/>
  <c r="BF260" i="20" s="1"/>
  <c r="BD261" i="20"/>
  <c r="BD263" i="20" s="1"/>
  <c r="BD268" i="20" s="1"/>
  <c r="CF157" i="20"/>
  <c r="BT246" i="10"/>
  <c r="BT238" i="10"/>
  <c r="CB273" i="42"/>
  <c r="CD368" i="42"/>
  <c r="BZ378" i="10"/>
  <c r="BR809" i="20"/>
  <c r="BR816" i="20" s="1"/>
  <c r="BT816" i="20"/>
  <c r="BZ65" i="49"/>
  <c r="BZ164" i="49" s="1"/>
  <c r="AS272" i="46"/>
  <c r="AS342" i="46"/>
  <c r="AT310" i="46"/>
  <c r="BY212" i="10"/>
  <c r="DH929" i="20"/>
  <c r="DD877" i="20"/>
  <c r="DF925" i="20"/>
  <c r="BA758" i="10"/>
  <c r="BA697" i="10"/>
  <c r="BU758" i="10"/>
  <c r="BU693" i="10"/>
  <c r="CD545" i="20"/>
  <c r="BM723" i="10"/>
  <c r="BM212" i="10"/>
  <c r="BB101" i="42"/>
  <c r="BB481" i="42" s="1"/>
  <c r="CM51" i="41"/>
  <c r="CS211" i="42"/>
  <c r="CV211" i="42"/>
  <c r="CC238" i="10"/>
  <c r="CC246" i="10"/>
  <c r="BF222" i="20"/>
  <c r="BJ222" i="20"/>
  <c r="CM215" i="46"/>
  <c r="BV153" i="42"/>
  <c r="BV472" i="10" s="1"/>
  <c r="CN467" i="10"/>
  <c r="BE277" i="20"/>
  <c r="CT465" i="10"/>
  <c r="BB387" i="10"/>
  <c r="CJ54" i="43"/>
  <c r="CN1212" i="10"/>
  <c r="CN1214" i="10" s="1"/>
  <c r="AM34" i="43"/>
  <c r="CK47" i="49"/>
  <c r="DB477" i="10"/>
  <c r="CL47" i="49"/>
  <c r="EH54" i="41"/>
  <c r="BV107" i="10"/>
  <c r="CL916" i="20"/>
  <c r="DM193" i="20"/>
  <c r="DP194" i="20" s="1"/>
  <c r="BR231" i="20"/>
  <c r="BN538" i="42"/>
  <c r="AZ310" i="46"/>
  <c r="BF481" i="42"/>
  <c r="DA319" i="42"/>
  <c r="CL841" i="20"/>
  <c r="CD65" i="49"/>
  <c r="BJ722" i="10"/>
  <c r="BQ87" i="46"/>
  <c r="BR87" i="46" s="1"/>
  <c r="BR95" i="46" s="1"/>
  <c r="BR97" i="46" s="1"/>
  <c r="BH266" i="46"/>
  <c r="AX481" i="10"/>
  <c r="BB747" i="10"/>
  <c r="CG918" i="10"/>
  <c r="CG919" i="10" s="1"/>
  <c r="CW117" i="10"/>
  <c r="BT328" i="10"/>
  <c r="CL477" i="10"/>
  <c r="AS278" i="46"/>
  <c r="BR217" i="46"/>
  <c r="BV623" i="10"/>
  <c r="AV464" i="10"/>
  <c r="AX464" i="10" s="1"/>
  <c r="CH294" i="49"/>
  <c r="AO244" i="46"/>
  <c r="AW481" i="42"/>
  <c r="AW485" i="42" s="1"/>
  <c r="AX485" i="42" s="1"/>
  <c r="BH249" i="46"/>
  <c r="BA507" i="42"/>
  <c r="BA510" i="42" s="1"/>
  <c r="BA514" i="42" s="1"/>
  <c r="CO538" i="42"/>
  <c r="CZ466" i="10"/>
  <c r="CR538" i="42"/>
  <c r="BZ76" i="10"/>
  <c r="CP658" i="20"/>
  <c r="BE849" i="20"/>
  <c r="CB88" i="10"/>
  <c r="CB92" i="10" s="1"/>
  <c r="CB95" i="10" s="1"/>
  <c r="CB13" i="10" s="1"/>
  <c r="CB186" i="20"/>
  <c r="CB200" i="20" s="1"/>
  <c r="CX479" i="10"/>
  <c r="BQ324" i="42"/>
  <c r="BQ533" i="42"/>
  <c r="AV656" i="10"/>
  <c r="AB46" i="43"/>
  <c r="AB50" i="43" s="1"/>
  <c r="CU217" i="46"/>
  <c r="BB722" i="10"/>
  <c r="AS300" i="46"/>
  <c r="CY217" i="46"/>
  <c r="BZ273" i="20"/>
  <c r="CH877" i="20"/>
  <c r="CI877" i="20" s="1"/>
  <c r="BF733" i="20"/>
  <c r="EI48" i="41"/>
  <c r="AP242" i="46"/>
  <c r="V529" i="42"/>
  <c r="V533" i="42" s="1"/>
  <c r="AW528" i="42"/>
  <c r="CY51" i="41"/>
  <c r="CY54" i="41" s="1"/>
  <c r="CB528" i="42"/>
  <c r="BA538" i="42"/>
  <c r="CC267" i="20"/>
  <c r="AP78" i="51" s="1"/>
  <c r="CL553" i="42"/>
  <c r="DJ927" i="20"/>
  <c r="CB125" i="10"/>
  <c r="CD125" i="10" s="1"/>
  <c r="BW798" i="20"/>
  <c r="BP335" i="20"/>
  <c r="CT759" i="10"/>
  <c r="BF378" i="10"/>
  <c r="BZ759" i="10"/>
  <c r="DC215" i="46"/>
  <c r="BQ295" i="42"/>
  <c r="BQ296" i="42" s="1"/>
  <c r="BQ298" i="42" s="1"/>
  <c r="BL335" i="20"/>
  <c r="BH263" i="20"/>
  <c r="BH268" i="20" s="1"/>
  <c r="DN740" i="20"/>
  <c r="DN118" i="10" s="1"/>
  <c r="AZ335" i="20"/>
  <c r="CT81" i="10"/>
  <c r="CT82" i="10" s="1"/>
  <c r="DL717" i="10"/>
  <c r="CG295" i="42"/>
  <c r="CC268" i="20"/>
  <c r="AP79" i="51" s="1"/>
  <c r="CG324" i="42"/>
  <c r="CD658" i="20"/>
  <c r="BY66" i="49"/>
  <c r="CL401" i="42"/>
  <c r="CL403" i="42" s="1"/>
  <c r="CH27" i="42"/>
  <c r="BR553" i="42"/>
  <c r="DB86" i="46"/>
  <c r="DA87" i="46"/>
  <c r="DA69" i="46"/>
  <c r="DB69" i="46" s="1"/>
  <c r="DA103" i="46"/>
  <c r="DA104" i="46" s="1"/>
  <c r="DE229" i="42"/>
  <c r="AT553" i="42"/>
  <c r="DG138" i="46"/>
  <c r="DP133" i="46"/>
  <c r="DQ133" i="46" s="1"/>
  <c r="DS133" i="46" s="1"/>
  <c r="DO133" i="46"/>
  <c r="DP767" i="20"/>
  <c r="DP720" i="20" s="1"/>
  <c r="DL764" i="20"/>
  <c r="CP480" i="10"/>
  <c r="BQ478" i="10"/>
  <c r="BE694" i="10"/>
  <c r="BZ1045" i="10"/>
  <c r="BI481" i="10"/>
  <c r="BI464" i="10" s="1"/>
  <c r="O32" i="41" s="1"/>
  <c r="CA215" i="46"/>
  <c r="DN290" i="20"/>
  <c r="AG528" i="42"/>
  <c r="AG532" i="42" s="1"/>
  <c r="BU246" i="10"/>
  <c r="DH225" i="42"/>
  <c r="DH229" i="42" s="1"/>
  <c r="DH223" i="46"/>
  <c r="DH184" i="46"/>
  <c r="DH185" i="46" s="1"/>
  <c r="DH194" i="46"/>
  <c r="DN293" i="20"/>
  <c r="AZ278" i="46"/>
  <c r="CP48" i="46"/>
  <c r="CP49" i="46" s="1"/>
  <c r="AZ300" i="46"/>
  <c r="AZ276" i="46" s="1"/>
  <c r="CY215" i="46"/>
  <c r="V276" i="42"/>
  <c r="AX553" i="42"/>
  <c r="CD208" i="10"/>
  <c r="DH254" i="42"/>
  <c r="DI254" i="42" s="1"/>
  <c r="DL254" i="42" s="1"/>
  <c r="DM254" i="42" s="1"/>
  <c r="DP254" i="42" s="1"/>
  <c r="DQ254" i="42" s="1"/>
  <c r="DO147" i="46"/>
  <c r="DI14" i="42"/>
  <c r="ET45" i="41" s="1"/>
  <c r="DJ928" i="20"/>
  <c r="DI238" i="20"/>
  <c r="DJ238" i="20" s="1"/>
  <c r="CD553" i="42"/>
  <c r="DB553" i="42"/>
  <c r="EM62" i="41"/>
  <c r="EM61" i="41" s="1"/>
  <c r="EM81" i="41" s="1"/>
  <c r="DC189" i="10"/>
  <c r="DG189" i="10"/>
  <c r="CH553" i="42"/>
  <c r="CX553" i="42"/>
  <c r="CT553" i="42"/>
  <c r="BZ553" i="42"/>
  <c r="BF553" i="42"/>
  <c r="BB553" i="42"/>
  <c r="BV553" i="42"/>
  <c r="BN553" i="42"/>
  <c r="BQ131" i="20"/>
  <c r="BF223" i="20"/>
  <c r="CV377" i="20"/>
  <c r="CV378" i="20" s="1"/>
  <c r="CV385" i="20" s="1"/>
  <c r="CV383" i="20"/>
  <c r="DA377" i="20"/>
  <c r="DA378" i="20" s="1"/>
  <c r="DA385" i="20" s="1"/>
  <c r="DA383" i="20"/>
  <c r="CD659" i="20"/>
  <c r="BZ659" i="20"/>
  <c r="CC467" i="10"/>
  <c r="AW450" i="10"/>
  <c r="BZ37" i="10"/>
  <c r="DB198" i="20"/>
  <c r="DB479" i="10"/>
  <c r="AP553" i="42"/>
  <c r="BJ553" i="42"/>
  <c r="BJ773" i="20"/>
  <c r="CI215" i="46"/>
  <c r="DA207" i="42"/>
  <c r="DD211" i="42" s="1"/>
  <c r="CH658" i="20"/>
  <c r="AU32" i="43"/>
  <c r="B65" i="51"/>
  <c r="B53" i="51" s="1"/>
  <c r="B66" i="51" s="1"/>
  <c r="B67" i="51" s="1"/>
  <c r="B70" i="51" s="1"/>
  <c r="B54" i="51" s="1"/>
  <c r="CX421" i="20"/>
  <c r="BX212" i="10"/>
  <c r="BN747" i="10"/>
  <c r="CT747" i="10"/>
  <c r="AH529" i="42"/>
  <c r="AH533" i="42" s="1"/>
  <c r="BP263" i="20"/>
  <c r="BP268" i="20" s="1"/>
  <c r="CB151" i="20"/>
  <c r="BY538" i="42"/>
  <c r="DM327" i="20"/>
  <c r="DQ327" i="20" s="1"/>
  <c r="DQ238" i="20" s="1"/>
  <c r="AZ538" i="42"/>
  <c r="CR82" i="49"/>
  <c r="BW189" i="20"/>
  <c r="BV40" i="10"/>
  <c r="BZ182" i="49"/>
  <c r="BZ658" i="20"/>
  <c r="BE538" i="42"/>
  <c r="CB207" i="46"/>
  <c r="BH723" i="10"/>
  <c r="V539" i="42"/>
  <c r="V540" i="42" s="1"/>
  <c r="AS262" i="46"/>
  <c r="AS261" i="46" s="1"/>
  <c r="AU13" i="41"/>
  <c r="BP816" i="20"/>
  <c r="DI218" i="10"/>
  <c r="BP46" i="43"/>
  <c r="BH353" i="46"/>
  <c r="CA205" i="10"/>
  <c r="AX278" i="20"/>
  <c r="CC450" i="10"/>
  <c r="BQ758" i="10"/>
  <c r="EE51" i="41"/>
  <c r="EE54" i="41" s="1"/>
  <c r="DC1040" i="10"/>
  <c r="CO950" i="20"/>
  <c r="BJ659" i="20"/>
  <c r="CB139" i="10"/>
  <c r="CB145" i="10" s="1"/>
  <c r="BL488" i="10"/>
  <c r="BN488" i="10" s="1"/>
  <c r="CK238" i="10"/>
  <c r="BH424" i="10"/>
  <c r="BJ178" i="42"/>
  <c r="CP462" i="20"/>
  <c r="CL107" i="10"/>
  <c r="BF528" i="42"/>
  <c r="CM719" i="10"/>
  <c r="CQ719" i="10"/>
  <c r="DQ608" i="20"/>
  <c r="DQ627" i="20" s="1"/>
  <c r="BQ69" i="46"/>
  <c r="BR69" i="46" s="1"/>
  <c r="BQ103" i="46"/>
  <c r="BQ104" i="46" s="1"/>
  <c r="BH193" i="42"/>
  <c r="DD273" i="42"/>
  <c r="DF273" i="42" s="1"/>
  <c r="DF95" i="49" s="1"/>
  <c r="DF297" i="49" s="1"/>
  <c r="DF184" i="46"/>
  <c r="DE185" i="46"/>
  <c r="DF185" i="46" s="1"/>
  <c r="DI627" i="20"/>
  <c r="BQ693" i="10"/>
  <c r="CZ538" i="42"/>
  <c r="DB538" i="42" s="1"/>
  <c r="CT659" i="20"/>
  <c r="AP101" i="42"/>
  <c r="AP481" i="42" s="1"/>
  <c r="Y507" i="42"/>
  <c r="Y510" i="42" s="1"/>
  <c r="Y514" i="42" s="1"/>
  <c r="BR572" i="20"/>
  <c r="CJ102" i="42"/>
  <c r="AJ538" i="42"/>
  <c r="BD495" i="20"/>
  <c r="BE758" i="10"/>
  <c r="DA193" i="46"/>
  <c r="DI193" i="46" s="1"/>
  <c r="DL193" i="46" s="1"/>
  <c r="DM193" i="46" s="1"/>
  <c r="DP193" i="46" s="1"/>
  <c r="DQ193" i="46" s="1"/>
  <c r="DF208" i="10"/>
  <c r="DF65" i="49"/>
  <c r="DA238" i="10"/>
  <c r="DA241" i="10" s="1"/>
  <c r="BB462" i="20"/>
  <c r="DF296" i="49"/>
  <c r="DF193" i="49"/>
  <c r="CD479" i="10"/>
  <c r="BJ182" i="49"/>
  <c r="BR747" i="10"/>
  <c r="DQ957" i="10"/>
  <c r="DQ1131" i="10"/>
  <c r="DQ1174" i="10"/>
  <c r="DQ945" i="10"/>
  <c r="DP1251" i="10"/>
  <c r="DQ1247" i="10"/>
  <c r="DQ1251" i="10" s="1"/>
  <c r="DB223" i="20"/>
  <c r="DF223" i="20"/>
  <c r="DQ1135" i="10"/>
  <c r="DQ961" i="10"/>
  <c r="DA659" i="20"/>
  <c r="DE659" i="20"/>
  <c r="DQ324" i="20"/>
  <c r="DE545" i="20"/>
  <c r="DE661" i="20"/>
  <c r="CZ659" i="20"/>
  <c r="DR290" i="20"/>
  <c r="DF945" i="10"/>
  <c r="DF1174" i="10"/>
  <c r="DG1174" i="10" s="1"/>
  <c r="DQ122" i="20"/>
  <c r="DM240" i="20"/>
  <c r="DQ329" i="20"/>
  <c r="DQ240" i="20" s="1"/>
  <c r="DL719" i="20"/>
  <c r="DL1135" i="10" s="1"/>
  <c r="DP766" i="20"/>
  <c r="DP238" i="20"/>
  <c r="DP552" i="20"/>
  <c r="DR651" i="20"/>
  <c r="DM90" i="10"/>
  <c r="DQ300" i="20"/>
  <c r="DF946" i="10"/>
  <c r="DF1175" i="10"/>
  <c r="DP350" i="20"/>
  <c r="DR454" i="20"/>
  <c r="DQ350" i="20"/>
  <c r="DP283" i="20"/>
  <c r="DQ552" i="20"/>
  <c r="DQ193" i="20"/>
  <c r="DR293" i="20"/>
  <c r="DR286" i="20"/>
  <c r="DP124" i="20"/>
  <c r="DP240" i="20"/>
  <c r="DR604" i="20"/>
  <c r="DP608" i="20"/>
  <c r="DP740" i="20"/>
  <c r="DP118" i="10" s="1"/>
  <c r="DQ741" i="20"/>
  <c r="DQ740" i="20" s="1"/>
  <c r="DQ118" i="10" s="1"/>
  <c r="DP281" i="20"/>
  <c r="DR281" i="20" s="1"/>
  <c r="DR215" i="20"/>
  <c r="DP122" i="20"/>
  <c r="DN626" i="20"/>
  <c r="DP626" i="20"/>
  <c r="DL352" i="20"/>
  <c r="DP456" i="20"/>
  <c r="DP138" i="20"/>
  <c r="DP116" i="20"/>
  <c r="BI825" i="20"/>
  <c r="DL239" i="20"/>
  <c r="DL957" i="10" s="1"/>
  <c r="DP328" i="20"/>
  <c r="DP330" i="20" s="1"/>
  <c r="DM720" i="20"/>
  <c r="DQ767" i="20"/>
  <c r="DQ720" i="20" s="1"/>
  <c r="DM124" i="20"/>
  <c r="DQ217" i="20"/>
  <c r="DQ124" i="20" s="1"/>
  <c r="DN148" i="46"/>
  <c r="DS148" i="46" s="1"/>
  <c r="CX44" i="46"/>
  <c r="DA219" i="46"/>
  <c r="CE215" i="46"/>
  <c r="DN40" i="46"/>
  <c r="DQ40" i="46" s="1"/>
  <c r="DR40" i="46" s="1"/>
  <c r="DN46" i="46"/>
  <c r="DQ46" i="46" s="1"/>
  <c r="DN41" i="46"/>
  <c r="DQ41" i="46" s="1"/>
  <c r="DR41" i="46" s="1"/>
  <c r="BV44" i="46"/>
  <c r="DN47" i="46"/>
  <c r="DQ47" i="46" s="1"/>
  <c r="DR47" i="46" s="1"/>
  <c r="DV18" i="41"/>
  <c r="CU8" i="49"/>
  <c r="DD212" i="10"/>
  <c r="DF112" i="10"/>
  <c r="DE112" i="10"/>
  <c r="DE126" i="10"/>
  <c r="DF126" i="10" s="1"/>
  <c r="DE88" i="10"/>
  <c r="DE94" i="10" s="1"/>
  <c r="DF94" i="10" s="1"/>
  <c r="DE125" i="10"/>
  <c r="DE74" i="10"/>
  <c r="DF1131" i="10"/>
  <c r="DF957" i="10"/>
  <c r="DF687" i="10"/>
  <c r="DE753" i="10"/>
  <c r="DF961" i="10"/>
  <c r="DF1135" i="10"/>
  <c r="DF950" i="10"/>
  <c r="DF918" i="10"/>
  <c r="DF755" i="10"/>
  <c r="DF751" i="10"/>
  <c r="DB353" i="10"/>
  <c r="DF355" i="10"/>
  <c r="DD353" i="10"/>
  <c r="DF347" i="10"/>
  <c r="DF353" i="10" s="1"/>
  <c r="DN1156" i="10"/>
  <c r="DN220" i="10"/>
  <c r="DN217" i="10"/>
  <c r="DN1158" i="10"/>
  <c r="DN219" i="10"/>
  <c r="DM1251" i="10"/>
  <c r="BR479" i="10"/>
  <c r="CC18" i="10"/>
  <c r="BJ217" i="46"/>
  <c r="BI219" i="46"/>
  <c r="BR324" i="42"/>
  <c r="AD529" i="42"/>
  <c r="AD533" i="42" s="1"/>
  <c r="AD101" i="42"/>
  <c r="CH354" i="10"/>
  <c r="CH345" i="10"/>
  <c r="CI345" i="10" s="1"/>
  <c r="CJ347" i="10"/>
  <c r="CH344" i="10"/>
  <c r="CI336" i="10"/>
  <c r="BJ733" i="20"/>
  <c r="BN737" i="20" s="1"/>
  <c r="BN735" i="20"/>
  <c r="BJ332" i="20"/>
  <c r="CS407" i="10"/>
  <c r="BX48" i="46"/>
  <c r="BX49" i="46" s="1"/>
  <c r="AW241" i="46"/>
  <c r="AX241" i="46" s="1"/>
  <c r="CR212" i="10"/>
  <c r="DZ54" i="41"/>
  <c r="BJ277" i="42"/>
  <c r="U43" i="43"/>
  <c r="U44" i="43" s="1"/>
  <c r="BF332" i="20"/>
  <c r="BB54" i="41"/>
  <c r="BF278" i="46"/>
  <c r="AD423" i="42"/>
  <c r="BM131" i="20"/>
  <c r="AZ54" i="43"/>
  <c r="CB353" i="10"/>
  <c r="BU243" i="20"/>
  <c r="BU245" i="20" s="1"/>
  <c r="BQ723" i="10"/>
  <c r="BR722" i="10"/>
  <c r="CO38" i="10"/>
  <c r="CO41" i="10" s="1"/>
  <c r="AX374" i="42"/>
  <c r="AV377" i="42"/>
  <c r="AX377" i="42" s="1"/>
  <c r="DJ389" i="42"/>
  <c r="BJ40" i="10"/>
  <c r="BS473" i="20"/>
  <c r="EK54" i="41"/>
  <c r="CD1045" i="10"/>
  <c r="CG551" i="20"/>
  <c r="CH572" i="20"/>
  <c r="CX481" i="10"/>
  <c r="CR503" i="10"/>
  <c r="BR524" i="10"/>
  <c r="AS310" i="46"/>
  <c r="AS274" i="46" s="1"/>
  <c r="DI24" i="43"/>
  <c r="DJ24" i="43" s="1"/>
  <c r="BE697" i="10"/>
  <c r="CG528" i="42"/>
  <c r="CG532" i="42" s="1"/>
  <c r="BB132" i="20"/>
  <c r="BA723" i="10"/>
  <c r="CZ38" i="10"/>
  <c r="CZ41" i="10" s="1"/>
  <c r="BM322" i="10"/>
  <c r="DC420" i="20"/>
  <c r="BF342" i="46"/>
  <c r="DC49" i="41"/>
  <c r="CC116" i="10"/>
  <c r="CC158" i="20"/>
  <c r="CB299" i="10"/>
  <c r="BH487" i="10"/>
  <c r="CL773" i="20"/>
  <c r="DB307" i="42"/>
  <c r="DJ305" i="42"/>
  <c r="DM137" i="20"/>
  <c r="DQ137" i="20" s="1"/>
  <c r="BM325" i="10"/>
  <c r="CB267" i="20"/>
  <c r="AO78" i="51" s="1"/>
  <c r="CQ251" i="20"/>
  <c r="CG507" i="42"/>
  <c r="CG510" i="42" s="1"/>
  <c r="CG514" i="42" s="1"/>
  <c r="BY43" i="43"/>
  <c r="BT472" i="10"/>
  <c r="DA224" i="42"/>
  <c r="DD227" i="42"/>
  <c r="DI158" i="42"/>
  <c r="DL158" i="42" s="1"/>
  <c r="DM158" i="42" s="1"/>
  <c r="DP158" i="42" s="1"/>
  <c r="DQ158" i="42" s="1"/>
  <c r="DD335" i="42"/>
  <c r="DF335" i="42" s="1"/>
  <c r="DD918" i="10"/>
  <c r="DD919" i="10" s="1"/>
  <c r="DB239" i="10"/>
  <c r="DD246" i="10"/>
  <c r="DI20" i="42"/>
  <c r="CX252" i="20"/>
  <c r="CK246" i="10"/>
  <c r="BQ246" i="10"/>
  <c r="CY420" i="20"/>
  <c r="BC45" i="41"/>
  <c r="BJ572" i="20"/>
  <c r="CX208" i="10"/>
  <c r="BN36" i="46"/>
  <c r="BN48" i="46" s="1"/>
  <c r="BN49" i="46" s="1"/>
  <c r="CT335" i="20"/>
  <c r="BP212" i="10"/>
  <c r="CE205" i="10"/>
  <c r="BR526" i="42"/>
  <c r="BE212" i="10"/>
  <c r="O61" i="41"/>
  <c r="BQ212" i="10"/>
  <c r="CW70" i="46"/>
  <c r="CS238" i="10"/>
  <c r="CS245" i="10" s="1"/>
  <c r="CT239" i="10"/>
  <c r="CG887" i="20"/>
  <c r="CG895" i="20" s="1"/>
  <c r="BT658" i="10"/>
  <c r="X296" i="42"/>
  <c r="CK550" i="20"/>
  <c r="CK551" i="20" s="1"/>
  <c r="AP272" i="46"/>
  <c r="CH659" i="20"/>
  <c r="BF262" i="46"/>
  <c r="CZ348" i="20"/>
  <c r="CZ383" i="20" s="1"/>
  <c r="BV14" i="10"/>
  <c r="CB503" i="10"/>
  <c r="V296" i="42"/>
  <c r="BF272" i="46"/>
  <c r="BN623" i="10"/>
  <c r="CJ238" i="10"/>
  <c r="CP222" i="20"/>
  <c r="BZ773" i="20"/>
  <c r="CO784" i="20"/>
  <c r="AF72" i="41"/>
  <c r="CH476" i="10"/>
  <c r="CX539" i="42"/>
  <c r="CX138" i="49" s="1"/>
  <c r="CP443" i="10"/>
  <c r="CP449" i="10" s="1"/>
  <c r="CU420" i="20"/>
  <c r="CB918" i="10"/>
  <c r="CB919" i="10" s="1"/>
  <c r="CX164" i="49"/>
  <c r="CX267" i="49"/>
  <c r="BW1131" i="10"/>
  <c r="BS1131" i="10"/>
  <c r="AP300" i="46"/>
  <c r="AP270" i="46" s="1"/>
  <c r="EP47" i="41"/>
  <c r="BV587" i="20"/>
  <c r="DK62" i="41"/>
  <c r="DK61" i="41" s="1"/>
  <c r="BB528" i="42"/>
  <c r="CR263" i="20"/>
  <c r="CR267" i="20" s="1"/>
  <c r="BR692" i="10"/>
  <c r="BF324" i="42"/>
  <c r="CP81" i="10"/>
  <c r="CP82" i="10" s="1"/>
  <c r="DA246" i="10"/>
  <c r="EM51" i="41"/>
  <c r="BY70" i="46"/>
  <c r="DB529" i="42"/>
  <c r="BY466" i="10"/>
  <c r="AE42" i="41" s="1"/>
  <c r="AZ250" i="46"/>
  <c r="BJ166" i="49"/>
  <c r="CD464" i="10"/>
  <c r="AJ32" i="41" s="1"/>
  <c r="BQ694" i="10"/>
  <c r="BF510" i="42"/>
  <c r="BF514" i="42" s="1"/>
  <c r="DJ739" i="10"/>
  <c r="CA8" i="49"/>
  <c r="CS466" i="10"/>
  <c r="CS469" i="10" s="1"/>
  <c r="CS470" i="10" s="1"/>
  <c r="CX693" i="10"/>
  <c r="BN198" i="20"/>
  <c r="CN82" i="49"/>
  <c r="BF273" i="46"/>
  <c r="CJ106" i="46"/>
  <c r="CJ115" i="46" s="1"/>
  <c r="CJ119" i="46" s="1"/>
  <c r="CJ121" i="46" s="1"/>
  <c r="CM186" i="20"/>
  <c r="CM203" i="10"/>
  <c r="BP811" i="20"/>
  <c r="CT142" i="20"/>
  <c r="CT658" i="20"/>
  <c r="DA202" i="42"/>
  <c r="DB198" i="42"/>
  <c r="CV70" i="46"/>
  <c r="CV72" i="46" s="1"/>
  <c r="DB1045" i="10"/>
  <c r="DC1045" i="10" s="1"/>
  <c r="CX142" i="20"/>
  <c r="BP478" i="10"/>
  <c r="AZ263" i="46"/>
  <c r="CP130" i="10"/>
  <c r="CL487" i="10"/>
  <c r="BS189" i="10"/>
  <c r="BH335" i="20"/>
  <c r="CT260" i="20"/>
  <c r="CE502" i="10"/>
  <c r="BI131" i="20"/>
  <c r="CA189" i="10"/>
  <c r="BE126" i="20"/>
  <c r="BI133" i="20" s="1"/>
  <c r="BY503" i="10"/>
  <c r="BX207" i="46"/>
  <c r="BR462" i="20"/>
  <c r="BA254" i="46"/>
  <c r="BB254" i="46" s="1"/>
  <c r="AW324" i="42"/>
  <c r="AR310" i="46"/>
  <c r="AR274" i="46" s="1"/>
  <c r="BV659" i="20"/>
  <c r="BV401" i="42"/>
  <c r="BV403" i="42" s="1"/>
  <c r="CL153" i="42"/>
  <c r="CL472" i="10" s="1"/>
  <c r="AR262" i="46"/>
  <c r="CT722" i="10"/>
  <c r="BF120" i="20"/>
  <c r="CA545" i="20"/>
  <c r="DB335" i="20"/>
  <c r="CJ208" i="10"/>
  <c r="CJ65" i="49"/>
  <c r="AW295" i="42"/>
  <c r="AW296" i="42" s="1"/>
  <c r="AW298" i="42" s="1"/>
  <c r="CO212" i="10"/>
  <c r="DZ63" i="41"/>
  <c r="CT261" i="20"/>
  <c r="BZ481" i="10"/>
  <c r="AR342" i="46"/>
  <c r="BR70" i="42"/>
  <c r="BO189" i="20"/>
  <c r="EG54" i="41"/>
  <c r="EC63" i="41"/>
  <c r="CG958" i="20"/>
  <c r="DB208" i="10"/>
  <c r="AX449" i="10"/>
  <c r="AX450" i="10" s="1"/>
  <c r="CD476" i="10"/>
  <c r="CT65" i="49"/>
  <c r="AR278" i="46"/>
  <c r="DB65" i="49"/>
  <c r="ED18" i="41"/>
  <c r="BZ273" i="42"/>
  <c r="BZ95" i="49" s="1"/>
  <c r="AR272" i="46"/>
  <c r="BF612" i="10"/>
  <c r="BZ149" i="20"/>
  <c r="CD158" i="20" s="1"/>
  <c r="BZ451" i="20"/>
  <c r="BJ462" i="20"/>
  <c r="CC504" i="20"/>
  <c r="BR277" i="42"/>
  <c r="BE495" i="20"/>
  <c r="BV324" i="42"/>
  <c r="BZ337" i="42"/>
  <c r="DI138" i="20"/>
  <c r="DI142" i="20" s="1"/>
  <c r="CS723" i="10"/>
  <c r="BZ293" i="49"/>
  <c r="BE223" i="20"/>
  <c r="DL714" i="10"/>
  <c r="BY495" i="20"/>
  <c r="BY840" i="10"/>
  <c r="DB217" i="46"/>
  <c r="DC217" i="46" s="1"/>
  <c r="BD803" i="20"/>
  <c r="BH814" i="20" s="1"/>
  <c r="CH773" i="20"/>
  <c r="DA212" i="10"/>
  <c r="R539" i="42"/>
  <c r="R540" i="42" s="1"/>
  <c r="BD405" i="10"/>
  <c r="W14" i="41"/>
  <c r="W62" i="41" s="1"/>
  <c r="BQ52" i="49"/>
  <c r="BQ79" i="49" s="1"/>
  <c r="BQ177" i="49" s="1"/>
  <c r="BQ280" i="49" s="1"/>
  <c r="BF798" i="20"/>
  <c r="BH48" i="10"/>
  <c r="BW8" i="49"/>
  <c r="BF11" i="10"/>
  <c r="BY296" i="42"/>
  <c r="BY298" i="42" s="1"/>
  <c r="BJ539" i="42"/>
  <c r="BJ138" i="49" s="1"/>
  <c r="BJ241" i="49" s="1"/>
  <c r="CY1040" i="10"/>
  <c r="V14" i="41"/>
  <c r="BP52" i="49"/>
  <c r="BP79" i="49" s="1"/>
  <c r="BP177" i="49" s="1"/>
  <c r="BP280" i="49" s="1"/>
  <c r="BR23" i="10"/>
  <c r="CW951" i="10"/>
  <c r="BC14" i="41"/>
  <c r="BC62" i="41" s="1"/>
  <c r="CX23" i="10"/>
  <c r="CW52" i="49"/>
  <c r="CW79" i="49" s="1"/>
  <c r="CW177" i="49" s="1"/>
  <c r="CW280" i="49" s="1"/>
  <c r="BN477" i="10"/>
  <c r="BT126" i="20"/>
  <c r="BX133" i="20" s="1"/>
  <c r="BD39" i="49"/>
  <c r="AP33" i="41"/>
  <c r="AP53" i="41" s="1"/>
  <c r="BN462" i="20"/>
  <c r="BJ65" i="49"/>
  <c r="CK449" i="10"/>
  <c r="CK18" i="10" s="1"/>
  <c r="CL198" i="20"/>
  <c r="BE50" i="10"/>
  <c r="BJ208" i="10"/>
  <c r="BH49" i="10"/>
  <c r="BV81" i="10"/>
  <c r="BV82" i="10" s="1"/>
  <c r="CL334" i="20"/>
  <c r="CO951" i="10"/>
  <c r="CO1015" i="10" s="1"/>
  <c r="AU14" i="41"/>
  <c r="CP23" i="10"/>
  <c r="CO52" i="49"/>
  <c r="CO79" i="49" s="1"/>
  <c r="CO177" i="49" s="1"/>
  <c r="CO280" i="49" s="1"/>
  <c r="AP310" i="46"/>
  <c r="AP280" i="46" s="1"/>
  <c r="EL54" i="41"/>
  <c r="BF747" i="10"/>
  <c r="BY951" i="10"/>
  <c r="AE14" i="41"/>
  <c r="BY52" i="49"/>
  <c r="BY79" i="49" s="1"/>
  <c r="BY177" i="49" s="1"/>
  <c r="BY280" i="49" s="1"/>
  <c r="BZ23" i="10"/>
  <c r="BX131" i="20"/>
  <c r="BH14" i="41"/>
  <c r="AX387" i="10"/>
  <c r="BF773" i="20"/>
  <c r="BF40" i="10"/>
  <c r="AI14" i="41"/>
  <c r="CC951" i="10"/>
  <c r="CD23" i="10"/>
  <c r="CC52" i="49"/>
  <c r="CC79" i="49" s="1"/>
  <c r="CC177" i="49" s="1"/>
  <c r="CC280" i="49" s="1"/>
  <c r="G10" i="41"/>
  <c r="G58" i="41" s="1"/>
  <c r="BA46" i="49"/>
  <c r="BE49" i="10"/>
  <c r="AX32" i="41"/>
  <c r="BJ153" i="42"/>
  <c r="BJ472" i="10" s="1"/>
  <c r="DB951" i="10"/>
  <c r="DB952" i="10" s="1"/>
  <c r="DL1157" i="10"/>
  <c r="DM1157" i="10" s="1"/>
  <c r="DP1157" i="10" s="1"/>
  <c r="DQ1157" i="10" s="1"/>
  <c r="DR1157" i="10" s="1"/>
  <c r="CL368" i="42"/>
  <c r="CL330" i="20"/>
  <c r="CP335" i="20" s="1"/>
  <c r="CX654" i="20"/>
  <c r="CX659" i="20" s="1"/>
  <c r="N14" i="41"/>
  <c r="BJ23" i="10"/>
  <c r="BH52" i="49"/>
  <c r="BH79" i="49" s="1"/>
  <c r="BH177" i="49" s="1"/>
  <c r="BH280" i="49" s="1"/>
  <c r="DB52" i="49"/>
  <c r="DB79" i="49" s="1"/>
  <c r="CJ267" i="42"/>
  <c r="CJ271" i="42" s="1"/>
  <c r="CT481" i="10"/>
  <c r="W35" i="41"/>
  <c r="CX915" i="10"/>
  <c r="BB539" i="42"/>
  <c r="BX11" i="10"/>
  <c r="CH99" i="49"/>
  <c r="CH198" i="49" s="1"/>
  <c r="AP279" i="46"/>
  <c r="BZ539" i="42"/>
  <c r="BZ138" i="49" s="1"/>
  <c r="CI185" i="10"/>
  <c r="CH189" i="10"/>
  <c r="CH187" i="10"/>
  <c r="CM185" i="10"/>
  <c r="BV368" i="42"/>
  <c r="CQ420" i="20"/>
  <c r="CY63" i="41"/>
  <c r="CZ503" i="10"/>
  <c r="CD353" i="10"/>
  <c r="CH14" i="10"/>
  <c r="BJ269" i="49"/>
  <c r="CW723" i="10"/>
  <c r="BR65" i="49"/>
  <c r="BR164" i="49" s="1"/>
  <c r="DC502" i="10"/>
  <c r="CA345" i="10"/>
  <c r="CX722" i="10"/>
  <c r="CH692" i="10"/>
  <c r="DA503" i="10"/>
  <c r="BS205" i="10"/>
  <c r="BZ480" i="10"/>
  <c r="BR208" i="10"/>
  <c r="CG503" i="10"/>
  <c r="BZ477" i="10"/>
  <c r="CH1045" i="10"/>
  <c r="BZ267" i="49"/>
  <c r="CH95" i="10"/>
  <c r="CI502" i="10"/>
  <c r="AM34" i="41"/>
  <c r="BU148" i="10"/>
  <c r="CG408" i="10"/>
  <c r="BW205" i="10"/>
  <c r="CZ918" i="10"/>
  <c r="CZ919" i="10" s="1"/>
  <c r="CM1131" i="10"/>
  <c r="BX125" i="10"/>
  <c r="BZ125" i="10" s="1"/>
  <c r="BX157" i="20"/>
  <c r="BP246" i="10"/>
  <c r="BB656" i="20"/>
  <c r="BB654" i="20"/>
  <c r="BB659" i="20" s="1"/>
  <c r="Z101" i="42"/>
  <c r="Z529" i="42"/>
  <c r="Z533" i="42" s="1"/>
  <c r="DU54" i="41"/>
  <c r="AV352" i="46"/>
  <c r="DG186" i="20"/>
  <c r="CC112" i="10"/>
  <c r="CC126" i="10"/>
  <c r="CD126" i="10" s="1"/>
  <c r="CF151" i="20"/>
  <c r="CG159" i="20"/>
  <c r="AO541" i="42"/>
  <c r="CZ238" i="10"/>
  <c r="CB158" i="20"/>
  <c r="BB477" i="10"/>
  <c r="BF524" i="10"/>
  <c r="CX64" i="10"/>
  <c r="BP238" i="10"/>
  <c r="BQ245" i="10" s="1"/>
  <c r="CP63" i="42"/>
  <c r="CP69" i="42" s="1"/>
  <c r="DV54" i="41"/>
  <c r="BF213" i="49"/>
  <c r="BF316" i="49"/>
  <c r="Q528" i="42"/>
  <c r="Q507" i="42"/>
  <c r="Q510" i="42" s="1"/>
  <c r="T538" i="42"/>
  <c r="BN334" i="20"/>
  <c r="CH263" i="20"/>
  <c r="BZ572" i="20"/>
  <c r="CJ951" i="10"/>
  <c r="AP14" i="41"/>
  <c r="CJ52" i="49"/>
  <c r="CJ79" i="49" s="1"/>
  <c r="CL23" i="10"/>
  <c r="CH23" i="46"/>
  <c r="CH44" i="46"/>
  <c r="CL13" i="10"/>
  <c r="AR33" i="41" s="1"/>
  <c r="BJ330" i="20"/>
  <c r="BJ335" i="20" s="1"/>
  <c r="BZ277" i="42"/>
  <c r="EK63" i="41"/>
  <c r="AP507" i="42"/>
  <c r="AP510" i="42" s="1"/>
  <c r="AP514" i="42" s="1"/>
  <c r="CE345" i="10"/>
  <c r="BY51" i="49"/>
  <c r="BY78" i="49" s="1"/>
  <c r="BP538" i="42"/>
  <c r="BR538" i="42" s="1"/>
  <c r="AL273" i="42"/>
  <c r="EC54" i="41"/>
  <c r="BS115" i="20"/>
  <c r="CT36" i="46"/>
  <c r="CT48" i="46" s="1"/>
  <c r="CT49" i="46" s="1"/>
  <c r="BJ399" i="42"/>
  <c r="BH401" i="42"/>
  <c r="BH403" i="42" s="1"/>
  <c r="CL238" i="10"/>
  <c r="BR333" i="20"/>
  <c r="BJ374" i="42"/>
  <c r="BH377" i="42"/>
  <c r="BJ377" i="42" s="1"/>
  <c r="BP507" i="42"/>
  <c r="BP510" i="42" s="1"/>
  <c r="BP517" i="42" s="1"/>
  <c r="AL368" i="42"/>
  <c r="CD335" i="20"/>
  <c r="CG48" i="46"/>
  <c r="CG49" i="46" s="1"/>
  <c r="AY13" i="41"/>
  <c r="BC61" i="41" s="1"/>
  <c r="BP481" i="42"/>
  <c r="BP485" i="42" s="1"/>
  <c r="BP490" i="42" s="1"/>
  <c r="CZ723" i="10"/>
  <c r="DB722" i="10"/>
  <c r="BN324" i="42"/>
  <c r="BP528" i="42"/>
  <c r="BP532" i="42" s="1"/>
  <c r="BN65" i="49"/>
  <c r="CL220" i="20"/>
  <c r="CP220" i="20"/>
  <c r="CJ48" i="46"/>
  <c r="CJ49" i="46" s="1"/>
  <c r="CO466" i="10"/>
  <c r="BJ480" i="10"/>
  <c r="CT911" i="10"/>
  <c r="Z324" i="42"/>
  <c r="T531" i="42"/>
  <c r="T532" i="42"/>
  <c r="BV538" i="42"/>
  <c r="AT539" i="42"/>
  <c r="BZ324" i="42"/>
  <c r="BS189" i="20"/>
  <c r="CB157" i="20"/>
  <c r="BT335" i="20"/>
  <c r="CO335" i="20"/>
  <c r="AS446" i="42"/>
  <c r="AR53" i="43"/>
  <c r="AR54" i="43" s="1"/>
  <c r="AR50" i="43"/>
  <c r="AA14" i="41"/>
  <c r="BU52" i="49"/>
  <c r="BU79" i="49" s="1"/>
  <c r="BU177" i="49" s="1"/>
  <c r="BU280" i="49" s="1"/>
  <c r="BV23" i="10"/>
  <c r="Y531" i="42"/>
  <c r="Y532" i="42"/>
  <c r="CE65" i="49"/>
  <c r="BD488" i="20"/>
  <c r="BB538" i="42"/>
  <c r="AV507" i="42"/>
  <c r="AV510" i="42" s="1"/>
  <c r="AV515" i="42" s="1"/>
  <c r="AV520" i="42" s="1"/>
  <c r="DV56" i="41"/>
  <c r="DV55" i="41"/>
  <c r="CH70" i="42"/>
  <c r="BF310" i="46"/>
  <c r="BF274" i="46" s="1"/>
  <c r="CT572" i="20"/>
  <c r="BE481" i="42"/>
  <c r="BE485" i="42" s="1"/>
  <c r="BF485" i="42" s="1"/>
  <c r="CC159" i="20"/>
  <c r="CK533" i="42"/>
  <c r="BE507" i="42"/>
  <c r="BE510" i="42" s="1"/>
  <c r="BE514" i="42" s="1"/>
  <c r="BY126" i="10"/>
  <c r="BJ260" i="20"/>
  <c r="AZ272" i="42"/>
  <c r="BB272" i="42" s="1"/>
  <c r="CA65" i="49"/>
  <c r="BY112" i="10"/>
  <c r="BY117" i="10" s="1"/>
  <c r="BU533" i="42"/>
  <c r="CH539" i="42"/>
  <c r="CH138" i="49" s="1"/>
  <c r="AV256" i="46"/>
  <c r="DB918" i="10"/>
  <c r="DB919" i="10" s="1"/>
  <c r="BZ148" i="20"/>
  <c r="CD157" i="20" s="1"/>
  <c r="CD100" i="10"/>
  <c r="CD225" i="20"/>
  <c r="CS962" i="10"/>
  <c r="CT22" i="10"/>
  <c r="DJ137" i="20"/>
  <c r="DJ141" i="20" s="1"/>
  <c r="BG189" i="20"/>
  <c r="CS51" i="49"/>
  <c r="CS78" i="49" s="1"/>
  <c r="CM420" i="20"/>
  <c r="BE278" i="20"/>
  <c r="BI51" i="10"/>
  <c r="CH481" i="10"/>
  <c r="CO142" i="20"/>
  <c r="CE1038" i="10"/>
  <c r="BD49" i="10"/>
  <c r="BV117" i="10"/>
  <c r="BV119" i="10" s="1"/>
  <c r="AX477" i="10"/>
  <c r="BQ51" i="10"/>
  <c r="BJ261" i="20"/>
  <c r="BJ263" i="20" s="1"/>
  <c r="BJ268" i="20" s="1"/>
  <c r="BS1175" i="10"/>
  <c r="CL218" i="20"/>
  <c r="CL223" i="20" s="1"/>
  <c r="BZ263" i="20"/>
  <c r="BZ267" i="20" s="1"/>
  <c r="AM78" i="51" s="1"/>
  <c r="CD263" i="20"/>
  <c r="CD268" i="20" s="1"/>
  <c r="AQ79" i="51" s="1"/>
  <c r="CL1180" i="10"/>
  <c r="CM1180" i="10" s="1"/>
  <c r="CS41" i="49"/>
  <c r="CS68" i="49" s="1"/>
  <c r="CS166" i="49" s="1"/>
  <c r="CS269" i="49" s="1"/>
  <c r="DF627" i="20"/>
  <c r="DF661" i="20" s="1"/>
  <c r="BR445" i="10"/>
  <c r="BR449" i="10" s="1"/>
  <c r="CT486" i="10"/>
  <c r="AP128" i="20"/>
  <c r="CB266" i="20"/>
  <c r="CX476" i="10"/>
  <c r="BX225" i="20"/>
  <c r="AX332" i="20"/>
  <c r="CY118" i="10"/>
  <c r="BQ449" i="10"/>
  <c r="AP126" i="20"/>
  <c r="BV557" i="10"/>
  <c r="BV658" i="10" s="1"/>
  <c r="BV1265" i="10" s="1"/>
  <c r="CT13" i="10"/>
  <c r="AX479" i="10"/>
  <c r="BT449" i="10"/>
  <c r="BT18" i="10" s="1"/>
  <c r="BV120" i="20"/>
  <c r="CA120" i="20" s="1"/>
  <c r="CP773" i="20"/>
  <c r="BY266" i="20"/>
  <c r="CU1040" i="10"/>
  <c r="CH142" i="20"/>
  <c r="CL138" i="20"/>
  <c r="CL142" i="20" s="1"/>
  <c r="BV332" i="20"/>
  <c r="BN634" i="10"/>
  <c r="CP1045" i="10"/>
  <c r="CU1045" i="10" s="1"/>
  <c r="BQ409" i="10"/>
  <c r="CL141" i="20"/>
  <c r="BY278" i="20"/>
  <c r="CD449" i="10"/>
  <c r="BF1225" i="10"/>
  <c r="CG269" i="20"/>
  <c r="BR186" i="20"/>
  <c r="BR196" i="20" s="1"/>
  <c r="CT305" i="20"/>
  <c r="CO503" i="10"/>
  <c r="BQ43" i="49"/>
  <c r="BQ70" i="49" s="1"/>
  <c r="BQ168" i="49" s="1"/>
  <c r="BQ271" i="49" s="1"/>
  <c r="BY163" i="49"/>
  <c r="BY266" i="49" s="1"/>
  <c r="CX658" i="20"/>
  <c r="CX81" i="10"/>
  <c r="CU502" i="10"/>
  <c r="BU131" i="20"/>
  <c r="BH33" i="41"/>
  <c r="AT86" i="51"/>
  <c r="CS1212" i="10"/>
  <c r="CS1214" i="10" s="1"/>
  <c r="CS1219" i="10" s="1"/>
  <c r="BU126" i="20"/>
  <c r="BZ539" i="20"/>
  <c r="BY268" i="20"/>
  <c r="BF42" i="41"/>
  <c r="CZ493" i="10" s="1"/>
  <c r="BA43" i="49"/>
  <c r="CR466" i="10"/>
  <c r="BF462" i="20"/>
  <c r="CW450" i="10"/>
  <c r="CF693" i="10"/>
  <c r="CH693" i="10" s="1"/>
  <c r="BF1293" i="10"/>
  <c r="BJ539" i="20"/>
  <c r="BV803" i="20"/>
  <c r="BV814" i="20" s="1"/>
  <c r="BY814" i="20"/>
  <c r="BU809" i="20"/>
  <c r="BU814" i="20"/>
  <c r="BV539" i="20"/>
  <c r="CF758" i="10"/>
  <c r="BE263" i="20"/>
  <c r="BE267" i="20" s="1"/>
  <c r="CJ41" i="49"/>
  <c r="CJ68" i="49" s="1"/>
  <c r="BO115" i="20"/>
  <c r="CA1173" i="10"/>
  <c r="CX572" i="20"/>
  <c r="BZ22" i="10"/>
  <c r="BB442" i="10"/>
  <c r="DA141" i="10"/>
  <c r="DA147" i="10" s="1"/>
  <c r="Z34" i="41"/>
  <c r="CX335" i="20"/>
  <c r="DA116" i="10"/>
  <c r="DC116" i="10" s="1"/>
  <c r="CP481" i="10"/>
  <c r="BU478" i="10"/>
  <c r="CW656" i="10"/>
  <c r="BT408" i="10"/>
  <c r="CK829" i="20"/>
  <c r="CJ837" i="20"/>
  <c r="CH886" i="20"/>
  <c r="CY1180" i="10"/>
  <c r="CX117" i="10"/>
  <c r="CX119" i="10" s="1"/>
  <c r="CD22" i="10"/>
  <c r="CT449" i="10"/>
  <c r="CT450" i="10" s="1"/>
  <c r="CB466" i="10"/>
  <c r="BR693" i="10"/>
  <c r="BQ503" i="10"/>
  <c r="CW12" i="10"/>
  <c r="BA263" i="20"/>
  <c r="BX141" i="10"/>
  <c r="BX147" i="10" s="1"/>
  <c r="BX116" i="10"/>
  <c r="CD838" i="20"/>
  <c r="BV524" i="10"/>
  <c r="BV480" i="10"/>
  <c r="CR450" i="10"/>
  <c r="AA33" i="41"/>
  <c r="AA53" i="41" s="1"/>
  <c r="BX88" i="10"/>
  <c r="BX92" i="10" s="1"/>
  <c r="BX95" i="10" s="1"/>
  <c r="BX13" i="10" s="1"/>
  <c r="BX41" i="49" s="1"/>
  <c r="BX68" i="49" s="1"/>
  <c r="BX166" i="49" s="1"/>
  <c r="BX269" i="49" s="1"/>
  <c r="DI419" i="10"/>
  <c r="DL419" i="10" s="1"/>
  <c r="DM419" i="10" s="1"/>
  <c r="DP419" i="10" s="1"/>
  <c r="DQ419" i="10" s="1"/>
  <c r="DR419" i="10" s="1"/>
  <c r="BX550" i="20"/>
  <c r="BD335" i="20"/>
  <c r="BR477" i="10"/>
  <c r="BB15" i="10"/>
  <c r="CW551" i="20"/>
  <c r="CD481" i="10"/>
  <c r="BI478" i="10"/>
  <c r="BI1212" i="10" s="1"/>
  <c r="BI1214" i="10" s="1"/>
  <c r="BI1219" i="10" s="1"/>
  <c r="BU407" i="10"/>
  <c r="BX186" i="20"/>
  <c r="BX100" i="10"/>
  <c r="BX105" i="10" s="1"/>
  <c r="BX107" i="10" s="1"/>
  <c r="BX14" i="10" s="1"/>
  <c r="BX139" i="10"/>
  <c r="BY145" i="10" s="1"/>
  <c r="CK141" i="10"/>
  <c r="CN147" i="10" s="1"/>
  <c r="CB49" i="10"/>
  <c r="O54" i="41"/>
  <c r="AE13" i="41"/>
  <c r="AE61" i="41" s="1"/>
  <c r="BF838" i="20"/>
  <c r="BU41" i="49"/>
  <c r="BU68" i="49" s="1"/>
  <c r="BU166" i="49" s="1"/>
  <c r="BU269" i="49" s="1"/>
  <c r="CH462" i="20"/>
  <c r="AT330" i="20"/>
  <c r="CB50" i="10"/>
  <c r="AX330" i="20"/>
  <c r="BB335" i="20" s="1"/>
  <c r="BB332" i="20"/>
  <c r="DN767" i="20"/>
  <c r="DN772" i="20" s="1"/>
  <c r="BV773" i="20"/>
  <c r="BV13" i="10"/>
  <c r="CK116" i="10"/>
  <c r="CK117" i="10" s="1"/>
  <c r="CL117" i="10" s="1"/>
  <c r="CL119" i="10" s="1"/>
  <c r="CP479" i="10"/>
  <c r="BU43" i="49"/>
  <c r="BU70" i="49" s="1"/>
  <c r="BU168" i="49" s="1"/>
  <c r="BU271" i="49" s="1"/>
  <c r="BU409" i="10"/>
  <c r="AA35" i="41"/>
  <c r="BV550" i="20"/>
  <c r="CI1136" i="10"/>
  <c r="CC962" i="10"/>
  <c r="CC963" i="10" s="1"/>
  <c r="CH885" i="20"/>
  <c r="BF480" i="10"/>
  <c r="BL449" i="10"/>
  <c r="BL18" i="10" s="1"/>
  <c r="CL658" i="20"/>
  <c r="CL654" i="20"/>
  <c r="CL659" i="20" s="1"/>
  <c r="CH477" i="10"/>
  <c r="CC51" i="49"/>
  <c r="CC78" i="49" s="1"/>
  <c r="CC176" i="49" s="1"/>
  <c r="AZ260" i="20"/>
  <c r="AZ261" i="20"/>
  <c r="BB301" i="20"/>
  <c r="AZ262" i="20"/>
  <c r="BN40" i="10"/>
  <c r="BI449" i="10"/>
  <c r="BI450" i="10" s="1"/>
  <c r="CI1038" i="10"/>
  <c r="CM1038" i="10"/>
  <c r="BP449" i="10"/>
  <c r="BP18" i="10" s="1"/>
  <c r="CW466" i="10"/>
  <c r="AX423" i="10"/>
  <c r="CB189" i="20"/>
  <c r="CF190" i="20" s="1"/>
  <c r="AX814" i="20"/>
  <c r="DB343" i="20"/>
  <c r="DB399" i="20" s="1"/>
  <c r="CB490" i="10"/>
  <c r="BP12" i="10"/>
  <c r="BT1149" i="10"/>
  <c r="BR332" i="20"/>
  <c r="BN330" i="20"/>
  <c r="BN332" i="20"/>
  <c r="CP333" i="20"/>
  <c r="CC490" i="10"/>
  <c r="BY131" i="20"/>
  <c r="BP656" i="10"/>
  <c r="BA15" i="20"/>
  <c r="BE29" i="20" s="1"/>
  <c r="CU1038" i="10"/>
  <c r="CE1136" i="10"/>
  <c r="CO450" i="10"/>
  <c r="CE1045" i="10"/>
  <c r="CL1134" i="10"/>
  <c r="CL1136" i="10" s="1"/>
  <c r="CM1136" i="10" s="1"/>
  <c r="CR490" i="10"/>
  <c r="CG197" i="20"/>
  <c r="CJ197" i="20"/>
  <c r="CD70" i="42"/>
  <c r="CX47" i="49"/>
  <c r="DA268" i="20"/>
  <c r="BA693" i="10"/>
  <c r="BV1180" i="10"/>
  <c r="CA217" i="46"/>
  <c r="BF1298" i="10"/>
  <c r="BU335" i="20"/>
  <c r="DJ714" i="10"/>
  <c r="CG138" i="46"/>
  <c r="CG154" i="46"/>
  <c r="P538" i="42"/>
  <c r="P528" i="42"/>
  <c r="P507" i="42"/>
  <c r="P510" i="42" s="1"/>
  <c r="Q538" i="42"/>
  <c r="AZ356" i="46"/>
  <c r="AZ352" i="46" s="1"/>
  <c r="AZ260" i="46"/>
  <c r="AZ261" i="46" s="1"/>
  <c r="DB481" i="10"/>
  <c r="CZ464" i="10"/>
  <c r="DA533" i="42"/>
  <c r="BN213" i="49"/>
  <c r="BN316" i="49"/>
  <c r="CW528" i="42"/>
  <c r="CW507" i="42"/>
  <c r="CW510" i="42" s="1"/>
  <c r="CW514" i="42" s="1"/>
  <c r="CW481" i="42"/>
  <c r="AK507" i="42"/>
  <c r="AK510" i="42" s="1"/>
  <c r="AK514" i="42" s="1"/>
  <c r="AK538" i="42"/>
  <c r="AL538" i="42" s="1"/>
  <c r="AK528" i="42"/>
  <c r="CX277" i="42"/>
  <c r="BV442" i="10"/>
  <c r="BV449" i="10" s="1"/>
  <c r="CL27" i="42"/>
  <c r="BF1296" i="10"/>
  <c r="AV538" i="42"/>
  <c r="BZ150" i="20"/>
  <c r="BY151" i="20"/>
  <c r="BX151" i="20"/>
  <c r="BX112" i="10"/>
  <c r="BX126" i="10"/>
  <c r="BX159" i="20"/>
  <c r="BA533" i="42"/>
  <c r="CM52" i="41"/>
  <c r="CM53" i="41"/>
  <c r="DL608" i="20"/>
  <c r="BT723" i="10"/>
  <c r="AT54" i="46"/>
  <c r="AR56" i="46"/>
  <c r="AR60" i="46" s="1"/>
  <c r="BQ488" i="42"/>
  <c r="BQ485" i="42"/>
  <c r="BR481" i="42"/>
  <c r="BR488" i="42" s="1"/>
  <c r="DC37" i="41" s="1"/>
  <c r="R61" i="41"/>
  <c r="CP476" i="10"/>
  <c r="BI246" i="10"/>
  <c r="BJ479" i="10"/>
  <c r="CG490" i="10"/>
  <c r="CM217" i="46"/>
  <c r="CF147" i="10"/>
  <c r="CT223" i="20"/>
  <c r="AW538" i="42"/>
  <c r="BD1301" i="10"/>
  <c r="BA358" i="46"/>
  <c r="BA251" i="46"/>
  <c r="BB417" i="46"/>
  <c r="CT316" i="49"/>
  <c r="CT213" i="49"/>
  <c r="AT399" i="42"/>
  <c r="AR401" i="42"/>
  <c r="AT401" i="42" s="1"/>
  <c r="BP533" i="42"/>
  <c r="BY309" i="10"/>
  <c r="BY310" i="10" s="1"/>
  <c r="BY296" i="10"/>
  <c r="AF507" i="42"/>
  <c r="AF510" i="42" s="1"/>
  <c r="AF514" i="42" s="1"/>
  <c r="AF528" i="42"/>
  <c r="BP138" i="49"/>
  <c r="BR539" i="42"/>
  <c r="BR138" i="49" s="1"/>
  <c r="BF65" i="49"/>
  <c r="BT95" i="49"/>
  <c r="BA447" i="42"/>
  <c r="BF1299" i="10"/>
  <c r="DJ421" i="10"/>
  <c r="CO51" i="49"/>
  <c r="CO78" i="49" s="1"/>
  <c r="CO176" i="49" s="1"/>
  <c r="W53" i="41"/>
  <c r="C70" i="51"/>
  <c r="C54" i="51" s="1"/>
  <c r="CV918" i="10"/>
  <c r="CV919" i="10" s="1"/>
  <c r="CC918" i="10"/>
  <c r="CC919" i="10" s="1"/>
  <c r="AV528" i="42"/>
  <c r="AV532" i="42" s="1"/>
  <c r="AG538" i="42"/>
  <c r="Z444" i="42"/>
  <c r="Z450" i="42" s="1"/>
  <c r="X450" i="42"/>
  <c r="DB366" i="42"/>
  <c r="CZ368" i="42"/>
  <c r="BF487" i="20"/>
  <c r="BJ487" i="20"/>
  <c r="BZ798" i="20"/>
  <c r="CA798" i="20" s="1"/>
  <c r="BX803" i="20"/>
  <c r="BQ532" i="42"/>
  <c r="BQ531" i="42"/>
  <c r="CF533" i="42"/>
  <c r="CO962" i="10"/>
  <c r="CO963" i="10" s="1"/>
  <c r="BF1294" i="10"/>
  <c r="AT467" i="10"/>
  <c r="CE239" i="10"/>
  <c r="BF1297" i="10"/>
  <c r="BM503" i="10"/>
  <c r="CB495" i="20"/>
  <c r="BF13" i="41"/>
  <c r="BF539" i="42"/>
  <c r="BF138" i="49" s="1"/>
  <c r="BF344" i="49" s="1"/>
  <c r="CM354" i="10"/>
  <c r="AD444" i="42"/>
  <c r="AB267" i="42"/>
  <c r="AB447" i="42"/>
  <c r="AB450" i="42" s="1"/>
  <c r="BJ46" i="10"/>
  <c r="CO918" i="10"/>
  <c r="CO919" i="10" s="1"/>
  <c r="BF399" i="42"/>
  <c r="BD401" i="42"/>
  <c r="BF401" i="42" s="1"/>
  <c r="EC55" i="41"/>
  <c r="EC56" i="41"/>
  <c r="BZ476" i="10"/>
  <c r="AQ34" i="43"/>
  <c r="CR106" i="46"/>
  <c r="CR115" i="46" s="1"/>
  <c r="CR119" i="46" s="1"/>
  <c r="CR121" i="46" s="1"/>
  <c r="CZ962" i="10"/>
  <c r="CZ963" i="10" s="1"/>
  <c r="AT279" i="46"/>
  <c r="DI741" i="10"/>
  <c r="DJ741" i="10" s="1"/>
  <c r="CF268" i="20"/>
  <c r="AS79" i="51" s="1"/>
  <c r="CF266" i="20"/>
  <c r="CO317" i="42"/>
  <c r="CO318" i="42" s="1"/>
  <c r="CO320" i="42" s="1"/>
  <c r="EG56" i="41"/>
  <c r="EG55" i="41"/>
  <c r="CR533" i="42"/>
  <c r="BM533" i="42"/>
  <c r="CP347" i="10"/>
  <c r="CN353" i="10"/>
  <c r="CB913" i="20"/>
  <c r="CB918" i="20"/>
  <c r="DB355" i="10"/>
  <c r="AP539" i="42"/>
  <c r="CR147" i="10"/>
  <c r="BX51" i="10"/>
  <c r="CU1180" i="10"/>
  <c r="DJ195" i="20"/>
  <c r="AA61" i="41"/>
  <c r="BL267" i="42"/>
  <c r="BN267" i="42" s="1"/>
  <c r="DB22" i="10"/>
  <c r="AT273" i="46"/>
  <c r="AV401" i="42"/>
  <c r="AX401" i="42" s="1"/>
  <c r="AX399" i="42"/>
  <c r="CW503" i="10"/>
  <c r="U528" i="42"/>
  <c r="U538" i="42"/>
  <c r="U507" i="42"/>
  <c r="U510" i="42" s="1"/>
  <c r="U514" i="42" s="1"/>
  <c r="CV533" i="42"/>
  <c r="BJ378" i="10"/>
  <c r="CR528" i="42"/>
  <c r="CR507" i="42"/>
  <c r="CR510" i="42" s="1"/>
  <c r="CR481" i="42"/>
  <c r="AL539" i="42"/>
  <c r="AL540" i="42" s="1"/>
  <c r="AJ540" i="42"/>
  <c r="EH56" i="41"/>
  <c r="EH55" i="41"/>
  <c r="BF208" i="10"/>
  <c r="CZ51" i="49"/>
  <c r="CZ78" i="49" s="1"/>
  <c r="CZ82" i="49" s="1"/>
  <c r="DB464" i="20"/>
  <c r="BF1295" i="10"/>
  <c r="CL539" i="42"/>
  <c r="CL138" i="49" s="1"/>
  <c r="CI186" i="10"/>
  <c r="CM186" i="10"/>
  <c r="CG533" i="42"/>
  <c r="CX366" i="42"/>
  <c r="CV368" i="42"/>
  <c r="DI715" i="10"/>
  <c r="BF562" i="20"/>
  <c r="BJ562" i="20"/>
  <c r="CW918" i="10"/>
  <c r="CW919" i="10" s="1"/>
  <c r="BV223" i="42"/>
  <c r="BV224" i="42" s="1"/>
  <c r="DG48" i="41"/>
  <c r="DG54" i="41" s="1"/>
  <c r="CC466" i="10"/>
  <c r="CY1045" i="10"/>
  <c r="BS376" i="10"/>
  <c r="BA271" i="42"/>
  <c r="BX269" i="20"/>
  <c r="AN540" i="42"/>
  <c r="CW538" i="42"/>
  <c r="CX538" i="42" s="1"/>
  <c r="DB81" i="10"/>
  <c r="DB82" i="10" s="1"/>
  <c r="CZ246" i="10"/>
  <c r="CW238" i="10"/>
  <c r="CX239" i="10"/>
  <c r="AJ507" i="42"/>
  <c r="AJ510" i="42" s="1"/>
  <c r="AJ514" i="42" s="1"/>
  <c r="AJ528" i="42"/>
  <c r="CC225" i="20"/>
  <c r="CC139" i="10"/>
  <c r="CC100" i="10"/>
  <c r="CC105" i="10" s="1"/>
  <c r="CC107" i="10" s="1"/>
  <c r="CC14" i="10" s="1"/>
  <c r="CC42" i="49" s="1"/>
  <c r="CC69" i="49" s="1"/>
  <c r="CC167" i="49" s="1"/>
  <c r="CC270" i="49" s="1"/>
  <c r="CL481" i="10"/>
  <c r="CJ464" i="10"/>
  <c r="EL55" i="41"/>
  <c r="EL56" i="41"/>
  <c r="AZ401" i="42"/>
  <c r="BB401" i="42" s="1"/>
  <c r="BB399" i="42"/>
  <c r="CW533" i="42"/>
  <c r="BY326" i="42"/>
  <c r="BY324" i="42"/>
  <c r="DI186" i="20"/>
  <c r="DF88" i="10"/>
  <c r="BE238" i="10"/>
  <c r="BF239" i="10"/>
  <c r="CF962" i="10"/>
  <c r="CF963" i="10" s="1"/>
  <c r="AL13" i="41"/>
  <c r="AL61" i="41" s="1"/>
  <c r="CF51" i="49"/>
  <c r="CF78" i="49" s="1"/>
  <c r="CF82" i="49" s="1"/>
  <c r="CH22" i="10"/>
  <c r="BH481" i="42"/>
  <c r="BH507" i="42"/>
  <c r="BH510" i="42" s="1"/>
  <c r="BH528" i="42"/>
  <c r="BH538" i="42"/>
  <c r="BJ538" i="42" s="1"/>
  <c r="AH380" i="42"/>
  <c r="AG387" i="42"/>
  <c r="AG385" i="42" s="1"/>
  <c r="CW277" i="20"/>
  <c r="CW274" i="20"/>
  <c r="CW278" i="20" s="1"/>
  <c r="BJ70" i="42"/>
  <c r="EK55" i="41"/>
  <c r="EK56" i="41"/>
  <c r="BF358" i="46"/>
  <c r="BE359" i="46"/>
  <c r="BF359" i="46" s="1"/>
  <c r="CR277" i="20"/>
  <c r="CR274" i="20"/>
  <c r="CR278" i="20" s="1"/>
  <c r="CT912" i="10"/>
  <c r="CT913" i="10"/>
  <c r="CT914" i="10"/>
  <c r="CT1015" i="10" s="1"/>
  <c r="CT917" i="10"/>
  <c r="CV962" i="10"/>
  <c r="CV963" i="10" s="1"/>
  <c r="BB13" i="41"/>
  <c r="BB61" i="41" s="1"/>
  <c r="CV51" i="49"/>
  <c r="CV78" i="49" s="1"/>
  <c r="CV82" i="49" s="1"/>
  <c r="CX22" i="10"/>
  <c r="AZ656" i="10"/>
  <c r="CO533" i="42"/>
  <c r="AP415" i="46"/>
  <c r="AO417" i="46"/>
  <c r="AP417" i="46" s="1"/>
  <c r="BV334" i="20"/>
  <c r="BZ334" i="20"/>
  <c r="BV330" i="20"/>
  <c r="BZ335" i="20" s="1"/>
  <c r="CK723" i="10"/>
  <c r="BX507" i="42"/>
  <c r="BX510" i="42" s="1"/>
  <c r="BX481" i="42"/>
  <c r="BX528" i="42"/>
  <c r="DL1131" i="10"/>
  <c r="AG382" i="42"/>
  <c r="AH382" i="42" s="1"/>
  <c r="AF383" i="42"/>
  <c r="AG383" i="42" s="1"/>
  <c r="AH383" i="42" s="1"/>
  <c r="CY1038" i="10"/>
  <c r="DC1038" i="10"/>
  <c r="DL90" i="10"/>
  <c r="DN300" i="20"/>
  <c r="DN90" i="10" s="1"/>
  <c r="BI238" i="10"/>
  <c r="BL245" i="10" s="1"/>
  <c r="BJ239" i="10"/>
  <c r="DB539" i="42"/>
  <c r="DB138" i="49" s="1"/>
  <c r="BE656" i="10"/>
  <c r="CX911" i="10"/>
  <c r="CX912" i="10"/>
  <c r="CX913" i="10"/>
  <c r="CX914" i="10"/>
  <c r="CS918" i="10"/>
  <c r="CS919" i="10" s="1"/>
  <c r="CH915" i="10"/>
  <c r="CH917" i="10"/>
  <c r="CH911" i="10"/>
  <c r="CH913" i="10"/>
  <c r="CH914" i="10"/>
  <c r="CH1015" i="10" s="1"/>
  <c r="CT539" i="42"/>
  <c r="CT138" i="49" s="1"/>
  <c r="BU238" i="10"/>
  <c r="BU245" i="10" s="1"/>
  <c r="BV239" i="10"/>
  <c r="CA239" i="10" s="1"/>
  <c r="BJ223" i="20"/>
  <c r="BW1175" i="10"/>
  <c r="BZ26" i="10"/>
  <c r="BX1225" i="10"/>
  <c r="BZ1225" i="10" s="1"/>
  <c r="AD19" i="41"/>
  <c r="BX55" i="49"/>
  <c r="BX86" i="49" s="1"/>
  <c r="BX184" i="49" s="1"/>
  <c r="BX287" i="49" s="1"/>
  <c r="BX440" i="42"/>
  <c r="CL848" i="20"/>
  <c r="CS490" i="10"/>
  <c r="CO403" i="42"/>
  <c r="ED55" i="41"/>
  <c r="ED56" i="41"/>
  <c r="ED54" i="41"/>
  <c r="AR528" i="42"/>
  <c r="AR507" i="42"/>
  <c r="AR510" i="42" s="1"/>
  <c r="AR538" i="42"/>
  <c r="AR481" i="42"/>
  <c r="AR485" i="42" s="1"/>
  <c r="CM55" i="41"/>
  <c r="CM56" i="41"/>
  <c r="BF251" i="46"/>
  <c r="BE255" i="46"/>
  <c r="BF255" i="46" s="1"/>
  <c r="AP77" i="51"/>
  <c r="CY232" i="20"/>
  <c r="CX273" i="20"/>
  <c r="CX274" i="20" s="1"/>
  <c r="CX76" i="10"/>
  <c r="CY76" i="10" s="1"/>
  <c r="CX37" i="10"/>
  <c r="CI1039" i="10"/>
  <c r="CM1039" i="10"/>
  <c r="CV1225" i="10"/>
  <c r="CX1225" i="10" s="1"/>
  <c r="BB19" i="41"/>
  <c r="CV55" i="49"/>
  <c r="CV86" i="49" s="1"/>
  <c r="CV440" i="42"/>
  <c r="CX26" i="10"/>
  <c r="AG531" i="42"/>
  <c r="AS528" i="42"/>
  <c r="AS507" i="42"/>
  <c r="AS510" i="42" s="1"/>
  <c r="AS514" i="42" s="1"/>
  <c r="AS481" i="42"/>
  <c r="AS485" i="42" s="1"/>
  <c r="AT485" i="42" s="1"/>
  <c r="AS538" i="42"/>
  <c r="DI1252" i="10"/>
  <c r="DJ1252" i="10" s="1"/>
  <c r="CF337" i="42"/>
  <c r="CB532" i="42"/>
  <c r="CB531" i="42"/>
  <c r="BL514" i="42"/>
  <c r="BL515" i="42"/>
  <c r="BL517" i="42"/>
  <c r="CS533" i="42"/>
  <c r="Z53" i="41"/>
  <c r="BJ213" i="49"/>
  <c r="BJ316" i="49"/>
  <c r="DU56" i="41"/>
  <c r="DU55" i="41"/>
  <c r="CP273" i="20"/>
  <c r="CP274" i="20" s="1"/>
  <c r="CP37" i="10"/>
  <c r="CP76" i="10"/>
  <c r="BB533" i="42"/>
  <c r="CZ533" i="42"/>
  <c r="CQ205" i="10"/>
  <c r="CP65" i="49"/>
  <c r="CP208" i="10"/>
  <c r="CV227" i="42"/>
  <c r="CV224" i="42"/>
  <c r="BY446" i="42"/>
  <c r="BY275" i="42" s="1"/>
  <c r="BX54" i="43"/>
  <c r="CV277" i="20"/>
  <c r="CV274" i="20"/>
  <c r="CZ278" i="20" s="1"/>
  <c r="AW656" i="10"/>
  <c r="CU1039" i="10"/>
  <c r="CQ1039" i="10"/>
  <c r="BU423" i="42"/>
  <c r="BV423" i="42" s="1"/>
  <c r="BV414" i="42"/>
  <c r="BU418" i="42"/>
  <c r="BV418" i="42" s="1"/>
  <c r="DY54" i="41"/>
  <c r="DY56" i="41"/>
  <c r="DY55" i="41"/>
  <c r="BD266" i="20"/>
  <c r="CG95" i="10"/>
  <c r="CG13" i="10" s="1"/>
  <c r="CH13" i="10" s="1"/>
  <c r="AN33" i="41" s="1"/>
  <c r="CB517" i="42"/>
  <c r="CB514" i="42"/>
  <c r="CB515" i="42"/>
  <c r="BL532" i="42"/>
  <c r="BL531" i="42"/>
  <c r="CJ533" i="42"/>
  <c r="AW533" i="42"/>
  <c r="AN507" i="42"/>
  <c r="AN510" i="42" s="1"/>
  <c r="AN514" i="42" s="1"/>
  <c r="AN528" i="42"/>
  <c r="AN538" i="42"/>
  <c r="AP538" i="42" s="1"/>
  <c r="CW446" i="42"/>
  <c r="CW275" i="42" s="1"/>
  <c r="CV54" i="43"/>
  <c r="CP114" i="10"/>
  <c r="CP304" i="20"/>
  <c r="CT304" i="20"/>
  <c r="AW251" i="46"/>
  <c r="AW250" i="46" s="1"/>
  <c r="AX250" i="46" s="1"/>
  <c r="AW358" i="46"/>
  <c r="AX417" i="46"/>
  <c r="BZ316" i="49"/>
  <c r="BZ213" i="49"/>
  <c r="CP213" i="49"/>
  <c r="CP316" i="49"/>
  <c r="CN533" i="42"/>
  <c r="BE532" i="42"/>
  <c r="BE531" i="42"/>
  <c r="DJ20" i="43"/>
  <c r="BI403" i="42"/>
  <c r="CH538" i="42"/>
  <c r="BW1136" i="10"/>
  <c r="V271" i="42"/>
  <c r="CF51" i="10"/>
  <c r="BY316" i="10"/>
  <c r="BY320" i="10" s="1"/>
  <c r="CB488" i="42"/>
  <c r="CB485" i="42"/>
  <c r="CB490" i="42" s="1"/>
  <c r="BL488" i="42"/>
  <c r="BL485" i="42"/>
  <c r="BL490" i="42" s="1"/>
  <c r="CL223" i="42"/>
  <c r="CL224" i="42" s="1"/>
  <c r="DW48" i="41"/>
  <c r="DW54" i="41" s="1"/>
  <c r="AH507" i="42"/>
  <c r="AH510" i="42" s="1"/>
  <c r="AH514" i="42" s="1"/>
  <c r="AH528" i="42"/>
  <c r="BN239" i="10"/>
  <c r="BM238" i="10"/>
  <c r="DL136" i="46"/>
  <c r="DI120" i="46"/>
  <c r="DJ120" i="46" s="1"/>
  <c r="BE43" i="43"/>
  <c r="BE296" i="42"/>
  <c r="BE298" i="42" s="1"/>
  <c r="BH296" i="42"/>
  <c r="BH298" i="42" s="1"/>
  <c r="CC1225" i="10"/>
  <c r="CD1225" i="10" s="1"/>
  <c r="AI19" i="41"/>
  <c r="CD26" i="10"/>
  <c r="CC55" i="49"/>
  <c r="CC86" i="49" s="1"/>
  <c r="CC184" i="49" s="1"/>
  <c r="CC287" i="49" s="1"/>
  <c r="CC440" i="42"/>
  <c r="CK318" i="42"/>
  <c r="CK320" i="42" s="1"/>
  <c r="CK319" i="42"/>
  <c r="CJ335" i="42"/>
  <c r="CL335" i="42" s="1"/>
  <c r="CL331" i="42"/>
  <c r="CP539" i="42"/>
  <c r="CP138" i="49" s="1"/>
  <c r="BJ337" i="42"/>
  <c r="CS481" i="42"/>
  <c r="CS538" i="42"/>
  <c r="CT538" i="42" s="1"/>
  <c r="CS507" i="42"/>
  <c r="CS510" i="42" s="1"/>
  <c r="CS514" i="42" s="1"/>
  <c r="CS528" i="42"/>
  <c r="CR267" i="42"/>
  <c r="CP99" i="49"/>
  <c r="CK224" i="42"/>
  <c r="CN227" i="42"/>
  <c r="BE326" i="42"/>
  <c r="BE324" i="42"/>
  <c r="BM531" i="42"/>
  <c r="BM532" i="42"/>
  <c r="CZ277" i="20"/>
  <c r="CN528" i="42"/>
  <c r="CN507" i="42"/>
  <c r="CN510" i="42" s="1"/>
  <c r="CN481" i="42"/>
  <c r="DM508" i="42"/>
  <c r="DN110" i="42"/>
  <c r="BW69" i="51" s="1"/>
  <c r="DM20" i="46"/>
  <c r="DM33" i="46" s="1"/>
  <c r="DN33" i="46" s="1"/>
  <c r="CC533" i="42"/>
  <c r="BV222" i="20"/>
  <c r="BV218" i="20"/>
  <c r="BZ222" i="20"/>
  <c r="BT138" i="49"/>
  <c r="BV539" i="42"/>
  <c r="BV138" i="49" s="1"/>
  <c r="BI446" i="42"/>
  <c r="BI275" i="42" s="1"/>
  <c r="BH54" i="43"/>
  <c r="AP678" i="20"/>
  <c r="AN680" i="20"/>
  <c r="AP680" i="20" s="1"/>
  <c r="BV132" i="20"/>
  <c r="BZ132" i="20"/>
  <c r="CA125" i="20"/>
  <c r="AZ531" i="42"/>
  <c r="AZ532" i="42"/>
  <c r="BR334" i="20"/>
  <c r="BR330" i="20"/>
  <c r="CP424" i="10"/>
  <c r="BN481" i="42"/>
  <c r="BN488" i="42" s="1"/>
  <c r="CY37" i="41" s="1"/>
  <c r="BM485" i="42"/>
  <c r="BM488" i="42"/>
  <c r="DI718" i="10"/>
  <c r="DI745" i="10" s="1"/>
  <c r="BL138" i="49"/>
  <c r="BN539" i="42"/>
  <c r="BN138" i="49" s="1"/>
  <c r="CY116" i="10"/>
  <c r="CL65" i="49"/>
  <c r="CZ266" i="20"/>
  <c r="CL747" i="10"/>
  <c r="CO295" i="42"/>
  <c r="CO325" i="42"/>
  <c r="CO326" i="42" s="1"/>
  <c r="CC528" i="42"/>
  <c r="CC538" i="42"/>
  <c r="CC481" i="42"/>
  <c r="CC507" i="42"/>
  <c r="CC510" i="42" s="1"/>
  <c r="CC514" i="42" s="1"/>
  <c r="CQ52" i="41"/>
  <c r="CQ55" i="41"/>
  <c r="CQ53" i="41"/>
  <c r="BT533" i="42"/>
  <c r="AZ515" i="42"/>
  <c r="AZ520" i="42" s="1"/>
  <c r="AZ514" i="42"/>
  <c r="AZ516" i="42" s="1"/>
  <c r="AZ521" i="42" s="1"/>
  <c r="X540" i="42"/>
  <c r="Z539" i="42"/>
  <c r="Z540" i="42" s="1"/>
  <c r="CS277" i="20"/>
  <c r="CO274" i="20"/>
  <c r="CS278" i="20" s="1"/>
  <c r="BD533" i="42"/>
  <c r="DC62" i="41"/>
  <c r="DC61" i="41" s="1"/>
  <c r="CZ335" i="42"/>
  <c r="DB335" i="42" s="1"/>
  <c r="DB331" i="42"/>
  <c r="CG488" i="42"/>
  <c r="CH481" i="42"/>
  <c r="CH488" i="42" s="1"/>
  <c r="DS37" i="41" s="1"/>
  <c r="CG485" i="42"/>
  <c r="BR238" i="10"/>
  <c r="BA495" i="20"/>
  <c r="CD911" i="10"/>
  <c r="CD914" i="10"/>
  <c r="CD917" i="10"/>
  <c r="CD912" i="10"/>
  <c r="CB699" i="10"/>
  <c r="CB1082" i="10"/>
  <c r="CB21" i="10"/>
  <c r="AH539" i="42"/>
  <c r="AH540" i="42" s="1"/>
  <c r="AF540" i="42"/>
  <c r="CG239" i="10"/>
  <c r="CH225" i="10"/>
  <c r="DI950" i="10"/>
  <c r="DI1179" i="10"/>
  <c r="AV249" i="46"/>
  <c r="AV353" i="46"/>
  <c r="CW407" i="10"/>
  <c r="BC33" i="41"/>
  <c r="BG53" i="41" s="1"/>
  <c r="CW41" i="49"/>
  <c r="CW68" i="49" s="1"/>
  <c r="CW166" i="49" s="1"/>
  <c r="CW269" i="49" s="1"/>
  <c r="CK805" i="20"/>
  <c r="CL805" i="20" s="1"/>
  <c r="CO841" i="20"/>
  <c r="CP841" i="20" s="1"/>
  <c r="CI52" i="41"/>
  <c r="CI53" i="41"/>
  <c r="CU53" i="41"/>
  <c r="CU52" i="41"/>
  <c r="DG53" i="41"/>
  <c r="DG52" i="41"/>
  <c r="BI533" i="42"/>
  <c r="BP472" i="10"/>
  <c r="BR153" i="42"/>
  <c r="BR472" i="10" s="1"/>
  <c r="CR1082" i="10"/>
  <c r="CR699" i="10"/>
  <c r="CR21" i="10"/>
  <c r="CV490" i="10"/>
  <c r="BE450" i="10"/>
  <c r="BH656" i="10"/>
  <c r="AC507" i="42"/>
  <c r="AC510" i="42" s="1"/>
  <c r="AC514" i="42" s="1"/>
  <c r="AC516" i="42" s="1"/>
  <c r="AC521" i="42" s="1"/>
  <c r="AC528" i="42"/>
  <c r="AF538" i="42"/>
  <c r="DM324" i="20"/>
  <c r="CH153" i="42"/>
  <c r="CH472" i="10" s="1"/>
  <c r="CF472" i="10"/>
  <c r="BH533" i="42"/>
  <c r="H72" i="41"/>
  <c r="L72" i="41"/>
  <c r="BV319" i="42"/>
  <c r="BV318" i="42"/>
  <c r="BV320" i="42" s="1"/>
  <c r="DI716" i="10"/>
  <c r="BZ526" i="42"/>
  <c r="DK49" i="41"/>
  <c r="BZ70" i="42"/>
  <c r="BJ324" i="42"/>
  <c r="DL1174" i="10"/>
  <c r="DL945" i="10"/>
  <c r="BY533" i="42"/>
  <c r="CQ56" i="41"/>
  <c r="BM49" i="10"/>
  <c r="CK155" i="10"/>
  <c r="BX533" i="42"/>
  <c r="BY335" i="20"/>
  <c r="CS319" i="42"/>
  <c r="BX697" i="10"/>
  <c r="BZ697" i="10" s="1"/>
  <c r="BX758" i="10"/>
  <c r="BZ758" i="10" s="1"/>
  <c r="BX693" i="10"/>
  <c r="BZ693" i="10" s="1"/>
  <c r="X528" i="42"/>
  <c r="X538" i="42"/>
  <c r="Y538" i="42"/>
  <c r="X507" i="42"/>
  <c r="X510" i="42" s="1"/>
  <c r="CD913" i="10"/>
  <c r="CU232" i="20"/>
  <c r="CT273" i="20"/>
  <c r="CT76" i="10"/>
  <c r="CT37" i="10"/>
  <c r="CR918" i="10"/>
  <c r="CR919" i="10" s="1"/>
  <c r="CF918" i="10"/>
  <c r="CF919" i="10" s="1"/>
  <c r="DZ56" i="41"/>
  <c r="DZ55" i="41"/>
  <c r="CD539" i="42"/>
  <c r="CD138" i="49" s="1"/>
  <c r="BP296" i="10"/>
  <c r="BP309" i="10"/>
  <c r="BQ301" i="10"/>
  <c r="BP301" i="10"/>
  <c r="AV514" i="42"/>
  <c r="AV516" i="42" s="1"/>
  <c r="AV521" i="42" s="1"/>
  <c r="BF533" i="42"/>
  <c r="AX539" i="42"/>
  <c r="CX449" i="10"/>
  <c r="CY450" i="10" s="1"/>
  <c r="CZ119" i="10"/>
  <c r="CZ15" i="10" s="1"/>
  <c r="DB223" i="42"/>
  <c r="EM48" i="41"/>
  <c r="DM719" i="20"/>
  <c r="DN766" i="20"/>
  <c r="DI1135" i="10"/>
  <c r="DI961" i="10"/>
  <c r="DJ719" i="20"/>
  <c r="DJ608" i="20"/>
  <c r="DN604" i="20"/>
  <c r="DM608" i="20"/>
  <c r="DJ585" i="20"/>
  <c r="DJ578" i="20"/>
  <c r="DJ591" i="20" s="1"/>
  <c r="DL578" i="20"/>
  <c r="DB449" i="10"/>
  <c r="DA354" i="20"/>
  <c r="DA349" i="20"/>
  <c r="DM102" i="10"/>
  <c r="DC232" i="20"/>
  <c r="DB273" i="20"/>
  <c r="DF277" i="20" s="1"/>
  <c r="DB37" i="10"/>
  <c r="DB76" i="10"/>
  <c r="DA274" i="20"/>
  <c r="DE278" i="20" s="1"/>
  <c r="DA277" i="20"/>
  <c r="DA490" i="10"/>
  <c r="DA408" i="10"/>
  <c r="BG34" i="41"/>
  <c r="BG54" i="41" s="1"/>
  <c r="DA42" i="49"/>
  <c r="DA69" i="49" s="1"/>
  <c r="DI1155" i="10"/>
  <c r="DI1154" i="10"/>
  <c r="DM712" i="10"/>
  <c r="DP712" i="10" s="1"/>
  <c r="DL739" i="10"/>
  <c r="CG43" i="49"/>
  <c r="CG70" i="49" s="1"/>
  <c r="CG168" i="49" s="1"/>
  <c r="CG271" i="49" s="1"/>
  <c r="CG409" i="10"/>
  <c r="AM35" i="41"/>
  <c r="BF194" i="49"/>
  <c r="BF297" i="49"/>
  <c r="BT71" i="46"/>
  <c r="BT72" i="46"/>
  <c r="BJ38" i="10"/>
  <c r="CX106" i="46"/>
  <c r="CJ51" i="49"/>
  <c r="CJ78" i="49" s="1"/>
  <c r="CJ962" i="10"/>
  <c r="AP13" i="41"/>
  <c r="AT61" i="41" s="1"/>
  <c r="BH72" i="46"/>
  <c r="BH73" i="46" s="1"/>
  <c r="BH71" i="46"/>
  <c r="CT106" i="46"/>
  <c r="CB41" i="49"/>
  <c r="CB68" i="49" s="1"/>
  <c r="CB166" i="49" s="1"/>
  <c r="CB269" i="49" s="1"/>
  <c r="CB407" i="10"/>
  <c r="AH33" i="41"/>
  <c r="AL53" i="41" s="1"/>
  <c r="DJ101" i="10"/>
  <c r="DJ441" i="20"/>
  <c r="BE431" i="10"/>
  <c r="BH431" i="10" s="1"/>
  <c r="DB818" i="10"/>
  <c r="DC550" i="20"/>
  <c r="DB561" i="20"/>
  <c r="CE236" i="20"/>
  <c r="CD255" i="20"/>
  <c r="CD816" i="10"/>
  <c r="CJ43" i="49"/>
  <c r="CJ70" i="49" s="1"/>
  <c r="CJ409" i="10"/>
  <c r="AP35" i="41"/>
  <c r="BJ486" i="20"/>
  <c r="BJ494" i="20"/>
  <c r="BJ493" i="20"/>
  <c r="DI689" i="10"/>
  <c r="DI755" i="10" s="1"/>
  <c r="BU266" i="20"/>
  <c r="BN232" i="20"/>
  <c r="BL273" i="20"/>
  <c r="BL37" i="10"/>
  <c r="BL41" i="10" s="1"/>
  <c r="BL76" i="10"/>
  <c r="BL81" i="10" s="1"/>
  <c r="BL82" i="10" s="1"/>
  <c r="AX46" i="49"/>
  <c r="DL1179" i="10"/>
  <c r="DL950" i="10"/>
  <c r="BQ558" i="20"/>
  <c r="BT483" i="20"/>
  <c r="BV481" i="20"/>
  <c r="BF464" i="20"/>
  <c r="CX877" i="20"/>
  <c r="CF926" i="10"/>
  <c r="CF841" i="10"/>
  <c r="CF970" i="10"/>
  <c r="DL1252" i="10"/>
  <c r="DM1248" i="10"/>
  <c r="DP1248" i="10" s="1"/>
  <c r="BJ504" i="20"/>
  <c r="BN504" i="20"/>
  <c r="AW155" i="10"/>
  <c r="BB39" i="49"/>
  <c r="H31" i="41"/>
  <c r="CS18" i="10"/>
  <c r="CT18" i="10" s="1"/>
  <c r="CS450" i="10"/>
  <c r="CP722" i="10"/>
  <c r="DW63" i="41"/>
  <c r="BB539" i="20"/>
  <c r="BF539" i="20"/>
  <c r="AZ155" i="10"/>
  <c r="CF187" i="20"/>
  <c r="CC196" i="20"/>
  <c r="CC200" i="20"/>
  <c r="CC189" i="20"/>
  <c r="CC187" i="20"/>
  <c r="BB757" i="10"/>
  <c r="BQ148" i="10"/>
  <c r="CN41" i="49"/>
  <c r="CN68" i="49" s="1"/>
  <c r="CN407" i="10"/>
  <c r="CP13" i="10"/>
  <c r="AT33" i="41"/>
  <c r="BX924" i="10"/>
  <c r="BX1014" i="10" s="1"/>
  <c r="BX839" i="10"/>
  <c r="BX968" i="10"/>
  <c r="CK1015" i="10"/>
  <c r="CH378" i="10"/>
  <c r="AX759" i="10"/>
  <c r="CW348" i="20"/>
  <c r="AV348" i="20"/>
  <c r="AX343" i="20"/>
  <c r="AV10" i="10"/>
  <c r="CA497" i="10"/>
  <c r="BV1040" i="10"/>
  <c r="CA1040" i="10" s="1"/>
  <c r="BQ263" i="20"/>
  <c r="BQ267" i="20" s="1"/>
  <c r="BN261" i="20"/>
  <c r="BN260" i="20"/>
  <c r="BI155" i="10"/>
  <c r="BB47" i="49"/>
  <c r="CD722" i="20"/>
  <c r="CB727" i="20"/>
  <c r="BN722" i="20"/>
  <c r="BL727" i="20"/>
  <c r="CP562" i="20"/>
  <c r="CQ555" i="20"/>
  <c r="CP46" i="10"/>
  <c r="BU483" i="20"/>
  <c r="DJ113" i="10"/>
  <c r="DJ442" i="20"/>
  <c r="DK410" i="20"/>
  <c r="AX40" i="49"/>
  <c r="DJ289" i="20"/>
  <c r="CW236" i="20"/>
  <c r="DA255" i="20" s="1"/>
  <c r="CJ274" i="20"/>
  <c r="CN277" i="20"/>
  <c r="CJ277" i="20"/>
  <c r="CE231" i="20"/>
  <c r="BR487" i="10"/>
  <c r="BP465" i="10"/>
  <c r="BR465" i="10" s="1"/>
  <c r="CJ468" i="10"/>
  <c r="CL489" i="10"/>
  <c r="BZ814" i="10"/>
  <c r="BZ747" i="10"/>
  <c r="BF425" i="42"/>
  <c r="BE429" i="42"/>
  <c r="BE439" i="42" s="1"/>
  <c r="CF468" i="10"/>
  <c r="CH489" i="10"/>
  <c r="CO467" i="10"/>
  <c r="CP467" i="10" s="1"/>
  <c r="CO1212" i="10"/>
  <c r="CO1214" i="10" s="1"/>
  <c r="CO1219" i="10" s="1"/>
  <c r="DA55" i="49"/>
  <c r="DA86" i="49" s="1"/>
  <c r="DA184" i="49" s="1"/>
  <c r="DA287" i="49" s="1"/>
  <c r="DA440" i="42"/>
  <c r="DA1225" i="10"/>
  <c r="DB1225" i="10" s="1"/>
  <c r="BG19" i="41"/>
  <c r="DB26" i="10"/>
  <c r="DA21" i="10"/>
  <c r="DA699" i="10"/>
  <c r="DA1082" i="10"/>
  <c r="CG21" i="10"/>
  <c r="CG699" i="10"/>
  <c r="CG1082" i="10"/>
  <c r="CA165" i="10"/>
  <c r="BR224" i="42"/>
  <c r="BU228" i="42" s="1"/>
  <c r="BU227" i="42"/>
  <c r="CH424" i="10"/>
  <c r="BN480" i="10"/>
  <c r="CS697" i="10"/>
  <c r="CS693" i="10"/>
  <c r="CT693" i="10" s="1"/>
  <c r="CT692" i="10"/>
  <c r="CY692" i="10" s="1"/>
  <c r="CS758" i="10"/>
  <c r="AU53" i="41"/>
  <c r="CX296" i="49"/>
  <c r="CX193" i="49"/>
  <c r="BU39" i="49"/>
  <c r="BU64" i="49" s="1"/>
  <c r="BU405" i="10"/>
  <c r="AA31" i="41"/>
  <c r="BV11" i="10"/>
  <c r="CD189" i="49"/>
  <c r="CD292" i="49"/>
  <c r="BN99" i="49"/>
  <c r="BP267" i="42"/>
  <c r="BV99" i="49"/>
  <c r="BX267" i="42"/>
  <c r="DI302" i="42"/>
  <c r="DI307" i="42"/>
  <c r="DI308" i="42" s="1"/>
  <c r="AV1" i="42"/>
  <c r="AV2" i="42" s="1"/>
  <c r="AW3" i="42"/>
  <c r="CV113" i="46"/>
  <c r="EG69" i="41" s="1"/>
  <c r="CV106" i="46"/>
  <c r="CV115" i="46" s="1"/>
  <c r="CP51" i="49"/>
  <c r="CP78" i="49" s="1"/>
  <c r="CP962" i="10"/>
  <c r="AV13" i="41"/>
  <c r="DB387" i="10"/>
  <c r="DB826" i="10"/>
  <c r="BX12" i="10"/>
  <c r="BX656" i="10"/>
  <c r="BL12" i="10"/>
  <c r="BL10" i="10" s="1"/>
  <c r="BL656" i="10"/>
  <c r="CT424" i="10"/>
  <c r="BI531" i="42"/>
  <c r="BI532" i="42"/>
  <c r="AS67" i="10"/>
  <c r="AS69" i="10"/>
  <c r="BT514" i="42"/>
  <c r="BT517" i="42"/>
  <c r="BT515" i="42"/>
  <c r="R528" i="42"/>
  <c r="R507" i="42"/>
  <c r="R510" i="42" s="1"/>
  <c r="BF249" i="46"/>
  <c r="BF259" i="46" s="1"/>
  <c r="BE259" i="46"/>
  <c r="BE250" i="46"/>
  <c r="BF250" i="46" s="1"/>
  <c r="DA90" i="46"/>
  <c r="DA67" i="46" s="1"/>
  <c r="DB219" i="46"/>
  <c r="BV48" i="46"/>
  <c r="BV49" i="46" s="1"/>
  <c r="CL481" i="42"/>
  <c r="CL488" i="42" s="1"/>
  <c r="DW37" i="41" s="1"/>
  <c r="CK488" i="42"/>
  <c r="DV37" i="41" s="1"/>
  <c r="CK485" i="42"/>
  <c r="BV70" i="42"/>
  <c r="CR403" i="42"/>
  <c r="CL533" i="42"/>
  <c r="DG55" i="41"/>
  <c r="DG56" i="41"/>
  <c r="BM275" i="42"/>
  <c r="DA816" i="10"/>
  <c r="CH929" i="20"/>
  <c r="CL929" i="20"/>
  <c r="CN841" i="10"/>
  <c r="CN926" i="10"/>
  <c r="CN1016" i="10" s="1"/>
  <c r="BI483" i="20"/>
  <c r="BI488" i="20"/>
  <c r="CW784" i="20"/>
  <c r="CT236" i="20"/>
  <c r="CR243" i="20"/>
  <c r="CR816" i="10"/>
  <c r="BD236" i="20"/>
  <c r="BF231" i="20"/>
  <c r="AX493" i="20"/>
  <c r="AX494" i="20"/>
  <c r="BP266" i="20"/>
  <c r="BA450" i="10"/>
  <c r="AT457" i="20"/>
  <c r="AX462" i="20" s="1"/>
  <c r="AX459" i="20"/>
  <c r="BR51" i="49"/>
  <c r="BR78" i="49" s="1"/>
  <c r="X13" i="41"/>
  <c r="BB753" i="10"/>
  <c r="AZ759" i="10"/>
  <c r="AX52" i="49"/>
  <c r="AR428" i="10"/>
  <c r="AR430" i="10"/>
  <c r="AR432" i="10"/>
  <c r="AR434" i="10"/>
  <c r="AR436" i="10"/>
  <c r="AT423" i="10"/>
  <c r="AR429" i="10"/>
  <c r="AR433" i="10"/>
  <c r="AR435" i="10"/>
  <c r="CK1136" i="10"/>
  <c r="CK22" i="10" s="1"/>
  <c r="CL22" i="10" s="1"/>
  <c r="CC48" i="10"/>
  <c r="CC49" i="10"/>
  <c r="CG466" i="10"/>
  <c r="CB348" i="20"/>
  <c r="CD343" i="20"/>
  <c r="CB38" i="10"/>
  <c r="CB41" i="10" s="1"/>
  <c r="CB257" i="20"/>
  <c r="CB245" i="20"/>
  <c r="BV477" i="10"/>
  <c r="BI476" i="10"/>
  <c r="BJ476" i="10" s="1"/>
  <c r="CD131" i="20"/>
  <c r="CD814" i="10"/>
  <c r="CE120" i="20"/>
  <c r="BB52" i="49"/>
  <c r="H14" i="41"/>
  <c r="CL722" i="10"/>
  <c r="CP378" i="10"/>
  <c r="J54" i="41"/>
  <c r="DN58" i="49"/>
  <c r="BF754" i="10"/>
  <c r="BJ40" i="49"/>
  <c r="BJ67" i="49" s="1"/>
  <c r="P41" i="41"/>
  <c r="CJ476" i="10"/>
  <c r="CL502" i="10"/>
  <c r="CJ503" i="10" s="1"/>
  <c r="CJ1045" i="10"/>
  <c r="CL737" i="20"/>
  <c r="CP737" i="20"/>
  <c r="CN727" i="20"/>
  <c r="CP722" i="20"/>
  <c r="BZ820" i="10"/>
  <c r="N52" i="41"/>
  <c r="BH71" i="49"/>
  <c r="BH66" i="49"/>
  <c r="BH163" i="49"/>
  <c r="BH266" i="49" s="1"/>
  <c r="CL260" i="20"/>
  <c r="CL261" i="20"/>
  <c r="CL262" i="20"/>
  <c r="CL305" i="20"/>
  <c r="CJ263" i="20"/>
  <c r="CJ266" i="20" s="1"/>
  <c r="CI232" i="20"/>
  <c r="CH273" i="20"/>
  <c r="CH37" i="10"/>
  <c r="CH76" i="10"/>
  <c r="BP42" i="49"/>
  <c r="BP69" i="49" s="1"/>
  <c r="BP167" i="49" s="1"/>
  <c r="BP270" i="49" s="1"/>
  <c r="BR14" i="10"/>
  <c r="BP408" i="10"/>
  <c r="BP1149" i="10"/>
  <c r="V34" i="41"/>
  <c r="V54" i="41" s="1"/>
  <c r="CK38" i="10"/>
  <c r="CK41" i="10" s="1"/>
  <c r="CK120" i="20"/>
  <c r="CO131" i="20" s="1"/>
  <c r="CK784" i="20"/>
  <c r="CL690" i="10"/>
  <c r="CN970" i="10"/>
  <c r="CN490" i="10"/>
  <c r="CC462" i="10"/>
  <c r="AI43" i="41"/>
  <c r="CO245" i="10"/>
  <c r="CP238" i="10"/>
  <c r="CO241" i="10"/>
  <c r="CS43" i="43"/>
  <c r="CV296" i="42"/>
  <c r="CS296" i="42"/>
  <c r="CS298" i="42" s="1"/>
  <c r="BU325" i="42"/>
  <c r="BU295" i="42"/>
  <c r="BJ292" i="49"/>
  <c r="BJ189" i="49"/>
  <c r="BF188" i="49"/>
  <c r="BF291" i="49"/>
  <c r="BL224" i="42"/>
  <c r="BL227" i="42"/>
  <c r="BN153" i="42"/>
  <c r="BN472" i="10" s="1"/>
  <c r="BL472" i="10"/>
  <c r="BE467" i="10"/>
  <c r="BE1212" i="10"/>
  <c r="BE1214" i="10" s="1"/>
  <c r="BE1219" i="10" s="1"/>
  <c r="BX314" i="10"/>
  <c r="BX323" i="10"/>
  <c r="BU45" i="49"/>
  <c r="BU73" i="49" s="1"/>
  <c r="BU171" i="49" s="1"/>
  <c r="BU274" i="49" s="1"/>
  <c r="BV786" i="20"/>
  <c r="AA9" i="41"/>
  <c r="BR293" i="49"/>
  <c r="BR190" i="49"/>
  <c r="CO224" i="42"/>
  <c r="CR227" i="42"/>
  <c r="CD468" i="10"/>
  <c r="AH45" i="41"/>
  <c r="DA279" i="49"/>
  <c r="CT47" i="49"/>
  <c r="DA167" i="10"/>
  <c r="DA11" i="10"/>
  <c r="DB11" i="10" s="1"/>
  <c r="AG405" i="42"/>
  <c r="AG414" i="42"/>
  <c r="AG413" i="42" s="1"/>
  <c r="AH413" i="42" s="1"/>
  <c r="AH419" i="42"/>
  <c r="BD298" i="42"/>
  <c r="CH273" i="42"/>
  <c r="CO11" i="10"/>
  <c r="CO167" i="10"/>
  <c r="BQ337" i="42"/>
  <c r="AL528" i="42"/>
  <c r="AL507" i="42"/>
  <c r="AL510" i="42" s="1"/>
  <c r="AW262" i="46"/>
  <c r="AW300" i="46"/>
  <c r="AW272" i="46"/>
  <c r="AW278" i="46"/>
  <c r="AW342" i="46"/>
  <c r="AW310" i="46"/>
  <c r="BA270" i="46"/>
  <c r="BA271" i="46" s="1"/>
  <c r="BA276" i="46"/>
  <c r="BA277" i="46" s="1"/>
  <c r="BA264" i="46"/>
  <c r="CL104" i="46"/>
  <c r="CQ104" i="46" s="1"/>
  <c r="CP70" i="46"/>
  <c r="CO72" i="46"/>
  <c r="BV68" i="46"/>
  <c r="CA68" i="46" s="1"/>
  <c r="BU70" i="46"/>
  <c r="CP387" i="10"/>
  <c r="CP826" i="10"/>
  <c r="CI55" i="41"/>
  <c r="CI56" i="41"/>
  <c r="BB400" i="46"/>
  <c r="BB353" i="46" s="1"/>
  <c r="BA249" i="46"/>
  <c r="BA353" i="46"/>
  <c r="BL71" i="46"/>
  <c r="BL72" i="46"/>
  <c r="BF270" i="46"/>
  <c r="BF271" i="46" s="1"/>
  <c r="BF276" i="46"/>
  <c r="BF264" i="46"/>
  <c r="CD87" i="46"/>
  <c r="CD95" i="46" s="1"/>
  <c r="CD97" i="46" s="1"/>
  <c r="CC95" i="46"/>
  <c r="CC97" i="46" s="1"/>
  <c r="CF515" i="42"/>
  <c r="CF517" i="42"/>
  <c r="CF514" i="42"/>
  <c r="DO53" i="41"/>
  <c r="DO55" i="41"/>
  <c r="DO52" i="41"/>
  <c r="BD72" i="41"/>
  <c r="AZ72" i="41"/>
  <c r="AS352" i="46"/>
  <c r="AT356" i="46"/>
  <c r="AT352" i="46" s="1"/>
  <c r="AS56" i="46"/>
  <c r="AV54" i="46"/>
  <c r="CS556" i="20"/>
  <c r="CT556" i="20" s="1"/>
  <c r="CS818" i="10"/>
  <c r="CS561" i="20"/>
  <c r="CR563" i="20"/>
  <c r="CR558" i="20"/>
  <c r="DF75" i="10"/>
  <c r="DA266" i="20"/>
  <c r="DM138" i="20"/>
  <c r="DM142" i="20" s="1"/>
  <c r="CJ885" i="20"/>
  <c r="CN951" i="20"/>
  <c r="CL951" i="20"/>
  <c r="CL956" i="20" s="1"/>
  <c r="AV680" i="20"/>
  <c r="AX678" i="20"/>
  <c r="DJ552" i="20"/>
  <c r="BX925" i="10"/>
  <c r="BX840" i="10"/>
  <c r="CX343" i="20"/>
  <c r="CZ126" i="20"/>
  <c r="DD133" i="20" s="1"/>
  <c r="CZ814" i="10"/>
  <c r="BE809" i="20"/>
  <c r="BE814" i="20"/>
  <c r="BI814" i="20"/>
  <c r="DI685" i="10"/>
  <c r="DI751" i="10" s="1"/>
  <c r="BR40" i="10"/>
  <c r="AX121" i="20"/>
  <c r="CK910" i="20"/>
  <c r="CH910" i="20"/>
  <c r="CH917" i="20" s="1"/>
  <c r="CG911" i="20"/>
  <c r="K52" i="41"/>
  <c r="AT809" i="20"/>
  <c r="AR811" i="20"/>
  <c r="AT811" i="20" s="1"/>
  <c r="BH128" i="20"/>
  <c r="BJ126" i="20"/>
  <c r="BH133" i="20"/>
  <c r="BF449" i="10"/>
  <c r="CD539" i="20"/>
  <c r="CD112" i="10"/>
  <c r="CH159" i="20"/>
  <c r="CC50" i="10"/>
  <c r="BL55" i="49"/>
  <c r="BL86" i="49" s="1"/>
  <c r="BL184" i="49" s="1"/>
  <c r="BL287" i="49" s="1"/>
  <c r="BL440" i="42"/>
  <c r="BN26" i="10"/>
  <c r="BL1225" i="10"/>
  <c r="BN1225" i="10" s="1"/>
  <c r="R19" i="41"/>
  <c r="BF51" i="49"/>
  <c r="BF78" i="49" s="1"/>
  <c r="L13" i="41"/>
  <c r="L61" i="41" s="1"/>
  <c r="CR51" i="10"/>
  <c r="CP117" i="10"/>
  <c r="BX18" i="10"/>
  <c r="BX450" i="10"/>
  <c r="CP913" i="10"/>
  <c r="CP917" i="10"/>
  <c r="CP914" i="10"/>
  <c r="CP911" i="10"/>
  <c r="CP915" i="10"/>
  <c r="CP912" i="10"/>
  <c r="BT678" i="20"/>
  <c r="BV672" i="20"/>
  <c r="AS758" i="10"/>
  <c r="AS693" i="10"/>
  <c r="AS697" i="10"/>
  <c r="AX43" i="49"/>
  <c r="AW495" i="20"/>
  <c r="CK48" i="10"/>
  <c r="BD468" i="10"/>
  <c r="BF489" i="10"/>
  <c r="CK466" i="10"/>
  <c r="BT463" i="10"/>
  <c r="BV486" i="10"/>
  <c r="BY488" i="20"/>
  <c r="O52" i="41"/>
  <c r="N54" i="41"/>
  <c r="AV697" i="10"/>
  <c r="AV758" i="10"/>
  <c r="AV693" i="10"/>
  <c r="AQ45" i="41"/>
  <c r="CJ449" i="10"/>
  <c r="CL442" i="10"/>
  <c r="BF46" i="10"/>
  <c r="BJ132" i="20"/>
  <c r="BF132" i="20"/>
  <c r="BP468" i="10"/>
  <c r="BR489" i="10"/>
  <c r="BM464" i="10"/>
  <c r="BV737" i="20"/>
  <c r="BZ737" i="20"/>
  <c r="DB820" i="10"/>
  <c r="CL722" i="20"/>
  <c r="CJ727" i="20"/>
  <c r="BV722" i="20"/>
  <c r="BT727" i="20"/>
  <c r="BN445" i="10"/>
  <c r="BN449" i="10" s="1"/>
  <c r="BJ464" i="20"/>
  <c r="CO263" i="20"/>
  <c r="CO266" i="20" s="1"/>
  <c r="CK236" i="20"/>
  <c r="BH759" i="10"/>
  <c r="BJ753" i="10"/>
  <c r="CI153" i="20"/>
  <c r="CH160" i="20"/>
  <c r="CH225" i="20"/>
  <c r="BB723" i="10"/>
  <c r="CZ467" i="10"/>
  <c r="DB478" i="10"/>
  <c r="CZ1212" i="10"/>
  <c r="CZ1214" i="10" s="1"/>
  <c r="CZ1219" i="10" s="1"/>
  <c r="BB55" i="49"/>
  <c r="BB440" i="42"/>
  <c r="H19" i="41"/>
  <c r="CD692" i="10"/>
  <c r="CC693" i="10"/>
  <c r="CD693" i="10" s="1"/>
  <c r="CC697" i="10"/>
  <c r="CC758" i="10"/>
  <c r="CL213" i="49"/>
  <c r="CL316" i="49"/>
  <c r="DJ194" i="49"/>
  <c r="DJ297" i="49"/>
  <c r="BR90" i="49"/>
  <c r="CD480" i="10"/>
  <c r="BT245" i="10"/>
  <c r="BP55" i="49"/>
  <c r="BP86" i="49" s="1"/>
  <c r="BP184" i="49" s="1"/>
  <c r="BP287" i="49" s="1"/>
  <c r="BP440" i="42"/>
  <c r="BR26" i="10"/>
  <c r="BP1225" i="10"/>
  <c r="BR1225" i="10" s="1"/>
  <c r="V19" i="41"/>
  <c r="BG61" i="41"/>
  <c r="CG467" i="10"/>
  <c r="CG1212" i="10"/>
  <c r="CG1214" i="10" s="1"/>
  <c r="CG1219" i="10" s="1"/>
  <c r="BL467" i="10"/>
  <c r="CR245" i="10"/>
  <c r="CR241" i="10"/>
  <c r="BT82" i="49"/>
  <c r="BT176" i="49"/>
  <c r="BR47" i="49"/>
  <c r="BF54" i="41"/>
  <c r="CP42" i="49"/>
  <c r="CP69" i="49" s="1"/>
  <c r="AV34" i="41"/>
  <c r="CV378" i="42"/>
  <c r="CW374" i="42" s="1"/>
  <c r="CW378" i="42" s="1"/>
  <c r="CX374" i="42"/>
  <c r="CX378" i="42" s="1"/>
  <c r="CZ374" i="42" s="1"/>
  <c r="BU21" i="10"/>
  <c r="BU699" i="10"/>
  <c r="BU1082" i="10"/>
  <c r="CP758" i="10"/>
  <c r="R45" i="43"/>
  <c r="R49" i="43" s="1"/>
  <c r="Q49" i="43"/>
  <c r="BE275" i="42"/>
  <c r="BH261" i="46"/>
  <c r="BV106" i="46"/>
  <c r="BT224" i="42"/>
  <c r="BT227" i="42"/>
  <c r="BV219" i="46"/>
  <c r="BU90" i="46"/>
  <c r="BV104" i="46"/>
  <c r="BU514" i="42"/>
  <c r="BZ538" i="42"/>
  <c r="EP46" i="41"/>
  <c r="BN70" i="42"/>
  <c r="BN526" i="42"/>
  <c r="CY49" i="41"/>
  <c r="CY56" i="41" s="1"/>
  <c r="BE246" i="46"/>
  <c r="DL129" i="46"/>
  <c r="CS147" i="10"/>
  <c r="CS142" i="10"/>
  <c r="CS816" i="10"/>
  <c r="CS243" i="20"/>
  <c r="BA809" i="20"/>
  <c r="BA814" i="20"/>
  <c r="BD128" i="20"/>
  <c r="BY894" i="20"/>
  <c r="BY888" i="20"/>
  <c r="BZ888" i="20" s="1"/>
  <c r="BZ896" i="20" s="1"/>
  <c r="CH799" i="20"/>
  <c r="CI799" i="20" s="1"/>
  <c r="BZ678" i="20"/>
  <c r="BX680" i="20"/>
  <c r="BZ680" i="20" s="1"/>
  <c r="DM1175" i="10"/>
  <c r="DM946" i="10"/>
  <c r="BV260" i="20"/>
  <c r="BV261" i="20"/>
  <c r="BV262" i="20"/>
  <c r="BV305" i="20"/>
  <c r="BZ305" i="20"/>
  <c r="BT263" i="20"/>
  <c r="BT266" i="20" s="1"/>
  <c r="CF18" i="10"/>
  <c r="CF450" i="10"/>
  <c r="AP236" i="20"/>
  <c r="AN243" i="20"/>
  <c r="CL550" i="20"/>
  <c r="CL551" i="20" s="1"/>
  <c r="BR551" i="20"/>
  <c r="BB486" i="20"/>
  <c r="BB494" i="20"/>
  <c r="BB493" i="20"/>
  <c r="DL240" i="20"/>
  <c r="DN329" i="20"/>
  <c r="DN334" i="20" s="1"/>
  <c r="CB42" i="49"/>
  <c r="CB69" i="49" s="1"/>
  <c r="CB408" i="10"/>
  <c r="CB1149" i="10"/>
  <c r="AH34" i="41"/>
  <c r="AL54" i="41" s="1"/>
  <c r="CG818" i="10"/>
  <c r="CG556" i="20"/>
  <c r="CH556" i="20" s="1"/>
  <c r="CG561" i="20"/>
  <c r="AT236" i="20"/>
  <c r="AR243" i="20"/>
  <c r="CG830" i="20"/>
  <c r="CH830" i="20" s="1"/>
  <c r="CH838" i="20" s="1"/>
  <c r="CJ828" i="20"/>
  <c r="CG842" i="20"/>
  <c r="CH842" i="20" s="1"/>
  <c r="CG836" i="20"/>
  <c r="CS117" i="10"/>
  <c r="CS119" i="10" s="1"/>
  <c r="CS15" i="10" s="1"/>
  <c r="CT15" i="10" s="1"/>
  <c r="BN539" i="20"/>
  <c r="BZ225" i="20"/>
  <c r="O55" i="41"/>
  <c r="BD50" i="10"/>
  <c r="BM449" i="10"/>
  <c r="BB130" i="10"/>
  <c r="K54" i="41"/>
  <c r="BY142" i="10"/>
  <c r="BY1141" i="10"/>
  <c r="BY1148" i="10" s="1"/>
  <c r="AV550" i="20"/>
  <c r="AX545" i="20"/>
  <c r="DN328" i="20"/>
  <c r="DN333" i="20" s="1"/>
  <c r="DM239" i="20"/>
  <c r="BU50" i="10"/>
  <c r="CL911" i="10"/>
  <c r="CL915" i="10"/>
  <c r="CL912" i="10"/>
  <c r="CL917" i="10"/>
  <c r="CL913" i="10"/>
  <c r="CL914" i="10"/>
  <c r="CV147" i="10"/>
  <c r="BA550" i="20"/>
  <c r="BM759" i="10"/>
  <c r="DA48" i="10"/>
  <c r="DA49" i="10"/>
  <c r="CT130" i="10"/>
  <c r="CX820" i="10"/>
  <c r="CF843" i="10"/>
  <c r="CF972" i="10"/>
  <c r="BR722" i="20"/>
  <c r="BP727" i="20"/>
  <c r="BD727" i="20"/>
  <c r="BF722" i="20"/>
  <c r="DM350" i="20"/>
  <c r="BK49" i="41"/>
  <c r="BK67" i="41" s="1"/>
  <c r="CP261" i="20"/>
  <c r="CP262" i="20"/>
  <c r="CP260" i="20"/>
  <c r="CP305" i="20"/>
  <c r="CN263" i="20"/>
  <c r="CN266" i="20" s="1"/>
  <c r="DA38" i="10"/>
  <c r="DA41" i="10" s="1"/>
  <c r="DB120" i="20"/>
  <c r="DA784" i="20"/>
  <c r="BH466" i="10"/>
  <c r="CP464" i="10"/>
  <c r="AV32" i="41" s="1"/>
  <c r="AT32" i="41"/>
  <c r="CN21" i="10"/>
  <c r="CP697" i="10"/>
  <c r="CN699" i="10"/>
  <c r="CN1082" i="10"/>
  <c r="BQ21" i="10"/>
  <c r="BQ699" i="10"/>
  <c r="BQ1082" i="10"/>
  <c r="DA269" i="49"/>
  <c r="CX387" i="10"/>
  <c r="CX826" i="10"/>
  <c r="BM39" i="49"/>
  <c r="BM64" i="49" s="1"/>
  <c r="BM405" i="10"/>
  <c r="S31" i="41"/>
  <c r="BM43" i="43"/>
  <c r="BP296" i="42"/>
  <c r="BM296" i="42"/>
  <c r="BM298" i="42" s="1"/>
  <c r="CC324" i="42"/>
  <c r="CC224" i="42"/>
  <c r="CF227" i="42"/>
  <c r="CD223" i="42"/>
  <c r="CD224" i="42" s="1"/>
  <c r="DO48" i="41"/>
  <c r="DO54" i="41" s="1"/>
  <c r="CZ463" i="10"/>
  <c r="DB486" i="10"/>
  <c r="CF467" i="10"/>
  <c r="CH478" i="10"/>
  <c r="CF1212" i="10"/>
  <c r="CF1214" i="10" s="1"/>
  <c r="CO42" i="49"/>
  <c r="CO69" i="49" s="1"/>
  <c r="CO167" i="49" s="1"/>
  <c r="CO270" i="49" s="1"/>
  <c r="CO408" i="10"/>
  <c r="AU34" i="41"/>
  <c r="AY54" i="41" s="1"/>
  <c r="Y44" i="43"/>
  <c r="Y45" i="43"/>
  <c r="Y504" i="42"/>
  <c r="BR480" i="10"/>
  <c r="AT44" i="41"/>
  <c r="CD463" i="10"/>
  <c r="AH43" i="41"/>
  <c r="AX378" i="10"/>
  <c r="AY53" i="41"/>
  <c r="CB245" i="10"/>
  <c r="CB241" i="10"/>
  <c r="CC245" i="10"/>
  <c r="AV339" i="42"/>
  <c r="AS345" i="42"/>
  <c r="CB298" i="42"/>
  <c r="BP132" i="49"/>
  <c r="BP54" i="43"/>
  <c r="BQ446" i="42"/>
  <c r="AV272" i="42"/>
  <c r="AX361" i="42"/>
  <c r="BP71" i="46"/>
  <c r="BP72" i="46"/>
  <c r="CE217" i="46"/>
  <c r="CO12" i="10"/>
  <c r="CO656" i="10"/>
  <c r="BN41" i="49"/>
  <c r="BN68" i="49" s="1"/>
  <c r="BS68" i="49" s="1"/>
  <c r="T33" i="41"/>
  <c r="T53" i="41" s="1"/>
  <c r="CH219" i="46"/>
  <c r="CG90" i="46"/>
  <c r="V528" i="42"/>
  <c r="V507" i="42"/>
  <c r="V510" i="42" s="1"/>
  <c r="BJ87" i="46"/>
  <c r="BJ95" i="46" s="1"/>
  <c r="BJ97" i="46" s="1"/>
  <c r="BI95" i="46"/>
  <c r="BI97" i="46" s="1"/>
  <c r="CV531" i="42"/>
  <c r="CV532" i="42"/>
  <c r="DJ54" i="42"/>
  <c r="DL54" i="42"/>
  <c r="DI494" i="42"/>
  <c r="DB27" i="42"/>
  <c r="DI162" i="42"/>
  <c r="DI163" i="42" s="1"/>
  <c r="DI177" i="42" s="1"/>
  <c r="CC275" i="42"/>
  <c r="CS48" i="46"/>
  <c r="CS49" i="46" s="1"/>
  <c r="AX54" i="41"/>
  <c r="BF532" i="42"/>
  <c r="BF531" i="42"/>
  <c r="BN533" i="42"/>
  <c r="CG51" i="10"/>
  <c r="CO490" i="10"/>
  <c r="BR166" i="49"/>
  <c r="BR269" i="49"/>
  <c r="AX279" i="46"/>
  <c r="AX273" i="46"/>
  <c r="DO56" i="41"/>
  <c r="BJ481" i="20"/>
  <c r="BJ488" i="20" s="1"/>
  <c r="BH488" i="20"/>
  <c r="BH483" i="20"/>
  <c r="BB1296" i="10"/>
  <c r="BB1298" i="10"/>
  <c r="BB1294" i="10"/>
  <c r="BB1293" i="10"/>
  <c r="BB1297" i="10"/>
  <c r="BB1299" i="10"/>
  <c r="BB1292" i="10"/>
  <c r="CH955" i="20"/>
  <c r="CH953" i="20"/>
  <c r="CH958" i="20" s="1"/>
  <c r="CS727" i="20"/>
  <c r="CC727" i="20"/>
  <c r="AW15" i="20"/>
  <c r="CO561" i="20"/>
  <c r="CO818" i="10"/>
  <c r="CO556" i="20"/>
  <c r="CP556" i="20" s="1"/>
  <c r="CC925" i="10"/>
  <c r="CC840" i="10"/>
  <c r="DJ332" i="20"/>
  <c r="DJ330" i="20"/>
  <c r="DJ335" i="20" s="1"/>
  <c r="BJ198" i="20"/>
  <c r="BD348" i="20"/>
  <c r="BH364" i="20" s="1"/>
  <c r="BF343" i="20"/>
  <c r="BD10" i="10"/>
  <c r="BD38" i="10"/>
  <c r="BD41" i="10" s="1"/>
  <c r="CX818" i="10"/>
  <c r="CF563" i="20"/>
  <c r="CF558" i="20"/>
  <c r="DI1174" i="10"/>
  <c r="DI945" i="10"/>
  <c r="DJ352" i="20"/>
  <c r="BF46" i="49"/>
  <c r="BF74" i="49" s="1"/>
  <c r="L10" i="41"/>
  <c r="CD798" i="20"/>
  <c r="CB803" i="20"/>
  <c r="BQ155" i="10"/>
  <c r="BB45" i="49"/>
  <c r="H9" i="41"/>
  <c r="CL825" i="10"/>
  <c r="CH343" i="20"/>
  <c r="CF348" i="20"/>
  <c r="CF38" i="10"/>
  <c r="CF41" i="10" s="1"/>
  <c r="DN286" i="20"/>
  <c r="CM241" i="20"/>
  <c r="CL256" i="20"/>
  <c r="CP256" i="20"/>
  <c r="CQ241" i="20"/>
  <c r="BL486" i="10"/>
  <c r="BN612" i="10"/>
  <c r="AW759" i="10"/>
  <c r="BH464" i="10"/>
  <c r="BH450" i="10" s="1"/>
  <c r="BJ481" i="10"/>
  <c r="BD155" i="10"/>
  <c r="AX693" i="10"/>
  <c r="AX758" i="10"/>
  <c r="BF755" i="10"/>
  <c r="BT476" i="10"/>
  <c r="BV502" i="10"/>
  <c r="BT503" i="10" s="1"/>
  <c r="BT1045" i="10"/>
  <c r="BL263" i="20"/>
  <c r="BL268" i="20" s="1"/>
  <c r="BR486" i="10"/>
  <c r="BP463" i="10"/>
  <c r="CT820" i="10"/>
  <c r="CO551" i="20"/>
  <c r="CH551" i="20"/>
  <c r="CI555" i="20"/>
  <c r="CH562" i="20"/>
  <c r="CH46" i="10"/>
  <c r="BM348" i="20"/>
  <c r="BN348" i="20" s="1"/>
  <c r="BM38" i="10"/>
  <c r="AW348" i="20"/>
  <c r="AW10" i="10"/>
  <c r="DN281" i="20"/>
  <c r="DL284" i="20"/>
  <c r="CK486" i="10"/>
  <c r="CK463" i="10" s="1"/>
  <c r="BZ126" i="20"/>
  <c r="BX128" i="20"/>
  <c r="BI128" i="20"/>
  <c r="AW9" i="20"/>
  <c r="BZ722" i="10"/>
  <c r="BH463" i="10"/>
  <c r="BJ486" i="10"/>
  <c r="BV723" i="10"/>
  <c r="DM757" i="20"/>
  <c r="DA353" i="10"/>
  <c r="BJ165" i="10"/>
  <c r="CZ39" i="49"/>
  <c r="CZ64" i="49" s="1"/>
  <c r="CZ405" i="10"/>
  <c r="BF31" i="41"/>
  <c r="BX39" i="49"/>
  <c r="BX64" i="49" s="1"/>
  <c r="BZ11" i="10"/>
  <c r="BX405" i="10"/>
  <c r="AD31" i="41"/>
  <c r="DB193" i="49"/>
  <c r="DB296" i="49"/>
  <c r="CV467" i="10"/>
  <c r="CX478" i="10"/>
  <c r="CV1212" i="10"/>
  <c r="CV1214" i="10" s="1"/>
  <c r="CV1219" i="10" s="1"/>
  <c r="AZ467" i="10"/>
  <c r="BD656" i="10"/>
  <c r="CH1017" i="10"/>
  <c r="CH952" i="10"/>
  <c r="BN51" i="49"/>
  <c r="BN78" i="49" s="1"/>
  <c r="T13" i="41"/>
  <c r="BN47" i="49"/>
  <c r="CC45" i="49"/>
  <c r="CC73" i="49" s="1"/>
  <c r="CC171" i="49" s="1"/>
  <c r="CC274" i="49" s="1"/>
  <c r="CD786" i="20"/>
  <c r="AI9" i="41"/>
  <c r="CD17" i="10"/>
  <c r="CF40" i="49"/>
  <c r="CF67" i="49" s="1"/>
  <c r="CF406" i="10"/>
  <c r="AL41" i="41"/>
  <c r="CR167" i="10"/>
  <c r="CR11" i="10"/>
  <c r="CT165" i="10"/>
  <c r="AI45" i="41"/>
  <c r="BG43" i="41"/>
  <c r="AY44" i="41"/>
  <c r="CH486" i="10"/>
  <c r="CF463" i="10"/>
  <c r="BZ47" i="49"/>
  <c r="BB425" i="42"/>
  <c r="CP273" i="42"/>
  <c r="CD378" i="10"/>
  <c r="BH337" i="42"/>
  <c r="CZ224" i="42"/>
  <c r="CZ227" i="42"/>
  <c r="BD532" i="42"/>
  <c r="BD531" i="42"/>
  <c r="AT346" i="46"/>
  <c r="AT324" i="46"/>
  <c r="AT325" i="46" s="1"/>
  <c r="CL387" i="10"/>
  <c r="CL826" i="10"/>
  <c r="DS47" i="41"/>
  <c r="CO514" i="42"/>
  <c r="AX249" i="46"/>
  <c r="AX259" i="46" s="1"/>
  <c r="AW259" i="46"/>
  <c r="BN87" i="46"/>
  <c r="BN95" i="46" s="1"/>
  <c r="BN97" i="46" s="1"/>
  <c r="BM95" i="46"/>
  <c r="BM97" i="46" s="1"/>
  <c r="CF73" i="46"/>
  <c r="BJ68" i="46"/>
  <c r="BI70" i="46"/>
  <c r="BF182" i="49"/>
  <c r="BF285" i="49"/>
  <c r="CS12" i="10"/>
  <c r="CS656" i="10"/>
  <c r="BT12" i="10"/>
  <c r="BT656" i="10"/>
  <c r="BT488" i="42"/>
  <c r="BT485" i="42"/>
  <c r="BT490" i="42" s="1"/>
  <c r="BH106" i="46"/>
  <c r="BH115" i="46" s="1"/>
  <c r="BH119" i="46" s="1"/>
  <c r="BH121" i="46" s="1"/>
  <c r="AZ274" i="46"/>
  <c r="AZ280" i="46"/>
  <c r="CK531" i="42"/>
  <c r="CK532" i="42"/>
  <c r="DL169" i="42"/>
  <c r="CL507" i="42"/>
  <c r="CL510" i="42" s="1"/>
  <c r="CL528" i="42"/>
  <c r="CL532" i="42" s="1"/>
  <c r="BV533" i="42"/>
  <c r="DB99" i="49"/>
  <c r="CT526" i="42"/>
  <c r="EE49" i="41"/>
  <c r="CL915" i="20"/>
  <c r="CP877" i="20"/>
  <c r="CC556" i="20"/>
  <c r="CD556" i="20" s="1"/>
  <c r="CC818" i="10"/>
  <c r="CC561" i="20"/>
  <c r="AW10" i="20"/>
  <c r="AW246" i="20"/>
  <c r="CN558" i="20"/>
  <c r="CN563" i="20"/>
  <c r="CW38" i="10"/>
  <c r="CW41" i="10" s="1"/>
  <c r="CR126" i="20"/>
  <c r="CR814" i="10"/>
  <c r="BN678" i="20"/>
  <c r="BL680" i="20"/>
  <c r="BN680" i="20" s="1"/>
  <c r="CZ926" i="10"/>
  <c r="CZ841" i="10"/>
  <c r="CZ970" i="10"/>
  <c r="BI273" i="20"/>
  <c r="BI76" i="10"/>
  <c r="BI81" i="10" s="1"/>
  <c r="BI37" i="10"/>
  <c r="BD814" i="20"/>
  <c r="BD809" i="20"/>
  <c r="BH816" i="20" s="1"/>
  <c r="DJ220" i="20"/>
  <c r="CF922" i="10"/>
  <c r="CF837" i="10"/>
  <c r="CF966" i="10"/>
  <c r="CW147" i="10"/>
  <c r="CW142" i="10"/>
  <c r="BY92" i="10"/>
  <c r="BY95" i="10" s="1"/>
  <c r="BY13" i="10" s="1"/>
  <c r="G52" i="41"/>
  <c r="BP176" i="49"/>
  <c r="BX466" i="10"/>
  <c r="BE155" i="10"/>
  <c r="BA488" i="20"/>
  <c r="BA483" i="20"/>
  <c r="BR343" i="20"/>
  <c r="BP348" i="20"/>
  <c r="BP38" i="10"/>
  <c r="BP41" i="10" s="1"/>
  <c r="BL43" i="49"/>
  <c r="BL70" i="49" s="1"/>
  <c r="BL168" i="49" s="1"/>
  <c r="BL271" i="49" s="1"/>
  <c r="BN15" i="10"/>
  <c r="BL409" i="10"/>
  <c r="R35" i="41"/>
  <c r="R55" i="41" s="1"/>
  <c r="CB924" i="10"/>
  <c r="CB839" i="10"/>
  <c r="CB968" i="10"/>
  <c r="DJ124" i="20"/>
  <c r="CK759" i="10"/>
  <c r="CD126" i="20"/>
  <c r="CB128" i="20"/>
  <c r="CB133" i="20"/>
  <c r="CX464" i="10"/>
  <c r="BD32" i="41" s="1"/>
  <c r="BB32" i="41"/>
  <c r="BQ348" i="20"/>
  <c r="BQ38" i="10"/>
  <c r="BP43" i="49"/>
  <c r="BP70" i="49" s="1"/>
  <c r="BP168" i="49" s="1"/>
  <c r="BP271" i="49" s="1"/>
  <c r="BR15" i="10"/>
  <c r="BP409" i="10"/>
  <c r="V35" i="41"/>
  <c r="CO46" i="49"/>
  <c r="CO74" i="49" s="1"/>
  <c r="CO172" i="49" s="1"/>
  <c r="CO275" i="49" s="1"/>
  <c r="CP787" i="20"/>
  <c r="AU10" i="41"/>
  <c r="AS1" i="20"/>
  <c r="AV2" i="20"/>
  <c r="CN972" i="10"/>
  <c r="CN843" i="10"/>
  <c r="BX727" i="20"/>
  <c r="BZ722" i="20"/>
  <c r="BI722" i="20"/>
  <c r="BI727" i="20" s="1"/>
  <c r="BN343" i="20"/>
  <c r="CX261" i="20"/>
  <c r="CX262" i="20"/>
  <c r="CX305" i="20"/>
  <c r="CX260" i="20"/>
  <c r="CK277" i="20"/>
  <c r="CK274" i="20"/>
  <c r="CO277" i="20"/>
  <c r="BT155" i="10"/>
  <c r="BI697" i="10"/>
  <c r="BI693" i="10"/>
  <c r="BI694" i="10"/>
  <c r="BI758" i="10"/>
  <c r="CS38" i="10"/>
  <c r="CS41" i="10" s="1"/>
  <c r="CS120" i="20"/>
  <c r="CW131" i="20" s="1"/>
  <c r="CS784" i="20"/>
  <c r="CL751" i="10"/>
  <c r="CJ759" i="10"/>
  <c r="CL160" i="20"/>
  <c r="CL225" i="20"/>
  <c r="CW490" i="10"/>
  <c r="CF466" i="10"/>
  <c r="BJ723" i="10"/>
  <c r="DN169" i="20"/>
  <c r="DN164" i="20" s="1"/>
  <c r="CS462" i="10"/>
  <c r="AY43" i="41"/>
  <c r="CF197" i="10"/>
  <c r="CG197" i="10"/>
  <c r="CF267" i="10"/>
  <c r="CF239" i="10"/>
  <c r="CG65" i="49"/>
  <c r="CG164" i="49" s="1"/>
  <c r="CG267" i="49" s="1"/>
  <c r="CG208" i="10"/>
  <c r="BV213" i="49"/>
  <c r="BV316" i="49"/>
  <c r="CL273" i="42"/>
  <c r="BN723" i="10"/>
  <c r="CZ468" i="10"/>
  <c r="DB489" i="10"/>
  <c r="AX656" i="10"/>
  <c r="CC353" i="10"/>
  <c r="BW376" i="10"/>
  <c r="BV378" i="10"/>
  <c r="CA376" i="10"/>
  <c r="BI176" i="49"/>
  <c r="BI82" i="49"/>
  <c r="CJ39" i="49"/>
  <c r="CJ64" i="49" s="1"/>
  <c r="CJ405" i="10"/>
  <c r="AP31" i="41"/>
  <c r="BP94" i="49"/>
  <c r="BR272" i="42"/>
  <c r="CD489" i="10"/>
  <c r="DB480" i="10"/>
  <c r="CX486" i="10"/>
  <c r="CV463" i="10"/>
  <c r="BH45" i="49"/>
  <c r="BH73" i="49" s="1"/>
  <c r="BH171" i="49" s="1"/>
  <c r="BH274" i="49" s="1"/>
  <c r="BJ17" i="10"/>
  <c r="N9" i="41"/>
  <c r="BN294" i="49"/>
  <c r="BN191" i="49"/>
  <c r="AO546" i="42"/>
  <c r="S61" i="41"/>
  <c r="BV47" i="49"/>
  <c r="BA253" i="42"/>
  <c r="AZ255" i="42"/>
  <c r="CW227" i="42"/>
  <c r="DJ392" i="42"/>
  <c r="DJ396" i="42" s="1"/>
  <c r="AX245" i="46"/>
  <c r="AW246" i="46"/>
  <c r="CB71" i="46"/>
  <c r="CB72" i="46"/>
  <c r="DI157" i="46"/>
  <c r="AR263" i="46"/>
  <c r="AR264" i="46"/>
  <c r="AR265" i="46" s="1"/>
  <c r="AR270" i="46"/>
  <c r="AR271" i="46" s="1"/>
  <c r="AR276" i="46"/>
  <c r="CL87" i="46"/>
  <c r="CL95" i="46" s="1"/>
  <c r="CL97" i="46" s="1"/>
  <c r="CK95" i="46"/>
  <c r="CK97" i="46" s="1"/>
  <c r="DB68" i="46"/>
  <c r="DA70" i="46"/>
  <c r="AN546" i="42"/>
  <c r="AN547" i="42"/>
  <c r="CN12" i="10"/>
  <c r="CN656" i="10"/>
  <c r="CZ514" i="42"/>
  <c r="CZ517" i="42"/>
  <c r="CZ515" i="42"/>
  <c r="AX533" i="42"/>
  <c r="CZ119" i="46"/>
  <c r="CZ121" i="46" s="1"/>
  <c r="EK70" i="41"/>
  <c r="CQ217" i="46"/>
  <c r="DL25" i="43"/>
  <c r="CD104" i="46"/>
  <c r="BY90" i="46"/>
  <c r="BZ219" i="46"/>
  <c r="DB48" i="46"/>
  <c r="DB49" i="46" s="1"/>
  <c r="CF488" i="42"/>
  <c r="CF485" i="42"/>
  <c r="CF490" i="42" s="1"/>
  <c r="DB507" i="42"/>
  <c r="DB510" i="42" s="1"/>
  <c r="DB528" i="42"/>
  <c r="DB532" i="42" s="1"/>
  <c r="DI128" i="42"/>
  <c r="DJ132" i="42"/>
  <c r="DJ595" i="20" s="1"/>
  <c r="DL126" i="42"/>
  <c r="CX424" i="10"/>
  <c r="CP27" i="42"/>
  <c r="BT132" i="49"/>
  <c r="BT54" i="43"/>
  <c r="BU446" i="42"/>
  <c r="AS1" i="43"/>
  <c r="AV2" i="43"/>
  <c r="BL106" i="46"/>
  <c r="BL115" i="46" s="1"/>
  <c r="BL119" i="46" s="1"/>
  <c r="BL121" i="46" s="1"/>
  <c r="CH915" i="20"/>
  <c r="CD550" i="20"/>
  <c r="CD551" i="20" s="1"/>
  <c r="CS268" i="20"/>
  <c r="BU268" i="20"/>
  <c r="BN262" i="20"/>
  <c r="AZ278" i="20"/>
  <c r="BD278" i="20"/>
  <c r="DJ929" i="20"/>
  <c r="DF929" i="20"/>
  <c r="BF335" i="20"/>
  <c r="BS1136" i="10"/>
  <c r="BM556" i="20"/>
  <c r="BM551" i="20"/>
  <c r="BM561" i="20"/>
  <c r="CZ267" i="20"/>
  <c r="BE236" i="20"/>
  <c r="DM122" i="20"/>
  <c r="BI558" i="20"/>
  <c r="BE483" i="20"/>
  <c r="BF483" i="20" s="1"/>
  <c r="BE488" i="20"/>
  <c r="BR131" i="20"/>
  <c r="CC900" i="20"/>
  <c r="CC920" i="20"/>
  <c r="CB117" i="10"/>
  <c r="BT697" i="10"/>
  <c r="BT693" i="10"/>
  <c r="BV693" i="10" s="1"/>
  <c r="BV692" i="10"/>
  <c r="BT694" i="10"/>
  <c r="BT758" i="10"/>
  <c r="BV758" i="10" s="1"/>
  <c r="CV43" i="49"/>
  <c r="CV70" i="49" s="1"/>
  <c r="BB35" i="41"/>
  <c r="CK49" i="10"/>
  <c r="CN918" i="10"/>
  <c r="CN919" i="10" s="1"/>
  <c r="BF43" i="49"/>
  <c r="BF70" i="49" s="1"/>
  <c r="L35" i="41"/>
  <c r="DB142" i="20"/>
  <c r="AW13" i="20"/>
  <c r="BY451" i="20"/>
  <c r="BR753" i="10"/>
  <c r="BP759" i="10"/>
  <c r="BL759" i="10"/>
  <c r="BN753" i="10"/>
  <c r="AX55" i="49"/>
  <c r="AX440" i="42"/>
  <c r="CJ723" i="10"/>
  <c r="AR693" i="10"/>
  <c r="AR697" i="10"/>
  <c r="AR758" i="10"/>
  <c r="BY13" i="20"/>
  <c r="BA354" i="20"/>
  <c r="BM48" i="10"/>
  <c r="AV759" i="10"/>
  <c r="BN479" i="10"/>
  <c r="CL820" i="10"/>
  <c r="AW550" i="20"/>
  <c r="BY17" i="10"/>
  <c r="CO236" i="20"/>
  <c r="CH81" i="10"/>
  <c r="CH82" i="10" s="1"/>
  <c r="CG82" i="10"/>
  <c r="BT17" i="10"/>
  <c r="BV423" i="10"/>
  <c r="BQ785" i="20"/>
  <c r="BQ781" i="20" s="1"/>
  <c r="BQ273" i="20"/>
  <c r="BQ76" i="10"/>
  <c r="BQ81" i="10" s="1"/>
  <c r="BR232" i="20"/>
  <c r="BW232" i="20" s="1"/>
  <c r="BQ37" i="10"/>
  <c r="BH693" i="10"/>
  <c r="BH694" i="10"/>
  <c r="BH697" i="10"/>
  <c r="BH758" i="10"/>
  <c r="BJ692" i="10"/>
  <c r="CP160" i="20"/>
  <c r="CP225" i="20"/>
  <c r="CG38" i="10"/>
  <c r="CG41" i="10" s="1"/>
  <c r="CG120" i="20"/>
  <c r="CG784" i="20"/>
  <c r="CH115" i="20"/>
  <c r="CK42" i="49"/>
  <c r="CK69" i="49" s="1"/>
  <c r="CK167" i="49" s="1"/>
  <c r="CK270" i="49" s="1"/>
  <c r="CK408" i="10"/>
  <c r="AQ34" i="41"/>
  <c r="BG45" i="41"/>
  <c r="BJ477" i="10"/>
  <c r="CJ467" i="10"/>
  <c r="CL478" i="10"/>
  <c r="BX322" i="10"/>
  <c r="BX325" i="10"/>
  <c r="BR165" i="10"/>
  <c r="BW165" i="10" s="1"/>
  <c r="BP11" i="10"/>
  <c r="T516" i="42"/>
  <c r="T521" i="42" s="1"/>
  <c r="T515" i="42"/>
  <c r="T520" i="42" s="1"/>
  <c r="CH90" i="49"/>
  <c r="BQ228" i="42"/>
  <c r="BQ232" i="42"/>
  <c r="CT480" i="10"/>
  <c r="DJ467" i="10"/>
  <c r="BN44" i="41"/>
  <c r="DA467" i="10"/>
  <c r="DA462" i="10" s="1"/>
  <c r="DA1212" i="10"/>
  <c r="DA1214" i="10" s="1"/>
  <c r="DA1219" i="10" s="1"/>
  <c r="AE43" i="41"/>
  <c r="CK55" i="49"/>
  <c r="CK86" i="49" s="1"/>
  <c r="CK184" i="49" s="1"/>
  <c r="CK287" i="49" s="1"/>
  <c r="CK1225" i="10"/>
  <c r="CL1225" i="10" s="1"/>
  <c r="AQ19" i="41"/>
  <c r="CL26" i="10"/>
  <c r="CW963" i="10"/>
  <c r="CX758" i="10"/>
  <c r="DB166" i="49"/>
  <c r="DB269" i="49"/>
  <c r="CV11" i="10"/>
  <c r="CV167" i="10"/>
  <c r="CX165" i="10"/>
  <c r="AC429" i="42"/>
  <c r="AD425" i="42"/>
  <c r="CL196" i="49"/>
  <c r="CL299" i="49"/>
  <c r="CX477" i="10"/>
  <c r="CP47" i="49"/>
  <c r="CG45" i="49"/>
  <c r="CG73" i="49" s="1"/>
  <c r="CG171" i="49" s="1"/>
  <c r="CG274" i="49" s="1"/>
  <c r="CH786" i="20"/>
  <c r="AM9" i="41"/>
  <c r="CH17" i="10"/>
  <c r="CK12" i="10"/>
  <c r="CK656" i="10"/>
  <c r="BV90" i="49"/>
  <c r="BN378" i="10"/>
  <c r="BO376" i="10"/>
  <c r="N61" i="41"/>
  <c r="DI188" i="10"/>
  <c r="DI207" i="10" s="1"/>
  <c r="CX41" i="49"/>
  <c r="CX68" i="49" s="1"/>
  <c r="BD33" i="41"/>
  <c r="CK295" i="42"/>
  <c r="BJ94" i="49"/>
  <c r="CL538" i="42"/>
  <c r="DB64" i="10"/>
  <c r="BX176" i="49"/>
  <c r="CT387" i="10"/>
  <c r="CT826" i="10"/>
  <c r="BR387" i="10"/>
  <c r="BM12" i="10"/>
  <c r="BM656" i="10"/>
  <c r="CC43" i="43"/>
  <c r="CF296" i="42"/>
  <c r="CC296" i="42"/>
  <c r="CC298" i="42" s="1"/>
  <c r="BY514" i="42"/>
  <c r="BZ104" i="46"/>
  <c r="CK106" i="46"/>
  <c r="BQ90" i="46"/>
  <c r="BR219" i="46"/>
  <c r="CL182" i="49"/>
  <c r="CL285" i="49"/>
  <c r="CS67" i="46"/>
  <c r="CS109" i="46"/>
  <c r="CS113" i="46" s="1"/>
  <c r="CS220" i="46"/>
  <c r="CT90" i="46"/>
  <c r="BV87" i="46"/>
  <c r="BV95" i="46" s="1"/>
  <c r="BV97" i="46" s="1"/>
  <c r="BU95" i="46"/>
  <c r="BU97" i="46" s="1"/>
  <c r="CC106" i="46"/>
  <c r="BQ70" i="46"/>
  <c r="BR68" i="46"/>
  <c r="CX219" i="46"/>
  <c r="CY219" i="46" s="1"/>
  <c r="CW90" i="46"/>
  <c r="DA514" i="42"/>
  <c r="BV481" i="42"/>
  <c r="BV488" i="42" s="1"/>
  <c r="DG37" i="41" s="1"/>
  <c r="BU488" i="42"/>
  <c r="BU485" i="42"/>
  <c r="CP101" i="42"/>
  <c r="CP529" i="42"/>
  <c r="EA51" i="41"/>
  <c r="DJ67" i="42"/>
  <c r="DL67" i="42"/>
  <c r="DI24" i="42"/>
  <c r="CS275" i="42"/>
  <c r="BY106" i="46"/>
  <c r="DI91" i="46"/>
  <c r="DJ176" i="46"/>
  <c r="DL176" i="46"/>
  <c r="DF424" i="10"/>
  <c r="CY8" i="49"/>
  <c r="DL24" i="43"/>
  <c r="CT54" i="46"/>
  <c r="DZ18" i="41"/>
  <c r="CD911" i="20"/>
  <c r="BA728" i="20"/>
  <c r="BA18" i="20"/>
  <c r="DI579" i="20"/>
  <c r="DI687" i="10"/>
  <c r="DI753" i="10" s="1"/>
  <c r="DI241" i="20"/>
  <c r="BJ232" i="20"/>
  <c r="BH273" i="20"/>
  <c r="BH76" i="10"/>
  <c r="BH81" i="10" s="1"/>
  <c r="BH82" i="10" s="1"/>
  <c r="BH37" i="10"/>
  <c r="BH41" i="10" s="1"/>
  <c r="BA236" i="20"/>
  <c r="BF121" i="20"/>
  <c r="CB895" i="20"/>
  <c r="CD887" i="20"/>
  <c r="CF825" i="20"/>
  <c r="CH821" i="20"/>
  <c r="CH825" i="20" s="1"/>
  <c r="BV231" i="20"/>
  <c r="CA231" i="20" s="1"/>
  <c r="BT236" i="20"/>
  <c r="DB160" i="20"/>
  <c r="DB225" i="20"/>
  <c r="BU18" i="10"/>
  <c r="BU450" i="10"/>
  <c r="BH727" i="20"/>
  <c r="CJ926" i="10"/>
  <c r="CJ841" i="10"/>
  <c r="BP558" i="20"/>
  <c r="BR556" i="20"/>
  <c r="DJ459" i="20"/>
  <c r="CR268" i="20"/>
  <c r="BB803" i="20"/>
  <c r="BB814" i="20" s="1"/>
  <c r="AZ809" i="20"/>
  <c r="AZ814" i="20"/>
  <c r="BT465" i="10"/>
  <c r="BV465" i="10" s="1"/>
  <c r="BV487" i="10"/>
  <c r="BM314" i="10"/>
  <c r="BM323" i="10"/>
  <c r="DI101" i="10"/>
  <c r="DI1142" i="10"/>
  <c r="DI441" i="20"/>
  <c r="DI443" i="20" s="1"/>
  <c r="DL409" i="20"/>
  <c r="CM411" i="20"/>
  <c r="CL464" i="20"/>
  <c r="N55" i="41"/>
  <c r="BP51" i="10"/>
  <c r="G62" i="41"/>
  <c r="K62" i="41"/>
  <c r="BB479" i="10"/>
  <c r="CH464" i="10"/>
  <c r="AN32" i="41" s="1"/>
  <c r="AL32" i="41"/>
  <c r="BB343" i="20"/>
  <c r="AZ348" i="20"/>
  <c r="BM693" i="10"/>
  <c r="BN693" i="10" s="1"/>
  <c r="BM694" i="10"/>
  <c r="BM697" i="10"/>
  <c r="BN697" i="10" s="1"/>
  <c r="BM758" i="10"/>
  <c r="CO119" i="10"/>
  <c r="CO15" i="10" s="1"/>
  <c r="CP15" i="10" s="1"/>
  <c r="CH820" i="10"/>
  <c r="CE555" i="20"/>
  <c r="CD562" i="20"/>
  <c r="CD46" i="10"/>
  <c r="AZ443" i="10"/>
  <c r="BB346" i="20"/>
  <c r="AZ18" i="10"/>
  <c r="BB40" i="49"/>
  <c r="H41" i="41"/>
  <c r="CN236" i="20"/>
  <c r="CP231" i="20"/>
  <c r="CU231" i="20" s="1"/>
  <c r="CL444" i="10"/>
  <c r="BY816" i="10"/>
  <c r="BY255" i="20"/>
  <c r="BY243" i="20"/>
  <c r="BZ243" i="20" s="1"/>
  <c r="BU155" i="10"/>
  <c r="BX155" i="10"/>
  <c r="BF47" i="49"/>
  <c r="BY128" i="20"/>
  <c r="BB160" i="20"/>
  <c r="BG153" i="20"/>
  <c r="BF160" i="20"/>
  <c r="DM717" i="10"/>
  <c r="DP717" i="10" s="1"/>
  <c r="DL744" i="10"/>
  <c r="BR476" i="10"/>
  <c r="BP490" i="10"/>
  <c r="BP466" i="10"/>
  <c r="BN42" i="49"/>
  <c r="BN69" i="49" s="1"/>
  <c r="T34" i="41"/>
  <c r="CV468" i="10"/>
  <c r="CX489" i="10"/>
  <c r="W61" i="41"/>
  <c r="BQ45" i="49"/>
  <c r="BQ73" i="49" s="1"/>
  <c r="BQ171" i="49" s="1"/>
  <c r="BQ274" i="49" s="1"/>
  <c r="BR786" i="20"/>
  <c r="W9" i="41"/>
  <c r="CV12" i="10"/>
  <c r="CV656" i="10"/>
  <c r="DA325" i="42"/>
  <c r="DA326" i="42" s="1"/>
  <c r="DA295" i="42"/>
  <c r="DD296" i="42" s="1"/>
  <c r="DF296" i="42" s="1"/>
  <c r="DF112" i="49" s="1"/>
  <c r="Z296" i="42"/>
  <c r="AD296" i="42" s="1"/>
  <c r="AB296" i="42"/>
  <c r="CP94" i="49"/>
  <c r="CD477" i="10"/>
  <c r="BI656" i="10"/>
  <c r="AM61" i="41"/>
  <c r="BL699" i="10"/>
  <c r="BL21" i="10"/>
  <c r="BL1082" i="10"/>
  <c r="BC54" i="41"/>
  <c r="CW467" i="10"/>
  <c r="CW1212" i="10"/>
  <c r="CW1214" i="10" s="1"/>
  <c r="CW1219" i="10" s="1"/>
  <c r="CD486" i="10"/>
  <c r="DG63" i="41"/>
  <c r="BR182" i="49"/>
  <c r="BR285" i="49"/>
  <c r="CB279" i="49"/>
  <c r="CN11" i="10"/>
  <c r="CP165" i="10"/>
  <c r="CN167" i="10"/>
  <c r="CD387" i="10"/>
  <c r="CD826" i="10"/>
  <c r="DI496" i="42"/>
  <c r="DL496" i="42" s="1"/>
  <c r="DM496" i="42" s="1"/>
  <c r="DP496" i="42" s="1"/>
  <c r="DQ496" i="42" s="1"/>
  <c r="AH411" i="42"/>
  <c r="AG412" i="42"/>
  <c r="CO271" i="42"/>
  <c r="CN55" i="49"/>
  <c r="CN86" i="49" s="1"/>
  <c r="CN440" i="42"/>
  <c r="CP26" i="10"/>
  <c r="CN1225" i="10"/>
  <c r="CP1225" i="10" s="1"/>
  <c r="AT19" i="41"/>
  <c r="DJ235" i="10"/>
  <c r="DL235" i="10"/>
  <c r="CS270" i="49"/>
  <c r="CB39" i="49"/>
  <c r="CB64" i="49" s="1"/>
  <c r="CB405" i="10"/>
  <c r="AH31" i="41"/>
  <c r="AF425" i="42"/>
  <c r="AF429" i="42" s="1"/>
  <c r="BY44" i="43"/>
  <c r="BY45" i="43"/>
  <c r="BY504" i="42"/>
  <c r="BY505" i="42" s="1"/>
  <c r="BY517" i="42" s="1"/>
  <c r="BL272" i="42"/>
  <c r="BN361" i="42"/>
  <c r="R271" i="42"/>
  <c r="P276" i="42"/>
  <c r="R276" i="42" s="1"/>
  <c r="BM232" i="42"/>
  <c r="CD424" i="10"/>
  <c r="CC90" i="46"/>
  <c r="CD219" i="46"/>
  <c r="CS963" i="10"/>
  <c r="CF21" i="10"/>
  <c r="CH697" i="10"/>
  <c r="CF699" i="10"/>
  <c r="CF1082" i="10"/>
  <c r="BR424" i="10"/>
  <c r="BM70" i="46"/>
  <c r="CC12" i="10"/>
  <c r="CC656" i="10"/>
  <c r="AQ32" i="43"/>
  <c r="CD68" i="46"/>
  <c r="CI68" i="46" s="1"/>
  <c r="CC70" i="46"/>
  <c r="CV488" i="42"/>
  <c r="EG37" i="41" s="1"/>
  <c r="CV485" i="42"/>
  <c r="CV490" i="42" s="1"/>
  <c r="EG39" i="41" s="1"/>
  <c r="BP531" i="42"/>
  <c r="DL161" i="42"/>
  <c r="DJ14" i="42"/>
  <c r="EU45" i="41" s="1"/>
  <c r="DI237" i="42"/>
  <c r="DI236" i="42" s="1"/>
  <c r="DI52" i="42" s="1"/>
  <c r="DL14" i="42"/>
  <c r="EW45" i="41" s="1"/>
  <c r="AW514" i="42"/>
  <c r="BH259" i="46"/>
  <c r="BH263" i="46" s="1"/>
  <c r="BH250" i="46"/>
  <c r="CD54" i="46"/>
  <c r="CG924" i="10"/>
  <c r="CG839" i="10"/>
  <c r="CG968" i="10"/>
  <c r="BL466" i="10"/>
  <c r="BN476" i="10"/>
  <c r="BN528" i="42"/>
  <c r="BN532" i="42" s="1"/>
  <c r="BN507" i="42"/>
  <c r="BN510" i="42" s="1"/>
  <c r="AT274" i="46"/>
  <c r="AT280" i="46"/>
  <c r="AT270" i="46"/>
  <c r="AT271" i="46" s="1"/>
  <c r="AT264" i="46"/>
  <c r="AT276" i="46"/>
  <c r="AT277" i="46" s="1"/>
  <c r="CT533" i="42"/>
  <c r="CD533" i="42"/>
  <c r="CP909" i="20"/>
  <c r="CP916" i="20" s="1"/>
  <c r="CS909" i="20"/>
  <c r="BD558" i="20"/>
  <c r="CJ953" i="20"/>
  <c r="CJ958" i="20" s="1"/>
  <c r="CN950" i="20"/>
  <c r="CL950" i="20"/>
  <c r="CJ884" i="20"/>
  <c r="CA882" i="20"/>
  <c r="BZ894" i="20"/>
  <c r="CL846" i="20"/>
  <c r="CS972" i="10"/>
  <c r="CS843" i="10"/>
  <c r="CC972" i="10"/>
  <c r="CC843" i="10"/>
  <c r="DM552" i="20"/>
  <c r="DL238" i="20"/>
  <c r="DL330" i="20"/>
  <c r="DL335" i="20" s="1"/>
  <c r="AS243" i="20"/>
  <c r="AS245" i="20" s="1"/>
  <c r="DM194" i="20"/>
  <c r="DN193" i="20"/>
  <c r="DN195" i="20" s="1"/>
  <c r="CD88" i="10"/>
  <c r="CI148" i="20"/>
  <c r="CD1260" i="10"/>
  <c r="CH157" i="20"/>
  <c r="CO972" i="10"/>
  <c r="CO843" i="10"/>
  <c r="BY972" i="10"/>
  <c r="BY843" i="10"/>
  <c r="BT563" i="20"/>
  <c r="BT558" i="20"/>
  <c r="BV493" i="20"/>
  <c r="BV494" i="20"/>
  <c r="DB263" i="20"/>
  <c r="DB268" i="20" s="1"/>
  <c r="BK79" i="51" s="1"/>
  <c r="CR266" i="20"/>
  <c r="BI267" i="20"/>
  <c r="BI266" i="20"/>
  <c r="BH18" i="10"/>
  <c r="BH20" i="10" s="1"/>
  <c r="CS912" i="20"/>
  <c r="CP912" i="20"/>
  <c r="CP919" i="20" s="1"/>
  <c r="CK807" i="20"/>
  <c r="CL807" i="20" s="1"/>
  <c r="CO843" i="20"/>
  <c r="CP843" i="20" s="1"/>
  <c r="CP848" i="20" s="1"/>
  <c r="AZ727" i="20"/>
  <c r="BB722" i="20"/>
  <c r="CV926" i="10"/>
  <c r="CV841" i="10"/>
  <c r="CV970" i="10"/>
  <c r="DN456" i="20"/>
  <c r="DN461" i="20" s="1"/>
  <c r="DM352" i="20"/>
  <c r="BB256" i="20"/>
  <c r="AV243" i="20"/>
  <c r="AX236" i="20"/>
  <c r="F52" i="41"/>
  <c r="BM155" i="10"/>
  <c r="CZ51" i="10"/>
  <c r="AT481" i="20"/>
  <c r="AR483" i="20"/>
  <c r="AX42" i="49"/>
  <c r="CF132" i="10"/>
  <c r="CC130" i="10"/>
  <c r="BE18" i="20"/>
  <c r="BE728" i="20"/>
  <c r="BP493" i="20"/>
  <c r="BP486" i="20"/>
  <c r="BP481" i="20"/>
  <c r="BT488" i="20" s="1"/>
  <c r="BR475" i="20"/>
  <c r="BP494" i="20"/>
  <c r="CI411" i="20"/>
  <c r="CH464" i="20"/>
  <c r="BW411" i="20"/>
  <c r="BV464" i="20"/>
  <c r="CJ42" i="49"/>
  <c r="CJ69" i="49" s="1"/>
  <c r="CL14" i="10"/>
  <c r="CJ408" i="10"/>
  <c r="CJ1149" i="10"/>
  <c r="AP34" i="41"/>
  <c r="AP54" i="41" s="1"/>
  <c r="BX245" i="20"/>
  <c r="AW693" i="10"/>
  <c r="AW697" i="10"/>
  <c r="AW758" i="10"/>
  <c r="CC128" i="20"/>
  <c r="CC133" i="20"/>
  <c r="BZ464" i="10"/>
  <c r="AF32" i="41" s="1"/>
  <c r="AD32" i="41"/>
  <c r="DK63" i="41"/>
  <c r="BA478" i="10"/>
  <c r="BA490" i="10" s="1"/>
  <c r="BL148" i="10"/>
  <c r="AX464" i="20"/>
  <c r="BQ236" i="20"/>
  <c r="BQ784" i="20"/>
  <c r="BM236" i="20"/>
  <c r="BM784" i="20"/>
  <c r="BL464" i="10"/>
  <c r="BN481" i="10"/>
  <c r="BN231" i="20"/>
  <c r="BL236" i="20"/>
  <c r="CL46" i="10"/>
  <c r="CP132" i="20"/>
  <c r="CL132" i="20"/>
  <c r="CB18" i="10"/>
  <c r="CB450" i="10"/>
  <c r="DM421" i="10"/>
  <c r="DP421" i="10" s="1"/>
  <c r="DQ421" i="10" s="1"/>
  <c r="DR421" i="10" s="1"/>
  <c r="CR843" i="10"/>
  <c r="CR972" i="10"/>
  <c r="CD820" i="10"/>
  <c r="AW18" i="20"/>
  <c r="AW728" i="20"/>
  <c r="BN464" i="20"/>
  <c r="CW263" i="20"/>
  <c r="CW266" i="20" s="1"/>
  <c r="BP155" i="10"/>
  <c r="CV38" i="10"/>
  <c r="CV41" i="10" s="1"/>
  <c r="CV120" i="20"/>
  <c r="CX115" i="20"/>
  <c r="BX837" i="10"/>
  <c r="BX966" i="10"/>
  <c r="BX922" i="10"/>
  <c r="BX1012" i="10" s="1"/>
  <c r="BU466" i="10"/>
  <c r="BT467" i="10"/>
  <c r="BT1212" i="10"/>
  <c r="BT1214" i="10" s="1"/>
  <c r="BT1219" i="10" s="1"/>
  <c r="BI314" i="10"/>
  <c r="BI323" i="10"/>
  <c r="BH55" i="49"/>
  <c r="BH86" i="49" s="1"/>
  <c r="BH184" i="49" s="1"/>
  <c r="BH287" i="49" s="1"/>
  <c r="BH440" i="42"/>
  <c r="BJ26" i="10"/>
  <c r="BH1225" i="10"/>
  <c r="BJ1225" i="10" s="1"/>
  <c r="N19" i="41"/>
  <c r="BL45" i="49"/>
  <c r="BL73" i="49" s="1"/>
  <c r="BL171" i="49" s="1"/>
  <c r="BL274" i="49" s="1"/>
  <c r="BN17" i="10"/>
  <c r="R9" i="41"/>
  <c r="BQ42" i="49"/>
  <c r="BQ69" i="49" s="1"/>
  <c r="BQ167" i="49" s="1"/>
  <c r="BQ270" i="49" s="1"/>
  <c r="BQ408" i="10"/>
  <c r="W34" i="41"/>
  <c r="W54" i="41" s="1"/>
  <c r="BI325" i="42"/>
  <c r="BI295" i="42"/>
  <c r="CH94" i="49"/>
  <c r="BZ90" i="49"/>
  <c r="BB524" i="10"/>
  <c r="BF387" i="10"/>
  <c r="CH280" i="49"/>
  <c r="CH177" i="49"/>
  <c r="BL82" i="49"/>
  <c r="BL176" i="49"/>
  <c r="CW66" i="49"/>
  <c r="CW163" i="49"/>
  <c r="BQ39" i="49"/>
  <c r="BQ64" i="49" s="1"/>
  <c r="BQ405" i="10"/>
  <c r="W31" i="41"/>
  <c r="AY45" i="41"/>
  <c r="CT463" i="10"/>
  <c r="AX43" i="41"/>
  <c r="AX165" i="10"/>
  <c r="CS11" i="10"/>
  <c r="CS167" i="10"/>
  <c r="CW167" i="10"/>
  <c r="CK267" i="42"/>
  <c r="CK167" i="10"/>
  <c r="CK11" i="10"/>
  <c r="BF538" i="42"/>
  <c r="AX61" i="41"/>
  <c r="CZ12" i="10"/>
  <c r="CZ406" i="10" s="1"/>
  <c r="CZ656" i="10"/>
  <c r="CL178" i="42"/>
  <c r="CJ424" i="10"/>
  <c r="CO488" i="42"/>
  <c r="DZ37" i="41" s="1"/>
  <c r="CP481" i="42"/>
  <c r="CP488" i="42" s="1"/>
  <c r="EA37" i="41" s="1"/>
  <c r="CO485" i="42"/>
  <c r="BI514" i="42"/>
  <c r="CT87" i="46"/>
  <c r="CT95" i="46" s="1"/>
  <c r="CT97" i="46" s="1"/>
  <c r="CS95" i="46"/>
  <c r="CS97" i="46" s="1"/>
  <c r="BN104" i="46"/>
  <c r="BT531" i="42"/>
  <c r="BT532" i="42"/>
  <c r="CZ70" i="46"/>
  <c r="BF240" i="46"/>
  <c r="BE241" i="46"/>
  <c r="BF241" i="46" s="1"/>
  <c r="CP538" i="42"/>
  <c r="CT402" i="42"/>
  <c r="BV507" i="42"/>
  <c r="BV510" i="42" s="1"/>
  <c r="BV528" i="42"/>
  <c r="DB323" i="42"/>
  <c r="DL160" i="42"/>
  <c r="X72" i="41"/>
  <c r="T72" i="41"/>
  <c r="CC48" i="46"/>
  <c r="CC49" i="46" s="1"/>
  <c r="DI61" i="42"/>
  <c r="BM106" i="46"/>
  <c r="CH106" i="46"/>
  <c r="CN886" i="20"/>
  <c r="CR952" i="20"/>
  <c r="CS908" i="20"/>
  <c r="BQ728" i="20"/>
  <c r="BQ18" i="20"/>
  <c r="BJ550" i="20"/>
  <c r="BH556" i="20"/>
  <c r="BH561" i="20"/>
  <c r="CK886" i="20"/>
  <c r="CL886" i="20" s="1"/>
  <c r="CO952" i="20"/>
  <c r="AX612" i="10"/>
  <c r="AV486" i="10"/>
  <c r="AV490" i="10" s="1"/>
  <c r="DJ1179" i="10"/>
  <c r="DJ950" i="10"/>
  <c r="CZ563" i="20"/>
  <c r="CZ558" i="20"/>
  <c r="BO545" i="20"/>
  <c r="DJ122" i="20"/>
  <c r="AX481" i="20"/>
  <c r="AV483" i="20"/>
  <c r="BR261" i="20"/>
  <c r="BR262" i="20"/>
  <c r="BR305" i="20"/>
  <c r="BR260" i="20"/>
  <c r="BT51" i="10"/>
  <c r="CJ486" i="10"/>
  <c r="CL612" i="10"/>
  <c r="BX490" i="10"/>
  <c r="AX480" i="10"/>
  <c r="AV155" i="10"/>
  <c r="CU411" i="20"/>
  <c r="CT464" i="20"/>
  <c r="BS411" i="20"/>
  <c r="BR464" i="20"/>
  <c r="BU48" i="10"/>
  <c r="DN217" i="20"/>
  <c r="DN222" i="20" s="1"/>
  <c r="DL124" i="20"/>
  <c r="CK697" i="10"/>
  <c r="CK758" i="10"/>
  <c r="CK693" i="10"/>
  <c r="CB922" i="10"/>
  <c r="CB837" i="10"/>
  <c r="CB966" i="10"/>
  <c r="BY348" i="20"/>
  <c r="BY789" i="20" s="1"/>
  <c r="BY38" i="10"/>
  <c r="BN256" i="20"/>
  <c r="BN46" i="10"/>
  <c r="CR46" i="49"/>
  <c r="CR74" i="49" s="1"/>
  <c r="AX10" i="41"/>
  <c r="BY48" i="10"/>
  <c r="BY49" i="10"/>
  <c r="BT468" i="10"/>
  <c r="BV489" i="10"/>
  <c r="BX972" i="10"/>
  <c r="BX843" i="10"/>
  <c r="CU555" i="20"/>
  <c r="CT562" i="20"/>
  <c r="CT46" i="10"/>
  <c r="BW555" i="20"/>
  <c r="BV562" i="20"/>
  <c r="BL354" i="20"/>
  <c r="BL364" i="20"/>
  <c r="BJ39" i="49"/>
  <c r="BJ64" i="49" s="1"/>
  <c r="P31" i="41"/>
  <c r="BE165" i="10"/>
  <c r="CV263" i="20"/>
  <c r="CV267" i="20" s="1"/>
  <c r="CV236" i="20"/>
  <c r="CZ255" i="20" s="1"/>
  <c r="CX231" i="20"/>
  <c r="DC231" i="20" s="1"/>
  <c r="BI759" i="10"/>
  <c r="CM685" i="10"/>
  <c r="CQ685" i="10"/>
  <c r="CJ38" i="10"/>
  <c r="CJ41" i="10" s="1"/>
  <c r="CL115" i="20"/>
  <c r="CJ120" i="20"/>
  <c r="CF490" i="10"/>
  <c r="DJ740" i="10"/>
  <c r="CF65" i="49"/>
  <c r="CF208" i="10"/>
  <c r="CH205" i="10"/>
  <c r="CF55" i="49"/>
  <c r="CF86" i="49" s="1"/>
  <c r="CF440" i="42"/>
  <c r="CH26" i="10"/>
  <c r="CF1225" i="10"/>
  <c r="CH1225" i="10" s="1"/>
  <c r="AL19" i="41"/>
  <c r="BL39" i="49"/>
  <c r="BL64" i="49" s="1"/>
  <c r="BL405" i="10"/>
  <c r="BN11" i="10"/>
  <c r="R31" i="41"/>
  <c r="AV423" i="42"/>
  <c r="AT414" i="42"/>
  <c r="AZ296" i="42"/>
  <c r="CX378" i="10"/>
  <c r="DA45" i="49"/>
  <c r="DA73" i="49" s="1"/>
  <c r="DA171" i="49" s="1"/>
  <c r="DB786" i="20"/>
  <c r="BG9" i="41"/>
  <c r="DB17" i="10"/>
  <c r="AC49" i="43"/>
  <c r="AD45" i="43"/>
  <c r="AD49" i="43" s="1"/>
  <c r="CT468" i="10"/>
  <c r="AX45" i="41"/>
  <c r="BW124" i="42"/>
  <c r="BY963" i="10"/>
  <c r="CW45" i="49"/>
  <c r="CW73" i="49" s="1"/>
  <c r="CW171" i="49" s="1"/>
  <c r="CX786" i="20"/>
  <c r="BC9" i="41"/>
  <c r="CX17" i="10"/>
  <c r="CX42" i="49"/>
  <c r="CX69" i="49" s="1"/>
  <c r="BD34" i="41"/>
  <c r="BY40" i="49"/>
  <c r="BY67" i="49" s="1"/>
  <c r="BY406" i="10"/>
  <c r="AE41" i="41"/>
  <c r="CW319" i="42"/>
  <c r="BA45" i="43"/>
  <c r="BA44" i="43"/>
  <c r="BA504" i="42"/>
  <c r="BM82" i="49"/>
  <c r="BM176" i="49"/>
  <c r="BX45" i="49"/>
  <c r="BX73" i="49" s="1"/>
  <c r="BX171" i="49" s="1"/>
  <c r="BX274" i="49" s="1"/>
  <c r="AD9" i="41"/>
  <c r="CW228" i="42"/>
  <c r="CW232" i="42"/>
  <c r="BZ152" i="42"/>
  <c r="CB153" i="42"/>
  <c r="BY153" i="42"/>
  <c r="BZ70" i="46"/>
  <c r="BY72" i="46"/>
  <c r="BM67" i="46"/>
  <c r="BM109" i="46"/>
  <c r="BM220" i="46"/>
  <c r="AP543" i="42"/>
  <c r="AP541" i="42" s="1"/>
  <c r="AP551" i="42" s="1"/>
  <c r="AP32" i="10"/>
  <c r="AP545" i="42" s="1"/>
  <c r="CZ488" i="42"/>
  <c r="EK37" i="41" s="1"/>
  <c r="CZ485" i="42"/>
  <c r="CZ490" i="42" s="1"/>
  <c r="EK39" i="41" s="1"/>
  <c r="AX528" i="42"/>
  <c r="AX481" i="42"/>
  <c r="AX507" i="42"/>
  <c r="AX510" i="42" s="1"/>
  <c r="DA275" i="42"/>
  <c r="CP219" i="46"/>
  <c r="CU219" i="46" s="1"/>
  <c r="CO90" i="46"/>
  <c r="CF531" i="42"/>
  <c r="CF532" i="42"/>
  <c r="CX529" i="42"/>
  <c r="CX101" i="42"/>
  <c r="EI51" i="41"/>
  <c r="DC52" i="41"/>
  <c r="DC53" i="41"/>
  <c r="DL165" i="42"/>
  <c r="DI25" i="42"/>
  <c r="DL168" i="42"/>
  <c r="AT351" i="46"/>
  <c r="AT260" i="46"/>
  <c r="AT261" i="46" s="1"/>
  <c r="CJ911" i="20"/>
  <c r="CN908" i="20"/>
  <c r="CP198" i="20"/>
  <c r="CW843" i="10"/>
  <c r="CW972" i="10"/>
  <c r="CG843" i="10"/>
  <c r="CG972" i="10"/>
  <c r="AZ680" i="20"/>
  <c r="BB678" i="20"/>
  <c r="CT550" i="20"/>
  <c r="CY550" i="20" s="1"/>
  <c r="CB926" i="10"/>
  <c r="CB841" i="10"/>
  <c r="CB970" i="10"/>
  <c r="CK953" i="20"/>
  <c r="CK958" i="20" s="1"/>
  <c r="CM877" i="20"/>
  <c r="DJ656" i="20"/>
  <c r="BZ817" i="10"/>
  <c r="BZ840" i="10" s="1"/>
  <c r="BZ486" i="20"/>
  <c r="BZ494" i="20"/>
  <c r="BZ493" i="20"/>
  <c r="BF486" i="20"/>
  <c r="BF494" i="20"/>
  <c r="BF493" i="20"/>
  <c r="BN295" i="20"/>
  <c r="BR295" i="20"/>
  <c r="DA727" i="20"/>
  <c r="CK727" i="20"/>
  <c r="BU727" i="20"/>
  <c r="BP267" i="20"/>
  <c r="BR126" i="20"/>
  <c r="BP133" i="20"/>
  <c r="BP128" i="20"/>
  <c r="BL128" i="20"/>
  <c r="BL133" i="20"/>
  <c r="BN126" i="20"/>
  <c r="CK821" i="20"/>
  <c r="CK825" i="20" s="1"/>
  <c r="CK799" i="20"/>
  <c r="CO820" i="20"/>
  <c r="AR356" i="20"/>
  <c r="AT354" i="20"/>
  <c r="BF477" i="10"/>
  <c r="AX39" i="49"/>
  <c r="CL753" i="10"/>
  <c r="BV753" i="10"/>
  <c r="BT759" i="10"/>
  <c r="AT18" i="10"/>
  <c r="BQ18" i="10"/>
  <c r="BQ450" i="10"/>
  <c r="CN1015" i="10"/>
  <c r="CB147" i="10"/>
  <c r="AW478" i="10"/>
  <c r="AX478" i="10" s="1"/>
  <c r="BB755" i="10"/>
  <c r="CP343" i="20"/>
  <c r="CN348" i="20"/>
  <c r="BY443" i="10"/>
  <c r="BZ346" i="20"/>
  <c r="BY787" i="20"/>
  <c r="BY40" i="10"/>
  <c r="BD697" i="10"/>
  <c r="BD693" i="10"/>
  <c r="BF693" i="10" s="1"/>
  <c r="BF692" i="10"/>
  <c r="BD694" i="10"/>
  <c r="BD758" i="10"/>
  <c r="BV481" i="10"/>
  <c r="BT464" i="10"/>
  <c r="BF753" i="10"/>
  <c r="BE128" i="20"/>
  <c r="DL669" i="10"/>
  <c r="CZ490" i="10"/>
  <c r="BD463" i="10"/>
  <c r="BF486" i="10"/>
  <c r="AR25" i="10"/>
  <c r="AT24" i="10"/>
  <c r="DJ58" i="49"/>
  <c r="BI38" i="49"/>
  <c r="O7" i="41"/>
  <c r="BI45" i="49"/>
  <c r="BI73" i="49" s="1"/>
  <c r="BI171" i="49" s="1"/>
  <c r="BI274" i="49" s="1"/>
  <c r="O9" i="41"/>
  <c r="CZ46" i="49"/>
  <c r="CZ74" i="49" s="1"/>
  <c r="BF10" i="41"/>
  <c r="CL40" i="10"/>
  <c r="DA466" i="10"/>
  <c r="S54" i="41"/>
  <c r="CG39" i="49"/>
  <c r="CG64" i="49" s="1"/>
  <c r="CG405" i="10"/>
  <c r="AM31" i="41"/>
  <c r="CZ972" i="10"/>
  <c r="CZ843" i="10"/>
  <c r="CX551" i="20"/>
  <c r="CY555" i="20"/>
  <c r="CX562" i="20"/>
  <c r="CX46" i="10"/>
  <c r="BL481" i="20"/>
  <c r="BL494" i="20"/>
  <c r="BL493" i="20"/>
  <c r="BN475" i="20"/>
  <c r="BL486" i="20"/>
  <c r="BI348" i="20"/>
  <c r="BJ348" i="20" s="1"/>
  <c r="BI38" i="10"/>
  <c r="BJ365" i="20"/>
  <c r="BF365" i="20"/>
  <c r="CN38" i="10"/>
  <c r="CN41" i="10" s="1"/>
  <c r="CN120" i="20"/>
  <c r="CR131" i="20" s="1"/>
  <c r="CP115" i="20"/>
  <c r="CU115" i="20" s="1"/>
  <c r="BA10" i="10"/>
  <c r="BA120" i="20"/>
  <c r="BF723" i="10"/>
  <c r="BD467" i="10"/>
  <c r="BF478" i="10"/>
  <c r="BD1212" i="10"/>
  <c r="BD1214" i="10" s="1"/>
  <c r="BD1219" i="10" s="1"/>
  <c r="BL314" i="10"/>
  <c r="BL323" i="10"/>
  <c r="BX241" i="10"/>
  <c r="CB295" i="10"/>
  <c r="CB307" i="10"/>
  <c r="CB293" i="10"/>
  <c r="CB300" i="10"/>
  <c r="CT952" i="10"/>
  <c r="CT1017" i="10"/>
  <c r="CF39" i="49"/>
  <c r="CF64" i="49" s="1"/>
  <c r="CH11" i="10"/>
  <c r="CF405" i="10"/>
  <c r="AL31" i="41"/>
  <c r="BU12" i="10"/>
  <c r="BU656" i="10"/>
  <c r="CL296" i="49"/>
  <c r="CL193" i="49"/>
  <c r="BQ227" i="42"/>
  <c r="CH723" i="10"/>
  <c r="CN241" i="10"/>
  <c r="CN245" i="10"/>
  <c r="DB378" i="10"/>
  <c r="BM148" i="10"/>
  <c r="CW82" i="49"/>
  <c r="CW176" i="49"/>
  <c r="CW21" i="10"/>
  <c r="CW699" i="10"/>
  <c r="CW1082" i="10"/>
  <c r="CH47" i="49"/>
  <c r="CS45" i="49"/>
  <c r="CS73" i="49" s="1"/>
  <c r="CS171" i="49" s="1"/>
  <c r="CT786" i="20"/>
  <c r="AY9" i="41"/>
  <c r="CT17" i="10"/>
  <c r="DA12" i="10"/>
  <c r="DA656" i="10"/>
  <c r="CT41" i="49"/>
  <c r="CT68" i="49" s="1"/>
  <c r="AZ33" i="41"/>
  <c r="CH42" i="49"/>
  <c r="CH69" i="49" s="1"/>
  <c r="AN34" i="41"/>
  <c r="AD43" i="43"/>
  <c r="AD504" i="42" s="1"/>
  <c r="AH290" i="42"/>
  <c r="AF290" i="42"/>
  <c r="BX468" i="10"/>
  <c r="BZ489" i="10"/>
  <c r="CB467" i="10"/>
  <c r="CD478" i="10"/>
  <c r="CB1212" i="10"/>
  <c r="CB1214" i="10" s="1"/>
  <c r="CB1219" i="10" s="1"/>
  <c r="EE63" i="41"/>
  <c r="AX1225" i="10"/>
  <c r="Z61" i="41"/>
  <c r="DL184" i="10"/>
  <c r="DJ184" i="10"/>
  <c r="DI313" i="10"/>
  <c r="DI224" i="10"/>
  <c r="DB42" i="49"/>
  <c r="DB69" i="49" s="1"/>
  <c r="BH34" i="41"/>
  <c r="CT99" i="49"/>
  <c r="CV267" i="42"/>
  <c r="BJ51" i="49"/>
  <c r="BJ78" i="49" s="1"/>
  <c r="P13" i="41"/>
  <c r="BM89" i="49"/>
  <c r="DA211" i="42"/>
  <c r="DB207" i="42"/>
  <c r="CJ514" i="42"/>
  <c r="CJ517" i="42"/>
  <c r="CJ515" i="42"/>
  <c r="BE262" i="46"/>
  <c r="BE300" i="46"/>
  <c r="BE272" i="46"/>
  <c r="BE278" i="46"/>
  <c r="BE342" i="46"/>
  <c r="BE310" i="46"/>
  <c r="CN72" i="46"/>
  <c r="CN71" i="46"/>
  <c r="AD61" i="41"/>
  <c r="AH61" i="41"/>
  <c r="CO699" i="10"/>
  <c r="CO21" i="10"/>
  <c r="CO1082" i="10"/>
  <c r="CR12" i="10"/>
  <c r="CR656" i="10"/>
  <c r="BQ12" i="10"/>
  <c r="BQ656" i="10"/>
  <c r="BY488" i="42"/>
  <c r="BZ481" i="42"/>
  <c r="BZ488" i="42" s="1"/>
  <c r="DK37" i="41" s="1"/>
  <c r="BY485" i="42"/>
  <c r="BH274" i="46"/>
  <c r="BH280" i="46"/>
  <c r="BZ87" i="46"/>
  <c r="BZ95" i="46" s="1"/>
  <c r="BZ97" i="46" s="1"/>
  <c r="BY95" i="46"/>
  <c r="BY97" i="46" s="1"/>
  <c r="CH387" i="10"/>
  <c r="CH826" i="10"/>
  <c r="BZ223" i="42"/>
  <c r="BZ224" i="42" s="1"/>
  <c r="DK48" i="41"/>
  <c r="CW157" i="42"/>
  <c r="CV156" i="42"/>
  <c r="CX104" i="46"/>
  <c r="DB481" i="42"/>
  <c r="DB488" i="42" s="1"/>
  <c r="EM37" i="41" s="1"/>
  <c r="DA488" i="42"/>
  <c r="EL37" i="41" s="1"/>
  <c r="DA485" i="42"/>
  <c r="BJ101" i="42"/>
  <c r="BJ529" i="42"/>
  <c r="CU51" i="41"/>
  <c r="DI56" i="42"/>
  <c r="DL164" i="42"/>
  <c r="EO48" i="41"/>
  <c r="CI8" i="49"/>
  <c r="DM330" i="20"/>
  <c r="DM335" i="20" s="1"/>
  <c r="BV273" i="20"/>
  <c r="BZ277" i="20" s="1"/>
  <c r="BV37" i="10"/>
  <c r="BV76" i="10"/>
  <c r="BN814" i="20"/>
  <c r="BM728" i="20"/>
  <c r="BM18" i="20"/>
  <c r="BT43" i="49"/>
  <c r="BT70" i="49" s="1"/>
  <c r="BT168" i="49" s="1"/>
  <c r="BT271" i="49" s="1"/>
  <c r="BV15" i="10"/>
  <c r="BT409" i="10"/>
  <c r="Z35" i="41"/>
  <c r="BA335" i="20"/>
  <c r="BE335" i="20"/>
  <c r="BJ716" i="20"/>
  <c r="CJ563" i="20"/>
  <c r="CJ558" i="20"/>
  <c r="AZ483" i="20"/>
  <c r="BB481" i="20"/>
  <c r="AZ488" i="20"/>
  <c r="DL350" i="20"/>
  <c r="DN454" i="20"/>
  <c r="DJ240" i="20"/>
  <c r="CI231" i="20"/>
  <c r="CD274" i="20"/>
  <c r="CD277" i="20"/>
  <c r="BB231" i="20"/>
  <c r="AZ236" i="20"/>
  <c r="AT556" i="20"/>
  <c r="AR558" i="20"/>
  <c r="CW818" i="10"/>
  <c r="CW556" i="20"/>
  <c r="CX556" i="20" s="1"/>
  <c r="CW561" i="20"/>
  <c r="BE348" i="20"/>
  <c r="BE10" i="10"/>
  <c r="BE38" i="10"/>
  <c r="BE41" i="10" s="1"/>
  <c r="CH828" i="20"/>
  <c r="CH836" i="20" s="1"/>
  <c r="CF798" i="20"/>
  <c r="CF834" i="20"/>
  <c r="CF838" i="20"/>
  <c r="AW476" i="10"/>
  <c r="AX476" i="10" s="1"/>
  <c r="AX47" i="49"/>
  <c r="CV450" i="10"/>
  <c r="CV18" i="10"/>
  <c r="BQ466" i="10"/>
  <c r="BQ490" i="10"/>
  <c r="BR539" i="20"/>
  <c r="BA155" i="10"/>
  <c r="DI731" i="20"/>
  <c r="DJ731" i="20" s="1"/>
  <c r="DJ735" i="20" s="1"/>
  <c r="BT148" i="10"/>
  <c r="CJ348" i="20"/>
  <c r="CL343" i="20"/>
  <c r="BZ343" i="20"/>
  <c r="BX348" i="20"/>
  <c r="BX38" i="10"/>
  <c r="BX41" i="10" s="1"/>
  <c r="BF81" i="10"/>
  <c r="BF82" i="10" s="1"/>
  <c r="BE82" i="10"/>
  <c r="BD429" i="10"/>
  <c r="BD433" i="10"/>
  <c r="BD435" i="10"/>
  <c r="BF423" i="10"/>
  <c r="BD428" i="10"/>
  <c r="BD430" i="10"/>
  <c r="BD434" i="10"/>
  <c r="BD436" i="10"/>
  <c r="BD432" i="10"/>
  <c r="BB468" i="10"/>
  <c r="F45" i="41"/>
  <c r="BP464" i="10"/>
  <c r="BR481" i="10"/>
  <c r="CO142" i="10"/>
  <c r="BF757" i="10"/>
  <c r="CG348" i="20"/>
  <c r="BU348" i="20"/>
  <c r="BU38" i="10"/>
  <c r="BU41" i="10" s="1"/>
  <c r="BB464" i="20"/>
  <c r="BM478" i="10"/>
  <c r="BM490" i="10" s="1"/>
  <c r="CC46" i="49"/>
  <c r="CC74" i="49" s="1"/>
  <c r="CC172" i="49" s="1"/>
  <c r="CC275" i="49" s="1"/>
  <c r="CD787" i="20"/>
  <c r="AI10" i="41"/>
  <c r="CA1136" i="10"/>
  <c r="BE490" i="10"/>
  <c r="BE466" i="10"/>
  <c r="BF481" i="10"/>
  <c r="BD464" i="10"/>
  <c r="BD450" i="10" s="1"/>
  <c r="CX722" i="20"/>
  <c r="CV727" i="20"/>
  <c r="DB551" i="20"/>
  <c r="DC555" i="20"/>
  <c r="DB562" i="20"/>
  <c r="DB46" i="10"/>
  <c r="CC551" i="20"/>
  <c r="CD486" i="20"/>
  <c r="CD817" i="10"/>
  <c r="CD840" i="10" s="1"/>
  <c r="CD493" i="20"/>
  <c r="CD494" i="20"/>
  <c r="CB925" i="10"/>
  <c r="CB840" i="10"/>
  <c r="DI686" i="10"/>
  <c r="DI752" i="10" s="1"/>
  <c r="BH354" i="20"/>
  <c r="AZ451" i="20"/>
  <c r="DJ283" i="20"/>
  <c r="DM283" i="20"/>
  <c r="DI284" i="20"/>
  <c r="BM128" i="20"/>
  <c r="BM133" i="20"/>
  <c r="BJ502" i="10"/>
  <c r="BI503" i="10" s="1"/>
  <c r="BV479" i="10"/>
  <c r="R54" i="41"/>
  <c r="BY723" i="10"/>
  <c r="DQ606" i="10"/>
  <c r="DI433" i="20"/>
  <c r="AX524" i="10"/>
  <c r="BQ176" i="49"/>
  <c r="CP693" i="10"/>
  <c r="DB213" i="49"/>
  <c r="DB316" i="49"/>
  <c r="CT477" i="10"/>
  <c r="AU43" i="41"/>
  <c r="BU353" i="10"/>
  <c r="CK245" i="10"/>
  <c r="CJ241" i="10"/>
  <c r="CG963" i="10"/>
  <c r="CD47" i="49"/>
  <c r="CP331" i="42"/>
  <c r="CN335" i="42"/>
  <c r="CP335" i="42" s="1"/>
  <c r="BX227" i="42"/>
  <c r="BX224" i="42"/>
  <c r="DN467" i="10"/>
  <c r="BR44" i="41"/>
  <c r="CC1212" i="10"/>
  <c r="CC1214" i="10" s="1"/>
  <c r="CC1219" i="10" s="1"/>
  <c r="BQ467" i="10"/>
  <c r="BQ1212" i="10"/>
  <c r="BQ1214" i="10" s="1"/>
  <c r="BQ1219" i="10" s="1"/>
  <c r="CX182" i="49"/>
  <c r="CX285" i="49"/>
  <c r="CB12" i="10"/>
  <c r="CB656" i="10"/>
  <c r="BH425" i="42"/>
  <c r="BH429" i="42" s="1"/>
  <c r="BH439" i="42" s="1"/>
  <c r="BY245" i="10"/>
  <c r="BZ238" i="10"/>
  <c r="BY241" i="10"/>
  <c r="BE21" i="10"/>
  <c r="BE699" i="10"/>
  <c r="BE1082" i="10"/>
  <c r="V41" i="41"/>
  <c r="CT331" i="42"/>
  <c r="CR335" i="42"/>
  <c r="CT335" i="42" s="1"/>
  <c r="CL195" i="49"/>
  <c r="CL298" i="49"/>
  <c r="BJ267" i="42"/>
  <c r="CV201" i="42"/>
  <c r="CS198" i="42"/>
  <c r="CX224" i="42"/>
  <c r="DA228" i="42" s="1"/>
  <c r="DA227" i="42"/>
  <c r="DI68" i="42"/>
  <c r="DI484" i="42" s="1"/>
  <c r="DJ484" i="42" s="1"/>
  <c r="DJ65" i="42"/>
  <c r="DL65" i="42"/>
  <c r="DI256" i="42"/>
  <c r="AO272" i="46"/>
  <c r="AO278" i="46"/>
  <c r="AO300" i="46"/>
  <c r="AO342" i="46"/>
  <c r="AO310" i="46"/>
  <c r="CL64" i="10"/>
  <c r="V53" i="41"/>
  <c r="R53" i="41"/>
  <c r="BJ223" i="42"/>
  <c r="CU48" i="41"/>
  <c r="CI217" i="46"/>
  <c r="DB182" i="49"/>
  <c r="DB285" i="49"/>
  <c r="CJ70" i="46"/>
  <c r="AS259" i="46"/>
  <c r="AS263" i="46" s="1"/>
  <c r="AT249" i="46"/>
  <c r="AT259" i="46" s="1"/>
  <c r="AT263" i="46" s="1"/>
  <c r="DJ66" i="42"/>
  <c r="DL66" i="42"/>
  <c r="DI18" i="42"/>
  <c r="DI158" i="46"/>
  <c r="DI142" i="46" s="1"/>
  <c r="DL129" i="42"/>
  <c r="DJ135" i="42"/>
  <c r="CX70" i="42"/>
  <c r="CX526" i="42"/>
  <c r="EI49" i="41"/>
  <c r="AR260" i="46"/>
  <c r="AR356" i="46"/>
  <c r="AR352" i="46" s="1"/>
  <c r="AR351" i="46"/>
  <c r="BX106" i="46"/>
  <c r="BX115" i="46" s="1"/>
  <c r="BX119" i="46" s="1"/>
  <c r="BX121" i="46" s="1"/>
  <c r="CX54" i="46"/>
  <c r="CG245" i="20"/>
  <c r="AP274" i="46"/>
  <c r="CO51" i="10"/>
  <c r="CT528" i="42"/>
  <c r="CT532" i="42" s="1"/>
  <c r="CT507" i="42"/>
  <c r="CT510" i="42" s="1"/>
  <c r="CT160" i="20"/>
  <c r="CD528" i="42"/>
  <c r="CD532" i="42" s="1"/>
  <c r="CD507" i="42"/>
  <c r="CD510" i="42" s="1"/>
  <c r="DI396" i="20"/>
  <c r="DJ396" i="20" s="1"/>
  <c r="CS266" i="20"/>
  <c r="CH884" i="20"/>
  <c r="CF887" i="20"/>
  <c r="BX896" i="20"/>
  <c r="BX890" i="20"/>
  <c r="CN805" i="20"/>
  <c r="CR841" i="20"/>
  <c r="CC488" i="20"/>
  <c r="CC483" i="20"/>
  <c r="DL116" i="20"/>
  <c r="DL163" i="20" s="1"/>
  <c r="DL165" i="20" s="1"/>
  <c r="DL138" i="20"/>
  <c r="CO126" i="20"/>
  <c r="CO814" i="10"/>
  <c r="CO727" i="20"/>
  <c r="BY727" i="20"/>
  <c r="DA556" i="20"/>
  <c r="DB556" i="20" s="1"/>
  <c r="DA561" i="20"/>
  <c r="DA818" i="10"/>
  <c r="CF816" i="10"/>
  <c r="CF243" i="20"/>
  <c r="CH236" i="20"/>
  <c r="CF255" i="20"/>
  <c r="CX929" i="20"/>
  <c r="DB929" i="20"/>
  <c r="BJ809" i="20"/>
  <c r="BH811" i="20"/>
  <c r="BJ811" i="20" s="1"/>
  <c r="BL816" i="20"/>
  <c r="CV563" i="20"/>
  <c r="CV558" i="20"/>
  <c r="CH818" i="10"/>
  <c r="CW48" i="10"/>
  <c r="CW49" i="10"/>
  <c r="CK17" i="10"/>
  <c r="CL423" i="10"/>
  <c r="CP747" i="10"/>
  <c r="CN807" i="20"/>
  <c r="CR843" i="20"/>
  <c r="CC92" i="10"/>
  <c r="CD92" i="10" s="1"/>
  <c r="BT348" i="20"/>
  <c r="BV343" i="20"/>
  <c r="BT38" i="10"/>
  <c r="BT41" i="10" s="1"/>
  <c r="DJ294" i="20"/>
  <c r="BZ816" i="10"/>
  <c r="CC922" i="10"/>
  <c r="CC837" i="10"/>
  <c r="CC966" i="10"/>
  <c r="CK918" i="10"/>
  <c r="CK919" i="10" s="1"/>
  <c r="BB545" i="20"/>
  <c r="AZ550" i="20"/>
  <c r="BM263" i="20"/>
  <c r="BM267" i="20" s="1"/>
  <c r="BH155" i="10"/>
  <c r="BH468" i="10"/>
  <c r="BJ489" i="10"/>
  <c r="CT722" i="20"/>
  <c r="CR727" i="20"/>
  <c r="CB843" i="10"/>
  <c r="CB972" i="10"/>
  <c r="BE550" i="20"/>
  <c r="BF545" i="20"/>
  <c r="DL113" i="10"/>
  <c r="DM410" i="20"/>
  <c r="DL442" i="20"/>
  <c r="BN49" i="41"/>
  <c r="BN67" i="41" s="1"/>
  <c r="CL273" i="20"/>
  <c r="CM232" i="20"/>
  <c r="CL76" i="10"/>
  <c r="CQ232" i="20"/>
  <c r="CL37" i="10"/>
  <c r="CC816" i="10"/>
  <c r="CC255" i="20"/>
  <c r="CC243" i="20"/>
  <c r="CD243" i="20" s="1"/>
  <c r="CX160" i="20"/>
  <c r="CX225" i="20"/>
  <c r="CJ51" i="10"/>
  <c r="BI425" i="42"/>
  <c r="BL424" i="42"/>
  <c r="BY467" i="10"/>
  <c r="BZ467" i="10" s="1"/>
  <c r="BY1212" i="10"/>
  <c r="BY1214" i="10" s="1"/>
  <c r="BY1219" i="10" s="1"/>
  <c r="BI320" i="10"/>
  <c r="BI326" i="10"/>
  <c r="BL326" i="10"/>
  <c r="BL320" i="10"/>
  <c r="CH758" i="10"/>
  <c r="CW43" i="43"/>
  <c r="CW296" i="42"/>
  <c r="CW298" i="42" s="1"/>
  <c r="CZ296" i="42"/>
  <c r="BH326" i="42"/>
  <c r="BH324" i="42"/>
  <c r="CR272" i="42"/>
  <c r="CT361" i="42"/>
  <c r="BV273" i="42"/>
  <c r="BZ424" i="10"/>
  <c r="CW353" i="10"/>
  <c r="EM63" i="41"/>
  <c r="BA276" i="42"/>
  <c r="BB269" i="42"/>
  <c r="BB656" i="10"/>
  <c r="BM45" i="49"/>
  <c r="BM73" i="49" s="1"/>
  <c r="BM171" i="49" s="1"/>
  <c r="BM274" i="49" s="1"/>
  <c r="BN786" i="20"/>
  <c r="S9" i="41"/>
  <c r="CB272" i="42"/>
  <c r="CD361" i="42"/>
  <c r="AL267" i="42"/>
  <c r="Z271" i="42"/>
  <c r="X276" i="42"/>
  <c r="Z276" i="42" s="1"/>
  <c r="BA21" i="10"/>
  <c r="BA699" i="10"/>
  <c r="BA1082" i="10"/>
  <c r="BP95" i="49"/>
  <c r="BR273" i="42"/>
  <c r="AW446" i="42"/>
  <c r="BD514" i="42"/>
  <c r="BD517" i="42"/>
  <c r="BD515" i="42"/>
  <c r="BD520" i="42" s="1"/>
  <c r="AT1" i="42"/>
  <c r="AT2" i="42" s="1"/>
  <c r="AS2" i="42"/>
  <c r="CN963" i="10"/>
  <c r="BY699" i="10"/>
  <c r="BY21" i="10"/>
  <c r="BY1082" i="10"/>
  <c r="CJ12" i="10"/>
  <c r="CJ10" i="10" s="1"/>
  <c r="CJ656" i="10"/>
  <c r="BZ387" i="10"/>
  <c r="BZ826" i="10"/>
  <c r="BN387" i="10"/>
  <c r="CG194" i="46"/>
  <c r="CH172" i="42"/>
  <c r="CG193" i="42"/>
  <c r="CG223" i="42"/>
  <c r="CJ227" i="42" s="1"/>
  <c r="CO531" i="42"/>
  <c r="CO532" i="42"/>
  <c r="BI485" i="42"/>
  <c r="BI488" i="42"/>
  <c r="BJ481" i="42"/>
  <c r="BJ488" i="42" s="1"/>
  <c r="CU37" i="41" s="1"/>
  <c r="CT104" i="46"/>
  <c r="CU104" i="46" s="1"/>
  <c r="BZ48" i="46"/>
  <c r="BZ49" i="46" s="1"/>
  <c r="CL48" i="46"/>
  <c r="CL49" i="46" s="1"/>
  <c r="BV387" i="10"/>
  <c r="AW3" i="10"/>
  <c r="AV1" i="10"/>
  <c r="BX72" i="46"/>
  <c r="BX71" i="46"/>
  <c r="CK90" i="46"/>
  <c r="CL219" i="46"/>
  <c r="DM20" i="43"/>
  <c r="DP20" i="43" s="1"/>
  <c r="DQ20" i="43" s="1"/>
  <c r="DR20" i="43" s="1"/>
  <c r="CX70" i="46"/>
  <c r="CW72" i="46"/>
  <c r="CH70" i="46"/>
  <c r="CG72" i="46"/>
  <c r="CK514" i="42"/>
  <c r="BZ101" i="42"/>
  <c r="BZ529" i="42"/>
  <c r="DK51" i="41"/>
  <c r="ES46" i="41"/>
  <c r="BN230" i="49"/>
  <c r="BN15" i="49" s="1"/>
  <c r="BO15" i="49" s="1"/>
  <c r="BN8" i="49"/>
  <c r="BO8" i="49" s="1"/>
  <c r="BN333" i="49"/>
  <c r="BN27" i="49" s="1"/>
  <c r="BO27" i="49" s="1"/>
  <c r="BN54" i="46"/>
  <c r="CH54" i="46"/>
  <c r="CT929" i="20"/>
  <c r="CP929" i="20"/>
  <c r="DG1173" i="10"/>
  <c r="DN877" i="20"/>
  <c r="DC1180" i="10"/>
  <c r="CP550" i="20"/>
  <c r="CP551" i="20" s="1"/>
  <c r="BD13" i="20"/>
  <c r="CY411" i="20"/>
  <c r="CX464" i="20"/>
  <c r="CW126" i="20"/>
  <c r="CW814" i="10"/>
  <c r="AV450" i="10"/>
  <c r="BN550" i="20"/>
  <c r="BL551" i="20"/>
  <c r="BL556" i="20"/>
  <c r="BL561" i="20"/>
  <c r="CC278" i="20"/>
  <c r="DN215" i="20"/>
  <c r="DL122" i="20"/>
  <c r="CF128" i="20"/>
  <c r="CF133" i="20"/>
  <c r="CG147" i="10"/>
  <c r="CG142" i="10"/>
  <c r="CG148" i="10" s="1"/>
  <c r="AV495" i="20"/>
  <c r="AV811" i="20"/>
  <c r="AX811" i="20" s="1"/>
  <c r="AV816" i="20"/>
  <c r="AX809" i="20"/>
  <c r="AZ486" i="10"/>
  <c r="BB612" i="10"/>
  <c r="BY189" i="20"/>
  <c r="BY187" i="20"/>
  <c r="BY196" i="20"/>
  <c r="BY200" i="20"/>
  <c r="CB187" i="20"/>
  <c r="V61" i="41"/>
  <c r="AZ697" i="10"/>
  <c r="AZ758" i="10"/>
  <c r="BB692" i="10"/>
  <c r="AZ694" i="10"/>
  <c r="AZ693" i="10"/>
  <c r="AS428" i="10"/>
  <c r="AS430" i="10"/>
  <c r="AS434" i="10"/>
  <c r="AS436" i="10"/>
  <c r="AS429" i="10"/>
  <c r="AS433" i="10"/>
  <c r="AS435" i="10"/>
  <c r="AS432" i="10"/>
  <c r="DA450" i="10"/>
  <c r="CN18" i="10"/>
  <c r="CN450" i="10"/>
  <c r="CG18" i="10"/>
  <c r="CG450" i="10"/>
  <c r="BO1136" i="10"/>
  <c r="CN723" i="10"/>
  <c r="BD465" i="10"/>
  <c r="BF465" i="10" s="1"/>
  <c r="BF487" i="10"/>
  <c r="AS25" i="10"/>
  <c r="BB42" i="49"/>
  <c r="H34" i="41"/>
  <c r="H54" i="41" s="1"/>
  <c r="DI545" i="20"/>
  <c r="DI652" i="20"/>
  <c r="BD148" i="10"/>
  <c r="CR348" i="20"/>
  <c r="CR383" i="20" s="1"/>
  <c r="CT343" i="20"/>
  <c r="CT38" i="10" s="1"/>
  <c r="CE411" i="20"/>
  <c r="CD464" i="20"/>
  <c r="BW241" i="20"/>
  <c r="BV256" i="20"/>
  <c r="CA241" i="20"/>
  <c r="BV46" i="10"/>
  <c r="BZ256" i="20"/>
  <c r="BL51" i="10"/>
  <c r="BF45" i="49"/>
  <c r="BF73" i="49" s="1"/>
  <c r="L9" i="41"/>
  <c r="CL81" i="10"/>
  <c r="CL82" i="10" s="1"/>
  <c r="CK82" i="10"/>
  <c r="J62" i="41"/>
  <c r="F62" i="41"/>
  <c r="BB502" i="10"/>
  <c r="AZ476" i="10"/>
  <c r="BF42" i="49"/>
  <c r="BF69" i="49" s="1"/>
  <c r="L34" i="41"/>
  <c r="CK348" i="20"/>
  <c r="CC348" i="20"/>
  <c r="CC38" i="10"/>
  <c r="CC41" i="10" s="1"/>
  <c r="CM497" i="10"/>
  <c r="CQ497" i="10"/>
  <c r="CL827" i="10"/>
  <c r="CL1040" i="10"/>
  <c r="BR256" i="20"/>
  <c r="BS241" i="20"/>
  <c r="BR46" i="10"/>
  <c r="BF256" i="20"/>
  <c r="BJ256" i="20"/>
  <c r="AV53" i="49"/>
  <c r="AX24" i="10"/>
  <c r="AV1188" i="10"/>
  <c r="AX45" i="49"/>
  <c r="CS48" i="10"/>
  <c r="CS49" i="10"/>
  <c r="BE314" i="10"/>
  <c r="BE323" i="10"/>
  <c r="BH323" i="10"/>
  <c r="CZ147" i="10"/>
  <c r="CP820" i="10"/>
  <c r="BM481" i="20"/>
  <c r="BM494" i="20"/>
  <c r="BM486" i="20"/>
  <c r="BM493" i="20"/>
  <c r="BH38" i="49"/>
  <c r="BJ10" i="10"/>
  <c r="N7" i="41"/>
  <c r="CL231" i="20"/>
  <c r="CJ236" i="20"/>
  <c r="CF277" i="20"/>
  <c r="CF274" i="20"/>
  <c r="CF278" i="20" s="1"/>
  <c r="BI236" i="20"/>
  <c r="CJ692" i="10"/>
  <c r="BY1015" i="10"/>
  <c r="BY918" i="10"/>
  <c r="BY919" i="10" s="1"/>
  <c r="BX918" i="10"/>
  <c r="BX919" i="10" s="1"/>
  <c r="BZ913" i="10"/>
  <c r="BZ917" i="10"/>
  <c r="BZ914" i="10"/>
  <c r="BZ911" i="10"/>
  <c r="BZ915" i="10"/>
  <c r="BZ912" i="10"/>
  <c r="CN466" i="10"/>
  <c r="BF479" i="10"/>
  <c r="DJ713" i="10"/>
  <c r="DL713" i="10"/>
  <c r="DN1038" i="10"/>
  <c r="CN463" i="10"/>
  <c r="CP486" i="10"/>
  <c r="BX463" i="10"/>
  <c r="BZ486" i="10"/>
  <c r="BT314" i="10"/>
  <c r="BT323" i="10"/>
  <c r="CQ239" i="10"/>
  <c r="CH182" i="49"/>
  <c r="CH285" i="49"/>
  <c r="AS336" i="46"/>
  <c r="AS337" i="46" s="1"/>
  <c r="AT405" i="42"/>
  <c r="AS406" i="42"/>
  <c r="CT95" i="49"/>
  <c r="BN95" i="49"/>
  <c r="CS353" i="10"/>
  <c r="BX320" i="10"/>
  <c r="BX326" i="10"/>
  <c r="BY326" i="10"/>
  <c r="CL165" i="10"/>
  <c r="CC11" i="10"/>
  <c r="AC46" i="43"/>
  <c r="AC50" i="43" s="1"/>
  <c r="AC48" i="43"/>
  <c r="AD44" i="43"/>
  <c r="CL90" i="49"/>
  <c r="CP223" i="42"/>
  <c r="EA48" i="41"/>
  <c r="CT489" i="10"/>
  <c r="CX480" i="10"/>
  <c r="CR55" i="49"/>
  <c r="CR86" i="49" s="1"/>
  <c r="CT26" i="10"/>
  <c r="CR440" i="42"/>
  <c r="CR1225" i="10"/>
  <c r="CT1225" i="10" s="1"/>
  <c r="AX19" i="41"/>
  <c r="BF55" i="49"/>
  <c r="BF86" i="49" s="1"/>
  <c r="BF440" i="42"/>
  <c r="L19" i="41"/>
  <c r="BY176" i="49"/>
  <c r="AJ419" i="42"/>
  <c r="AK416" i="42"/>
  <c r="BX337" i="42"/>
  <c r="CX317" i="42"/>
  <c r="CX319" i="42" s="1"/>
  <c r="CD99" i="49"/>
  <c r="CF267" i="42"/>
  <c r="CL378" i="10"/>
  <c r="BT55" i="49"/>
  <c r="BT86" i="49" s="1"/>
  <c r="BT184" i="49" s="1"/>
  <c r="BT287" i="49" s="1"/>
  <c r="BV26" i="10"/>
  <c r="BT440" i="42"/>
  <c r="BT1225" i="10"/>
  <c r="BV1225" i="10" s="1"/>
  <c r="Z19" i="41"/>
  <c r="BN280" i="49"/>
  <c r="BN177" i="49"/>
  <c r="BR294" i="49"/>
  <c r="BR191" i="49"/>
  <c r="BN190" i="49"/>
  <c r="BN293" i="49"/>
  <c r="CL99" i="49"/>
  <c r="CN267" i="42"/>
  <c r="X50" i="43"/>
  <c r="AC446" i="42"/>
  <c r="DL45" i="46"/>
  <c r="DL32" i="46" s="1"/>
  <c r="DJ45" i="46"/>
  <c r="DM45" i="46" s="1"/>
  <c r="DP45" i="46" s="1"/>
  <c r="DP32" i="46" s="1"/>
  <c r="DI32" i="46"/>
  <c r="DJ32" i="46" s="1"/>
  <c r="CD51" i="49"/>
  <c r="CD78" i="49" s="1"/>
  <c r="CD962" i="10"/>
  <c r="AJ13" i="41"/>
  <c r="CX697" i="10"/>
  <c r="CV699" i="10"/>
  <c r="CV21" i="10"/>
  <c r="CV1082" i="10"/>
  <c r="BA274" i="46"/>
  <c r="BA280" i="46"/>
  <c r="CL68" i="46"/>
  <c r="CK70" i="46"/>
  <c r="CZ531" i="42"/>
  <c r="CZ532" i="42"/>
  <c r="BB274" i="46"/>
  <c r="BB280" i="46"/>
  <c r="BB270" i="46"/>
  <c r="BB271" i="46" s="1"/>
  <c r="BB264" i="46"/>
  <c r="BB276" i="46"/>
  <c r="BB277" i="46" s="1"/>
  <c r="BR101" i="42"/>
  <c r="BR529" i="42"/>
  <c r="DC51" i="41"/>
  <c r="DC56" i="41" s="1"/>
  <c r="CP106" i="46"/>
  <c r="DD912" i="20"/>
  <c r="DH912" i="20" s="1"/>
  <c r="CF918" i="20"/>
  <c r="CF913" i="20"/>
  <c r="CW727" i="20"/>
  <c r="CG727" i="20"/>
  <c r="AV727" i="20"/>
  <c r="AX722" i="20"/>
  <c r="CR926" i="10"/>
  <c r="CR841" i="10"/>
  <c r="CR970" i="10"/>
  <c r="CB558" i="20"/>
  <c r="DI74" i="10"/>
  <c r="AR128" i="20"/>
  <c r="AT126" i="20"/>
  <c r="CO884" i="20"/>
  <c r="CS950" i="20"/>
  <c r="BJ678" i="20"/>
  <c r="BH680" i="20"/>
  <c r="BJ680" i="20" s="1"/>
  <c r="DL552" i="20"/>
  <c r="DN651" i="20"/>
  <c r="BX483" i="20"/>
  <c r="BZ481" i="20"/>
  <c r="BX488" i="20"/>
  <c r="CV354" i="20"/>
  <c r="CV815" i="10"/>
  <c r="DN1251" i="10"/>
  <c r="DF877" i="20"/>
  <c r="CK556" i="20"/>
  <c r="CL556" i="20" s="1"/>
  <c r="CK561" i="20"/>
  <c r="CK818" i="10"/>
  <c r="DG1175" i="10"/>
  <c r="DB236" i="20"/>
  <c r="CZ243" i="20"/>
  <c r="DD257" i="20" s="1"/>
  <c r="CZ816" i="10"/>
  <c r="AV128" i="20"/>
  <c r="AX126" i="20"/>
  <c r="CK885" i="20"/>
  <c r="CO951" i="20"/>
  <c r="BR811" i="20"/>
  <c r="BD267" i="20"/>
  <c r="BD269" i="20" s="1"/>
  <c r="DA843" i="10"/>
  <c r="DA972" i="10"/>
  <c r="CK843" i="10"/>
  <c r="CK972" i="10"/>
  <c r="BV131" i="20"/>
  <c r="BN131" i="20"/>
  <c r="BJ131" i="20"/>
  <c r="BZ81" i="10"/>
  <c r="BZ82" i="10" s="1"/>
  <c r="BY82" i="10"/>
  <c r="CM687" i="10"/>
  <c r="CQ687" i="10"/>
  <c r="BU176" i="49"/>
  <c r="BL155" i="10"/>
  <c r="CN43" i="49"/>
  <c r="CN70" i="49" s="1"/>
  <c r="CN409" i="10"/>
  <c r="AT35" i="41"/>
  <c r="J55" i="41"/>
  <c r="DE1177" i="10"/>
  <c r="DE1180" i="10" s="1"/>
  <c r="DE1181" i="10" s="1"/>
  <c r="DI653" i="20"/>
  <c r="CP464" i="20"/>
  <c r="CQ411" i="20"/>
  <c r="BF752" i="10"/>
  <c r="BD759" i="10"/>
  <c r="BJ47" i="49"/>
  <c r="AZ464" i="10"/>
  <c r="BB481" i="10"/>
  <c r="CS348" i="20"/>
  <c r="BI71" i="49"/>
  <c r="BI66" i="49"/>
  <c r="BI163" i="49"/>
  <c r="BI266" i="49" s="1"/>
  <c r="BP245" i="20"/>
  <c r="BN489" i="10"/>
  <c r="BL468" i="10"/>
  <c r="BJ42" i="49"/>
  <c r="BJ69" i="49" s="1"/>
  <c r="P34" i="41"/>
  <c r="CW119" i="10"/>
  <c r="CR43" i="49"/>
  <c r="CR70" i="49" s="1"/>
  <c r="AX35" i="41"/>
  <c r="AV466" i="10"/>
  <c r="BU314" i="10"/>
  <c r="BU323" i="10"/>
  <c r="BJ95" i="49"/>
  <c r="DB722" i="20"/>
  <c r="CZ727" i="20"/>
  <c r="CJ972" i="10"/>
  <c r="CJ843" i="10"/>
  <c r="BZ562" i="20"/>
  <c r="CA555" i="20"/>
  <c r="BZ46" i="10"/>
  <c r="BF161" i="10"/>
  <c r="BD165" i="10"/>
  <c r="CK263" i="20"/>
  <c r="CK268" i="20" s="1"/>
  <c r="CG277" i="20"/>
  <c r="CG274" i="20"/>
  <c r="CG278" i="20" s="1"/>
  <c r="BU42" i="49"/>
  <c r="BU69" i="49" s="1"/>
  <c r="BU167" i="49" s="1"/>
  <c r="BU270" i="49" s="1"/>
  <c r="BU408" i="10"/>
  <c r="AA34" i="41"/>
  <c r="BJ524" i="10"/>
  <c r="BH478" i="10"/>
  <c r="BH490" i="10" s="1"/>
  <c r="BQ133" i="20"/>
  <c r="BQ128" i="20"/>
  <c r="CU63" i="41"/>
  <c r="CT723" i="10"/>
  <c r="CD723" i="10"/>
  <c r="CF297" i="10"/>
  <c r="CC299" i="10"/>
  <c r="CC292" i="10"/>
  <c r="CT177" i="49"/>
  <c r="CT280" i="49"/>
  <c r="CZ697" i="10"/>
  <c r="CZ693" i="10"/>
  <c r="DB693" i="10" s="1"/>
  <c r="DB692" i="10"/>
  <c r="CZ758" i="10"/>
  <c r="T46" i="43"/>
  <c r="T50" i="43" s="1"/>
  <c r="T48" i="43"/>
  <c r="AX723" i="10"/>
  <c r="AU45" i="41"/>
  <c r="CK467" i="10"/>
  <c r="BP467" i="10"/>
  <c r="BR478" i="10"/>
  <c r="BP1212" i="10"/>
  <c r="BP1214" i="10" s="1"/>
  <c r="BP1219" i="10" s="1"/>
  <c r="BY353" i="10"/>
  <c r="BP320" i="10"/>
  <c r="BP326" i="10"/>
  <c r="BQ320" i="10"/>
  <c r="BQ326" i="10"/>
  <c r="BP21" i="10"/>
  <c r="BR697" i="10"/>
  <c r="BP699" i="10"/>
  <c r="BP1082" i="10"/>
  <c r="CN468" i="10"/>
  <c r="CP489" i="10"/>
  <c r="AD44" i="41"/>
  <c r="BH245" i="10"/>
  <c r="BV51" i="49"/>
  <c r="BV78" i="49" s="1"/>
  <c r="AB13" i="41"/>
  <c r="DJ204" i="10"/>
  <c r="BN189" i="49"/>
  <c r="BN292" i="49"/>
  <c r="BH82" i="49"/>
  <c r="BH176" i="49"/>
  <c r="BB53" i="41"/>
  <c r="BF53" i="41"/>
  <c r="CJ531" i="42"/>
  <c r="CJ532" i="42"/>
  <c r="CR70" i="46"/>
  <c r="BX963" i="10"/>
  <c r="R44" i="43"/>
  <c r="Q46" i="43"/>
  <c r="Q50" i="43" s="1"/>
  <c r="Q48" i="43"/>
  <c r="BY531" i="42"/>
  <c r="BY532" i="42"/>
  <c r="BH264" i="46"/>
  <c r="BH270" i="46"/>
  <c r="BH271" i="46" s="1"/>
  <c r="BH276" i="46"/>
  <c r="BH277" i="46" s="1"/>
  <c r="AS270" i="46"/>
  <c r="AS271" i="46" s="1"/>
  <c r="AS276" i="46"/>
  <c r="AS277" i="46" s="1"/>
  <c r="AS264" i="46"/>
  <c r="BB346" i="46"/>
  <c r="BB324" i="46"/>
  <c r="BB325" i="46" s="1"/>
  <c r="CG12" i="10"/>
  <c r="CH12" i="10" s="1"/>
  <c r="CG656" i="10"/>
  <c r="CB227" i="42"/>
  <c r="BY224" i="42"/>
  <c r="AT528" i="42"/>
  <c r="AT481" i="42"/>
  <c r="AT507" i="42"/>
  <c r="AT510" i="42" s="1"/>
  <c r="BD262" i="46"/>
  <c r="BD310" i="46"/>
  <c r="BD300" i="46"/>
  <c r="BD272" i="46"/>
  <c r="BD278" i="46"/>
  <c r="BD342" i="46"/>
  <c r="CX87" i="46"/>
  <c r="CX95" i="46" s="1"/>
  <c r="CX97" i="46" s="1"/>
  <c r="CW95" i="46"/>
  <c r="CW97" i="46" s="1"/>
  <c r="DA531" i="42"/>
  <c r="DA532" i="42"/>
  <c r="BU531" i="42"/>
  <c r="BU532" i="42"/>
  <c r="CT63" i="42"/>
  <c r="CT69" i="42" s="1"/>
  <c r="AN72" i="41"/>
  <c r="AJ72" i="41"/>
  <c r="AX355" i="46"/>
  <c r="AW351" i="46"/>
  <c r="AW356" i="46"/>
  <c r="AW260" i="46"/>
  <c r="CN106" i="46"/>
  <c r="CN115" i="46" s="1"/>
  <c r="BA351" i="46"/>
  <c r="BA260" i="46"/>
  <c r="BA261" i="46" s="1"/>
  <c r="BB355" i="46"/>
  <c r="BA356" i="46"/>
  <c r="BT274" i="20"/>
  <c r="BX277" i="20"/>
  <c r="BT277" i="20"/>
  <c r="BY904" i="20"/>
  <c r="BY901" i="20"/>
  <c r="BY905" i="20" s="1"/>
  <c r="CJ799" i="20"/>
  <c r="CL820" i="20"/>
  <c r="CL824" i="20" s="1"/>
  <c r="CJ821" i="20"/>
  <c r="CN820" i="20"/>
  <c r="CH117" i="10"/>
  <c r="CH119" i="10" s="1"/>
  <c r="CF119" i="10"/>
  <c r="CF15" i="10" s="1"/>
  <c r="BY561" i="20"/>
  <c r="BY818" i="10"/>
  <c r="BY556" i="20"/>
  <c r="DI1175" i="10"/>
  <c r="DI946" i="10"/>
  <c r="BZ274" i="20"/>
  <c r="BB1295" i="10"/>
  <c r="CH449" i="10"/>
  <c r="BZ904" i="20"/>
  <c r="BZ901" i="20"/>
  <c r="BZ905" i="20" s="1"/>
  <c r="BU556" i="20"/>
  <c r="BV556" i="20" s="1"/>
  <c r="BU561" i="20"/>
  <c r="BW473" i="20"/>
  <c r="DJ350" i="20"/>
  <c r="J52" i="41"/>
  <c r="CF806" i="20"/>
  <c r="CF844" i="20"/>
  <c r="BZ504" i="20"/>
  <c r="CD504" i="20"/>
  <c r="K55" i="41"/>
  <c r="BM43" i="49"/>
  <c r="BM70" i="49" s="1"/>
  <c r="BM168" i="49" s="1"/>
  <c r="BM271" i="49" s="1"/>
  <c r="BM409" i="10"/>
  <c r="S35" i="41"/>
  <c r="S55" i="41" s="1"/>
  <c r="BF40" i="49"/>
  <c r="BF67" i="49" s="1"/>
  <c r="L41" i="41"/>
  <c r="BM466" i="10"/>
  <c r="BD678" i="20"/>
  <c r="BF672" i="20"/>
  <c r="BY105" i="10"/>
  <c r="DF80" i="10"/>
  <c r="BQ494" i="20"/>
  <c r="BQ493" i="20"/>
  <c r="BQ481" i="20"/>
  <c r="BQ486" i="20"/>
  <c r="BZ464" i="20"/>
  <c r="CA411" i="20"/>
  <c r="BJ43" i="49"/>
  <c r="BJ70" i="49" s="1"/>
  <c r="P35" i="41"/>
  <c r="DI1131" i="10"/>
  <c r="DI957" i="10"/>
  <c r="DJ239" i="20"/>
  <c r="CK1148" i="10"/>
  <c r="AW53" i="49"/>
  <c r="AW1188" i="10"/>
  <c r="AW429" i="10"/>
  <c r="AW433" i="10"/>
  <c r="AW428" i="10"/>
  <c r="AW430" i="10"/>
  <c r="AW432" i="10"/>
  <c r="AW434" i="10"/>
  <c r="AW436" i="10"/>
  <c r="AW435" i="10"/>
  <c r="CJ1015" i="10"/>
  <c r="CJ918" i="10"/>
  <c r="CJ919" i="10" s="1"/>
  <c r="AU42" i="41"/>
  <c r="CO493" i="10" s="1"/>
  <c r="BB480" i="10"/>
  <c r="CO348" i="20"/>
  <c r="BB1225" i="10"/>
  <c r="CW46" i="49"/>
  <c r="CW74" i="49" s="1"/>
  <c r="CW172" i="49" s="1"/>
  <c r="CX787" i="20"/>
  <c r="BC10" i="41"/>
  <c r="CN51" i="10"/>
  <c r="CV466" i="10"/>
  <c r="BH465" i="10"/>
  <c r="BJ465" i="10" s="1"/>
  <c r="BJ487" i="10"/>
  <c r="BF737" i="20"/>
  <c r="BJ737" i="20"/>
  <c r="BP680" i="20"/>
  <c r="BR680" i="20" s="1"/>
  <c r="BR678" i="20"/>
  <c r="BD476" i="10"/>
  <c r="BF502" i="10"/>
  <c r="CV843" i="10"/>
  <c r="CV972" i="10"/>
  <c r="CH722" i="20"/>
  <c r="CF727" i="20"/>
  <c r="CM555" i="20"/>
  <c r="CL562" i="20"/>
  <c r="CB488" i="20"/>
  <c r="CD481" i="20"/>
  <c r="CB483" i="20"/>
  <c r="CN267" i="20"/>
  <c r="BM785" i="20"/>
  <c r="BM781" i="20" s="1"/>
  <c r="BM273" i="20"/>
  <c r="BM76" i="10"/>
  <c r="BM81" i="10" s="1"/>
  <c r="BM37" i="10"/>
  <c r="BJ444" i="10"/>
  <c r="BJ449" i="10" s="1"/>
  <c r="BH236" i="20"/>
  <c r="BY922" i="10"/>
  <c r="BY1012" i="10" s="1"/>
  <c r="BY837" i="10"/>
  <c r="BY966" i="10"/>
  <c r="AZ10" i="10"/>
  <c r="AZ120" i="20"/>
  <c r="BB115" i="20"/>
  <c r="BA466" i="10"/>
  <c r="BL465" i="10"/>
  <c r="BN465" i="10" s="1"/>
  <c r="BN487" i="10"/>
  <c r="DN642" i="20"/>
  <c r="AV467" i="10"/>
  <c r="DJ218" i="10"/>
  <c r="DL218" i="10"/>
  <c r="BR758" i="10"/>
  <c r="CN45" i="49"/>
  <c r="CN73" i="49" s="1"/>
  <c r="CP17" i="10"/>
  <c r="AT9" i="41"/>
  <c r="CV337" i="42"/>
  <c r="CG43" i="43"/>
  <c r="CG296" i="42"/>
  <c r="CG298" i="42" s="1"/>
  <c r="CJ296" i="42"/>
  <c r="U45" i="43"/>
  <c r="R324" i="42"/>
  <c r="BN424" i="10"/>
  <c r="AE45" i="41"/>
  <c r="AT490" i="10"/>
  <c r="AT466" i="10"/>
  <c r="BJ387" i="10"/>
  <c r="BB165" i="10"/>
  <c r="CG82" i="49"/>
  <c r="CG176" i="49"/>
  <c r="CW270" i="49"/>
  <c r="BV94" i="49"/>
  <c r="CJ224" i="42"/>
  <c r="CH480" i="10"/>
  <c r="CR467" i="10"/>
  <c r="CT478" i="10"/>
  <c r="CR1212" i="10"/>
  <c r="CR1214" i="10" s="1"/>
  <c r="CR1219" i="10" s="1"/>
  <c r="CP478" i="10"/>
  <c r="AI44" i="41"/>
  <c r="BP45" i="49"/>
  <c r="BP73" i="49" s="1"/>
  <c r="BP171" i="49" s="1"/>
  <c r="BP274" i="49" s="1"/>
  <c r="BR17" i="10"/>
  <c r="V9" i="41"/>
  <c r="BZ94" i="49"/>
  <c r="DB51" i="49"/>
  <c r="DB78" i="49" s="1"/>
  <c r="DB962" i="10"/>
  <c r="BH13" i="41"/>
  <c r="CD165" i="10"/>
  <c r="BY403" i="42"/>
  <c r="BF301" i="49"/>
  <c r="BF198" i="49"/>
  <c r="AO246" i="46"/>
  <c r="AP246" i="46" s="1"/>
  <c r="AP244" i="46"/>
  <c r="CS82" i="49"/>
  <c r="CS176" i="49"/>
  <c r="BB531" i="42"/>
  <c r="BB532" i="42"/>
  <c r="AT246" i="46"/>
  <c r="AS254" i="46"/>
  <c r="BJ106" i="46"/>
  <c r="BV182" i="49"/>
  <c r="BV285" i="49"/>
  <c r="AV262" i="46"/>
  <c r="AV310" i="46"/>
  <c r="AV342" i="46"/>
  <c r="AV300" i="46"/>
  <c r="AV272" i="46"/>
  <c r="AV278" i="46"/>
  <c r="BT106" i="46"/>
  <c r="BT115" i="46" s="1"/>
  <c r="BT119" i="46" s="1"/>
  <c r="BT121" i="46" s="1"/>
  <c r="CD48" i="46"/>
  <c r="CD49" i="46" s="1"/>
  <c r="DB153" i="42"/>
  <c r="DB472" i="10" s="1"/>
  <c r="DA472" i="10"/>
  <c r="BJ104" i="46"/>
  <c r="CT68" i="46"/>
  <c r="CY68" i="46" s="1"/>
  <c r="CS70" i="46"/>
  <c r="CV515" i="42"/>
  <c r="CV517" i="42"/>
  <c r="CV514" i="42"/>
  <c r="BP515" i="42"/>
  <c r="CH101" i="42"/>
  <c r="CH529" i="42"/>
  <c r="DS51" i="41"/>
  <c r="AW531" i="42"/>
  <c r="AW532" i="42"/>
  <c r="BF54" i="46"/>
  <c r="CG255" i="20"/>
  <c r="CT42" i="49"/>
  <c r="CT69" i="49" s="1"/>
  <c r="AZ34" i="41"/>
  <c r="DC411" i="20"/>
  <c r="BY490" i="10"/>
  <c r="CV241" i="10"/>
  <c r="AX262" i="46"/>
  <c r="AX310" i="46"/>
  <c r="AX300" i="46"/>
  <c r="AX272" i="46"/>
  <c r="AX278" i="46"/>
  <c r="AX342" i="46"/>
  <c r="CV51" i="10" l="1"/>
  <c r="CC269" i="20"/>
  <c r="CE545" i="20"/>
  <c r="CI545" i="20"/>
  <c r="BL490" i="10"/>
  <c r="AO531" i="42"/>
  <c r="BA531" i="42"/>
  <c r="CB130" i="10"/>
  <c r="BF263" i="46"/>
  <c r="BU490" i="10"/>
  <c r="CB132" i="10"/>
  <c r="CD538" i="42"/>
  <c r="CB196" i="20"/>
  <c r="CF198" i="20" s="1"/>
  <c r="BF262" i="20"/>
  <c r="BF261" i="20"/>
  <c r="EE56" i="41"/>
  <c r="BB507" i="42"/>
  <c r="BB510" i="42" s="1"/>
  <c r="BB514" i="42" s="1"/>
  <c r="BB516" i="42" s="1"/>
  <c r="BB521" i="42" s="1"/>
  <c r="BT163" i="49"/>
  <c r="BT266" i="49" s="1"/>
  <c r="BT66" i="49"/>
  <c r="BH266" i="20"/>
  <c r="BH267" i="20"/>
  <c r="BQ95" i="46"/>
  <c r="BQ97" i="46" s="1"/>
  <c r="AP86" i="51"/>
  <c r="AS280" i="46"/>
  <c r="DM116" i="20"/>
  <c r="DM163" i="20" s="1"/>
  <c r="DM165" i="20" s="1"/>
  <c r="DL961" i="10"/>
  <c r="CC241" i="10"/>
  <c r="CD238" i="10"/>
  <c r="CD273" i="42"/>
  <c r="AA45" i="41"/>
  <c r="CD267" i="49"/>
  <c r="CD164" i="49"/>
  <c r="DS49" i="41"/>
  <c r="DS56" i="41" s="1"/>
  <c r="CH526" i="42"/>
  <c r="BQ43" i="43"/>
  <c r="BT296" i="42"/>
  <c r="BT298" i="42" s="1"/>
  <c r="CK241" i="10"/>
  <c r="CY104" i="46"/>
  <c r="DB104" i="46"/>
  <c r="DC104" i="46" s="1"/>
  <c r="DA106" i="46"/>
  <c r="DB106" i="46" s="1"/>
  <c r="DB87" i="46"/>
  <c r="DB95" i="46" s="1"/>
  <c r="DB97" i="46" s="1"/>
  <c r="DA95" i="46"/>
  <c r="DA97" i="46" s="1"/>
  <c r="DM238" i="20"/>
  <c r="DM687" i="10" s="1"/>
  <c r="DM753" i="10" s="1"/>
  <c r="AZ277" i="46"/>
  <c r="DH224" i="42"/>
  <c r="DH228" i="42" s="1"/>
  <c r="DI225" i="42"/>
  <c r="AZ264" i="46"/>
  <c r="AZ265" i="46" s="1"/>
  <c r="AZ270" i="46"/>
  <c r="AZ271" i="46" s="1"/>
  <c r="DH132" i="10"/>
  <c r="CK450" i="10"/>
  <c r="CC117" i="10"/>
  <c r="CC119" i="10" s="1"/>
  <c r="CC15" i="10" s="1"/>
  <c r="CC43" i="49" s="1"/>
  <c r="CC70" i="49" s="1"/>
  <c r="CC168" i="49" s="1"/>
  <c r="CC271" i="49" s="1"/>
  <c r="DO63" i="41"/>
  <c r="DI511" i="42"/>
  <c r="DL20" i="42"/>
  <c r="DJ20" i="42"/>
  <c r="DM950" i="10"/>
  <c r="DM1179" i="10"/>
  <c r="DN720" i="20"/>
  <c r="DQ614" i="20"/>
  <c r="DN327" i="20"/>
  <c r="DN330" i="20" s="1"/>
  <c r="DN335" i="20" s="1"/>
  <c r="DR327" i="20"/>
  <c r="DN137" i="20"/>
  <c r="DN141" i="20" s="1"/>
  <c r="DO148" i="46"/>
  <c r="CC469" i="10"/>
  <c r="CN377" i="20"/>
  <c r="CN378" i="20" s="1"/>
  <c r="CN385" i="20" s="1"/>
  <c r="CN383" i="20"/>
  <c r="CK377" i="20"/>
  <c r="CK378" i="20" s="1"/>
  <c r="CK385" i="20" s="1"/>
  <c r="CK383" i="20"/>
  <c r="CJ377" i="20"/>
  <c r="CJ378" i="20" s="1"/>
  <c r="CJ385" i="20" s="1"/>
  <c r="CJ383" i="20"/>
  <c r="CO377" i="20"/>
  <c r="CO378" i="20" s="1"/>
  <c r="CO385" i="20" s="1"/>
  <c r="CO383" i="20"/>
  <c r="CW377" i="20"/>
  <c r="CW378" i="20" s="1"/>
  <c r="CW385" i="20" s="1"/>
  <c r="CW383" i="20"/>
  <c r="CS377" i="20"/>
  <c r="CS378" i="20" s="1"/>
  <c r="CS385" i="20" s="1"/>
  <c r="CS383" i="20"/>
  <c r="CV364" i="20"/>
  <c r="CR377" i="20"/>
  <c r="CR378" i="20" s="1"/>
  <c r="CR385" i="20" s="1"/>
  <c r="DD364" i="20"/>
  <c r="CZ377" i="20"/>
  <c r="CZ378" i="20" s="1"/>
  <c r="CZ385" i="20" s="1"/>
  <c r="DB385" i="20" s="1"/>
  <c r="AP554" i="42"/>
  <c r="AP555" i="42" s="1"/>
  <c r="AP556" i="42" s="1"/>
  <c r="AO540" i="42"/>
  <c r="AO551" i="42"/>
  <c r="AO554" i="42" s="1"/>
  <c r="AO555" i="42" s="1"/>
  <c r="BX245" i="10"/>
  <c r="AP276" i="46"/>
  <c r="AP277" i="46" s="1"/>
  <c r="CZ364" i="20"/>
  <c r="BR115" i="42"/>
  <c r="BP245" i="10"/>
  <c r="CV71" i="46"/>
  <c r="DF194" i="49"/>
  <c r="AP528" i="42"/>
  <c r="BP514" i="42"/>
  <c r="BP516" i="42" s="1"/>
  <c r="BJ424" i="10"/>
  <c r="L31" i="41"/>
  <c r="L52" i="41" s="1"/>
  <c r="BF39" i="49"/>
  <c r="BF64" i="49" s="1"/>
  <c r="BK64" i="49" s="1"/>
  <c r="CB142" i="10"/>
  <c r="CB1141" i="10"/>
  <c r="CB1148" i="10" s="1"/>
  <c r="CL267" i="42"/>
  <c r="BL89" i="49"/>
  <c r="BI18" i="10"/>
  <c r="BI20" i="10" s="1"/>
  <c r="DR608" i="20"/>
  <c r="DR627" i="20" s="1"/>
  <c r="BQ106" i="46"/>
  <c r="BR106" i="46" s="1"/>
  <c r="BR104" i="46"/>
  <c r="DM1173" i="10"/>
  <c r="AI61" i="41"/>
  <c r="DR1251" i="10"/>
  <c r="DM944" i="10"/>
  <c r="BJ99" i="49"/>
  <c r="DB238" i="10"/>
  <c r="DF267" i="49"/>
  <c r="DF164" i="49"/>
  <c r="DB267" i="49"/>
  <c r="DG65" i="49"/>
  <c r="DC65" i="49"/>
  <c r="DB280" i="49"/>
  <c r="DB177" i="49"/>
  <c r="CG531" i="42"/>
  <c r="AP271" i="46"/>
  <c r="CD115" i="42"/>
  <c r="CC132" i="10"/>
  <c r="BY133" i="20"/>
  <c r="DW49" i="41"/>
  <c r="DW56" i="41" s="1"/>
  <c r="DP687" i="10"/>
  <c r="DP753" i="10" s="1"/>
  <c r="DP74" i="10"/>
  <c r="DQ687" i="10"/>
  <c r="DQ753" i="10" s="1"/>
  <c r="DP1179" i="10"/>
  <c r="DP950" i="10"/>
  <c r="DQ686" i="10"/>
  <c r="DQ752" i="10" s="1"/>
  <c r="DQ1248" i="10"/>
  <c r="DQ1252" i="10" s="1"/>
  <c r="DP1252" i="10"/>
  <c r="DQ1175" i="10"/>
  <c r="DQ946" i="10"/>
  <c r="DQ944" i="10"/>
  <c r="DQ1173" i="10"/>
  <c r="DP1175" i="10"/>
  <c r="DP946" i="10"/>
  <c r="DP686" i="10"/>
  <c r="DP752" i="10" s="1"/>
  <c r="DP944" i="10"/>
  <c r="DP1173" i="10"/>
  <c r="DQ685" i="10"/>
  <c r="DQ751" i="10" s="1"/>
  <c r="DQ1179" i="10"/>
  <c r="DQ950" i="10"/>
  <c r="DP685" i="10"/>
  <c r="DP751" i="10" s="1"/>
  <c r="DR300" i="20"/>
  <c r="DR90" i="10" s="1"/>
  <c r="DQ90" i="10"/>
  <c r="DQ712" i="10"/>
  <c r="DP739" i="10"/>
  <c r="DP284" i="20"/>
  <c r="DQ33" i="46"/>
  <c r="DR33" i="46" s="1"/>
  <c r="DR46" i="46"/>
  <c r="DQ612" i="10"/>
  <c r="DQ433" i="20"/>
  <c r="DR433" i="20" s="1"/>
  <c r="DR606" i="10"/>
  <c r="DP744" i="10"/>
  <c r="DQ717" i="10"/>
  <c r="DQ744" i="10" s="1"/>
  <c r="DQ689" i="10"/>
  <c r="DQ755" i="10" s="1"/>
  <c r="DP689" i="10"/>
  <c r="DP755" i="10" s="1"/>
  <c r="DF545" i="20"/>
  <c r="DR217" i="20"/>
  <c r="DR222" i="20" s="1"/>
  <c r="DR124" i="20"/>
  <c r="DR329" i="20"/>
  <c r="DR334" i="20" s="1"/>
  <c r="DQ241" i="20"/>
  <c r="DQ330" i="20"/>
  <c r="DQ335" i="20" s="1"/>
  <c r="DR720" i="20"/>
  <c r="DQ283" i="20"/>
  <c r="DQ545" i="20"/>
  <c r="DQ652" i="20"/>
  <c r="DR238" i="20"/>
  <c r="DQ626" i="20"/>
  <c r="DR626" i="20" s="1"/>
  <c r="DP335" i="20"/>
  <c r="DN410" i="20"/>
  <c r="DN442" i="20" s="1"/>
  <c r="DP410" i="20"/>
  <c r="DQ138" i="20"/>
  <c r="DQ142" i="20" s="1"/>
  <c r="DQ116" i="20"/>
  <c r="DG112" i="10"/>
  <c r="DR328" i="20"/>
  <c r="DR333" i="20" s="1"/>
  <c r="DP239" i="20"/>
  <c r="DR122" i="20"/>
  <c r="DR767" i="20"/>
  <c r="DR772" i="20" s="1"/>
  <c r="DQ194" i="20"/>
  <c r="DR193" i="20"/>
  <c r="DR195" i="20" s="1"/>
  <c r="DR459" i="20"/>
  <c r="DR220" i="20"/>
  <c r="DP614" i="20"/>
  <c r="DP627" i="20"/>
  <c r="DR350" i="20"/>
  <c r="DR766" i="20"/>
  <c r="DP719" i="20"/>
  <c r="DR289" i="20"/>
  <c r="DR240" i="20"/>
  <c r="DP163" i="20"/>
  <c r="DP165" i="20" s="1"/>
  <c r="DR137" i="20"/>
  <c r="DR656" i="20"/>
  <c r="DP142" i="20"/>
  <c r="DR740" i="20"/>
  <c r="DR118" i="10" s="1"/>
  <c r="DR294" i="20"/>
  <c r="DR552" i="20"/>
  <c r="DO877" i="20"/>
  <c r="DS877" i="20"/>
  <c r="DP352" i="20"/>
  <c r="DR456" i="20"/>
  <c r="DR461" i="20" s="1"/>
  <c r="DR741" i="20"/>
  <c r="DU70" i="41"/>
  <c r="DN20" i="43"/>
  <c r="U504" i="42"/>
  <c r="DB224" i="42"/>
  <c r="DE228" i="42" s="1"/>
  <c r="DE227" i="42"/>
  <c r="DF753" i="10"/>
  <c r="DF74" i="10"/>
  <c r="DE948" i="10"/>
  <c r="DE45" i="10"/>
  <c r="DF125" i="10"/>
  <c r="DE132" i="10"/>
  <c r="DE759" i="10"/>
  <c r="DE353" i="10"/>
  <c r="DN421" i="10"/>
  <c r="DN1157" i="10"/>
  <c r="DM744" i="10"/>
  <c r="DN744" i="10" s="1"/>
  <c r="DM1252" i="10"/>
  <c r="DN419" i="10"/>
  <c r="CL70" i="42"/>
  <c r="CD105" i="10"/>
  <c r="CD107" i="10" s="1"/>
  <c r="BM41" i="10"/>
  <c r="CL526" i="42"/>
  <c r="BF277" i="46"/>
  <c r="CK1212" i="10"/>
  <c r="CK1214" i="10" s="1"/>
  <c r="CK1219" i="10" s="1"/>
  <c r="BI90" i="46"/>
  <c r="BJ219" i="46"/>
  <c r="DJ116" i="20"/>
  <c r="DG116" i="20"/>
  <c r="AD507" i="42"/>
  <c r="AD510" i="42" s="1"/>
  <c r="AD514" i="42" s="1"/>
  <c r="AD516" i="42" s="1"/>
  <c r="AD521" i="42" s="1"/>
  <c r="AD528" i="42"/>
  <c r="CL347" i="10"/>
  <c r="CJ353" i="10"/>
  <c r="CI354" i="10"/>
  <c r="CH353" i="10"/>
  <c r="H35" i="41"/>
  <c r="H55" i="41" s="1"/>
  <c r="AW43" i="43"/>
  <c r="K58" i="41"/>
  <c r="AB34" i="41"/>
  <c r="AT55" i="41"/>
  <c r="EC70" i="41"/>
  <c r="CW406" i="10"/>
  <c r="AP540" i="42"/>
  <c r="BT128" i="20"/>
  <c r="BV42" i="49"/>
  <c r="BV69" i="49" s="1"/>
  <c r="EM54" i="41"/>
  <c r="BB693" i="10"/>
  <c r="CD14" i="10"/>
  <c r="AJ34" i="41" s="1"/>
  <c r="AN54" i="41" s="1"/>
  <c r="AA55" i="41"/>
  <c r="CI1045" i="10"/>
  <c r="BV41" i="49"/>
  <c r="BV68" i="49" s="1"/>
  <c r="BW68" i="49" s="1"/>
  <c r="CQ1136" i="10"/>
  <c r="BF803" i="20"/>
  <c r="BF814" i="20" s="1"/>
  <c r="BZ158" i="20"/>
  <c r="CZ815" i="10"/>
  <c r="DB533" i="42"/>
  <c r="CD450" i="10"/>
  <c r="BR723" i="10"/>
  <c r="AX42" i="41"/>
  <c r="CR493" i="10" s="1"/>
  <c r="BZ100" i="10"/>
  <c r="AF13" i="41"/>
  <c r="AJ61" i="41" s="1"/>
  <c r="CZ354" i="20"/>
  <c r="DD366" i="20" s="1"/>
  <c r="AR280" i="46"/>
  <c r="DA117" i="10"/>
  <c r="DA119" i="10" s="1"/>
  <c r="DA15" i="10" s="1"/>
  <c r="BG35" i="41" s="1"/>
  <c r="AQ54" i="41"/>
  <c r="BZ962" i="10"/>
  <c r="BZ963" i="10" s="1"/>
  <c r="CZ349" i="20"/>
  <c r="DJ138" i="20"/>
  <c r="DJ142" i="20" s="1"/>
  <c r="BF126" i="20"/>
  <c r="BY130" i="10"/>
  <c r="BJ344" i="49"/>
  <c r="CH301" i="49"/>
  <c r="DD337" i="42"/>
  <c r="EI63" i="41"/>
  <c r="DA232" i="42"/>
  <c r="DD228" i="42"/>
  <c r="BT133" i="20"/>
  <c r="BZ266" i="20"/>
  <c r="AR277" i="46"/>
  <c r="AO547" i="42"/>
  <c r="BA364" i="20"/>
  <c r="BF241" i="49"/>
  <c r="DI719" i="10"/>
  <c r="CT238" i="10"/>
  <c r="CS241" i="10"/>
  <c r="BC41" i="41"/>
  <c r="EQ47" i="41"/>
  <c r="CW40" i="49"/>
  <c r="CW67" i="49" s="1"/>
  <c r="CW165" i="49" s="1"/>
  <c r="BB43" i="49"/>
  <c r="BT267" i="20"/>
  <c r="BP450" i="10"/>
  <c r="BT268" i="20"/>
  <c r="BV551" i="20"/>
  <c r="CZ269" i="20"/>
  <c r="BD51" i="10"/>
  <c r="BI467" i="10"/>
  <c r="BT450" i="10"/>
  <c r="BF280" i="46"/>
  <c r="CP723" i="10"/>
  <c r="AI42" i="41"/>
  <c r="CC493" i="10" s="1"/>
  <c r="AD33" i="41"/>
  <c r="AD53" i="41" s="1"/>
  <c r="AB61" i="41"/>
  <c r="BX407" i="10"/>
  <c r="BP488" i="42"/>
  <c r="CW469" i="10"/>
  <c r="CW655" i="10" s="1"/>
  <c r="CW657" i="10" s="1"/>
  <c r="CW659" i="10" s="1"/>
  <c r="CP142" i="20"/>
  <c r="CX82" i="10"/>
  <c r="CY81" i="10"/>
  <c r="DB164" i="49"/>
  <c r="CX723" i="10"/>
  <c r="CW789" i="20"/>
  <c r="CT263" i="20"/>
  <c r="CT266" i="20" s="1"/>
  <c r="BC77" i="51" s="1"/>
  <c r="CC408" i="10"/>
  <c r="AY42" i="41"/>
  <c r="CS493" i="10" s="1"/>
  <c r="CT466" i="10"/>
  <c r="CX348" i="20"/>
  <c r="CX383" i="20" s="1"/>
  <c r="AR261" i="46"/>
  <c r="CY117" i="10"/>
  <c r="DB38" i="10"/>
  <c r="DB41" i="10" s="1"/>
  <c r="CP119" i="10"/>
  <c r="AZ13" i="41"/>
  <c r="AZ61" i="41" s="1"/>
  <c r="DC343" i="20"/>
  <c r="CT962" i="10"/>
  <c r="BA29" i="20"/>
  <c r="DL741" i="10"/>
  <c r="AT462" i="10"/>
  <c r="CT51" i="49"/>
  <c r="CT78" i="49" s="1"/>
  <c r="CT176" i="49" s="1"/>
  <c r="DB490" i="10"/>
  <c r="DA269" i="20"/>
  <c r="DM714" i="10"/>
  <c r="DP714" i="10" s="1"/>
  <c r="AX816" i="20"/>
  <c r="BF517" i="42"/>
  <c r="CH115" i="42"/>
  <c r="BF515" i="42"/>
  <c r="BZ131" i="20"/>
  <c r="CK119" i="10"/>
  <c r="CK15" i="10" s="1"/>
  <c r="CL15" i="10" s="1"/>
  <c r="CL43" i="49" s="1"/>
  <c r="CL70" i="49" s="1"/>
  <c r="BC53" i="41"/>
  <c r="CQ1180" i="10"/>
  <c r="DA278" i="20"/>
  <c r="AR53" i="41"/>
  <c r="CL335" i="20"/>
  <c r="CO82" i="49"/>
  <c r="BN335" i="20"/>
  <c r="CO469" i="10"/>
  <c r="CO655" i="10" s="1"/>
  <c r="CO657" i="10" s="1"/>
  <c r="CO659" i="10" s="1"/>
  <c r="CO462" i="10"/>
  <c r="CO268" i="20"/>
  <c r="CH911" i="20"/>
  <c r="CH918" i="20" s="1"/>
  <c r="CT164" i="49"/>
  <c r="CT267" i="49"/>
  <c r="CY65" i="49"/>
  <c r="DB659" i="20"/>
  <c r="BV126" i="20"/>
  <c r="BZ133" i="20" s="1"/>
  <c r="BZ268" i="20"/>
  <c r="AM79" i="51" s="1"/>
  <c r="BH51" i="10"/>
  <c r="AH538" i="42"/>
  <c r="BE51" i="10"/>
  <c r="BR99" i="49"/>
  <c r="BT267" i="42"/>
  <c r="CK212" i="10"/>
  <c r="DU63" i="41"/>
  <c r="BU133" i="20"/>
  <c r="BU128" i="20"/>
  <c r="AV531" i="42"/>
  <c r="N62" i="41"/>
  <c r="R62" i="41"/>
  <c r="CW1017" i="10"/>
  <c r="CW1015" i="10"/>
  <c r="CW952" i="10"/>
  <c r="BR52" i="49"/>
  <c r="BR79" i="49" s="1"/>
  <c r="X14" i="41"/>
  <c r="X62" i="41" s="1"/>
  <c r="BY1017" i="10"/>
  <c r="BY952" i="10"/>
  <c r="C72" i="51"/>
  <c r="CD52" i="49"/>
  <c r="CD79" i="49" s="1"/>
  <c r="CD951" i="10"/>
  <c r="AJ14" i="41"/>
  <c r="CP52" i="49"/>
  <c r="CP79" i="49" s="1"/>
  <c r="CP951" i="10"/>
  <c r="AV14" i="41"/>
  <c r="AZ62" i="41" s="1"/>
  <c r="CT490" i="10"/>
  <c r="CD490" i="10"/>
  <c r="CM189" i="10"/>
  <c r="DS62" i="41"/>
  <c r="DS61" i="41" s="1"/>
  <c r="DS81" i="41" s="1"/>
  <c r="CI189" i="10"/>
  <c r="AU62" i="41"/>
  <c r="AY62" i="41"/>
  <c r="CO1017" i="10"/>
  <c r="CO952" i="10"/>
  <c r="BZ52" i="49"/>
  <c r="BZ79" i="49" s="1"/>
  <c r="AF14" i="41"/>
  <c r="BZ951" i="10"/>
  <c r="CC1017" i="10"/>
  <c r="CC952" i="10"/>
  <c r="CX52" i="49"/>
  <c r="CX79" i="49" s="1"/>
  <c r="CX951" i="10"/>
  <c r="BD14" i="41"/>
  <c r="BD62" i="41" s="1"/>
  <c r="Z62" i="41"/>
  <c r="V62" i="41"/>
  <c r="BJ52" i="49"/>
  <c r="BJ79" i="49" s="1"/>
  <c r="P14" i="41"/>
  <c r="AI62" i="41"/>
  <c r="AM62" i="41"/>
  <c r="BG62" i="41"/>
  <c r="BJ164" i="49"/>
  <c r="BJ267" i="49"/>
  <c r="P61" i="41"/>
  <c r="AB33" i="41"/>
  <c r="AB53" i="41" s="1"/>
  <c r="CJ1016" i="10"/>
  <c r="AH42" i="41"/>
  <c r="CB493" i="10" s="1"/>
  <c r="AY61" i="41"/>
  <c r="CD466" i="10"/>
  <c r="BY132" i="10"/>
  <c r="BR267" i="49"/>
  <c r="BW65" i="49"/>
  <c r="AZ54" i="41"/>
  <c r="BZ105" i="10"/>
  <c r="DC63" i="41"/>
  <c r="CB51" i="10"/>
  <c r="CB469" i="10"/>
  <c r="CB655" i="10" s="1"/>
  <c r="CB657" i="10" s="1"/>
  <c r="CB659" i="10" s="1"/>
  <c r="BV478" i="10"/>
  <c r="AD34" i="41"/>
  <c r="AD54" i="41" s="1"/>
  <c r="BX1149" i="10"/>
  <c r="BX408" i="10"/>
  <c r="BU1212" i="10"/>
  <c r="BU1214" i="10" s="1"/>
  <c r="BU1219" i="10" s="1"/>
  <c r="BV1219" i="10" s="1"/>
  <c r="BZ51" i="49"/>
  <c r="BZ78" i="49" s="1"/>
  <c r="BX42" i="49"/>
  <c r="BX69" i="49" s="1"/>
  <c r="BU467" i="10"/>
  <c r="DA142" i="10"/>
  <c r="DA148" i="10" s="1"/>
  <c r="BH53" i="41"/>
  <c r="BF659" i="20"/>
  <c r="CZ241" i="10"/>
  <c r="Z507" i="42"/>
  <c r="Z510" i="42" s="1"/>
  <c r="Z528" i="42"/>
  <c r="CD266" i="20"/>
  <c r="AQ77" i="51" s="1"/>
  <c r="CE219" i="46"/>
  <c r="BM51" i="10"/>
  <c r="AS265" i="46"/>
  <c r="AC515" i="42"/>
  <c r="AC520" i="42" s="1"/>
  <c r="BR335" i="20"/>
  <c r="P55" i="41"/>
  <c r="CV268" i="20"/>
  <c r="CH48" i="46"/>
  <c r="CH49" i="46" s="1"/>
  <c r="Q514" i="42"/>
  <c r="Q516" i="42" s="1"/>
  <c r="Q521" i="42" s="1"/>
  <c r="Q515" i="42"/>
  <c r="Q520" i="42" s="1"/>
  <c r="Z55" i="41"/>
  <c r="Q531" i="42"/>
  <c r="Q532" i="42"/>
  <c r="BN133" i="20"/>
  <c r="DB723" i="10"/>
  <c r="CL52" i="49"/>
  <c r="CL79" i="49" s="1"/>
  <c r="CL951" i="10"/>
  <c r="CL1015" i="10" s="1"/>
  <c r="AR14" i="41"/>
  <c r="CH266" i="20"/>
  <c r="CH268" i="20"/>
  <c r="CH267" i="20"/>
  <c r="BH265" i="46"/>
  <c r="V538" i="42"/>
  <c r="BZ99" i="49"/>
  <c r="CB267" i="42"/>
  <c r="AP62" i="41"/>
  <c r="AT62" i="41"/>
  <c r="Z538" i="42"/>
  <c r="BJ401" i="42"/>
  <c r="BJ403" i="42" s="1"/>
  <c r="CJ1017" i="10"/>
  <c r="CJ952" i="10"/>
  <c r="CU54" i="41"/>
  <c r="BS65" i="49"/>
  <c r="BO65" i="49"/>
  <c r="BN164" i="49"/>
  <c r="BN267" i="49"/>
  <c r="CL41" i="49"/>
  <c r="CL68" i="49" s="1"/>
  <c r="CX918" i="10"/>
  <c r="CX919" i="10" s="1"/>
  <c r="BZ88" i="10"/>
  <c r="BZ157" i="20"/>
  <c r="BZ1260" i="10"/>
  <c r="CD267" i="20"/>
  <c r="CJ337" i="42"/>
  <c r="AX538" i="42"/>
  <c r="AA62" i="41"/>
  <c r="AE62" i="41"/>
  <c r="AS275" i="42"/>
  <c r="AS271" i="42" s="1"/>
  <c r="AS276" i="42" s="1"/>
  <c r="AS447" i="42"/>
  <c r="AS450" i="42" s="1"/>
  <c r="CA219" i="46"/>
  <c r="BV52" i="49"/>
  <c r="BV79" i="49" s="1"/>
  <c r="AB14" i="41"/>
  <c r="CT918" i="10"/>
  <c r="CT919" i="10" s="1"/>
  <c r="CP223" i="20"/>
  <c r="BV561" i="20"/>
  <c r="BL267" i="20"/>
  <c r="BW550" i="20"/>
  <c r="BQ266" i="20"/>
  <c r="CK887" i="20"/>
  <c r="CK895" i="20" s="1"/>
  <c r="CY120" i="10"/>
  <c r="CX121" i="10"/>
  <c r="CK147" i="10"/>
  <c r="BY147" i="10"/>
  <c r="BJ722" i="20"/>
  <c r="CP659" i="20"/>
  <c r="BR198" i="20"/>
  <c r="BV198" i="20"/>
  <c r="CT117" i="10"/>
  <c r="CT119" i="10" s="1"/>
  <c r="CX490" i="10"/>
  <c r="BP406" i="10"/>
  <c r="CH490" i="10"/>
  <c r="Z54" i="41"/>
  <c r="BP40" i="49"/>
  <c r="BP67" i="49" s="1"/>
  <c r="BP165" i="49" s="1"/>
  <c r="BP268" i="49" s="1"/>
  <c r="CT41" i="10"/>
  <c r="BR12" i="10"/>
  <c r="X41" i="41" s="1"/>
  <c r="BC42" i="41"/>
  <c r="CW493" i="10" s="1"/>
  <c r="BY269" i="20"/>
  <c r="BZ488" i="20"/>
  <c r="CB269" i="20"/>
  <c r="AO77" i="51"/>
  <c r="AO86" i="51" s="1"/>
  <c r="CK142" i="10"/>
  <c r="CN148" i="10" s="1"/>
  <c r="BH54" i="41"/>
  <c r="DJ419" i="10"/>
  <c r="BA266" i="20"/>
  <c r="BA267" i="20"/>
  <c r="BA268" i="20"/>
  <c r="BE268" i="20"/>
  <c r="BE266" i="20"/>
  <c r="BU811" i="20"/>
  <c r="BV811" i="20" s="1"/>
  <c r="BV809" i="20"/>
  <c r="BV816" i="20" s="1"/>
  <c r="BU816" i="20"/>
  <c r="BY816" i="20"/>
  <c r="CD130" i="10"/>
  <c r="BQ41" i="10"/>
  <c r="BP82" i="49"/>
  <c r="AX335" i="20"/>
  <c r="AV1212" i="10"/>
  <c r="AV1214" i="10" s="1"/>
  <c r="AV1219" i="10" s="1"/>
  <c r="CN829" i="20"/>
  <c r="CK837" i="20"/>
  <c r="CL829" i="20"/>
  <c r="CL837" i="20" s="1"/>
  <c r="BX142" i="10"/>
  <c r="BX145" i="10"/>
  <c r="BX1141" i="10"/>
  <c r="BX1148" i="10" s="1"/>
  <c r="BX561" i="20"/>
  <c r="BX556" i="20"/>
  <c r="BZ556" i="20" s="1"/>
  <c r="CD563" i="20" s="1"/>
  <c r="CB561" i="20"/>
  <c r="BX551" i="20"/>
  <c r="BX818" i="10"/>
  <c r="BZ550" i="20"/>
  <c r="CE550" i="20" s="1"/>
  <c r="CO789" i="20"/>
  <c r="CO267" i="20"/>
  <c r="BX189" i="20"/>
  <c r="BZ189" i="20" s="1"/>
  <c r="BX200" i="20"/>
  <c r="BX187" i="20"/>
  <c r="BX196" i="20"/>
  <c r="CL799" i="20"/>
  <c r="CM799" i="20" s="1"/>
  <c r="CN268" i="20"/>
  <c r="CN269" i="20" s="1"/>
  <c r="BJ693" i="10"/>
  <c r="CK266" i="20"/>
  <c r="BZ17" i="10"/>
  <c r="BB262" i="20"/>
  <c r="BB260" i="20"/>
  <c r="BB261" i="20"/>
  <c r="AX55" i="41"/>
  <c r="AZ263" i="20"/>
  <c r="AZ266" i="20" s="1"/>
  <c r="CH561" i="20"/>
  <c r="CJ268" i="20"/>
  <c r="AA54" i="41"/>
  <c r="CI550" i="20"/>
  <c r="BB488" i="20"/>
  <c r="AI34" i="41"/>
  <c r="AM54" i="41" s="1"/>
  <c r="BU51" i="10"/>
  <c r="P54" i="41"/>
  <c r="BQ82" i="49"/>
  <c r="BY314" i="10"/>
  <c r="BY323" i="10"/>
  <c r="CJ267" i="20"/>
  <c r="CG41" i="49"/>
  <c r="CG68" i="49" s="1"/>
  <c r="CG166" i="49" s="1"/>
  <c r="CG269" i="49" s="1"/>
  <c r="CO227" i="42"/>
  <c r="CH41" i="49"/>
  <c r="CH68" i="49" s="1"/>
  <c r="CH166" i="49" s="1"/>
  <c r="CL464" i="10"/>
  <c r="AR32" i="41" s="1"/>
  <c r="AP32" i="41"/>
  <c r="DJ715" i="10"/>
  <c r="DL715" i="10"/>
  <c r="BZ112" i="10"/>
  <c r="BZ159" i="20"/>
  <c r="R538" i="42"/>
  <c r="CZ337" i="42"/>
  <c r="CV273" i="42"/>
  <c r="CX368" i="42"/>
  <c r="BJ50" i="10"/>
  <c r="BJ49" i="10"/>
  <c r="BJ48" i="10"/>
  <c r="DL627" i="20"/>
  <c r="DL614" i="20"/>
  <c r="CW488" i="42"/>
  <c r="EH37" i="41" s="1"/>
  <c r="CX481" i="42"/>
  <c r="CX488" i="42" s="1"/>
  <c r="EI37" i="41" s="1"/>
  <c r="CW485" i="42"/>
  <c r="P514" i="42"/>
  <c r="P516" i="42" s="1"/>
  <c r="P521" i="42" s="1"/>
  <c r="P515" i="42"/>
  <c r="P520" i="42" s="1"/>
  <c r="CD495" i="20"/>
  <c r="BV495" i="20"/>
  <c r="CE798" i="20"/>
  <c r="BQ268" i="20"/>
  <c r="CB900" i="20"/>
  <c r="CD900" i="20" s="1"/>
  <c r="CD904" i="20" s="1"/>
  <c r="CB920" i="20"/>
  <c r="CO319" i="42"/>
  <c r="BZ803" i="20"/>
  <c r="BZ814" i="20" s="1"/>
  <c r="BX814" i="20"/>
  <c r="BX809" i="20"/>
  <c r="P532" i="42"/>
  <c r="P531" i="42"/>
  <c r="CN337" i="42"/>
  <c r="BF35" i="41"/>
  <c r="BO69" i="51"/>
  <c r="U532" i="42"/>
  <c r="U531" i="42"/>
  <c r="CP353" i="10"/>
  <c r="AS77" i="51"/>
  <c r="AS86" i="51" s="1"/>
  <c r="CF269" i="20"/>
  <c r="AD267" i="42"/>
  <c r="AB271" i="42"/>
  <c r="AB276" i="42" s="1"/>
  <c r="CF145" i="10"/>
  <c r="CC145" i="10"/>
  <c r="CC1141" i="10"/>
  <c r="CC1148" i="10" s="1"/>
  <c r="CC142" i="10"/>
  <c r="BL495" i="20"/>
  <c r="BY325" i="10"/>
  <c r="CL723" i="10"/>
  <c r="AJ532" i="42"/>
  <c r="AJ531" i="42"/>
  <c r="BY322" i="10"/>
  <c r="CZ43" i="49"/>
  <c r="CZ70" i="49" s="1"/>
  <c r="BF296" i="42"/>
  <c r="BF112" i="49" s="1"/>
  <c r="BF61" i="41"/>
  <c r="CZ273" i="42"/>
  <c r="DB368" i="42"/>
  <c r="BF267" i="49"/>
  <c r="BK65" i="49"/>
  <c r="BF164" i="49"/>
  <c r="BY227" i="42"/>
  <c r="CM219" i="46"/>
  <c r="CD257" i="20"/>
  <c r="CR485" i="42"/>
  <c r="CR490" i="42" s="1"/>
  <c r="EC39" i="41" s="1"/>
  <c r="CR488" i="42"/>
  <c r="EC37" i="41" s="1"/>
  <c r="BQ490" i="42"/>
  <c r="BR485" i="42"/>
  <c r="BR490" i="42" s="1"/>
  <c r="DC39" i="41" s="1"/>
  <c r="CW532" i="42"/>
  <c r="CW531" i="42"/>
  <c r="X53" i="41"/>
  <c r="CR514" i="42"/>
  <c r="CR515" i="42"/>
  <c r="CR517" i="42"/>
  <c r="BR344" i="49"/>
  <c r="BR241" i="49"/>
  <c r="BZ126" i="10"/>
  <c r="BX132" i="10"/>
  <c r="BX130" i="10"/>
  <c r="CX99" i="49"/>
  <c r="CZ267" i="42"/>
  <c r="CZ450" i="10"/>
  <c r="DB464" i="10"/>
  <c r="BH32" i="41" s="1"/>
  <c r="BF32" i="41"/>
  <c r="EA54" i="41"/>
  <c r="CW267" i="20"/>
  <c r="BS8" i="49"/>
  <c r="CW51" i="10"/>
  <c r="CS269" i="20"/>
  <c r="BP495" i="20"/>
  <c r="BE32" i="20"/>
  <c r="CX238" i="10"/>
  <c r="CW241" i="10"/>
  <c r="CR531" i="42"/>
  <c r="CR532" i="42"/>
  <c r="BA255" i="46"/>
  <c r="BB251" i="46"/>
  <c r="BX117" i="10"/>
  <c r="BZ117" i="10" s="1"/>
  <c r="BZ92" i="10"/>
  <c r="AM33" i="41"/>
  <c r="AQ53" i="41" s="1"/>
  <c r="AP61" i="41"/>
  <c r="DI742" i="10"/>
  <c r="DJ742" i="10" s="1"/>
  <c r="AF532" i="42"/>
  <c r="AF531" i="42"/>
  <c r="BA359" i="46"/>
  <c r="BB359" i="46" s="1"/>
  <c r="BB358" i="46"/>
  <c r="AK532" i="42"/>
  <c r="AK531" i="42"/>
  <c r="W55" i="41"/>
  <c r="BZ723" i="10"/>
  <c r="BM266" i="20"/>
  <c r="CG407" i="10"/>
  <c r="CD159" i="20"/>
  <c r="CC82" i="49"/>
  <c r="DJ186" i="20"/>
  <c r="DI196" i="20"/>
  <c r="DI148" i="20"/>
  <c r="DL186" i="20"/>
  <c r="DJ627" i="20"/>
  <c r="DJ614" i="20"/>
  <c r="DL237" i="10"/>
  <c r="DJ237" i="10"/>
  <c r="DJ236" i="10"/>
  <c r="DL236" i="10"/>
  <c r="DA43" i="49"/>
  <c r="DA70" i="49" s="1"/>
  <c r="DA168" i="49" s="1"/>
  <c r="DA271" i="49" s="1"/>
  <c r="X514" i="42"/>
  <c r="X516" i="42" s="1"/>
  <c r="X521" i="42" s="1"/>
  <c r="X515" i="42"/>
  <c r="X520" i="42" s="1"/>
  <c r="CB24" i="10"/>
  <c r="AH12" i="41"/>
  <c r="DL718" i="10"/>
  <c r="DJ718" i="10"/>
  <c r="CT481" i="42"/>
  <c r="CT488" i="42" s="1"/>
  <c r="EE37" i="41" s="1"/>
  <c r="CS488" i="42"/>
  <c r="ED37" i="41" s="1"/>
  <c r="CS485" i="42"/>
  <c r="BE44" i="43"/>
  <c r="BE45" i="43"/>
  <c r="BF45" i="43" s="1"/>
  <c r="BF131" i="49" s="1"/>
  <c r="BE504" i="42"/>
  <c r="CB520" i="42"/>
  <c r="CV278" i="20"/>
  <c r="AT538" i="42"/>
  <c r="AV259" i="46"/>
  <c r="AV263" i="46" s="1"/>
  <c r="AV250" i="46"/>
  <c r="CB518" i="42"/>
  <c r="CB516" i="42"/>
  <c r="AR514" i="42"/>
  <c r="AR516" i="42" s="1"/>
  <c r="AR521" i="42" s="1"/>
  <c r="AR515" i="42"/>
  <c r="AR520" i="42" s="1"/>
  <c r="BW239" i="10"/>
  <c r="BV335" i="20"/>
  <c r="AC532" i="42"/>
  <c r="AC531" i="42"/>
  <c r="CR24" i="10"/>
  <c r="AX12" i="41"/>
  <c r="DM136" i="46"/>
  <c r="DL120" i="46"/>
  <c r="AN532" i="42"/>
  <c r="AN531" i="42"/>
  <c r="CX55" i="49"/>
  <c r="CX86" i="49" s="1"/>
  <c r="CX440" i="42"/>
  <c r="BD19" i="41"/>
  <c r="AR531" i="42"/>
  <c r="AR532" i="42"/>
  <c r="BZ495" i="20"/>
  <c r="X531" i="42"/>
  <c r="X532" i="42"/>
  <c r="BZ115" i="42"/>
  <c r="CH485" i="42"/>
  <c r="CH490" i="42" s="1"/>
  <c r="DS39" i="41" s="1"/>
  <c r="CG490" i="42"/>
  <c r="CN488" i="42"/>
  <c r="DY37" i="41" s="1"/>
  <c r="CN485" i="42"/>
  <c r="CN490" i="42" s="1"/>
  <c r="DY39" i="41" s="1"/>
  <c r="BM245" i="10"/>
  <c r="BN238" i="10"/>
  <c r="BL520" i="42"/>
  <c r="BV238" i="10"/>
  <c r="CA238" i="10" s="1"/>
  <c r="CR337" i="42"/>
  <c r="CN517" i="42"/>
  <c r="CN515" i="42"/>
  <c r="CN514" i="42"/>
  <c r="AX358" i="46"/>
  <c r="AW359" i="46"/>
  <c r="AX359" i="46" s="1"/>
  <c r="BL518" i="42"/>
  <c r="BL516" i="42"/>
  <c r="CD488" i="20"/>
  <c r="CW268" i="20"/>
  <c r="DK52" i="41"/>
  <c r="DK53" i="41"/>
  <c r="CR705" i="10"/>
  <c r="CR1081" i="10"/>
  <c r="CR1098" i="10"/>
  <c r="CR49" i="49"/>
  <c r="CR76" i="49" s="1"/>
  <c r="CR1189" i="10"/>
  <c r="CB705" i="10"/>
  <c r="CB1098" i="10"/>
  <c r="CB1081" i="10"/>
  <c r="CB49" i="49"/>
  <c r="CB76" i="49" s="1"/>
  <c r="CB1189" i="10"/>
  <c r="BN485" i="42"/>
  <c r="BN490" i="42" s="1"/>
  <c r="CY39" i="41" s="1"/>
  <c r="BM490" i="42"/>
  <c r="BV223" i="20"/>
  <c r="BZ223" i="20"/>
  <c r="CN531" i="42"/>
  <c r="CN532" i="42"/>
  <c r="AX251" i="46"/>
  <c r="AW255" i="46"/>
  <c r="AX255" i="46" s="1"/>
  <c r="CV232" i="42"/>
  <c r="CV228" i="42"/>
  <c r="AH387" i="42"/>
  <c r="AH385" i="42" s="1"/>
  <c r="AJ380" i="42"/>
  <c r="BX699" i="10"/>
  <c r="BZ699" i="10" s="1"/>
  <c r="BX1082" i="10"/>
  <c r="BX21" i="10"/>
  <c r="BZ21" i="10" s="1"/>
  <c r="CO805" i="20"/>
  <c r="CP805" i="20" s="1"/>
  <c r="CS841" i="20"/>
  <c r="CT841" i="20" s="1"/>
  <c r="CL164" i="49"/>
  <c r="CL267" i="49"/>
  <c r="AJ19" i="41"/>
  <c r="CD55" i="49"/>
  <c r="CD86" i="49" s="1"/>
  <c r="CD440" i="42"/>
  <c r="CZ10" i="10"/>
  <c r="BX532" i="42"/>
  <c r="BX531" i="42"/>
  <c r="CX51" i="49"/>
  <c r="CX78" i="49" s="1"/>
  <c r="DC78" i="49" s="1"/>
  <c r="CX962" i="10"/>
  <c r="CX963" i="10" s="1"/>
  <c r="BD13" i="41"/>
  <c r="BP325" i="10"/>
  <c r="BP310" i="10"/>
  <c r="BP322" i="10"/>
  <c r="BQ322" i="10"/>
  <c r="BQ325" i="10"/>
  <c r="CD481" i="42"/>
  <c r="CD488" i="42" s="1"/>
  <c r="DO37" i="41" s="1"/>
  <c r="CC488" i="42"/>
  <c r="CC485" i="42"/>
  <c r="EA63" i="41"/>
  <c r="BX488" i="42"/>
  <c r="BX485" i="42"/>
  <c r="BX490" i="42" s="1"/>
  <c r="BH531" i="42"/>
  <c r="BH532" i="42"/>
  <c r="CT267" i="42"/>
  <c r="AH532" i="42"/>
  <c r="AH531" i="42"/>
  <c r="CQ65" i="49"/>
  <c r="CP164" i="49"/>
  <c r="CU65" i="49"/>
  <c r="CP267" i="49"/>
  <c r="AS532" i="42"/>
  <c r="AS531" i="42"/>
  <c r="BZ55" i="49"/>
  <c r="BZ86" i="49" s="1"/>
  <c r="AF19" i="41"/>
  <c r="BZ440" i="42"/>
  <c r="CH918" i="10"/>
  <c r="CH919" i="10" s="1"/>
  <c r="BX515" i="42"/>
  <c r="BX517" i="42"/>
  <c r="BX514" i="42"/>
  <c r="BH515" i="42"/>
  <c r="BH520" i="42" s="1"/>
  <c r="BH517" i="42"/>
  <c r="BH514" i="42"/>
  <c r="L54" i="41"/>
  <c r="CX277" i="20"/>
  <c r="CT274" i="20"/>
  <c r="CT278" i="20" s="1"/>
  <c r="CT277" i="20"/>
  <c r="DJ716" i="10"/>
  <c r="DI743" i="10"/>
  <c r="DJ743" i="10" s="1"/>
  <c r="DL716" i="10"/>
  <c r="CH239" i="10"/>
  <c r="CG238" i="10"/>
  <c r="CJ246" i="10"/>
  <c r="CD918" i="10"/>
  <c r="CD919" i="10" s="1"/>
  <c r="CC531" i="42"/>
  <c r="CC532" i="42"/>
  <c r="BN344" i="49"/>
  <c r="BN241" i="49"/>
  <c r="CS532" i="42"/>
  <c r="CS531" i="42"/>
  <c r="BI245" i="10"/>
  <c r="BJ238" i="10"/>
  <c r="BH485" i="42"/>
  <c r="BH490" i="42" s="1"/>
  <c r="BH488" i="42"/>
  <c r="BF238" i="10"/>
  <c r="DN20" i="46"/>
  <c r="DN508" i="42"/>
  <c r="BJ115" i="42"/>
  <c r="CH51" i="49"/>
  <c r="CH78" i="49" s="1"/>
  <c r="CH82" i="49" s="1"/>
  <c r="CH962" i="10"/>
  <c r="CH963" i="10" s="1"/>
  <c r="AN13" i="41"/>
  <c r="AN61" i="41" s="1"/>
  <c r="BQ495" i="20"/>
  <c r="CR269" i="20"/>
  <c r="V55" i="41"/>
  <c r="BF265" i="46"/>
  <c r="CO43" i="43"/>
  <c r="CR296" i="42"/>
  <c r="CO296" i="42"/>
  <c r="CO298" i="42" s="1"/>
  <c r="DJ745" i="10"/>
  <c r="CW15" i="10"/>
  <c r="CY119" i="10"/>
  <c r="DJ366" i="42"/>
  <c r="DJ369" i="42" s="1"/>
  <c r="DL366" i="42" s="1"/>
  <c r="DJ961" i="10"/>
  <c r="DJ1135" i="10"/>
  <c r="DM1135" i="10"/>
  <c r="DM961" i="10"/>
  <c r="DN719" i="20"/>
  <c r="DN608" i="20"/>
  <c r="DM627" i="20"/>
  <c r="DM614" i="20"/>
  <c r="DM578" i="20"/>
  <c r="DL585" i="20"/>
  <c r="DA51" i="10"/>
  <c r="DB266" i="20"/>
  <c r="BK77" i="51" s="1"/>
  <c r="DB277" i="20"/>
  <c r="DB274" i="20"/>
  <c r="DA167" i="49"/>
  <c r="DA82" i="49"/>
  <c r="DL1154" i="10"/>
  <c r="DJ1154" i="10"/>
  <c r="DJ1155" i="10"/>
  <c r="DL1155" i="10"/>
  <c r="DN712" i="10"/>
  <c r="DM739" i="10"/>
  <c r="DN739" i="10" s="1"/>
  <c r="BV563" i="20"/>
  <c r="CH40" i="49"/>
  <c r="CH67" i="49" s="1"/>
  <c r="AN41" i="41"/>
  <c r="BI431" i="10"/>
  <c r="BL431" i="10" s="1"/>
  <c r="CJ38" i="49"/>
  <c r="AP7" i="41"/>
  <c r="DB563" i="20"/>
  <c r="CW470" i="10"/>
  <c r="BY41" i="49"/>
  <c r="BY68" i="49" s="1"/>
  <c r="BY166" i="49" s="1"/>
  <c r="BY269" i="49" s="1"/>
  <c r="BY407" i="10"/>
  <c r="AE33" i="41"/>
  <c r="BZ13" i="10"/>
  <c r="DB814" i="10"/>
  <c r="CT563" i="20"/>
  <c r="CL51" i="49"/>
  <c r="CL78" i="49" s="1"/>
  <c r="CL962" i="10"/>
  <c r="AR13" i="41"/>
  <c r="AV61" i="41" s="1"/>
  <c r="BY1024" i="10"/>
  <c r="CL563" i="20"/>
  <c r="AX263" i="46"/>
  <c r="BP520" i="42"/>
  <c r="DA10" i="41"/>
  <c r="CS72" i="46"/>
  <c r="CT70" i="46"/>
  <c r="CY70" i="46" s="1"/>
  <c r="CS71" i="46"/>
  <c r="AV261" i="46"/>
  <c r="DB963" i="10"/>
  <c r="BR45" i="49"/>
  <c r="BR73" i="49" s="1"/>
  <c r="X9" i="41"/>
  <c r="CT467" i="10"/>
  <c r="CT462" i="10" s="1"/>
  <c r="AX44" i="41"/>
  <c r="U46" i="43"/>
  <c r="U50" i="43" s="1"/>
  <c r="U48" i="43"/>
  <c r="V44" i="43"/>
  <c r="CG45" i="43"/>
  <c r="CG44" i="43"/>
  <c r="CG504" i="42"/>
  <c r="BH243" i="20"/>
  <c r="BJ236" i="20"/>
  <c r="BH255" i="20"/>
  <c r="DG284" i="20"/>
  <c r="BL49" i="41"/>
  <c r="BF476" i="10"/>
  <c r="BD490" i="10"/>
  <c r="BF490" i="10" s="1"/>
  <c r="BD466" i="10"/>
  <c r="BD469" i="10" s="1"/>
  <c r="CH450" i="10"/>
  <c r="CJ825" i="20"/>
  <c r="CL821" i="20"/>
  <c r="CL825" i="20" s="1"/>
  <c r="BB351" i="46"/>
  <c r="BB260" i="46"/>
  <c r="BB261" i="46" s="1"/>
  <c r="AT515" i="42"/>
  <c r="AT520" i="42" s="1"/>
  <c r="AT514" i="42"/>
  <c r="AT516" i="42" s="1"/>
  <c r="AT521" i="42" s="1"/>
  <c r="R46" i="43"/>
  <c r="R50" i="43" s="1"/>
  <c r="R48" i="43"/>
  <c r="R51" i="43"/>
  <c r="BP49" i="49"/>
  <c r="BP76" i="49" s="1"/>
  <c r="BR699" i="10"/>
  <c r="BP705" i="10"/>
  <c r="BP1098" i="10"/>
  <c r="BP1081" i="10"/>
  <c r="BP1189" i="10"/>
  <c r="BR1219" i="10"/>
  <c r="AQ44" i="41"/>
  <c r="BQ9" i="20"/>
  <c r="BJ167" i="49"/>
  <c r="BK69" i="49"/>
  <c r="BJ270" i="49"/>
  <c r="DA364" i="20"/>
  <c r="DA815" i="10"/>
  <c r="DI554" i="20"/>
  <c r="DM653" i="20"/>
  <c r="AX128" i="20"/>
  <c r="AV9" i="20"/>
  <c r="DB816" i="10"/>
  <c r="CV967" i="10"/>
  <c r="CV923" i="10"/>
  <c r="CV838" i="10"/>
  <c r="BZ483" i="20"/>
  <c r="BX13" i="20"/>
  <c r="CB14" i="20"/>
  <c r="CW728" i="20"/>
  <c r="CW18" i="20"/>
  <c r="BR528" i="42"/>
  <c r="BR507" i="42"/>
  <c r="BR510" i="42" s="1"/>
  <c r="CM68" i="46"/>
  <c r="CX21" i="10"/>
  <c r="CV24" i="10"/>
  <c r="BB12" i="41"/>
  <c r="DN45" i="46"/>
  <c r="DQ45" i="46" s="1"/>
  <c r="DM32" i="46"/>
  <c r="DN32" i="46" s="1"/>
  <c r="CD301" i="49"/>
  <c r="CD198" i="49"/>
  <c r="CH241" i="49" s="1"/>
  <c r="BY279" i="49"/>
  <c r="CT55" i="49"/>
  <c r="CT86" i="49" s="1"/>
  <c r="CT440" i="42"/>
  <c r="AZ19" i="41"/>
  <c r="AT336" i="46"/>
  <c r="AT337" i="46" s="1"/>
  <c r="AT406" i="42"/>
  <c r="CK815" i="10"/>
  <c r="CK364" i="20"/>
  <c r="CK354" i="20"/>
  <c r="CR815" i="10"/>
  <c r="CR974" i="10" s="1"/>
  <c r="CR354" i="20"/>
  <c r="CV366" i="20" s="1"/>
  <c r="CT348" i="20"/>
  <c r="CT383" i="20" s="1"/>
  <c r="CR364" i="20"/>
  <c r="AS30" i="10"/>
  <c r="AS1226" i="10"/>
  <c r="AS1227" i="10" s="1"/>
  <c r="CN46" i="49"/>
  <c r="CN74" i="49" s="1"/>
  <c r="CP18" i="10"/>
  <c r="AT10" i="41"/>
  <c r="AX58" i="41" s="1"/>
  <c r="BT46" i="49"/>
  <c r="BT74" i="49" s="1"/>
  <c r="BT172" i="49" s="1"/>
  <c r="BT275" i="49" s="1"/>
  <c r="BV18" i="10"/>
  <c r="Z10" i="41"/>
  <c r="CF9" i="20"/>
  <c r="BN551" i="20"/>
  <c r="BN561" i="20"/>
  <c r="BO550" i="20"/>
  <c r="DK55" i="41"/>
  <c r="DK56" i="41"/>
  <c r="CH72" i="46"/>
  <c r="CX72" i="46"/>
  <c r="BV656" i="10"/>
  <c r="BZ656" i="10"/>
  <c r="BY49" i="49"/>
  <c r="BY76" i="49" s="1"/>
  <c r="BY705" i="10"/>
  <c r="BY1081" i="10"/>
  <c r="BY1189" i="10"/>
  <c r="BY1098" i="10"/>
  <c r="BV95" i="49"/>
  <c r="CW45" i="43"/>
  <c r="CW44" i="43"/>
  <c r="CW504" i="42"/>
  <c r="EH16" i="41"/>
  <c r="AE44" i="41"/>
  <c r="AE46" i="41" s="1"/>
  <c r="BI429" i="42"/>
  <c r="BI439" i="42" s="1"/>
  <c r="BJ425" i="42"/>
  <c r="CC924" i="10"/>
  <c r="CD924" i="10" s="1"/>
  <c r="CC839" i="10"/>
  <c r="CC968" i="10"/>
  <c r="CR18" i="20"/>
  <c r="CT727" i="20"/>
  <c r="CR728" i="20"/>
  <c r="BJ468" i="10"/>
  <c r="N45" i="41"/>
  <c r="AZ556" i="20"/>
  <c r="AZ561" i="20"/>
  <c r="BB550" i="20"/>
  <c r="BD561" i="20"/>
  <c r="BZ839" i="10"/>
  <c r="BZ968" i="10"/>
  <c r="CX563" i="20"/>
  <c r="BN816" i="20"/>
  <c r="BP46" i="49"/>
  <c r="BP74" i="49" s="1"/>
  <c r="BP172" i="49" s="1"/>
  <c r="BP275" i="49" s="1"/>
  <c r="BR18" i="10"/>
  <c r="V10" i="41"/>
  <c r="CF839" i="10"/>
  <c r="CF968" i="10"/>
  <c r="CF924" i="10"/>
  <c r="BY728" i="20"/>
  <c r="BY18" i="20"/>
  <c r="DN138" i="20"/>
  <c r="DL142" i="20"/>
  <c r="CF895" i="20"/>
  <c r="CH887" i="20"/>
  <c r="CX115" i="42"/>
  <c r="BJ224" i="42"/>
  <c r="BM228" i="42" s="1"/>
  <c r="BM227" i="42"/>
  <c r="DJ68" i="42"/>
  <c r="CO470" i="10"/>
  <c r="DM612" i="10"/>
  <c r="DM433" i="20"/>
  <c r="DJ291" i="20"/>
  <c r="BF464" i="10"/>
  <c r="L32" i="41" s="1"/>
  <c r="J32" i="41"/>
  <c r="BR464" i="10"/>
  <c r="V32" i="41"/>
  <c r="BE432" i="10"/>
  <c r="BH432" i="10" s="1"/>
  <c r="BE428" i="10"/>
  <c r="BH428" i="10" s="1"/>
  <c r="BE429" i="10"/>
  <c r="BH429" i="10" s="1"/>
  <c r="BX354" i="20"/>
  <c r="BZ348" i="20"/>
  <c r="BX364" i="20"/>
  <c r="BX815" i="10"/>
  <c r="CJ354" i="20"/>
  <c r="CJ364" i="20"/>
  <c r="CL348" i="20"/>
  <c r="CL383" i="20" s="1"/>
  <c r="CJ815" i="10"/>
  <c r="W42" i="41"/>
  <c r="BQ469" i="10"/>
  <c r="CW926" i="10"/>
  <c r="CX926" i="10" s="1"/>
  <c r="CW841" i="10"/>
  <c r="CW970" i="10"/>
  <c r="CJ14" i="20"/>
  <c r="BV274" i="20"/>
  <c r="BZ278" i="20" s="1"/>
  <c r="DM164" i="42"/>
  <c r="DP164" i="42" s="1"/>
  <c r="DJ56" i="42"/>
  <c r="DL56" i="42"/>
  <c r="DJ511" i="42"/>
  <c r="BJ528" i="42"/>
  <c r="BJ507" i="42"/>
  <c r="BJ510" i="42" s="1"/>
  <c r="EP35" i="41"/>
  <c r="CI387" i="10"/>
  <c r="CH656" i="10"/>
  <c r="BZ485" i="42"/>
  <c r="BZ490" i="42" s="1"/>
  <c r="DK39" i="41" s="1"/>
  <c r="BY490" i="42"/>
  <c r="CR40" i="49"/>
  <c r="CR67" i="49" s="1"/>
  <c r="CT12" i="10"/>
  <c r="CR406" i="10"/>
  <c r="AX41" i="41"/>
  <c r="CN73" i="46"/>
  <c r="CJ520" i="42"/>
  <c r="DU10" i="41"/>
  <c r="DU11" i="41" s="1"/>
  <c r="BJ176" i="49"/>
  <c r="BK78" i="49"/>
  <c r="BJ279" i="49"/>
  <c r="BJ82" i="49"/>
  <c r="CD1219" i="10"/>
  <c r="AH295" i="42"/>
  <c r="AH326" i="42"/>
  <c r="DA40" i="49"/>
  <c r="DA67" i="49" s="1"/>
  <c r="DA165" i="49" s="1"/>
  <c r="DA406" i="10"/>
  <c r="BG41" i="41"/>
  <c r="CS274" i="49"/>
  <c r="CW24" i="10"/>
  <c r="BC12" i="41"/>
  <c r="CH39" i="49"/>
  <c r="CH64" i="49" s="1"/>
  <c r="CH1256" i="10"/>
  <c r="AN31" i="41"/>
  <c r="BA126" i="20"/>
  <c r="BA131" i="20"/>
  <c r="BE131" i="20"/>
  <c r="BI364" i="20"/>
  <c r="BI354" i="20"/>
  <c r="BJ354" i="20" s="1"/>
  <c r="CZ984" i="10"/>
  <c r="CG10" i="10"/>
  <c r="BG42" i="41"/>
  <c r="DA493" i="10" s="1"/>
  <c r="DB466" i="10"/>
  <c r="AT25" i="10"/>
  <c r="AR30" i="10"/>
  <c r="AR1226" i="10"/>
  <c r="BD21" i="10"/>
  <c r="BD699" i="10"/>
  <c r="BF697" i="10"/>
  <c r="BD1082" i="10"/>
  <c r="BY449" i="10"/>
  <c r="BZ443" i="10"/>
  <c r="BZ449" i="10" s="1"/>
  <c r="BQ46" i="49"/>
  <c r="BQ74" i="49" s="1"/>
  <c r="BQ172" i="49" s="1"/>
  <c r="BQ275" i="49" s="1"/>
  <c r="BR787" i="20"/>
  <c r="W10" i="41"/>
  <c r="BU18" i="20"/>
  <c r="BU32" i="20" s="1"/>
  <c r="BU728" i="20"/>
  <c r="DA18" i="20"/>
  <c r="DA728" i="20"/>
  <c r="CW984" i="10"/>
  <c r="DM168" i="42"/>
  <c r="DP168" i="42" s="1"/>
  <c r="EI56" i="41"/>
  <c r="AP546" i="42"/>
  <c r="AP547" i="42"/>
  <c r="BM103" i="49"/>
  <c r="BN67" i="46"/>
  <c r="BY165" i="49"/>
  <c r="BY268" i="49" s="1"/>
  <c r="CX167" i="49"/>
  <c r="CY69" i="49"/>
  <c r="CX270" i="49"/>
  <c r="R52" i="41"/>
  <c r="BL66" i="49"/>
  <c r="BL163" i="49"/>
  <c r="BL266" i="49" s="1"/>
  <c r="CF212" i="10"/>
  <c r="CL38" i="10"/>
  <c r="CL41" i="10" s="1"/>
  <c r="CV243" i="20"/>
  <c r="CZ257" i="20" s="1"/>
  <c r="CV816" i="10"/>
  <c r="CX236" i="20"/>
  <c r="CV255" i="20"/>
  <c r="CV266" i="20"/>
  <c r="CV269" i="20" s="1"/>
  <c r="BJ163" i="49"/>
  <c r="BJ71" i="49"/>
  <c r="BJ266" i="49"/>
  <c r="BJ66" i="49"/>
  <c r="BL356" i="20"/>
  <c r="BL366" i="20"/>
  <c r="CT551" i="20"/>
  <c r="BY51" i="10"/>
  <c r="DL1173" i="10"/>
  <c r="DL944" i="10"/>
  <c r="DN124" i="20"/>
  <c r="DG689" i="10"/>
  <c r="BH558" i="20"/>
  <c r="BJ556" i="20"/>
  <c r="BH563" i="20"/>
  <c r="CW908" i="20"/>
  <c r="BN106" i="46"/>
  <c r="DI184" i="42"/>
  <c r="DJ163" i="42"/>
  <c r="ET46" i="41"/>
  <c r="CZ71" i="46"/>
  <c r="CZ72" i="46"/>
  <c r="CZ40" i="49"/>
  <c r="CZ67" i="49" s="1"/>
  <c r="DB12" i="10"/>
  <c r="BF41" i="41"/>
  <c r="CR469" i="10"/>
  <c r="BQ66" i="49"/>
  <c r="BQ163" i="49"/>
  <c r="BQ266" i="49" s="1"/>
  <c r="CW266" i="49"/>
  <c r="BL279" i="49"/>
  <c r="BL283" i="49" s="1"/>
  <c r="BL180" i="49"/>
  <c r="CH193" i="49"/>
  <c r="CH296" i="49"/>
  <c r="BJ55" i="49"/>
  <c r="BJ86" i="49" s="1"/>
  <c r="BJ440" i="42"/>
  <c r="P19" i="41"/>
  <c r="BZ922" i="10"/>
  <c r="CX38" i="10"/>
  <c r="CX41" i="10" s="1"/>
  <c r="CY115" i="20"/>
  <c r="CD843" i="10"/>
  <c r="CD972" i="10"/>
  <c r="CR984" i="10"/>
  <c r="BO231" i="20"/>
  <c r="BN464" i="10"/>
  <c r="T32" i="41" s="1"/>
  <c r="R32" i="41"/>
  <c r="BQ255" i="20"/>
  <c r="BQ243" i="20"/>
  <c r="BR236" i="20"/>
  <c r="BQ789" i="20"/>
  <c r="BU255" i="20"/>
  <c r="BA467" i="10"/>
  <c r="BB467" i="10" s="1"/>
  <c r="BA1212" i="10"/>
  <c r="BA1214" i="10" s="1"/>
  <c r="BA1219" i="10" s="1"/>
  <c r="CC9" i="20"/>
  <c r="DL653" i="20"/>
  <c r="DP653" i="20" s="1"/>
  <c r="DJ653" i="20"/>
  <c r="DJ658" i="20" s="1"/>
  <c r="AT483" i="20"/>
  <c r="AZ18" i="20"/>
  <c r="BB727" i="20"/>
  <c r="AZ728" i="20"/>
  <c r="CW912" i="20"/>
  <c r="CT912" i="20"/>
  <c r="CT919" i="20" s="1"/>
  <c r="BY984" i="10"/>
  <c r="CD95" i="10"/>
  <c r="AS246" i="20"/>
  <c r="CL953" i="20"/>
  <c r="CL958" i="20" s="1"/>
  <c r="CL955" i="20"/>
  <c r="BF518" i="42"/>
  <c r="BF516" i="42"/>
  <c r="DL237" i="42"/>
  <c r="DL236" i="42" s="1"/>
  <c r="DL52" i="42" s="1"/>
  <c r="DM14" i="42"/>
  <c r="DP14" i="42" s="1"/>
  <c r="DM161" i="42"/>
  <c r="DP161" i="42" s="1"/>
  <c r="CH1082" i="10"/>
  <c r="AH412" i="42"/>
  <c r="AJ411" i="42"/>
  <c r="CD656" i="10"/>
  <c r="CE387" i="10"/>
  <c r="BL49" i="49"/>
  <c r="BL76" i="49" s="1"/>
  <c r="BL705" i="10"/>
  <c r="BL1098" i="10"/>
  <c r="BL1081" i="10"/>
  <c r="BL1189" i="10"/>
  <c r="CV40" i="49"/>
  <c r="CV67" i="49" s="1"/>
  <c r="CX12" i="10"/>
  <c r="CV406" i="10"/>
  <c r="BB41" i="41"/>
  <c r="BN167" i="49"/>
  <c r="BO69" i="49"/>
  <c r="BN270" i="49"/>
  <c r="BR490" i="10"/>
  <c r="DN717" i="10"/>
  <c r="CN243" i="20"/>
  <c r="CR257" i="20" s="1"/>
  <c r="CN816" i="10"/>
  <c r="CN255" i="20"/>
  <c r="CP236" i="20"/>
  <c r="CU236" i="20" s="1"/>
  <c r="CD48" i="10"/>
  <c r="CD49" i="10"/>
  <c r="CD50" i="10"/>
  <c r="BM21" i="10"/>
  <c r="BN21" i="10" s="1"/>
  <c r="BM699" i="10"/>
  <c r="BN699" i="10" s="1"/>
  <c r="BM1082" i="10"/>
  <c r="BR558" i="20"/>
  <c r="BP14" i="20"/>
  <c r="BV236" i="20"/>
  <c r="BT255" i="20"/>
  <c r="BT243" i="20"/>
  <c r="BX255" i="20"/>
  <c r="BA243" i="20"/>
  <c r="BA255" i="20"/>
  <c r="BH277" i="20"/>
  <c r="BH274" i="20"/>
  <c r="BH278" i="20" s="1"/>
  <c r="DI256" i="20"/>
  <c r="DJ579" i="20"/>
  <c r="DL579" i="20"/>
  <c r="DI577" i="20"/>
  <c r="BZ106" i="46"/>
  <c r="DJ24" i="42"/>
  <c r="DI183" i="46"/>
  <c r="DL24" i="42"/>
  <c r="CD106" i="46"/>
  <c r="BQ109" i="46"/>
  <c r="BQ67" i="46"/>
  <c r="BQ71" i="46" s="1"/>
  <c r="BR90" i="46"/>
  <c r="BQ220" i="46"/>
  <c r="BY515" i="42"/>
  <c r="CC45" i="43"/>
  <c r="CC44" i="43"/>
  <c r="CC504" i="42"/>
  <c r="BX279" i="49"/>
  <c r="CK43" i="43"/>
  <c r="CK296" i="42"/>
  <c r="CK298" i="42" s="1"/>
  <c r="CN296" i="42"/>
  <c r="DL188" i="10"/>
  <c r="DJ188" i="10"/>
  <c r="DI304" i="10"/>
  <c r="AT54" i="41"/>
  <c r="BY469" i="10"/>
  <c r="BP44" i="41"/>
  <c r="BX328" i="10"/>
  <c r="BS232" i="20"/>
  <c r="BR273" i="20"/>
  <c r="BV277" i="20" s="1"/>
  <c r="BR76" i="10"/>
  <c r="BR37" i="10"/>
  <c r="AW556" i="20"/>
  <c r="CL843" i="10"/>
  <c r="CL972" i="10"/>
  <c r="BA356" i="20"/>
  <c r="BB55" i="41"/>
  <c r="BE13" i="20"/>
  <c r="BE243" i="20"/>
  <c r="BE255" i="20"/>
  <c r="CH913" i="20"/>
  <c r="BU275" i="42"/>
  <c r="CP70" i="42"/>
  <c r="CP526" i="42"/>
  <c r="EA49" i="41"/>
  <c r="CZ516" i="42"/>
  <c r="CZ518" i="42"/>
  <c r="DC68" i="46"/>
  <c r="CB73" i="46"/>
  <c r="DJ112" i="42"/>
  <c r="DJ21" i="46" s="1"/>
  <c r="DJ34" i="46" s="1"/>
  <c r="DL392" i="42"/>
  <c r="CG212" i="10"/>
  <c r="CJ212" i="10"/>
  <c r="CH466" i="10"/>
  <c r="AL42" i="41"/>
  <c r="CF493" i="10" s="1"/>
  <c r="CN984" i="10"/>
  <c r="DJ944" i="10"/>
  <c r="DJ1173" i="10"/>
  <c r="CB980" i="10"/>
  <c r="BN43" i="49"/>
  <c r="BN70" i="49" s="1"/>
  <c r="T35" i="41"/>
  <c r="T55" i="41" s="1"/>
  <c r="BP354" i="20"/>
  <c r="BR348" i="20"/>
  <c r="BP364" i="20"/>
  <c r="BL46" i="49"/>
  <c r="BL74" i="49" s="1"/>
  <c r="BL172" i="49" s="1"/>
  <c r="BL275" i="49" s="1"/>
  <c r="R10" i="41"/>
  <c r="BI274" i="20"/>
  <c r="BI278" i="20" s="1"/>
  <c r="BI277" i="20"/>
  <c r="CN14" i="20"/>
  <c r="CQ877" i="20"/>
  <c r="CU877" i="20"/>
  <c r="CT531" i="42"/>
  <c r="CL514" i="42"/>
  <c r="CL515" i="42"/>
  <c r="CL517" i="42"/>
  <c r="CV73" i="46"/>
  <c r="BB424" i="42"/>
  <c r="BB429" i="42"/>
  <c r="BB439" i="42" s="1"/>
  <c r="CR39" i="49"/>
  <c r="CR64" i="49" s="1"/>
  <c r="CT11" i="10"/>
  <c r="CR10" i="10"/>
  <c r="CR405" i="10"/>
  <c r="AX31" i="41"/>
  <c r="BN176" i="49"/>
  <c r="BO78" i="49"/>
  <c r="BN82" i="49"/>
  <c r="BN279" i="49"/>
  <c r="CX1219" i="10"/>
  <c r="CZ66" i="49"/>
  <c r="BI9" i="20"/>
  <c r="DN289" i="20"/>
  <c r="AW354" i="20"/>
  <c r="AW356" i="20" s="1"/>
  <c r="CH50" i="10"/>
  <c r="CH49" i="10"/>
  <c r="CH48" i="10"/>
  <c r="BV1045" i="10"/>
  <c r="CA1045" i="10" s="1"/>
  <c r="CA502" i="10"/>
  <c r="BU503" i="10"/>
  <c r="BN486" i="10"/>
  <c r="BL463" i="10"/>
  <c r="CX561" i="20"/>
  <c r="DB267" i="20"/>
  <c r="BK78" i="51" s="1"/>
  <c r="BF348" i="20"/>
  <c r="BJ364" i="20" s="1"/>
  <c r="BD354" i="20"/>
  <c r="BH366" i="20" s="1"/>
  <c r="BD364" i="20"/>
  <c r="DM54" i="42"/>
  <c r="DP54" i="42" s="1"/>
  <c r="DL494" i="42"/>
  <c r="DL495" i="42" s="1"/>
  <c r="CI219" i="46"/>
  <c r="CD296" i="42"/>
  <c r="BF758" i="10"/>
  <c r="AV44" i="41"/>
  <c r="Y516" i="42"/>
  <c r="Y521" i="42" s="1"/>
  <c r="Y515" i="42"/>
  <c r="Y520" i="42" s="1"/>
  <c r="CH467" i="10"/>
  <c r="AL44" i="41"/>
  <c r="S52" i="41"/>
  <c r="CN49" i="49"/>
  <c r="CN76" i="49" s="1"/>
  <c r="CP699" i="10"/>
  <c r="CN705" i="10"/>
  <c r="CN1081" i="10"/>
  <c r="CN1098" i="10"/>
  <c r="CN1189" i="10"/>
  <c r="BA556" i="20"/>
  <c r="BA561" i="20"/>
  <c r="BM450" i="10"/>
  <c r="BM18" i="10"/>
  <c r="BN18" i="10" s="1"/>
  <c r="CG844" i="20"/>
  <c r="CG806" i="20"/>
  <c r="CG808" i="20" s="1"/>
  <c r="BB495" i="20"/>
  <c r="BY896" i="20"/>
  <c r="BY890" i="20"/>
  <c r="BY891" i="20" s="1"/>
  <c r="CS839" i="10"/>
  <c r="CS968" i="10"/>
  <c r="CS924" i="10"/>
  <c r="DM129" i="46"/>
  <c r="DP129" i="46" s="1"/>
  <c r="DQ129" i="46" s="1"/>
  <c r="CY53" i="41"/>
  <c r="CY55" i="41"/>
  <c r="CY52" i="41"/>
  <c r="CZ378" i="42"/>
  <c r="DA374" i="42" s="1"/>
  <c r="DA378" i="42" s="1"/>
  <c r="DB374" i="42"/>
  <c r="DB378" i="42" s="1"/>
  <c r="DD374" i="42" s="1"/>
  <c r="BR189" i="49"/>
  <c r="BR292" i="49"/>
  <c r="DB467" i="10"/>
  <c r="BF44" i="41"/>
  <c r="CK816" i="10"/>
  <c r="CK243" i="20"/>
  <c r="CK255" i="20"/>
  <c r="BT18" i="20"/>
  <c r="BV727" i="20"/>
  <c r="BT728" i="20"/>
  <c r="CJ18" i="10"/>
  <c r="CJ450" i="10"/>
  <c r="AV699" i="10"/>
  <c r="AX697" i="10"/>
  <c r="AV1082" i="10"/>
  <c r="AQ42" i="41"/>
  <c r="CK493" i="10" s="1"/>
  <c r="BN55" i="49"/>
  <c r="BN86" i="49" s="1"/>
  <c r="BN440" i="42"/>
  <c r="T19" i="41"/>
  <c r="CL910" i="20"/>
  <c r="CO910" i="20"/>
  <c r="CK911" i="20"/>
  <c r="BZ925" i="10"/>
  <c r="DM74" i="10"/>
  <c r="DB348" i="20"/>
  <c r="DB383" i="20" s="1"/>
  <c r="CR14" i="20"/>
  <c r="AS60" i="46"/>
  <c r="AT56" i="46"/>
  <c r="CL531" i="42"/>
  <c r="BL101" i="49"/>
  <c r="BL73" i="46"/>
  <c r="BA259" i="46"/>
  <c r="BA263" i="46" s="1"/>
  <c r="BB249" i="46"/>
  <c r="BB259" i="46" s="1"/>
  <c r="BB263" i="46" s="1"/>
  <c r="BA250" i="46"/>
  <c r="BB250" i="46" s="1"/>
  <c r="CQ387" i="10"/>
  <c r="CP656" i="10"/>
  <c r="BV70" i="46"/>
  <c r="CA70" i="46" s="1"/>
  <c r="BU72" i="46"/>
  <c r="CC180" i="49"/>
  <c r="CC279" i="49"/>
  <c r="CC283" i="49" s="1"/>
  <c r="AL531" i="42"/>
  <c r="AL532" i="42"/>
  <c r="CH95" i="49"/>
  <c r="DA39" i="49"/>
  <c r="DA64" i="49" s="1"/>
  <c r="DA405" i="10"/>
  <c r="BG31" i="41"/>
  <c r="CP490" i="10"/>
  <c r="BH169" i="49"/>
  <c r="BH272" i="49" s="1"/>
  <c r="CM502" i="10"/>
  <c r="CL1045" i="10"/>
  <c r="CQ502" i="10"/>
  <c r="CK503" i="10"/>
  <c r="BJ165" i="49"/>
  <c r="BK67" i="49"/>
  <c r="BJ268" i="49"/>
  <c r="BZ194" i="49"/>
  <c r="BZ297" i="49"/>
  <c r="L62" i="41"/>
  <c r="H62" i="41"/>
  <c r="CD837" i="10"/>
  <c r="CD966" i="10"/>
  <c r="AM42" i="41"/>
  <c r="CG493" i="10" s="1"/>
  <c r="CG469" i="10"/>
  <c r="X61" i="41"/>
  <c r="CR839" i="10"/>
  <c r="CR968" i="10"/>
  <c r="CR924" i="10"/>
  <c r="DA839" i="10"/>
  <c r="DA968" i="10"/>
  <c r="DA924" i="10"/>
  <c r="DA1014" i="10"/>
  <c r="R532" i="42"/>
  <c r="R531" i="42"/>
  <c r="DB656" i="10"/>
  <c r="DC387" i="10"/>
  <c r="DL307" i="42"/>
  <c r="DL308" i="42" s="1"/>
  <c r="DL292" i="42" s="1"/>
  <c r="DL302" i="42"/>
  <c r="BZ267" i="42"/>
  <c r="AE52" i="41"/>
  <c r="AA52" i="41"/>
  <c r="CU692" i="10"/>
  <c r="CG24" i="10"/>
  <c r="AM12" i="41"/>
  <c r="AU44" i="41"/>
  <c r="CH468" i="10"/>
  <c r="AL45" i="41"/>
  <c r="CN278" i="20"/>
  <c r="CJ278" i="20"/>
  <c r="BU13" i="20"/>
  <c r="BY27" i="20" s="1"/>
  <c r="AX348" i="20"/>
  <c r="AV354" i="20"/>
  <c r="AX53" i="41"/>
  <c r="AT53" i="41"/>
  <c r="CC191" i="20"/>
  <c r="CC190" i="20"/>
  <c r="CF191" i="20"/>
  <c r="CG190" i="20"/>
  <c r="CD189" i="20"/>
  <c r="CD186" i="20" s="1"/>
  <c r="H52" i="41"/>
  <c r="BS231" i="20"/>
  <c r="CF982" i="10"/>
  <c r="BJ814" i="20"/>
  <c r="BQ14" i="20"/>
  <c r="BU269" i="20"/>
  <c r="CK46" i="49"/>
  <c r="CK74" i="49" s="1"/>
  <c r="CK172" i="49" s="1"/>
  <c r="CK275" i="49" s="1"/>
  <c r="CL787" i="20"/>
  <c r="AQ10" i="41"/>
  <c r="AU58" i="41" s="1"/>
  <c r="CJ963" i="10"/>
  <c r="CV516" i="42"/>
  <c r="CV518" i="42"/>
  <c r="CU68" i="46"/>
  <c r="AV270" i="46"/>
  <c r="AV271" i="46" s="1"/>
  <c r="AV276" i="46"/>
  <c r="AV277" i="46" s="1"/>
  <c r="AV264" i="46"/>
  <c r="AT254" i="46"/>
  <c r="AS256" i="46"/>
  <c r="AT256" i="46" s="1"/>
  <c r="CS180" i="49"/>
  <c r="CS279" i="49"/>
  <c r="CS283" i="49" s="1"/>
  <c r="CE165" i="10"/>
  <c r="DB176" i="49"/>
  <c r="DB82" i="49"/>
  <c r="DB279" i="49"/>
  <c r="V45" i="43"/>
  <c r="V49" i="43" s="1"/>
  <c r="U49" i="43"/>
  <c r="BM277" i="20"/>
  <c r="BM274" i="20"/>
  <c r="CO815" i="10"/>
  <c r="CO364" i="20"/>
  <c r="CO354" i="20"/>
  <c r="BD680" i="20"/>
  <c r="BF680" i="20" s="1"/>
  <c r="BF678" i="20"/>
  <c r="BU563" i="20"/>
  <c r="BU558" i="20"/>
  <c r="BV558" i="20" s="1"/>
  <c r="BY563" i="20"/>
  <c r="BY558" i="20"/>
  <c r="CF43" i="49"/>
  <c r="CF70" i="49" s="1"/>
  <c r="CF71" i="49" s="1"/>
  <c r="CH15" i="10"/>
  <c r="CF409" i="10"/>
  <c r="AL35" i="41"/>
  <c r="AX351" i="46"/>
  <c r="AX260" i="46"/>
  <c r="AX261" i="46" s="1"/>
  <c r="DI50" i="42"/>
  <c r="BD276" i="46"/>
  <c r="BD277" i="46" s="1"/>
  <c r="BD270" i="46"/>
  <c r="BD271" i="46" s="1"/>
  <c r="BD264" i="46"/>
  <c r="BD265" i="46" s="1"/>
  <c r="BH180" i="49"/>
  <c r="BH279" i="49"/>
  <c r="BH283" i="49" s="1"/>
  <c r="AF44" i="41"/>
  <c r="BR1082" i="10"/>
  <c r="CZ21" i="10"/>
  <c r="CZ699" i="10"/>
  <c r="DB697" i="10"/>
  <c r="CZ1082" i="10"/>
  <c r="CF292" i="10"/>
  <c r="CG297" i="10"/>
  <c r="CF299" i="10"/>
  <c r="BH467" i="10"/>
  <c r="BH469" i="10" s="1"/>
  <c r="BJ478" i="10"/>
  <c r="BH1212" i="10"/>
  <c r="BH1214" i="10" s="1"/>
  <c r="BH1219" i="10" s="1"/>
  <c r="BZ49" i="10"/>
  <c r="BZ48" i="10"/>
  <c r="BZ50" i="10"/>
  <c r="CZ18" i="20"/>
  <c r="DD32" i="20" s="1"/>
  <c r="DB727" i="20"/>
  <c r="CZ728" i="20"/>
  <c r="BJ194" i="49"/>
  <c r="BJ297" i="49"/>
  <c r="CT43" i="49"/>
  <c r="CT70" i="49" s="1"/>
  <c r="AZ35" i="41"/>
  <c r="CP43" i="49"/>
  <c r="CP70" i="49" s="1"/>
  <c r="AV35" i="41"/>
  <c r="BU180" i="49"/>
  <c r="BU279" i="49"/>
  <c r="BU283" i="49" s="1"/>
  <c r="CK984" i="10"/>
  <c r="CZ924" i="10"/>
  <c r="CZ839" i="10"/>
  <c r="CZ968" i="10"/>
  <c r="CK926" i="10"/>
  <c r="CL926" i="10" s="1"/>
  <c r="CK841" i="10"/>
  <c r="CK970" i="10"/>
  <c r="DG877" i="20"/>
  <c r="DK877" i="20"/>
  <c r="CX815" i="10"/>
  <c r="DN656" i="20"/>
  <c r="AV728" i="20"/>
  <c r="AV18" i="20"/>
  <c r="AX727" i="20"/>
  <c r="CV49" i="49"/>
  <c r="CV76" i="49" s="1"/>
  <c r="CX699" i="10"/>
  <c r="CV705" i="10"/>
  <c r="CV1098" i="10"/>
  <c r="CV1081" i="10"/>
  <c r="CV1189" i="10"/>
  <c r="AC275" i="42"/>
  <c r="AD446" i="42"/>
  <c r="AC447" i="42"/>
  <c r="CP267" i="42"/>
  <c r="AK419" i="42"/>
  <c r="AL416" i="42"/>
  <c r="AN416" i="42" s="1"/>
  <c r="CO279" i="49"/>
  <c r="CO283" i="49" s="1"/>
  <c r="CO180" i="49"/>
  <c r="BF184" i="49"/>
  <c r="BF287" i="49"/>
  <c r="AD46" i="43"/>
  <c r="AD50" i="43" s="1"/>
  <c r="AD48" i="43"/>
  <c r="AD51" i="43"/>
  <c r="CN469" i="10"/>
  <c r="CN462" i="10"/>
  <c r="CP463" i="10"/>
  <c r="AT43" i="41"/>
  <c r="DM713" i="10"/>
  <c r="DP713" i="10" s="1"/>
  <c r="DL740" i="10"/>
  <c r="CP466" i="10"/>
  <c r="AT42" i="41"/>
  <c r="CN493" i="10" s="1"/>
  <c r="BZ918" i="10"/>
  <c r="BZ919" i="10" s="1"/>
  <c r="BY1027" i="10"/>
  <c r="BJ38" i="49"/>
  <c r="P7" i="41"/>
  <c r="BM495" i="20"/>
  <c r="CP843" i="10"/>
  <c r="CP972" i="10"/>
  <c r="CS51" i="10"/>
  <c r="DI553" i="20"/>
  <c r="DI657" i="20"/>
  <c r="DI654" i="20"/>
  <c r="CG46" i="49"/>
  <c r="CG74" i="49" s="1"/>
  <c r="CG172" i="49" s="1"/>
  <c r="CG275" i="49" s="1"/>
  <c r="CH787" i="20"/>
  <c r="AM10" i="41"/>
  <c r="AM58" i="41" s="1"/>
  <c r="DA46" i="49"/>
  <c r="DA74" i="49" s="1"/>
  <c r="DA172" i="49" s="1"/>
  <c r="DB787" i="20"/>
  <c r="BG10" i="41"/>
  <c r="BG58" i="41" s="1"/>
  <c r="BY190" i="20"/>
  <c r="CB191" i="20"/>
  <c r="BB486" i="10"/>
  <c r="AZ463" i="10"/>
  <c r="BZ533" i="42"/>
  <c r="AV171" i="10"/>
  <c r="AV168" i="10"/>
  <c r="AV390" i="10"/>
  <c r="AV169" i="10"/>
  <c r="AV170" i="10"/>
  <c r="AV393" i="10"/>
  <c r="AV172" i="10"/>
  <c r="CG224" i="42"/>
  <c r="CJ228" i="42" s="1"/>
  <c r="CG227" i="42"/>
  <c r="BY24" i="10"/>
  <c r="AE12" i="41"/>
  <c r="BD516" i="42"/>
  <c r="BD521" i="42" s="1"/>
  <c r="BD518" i="42"/>
  <c r="BR95" i="49"/>
  <c r="BA49" i="49"/>
  <c r="BA50" i="49" s="1"/>
  <c r="BA705" i="10"/>
  <c r="BA1098" i="10"/>
  <c r="BA1081" i="10"/>
  <c r="BA1189" i="10"/>
  <c r="BW343" i="20"/>
  <c r="BV38" i="10"/>
  <c r="BV41" i="10" s="1"/>
  <c r="CC95" i="10"/>
  <c r="CC13" i="10" s="1"/>
  <c r="CC10" i="10" s="1"/>
  <c r="DA926" i="10"/>
  <c r="DB926" i="10" s="1"/>
  <c r="DA841" i="10"/>
  <c r="DA1016" i="10"/>
  <c r="DA970" i="10"/>
  <c r="CO922" i="10"/>
  <c r="CO837" i="10"/>
  <c r="CO966" i="10"/>
  <c r="DN116" i="20"/>
  <c r="DL74" i="10"/>
  <c r="BX891" i="20"/>
  <c r="DI344" i="20"/>
  <c r="DJ344" i="20" s="1"/>
  <c r="DL396" i="20"/>
  <c r="DI397" i="20"/>
  <c r="DJ397" i="20" s="1"/>
  <c r="CD514" i="42"/>
  <c r="CD515" i="42"/>
  <c r="CD517" i="42"/>
  <c r="CG10" i="20"/>
  <c r="CG246" i="20"/>
  <c r="DM66" i="42"/>
  <c r="DP66" i="42" s="1"/>
  <c r="CT963" i="10"/>
  <c r="AO274" i="46"/>
  <c r="AO280" i="46"/>
  <c r="BE49" i="49"/>
  <c r="BE50" i="49" s="1"/>
  <c r="BE705" i="10"/>
  <c r="BE1098" i="10"/>
  <c r="BE1081" i="10"/>
  <c r="BE1189" i="10"/>
  <c r="CE238" i="10"/>
  <c r="BT44" i="41"/>
  <c r="BX228" i="42"/>
  <c r="BX232" i="42"/>
  <c r="BQ180" i="49"/>
  <c r="BQ279" i="49"/>
  <c r="BQ283" i="49" s="1"/>
  <c r="O44" i="41"/>
  <c r="CB1015" i="10"/>
  <c r="CD925" i="10"/>
  <c r="CV18" i="20"/>
  <c r="CX727" i="20"/>
  <c r="CV728" i="20"/>
  <c r="BE436" i="10"/>
  <c r="BH436" i="10" s="1"/>
  <c r="CA343" i="20"/>
  <c r="BZ38" i="10"/>
  <c r="BE38" i="49"/>
  <c r="BE20" i="10"/>
  <c r="K7" i="41"/>
  <c r="O56" i="41" s="1"/>
  <c r="AT558" i="20"/>
  <c r="DJ1175" i="10"/>
  <c r="DK1175" i="10" s="1"/>
  <c r="DJ946" i="10"/>
  <c r="DN459" i="20"/>
  <c r="AZ13" i="20"/>
  <c r="BD27" i="20" s="1"/>
  <c r="BB483" i="20"/>
  <c r="EQ35" i="41"/>
  <c r="CW156" i="42"/>
  <c r="CZ157" i="42"/>
  <c r="BQ40" i="49"/>
  <c r="BQ67" i="49" s="1"/>
  <c r="BQ165" i="49" s="1"/>
  <c r="BQ268" i="49" s="1"/>
  <c r="BQ406" i="10"/>
  <c r="W41" i="41"/>
  <c r="CT166" i="49"/>
  <c r="CT269" i="49"/>
  <c r="CT45" i="49"/>
  <c r="CT73" i="49" s="1"/>
  <c r="AZ9" i="41"/>
  <c r="AL52" i="41"/>
  <c r="CF66" i="49"/>
  <c r="CB296" i="10"/>
  <c r="CB301" i="10"/>
  <c r="CB309" i="10"/>
  <c r="CB310" i="10" s="1"/>
  <c r="BF1219" i="10"/>
  <c r="BA38" i="49"/>
  <c r="BA20" i="10"/>
  <c r="G7" i="41"/>
  <c r="G56" i="41" s="1"/>
  <c r="CK267" i="20"/>
  <c r="CG66" i="49"/>
  <c r="CG163" i="49"/>
  <c r="CG266" i="49" s="1"/>
  <c r="BD462" i="10"/>
  <c r="BF463" i="10"/>
  <c r="J43" i="41"/>
  <c r="DM669" i="10"/>
  <c r="DP669" i="10" s="1"/>
  <c r="AT356" i="20"/>
  <c r="BR133" i="20"/>
  <c r="BF495" i="20"/>
  <c r="CB982" i="10"/>
  <c r="DC55" i="41"/>
  <c r="CX528" i="42"/>
  <c r="CX532" i="42" s="1"/>
  <c r="CX507" i="42"/>
  <c r="CX510" i="42" s="1"/>
  <c r="AX531" i="42"/>
  <c r="AX532" i="42"/>
  <c r="BZ72" i="46"/>
  <c r="BY472" i="10"/>
  <c r="BZ153" i="42"/>
  <c r="BZ472" i="10" s="1"/>
  <c r="BA505" i="42"/>
  <c r="BA515" i="42"/>
  <c r="BA520" i="42" s="1"/>
  <c r="BA516" i="42"/>
  <c r="BA521" i="42" s="1"/>
  <c r="AZ45" i="41"/>
  <c r="DA274" i="49"/>
  <c r="AZ298" i="42"/>
  <c r="BB296" i="42"/>
  <c r="BB298" i="42" s="1"/>
  <c r="AV425" i="42"/>
  <c r="AX423" i="42"/>
  <c r="BN39" i="49"/>
  <c r="BN64" i="49" s="1"/>
  <c r="T31" i="41"/>
  <c r="CT50" i="10"/>
  <c r="CT48" i="10"/>
  <c r="CT49" i="10"/>
  <c r="BY41" i="10"/>
  <c r="CB978" i="10"/>
  <c r="CJ463" i="10"/>
  <c r="CL486" i="10"/>
  <c r="AV13" i="20"/>
  <c r="AX483" i="20"/>
  <c r="CZ14" i="20"/>
  <c r="DD28" i="20" s="1"/>
  <c r="CO886" i="20"/>
  <c r="CP886" i="20" s="1"/>
  <c r="CS952" i="20"/>
  <c r="CT952" i="20" s="1"/>
  <c r="BQ32" i="20"/>
  <c r="CR886" i="20"/>
  <c r="CV952" i="20"/>
  <c r="DM160" i="42"/>
  <c r="DP160" i="42" s="1"/>
  <c r="BV532" i="42"/>
  <c r="BV531" i="42"/>
  <c r="CP485" i="42"/>
  <c r="CP490" i="42" s="1"/>
  <c r="EA39" i="41" s="1"/>
  <c r="CO490" i="42"/>
  <c r="DZ39" i="41" s="1"/>
  <c r="CL424" i="10"/>
  <c r="CK39" i="49"/>
  <c r="CK64" i="49" s="1"/>
  <c r="CK10" i="10"/>
  <c r="CK405" i="10"/>
  <c r="AQ31" i="41"/>
  <c r="BB758" i="10"/>
  <c r="CK271" i="42"/>
  <c r="CL271" i="42" s="1"/>
  <c r="CS39" i="49"/>
  <c r="CS64" i="49" s="1"/>
  <c r="CS10" i="10"/>
  <c r="CS405" i="10"/>
  <c r="AY31" i="41"/>
  <c r="AZ43" i="41"/>
  <c r="W52" i="41"/>
  <c r="BZ292" i="49"/>
  <c r="BZ189" i="49"/>
  <c r="AA42" i="41"/>
  <c r="BU469" i="10"/>
  <c r="CV814" i="10"/>
  <c r="CX120" i="20"/>
  <c r="CV131" i="20"/>
  <c r="CV126" i="20"/>
  <c r="CZ133" i="20" s="1"/>
  <c r="BX10" i="20"/>
  <c r="BX246" i="20"/>
  <c r="CL42" i="49"/>
  <c r="CL69" i="49" s="1"/>
  <c r="CQ69" i="49" s="1"/>
  <c r="AR34" i="41"/>
  <c r="AR54" i="41" s="1"/>
  <c r="BR486" i="20"/>
  <c r="BR493" i="20"/>
  <c r="BR494" i="20"/>
  <c r="AV245" i="20"/>
  <c r="AX243" i="20"/>
  <c r="CV982" i="10"/>
  <c r="CO807" i="20"/>
  <c r="CP807" i="20" s="1"/>
  <c r="CS843" i="20"/>
  <c r="CT843" i="20" s="1"/>
  <c r="CT848" i="20" s="1"/>
  <c r="DL687" i="10"/>
  <c r="DL753" i="10" s="1"/>
  <c r="DL241" i="20"/>
  <c r="DN238" i="20"/>
  <c r="CS984" i="10"/>
  <c r="CN884" i="20"/>
  <c r="CR950" i="20"/>
  <c r="CP950" i="20"/>
  <c r="CN953" i="20"/>
  <c r="CN958" i="20" s="1"/>
  <c r="AT265" i="46"/>
  <c r="BN514" i="42"/>
  <c r="BN515" i="42"/>
  <c r="BN517" i="42"/>
  <c r="BN490" i="10"/>
  <c r="DJ52" i="42"/>
  <c r="DI75" i="42"/>
  <c r="CH21" i="10"/>
  <c r="CF24" i="10"/>
  <c r="AL12" i="41"/>
  <c r="EI54" i="41"/>
  <c r="BZ45" i="43"/>
  <c r="AH52" i="41"/>
  <c r="CB66" i="49"/>
  <c r="CB163" i="49"/>
  <c r="CB266" i="49" s="1"/>
  <c r="CP193" i="49"/>
  <c r="CP296" i="49"/>
  <c r="DA43" i="43"/>
  <c r="DA296" i="42"/>
  <c r="DB296" i="42" s="1"/>
  <c r="BY924" i="10"/>
  <c r="BZ924" i="10" s="1"/>
  <c r="BY839" i="10"/>
  <c r="BY968" i="10"/>
  <c r="AZ46" i="49"/>
  <c r="BB18" i="10"/>
  <c r="F10" i="41"/>
  <c r="BH18" i="20"/>
  <c r="BH728" i="20"/>
  <c r="BJ727" i="20"/>
  <c r="BU46" i="49"/>
  <c r="BU74" i="49" s="1"/>
  <c r="BU172" i="49" s="1"/>
  <c r="BU275" i="49" s="1"/>
  <c r="BV787" i="20"/>
  <c r="AA10" i="41"/>
  <c r="BW231" i="20"/>
  <c r="CE887" i="20"/>
  <c r="CD895" i="20"/>
  <c r="BJ273" i="20"/>
  <c r="BJ37" i="10"/>
  <c r="BJ41" i="10" s="1"/>
  <c r="BJ76" i="10"/>
  <c r="BA32" i="20"/>
  <c r="DM176" i="46"/>
  <c r="DP176" i="46" s="1"/>
  <c r="DL91" i="46"/>
  <c r="CP533" i="42"/>
  <c r="BV485" i="42"/>
  <c r="BV490" i="42" s="1"/>
  <c r="DG39" i="41" s="1"/>
  <c r="BU490" i="42"/>
  <c r="CT109" i="46"/>
  <c r="CS111" i="46"/>
  <c r="CL106" i="46"/>
  <c r="BY516" i="42"/>
  <c r="BY518" i="42"/>
  <c r="CT656" i="10"/>
  <c r="CU387" i="10"/>
  <c r="BD53" i="41"/>
  <c r="BV292" i="49"/>
  <c r="BV189" i="49"/>
  <c r="CH45" i="49"/>
  <c r="CH73" i="49" s="1"/>
  <c r="AN9" i="41"/>
  <c r="BY462" i="10"/>
  <c r="BP39" i="49"/>
  <c r="BP64" i="49" s="1"/>
  <c r="BP10" i="10"/>
  <c r="BR11" i="10"/>
  <c r="BW11" i="10" s="1"/>
  <c r="BP405" i="10"/>
  <c r="V31" i="41"/>
  <c r="CJ1212" i="10"/>
  <c r="CJ1214" i="10" s="1"/>
  <c r="CG789" i="20"/>
  <c r="CG126" i="20"/>
  <c r="CG131" i="20"/>
  <c r="CG814" i="10"/>
  <c r="CH120" i="20"/>
  <c r="BR81" i="10"/>
  <c r="BR82" i="10" s="1"/>
  <c r="BQ82" i="10"/>
  <c r="DJ652" i="20"/>
  <c r="AT697" i="10"/>
  <c r="AR699" i="10"/>
  <c r="AR1082" i="10"/>
  <c r="BN759" i="10"/>
  <c r="BF168" i="49"/>
  <c r="BF271" i="49"/>
  <c r="BT21" i="10"/>
  <c r="BT699" i="10"/>
  <c r="BV697" i="10"/>
  <c r="BT1082" i="10"/>
  <c r="CC904" i="20"/>
  <c r="CC901" i="20"/>
  <c r="BI14" i="20"/>
  <c r="BM558" i="20"/>
  <c r="BM563" i="20"/>
  <c r="BS15" i="49"/>
  <c r="DM126" i="42"/>
  <c r="DP126" i="42" s="1"/>
  <c r="DL128" i="42"/>
  <c r="BZ90" i="46"/>
  <c r="BY67" i="46"/>
  <c r="BY73" i="46" s="1"/>
  <c r="BY220" i="46"/>
  <c r="BY109" i="46"/>
  <c r="BJ45" i="49"/>
  <c r="BJ73" i="49" s="1"/>
  <c r="P9" i="41"/>
  <c r="CV462" i="10"/>
  <c r="CX463" i="10"/>
  <c r="CV469" i="10"/>
  <c r="BB43" i="41"/>
  <c r="CL11" i="10"/>
  <c r="BI21" i="10"/>
  <c r="BI699" i="10"/>
  <c r="BI1082" i="10"/>
  <c r="CX263" i="20"/>
  <c r="CX266" i="20" s="1"/>
  <c r="BG77" i="51" s="1"/>
  <c r="BR43" i="49"/>
  <c r="BR70" i="49" s="1"/>
  <c r="X35" i="41"/>
  <c r="BQ354" i="20"/>
  <c r="BQ364" i="20"/>
  <c r="CB9" i="20"/>
  <c r="CD128" i="20"/>
  <c r="CB1014" i="10"/>
  <c r="BS343" i="20"/>
  <c r="BR38" i="10"/>
  <c r="BZ466" i="10"/>
  <c r="AD42" i="41"/>
  <c r="BI46" i="49"/>
  <c r="BI74" i="49" s="1"/>
  <c r="BI172" i="49" s="1"/>
  <c r="BI275" i="49" s="1"/>
  <c r="CR128" i="20"/>
  <c r="BF488" i="20"/>
  <c r="CC926" i="10"/>
  <c r="CD926" i="10" s="1"/>
  <c r="CC841" i="10"/>
  <c r="CC970" i="10"/>
  <c r="CT70" i="42"/>
  <c r="DM169" i="42"/>
  <c r="DP169" i="42" s="1"/>
  <c r="CL656" i="10"/>
  <c r="CM387" i="10"/>
  <c r="EG71" i="41"/>
  <c r="CF462" i="10"/>
  <c r="CH463" i="10"/>
  <c r="CF469" i="10"/>
  <c r="AL43" i="41"/>
  <c r="CD45" i="49"/>
  <c r="CD73" i="49" s="1"/>
  <c r="AJ9" i="41"/>
  <c r="AZ1212" i="10"/>
  <c r="AZ1214" i="10" s="1"/>
  <c r="AZ1219" i="10" s="1"/>
  <c r="BZ39" i="49"/>
  <c r="BZ64" i="49" s="1"/>
  <c r="BZ1256" i="10"/>
  <c r="AF31" i="41"/>
  <c r="CK462" i="10"/>
  <c r="CK469" i="10"/>
  <c r="AQ43" i="41"/>
  <c r="BV476" i="10"/>
  <c r="BT490" i="10"/>
  <c r="BV490" i="10" s="1"/>
  <c r="BT466" i="10"/>
  <c r="BT469" i="10" s="1"/>
  <c r="DN294" i="20"/>
  <c r="BF172" i="49"/>
  <c r="BF275" i="49"/>
  <c r="CH563" i="20"/>
  <c r="CX841" i="10"/>
  <c r="CX970" i="10"/>
  <c r="CS728" i="20"/>
  <c r="CS18" i="20"/>
  <c r="DE472" i="10"/>
  <c r="EP48" i="41"/>
  <c r="DB70" i="42"/>
  <c r="DB526" i="42"/>
  <c r="DB531" i="42" s="1"/>
  <c r="EM49" i="41"/>
  <c r="DJ494" i="42"/>
  <c r="V514" i="42"/>
  <c r="V516" i="42" s="1"/>
  <c r="V521" i="42" s="1"/>
  <c r="V515" i="42"/>
  <c r="V520" i="42" s="1"/>
  <c r="Z45" i="43"/>
  <c r="Z49" i="43" s="1"/>
  <c r="Y49" i="43"/>
  <c r="CP1082" i="10"/>
  <c r="BF727" i="20"/>
  <c r="BD18" i="20"/>
  <c r="BD728" i="20"/>
  <c r="CF984" i="10"/>
  <c r="CJ148" i="10"/>
  <c r="AV556" i="20"/>
  <c r="AX550" i="20"/>
  <c r="BZ107" i="10"/>
  <c r="CJ842" i="20"/>
  <c r="CJ836" i="20"/>
  <c r="CK828" i="20"/>
  <c r="CL828" i="20" s="1"/>
  <c r="CL836" i="20" s="1"/>
  <c r="CJ830" i="20"/>
  <c r="CG558" i="20"/>
  <c r="CH558" i="20" s="1"/>
  <c r="CG563" i="20"/>
  <c r="CD42" i="49"/>
  <c r="CD69" i="49" s="1"/>
  <c r="CI69" i="49" s="1"/>
  <c r="BS550" i="20"/>
  <c r="BA811" i="20"/>
  <c r="BA816" i="20"/>
  <c r="CS148" i="10"/>
  <c r="CV148" i="10"/>
  <c r="BF246" i="46"/>
  <c r="BE254" i="46"/>
  <c r="BN531" i="42"/>
  <c r="AF61" i="41"/>
  <c r="BU49" i="49"/>
  <c r="BU76" i="49" s="1"/>
  <c r="BU705" i="10"/>
  <c r="BU1098" i="10"/>
  <c r="BU1081" i="10"/>
  <c r="BU1189" i="10"/>
  <c r="BL1212" i="10"/>
  <c r="BL1214" i="10" s="1"/>
  <c r="BL1219" i="10" s="1"/>
  <c r="AM44" i="41"/>
  <c r="CG462" i="10"/>
  <c r="CD758" i="10"/>
  <c r="CK490" i="10"/>
  <c r="CP918" i="10"/>
  <c r="CP919" i="10" s="1"/>
  <c r="CN1028" i="10"/>
  <c r="BX46" i="49"/>
  <c r="BX74" i="49" s="1"/>
  <c r="BX172" i="49" s="1"/>
  <c r="BX275" i="49" s="1"/>
  <c r="AD10" i="41"/>
  <c r="BF82" i="49"/>
  <c r="BF279" i="49"/>
  <c r="BF176" i="49"/>
  <c r="BJ133" i="20"/>
  <c r="BT9" i="20"/>
  <c r="BV128" i="20"/>
  <c r="BE811" i="20"/>
  <c r="BE816" i="20"/>
  <c r="BI816" i="20"/>
  <c r="CZ837" i="10"/>
  <c r="CZ966" i="10"/>
  <c r="CZ922" i="10"/>
  <c r="CZ821" i="10"/>
  <c r="CZ974" i="10"/>
  <c r="DJ689" i="10"/>
  <c r="CL115" i="42"/>
  <c r="CF516" i="42"/>
  <c r="CF518" i="42"/>
  <c r="BW68" i="46"/>
  <c r="CO39" i="49"/>
  <c r="CO64" i="49" s="1"/>
  <c r="CO10" i="10"/>
  <c r="CO405" i="10"/>
  <c r="AU31" i="41"/>
  <c r="AH414" i="42"/>
  <c r="AG423" i="42"/>
  <c r="AJ45" i="41"/>
  <c r="BL232" i="42"/>
  <c r="BL228" i="42"/>
  <c r="CV298" i="42"/>
  <c r="CX296" i="42"/>
  <c r="CC655" i="10"/>
  <c r="CC657" i="10" s="1"/>
  <c r="CC659" i="10" s="1"/>
  <c r="CC491" i="10"/>
  <c r="CC470" i="10"/>
  <c r="BR42" i="49"/>
  <c r="BR69" i="49" s="1"/>
  <c r="BR82" i="49" s="1"/>
  <c r="X34" i="41"/>
  <c r="X54" i="41" s="1"/>
  <c r="CL476" i="10"/>
  <c r="CJ490" i="10"/>
  <c r="CJ466" i="10"/>
  <c r="CE343" i="20"/>
  <c r="CD38" i="10"/>
  <c r="CD41" i="10" s="1"/>
  <c r="CD399" i="20"/>
  <c r="CC51" i="10"/>
  <c r="BB759" i="10"/>
  <c r="BR176" i="49"/>
  <c r="BR279" i="49"/>
  <c r="BS78" i="49"/>
  <c r="CR245" i="20"/>
  <c r="CT243" i="20"/>
  <c r="BI13" i="20"/>
  <c r="CL485" i="42"/>
  <c r="CL490" i="42" s="1"/>
  <c r="DW39" i="41" s="1"/>
  <c r="CK490" i="42"/>
  <c r="DV39" i="41" s="1"/>
  <c r="BT520" i="42"/>
  <c r="AW1" i="42"/>
  <c r="AZ3" i="42"/>
  <c r="DI324" i="42"/>
  <c r="DI303" i="42"/>
  <c r="BV301" i="49"/>
  <c r="BV198" i="49"/>
  <c r="DJ267" i="49"/>
  <c r="BF424" i="42"/>
  <c r="BF429" i="42"/>
  <c r="BF439" i="42" s="1"/>
  <c r="CW243" i="20"/>
  <c r="DA257" i="20" s="1"/>
  <c r="CW255" i="20"/>
  <c r="CW816" i="10"/>
  <c r="DJ284" i="20"/>
  <c r="CP50" i="10"/>
  <c r="CP48" i="10"/>
  <c r="CP49" i="10"/>
  <c r="CB18" i="20"/>
  <c r="CD727" i="20"/>
  <c r="CB728" i="20"/>
  <c r="BN263" i="20"/>
  <c r="BN268" i="20" s="1"/>
  <c r="CW815" i="10"/>
  <c r="CW349" i="20"/>
  <c r="CW354" i="20"/>
  <c r="CX354" i="20" s="1"/>
  <c r="CW364" i="20"/>
  <c r="CP41" i="49"/>
  <c r="CP68" i="49" s="1"/>
  <c r="AV33" i="41"/>
  <c r="AV53" i="41" s="1"/>
  <c r="CF1016" i="10"/>
  <c r="DJ241" i="20"/>
  <c r="BY119" i="10"/>
  <c r="BY15" i="10" s="1"/>
  <c r="DB841" i="10"/>
  <c r="DB970" i="10"/>
  <c r="BT101" i="49"/>
  <c r="BT73" i="46"/>
  <c r="AX276" i="46"/>
  <c r="AX277" i="46" s="1"/>
  <c r="AX270" i="46"/>
  <c r="AX271" i="46" s="1"/>
  <c r="AX264" i="46"/>
  <c r="AX265" i="46" s="1"/>
  <c r="CH533" i="42"/>
  <c r="BP518" i="42"/>
  <c r="BZ193" i="49"/>
  <c r="BZ296" i="49"/>
  <c r="CT1219" i="10"/>
  <c r="BV193" i="49"/>
  <c r="BV296" i="49"/>
  <c r="CG180" i="49"/>
  <c r="CG279" i="49"/>
  <c r="CG283" i="49" s="1"/>
  <c r="AA44" i="41"/>
  <c r="BU462" i="10"/>
  <c r="CJ298" i="42"/>
  <c r="DM218" i="10"/>
  <c r="DP218" i="10" s="1"/>
  <c r="G42" i="41"/>
  <c r="AZ126" i="20"/>
  <c r="BB120" i="20"/>
  <c r="AZ131" i="20"/>
  <c r="BD131" i="20"/>
  <c r="BY978" i="10"/>
  <c r="CB13" i="20"/>
  <c r="CD483" i="20"/>
  <c r="DJ1131" i="10"/>
  <c r="DJ957" i="10"/>
  <c r="BJ168" i="49"/>
  <c r="BK70" i="49"/>
  <c r="BJ271" i="49"/>
  <c r="BQ488" i="20"/>
  <c r="BQ483" i="20"/>
  <c r="BF165" i="49"/>
  <c r="BF268" i="49"/>
  <c r="CH851" i="20"/>
  <c r="CH844" i="20"/>
  <c r="DG685" i="10"/>
  <c r="DJ686" i="10"/>
  <c r="BY926" i="10"/>
  <c r="BY841" i="10"/>
  <c r="BY970" i="10"/>
  <c r="BD280" i="46"/>
  <c r="BD274" i="46"/>
  <c r="AT531" i="42"/>
  <c r="AT532" i="42"/>
  <c r="CR71" i="46"/>
  <c r="CR72" i="46"/>
  <c r="BV176" i="49"/>
  <c r="BV82" i="49"/>
  <c r="BV279" i="49"/>
  <c r="BW78" i="49"/>
  <c r="CP468" i="10"/>
  <c r="AT45" i="41"/>
  <c r="BR21" i="10"/>
  <c r="BP24" i="10"/>
  <c r="V12" i="41"/>
  <c r="BR467" i="10"/>
  <c r="V44" i="41"/>
  <c r="DI150" i="20"/>
  <c r="DJ150" i="20" s="1"/>
  <c r="CS364" i="20"/>
  <c r="CS815" i="10"/>
  <c r="CS354" i="20"/>
  <c r="BF759" i="10"/>
  <c r="BU82" i="49"/>
  <c r="CO885" i="20"/>
  <c r="CS951" i="20"/>
  <c r="CV356" i="20"/>
  <c r="DL689" i="10"/>
  <c r="DL755" i="10" s="1"/>
  <c r="DN552" i="20"/>
  <c r="CO953" i="20"/>
  <c r="CO958" i="20" s="1"/>
  <c r="AT128" i="20"/>
  <c r="CR982" i="10"/>
  <c r="CG728" i="20"/>
  <c r="CG18" i="20"/>
  <c r="CF900" i="20"/>
  <c r="CF920" i="20"/>
  <c r="CQ68" i="46"/>
  <c r="CX1082" i="10"/>
  <c r="CD963" i="10"/>
  <c r="CL301" i="49"/>
  <c r="CL344" i="49" s="1"/>
  <c r="CL198" i="49"/>
  <c r="BV55" i="49"/>
  <c r="BV86" i="49" s="1"/>
  <c r="BV440" i="42"/>
  <c r="AB19" i="41"/>
  <c r="AJ414" i="42"/>
  <c r="AJ405" i="42"/>
  <c r="AJ406" i="42" s="1"/>
  <c r="CL189" i="49"/>
  <c r="CL292" i="49"/>
  <c r="CC39" i="49"/>
  <c r="CC64" i="49" s="1"/>
  <c r="CC405" i="10"/>
  <c r="AI31" i="41"/>
  <c r="AM52" i="41" s="1"/>
  <c r="CT297" i="49"/>
  <c r="CT194" i="49"/>
  <c r="DJ339" i="42"/>
  <c r="CJ697" i="10"/>
  <c r="CJ693" i="10"/>
  <c r="CL693" i="10" s="1"/>
  <c r="CL692" i="10"/>
  <c r="CJ758" i="10"/>
  <c r="CL758" i="10" s="1"/>
  <c r="CL236" i="20"/>
  <c r="CJ255" i="20"/>
  <c r="CJ816" i="10"/>
  <c r="CJ243" i="20"/>
  <c r="BH48" i="49"/>
  <c r="BH42" i="10"/>
  <c r="BJ20" i="10"/>
  <c r="BH704" i="10"/>
  <c r="BH662" i="10"/>
  <c r="BH1193" i="10"/>
  <c r="BH1103" i="10"/>
  <c r="N11" i="41"/>
  <c r="BM483" i="20"/>
  <c r="BM488" i="20"/>
  <c r="CC815" i="10"/>
  <c r="CC364" i="20"/>
  <c r="CC354" i="20"/>
  <c r="CC789" i="20"/>
  <c r="BF171" i="49"/>
  <c r="BF274" i="49"/>
  <c r="AZ21" i="10"/>
  <c r="BB697" i="10"/>
  <c r="AZ699" i="10"/>
  <c r="AZ1082" i="10"/>
  <c r="DL685" i="10"/>
  <c r="DL751" i="10" s="1"/>
  <c r="DN122" i="20"/>
  <c r="DG686" i="10"/>
  <c r="BN556" i="20"/>
  <c r="BR563" i="20" s="1"/>
  <c r="BL563" i="20"/>
  <c r="BL558" i="20"/>
  <c r="CW128" i="20"/>
  <c r="BZ528" i="42"/>
  <c r="BZ507" i="42"/>
  <c r="BZ510" i="42" s="1"/>
  <c r="AW1" i="10"/>
  <c r="AZ3" i="10"/>
  <c r="BJ485" i="42"/>
  <c r="BJ490" i="42" s="1"/>
  <c r="CU39" i="41" s="1"/>
  <c r="BI490" i="42"/>
  <c r="AW275" i="42"/>
  <c r="AW271" i="42" s="1"/>
  <c r="AW276" i="42" s="1"/>
  <c r="AW447" i="42"/>
  <c r="BA24" i="10"/>
  <c r="G12" i="41"/>
  <c r="G60" i="41" s="1"/>
  <c r="CD272" i="42"/>
  <c r="CZ298" i="42"/>
  <c r="CC245" i="20"/>
  <c r="CD245" i="20" s="1"/>
  <c r="CC257" i="20"/>
  <c r="CP277" i="20"/>
  <c r="CL277" i="20"/>
  <c r="CL274" i="20"/>
  <c r="DM113" i="10"/>
  <c r="DM442" i="20"/>
  <c r="BE556" i="20"/>
  <c r="BE561" i="20"/>
  <c r="BI561" i="20"/>
  <c r="BF550" i="20"/>
  <c r="CC978" i="10"/>
  <c r="BT354" i="20"/>
  <c r="BT364" i="20"/>
  <c r="BV348" i="20"/>
  <c r="CK45" i="49"/>
  <c r="CK73" i="49" s="1"/>
  <c r="CK171" i="49" s="1"/>
  <c r="CK274" i="49" s="1"/>
  <c r="CL786" i="20"/>
  <c r="AQ9" i="41"/>
  <c r="CL17" i="10"/>
  <c r="CV14" i="20"/>
  <c r="CI236" i="20"/>
  <c r="CH816" i="10"/>
  <c r="CH255" i="20"/>
  <c r="CO728" i="20"/>
  <c r="CO18" i="20"/>
  <c r="CP846" i="20"/>
  <c r="BJ267" i="20"/>
  <c r="BJ266" i="20"/>
  <c r="CG257" i="20"/>
  <c r="EI52" i="41"/>
  <c r="EI53" i="41"/>
  <c r="EI55" i="41"/>
  <c r="CJ71" i="46"/>
  <c r="CJ72" i="46"/>
  <c r="CU78" i="49"/>
  <c r="BJ89" i="49"/>
  <c r="BE24" i="10"/>
  <c r="K12" i="41"/>
  <c r="CB40" i="49"/>
  <c r="CB67" i="49" s="1"/>
  <c r="CB165" i="49" s="1"/>
  <c r="CB268" i="49" s="1"/>
  <c r="CD12" i="10"/>
  <c r="CB406" i="10"/>
  <c r="AH41" i="41"/>
  <c r="W44" i="41"/>
  <c r="BQ462" i="10"/>
  <c r="CW268" i="49"/>
  <c r="DI292" i="20"/>
  <c r="DI287" i="20"/>
  <c r="BO49" i="41"/>
  <c r="BO67" i="41" s="1"/>
  <c r="BH356" i="20"/>
  <c r="BM467" i="10"/>
  <c r="BM469" i="10" s="1"/>
  <c r="BM1212" i="10"/>
  <c r="BM1214" i="10" s="1"/>
  <c r="BM1219" i="10" s="1"/>
  <c r="CG815" i="10"/>
  <c r="CG354" i="20"/>
  <c r="CG364" i="20"/>
  <c r="CO148" i="10"/>
  <c r="CR148" i="10"/>
  <c r="H45" i="41"/>
  <c r="CJ1028" i="10"/>
  <c r="BE434" i="10"/>
  <c r="BH434" i="10" s="1"/>
  <c r="BE435" i="10"/>
  <c r="BH435" i="10" s="1"/>
  <c r="DI733" i="20"/>
  <c r="DI737" i="20" s="1"/>
  <c r="DI710" i="20"/>
  <c r="DJ710" i="20" s="1"/>
  <c r="DL731" i="20"/>
  <c r="CV46" i="49"/>
  <c r="CV74" i="49" s="1"/>
  <c r="CX18" i="10"/>
  <c r="BB10" i="41"/>
  <c r="BB58" i="41" s="1"/>
  <c r="CF803" i="20"/>
  <c r="BE364" i="20"/>
  <c r="BE354" i="20"/>
  <c r="DL686" i="10"/>
  <c r="DL752" i="10" s="1"/>
  <c r="DN350" i="20"/>
  <c r="BV43" i="49"/>
  <c r="BV70" i="49" s="1"/>
  <c r="AB35" i="41"/>
  <c r="CU55" i="41"/>
  <c r="CU56" i="41"/>
  <c r="DK54" i="41"/>
  <c r="CO24" i="10"/>
  <c r="AU12" i="41"/>
  <c r="BE274" i="46"/>
  <c r="BE280" i="46"/>
  <c r="BE264" i="46"/>
  <c r="BE265" i="46" s="1"/>
  <c r="BE276" i="46"/>
  <c r="BE277" i="46" s="1"/>
  <c r="BE270" i="46"/>
  <c r="BE271" i="46" s="1"/>
  <c r="CJ516" i="42"/>
  <c r="CJ518" i="42"/>
  <c r="CD467" i="10"/>
  <c r="CD462" i="10" s="1"/>
  <c r="AH44" i="41"/>
  <c r="BZ468" i="10"/>
  <c r="AD45" i="41"/>
  <c r="CH167" i="49"/>
  <c r="CH270" i="49"/>
  <c r="CW49" i="49"/>
  <c r="CW76" i="49" s="1"/>
  <c r="CW705" i="10"/>
  <c r="CW1098" i="10"/>
  <c r="CW1081" i="10"/>
  <c r="CW1189" i="10"/>
  <c r="BU40" i="49"/>
  <c r="BU67" i="49" s="1"/>
  <c r="BU165" i="49" s="1"/>
  <c r="BU268" i="49" s="1"/>
  <c r="BU406" i="10"/>
  <c r="AA41" i="41"/>
  <c r="CF10" i="10"/>
  <c r="CB316" i="10"/>
  <c r="CP38" i="10"/>
  <c r="CP41" i="10" s="1"/>
  <c r="CQ115" i="20"/>
  <c r="BL488" i="20"/>
  <c r="BL483" i="20"/>
  <c r="BN481" i="20"/>
  <c r="BN488" i="20" s="1"/>
  <c r="CX49" i="10"/>
  <c r="CX48" i="10"/>
  <c r="CX50" i="10"/>
  <c r="BE9" i="20"/>
  <c r="BV464" i="10"/>
  <c r="Z32" i="41"/>
  <c r="CN815" i="10"/>
  <c r="CN354" i="20"/>
  <c r="CP348" i="20"/>
  <c r="CP383" i="20" s="1"/>
  <c r="CN364" i="20"/>
  <c r="BV759" i="10"/>
  <c r="CO799" i="20"/>
  <c r="CO821" i="20"/>
  <c r="CO825" i="20" s="1"/>
  <c r="CS820" i="20"/>
  <c r="BN128" i="20"/>
  <c r="BL9" i="20"/>
  <c r="CK18" i="20"/>
  <c r="CK728" i="20"/>
  <c r="CB1016" i="10"/>
  <c r="BB680" i="20"/>
  <c r="AZ15" i="20"/>
  <c r="CG984" i="10"/>
  <c r="CR908" i="20"/>
  <c r="CT908" i="20" s="1"/>
  <c r="CN911" i="20"/>
  <c r="BS27" i="49"/>
  <c r="CX533" i="42"/>
  <c r="CO67" i="46"/>
  <c r="CO73" i="46" s="1"/>
  <c r="CP90" i="46"/>
  <c r="CU90" i="46" s="1"/>
  <c r="CO220" i="46"/>
  <c r="CO109" i="46"/>
  <c r="EO35" i="41"/>
  <c r="CD153" i="42"/>
  <c r="CD472" i="10" s="1"/>
  <c r="CB472" i="10"/>
  <c r="BM180" i="49"/>
  <c r="BM279" i="49"/>
  <c r="BM283" i="49" s="1"/>
  <c r="BA46" i="43"/>
  <c r="BB44" i="43"/>
  <c r="CW274" i="49"/>
  <c r="DB45" i="49"/>
  <c r="DB73" i="49" s="1"/>
  <c r="BH9" i="41"/>
  <c r="AW45" i="43"/>
  <c r="AW44" i="43"/>
  <c r="AW504" i="42"/>
  <c r="CH55" i="49"/>
  <c r="CH86" i="49" s="1"/>
  <c r="CH440" i="42"/>
  <c r="AN19" i="41"/>
  <c r="CH65" i="49"/>
  <c r="CH208" i="10"/>
  <c r="CI205" i="10"/>
  <c r="CM205" i="10"/>
  <c r="BV468" i="10"/>
  <c r="Z45" i="41"/>
  <c r="CT46" i="49"/>
  <c r="CT74" i="49" s="1"/>
  <c r="AZ10" i="41"/>
  <c r="BY364" i="20"/>
  <c r="BY815" i="10"/>
  <c r="BY354" i="20"/>
  <c r="CD922" i="10"/>
  <c r="CB1012" i="10"/>
  <c r="BZ490" i="10"/>
  <c r="DJ685" i="10"/>
  <c r="CP908" i="20"/>
  <c r="CP952" i="20"/>
  <c r="CP957" i="20" s="1"/>
  <c r="DJ61" i="42"/>
  <c r="DL61" i="42"/>
  <c r="DI513" i="42"/>
  <c r="BV514" i="42"/>
  <c r="BV515" i="42"/>
  <c r="BV517" i="42"/>
  <c r="CJ276" i="42"/>
  <c r="CR462" i="10"/>
  <c r="BF656" i="10"/>
  <c r="BI43" i="43"/>
  <c r="BL296" i="42"/>
  <c r="BI296" i="42"/>
  <c r="BN45" i="49"/>
  <c r="BN73" i="49" s="1"/>
  <c r="T9" i="41"/>
  <c r="BV467" i="10"/>
  <c r="Z44" i="41"/>
  <c r="BX978" i="10"/>
  <c r="CL49" i="10"/>
  <c r="CL50" i="10"/>
  <c r="CL48" i="10"/>
  <c r="BR481" i="20"/>
  <c r="BP483" i="20"/>
  <c r="BP488" i="20"/>
  <c r="DF1177" i="10"/>
  <c r="DF1180" i="10" s="1"/>
  <c r="DM1174" i="10"/>
  <c r="DM945" i="10"/>
  <c r="DN352" i="20"/>
  <c r="CV1016" i="10"/>
  <c r="BI269" i="20"/>
  <c r="BV486" i="20"/>
  <c r="CO984" i="10"/>
  <c r="DM689" i="10"/>
  <c r="DM755" i="10" s="1"/>
  <c r="CW909" i="20"/>
  <c r="CT909" i="20"/>
  <c r="CT916" i="20" s="1"/>
  <c r="CG980" i="10"/>
  <c r="CC72" i="46"/>
  <c r="CD70" i="46"/>
  <c r="CC40" i="49"/>
  <c r="CC67" i="49" s="1"/>
  <c r="CC165" i="49" s="1"/>
  <c r="CC268" i="49" s="1"/>
  <c r="CC406" i="10"/>
  <c r="AI41" i="41"/>
  <c r="BM72" i="46"/>
  <c r="BN70" i="46"/>
  <c r="BM71" i="46"/>
  <c r="CC109" i="46"/>
  <c r="CC220" i="46"/>
  <c r="CC67" i="46"/>
  <c r="CD90" i="46"/>
  <c r="BY46" i="43"/>
  <c r="BZ44" i="43"/>
  <c r="CB311" i="42"/>
  <c r="DM235" i="10"/>
  <c r="DP235" i="10" s="1"/>
  <c r="CO276" i="42"/>
  <c r="CN39" i="49"/>
  <c r="CN64" i="49" s="1"/>
  <c r="CN10" i="10"/>
  <c r="CN405" i="10"/>
  <c r="CP11" i="10"/>
  <c r="AT31" i="41"/>
  <c r="BN1082" i="10"/>
  <c r="CX468" i="10"/>
  <c r="BB45" i="41"/>
  <c r="CH843" i="10"/>
  <c r="CH972" i="10"/>
  <c r="CO43" i="49"/>
  <c r="CO70" i="49" s="1"/>
  <c r="CO168" i="49" s="1"/>
  <c r="CO271" i="49" s="1"/>
  <c r="CO409" i="10"/>
  <c r="AU35" i="41"/>
  <c r="AZ811" i="20"/>
  <c r="AZ816" i="20"/>
  <c r="BB809" i="20"/>
  <c r="BB816" i="20" s="1"/>
  <c r="BF66" i="49"/>
  <c r="BF163" i="49"/>
  <c r="BF266" i="49"/>
  <c r="BF71" i="49"/>
  <c r="BF75" i="49" s="1"/>
  <c r="BP563" i="20"/>
  <c r="CJ982" i="10"/>
  <c r="CD918" i="20"/>
  <c r="CD913" i="20"/>
  <c r="CD920" i="20" s="1"/>
  <c r="CP528" i="42"/>
  <c r="CP532" i="42" s="1"/>
  <c r="CP507" i="42"/>
  <c r="CP510" i="42" s="1"/>
  <c r="BR70" i="46"/>
  <c r="BQ72" i="46"/>
  <c r="CT67" i="46"/>
  <c r="ED68" i="41"/>
  <c r="DI26" i="43"/>
  <c r="DJ26" i="43" s="1"/>
  <c r="BM40" i="49"/>
  <c r="BM67" i="49" s="1"/>
  <c r="BM165" i="49" s="1"/>
  <c r="BM268" i="49" s="1"/>
  <c r="BM406" i="10"/>
  <c r="S41" i="41"/>
  <c r="BR656" i="10"/>
  <c r="BJ296" i="49"/>
  <c r="BJ193" i="49"/>
  <c r="CX166" i="49"/>
  <c r="CY68" i="49"/>
  <c r="CX269" i="49"/>
  <c r="CV39" i="49"/>
  <c r="CV64" i="49" s="1"/>
  <c r="CX11" i="10"/>
  <c r="CV405" i="10"/>
  <c r="CV10" i="10"/>
  <c r="BB31" i="41"/>
  <c r="BG44" i="41"/>
  <c r="BQ277" i="20"/>
  <c r="BQ274" i="20"/>
  <c r="BU277" i="20"/>
  <c r="BT45" i="49"/>
  <c r="BT73" i="49" s="1"/>
  <c r="BT171" i="49" s="1"/>
  <c r="BT274" i="49" s="1"/>
  <c r="BV17" i="10"/>
  <c r="Z9" i="41"/>
  <c r="BR759" i="10"/>
  <c r="CB119" i="10"/>
  <c r="CB15" i="10" s="1"/>
  <c r="DM685" i="10"/>
  <c r="DM751" i="10" s="1"/>
  <c r="DC115" i="20"/>
  <c r="AW2" i="43"/>
  <c r="AV1" i="43"/>
  <c r="CD531" i="42"/>
  <c r="DM25" i="43"/>
  <c r="DP25" i="43" s="1"/>
  <c r="CZ520" i="42"/>
  <c r="EK10" i="41"/>
  <c r="EK11" i="41" s="1"/>
  <c r="CN40" i="49"/>
  <c r="CN67" i="49" s="1"/>
  <c r="CP12" i="10"/>
  <c r="CN406" i="10"/>
  <c r="AT41" i="41"/>
  <c r="DL157" i="46"/>
  <c r="BR94" i="49"/>
  <c r="BI180" i="49"/>
  <c r="BI279" i="49"/>
  <c r="BI283" i="49" s="1"/>
  <c r="CL95" i="49"/>
  <c r="CS655" i="10"/>
  <c r="CS657" i="10" s="1"/>
  <c r="CS659" i="10" s="1"/>
  <c r="CS491" i="10"/>
  <c r="AZ42" i="41"/>
  <c r="CT493" i="10" s="1"/>
  <c r="CL759" i="10"/>
  <c r="CS814" i="10"/>
  <c r="CS126" i="20"/>
  <c r="CT126" i="20" s="1"/>
  <c r="CS131" i="20"/>
  <c r="CS789" i="20"/>
  <c r="BJ758" i="10"/>
  <c r="BO343" i="20"/>
  <c r="BN38" i="10"/>
  <c r="BX18" i="20"/>
  <c r="BZ727" i="20"/>
  <c r="BX728" i="20"/>
  <c r="AV1" i="20"/>
  <c r="AW2" i="20"/>
  <c r="BU10" i="20"/>
  <c r="BU246" i="20"/>
  <c r="CD133" i="20"/>
  <c r="CE126" i="20"/>
  <c r="CW148" i="10"/>
  <c r="CZ148" i="10"/>
  <c r="BL450" i="10"/>
  <c r="CF978" i="10"/>
  <c r="BI41" i="10"/>
  <c r="BI42" i="10" s="1"/>
  <c r="CZ982" i="10"/>
  <c r="CT120" i="20"/>
  <c r="CC558" i="20"/>
  <c r="CC563" i="20"/>
  <c r="CZ228" i="42"/>
  <c r="CZ232" i="42"/>
  <c r="CP95" i="49"/>
  <c r="F44" i="41"/>
  <c r="CX467" i="10"/>
  <c r="BB44" i="41"/>
  <c r="AD52" i="41"/>
  <c r="BX66" i="49"/>
  <c r="BX163" i="49"/>
  <c r="BX266" i="49" s="1"/>
  <c r="DB39" i="49"/>
  <c r="DB64" i="49" s="1"/>
  <c r="BH31" i="41"/>
  <c r="BX9" i="20"/>
  <c r="BZ128" i="20"/>
  <c r="BM364" i="20"/>
  <c r="BM354" i="20"/>
  <c r="BL266" i="20"/>
  <c r="CF354" i="20"/>
  <c r="CH348" i="20"/>
  <c r="CF364" i="20"/>
  <c r="CF815" i="10"/>
  <c r="CD803" i="20"/>
  <c r="CB814" i="20"/>
  <c r="DJ1174" i="10"/>
  <c r="DK1174" i="10" s="1"/>
  <c r="DJ945" i="10"/>
  <c r="BD38" i="49"/>
  <c r="BF10" i="10"/>
  <c r="BD20" i="10"/>
  <c r="J7" i="41"/>
  <c r="CC1015" i="10"/>
  <c r="CO563" i="20"/>
  <c r="CO558" i="20"/>
  <c r="CP558" i="20" s="1"/>
  <c r="V531" i="42"/>
  <c r="V532" i="42"/>
  <c r="BP101" i="49"/>
  <c r="BP73" i="46"/>
  <c r="AX272" i="42"/>
  <c r="EO40" i="41"/>
  <c r="AJ43" i="41"/>
  <c r="Y46" i="43"/>
  <c r="Y48" i="43"/>
  <c r="Z44" i="43"/>
  <c r="CZ462" i="10"/>
  <c r="DB463" i="10"/>
  <c r="CZ469" i="10"/>
  <c r="BF43" i="41"/>
  <c r="CC227" i="42"/>
  <c r="BP298" i="42"/>
  <c r="BR296" i="42"/>
  <c r="BM10" i="10"/>
  <c r="BN10" i="10" s="1"/>
  <c r="BQ49" i="49"/>
  <c r="BQ76" i="49" s="1"/>
  <c r="BQ705" i="10"/>
  <c r="BQ1098" i="10"/>
  <c r="BQ1081" i="10"/>
  <c r="BQ1189" i="10"/>
  <c r="CP263" i="20"/>
  <c r="CP267" i="20" s="1"/>
  <c r="AY78" i="51" s="1"/>
  <c r="BP18" i="20"/>
  <c r="BR727" i="20"/>
  <c r="BP728" i="20"/>
  <c r="CX843" i="10"/>
  <c r="CX972" i="10"/>
  <c r="DM1131" i="10"/>
  <c r="DM957" i="10"/>
  <c r="DN239" i="20"/>
  <c r="CS43" i="49"/>
  <c r="CS70" i="49" s="1"/>
  <c r="CS168" i="49" s="1"/>
  <c r="AY35" i="41"/>
  <c r="CG834" i="20"/>
  <c r="CG838" i="20"/>
  <c r="CG798" i="20"/>
  <c r="CG803" i="20" s="1"/>
  <c r="CG926" i="10"/>
  <c r="CG841" i="10"/>
  <c r="CG970" i="10"/>
  <c r="CB167" i="49"/>
  <c r="CB82" i="49"/>
  <c r="DL1175" i="10"/>
  <c r="DL946" i="10"/>
  <c r="DN240" i="20"/>
  <c r="AP243" i="20"/>
  <c r="AN245" i="20"/>
  <c r="AP245" i="20" s="1"/>
  <c r="BV263" i="20"/>
  <c r="BV268" i="20" s="1"/>
  <c r="CS245" i="20"/>
  <c r="BN115" i="42"/>
  <c r="DJ177" i="42"/>
  <c r="BV90" i="46"/>
  <c r="BU220" i="46"/>
  <c r="BU67" i="46"/>
  <c r="BU71" i="46" s="1"/>
  <c r="BU109" i="46"/>
  <c r="BU24" i="10"/>
  <c r="AA12" i="41"/>
  <c r="BT180" i="49"/>
  <c r="BT279" i="49"/>
  <c r="BT283" i="49" s="1"/>
  <c r="BN478" i="10"/>
  <c r="CC21" i="10"/>
  <c r="CD697" i="10"/>
  <c r="CC699" i="10"/>
  <c r="CC1082" i="10"/>
  <c r="DB1219" i="10"/>
  <c r="DB843" i="10"/>
  <c r="DB972" i="10"/>
  <c r="BR468" i="10"/>
  <c r="V45" i="41"/>
  <c r="BF50" i="10"/>
  <c r="BF48" i="10"/>
  <c r="BF49" i="10"/>
  <c r="CK51" i="10"/>
  <c r="AS699" i="10"/>
  <c r="AS1082" i="10"/>
  <c r="BT680" i="20"/>
  <c r="BV680" i="20" s="1"/>
  <c r="BV678" i="20"/>
  <c r="CP1015" i="10"/>
  <c r="BJ128" i="20"/>
  <c r="BH9" i="20"/>
  <c r="CG913" i="20"/>
  <c r="CG918" i="20"/>
  <c r="DI759" i="10"/>
  <c r="CZ131" i="20"/>
  <c r="CY343" i="20"/>
  <c r="CX399" i="20"/>
  <c r="CP951" i="20"/>
  <c r="CP956" i="20" s="1"/>
  <c r="CN885" i="20"/>
  <c r="CR951" i="20"/>
  <c r="CZ967" i="10"/>
  <c r="CZ838" i="10"/>
  <c r="CZ923" i="10"/>
  <c r="CS926" i="10"/>
  <c r="CT926" i="10" s="1"/>
  <c r="CS841" i="10"/>
  <c r="CS970" i="10"/>
  <c r="AW274" i="46"/>
  <c r="AW280" i="46"/>
  <c r="AW264" i="46"/>
  <c r="AW265" i="46" s="1"/>
  <c r="AW270" i="46"/>
  <c r="AW271" i="46" s="1"/>
  <c r="AW276" i="46"/>
  <c r="AW277" i="46" s="1"/>
  <c r="AH405" i="42"/>
  <c r="AH406" i="42" s="1"/>
  <c r="AG406" i="42"/>
  <c r="BU43" i="43"/>
  <c r="BU296" i="42"/>
  <c r="BX296" i="42"/>
  <c r="CS45" i="43"/>
  <c r="CS44" i="43"/>
  <c r="CS504" i="42"/>
  <c r="ED16" i="41"/>
  <c r="CQ238" i="10"/>
  <c r="BX1015" i="10"/>
  <c r="CK814" i="10"/>
  <c r="CK131" i="20"/>
  <c r="CK126" i="20"/>
  <c r="CO133" i="20" s="1"/>
  <c r="CK789" i="20"/>
  <c r="CL263" i="20"/>
  <c r="CL267" i="20" s="1"/>
  <c r="CB10" i="20"/>
  <c r="CB246" i="20"/>
  <c r="CB354" i="20"/>
  <c r="CB815" i="10"/>
  <c r="CD348" i="20"/>
  <c r="CB364" i="20"/>
  <c r="CK51" i="49"/>
  <c r="CK78" i="49" s="1"/>
  <c r="CK962" i="10"/>
  <c r="AQ13" i="41"/>
  <c r="BP269" i="20"/>
  <c r="BD243" i="20"/>
  <c r="BD255" i="20"/>
  <c r="BF236" i="20"/>
  <c r="CT816" i="10"/>
  <c r="DG687" i="10"/>
  <c r="BM97" i="49"/>
  <c r="DC219" i="46"/>
  <c r="CP963" i="10"/>
  <c r="BP89" i="49"/>
  <c r="BR267" i="42"/>
  <c r="BU10" i="10"/>
  <c r="CS21" i="10"/>
  <c r="CT697" i="10"/>
  <c r="CS699" i="10"/>
  <c r="CS1082" i="10"/>
  <c r="CG49" i="49"/>
  <c r="CG76" i="49" s="1"/>
  <c r="CG705" i="10"/>
  <c r="CG1098" i="10"/>
  <c r="CG1081" i="10"/>
  <c r="CG1189" i="10"/>
  <c r="DA49" i="49"/>
  <c r="DA76" i="49" s="1"/>
  <c r="DA705" i="10"/>
  <c r="DA1098" i="10"/>
  <c r="DA1081" i="10"/>
  <c r="DA1189" i="10"/>
  <c r="BZ837" i="10"/>
  <c r="BZ966" i="10"/>
  <c r="CL468" i="10"/>
  <c r="AP45" i="41"/>
  <c r="BM268" i="20"/>
  <c r="BM269" i="20" s="1"/>
  <c r="AV38" i="49"/>
  <c r="AX10" i="10"/>
  <c r="AV20" i="10"/>
  <c r="BX980" i="10"/>
  <c r="CC197" i="20"/>
  <c r="CC198" i="20"/>
  <c r="CG198" i="20"/>
  <c r="CF197" i="20"/>
  <c r="DN1252" i="10"/>
  <c r="CY877" i="20"/>
  <c r="DC877" i="20"/>
  <c r="BT13" i="20"/>
  <c r="BV483" i="20"/>
  <c r="BL277" i="20"/>
  <c r="BL274" i="20"/>
  <c r="BP277" i="20"/>
  <c r="DJ687" i="10"/>
  <c r="CD839" i="10"/>
  <c r="CD968" i="10"/>
  <c r="DJ443" i="20"/>
  <c r="BV270" i="49"/>
  <c r="BV167" i="49"/>
  <c r="AX280" i="46"/>
  <c r="AX274" i="46"/>
  <c r="CT270" i="49"/>
  <c r="CU69" i="49"/>
  <c r="CT167" i="49"/>
  <c r="CH528" i="42"/>
  <c r="CH507" i="42"/>
  <c r="CH510" i="42" s="1"/>
  <c r="CV520" i="42"/>
  <c r="EG10" i="41"/>
  <c r="EG11" i="41" s="1"/>
  <c r="AV274" i="46"/>
  <c r="AV280" i="46"/>
  <c r="BJ656" i="10"/>
  <c r="U515" i="42"/>
  <c r="U520" i="42" s="1"/>
  <c r="U516" i="42"/>
  <c r="U521" i="42" s="1"/>
  <c r="CP45" i="49"/>
  <c r="CP73" i="49" s="1"/>
  <c r="AV9" i="41"/>
  <c r="CD184" i="49"/>
  <c r="CD287" i="49"/>
  <c r="AZ38" i="49"/>
  <c r="BB10" i="10"/>
  <c r="AZ20" i="10"/>
  <c r="F7" i="41"/>
  <c r="F56" i="41" s="1"/>
  <c r="BN81" i="10"/>
  <c r="BN82" i="10" s="1"/>
  <c r="BM82" i="10"/>
  <c r="CF18" i="20"/>
  <c r="CH727" i="20"/>
  <c r="CF728" i="20"/>
  <c r="CV984" i="10"/>
  <c r="CX466" i="10"/>
  <c r="BB42" i="41"/>
  <c r="CV493" i="10" s="1"/>
  <c r="CW275" i="49"/>
  <c r="BY107" i="10"/>
  <c r="BY14" i="10" s="1"/>
  <c r="S42" i="41"/>
  <c r="CF808" i="20"/>
  <c r="CP820" i="20"/>
  <c r="CP824" i="20" s="1"/>
  <c r="CN799" i="20"/>
  <c r="CR820" i="20"/>
  <c r="CN821" i="20"/>
  <c r="BX278" i="20"/>
  <c r="BT278" i="20"/>
  <c r="BA352" i="46"/>
  <c r="BB356" i="46"/>
  <c r="BB352" i="46" s="1"/>
  <c r="CN119" i="46"/>
  <c r="CN121" i="46" s="1"/>
  <c r="DY70" i="41"/>
  <c r="AW352" i="46"/>
  <c r="AX356" i="46"/>
  <c r="AX352" i="46" s="1"/>
  <c r="BD263" i="46"/>
  <c r="BD261" i="46"/>
  <c r="BY232" i="42"/>
  <c r="BY228" i="42"/>
  <c r="CB228" i="42"/>
  <c r="CG40" i="49"/>
  <c r="CG67" i="49" s="1"/>
  <c r="CG165" i="49" s="1"/>
  <c r="CG268" i="49" s="1"/>
  <c r="CG406" i="10"/>
  <c r="AM41" i="41"/>
  <c r="DC692" i="10"/>
  <c r="CC295" i="10"/>
  <c r="CC307" i="10"/>
  <c r="CC293" i="10"/>
  <c r="CC300" i="10"/>
  <c r="BF165" i="10"/>
  <c r="CJ984" i="10"/>
  <c r="BN468" i="10"/>
  <c r="R45" i="41"/>
  <c r="BP10" i="20"/>
  <c r="BP246" i="20"/>
  <c r="BI169" i="49"/>
  <c r="BI272" i="49" s="1"/>
  <c r="BB464" i="10"/>
  <c r="H32" i="41" s="1"/>
  <c r="F32" i="41"/>
  <c r="DA984" i="10"/>
  <c r="CZ245" i="20"/>
  <c r="DB243" i="20"/>
  <c r="CK563" i="20"/>
  <c r="CK558" i="20"/>
  <c r="CS884" i="20"/>
  <c r="CW950" i="20"/>
  <c r="CR1016" i="10"/>
  <c r="BR533" i="42"/>
  <c r="CL70" i="46"/>
  <c r="CK72" i="46"/>
  <c r="CD176" i="49"/>
  <c r="CD279" i="49"/>
  <c r="CE78" i="49"/>
  <c r="CH267" i="42"/>
  <c r="CP224" i="42"/>
  <c r="CS228" i="42" s="1"/>
  <c r="CS227" i="42"/>
  <c r="BN194" i="49"/>
  <c r="BN297" i="49"/>
  <c r="BX469" i="10"/>
  <c r="BX462" i="10"/>
  <c r="BZ463" i="10"/>
  <c r="AD43" i="41"/>
  <c r="BX1024" i="10"/>
  <c r="BI243" i="20"/>
  <c r="BI255" i="20"/>
  <c r="CM231" i="20"/>
  <c r="AX53" i="49"/>
  <c r="AX1188" i="10"/>
  <c r="BR50" i="10"/>
  <c r="BR49" i="10"/>
  <c r="BR48" i="10"/>
  <c r="CM1040" i="10"/>
  <c r="CQ1040" i="10"/>
  <c r="BF167" i="49"/>
  <c r="BF270" i="49"/>
  <c r="BB476" i="10"/>
  <c r="AZ490" i="10"/>
  <c r="BB490" i="10" s="1"/>
  <c r="AZ466" i="10"/>
  <c r="BV50" i="10"/>
  <c r="BV49" i="10"/>
  <c r="BV48" i="10"/>
  <c r="CU343" i="20"/>
  <c r="CT399" i="20"/>
  <c r="BY198" i="20"/>
  <c r="BY197" i="20"/>
  <c r="CB197" i="20"/>
  <c r="DN220" i="20"/>
  <c r="CW922" i="10"/>
  <c r="CW837" i="10"/>
  <c r="CW966" i="10"/>
  <c r="BF13" i="20"/>
  <c r="CQ550" i="20"/>
  <c r="CP561" i="20"/>
  <c r="CP818" i="10"/>
  <c r="CK220" i="46"/>
  <c r="CL90" i="46"/>
  <c r="CK67" i="46"/>
  <c r="CK109" i="46"/>
  <c r="BX73" i="46"/>
  <c r="CT113" i="46"/>
  <c r="EE69" i="41" s="1"/>
  <c r="ED69" i="41"/>
  <c r="CH223" i="42"/>
  <c r="DS48" i="41"/>
  <c r="DS54" i="41" s="1"/>
  <c r="BN656" i="10"/>
  <c r="CJ40" i="49"/>
  <c r="CJ67" i="49" s="1"/>
  <c r="CJ71" i="49" s="1"/>
  <c r="CL12" i="10"/>
  <c r="CJ406" i="10"/>
  <c r="AP41" i="41"/>
  <c r="BZ1082" i="10"/>
  <c r="CL89" i="49"/>
  <c r="DC54" i="41"/>
  <c r="CT272" i="42"/>
  <c r="DB758" i="10"/>
  <c r="BM424" i="42"/>
  <c r="BL425" i="42"/>
  <c r="BL429" i="42" s="1"/>
  <c r="BL439" i="42" s="1"/>
  <c r="CB984" i="10"/>
  <c r="CC1012" i="10"/>
  <c r="CR807" i="20"/>
  <c r="CV843" i="20"/>
  <c r="CH841" i="10"/>
  <c r="CH970" i="10"/>
  <c r="CH243" i="20"/>
  <c r="CH257" i="20" s="1"/>
  <c r="CF245" i="20"/>
  <c r="CF257" i="20"/>
  <c r="DA563" i="20"/>
  <c r="DA558" i="20"/>
  <c r="DB558" i="20" s="1"/>
  <c r="CO128" i="20"/>
  <c r="CC13" i="20"/>
  <c r="CR805" i="20"/>
  <c r="CV841" i="20"/>
  <c r="CT514" i="42"/>
  <c r="CT515" i="42"/>
  <c r="CT517" i="42"/>
  <c r="DL158" i="46"/>
  <c r="DL142" i="46" s="1"/>
  <c r="DM129" i="42"/>
  <c r="DP129" i="42" s="1"/>
  <c r="DJ18" i="42"/>
  <c r="DI241" i="42"/>
  <c r="DI240" i="42" s="1"/>
  <c r="DI53" i="42" s="1"/>
  <c r="DL18" i="42"/>
  <c r="AO276" i="46"/>
  <c r="AO277" i="46" s="1"/>
  <c r="AO270" i="46"/>
  <c r="AO271" i="46" s="1"/>
  <c r="DM65" i="42"/>
  <c r="DP65" i="42" s="1"/>
  <c r="DL68" i="42"/>
  <c r="DL484" i="42" s="1"/>
  <c r="DL256" i="42"/>
  <c r="CS202" i="42"/>
  <c r="CT198" i="42"/>
  <c r="CV202" i="42"/>
  <c r="BH503" i="10"/>
  <c r="BM9" i="20"/>
  <c r="DN283" i="20"/>
  <c r="DM284" i="20"/>
  <c r="DB50" i="10"/>
  <c r="DB49" i="10"/>
  <c r="DB48" i="10"/>
  <c r="K42" i="41"/>
  <c r="BE469" i="10"/>
  <c r="BU364" i="20"/>
  <c r="BU354" i="20"/>
  <c r="BU789" i="20"/>
  <c r="BE430" i="10"/>
  <c r="BH430" i="10" s="1"/>
  <c r="BE433" i="10"/>
  <c r="BH433" i="10" s="1"/>
  <c r="CM343" i="20"/>
  <c r="CL399" i="20"/>
  <c r="AW490" i="10"/>
  <c r="AX490" i="10" s="1"/>
  <c r="AW466" i="10"/>
  <c r="CW558" i="20"/>
  <c r="CW563" i="20"/>
  <c r="AZ243" i="20"/>
  <c r="BB236" i="20"/>
  <c r="AZ255" i="20"/>
  <c r="CD278" i="20"/>
  <c r="DI12" i="42"/>
  <c r="DG214" i="46"/>
  <c r="DM20" i="42"/>
  <c r="DP20" i="42" s="1"/>
  <c r="DL511" i="42"/>
  <c r="BJ533" i="42"/>
  <c r="DB485" i="42"/>
  <c r="DB490" i="42" s="1"/>
  <c r="EM39" i="41" s="1"/>
  <c r="DA490" i="42"/>
  <c r="EL39" i="41" s="1"/>
  <c r="CO49" i="49"/>
  <c r="CO76" i="49" s="1"/>
  <c r="CO705" i="10"/>
  <c r="CO1081" i="10"/>
  <c r="CO1189" i="10"/>
  <c r="CO1098" i="10"/>
  <c r="DY71" i="41"/>
  <c r="BE263" i="46"/>
  <c r="CX267" i="42"/>
  <c r="DB270" i="49"/>
  <c r="DC69" i="49"/>
  <c r="DB167" i="49"/>
  <c r="DL224" i="10"/>
  <c r="DL204" i="10"/>
  <c r="DM184" i="10"/>
  <c r="DP184" i="10" s="1"/>
  <c r="DL313" i="10"/>
  <c r="AF295" i="42"/>
  <c r="AF326" i="42"/>
  <c r="CW180" i="49"/>
  <c r="CW279" i="49"/>
  <c r="CW283" i="49" s="1"/>
  <c r="BF467" i="10"/>
  <c r="J44" i="41"/>
  <c r="CN814" i="10"/>
  <c r="CN126" i="20"/>
  <c r="CP120" i="20"/>
  <c r="CN131" i="20"/>
  <c r="BN486" i="20"/>
  <c r="BN493" i="20"/>
  <c r="BN494" i="20"/>
  <c r="DB18" i="10"/>
  <c r="BI48" i="49"/>
  <c r="BI704" i="10"/>
  <c r="BI662" i="10"/>
  <c r="BI1103" i="10"/>
  <c r="BI1193" i="10"/>
  <c r="O11" i="41"/>
  <c r="BZ40" i="10"/>
  <c r="CQ343" i="20"/>
  <c r="CP399" i="20"/>
  <c r="AW467" i="10"/>
  <c r="AW1212" i="10"/>
  <c r="AW1214" i="10" s="1"/>
  <c r="AW1219" i="10" s="1"/>
  <c r="BR128" i="20"/>
  <c r="BP9" i="20"/>
  <c r="CT561" i="20"/>
  <c r="CT818" i="10"/>
  <c r="CU550" i="20"/>
  <c r="CJ913" i="20"/>
  <c r="CJ918" i="20"/>
  <c r="DJ25" i="42"/>
  <c r="DL25" i="42"/>
  <c r="DI512" i="42"/>
  <c r="DM165" i="42"/>
  <c r="DP165" i="42" s="1"/>
  <c r="CQ219" i="46"/>
  <c r="AX514" i="42"/>
  <c r="AX516" i="42" s="1"/>
  <c r="AX515" i="42"/>
  <c r="BN109" i="46"/>
  <c r="BM111" i="46"/>
  <c r="BN111" i="46" s="1"/>
  <c r="BB45" i="43"/>
  <c r="BD54" i="41"/>
  <c r="CX45" i="49"/>
  <c r="CX73" i="49" s="1"/>
  <c r="BD9" i="41"/>
  <c r="BL38" i="49"/>
  <c r="BL20" i="10"/>
  <c r="R7" i="41"/>
  <c r="R56" i="41" s="1"/>
  <c r="CJ126" i="20"/>
  <c r="CJ131" i="20"/>
  <c r="CJ814" i="10"/>
  <c r="CL120" i="20"/>
  <c r="CY231" i="20"/>
  <c r="P52" i="41"/>
  <c r="BN364" i="20"/>
  <c r="BO348" i="20"/>
  <c r="BX984" i="10"/>
  <c r="BN50" i="10"/>
  <c r="BN48" i="10"/>
  <c r="BN49" i="10"/>
  <c r="CK21" i="10"/>
  <c r="CK699" i="10"/>
  <c r="CK1082" i="10"/>
  <c r="CP450" i="10"/>
  <c r="BR263" i="20"/>
  <c r="BR268" i="20" s="1"/>
  <c r="AX486" i="10"/>
  <c r="AV463" i="10"/>
  <c r="CV399" i="42"/>
  <c r="CT407" i="42"/>
  <c r="CT406" i="42" s="1"/>
  <c r="BM113" i="46"/>
  <c r="BN113" i="46" s="1"/>
  <c r="CY69" i="41" s="1"/>
  <c r="BQ10" i="10"/>
  <c r="BI326" i="42"/>
  <c r="BI324" i="42"/>
  <c r="CB46" i="49"/>
  <c r="CB74" i="49" s="1"/>
  <c r="CB172" i="49" s="1"/>
  <c r="CB275" i="49" s="1"/>
  <c r="CD18" i="10"/>
  <c r="AH10" i="41"/>
  <c r="BL255" i="20"/>
  <c r="BN236" i="20"/>
  <c r="BL243" i="20"/>
  <c r="BP255" i="20"/>
  <c r="BM243" i="20"/>
  <c r="BM255" i="20"/>
  <c r="BM789" i="20"/>
  <c r="AW699" i="10"/>
  <c r="AW1082" i="10"/>
  <c r="BH46" i="49"/>
  <c r="BH74" i="49" s="1"/>
  <c r="BH172" i="49" s="1"/>
  <c r="BH275" i="49" s="1"/>
  <c r="BJ18" i="10"/>
  <c r="N10" i="41"/>
  <c r="N58" i="41" s="1"/>
  <c r="BT14" i="20"/>
  <c r="CC984" i="10"/>
  <c r="CL884" i="20"/>
  <c r="CJ887" i="20"/>
  <c r="BD14" i="20"/>
  <c r="BF520" i="42"/>
  <c r="CQ10" i="41"/>
  <c r="CQ11" i="41" s="1"/>
  <c r="BN466" i="10"/>
  <c r="R42" i="41"/>
  <c r="CG1014" i="10"/>
  <c r="CE68" i="46"/>
  <c r="CF49" i="49"/>
  <c r="CF76" i="49" s="1"/>
  <c r="CH699" i="10"/>
  <c r="CF705" i="10"/>
  <c r="CF1098" i="10"/>
  <c r="CF1081" i="10"/>
  <c r="CF1189" i="10"/>
  <c r="BL94" i="49"/>
  <c r="BN272" i="42"/>
  <c r="CD11" i="10"/>
  <c r="CP55" i="49"/>
  <c r="CP86" i="49" s="1"/>
  <c r="AV19" i="41"/>
  <c r="BC44" i="41"/>
  <c r="CW462" i="10"/>
  <c r="BL24" i="10"/>
  <c r="R12" i="41"/>
  <c r="T54" i="41"/>
  <c r="BR466" i="10"/>
  <c r="V42" i="41"/>
  <c r="BY9" i="20"/>
  <c r="BY245" i="20"/>
  <c r="BY257" i="20"/>
  <c r="CQ231" i="20"/>
  <c r="BB443" i="10"/>
  <c r="BB449" i="10" s="1"/>
  <c r="AZ449" i="10"/>
  <c r="BN758" i="10"/>
  <c r="AZ354" i="20"/>
  <c r="AZ364" i="20"/>
  <c r="BB348" i="20"/>
  <c r="DL101" i="10"/>
  <c r="DL1142" i="10"/>
  <c r="DM409" i="20"/>
  <c r="DP409" i="20" s="1"/>
  <c r="DL441" i="20"/>
  <c r="DL443" i="20" s="1"/>
  <c r="CK43" i="49"/>
  <c r="CK70" i="49" s="1"/>
  <c r="CK168" i="49" s="1"/>
  <c r="CK271" i="49" s="1"/>
  <c r="CK409" i="10"/>
  <c r="AQ35" i="41"/>
  <c r="AQ55" i="41" s="1"/>
  <c r="DM24" i="43"/>
  <c r="DP24" i="43" s="1"/>
  <c r="DM67" i="42"/>
  <c r="DP67" i="42" s="1"/>
  <c r="CX90" i="46"/>
  <c r="CY90" i="46" s="1"/>
  <c r="CW109" i="46"/>
  <c r="CW67" i="46"/>
  <c r="CW220" i="46"/>
  <c r="CF298" i="42"/>
  <c r="CH296" i="42"/>
  <c r="BN89" i="49"/>
  <c r="DJ207" i="10"/>
  <c r="CK40" i="49"/>
  <c r="CK67" i="49" s="1"/>
  <c r="CK165" i="49" s="1"/>
  <c r="CK268" i="49" s="1"/>
  <c r="CK406" i="10"/>
  <c r="AQ41" i="41"/>
  <c r="AD424" i="42"/>
  <c r="AD429" i="42"/>
  <c r="CY165" i="10"/>
  <c r="DC68" i="49"/>
  <c r="CL55" i="49"/>
  <c r="CL86" i="49" s="1"/>
  <c r="AR19" i="41"/>
  <c r="CH189" i="49"/>
  <c r="CH292" i="49"/>
  <c r="BS165" i="10"/>
  <c r="CL467" i="10"/>
  <c r="AP44" i="41"/>
  <c r="CH38" i="10"/>
  <c r="CH41" i="10" s="1"/>
  <c r="CI115" i="20"/>
  <c r="BH21" i="10"/>
  <c r="BJ697" i="10"/>
  <c r="BH699" i="10"/>
  <c r="BH1082" i="10"/>
  <c r="CO243" i="20"/>
  <c r="CS257" i="20" s="1"/>
  <c r="CO255" i="20"/>
  <c r="CO816" i="10"/>
  <c r="BY45" i="49"/>
  <c r="BY73" i="49" s="1"/>
  <c r="BY171" i="49" s="1"/>
  <c r="BY274" i="49" s="1"/>
  <c r="BZ786" i="20"/>
  <c r="AE9" i="41"/>
  <c r="DJ545" i="20"/>
  <c r="AM77" i="51"/>
  <c r="AM86" i="51" s="1"/>
  <c r="BZ269" i="20"/>
  <c r="CD561" i="20"/>
  <c r="CD818" i="10"/>
  <c r="DI130" i="42"/>
  <c r="DJ130" i="42" s="1"/>
  <c r="DI156" i="46"/>
  <c r="DI141" i="46" s="1"/>
  <c r="DI143" i="46" s="1"/>
  <c r="DI134" i="42"/>
  <c r="DI597" i="20" s="1"/>
  <c r="DB514" i="42"/>
  <c r="DB515" i="42"/>
  <c r="DB517" i="42"/>
  <c r="DB70" i="46"/>
  <c r="DA72" i="46"/>
  <c r="AX246" i="46"/>
  <c r="AW254" i="46"/>
  <c r="DI392" i="42"/>
  <c r="DI396" i="42" s="1"/>
  <c r="DI112" i="42" s="1"/>
  <c r="DI21" i="46" s="1"/>
  <c r="DI34" i="46" s="1"/>
  <c r="BD253" i="42"/>
  <c r="BA255" i="42"/>
  <c r="AP52" i="41"/>
  <c r="CJ66" i="49"/>
  <c r="DB468" i="10"/>
  <c r="BF45" i="41"/>
  <c r="CF246" i="10"/>
  <c r="CF238" i="10"/>
  <c r="CG246" i="10"/>
  <c r="BX1026" i="10"/>
  <c r="CK278" i="20"/>
  <c r="CO278" i="20"/>
  <c r="BI18" i="20"/>
  <c r="BI32" i="20" s="1"/>
  <c r="BI728" i="20"/>
  <c r="BA13" i="20"/>
  <c r="BA27" i="20" s="1"/>
  <c r="BP279" i="49"/>
  <c r="BP283" i="49" s="1"/>
  <c r="BP180" i="49"/>
  <c r="CF1012" i="10"/>
  <c r="BD811" i="20"/>
  <c r="BD816" i="20"/>
  <c r="BF809" i="20"/>
  <c r="BJ81" i="10"/>
  <c r="BJ82" i="10" s="1"/>
  <c r="BI82" i="10"/>
  <c r="CZ1016" i="10"/>
  <c r="CR922" i="10"/>
  <c r="CR837" i="10"/>
  <c r="CR966" i="10"/>
  <c r="DG241" i="20"/>
  <c r="CP563" i="20"/>
  <c r="EE55" i="41"/>
  <c r="EE52" i="41"/>
  <c r="EE53" i="41"/>
  <c r="DS55" i="41"/>
  <c r="BT40" i="49"/>
  <c r="BT67" i="49" s="1"/>
  <c r="BV12" i="10"/>
  <c r="BT406" i="10"/>
  <c r="Z41" i="41"/>
  <c r="BT10" i="10"/>
  <c r="CS40" i="49"/>
  <c r="CS67" i="49" s="1"/>
  <c r="CS165" i="49" s="1"/>
  <c r="CS406" i="10"/>
  <c r="AY41" i="41"/>
  <c r="BJ70" i="46"/>
  <c r="BI72" i="46"/>
  <c r="DA469" i="10"/>
  <c r="CU165" i="10"/>
  <c r="T61" i="41"/>
  <c r="BB478" i="10"/>
  <c r="BJ463" i="10"/>
  <c r="N43" i="41"/>
  <c r="AW11" i="20"/>
  <c r="DL287" i="20"/>
  <c r="DL292" i="20"/>
  <c r="BR49" i="41"/>
  <c r="BR67" i="41" s="1"/>
  <c r="AW38" i="49"/>
  <c r="AW20" i="10"/>
  <c r="CT843" i="10"/>
  <c r="CT972" i="10"/>
  <c r="BP462" i="10"/>
  <c r="BR463" i="10"/>
  <c r="BP469" i="10"/>
  <c r="V43" i="41"/>
  <c r="BF55" i="41"/>
  <c r="BJ464" i="10"/>
  <c r="P32" i="41" s="1"/>
  <c r="N32" i="41"/>
  <c r="CI343" i="20"/>
  <c r="CH399" i="20"/>
  <c r="CF14" i="20"/>
  <c r="BF38" i="10"/>
  <c r="BF41" i="10" s="1"/>
  <c r="CO841" i="10"/>
  <c r="CO926" i="10"/>
  <c r="CO970" i="10"/>
  <c r="CC728" i="20"/>
  <c r="CC18" i="20"/>
  <c r="BJ483" i="20"/>
  <c r="BH13" i="20"/>
  <c r="BH27" i="20" s="1"/>
  <c r="DL162" i="42"/>
  <c r="DI495" i="42"/>
  <c r="CH90" i="46"/>
  <c r="CG109" i="46"/>
  <c r="CG67" i="46"/>
  <c r="CG73" i="46" s="1"/>
  <c r="CG220" i="46"/>
  <c r="BN166" i="49"/>
  <c r="BO68" i="49"/>
  <c r="BN269" i="49"/>
  <c r="CO40" i="49"/>
  <c r="CO67" i="49" s="1"/>
  <c r="CO165" i="49" s="1"/>
  <c r="CO268" i="49" s="1"/>
  <c r="CO406" i="10"/>
  <c r="AU41" i="41"/>
  <c r="BQ275" i="42"/>
  <c r="AX339" i="42"/>
  <c r="AX344" i="42" s="1"/>
  <c r="AX345" i="42" s="1"/>
  <c r="AV344" i="42"/>
  <c r="CB462" i="10"/>
  <c r="AU54" i="41"/>
  <c r="CC228" i="42"/>
  <c r="CC232" i="42"/>
  <c r="CF228" i="42"/>
  <c r="BM129" i="49"/>
  <c r="BM45" i="43"/>
  <c r="BM44" i="43"/>
  <c r="BM504" i="42"/>
  <c r="BM66" i="49"/>
  <c r="BM163" i="49"/>
  <c r="BM266" i="49" s="1"/>
  <c r="CY387" i="10"/>
  <c r="CX656" i="10"/>
  <c r="BQ24" i="10"/>
  <c r="W12" i="41"/>
  <c r="CP21" i="10"/>
  <c r="CN24" i="10"/>
  <c r="AT12" i="41"/>
  <c r="N42" i="41"/>
  <c r="DA814" i="10"/>
  <c r="DA131" i="20"/>
  <c r="DA789" i="20"/>
  <c r="DM686" i="10"/>
  <c r="DM752" i="10" s="1"/>
  <c r="CL918" i="10"/>
  <c r="CL919" i="10" s="1"/>
  <c r="BY148" i="10"/>
  <c r="AR245" i="20"/>
  <c r="AT243" i="20"/>
  <c r="BR561" i="20"/>
  <c r="CL818" i="10"/>
  <c r="CM550" i="20"/>
  <c r="CL561" i="20"/>
  <c r="CF46" i="49"/>
  <c r="CF74" i="49" s="1"/>
  <c r="CH18" i="10"/>
  <c r="AL10" i="41"/>
  <c r="BD9" i="20"/>
  <c r="BF128" i="20"/>
  <c r="CS255" i="20"/>
  <c r="EQ46" i="41"/>
  <c r="BT228" i="42"/>
  <c r="BT232" i="42"/>
  <c r="CA78" i="49"/>
  <c r="BZ176" i="49"/>
  <c r="BZ279" i="49"/>
  <c r="CP167" i="49"/>
  <c r="CP270" i="49"/>
  <c r="R44" i="41"/>
  <c r="BR55" i="49"/>
  <c r="BR86" i="49" s="1"/>
  <c r="BR440" i="42"/>
  <c r="X19" i="41"/>
  <c r="CI165" i="10"/>
  <c r="BJ759" i="10"/>
  <c r="CJ18" i="20"/>
  <c r="CL727" i="20"/>
  <c r="CJ728" i="20"/>
  <c r="S32" i="41"/>
  <c r="CL449" i="10"/>
  <c r="BT462" i="10"/>
  <c r="BV463" i="10"/>
  <c r="Z43" i="41"/>
  <c r="BF468" i="10"/>
  <c r="J45" i="41"/>
  <c r="DB126" i="20"/>
  <c r="CZ128" i="20"/>
  <c r="AV15" i="20"/>
  <c r="AX680" i="20"/>
  <c r="CL885" i="20"/>
  <c r="CZ356" i="20"/>
  <c r="DD367" i="20" s="1"/>
  <c r="CZ366" i="20"/>
  <c r="DB354" i="20"/>
  <c r="CS558" i="20"/>
  <c r="CT558" i="20" s="1"/>
  <c r="CS563" i="20"/>
  <c r="AX54" i="46"/>
  <c r="DD504" i="42"/>
  <c r="CF520" i="42"/>
  <c r="CP72" i="46"/>
  <c r="AW261" i="46"/>
  <c r="AW263" i="46"/>
  <c r="AL514" i="42"/>
  <c r="CO232" i="42"/>
  <c r="CR228" i="42"/>
  <c r="K44" i="41"/>
  <c r="BE462" i="10"/>
  <c r="BU326" i="42"/>
  <c r="BU324" i="42"/>
  <c r="BO165" i="10"/>
  <c r="CH277" i="20"/>
  <c r="CH274" i="20"/>
  <c r="CH278" i="20" s="1"/>
  <c r="BZ843" i="10"/>
  <c r="BZ972" i="10"/>
  <c r="CN18" i="20"/>
  <c r="CP727" i="20"/>
  <c r="CN728" i="20"/>
  <c r="BI490" i="10"/>
  <c r="BJ490" i="10" s="1"/>
  <c r="BI466" i="10"/>
  <c r="AX495" i="20"/>
  <c r="CR255" i="20"/>
  <c r="CN982" i="10"/>
  <c r="DA245" i="20"/>
  <c r="BV115" i="42"/>
  <c r="DA220" i="46"/>
  <c r="DB90" i="46"/>
  <c r="DA109" i="46"/>
  <c r="R514" i="42"/>
  <c r="R516" i="42" s="1"/>
  <c r="R521" i="42" s="1"/>
  <c r="R515" i="42"/>
  <c r="R520" i="42" s="1"/>
  <c r="BT516" i="42"/>
  <c r="BT518" i="42"/>
  <c r="BL40" i="49"/>
  <c r="BL67" i="49" s="1"/>
  <c r="BL165" i="49" s="1"/>
  <c r="BL268" i="49" s="1"/>
  <c r="BN12" i="10"/>
  <c r="BL406" i="10"/>
  <c r="R41" i="41"/>
  <c r="BX40" i="49"/>
  <c r="BX67" i="49" s="1"/>
  <c r="BX165" i="49" s="1"/>
  <c r="BX268" i="49" s="1"/>
  <c r="BZ12" i="10"/>
  <c r="BX406" i="10"/>
  <c r="AD41" i="41"/>
  <c r="CQ78" i="49"/>
  <c r="CP176" i="49"/>
  <c r="CP279" i="49"/>
  <c r="CP82" i="49"/>
  <c r="CV119" i="46"/>
  <c r="CV121" i="46" s="1"/>
  <c r="EG70" i="41"/>
  <c r="DI292" i="42"/>
  <c r="DJ292" i="42" s="1"/>
  <c r="DJ108" i="49" s="1"/>
  <c r="DJ308" i="42"/>
  <c r="DJ307" i="42" s="1"/>
  <c r="BN198" i="49"/>
  <c r="BN301" i="49"/>
  <c r="BV39" i="49"/>
  <c r="BV64" i="49" s="1"/>
  <c r="BV1256" i="10"/>
  <c r="AB31" i="41"/>
  <c r="BU163" i="49"/>
  <c r="BU266" i="49" s="1"/>
  <c r="BU66" i="49"/>
  <c r="CT758" i="10"/>
  <c r="DJ164" i="49"/>
  <c r="DC165" i="10"/>
  <c r="DA24" i="10"/>
  <c r="BG12" i="41"/>
  <c r="DB55" i="49"/>
  <c r="DB86" i="49" s="1"/>
  <c r="DB440" i="42"/>
  <c r="BH19" i="41"/>
  <c r="BU488" i="20"/>
  <c r="BL18" i="20"/>
  <c r="BN727" i="20"/>
  <c r="BL728" i="20"/>
  <c r="CS46" i="49"/>
  <c r="CS74" i="49" s="1"/>
  <c r="CS172" i="49" s="1"/>
  <c r="CT787" i="20"/>
  <c r="AY10" i="41"/>
  <c r="AY58" i="41" s="1"/>
  <c r="BQ563" i="20"/>
  <c r="BN273" i="20"/>
  <c r="BO232" i="20"/>
  <c r="BN37" i="10"/>
  <c r="BN76" i="10"/>
  <c r="BJ495" i="20"/>
  <c r="CX450" i="10"/>
  <c r="BZ1219" i="10"/>
  <c r="CJ82" i="49"/>
  <c r="BF263" i="20" l="1"/>
  <c r="CL1016" i="10"/>
  <c r="BY191" i="20"/>
  <c r="BB515" i="42"/>
  <c r="BL67" i="41"/>
  <c r="BF266" i="20"/>
  <c r="BF268" i="20"/>
  <c r="BF267" i="20"/>
  <c r="DJ577" i="20"/>
  <c r="DI648" i="20"/>
  <c r="DW53" i="41"/>
  <c r="DW52" i="41"/>
  <c r="DW55" i="41"/>
  <c r="BH269" i="20"/>
  <c r="O10" i="41"/>
  <c r="O58" i="41" s="1"/>
  <c r="DB15" i="10"/>
  <c r="CD95" i="49"/>
  <c r="DA10" i="10"/>
  <c r="DA20" i="10" s="1"/>
  <c r="AI35" i="41"/>
  <c r="AM55" i="41" s="1"/>
  <c r="CC409" i="10"/>
  <c r="L55" i="41"/>
  <c r="CM9" i="41"/>
  <c r="CM12" i="41" s="1"/>
  <c r="BL269" i="20"/>
  <c r="DS52" i="41"/>
  <c r="DS53" i="41"/>
  <c r="BQ45" i="43"/>
  <c r="BQ44" i="43"/>
  <c r="BQ504" i="42"/>
  <c r="BQ129" i="49"/>
  <c r="DP136" i="46"/>
  <c r="DQ136" i="46" s="1"/>
  <c r="DO136" i="46"/>
  <c r="DN1179" i="10"/>
  <c r="DN950" i="10"/>
  <c r="DM241" i="20"/>
  <c r="DM256" i="20" s="1"/>
  <c r="CO491" i="10"/>
  <c r="CD117" i="10"/>
  <c r="CD119" i="10" s="1"/>
  <c r="DI182" i="46"/>
  <c r="DL225" i="42"/>
  <c r="DR332" i="20"/>
  <c r="DN332" i="20"/>
  <c r="DR614" i="20"/>
  <c r="DR141" i="20"/>
  <c r="DJ74" i="10"/>
  <c r="DI552" i="42"/>
  <c r="DI553" i="42" s="1"/>
  <c r="DJ553" i="42" s="1"/>
  <c r="CX385" i="20"/>
  <c r="CP385" i="20"/>
  <c r="CL385" i="20"/>
  <c r="CT385" i="20"/>
  <c r="CP377" i="20"/>
  <c r="CP378" i="20" s="1"/>
  <c r="CL377" i="20"/>
  <c r="CL378" i="20" s="1"/>
  <c r="CX377" i="20"/>
  <c r="CX378" i="20" s="1"/>
  <c r="DB377" i="20"/>
  <c r="DB378" i="20" s="1"/>
  <c r="CX364" i="20"/>
  <c r="CT377" i="20"/>
  <c r="CT378" i="20" s="1"/>
  <c r="BT269" i="20"/>
  <c r="AP532" i="42"/>
  <c r="AP531" i="42"/>
  <c r="BR40" i="49"/>
  <c r="BR67" i="49" s="1"/>
  <c r="CX82" i="49"/>
  <c r="AJ42" i="41"/>
  <c r="CD493" i="10" s="1"/>
  <c r="BV133" i="20"/>
  <c r="DI746" i="10"/>
  <c r="DJ746" i="10" s="1"/>
  <c r="DJ911" i="10" s="1"/>
  <c r="DJ719" i="10"/>
  <c r="BV166" i="49"/>
  <c r="CA126" i="20"/>
  <c r="CD814" i="20"/>
  <c r="DI721" i="10"/>
  <c r="DJ721" i="10" s="1"/>
  <c r="CD469" i="10"/>
  <c r="DI734" i="10"/>
  <c r="BU9" i="20"/>
  <c r="BT28" i="20"/>
  <c r="DI720" i="10"/>
  <c r="DI747" i="10" s="1"/>
  <c r="DN113" i="10"/>
  <c r="CB148" i="10"/>
  <c r="DO410" i="20"/>
  <c r="CT267" i="20"/>
  <c r="BC78" i="51" s="1"/>
  <c r="DP287" i="20"/>
  <c r="DR1252" i="10"/>
  <c r="BJ301" i="49"/>
  <c r="BJ198" i="49"/>
  <c r="BL32" i="20"/>
  <c r="DQ67" i="42"/>
  <c r="DQ25" i="43"/>
  <c r="DQ66" i="42"/>
  <c r="CT82" i="49"/>
  <c r="CT279" i="49"/>
  <c r="CH269" i="49"/>
  <c r="BV269" i="49"/>
  <c r="DQ24" i="43"/>
  <c r="DP128" i="42"/>
  <c r="DQ126" i="42"/>
  <c r="DP494" i="42"/>
  <c r="DP495" i="42" s="1"/>
  <c r="DQ54" i="42"/>
  <c r="DR685" i="10"/>
  <c r="DR751" i="10" s="1"/>
  <c r="DQ759" i="10"/>
  <c r="DR689" i="10"/>
  <c r="DR755" i="10" s="1"/>
  <c r="DR239" i="20"/>
  <c r="DP1131" i="10"/>
  <c r="DP957" i="10"/>
  <c r="DP313" i="10"/>
  <c r="DP204" i="10"/>
  <c r="DP224" i="10"/>
  <c r="DQ184" i="10"/>
  <c r="DQ204" i="10" s="1"/>
  <c r="DR719" i="20"/>
  <c r="DP1135" i="10"/>
  <c r="DP961" i="10"/>
  <c r="DQ169" i="42"/>
  <c r="DQ161" i="42"/>
  <c r="DQ486" i="10"/>
  <c r="DR712" i="10"/>
  <c r="DQ20" i="42"/>
  <c r="DP511" i="42"/>
  <c r="DQ165" i="42"/>
  <c r="DQ129" i="42"/>
  <c r="DP158" i="46"/>
  <c r="DP142" i="46" s="1"/>
  <c r="DQ218" i="10"/>
  <c r="DP307" i="42"/>
  <c r="DP308" i="42" s="1"/>
  <c r="DP292" i="42" s="1"/>
  <c r="DP302" i="42"/>
  <c r="DQ164" i="42"/>
  <c r="DR686" i="10"/>
  <c r="DR752" i="10" s="1"/>
  <c r="DR1179" i="10"/>
  <c r="DR950" i="10"/>
  <c r="FA45" i="41"/>
  <c r="DQ14" i="42"/>
  <c r="DP237" i="42"/>
  <c r="DP236" i="42" s="1"/>
  <c r="DP52" i="42" s="1"/>
  <c r="DQ163" i="20"/>
  <c r="DQ165" i="20" s="1"/>
  <c r="DQ74" i="10"/>
  <c r="DP740" i="10"/>
  <c r="DQ713" i="10"/>
  <c r="DQ740" i="10" s="1"/>
  <c r="DP759" i="10"/>
  <c r="DQ669" i="10"/>
  <c r="DP113" i="10"/>
  <c r="DQ65" i="42"/>
  <c r="DP256" i="42"/>
  <c r="DP68" i="42"/>
  <c r="DP484" i="42" s="1"/>
  <c r="DQ160" i="42"/>
  <c r="DR45" i="46"/>
  <c r="DQ32" i="46"/>
  <c r="DR32" i="46" s="1"/>
  <c r="DR944" i="10"/>
  <c r="DR1173" i="10"/>
  <c r="DR717" i="10"/>
  <c r="DQ235" i="10"/>
  <c r="DQ714" i="10"/>
  <c r="DQ741" i="10" s="1"/>
  <c r="DP741" i="10"/>
  <c r="DR946" i="10"/>
  <c r="DR1175" i="10"/>
  <c r="DR744" i="10"/>
  <c r="BV49" i="41"/>
  <c r="BV67" i="41" s="1"/>
  <c r="DQ176" i="46"/>
  <c r="DP91" i="46"/>
  <c r="DQ168" i="42"/>
  <c r="DR352" i="20"/>
  <c r="DP945" i="10"/>
  <c r="DP1174" i="10"/>
  <c r="DP101" i="10"/>
  <c r="DP1142" i="10"/>
  <c r="DB278" i="20"/>
  <c r="DF278" i="20"/>
  <c r="DP292" i="20"/>
  <c r="DR687" i="10"/>
  <c r="DR753" i="10" s="1"/>
  <c r="DQ739" i="10"/>
  <c r="AU46" i="41"/>
  <c r="AI46" i="41"/>
  <c r="AI69" i="41" s="1"/>
  <c r="AH53" i="41"/>
  <c r="DR116" i="20"/>
  <c r="DS116" i="20" s="1"/>
  <c r="DR138" i="20"/>
  <c r="DR142" i="20" s="1"/>
  <c r="DN578" i="20"/>
  <c r="DN591" i="20" s="1"/>
  <c r="DP578" i="20"/>
  <c r="DP545" i="20"/>
  <c r="DP652" i="20"/>
  <c r="DQ409" i="20"/>
  <c r="DP441" i="20"/>
  <c r="DP241" i="20"/>
  <c r="DQ553" i="20"/>
  <c r="DR330" i="20"/>
  <c r="DR335" i="20" s="1"/>
  <c r="DP554" i="20"/>
  <c r="DQ256" i="20"/>
  <c r="DM554" i="20"/>
  <c r="DM45" i="10" s="1"/>
  <c r="DQ653" i="20"/>
  <c r="DQ554" i="20" s="1"/>
  <c r="DP442" i="20"/>
  <c r="DQ410" i="20"/>
  <c r="DR283" i="20"/>
  <c r="DQ284" i="20"/>
  <c r="DM120" i="46"/>
  <c r="DN120" i="46" s="1"/>
  <c r="DN25" i="43"/>
  <c r="DN24" i="43"/>
  <c r="EX45" i="41"/>
  <c r="DD378" i="42"/>
  <c r="DE374" i="42" s="1"/>
  <c r="DE378" i="42" s="1"/>
  <c r="DF374" i="42"/>
  <c r="DF378" i="42" s="1"/>
  <c r="DH374" i="42" s="1"/>
  <c r="DH378" i="42" s="1"/>
  <c r="DF948" i="10"/>
  <c r="DF45" i="10"/>
  <c r="DE76" i="10"/>
  <c r="DF759" i="10"/>
  <c r="DE1133" i="10"/>
  <c r="DE959" i="10"/>
  <c r="DM204" i="10"/>
  <c r="DM740" i="10"/>
  <c r="DN714" i="10"/>
  <c r="DN409" i="20"/>
  <c r="CW491" i="10"/>
  <c r="AR35" i="41"/>
  <c r="AV55" i="41" s="1"/>
  <c r="BZ45" i="49"/>
  <c r="BZ73" i="49" s="1"/>
  <c r="AY46" i="41"/>
  <c r="CS660" i="10" s="1"/>
  <c r="BZ130" i="10"/>
  <c r="BI462" i="10"/>
  <c r="BF450" i="10"/>
  <c r="BC46" i="41"/>
  <c r="BI67" i="46"/>
  <c r="BI220" i="46"/>
  <c r="BI109" i="46"/>
  <c r="DO116" i="20"/>
  <c r="DN163" i="20"/>
  <c r="DN165" i="20" s="1"/>
  <c r="DK116" i="20"/>
  <c r="DJ163" i="20"/>
  <c r="DN142" i="20"/>
  <c r="BD32" i="20"/>
  <c r="CN50" i="49"/>
  <c r="CN77" i="49" s="1"/>
  <c r="CT268" i="20"/>
  <c r="BC79" i="51" s="1"/>
  <c r="AD531" i="42"/>
  <c r="AD532" i="42"/>
  <c r="AD515" i="42"/>
  <c r="AD520" i="42" s="1"/>
  <c r="CG353" i="10"/>
  <c r="CL353" i="10"/>
  <c r="CY348" i="20"/>
  <c r="DB117" i="10"/>
  <c r="DC117" i="10" s="1"/>
  <c r="CH344" i="49"/>
  <c r="DI659" i="20"/>
  <c r="DM741" i="10"/>
  <c r="DN741" i="10" s="1"/>
  <c r="DL719" i="10"/>
  <c r="DD505" i="42"/>
  <c r="DD515" i="42"/>
  <c r="DD520" i="42" s="1"/>
  <c r="DD516" i="42"/>
  <c r="DD521" i="42" s="1"/>
  <c r="BF269" i="20"/>
  <c r="AX467" i="10"/>
  <c r="CD82" i="49"/>
  <c r="BQ269" i="20"/>
  <c r="BD61" i="41"/>
  <c r="CO269" i="20"/>
  <c r="CJ269" i="20"/>
  <c r="CR821" i="10"/>
  <c r="CR867" i="10" s="1"/>
  <c r="BL50" i="49"/>
  <c r="BL77" i="49" s="1"/>
  <c r="BL175" i="49" s="1"/>
  <c r="BL278" i="49" s="1"/>
  <c r="BU50" i="49"/>
  <c r="BU77" i="49" s="1"/>
  <c r="BU175" i="49" s="1"/>
  <c r="BU278" i="49" s="1"/>
  <c r="AF9" i="41"/>
  <c r="CB470" i="10"/>
  <c r="CB491" i="10"/>
  <c r="BN267" i="20"/>
  <c r="CV28" i="20"/>
  <c r="BX32" i="20"/>
  <c r="CH806" i="20"/>
  <c r="CX531" i="42"/>
  <c r="BR198" i="49"/>
  <c r="BV241" i="49" s="1"/>
  <c r="BR301" i="49"/>
  <c r="BV344" i="49" s="1"/>
  <c r="DB269" i="20"/>
  <c r="CL296" i="42"/>
  <c r="CL112" i="49" s="1"/>
  <c r="CJ32" i="20"/>
  <c r="BT89" i="49"/>
  <c r="BV267" i="42"/>
  <c r="CP1017" i="10"/>
  <c r="CP952" i="10"/>
  <c r="BZ1014" i="10"/>
  <c r="BZ1026" i="10" s="1"/>
  <c r="BR280" i="49"/>
  <c r="BS79" i="49"/>
  <c r="BR177" i="49"/>
  <c r="BB265" i="46"/>
  <c r="CX1017" i="10"/>
  <c r="CX952" i="10"/>
  <c r="CX1015" i="10"/>
  <c r="CP177" i="49"/>
  <c r="CP280" i="49"/>
  <c r="CU79" i="49"/>
  <c r="BZ1012" i="10"/>
  <c r="BZ280" i="49"/>
  <c r="BZ177" i="49"/>
  <c r="DC79" i="49"/>
  <c r="CX280" i="49"/>
  <c r="CX177" i="49"/>
  <c r="CY79" i="49"/>
  <c r="BH62" i="41"/>
  <c r="BZ1017" i="10"/>
  <c r="BZ952" i="10"/>
  <c r="BF298" i="42"/>
  <c r="BZ1015" i="10"/>
  <c r="AN62" i="41"/>
  <c r="AJ62" i="41"/>
  <c r="CD952" i="10"/>
  <c r="CD1017" i="10"/>
  <c r="BH462" i="10"/>
  <c r="CD280" i="49"/>
  <c r="CI79" i="49"/>
  <c r="CE79" i="49"/>
  <c r="CD177" i="49"/>
  <c r="P62" i="41"/>
  <c r="T62" i="41"/>
  <c r="BO79" i="49"/>
  <c r="BJ177" i="49"/>
  <c r="BK79" i="49"/>
  <c r="BJ280" i="49"/>
  <c r="AH54" i="41"/>
  <c r="BZ119" i="10"/>
  <c r="BX167" i="49"/>
  <c r="BX82" i="49"/>
  <c r="AD58" i="41"/>
  <c r="AA58" i="41"/>
  <c r="BG60" i="41"/>
  <c r="CM68" i="49"/>
  <c r="BU71" i="49"/>
  <c r="BU75" i="49" s="1"/>
  <c r="AL60" i="41"/>
  <c r="Z532" i="42"/>
  <c r="Z531" i="42"/>
  <c r="Z514" i="42"/>
  <c r="Z516" i="42" s="1"/>
  <c r="Z521" i="42" s="1"/>
  <c r="Z515" i="42"/>
  <c r="Z520" i="42" s="1"/>
  <c r="CK269" i="20"/>
  <c r="AH58" i="41"/>
  <c r="CK148" i="10"/>
  <c r="AZ267" i="20"/>
  <c r="BE269" i="20"/>
  <c r="CD267" i="42"/>
  <c r="AZ268" i="20"/>
  <c r="BZ198" i="49"/>
  <c r="CD241" i="49" s="1"/>
  <c r="BZ301" i="49"/>
  <c r="BZ344" i="49" s="1"/>
  <c r="CH269" i="20"/>
  <c r="CS953" i="20"/>
  <c r="CS958" i="20" s="1"/>
  <c r="AV62" i="41"/>
  <c r="AR62" i="41"/>
  <c r="BQ50" i="49"/>
  <c r="BQ77" i="49" s="1"/>
  <c r="BQ175" i="49" s="1"/>
  <c r="BQ278" i="49" s="1"/>
  <c r="CE90" i="46"/>
  <c r="AV265" i="46"/>
  <c r="BZ95" i="10"/>
  <c r="CL952" i="10"/>
  <c r="CL1017" i="10"/>
  <c r="CP268" i="20"/>
  <c r="AY79" i="51" s="1"/>
  <c r="CO821" i="10"/>
  <c r="CO867" i="10" s="1"/>
  <c r="CQ79" i="49"/>
  <c r="CL177" i="49"/>
  <c r="CL280" i="49"/>
  <c r="CM79" i="49"/>
  <c r="CL166" i="49"/>
  <c r="CL269" i="49"/>
  <c r="CX268" i="20"/>
  <c r="BG79" i="51" s="1"/>
  <c r="DI584" i="20"/>
  <c r="DJ584" i="20" s="1"/>
  <c r="AQ78" i="51"/>
  <c r="AQ86" i="51" s="1"/>
  <c r="CD269" i="20"/>
  <c r="BF816" i="20"/>
  <c r="AV54" i="41"/>
  <c r="BM278" i="20"/>
  <c r="AB62" i="41"/>
  <c r="AF62" i="41"/>
  <c r="CW821" i="10"/>
  <c r="CW867" i="10" s="1"/>
  <c r="CA79" i="49"/>
  <c r="BV177" i="49"/>
  <c r="BV280" i="49"/>
  <c r="BW79" i="49"/>
  <c r="CV32" i="20"/>
  <c r="BF58" i="41"/>
  <c r="CO887" i="20"/>
  <c r="CO895" i="20" s="1"/>
  <c r="BB263" i="20"/>
  <c r="BB268" i="20" s="1"/>
  <c r="AM46" i="41"/>
  <c r="CT255" i="20"/>
  <c r="BN467" i="10"/>
  <c r="BF811" i="20"/>
  <c r="BJ51" i="10"/>
  <c r="DA50" i="49"/>
  <c r="DA77" i="49" s="1"/>
  <c r="DA175" i="49" s="1"/>
  <c r="DA278" i="49" s="1"/>
  <c r="BN180" i="49"/>
  <c r="CA550" i="20"/>
  <c r="BZ561" i="20"/>
  <c r="BZ818" i="10"/>
  <c r="BZ551" i="20"/>
  <c r="BX148" i="10"/>
  <c r="BX841" i="10"/>
  <c r="BX982" i="10" s="1"/>
  <c r="BX926" i="10"/>
  <c r="BX970" i="10"/>
  <c r="BM71" i="49"/>
  <c r="BM169" i="49" s="1"/>
  <c r="BM272" i="49" s="1"/>
  <c r="AQ46" i="41"/>
  <c r="AA46" i="41"/>
  <c r="CO829" i="20"/>
  <c r="CN837" i="20"/>
  <c r="BP50" i="49"/>
  <c r="BP77" i="49" s="1"/>
  <c r="BP175" i="49" s="1"/>
  <c r="BP278" i="49" s="1"/>
  <c r="CB198" i="20"/>
  <c r="BX198" i="20"/>
  <c r="BX197" i="20"/>
  <c r="CB563" i="20"/>
  <c r="BX558" i="20"/>
  <c r="BZ558" i="20" s="1"/>
  <c r="BX563" i="20"/>
  <c r="BX190" i="20"/>
  <c r="BX191" i="20"/>
  <c r="CB190" i="20"/>
  <c r="BN283" i="49"/>
  <c r="BA269" i="20"/>
  <c r="AB55" i="41"/>
  <c r="BJ180" i="49"/>
  <c r="BJ269" i="20"/>
  <c r="AT46" i="41"/>
  <c r="BN266" i="20"/>
  <c r="CW974" i="10"/>
  <c r="BV51" i="10"/>
  <c r="CZ71" i="49"/>
  <c r="CZ75" i="49" s="1"/>
  <c r="AX46" i="41"/>
  <c r="AX47" i="41" s="1"/>
  <c r="BN41" i="10"/>
  <c r="BA265" i="46"/>
  <c r="CO353" i="10"/>
  <c r="BX811" i="20"/>
  <c r="BZ811" i="20" s="1"/>
  <c r="BX816" i="20"/>
  <c r="BZ809" i="20"/>
  <c r="BZ816" i="20" s="1"/>
  <c r="CX273" i="42"/>
  <c r="BY50" i="49"/>
  <c r="BY77" i="49" s="1"/>
  <c r="BY175" i="49" s="1"/>
  <c r="BY278" i="49" s="1"/>
  <c r="BB60" i="41"/>
  <c r="BH61" i="41"/>
  <c r="CF148" i="10"/>
  <c r="CC148" i="10"/>
  <c r="CX485" i="42"/>
  <c r="CX490" i="42" s="1"/>
  <c r="EI39" i="41" s="1"/>
  <c r="CW490" i="42"/>
  <c r="EH39" i="41" s="1"/>
  <c r="AL58" i="41"/>
  <c r="CN28" i="20"/>
  <c r="CP283" i="49"/>
  <c r="CP180" i="49"/>
  <c r="BI27" i="20"/>
  <c r="AL46" i="41"/>
  <c r="BJ283" i="49"/>
  <c r="DE919" i="10"/>
  <c r="DB267" i="42"/>
  <c r="EC10" i="41"/>
  <c r="EC11" i="41" s="1"/>
  <c r="CR520" i="42"/>
  <c r="CP799" i="20"/>
  <c r="CQ799" i="20" s="1"/>
  <c r="CI90" i="46"/>
  <c r="BI75" i="49"/>
  <c r="BI173" i="49" s="1"/>
  <c r="BI276" i="49" s="1"/>
  <c r="CX15" i="10"/>
  <c r="CR518" i="42"/>
  <c r="CR516" i="42"/>
  <c r="CB904" i="20"/>
  <c r="CB901" i="20"/>
  <c r="AD46" i="41"/>
  <c r="CL266" i="20"/>
  <c r="AB54" i="41"/>
  <c r="CL490" i="10"/>
  <c r="X55" i="41"/>
  <c r="BR495" i="20"/>
  <c r="DA32" i="20"/>
  <c r="CW10" i="10"/>
  <c r="BX119" i="10"/>
  <c r="BX15" i="10" s="1"/>
  <c r="DB450" i="10"/>
  <c r="BC35" i="41"/>
  <c r="BG55" i="41" s="1"/>
  <c r="DL545" i="20"/>
  <c r="DL652" i="20"/>
  <c r="DM715" i="10"/>
  <c r="DP715" i="10" s="1"/>
  <c r="DL742" i="10"/>
  <c r="CW269" i="20"/>
  <c r="CK32" i="20"/>
  <c r="BR488" i="20"/>
  <c r="CW43" i="49"/>
  <c r="CW70" i="49" s="1"/>
  <c r="BB255" i="46"/>
  <c r="BA256" i="46"/>
  <c r="BB256" i="46" s="1"/>
  <c r="DB273" i="42"/>
  <c r="AY55" i="41"/>
  <c r="BW69" i="49"/>
  <c r="CR28" i="20"/>
  <c r="DM186" i="20"/>
  <c r="DP186" i="20" s="1"/>
  <c r="DL196" i="20"/>
  <c r="DL148" i="20"/>
  <c r="DI88" i="10"/>
  <c r="DI125" i="10"/>
  <c r="DI157" i="20"/>
  <c r="DJ148" i="20"/>
  <c r="DI197" i="20"/>
  <c r="DI198" i="20"/>
  <c r="DK186" i="20"/>
  <c r="DJ196" i="20"/>
  <c r="DJ198" i="20" s="1"/>
  <c r="DN627" i="20"/>
  <c r="DN614" i="20"/>
  <c r="DM237" i="10"/>
  <c r="DP237" i="10" s="1"/>
  <c r="DM236" i="10"/>
  <c r="DP236" i="10" s="1"/>
  <c r="BZ890" i="20"/>
  <c r="CA890" i="20" s="1"/>
  <c r="DM585" i="20"/>
  <c r="DN585" i="20" s="1"/>
  <c r="BX520" i="42"/>
  <c r="BL521" i="42"/>
  <c r="CN32" i="20"/>
  <c r="DB51" i="10"/>
  <c r="K60" i="41"/>
  <c r="CX176" i="49"/>
  <c r="CX180" i="49" s="1"/>
  <c r="CX279" i="49"/>
  <c r="CX283" i="49" s="1"/>
  <c r="CX278" i="20"/>
  <c r="CY78" i="49"/>
  <c r="BR51" i="10"/>
  <c r="BX705" i="10"/>
  <c r="BX1098" i="10"/>
  <c r="BX1081" i="10"/>
  <c r="BX49" i="49"/>
  <c r="BX76" i="49" s="1"/>
  <c r="BX1189" i="10"/>
  <c r="CC490" i="42"/>
  <c r="CD485" i="42"/>
  <c r="CD490" i="42" s="1"/>
  <c r="DO39" i="41" s="1"/>
  <c r="CB521" i="42"/>
  <c r="DL745" i="10"/>
  <c r="DM718" i="10"/>
  <c r="DP718" i="10" s="1"/>
  <c r="CH176" i="49"/>
  <c r="CH180" i="49" s="1"/>
  <c r="CH279" i="49"/>
  <c r="CH283" i="49" s="1"/>
  <c r="AK380" i="42"/>
  <c r="AJ382" i="42"/>
  <c r="AJ387" i="42"/>
  <c r="AJ385" i="42" s="1"/>
  <c r="CN516" i="42"/>
  <c r="CN518" i="42"/>
  <c r="CT296" i="42"/>
  <c r="CR298" i="42"/>
  <c r="BZ287" i="49"/>
  <c r="BZ184" i="49"/>
  <c r="CN520" i="42"/>
  <c r="DY10" i="41"/>
  <c r="DY11" i="41" s="1"/>
  <c r="DC90" i="46"/>
  <c r="V46" i="41"/>
  <c r="CP885" i="20"/>
  <c r="BB811" i="20"/>
  <c r="CL51" i="10"/>
  <c r="BZ51" i="10"/>
  <c r="CO44" i="43"/>
  <c r="CO45" i="43"/>
  <c r="CO504" i="42"/>
  <c r="DZ16" i="41"/>
  <c r="CT89" i="49"/>
  <c r="CH238" i="10"/>
  <c r="CG241" i="10"/>
  <c r="CJ245" i="10"/>
  <c r="BH518" i="42"/>
  <c r="BH516" i="42"/>
  <c r="BH521" i="42" s="1"/>
  <c r="CS805" i="20"/>
  <c r="CT805" i="20" s="1"/>
  <c r="CW841" i="20"/>
  <c r="CX841" i="20" s="1"/>
  <c r="CB174" i="49"/>
  <c r="CB277" i="49" s="1"/>
  <c r="CR53" i="49"/>
  <c r="CR47" i="10"/>
  <c r="CR1019" i="10"/>
  <c r="CR998" i="10" s="1"/>
  <c r="CR1188" i="10"/>
  <c r="EC25" i="41" s="1"/>
  <c r="AX15" i="41"/>
  <c r="BE505" i="42"/>
  <c r="BE515" i="42"/>
  <c r="BE520" i="42" s="1"/>
  <c r="BE516" i="42"/>
  <c r="BE521" i="42" s="1"/>
  <c r="CR50" i="49"/>
  <c r="CR77" i="49" s="1"/>
  <c r="CR80" i="49" s="1"/>
  <c r="CH51" i="10"/>
  <c r="CM239" i="10"/>
  <c r="CI239" i="10"/>
  <c r="BP323" i="10"/>
  <c r="BQ323" i="10"/>
  <c r="BP314" i="10"/>
  <c r="BX24" i="10"/>
  <c r="AD12" i="41"/>
  <c r="AH60" i="41" s="1"/>
  <c r="BF44" i="43"/>
  <c r="BE46" i="43"/>
  <c r="BH446" i="42" s="1"/>
  <c r="BJ446" i="42" s="1"/>
  <c r="DM716" i="10"/>
  <c r="DP716" i="10" s="1"/>
  <c r="DL743" i="10"/>
  <c r="BX518" i="42"/>
  <c r="BX516" i="42"/>
  <c r="CI78" i="49"/>
  <c r="CX287" i="49"/>
  <c r="CX184" i="49"/>
  <c r="CS490" i="42"/>
  <c r="ED39" i="41" s="1"/>
  <c r="CT485" i="42"/>
  <c r="CT490" i="42" s="1"/>
  <c r="EE39" i="41" s="1"/>
  <c r="CB53" i="49"/>
  <c r="CB47" i="10"/>
  <c r="CB1019" i="10"/>
  <c r="CB998" i="10" s="1"/>
  <c r="CB1188" i="10"/>
  <c r="AH15" i="41"/>
  <c r="AR61" i="41"/>
  <c r="BW238" i="10"/>
  <c r="CB50" i="49"/>
  <c r="CB77" i="49" s="1"/>
  <c r="CB175" i="49" s="1"/>
  <c r="CB278" i="49" s="1"/>
  <c r="DI366" i="42"/>
  <c r="DI369" i="42" s="1"/>
  <c r="DI107" i="42" s="1"/>
  <c r="DL369" i="42"/>
  <c r="DN366" i="42"/>
  <c r="DN369" i="42" s="1"/>
  <c r="DP366" i="42" s="1"/>
  <c r="DN1135" i="10"/>
  <c r="DN961" i="10"/>
  <c r="DM652" i="20"/>
  <c r="DQ657" i="20" s="1"/>
  <c r="DM545" i="20"/>
  <c r="DA270" i="49"/>
  <c r="DA283" i="49" s="1"/>
  <c r="DA180" i="49"/>
  <c r="DM1155" i="10"/>
  <c r="DP1155" i="10" s="1"/>
  <c r="DM1154" i="10"/>
  <c r="DP1154" i="10" s="1"/>
  <c r="CP14" i="20"/>
  <c r="BI429" i="10"/>
  <c r="BL429" i="10" s="1"/>
  <c r="CH73" i="46"/>
  <c r="CL1028" i="10"/>
  <c r="BI433" i="10"/>
  <c r="BL433" i="10" s="1"/>
  <c r="DB14" i="20"/>
  <c r="BM431" i="10"/>
  <c r="BP431" i="10" s="1"/>
  <c r="CT14" i="20"/>
  <c r="CU558" i="20"/>
  <c r="BI430" i="10"/>
  <c r="BL430" i="10" s="1"/>
  <c r="BV71" i="46"/>
  <c r="DJ122" i="49"/>
  <c r="CT915" i="20"/>
  <c r="BN49" i="49"/>
  <c r="BN76" i="49" s="1"/>
  <c r="BN1081" i="10"/>
  <c r="BN1189" i="10"/>
  <c r="BN1098" i="10"/>
  <c r="DI150" i="46"/>
  <c r="BI435" i="10"/>
  <c r="BL435" i="10" s="1"/>
  <c r="DJ112" i="10"/>
  <c r="DJ159" i="20"/>
  <c r="BZ73" i="46"/>
  <c r="BI436" i="10"/>
  <c r="BL436" i="10" s="1"/>
  <c r="BN46" i="49"/>
  <c r="BN74" i="49" s="1"/>
  <c r="T10" i="41"/>
  <c r="DB184" i="49"/>
  <c r="DB287" i="49"/>
  <c r="BT521" i="42"/>
  <c r="DB67" i="46"/>
  <c r="EL68" i="41"/>
  <c r="CP101" i="49"/>
  <c r="BV469" i="10"/>
  <c r="BT655" i="10"/>
  <c r="BT657" i="10" s="1"/>
  <c r="BT659" i="10" s="1"/>
  <c r="BT663" i="10" s="1"/>
  <c r="BT491" i="10"/>
  <c r="BT470" i="10"/>
  <c r="BM655" i="10"/>
  <c r="BM657" i="10" s="1"/>
  <c r="BM659" i="10" s="1"/>
  <c r="BM663" i="10" s="1"/>
  <c r="BM491" i="10"/>
  <c r="AX60" i="41"/>
  <c r="BQ53" i="49"/>
  <c r="BQ47" i="10"/>
  <c r="BQ1188" i="10"/>
  <c r="W15" i="41"/>
  <c r="BM131" i="49"/>
  <c r="BN45" i="43"/>
  <c r="CO1016" i="10"/>
  <c r="CH14" i="20"/>
  <c r="BR462" i="10"/>
  <c r="X43" i="41"/>
  <c r="P43" i="41"/>
  <c r="CZ38" i="49"/>
  <c r="CZ20" i="10"/>
  <c r="DB20" i="10" s="1"/>
  <c r="DB10" i="10"/>
  <c r="BF7" i="41"/>
  <c r="CS268" i="49"/>
  <c r="DG232" i="20"/>
  <c r="CF1024" i="10"/>
  <c r="AX254" i="46"/>
  <c r="AW256" i="46"/>
  <c r="AX256" i="46" s="1"/>
  <c r="DB520" i="42"/>
  <c r="EM10" i="41"/>
  <c r="EM11" i="41" s="1"/>
  <c r="DI124" i="42"/>
  <c r="DI136" i="42"/>
  <c r="DI599" i="20" s="1"/>
  <c r="BH24" i="10"/>
  <c r="BJ21" i="10"/>
  <c r="N12" i="41"/>
  <c r="R60" i="41" s="1"/>
  <c r="CH112" i="49"/>
  <c r="CH298" i="42"/>
  <c r="DN67" i="42"/>
  <c r="DM101" i="10"/>
  <c r="DM441" i="20"/>
  <c r="DM443" i="20" s="1"/>
  <c r="DM1142" i="10"/>
  <c r="BY10" i="20"/>
  <c r="BY24" i="20" s="1"/>
  <c r="BY246" i="20"/>
  <c r="T12" i="41"/>
  <c r="CD39" i="49"/>
  <c r="CD64" i="49" s="1"/>
  <c r="CI64" i="49" s="1"/>
  <c r="CD1256" i="10"/>
  <c r="AJ31" i="41"/>
  <c r="AN52" i="41" s="1"/>
  <c r="CH49" i="49"/>
  <c r="CH76" i="49" s="1"/>
  <c r="CH1081" i="10"/>
  <c r="CH1098" i="10"/>
  <c r="CH1189" i="10"/>
  <c r="BV14" i="20"/>
  <c r="BL245" i="20"/>
  <c r="BL257" i="20"/>
  <c r="BN243" i="20"/>
  <c r="BP257" i="20"/>
  <c r="CK24" i="10"/>
  <c r="AQ12" i="41"/>
  <c r="AQ60" i="41" s="1"/>
  <c r="CL131" i="20"/>
  <c r="CL814" i="10"/>
  <c r="BN38" i="49"/>
  <c r="T7" i="41"/>
  <c r="T56" i="41" s="1"/>
  <c r="AX520" i="42"/>
  <c r="CI10" i="41"/>
  <c r="CI11" i="41" s="1"/>
  <c r="CT841" i="10"/>
  <c r="CT970" i="10"/>
  <c r="CP126" i="20"/>
  <c r="CN128" i="20"/>
  <c r="CN133" i="20"/>
  <c r="DG211" i="46"/>
  <c r="DF472" i="10"/>
  <c r="DM292" i="20"/>
  <c r="DM287" i="20"/>
  <c r="BS49" i="41"/>
  <c r="BS67" i="41" s="1"/>
  <c r="BM23" i="20"/>
  <c r="CT520" i="42"/>
  <c r="EE10" i="41"/>
  <c r="EE11" i="41" s="1"/>
  <c r="CO9" i="20"/>
  <c r="BM425" i="42"/>
  <c r="BP424" i="42"/>
  <c r="CL40" i="49"/>
  <c r="CL67" i="49" s="1"/>
  <c r="AR41" i="41"/>
  <c r="CM90" i="46"/>
  <c r="BB466" i="10"/>
  <c r="F42" i="41"/>
  <c r="CM70" i="46"/>
  <c r="CR1028" i="10"/>
  <c r="CK14" i="20"/>
  <c r="T45" i="41"/>
  <c r="CR799" i="20"/>
  <c r="CV820" i="20"/>
  <c r="CT820" i="20"/>
  <c r="CT824" i="20" s="1"/>
  <c r="CR821" i="20"/>
  <c r="BD42" i="41"/>
  <c r="CX493" i="10" s="1"/>
  <c r="AO27" i="51"/>
  <c r="CF32" i="20"/>
  <c r="BB38" i="49"/>
  <c r="H7" i="41"/>
  <c r="H56" i="41" s="1"/>
  <c r="BL278" i="20"/>
  <c r="BP278" i="20"/>
  <c r="AV48" i="49"/>
  <c r="AX20" i="10"/>
  <c r="AV25" i="10"/>
  <c r="AV662" i="10"/>
  <c r="AV704" i="10"/>
  <c r="AV707" i="10" s="1"/>
  <c r="AV1187" i="10" s="1"/>
  <c r="AV1193" i="10"/>
  <c r="AV1194" i="10" s="1"/>
  <c r="AV1103" i="10"/>
  <c r="AV1186" i="10"/>
  <c r="DA174" i="49"/>
  <c r="CG174" i="49"/>
  <c r="CT1082" i="10"/>
  <c r="CK176" i="49"/>
  <c r="CK82" i="49"/>
  <c r="CD246" i="20"/>
  <c r="CD10" i="20"/>
  <c r="CK821" i="10"/>
  <c r="CK973" i="10" s="1"/>
  <c r="CK837" i="10"/>
  <c r="CK922" i="10"/>
  <c r="CK966" i="10"/>
  <c r="CK974" i="10"/>
  <c r="CS505" i="42"/>
  <c r="CS515" i="42"/>
  <c r="CS516" i="42"/>
  <c r="CS982" i="10"/>
  <c r="BH23" i="20"/>
  <c r="CD1082" i="10"/>
  <c r="CG1016" i="10"/>
  <c r="CP266" i="20"/>
  <c r="AY77" i="51" s="1"/>
  <c r="BM38" i="49"/>
  <c r="BM20" i="10"/>
  <c r="BN20" i="10" s="1"/>
  <c r="BN784" i="20"/>
  <c r="S7" i="41"/>
  <c r="S56" i="41" s="1"/>
  <c r="Y50" i="43"/>
  <c r="AF446" i="42"/>
  <c r="J56" i="41"/>
  <c r="CF967" i="10"/>
  <c r="CF923" i="10"/>
  <c r="CF838" i="10"/>
  <c r="CF974" i="10"/>
  <c r="CF821" i="10"/>
  <c r="BX23" i="20"/>
  <c r="BX11" i="20"/>
  <c r="CP194" i="49"/>
  <c r="CP297" i="49"/>
  <c r="AW1" i="20"/>
  <c r="AZ2" i="20"/>
  <c r="BZ18" i="20"/>
  <c r="BZ728" i="20"/>
  <c r="CL297" i="49"/>
  <c r="CL194" i="49"/>
  <c r="DM759" i="10"/>
  <c r="BB52" i="41"/>
  <c r="CV71" i="49"/>
  <c r="CV75" i="49" s="1"/>
  <c r="CV81" i="49" s="1"/>
  <c r="CV66" i="49"/>
  <c r="CH984" i="10"/>
  <c r="BD45" i="41"/>
  <c r="CN38" i="49"/>
  <c r="CN20" i="10"/>
  <c r="CN1186" i="10" s="1"/>
  <c r="CP10" i="10"/>
  <c r="AT7" i="41"/>
  <c r="CD67" i="46"/>
  <c r="BM101" i="49"/>
  <c r="BN72" i="46"/>
  <c r="BM73" i="46"/>
  <c r="CD72" i="46"/>
  <c r="CC73" i="46"/>
  <c r="CV1028" i="10"/>
  <c r="DN945" i="10"/>
  <c r="DN1174" i="10"/>
  <c r="AB44" i="41"/>
  <c r="BL298" i="42"/>
  <c r="BN296" i="42"/>
  <c r="CL93" i="49"/>
  <c r="BV518" i="42"/>
  <c r="BV516" i="42"/>
  <c r="BY967" i="10"/>
  <c r="BY923" i="10"/>
  <c r="BY838" i="10"/>
  <c r="BY974" i="10"/>
  <c r="BY821" i="10"/>
  <c r="AW505" i="42"/>
  <c r="AW515" i="42"/>
  <c r="AW520" i="42" s="1"/>
  <c r="BB51" i="43"/>
  <c r="BB46" i="43"/>
  <c r="CQ90" i="46"/>
  <c r="CB1028" i="10"/>
  <c r="CQ348" i="20"/>
  <c r="CP364" i="20"/>
  <c r="CP815" i="10"/>
  <c r="CB314" i="10"/>
  <c r="CB323" i="10"/>
  <c r="AF45" i="41"/>
  <c r="CO50" i="49"/>
  <c r="CO77" i="49" s="1"/>
  <c r="CO175" i="49" s="1"/>
  <c r="CO278" i="49" s="1"/>
  <c r="EP43" i="41"/>
  <c r="BV168" i="49"/>
  <c r="BV271" i="49"/>
  <c r="BW70" i="49"/>
  <c r="BE356" i="20"/>
  <c r="BE366" i="20"/>
  <c r="DI80" i="10"/>
  <c r="S44" i="41"/>
  <c r="S46" i="41" s="1"/>
  <c r="BM462" i="10"/>
  <c r="DI232" i="20"/>
  <c r="DJ232" i="20" s="1"/>
  <c r="DI295" i="20"/>
  <c r="DI273" i="20"/>
  <c r="DJ273" i="20" s="1"/>
  <c r="DJ277" i="20" s="1"/>
  <c r="CD40" i="49"/>
  <c r="CD67" i="49" s="1"/>
  <c r="CI67" i="49" s="1"/>
  <c r="AJ41" i="41"/>
  <c r="CT283" i="49"/>
  <c r="CH839" i="10"/>
  <c r="CH968" i="10"/>
  <c r="BT356" i="20"/>
  <c r="BT366" i="20"/>
  <c r="BV354" i="20"/>
  <c r="BF561" i="20"/>
  <c r="DB112" i="49"/>
  <c r="DB298" i="42"/>
  <c r="AX1" i="10"/>
  <c r="AW390" i="10"/>
  <c r="AW394" i="10"/>
  <c r="AW170" i="10"/>
  <c r="AW172" i="10"/>
  <c r="AW393" i="10"/>
  <c r="AW168" i="10"/>
  <c r="AW169" i="10"/>
  <c r="AW392" i="10"/>
  <c r="AW171" i="10"/>
  <c r="AW395" i="10"/>
  <c r="AW391" i="10"/>
  <c r="CW9" i="20"/>
  <c r="BL14" i="20"/>
  <c r="BP28" i="20" s="1"/>
  <c r="BN558" i="20"/>
  <c r="DL759" i="10"/>
  <c r="BJ48" i="49"/>
  <c r="BJ42" i="10"/>
  <c r="BJ662" i="10"/>
  <c r="BJ1193" i="10"/>
  <c r="BJ1103" i="10"/>
  <c r="P11" i="41"/>
  <c r="CJ924" i="10"/>
  <c r="CJ839" i="10"/>
  <c r="CJ968" i="10"/>
  <c r="BZ1027" i="10"/>
  <c r="DI339" i="42"/>
  <c r="DI344" i="42" s="1"/>
  <c r="AI52" i="41"/>
  <c r="AJ423" i="42"/>
  <c r="AT9" i="20"/>
  <c r="V60" i="41"/>
  <c r="BY982" i="10"/>
  <c r="CD13" i="20"/>
  <c r="CD527" i="20"/>
  <c r="CE483" i="20"/>
  <c r="BT102" i="49"/>
  <c r="BT104" i="49"/>
  <c r="CP166" i="49"/>
  <c r="CP269" i="49"/>
  <c r="CQ68" i="49"/>
  <c r="CP51" i="10"/>
  <c r="DI291" i="42"/>
  <c r="DJ291" i="42" s="1"/>
  <c r="DJ107" i="49" s="1"/>
  <c r="DJ303" i="42"/>
  <c r="CL466" i="10"/>
  <c r="AP42" i="41"/>
  <c r="CJ493" i="10" s="1"/>
  <c r="CC660" i="10"/>
  <c r="CC663" i="10"/>
  <c r="CC832" i="10"/>
  <c r="CC833" i="10" s="1"/>
  <c r="AU52" i="41"/>
  <c r="BV9" i="20"/>
  <c r="BV267" i="20"/>
  <c r="EQ48" i="41"/>
  <c r="CS32" i="20"/>
  <c r="BB1219" i="10"/>
  <c r="CD274" i="49"/>
  <c r="CE73" i="49"/>
  <c r="CD171" i="49"/>
  <c r="CF491" i="10"/>
  <c r="CH469" i="10"/>
  <c r="CF655" i="10"/>
  <c r="CF657" i="10" s="1"/>
  <c r="CF659" i="10" s="1"/>
  <c r="CF470" i="10"/>
  <c r="CR133" i="20"/>
  <c r="CD9" i="20"/>
  <c r="CE128" i="20"/>
  <c r="BR168" i="49"/>
  <c r="BR271" i="49"/>
  <c r="BS70" i="49"/>
  <c r="CV491" i="10"/>
  <c r="CX469" i="10"/>
  <c r="CV655" i="10"/>
  <c r="CV657" i="10" s="1"/>
  <c r="CV659" i="10" s="1"/>
  <c r="CV470" i="10"/>
  <c r="BZ109" i="46"/>
  <c r="BY111" i="46"/>
  <c r="BY113" i="46"/>
  <c r="BZ113" i="46" s="1"/>
  <c r="DK69" i="41" s="1"/>
  <c r="BM14" i="20"/>
  <c r="BM28" i="20" s="1"/>
  <c r="CC878" i="20"/>
  <c r="CC882" i="20" s="1"/>
  <c r="CC905" i="20"/>
  <c r="CD901" i="20"/>
  <c r="BV1082" i="10"/>
  <c r="DJ657" i="20"/>
  <c r="DJ661" i="20"/>
  <c r="DJ654" i="20"/>
  <c r="CG922" i="10"/>
  <c r="CG821" i="10"/>
  <c r="CG837" i="10"/>
  <c r="CG966" i="10"/>
  <c r="CG974" i="10"/>
  <c r="BP38" i="49"/>
  <c r="BP20" i="10"/>
  <c r="BP1186" i="10" s="1"/>
  <c r="BR10" i="10"/>
  <c r="V7" i="41"/>
  <c r="V56" i="41" s="1"/>
  <c r="DM91" i="46"/>
  <c r="DN176" i="46"/>
  <c r="BJ277" i="20"/>
  <c r="BJ274" i="20"/>
  <c r="BJ278" i="20" s="1"/>
  <c r="DA298" i="42"/>
  <c r="AN12" i="41"/>
  <c r="BN520" i="42"/>
  <c r="CY10" i="41"/>
  <c r="CY11" i="41" s="1"/>
  <c r="CP953" i="20"/>
  <c r="CP958" i="20" s="1"/>
  <c r="CP955" i="20"/>
  <c r="CL270" i="49"/>
  <c r="CM69" i="49"/>
  <c r="CL167" i="49"/>
  <c r="CV821" i="10"/>
  <c r="CV922" i="10"/>
  <c r="CV837" i="10"/>
  <c r="CV966" i="10"/>
  <c r="CV974" i="10"/>
  <c r="CS38" i="49"/>
  <c r="CS20" i="10"/>
  <c r="CT784" i="20"/>
  <c r="AY7" i="41"/>
  <c r="CS886" i="20"/>
  <c r="CW952" i="20"/>
  <c r="CX952" i="20" s="1"/>
  <c r="CX957" i="20" s="1"/>
  <c r="BF469" i="10"/>
  <c r="BD655" i="10"/>
  <c r="BD657" i="10" s="1"/>
  <c r="BD659" i="10" s="1"/>
  <c r="BD663" i="10" s="1"/>
  <c r="BD491" i="10"/>
  <c r="BD470" i="10"/>
  <c r="W46" i="41"/>
  <c r="DA157" i="42"/>
  <c r="DD157" i="42" s="1"/>
  <c r="CZ156" i="42"/>
  <c r="BB13" i="20"/>
  <c r="BF27" i="20" s="1"/>
  <c r="K56" i="41"/>
  <c r="CB1027" i="10"/>
  <c r="AP19" i="51"/>
  <c r="CD516" i="42"/>
  <c r="CD518" i="42"/>
  <c r="DN74" i="10"/>
  <c r="DA275" i="49"/>
  <c r="DL721" i="10"/>
  <c r="DL734" i="10"/>
  <c r="DL746" i="10"/>
  <c r="DL912" i="10" s="1"/>
  <c r="DL720" i="10"/>
  <c r="CN655" i="10"/>
  <c r="CN657" i="10" s="1"/>
  <c r="CN659" i="10" s="1"/>
  <c r="CN491" i="10"/>
  <c r="CP469" i="10"/>
  <c r="CN470" i="10"/>
  <c r="AD275" i="42"/>
  <c r="AC271" i="42"/>
  <c r="DL912" i="20"/>
  <c r="DP912" i="20" s="1"/>
  <c r="BJ467" i="10"/>
  <c r="BJ462" i="10" s="1"/>
  <c r="N44" i="41"/>
  <c r="N46" i="41" s="1"/>
  <c r="N38" i="41" s="1"/>
  <c r="N39" i="41" s="1"/>
  <c r="CZ24" i="10"/>
  <c r="DB21" i="10"/>
  <c r="BF12" i="41"/>
  <c r="BF60" i="41" s="1"/>
  <c r="BY14" i="20"/>
  <c r="BU14" i="20"/>
  <c r="BU28" i="20" s="1"/>
  <c r="CG53" i="49"/>
  <c r="CG47" i="10"/>
  <c r="CG1019" i="10"/>
  <c r="CG1188" i="10"/>
  <c r="AM15" i="41"/>
  <c r="BZ89" i="49"/>
  <c r="DL303" i="42"/>
  <c r="DL291" i="42" s="1"/>
  <c r="DL324" i="42"/>
  <c r="CT924" i="10"/>
  <c r="CR1014" i="10"/>
  <c r="CH297" i="49"/>
  <c r="CH194" i="49"/>
  <c r="CJ46" i="49"/>
  <c r="CJ74" i="49" s="1"/>
  <c r="CJ75" i="49" s="1"/>
  <c r="CL18" i="10"/>
  <c r="AP10" i="41"/>
  <c r="AP58" i="41" s="1"/>
  <c r="BV728" i="20"/>
  <c r="BV18" i="20"/>
  <c r="CS1014" i="10"/>
  <c r="CP49" i="49"/>
  <c r="CP76" i="49" s="1"/>
  <c r="CP1098" i="10"/>
  <c r="CP1081" i="10"/>
  <c r="CP1189" i="10"/>
  <c r="DN54" i="42"/>
  <c r="DM494" i="42"/>
  <c r="DM495" i="42" s="1"/>
  <c r="BF364" i="20"/>
  <c r="AX52" i="41"/>
  <c r="CR66" i="49"/>
  <c r="CR71" i="49"/>
  <c r="CR75" i="49" s="1"/>
  <c r="EG72" i="41"/>
  <c r="CL520" i="42"/>
  <c r="DW10" i="41"/>
  <c r="BR354" i="20"/>
  <c r="BP356" i="20"/>
  <c r="BP366" i="20"/>
  <c r="CP531" i="42"/>
  <c r="AW558" i="20"/>
  <c r="CK44" i="43"/>
  <c r="CK45" i="43"/>
  <c r="CK504" i="42"/>
  <c r="DV16" i="41"/>
  <c r="DM24" i="42"/>
  <c r="DP24" i="42" s="1"/>
  <c r="DL183" i="46"/>
  <c r="BT245" i="20"/>
  <c r="BV243" i="20"/>
  <c r="BT257" i="20"/>
  <c r="BX257" i="20"/>
  <c r="BR14" i="20"/>
  <c r="BM24" i="10"/>
  <c r="BN24" i="10" s="1"/>
  <c r="S12" i="41"/>
  <c r="W60" i="41" s="1"/>
  <c r="BB46" i="41"/>
  <c r="DN14" i="42"/>
  <c r="EY45" i="41" s="1"/>
  <c r="DM237" i="42"/>
  <c r="DM236" i="42" s="1"/>
  <c r="DM52" i="42" s="1"/>
  <c r="AZ32" i="20"/>
  <c r="AL18" i="51"/>
  <c r="CC23" i="20"/>
  <c r="CD984" i="10"/>
  <c r="DB40" i="49"/>
  <c r="DB67" i="49" s="1"/>
  <c r="BH41" i="41"/>
  <c r="EU46" i="41"/>
  <c r="CY236" i="20"/>
  <c r="CX816" i="10"/>
  <c r="CX255" i="20"/>
  <c r="BZ171" i="49"/>
  <c r="BZ274" i="49"/>
  <c r="BN103" i="49"/>
  <c r="CY68" i="41"/>
  <c r="BZ450" i="10"/>
  <c r="BD49" i="49"/>
  <c r="BD50" i="49" s="1"/>
  <c r="BF699" i="10"/>
  <c r="BD705" i="10"/>
  <c r="BD1081" i="10"/>
  <c r="BD1189" i="10"/>
  <c r="BD1098" i="10"/>
  <c r="AT30" i="10"/>
  <c r="AR32" i="10"/>
  <c r="AR543" i="42"/>
  <c r="AR541" i="42" s="1"/>
  <c r="BH42" i="41"/>
  <c r="DB493" i="10" s="1"/>
  <c r="CH66" i="49"/>
  <c r="CH163" i="49"/>
  <c r="CH266" i="49"/>
  <c r="DA268" i="49"/>
  <c r="DY72" i="41"/>
  <c r="CW982" i="10"/>
  <c r="BX366" i="20"/>
  <c r="BX356" i="20"/>
  <c r="BZ354" i="20"/>
  <c r="BY32" i="20"/>
  <c r="BZ980" i="10"/>
  <c r="AZ558" i="20"/>
  <c r="BB556" i="20"/>
  <c r="AZ563" i="20"/>
  <c r="BD563" i="20"/>
  <c r="CT18" i="20"/>
  <c r="CT728" i="20"/>
  <c r="BJ424" i="42"/>
  <c r="BJ429" i="42"/>
  <c r="BJ439" i="42" s="1"/>
  <c r="CW505" i="42"/>
  <c r="CW515" i="42"/>
  <c r="CW516" i="42"/>
  <c r="AO18" i="51"/>
  <c r="CF23" i="20"/>
  <c r="BV46" i="49"/>
  <c r="BV74" i="49" s="1"/>
  <c r="AB10" i="41"/>
  <c r="CR838" i="10"/>
  <c r="CR923" i="10"/>
  <c r="CR967" i="10"/>
  <c r="CV53" i="49"/>
  <c r="CX24" i="10"/>
  <c r="CV47" i="10"/>
  <c r="CV1188" i="10"/>
  <c r="EG25" i="41" s="1"/>
  <c r="CV1019" i="10"/>
  <c r="BB15" i="41"/>
  <c r="BR514" i="42"/>
  <c r="BR515" i="42"/>
  <c r="BR517" i="42"/>
  <c r="AK24" i="51"/>
  <c r="BX27" i="20"/>
  <c r="CV979" i="10"/>
  <c r="DC236" i="20"/>
  <c r="AX9" i="20"/>
  <c r="DI1177" i="10"/>
  <c r="DI1180" i="10" s="1"/>
  <c r="DI948" i="10"/>
  <c r="DI45" i="10"/>
  <c r="BQ23" i="20"/>
  <c r="BH257" i="20"/>
  <c r="BH245" i="20"/>
  <c r="BJ243" i="20"/>
  <c r="CD655" i="10"/>
  <c r="CD657" i="10" s="1"/>
  <c r="CD659" i="10" s="1"/>
  <c r="CD491" i="10"/>
  <c r="CD470" i="10"/>
  <c r="CL963" i="10"/>
  <c r="BN450" i="10"/>
  <c r="BZ41" i="49"/>
  <c r="BZ68" i="49" s="1"/>
  <c r="AF33" i="41"/>
  <c r="AF53" i="41" s="1"/>
  <c r="BN274" i="20"/>
  <c r="BN277" i="20"/>
  <c r="CS275" i="49"/>
  <c r="BN18" i="20"/>
  <c r="BN728" i="20"/>
  <c r="DA53" i="49"/>
  <c r="DA47" i="10"/>
  <c r="DA1188" i="10"/>
  <c r="EL25" i="41" s="1"/>
  <c r="BG15" i="41"/>
  <c r="BZ40" i="49"/>
  <c r="BZ67" i="49" s="1"/>
  <c r="AF41" i="41"/>
  <c r="CP18" i="20"/>
  <c r="CP728" i="20"/>
  <c r="BF215" i="49"/>
  <c r="BF318" i="49"/>
  <c r="DB366" i="20"/>
  <c r="BV462" i="10"/>
  <c r="AB43" i="41"/>
  <c r="DI206" i="42"/>
  <c r="CL841" i="10"/>
  <c r="CL970" i="10"/>
  <c r="AT245" i="20"/>
  <c r="AR246" i="20"/>
  <c r="DA133" i="20"/>
  <c r="DA128" i="20"/>
  <c r="DB128" i="20" s="1"/>
  <c r="CN53" i="49"/>
  <c r="CN47" i="10"/>
  <c r="CP24" i="10"/>
  <c r="CN1188" i="10"/>
  <c r="DY25" i="41" s="1"/>
  <c r="CN1019" i="10"/>
  <c r="AT15" i="41"/>
  <c r="BQ97" i="49"/>
  <c r="DI498" i="42"/>
  <c r="DI482" i="42" s="1"/>
  <c r="BJ13" i="20"/>
  <c r="CO982" i="10"/>
  <c r="AO24" i="51"/>
  <c r="CF28" i="20"/>
  <c r="CT984" i="10"/>
  <c r="DL295" i="20"/>
  <c r="DL273" i="20"/>
  <c r="DL232" i="20"/>
  <c r="DA491" i="10"/>
  <c r="DA655" i="10"/>
  <c r="DA657" i="10" s="1"/>
  <c r="DA659" i="10" s="1"/>
  <c r="DA470" i="10"/>
  <c r="BJ72" i="46"/>
  <c r="BI73" i="46"/>
  <c r="BJ73" i="46" s="1"/>
  <c r="CU72" i="41" s="1"/>
  <c r="BV40" i="49"/>
  <c r="BV67" i="49" s="1"/>
  <c r="BV71" i="49" s="1"/>
  <c r="AB41" i="41"/>
  <c r="CR1012" i="10"/>
  <c r="CZ1028" i="10"/>
  <c r="DB1028" i="10" s="1"/>
  <c r="BD255" i="42"/>
  <c r="BE253" i="42"/>
  <c r="DB72" i="46"/>
  <c r="DA73" i="46"/>
  <c r="DB518" i="42"/>
  <c r="DB516" i="42"/>
  <c r="CO924" i="10"/>
  <c r="CO839" i="10"/>
  <c r="CO968" i="10"/>
  <c r="AR44" i="41"/>
  <c r="CL184" i="49"/>
  <c r="CL287" i="49"/>
  <c r="BN188" i="49"/>
  <c r="BN291" i="49"/>
  <c r="CX67" i="46"/>
  <c r="EH68" i="41"/>
  <c r="CW71" i="46"/>
  <c r="CL864" i="10"/>
  <c r="BB364" i="20"/>
  <c r="BY23" i="20"/>
  <c r="BY11" i="20"/>
  <c r="X42" i="41"/>
  <c r="BL53" i="49"/>
  <c r="BL47" i="10"/>
  <c r="BL1186" i="10"/>
  <c r="BL1188" i="10"/>
  <c r="R15" i="41"/>
  <c r="CP287" i="49"/>
  <c r="CP184" i="49"/>
  <c r="BN94" i="49"/>
  <c r="BM257" i="20"/>
  <c r="BM245" i="20"/>
  <c r="BO236" i="20"/>
  <c r="BN255" i="20"/>
  <c r="CD46" i="49"/>
  <c r="CD74" i="49" s="1"/>
  <c r="AJ10" i="41"/>
  <c r="CX399" i="42"/>
  <c r="CV401" i="42"/>
  <c r="CX401" i="42" s="1"/>
  <c r="AV469" i="10"/>
  <c r="AX463" i="10"/>
  <c r="AV462" i="10"/>
  <c r="CJ837" i="10"/>
  <c r="CJ922" i="10"/>
  <c r="CJ821" i="10"/>
  <c r="CJ966" i="10"/>
  <c r="CJ974" i="10"/>
  <c r="BL48" i="49"/>
  <c r="BL25" i="10"/>
  <c r="BL42" i="10"/>
  <c r="BL662" i="10"/>
  <c r="BL704" i="10"/>
  <c r="BL1193" i="10"/>
  <c r="BL1103" i="10"/>
  <c r="R11" i="41"/>
  <c r="EO43" i="41"/>
  <c r="AX521" i="42"/>
  <c r="CI9" i="41"/>
  <c r="CI12" i="41" s="1"/>
  <c r="CN837" i="10"/>
  <c r="CN966" i="10"/>
  <c r="CN821" i="10"/>
  <c r="CN922" i="10"/>
  <c r="CN974" i="10"/>
  <c r="AF43" i="43"/>
  <c r="AG290" i="42"/>
  <c r="AF296" i="42"/>
  <c r="DM313" i="10"/>
  <c r="DN184" i="10"/>
  <c r="DM224" i="10"/>
  <c r="AW469" i="10"/>
  <c r="BE491" i="10"/>
  <c r="BE655" i="10"/>
  <c r="BE657" i="10" s="1"/>
  <c r="BE659" i="10" s="1"/>
  <c r="BE663" i="10" s="1"/>
  <c r="BE470" i="10"/>
  <c r="DN291" i="20"/>
  <c r="DM18" i="42"/>
  <c r="DP18" i="42" s="1"/>
  <c r="DL241" i="42"/>
  <c r="DL240" i="42" s="1"/>
  <c r="DL53" i="42" s="1"/>
  <c r="DN135" i="42"/>
  <c r="DM158" i="46"/>
  <c r="DM142" i="46" s="1"/>
  <c r="CT516" i="42"/>
  <c r="CT518" i="42"/>
  <c r="CT846" i="20"/>
  <c r="AL23" i="51"/>
  <c r="CC27" i="20"/>
  <c r="CH982" i="10"/>
  <c r="CT94" i="49"/>
  <c r="CW1012" i="10"/>
  <c r="BX655" i="10"/>
  <c r="BX657" i="10" s="1"/>
  <c r="BX659" i="10" s="1"/>
  <c r="BX491" i="10"/>
  <c r="BZ469" i="10"/>
  <c r="BX470" i="10"/>
  <c r="CH89" i="49"/>
  <c r="CZ10" i="20"/>
  <c r="DD24" i="20" s="1"/>
  <c r="DB245" i="20"/>
  <c r="CZ246" i="20"/>
  <c r="AX466" i="10"/>
  <c r="CC296" i="10"/>
  <c r="CC301" i="10"/>
  <c r="CC309" i="10"/>
  <c r="CC310" i="10" s="1"/>
  <c r="DK687" i="10"/>
  <c r="DJ753" i="10"/>
  <c r="AX38" i="49"/>
  <c r="AR45" i="41"/>
  <c r="BR89" i="49"/>
  <c r="CT839" i="10"/>
  <c r="CT968" i="10"/>
  <c r="BF255" i="20"/>
  <c r="AQ61" i="41"/>
  <c r="AU61" i="41"/>
  <c r="CD815" i="10"/>
  <c r="CD364" i="20"/>
  <c r="CE348" i="20"/>
  <c r="AK19" i="51"/>
  <c r="CB24" i="20"/>
  <c r="CT44" i="43"/>
  <c r="CS46" i="43"/>
  <c r="CV311" i="42"/>
  <c r="BZ296" i="42"/>
  <c r="BX298" i="42"/>
  <c r="CS1016" i="10"/>
  <c r="CR885" i="20"/>
  <c r="CV951" i="20"/>
  <c r="CT951" i="20"/>
  <c r="CT956" i="20" s="1"/>
  <c r="CG900" i="20"/>
  <c r="CH900" i="20" s="1"/>
  <c r="CH904" i="20" s="1"/>
  <c r="CG920" i="20"/>
  <c r="BJ9" i="20"/>
  <c r="X45" i="41"/>
  <c r="BV109" i="46"/>
  <c r="BU111" i="46"/>
  <c r="BU113" i="46"/>
  <c r="BV113" i="46" s="1"/>
  <c r="DG69" i="41" s="1"/>
  <c r="DN946" i="10"/>
  <c r="DN1175" i="10"/>
  <c r="CB270" i="49"/>
  <c r="CB283" i="49" s="1"/>
  <c r="CB180" i="49"/>
  <c r="CG809" i="20"/>
  <c r="CG814" i="20"/>
  <c r="CS271" i="49"/>
  <c r="DN1131" i="10"/>
  <c r="DN957" i="10"/>
  <c r="BR18" i="20"/>
  <c r="BR728" i="20"/>
  <c r="BR112" i="49"/>
  <c r="BR298" i="42"/>
  <c r="DB469" i="10"/>
  <c r="CZ655" i="10"/>
  <c r="CZ657" i="10" s="1"/>
  <c r="CZ659" i="10" s="1"/>
  <c r="CZ491" i="10"/>
  <c r="CZ470" i="10"/>
  <c r="BD48" i="49"/>
  <c r="BF20" i="10"/>
  <c r="BD42" i="10"/>
  <c r="BD662" i="10"/>
  <c r="BD704" i="10"/>
  <c r="BD1103" i="10"/>
  <c r="BD1193" i="10"/>
  <c r="J11" i="41"/>
  <c r="N59" i="41" s="1"/>
  <c r="DI915" i="10"/>
  <c r="DM157" i="46"/>
  <c r="DP157" i="46" s="1"/>
  <c r="AW1" i="43"/>
  <c r="AZ2" i="43"/>
  <c r="CB43" i="49"/>
  <c r="CB70" i="49" s="1"/>
  <c r="CB168" i="49" s="1"/>
  <c r="CB271" i="49" s="1"/>
  <c r="CD15" i="10"/>
  <c r="CB409" i="10"/>
  <c r="AH35" i="41"/>
  <c r="AL55" i="41" s="1"/>
  <c r="BQ278" i="20"/>
  <c r="BU278" i="20"/>
  <c r="CV38" i="49"/>
  <c r="CV20" i="10"/>
  <c r="CX10" i="10"/>
  <c r="BB7" i="41"/>
  <c r="AT52" i="41"/>
  <c r="CN66" i="49"/>
  <c r="CN71" i="49"/>
  <c r="CN75" i="49" s="1"/>
  <c r="CN81" i="49" s="1"/>
  <c r="BY54" i="43"/>
  <c r="CB446" i="42"/>
  <c r="CX909" i="20"/>
  <c r="CX916" i="20" s="1"/>
  <c r="DA909" i="20"/>
  <c r="BP13" i="20"/>
  <c r="BR483" i="20"/>
  <c r="BW483" i="20" s="1"/>
  <c r="BI44" i="43"/>
  <c r="BI45" i="43"/>
  <c r="BI504" i="42"/>
  <c r="AB45" i="41"/>
  <c r="DS63" i="41"/>
  <c r="AX44" i="43"/>
  <c r="AW46" i="43"/>
  <c r="CP67" i="46"/>
  <c r="CU67" i="46" s="1"/>
  <c r="DZ68" i="41"/>
  <c r="CO71" i="46"/>
  <c r="CN918" i="20"/>
  <c r="CN913" i="20"/>
  <c r="BD29" i="20"/>
  <c r="AZ29" i="20"/>
  <c r="CN366" i="20"/>
  <c r="CN356" i="20"/>
  <c r="CP354" i="20"/>
  <c r="BL13" i="20"/>
  <c r="BL27" i="20" s="1"/>
  <c r="BN483" i="20"/>
  <c r="CB320" i="10"/>
  <c r="CB326" i="10"/>
  <c r="CW174" i="49"/>
  <c r="CJ521" i="42"/>
  <c r="DU9" i="41"/>
  <c r="DU12" i="41" s="1"/>
  <c r="CH798" i="20"/>
  <c r="CI798" i="20" s="1"/>
  <c r="CX46" i="49"/>
  <c r="CX74" i="49" s="1"/>
  <c r="BD10" i="41"/>
  <c r="BD58" i="41" s="1"/>
  <c r="BI434" i="10"/>
  <c r="BL434" i="10" s="1"/>
  <c r="BE53" i="49"/>
  <c r="BE47" i="10"/>
  <c r="BE1186" i="10"/>
  <c r="BE1188" i="10"/>
  <c r="K15" i="41"/>
  <c r="CT180" i="49"/>
  <c r="DJ447" i="20"/>
  <c r="DJ75" i="10"/>
  <c r="BA53" i="49"/>
  <c r="BA1186" i="10"/>
  <c r="BA1188" i="10"/>
  <c r="G15" i="41"/>
  <c r="G63" i="41" s="1"/>
  <c r="BZ515" i="42"/>
  <c r="BZ517" i="42"/>
  <c r="BZ514" i="42"/>
  <c r="AZ49" i="49"/>
  <c r="AZ50" i="49" s="1"/>
  <c r="BB699" i="10"/>
  <c r="AZ705" i="10"/>
  <c r="AZ1098" i="10"/>
  <c r="AZ1081" i="10"/>
  <c r="AZ1189" i="10"/>
  <c r="CC923" i="10"/>
  <c r="CC838" i="10"/>
  <c r="CC967" i="10"/>
  <c r="CC974" i="10"/>
  <c r="CC821" i="10"/>
  <c r="CM692" i="10"/>
  <c r="CQ692" i="10"/>
  <c r="CF901" i="20"/>
  <c r="CF904" i="20"/>
  <c r="CS356" i="20"/>
  <c r="CS366" i="20"/>
  <c r="DI112" i="10"/>
  <c r="DL150" i="20"/>
  <c r="DI159" i="20"/>
  <c r="BP53" i="49"/>
  <c r="BR24" i="10"/>
  <c r="BP47" i="10"/>
  <c r="BP1188" i="10"/>
  <c r="V15" i="41"/>
  <c r="AV45" i="41"/>
  <c r="BV180" i="49"/>
  <c r="BY1016" i="10"/>
  <c r="BQ13" i="20"/>
  <c r="BU27" i="20" s="1"/>
  <c r="AK23" i="51"/>
  <c r="CB27" i="20"/>
  <c r="BB121" i="20"/>
  <c r="BB131" i="20"/>
  <c r="BF131" i="20"/>
  <c r="CH926" i="10"/>
  <c r="CM926" i="10" s="1"/>
  <c r="CW356" i="20"/>
  <c r="CX356" i="20" s="1"/>
  <c r="CW366" i="20"/>
  <c r="CW257" i="20"/>
  <c r="CW245" i="20"/>
  <c r="CZ978" i="10"/>
  <c r="BT23" i="20"/>
  <c r="BU80" i="49"/>
  <c r="BU178" i="49" s="1"/>
  <c r="BU281" i="49" s="1"/>
  <c r="BU174" i="49"/>
  <c r="CJ798" i="20"/>
  <c r="CJ834" i="20"/>
  <c r="CJ838" i="20"/>
  <c r="CJ806" i="20"/>
  <c r="CJ847" i="20"/>
  <c r="CJ844" i="20"/>
  <c r="CJ849" i="20" s="1"/>
  <c r="DB115" i="42"/>
  <c r="CA64" i="49"/>
  <c r="BZ163" i="49"/>
  <c r="BZ66" i="49"/>
  <c r="BZ266" i="49"/>
  <c r="CH462" i="10"/>
  <c r="AN43" i="41"/>
  <c r="CT115" i="42"/>
  <c r="CC982" i="10"/>
  <c r="CB1026" i="10"/>
  <c r="CD862" i="10"/>
  <c r="CE924" i="10"/>
  <c r="CD1014" i="10"/>
  <c r="AK18" i="51"/>
  <c r="CB11" i="20"/>
  <c r="CB23" i="20"/>
  <c r="BI49" i="49"/>
  <c r="BI76" i="49" s="1"/>
  <c r="BI705" i="10"/>
  <c r="BI706" i="10" s="1"/>
  <c r="BI707" i="10"/>
  <c r="BI1187" i="10" s="1"/>
  <c r="BI1081" i="10"/>
  <c r="BI1189" i="10"/>
  <c r="BI1098" i="10"/>
  <c r="CX462" i="10"/>
  <c r="BD43" i="41"/>
  <c r="DL156" i="46"/>
  <c r="DL141" i="46" s="1"/>
  <c r="DL143" i="46" s="1"/>
  <c r="DL130" i="42"/>
  <c r="DL134" i="42"/>
  <c r="DL597" i="20" s="1"/>
  <c r="BT49" i="49"/>
  <c r="BT76" i="49" s="1"/>
  <c r="BV699" i="10"/>
  <c r="BT705" i="10"/>
  <c r="BT1081" i="10"/>
  <c r="BT1189" i="10"/>
  <c r="BT1098" i="10"/>
  <c r="Z52" i="41"/>
  <c r="V52" i="41"/>
  <c r="BP163" i="49"/>
  <c r="BP266" i="49" s="1"/>
  <c r="BP71" i="49"/>
  <c r="BP66" i="49"/>
  <c r="CT111" i="46"/>
  <c r="CS115" i="46"/>
  <c r="BJ18" i="20"/>
  <c r="BJ728" i="20"/>
  <c r="DA44" i="43"/>
  <c r="DD311" i="42" s="1"/>
  <c r="DA45" i="43"/>
  <c r="DA504" i="42"/>
  <c r="EL16" i="41"/>
  <c r="BZ131" i="49"/>
  <c r="CF50" i="49"/>
  <c r="CF77" i="49" s="1"/>
  <c r="CF80" i="49" s="1"/>
  <c r="AW516" i="42"/>
  <c r="AW521" i="42" s="1"/>
  <c r="BN516" i="42"/>
  <c r="BN518" i="42"/>
  <c r="CR884" i="20"/>
  <c r="CV950" i="20"/>
  <c r="CT950" i="20"/>
  <c r="CR953" i="20"/>
  <c r="CR958" i="20" s="1"/>
  <c r="DN687" i="10"/>
  <c r="DN753" i="10" s="1"/>
  <c r="CV133" i="20"/>
  <c r="CV128" i="20"/>
  <c r="CX126" i="20"/>
  <c r="DB133" i="20" s="1"/>
  <c r="CS66" i="49"/>
  <c r="CS163" i="49"/>
  <c r="CS71" i="49"/>
  <c r="CK38" i="49"/>
  <c r="CK20" i="10"/>
  <c r="CL784" i="20"/>
  <c r="AQ7" i="41"/>
  <c r="CV886" i="20"/>
  <c r="CZ952" i="20"/>
  <c r="BJ561" i="20"/>
  <c r="CJ462" i="10"/>
  <c r="CL463" i="10"/>
  <c r="CJ469" i="10"/>
  <c r="AP43" i="41"/>
  <c r="BF462" i="10"/>
  <c r="L43" i="41"/>
  <c r="AZ27" i="20"/>
  <c r="BE48" i="49"/>
  <c r="BE42" i="10"/>
  <c r="BE662" i="10"/>
  <c r="BE704" i="10"/>
  <c r="BE707" i="10" s="1"/>
  <c r="BE1187" i="10" s="1"/>
  <c r="BE25" i="10"/>
  <c r="BE1193" i="10"/>
  <c r="BE1103" i="10"/>
  <c r="K11" i="41"/>
  <c r="DI26" i="42"/>
  <c r="DB1016" i="10"/>
  <c r="EO59" i="41"/>
  <c r="BR297" i="49"/>
  <c r="BR194" i="49"/>
  <c r="AF12" i="41"/>
  <c r="BZ1024" i="10"/>
  <c r="CX705" i="10"/>
  <c r="AX18" i="20"/>
  <c r="G27" i="51" s="1"/>
  <c r="AX728" i="20"/>
  <c r="CZ980" i="10"/>
  <c r="DJ50" i="42"/>
  <c r="DL50" i="42"/>
  <c r="CH43" i="49"/>
  <c r="CH70" i="49" s="1"/>
  <c r="CM70" i="49" s="1"/>
  <c r="AN35" i="41"/>
  <c r="AR55" i="41" s="1"/>
  <c r="CO356" i="20"/>
  <c r="CO366" i="20"/>
  <c r="DB283" i="49"/>
  <c r="BV488" i="20"/>
  <c r="AV356" i="20"/>
  <c r="AX354" i="20"/>
  <c r="CG50" i="49"/>
  <c r="CG77" i="49" s="1"/>
  <c r="CG175" i="49" s="1"/>
  <c r="CG278" i="49" s="1"/>
  <c r="DA980" i="10"/>
  <c r="CM1045" i="10"/>
  <c r="CQ1045" i="10"/>
  <c r="DA38" i="49"/>
  <c r="DB784" i="20"/>
  <c r="BG7" i="41"/>
  <c r="CQ70" i="46"/>
  <c r="BW70" i="46"/>
  <c r="BZ863" i="10"/>
  <c r="CK913" i="20"/>
  <c r="CK918" i="20"/>
  <c r="AX1082" i="10"/>
  <c r="BT32" i="20"/>
  <c r="BM470" i="10"/>
  <c r="BA558" i="20"/>
  <c r="BA563" i="20"/>
  <c r="CN80" i="49"/>
  <c r="AW12" i="20"/>
  <c r="AW357" i="20"/>
  <c r="AW358" i="20" s="1"/>
  <c r="AW375" i="20"/>
  <c r="AW374" i="20"/>
  <c r="BI23" i="20"/>
  <c r="BF52" i="41"/>
  <c r="CL518" i="42"/>
  <c r="CL516" i="42"/>
  <c r="BN168" i="49"/>
  <c r="BO70" i="49"/>
  <c r="BN271" i="49"/>
  <c r="CX267" i="20"/>
  <c r="BG78" i="51" s="1"/>
  <c r="AN42" i="41"/>
  <c r="CH493" i="10" s="1"/>
  <c r="CP115" i="42"/>
  <c r="BE245" i="20"/>
  <c r="BE257" i="20"/>
  <c r="BR277" i="20"/>
  <c r="BR274" i="20"/>
  <c r="BV278" i="20" s="1"/>
  <c r="BY655" i="10"/>
  <c r="BY657" i="10" s="1"/>
  <c r="BY659" i="10" s="1"/>
  <c r="BY491" i="10"/>
  <c r="CC505" i="42"/>
  <c r="CC515" i="42"/>
  <c r="CC516" i="42"/>
  <c r="BQ103" i="49"/>
  <c r="BR67" i="46"/>
  <c r="DJ183" i="46"/>
  <c r="CN924" i="10"/>
  <c r="CN839" i="10"/>
  <c r="CN968" i="10"/>
  <c r="DL75" i="42"/>
  <c r="BF521" i="42"/>
  <c r="CQ9" i="41"/>
  <c r="CQ12" i="41" s="1"/>
  <c r="DA912" i="20"/>
  <c r="CX912" i="20"/>
  <c r="CX919" i="20" s="1"/>
  <c r="BQ71" i="49"/>
  <c r="CZ73" i="46"/>
  <c r="BM115" i="46"/>
  <c r="BJ169" i="49"/>
  <c r="CV839" i="10"/>
  <c r="CV968" i="10"/>
  <c r="CV924" i="10"/>
  <c r="BY18" i="10"/>
  <c r="BY470" i="10"/>
  <c r="BY450" i="10"/>
  <c r="BD24" i="10"/>
  <c r="BD25" i="10" s="1"/>
  <c r="BF21" i="10"/>
  <c r="J12" i="41"/>
  <c r="BI356" i="20"/>
  <c r="BJ356" i="20" s="1"/>
  <c r="BI366" i="20"/>
  <c r="BA128" i="20"/>
  <c r="BA133" i="20"/>
  <c r="BE133" i="20"/>
  <c r="CW53" i="49"/>
  <c r="CW47" i="10"/>
  <c r="CW1019" i="10"/>
  <c r="CW1188" i="10"/>
  <c r="EH25" i="41" s="1"/>
  <c r="BC15" i="41"/>
  <c r="BJ515" i="42"/>
  <c r="BJ517" i="42"/>
  <c r="BJ514" i="42"/>
  <c r="DM56" i="42"/>
  <c r="DP56" i="42" s="1"/>
  <c r="CL558" i="20"/>
  <c r="CW1016" i="10"/>
  <c r="DJ733" i="20"/>
  <c r="DJ737" i="20" s="1"/>
  <c r="CJ356" i="20"/>
  <c r="CJ366" i="20"/>
  <c r="CL354" i="20"/>
  <c r="BX923" i="10"/>
  <c r="BX838" i="10"/>
  <c r="BX967" i="10"/>
  <c r="BX821" i="10"/>
  <c r="BX974" i="10"/>
  <c r="BI432" i="10"/>
  <c r="BL432" i="10" s="1"/>
  <c r="DM486" i="10"/>
  <c r="CF980" i="10"/>
  <c r="CR32" i="20"/>
  <c r="DI238" i="10"/>
  <c r="CW46" i="43"/>
  <c r="CX44" i="43"/>
  <c r="CZ311" i="42"/>
  <c r="BV297" i="49"/>
  <c r="BV194" i="49"/>
  <c r="BZ705" i="10"/>
  <c r="CW73" i="46"/>
  <c r="CK923" i="10"/>
  <c r="CK967" i="10"/>
  <c r="CK838" i="10"/>
  <c r="N56" i="41"/>
  <c r="BD12" i="41"/>
  <c r="BR532" i="42"/>
  <c r="BR531" i="42"/>
  <c r="BZ13" i="20"/>
  <c r="BZ527" i="20"/>
  <c r="CA483" i="20"/>
  <c r="CV1013" i="10"/>
  <c r="DB255" i="20"/>
  <c r="BP80" i="49"/>
  <c r="BP178" i="49" s="1"/>
  <c r="BP281" i="49" s="1"/>
  <c r="BP174" i="49"/>
  <c r="DI12" i="43"/>
  <c r="CG505" i="42"/>
  <c r="CG515" i="42"/>
  <c r="CG516" i="42"/>
  <c r="CT71" i="46"/>
  <c r="ED71" i="41"/>
  <c r="CL176" i="49"/>
  <c r="CL82" i="49"/>
  <c r="CL279" i="49"/>
  <c r="CM78" i="49"/>
  <c r="AE53" i="41"/>
  <c r="CJ20" i="10"/>
  <c r="CH268" i="49"/>
  <c r="CH165" i="49"/>
  <c r="DN164" i="49"/>
  <c r="DR164" i="49" s="1"/>
  <c r="BV163" i="49"/>
  <c r="BV66" i="49"/>
  <c r="BV266" i="49"/>
  <c r="BN40" i="49"/>
  <c r="BN67" i="49" s="1"/>
  <c r="BS67" i="49" s="1"/>
  <c r="T41" i="41"/>
  <c r="O42" i="41"/>
  <c r="O46" i="41" s="1"/>
  <c r="O38" i="41" s="1"/>
  <c r="O39" i="41" s="1"/>
  <c r="BI469" i="10"/>
  <c r="BJ469" i="10" s="1"/>
  <c r="AX15" i="20"/>
  <c r="BR184" i="49"/>
  <c r="BR287" i="49"/>
  <c r="BF9" i="20"/>
  <c r="CH46" i="49"/>
  <c r="CH74" i="49" s="1"/>
  <c r="AN10" i="41"/>
  <c r="BJ466" i="10"/>
  <c r="AV12" i="41"/>
  <c r="BM505" i="42"/>
  <c r="BM515" i="42"/>
  <c r="BM516" i="42"/>
  <c r="CH67" i="46"/>
  <c r="CG71" i="46"/>
  <c r="DM162" i="42"/>
  <c r="DP162" i="42" s="1"/>
  <c r="AL27" i="51"/>
  <c r="CC32" i="20"/>
  <c r="BH655" i="10"/>
  <c r="BH657" i="10" s="1"/>
  <c r="BH659" i="10" s="1"/>
  <c r="BH663" i="10" s="1"/>
  <c r="BH664" i="10" s="1"/>
  <c r="BH491" i="10"/>
  <c r="BH470" i="10"/>
  <c r="BT38" i="49"/>
  <c r="BT20" i="10"/>
  <c r="BV10" i="10"/>
  <c r="Z7" i="41"/>
  <c r="BT165" i="49"/>
  <c r="BT268" i="49" s="1"/>
  <c r="BT71" i="49"/>
  <c r="DB864" i="10"/>
  <c r="DC926" i="10"/>
  <c r="BH45" i="41"/>
  <c r="DA71" i="46"/>
  <c r="CD841" i="10"/>
  <c r="CD970" i="10"/>
  <c r="AM40" i="51"/>
  <c r="AM48" i="51" s="1"/>
  <c r="AM87" i="51"/>
  <c r="DK545" i="20"/>
  <c r="BH49" i="49"/>
  <c r="BH76" i="49" s="1"/>
  <c r="BJ699" i="10"/>
  <c r="BH705" i="10"/>
  <c r="BH707" i="10"/>
  <c r="BH1187" i="10" s="1"/>
  <c r="BH1081" i="10"/>
  <c r="BH1098" i="10"/>
  <c r="BH1189" i="10"/>
  <c r="CX109" i="46"/>
  <c r="CY109" i="46" s="1"/>
  <c r="CW111" i="46"/>
  <c r="CW113" i="46"/>
  <c r="AZ450" i="10"/>
  <c r="CG1026" i="10"/>
  <c r="CL887" i="20"/>
  <c r="CJ895" i="20"/>
  <c r="BZ563" i="20"/>
  <c r="BQ38" i="49"/>
  <c r="BQ20" i="10"/>
  <c r="BR784" i="20"/>
  <c r="W7" i="41"/>
  <c r="BR266" i="20"/>
  <c r="DM25" i="42"/>
  <c r="DP25" i="42" s="1"/>
  <c r="DL512" i="42"/>
  <c r="CJ900" i="20"/>
  <c r="CJ920" i="20"/>
  <c r="BP11" i="20"/>
  <c r="BP23" i="20"/>
  <c r="DB46" i="49"/>
  <c r="DB74" i="49" s="1"/>
  <c r="BH10" i="41"/>
  <c r="DN204" i="10"/>
  <c r="CX89" i="49"/>
  <c r="DN20" i="42"/>
  <c r="DM511" i="42"/>
  <c r="BB255" i="20"/>
  <c r="CW14" i="20"/>
  <c r="K46" i="41"/>
  <c r="BF234" i="49"/>
  <c r="BF337" i="49"/>
  <c r="BR165" i="49"/>
  <c r="BR268" i="49"/>
  <c r="DM68" i="42"/>
  <c r="DM484" i="42" s="1"/>
  <c r="DN484" i="42" s="1"/>
  <c r="DN65" i="42"/>
  <c r="DM256" i="42"/>
  <c r="DI76" i="42"/>
  <c r="DJ53" i="42"/>
  <c r="CV805" i="20"/>
  <c r="CZ841" i="20"/>
  <c r="CH245" i="20"/>
  <c r="CF246" i="20"/>
  <c r="CF10" i="20"/>
  <c r="CL188" i="49"/>
  <c r="CL291" i="49"/>
  <c r="CH224" i="42"/>
  <c r="CK228" i="42" s="1"/>
  <c r="CK227" i="42"/>
  <c r="CL109" i="46"/>
  <c r="CK111" i="46"/>
  <c r="CK113" i="46"/>
  <c r="CA189" i="20"/>
  <c r="BZ186" i="20"/>
  <c r="BZ196" i="20" s="1"/>
  <c r="BZ198" i="20" s="1"/>
  <c r="CL72" i="46"/>
  <c r="CK73" i="46"/>
  <c r="CT864" i="10"/>
  <c r="CT1016" i="10"/>
  <c r="CW884" i="20"/>
  <c r="DA950" i="20"/>
  <c r="CC316" i="10"/>
  <c r="CH514" i="42"/>
  <c r="CH515" i="42"/>
  <c r="CH517" i="42"/>
  <c r="CD980" i="10"/>
  <c r="BV527" i="20"/>
  <c r="BV13" i="20"/>
  <c r="BZ978" i="10"/>
  <c r="CS24" i="10"/>
  <c r="AY12" i="41"/>
  <c r="AY60" i="41" s="1"/>
  <c r="CT21" i="10"/>
  <c r="BU38" i="49"/>
  <c r="BU20" i="10"/>
  <c r="BU1186" i="10" s="1"/>
  <c r="BV784" i="20"/>
  <c r="AA7" i="41"/>
  <c r="BU11" i="20"/>
  <c r="BU23" i="20"/>
  <c r="CK963" i="10"/>
  <c r="CB838" i="10"/>
  <c r="CB923" i="10"/>
  <c r="CB967" i="10"/>
  <c r="CB821" i="10"/>
  <c r="CB974" i="10"/>
  <c r="CK133" i="20"/>
  <c r="CK128" i="20"/>
  <c r="CT45" i="43"/>
  <c r="BU298" i="42"/>
  <c r="BV296" i="42"/>
  <c r="CZ1013" i="10"/>
  <c r="AS705" i="10"/>
  <c r="AS706" i="10" s="1"/>
  <c r="AS1081" i="10"/>
  <c r="BF51" i="10"/>
  <c r="CC24" i="10"/>
  <c r="AI12" i="41"/>
  <c r="AI60" i="41" s="1"/>
  <c r="CD21" i="10"/>
  <c r="AA60" i="41"/>
  <c r="BV67" i="46"/>
  <c r="BV266" i="20"/>
  <c r="BP32" i="20"/>
  <c r="BQ80" i="49"/>
  <c r="BQ178" i="49" s="1"/>
  <c r="BQ281" i="49" s="1"/>
  <c r="BQ174" i="49"/>
  <c r="DB462" i="10"/>
  <c r="BH43" i="41"/>
  <c r="Z46" i="43"/>
  <c r="Z50" i="43" s="1"/>
  <c r="Z48" i="43"/>
  <c r="Z51" i="43"/>
  <c r="BP102" i="49"/>
  <c r="BP104" i="49"/>
  <c r="BF38" i="49"/>
  <c r="L7" i="41"/>
  <c r="CH364" i="20"/>
  <c r="CI348" i="20"/>
  <c r="CH815" i="10"/>
  <c r="BM366" i="20"/>
  <c r="BM356" i="20"/>
  <c r="BN356" i="20" s="1"/>
  <c r="DB163" i="49"/>
  <c r="DB66" i="49"/>
  <c r="DB266" i="49"/>
  <c r="BD44" i="41"/>
  <c r="CC14" i="20"/>
  <c r="CT131" i="20"/>
  <c r="CT814" i="10"/>
  <c r="CS128" i="20"/>
  <c r="CT128" i="20" s="1"/>
  <c r="CS133" i="20"/>
  <c r="BR193" i="49"/>
  <c r="BR296" i="49"/>
  <c r="CP40" i="49"/>
  <c r="CP67" i="49" s="1"/>
  <c r="AV41" i="41"/>
  <c r="BV45" i="49"/>
  <c r="BV73" i="49" s="1"/>
  <c r="AB9" i="41"/>
  <c r="BQ101" i="49"/>
  <c r="BR72" i="46"/>
  <c r="BQ73" i="46"/>
  <c r="CP515" i="42"/>
  <c r="CP517" i="42"/>
  <c r="CP514" i="42"/>
  <c r="BF272" i="49"/>
  <c r="BF276" i="49" s="1"/>
  <c r="CP39" i="49"/>
  <c r="CP64" i="49" s="1"/>
  <c r="CP1256" i="10"/>
  <c r="AV31" i="41"/>
  <c r="CD311" i="42"/>
  <c r="CD315" i="42" s="1"/>
  <c r="CB312" i="42"/>
  <c r="CD109" i="46"/>
  <c r="CC111" i="46"/>
  <c r="CC113" i="46"/>
  <c r="CD113" i="46" s="1"/>
  <c r="DO69" i="41" s="1"/>
  <c r="BN71" i="46"/>
  <c r="CC71" i="46"/>
  <c r="BN171" i="49"/>
  <c r="BO73" i="49"/>
  <c r="BN274" i="49"/>
  <c r="CJ278" i="42"/>
  <c r="DM61" i="42"/>
  <c r="DP61" i="42" s="1"/>
  <c r="DL513" i="42"/>
  <c r="CP915" i="20"/>
  <c r="DK685" i="10"/>
  <c r="DJ751" i="10"/>
  <c r="BR267" i="20"/>
  <c r="CD860" i="10"/>
  <c r="CE922" i="10"/>
  <c r="CD1012" i="10"/>
  <c r="CT172" i="49"/>
  <c r="CT275" i="49"/>
  <c r="CH164" i="49"/>
  <c r="CH267" i="49"/>
  <c r="CI65" i="49"/>
  <c r="CM65" i="49"/>
  <c r="CH287" i="49"/>
  <c r="CH184" i="49"/>
  <c r="AX45" i="43"/>
  <c r="DB274" i="49"/>
  <c r="DC73" i="49"/>
  <c r="DB171" i="49"/>
  <c r="BA54" i="43"/>
  <c r="BD446" i="42"/>
  <c r="CR1009" i="10"/>
  <c r="CP109" i="46"/>
  <c r="CO111" i="46"/>
  <c r="CO113" i="46"/>
  <c r="CV908" i="20"/>
  <c r="CX908" i="20" s="1"/>
  <c r="CR911" i="20"/>
  <c r="BB15" i="20"/>
  <c r="CD864" i="10"/>
  <c r="CD1016" i="10"/>
  <c r="BL23" i="20"/>
  <c r="CN923" i="10"/>
  <c r="CN838" i="10"/>
  <c r="CN967" i="10"/>
  <c r="CX51" i="10"/>
  <c r="AJ44" i="41"/>
  <c r="BM32" i="20"/>
  <c r="CH803" i="20"/>
  <c r="CH814" i="20" s="1"/>
  <c r="CF809" i="20"/>
  <c r="CF814" i="20"/>
  <c r="CG356" i="20"/>
  <c r="CG366" i="20"/>
  <c r="AH46" i="41"/>
  <c r="CJ73" i="46"/>
  <c r="CO32" i="20"/>
  <c r="CX558" i="20"/>
  <c r="DC558" i="20" s="1"/>
  <c r="CL45" i="49"/>
  <c r="CL73" i="49" s="1"/>
  <c r="CQ73" i="49" s="1"/>
  <c r="AR9" i="41"/>
  <c r="BW348" i="20"/>
  <c r="BV364" i="20"/>
  <c r="CL278" i="20"/>
  <c r="CP278" i="20"/>
  <c r="CC10" i="20"/>
  <c r="CC246" i="20"/>
  <c r="BZ531" i="42"/>
  <c r="BZ532" i="42"/>
  <c r="BN563" i="20"/>
  <c r="DN685" i="10"/>
  <c r="DN751" i="10" s="1"/>
  <c r="BB1082" i="10"/>
  <c r="BM13" i="20"/>
  <c r="BM27" i="20" s="1"/>
  <c r="CL255" i="20"/>
  <c r="CM236" i="20"/>
  <c r="CL816" i="10"/>
  <c r="CC38" i="49"/>
  <c r="CC20" i="10"/>
  <c r="CD784" i="20"/>
  <c r="AI7" i="41"/>
  <c r="CP188" i="49"/>
  <c r="AP27" i="51"/>
  <c r="CG32" i="20"/>
  <c r="CV374" i="20"/>
  <c r="CV12" i="20"/>
  <c r="CV360" i="20"/>
  <c r="CV375" i="20"/>
  <c r="CV357" i="20"/>
  <c r="CS838" i="10"/>
  <c r="CS923" i="10"/>
  <c r="CS967" i="10"/>
  <c r="X44" i="41"/>
  <c r="X12" i="41"/>
  <c r="CR73" i="46"/>
  <c r="DK686" i="10"/>
  <c r="DJ752" i="10"/>
  <c r="AZ128" i="20"/>
  <c r="AZ133" i="20"/>
  <c r="BB126" i="20"/>
  <c r="BD133" i="20"/>
  <c r="DN218" i="10"/>
  <c r="BP521" i="42"/>
  <c r="DK241" i="20"/>
  <c r="DJ256" i="20"/>
  <c r="CF1028" i="10"/>
  <c r="CD18" i="20"/>
  <c r="CD728" i="20"/>
  <c r="DJ287" i="20"/>
  <c r="DJ292" i="20"/>
  <c r="DK284" i="20"/>
  <c r="BP49" i="41"/>
  <c r="BP67" i="41" s="1"/>
  <c r="DN267" i="49"/>
  <c r="DR267" i="49" s="1"/>
  <c r="BA3" i="42"/>
  <c r="AZ1" i="42"/>
  <c r="AZ2" i="42" s="1"/>
  <c r="BR270" i="49"/>
  <c r="BR283" i="49" s="1"/>
  <c r="BS69" i="49"/>
  <c r="BR167" i="49"/>
  <c r="BR180" i="49" s="1"/>
  <c r="CX112" i="49"/>
  <c r="CX298" i="42"/>
  <c r="AG425" i="42"/>
  <c r="AH423" i="42"/>
  <c r="CO38" i="49"/>
  <c r="CO20" i="10"/>
  <c r="CO822" i="10" s="1"/>
  <c r="CP784" i="20"/>
  <c r="AU7" i="41"/>
  <c r="DK689" i="10"/>
  <c r="DJ755" i="10"/>
  <c r="CZ973" i="10"/>
  <c r="CZ867" i="10"/>
  <c r="BF180" i="49"/>
  <c r="BN1219" i="10"/>
  <c r="CG14" i="20"/>
  <c r="CK836" i="20"/>
  <c r="CK842" i="20"/>
  <c r="CK830" i="20"/>
  <c r="CL830" i="20" s="1"/>
  <c r="CL838" i="20" s="1"/>
  <c r="CN828" i="20"/>
  <c r="AX556" i="20"/>
  <c r="AV558" i="20"/>
  <c r="BF728" i="20"/>
  <c r="BF18" i="20"/>
  <c r="BV466" i="10"/>
  <c r="Z42" i="41"/>
  <c r="Z46" i="41" s="1"/>
  <c r="CK491" i="10"/>
  <c r="CK655" i="10"/>
  <c r="CK657" i="10" s="1"/>
  <c r="CK659" i="10" s="1"/>
  <c r="CK470" i="10"/>
  <c r="CC1016" i="10"/>
  <c r="CR9" i="20"/>
  <c r="BI24" i="10"/>
  <c r="O12" i="41"/>
  <c r="O60" i="41" s="1"/>
  <c r="CL39" i="49"/>
  <c r="CL64" i="49" s="1"/>
  <c r="CL1256" i="10"/>
  <c r="AR31" i="41"/>
  <c r="BJ171" i="49"/>
  <c r="BK73" i="49"/>
  <c r="BJ274" i="49"/>
  <c r="BZ67" i="46"/>
  <c r="BY71" i="46"/>
  <c r="DM128" i="42"/>
  <c r="DN132" i="42"/>
  <c r="DN595" i="20" s="1"/>
  <c r="BT24" i="10"/>
  <c r="BV21" i="10"/>
  <c r="Z12" i="41"/>
  <c r="AT699" i="10"/>
  <c r="AT1081" i="10" s="1"/>
  <c r="AR705" i="10"/>
  <c r="AR1081" i="10"/>
  <c r="DJ553" i="20"/>
  <c r="CG133" i="20"/>
  <c r="CG128" i="20"/>
  <c r="CH126" i="20"/>
  <c r="CH171" i="49"/>
  <c r="CI73" i="49"/>
  <c r="CH274" i="49"/>
  <c r="BY521" i="42"/>
  <c r="F58" i="41"/>
  <c r="J58" i="41"/>
  <c r="BY980" i="10"/>
  <c r="CN887" i="20"/>
  <c r="CP884" i="20"/>
  <c r="DN241" i="20"/>
  <c r="DL256" i="20"/>
  <c r="AV10" i="20"/>
  <c r="AV11" i="20" s="1"/>
  <c r="AX245" i="20"/>
  <c r="AV246" i="20"/>
  <c r="AY52" i="41"/>
  <c r="BC52" i="41"/>
  <c r="CK71" i="49"/>
  <c r="CK66" i="49"/>
  <c r="CK163" i="49"/>
  <c r="CK266" i="49" s="1"/>
  <c r="DL163" i="42"/>
  <c r="CT886" i="20"/>
  <c r="T52" i="41"/>
  <c r="AV429" i="42"/>
  <c r="AV439" i="42" s="1"/>
  <c r="AX425" i="42"/>
  <c r="BZ101" i="49"/>
  <c r="CG71" i="49"/>
  <c r="CT274" i="49"/>
  <c r="CU73" i="49"/>
  <c r="CT171" i="49"/>
  <c r="BZ41" i="10"/>
  <c r="CX18" i="20"/>
  <c r="CX728" i="20"/>
  <c r="DL397" i="20"/>
  <c r="DL344" i="20"/>
  <c r="DM396" i="20"/>
  <c r="DP396" i="20" s="1"/>
  <c r="CO978" i="10"/>
  <c r="DA982" i="10"/>
  <c r="CC41" i="49"/>
  <c r="CC68" i="49" s="1"/>
  <c r="CC166" i="49" s="1"/>
  <c r="CC269" i="49" s="1"/>
  <c r="CC407" i="10"/>
  <c r="AI33" i="41"/>
  <c r="CD13" i="10"/>
  <c r="AE60" i="41"/>
  <c r="CP984" i="10"/>
  <c r="AV42" i="41"/>
  <c r="CP493" i="10" s="1"/>
  <c r="DN713" i="10"/>
  <c r="CP462" i="10"/>
  <c r="AV43" i="41"/>
  <c r="AN419" i="42"/>
  <c r="AO416" i="42"/>
  <c r="AD447" i="42"/>
  <c r="AD450" i="42" s="1"/>
  <c r="AC450" i="42"/>
  <c r="CX49" i="49"/>
  <c r="CX76" i="49" s="1"/>
  <c r="CX1081" i="10"/>
  <c r="CX1098" i="10"/>
  <c r="CX1189" i="10"/>
  <c r="CK982" i="10"/>
  <c r="DB924" i="10"/>
  <c r="CZ1014" i="10"/>
  <c r="DB1014" i="10" s="1"/>
  <c r="AZ55" i="41"/>
  <c r="DB728" i="20"/>
  <c r="DB18" i="20"/>
  <c r="BJ1219" i="10"/>
  <c r="CJ297" i="10"/>
  <c r="CG292" i="10"/>
  <c r="CG299" i="10"/>
  <c r="DB1082" i="10"/>
  <c r="AX1219" i="10"/>
  <c r="CV521" i="42"/>
  <c r="EG9" i="41"/>
  <c r="EG12" i="41" s="1"/>
  <c r="CD196" i="20"/>
  <c r="CI186" i="20"/>
  <c r="CL241" i="49"/>
  <c r="CR980" i="10"/>
  <c r="CG655" i="10"/>
  <c r="CG657" i="10" s="1"/>
  <c r="CG659" i="10" s="1"/>
  <c r="CG491" i="10"/>
  <c r="CG470" i="10"/>
  <c r="CL268" i="20"/>
  <c r="DA71" i="49"/>
  <c r="DA163" i="49"/>
  <c r="DA66" i="49"/>
  <c r="BL102" i="49"/>
  <c r="BL104" i="49"/>
  <c r="AT60" i="46"/>
  <c r="AT57" i="46"/>
  <c r="DB815" i="10"/>
  <c r="DB974" i="10" s="1"/>
  <c r="DC348" i="20"/>
  <c r="DB364" i="20"/>
  <c r="CS910" i="20"/>
  <c r="CP910" i="20"/>
  <c r="CP917" i="20" s="1"/>
  <c r="CO911" i="20"/>
  <c r="BN287" i="49"/>
  <c r="BN184" i="49"/>
  <c r="AV49" i="49"/>
  <c r="AV50" i="49" s="1"/>
  <c r="AX699" i="10"/>
  <c r="AV705" i="10"/>
  <c r="AV1098" i="10"/>
  <c r="AV1081" i="10"/>
  <c r="AV1189" i="10"/>
  <c r="CK245" i="20"/>
  <c r="CK257" i="20"/>
  <c r="BH44" i="41"/>
  <c r="CS980" i="10"/>
  <c r="BM46" i="49"/>
  <c r="BM74" i="49" s="1"/>
  <c r="BM172" i="49" s="1"/>
  <c r="BM275" i="49" s="1"/>
  <c r="BN787" i="20"/>
  <c r="S10" i="41"/>
  <c r="S58" i="41" s="1"/>
  <c r="AN44" i="41"/>
  <c r="CD112" i="49"/>
  <c r="CD298" i="42"/>
  <c r="BL462" i="10"/>
  <c r="BN463" i="10"/>
  <c r="BL469" i="10"/>
  <c r="R43" i="41"/>
  <c r="R46" i="41" s="1"/>
  <c r="DN284" i="20"/>
  <c r="CR38" i="49"/>
  <c r="CR20" i="10"/>
  <c r="CT10" i="10"/>
  <c r="AX7" i="41"/>
  <c r="DN392" i="42"/>
  <c r="DN396" i="42" s="1"/>
  <c r="DP392" i="42" s="1"/>
  <c r="DL396" i="42"/>
  <c r="CZ521" i="42"/>
  <c r="EK9" i="41"/>
  <c r="EK12" i="41" s="1"/>
  <c r="BE27" i="20"/>
  <c r="BA366" i="20"/>
  <c r="BR41" i="10"/>
  <c r="DL207" i="10"/>
  <c r="DM188" i="10"/>
  <c r="DP188" i="10" s="1"/>
  <c r="DL304" i="10"/>
  <c r="CP296" i="42"/>
  <c r="CN298" i="42"/>
  <c r="CD44" i="43"/>
  <c r="CC46" i="43"/>
  <c r="CF311" i="42"/>
  <c r="BY520" i="42"/>
  <c r="BR109" i="46"/>
  <c r="BQ111" i="46"/>
  <c r="BQ113" i="46"/>
  <c r="BR113" i="46" s="1"/>
  <c r="DC69" i="41" s="1"/>
  <c r="BA257" i="20"/>
  <c r="BA245" i="20"/>
  <c r="BV255" i="20"/>
  <c r="BW236" i="20"/>
  <c r="BZ255" i="20"/>
  <c r="CA236" i="20"/>
  <c r="CD51" i="10"/>
  <c r="CN245" i="20"/>
  <c r="CN257" i="20"/>
  <c r="CP243" i="20"/>
  <c r="CU243" i="20" s="1"/>
  <c r="CX40" i="49"/>
  <c r="CX67" i="49" s="1"/>
  <c r="BD41" i="41"/>
  <c r="BL80" i="49"/>
  <c r="BL178" i="49" s="1"/>
  <c r="BL281" i="49" s="1"/>
  <c r="BL174" i="49"/>
  <c r="DL554" i="20"/>
  <c r="DN653" i="20"/>
  <c r="G44" i="41"/>
  <c r="G46" i="41" s="1"/>
  <c r="BA462" i="10"/>
  <c r="BS236" i="20"/>
  <c r="BR255" i="20"/>
  <c r="BF46" i="41"/>
  <c r="EK71" i="41"/>
  <c r="DA908" i="20"/>
  <c r="DG545" i="20"/>
  <c r="DN944" i="10"/>
  <c r="DN1173" i="10"/>
  <c r="BL12" i="20"/>
  <c r="BL374" i="20"/>
  <c r="BL357" i="20"/>
  <c r="BL375" i="20"/>
  <c r="BL367" i="20"/>
  <c r="BJ272" i="49"/>
  <c r="CV245" i="20"/>
  <c r="CX243" i="20"/>
  <c r="CV257" i="20"/>
  <c r="BL71" i="49"/>
  <c r="CG38" i="49"/>
  <c r="CG20" i="10"/>
  <c r="CG1186" i="10" s="1"/>
  <c r="CH784" i="20"/>
  <c r="AM7" i="41"/>
  <c r="CW50" i="49"/>
  <c r="CW77" i="49" s="1"/>
  <c r="CW175" i="49" s="1"/>
  <c r="CW278" i="49" s="1"/>
  <c r="BG46" i="41"/>
  <c r="BG69" i="41" s="1"/>
  <c r="AZ53" i="41"/>
  <c r="AH43" i="43"/>
  <c r="AH504" i="42" s="1"/>
  <c r="AJ290" i="42"/>
  <c r="AL290" i="42"/>
  <c r="BJ531" i="42"/>
  <c r="BJ532" i="42"/>
  <c r="CJ28" i="20"/>
  <c r="BQ655" i="10"/>
  <c r="BQ657" i="10" s="1"/>
  <c r="BQ659" i="10" s="1"/>
  <c r="BQ663" i="10" s="1"/>
  <c r="BQ491" i="10"/>
  <c r="BQ470" i="10"/>
  <c r="CJ967" i="10"/>
  <c r="CJ838" i="10"/>
  <c r="CJ923" i="10"/>
  <c r="CI887" i="20"/>
  <c r="CH895" i="20"/>
  <c r="V58" i="41"/>
  <c r="BJ816" i="20"/>
  <c r="BB561" i="20"/>
  <c r="CC980" i="10"/>
  <c r="CX45" i="43"/>
  <c r="BZ49" i="49"/>
  <c r="BZ76" i="49" s="1"/>
  <c r="BZ1098" i="10"/>
  <c r="BZ1081" i="10"/>
  <c r="BZ1189" i="10"/>
  <c r="CX101" i="49"/>
  <c r="CH101" i="49"/>
  <c r="AS543" i="42"/>
  <c r="AS541" i="42" s="1"/>
  <c r="AS32" i="10"/>
  <c r="CT364" i="20"/>
  <c r="CT815" i="10"/>
  <c r="CU348" i="20"/>
  <c r="CV50" i="49"/>
  <c r="CV77" i="49" s="1"/>
  <c r="CV80" i="49" s="1"/>
  <c r="CW32" i="20"/>
  <c r="DA356" i="20"/>
  <c r="DB356" i="20" s="1"/>
  <c r="DA366" i="20"/>
  <c r="BR705" i="10"/>
  <c r="CG46" i="43"/>
  <c r="CH44" i="43"/>
  <c r="CJ311" i="42"/>
  <c r="V46" i="43"/>
  <c r="V50" i="43" s="1"/>
  <c r="V48" i="43"/>
  <c r="V51" i="43"/>
  <c r="AZ44" i="41"/>
  <c r="CU70" i="46"/>
  <c r="CB663" i="10"/>
  <c r="CB832" i="10"/>
  <c r="CB833" i="10" s="1"/>
  <c r="BA469" i="10"/>
  <c r="DB837" i="10"/>
  <c r="DB966" i="10"/>
  <c r="CL10" i="10"/>
  <c r="BZ862" i="10"/>
  <c r="DB109" i="46"/>
  <c r="DA111" i="46"/>
  <c r="DA113" i="46"/>
  <c r="DA10" i="20"/>
  <c r="DA246" i="20"/>
  <c r="BZ984" i="10"/>
  <c r="CP73" i="46"/>
  <c r="DZ72" i="41"/>
  <c r="EO16" i="41"/>
  <c r="CS14" i="20"/>
  <c r="CZ360" i="20"/>
  <c r="CZ375" i="20"/>
  <c r="CZ367" i="20"/>
  <c r="CZ12" i="20"/>
  <c r="DD26" i="20" s="1"/>
  <c r="CZ357" i="20"/>
  <c r="DD368" i="20" s="1"/>
  <c r="CZ374" i="20"/>
  <c r="CZ9" i="20"/>
  <c r="DD23" i="20" s="1"/>
  <c r="L45" i="41"/>
  <c r="CL450" i="10"/>
  <c r="CL728" i="20"/>
  <c r="CL18" i="20"/>
  <c r="DA821" i="10"/>
  <c r="DA837" i="10"/>
  <c r="DA966" i="10"/>
  <c r="DA1012" i="10"/>
  <c r="DA922" i="10"/>
  <c r="DB922" i="10" s="1"/>
  <c r="DA974" i="10"/>
  <c r="BN44" i="43"/>
  <c r="BM130" i="49"/>
  <c r="BM46" i="43"/>
  <c r="AW339" i="42"/>
  <c r="AW344" i="42" s="1"/>
  <c r="AV345" i="42"/>
  <c r="CH109" i="46"/>
  <c r="CG111" i="46"/>
  <c r="CG113" i="46"/>
  <c r="CH113" i="46" s="1"/>
  <c r="DS69" i="41" s="1"/>
  <c r="BP491" i="10"/>
  <c r="BR469" i="10"/>
  <c r="BP655" i="10"/>
  <c r="BP657" i="10" s="1"/>
  <c r="BP659" i="10" s="1"/>
  <c r="BP663" i="10" s="1"/>
  <c r="BP470" i="10"/>
  <c r="AW48" i="49"/>
  <c r="AW25" i="10"/>
  <c r="AW662" i="10"/>
  <c r="AW704" i="10"/>
  <c r="AW707" i="10" s="1"/>
  <c r="AW1187" i="10" s="1"/>
  <c r="AW1193" i="10"/>
  <c r="AW1194" i="10" s="1"/>
  <c r="AW1103" i="10"/>
  <c r="AW1186" i="10"/>
  <c r="CR978" i="10"/>
  <c r="CF241" i="10"/>
  <c r="CF245" i="10"/>
  <c r="CG245" i="10"/>
  <c r="DC70" i="46"/>
  <c r="CO245" i="20"/>
  <c r="CO257" i="20"/>
  <c r="BJ1082" i="10"/>
  <c r="AZ356" i="20"/>
  <c r="AZ366" i="20"/>
  <c r="BB354" i="20"/>
  <c r="BB450" i="10"/>
  <c r="CH705" i="10"/>
  <c r="T42" i="41"/>
  <c r="BJ46" i="49"/>
  <c r="BJ74" i="49" s="1"/>
  <c r="BJ75" i="49" s="1"/>
  <c r="P10" i="41"/>
  <c r="P58" i="41" s="1"/>
  <c r="AW49" i="49"/>
  <c r="AW50" i="49" s="1"/>
  <c r="AW705" i="10"/>
  <c r="AW1081" i="10"/>
  <c r="AW1098" i="10"/>
  <c r="AW1189" i="10"/>
  <c r="CK49" i="49"/>
  <c r="CK76" i="49" s="1"/>
  <c r="CK705" i="10"/>
  <c r="CK1098" i="10"/>
  <c r="CK1081" i="10"/>
  <c r="CK1189" i="10"/>
  <c r="BN51" i="10"/>
  <c r="CL126" i="20"/>
  <c r="CJ133" i="20"/>
  <c r="CJ128" i="20"/>
  <c r="CX171" i="49"/>
  <c r="CY73" i="49"/>
  <c r="CX274" i="49"/>
  <c r="DJ512" i="42"/>
  <c r="BR9" i="20"/>
  <c r="AW462" i="10"/>
  <c r="BN495" i="20"/>
  <c r="CP814" i="10"/>
  <c r="CP131" i="20"/>
  <c r="L44" i="41"/>
  <c r="CO174" i="49"/>
  <c r="DI179" i="46"/>
  <c r="DL12" i="42"/>
  <c r="DJ12" i="42"/>
  <c r="BB243" i="20"/>
  <c r="BB257" i="20" s="1"/>
  <c r="AZ245" i="20"/>
  <c r="AZ257" i="20"/>
  <c r="DJ80" i="10"/>
  <c r="BU356" i="20"/>
  <c r="BU366" i="20"/>
  <c r="DA14" i="20"/>
  <c r="CV807" i="20"/>
  <c r="CZ843" i="20"/>
  <c r="CC1024" i="10"/>
  <c r="CL67" i="46"/>
  <c r="DV68" i="41"/>
  <c r="CP841" i="10"/>
  <c r="CP970" i="10"/>
  <c r="O23" i="51"/>
  <c r="CW978" i="10"/>
  <c r="BI245" i="20"/>
  <c r="BI257" i="20"/>
  <c r="BZ462" i="10"/>
  <c r="AF43" i="41"/>
  <c r="CK71" i="46"/>
  <c r="CP821" i="20"/>
  <c r="CP825" i="20" s="1"/>
  <c r="CN825" i="20"/>
  <c r="CH808" i="20"/>
  <c r="BY42" i="49"/>
  <c r="BY69" i="49" s="1"/>
  <c r="BY408" i="10"/>
  <c r="AE34" i="41"/>
  <c r="BZ14" i="10"/>
  <c r="CH18" i="20"/>
  <c r="CH728" i="20"/>
  <c r="AZ48" i="49"/>
  <c r="BB20" i="10"/>
  <c r="AZ662" i="10"/>
  <c r="AZ704" i="10"/>
  <c r="AZ1193" i="10"/>
  <c r="AZ1103" i="10"/>
  <c r="F11" i="41"/>
  <c r="CP171" i="49"/>
  <c r="CP274" i="49"/>
  <c r="CH532" i="42"/>
  <c r="CH531" i="42"/>
  <c r="CS49" i="49"/>
  <c r="CS76" i="49" s="1"/>
  <c r="CT699" i="10"/>
  <c r="CS705" i="10"/>
  <c r="CS1081" i="10"/>
  <c r="CS1098" i="10"/>
  <c r="CS1189" i="10"/>
  <c r="CP926" i="10"/>
  <c r="BD245" i="20"/>
  <c r="BF243" i="20"/>
  <c r="BD257" i="20"/>
  <c r="CD354" i="20"/>
  <c r="CB356" i="20"/>
  <c r="CB366" i="20"/>
  <c r="BX1027" i="10"/>
  <c r="BU44" i="43"/>
  <c r="BU45" i="43"/>
  <c r="BU504" i="42"/>
  <c r="CZ979" i="10"/>
  <c r="DB984" i="10"/>
  <c r="CC49" i="49"/>
  <c r="CC76" i="49" s="1"/>
  <c r="CD699" i="10"/>
  <c r="CC705" i="10"/>
  <c r="CC1081" i="10"/>
  <c r="CC1098" i="10"/>
  <c r="CC1189" i="10"/>
  <c r="BU53" i="49"/>
  <c r="BU47" i="10"/>
  <c r="BU1188" i="10"/>
  <c r="AA15" i="41"/>
  <c r="AA63" i="41" s="1"/>
  <c r="CS10" i="20"/>
  <c r="CS246" i="20"/>
  <c r="CG982" i="10"/>
  <c r="CX984" i="10"/>
  <c r="CO14" i="20"/>
  <c r="CC1027" i="10"/>
  <c r="CF356" i="20"/>
  <c r="CH354" i="20"/>
  <c r="CF366" i="20"/>
  <c r="CA128" i="20"/>
  <c r="BZ9" i="20"/>
  <c r="H44" i="41"/>
  <c r="CS837" i="10"/>
  <c r="CS966" i="10"/>
  <c r="CS821" i="10"/>
  <c r="CS922" i="10"/>
  <c r="CS974" i="10"/>
  <c r="CS663" i="10"/>
  <c r="CS832" i="10"/>
  <c r="CS833" i="10" s="1"/>
  <c r="CX39" i="49"/>
  <c r="CX64" i="49" s="1"/>
  <c r="DC64" i="49" s="1"/>
  <c r="BD31" i="41"/>
  <c r="BH52" i="41" s="1"/>
  <c r="DL26" i="43"/>
  <c r="CT103" i="49"/>
  <c r="EE68" i="41"/>
  <c r="BR71" i="46"/>
  <c r="BF169" i="49"/>
  <c r="BF173" i="49" s="1"/>
  <c r="AU55" i="41"/>
  <c r="DN235" i="10"/>
  <c r="BZ130" i="49"/>
  <c r="BZ46" i="43"/>
  <c r="BZ51" i="43"/>
  <c r="CE70" i="46"/>
  <c r="CX864" i="10"/>
  <c r="CY926" i="10"/>
  <c r="CX1016" i="10"/>
  <c r="BI298" i="42"/>
  <c r="BJ296" i="42"/>
  <c r="BV520" i="42"/>
  <c r="DG10" i="41"/>
  <c r="DG11" i="41" s="1"/>
  <c r="DJ513" i="42"/>
  <c r="CB1024" i="10"/>
  <c r="BY356" i="20"/>
  <c r="BY366" i="20"/>
  <c r="BN9" i="20"/>
  <c r="CS799" i="20"/>
  <c r="CW820" i="20"/>
  <c r="CS821" i="20"/>
  <c r="CS825" i="20" s="1"/>
  <c r="AB32" i="41"/>
  <c r="BV450" i="10"/>
  <c r="CF38" i="49"/>
  <c r="CF20" i="10"/>
  <c r="CF1186" i="10" s="1"/>
  <c r="CH10" i="10"/>
  <c r="AL7" i="41"/>
  <c r="AP56" i="41" s="1"/>
  <c r="CO53" i="49"/>
  <c r="CO47" i="10"/>
  <c r="CO1019" i="10"/>
  <c r="CO1188" i="10"/>
  <c r="DZ25" i="41" s="1"/>
  <c r="AU15" i="41"/>
  <c r="EQ43" i="41"/>
  <c r="DN686" i="10"/>
  <c r="DN752" i="10" s="1"/>
  <c r="DL710" i="20"/>
  <c r="DM731" i="20"/>
  <c r="DP731" i="20" s="1"/>
  <c r="DL733" i="20"/>
  <c r="CG838" i="10"/>
  <c r="CG923" i="10"/>
  <c r="CG967" i="10"/>
  <c r="BH12" i="20"/>
  <c r="BH375" i="20"/>
  <c r="BH374" i="20"/>
  <c r="BH357" i="20"/>
  <c r="BJ188" i="49"/>
  <c r="BJ291" i="49"/>
  <c r="DU71" i="41"/>
  <c r="BE558" i="20"/>
  <c r="BE563" i="20"/>
  <c r="BI563" i="20"/>
  <c r="BF556" i="20"/>
  <c r="CD94" i="49"/>
  <c r="AZ1" i="10"/>
  <c r="BA3" i="10"/>
  <c r="CI70" i="46"/>
  <c r="CW133" i="20"/>
  <c r="BB21" i="10"/>
  <c r="AZ24" i="10"/>
  <c r="F12" i="41"/>
  <c r="F60" i="41" s="1"/>
  <c r="CC356" i="20"/>
  <c r="CC366" i="20"/>
  <c r="BJ704" i="10"/>
  <c r="CJ245" i="20"/>
  <c r="CL243" i="20"/>
  <c r="CL257" i="20" s="1"/>
  <c r="CJ257" i="20"/>
  <c r="CJ21" i="10"/>
  <c r="CJ699" i="10"/>
  <c r="CL697" i="10"/>
  <c r="CJ1082" i="10"/>
  <c r="CC66" i="49"/>
  <c r="CC163" i="49"/>
  <c r="CC266" i="49" s="1"/>
  <c r="BV184" i="49"/>
  <c r="BV287" i="49"/>
  <c r="CP291" i="49"/>
  <c r="DN689" i="10"/>
  <c r="DN755" i="10" s="1"/>
  <c r="CS885" i="20"/>
  <c r="CW951" i="20"/>
  <c r="BV283" i="49"/>
  <c r="EC71" i="41"/>
  <c r="DB982" i="10"/>
  <c r="BY43" i="49"/>
  <c r="BY70" i="49" s="1"/>
  <c r="BY168" i="49" s="1"/>
  <c r="BY271" i="49" s="1"/>
  <c r="BY409" i="10"/>
  <c r="AE35" i="41"/>
  <c r="BZ15" i="10"/>
  <c r="CW838" i="10"/>
  <c r="CW923" i="10"/>
  <c r="CX923" i="10" s="1"/>
  <c r="CW967" i="10"/>
  <c r="AK27" i="51"/>
  <c r="CB32" i="20"/>
  <c r="CW924" i="10"/>
  <c r="CW839" i="10"/>
  <c r="CW968" i="10"/>
  <c r="AX1" i="42"/>
  <c r="AX2" i="42" s="1"/>
  <c r="AW2" i="42"/>
  <c r="AW450" i="42" s="1"/>
  <c r="CR10" i="20"/>
  <c r="CT245" i="20"/>
  <c r="CR246" i="20"/>
  <c r="CO71" i="49"/>
  <c r="CO163" i="49"/>
  <c r="CO266" i="49" s="1"/>
  <c r="CO66" i="49"/>
  <c r="CF521" i="42"/>
  <c r="CZ1012" i="10"/>
  <c r="BF283" i="49"/>
  <c r="BE256" i="46"/>
  <c r="BF256" i="46" s="1"/>
  <c r="BF254" i="46"/>
  <c r="CD270" i="49"/>
  <c r="CD283" i="49" s="1"/>
  <c r="CD167" i="49"/>
  <c r="CD180" i="49" s="1"/>
  <c r="EM53" i="41"/>
  <c r="EM55" i="41"/>
  <c r="EM52" i="41"/>
  <c r="EM56" i="41"/>
  <c r="CX982" i="10"/>
  <c r="AF52" i="41"/>
  <c r="AF42" i="41"/>
  <c r="BQ356" i="20"/>
  <c r="BQ366" i="20"/>
  <c r="AT1082" i="10"/>
  <c r="CH814" i="10"/>
  <c r="CI120" i="20"/>
  <c r="CH131" i="20"/>
  <c r="BR39" i="49"/>
  <c r="BR64" i="49" s="1"/>
  <c r="X31" i="41"/>
  <c r="BH32" i="20"/>
  <c r="BB46" i="49"/>
  <c r="H10" i="41"/>
  <c r="BY1014" i="10"/>
  <c r="CF53" i="49"/>
  <c r="CH24" i="10"/>
  <c r="CF47" i="10"/>
  <c r="CF1188" i="10"/>
  <c r="CF1019" i="10"/>
  <c r="AL15" i="41"/>
  <c r="CS807" i="20"/>
  <c r="CT807" i="20" s="1"/>
  <c r="CW843" i="20"/>
  <c r="BZ245" i="20"/>
  <c r="CE245" i="20" s="1"/>
  <c r="CX814" i="10"/>
  <c r="CX131" i="20"/>
  <c r="BU491" i="10"/>
  <c r="BU655" i="10"/>
  <c r="BU657" i="10" s="1"/>
  <c r="BU659" i="10" s="1"/>
  <c r="BU663" i="10" s="1"/>
  <c r="BU470" i="10"/>
  <c r="CK276" i="42"/>
  <c r="CL276" i="42" s="1"/>
  <c r="AQ52" i="41"/>
  <c r="CT957" i="20"/>
  <c r="CZ28" i="20"/>
  <c r="AX13" i="20"/>
  <c r="G23" i="51" s="1"/>
  <c r="CT51" i="10"/>
  <c r="BN163" i="49"/>
  <c r="BO64" i="49"/>
  <c r="BN66" i="49"/>
  <c r="BN266" i="49"/>
  <c r="CX514" i="42"/>
  <c r="CX515" i="42"/>
  <c r="CX517" i="42"/>
  <c r="BA48" i="49"/>
  <c r="BA25" i="10"/>
  <c r="BA662" i="10"/>
  <c r="BA704" i="10"/>
  <c r="BA707" i="10" s="1"/>
  <c r="BA1187" i="10" s="1"/>
  <c r="BA1193" i="10"/>
  <c r="BA1103" i="10"/>
  <c r="G11" i="41"/>
  <c r="CB322" i="10"/>
  <c r="CB325" i="10"/>
  <c r="CF75" i="49"/>
  <c r="CU68" i="49"/>
  <c r="CE925" i="10"/>
  <c r="CD863" i="10"/>
  <c r="CD1015" i="10"/>
  <c r="DN66" i="42"/>
  <c r="D95" i="78"/>
  <c r="CD520" i="42"/>
  <c r="DO10" i="41"/>
  <c r="DO11" i="41" s="1"/>
  <c r="DI447" i="20"/>
  <c r="DI75" i="10"/>
  <c r="CO974" i="10"/>
  <c r="CO1012" i="10"/>
  <c r="BY53" i="49"/>
  <c r="BY47" i="10"/>
  <c r="BY1019" i="10"/>
  <c r="BY1188" i="10"/>
  <c r="AE15" i="41"/>
  <c r="BZ24" i="10"/>
  <c r="CG228" i="42"/>
  <c r="CG232" i="42"/>
  <c r="BB463" i="10"/>
  <c r="AZ462" i="10"/>
  <c r="AZ469" i="10"/>
  <c r="AZ470" i="10" s="1"/>
  <c r="F43" i="41"/>
  <c r="DI1133" i="10"/>
  <c r="DI959" i="10"/>
  <c r="DI555" i="20"/>
  <c r="DN740" i="10"/>
  <c r="AK405" i="42"/>
  <c r="AL419" i="42"/>
  <c r="AK414" i="42"/>
  <c r="AL414" i="42" s="1"/>
  <c r="CP89" i="49"/>
  <c r="CX838" i="10"/>
  <c r="CX967" i="10"/>
  <c r="CK1016" i="10"/>
  <c r="CQ70" i="49"/>
  <c r="CP168" i="49"/>
  <c r="CP271" i="49"/>
  <c r="CT168" i="49"/>
  <c r="CT271" i="49"/>
  <c r="CU70" i="49"/>
  <c r="CZ32" i="20"/>
  <c r="CF300" i="10"/>
  <c r="CF295" i="10"/>
  <c r="CF307" i="10"/>
  <c r="CF293" i="10"/>
  <c r="CZ49" i="49"/>
  <c r="CZ76" i="49" s="1"/>
  <c r="DB699" i="10"/>
  <c r="CZ705" i="10"/>
  <c r="CZ1081" i="10"/>
  <c r="CZ1189" i="10"/>
  <c r="CZ1098" i="10"/>
  <c r="CO967" i="10"/>
  <c r="CO923" i="10"/>
  <c r="CO838" i="10"/>
  <c r="BC58" i="41"/>
  <c r="DB180" i="49"/>
  <c r="AQ58" i="41"/>
  <c r="AP55" i="41"/>
  <c r="AN45" i="41"/>
  <c r="DM302" i="42"/>
  <c r="DM307" i="42"/>
  <c r="DM308" i="42" s="1"/>
  <c r="DM314" i="42"/>
  <c r="CD978" i="10"/>
  <c r="BH75" i="49"/>
  <c r="BG52" i="41"/>
  <c r="BV72" i="46"/>
  <c r="BU73" i="46"/>
  <c r="CL917" i="20"/>
  <c r="CL911" i="20"/>
  <c r="CK839" i="10"/>
  <c r="CK924" i="10"/>
  <c r="CK968" i="10"/>
  <c r="CP705" i="10"/>
  <c r="DL498" i="42"/>
  <c r="DL482" i="42" s="1"/>
  <c r="BF354" i="20"/>
  <c r="BD366" i="20"/>
  <c r="BD356" i="20"/>
  <c r="BH367" i="20" s="1"/>
  <c r="CT39" i="49"/>
  <c r="CT64" i="49" s="1"/>
  <c r="AZ31" i="41"/>
  <c r="R58" i="41"/>
  <c r="BR364" i="20"/>
  <c r="BS348" i="20"/>
  <c r="DK1173" i="10"/>
  <c r="EA53" i="41"/>
  <c r="EA55" i="41"/>
  <c r="EA52" i="41"/>
  <c r="CH920" i="20"/>
  <c r="BA357" i="20"/>
  <c r="BA12" i="20"/>
  <c r="BA374" i="20"/>
  <c r="BA375" i="20"/>
  <c r="BA367" i="20"/>
  <c r="CL984" i="10"/>
  <c r="CD45" i="43"/>
  <c r="EA56" i="41"/>
  <c r="DM579" i="20"/>
  <c r="DP579" i="20" s="1"/>
  <c r="DQ579" i="20" s="1"/>
  <c r="DR579" i="20" s="1"/>
  <c r="DL577" i="20"/>
  <c r="DL648" i="20" s="1"/>
  <c r="BM49" i="49"/>
  <c r="BM76" i="49" s="1"/>
  <c r="BM705" i="10"/>
  <c r="BM1081" i="10"/>
  <c r="BM1098" i="10"/>
  <c r="BM1189" i="10"/>
  <c r="CQ236" i="20"/>
  <c r="CP816" i="10"/>
  <c r="CP255" i="20"/>
  <c r="AJ412" i="42"/>
  <c r="AJ413" i="42"/>
  <c r="AK411" i="42"/>
  <c r="BB18" i="20"/>
  <c r="BB728" i="20"/>
  <c r="DJ554" i="20"/>
  <c r="BQ257" i="20"/>
  <c r="BQ245" i="20"/>
  <c r="BR243" i="20"/>
  <c r="BU257" i="20"/>
  <c r="BZ860" i="10"/>
  <c r="BJ184" i="49"/>
  <c r="BJ287" i="49"/>
  <c r="CR655" i="10"/>
  <c r="CR657" i="10" s="1"/>
  <c r="CR659" i="10" s="1"/>
  <c r="CR491" i="10"/>
  <c r="CT469" i="10"/>
  <c r="CR470" i="10"/>
  <c r="BH14" i="20"/>
  <c r="BH28" i="20" s="1"/>
  <c r="BJ558" i="20"/>
  <c r="BN354" i="20"/>
  <c r="BK71" i="49"/>
  <c r="BF1082" i="10"/>
  <c r="AT1226" i="10"/>
  <c r="AT1227" i="10" s="1"/>
  <c r="AR1227" i="10"/>
  <c r="CT40" i="49"/>
  <c r="CT67" i="49" s="1"/>
  <c r="AZ41" i="41"/>
  <c r="CL815" i="10"/>
  <c r="CM348" i="20"/>
  <c r="CL364" i="20"/>
  <c r="BZ815" i="10"/>
  <c r="CA348" i="20"/>
  <c r="BZ364" i="20"/>
  <c r="BI428" i="10"/>
  <c r="BL428" i="10" s="1"/>
  <c r="X32" i="41"/>
  <c r="BR450" i="10"/>
  <c r="CO660" i="10"/>
  <c r="CO663" i="10"/>
  <c r="CO832" i="10"/>
  <c r="CO833" i="10" s="1"/>
  <c r="CF1014" i="10"/>
  <c r="CH924" i="10"/>
  <c r="BR46" i="49"/>
  <c r="BR74" i="49" s="1"/>
  <c r="X10" i="41"/>
  <c r="X58" i="41" s="1"/>
  <c r="P45" i="41"/>
  <c r="CC1014" i="10"/>
  <c r="BY174" i="49"/>
  <c r="Z58" i="41"/>
  <c r="CP46" i="49"/>
  <c r="CP74" i="49" s="1"/>
  <c r="AV10" i="41"/>
  <c r="AZ58" i="41" s="1"/>
  <c r="CT354" i="20"/>
  <c r="CR356" i="20"/>
  <c r="CV367" i="20" s="1"/>
  <c r="CR366" i="20"/>
  <c r="CK356" i="20"/>
  <c r="CK366" i="20"/>
  <c r="CT184" i="49"/>
  <c r="CT287" i="49"/>
  <c r="CD558" i="20"/>
  <c r="CI558" i="20" s="1"/>
  <c r="DB839" i="10"/>
  <c r="DB968" i="10"/>
  <c r="DM1177" i="10"/>
  <c r="DM1180" i="10" s="1"/>
  <c r="DM948" i="10"/>
  <c r="DA923" i="10"/>
  <c r="DA967" i="10"/>
  <c r="DA838" i="10"/>
  <c r="DA1013" i="10"/>
  <c r="BR49" i="49"/>
  <c r="BR76" i="49" s="1"/>
  <c r="BR1081" i="10"/>
  <c r="BR1098" i="10"/>
  <c r="BR1189" i="10"/>
  <c r="BF466" i="10"/>
  <c r="J42" i="41"/>
  <c r="J46" i="41" s="1"/>
  <c r="BJ255" i="20"/>
  <c r="CH45" i="43"/>
  <c r="BR274" i="49"/>
  <c r="BS73" i="49"/>
  <c r="BR171" i="49"/>
  <c r="CT72" i="46"/>
  <c r="CS73" i="46"/>
  <c r="CB10" i="10"/>
  <c r="DB131" i="20"/>
  <c r="BY10" i="10"/>
  <c r="CW660" i="10"/>
  <c r="CW663" i="10"/>
  <c r="CW832" i="10"/>
  <c r="CW833" i="10" s="1"/>
  <c r="CL168" i="49"/>
  <c r="CL271" i="49"/>
  <c r="BJ450" i="10"/>
  <c r="DC109" i="46" l="1"/>
  <c r="CM10" i="41"/>
  <c r="CM11" i="41" s="1"/>
  <c r="BB520" i="42"/>
  <c r="DJ590" i="20"/>
  <c r="DJ648" i="20"/>
  <c r="AH69" i="41"/>
  <c r="AM69" i="41"/>
  <c r="CD297" i="49"/>
  <c r="CD194" i="49"/>
  <c r="DB43" i="49"/>
  <c r="DB70" i="49" s="1"/>
  <c r="BH35" i="41"/>
  <c r="DP120" i="46"/>
  <c r="BQ516" i="42"/>
  <c r="BQ505" i="42"/>
  <c r="BQ515" i="42"/>
  <c r="BQ131" i="49"/>
  <c r="BR45" i="43"/>
  <c r="BQ130" i="49"/>
  <c r="BQ46" i="43"/>
  <c r="BR44" i="43"/>
  <c r="BT311" i="42"/>
  <c r="CQ109" i="46"/>
  <c r="DQ120" i="46"/>
  <c r="DR120" i="46" s="1"/>
  <c r="DS136" i="46"/>
  <c r="CU109" i="46"/>
  <c r="DL182" i="46"/>
  <c r="DL223" i="46" s="1"/>
  <c r="DM225" i="42"/>
  <c r="DJ182" i="46"/>
  <c r="DI223" i="46"/>
  <c r="DN441" i="20"/>
  <c r="DN443" i="20" s="1"/>
  <c r="DN101" i="10"/>
  <c r="DI722" i="10"/>
  <c r="DJ912" i="10"/>
  <c r="DI912" i="10"/>
  <c r="DJ914" i="10"/>
  <c r="DI913" i="10"/>
  <c r="DI917" i="10"/>
  <c r="DI735" i="10"/>
  <c r="DI914" i="10"/>
  <c r="DI911" i="10"/>
  <c r="DJ917" i="10"/>
  <c r="DJ913" i="10"/>
  <c r="DJ915" i="10"/>
  <c r="CU926" i="10"/>
  <c r="AU69" i="41"/>
  <c r="DJ552" i="42"/>
  <c r="DL552" i="42"/>
  <c r="DL553" i="42" s="1"/>
  <c r="AS540" i="42"/>
  <c r="AS551" i="42"/>
  <c r="AS554" i="42" s="1"/>
  <c r="AS555" i="42" s="1"/>
  <c r="AR540" i="42"/>
  <c r="AR551" i="42"/>
  <c r="AR554" i="42" s="1"/>
  <c r="AR555" i="42" s="1"/>
  <c r="CO28" i="20"/>
  <c r="DP232" i="20"/>
  <c r="DP76" i="10" s="1"/>
  <c r="DP273" i="20"/>
  <c r="DP277" i="20" s="1"/>
  <c r="DP295" i="20"/>
  <c r="DM654" i="20"/>
  <c r="DM659" i="20" s="1"/>
  <c r="DR24" i="43"/>
  <c r="AU40" i="51"/>
  <c r="AU48" i="51" s="1"/>
  <c r="DQ56" i="42"/>
  <c r="DR66" i="42"/>
  <c r="DR25" i="43"/>
  <c r="DR67" i="42"/>
  <c r="DJ747" i="10"/>
  <c r="CT269" i="20"/>
  <c r="DR163" i="20"/>
  <c r="DR165" i="20" s="1"/>
  <c r="DS165" i="20" s="1"/>
  <c r="DR545" i="20"/>
  <c r="DR1174" i="10"/>
  <c r="DR945" i="10"/>
  <c r="DQ1154" i="10"/>
  <c r="DP948" i="10"/>
  <c r="DP1177" i="10"/>
  <c r="DP1180" i="10" s="1"/>
  <c r="DP45" i="10"/>
  <c r="DR741" i="10"/>
  <c r="DQ313" i="10"/>
  <c r="DR184" i="10"/>
  <c r="DQ224" i="10"/>
  <c r="DR759" i="10"/>
  <c r="DQ24" i="42"/>
  <c r="DP183" i="46"/>
  <c r="DR714" i="10"/>
  <c r="DQ511" i="42"/>
  <c r="DR20" i="42"/>
  <c r="DP512" i="42"/>
  <c r="DQ25" i="42"/>
  <c r="DQ1155" i="10"/>
  <c r="DQ236" i="10"/>
  <c r="DQ715" i="10"/>
  <c r="DQ742" i="10" s="1"/>
  <c r="DP742" i="10"/>
  <c r="DQ256" i="42"/>
  <c r="DQ68" i="42"/>
  <c r="DQ484" i="42" s="1"/>
  <c r="DR484" i="42" s="1"/>
  <c r="DR65" i="42"/>
  <c r="DP75" i="42"/>
  <c r="DR204" i="10"/>
  <c r="DR957" i="10"/>
  <c r="DR1131" i="10"/>
  <c r="DP396" i="42"/>
  <c r="DR392" i="42"/>
  <c r="DR396" i="42" s="1"/>
  <c r="DR112" i="42" s="1"/>
  <c r="DR21" i="46" s="1"/>
  <c r="DR34" i="46" s="1"/>
  <c r="DQ959" i="10"/>
  <c r="DQ1133" i="10"/>
  <c r="DR176" i="46"/>
  <c r="DQ91" i="46"/>
  <c r="FB45" i="41"/>
  <c r="DQ237" i="42"/>
  <c r="DQ236" i="42" s="1"/>
  <c r="DQ52" i="42" s="1"/>
  <c r="DR14" i="42"/>
  <c r="DP303" i="42"/>
  <c r="DP291" i="42" s="1"/>
  <c r="DP324" i="42"/>
  <c r="DQ718" i="10"/>
  <c r="DP745" i="10"/>
  <c r="DQ237" i="10"/>
  <c r="DQ302" i="42"/>
  <c r="DQ307" i="42"/>
  <c r="DQ308" i="42" s="1"/>
  <c r="DQ314" i="42"/>
  <c r="BW49" i="41"/>
  <c r="BW67" i="41" s="1"/>
  <c r="DR74" i="10"/>
  <c r="DR713" i="10"/>
  <c r="DR54" i="42"/>
  <c r="DQ494" i="42"/>
  <c r="DQ495" i="42" s="1"/>
  <c r="DQ157" i="46"/>
  <c r="DP241" i="42"/>
  <c r="DP240" i="42" s="1"/>
  <c r="DP53" i="42" s="1"/>
  <c r="DQ18" i="42"/>
  <c r="DR740" i="10"/>
  <c r="DP498" i="42"/>
  <c r="DP482" i="42" s="1"/>
  <c r="DQ442" i="20"/>
  <c r="DQ113" i="10"/>
  <c r="DP719" i="10"/>
  <c r="DR235" i="10"/>
  <c r="DR218" i="10"/>
  <c r="DR132" i="42"/>
  <c r="DR595" i="20" s="1"/>
  <c r="DQ128" i="42"/>
  <c r="DQ162" i="42"/>
  <c r="DQ716" i="10"/>
  <c r="DQ743" i="10" s="1"/>
  <c r="DP743" i="10"/>
  <c r="DQ463" i="10"/>
  <c r="DQ1212" i="10"/>
  <c r="DQ1214" i="10" s="1"/>
  <c r="DR739" i="10"/>
  <c r="DP156" i="46"/>
  <c r="DP141" i="46" s="1"/>
  <c r="DP143" i="46" s="1"/>
  <c r="DP130" i="42"/>
  <c r="DP134" i="42"/>
  <c r="DP597" i="20" s="1"/>
  <c r="DP513" i="42"/>
  <c r="DQ61" i="42"/>
  <c r="DQ948" i="10"/>
  <c r="DQ1177" i="10"/>
  <c r="DQ1180" i="10" s="1"/>
  <c r="DQ45" i="10"/>
  <c r="DQ441" i="20"/>
  <c r="DQ1142" i="10"/>
  <c r="DQ101" i="10"/>
  <c r="DQ158" i="46"/>
  <c r="DQ142" i="46" s="1"/>
  <c r="DR135" i="42"/>
  <c r="DP304" i="10"/>
  <c r="DQ188" i="10"/>
  <c r="DP207" i="10"/>
  <c r="DP369" i="42"/>
  <c r="DR366" i="42"/>
  <c r="DR369" i="42" s="1"/>
  <c r="DP163" i="42"/>
  <c r="DR1135" i="10"/>
  <c r="DR961" i="10"/>
  <c r="AY69" i="41"/>
  <c r="AY47" i="41"/>
  <c r="AZ47" i="41" s="1"/>
  <c r="AL63" i="41"/>
  <c r="BC69" i="41"/>
  <c r="DP443" i="20"/>
  <c r="DR653" i="20"/>
  <c r="DR658" i="20" s="1"/>
  <c r="DR554" i="20"/>
  <c r="DR409" i="20"/>
  <c r="DQ396" i="20"/>
  <c r="DR396" i="20" s="1"/>
  <c r="DP344" i="20"/>
  <c r="DP397" i="20"/>
  <c r="DP553" i="20"/>
  <c r="DR652" i="20"/>
  <c r="DR661" i="20" s="1"/>
  <c r="DP657" i="20"/>
  <c r="DP654" i="20"/>
  <c r="DQ292" i="20"/>
  <c r="DQ287" i="20"/>
  <c r="DQ654" i="20"/>
  <c r="DP196" i="20"/>
  <c r="DQ186" i="20"/>
  <c r="DP148" i="20"/>
  <c r="DR291" i="20"/>
  <c r="DR284" i="20"/>
  <c r="DQ555" i="20"/>
  <c r="DP710" i="20"/>
  <c r="DP733" i="20"/>
  <c r="DQ731" i="20"/>
  <c r="DP256" i="20"/>
  <c r="DR241" i="20"/>
  <c r="DQ578" i="20"/>
  <c r="DQ585" i="20" s="1"/>
  <c r="DP585" i="20"/>
  <c r="DP577" i="20"/>
  <c r="DP648" i="20" s="1"/>
  <c r="DR410" i="20"/>
  <c r="BH275" i="42"/>
  <c r="DD315" i="42"/>
  <c r="DF311" i="42"/>
  <c r="DF315" i="42" s="1"/>
  <c r="DN112" i="42"/>
  <c r="DN21" i="46" s="1"/>
  <c r="DN34" i="46" s="1"/>
  <c r="CL298" i="42"/>
  <c r="DD156" i="42"/>
  <c r="DE157" i="42"/>
  <c r="DF1133" i="10"/>
  <c r="DF959" i="10"/>
  <c r="CW38" i="49"/>
  <c r="DE23" i="10"/>
  <c r="DE52" i="49" s="1"/>
  <c r="DE79" i="49" s="1"/>
  <c r="DE177" i="49" s="1"/>
  <c r="DE280" i="49" s="1"/>
  <c r="DM745" i="10"/>
  <c r="DN745" i="10" s="1"/>
  <c r="DM207" i="10"/>
  <c r="CO80" i="49"/>
  <c r="CO178" i="49" s="1"/>
  <c r="CO281" i="49" s="1"/>
  <c r="EP40" i="41"/>
  <c r="BI113" i="46"/>
  <c r="BJ113" i="46" s="1"/>
  <c r="CU69" i="41" s="1"/>
  <c r="BJ109" i="46"/>
  <c r="BI111" i="46"/>
  <c r="BJ67" i="46"/>
  <c r="BI71" i="46"/>
  <c r="DB119" i="10"/>
  <c r="DC119" i="10" s="1"/>
  <c r="CK353" i="10"/>
  <c r="X60" i="41"/>
  <c r="CW20" i="10"/>
  <c r="CW1033" i="10" s="1"/>
  <c r="L56" i="41"/>
  <c r="BC7" i="41"/>
  <c r="BC56" i="41" s="1"/>
  <c r="CX784" i="20"/>
  <c r="DD517" i="42"/>
  <c r="DD518" i="42"/>
  <c r="DM719" i="10"/>
  <c r="DM746" i="10" s="1"/>
  <c r="DM912" i="10" s="1"/>
  <c r="AX69" i="41"/>
  <c r="BN269" i="20"/>
  <c r="CR973" i="10"/>
  <c r="BZ891" i="20"/>
  <c r="CA891" i="20" s="1"/>
  <c r="CR1031" i="10"/>
  <c r="BQ28" i="20"/>
  <c r="CS887" i="20"/>
  <c r="CS895" i="20" s="1"/>
  <c r="CZ822" i="10"/>
  <c r="AM60" i="41"/>
  <c r="DM163" i="42"/>
  <c r="BV269" i="20"/>
  <c r="BR257" i="20"/>
  <c r="BB366" i="20"/>
  <c r="CD344" i="49"/>
  <c r="T44" i="41"/>
  <c r="CB328" i="10"/>
  <c r="BV89" i="49"/>
  <c r="CN34" i="10"/>
  <c r="BA1194" i="10"/>
  <c r="AZ269" i="20"/>
  <c r="AU60" i="41"/>
  <c r="CO973" i="10"/>
  <c r="BY80" i="49"/>
  <c r="BY178" i="49" s="1"/>
  <c r="BY281" i="49" s="1"/>
  <c r="AP46" i="41"/>
  <c r="AP69" i="41" s="1"/>
  <c r="BX270" i="49"/>
  <c r="BX283" i="49" s="1"/>
  <c r="BX180" i="49"/>
  <c r="BC55" i="41"/>
  <c r="BB69" i="41"/>
  <c r="W56" i="41"/>
  <c r="CL180" i="49"/>
  <c r="BU169" i="49"/>
  <c r="BU272" i="49" s="1"/>
  <c r="BP27" i="20"/>
  <c r="CW973" i="10"/>
  <c r="DA80" i="49"/>
  <c r="DA178" i="49" s="1"/>
  <c r="DA281" i="49" s="1"/>
  <c r="AE63" i="41"/>
  <c r="BB267" i="20"/>
  <c r="BZ241" i="49"/>
  <c r="CD89" i="49"/>
  <c r="CL283" i="49"/>
  <c r="AZ46" i="41"/>
  <c r="AQ40" i="51"/>
  <c r="AQ48" i="51" s="1"/>
  <c r="AQ87" i="51"/>
  <c r="DI499" i="42"/>
  <c r="DI483" i="42" s="1"/>
  <c r="DJ483" i="42" s="1"/>
  <c r="DJ499" i="42" s="1"/>
  <c r="DA28" i="20"/>
  <c r="BN71" i="49"/>
  <c r="BO71" i="49" s="1"/>
  <c r="BF69" i="41"/>
  <c r="AQ69" i="41"/>
  <c r="CC71" i="49"/>
  <c r="CC75" i="49" s="1"/>
  <c r="CC81" i="49" s="1"/>
  <c r="Z56" i="41"/>
  <c r="BE706" i="10"/>
  <c r="BT50" i="49"/>
  <c r="BT77" i="49" s="1"/>
  <c r="BT175" i="49" s="1"/>
  <c r="BT278" i="49" s="1"/>
  <c r="BB266" i="20"/>
  <c r="BZ841" i="10"/>
  <c r="BZ982" i="10" s="1"/>
  <c r="BZ970" i="10"/>
  <c r="BX1016" i="10"/>
  <c r="BX1028" i="10" s="1"/>
  <c r="BZ926" i="10"/>
  <c r="BX14" i="20"/>
  <c r="CP829" i="20"/>
  <c r="CP837" i="20" s="1"/>
  <c r="CR829" i="20"/>
  <c r="CO837" i="20"/>
  <c r="BD664" i="10"/>
  <c r="AA56" i="41"/>
  <c r="BR278" i="20"/>
  <c r="BD35" i="41"/>
  <c r="BD55" i="41" s="1"/>
  <c r="CX43" i="49"/>
  <c r="CX70" i="49" s="1"/>
  <c r="CB1009" i="10"/>
  <c r="CN1033" i="10"/>
  <c r="CO1186" i="10"/>
  <c r="DZ27" i="41" s="1"/>
  <c r="CB905" i="20"/>
  <c r="CB878" i="20"/>
  <c r="CB882" i="20" s="1"/>
  <c r="CD882" i="20" s="1"/>
  <c r="CO1033" i="10"/>
  <c r="AN58" i="41"/>
  <c r="BN50" i="49"/>
  <c r="BN77" i="49" s="1"/>
  <c r="BN80" i="49" s="1"/>
  <c r="BX43" i="49"/>
  <c r="BX70" i="49" s="1"/>
  <c r="BX409" i="10"/>
  <c r="AD35" i="41"/>
  <c r="AD55" i="41" s="1"/>
  <c r="BX10" i="10"/>
  <c r="CF1033" i="10"/>
  <c r="AT58" i="41"/>
  <c r="BB63" i="41"/>
  <c r="CR521" i="42"/>
  <c r="EC9" i="41"/>
  <c r="EC12" i="41" s="1"/>
  <c r="BT27" i="20"/>
  <c r="DB95" i="49"/>
  <c r="DM742" i="10"/>
  <c r="DN742" i="10" s="1"/>
  <c r="DN715" i="10"/>
  <c r="CF34" i="10"/>
  <c r="CP50" i="49"/>
  <c r="CP77" i="49" s="1"/>
  <c r="CP80" i="49" s="1"/>
  <c r="DL654" i="20"/>
  <c r="DL659" i="20" s="1"/>
  <c r="DL553" i="20"/>
  <c r="DL555" i="20" s="1"/>
  <c r="DL657" i="20"/>
  <c r="DB89" i="49"/>
  <c r="BD46" i="41"/>
  <c r="BE664" i="10"/>
  <c r="BL1194" i="10"/>
  <c r="CO34" i="10"/>
  <c r="AW706" i="10"/>
  <c r="BR269" i="20"/>
  <c r="DJ331" i="42"/>
  <c r="BM75" i="49"/>
  <c r="BM173" i="49" s="1"/>
  <c r="BM276" i="49" s="1"/>
  <c r="DB821" i="10"/>
  <c r="DB973" i="10" s="1"/>
  <c r="CW168" i="49"/>
  <c r="CW271" i="49" s="1"/>
  <c r="CW71" i="49"/>
  <c r="CX95" i="49"/>
  <c r="DJ88" i="10"/>
  <c r="DJ125" i="10"/>
  <c r="DJ157" i="20"/>
  <c r="DL88" i="10"/>
  <c r="DL125" i="10"/>
  <c r="DL157" i="20"/>
  <c r="DL197" i="20"/>
  <c r="DL198" i="20"/>
  <c r="DN186" i="20"/>
  <c r="DM148" i="20"/>
  <c r="DM196" i="20"/>
  <c r="DN237" i="10"/>
  <c r="DN236" i="10"/>
  <c r="BH58" i="41"/>
  <c r="BE1194" i="10"/>
  <c r="BN278" i="20"/>
  <c r="DN716" i="10"/>
  <c r="DM743" i="10"/>
  <c r="DN743" i="10" s="1"/>
  <c r="CB80" i="49"/>
  <c r="CB178" i="49" s="1"/>
  <c r="CB281" i="49" s="1"/>
  <c r="CT112" i="49"/>
  <c r="CT298" i="42"/>
  <c r="X46" i="41"/>
  <c r="CW805" i="20"/>
  <c r="CX805" i="20" s="1"/>
  <c r="DA841" i="20"/>
  <c r="DB841" i="20" s="1"/>
  <c r="CV403" i="42"/>
  <c r="BE518" i="42"/>
  <c r="BE517" i="42"/>
  <c r="CO505" i="42"/>
  <c r="CO516" i="42"/>
  <c r="CO515" i="42"/>
  <c r="CN521" i="42"/>
  <c r="DY9" i="41"/>
  <c r="DY12" i="41" s="1"/>
  <c r="AM56" i="41"/>
  <c r="P56" i="41"/>
  <c r="CP45" i="43"/>
  <c r="CB660" i="10"/>
  <c r="BI50" i="49"/>
  <c r="BI77" i="49" s="1"/>
  <c r="BI175" i="49" s="1"/>
  <c r="BI278" i="49" s="1"/>
  <c r="CH50" i="49"/>
  <c r="CH77" i="49" s="1"/>
  <c r="CH278" i="49" s="1"/>
  <c r="BF130" i="49"/>
  <c r="BF46" i="43"/>
  <c r="BF132" i="49" s="1"/>
  <c r="BF338" i="49" s="1"/>
  <c r="BF51" i="43"/>
  <c r="CO46" i="43"/>
  <c r="CP44" i="43"/>
  <c r="CR311" i="42"/>
  <c r="AJ383" i="42"/>
  <c r="AK383" i="42" s="1"/>
  <c r="AL383" i="42" s="1"/>
  <c r="AK382" i="42"/>
  <c r="AL382" i="42" s="1"/>
  <c r="AK387" i="42"/>
  <c r="AK385" i="42" s="1"/>
  <c r="AL380" i="42"/>
  <c r="BX521" i="42"/>
  <c r="CM238" i="10"/>
  <c r="CI238" i="10"/>
  <c r="BX174" i="49"/>
  <c r="BX277" i="49" s="1"/>
  <c r="BX1188" i="10"/>
  <c r="BX1019" i="10"/>
  <c r="BX998" i="10" s="1"/>
  <c r="BX1009" i="10" s="1"/>
  <c r="AD15" i="41"/>
  <c r="AH63" i="41" s="1"/>
  <c r="BX53" i="49"/>
  <c r="BX47" i="10"/>
  <c r="DF919" i="10"/>
  <c r="BX50" i="49"/>
  <c r="BX77" i="49" s="1"/>
  <c r="BX175" i="49" s="1"/>
  <c r="BX278" i="49" s="1"/>
  <c r="DN718" i="10"/>
  <c r="DA1033" i="10"/>
  <c r="DL499" i="42"/>
  <c r="DL483" i="42" s="1"/>
  <c r="DL107" i="42"/>
  <c r="DM366" i="42"/>
  <c r="DM369" i="42" s="1"/>
  <c r="DM107" i="42" s="1"/>
  <c r="DI16" i="46"/>
  <c r="DI97" i="42"/>
  <c r="DI263" i="42"/>
  <c r="DJ107" i="42"/>
  <c r="DN545" i="20"/>
  <c r="DM657" i="20"/>
  <c r="DN652" i="20"/>
  <c r="DM553" i="20"/>
  <c r="DN1154" i="10"/>
  <c r="DN1155" i="10"/>
  <c r="DM1160" i="10"/>
  <c r="BM428" i="10"/>
  <c r="BP428" i="10" s="1"/>
  <c r="CX861" i="10"/>
  <c r="CX1013" i="10"/>
  <c r="BM435" i="10"/>
  <c r="BP435" i="10" s="1"/>
  <c r="CL98" i="49"/>
  <c r="BM436" i="10"/>
  <c r="BP436" i="10" s="1"/>
  <c r="BM430" i="10"/>
  <c r="BP430" i="10" s="1"/>
  <c r="DA979" i="10"/>
  <c r="CI924" i="10"/>
  <c r="CH862" i="10"/>
  <c r="CH1014" i="10"/>
  <c r="CL838" i="10"/>
  <c r="CL967" i="10"/>
  <c r="DL584" i="20"/>
  <c r="CD131" i="49"/>
  <c r="BA26" i="20"/>
  <c r="BF366" i="20"/>
  <c r="BH173" i="49"/>
  <c r="BH276" i="49" s="1"/>
  <c r="DM324" i="42"/>
  <c r="DM303" i="42"/>
  <c r="CO1013" i="10"/>
  <c r="DB49" i="49"/>
  <c r="DB76" i="49" s="1"/>
  <c r="DB1098" i="10"/>
  <c r="DB1081" i="10"/>
  <c r="DB1189" i="10"/>
  <c r="CF316" i="10"/>
  <c r="CX979" i="10"/>
  <c r="BZ53" i="49"/>
  <c r="BZ47" i="10"/>
  <c r="BZ1188" i="10"/>
  <c r="DK25" i="41" s="1"/>
  <c r="BZ1019" i="10"/>
  <c r="AF15" i="41"/>
  <c r="CX518" i="42"/>
  <c r="CX516" i="42"/>
  <c r="CW807" i="20"/>
  <c r="CX807" i="20" s="1"/>
  <c r="DA843" i="20"/>
  <c r="DB843" i="20" s="1"/>
  <c r="X52" i="41"/>
  <c r="BQ357" i="20"/>
  <c r="BQ12" i="20"/>
  <c r="BQ374" i="20"/>
  <c r="BQ375" i="20"/>
  <c r="BQ367" i="20"/>
  <c r="CO169" i="49"/>
  <c r="CO272" i="49" s="1"/>
  <c r="CO75" i="49"/>
  <c r="CW979" i="10"/>
  <c r="CL215" i="49"/>
  <c r="CL318" i="49"/>
  <c r="CL1082" i="10"/>
  <c r="AZ53" i="49"/>
  <c r="BB24" i="10"/>
  <c r="AZ1186" i="10"/>
  <c r="AZ1188" i="10"/>
  <c r="AZ1194" i="10" s="1"/>
  <c r="F15" i="41"/>
  <c r="F63" i="41" s="1"/>
  <c r="AZ169" i="10"/>
  <c r="AZ170" i="10"/>
  <c r="AZ172" i="10"/>
  <c r="AZ392" i="10"/>
  <c r="AZ393" i="10"/>
  <c r="AZ395" i="10"/>
  <c r="AZ390" i="10"/>
  <c r="AZ394" i="10"/>
  <c r="AZ168" i="10"/>
  <c r="AZ171" i="10"/>
  <c r="AZ391" i="10"/>
  <c r="BF563" i="20"/>
  <c r="BJ374" i="20"/>
  <c r="BJ357" i="20"/>
  <c r="BJ375" i="20"/>
  <c r="BJ12" i="20"/>
  <c r="CG1013" i="10"/>
  <c r="DM710" i="20"/>
  <c r="DN710" i="20" s="1"/>
  <c r="DM733" i="20"/>
  <c r="DM737" i="20" s="1"/>
  <c r="DC71" i="41"/>
  <c r="CS978" i="10"/>
  <c r="CD705" i="10"/>
  <c r="BV45" i="43"/>
  <c r="CT49" i="49"/>
  <c r="CT76" i="49" s="1"/>
  <c r="CY76" i="49" s="1"/>
  <c r="CT1081" i="10"/>
  <c r="CT1189" i="10"/>
  <c r="CT1098" i="10"/>
  <c r="BB704" i="10"/>
  <c r="BZ42" i="49"/>
  <c r="BZ69" i="49" s="1"/>
  <c r="AF34" i="41"/>
  <c r="BU357" i="20"/>
  <c r="BU374" i="20"/>
  <c r="AA21" i="51" s="1"/>
  <c r="BU12" i="20"/>
  <c r="BU375" i="20"/>
  <c r="AA22" i="51" s="1"/>
  <c r="BU367" i="20"/>
  <c r="CO277" i="49"/>
  <c r="CP821" i="10"/>
  <c r="CP837" i="10"/>
  <c r="CP974" i="10"/>
  <c r="CP966" i="10"/>
  <c r="BR23" i="20"/>
  <c r="BJ172" i="49"/>
  <c r="BJ173" i="49" s="1"/>
  <c r="BK74" i="49"/>
  <c r="BJ275" i="49"/>
  <c r="BJ276" i="49" s="1"/>
  <c r="DA978" i="10"/>
  <c r="AU27" i="51"/>
  <c r="CL32" i="20"/>
  <c r="CZ368" i="20"/>
  <c r="CZ358" i="20"/>
  <c r="DD369" i="20" s="1"/>
  <c r="DB111" i="46"/>
  <c r="DA115" i="46"/>
  <c r="CL38" i="49"/>
  <c r="AR7" i="41"/>
  <c r="CH130" i="49"/>
  <c r="CH51" i="43"/>
  <c r="CH46" i="43"/>
  <c r="CH200" i="49"/>
  <c r="CH102" i="49"/>
  <c r="CH303" i="49"/>
  <c r="CX102" i="49"/>
  <c r="BZ174" i="49"/>
  <c r="BZ277" i="49"/>
  <c r="EP59" i="41"/>
  <c r="AH515" i="42"/>
  <c r="AH520" i="42" s="1"/>
  <c r="AH516" i="42"/>
  <c r="AH521" i="42" s="1"/>
  <c r="CX257" i="20"/>
  <c r="CY243" i="20"/>
  <c r="BL16" i="20"/>
  <c r="BL26" i="20"/>
  <c r="DE908" i="20"/>
  <c r="DN658" i="20"/>
  <c r="BL277" i="49"/>
  <c r="CX268" i="49"/>
  <c r="CX165" i="49"/>
  <c r="CY67" i="49"/>
  <c r="BR111" i="46"/>
  <c r="BQ115" i="46"/>
  <c r="CF312" i="42"/>
  <c r="CH311" i="42"/>
  <c r="AX56" i="41"/>
  <c r="AV706" i="10"/>
  <c r="AX705" i="10"/>
  <c r="CW910" i="20"/>
  <c r="CT910" i="20"/>
  <c r="CS911" i="20"/>
  <c r="DA266" i="49"/>
  <c r="CD198" i="20"/>
  <c r="CH198" i="20"/>
  <c r="AI53" i="41"/>
  <c r="AM53" i="41"/>
  <c r="DM344" i="20"/>
  <c r="DN344" i="20" s="1"/>
  <c r="DM397" i="20"/>
  <c r="DN397" i="20" s="1"/>
  <c r="CG169" i="49"/>
  <c r="CG272" i="49" s="1"/>
  <c r="CG75" i="49"/>
  <c r="BZ102" i="49"/>
  <c r="BZ200" i="49"/>
  <c r="BZ303" i="49"/>
  <c r="AX246" i="20"/>
  <c r="AY245" i="20"/>
  <c r="AX10" i="20"/>
  <c r="G19" i="51" s="1"/>
  <c r="AB12" i="41"/>
  <c r="AB60" i="41" s="1"/>
  <c r="BZ71" i="46"/>
  <c r="BI53" i="49"/>
  <c r="BI47" i="10"/>
  <c r="BI1186" i="10"/>
  <c r="BI1188" i="10"/>
  <c r="BI1194" i="10" s="1"/>
  <c r="O15" i="41"/>
  <c r="O63" i="41" s="1"/>
  <c r="BI25" i="10"/>
  <c r="CT9" i="20"/>
  <c r="AB42" i="41"/>
  <c r="AB46" i="41" s="1"/>
  <c r="CK844" i="20"/>
  <c r="CK849" i="20" s="1"/>
  <c r="CK847" i="20"/>
  <c r="CK806" i="20"/>
  <c r="CK808" i="20" s="1"/>
  <c r="CK815" i="20" s="1"/>
  <c r="AU56" i="41"/>
  <c r="AH425" i="42"/>
  <c r="AG429" i="42"/>
  <c r="CX215" i="49"/>
  <c r="CX318" i="49"/>
  <c r="DJ295" i="20"/>
  <c r="BB133" i="20"/>
  <c r="BF133" i="20"/>
  <c r="CV358" i="20"/>
  <c r="CX360" i="20"/>
  <c r="CX375" i="20"/>
  <c r="BG22" i="51" s="1"/>
  <c r="CX357" i="20"/>
  <c r="CX374" i="20"/>
  <c r="BG21" i="51" s="1"/>
  <c r="CX12" i="20"/>
  <c r="AL19" i="51"/>
  <c r="CC24" i="20"/>
  <c r="DK232" i="20"/>
  <c r="DU72" i="41"/>
  <c r="CG357" i="20"/>
  <c r="CG12" i="20"/>
  <c r="CG374" i="20"/>
  <c r="AP21" i="51" s="1"/>
  <c r="CG360" i="20"/>
  <c r="CG375" i="20"/>
  <c r="AP22" i="51" s="1"/>
  <c r="CG367" i="20"/>
  <c r="CP923" i="10"/>
  <c r="CN1013" i="10"/>
  <c r="CP111" i="46"/>
  <c r="CO115" i="46"/>
  <c r="BD275" i="42"/>
  <c r="BF275" i="42" s="1"/>
  <c r="BF97" i="49" s="1"/>
  <c r="BF446" i="42"/>
  <c r="CD1024" i="10"/>
  <c r="DN61" i="42"/>
  <c r="DM513" i="42"/>
  <c r="CB314" i="42"/>
  <c r="CQ64" i="49"/>
  <c r="CP163" i="49"/>
  <c r="CP71" i="49"/>
  <c r="CP266" i="49"/>
  <c r="CP66" i="49"/>
  <c r="CP516" i="42"/>
  <c r="CP518" i="42"/>
  <c r="BR101" i="49"/>
  <c r="BV274" i="49"/>
  <c r="BW73" i="49"/>
  <c r="BV171" i="49"/>
  <c r="AV46" i="41"/>
  <c r="CS9" i="20"/>
  <c r="CW23" i="20" s="1"/>
  <c r="BQ277" i="49"/>
  <c r="CC53" i="49"/>
  <c r="CC47" i="10"/>
  <c r="CC34" i="10"/>
  <c r="CC1033" i="10"/>
  <c r="CC1186" i="10"/>
  <c r="CC1188" i="10"/>
  <c r="CC1019" i="10"/>
  <c r="AI15" i="41"/>
  <c r="AI63" i="41" s="1"/>
  <c r="CD24" i="10"/>
  <c r="CZ1025" i="10"/>
  <c r="DB1025" i="10" s="1"/>
  <c r="BV112" i="49"/>
  <c r="BV298" i="42"/>
  <c r="CB1013" i="10"/>
  <c r="CD923" i="10"/>
  <c r="AZ12" i="41"/>
  <c r="AZ60" i="41" s="1"/>
  <c r="CH518" i="42"/>
  <c r="CH516" i="42"/>
  <c r="CL101" i="49"/>
  <c r="CH246" i="20"/>
  <c r="CI246" i="20" s="1"/>
  <c r="CH10" i="20"/>
  <c r="CI245" i="20"/>
  <c r="BQ48" i="49"/>
  <c r="BQ25" i="10"/>
  <c r="BQ42" i="10"/>
  <c r="BQ662" i="10"/>
  <c r="BQ664" i="10" s="1"/>
  <c r="BQ704" i="10"/>
  <c r="BQ1193" i="10"/>
  <c r="BQ1194" i="10" s="1"/>
  <c r="BQ1103" i="10"/>
  <c r="BR789" i="20"/>
  <c r="W11" i="41"/>
  <c r="CX113" i="46"/>
  <c r="EI69" i="41" s="1"/>
  <c r="EH69" i="41"/>
  <c r="BH706" i="10"/>
  <c r="BJ705" i="10"/>
  <c r="BJ706" i="10" s="1"/>
  <c r="BT48" i="49"/>
  <c r="BV20" i="10"/>
  <c r="BT25" i="10"/>
  <c r="BT42" i="10"/>
  <c r="BT662" i="10"/>
  <c r="BT664" i="10" s="1"/>
  <c r="BT704" i="10"/>
  <c r="BT706" i="10" s="1"/>
  <c r="BT1103" i="10"/>
  <c r="BT1193" i="10"/>
  <c r="Z11" i="41"/>
  <c r="BJ491" i="10"/>
  <c r="BJ655" i="10"/>
  <c r="BJ657" i="10" s="1"/>
  <c r="BJ659" i="10" s="1"/>
  <c r="BJ663" i="10" s="1"/>
  <c r="BJ470" i="10"/>
  <c r="CH103" i="49"/>
  <c r="CH104" i="49" s="1"/>
  <c r="CI67" i="46"/>
  <c r="DS68" i="41"/>
  <c r="BM521" i="42"/>
  <c r="O18" i="51"/>
  <c r="BU83" i="49"/>
  <c r="BU173" i="49"/>
  <c r="BU276" i="49" s="1"/>
  <c r="EE71" i="41"/>
  <c r="CG517" i="42"/>
  <c r="CG518" i="42"/>
  <c r="CV1025" i="10"/>
  <c r="CX73" i="46"/>
  <c r="EH72" i="41"/>
  <c r="CZ315" i="42"/>
  <c r="DB311" i="42"/>
  <c r="DB315" i="42" s="1"/>
  <c r="DL238" i="10"/>
  <c r="DJ238" i="10"/>
  <c r="DI239" i="10"/>
  <c r="DI253" i="10" s="1"/>
  <c r="DJ253" i="10" s="1"/>
  <c r="DI241" i="10"/>
  <c r="BX979" i="10"/>
  <c r="CJ360" i="20"/>
  <c r="CJ375" i="20"/>
  <c r="AS22" i="51" s="1"/>
  <c r="CJ367" i="20"/>
  <c r="CJ12" i="20"/>
  <c r="CL356" i="20"/>
  <c r="CJ357" i="20"/>
  <c r="CJ374" i="20"/>
  <c r="AS21" i="51" s="1"/>
  <c r="CM558" i="20"/>
  <c r="CL14" i="20"/>
  <c r="CP28" i="20" s="1"/>
  <c r="CW1031" i="10"/>
  <c r="CW998" i="10"/>
  <c r="BA9" i="20"/>
  <c r="BI357" i="20"/>
  <c r="BI12" i="20"/>
  <c r="BI375" i="20"/>
  <c r="BI367" i="20"/>
  <c r="BI374" i="20"/>
  <c r="L12" i="41"/>
  <c r="CV1014" i="10"/>
  <c r="CX924" i="10"/>
  <c r="CN980" i="10"/>
  <c r="CC520" i="42"/>
  <c r="BA14" i="20"/>
  <c r="AV12" i="20"/>
  <c r="AX356" i="20"/>
  <c r="AV374" i="20"/>
  <c r="AV357" i="20"/>
  <c r="AV358" i="20" s="1"/>
  <c r="AV375" i="20"/>
  <c r="DJ26" i="42"/>
  <c r="DL26" i="42"/>
  <c r="BE54" i="49"/>
  <c r="BE30" i="10"/>
  <c r="BE1226" i="10"/>
  <c r="BE1227" i="10" s="1"/>
  <c r="BE1216" i="10"/>
  <c r="K16" i="41"/>
  <c r="CL462" i="10"/>
  <c r="AR43" i="41"/>
  <c r="CS169" i="49"/>
  <c r="CS75" i="49"/>
  <c r="CS81" i="49" s="1"/>
  <c r="CV9" i="20"/>
  <c r="CZ23" i="20" s="1"/>
  <c r="CX128" i="20"/>
  <c r="CT884" i="20"/>
  <c r="CR887" i="20"/>
  <c r="EQ40" i="41"/>
  <c r="DB45" i="43"/>
  <c r="CS119" i="46"/>
  <c r="CS121" i="46" s="1"/>
  <c r="CT115" i="46"/>
  <c r="ED70" i="41"/>
  <c r="BI81" i="49"/>
  <c r="BI174" i="49"/>
  <c r="CD1026" i="10"/>
  <c r="CL842" i="20"/>
  <c r="CW357" i="20"/>
  <c r="CW12" i="20"/>
  <c r="CW374" i="20"/>
  <c r="CW360" i="20"/>
  <c r="CW375" i="20"/>
  <c r="CW367" i="20"/>
  <c r="BQ27" i="20"/>
  <c r="CS357" i="20"/>
  <c r="CS360" i="20"/>
  <c r="CS375" i="20"/>
  <c r="CS367" i="20"/>
  <c r="CS12" i="20"/>
  <c r="CS374" i="20"/>
  <c r="CF878" i="20"/>
  <c r="CF882" i="20" s="1"/>
  <c r="CF905" i="20"/>
  <c r="CC979" i="10"/>
  <c r="BM434" i="10"/>
  <c r="BP434" i="10" s="1"/>
  <c r="CW277" i="49"/>
  <c r="BI46" i="43"/>
  <c r="BJ44" i="43"/>
  <c r="CN83" i="49"/>
  <c r="CV48" i="49"/>
  <c r="CV662" i="10"/>
  <c r="CV42" i="10"/>
  <c r="CV25" i="10"/>
  <c r="CV704" i="10"/>
  <c r="CV1193" i="10"/>
  <c r="CV1103" i="10"/>
  <c r="BB11" i="41"/>
  <c r="BB75" i="41" s="1"/>
  <c r="BA2" i="43"/>
  <c r="AZ1" i="43"/>
  <c r="DL150" i="46"/>
  <c r="BD54" i="49"/>
  <c r="BF25" i="10"/>
  <c r="BD30" i="10"/>
  <c r="BD1226" i="10"/>
  <c r="BD1216" i="10"/>
  <c r="J16" i="41"/>
  <c r="BR215" i="49"/>
  <c r="BR318" i="49"/>
  <c r="CG811" i="20"/>
  <c r="CV315" i="42"/>
  <c r="CX311" i="42"/>
  <c r="CX315" i="42" s="1"/>
  <c r="CH188" i="49"/>
  <c r="CH291" i="49"/>
  <c r="BZ491" i="10"/>
  <c r="BZ655" i="10"/>
  <c r="BZ657" i="10" s="1"/>
  <c r="BZ659" i="10" s="1"/>
  <c r="AF45" i="43"/>
  <c r="AF49" i="43" s="1"/>
  <c r="AF44" i="43"/>
  <c r="AF504" i="42"/>
  <c r="BL707" i="10"/>
  <c r="BL1187" i="10" s="1"/>
  <c r="BL54" i="49"/>
  <c r="BL30" i="10"/>
  <c r="BL1216" i="10"/>
  <c r="BL1226" i="10"/>
  <c r="R16" i="41"/>
  <c r="CJ822" i="10"/>
  <c r="CJ867" i="10"/>
  <c r="CJ973" i="10"/>
  <c r="BN193" i="49"/>
  <c r="BN296" i="49"/>
  <c r="CX103" i="49"/>
  <c r="CX104" i="49" s="1"/>
  <c r="CY67" i="46"/>
  <c r="EJ68" i="41" s="1"/>
  <c r="EI68" i="41"/>
  <c r="DL277" i="20"/>
  <c r="CL982" i="10"/>
  <c r="DI181" i="46"/>
  <c r="DL206" i="42"/>
  <c r="ES40" i="41"/>
  <c r="ES35" i="41"/>
  <c r="AY27" i="51"/>
  <c r="CP32" i="20"/>
  <c r="AF46" i="41"/>
  <c r="T27" i="51"/>
  <c r="BN32" i="20"/>
  <c r="DI1160" i="10"/>
  <c r="DI1181" i="10" s="1"/>
  <c r="BR518" i="42"/>
  <c r="BR516" i="42"/>
  <c r="AB58" i="41"/>
  <c r="CW520" i="42"/>
  <c r="EH10" i="41"/>
  <c r="EH11" i="41" s="1"/>
  <c r="BB563" i="20"/>
  <c r="BZ366" i="20"/>
  <c r="AR545" i="42"/>
  <c r="AR34" i="10"/>
  <c r="BF705" i="10"/>
  <c r="BD706" i="10"/>
  <c r="BZ470" i="10"/>
  <c r="BN202" i="49"/>
  <c r="BN305" i="49"/>
  <c r="CC11" i="20"/>
  <c r="BL706" i="10"/>
  <c r="S60" i="41"/>
  <c r="DN24" i="42"/>
  <c r="DM183" i="46"/>
  <c r="CL45" i="43"/>
  <c r="AW14" i="20"/>
  <c r="AW16" i="20" s="1"/>
  <c r="AW17" i="20" s="1"/>
  <c r="AW19" i="20" s="1"/>
  <c r="DW11" i="41"/>
  <c r="AB27" i="51"/>
  <c r="BV32" i="20"/>
  <c r="BH12" i="41"/>
  <c r="BH60" i="41" s="1"/>
  <c r="AC276" i="42"/>
  <c r="AD276" i="42" s="1"/>
  <c r="AD271" i="42"/>
  <c r="K23" i="51"/>
  <c r="BB27" i="20"/>
  <c r="CS48" i="49"/>
  <c r="CS25" i="10"/>
  <c r="CS42" i="10"/>
  <c r="CS704" i="10"/>
  <c r="CS706" i="10" s="1"/>
  <c r="CS662" i="10"/>
  <c r="CS664" i="10" s="1"/>
  <c r="CS844" i="10" s="1"/>
  <c r="CS846" i="10" s="1"/>
  <c r="CT789" i="20"/>
  <c r="CS1193" i="10"/>
  <c r="CS1103" i="10"/>
  <c r="AY11" i="41"/>
  <c r="CX922" i="10"/>
  <c r="CV1012" i="10"/>
  <c r="BR38" i="49"/>
  <c r="X7" i="41"/>
  <c r="X56" i="41" s="1"/>
  <c r="CG1012" i="10"/>
  <c r="CH922" i="10"/>
  <c r="CV660" i="10"/>
  <c r="CV663" i="10"/>
  <c r="CV832" i="10"/>
  <c r="CV833" i="10" s="1"/>
  <c r="AR42" i="41"/>
  <c r="CL493" i="10" s="1"/>
  <c r="BN14" i="20"/>
  <c r="BR28" i="20" s="1"/>
  <c r="DI277" i="20"/>
  <c r="BJ366" i="20"/>
  <c r="BY979" i="10"/>
  <c r="BV521" i="42"/>
  <c r="DG9" i="41"/>
  <c r="DG12" i="41" s="1"/>
  <c r="BM102" i="49"/>
  <c r="BM104" i="49"/>
  <c r="CN48" i="49"/>
  <c r="CN25" i="10"/>
  <c r="CN42" i="10"/>
  <c r="CP20" i="10"/>
  <c r="CP1186" i="10" s="1"/>
  <c r="EA30" i="41" s="1"/>
  <c r="CN662" i="10"/>
  <c r="CN704" i="10"/>
  <c r="CN1193" i="10"/>
  <c r="CN1103" i="10"/>
  <c r="AT11" i="41"/>
  <c r="AF27" i="51"/>
  <c r="BZ32" i="20"/>
  <c r="AZ1" i="20"/>
  <c r="BA2" i="20"/>
  <c r="CS517" i="42"/>
  <c r="CS518" i="42"/>
  <c r="CK1012" i="10"/>
  <c r="AY86" i="51"/>
  <c r="AM19" i="51"/>
  <c r="DA277" i="49"/>
  <c r="CT821" i="20"/>
  <c r="CT825" i="20" s="1"/>
  <c r="CR825" i="20"/>
  <c r="DC243" i="20"/>
  <c r="F46" i="41"/>
  <c r="F38" i="41" s="1"/>
  <c r="F39" i="41" s="1"/>
  <c r="DJ360" i="42"/>
  <c r="CN9" i="20"/>
  <c r="CR23" i="20" s="1"/>
  <c r="CP128" i="20"/>
  <c r="CK53" i="49"/>
  <c r="CK34" i="10"/>
  <c r="CK975" i="10" s="1"/>
  <c r="CK47" i="10"/>
  <c r="CK1186" i="10"/>
  <c r="CK1188" i="10"/>
  <c r="DV25" i="41" s="1"/>
  <c r="CK1033" i="10"/>
  <c r="CK1019" i="10"/>
  <c r="AQ15" i="41"/>
  <c r="AQ63" i="41" s="1"/>
  <c r="BN257" i="20"/>
  <c r="CH174" i="49"/>
  <c r="CH277" i="49"/>
  <c r="CD163" i="49"/>
  <c r="CD266" i="49"/>
  <c r="CD66" i="49"/>
  <c r="CE64" i="49"/>
  <c r="P12" i="41"/>
  <c r="DI180" i="46"/>
  <c r="DI122" i="42"/>
  <c r="DJ124" i="42"/>
  <c r="DJ464" i="42" s="1"/>
  <c r="DI464" i="42"/>
  <c r="DJ722" i="10"/>
  <c r="DB103" i="49"/>
  <c r="DC67" i="46"/>
  <c r="EM68" i="41"/>
  <c r="BN174" i="49"/>
  <c r="BN277" i="49"/>
  <c r="BC24" i="51"/>
  <c r="CT28" i="20"/>
  <c r="BK24" i="51"/>
  <c r="CD14" i="20"/>
  <c r="CH28" i="20" s="1"/>
  <c r="CE558" i="20"/>
  <c r="CK357" i="20"/>
  <c r="CK374" i="20"/>
  <c r="AT21" i="51" s="1"/>
  <c r="CK12" i="20"/>
  <c r="CK360" i="20"/>
  <c r="CK375" i="20"/>
  <c r="AT22" i="51" s="1"/>
  <c r="CK367" i="20"/>
  <c r="CT366" i="20"/>
  <c r="BY277" i="49"/>
  <c r="CC1026" i="10"/>
  <c r="CF1026" i="10"/>
  <c r="BZ838" i="10"/>
  <c r="BZ967" i="10"/>
  <c r="BZ821" i="10"/>
  <c r="BZ974" i="10"/>
  <c r="BJ14" i="20"/>
  <c r="CT655" i="10"/>
  <c r="CT657" i="10" s="1"/>
  <c r="CT659" i="10" s="1"/>
  <c r="CT491" i="10"/>
  <c r="CT470" i="10"/>
  <c r="DN579" i="20"/>
  <c r="DM577" i="20"/>
  <c r="BA358" i="20"/>
  <c r="BA369" i="20" s="1"/>
  <c r="BA368" i="20"/>
  <c r="CZ81" i="49"/>
  <c r="BB462" i="10"/>
  <c r="H43" i="41"/>
  <c r="BY1031" i="10"/>
  <c r="BY998" i="10"/>
  <c r="G38" i="41"/>
  <c r="G39" i="41" s="1"/>
  <c r="G59" i="41"/>
  <c r="CX837" i="10"/>
  <c r="CX821" i="10"/>
  <c r="CX966" i="10"/>
  <c r="CX974" i="10"/>
  <c r="DC974" i="10" s="1"/>
  <c r="CH53" i="49"/>
  <c r="CH47" i="10"/>
  <c r="CH1188" i="10"/>
  <c r="DS25" i="41" s="1"/>
  <c r="CH1019" i="10"/>
  <c r="AN15" i="41"/>
  <c r="H58" i="41"/>
  <c r="L58" i="41"/>
  <c r="BR163" i="49"/>
  <c r="BR169" i="49" s="1"/>
  <c r="BR266" i="49"/>
  <c r="BR272" i="49" s="1"/>
  <c r="BR66" i="49"/>
  <c r="BR71" i="49"/>
  <c r="BW71" i="49" s="1"/>
  <c r="BS64" i="49"/>
  <c r="CW980" i="10"/>
  <c r="BZ43" i="49"/>
  <c r="BZ70" i="49" s="1"/>
  <c r="AF35" i="41"/>
  <c r="AF55" i="41" s="1"/>
  <c r="CJ49" i="49"/>
  <c r="CJ76" i="49" s="1"/>
  <c r="CL699" i="10"/>
  <c r="CJ705" i="10"/>
  <c r="CJ1081" i="10"/>
  <c r="CJ1189" i="10"/>
  <c r="CJ1098" i="10"/>
  <c r="CC357" i="20"/>
  <c r="CC360" i="20"/>
  <c r="CC375" i="20"/>
  <c r="AL22" i="51" s="1"/>
  <c r="CC367" i="20"/>
  <c r="CC12" i="20"/>
  <c r="CC374" i="20"/>
  <c r="AL21" i="51" s="1"/>
  <c r="H12" i="41"/>
  <c r="H60" i="41" s="1"/>
  <c r="CG979" i="10"/>
  <c r="DL80" i="10"/>
  <c r="T18" i="51"/>
  <c r="BN23" i="20"/>
  <c r="CY1016" i="10"/>
  <c r="CX1028" i="10"/>
  <c r="BZ132" i="49"/>
  <c r="BZ54" i="43"/>
  <c r="CT202" i="49"/>
  <c r="CT305" i="49"/>
  <c r="BD52" i="41"/>
  <c r="CS1012" i="10"/>
  <c r="CD49" i="49"/>
  <c r="CD76" i="49" s="1"/>
  <c r="CD1081" i="10"/>
  <c r="CD1189" i="10"/>
  <c r="CD1098" i="10"/>
  <c r="BU46" i="43"/>
  <c r="BV44" i="43"/>
  <c r="BX311" i="42"/>
  <c r="BF257" i="20"/>
  <c r="CQ926" i="10"/>
  <c r="CP864" i="10"/>
  <c r="CP1016" i="10"/>
  <c r="CU1016" i="10" s="1"/>
  <c r="CS174" i="49"/>
  <c r="F59" i="41"/>
  <c r="AQ27" i="51"/>
  <c r="CH32" i="20"/>
  <c r="AE54" i="41"/>
  <c r="AI54" i="41"/>
  <c r="CL71" i="46"/>
  <c r="DV71" i="41"/>
  <c r="O62" i="51"/>
  <c r="CL103" i="49"/>
  <c r="CM67" i="46"/>
  <c r="DW68" i="41"/>
  <c r="CZ807" i="20"/>
  <c r="DD843" i="20"/>
  <c r="DH843" i="20" s="1"/>
  <c r="DH807" i="20" s="1"/>
  <c r="DL179" i="46"/>
  <c r="DM12" i="42"/>
  <c r="DP12" i="42" s="1"/>
  <c r="CL128" i="20"/>
  <c r="CJ9" i="20"/>
  <c r="AZ374" i="20"/>
  <c r="AZ12" i="20"/>
  <c r="BB356" i="20"/>
  <c r="AZ375" i="20"/>
  <c r="AZ367" i="20"/>
  <c r="AZ357" i="20"/>
  <c r="AW54" i="49"/>
  <c r="AW30" i="10"/>
  <c r="AW1216" i="10"/>
  <c r="AW1217" i="10" s="1"/>
  <c r="AW1218" i="10" s="1"/>
  <c r="AW1226" i="10"/>
  <c r="AW1227" i="10" s="1"/>
  <c r="BR655" i="10"/>
  <c r="BR657" i="10" s="1"/>
  <c r="BR659" i="10" s="1"/>
  <c r="BR663" i="10" s="1"/>
  <c r="BR491" i="10"/>
  <c r="BR470" i="10"/>
  <c r="AW345" i="42"/>
  <c r="AZ339" i="42"/>
  <c r="BN130" i="49"/>
  <c r="BN46" i="43"/>
  <c r="BN51" i="43"/>
  <c r="DA822" i="10"/>
  <c r="DA973" i="10"/>
  <c r="DA867" i="10"/>
  <c r="CZ11" i="20"/>
  <c r="DD25" i="20" s="1"/>
  <c r="DB374" i="20"/>
  <c r="BK21" i="51" s="1"/>
  <c r="DB357" i="20"/>
  <c r="DB12" i="20"/>
  <c r="DC356" i="20"/>
  <c r="DB360" i="20"/>
  <c r="DB375" i="20"/>
  <c r="BK22" i="51" s="1"/>
  <c r="DB367" i="20"/>
  <c r="BA655" i="10"/>
  <c r="BA657" i="10" s="1"/>
  <c r="BA659" i="10" s="1"/>
  <c r="BA663" i="10" s="1"/>
  <c r="BA664" i="10" s="1"/>
  <c r="BA491" i="10"/>
  <c r="BA470" i="10"/>
  <c r="CT838" i="10"/>
  <c r="CT967" i="10"/>
  <c r="CX131" i="49"/>
  <c r="CV10" i="20"/>
  <c r="CV24" i="20" s="1"/>
  <c r="CV246" i="20"/>
  <c r="CX245" i="20"/>
  <c r="DC245" i="20" s="1"/>
  <c r="BL358" i="20"/>
  <c r="BL368" i="20"/>
  <c r="BJ563" i="20"/>
  <c r="DL1177" i="10"/>
  <c r="DL1180" i="10" s="1"/>
  <c r="DN554" i="20"/>
  <c r="DL948" i="10"/>
  <c r="DL45" i="10"/>
  <c r="CN10" i="20"/>
  <c r="CR24" i="20" s="1"/>
  <c r="CN246" i="20"/>
  <c r="CP245" i="20"/>
  <c r="CU245" i="20" s="1"/>
  <c r="BA10" i="20"/>
  <c r="BA24" i="20" s="1"/>
  <c r="BA246" i="20"/>
  <c r="DN188" i="10"/>
  <c r="DM304" i="10"/>
  <c r="CT38" i="49"/>
  <c r="AZ7" i="41"/>
  <c r="DO284" i="20"/>
  <c r="DN292" i="20"/>
  <c r="DN287" i="20"/>
  <c r="BT49" i="41"/>
  <c r="BT67" i="41" s="1"/>
  <c r="BL655" i="10"/>
  <c r="BL657" i="10" s="1"/>
  <c r="BL659" i="10" s="1"/>
  <c r="BL663" i="10" s="1"/>
  <c r="BL664" i="10" s="1"/>
  <c r="BL491" i="10"/>
  <c r="BN469" i="10"/>
  <c r="BL470" i="10"/>
  <c r="AX49" i="49"/>
  <c r="AX50" i="49" s="1"/>
  <c r="AX1081" i="10"/>
  <c r="AX1189" i="10"/>
  <c r="AX1098" i="10"/>
  <c r="DA169" i="49"/>
  <c r="DA75" i="49"/>
  <c r="CG293" i="10"/>
  <c r="CG300" i="10"/>
  <c r="CG295" i="10"/>
  <c r="CG307" i="10"/>
  <c r="BK27" i="51"/>
  <c r="DB32" i="20"/>
  <c r="CX174" i="49"/>
  <c r="CX277" i="49"/>
  <c r="AO419" i="42"/>
  <c r="AP416" i="42"/>
  <c r="AR416" i="42" s="1"/>
  <c r="AR419" i="42" s="1"/>
  <c r="DN719" i="10"/>
  <c r="DM734" i="10"/>
  <c r="BA706" i="10"/>
  <c r="DL447" i="20"/>
  <c r="DL75" i="10"/>
  <c r="AX429" i="42"/>
  <c r="AX439" i="42" s="1"/>
  <c r="AX424" i="42"/>
  <c r="DN256" i="20"/>
  <c r="DO241" i="20"/>
  <c r="CI126" i="20"/>
  <c r="CH133" i="20"/>
  <c r="DJ555" i="20"/>
  <c r="AR706" i="10"/>
  <c r="AT705" i="10"/>
  <c r="AT706" i="10" s="1"/>
  <c r="BT53" i="49"/>
  <c r="BV24" i="10"/>
  <c r="BT47" i="10"/>
  <c r="BT1186" i="10"/>
  <c r="BT1188" i="10"/>
  <c r="Z15" i="41"/>
  <c r="BZ103" i="49"/>
  <c r="CA67" i="46"/>
  <c r="DK68" i="41"/>
  <c r="CL71" i="49"/>
  <c r="CL163" i="49"/>
  <c r="CL66" i="49"/>
  <c r="CL266" i="49"/>
  <c r="CM64" i="49"/>
  <c r="CC1028" i="10"/>
  <c r="CK660" i="10"/>
  <c r="CK663" i="10"/>
  <c r="CK832" i="10"/>
  <c r="CK833" i="10" s="1"/>
  <c r="CZ929" i="10"/>
  <c r="EC72" i="41"/>
  <c r="CV16" i="20"/>
  <c r="CL274" i="49"/>
  <c r="CM73" i="49"/>
  <c r="CL171" i="49"/>
  <c r="CD1028" i="10"/>
  <c r="CR913" i="20"/>
  <c r="CR918" i="20"/>
  <c r="CD71" i="46"/>
  <c r="BQ102" i="49"/>
  <c r="BQ104" i="49"/>
  <c r="CP268" i="49"/>
  <c r="CQ67" i="49"/>
  <c r="CP165" i="49"/>
  <c r="BM12" i="20"/>
  <c r="BM357" i="20"/>
  <c r="BM375" i="20"/>
  <c r="BM367" i="20"/>
  <c r="BM374" i="20"/>
  <c r="CC50" i="49"/>
  <c r="CC77" i="49" s="1"/>
  <c r="CC175" i="49" s="1"/>
  <c r="CC278" i="49" s="1"/>
  <c r="CK9" i="20"/>
  <c r="CO23" i="20" s="1"/>
  <c r="CB979" i="10"/>
  <c r="CT1028" i="10"/>
  <c r="CX846" i="20"/>
  <c r="DN25" i="42"/>
  <c r="DM512" i="42"/>
  <c r="CX111" i="46"/>
  <c r="CW115" i="46"/>
  <c r="BJ49" i="49"/>
  <c r="BJ76" i="49" s="1"/>
  <c r="BJ707" i="10"/>
  <c r="BJ1098" i="10"/>
  <c r="BJ1081" i="10"/>
  <c r="BJ1189" i="10"/>
  <c r="CD982" i="10"/>
  <c r="BJ37" i="41"/>
  <c r="BJ8" i="41"/>
  <c r="BJ57" i="41" s="1"/>
  <c r="BM520" i="42"/>
  <c r="DG212" i="46"/>
  <c r="DJ12" i="43"/>
  <c r="DL12" i="43"/>
  <c r="BP277" i="49"/>
  <c r="CX50" i="49"/>
  <c r="CX77" i="49" s="1"/>
  <c r="CX80" i="49" s="1"/>
  <c r="CK1013" i="10"/>
  <c r="CX130" i="49"/>
  <c r="CX51" i="43"/>
  <c r="CX46" i="43"/>
  <c r="DM463" i="10"/>
  <c r="DM1212" i="10"/>
  <c r="DM1214" i="10" s="1"/>
  <c r="BM432" i="10"/>
  <c r="BP432" i="10" s="1"/>
  <c r="BZ923" i="10"/>
  <c r="BX1013" i="10"/>
  <c r="BJ516" i="42"/>
  <c r="BJ518" i="42"/>
  <c r="BD53" i="49"/>
  <c r="BF24" i="10"/>
  <c r="BD47" i="10"/>
  <c r="BD1186" i="10"/>
  <c r="BD1188" i="10"/>
  <c r="BD1194" i="10" s="1"/>
  <c r="J15" i="41"/>
  <c r="BM119" i="46"/>
  <c r="BM121" i="46" s="1"/>
  <c r="BN115" i="46"/>
  <c r="BQ169" i="49"/>
  <c r="BQ272" i="49" s="1"/>
  <c r="BQ75" i="49"/>
  <c r="CP924" i="10"/>
  <c r="CN1014" i="10"/>
  <c r="CC517" i="42"/>
  <c r="CC518" i="42"/>
  <c r="CL521" i="42"/>
  <c r="DW9" i="41"/>
  <c r="DW12" i="41" s="1"/>
  <c r="BG56" i="41"/>
  <c r="CH168" i="49"/>
  <c r="CH169" i="49" s="1"/>
  <c r="CH271" i="49"/>
  <c r="CH272" i="49" s="1"/>
  <c r="BZ50" i="49"/>
  <c r="BZ77" i="49" s="1"/>
  <c r="BZ80" i="49" s="1"/>
  <c r="K38" i="41"/>
  <c r="K39" i="41" s="1"/>
  <c r="K59" i="41"/>
  <c r="AQ56" i="41"/>
  <c r="CS266" i="49"/>
  <c r="DA46" i="43"/>
  <c r="DD446" i="42" s="1"/>
  <c r="DB44" i="43"/>
  <c r="S27" i="51"/>
  <c r="BJ32" i="20"/>
  <c r="BP169" i="49"/>
  <c r="BP272" i="49" s="1"/>
  <c r="BP75" i="49"/>
  <c r="BV705" i="10"/>
  <c r="BU81" i="49"/>
  <c r="CW10" i="20"/>
  <c r="CW24" i="20" s="1"/>
  <c r="CW246" i="20"/>
  <c r="DL112" i="10"/>
  <c r="DM150" i="20"/>
  <c r="DL159" i="20"/>
  <c r="CC822" i="10"/>
  <c r="CC973" i="10"/>
  <c r="CC867" i="10"/>
  <c r="CC1013" i="10"/>
  <c r="AZ707" i="10"/>
  <c r="AZ1187" i="10" s="1"/>
  <c r="BZ516" i="42"/>
  <c r="BZ518" i="42"/>
  <c r="CP366" i="20"/>
  <c r="CN900" i="20"/>
  <c r="CN920" i="20"/>
  <c r="CP103" i="49"/>
  <c r="CP104" i="49" s="1"/>
  <c r="CQ67" i="46"/>
  <c r="EA68" i="41"/>
  <c r="BF704" i="10"/>
  <c r="BF707" i="10" s="1"/>
  <c r="BF48" i="49"/>
  <c r="BF42" i="10"/>
  <c r="BG20" i="10"/>
  <c r="BF662" i="10"/>
  <c r="BK662" i="10" s="1"/>
  <c r="BF1193" i="10"/>
  <c r="BF1103" i="10"/>
  <c r="L11" i="41"/>
  <c r="CZ660" i="10"/>
  <c r="CZ663" i="10"/>
  <c r="CZ832" i="10"/>
  <c r="CZ833" i="10" s="1"/>
  <c r="S18" i="51"/>
  <c r="BJ23" i="20"/>
  <c r="CX951" i="20"/>
  <c r="CX956" i="20" s="1"/>
  <c r="CV885" i="20"/>
  <c r="CZ951" i="20"/>
  <c r="CS1028" i="10"/>
  <c r="BR188" i="49"/>
  <c r="BR291" i="49"/>
  <c r="DB246" i="20"/>
  <c r="DB10" i="20"/>
  <c r="CT193" i="49"/>
  <c r="CT296" i="49"/>
  <c r="CN978" i="10"/>
  <c r="R38" i="41"/>
  <c r="R39" i="41" s="1"/>
  <c r="R59" i="41"/>
  <c r="CL922" i="10"/>
  <c r="CJ1012" i="10"/>
  <c r="AX462" i="10"/>
  <c r="CX402" i="42"/>
  <c r="CO980" i="10"/>
  <c r="DB73" i="46"/>
  <c r="EL72" i="41"/>
  <c r="BE255" i="42"/>
  <c r="BH253" i="42"/>
  <c r="BJ101" i="49"/>
  <c r="S23" i="51"/>
  <c r="BJ27" i="20"/>
  <c r="DJ482" i="42"/>
  <c r="CN998" i="10"/>
  <c r="CN1031" i="10"/>
  <c r="CP53" i="49"/>
  <c r="CP47" i="10"/>
  <c r="CP1188" i="10"/>
  <c r="EA25" i="41" s="1"/>
  <c r="CP1019" i="10"/>
  <c r="AV15" i="41"/>
  <c r="DA9" i="20"/>
  <c r="AT246" i="20"/>
  <c r="AT10" i="20"/>
  <c r="BZ268" i="49"/>
  <c r="CA67" i="49"/>
  <c r="BZ165" i="49"/>
  <c r="BG63" i="41"/>
  <c r="DA1186" i="10"/>
  <c r="EL30" i="41" s="1"/>
  <c r="CD663" i="10"/>
  <c r="CD832" i="10"/>
  <c r="CD833" i="10" s="1"/>
  <c r="CD1263" i="10"/>
  <c r="CV1186" i="10"/>
  <c r="EG30" i="41" s="1"/>
  <c r="CX53" i="49"/>
  <c r="CX47" i="10"/>
  <c r="CX1188" i="10"/>
  <c r="EI25" i="41" s="1"/>
  <c r="CX1019" i="10"/>
  <c r="BD15" i="41"/>
  <c r="BV172" i="49"/>
  <c r="BV275" i="49"/>
  <c r="BW74" i="49"/>
  <c r="CW517" i="42"/>
  <c r="CW518" i="42"/>
  <c r="BC27" i="51"/>
  <c r="CT32" i="20"/>
  <c r="AZ14" i="20"/>
  <c r="BB558" i="20"/>
  <c r="BX375" i="20"/>
  <c r="AD22" i="51" s="1"/>
  <c r="BX367" i="20"/>
  <c r="BX12" i="20"/>
  <c r="BZ356" i="20"/>
  <c r="BX374" i="20"/>
  <c r="AD21" i="51" s="1"/>
  <c r="BX357" i="20"/>
  <c r="BC60" i="41"/>
  <c r="AT32" i="10"/>
  <c r="AT543" i="42"/>
  <c r="AT541" i="42" s="1"/>
  <c r="BF49" i="49"/>
  <c r="BF76" i="49" s="1"/>
  <c r="BF1098" i="10"/>
  <c r="BF1081" i="10"/>
  <c r="BF1189" i="10"/>
  <c r="CA73" i="49"/>
  <c r="CX839" i="10"/>
  <c r="CX968" i="10"/>
  <c r="BH46" i="41"/>
  <c r="BM53" i="49"/>
  <c r="BM47" i="10"/>
  <c r="BM1186" i="10"/>
  <c r="BM1188" i="10"/>
  <c r="S15" i="41"/>
  <c r="CK46" i="43"/>
  <c r="CL44" i="43"/>
  <c r="CN311" i="42"/>
  <c r="BP374" i="20"/>
  <c r="BP12" i="20"/>
  <c r="BR356" i="20"/>
  <c r="BP375" i="20"/>
  <c r="BP367" i="20"/>
  <c r="BP357" i="20"/>
  <c r="BY28" i="20"/>
  <c r="CZ53" i="49"/>
  <c r="DB24" i="10"/>
  <c r="CZ34" i="10"/>
  <c r="CZ975" i="10" s="1"/>
  <c r="CZ47" i="10"/>
  <c r="CZ1033" i="10"/>
  <c r="CZ1019" i="10"/>
  <c r="CZ1186" i="10"/>
  <c r="EK30" i="41" s="1"/>
  <c r="CZ1188" i="10"/>
  <c r="EK25" i="41" s="1"/>
  <c r="BF15" i="41"/>
  <c r="BF63" i="41" s="1"/>
  <c r="CN660" i="10"/>
  <c r="CN663" i="10"/>
  <c r="CN832" i="10"/>
  <c r="CN833" i="10" s="1"/>
  <c r="DL911" i="10"/>
  <c r="DL915" i="10"/>
  <c r="DL913" i="10"/>
  <c r="DL917" i="10"/>
  <c r="DL914" i="10"/>
  <c r="CD521" i="42"/>
  <c r="DO9" i="41"/>
  <c r="DO12" i="41" s="1"/>
  <c r="DA156" i="42"/>
  <c r="BF655" i="10"/>
  <c r="BF657" i="10" s="1"/>
  <c r="BF659" i="10" s="1"/>
  <c r="BF663" i="10" s="1"/>
  <c r="BF491" i="10"/>
  <c r="BF470" i="10"/>
  <c r="CV822" i="10"/>
  <c r="CV867" i="10"/>
  <c r="CV973" i="10"/>
  <c r="BP48" i="49"/>
  <c r="BR20" i="10"/>
  <c r="BR1186" i="10" s="1"/>
  <c r="BP42" i="10"/>
  <c r="BP25" i="10"/>
  <c r="BP662" i="10"/>
  <c r="BP664" i="10" s="1"/>
  <c r="BP704" i="10"/>
  <c r="BP1193" i="10"/>
  <c r="BP1194" i="10" s="1"/>
  <c r="BP1103" i="10"/>
  <c r="V11" i="41"/>
  <c r="DJ659" i="20"/>
  <c r="CC894" i="20"/>
  <c r="CC888" i="20"/>
  <c r="CX655" i="10"/>
  <c r="CX657" i="10" s="1"/>
  <c r="CX659" i="10" s="1"/>
  <c r="CX491" i="10"/>
  <c r="CX470" i="10"/>
  <c r="CF660" i="10"/>
  <c r="CF663" i="10"/>
  <c r="CF832" i="10"/>
  <c r="CF833" i="10" s="1"/>
  <c r="AJ425" i="42"/>
  <c r="AJ429" i="42" s="1"/>
  <c r="BK20" i="10"/>
  <c r="BL28" i="20"/>
  <c r="BV366" i="20"/>
  <c r="AJ46" i="41"/>
  <c r="BE357" i="20"/>
  <c r="BE374" i="20"/>
  <c r="BE12" i="20"/>
  <c r="BE375" i="20"/>
  <c r="BE367" i="20"/>
  <c r="CP838" i="10"/>
  <c r="CP967" i="10"/>
  <c r="BY1013" i="10"/>
  <c r="BN112" i="49"/>
  <c r="BN298" i="42"/>
  <c r="CF979" i="10"/>
  <c r="AF275" i="42"/>
  <c r="AF447" i="42"/>
  <c r="AF450" i="42" s="1"/>
  <c r="CK978" i="10"/>
  <c r="CK180" i="49"/>
  <c r="CK279" i="49"/>
  <c r="CK283" i="49" s="1"/>
  <c r="CG80" i="49"/>
  <c r="CG178" i="49" s="1"/>
  <c r="CG281" i="49" s="1"/>
  <c r="AV54" i="49"/>
  <c r="AX25" i="10"/>
  <c r="AV30" i="10"/>
  <c r="AV1216" i="10"/>
  <c r="AV1217" i="10" s="1"/>
  <c r="AV1226" i="10"/>
  <c r="CK28" i="20"/>
  <c r="H42" i="41"/>
  <c r="CW929" i="10"/>
  <c r="BQ424" i="42"/>
  <c r="BP425" i="42"/>
  <c r="BP429" i="42" s="1"/>
  <c r="BP439" i="42" s="1"/>
  <c r="CP133" i="20"/>
  <c r="CL821" i="10"/>
  <c r="CL837" i="10"/>
  <c r="CL974" i="10"/>
  <c r="CL966" i="10"/>
  <c r="CK50" i="49"/>
  <c r="CK77" i="49" s="1"/>
  <c r="CK175" i="49" s="1"/>
  <c r="CK278" i="49" s="1"/>
  <c r="BH53" i="49"/>
  <c r="BH47" i="10"/>
  <c r="BJ24" i="10"/>
  <c r="BH1186" i="10"/>
  <c r="BH1188" i="10"/>
  <c r="BH1194" i="10" s="1"/>
  <c r="N15" i="41"/>
  <c r="BH25" i="10"/>
  <c r="BF56" i="41"/>
  <c r="AQ24" i="51"/>
  <c r="BN131" i="49"/>
  <c r="CP102" i="49"/>
  <c r="T58" i="41"/>
  <c r="AL69" i="41"/>
  <c r="DG71" i="41"/>
  <c r="BQ431" i="10"/>
  <c r="BT431" i="10" s="1"/>
  <c r="CT133" i="20"/>
  <c r="BM433" i="10"/>
  <c r="BP433" i="10" s="1"/>
  <c r="BM429" i="10"/>
  <c r="BP429" i="10" s="1"/>
  <c r="CQ558" i="20"/>
  <c r="CP172" i="49"/>
  <c r="CP275" i="49"/>
  <c r="K27" i="51"/>
  <c r="BB32" i="20"/>
  <c r="CT163" i="49"/>
  <c r="CT266" i="49"/>
  <c r="CT71" i="49"/>
  <c r="CT66" i="49"/>
  <c r="CU64" i="49"/>
  <c r="BY38" i="49"/>
  <c r="BY20" i="10"/>
  <c r="BY822" i="10" s="1"/>
  <c r="BZ784" i="20"/>
  <c r="AE7" i="41"/>
  <c r="AE56" i="41" s="1"/>
  <c r="BZ10" i="10"/>
  <c r="CT73" i="46"/>
  <c r="ED72" i="41"/>
  <c r="CH131" i="49"/>
  <c r="L42" i="41"/>
  <c r="L46" i="41" s="1"/>
  <c r="BR172" i="49"/>
  <c r="BR275" i="49"/>
  <c r="BS74" i="49"/>
  <c r="CU67" i="49"/>
  <c r="CT165" i="49"/>
  <c r="CT268" i="49"/>
  <c r="BN366" i="20"/>
  <c r="BO354" i="20"/>
  <c r="AL411" i="42"/>
  <c r="AK413" i="42"/>
  <c r="AL413" i="42" s="1"/>
  <c r="AK412" i="42"/>
  <c r="BD375" i="20"/>
  <c r="BD367" i="20"/>
  <c r="BF356" i="20"/>
  <c r="BD12" i="20"/>
  <c r="BH26" i="20" s="1"/>
  <c r="BD357" i="20"/>
  <c r="BH368" i="20" s="1"/>
  <c r="BD374" i="20"/>
  <c r="CK1014" i="10"/>
  <c r="BV73" i="46"/>
  <c r="DM317" i="42"/>
  <c r="DM318" i="42" s="1"/>
  <c r="DM320" i="42" s="1"/>
  <c r="DM285" i="42" s="1"/>
  <c r="DI562" i="20"/>
  <c r="CD1027" i="10"/>
  <c r="CF83" i="49"/>
  <c r="BA54" i="49"/>
  <c r="BA30" i="10"/>
  <c r="BA1216" i="10"/>
  <c r="BA1217" i="10" s="1"/>
  <c r="BA1218" i="10" s="1"/>
  <c r="BA1226" i="10"/>
  <c r="BA1227" i="10" s="1"/>
  <c r="G16" i="41"/>
  <c r="CF998" i="10"/>
  <c r="CF1031" i="10"/>
  <c r="CT246" i="20"/>
  <c r="CT10" i="20"/>
  <c r="CW1014" i="10"/>
  <c r="AE55" i="41"/>
  <c r="AI55" i="41"/>
  <c r="CW885" i="20"/>
  <c r="DA951" i="20"/>
  <c r="CJ24" i="10"/>
  <c r="CJ25" i="10" s="1"/>
  <c r="CL21" i="10"/>
  <c r="AP12" i="41"/>
  <c r="CL245" i="20"/>
  <c r="CJ10" i="20"/>
  <c r="CJ24" i="20" s="1"/>
  <c r="CJ246" i="20"/>
  <c r="BH358" i="20"/>
  <c r="DL737" i="20"/>
  <c r="CO1031" i="10"/>
  <c r="CO998" i="10"/>
  <c r="CH38" i="49"/>
  <c r="AN7" i="41"/>
  <c r="BY357" i="20"/>
  <c r="BY12" i="20"/>
  <c r="BY375" i="20"/>
  <c r="AE22" i="51" s="1"/>
  <c r="BY367" i="20"/>
  <c r="BY374" i="20"/>
  <c r="AE21" i="51" s="1"/>
  <c r="CX66" i="49"/>
  <c r="CX163" i="49"/>
  <c r="CY64" i="49"/>
  <c r="CX266" i="49"/>
  <c r="CS822" i="10"/>
  <c r="CS867" i="10"/>
  <c r="CS973" i="10"/>
  <c r="AF18" i="51"/>
  <c r="BZ23" i="20"/>
  <c r="CH366" i="20"/>
  <c r="CC174" i="49"/>
  <c r="CB374" i="20"/>
  <c r="AK21" i="51" s="1"/>
  <c r="CB12" i="20"/>
  <c r="CD356" i="20"/>
  <c r="CB357" i="20"/>
  <c r="CB360" i="20"/>
  <c r="CB375" i="20"/>
  <c r="AK22" i="51" s="1"/>
  <c r="CB367" i="20"/>
  <c r="BD10" i="20"/>
  <c r="BF245" i="20"/>
  <c r="BD246" i="20"/>
  <c r="AZ25" i="10"/>
  <c r="BI10" i="20"/>
  <c r="BI246" i="20"/>
  <c r="DJ179" i="46"/>
  <c r="CK174" i="49"/>
  <c r="CH111" i="46"/>
  <c r="CG115" i="46"/>
  <c r="DB1012" i="10"/>
  <c r="DB9" i="20"/>
  <c r="CZ16" i="20"/>
  <c r="DD30" i="20" s="1"/>
  <c r="CZ26" i="20"/>
  <c r="AB52" i="41"/>
  <c r="CG54" i="43"/>
  <c r="DA357" i="20"/>
  <c r="DA374" i="20"/>
  <c r="DA12" i="20"/>
  <c r="DA360" i="20"/>
  <c r="DA375" i="20"/>
  <c r="DA367" i="20"/>
  <c r="AS545" i="42"/>
  <c r="AS34" i="10"/>
  <c r="CL923" i="10"/>
  <c r="CJ1013" i="10"/>
  <c r="AL295" i="42"/>
  <c r="AL326" i="42"/>
  <c r="CG48" i="49"/>
  <c r="CG25" i="10"/>
  <c r="CG42" i="10"/>
  <c r="CG704" i="10"/>
  <c r="CG662" i="10"/>
  <c r="CG1193" i="10"/>
  <c r="CG1194" i="10" s="1"/>
  <c r="CG1103" i="10"/>
  <c r="CH789" i="20"/>
  <c r="AM11" i="41"/>
  <c r="BL169" i="49"/>
  <c r="BL272" i="49" s="1"/>
  <c r="BL75" i="49"/>
  <c r="CC54" i="43"/>
  <c r="CF446" i="42"/>
  <c r="CP112" i="49"/>
  <c r="CP298" i="42"/>
  <c r="DN207" i="10"/>
  <c r="DL112" i="42"/>
  <c r="DL21" i="46" s="1"/>
  <c r="DL34" i="46" s="1"/>
  <c r="DM392" i="42"/>
  <c r="DM396" i="42" s="1"/>
  <c r="DM112" i="42" s="1"/>
  <c r="DM21" i="46" s="1"/>
  <c r="DM34" i="46" s="1"/>
  <c r="CR48" i="49"/>
  <c r="CR25" i="10"/>
  <c r="CR42" i="10"/>
  <c r="CT20" i="10"/>
  <c r="CR704" i="10"/>
  <c r="CR662" i="10"/>
  <c r="CR1193" i="10"/>
  <c r="CR1103" i="10"/>
  <c r="AX11" i="41"/>
  <c r="CR1033" i="10"/>
  <c r="CR1032" i="10"/>
  <c r="CR34" i="10"/>
  <c r="CR1186" i="10"/>
  <c r="BN462" i="10"/>
  <c r="T43" i="41"/>
  <c r="CD318" i="49"/>
  <c r="CD215" i="49"/>
  <c r="CK10" i="20"/>
  <c r="CK24" i="20" s="1"/>
  <c r="CK246" i="20"/>
  <c r="CO913" i="20"/>
  <c r="CO918" i="20"/>
  <c r="CG660" i="10"/>
  <c r="CG663" i="10"/>
  <c r="CG832" i="10"/>
  <c r="CG833" i="10" s="1"/>
  <c r="CK297" i="10"/>
  <c r="CJ292" i="10"/>
  <c r="CJ299" i="10"/>
  <c r="AN405" i="42"/>
  <c r="AN406" i="42" s="1"/>
  <c r="AN414" i="42"/>
  <c r="DN396" i="20"/>
  <c r="CK75" i="49"/>
  <c r="CK81" i="49" s="1"/>
  <c r="CK169" i="49"/>
  <c r="CK272" i="49" s="1"/>
  <c r="CG9" i="20"/>
  <c r="CH128" i="20"/>
  <c r="CN830" i="20"/>
  <c r="CN842" i="20"/>
  <c r="CO828" i="20"/>
  <c r="CN836" i="20"/>
  <c r="AP24" i="51"/>
  <c r="CG28" i="20"/>
  <c r="CO48" i="49"/>
  <c r="CO25" i="10"/>
  <c r="CO42" i="10"/>
  <c r="CO662" i="10"/>
  <c r="CO664" i="10" s="1"/>
  <c r="CO844" i="10" s="1"/>
  <c r="CO852" i="10" s="1"/>
  <c r="CO704" i="10"/>
  <c r="CO1103" i="10"/>
  <c r="CP789" i="20"/>
  <c r="CO1193" i="10"/>
  <c r="AU11" i="41"/>
  <c r="AM27" i="51"/>
  <c r="CD32" i="20"/>
  <c r="BJ275" i="42"/>
  <c r="AZ9" i="20"/>
  <c r="BB128" i="20"/>
  <c r="BR50" i="49"/>
  <c r="BR77" i="49" s="1"/>
  <c r="BR80" i="49" s="1"/>
  <c r="CS1013" i="10"/>
  <c r="CC48" i="49"/>
  <c r="CC25" i="10"/>
  <c r="CC42" i="10"/>
  <c r="CC704" i="10"/>
  <c r="CC662" i="10"/>
  <c r="CC664" i="10" s="1"/>
  <c r="CC844" i="10" s="1"/>
  <c r="CC846" i="10" s="1"/>
  <c r="CD789" i="20"/>
  <c r="CC1193" i="10"/>
  <c r="CC1103" i="10"/>
  <c r="AI11" i="41"/>
  <c r="DN759" i="10"/>
  <c r="CX14" i="20"/>
  <c r="DB28" i="20" s="1"/>
  <c r="CY558" i="20"/>
  <c r="CV911" i="20"/>
  <c r="CZ908" i="20"/>
  <c r="CP911" i="20"/>
  <c r="CY71" i="41"/>
  <c r="CD111" i="46"/>
  <c r="CC115" i="46"/>
  <c r="AV52" i="41"/>
  <c r="CP520" i="42"/>
  <c r="EA10" i="41"/>
  <c r="EA11" i="41" s="1"/>
  <c r="CX168" i="49"/>
  <c r="AL24" i="51"/>
  <c r="CC28" i="20"/>
  <c r="CH838" i="10"/>
  <c r="CH967" i="10"/>
  <c r="BV103" i="49"/>
  <c r="BW67" i="46"/>
  <c r="DG68" i="41"/>
  <c r="AJ12" i="41"/>
  <c r="AJ60" i="41" s="1"/>
  <c r="CB867" i="10"/>
  <c r="CB973" i="10"/>
  <c r="CB1031" i="10"/>
  <c r="CS53" i="49"/>
  <c r="CS34" i="10"/>
  <c r="CS47" i="10"/>
  <c r="CS1033" i="10"/>
  <c r="CS1186" i="10"/>
  <c r="CS1188" i="10"/>
  <c r="ED25" i="41" s="1"/>
  <c r="CS1019" i="10"/>
  <c r="AY15" i="41"/>
  <c r="AY63" i="41" s="1"/>
  <c r="CT24" i="10"/>
  <c r="CC320" i="10"/>
  <c r="CC326" i="10"/>
  <c r="CW953" i="20"/>
  <c r="CW958" i="20" s="1"/>
  <c r="CL113" i="46"/>
  <c r="DW69" i="41" s="1"/>
  <c r="DV69" i="41"/>
  <c r="AO19" i="51"/>
  <c r="CF24" i="20"/>
  <c r="CZ805" i="20"/>
  <c r="DD841" i="20"/>
  <c r="DH841" i="20" s="1"/>
  <c r="DN68" i="42"/>
  <c r="CW28" i="20"/>
  <c r="DN511" i="42"/>
  <c r="BH81" i="49"/>
  <c r="BH174" i="49"/>
  <c r="DB71" i="46"/>
  <c r="EL71" i="41"/>
  <c r="BM517" i="42"/>
  <c r="BM518" i="42"/>
  <c r="BN268" i="49"/>
  <c r="BN272" i="49" s="1"/>
  <c r="BN165" i="49"/>
  <c r="BN169" i="49" s="1"/>
  <c r="BO67" i="49"/>
  <c r="BW64" i="49"/>
  <c r="BV75" i="49"/>
  <c r="CG521" i="42"/>
  <c r="BX867" i="10"/>
  <c r="BX973" i="10"/>
  <c r="BX1031" i="10"/>
  <c r="CL366" i="20"/>
  <c r="CV980" i="10"/>
  <c r="EK72" i="41"/>
  <c r="DE912" i="20"/>
  <c r="DB912" i="20"/>
  <c r="DB919" i="20" s="1"/>
  <c r="BE10" i="20"/>
  <c r="BE246" i="20"/>
  <c r="CK900" i="20"/>
  <c r="CL900" i="20" s="1"/>
  <c r="CL904" i="20" s="1"/>
  <c r="CK920" i="20"/>
  <c r="CO357" i="20"/>
  <c r="CO12" i="20"/>
  <c r="CO360" i="20"/>
  <c r="CO375" i="20"/>
  <c r="CO367" i="20"/>
  <c r="CO374" i="20"/>
  <c r="CZ886" i="20"/>
  <c r="DD952" i="20"/>
  <c r="DH952" i="20" s="1"/>
  <c r="DH886" i="20" s="1"/>
  <c r="CT953" i="20"/>
  <c r="CT958" i="20" s="1"/>
  <c r="CT955" i="20"/>
  <c r="BN521" i="42"/>
  <c r="CY9" i="41"/>
  <c r="CY12" i="41" s="1"/>
  <c r="BV49" i="49"/>
  <c r="BV76" i="49" s="1"/>
  <c r="CA76" i="49" s="1"/>
  <c r="BV1098" i="10"/>
  <c r="BV1081" i="10"/>
  <c r="BV1189" i="10"/>
  <c r="DL124" i="42"/>
  <c r="DL136" i="42"/>
  <c r="DL599" i="20" s="1"/>
  <c r="AK20" i="51"/>
  <c r="CB25" i="20"/>
  <c r="CJ808" i="20"/>
  <c r="CJ803" i="20"/>
  <c r="CH864" i="10"/>
  <c r="CI926" i="10"/>
  <c r="CH1016" i="10"/>
  <c r="V63" i="41"/>
  <c r="BR53" i="49"/>
  <c r="BR47" i="10"/>
  <c r="BR1188" i="10"/>
  <c r="DC25" i="41" s="1"/>
  <c r="X15" i="41"/>
  <c r="DI126" i="10"/>
  <c r="CX366" i="20"/>
  <c r="BB705" i="10"/>
  <c r="BB706" i="10" s="1"/>
  <c r="AZ706" i="10"/>
  <c r="K63" i="41"/>
  <c r="CW80" i="49"/>
  <c r="CW178" i="49" s="1"/>
  <c r="CW281" i="49" s="1"/>
  <c r="BN13" i="20"/>
  <c r="BN527" i="20"/>
  <c r="CN360" i="20"/>
  <c r="CN375" i="20"/>
  <c r="CN367" i="20"/>
  <c r="CN12" i="20"/>
  <c r="CP356" i="20"/>
  <c r="CN374" i="20"/>
  <c r="CN357" i="20"/>
  <c r="AZ446" i="42"/>
  <c r="BI505" i="42"/>
  <c r="BI515" i="42"/>
  <c r="BI520" i="42" s="1"/>
  <c r="BI516" i="42"/>
  <c r="BI521" i="42" s="1"/>
  <c r="DE909" i="20"/>
  <c r="DB909" i="20"/>
  <c r="DB916" i="20" s="1"/>
  <c r="BB56" i="41"/>
  <c r="CD43" i="49"/>
  <c r="CD70" i="49" s="1"/>
  <c r="CI70" i="49" s="1"/>
  <c r="AJ35" i="41"/>
  <c r="J38" i="41"/>
  <c r="J39" i="41" s="1"/>
  <c r="J59" i="41"/>
  <c r="DB655" i="10"/>
  <c r="DB657" i="10" s="1"/>
  <c r="DB659" i="10" s="1"/>
  <c r="DB491" i="10"/>
  <c r="DB470" i="10"/>
  <c r="CT885" i="20"/>
  <c r="CS54" i="43"/>
  <c r="CV446" i="42"/>
  <c r="CT980" i="10"/>
  <c r="BX660" i="10"/>
  <c r="BX663" i="10"/>
  <c r="BX832" i="10"/>
  <c r="BX833" i="10" s="1"/>
  <c r="CW1024" i="10"/>
  <c r="CT521" i="42"/>
  <c r="EE9" i="41"/>
  <c r="EE12" i="41" s="1"/>
  <c r="DL76" i="42"/>
  <c r="AW655" i="10"/>
  <c r="AW657" i="10" s="1"/>
  <c r="AW659" i="10" s="1"/>
  <c r="AW663" i="10" s="1"/>
  <c r="AW664" i="10" s="1"/>
  <c r="AW491" i="10"/>
  <c r="AW470" i="10"/>
  <c r="CP922" i="10"/>
  <c r="CN1012" i="10"/>
  <c r="O59" i="41"/>
  <c r="BN48" i="49"/>
  <c r="BN42" i="10"/>
  <c r="BO20" i="10"/>
  <c r="BN662" i="10"/>
  <c r="BN1103" i="10"/>
  <c r="BN1193" i="10"/>
  <c r="T11" i="41"/>
  <c r="CJ978" i="10"/>
  <c r="AV655" i="10"/>
  <c r="AV657" i="10" s="1"/>
  <c r="AV659" i="10" s="1"/>
  <c r="AV663" i="10" s="1"/>
  <c r="AV664" i="10" s="1"/>
  <c r="AV491" i="10"/>
  <c r="AX469" i="10"/>
  <c r="AV470" i="10"/>
  <c r="BM10" i="20"/>
  <c r="BM246" i="20"/>
  <c r="BY25" i="20"/>
  <c r="CX71" i="46"/>
  <c r="EH71" i="41"/>
  <c r="CO1014" i="10"/>
  <c r="DB101" i="49"/>
  <c r="CT922" i="10"/>
  <c r="BV165" i="49"/>
  <c r="BV169" i="49" s="1"/>
  <c r="BV268" i="49"/>
  <c r="BV272" i="49" s="1"/>
  <c r="BW67" i="49"/>
  <c r="BJ257" i="20"/>
  <c r="G18" i="51"/>
  <c r="CV998" i="10"/>
  <c r="CV1031" i="10"/>
  <c r="CV1033" i="10"/>
  <c r="CR1013" i="10"/>
  <c r="CT923" i="10"/>
  <c r="CH71" i="49"/>
  <c r="W58" i="41"/>
  <c r="DB165" i="49"/>
  <c r="DB268" i="49"/>
  <c r="DC67" i="49"/>
  <c r="BM50" i="49"/>
  <c r="BM77" i="49" s="1"/>
  <c r="BM175" i="49" s="1"/>
  <c r="BM278" i="49" s="1"/>
  <c r="BV257" i="20"/>
  <c r="BZ257" i="20"/>
  <c r="BR366" i="20"/>
  <c r="BS354" i="20"/>
  <c r="CR83" i="49"/>
  <c r="CR81" i="49"/>
  <c r="DM498" i="42"/>
  <c r="DM482" i="42" s="1"/>
  <c r="CP174" i="49"/>
  <c r="CP277" i="49"/>
  <c r="CL46" i="49"/>
  <c r="CL74" i="49" s="1"/>
  <c r="AR10" i="41"/>
  <c r="AR58" i="41" s="1"/>
  <c r="BZ291" i="49"/>
  <c r="BZ188" i="49"/>
  <c r="CG1033" i="10"/>
  <c r="CG998" i="10"/>
  <c r="CG1031" i="10"/>
  <c r="CZ50" i="49"/>
  <c r="CZ77" i="49" s="1"/>
  <c r="CZ80" i="49" s="1"/>
  <c r="CZ83" i="49" s="1"/>
  <c r="DL722" i="10"/>
  <c r="DL723" i="10" s="1"/>
  <c r="DL735" i="10"/>
  <c r="DL747" i="10"/>
  <c r="CG24" i="20"/>
  <c r="DA952" i="20"/>
  <c r="CW886" i="20"/>
  <c r="CX886" i="20" s="1"/>
  <c r="AY56" i="41"/>
  <c r="CG978" i="10"/>
  <c r="CH655" i="10"/>
  <c r="CH657" i="10" s="1"/>
  <c r="CH659" i="10" s="1"/>
  <c r="CH491" i="10"/>
  <c r="CH470" i="10"/>
  <c r="AK423" i="42"/>
  <c r="AK425" i="42" s="1"/>
  <c r="CJ980" i="10"/>
  <c r="CU24" i="41"/>
  <c r="CH980" i="10"/>
  <c r="CE67" i="49"/>
  <c r="CD165" i="49"/>
  <c r="CD268" i="49"/>
  <c r="DI59" i="10"/>
  <c r="DI16" i="10" s="1"/>
  <c r="BY867" i="10"/>
  <c r="BY973" i="10"/>
  <c r="CD73" i="46"/>
  <c r="BN73" i="46"/>
  <c r="CD103" i="49"/>
  <c r="CE67" i="46"/>
  <c r="DO68" i="41"/>
  <c r="AT56" i="41"/>
  <c r="CV83" i="49"/>
  <c r="CH923" i="10"/>
  <c r="CF1013" i="10"/>
  <c r="CS521" i="42"/>
  <c r="ED9" i="41"/>
  <c r="ED12" i="41" s="1"/>
  <c r="CK822" i="10"/>
  <c r="CK867" i="10"/>
  <c r="AX48" i="49"/>
  <c r="AX662" i="10"/>
  <c r="AX1103" i="10"/>
  <c r="AX1193" i="10"/>
  <c r="AX1194" i="10" s="1"/>
  <c r="AX1186" i="10"/>
  <c r="CV821" i="20"/>
  <c r="CV799" i="20"/>
  <c r="CZ820" i="20"/>
  <c r="CX820" i="20"/>
  <c r="CX824" i="20" s="1"/>
  <c r="CL165" i="49"/>
  <c r="CL268" i="49"/>
  <c r="CM67" i="49"/>
  <c r="BM429" i="42"/>
  <c r="BM439" i="42" s="1"/>
  <c r="BN425" i="42"/>
  <c r="DM232" i="20"/>
  <c r="DM295" i="20"/>
  <c r="DM273" i="20"/>
  <c r="CT982" i="10"/>
  <c r="BL10" i="20"/>
  <c r="BN245" i="20"/>
  <c r="BL246" i="20"/>
  <c r="AJ52" i="41"/>
  <c r="BH50" i="49"/>
  <c r="BH77" i="49" s="1"/>
  <c r="BH175" i="49" s="1"/>
  <c r="BH278" i="49" s="1"/>
  <c r="CR929" i="10"/>
  <c r="DB38" i="49"/>
  <c r="BH7" i="41"/>
  <c r="CO1028" i="10"/>
  <c r="BQ1186" i="10"/>
  <c r="BN172" i="49"/>
  <c r="BO74" i="49"/>
  <c r="BN275" i="49"/>
  <c r="DK72" i="41"/>
  <c r="CX269" i="20"/>
  <c r="DS72" i="41"/>
  <c r="AY24" i="51"/>
  <c r="DB980" i="10"/>
  <c r="CR374" i="20"/>
  <c r="CR12" i="20"/>
  <c r="CT356" i="20"/>
  <c r="CR357" i="20"/>
  <c r="CR360" i="20"/>
  <c r="CR375" i="20"/>
  <c r="CR367" i="20"/>
  <c r="BK75" i="49"/>
  <c r="CB38" i="49"/>
  <c r="CB20" i="10"/>
  <c r="CB822" i="10" s="1"/>
  <c r="CD10" i="10"/>
  <c r="AH7" i="41"/>
  <c r="CT101" i="49"/>
  <c r="BS76" i="49"/>
  <c r="BR174" i="49"/>
  <c r="BR277" i="49"/>
  <c r="DB1013" i="10"/>
  <c r="CR660" i="10"/>
  <c r="CR663" i="10"/>
  <c r="CR832" i="10"/>
  <c r="CR833" i="10" s="1"/>
  <c r="BQ10" i="20"/>
  <c r="BQ246" i="20"/>
  <c r="BR245" i="20"/>
  <c r="DJ948" i="10"/>
  <c r="DJ1177" i="10"/>
  <c r="DJ45" i="10"/>
  <c r="CP839" i="10"/>
  <c r="CP968" i="10"/>
  <c r="BM174" i="49"/>
  <c r="AZ52" i="41"/>
  <c r="CK980" i="10"/>
  <c r="CL913" i="20"/>
  <c r="CL920" i="20" s="1"/>
  <c r="CL918" i="20"/>
  <c r="BV101" i="49"/>
  <c r="DM292" i="42"/>
  <c r="DN292" i="42" s="1"/>
  <c r="DN108" i="49" s="1"/>
  <c r="DN308" i="42"/>
  <c r="DN307" i="42" s="1"/>
  <c r="CO979" i="10"/>
  <c r="DB705" i="10"/>
  <c r="CF309" i="10"/>
  <c r="CF296" i="10"/>
  <c r="CF301" i="10"/>
  <c r="CK1028" i="10"/>
  <c r="AL405" i="42"/>
  <c r="AL406" i="42" s="1"/>
  <c r="AK406" i="42"/>
  <c r="AZ491" i="10"/>
  <c r="BB469" i="10"/>
  <c r="AZ655" i="10"/>
  <c r="AZ657" i="10" s="1"/>
  <c r="AZ659" i="10" s="1"/>
  <c r="AZ663" i="10" s="1"/>
  <c r="AZ664" i="10" s="1"/>
  <c r="CO1024" i="10"/>
  <c r="CX520" i="42"/>
  <c r="EI10" i="41"/>
  <c r="EI11" i="41" s="1"/>
  <c r="G62" i="51"/>
  <c r="BZ246" i="20"/>
  <c r="CE246" i="20" s="1"/>
  <c r="BZ10" i="20"/>
  <c r="BY1026" i="10"/>
  <c r="CH837" i="10"/>
  <c r="CH821" i="10"/>
  <c r="CH966" i="10"/>
  <c r="CH974" i="10"/>
  <c r="CZ1024" i="10"/>
  <c r="DB1024" i="10" s="1"/>
  <c r="DB860" i="10"/>
  <c r="CW1013" i="10"/>
  <c r="BD3" i="10"/>
  <c r="BA1" i="10"/>
  <c r="CD193" i="49"/>
  <c r="CD296" i="49"/>
  <c r="BE14" i="20"/>
  <c r="BF558" i="20"/>
  <c r="BH16" i="20"/>
  <c r="DN731" i="20"/>
  <c r="DN735" i="20" s="1"/>
  <c r="CF48" i="49"/>
  <c r="CH20" i="10"/>
  <c r="CH1186" i="10" s="1"/>
  <c r="CF25" i="10"/>
  <c r="CF662" i="10"/>
  <c r="CF42" i="10"/>
  <c r="CF704" i="10"/>
  <c r="CF1193" i="10"/>
  <c r="CF1194" i="10" s="1"/>
  <c r="CF1103" i="10"/>
  <c r="AL11" i="41"/>
  <c r="CW799" i="20"/>
  <c r="DA820" i="20"/>
  <c r="CW821" i="20"/>
  <c r="CW825" i="20" s="1"/>
  <c r="BJ112" i="49"/>
  <c r="BJ298" i="42"/>
  <c r="DM26" i="43"/>
  <c r="DP26" i="43" s="1"/>
  <c r="CF374" i="20"/>
  <c r="AO21" i="51" s="1"/>
  <c r="CF12" i="20"/>
  <c r="CH356" i="20"/>
  <c r="CF360" i="20"/>
  <c r="CF375" i="20"/>
  <c r="AO22" i="51" s="1"/>
  <c r="CF367" i="20"/>
  <c r="CF357" i="20"/>
  <c r="BU505" i="42"/>
  <c r="BU515" i="42"/>
  <c r="BU516" i="42"/>
  <c r="CD366" i="20"/>
  <c r="CT705" i="10"/>
  <c r="BB48" i="49"/>
  <c r="BB662" i="10"/>
  <c r="BB1193" i="10"/>
  <c r="BB1103" i="10"/>
  <c r="H11" i="41"/>
  <c r="BY167" i="49"/>
  <c r="BY82" i="49"/>
  <c r="BY71" i="49"/>
  <c r="CP982" i="10"/>
  <c r="CX843" i="20"/>
  <c r="CX848" i="20" s="1"/>
  <c r="BB245" i="20"/>
  <c r="AZ246" i="20"/>
  <c r="AZ10" i="20"/>
  <c r="AZ24" i="20" s="1"/>
  <c r="CL133" i="20"/>
  <c r="CO10" i="20"/>
  <c r="CO246" i="20"/>
  <c r="BM132" i="49"/>
  <c r="BM54" i="43"/>
  <c r="BP446" i="42"/>
  <c r="CS28" i="20"/>
  <c r="EA72" i="41"/>
  <c r="DB113" i="46"/>
  <c r="EM69" i="41" s="1"/>
  <c r="EL69" i="41"/>
  <c r="DB978" i="10"/>
  <c r="BF235" i="49"/>
  <c r="CJ312" i="42"/>
  <c r="CL311" i="42"/>
  <c r="CJ979" i="10"/>
  <c r="AJ295" i="42"/>
  <c r="AJ326" i="42"/>
  <c r="BN375" i="20"/>
  <c r="BN367" i="20"/>
  <c r="BN12" i="20"/>
  <c r="BN357" i="20"/>
  <c r="BN374" i="20"/>
  <c r="CX915" i="20"/>
  <c r="CP257" i="20"/>
  <c r="CD130" i="49"/>
  <c r="CD46" i="43"/>
  <c r="CD51" i="43"/>
  <c r="DB838" i="10"/>
  <c r="DB967" i="10"/>
  <c r="CZ1026" i="10"/>
  <c r="DB1026" i="10" s="1"/>
  <c r="DB862" i="10"/>
  <c r="DC924" i="10"/>
  <c r="CD41" i="49"/>
  <c r="CD68" i="49" s="1"/>
  <c r="AJ33" i="41"/>
  <c r="BG27" i="51"/>
  <c r="CX32" i="20"/>
  <c r="DL184" i="42"/>
  <c r="EW46" i="41"/>
  <c r="DL177" i="42"/>
  <c r="CP887" i="20"/>
  <c r="CN895" i="20"/>
  <c r="DJ1133" i="10"/>
  <c r="DJ959" i="10"/>
  <c r="Z60" i="41"/>
  <c r="AD60" i="41"/>
  <c r="DM130" i="42"/>
  <c r="DN130" i="42" s="1"/>
  <c r="DM156" i="46"/>
  <c r="DM141" i="46" s="1"/>
  <c r="DM143" i="46" s="1"/>
  <c r="DM134" i="42"/>
  <c r="DM597" i="20" s="1"/>
  <c r="AR52" i="41"/>
  <c r="CR11" i="20"/>
  <c r="BK8" i="41"/>
  <c r="BK37" i="41"/>
  <c r="O27" i="51"/>
  <c r="BF32" i="20"/>
  <c r="AX558" i="20"/>
  <c r="AV14" i="20"/>
  <c r="CK798" i="20"/>
  <c r="CK803" i="20" s="1"/>
  <c r="CK834" i="20"/>
  <c r="CK838" i="20"/>
  <c r="CT257" i="20"/>
  <c r="BA1" i="42"/>
  <c r="BD3" i="42"/>
  <c r="CS979" i="10"/>
  <c r="CL839" i="10"/>
  <c r="CL968" i="10"/>
  <c r="CF811" i="20"/>
  <c r="CH809" i="20"/>
  <c r="CN979" i="10"/>
  <c r="BF29" i="20"/>
  <c r="BB29" i="20"/>
  <c r="CP113" i="46"/>
  <c r="EA69" i="41" s="1"/>
  <c r="DZ69" i="41"/>
  <c r="CU74" i="49"/>
  <c r="DJ759" i="10"/>
  <c r="BR73" i="46"/>
  <c r="CT837" i="10"/>
  <c r="CT821" i="10"/>
  <c r="CT966" i="10"/>
  <c r="CT974" i="10"/>
  <c r="CU974" i="10" s="1"/>
  <c r="DB923" i="10"/>
  <c r="CT131" i="49"/>
  <c r="BU48" i="49"/>
  <c r="BU42" i="10"/>
  <c r="BU25" i="10"/>
  <c r="BU662" i="10"/>
  <c r="BU664" i="10" s="1"/>
  <c r="BU704" i="10"/>
  <c r="BU1193" i="10"/>
  <c r="BU1194" i="10" s="1"/>
  <c r="BV789" i="20"/>
  <c r="BU1103" i="10"/>
  <c r="AA11" i="41"/>
  <c r="CS50" i="49"/>
  <c r="CS77" i="49" s="1"/>
  <c r="CS175" i="49" s="1"/>
  <c r="CS278" i="49" s="1"/>
  <c r="AB23" i="51"/>
  <c r="CH520" i="42"/>
  <c r="DS10" i="41"/>
  <c r="DS11" i="41" s="1"/>
  <c r="CC314" i="10"/>
  <c r="CC323" i="10"/>
  <c r="DA884" i="20"/>
  <c r="DE950" i="20"/>
  <c r="CL73" i="46"/>
  <c r="DV72" i="41"/>
  <c r="CL111" i="46"/>
  <c r="CK115" i="46"/>
  <c r="DB172" i="49"/>
  <c r="DB275" i="49"/>
  <c r="DC74" i="49"/>
  <c r="CJ901" i="20"/>
  <c r="CJ904" i="20"/>
  <c r="CM887" i="20"/>
  <c r="CL895" i="20"/>
  <c r="CF81" i="49"/>
  <c r="BT169" i="49"/>
  <c r="BT272" i="49" s="1"/>
  <c r="BT75" i="49"/>
  <c r="BT81" i="49" s="1"/>
  <c r="BV38" i="49"/>
  <c r="AB7" i="41"/>
  <c r="CH71" i="46"/>
  <c r="P42" i="41"/>
  <c r="CH172" i="49"/>
  <c r="CI74" i="49"/>
  <c r="CH275" i="49"/>
  <c r="BI655" i="10"/>
  <c r="BI657" i="10" s="1"/>
  <c r="BI659" i="10" s="1"/>
  <c r="BI663" i="10" s="1"/>
  <c r="BI664" i="10" s="1"/>
  <c r="BI491" i="10"/>
  <c r="BI470" i="10"/>
  <c r="CJ48" i="49"/>
  <c r="CL20" i="10"/>
  <c r="CJ42" i="10"/>
  <c r="CJ662" i="10"/>
  <c r="CJ704" i="10"/>
  <c r="CJ1103" i="10"/>
  <c r="CJ1193" i="10"/>
  <c r="AP11" i="41"/>
  <c r="CG520" i="42"/>
  <c r="AF23" i="51"/>
  <c r="BZ27" i="20"/>
  <c r="CK979" i="10"/>
  <c r="CW54" i="43"/>
  <c r="CZ446" i="42"/>
  <c r="CW1028" i="10"/>
  <c r="DN56" i="42"/>
  <c r="BJ520" i="42"/>
  <c r="CU10" i="41"/>
  <c r="CU11" i="41" s="1"/>
  <c r="J60" i="41"/>
  <c r="BY46" i="49"/>
  <c r="BY74" i="49" s="1"/>
  <c r="BY172" i="49" s="1"/>
  <c r="BY275" i="49" s="1"/>
  <c r="BZ787" i="20"/>
  <c r="AE10" i="41"/>
  <c r="BZ18" i="10"/>
  <c r="BZ14" i="20"/>
  <c r="BR103" i="49"/>
  <c r="DC68" i="41"/>
  <c r="CC521" i="42"/>
  <c r="BY660" i="10"/>
  <c r="BY663" i="10"/>
  <c r="BY832" i="10"/>
  <c r="BY833" i="10" s="1"/>
  <c r="DI374" i="42"/>
  <c r="DI378" i="42" s="1"/>
  <c r="DJ374" i="42"/>
  <c r="DJ378" i="42" s="1"/>
  <c r="DL374" i="42" s="1"/>
  <c r="DA48" i="49"/>
  <c r="DA25" i="10"/>
  <c r="DA662" i="10"/>
  <c r="DA42" i="10"/>
  <c r="DA704" i="10"/>
  <c r="DA1193" i="10"/>
  <c r="DB789" i="20"/>
  <c r="DA1103" i="10"/>
  <c r="BG11" i="41"/>
  <c r="BG75" i="41" s="1"/>
  <c r="DM50" i="42"/>
  <c r="DP50" i="42" s="1"/>
  <c r="DC1016" i="10"/>
  <c r="CL469" i="10"/>
  <c r="CJ655" i="10"/>
  <c r="CJ657" i="10" s="1"/>
  <c r="CJ659" i="10" s="1"/>
  <c r="CJ491" i="10"/>
  <c r="CJ470" i="10"/>
  <c r="CK48" i="49"/>
  <c r="CK42" i="10"/>
  <c r="CK25" i="10"/>
  <c r="CK662" i="10"/>
  <c r="CK704" i="10"/>
  <c r="CK706" i="10" s="1"/>
  <c r="CK1193" i="10"/>
  <c r="CL789" i="20"/>
  <c r="CK1103" i="10"/>
  <c r="AQ11" i="41"/>
  <c r="CX133" i="20"/>
  <c r="CV884" i="20"/>
  <c r="CZ950" i="20"/>
  <c r="CV953" i="20"/>
  <c r="CV958" i="20" s="1"/>
  <c r="CX950" i="20"/>
  <c r="DA505" i="42"/>
  <c r="DA515" i="42"/>
  <c r="DA516" i="42"/>
  <c r="BT174" i="49"/>
  <c r="BU277" i="49"/>
  <c r="BY1028" i="10"/>
  <c r="BB49" i="49"/>
  <c r="BB50" i="49" s="1"/>
  <c r="BB707" i="10"/>
  <c r="BB1187" i="10" s="1"/>
  <c r="BB1081" i="10"/>
  <c r="BB1098" i="10"/>
  <c r="BB1189" i="10"/>
  <c r="BZ520" i="42"/>
  <c r="DK10" i="41"/>
  <c r="DK11" i="41" s="1"/>
  <c r="CX172" i="49"/>
  <c r="CY74" i="49"/>
  <c r="CX275" i="49"/>
  <c r="CP71" i="46"/>
  <c r="DZ71" i="41"/>
  <c r="AX46" i="43"/>
  <c r="AX51" i="43"/>
  <c r="BJ45" i="43"/>
  <c r="BS483" i="20"/>
  <c r="BR13" i="20"/>
  <c r="BR527" i="20"/>
  <c r="CB275" i="42"/>
  <c r="CD446" i="42"/>
  <c r="CX38" i="49"/>
  <c r="BD7" i="41"/>
  <c r="BR32" i="20"/>
  <c r="BV111" i="46"/>
  <c r="BU115" i="46"/>
  <c r="CG901" i="20"/>
  <c r="CG904" i="20"/>
  <c r="BZ112" i="49"/>
  <c r="BZ298" i="42"/>
  <c r="CT46" i="43"/>
  <c r="CT51" i="43"/>
  <c r="CT130" i="49"/>
  <c r="CD838" i="10"/>
  <c r="CD967" i="10"/>
  <c r="CD821" i="10"/>
  <c r="CD974" i="10"/>
  <c r="CE974" i="10" s="1"/>
  <c r="CC322" i="10"/>
  <c r="CC325" i="10"/>
  <c r="DN18" i="42"/>
  <c r="DM241" i="42"/>
  <c r="DM240" i="42" s="1"/>
  <c r="DM53" i="42" s="1"/>
  <c r="AG295" i="42"/>
  <c r="AG326" i="42"/>
  <c r="CN822" i="10"/>
  <c r="CN867" i="10"/>
  <c r="CN973" i="10"/>
  <c r="CN975" i="10" s="1"/>
  <c r="CD172" i="49"/>
  <c r="CD275" i="49"/>
  <c r="BN53" i="49"/>
  <c r="BN47" i="10"/>
  <c r="BN1186" i="10"/>
  <c r="BN1188" i="10"/>
  <c r="CY25" i="41" s="1"/>
  <c r="T15" i="41"/>
  <c r="DB521" i="42"/>
  <c r="EM9" i="41"/>
  <c r="EM12" i="41" s="1"/>
  <c r="CR1024" i="10"/>
  <c r="DA660" i="10"/>
  <c r="DA663" i="10"/>
  <c r="DA832" i="10"/>
  <c r="DA833" i="10" s="1"/>
  <c r="DL59" i="10"/>
  <c r="AX63" i="41"/>
  <c r="DY27" i="41"/>
  <c r="DA34" i="10"/>
  <c r="AN46" i="41"/>
  <c r="BZ166" i="49"/>
  <c r="BZ269" i="49"/>
  <c r="CA68" i="49"/>
  <c r="BJ245" i="20"/>
  <c r="BH246" i="20"/>
  <c r="BH10" i="20"/>
  <c r="BR520" i="42"/>
  <c r="DC10" i="41"/>
  <c r="DC11" i="41" s="1"/>
  <c r="CV34" i="10"/>
  <c r="CR979" i="10"/>
  <c r="CF11" i="20"/>
  <c r="CW521" i="42"/>
  <c r="EH9" i="41"/>
  <c r="EH12" i="41" s="1"/>
  <c r="BD707" i="10"/>
  <c r="BD1187" i="10" s="1"/>
  <c r="DM75" i="42"/>
  <c r="DN52" i="42"/>
  <c r="BN705" i="10"/>
  <c r="BT10" i="20"/>
  <c r="BV245" i="20"/>
  <c r="CA245" i="20" s="1"/>
  <c r="BT246" i="20"/>
  <c r="CK505" i="42"/>
  <c r="CK515" i="42"/>
  <c r="CK516" i="42"/>
  <c r="DN494" i="42"/>
  <c r="CS1026" i="10"/>
  <c r="CR1026" i="10"/>
  <c r="CT862" i="10"/>
  <c r="CT1014" i="10"/>
  <c r="CG34" i="10"/>
  <c r="P44" i="41"/>
  <c r="CP491" i="10"/>
  <c r="CP655" i="10"/>
  <c r="CP657" i="10" s="1"/>
  <c r="CP659" i="10" s="1"/>
  <c r="CP470" i="10"/>
  <c r="CV978" i="10"/>
  <c r="CB71" i="49"/>
  <c r="CG822" i="10"/>
  <c r="CG867" i="10"/>
  <c r="CG973" i="10"/>
  <c r="CD878" i="20"/>
  <c r="CE878" i="20" s="1"/>
  <c r="CD905" i="20"/>
  <c r="BZ111" i="46"/>
  <c r="BY115" i="46"/>
  <c r="AM18" i="51"/>
  <c r="CD23" i="20"/>
  <c r="CD11" i="20"/>
  <c r="AB18" i="51"/>
  <c r="BV23" i="20"/>
  <c r="AM23" i="51"/>
  <c r="CD27" i="20"/>
  <c r="DJ344" i="42"/>
  <c r="DL339" i="42" s="1"/>
  <c r="DI345" i="42"/>
  <c r="DJ345" i="42" s="1"/>
  <c r="CL924" i="10"/>
  <c r="CJ1014" i="10"/>
  <c r="BJ664" i="10"/>
  <c r="AV2" i="10"/>
  <c r="AW2" i="10"/>
  <c r="AX2" i="10"/>
  <c r="AX170" i="10"/>
  <c r="AX390" i="10"/>
  <c r="AX168" i="10"/>
  <c r="AX169" i="10"/>
  <c r="AX394" i="10"/>
  <c r="AX172" i="10"/>
  <c r="AX393" i="10"/>
  <c r="AX395" i="10"/>
  <c r="AX171" i="10"/>
  <c r="AX392" i="10"/>
  <c r="AX391" i="10"/>
  <c r="BT375" i="20"/>
  <c r="Z22" i="51" s="1"/>
  <c r="BT367" i="20"/>
  <c r="BT12" i="20"/>
  <c r="BV356" i="20"/>
  <c r="BT357" i="20"/>
  <c r="BT374" i="20"/>
  <c r="Z21" i="51" s="1"/>
  <c r="BB54" i="43"/>
  <c r="CL192" i="49"/>
  <c r="CL295" i="49"/>
  <c r="DG1177" i="10"/>
  <c r="DG1180" i="10"/>
  <c r="CD101" i="49"/>
  <c r="BN101" i="49"/>
  <c r="CP38" i="49"/>
  <c r="AV7" i="41"/>
  <c r="CF822" i="10"/>
  <c r="CF973" i="10"/>
  <c r="CF975" i="10" s="1"/>
  <c r="CF867" i="10"/>
  <c r="BM48" i="49"/>
  <c r="BM25" i="10"/>
  <c r="BM42" i="10"/>
  <c r="BM704" i="10"/>
  <c r="BM707" i="10" s="1"/>
  <c r="BM1187" i="10" s="1"/>
  <c r="BM662" i="10"/>
  <c r="BM664" i="10" s="1"/>
  <c r="BN789" i="20"/>
  <c r="BM1193" i="10"/>
  <c r="BM1103" i="10"/>
  <c r="S11" i="41"/>
  <c r="CP269" i="20"/>
  <c r="CG1028" i="10"/>
  <c r="CS520" i="42"/>
  <c r="ED10" i="41"/>
  <c r="ED11" i="41" s="1"/>
  <c r="CL269" i="20"/>
  <c r="CG277" i="49"/>
  <c r="AX704" i="10"/>
  <c r="AX707" i="10" s="1"/>
  <c r="AX1187" i="10" s="1"/>
  <c r="CT799" i="20"/>
  <c r="CU799" i="20" s="1"/>
  <c r="DB257" i="20"/>
  <c r="AB24" i="51"/>
  <c r="BV28" i="20"/>
  <c r="CH215" i="49"/>
  <c r="CH318" i="49"/>
  <c r="N60" i="41"/>
  <c r="CR822" i="10"/>
  <c r="CZ48" i="49"/>
  <c r="CZ25" i="10"/>
  <c r="CZ42" i="10"/>
  <c r="CZ662" i="10"/>
  <c r="CZ704" i="10"/>
  <c r="CZ1103" i="10"/>
  <c r="CZ1193" i="10"/>
  <c r="BF11" i="41"/>
  <c r="BF75" i="41" s="1"/>
  <c r="BV655" i="10"/>
  <c r="BV657" i="10" s="1"/>
  <c r="BV659" i="10" s="1"/>
  <c r="BV491" i="10"/>
  <c r="BV470" i="10"/>
  <c r="CO929" i="10"/>
  <c r="DC70" i="49" l="1"/>
  <c r="DN577" i="20"/>
  <c r="DM648" i="20"/>
  <c r="T46" i="41"/>
  <c r="DM552" i="42"/>
  <c r="DM553" i="42" s="1"/>
  <c r="DN553" i="42" s="1"/>
  <c r="CP278" i="49"/>
  <c r="J63" i="41"/>
  <c r="DB168" i="49"/>
  <c r="DB169" i="49" s="1"/>
  <c r="DB173" i="49" s="1"/>
  <c r="DB271" i="49"/>
  <c r="DB272" i="49" s="1"/>
  <c r="DB276" i="49" s="1"/>
  <c r="DB71" i="49"/>
  <c r="DB75" i="49" s="1"/>
  <c r="CD50" i="49"/>
  <c r="CD77" i="49" s="1"/>
  <c r="BQ132" i="49"/>
  <c r="BQ54" i="43"/>
  <c r="BT446" i="42"/>
  <c r="BT315" i="42"/>
  <c r="BV311" i="42"/>
  <c r="BV315" i="42" s="1"/>
  <c r="BQ520" i="42"/>
  <c r="DB10" i="41"/>
  <c r="BR131" i="49"/>
  <c r="BQ517" i="42"/>
  <c r="BQ518" i="42"/>
  <c r="BR46" i="43"/>
  <c r="BR51" i="43"/>
  <c r="BR130" i="49"/>
  <c r="BQ521" i="42"/>
  <c r="DP225" i="42"/>
  <c r="DM182" i="46"/>
  <c r="DI918" i="10"/>
  <c r="DI919" i="10" s="1"/>
  <c r="DI723" i="10"/>
  <c r="DP59" i="10"/>
  <c r="DP16" i="10" s="1"/>
  <c r="CP175" i="49"/>
  <c r="BM1194" i="10"/>
  <c r="CK664" i="10"/>
  <c r="CK844" i="10" s="1"/>
  <c r="CK845" i="10" s="1"/>
  <c r="CR975" i="10"/>
  <c r="CC169" i="49"/>
  <c r="CC272" i="49" s="1"/>
  <c r="CW25" i="10"/>
  <c r="CW822" i="10"/>
  <c r="DH805" i="20"/>
  <c r="DE156" i="42"/>
  <c r="DH157" i="42"/>
  <c r="DH156" i="42" s="1"/>
  <c r="DJ918" i="10"/>
  <c r="DJ919" i="10" s="1"/>
  <c r="DM720" i="10"/>
  <c r="DM747" i="10" s="1"/>
  <c r="DM721" i="10"/>
  <c r="DN721" i="10" s="1"/>
  <c r="DN746" i="10"/>
  <c r="DN912" i="10" s="1"/>
  <c r="DM917" i="10"/>
  <c r="CY923" i="10"/>
  <c r="CU924" i="10"/>
  <c r="DC922" i="10"/>
  <c r="DP552" i="42"/>
  <c r="AT540" i="42"/>
  <c r="AT551" i="42"/>
  <c r="AT554" i="42" s="1"/>
  <c r="AT555" i="42" s="1"/>
  <c r="AT556" i="42" s="1"/>
  <c r="CW48" i="49"/>
  <c r="CX20" i="10"/>
  <c r="CX34" i="10" s="1"/>
  <c r="BC11" i="41"/>
  <c r="BC75" i="41" s="1"/>
  <c r="CX789" i="20"/>
  <c r="CW1103" i="10"/>
  <c r="CW1193" i="10"/>
  <c r="EH24" i="41" s="1"/>
  <c r="CW662" i="10"/>
  <c r="CW664" i="10" s="1"/>
  <c r="CW844" i="10" s="1"/>
  <c r="CW851" i="10" s="1"/>
  <c r="CW704" i="10"/>
  <c r="CX704" i="10" s="1"/>
  <c r="CL806" i="20"/>
  <c r="CW42" i="10"/>
  <c r="DM913" i="10"/>
  <c r="DQ659" i="20"/>
  <c r="DP274" i="20"/>
  <c r="DN654" i="20"/>
  <c r="DN659" i="20" s="1"/>
  <c r="DN661" i="20"/>
  <c r="DR68" i="42"/>
  <c r="EX46" i="41"/>
  <c r="DM184" i="42"/>
  <c r="DM177" i="42"/>
  <c r="DN163" i="42"/>
  <c r="DM911" i="10"/>
  <c r="DQ50" i="42"/>
  <c r="DR511" i="42"/>
  <c r="DQ26" i="43"/>
  <c r="DR494" i="42"/>
  <c r="DR56" i="42"/>
  <c r="FC45" i="41"/>
  <c r="DQ443" i="20"/>
  <c r="DP177" i="42"/>
  <c r="DP150" i="46"/>
  <c r="DP1160" i="10"/>
  <c r="DP1181" i="10" s="1"/>
  <c r="DQ12" i="42"/>
  <c r="DP179" i="46"/>
  <c r="DQ156" i="46"/>
  <c r="DQ141" i="46" s="1"/>
  <c r="DQ143" i="46" s="1"/>
  <c r="DQ130" i="42"/>
  <c r="DQ134" i="42"/>
  <c r="DQ597" i="20" s="1"/>
  <c r="DP499" i="42"/>
  <c r="DP483" i="42" s="1"/>
  <c r="DQ292" i="42"/>
  <c r="DR292" i="42" s="1"/>
  <c r="DR108" i="49" s="1"/>
  <c r="DR308" i="42"/>
  <c r="DR742" i="10"/>
  <c r="DQ304" i="10"/>
  <c r="DR188" i="10"/>
  <c r="DQ324" i="42"/>
  <c r="DQ303" i="42"/>
  <c r="DQ1160" i="10"/>
  <c r="DQ1181" i="10" s="1"/>
  <c r="BW43" i="41"/>
  <c r="DQ462" i="10"/>
  <c r="DQ498" i="42"/>
  <c r="DQ482" i="42" s="1"/>
  <c r="DP112" i="42"/>
  <c r="DP21" i="46" s="1"/>
  <c r="DP34" i="46" s="1"/>
  <c r="DQ392" i="42"/>
  <c r="DQ396" i="42" s="1"/>
  <c r="DQ112" i="42" s="1"/>
  <c r="DQ21" i="46" s="1"/>
  <c r="DQ34" i="46" s="1"/>
  <c r="DR1154" i="10"/>
  <c r="DP80" i="10"/>
  <c r="FA46" i="41"/>
  <c r="DP184" i="42"/>
  <c r="DR715" i="10"/>
  <c r="DQ719" i="10"/>
  <c r="DP959" i="10"/>
  <c r="DP1133" i="10"/>
  <c r="DQ513" i="42"/>
  <c r="DR61" i="42"/>
  <c r="DR237" i="10"/>
  <c r="DR24" i="42"/>
  <c r="DQ183" i="46"/>
  <c r="BX49" i="41"/>
  <c r="BX67" i="41" s="1"/>
  <c r="DR743" i="10"/>
  <c r="DQ75" i="42"/>
  <c r="DR52" i="42"/>
  <c r="DR236" i="10"/>
  <c r="DR113" i="10"/>
  <c r="DQ366" i="42"/>
  <c r="DQ369" i="42" s="1"/>
  <c r="DQ107" i="42" s="1"/>
  <c r="DP107" i="42"/>
  <c r="DR1155" i="10"/>
  <c r="DP125" i="10"/>
  <c r="DP88" i="10"/>
  <c r="DP75" i="10"/>
  <c r="DP721" i="10"/>
  <c r="DP746" i="10"/>
  <c r="DP915" i="10" s="1"/>
  <c r="DP720" i="10"/>
  <c r="DP734" i="10"/>
  <c r="DQ241" i="42"/>
  <c r="DQ240" i="42" s="1"/>
  <c r="DQ53" i="42" s="1"/>
  <c r="DR18" i="42"/>
  <c r="DQ745" i="10"/>
  <c r="DR718" i="10"/>
  <c r="DR716" i="10"/>
  <c r="DP76" i="42"/>
  <c r="DQ512" i="42"/>
  <c r="DR25" i="42"/>
  <c r="DR441" i="20"/>
  <c r="DR101" i="10"/>
  <c r="DP124" i="42"/>
  <c r="DP136" i="42"/>
  <c r="DP599" i="20" s="1"/>
  <c r="DR1177" i="10"/>
  <c r="DR1180" i="10" s="1"/>
  <c r="DR948" i="10"/>
  <c r="DR45" i="10"/>
  <c r="DQ207" i="10"/>
  <c r="DQ163" i="42"/>
  <c r="DQ177" i="42" s="1"/>
  <c r="DQ317" i="42"/>
  <c r="DQ318" i="42" s="1"/>
  <c r="DQ320" i="42" s="1"/>
  <c r="DQ285" i="42" s="1"/>
  <c r="DQ270" i="42" s="1"/>
  <c r="AT69" i="41"/>
  <c r="DP584" i="20"/>
  <c r="DS284" i="20"/>
  <c r="DR292" i="20"/>
  <c r="DR287" i="20"/>
  <c r="DR657" i="20"/>
  <c r="DR654" i="20"/>
  <c r="DR585" i="20"/>
  <c r="DR553" i="20"/>
  <c r="DP555" i="20"/>
  <c r="DN150" i="20"/>
  <c r="DN112" i="10" s="1"/>
  <c r="DP150" i="20"/>
  <c r="DP112" i="10" s="1"/>
  <c r="DP126" i="10" s="1"/>
  <c r="DP157" i="20"/>
  <c r="DR578" i="20"/>
  <c r="DR591" i="20" s="1"/>
  <c r="DQ577" i="20"/>
  <c r="DQ196" i="20"/>
  <c r="DQ148" i="20"/>
  <c r="DR256" i="20"/>
  <c r="DS241" i="20"/>
  <c r="DR186" i="20"/>
  <c r="DP447" i="20"/>
  <c r="CW34" i="10"/>
  <c r="CW975" i="10" s="1"/>
  <c r="DP198" i="20"/>
  <c r="DP197" i="20"/>
  <c r="DQ397" i="20"/>
  <c r="DR397" i="20" s="1"/>
  <c r="DQ344" i="20"/>
  <c r="DQ710" i="20"/>
  <c r="DQ733" i="20"/>
  <c r="DQ737" i="20" s="1"/>
  <c r="DR731" i="20"/>
  <c r="DR735" i="20" s="1"/>
  <c r="DQ273" i="20"/>
  <c r="DQ295" i="20"/>
  <c r="DQ232" i="20"/>
  <c r="DP737" i="20"/>
  <c r="DS545" i="20"/>
  <c r="DS410" i="20"/>
  <c r="DR442" i="20"/>
  <c r="DP659" i="20"/>
  <c r="DN26" i="43"/>
  <c r="DD275" i="42"/>
  <c r="DF275" i="42" s="1"/>
  <c r="DF97" i="49" s="1"/>
  <c r="DF446" i="42"/>
  <c r="DF23" i="10"/>
  <c r="DE951" i="10"/>
  <c r="DE952" i="10" s="1"/>
  <c r="DM1181" i="10"/>
  <c r="AX11" i="20"/>
  <c r="AM63" i="41"/>
  <c r="DN232" i="20"/>
  <c r="DN148" i="20"/>
  <c r="BK57" i="41"/>
  <c r="BJ71" i="46"/>
  <c r="BJ103" i="49"/>
  <c r="BJ104" i="49" s="1"/>
  <c r="CU68" i="41"/>
  <c r="BJ111" i="46"/>
  <c r="BI115" i="46"/>
  <c r="CW1186" i="10"/>
  <c r="AU63" i="41"/>
  <c r="DO24" i="10"/>
  <c r="DT24" i="10"/>
  <c r="DO20" i="10"/>
  <c r="DT20" i="10"/>
  <c r="CO975" i="10"/>
  <c r="DI184" i="46"/>
  <c r="DJ184" i="46" s="1"/>
  <c r="BH55" i="41"/>
  <c r="CO851" i="10"/>
  <c r="H46" i="41"/>
  <c r="H38" i="41" s="1"/>
  <c r="H39" i="41" s="1"/>
  <c r="CY70" i="49"/>
  <c r="CC1194" i="10"/>
  <c r="CX71" i="49"/>
  <c r="DC71" i="49" s="1"/>
  <c r="BT80" i="49"/>
  <c r="BT178" i="49" s="1"/>
  <c r="BT281" i="49" s="1"/>
  <c r="AB56" i="41"/>
  <c r="BD69" i="41"/>
  <c r="BV188" i="49"/>
  <c r="BV291" i="49"/>
  <c r="CX271" i="49"/>
  <c r="CX272" i="49" s="1"/>
  <c r="CX276" i="49" s="1"/>
  <c r="CX282" i="49" s="1"/>
  <c r="CZ664" i="10"/>
  <c r="CZ844" i="10" s="1"/>
  <c r="CZ985" i="10" s="1"/>
  <c r="AR46" i="41"/>
  <c r="AV69" i="41" s="1"/>
  <c r="BN175" i="49"/>
  <c r="BN178" i="49" s="1"/>
  <c r="BN75" i="49"/>
  <c r="BN81" i="49" s="1"/>
  <c r="AZ69" i="41"/>
  <c r="CG1032" i="10"/>
  <c r="AH55" i="41"/>
  <c r="BC63" i="41"/>
  <c r="AN69" i="41"/>
  <c r="CH811" i="20"/>
  <c r="CP34" i="10"/>
  <c r="BB269" i="20"/>
  <c r="CI77" i="49"/>
  <c r="DB867" i="10"/>
  <c r="BU282" i="49"/>
  <c r="CH175" i="49"/>
  <c r="CH178" i="49" s="1"/>
  <c r="AJ55" i="41"/>
  <c r="CP1033" i="10"/>
  <c r="CH80" i="49"/>
  <c r="BU179" i="49"/>
  <c r="S63" i="41"/>
  <c r="CD188" i="49"/>
  <c r="CD291" i="49"/>
  <c r="BV173" i="49"/>
  <c r="DA953" i="20"/>
  <c r="DA958" i="20" s="1"/>
  <c r="BH69" i="41"/>
  <c r="BM81" i="49"/>
  <c r="DN733" i="20"/>
  <c r="DN737" i="20" s="1"/>
  <c r="P60" i="41"/>
  <c r="CW11" i="20"/>
  <c r="CS851" i="10"/>
  <c r="BV276" i="49"/>
  <c r="N63" i="41"/>
  <c r="CR837" i="20"/>
  <c r="CS829" i="20"/>
  <c r="CZ30" i="20"/>
  <c r="BX28" i="20"/>
  <c r="CB28" i="20"/>
  <c r="CO24" i="20"/>
  <c r="BZ864" i="10"/>
  <c r="BZ1016" i="10"/>
  <c r="BZ1028" i="10" s="1"/>
  <c r="CE926" i="10"/>
  <c r="CJ50" i="49"/>
  <c r="CJ77" i="49" s="1"/>
  <c r="CJ80" i="49" s="1"/>
  <c r="CJ83" i="49" s="1"/>
  <c r="BR27" i="20"/>
  <c r="AF60" i="41"/>
  <c r="CS975" i="10"/>
  <c r="CG664" i="10"/>
  <c r="CG844" i="10" s="1"/>
  <c r="CG854" i="10" s="1"/>
  <c r="BS80" i="49"/>
  <c r="CZ24" i="20"/>
  <c r="CV975" i="10"/>
  <c r="BN278" i="49"/>
  <c r="BN281" i="49" s="1"/>
  <c r="AJ69" i="41"/>
  <c r="BI80" i="49"/>
  <c r="BI178" i="49" s="1"/>
  <c r="BI281" i="49" s="1"/>
  <c r="BM80" i="49"/>
  <c r="DM914" i="10"/>
  <c r="CW75" i="49"/>
  <c r="CW169" i="49"/>
  <c r="CW272" i="49" s="1"/>
  <c r="CK80" i="49"/>
  <c r="CK178" i="49" s="1"/>
  <c r="CK281" i="49" s="1"/>
  <c r="CX194" i="49"/>
  <c r="CX297" i="49"/>
  <c r="CB888" i="20"/>
  <c r="CD888" i="20" s="1"/>
  <c r="CD896" i="20" s="1"/>
  <c r="CB894" i="20"/>
  <c r="CV1032" i="10"/>
  <c r="DB194" i="49"/>
  <c r="DB297" i="49"/>
  <c r="BX38" i="49"/>
  <c r="AD7" i="41"/>
  <c r="AD56" i="41" s="1"/>
  <c r="BX20" i="10"/>
  <c r="BX1032" i="10" s="1"/>
  <c r="DI331" i="42"/>
  <c r="DI336" i="42" s="1"/>
  <c r="BN276" i="49"/>
  <c r="BN282" i="49" s="1"/>
  <c r="AV58" i="41"/>
  <c r="BX168" i="49"/>
  <c r="BX271" i="49" s="1"/>
  <c r="BX71" i="49"/>
  <c r="CW887" i="20"/>
  <c r="CW895" i="20" s="1"/>
  <c r="CT50" i="49"/>
  <c r="CT77" i="49" s="1"/>
  <c r="CT278" i="49" s="1"/>
  <c r="CF664" i="10"/>
  <c r="CF844" i="10" s="1"/>
  <c r="CF846" i="10" s="1"/>
  <c r="DL1133" i="10"/>
  <c r="DL959" i="10"/>
  <c r="DB50" i="49"/>
  <c r="DB77" i="49" s="1"/>
  <c r="DB80" i="49" s="1"/>
  <c r="DM197" i="20"/>
  <c r="DM198" i="20"/>
  <c r="DM157" i="20"/>
  <c r="DM125" i="10"/>
  <c r="DM88" i="10"/>
  <c r="DN196" i="20"/>
  <c r="DN198" i="20" s="1"/>
  <c r="DO186" i="20"/>
  <c r="DM915" i="10"/>
  <c r="CP130" i="49"/>
  <c r="CP46" i="43"/>
  <c r="CP51" i="43"/>
  <c r="CT318" i="49"/>
  <c r="CT215" i="49"/>
  <c r="BX80" i="49"/>
  <c r="BX178" i="49" s="1"/>
  <c r="BX281" i="49" s="1"/>
  <c r="CR446" i="42"/>
  <c r="CO54" i="43"/>
  <c r="BV27" i="20"/>
  <c r="CC80" i="49"/>
  <c r="CC178" i="49" s="1"/>
  <c r="CC281" i="49" s="1"/>
  <c r="BF336" i="49"/>
  <c r="BF233" i="49"/>
  <c r="BN173" i="49"/>
  <c r="BN179" i="49" s="1"/>
  <c r="CD660" i="10"/>
  <c r="T60" i="41"/>
  <c r="BD60" i="41"/>
  <c r="AN380" i="42"/>
  <c r="AL387" i="42"/>
  <c r="AL385" i="42" s="1"/>
  <c r="DA805" i="20"/>
  <c r="DB805" i="20" s="1"/>
  <c r="DE841" i="20"/>
  <c r="DF841" i="20" s="1"/>
  <c r="CH173" i="49"/>
  <c r="CH179" i="49" s="1"/>
  <c r="CO520" i="42"/>
  <c r="DZ10" i="41"/>
  <c r="DZ11" i="41" s="1"/>
  <c r="CO521" i="42"/>
  <c r="DZ9" i="41"/>
  <c r="DZ12" i="41" s="1"/>
  <c r="CO517" i="42"/>
  <c r="CO518" i="42"/>
  <c r="CT311" i="42"/>
  <c r="CT315" i="42" s="1"/>
  <c r="CR315" i="42"/>
  <c r="CP131" i="49"/>
  <c r="DM319" i="42"/>
  <c r="DP293" i="42" s="1"/>
  <c r="DN107" i="42"/>
  <c r="DM16" i="46"/>
  <c r="DM97" i="42"/>
  <c r="DM263" i="42"/>
  <c r="DJ16" i="46"/>
  <c r="DJ97" i="42"/>
  <c r="DJ263" i="42"/>
  <c r="DL263" i="42"/>
  <c r="DL16" i="46"/>
  <c r="DL97" i="42"/>
  <c r="DM959" i="10"/>
  <c r="DM555" i="20"/>
  <c r="DN555" i="20" s="1"/>
  <c r="DM1133" i="10"/>
  <c r="DN553" i="20"/>
  <c r="DN657" i="20"/>
  <c r="DO545" i="20"/>
  <c r="DA975" i="10"/>
  <c r="DN747" i="10"/>
  <c r="BU431" i="10"/>
  <c r="BX431" i="10" s="1"/>
  <c r="BQ432" i="10"/>
  <c r="BT432" i="10" s="1"/>
  <c r="BQ430" i="10"/>
  <c r="BT430" i="10" s="1"/>
  <c r="BQ435" i="10"/>
  <c r="BT435" i="10" s="1"/>
  <c r="DS27" i="41"/>
  <c r="BQ429" i="10"/>
  <c r="BT429" i="10" s="1"/>
  <c r="BQ436" i="10"/>
  <c r="BT436" i="10" s="1"/>
  <c r="BQ428" i="10"/>
  <c r="BT428" i="10" s="1"/>
  <c r="BQ433" i="10"/>
  <c r="BT433" i="10" s="1"/>
  <c r="CZ87" i="49"/>
  <c r="CZ85" i="49"/>
  <c r="BQ434" i="10"/>
  <c r="BT434" i="10" s="1"/>
  <c r="CH306" i="49"/>
  <c r="CH203" i="49"/>
  <c r="BT368" i="20"/>
  <c r="BT358" i="20"/>
  <c r="CZ54" i="49"/>
  <c r="DB25" i="10"/>
  <c r="CZ30" i="10"/>
  <c r="CZ1226" i="10"/>
  <c r="CZ1216" i="10"/>
  <c r="BF16" i="41"/>
  <c r="BF77" i="41" s="1"/>
  <c r="BM54" i="49"/>
  <c r="BM30" i="10"/>
  <c r="BN30" i="10" s="1"/>
  <c r="BL33" i="10" s="1"/>
  <c r="BM1216" i="10"/>
  <c r="BN1216" i="10" s="1"/>
  <c r="BN1222" i="10" s="1"/>
  <c r="BM1226" i="10"/>
  <c r="BM1227" i="10" s="1"/>
  <c r="S16" i="41"/>
  <c r="BV374" i="20"/>
  <c r="AB21" i="51" s="1"/>
  <c r="BV357" i="20"/>
  <c r="BV12" i="20"/>
  <c r="BW356" i="20"/>
  <c r="BV375" i="20"/>
  <c r="AB22" i="51" s="1"/>
  <c r="BV367" i="20"/>
  <c r="AB57" i="51"/>
  <c r="AM57" i="51"/>
  <c r="BZ115" i="46"/>
  <c r="BY119" i="46"/>
  <c r="BY121" i="46" s="1"/>
  <c r="CK517" i="42"/>
  <c r="CK518" i="42"/>
  <c r="DN53" i="42"/>
  <c r="DM76" i="42"/>
  <c r="CD979" i="10"/>
  <c r="CT132" i="49"/>
  <c r="CT54" i="43"/>
  <c r="CG905" i="20"/>
  <c r="CG878" i="20"/>
  <c r="CG882" i="20" s="1"/>
  <c r="CH882" i="20" s="1"/>
  <c r="DM150" i="46"/>
  <c r="BD56" i="41"/>
  <c r="BJ131" i="49"/>
  <c r="CM29" i="41"/>
  <c r="DA521" i="42"/>
  <c r="EL9" i="41"/>
  <c r="EL12" i="41" s="1"/>
  <c r="CK855" i="10"/>
  <c r="CK985" i="10"/>
  <c r="CL655" i="10"/>
  <c r="CL657" i="10" s="1"/>
  <c r="CL659" i="10" s="1"/>
  <c r="CL491" i="10"/>
  <c r="CL470" i="10"/>
  <c r="DN50" i="42"/>
  <c r="DA664" i="10"/>
  <c r="DA844" i="10" s="1"/>
  <c r="DL378" i="42"/>
  <c r="DM374" i="42" s="1"/>
  <c r="DM378" i="42" s="1"/>
  <c r="DN374" i="42"/>
  <c r="DN378" i="42" s="1"/>
  <c r="DP374" i="42" s="1"/>
  <c r="AF62" i="51"/>
  <c r="DU24" i="41"/>
  <c r="CL115" i="46"/>
  <c r="CK119" i="46"/>
  <c r="CK121" i="46" s="1"/>
  <c r="DV70" i="41"/>
  <c r="AB62" i="51"/>
  <c r="BU54" i="49"/>
  <c r="BU30" i="10"/>
  <c r="BU1226" i="10"/>
  <c r="BU1227" i="10" s="1"/>
  <c r="BU1216" i="10"/>
  <c r="AA16" i="41"/>
  <c r="CT822" i="10"/>
  <c r="CT973" i="10"/>
  <c r="CT867" i="10"/>
  <c r="CE68" i="49"/>
  <c r="CD166" i="49"/>
  <c r="CD269" i="49"/>
  <c r="CI68" i="49"/>
  <c r="BP275" i="42"/>
  <c r="BR446" i="42"/>
  <c r="BY270" i="49"/>
  <c r="BY283" i="49" s="1"/>
  <c r="BY180" i="49"/>
  <c r="H59" i="41"/>
  <c r="BU520" i="42"/>
  <c r="BF14" i="20"/>
  <c r="BJ28" i="20" s="1"/>
  <c r="CW1025" i="10"/>
  <c r="CH822" i="10"/>
  <c r="CH973" i="10"/>
  <c r="CH867" i="10"/>
  <c r="BV102" i="49"/>
  <c r="BV104" i="49"/>
  <c r="BV200" i="49"/>
  <c r="BV303" i="49"/>
  <c r="DK1177" i="10"/>
  <c r="DJ1180" i="10"/>
  <c r="DK1180" i="10" s="1"/>
  <c r="CD38" i="49"/>
  <c r="AJ7" i="41"/>
  <c r="AN56" i="41" s="1"/>
  <c r="CU356" i="20"/>
  <c r="CT360" i="20"/>
  <c r="CT375" i="20"/>
  <c r="BC22" i="51" s="1"/>
  <c r="CT367" i="20"/>
  <c r="CT357" i="20"/>
  <c r="CX368" i="20" s="1"/>
  <c r="CT12" i="20"/>
  <c r="CX26" i="20" s="1"/>
  <c r="CT374" i="20"/>
  <c r="BC21" i="51" s="1"/>
  <c r="BN246" i="20"/>
  <c r="BO245" i="20"/>
  <c r="BN10" i="20"/>
  <c r="DM277" i="20"/>
  <c r="CZ799" i="20"/>
  <c r="DB820" i="20"/>
  <c r="DB824" i="20" s="1"/>
  <c r="CZ821" i="20"/>
  <c r="DD820" i="20"/>
  <c r="DH820" i="20" s="1"/>
  <c r="DE952" i="20"/>
  <c r="DF952" i="20" s="1"/>
  <c r="DA886" i="20"/>
  <c r="DB886" i="20" s="1"/>
  <c r="CG1009" i="10"/>
  <c r="CL172" i="49"/>
  <c r="CL275" i="49"/>
  <c r="CM74" i="49"/>
  <c r="CP281" i="49"/>
  <c r="CH276" i="49"/>
  <c r="CH282" i="49" s="1"/>
  <c r="CN1024" i="10"/>
  <c r="CO16" i="20"/>
  <c r="CO26" i="20"/>
  <c r="BE24" i="20"/>
  <c r="BE11" i="20"/>
  <c r="BX929" i="10"/>
  <c r="CS998" i="10"/>
  <c r="CS1031" i="10"/>
  <c r="BJ14" i="41"/>
  <c r="BJ62" i="41" s="1"/>
  <c r="CZ911" i="20"/>
  <c r="DD908" i="20"/>
  <c r="DJ59" i="10"/>
  <c r="CC708" i="10"/>
  <c r="CC868" i="10" s="1"/>
  <c r="CC707" i="10"/>
  <c r="CC1187" i="10" s="1"/>
  <c r="CS1025" i="10"/>
  <c r="BB9" i="20"/>
  <c r="CN838" i="20"/>
  <c r="CN798" i="20"/>
  <c r="CN834" i="20"/>
  <c r="CH9" i="20"/>
  <c r="CI128" i="20"/>
  <c r="CR1194" i="10"/>
  <c r="EC26" i="41" s="1"/>
  <c r="EC24" i="41"/>
  <c r="CP215" i="49"/>
  <c r="CP318" i="49"/>
  <c r="CG708" i="10"/>
  <c r="CG868" i="10" s="1"/>
  <c r="CG707" i="10"/>
  <c r="CG1187" i="10" s="1"/>
  <c r="CG706" i="10"/>
  <c r="AL43" i="43"/>
  <c r="AL504" i="42" s="1"/>
  <c r="AN290" i="42"/>
  <c r="AP290" i="42"/>
  <c r="BK18" i="51"/>
  <c r="DB11" i="20"/>
  <c r="BI24" i="20"/>
  <c r="BI11" i="20"/>
  <c r="AZ54" i="49"/>
  <c r="BB25" i="10"/>
  <c r="AZ30" i="10"/>
  <c r="AZ1216" i="10"/>
  <c r="AZ1217" i="10" s="1"/>
  <c r="AZ1226" i="10"/>
  <c r="F16" i="41"/>
  <c r="J64" i="41" s="1"/>
  <c r="CB16" i="20"/>
  <c r="CB26" i="20"/>
  <c r="AF57" i="51"/>
  <c r="CS929" i="10"/>
  <c r="BY16" i="20"/>
  <c r="BY26" i="20"/>
  <c r="CJ53" i="49"/>
  <c r="CL24" i="10"/>
  <c r="CJ34" i="10"/>
  <c r="CJ975" i="10" s="1"/>
  <c r="CJ47" i="10"/>
  <c r="CJ1019" i="10"/>
  <c r="CJ1033" i="10"/>
  <c r="CJ1186" i="10"/>
  <c r="CJ1188" i="10"/>
  <c r="DU25" i="41" s="1"/>
  <c r="AP15" i="41"/>
  <c r="BA59" i="49"/>
  <c r="BA58" i="46"/>
  <c r="BA55" i="46" s="1"/>
  <c r="BA56" i="46" s="1"/>
  <c r="BA60" i="46" s="1"/>
  <c r="BA8" i="43"/>
  <c r="BA543" i="42"/>
  <c r="BA32" i="10"/>
  <c r="BA1104" i="10"/>
  <c r="G20" i="41"/>
  <c r="G65" i="41" s="1"/>
  <c r="CF87" i="49"/>
  <c r="CF85" i="49"/>
  <c r="DG72" i="41"/>
  <c r="BF374" i="20"/>
  <c r="BF357" i="20"/>
  <c r="BJ368" i="20" s="1"/>
  <c r="BF12" i="20"/>
  <c r="BJ26" i="20" s="1"/>
  <c r="BF375" i="20"/>
  <c r="BF367" i="20"/>
  <c r="CU71" i="49"/>
  <c r="CT75" i="49"/>
  <c r="CT81" i="49" s="1"/>
  <c r="AQ63" i="51"/>
  <c r="BH54" i="49"/>
  <c r="BH30" i="10"/>
  <c r="BJ25" i="10"/>
  <c r="BH1216" i="10"/>
  <c r="BH1226" i="10"/>
  <c r="N16" i="41"/>
  <c r="R64" i="41" s="1"/>
  <c r="BJ53" i="49"/>
  <c r="BJ47" i="10"/>
  <c r="BJ1186" i="10"/>
  <c r="CU27" i="41" s="1"/>
  <c r="BJ1188" i="10"/>
  <c r="P15" i="41"/>
  <c r="T63" i="41" s="1"/>
  <c r="CM974" i="10"/>
  <c r="CW898" i="10"/>
  <c r="CW928" i="10"/>
  <c r="CW930" i="10"/>
  <c r="AV59" i="49"/>
  <c r="AV58" i="46"/>
  <c r="AV55" i="46" s="1"/>
  <c r="AV8" i="43"/>
  <c r="AV543" i="42"/>
  <c r="AV541" i="42" s="1"/>
  <c r="AX30" i="10"/>
  <c r="AV32" i="10"/>
  <c r="AV1104" i="10"/>
  <c r="AF271" i="42"/>
  <c r="CP979" i="10"/>
  <c r="BE358" i="20"/>
  <c r="BE368" i="20"/>
  <c r="CE882" i="20"/>
  <c r="CD894" i="20"/>
  <c r="V38" i="41"/>
  <c r="V39" i="41" s="1"/>
  <c r="V59" i="41"/>
  <c r="CV929" i="10"/>
  <c r="DB53" i="49"/>
  <c r="DB34" i="10"/>
  <c r="DB975" i="10" s="1"/>
  <c r="DB47" i="10"/>
  <c r="DB1186" i="10"/>
  <c r="EM30" i="41" s="1"/>
  <c r="DB1188" i="10"/>
  <c r="EM25" i="41" s="1"/>
  <c r="DB1033" i="10"/>
  <c r="BH15" i="41"/>
  <c r="BH63" i="41" s="1"/>
  <c r="BP358" i="20"/>
  <c r="BP368" i="20"/>
  <c r="BP16" i="20"/>
  <c r="BP26" i="20"/>
  <c r="BF1187" i="10"/>
  <c r="CA356" i="20"/>
  <c r="BZ374" i="20"/>
  <c r="AF21" i="51" s="1"/>
  <c r="BZ357" i="20"/>
  <c r="BZ375" i="20"/>
  <c r="AF22" i="51" s="1"/>
  <c r="BZ367" i="20"/>
  <c r="BZ12" i="20"/>
  <c r="BB14" i="20"/>
  <c r="EG27" i="41"/>
  <c r="BJ102" i="49"/>
  <c r="BJ303" i="49"/>
  <c r="BJ200" i="49"/>
  <c r="BG662" i="10"/>
  <c r="BF664" i="10"/>
  <c r="BK664" i="10" s="1"/>
  <c r="DB130" i="49"/>
  <c r="DB46" i="43"/>
  <c r="DB51" i="43"/>
  <c r="BN119" i="46"/>
  <c r="BN121" i="46" s="1"/>
  <c r="CY70" i="41"/>
  <c r="DM462" i="10"/>
  <c r="BS43" i="41"/>
  <c r="DM12" i="43"/>
  <c r="DP12" i="43" s="1"/>
  <c r="BL37" i="41"/>
  <c r="BL8" i="41"/>
  <c r="BJ277" i="49"/>
  <c r="BJ81" i="49"/>
  <c r="BJ174" i="49"/>
  <c r="BK76" i="49"/>
  <c r="CL272" i="49"/>
  <c r="DM722" i="10"/>
  <c r="DM735" i="10"/>
  <c r="AR405" i="42"/>
  <c r="AR414" i="42"/>
  <c r="CP10" i="20"/>
  <c r="CT24" i="20" s="1"/>
  <c r="CQ245" i="20"/>
  <c r="CP246" i="20"/>
  <c r="CU246" i="20" s="1"/>
  <c r="BL369" i="20"/>
  <c r="BK60" i="51"/>
  <c r="BN233" i="49"/>
  <c r="BN336" i="49"/>
  <c r="DN12" i="42"/>
  <c r="DM179" i="46"/>
  <c r="CS277" i="49"/>
  <c r="CS1024" i="10"/>
  <c r="AL56" i="41"/>
  <c r="CL705" i="10"/>
  <c r="CJ706" i="10"/>
  <c r="BR276" i="49"/>
  <c r="BR282" i="49" s="1"/>
  <c r="CH34" i="10"/>
  <c r="CY974" i="10"/>
  <c r="BY1009" i="10"/>
  <c r="BO76" i="49"/>
  <c r="DI474" i="42"/>
  <c r="DJ474" i="42" s="1"/>
  <c r="DJ477" i="42" s="1"/>
  <c r="DI476" i="42"/>
  <c r="DI491" i="42"/>
  <c r="ET40" i="41" s="1"/>
  <c r="ET35" i="41"/>
  <c r="CD71" i="49"/>
  <c r="CI71" i="49" s="1"/>
  <c r="CH281" i="49"/>
  <c r="CO11" i="20"/>
  <c r="AY40" i="51"/>
  <c r="AY48" i="51" s="1"/>
  <c r="AY87" i="51"/>
  <c r="CP48" i="49"/>
  <c r="CP42" i="10"/>
  <c r="CQ20" i="10"/>
  <c r="CP662" i="10"/>
  <c r="CP1193" i="10"/>
  <c r="CP1103" i="10"/>
  <c r="CP1270" i="10"/>
  <c r="AV11" i="41"/>
  <c r="T24" i="51"/>
  <c r="BN28" i="20"/>
  <c r="CG1024" i="10"/>
  <c r="AY59" i="41"/>
  <c r="AY38" i="41"/>
  <c r="AY39" i="41" s="1"/>
  <c r="CS845" i="10"/>
  <c r="CS853" i="10"/>
  <c r="CS857" i="10"/>
  <c r="CS855" i="10"/>
  <c r="CS986" i="10"/>
  <c r="CS985" i="10"/>
  <c r="CS856" i="10"/>
  <c r="CS852" i="10"/>
  <c r="CS854" i="10"/>
  <c r="DN183" i="46"/>
  <c r="AR546" i="42"/>
  <c r="AR547" i="42"/>
  <c r="DI23" i="10"/>
  <c r="DI1159" i="10"/>
  <c r="DI1169" i="10"/>
  <c r="DJ181" i="46"/>
  <c r="DN273" i="20"/>
  <c r="DN277" i="20" s="1"/>
  <c r="R63" i="41"/>
  <c r="R18" i="41"/>
  <c r="BL59" i="49"/>
  <c r="BL8" i="43"/>
  <c r="BL58" i="46"/>
  <c r="BL55" i="46" s="1"/>
  <c r="BL543" i="42"/>
  <c r="BL32" i="10"/>
  <c r="BL445" i="42"/>
  <c r="BL1104" i="10"/>
  <c r="R20" i="41"/>
  <c r="AF515" i="42"/>
  <c r="AF520" i="42" s="1"/>
  <c r="AF516" i="42"/>
  <c r="AF521" i="42" s="1"/>
  <c r="BD59" i="49"/>
  <c r="BD58" i="46"/>
  <c r="BD55" i="46" s="1"/>
  <c r="BD8" i="43"/>
  <c r="BD445" i="42"/>
  <c r="BD543" i="42"/>
  <c r="BF30" i="10"/>
  <c r="BD33" i="10" s="1"/>
  <c r="BD32" i="10"/>
  <c r="BD1104" i="10"/>
  <c r="J20" i="41"/>
  <c r="BA1" i="43"/>
  <c r="BD2" i="43"/>
  <c r="CN87" i="49"/>
  <c r="CN85" i="49"/>
  <c r="CH901" i="20"/>
  <c r="CS16" i="20"/>
  <c r="CS26" i="20"/>
  <c r="CS358" i="20"/>
  <c r="CS368" i="20"/>
  <c r="CW16" i="20"/>
  <c r="CW17" i="20" s="1"/>
  <c r="CW26" i="20"/>
  <c r="CL851" i="20"/>
  <c r="CL847" i="20"/>
  <c r="CL844" i="20"/>
  <c r="CL849" i="20" s="1"/>
  <c r="CR895" i="20"/>
  <c r="CT887" i="20"/>
  <c r="BE1217" i="10"/>
  <c r="BE1218" i="10" s="1"/>
  <c r="BE1222" i="10"/>
  <c r="AV16" i="20"/>
  <c r="AV17" i="20" s="1"/>
  <c r="AV19" i="20" s="1"/>
  <c r="BA28" i="20"/>
  <c r="BI16" i="20"/>
  <c r="BI26" i="20"/>
  <c r="BA11" i="20"/>
  <c r="BA23" i="20"/>
  <c r="BE23" i="20"/>
  <c r="AU24" i="51"/>
  <c r="CL28" i="20"/>
  <c r="CJ16" i="20"/>
  <c r="CJ26" i="20"/>
  <c r="BV704" i="10"/>
  <c r="BV706" i="10" s="1"/>
  <c r="BT708" i="10"/>
  <c r="BT707" i="10"/>
  <c r="BT1187" i="10" s="1"/>
  <c r="BV48" i="49"/>
  <c r="BV42" i="10"/>
  <c r="BW20" i="10"/>
  <c r="BW34" i="10" s="1"/>
  <c r="BV662" i="10"/>
  <c r="BV1270" i="10"/>
  <c r="BV1193" i="10"/>
  <c r="BV1103" i="10"/>
  <c r="AB11" i="41"/>
  <c r="BQ54" i="49"/>
  <c r="BQ30" i="10"/>
  <c r="BQ1216" i="10"/>
  <c r="BQ1226" i="10"/>
  <c r="BQ1227" i="10" s="1"/>
  <c r="W16" i="41"/>
  <c r="CS23" i="20"/>
  <c r="CS11" i="20"/>
  <c r="CP521" i="42"/>
  <c r="EA9" i="41"/>
  <c r="EA12" i="41" s="1"/>
  <c r="CP169" i="49"/>
  <c r="CP173" i="49" s="1"/>
  <c r="CP179" i="49" s="1"/>
  <c r="CN1025" i="10"/>
  <c r="CP861" i="10"/>
  <c r="CQ923" i="10"/>
  <c r="CP1013" i="10"/>
  <c r="CG16" i="20"/>
  <c r="CG26" i="20"/>
  <c r="CX16" i="20"/>
  <c r="CY356" i="20"/>
  <c r="CG83" i="49"/>
  <c r="CG173" i="49"/>
  <c r="CG81" i="49"/>
  <c r="CT917" i="20"/>
  <c r="CT911" i="20"/>
  <c r="BR115" i="46"/>
  <c r="BQ119" i="46"/>
  <c r="BQ121" i="46" s="1"/>
  <c r="DB908" i="20"/>
  <c r="AR56" i="41"/>
  <c r="CZ369" i="20"/>
  <c r="CP978" i="10"/>
  <c r="CS24" i="20"/>
  <c r="S21" i="51"/>
  <c r="BJ16" i="20"/>
  <c r="BQ358" i="20"/>
  <c r="BQ368" i="20"/>
  <c r="CX521" i="42"/>
  <c r="EI9" i="41"/>
  <c r="EI12" i="41" s="1"/>
  <c r="CF320" i="10"/>
  <c r="CF326" i="10"/>
  <c r="BV663" i="10"/>
  <c r="BV1263" i="10"/>
  <c r="DB704" i="10"/>
  <c r="DB706" i="10" s="1"/>
  <c r="CZ708" i="10"/>
  <c r="CZ868" i="10" s="1"/>
  <c r="CZ707" i="10"/>
  <c r="CZ1187" i="10" s="1"/>
  <c r="DB48" i="49"/>
  <c r="DB42" i="10"/>
  <c r="DC20" i="10"/>
  <c r="DB662" i="10"/>
  <c r="DB1193" i="10"/>
  <c r="DB1103" i="10"/>
  <c r="BH11" i="41"/>
  <c r="BH75" i="41" s="1"/>
  <c r="S59" i="41"/>
  <c r="S38" i="41"/>
  <c r="S39" i="41" s="1"/>
  <c r="AV56" i="41"/>
  <c r="CD102" i="49"/>
  <c r="CD104" i="49"/>
  <c r="CD200" i="49"/>
  <c r="CD303" i="49"/>
  <c r="BT16" i="20"/>
  <c r="BT26" i="20"/>
  <c r="AX69" i="10"/>
  <c r="AX67" i="10"/>
  <c r="AX766" i="10"/>
  <c r="AX765" i="10"/>
  <c r="AX764" i="10"/>
  <c r="AX769" i="10"/>
  <c r="AX768" i="10"/>
  <c r="AX767" i="10"/>
  <c r="AX176" i="10"/>
  <c r="AX763" i="10"/>
  <c r="AX771" i="10"/>
  <c r="AX1085" i="10"/>
  <c r="AX175" i="10"/>
  <c r="AX1086" i="10"/>
  <c r="AX1089" i="10" s="1"/>
  <c r="AX174" i="10"/>
  <c r="AX770" i="10"/>
  <c r="CJ1026" i="10"/>
  <c r="CL862" i="10"/>
  <c r="CM924" i="10"/>
  <c r="CL1014" i="10"/>
  <c r="AM62" i="51"/>
  <c r="CP660" i="10"/>
  <c r="CP663" i="10"/>
  <c r="CP832" i="10"/>
  <c r="CP833" i="10" s="1"/>
  <c r="CP1263" i="10"/>
  <c r="CG975" i="10"/>
  <c r="CT1026" i="10"/>
  <c r="AO20" i="51"/>
  <c r="CF25" i="20"/>
  <c r="BK245" i="20"/>
  <c r="BJ246" i="20"/>
  <c r="BJ10" i="20"/>
  <c r="CY27" i="41"/>
  <c r="CN929" i="10"/>
  <c r="AG43" i="43"/>
  <c r="AG296" i="42"/>
  <c r="AH296" i="42" s="1"/>
  <c r="BT277" i="49"/>
  <c r="DA520" i="42"/>
  <c r="EL10" i="41"/>
  <c r="EL11" i="41" s="1"/>
  <c r="CZ953" i="20"/>
  <c r="CZ958" i="20" s="1"/>
  <c r="CZ884" i="20"/>
  <c r="DD950" i="20"/>
  <c r="DH950" i="20" s="1"/>
  <c r="DB950" i="20"/>
  <c r="CK54" i="49"/>
  <c r="CK30" i="10"/>
  <c r="CK1226" i="10"/>
  <c r="CK1227" i="10" s="1"/>
  <c r="CK1216" i="10"/>
  <c r="AQ16" i="41"/>
  <c r="BK14" i="41"/>
  <c r="BK62" i="41" s="1"/>
  <c r="DA1194" i="10"/>
  <c r="EL26" i="41" s="1"/>
  <c r="EL24" i="41"/>
  <c r="DA54" i="49"/>
  <c r="DA30" i="10"/>
  <c r="DA1226" i="10"/>
  <c r="DA1227" i="10" s="1"/>
  <c r="DA1216" i="10"/>
  <c r="BG16" i="41"/>
  <c r="BG77" i="41" s="1"/>
  <c r="AF24" i="51"/>
  <c r="BZ28" i="20"/>
  <c r="CJ54" i="49"/>
  <c r="CL25" i="10"/>
  <c r="CJ30" i="10"/>
  <c r="CJ1226" i="10"/>
  <c r="CJ1216" i="10"/>
  <c r="AP16" i="41"/>
  <c r="CT978" i="10"/>
  <c r="CL980" i="10"/>
  <c r="AX14" i="20"/>
  <c r="G24" i="51" s="1"/>
  <c r="BU517" i="42"/>
  <c r="BU518" i="42"/>
  <c r="BJ215" i="49"/>
  <c r="BJ318" i="49"/>
  <c r="DA821" i="20"/>
  <c r="DA825" i="20" s="1"/>
  <c r="DA799" i="20"/>
  <c r="DE820" i="20"/>
  <c r="CF54" i="49"/>
  <c r="CF30" i="10"/>
  <c r="CH25" i="10"/>
  <c r="CF1226" i="10"/>
  <c r="CF1216" i="10"/>
  <c r="AL16" i="41"/>
  <c r="BE28" i="20"/>
  <c r="BI28" i="20"/>
  <c r="BB1" i="10"/>
  <c r="BA171" i="10"/>
  <c r="BA390" i="10"/>
  <c r="BA394" i="10"/>
  <c r="BA168" i="10"/>
  <c r="BA395" i="10"/>
  <c r="BA172" i="10"/>
  <c r="BA393" i="10"/>
  <c r="BA170" i="10"/>
  <c r="BA169" i="10"/>
  <c r="BA392" i="10"/>
  <c r="BA391" i="10"/>
  <c r="CH978" i="10"/>
  <c r="CF322" i="10"/>
  <c r="CF325" i="10"/>
  <c r="BM179" i="49"/>
  <c r="BM277" i="49"/>
  <c r="BM282" i="49" s="1"/>
  <c r="BQ24" i="20"/>
  <c r="BQ11" i="20"/>
  <c r="BU24" i="20"/>
  <c r="CB48" i="49"/>
  <c r="CB25" i="10"/>
  <c r="CB42" i="10"/>
  <c r="CD20" i="10"/>
  <c r="CD822" i="10" s="1"/>
  <c r="CB662" i="10"/>
  <c r="CB664" i="10" s="1"/>
  <c r="CB844" i="10" s="1"/>
  <c r="CB704" i="10"/>
  <c r="CB1193" i="10"/>
  <c r="CB1194" i="10" s="1"/>
  <c r="CB1103" i="10"/>
  <c r="AH11" i="41"/>
  <c r="AL59" i="41" s="1"/>
  <c r="CB34" i="10"/>
  <c r="CB975" i="10" s="1"/>
  <c r="CB1032" i="10"/>
  <c r="CB1033" i="10"/>
  <c r="CB1186" i="10"/>
  <c r="CR16" i="20"/>
  <c r="CV30" i="20" s="1"/>
  <c r="CR26" i="20"/>
  <c r="BL24" i="20"/>
  <c r="BP24" i="20"/>
  <c r="BL11" i="20"/>
  <c r="BN429" i="42"/>
  <c r="BN439" i="42" s="1"/>
  <c r="BN424" i="42"/>
  <c r="CX799" i="20"/>
  <c r="CY799" i="20" s="1"/>
  <c r="CV87" i="49"/>
  <c r="CV85" i="49"/>
  <c r="DI44" i="49"/>
  <c r="DI72" i="49" s="1"/>
  <c r="DI170" i="49" s="1"/>
  <c r="BO37" i="41"/>
  <c r="BO8" i="41"/>
  <c r="CP178" i="49"/>
  <c r="EI71" i="41"/>
  <c r="BM24" i="20"/>
  <c r="BM11" i="20"/>
  <c r="AX655" i="10"/>
  <c r="AX657" i="10" s="1"/>
  <c r="AX659" i="10" s="1"/>
  <c r="AX663" i="10" s="1"/>
  <c r="AX664" i="10" s="1"/>
  <c r="AX491" i="10"/>
  <c r="AX470" i="10"/>
  <c r="BO662" i="10"/>
  <c r="DB660" i="10"/>
  <c r="DB663" i="10"/>
  <c r="DB832" i="10"/>
  <c r="DB833" i="10" s="1"/>
  <c r="CD168" i="49"/>
  <c r="CD271" i="49"/>
  <c r="CE70" i="49"/>
  <c r="DC27" i="41"/>
  <c r="CJ809" i="20"/>
  <c r="CJ814" i="20"/>
  <c r="CL803" i="20"/>
  <c r="CL814" i="20" s="1"/>
  <c r="DL180" i="46"/>
  <c r="DL122" i="42"/>
  <c r="DL464" i="42"/>
  <c r="DB952" i="20"/>
  <c r="DB957" i="20" s="1"/>
  <c r="CO368" i="20"/>
  <c r="CO358" i="20"/>
  <c r="DI912" i="20"/>
  <c r="DF912" i="20"/>
  <c r="DF919" i="20" s="1"/>
  <c r="BH277" i="49"/>
  <c r="BH282" i="49" s="1"/>
  <c r="BH179" i="49"/>
  <c r="DB846" i="20"/>
  <c r="CT53" i="49"/>
  <c r="CT34" i="10"/>
  <c r="CT47" i="10"/>
  <c r="CT1019" i="10"/>
  <c r="CY1019" i="10" s="1"/>
  <c r="CT1033" i="10"/>
  <c r="CT1186" i="10"/>
  <c r="EE30" i="41" s="1"/>
  <c r="CT1188" i="10"/>
  <c r="EE25" i="41" s="1"/>
  <c r="AZ15" i="41"/>
  <c r="AZ63" i="41" s="1"/>
  <c r="BV202" i="49"/>
  <c r="BV305" i="49"/>
  <c r="CC119" i="46"/>
  <c r="CC121" i="46" s="1"/>
  <c r="CD115" i="46"/>
  <c r="CP918" i="20"/>
  <c r="CP913" i="20"/>
  <c r="CP920" i="20" s="1"/>
  <c r="CV918" i="20"/>
  <c r="CV913" i="20"/>
  <c r="DJ16" i="10"/>
  <c r="BN37" i="41"/>
  <c r="BN8" i="41"/>
  <c r="BR278" i="49"/>
  <c r="BR281" i="49" s="1"/>
  <c r="BS77" i="49"/>
  <c r="BR175" i="49"/>
  <c r="BR178" i="49" s="1"/>
  <c r="AZ11" i="20"/>
  <c r="AZ23" i="20"/>
  <c r="BD23" i="20"/>
  <c r="CO54" i="49"/>
  <c r="CO30" i="10"/>
  <c r="CO1226" i="10"/>
  <c r="CO1227" i="10" s="1"/>
  <c r="CO1216" i="10"/>
  <c r="AU16" i="41"/>
  <c r="CO836" i="20"/>
  <c r="CO830" i="20"/>
  <c r="CP830" i="20" s="1"/>
  <c r="CP838" i="20" s="1"/>
  <c r="CR828" i="20"/>
  <c r="CO842" i="20"/>
  <c r="CP842" i="20" s="1"/>
  <c r="AP18" i="51"/>
  <c r="CG11" i="20"/>
  <c r="CG23" i="20"/>
  <c r="CK173" i="49"/>
  <c r="CK276" i="49" s="1"/>
  <c r="CO920" i="20"/>
  <c r="CO900" i="20"/>
  <c r="CP900" i="20" s="1"/>
  <c r="CP904" i="20" s="1"/>
  <c r="CR664" i="10"/>
  <c r="CR844" i="10" s="1"/>
  <c r="CR54" i="49"/>
  <c r="CR30" i="10"/>
  <c r="CT25" i="10"/>
  <c r="CR1216" i="10"/>
  <c r="CR1226" i="10"/>
  <c r="AX16" i="41"/>
  <c r="CF275" i="42"/>
  <c r="CH446" i="42"/>
  <c r="BL83" i="49"/>
  <c r="BL173" i="49"/>
  <c r="BL81" i="49"/>
  <c r="CJ1025" i="10"/>
  <c r="AS546" i="42"/>
  <c r="AS547" i="42"/>
  <c r="DA358" i="20"/>
  <c r="DA368" i="20"/>
  <c r="CH115" i="46"/>
  <c r="CG119" i="46"/>
  <c r="CG121" i="46" s="1"/>
  <c r="CX169" i="49"/>
  <c r="CX173" i="49" s="1"/>
  <c r="CX179" i="49" s="1"/>
  <c r="BY368" i="20"/>
  <c r="BY358" i="20"/>
  <c r="CO1009" i="10"/>
  <c r="DA885" i="20"/>
  <c r="DE951" i="20"/>
  <c r="CW1026" i="10"/>
  <c r="BC19" i="51"/>
  <c r="CF1009" i="10"/>
  <c r="G18" i="41"/>
  <c r="G64" i="41"/>
  <c r="BM706" i="10"/>
  <c r="BZ38" i="49"/>
  <c r="AF7" i="41"/>
  <c r="AF56" i="41" s="1"/>
  <c r="BY48" i="49"/>
  <c r="BY25" i="10"/>
  <c r="BY42" i="10"/>
  <c r="BY704" i="10"/>
  <c r="BY662" i="10"/>
  <c r="BY664" i="10" s="1"/>
  <c r="BY844" i="10" s="1"/>
  <c r="BY1103" i="10"/>
  <c r="BZ789" i="20"/>
  <c r="BY1193" i="10"/>
  <c r="BY1194" i="10" s="1"/>
  <c r="AE11" i="41"/>
  <c r="AI59" i="41" s="1"/>
  <c r="BY34" i="10"/>
  <c r="BY975" i="10" s="1"/>
  <c r="BY1186" i="10"/>
  <c r="BY1032" i="10"/>
  <c r="BY1033" i="10"/>
  <c r="CT272" i="49"/>
  <c r="CT276" i="49" s="1"/>
  <c r="BN337" i="49"/>
  <c r="BN234" i="49"/>
  <c r="CL978" i="10"/>
  <c r="BT424" i="42"/>
  <c r="BQ425" i="42"/>
  <c r="AX54" i="49"/>
  <c r="CX660" i="10"/>
  <c r="CX663" i="10"/>
  <c r="CX832" i="10"/>
  <c r="CX833" i="10" s="1"/>
  <c r="CC896" i="20"/>
  <c r="CC890" i="20"/>
  <c r="BP54" i="49"/>
  <c r="BP30" i="10"/>
  <c r="BR25" i="10"/>
  <c r="BP1226" i="10"/>
  <c r="BP1216" i="10"/>
  <c r="V16" i="41"/>
  <c r="DL918" i="10"/>
  <c r="DL919" i="10" s="1"/>
  <c r="CK54" i="43"/>
  <c r="CN446" i="42"/>
  <c r="BF81" i="49"/>
  <c r="BF174" i="49"/>
  <c r="BF277" i="49"/>
  <c r="BX16" i="20"/>
  <c r="BX26" i="20"/>
  <c r="AZ28" i="20"/>
  <c r="BD28" i="20"/>
  <c r="CW1194" i="10"/>
  <c r="EH26" i="41" s="1"/>
  <c r="BC16" i="41"/>
  <c r="BC77" i="41" s="1"/>
  <c r="ES43" i="41"/>
  <c r="DA11" i="20"/>
  <c r="DA23" i="20"/>
  <c r="CN1032" i="10"/>
  <c r="DJ495" i="42"/>
  <c r="DJ496" i="42" s="1"/>
  <c r="DJ498" i="42"/>
  <c r="S57" i="51"/>
  <c r="L38" i="41"/>
  <c r="L39" i="41" s="1"/>
  <c r="L59" i="41"/>
  <c r="BZ521" i="42"/>
  <c r="DK9" i="41"/>
  <c r="DK12" i="41" s="1"/>
  <c r="DM112" i="10"/>
  <c r="DM159" i="20"/>
  <c r="CQ924" i="10"/>
  <c r="CP862" i="10"/>
  <c r="CP1014" i="10"/>
  <c r="BJ521" i="42"/>
  <c r="CU9" i="41"/>
  <c r="CU12" i="41" s="1"/>
  <c r="DJ121" i="49"/>
  <c r="CR900" i="20"/>
  <c r="CR920" i="20"/>
  <c r="DK555" i="20"/>
  <c r="DJ562" i="20"/>
  <c r="AO414" i="42"/>
  <c r="AP414" i="42" s="1"/>
  <c r="AP419" i="42"/>
  <c r="AO405" i="42"/>
  <c r="CG301" i="10"/>
  <c r="CG309" i="10"/>
  <c r="CG310" i="10" s="1"/>
  <c r="CG296" i="10"/>
  <c r="BN655" i="10"/>
  <c r="BN657" i="10" s="1"/>
  <c r="BN659" i="10" s="1"/>
  <c r="BN663" i="10" s="1"/>
  <c r="BN664" i="10" s="1"/>
  <c r="BO664" i="10" s="1"/>
  <c r="BN491" i="10"/>
  <c r="BN470" i="10"/>
  <c r="DN295" i="20"/>
  <c r="DN948" i="10"/>
  <c r="DN1177" i="10"/>
  <c r="DN1180" i="10" s="1"/>
  <c r="DN45" i="10"/>
  <c r="CT979" i="10"/>
  <c r="DA24" i="20"/>
  <c r="BB375" i="20"/>
  <c r="BB367" i="20"/>
  <c r="BB357" i="20"/>
  <c r="BB374" i="20"/>
  <c r="BB12" i="20"/>
  <c r="CJ23" i="20"/>
  <c r="CJ11" i="20"/>
  <c r="DD807" i="20"/>
  <c r="DW71" i="41"/>
  <c r="BU54" i="43"/>
  <c r="BX446" i="42"/>
  <c r="CE76" i="49"/>
  <c r="CD80" i="49"/>
  <c r="CE80" i="49" s="1"/>
  <c r="CD174" i="49"/>
  <c r="CD277" i="49"/>
  <c r="T57" i="51"/>
  <c r="CL49" i="49"/>
  <c r="CL76" i="49" s="1"/>
  <c r="CL1098" i="10"/>
  <c r="CL1081" i="10"/>
  <c r="CL1189" i="10"/>
  <c r="CA70" i="49"/>
  <c r="BZ168" i="49"/>
  <c r="BZ271" i="49"/>
  <c r="BR173" i="49"/>
  <c r="BR179" i="49" s="1"/>
  <c r="BZ979" i="10"/>
  <c r="BC63" i="51"/>
  <c r="DB202" i="49"/>
  <c r="DB305" i="49"/>
  <c r="DJ491" i="42"/>
  <c r="EU40" i="41" s="1"/>
  <c r="EU35" i="41"/>
  <c r="CK998" i="10"/>
  <c r="CK1031" i="10"/>
  <c r="DV27" i="41"/>
  <c r="DI360" i="42"/>
  <c r="CK1024" i="10"/>
  <c r="CN1194" i="10"/>
  <c r="DY26" i="41" s="1"/>
  <c r="DY24" i="41"/>
  <c r="P59" i="41"/>
  <c r="CV1024" i="10"/>
  <c r="CS708" i="10"/>
  <c r="CS868" i="10" s="1"/>
  <c r="CS707" i="10"/>
  <c r="CS1187" i="10" s="1"/>
  <c r="K62" i="51"/>
  <c r="BF706" i="10"/>
  <c r="BR521" i="42"/>
  <c r="DC9" i="41"/>
  <c r="DC12" i="41" s="1"/>
  <c r="CJ929" i="10"/>
  <c r="BL1227" i="10"/>
  <c r="AF46" i="43"/>
  <c r="AF48" i="43"/>
  <c r="J18" i="41"/>
  <c r="BF54" i="49"/>
  <c r="L16" i="41"/>
  <c r="CV1194" i="10"/>
  <c r="EG26" i="41" s="1"/>
  <c r="EG24" i="41"/>
  <c r="CV664" i="10"/>
  <c r="CV844" i="10" s="1"/>
  <c r="BJ130" i="49"/>
  <c r="BJ46" i="43"/>
  <c r="BJ51" i="43"/>
  <c r="CC851" i="10"/>
  <c r="CF894" i="20"/>
  <c r="CF888" i="20"/>
  <c r="CW358" i="20"/>
  <c r="CW368" i="20"/>
  <c r="BI368" i="20"/>
  <c r="BI358" i="20"/>
  <c r="BU181" i="49"/>
  <c r="BU284" i="49" s="1"/>
  <c r="BU87" i="49"/>
  <c r="BU185" i="49" s="1"/>
  <c r="BU288" i="49" s="1"/>
  <c r="BU289" i="49" s="1"/>
  <c r="BU85" i="49"/>
  <c r="BU183" i="49" s="1"/>
  <c r="BU286" i="49" s="1"/>
  <c r="Z38" i="41"/>
  <c r="Z39" i="41" s="1"/>
  <c r="Z59" i="41"/>
  <c r="W38" i="41"/>
  <c r="W39" i="41" s="1"/>
  <c r="W59" i="41"/>
  <c r="BQ707" i="10"/>
  <c r="BQ1187" i="10" s="1"/>
  <c r="BQ706" i="10"/>
  <c r="CL102" i="49"/>
  <c r="CL104" i="49"/>
  <c r="CL200" i="49"/>
  <c r="CL303" i="49"/>
  <c r="CC998" i="10"/>
  <c r="CC1031" i="10"/>
  <c r="CC975" i="10"/>
  <c r="BF196" i="49"/>
  <c r="BF299" i="49"/>
  <c r="CG358" i="20"/>
  <c r="CG368" i="20"/>
  <c r="BG60" i="51"/>
  <c r="CX367" i="20"/>
  <c r="AY246" i="20"/>
  <c r="DA910" i="20"/>
  <c r="CX910" i="20"/>
  <c r="CW911" i="20"/>
  <c r="BL30" i="20"/>
  <c r="DB822" i="10"/>
  <c r="DB115" i="46"/>
  <c r="DA119" i="46"/>
  <c r="DA121" i="46" s="1"/>
  <c r="EL70" i="41"/>
  <c r="DG555" i="20"/>
  <c r="CP822" i="10"/>
  <c r="CP867" i="10"/>
  <c r="CP973" i="10"/>
  <c r="BU16" i="20"/>
  <c r="BU26" i="20"/>
  <c r="CS850" i="10"/>
  <c r="CG1025" i="10"/>
  <c r="BJ367" i="20"/>
  <c r="CO83" i="49"/>
  <c r="CO173" i="49"/>
  <c r="CO81" i="49"/>
  <c r="CF310" i="10"/>
  <c r="DM291" i="42"/>
  <c r="DN291" i="42" s="1"/>
  <c r="DN107" i="49" s="1"/>
  <c r="DN303" i="42"/>
  <c r="CL979" i="10"/>
  <c r="AV67" i="10"/>
  <c r="AV174" i="10"/>
  <c r="AV769" i="10"/>
  <c r="AV767" i="10"/>
  <c r="AV768" i="10"/>
  <c r="AV69" i="10"/>
  <c r="AV763" i="10"/>
  <c r="AV764" i="10"/>
  <c r="AV766" i="10"/>
  <c r="AV1080" i="10"/>
  <c r="AV765" i="10"/>
  <c r="AV771" i="10"/>
  <c r="AV770" i="10"/>
  <c r="AV1086" i="10"/>
  <c r="AV1089" i="10" s="1"/>
  <c r="AV1091" i="10" s="1"/>
  <c r="AV1092" i="10" s="1"/>
  <c r="AV1093" i="10" s="1"/>
  <c r="AV1096" i="10" s="1"/>
  <c r="AV1085" i="10"/>
  <c r="DL344" i="42"/>
  <c r="DN339" i="42"/>
  <c r="CO928" i="10"/>
  <c r="CO930" i="10"/>
  <c r="CO898" i="10"/>
  <c r="BF38" i="41"/>
  <c r="BF39" i="41" s="1"/>
  <c r="BF59" i="41"/>
  <c r="CZ855" i="10"/>
  <c r="CZ845" i="10"/>
  <c r="CZ853" i="10"/>
  <c r="CZ857" i="10"/>
  <c r="CZ854" i="10"/>
  <c r="CZ850" i="10"/>
  <c r="CZ846" i="10"/>
  <c r="CZ851" i="10"/>
  <c r="CF929" i="10"/>
  <c r="BN303" i="49"/>
  <c r="BN102" i="49"/>
  <c r="BN104" i="49"/>
  <c r="BN200" i="49"/>
  <c r="AW67" i="10"/>
  <c r="AW69" i="10"/>
  <c r="AW763" i="10"/>
  <c r="AW764" i="10"/>
  <c r="AW766" i="10"/>
  <c r="AW769" i="10"/>
  <c r="AW767" i="10"/>
  <c r="AW768" i="10"/>
  <c r="AW1080" i="10"/>
  <c r="AW176" i="10"/>
  <c r="AW765" i="10"/>
  <c r="AW175" i="10"/>
  <c r="AW174" i="10"/>
  <c r="AW771" i="10"/>
  <c r="AW1085" i="10"/>
  <c r="AW1086" i="10"/>
  <c r="AW1089" i="10" s="1"/>
  <c r="AW1091" i="10" s="1"/>
  <c r="AW1092" i="10" s="1"/>
  <c r="AW770" i="10"/>
  <c r="AM20" i="51"/>
  <c r="CB169" i="49"/>
  <c r="CB272" i="49" s="1"/>
  <c r="CB75" i="49"/>
  <c r="CK521" i="42"/>
  <c r="DV9" i="41"/>
  <c r="DV12" i="41" s="1"/>
  <c r="BV246" i="20"/>
  <c r="CA246" i="20" s="1"/>
  <c r="BV10" i="20"/>
  <c r="BZ24" i="20" s="1"/>
  <c r="BW245" i="20"/>
  <c r="DL16" i="10"/>
  <c r="CD867" i="10"/>
  <c r="CD973" i="10"/>
  <c r="CD275" i="42"/>
  <c r="DA517" i="42"/>
  <c r="DA518" i="42"/>
  <c r="CX884" i="20"/>
  <c r="CV887" i="20"/>
  <c r="CK1194" i="10"/>
  <c r="DV26" i="41" s="1"/>
  <c r="DV24" i="41"/>
  <c r="BG38" i="41"/>
  <c r="BG39" i="41" s="1"/>
  <c r="BG59" i="41"/>
  <c r="DA708" i="10"/>
  <c r="DA868" i="10" s="1"/>
  <c r="DA707" i="10"/>
  <c r="DA1187" i="10" s="1"/>
  <c r="DA706" i="10"/>
  <c r="BZ46" i="49"/>
  <c r="BZ74" i="49" s="1"/>
  <c r="AF10" i="41"/>
  <c r="CZ275" i="42"/>
  <c r="DB446" i="42"/>
  <c r="CK851" i="10"/>
  <c r="CL704" i="10"/>
  <c r="CL708" i="10" s="1"/>
  <c r="CJ708" i="10"/>
  <c r="CJ868" i="10" s="1"/>
  <c r="CL48" i="49"/>
  <c r="CL42" i="10"/>
  <c r="CM20" i="10"/>
  <c r="CL662" i="10"/>
  <c r="CL1193" i="10"/>
  <c r="CL1103" i="10"/>
  <c r="CL1270" i="10"/>
  <c r="AR11" i="41"/>
  <c r="P46" i="41"/>
  <c r="P38" i="41" s="1"/>
  <c r="P39" i="41" s="1"/>
  <c r="DS71" i="41"/>
  <c r="CJ878" i="20"/>
  <c r="CJ882" i="20" s="1"/>
  <c r="CJ905" i="20"/>
  <c r="AA38" i="41"/>
  <c r="AA39" i="41" s="1"/>
  <c r="AA59" i="41"/>
  <c r="BU708" i="10"/>
  <c r="BU707" i="10"/>
  <c r="BU1187" i="10" s="1"/>
  <c r="BU706" i="10"/>
  <c r="BD1" i="42"/>
  <c r="BD2" i="42" s="1"/>
  <c r="BE3" i="42"/>
  <c r="DM124" i="42"/>
  <c r="DM136" i="42"/>
  <c r="DM599" i="20" s="1"/>
  <c r="DB979" i="10"/>
  <c r="CD132" i="49"/>
  <c r="CD54" i="43"/>
  <c r="BN358" i="20"/>
  <c r="BN368" i="20"/>
  <c r="AJ43" i="43"/>
  <c r="AK290" i="42"/>
  <c r="AJ296" i="42"/>
  <c r="CJ314" i="42"/>
  <c r="CL312" i="42"/>
  <c r="BY169" i="49"/>
  <c r="BY272" i="49" s="1"/>
  <c r="BY75" i="49"/>
  <c r="CM24" i="41"/>
  <c r="CF358" i="20"/>
  <c r="CF368" i="20"/>
  <c r="CH360" i="20"/>
  <c r="CH375" i="20"/>
  <c r="AQ22" i="51" s="1"/>
  <c r="CH367" i="20"/>
  <c r="CI356" i="20"/>
  <c r="CH357" i="20"/>
  <c r="CH374" i="20"/>
  <c r="AQ21" i="51" s="1"/>
  <c r="CH12" i="20"/>
  <c r="CH704" i="10"/>
  <c r="CF708" i="10"/>
  <c r="CF868" i="10" s="1"/>
  <c r="CF707" i="10"/>
  <c r="CF1187" i="10" s="1"/>
  <c r="CF706" i="10"/>
  <c r="CH48" i="49"/>
  <c r="CH42" i="10"/>
  <c r="CH662" i="10"/>
  <c r="CH1270" i="10"/>
  <c r="CH1193" i="10"/>
  <c r="CH1103" i="10"/>
  <c r="AN11" i="41"/>
  <c r="BD1" i="10"/>
  <c r="BE3" i="10"/>
  <c r="CC173" i="49"/>
  <c r="CC276" i="49" s="1"/>
  <c r="CI974" i="10"/>
  <c r="AF19" i="51"/>
  <c r="CZ706" i="10"/>
  <c r="CP980" i="10"/>
  <c r="DC1013" i="10"/>
  <c r="CT102" i="49"/>
  <c r="CT104" i="49"/>
  <c r="AY63" i="51"/>
  <c r="DM59" i="10"/>
  <c r="DM16" i="10" s="1"/>
  <c r="CV825" i="20"/>
  <c r="CX821" i="20"/>
  <c r="CX825" i="20" s="1"/>
  <c r="CK929" i="10"/>
  <c r="DO72" i="41"/>
  <c r="BY929" i="10"/>
  <c r="DM499" i="42"/>
  <c r="DM483" i="42" s="1"/>
  <c r="DN483" i="42" s="1"/>
  <c r="DN499" i="42" s="1"/>
  <c r="CU923" i="10"/>
  <c r="CT861" i="10"/>
  <c r="CT1013" i="10"/>
  <c r="CY1013" i="10" s="1"/>
  <c r="G20" i="51"/>
  <c r="CT860" i="10"/>
  <c r="CU922" i="10"/>
  <c r="CT1012" i="10"/>
  <c r="CO1026" i="10"/>
  <c r="T38" i="41"/>
  <c r="T39" i="41" s="1"/>
  <c r="T59" i="41"/>
  <c r="CQ922" i="10"/>
  <c r="CP860" i="10"/>
  <c r="CP1012" i="10"/>
  <c r="CX446" i="42"/>
  <c r="CV275" i="42"/>
  <c r="BI517" i="42"/>
  <c r="BI518" i="42"/>
  <c r="CQ356" i="20"/>
  <c r="CP374" i="20"/>
  <c r="AY21" i="51" s="1"/>
  <c r="CP357" i="20"/>
  <c r="CP360" i="20"/>
  <c r="CP375" i="20"/>
  <c r="AY22" i="51" s="1"/>
  <c r="CP367" i="20"/>
  <c r="CP12" i="20"/>
  <c r="T23" i="51"/>
  <c r="BN27" i="20"/>
  <c r="CL798" i="20"/>
  <c r="CM798" i="20" s="1"/>
  <c r="DD886" i="20"/>
  <c r="CK904" i="20"/>
  <c r="CK901" i="20"/>
  <c r="ES59" i="41"/>
  <c r="EM71" i="41"/>
  <c r="DD805" i="20"/>
  <c r="ED27" i="41"/>
  <c r="CB929" i="10"/>
  <c r="CH979" i="10"/>
  <c r="CC54" i="49"/>
  <c r="CC30" i="10"/>
  <c r="CC1216" i="10"/>
  <c r="CC1226" i="10"/>
  <c r="CC1227" i="10" s="1"/>
  <c r="AI16" i="41"/>
  <c r="BJ97" i="49"/>
  <c r="AU38" i="41"/>
  <c r="AU39" i="41" s="1"/>
  <c r="AU59" i="41"/>
  <c r="CO708" i="10"/>
  <c r="CO868" i="10" s="1"/>
  <c r="CO707" i="10"/>
  <c r="CO1187" i="10" s="1"/>
  <c r="CO706" i="10"/>
  <c r="CP828" i="20"/>
  <c r="CP836" i="20" s="1"/>
  <c r="CJ295" i="10"/>
  <c r="CJ307" i="10"/>
  <c r="CJ293" i="10"/>
  <c r="CJ300" i="10"/>
  <c r="EC27" i="41"/>
  <c r="AX38" i="41"/>
  <c r="AX39" i="41" s="1"/>
  <c r="AX59" i="41"/>
  <c r="CR706" i="10"/>
  <c r="CR707" i="10"/>
  <c r="CR1187" i="10" s="1"/>
  <c r="CR708" i="10"/>
  <c r="CR868" i="10" s="1"/>
  <c r="CT704" i="10"/>
  <c r="CG54" i="49"/>
  <c r="CG30" i="10"/>
  <c r="CG1216" i="10"/>
  <c r="CG1226" i="10"/>
  <c r="CG1227" i="10" s="1"/>
  <c r="AM16" i="41"/>
  <c r="DA16" i="20"/>
  <c r="DA26" i="20"/>
  <c r="CK277" i="49"/>
  <c r="BF246" i="20"/>
  <c r="BF10" i="20"/>
  <c r="BG245" i="20"/>
  <c r="CB358" i="20"/>
  <c r="CB368" i="20"/>
  <c r="CO1032" i="10"/>
  <c r="CL246" i="20"/>
  <c r="CM246" i="20" s="1"/>
  <c r="CL10" i="20"/>
  <c r="CM245" i="20"/>
  <c r="AP60" i="41"/>
  <c r="AT60" i="41"/>
  <c r="DM270" i="42"/>
  <c r="BD368" i="20"/>
  <c r="BD358" i="20"/>
  <c r="BH369" i="20" s="1"/>
  <c r="EE72" i="41"/>
  <c r="CT169" i="49"/>
  <c r="CT173" i="49" s="1"/>
  <c r="CL822" i="10"/>
  <c r="CL973" i="10"/>
  <c r="CL867" i="10"/>
  <c r="AX1226" i="10"/>
  <c r="AX1227" i="10" s="1"/>
  <c r="AV1227" i="10"/>
  <c r="BN215" i="49"/>
  <c r="BN318" i="49"/>
  <c r="BE16" i="20"/>
  <c r="BE26" i="20"/>
  <c r="AN60" i="41"/>
  <c r="EK27" i="41"/>
  <c r="CN312" i="42"/>
  <c r="CP311" i="42"/>
  <c r="CX980" i="10"/>
  <c r="AT34" i="10"/>
  <c r="AT545" i="42"/>
  <c r="BX368" i="20"/>
  <c r="BX358" i="20"/>
  <c r="CX998" i="10"/>
  <c r="CX1031" i="10"/>
  <c r="BC38" i="41"/>
  <c r="BC39" i="41" s="1"/>
  <c r="BC59" i="41"/>
  <c r="CW853" i="10"/>
  <c r="CW854" i="10"/>
  <c r="CW850" i="10"/>
  <c r="CP998" i="10"/>
  <c r="CP1031" i="10"/>
  <c r="EA27" i="41"/>
  <c r="EM72" i="41"/>
  <c r="CJ1024" i="10"/>
  <c r="CL860" i="10"/>
  <c r="CM922" i="10"/>
  <c r="CL1012" i="10"/>
  <c r="CZ885" i="20"/>
  <c r="DD951" i="20"/>
  <c r="DH951" i="20" s="1"/>
  <c r="DH885" i="20" s="1"/>
  <c r="DB951" i="20"/>
  <c r="DB956" i="20" s="1"/>
  <c r="CP305" i="49"/>
  <c r="CP202" i="49"/>
  <c r="DL126" i="10"/>
  <c r="DA54" i="43"/>
  <c r="BQ83" i="49"/>
  <c r="BQ173" i="49"/>
  <c r="BQ81" i="49"/>
  <c r="BF53" i="49"/>
  <c r="BF47" i="10"/>
  <c r="BF1186" i="10"/>
  <c r="CQ27" i="41" s="1"/>
  <c r="BF1188" i="10"/>
  <c r="CQ25" i="41" s="1"/>
  <c r="L15" i="41"/>
  <c r="BJ1187" i="10"/>
  <c r="CX115" i="46"/>
  <c r="CW119" i="46"/>
  <c r="CW121" i="46" s="1"/>
  <c r="EH70" i="41"/>
  <c r="CK11" i="20"/>
  <c r="CK23" i="20"/>
  <c r="BM358" i="20"/>
  <c r="BM368" i="20"/>
  <c r="CV26" i="20"/>
  <c r="CZ930" i="10"/>
  <c r="CZ928" i="10"/>
  <c r="CZ898" i="10"/>
  <c r="CL169" i="49"/>
  <c r="BZ202" i="49"/>
  <c r="BZ305" i="49"/>
  <c r="Z63" i="41"/>
  <c r="AD63" i="41"/>
  <c r="BV53" i="49"/>
  <c r="BV34" i="10"/>
  <c r="BV47" i="10"/>
  <c r="BV1186" i="10"/>
  <c r="BV1188" i="10"/>
  <c r="DG25" i="41" s="1"/>
  <c r="AB15" i="41"/>
  <c r="AB63" i="41" s="1"/>
  <c r="DN447" i="20"/>
  <c r="DN75" i="10"/>
  <c r="CG316" i="10"/>
  <c r="DA83" i="49"/>
  <c r="DA173" i="49"/>
  <c r="CZ169" i="49" s="1"/>
  <c r="DA81" i="49"/>
  <c r="AZ56" i="41"/>
  <c r="CN24" i="20"/>
  <c r="DL562" i="20"/>
  <c r="DL1160" i="10"/>
  <c r="DL1181" i="10" s="1"/>
  <c r="CX10" i="20"/>
  <c r="DB24" i="20" s="1"/>
  <c r="CX246" i="20"/>
  <c r="CY246" i="20" s="1"/>
  <c r="CY245" i="20"/>
  <c r="DB16" i="20"/>
  <c r="DB26" i="20"/>
  <c r="CZ17" i="20"/>
  <c r="DD31" i="20" s="1"/>
  <c r="DA929" i="10"/>
  <c r="AZ344" i="42"/>
  <c r="BB339" i="42"/>
  <c r="BB343" i="42" s="1"/>
  <c r="BA343" i="42" s="1"/>
  <c r="AZ358" i="20"/>
  <c r="AZ369" i="20" s="1"/>
  <c r="AZ368" i="20"/>
  <c r="AZ16" i="20"/>
  <c r="AZ26" i="20"/>
  <c r="CL9" i="20"/>
  <c r="CL305" i="49"/>
  <c r="CL202" i="49"/>
  <c r="CS80" i="49"/>
  <c r="CS178" i="49" s="1"/>
  <c r="CS281" i="49" s="1"/>
  <c r="BZ311" i="42"/>
  <c r="BZ315" i="42" s="1"/>
  <c r="BX315" i="42"/>
  <c r="DN80" i="10"/>
  <c r="CJ81" i="49"/>
  <c r="BS71" i="49"/>
  <c r="BR75" i="49"/>
  <c r="BW75" i="49" s="1"/>
  <c r="CH1033" i="10"/>
  <c r="CX822" i="10"/>
  <c r="CX973" i="10"/>
  <c r="CX975" i="10" s="1"/>
  <c r="CX867" i="10"/>
  <c r="DC867" i="10" s="1"/>
  <c r="CT660" i="10"/>
  <c r="CT663" i="10"/>
  <c r="CT832" i="10"/>
  <c r="CT833" i="10" s="1"/>
  <c r="CK358" i="20"/>
  <c r="CK368" i="20"/>
  <c r="AM24" i="51"/>
  <c r="CD28" i="20"/>
  <c r="W63" i="41"/>
  <c r="DI16" i="42"/>
  <c r="DJ122" i="42"/>
  <c r="DJ16" i="42" s="1"/>
  <c r="DI138" i="42"/>
  <c r="DI601" i="20" s="1"/>
  <c r="CI76" i="49"/>
  <c r="CP9" i="20"/>
  <c r="CT23" i="20" s="1"/>
  <c r="CD24" i="20"/>
  <c r="CP704" i="10"/>
  <c r="CN708" i="10"/>
  <c r="CN868" i="10" s="1"/>
  <c r="CN707" i="10"/>
  <c r="CN1187" i="10" s="1"/>
  <c r="CN706" i="10"/>
  <c r="CN54" i="49"/>
  <c r="CN30" i="10"/>
  <c r="CP25" i="10"/>
  <c r="CN1216" i="10"/>
  <c r="CN1226" i="10"/>
  <c r="AT16" i="41"/>
  <c r="CI922" i="10"/>
  <c r="CH860" i="10"/>
  <c r="CH1012" i="10"/>
  <c r="CY922" i="10"/>
  <c r="CX860" i="10"/>
  <c r="CX1012" i="10"/>
  <c r="DC1012" i="10" s="1"/>
  <c r="CS1194" i="10"/>
  <c r="ED26" i="41" s="1"/>
  <c r="ED24" i="41"/>
  <c r="CL131" i="49"/>
  <c r="BL1222" i="10"/>
  <c r="BL1217" i="10"/>
  <c r="BN704" i="10"/>
  <c r="BN707" i="10" s="1"/>
  <c r="BZ660" i="10"/>
  <c r="BZ663" i="10"/>
  <c r="BZ832" i="10"/>
  <c r="BZ833" i="10" s="1"/>
  <c r="BZ1263" i="10"/>
  <c r="BF1216" i="10"/>
  <c r="BF1222" i="10" s="1"/>
  <c r="BD1217" i="10"/>
  <c r="BD1222" i="10"/>
  <c r="CV708" i="10"/>
  <c r="CV868" i="10" s="1"/>
  <c r="CV707" i="10"/>
  <c r="CV1187" i="10" s="1"/>
  <c r="CV706" i="10"/>
  <c r="CX48" i="49"/>
  <c r="CX42" i="10"/>
  <c r="CY20" i="10"/>
  <c r="CX662" i="10"/>
  <c r="CX1193" i="10"/>
  <c r="CX1103" i="10"/>
  <c r="BD11" i="41"/>
  <c r="BD75" i="41" s="1"/>
  <c r="BI179" i="49"/>
  <c r="BI277" i="49"/>
  <c r="BI282" i="49" s="1"/>
  <c r="DB131" i="49"/>
  <c r="CX9" i="20"/>
  <c r="DB23" i="20" s="1"/>
  <c r="CS173" i="49"/>
  <c r="CR169" i="49" s="1"/>
  <c r="BE59" i="49"/>
  <c r="BE8" i="43"/>
  <c r="BE58" i="46"/>
  <c r="BE55" i="46" s="1"/>
  <c r="BE56" i="46" s="1"/>
  <c r="BE60" i="46" s="1"/>
  <c r="BE32" i="10"/>
  <c r="BE543" i="42"/>
  <c r="BE445" i="42"/>
  <c r="BE1104" i="10"/>
  <c r="K20" i="41"/>
  <c r="DM26" i="42"/>
  <c r="DP26" i="42" s="1"/>
  <c r="CY924" i="10"/>
  <c r="CX862" i="10"/>
  <c r="CX1014" i="10"/>
  <c r="L60" i="41"/>
  <c r="CW1009" i="10"/>
  <c r="CJ368" i="20"/>
  <c r="CJ358" i="20"/>
  <c r="DM238" i="10"/>
  <c r="DP238" i="10" s="1"/>
  <c r="DL241" i="10"/>
  <c r="DL239" i="10"/>
  <c r="DL253" i="10" s="1"/>
  <c r="O57" i="51"/>
  <c r="CH202" i="49"/>
  <c r="CH305" i="49"/>
  <c r="BT1194" i="10"/>
  <c r="AQ19" i="51"/>
  <c r="CH24" i="20"/>
  <c r="CH521" i="42"/>
  <c r="DS9" i="41"/>
  <c r="DS12" i="41" s="1"/>
  <c r="CE923" i="10"/>
  <c r="CD861" i="10"/>
  <c r="CD1013" i="10"/>
  <c r="CD53" i="49"/>
  <c r="CD47" i="10"/>
  <c r="CD1019" i="10"/>
  <c r="CD1188" i="10"/>
  <c r="DO25" i="41" s="1"/>
  <c r="AJ15" i="41"/>
  <c r="AJ63" i="41" s="1"/>
  <c r="CP272" i="49"/>
  <c r="CP276" i="49" s="1"/>
  <c r="CP115" i="46"/>
  <c r="CO119" i="46"/>
  <c r="CO121" i="46" s="1"/>
  <c r="DZ70" i="41"/>
  <c r="BG61" i="51"/>
  <c r="AH429" i="42"/>
  <c r="AH424" i="42"/>
  <c r="BC18" i="51"/>
  <c r="CT11" i="20"/>
  <c r="BI54" i="49"/>
  <c r="BI30" i="10"/>
  <c r="BI1226" i="10"/>
  <c r="BI1227" i="10" s="1"/>
  <c r="BI1216" i="10"/>
  <c r="O16" i="41"/>
  <c r="BZ104" i="49"/>
  <c r="AX706" i="10"/>
  <c r="DI908" i="20"/>
  <c r="EQ59" i="41"/>
  <c r="CH304" i="49"/>
  <c r="CH201" i="49"/>
  <c r="AF54" i="41"/>
  <c r="AJ54" i="41"/>
  <c r="CC706" i="10"/>
  <c r="BB53" i="49"/>
  <c r="BB1186" i="10"/>
  <c r="CM27" i="41" s="1"/>
  <c r="BB1188" i="10"/>
  <c r="CM25" i="41" s="1"/>
  <c r="H15" i="41"/>
  <c r="H63" i="41" s="1"/>
  <c r="BZ998" i="10"/>
  <c r="BZ1031" i="10"/>
  <c r="CO1025" i="10"/>
  <c r="BA16" i="20"/>
  <c r="BA30" i="20" s="1"/>
  <c r="CH1026" i="10"/>
  <c r="CZ1194" i="10"/>
  <c r="EK26" i="41" s="1"/>
  <c r="EK24" i="41"/>
  <c r="AB63" i="51"/>
  <c r="CG929" i="10"/>
  <c r="CK520" i="42"/>
  <c r="DV10" i="41"/>
  <c r="DV11" i="41" s="1"/>
  <c r="BT24" i="20"/>
  <c r="BX24" i="20"/>
  <c r="BT11" i="20"/>
  <c r="BH24" i="20"/>
  <c r="BH11" i="20"/>
  <c r="BZ215" i="49"/>
  <c r="BZ318" i="49"/>
  <c r="BV115" i="46"/>
  <c r="BU119" i="46"/>
  <c r="BU121" i="46" s="1"/>
  <c r="EA71" i="41"/>
  <c r="CX953" i="20"/>
  <c r="CX958" i="20" s="1"/>
  <c r="CX955" i="20"/>
  <c r="AQ38" i="41"/>
  <c r="AQ39" i="41" s="1"/>
  <c r="AQ59" i="41"/>
  <c r="CK708" i="10"/>
  <c r="CK868" i="10" s="1"/>
  <c r="CK707" i="10"/>
  <c r="CK1187" i="10" s="1"/>
  <c r="CJ660" i="10"/>
  <c r="CJ663" i="10"/>
  <c r="CJ664" i="10" s="1"/>
  <c r="CJ844" i="10" s="1"/>
  <c r="CJ832" i="10"/>
  <c r="CJ833" i="10" s="1"/>
  <c r="BR202" i="49"/>
  <c r="BR305" i="49"/>
  <c r="AE58" i="41"/>
  <c r="AI58" i="41"/>
  <c r="AP59" i="41"/>
  <c r="AP38" i="41"/>
  <c r="AP39" i="41" s="1"/>
  <c r="BT173" i="49"/>
  <c r="BT276" i="49" s="1"/>
  <c r="DW72" i="41"/>
  <c r="DE884" i="20"/>
  <c r="DI950" i="20"/>
  <c r="DC923" i="10"/>
  <c r="DB861" i="10"/>
  <c r="DC72" i="41"/>
  <c r="BA2" i="42"/>
  <c r="BA450" i="42" s="1"/>
  <c r="BB1" i="42"/>
  <c r="BB2" i="42" s="1"/>
  <c r="CK809" i="20"/>
  <c r="CK814" i="20"/>
  <c r="CQ887" i="20"/>
  <c r="CP895" i="20"/>
  <c r="AJ53" i="41"/>
  <c r="AN53" i="41"/>
  <c r="T21" i="51"/>
  <c r="BN16" i="20"/>
  <c r="BN26" i="20"/>
  <c r="BB246" i="20"/>
  <c r="BC246" i="20" s="1"/>
  <c r="BB10" i="20"/>
  <c r="BC245" i="20"/>
  <c r="BU521" i="42"/>
  <c r="CF16" i="20"/>
  <c r="CF26" i="20"/>
  <c r="AL38" i="41"/>
  <c r="AL39" i="41" s="1"/>
  <c r="BB655" i="10"/>
  <c r="BB657" i="10" s="1"/>
  <c r="BB659" i="10" s="1"/>
  <c r="BB663" i="10" s="1"/>
  <c r="BB664" i="10" s="1"/>
  <c r="BB491" i="10"/>
  <c r="BB470" i="10"/>
  <c r="CK852" i="10"/>
  <c r="BR246" i="20"/>
  <c r="BS246" i="20" s="1"/>
  <c r="BR10" i="20"/>
  <c r="BS245" i="20"/>
  <c r="CR358" i="20"/>
  <c r="CR368" i="20"/>
  <c r="BH56" i="41"/>
  <c r="CR928" i="10"/>
  <c r="CR898" i="10"/>
  <c r="CR930" i="10"/>
  <c r="CK846" i="10"/>
  <c r="CF1025" i="10"/>
  <c r="CH861" i="10"/>
  <c r="CI923" i="10"/>
  <c r="CH1013" i="10"/>
  <c r="CD202" i="49"/>
  <c r="CD305" i="49"/>
  <c r="CY72" i="41"/>
  <c r="AK429" i="42"/>
  <c r="AL425" i="42"/>
  <c r="CH660" i="10"/>
  <c r="CH663" i="10"/>
  <c r="CH1263" i="10"/>
  <c r="CH832" i="10"/>
  <c r="CH833" i="10" s="1"/>
  <c r="DN482" i="42"/>
  <c r="CR87" i="49"/>
  <c r="CR85" i="49"/>
  <c r="CH75" i="49"/>
  <c r="CR1025" i="10"/>
  <c r="CV1009" i="10"/>
  <c r="G57" i="51"/>
  <c r="DB102" i="49"/>
  <c r="DB104" i="49"/>
  <c r="BN1194" i="10"/>
  <c r="CY26" i="41" s="1"/>
  <c r="CY24" i="41"/>
  <c r="DI909" i="20"/>
  <c r="DF909" i="20"/>
  <c r="DF916" i="20" s="1"/>
  <c r="AZ275" i="42"/>
  <c r="BB446" i="42"/>
  <c r="AZ447" i="42"/>
  <c r="CN368" i="20"/>
  <c r="CN358" i="20"/>
  <c r="CN16" i="20"/>
  <c r="CN26" i="20"/>
  <c r="X63" i="41"/>
  <c r="CH1028" i="10"/>
  <c r="CL808" i="20"/>
  <c r="CL815" i="20" s="1"/>
  <c r="CJ815" i="20"/>
  <c r="BV174" i="49"/>
  <c r="BV81" i="49"/>
  <c r="BV277" i="49"/>
  <c r="BW76" i="49"/>
  <c r="BH80" i="49"/>
  <c r="CD278" i="49"/>
  <c r="CE77" i="49"/>
  <c r="CD175" i="49"/>
  <c r="BG24" i="51"/>
  <c r="CX28" i="20"/>
  <c r="AI38" i="41"/>
  <c r="AI39" i="41" s="1"/>
  <c r="CC845" i="10"/>
  <c r="CC857" i="10"/>
  <c r="CC855" i="10"/>
  <c r="CC986" i="10"/>
  <c r="CC985" i="10"/>
  <c r="CC850" i="10"/>
  <c r="CC853" i="10"/>
  <c r="CC856" i="10"/>
  <c r="CC854" i="10"/>
  <c r="CC852" i="10"/>
  <c r="CO1194" i="10"/>
  <c r="DZ26" i="41" s="1"/>
  <c r="DZ24" i="41"/>
  <c r="CO855" i="10"/>
  <c r="CO845" i="10"/>
  <c r="CO853" i="10"/>
  <c r="CO857" i="10"/>
  <c r="CO986" i="10"/>
  <c r="CO985" i="10"/>
  <c r="CO856" i="10"/>
  <c r="CO850" i="10"/>
  <c r="CO846" i="10"/>
  <c r="CO854" i="10"/>
  <c r="CN847" i="20"/>
  <c r="CN806" i="20"/>
  <c r="CN844" i="20"/>
  <c r="CN849" i="20" s="1"/>
  <c r="AN423" i="42"/>
  <c r="CN297" i="10"/>
  <c r="CK299" i="10"/>
  <c r="CK292" i="10"/>
  <c r="CT48" i="49"/>
  <c r="CT42" i="10"/>
  <c r="CU20" i="10"/>
  <c r="CT662" i="10"/>
  <c r="CT1103" i="10"/>
  <c r="CT1193" i="10"/>
  <c r="AZ11" i="41"/>
  <c r="AM38" i="41"/>
  <c r="AM39" i="41" s="1"/>
  <c r="AM59" i="41"/>
  <c r="CM923" i="10"/>
  <c r="CL861" i="10"/>
  <c r="CL1013" i="10"/>
  <c r="BD24" i="20"/>
  <c r="BD11" i="20"/>
  <c r="CE356" i="20"/>
  <c r="CD360" i="20"/>
  <c r="CD375" i="20"/>
  <c r="AM22" i="51" s="1"/>
  <c r="CD367" i="20"/>
  <c r="CD357" i="20"/>
  <c r="CD12" i="20"/>
  <c r="CD374" i="20"/>
  <c r="AM21" i="51" s="1"/>
  <c r="CC277" i="49"/>
  <c r="BZ11" i="20"/>
  <c r="AR12" i="41"/>
  <c r="CF1032" i="10"/>
  <c r="CK1026" i="10"/>
  <c r="BD16" i="20"/>
  <c r="BD26" i="20"/>
  <c r="AN411" i="42"/>
  <c r="AL412" i="42"/>
  <c r="CQ74" i="49"/>
  <c r="AX1217" i="10"/>
  <c r="AX1218" i="10" s="1"/>
  <c r="AV1218" i="10"/>
  <c r="BY1025" i="10"/>
  <c r="AL423" i="42"/>
  <c r="BR704" i="10"/>
  <c r="BP707" i="10"/>
  <c r="BP1187" i="10" s="1"/>
  <c r="BP706" i="10"/>
  <c r="BR48" i="49"/>
  <c r="BR42" i="10"/>
  <c r="BS20" i="10"/>
  <c r="BR662" i="10"/>
  <c r="BR1193" i="10"/>
  <c r="BR1103" i="10"/>
  <c r="X11" i="41"/>
  <c r="CZ1031" i="10"/>
  <c r="CZ998" i="10"/>
  <c r="BR375" i="20"/>
  <c r="BR367" i="20"/>
  <c r="BR357" i="20"/>
  <c r="BR374" i="20"/>
  <c r="BR12" i="20"/>
  <c r="CL130" i="49"/>
  <c r="CL46" i="43"/>
  <c r="CL51" i="43"/>
  <c r="CW707" i="10"/>
  <c r="CW1187" i="10" s="1"/>
  <c r="CW706" i="10"/>
  <c r="EL27" i="41"/>
  <c r="CN1009" i="10"/>
  <c r="S62" i="51"/>
  <c r="BI253" i="42"/>
  <c r="BH255" i="42"/>
  <c r="CZ399" i="42"/>
  <c r="CX407" i="42"/>
  <c r="CX406" i="42" s="1"/>
  <c r="BK19" i="51"/>
  <c r="CX885" i="20"/>
  <c r="CQ24" i="41"/>
  <c r="CN904" i="20"/>
  <c r="CN901" i="20"/>
  <c r="CC1025" i="10"/>
  <c r="CC929" i="10"/>
  <c r="BP83" i="49"/>
  <c r="BP173" i="49"/>
  <c r="BP81" i="49"/>
  <c r="BZ175" i="49"/>
  <c r="BZ178" i="49" s="1"/>
  <c r="BZ278" i="49"/>
  <c r="BZ281" i="49" s="1"/>
  <c r="CN1026" i="10"/>
  <c r="BX1025" i="10"/>
  <c r="BZ861" i="10"/>
  <c r="BZ1013" i="10"/>
  <c r="CX132" i="49"/>
  <c r="CX54" i="43"/>
  <c r="CK1025" i="10"/>
  <c r="CX175" i="49"/>
  <c r="CX178" i="49" s="1"/>
  <c r="CX278" i="49"/>
  <c r="CX281" i="49" s="1"/>
  <c r="DN512" i="42"/>
  <c r="BM16" i="20"/>
  <c r="BM26" i="20"/>
  <c r="DO71" i="41"/>
  <c r="CM71" i="49"/>
  <c r="CL75" i="49"/>
  <c r="DA272" i="49"/>
  <c r="BK61" i="51"/>
  <c r="DB358" i="20"/>
  <c r="DB368" i="20"/>
  <c r="BN132" i="49"/>
  <c r="BN54" i="43"/>
  <c r="AW8" i="43"/>
  <c r="AW58" i="46"/>
  <c r="AW55" i="46" s="1"/>
  <c r="AW56" i="46" s="1"/>
  <c r="AW60" i="46" s="1"/>
  <c r="AW59" i="49"/>
  <c r="AW32" i="10"/>
  <c r="AW543" i="42"/>
  <c r="AW541" i="42" s="1"/>
  <c r="AW1104" i="10"/>
  <c r="DB848" i="20"/>
  <c r="CP1028" i="10"/>
  <c r="BV130" i="49"/>
  <c r="BV46" i="43"/>
  <c r="BV51" i="43"/>
  <c r="CC16" i="20"/>
  <c r="CC17" i="20" s="1"/>
  <c r="CC26" i="20"/>
  <c r="CC358" i="20"/>
  <c r="CC368" i="20"/>
  <c r="CJ707" i="10"/>
  <c r="CJ1187" i="10" s="1"/>
  <c r="CH998" i="10"/>
  <c r="CH1031" i="10"/>
  <c r="CX978" i="10"/>
  <c r="S24" i="51"/>
  <c r="BZ867" i="10"/>
  <c r="BZ973" i="10"/>
  <c r="CK16" i="20"/>
  <c r="CK26" i="20"/>
  <c r="BK63" i="51"/>
  <c r="DJ723" i="10"/>
  <c r="DJ180" i="46"/>
  <c r="BJ50" i="49"/>
  <c r="BJ77" i="49" s="1"/>
  <c r="BJ80" i="49" s="1"/>
  <c r="CN23" i="20"/>
  <c r="CN11" i="20"/>
  <c r="AM58" i="51"/>
  <c r="BA1" i="20"/>
  <c r="BD2" i="20"/>
  <c r="AT59" i="41"/>
  <c r="AT38" i="41"/>
  <c r="AT39" i="41" s="1"/>
  <c r="CN664" i="10"/>
  <c r="CN844" i="10" s="1"/>
  <c r="CS54" i="49"/>
  <c r="CS30" i="10"/>
  <c r="CS1216" i="10"/>
  <c r="CS1226" i="10"/>
  <c r="CS1227" i="10" s="1"/>
  <c r="AY16" i="41"/>
  <c r="AL20" i="51"/>
  <c r="CC25" i="20"/>
  <c r="AF69" i="41"/>
  <c r="DL181" i="46"/>
  <c r="DM206" i="42"/>
  <c r="DP206" i="42" s="1"/>
  <c r="CX202" i="49"/>
  <c r="CX305" i="49"/>
  <c r="BN25" i="10"/>
  <c r="BD1227" i="10"/>
  <c r="BF1226" i="10"/>
  <c r="BF1227" i="10" s="1"/>
  <c r="BB38" i="41"/>
  <c r="BB39" i="41" s="1"/>
  <c r="BB59" i="41"/>
  <c r="CV54" i="49"/>
  <c r="CV30" i="10"/>
  <c r="CV1226" i="10"/>
  <c r="CV1216" i="10"/>
  <c r="BB16" i="41"/>
  <c r="BB77" i="41" s="1"/>
  <c r="BI54" i="43"/>
  <c r="BL446" i="42"/>
  <c r="CT119" i="46"/>
  <c r="CT121" i="46" s="1"/>
  <c r="EE70" i="41"/>
  <c r="CV11" i="20"/>
  <c r="CV23" i="20"/>
  <c r="CS272" i="49"/>
  <c r="K18" i="41"/>
  <c r="K64" i="41"/>
  <c r="AN55" i="41"/>
  <c r="AX375" i="20"/>
  <c r="AX12" i="20"/>
  <c r="AX357" i="20"/>
  <c r="AX358" i="20" s="1"/>
  <c r="AX374" i="20"/>
  <c r="CV1026" i="10"/>
  <c r="BF50" i="49"/>
  <c r="BF77" i="49" s="1"/>
  <c r="CW1032" i="10"/>
  <c r="CL374" i="20"/>
  <c r="AU21" i="51" s="1"/>
  <c r="CL357" i="20"/>
  <c r="CL12" i="20"/>
  <c r="CM356" i="20"/>
  <c r="CL360" i="20"/>
  <c r="CL375" i="20"/>
  <c r="AU22" i="51" s="1"/>
  <c r="CL367" i="20"/>
  <c r="DI182" i="10"/>
  <c r="DI202" i="10" s="1"/>
  <c r="DJ239" i="10"/>
  <c r="DI246" i="10"/>
  <c r="DI254" i="10" s="1"/>
  <c r="DI255" i="10" s="1"/>
  <c r="EI72" i="41"/>
  <c r="BT54" i="49"/>
  <c r="BV25" i="10"/>
  <c r="BT30" i="10"/>
  <c r="BT1226" i="10"/>
  <c r="BT1216" i="10"/>
  <c r="Z16" i="41"/>
  <c r="CB1025" i="10"/>
  <c r="BV215" i="49"/>
  <c r="BV318" i="49"/>
  <c r="BR102" i="49"/>
  <c r="BR104" i="49"/>
  <c r="BR200" i="49"/>
  <c r="BR303" i="49"/>
  <c r="CQ71" i="49"/>
  <c r="CP75" i="49"/>
  <c r="CB317" i="42"/>
  <c r="CB318" i="42" s="1"/>
  <c r="CB320" i="42" s="1"/>
  <c r="DN513" i="42"/>
  <c r="AI56" i="41"/>
  <c r="CX358" i="20"/>
  <c r="CV368" i="20"/>
  <c r="DJ126" i="10"/>
  <c r="DK71" i="41"/>
  <c r="BV50" i="49"/>
  <c r="BV77" i="49" s="1"/>
  <c r="CA77" i="49" s="1"/>
  <c r="G58" i="51"/>
  <c r="BZ201" i="49"/>
  <c r="BZ304" i="49"/>
  <c r="DM447" i="20"/>
  <c r="DM75" i="10"/>
  <c r="CS918" i="20"/>
  <c r="CS913" i="20"/>
  <c r="CF314" i="42"/>
  <c r="CH312" i="42"/>
  <c r="CH132" i="49"/>
  <c r="CH54" i="43"/>
  <c r="DB929" i="10"/>
  <c r="CQ974" i="10"/>
  <c r="BU358" i="20"/>
  <c r="BU368" i="20"/>
  <c r="BZ167" i="49"/>
  <c r="BZ180" i="49" s="1"/>
  <c r="BZ270" i="49"/>
  <c r="BZ283" i="49" s="1"/>
  <c r="CA69" i="49"/>
  <c r="BZ82" i="49"/>
  <c r="CE69" i="49"/>
  <c r="BZ71" i="49"/>
  <c r="CU76" i="49"/>
  <c r="CT174" i="49"/>
  <c r="CT277" i="49"/>
  <c r="BV131" i="49"/>
  <c r="DM80" i="10"/>
  <c r="BJ358" i="20"/>
  <c r="BQ16" i="20"/>
  <c r="BQ26" i="20"/>
  <c r="DA807" i="20"/>
  <c r="DB807" i="20" s="1"/>
  <c r="DE843" i="20"/>
  <c r="DB174" i="49"/>
  <c r="DB81" i="49"/>
  <c r="DB277" i="49"/>
  <c r="DC76" i="49"/>
  <c r="DM584" i="20"/>
  <c r="DN584" i="20" s="1"/>
  <c r="CL300" i="49"/>
  <c r="CL197" i="49"/>
  <c r="CX1025" i="10"/>
  <c r="DM23" i="10"/>
  <c r="DM1159" i="10"/>
  <c r="DP553" i="42" l="1"/>
  <c r="DN590" i="20"/>
  <c r="DN648" i="20"/>
  <c r="DR577" i="20"/>
  <c r="DQ648" i="20"/>
  <c r="BH76" i="41"/>
  <c r="BT275" i="42"/>
  <c r="BV446" i="42"/>
  <c r="BR132" i="49"/>
  <c r="BR54" i="43"/>
  <c r="BR337" i="49"/>
  <c r="BR234" i="49"/>
  <c r="BR233" i="49"/>
  <c r="BR336" i="49"/>
  <c r="CX1033" i="10"/>
  <c r="DM223" i="46"/>
  <c r="DN182" i="46"/>
  <c r="DQ225" i="42"/>
  <c r="DQ182" i="46" s="1"/>
  <c r="DP182" i="46"/>
  <c r="DP223" i="46" s="1"/>
  <c r="CW708" i="10"/>
  <c r="CW868" i="10" s="1"/>
  <c r="DE953" i="20"/>
  <c r="DE958" i="20" s="1"/>
  <c r="CW846" i="10"/>
  <c r="CW1216" i="10"/>
  <c r="CW30" i="10"/>
  <c r="CK986" i="10"/>
  <c r="CW54" i="49"/>
  <c r="CK856" i="10"/>
  <c r="CK857" i="10"/>
  <c r="CX75" i="49"/>
  <c r="CW855" i="10"/>
  <c r="CK850" i="10"/>
  <c r="CZ856" i="10"/>
  <c r="BN83" i="49"/>
  <c r="CK853" i="10"/>
  <c r="CW1226" i="10"/>
  <c r="CW1227" i="10" s="1"/>
  <c r="CW856" i="10"/>
  <c r="DN122" i="49"/>
  <c r="CW985" i="10"/>
  <c r="CK854" i="10"/>
  <c r="CW986" i="10"/>
  <c r="CX25" i="10"/>
  <c r="CW845" i="10"/>
  <c r="BO75" i="49"/>
  <c r="CW852" i="10"/>
  <c r="CW857" i="10"/>
  <c r="CZ986" i="10"/>
  <c r="DN915" i="10"/>
  <c r="DN917" i="10"/>
  <c r="DN914" i="10"/>
  <c r="DN913" i="10"/>
  <c r="DN911" i="10"/>
  <c r="DN159" i="20"/>
  <c r="DF908" i="20"/>
  <c r="DH908" i="20"/>
  <c r="DH911" i="20" s="1"/>
  <c r="DH821" i="20"/>
  <c r="DH799" i="20"/>
  <c r="DH953" i="20"/>
  <c r="DH884" i="20"/>
  <c r="DH887" i="20" s="1"/>
  <c r="EY46" i="41"/>
  <c r="DN552" i="42"/>
  <c r="CX1186" i="10"/>
  <c r="DR659" i="20"/>
  <c r="DQ552" i="42"/>
  <c r="DQ553" i="42" s="1"/>
  <c r="AW540" i="42"/>
  <c r="AW551" i="42"/>
  <c r="AW554" i="42" s="1"/>
  <c r="AW555" i="42" s="1"/>
  <c r="AV540" i="42"/>
  <c r="AV551" i="42"/>
  <c r="AV554" i="42" s="1"/>
  <c r="AV555" i="42" s="1"/>
  <c r="DO232" i="20"/>
  <c r="DN177" i="42"/>
  <c r="DQ26" i="42"/>
  <c r="DP44" i="49"/>
  <c r="DP72" i="49" s="1"/>
  <c r="DR513" i="42"/>
  <c r="DR26" i="43"/>
  <c r="DR512" i="42"/>
  <c r="DR50" i="42"/>
  <c r="DF951" i="10"/>
  <c r="DF952" i="10" s="1"/>
  <c r="DF52" i="49"/>
  <c r="DF79" i="49" s="1"/>
  <c r="DB278" i="49"/>
  <c r="DC80" i="49"/>
  <c r="DR443" i="20"/>
  <c r="DR177" i="42"/>
  <c r="DQ88" i="10"/>
  <c r="DQ125" i="10"/>
  <c r="DP16" i="46"/>
  <c r="DP263" i="42"/>
  <c r="DP97" i="42"/>
  <c r="DQ206" i="42"/>
  <c r="DQ181" i="46" s="1"/>
  <c r="DP181" i="46"/>
  <c r="DQ80" i="10"/>
  <c r="DR295" i="20"/>
  <c r="DQ16" i="46"/>
  <c r="DR107" i="42"/>
  <c r="DQ97" i="42"/>
  <c r="DQ263" i="42"/>
  <c r="DR12" i="42"/>
  <c r="DQ179" i="46"/>
  <c r="DQ447" i="20"/>
  <c r="DQ75" i="10"/>
  <c r="DQ12" i="43"/>
  <c r="DR53" i="42"/>
  <c r="DQ76" i="42"/>
  <c r="DP23" i="10"/>
  <c r="DP1169" i="10"/>
  <c r="DP1159" i="10"/>
  <c r="DP1168" i="10" s="1"/>
  <c r="DR719" i="10"/>
  <c r="DQ721" i="10"/>
  <c r="DR721" i="10" s="1"/>
  <c r="DQ720" i="10"/>
  <c r="DQ747" i="10" s="1"/>
  <c r="DQ734" i="10"/>
  <c r="DP378" i="42"/>
  <c r="DQ374" i="42" s="1"/>
  <c r="DQ378" i="42" s="1"/>
  <c r="DR374" i="42"/>
  <c r="DR378" i="42" s="1"/>
  <c r="DQ1159" i="10"/>
  <c r="DQ23" i="10"/>
  <c r="DQ1169" i="10"/>
  <c r="DQ136" i="42"/>
  <c r="DQ599" i="20" s="1"/>
  <c r="DR130" i="42"/>
  <c r="DQ124" i="42"/>
  <c r="DP735" i="10"/>
  <c r="DP722" i="10"/>
  <c r="DP723" i="10" s="1"/>
  <c r="DP747" i="10"/>
  <c r="DQ238" i="10"/>
  <c r="DP241" i="10"/>
  <c r="DP239" i="10"/>
  <c r="DP911" i="10"/>
  <c r="DP913" i="10"/>
  <c r="DP912" i="10"/>
  <c r="DR232" i="20"/>
  <c r="DS232" i="20" s="1"/>
  <c r="DQ76" i="10"/>
  <c r="DQ59" i="10"/>
  <c r="DR1133" i="10"/>
  <c r="DR959" i="10"/>
  <c r="DQ319" i="42"/>
  <c r="DP180" i="46"/>
  <c r="DP122" i="42"/>
  <c r="DP464" i="42"/>
  <c r="DR183" i="46"/>
  <c r="DR482" i="42"/>
  <c r="DQ150" i="46"/>
  <c r="DQ746" i="10"/>
  <c r="DR746" i="10" s="1"/>
  <c r="DP917" i="10"/>
  <c r="DQ499" i="42"/>
  <c r="DQ483" i="42" s="1"/>
  <c r="DR483" i="42" s="1"/>
  <c r="DR499" i="42" s="1"/>
  <c r="DR207" i="10"/>
  <c r="DR745" i="10"/>
  <c r="BV8" i="41"/>
  <c r="BV37" i="41"/>
  <c r="FB46" i="41"/>
  <c r="DQ184" i="42"/>
  <c r="DR163" i="42"/>
  <c r="DR303" i="42"/>
  <c r="DQ291" i="42"/>
  <c r="DR291" i="42" s="1"/>
  <c r="DR107" i="49" s="1"/>
  <c r="DP914" i="10"/>
  <c r="EH27" i="41"/>
  <c r="DN157" i="20"/>
  <c r="DQ562" i="20"/>
  <c r="DQ277" i="20"/>
  <c r="DQ274" i="20"/>
  <c r="DR273" i="20"/>
  <c r="DR277" i="20" s="1"/>
  <c r="DS186" i="20"/>
  <c r="DR196" i="20"/>
  <c r="DR198" i="20" s="1"/>
  <c r="DP562" i="20"/>
  <c r="DR555" i="20"/>
  <c r="DQ157" i="20"/>
  <c r="DQ198" i="20"/>
  <c r="DQ197" i="20"/>
  <c r="DR710" i="20"/>
  <c r="DR733" i="20"/>
  <c r="DR737" i="20" s="1"/>
  <c r="DR148" i="20"/>
  <c r="DR344" i="20"/>
  <c r="DQ150" i="20"/>
  <c r="DP159" i="20"/>
  <c r="DQ584" i="20"/>
  <c r="DR584" i="20" s="1"/>
  <c r="DM181" i="46"/>
  <c r="DN181" i="46" s="1"/>
  <c r="DN125" i="10"/>
  <c r="DN88" i="10"/>
  <c r="EH30" i="41"/>
  <c r="BN57" i="41"/>
  <c r="BL57" i="41"/>
  <c r="BO57" i="41"/>
  <c r="BJ115" i="46"/>
  <c r="BI119" i="46"/>
  <c r="BI121" i="46" s="1"/>
  <c r="BJ305" i="49"/>
  <c r="BJ202" i="49"/>
  <c r="CU71" i="41"/>
  <c r="CY71" i="49"/>
  <c r="CG852" i="10"/>
  <c r="CH181" i="49"/>
  <c r="CH183" i="49" s="1"/>
  <c r="CU1033" i="10"/>
  <c r="BZ20" i="10"/>
  <c r="BZ822" i="10" s="1"/>
  <c r="CD1186" i="10"/>
  <c r="CD1033" i="10"/>
  <c r="K65" i="41"/>
  <c r="CM973" i="10"/>
  <c r="BN1226" i="10"/>
  <c r="BN1227" i="10" s="1"/>
  <c r="CZ852" i="10"/>
  <c r="AZ30" i="20"/>
  <c r="BM30" i="20"/>
  <c r="CP284" i="49"/>
  <c r="CP288" i="49" s="1"/>
  <c r="DM918" i="10"/>
  <c r="DM919" i="10" s="1"/>
  <c r="CI20" i="10"/>
  <c r="CI34" i="10" s="1"/>
  <c r="AO423" i="42"/>
  <c r="AO425" i="42" s="1"/>
  <c r="BT83" i="49"/>
  <c r="CF857" i="10"/>
  <c r="AR69" i="41"/>
  <c r="CF985" i="10"/>
  <c r="CX664" i="10"/>
  <c r="CX844" i="10" s="1"/>
  <c r="CX850" i="10" s="1"/>
  <c r="CD169" i="49"/>
  <c r="CD173" i="49" s="1"/>
  <c r="CF853" i="10"/>
  <c r="CF845" i="10"/>
  <c r="CF855" i="10"/>
  <c r="CF851" i="10"/>
  <c r="CF854" i="10"/>
  <c r="CF856" i="10"/>
  <c r="CF852" i="10"/>
  <c r="CF850" i="10"/>
  <c r="CF986" i="10"/>
  <c r="CW25" i="20"/>
  <c r="CC83" i="49"/>
  <c r="CC181" i="49" s="1"/>
  <c r="CC284" i="49" s="1"/>
  <c r="CT975" i="10"/>
  <c r="CY77" i="49"/>
  <c r="DB885" i="20"/>
  <c r="CG856" i="10"/>
  <c r="CG986" i="10"/>
  <c r="CD272" i="49"/>
  <c r="CD276" i="49" s="1"/>
  <c r="CG985" i="10"/>
  <c r="CG845" i="10"/>
  <c r="CG855" i="10"/>
  <c r="CG857" i="10"/>
  <c r="CG853" i="10"/>
  <c r="DB175" i="49"/>
  <c r="DB178" i="49" s="1"/>
  <c r="DB181" i="49" s="1"/>
  <c r="DC77" i="49"/>
  <c r="CL173" i="49"/>
  <c r="DF957" i="20"/>
  <c r="DM1169" i="10"/>
  <c r="BN284" i="49"/>
  <c r="BN288" i="49" s="1"/>
  <c r="BN24" i="49" s="1"/>
  <c r="BF1194" i="10"/>
  <c r="CQ26" i="41" s="1"/>
  <c r="BE33" i="10"/>
  <c r="CN30" i="20"/>
  <c r="CT80" i="49"/>
  <c r="CU80" i="49" s="1"/>
  <c r="CC179" i="49"/>
  <c r="CC282" i="49"/>
  <c r="CK83" i="49"/>
  <c r="CK85" i="49" s="1"/>
  <c r="CK183" i="49" s="1"/>
  <c r="CK286" i="49" s="1"/>
  <c r="DA887" i="20"/>
  <c r="DA895" i="20" s="1"/>
  <c r="CT829" i="20"/>
  <c r="CT837" i="20" s="1"/>
  <c r="CV829" i="20"/>
  <c r="CS837" i="20"/>
  <c r="CS83" i="49"/>
  <c r="CS181" i="49" s="1"/>
  <c r="CS284" i="49" s="1"/>
  <c r="CT175" i="49"/>
  <c r="AM68" i="41"/>
  <c r="CU77" i="49"/>
  <c r="BI83" i="49"/>
  <c r="BI87" i="49" s="1"/>
  <c r="BI185" i="49" s="1"/>
  <c r="BI288" i="49" s="1"/>
  <c r="BI289" i="49" s="1"/>
  <c r="DA30" i="20"/>
  <c r="BN181" i="49"/>
  <c r="BN183" i="49" s="1"/>
  <c r="CD34" i="10"/>
  <c r="CD975" i="10" s="1"/>
  <c r="CK282" i="49"/>
  <c r="CK179" i="49"/>
  <c r="BW1263" i="10"/>
  <c r="CG851" i="10"/>
  <c r="CG850" i="10"/>
  <c r="CG846" i="10"/>
  <c r="CS30" i="20"/>
  <c r="DM723" i="10"/>
  <c r="AH56" i="41"/>
  <c r="BX169" i="49"/>
  <c r="BX272" i="49" s="1"/>
  <c r="BX75" i="49"/>
  <c r="DJ336" i="42"/>
  <c r="DI106" i="42"/>
  <c r="CW81" i="49"/>
  <c r="CW173" i="49"/>
  <c r="CW83" i="49"/>
  <c r="DN722" i="10"/>
  <c r="AD11" i="41"/>
  <c r="AH59" i="41" s="1"/>
  <c r="BX34" i="10"/>
  <c r="BX975" i="10" s="1"/>
  <c r="BX48" i="49"/>
  <c r="BX704" i="10"/>
  <c r="BZ704" i="10" s="1"/>
  <c r="BX25" i="10"/>
  <c r="BZ25" i="10" s="1"/>
  <c r="BX42" i="10"/>
  <c r="BX662" i="10"/>
  <c r="BX664" i="10" s="1"/>
  <c r="BX844" i="10" s="1"/>
  <c r="BX1193" i="10"/>
  <c r="BX1194" i="10" s="1"/>
  <c r="BX1103" i="10"/>
  <c r="BX1186" i="10"/>
  <c r="BX1033" i="10"/>
  <c r="BX822" i="10"/>
  <c r="CB896" i="20"/>
  <c r="CB890" i="20"/>
  <c r="CB891" i="20" s="1"/>
  <c r="CL50" i="49"/>
  <c r="CL77" i="49" s="1"/>
  <c r="CL80" i="49" s="1"/>
  <c r="CL83" i="49" s="1"/>
  <c r="CK30" i="20"/>
  <c r="BM178" i="49"/>
  <c r="BM281" i="49" s="1"/>
  <c r="BM83" i="49"/>
  <c r="DG1028" i="10"/>
  <c r="CI80" i="49"/>
  <c r="CF328" i="10"/>
  <c r="CW30" i="20"/>
  <c r="DE805" i="20"/>
  <c r="DF805" i="20" s="1"/>
  <c r="DI841" i="20"/>
  <c r="CY1033" i="10"/>
  <c r="DJ500" i="42"/>
  <c r="AO380" i="42"/>
  <c r="AN382" i="42"/>
  <c r="AN387" i="42"/>
  <c r="AN385" i="42" s="1"/>
  <c r="BD30" i="20"/>
  <c r="CP132" i="49"/>
  <c r="CP54" i="43"/>
  <c r="BT30" i="20"/>
  <c r="CH975" i="10"/>
  <c r="CL276" i="49"/>
  <c r="CR275" i="42"/>
  <c r="CT446" i="42"/>
  <c r="BQ30" i="20"/>
  <c r="DC1033" i="10"/>
  <c r="DI475" i="42"/>
  <c r="DJ475" i="42" s="1"/>
  <c r="DJ476" i="42" s="1"/>
  <c r="DJ478" i="42" s="1"/>
  <c r="DN97" i="42"/>
  <c r="DN16" i="46"/>
  <c r="DN263" i="42"/>
  <c r="DM562" i="20"/>
  <c r="DN959" i="10"/>
  <c r="DN1133" i="10"/>
  <c r="BU433" i="10"/>
  <c r="BX433" i="10" s="1"/>
  <c r="BU435" i="10"/>
  <c r="BX435" i="10" s="1"/>
  <c r="BJ83" i="49"/>
  <c r="BO80" i="49"/>
  <c r="BU434" i="10"/>
  <c r="BX434" i="10" s="1"/>
  <c r="BU429" i="10"/>
  <c r="BX429" i="10" s="1"/>
  <c r="BU432" i="10"/>
  <c r="BX432" i="10" s="1"/>
  <c r="CA71" i="49"/>
  <c r="BZ75" i="49"/>
  <c r="BL275" i="42"/>
  <c r="BN446" i="42"/>
  <c r="BB18" i="41"/>
  <c r="BB64" i="41"/>
  <c r="DM52" i="49"/>
  <c r="DM79" i="49" s="1"/>
  <c r="DM951" i="10"/>
  <c r="DM952" i="10" s="1"/>
  <c r="BS14" i="41"/>
  <c r="DE807" i="20"/>
  <c r="DF807" i="20" s="1"/>
  <c r="DI843" i="20"/>
  <c r="DJ843" i="20" s="1"/>
  <c r="BU369" i="20"/>
  <c r="DB898" i="10"/>
  <c r="DB930" i="10"/>
  <c r="Z18" i="41"/>
  <c r="Z64" i="41"/>
  <c r="BV54" i="49"/>
  <c r="AB16" i="41"/>
  <c r="DJ255" i="10"/>
  <c r="CL16" i="20"/>
  <c r="CL26" i="20"/>
  <c r="CV17" i="20"/>
  <c r="CZ31" i="20" s="1"/>
  <c r="CV25" i="20"/>
  <c r="CX1216" i="10"/>
  <c r="CX1222" i="10" s="1"/>
  <c r="CV1217" i="10"/>
  <c r="CV1222" i="10"/>
  <c r="CS59" i="49"/>
  <c r="CS58" i="46"/>
  <c r="CS55" i="46" s="1"/>
  <c r="CS56" i="46" s="1"/>
  <c r="CS60" i="46" s="1"/>
  <c r="CS8" i="43"/>
  <c r="CS445" i="42"/>
  <c r="CS274" i="42" s="1"/>
  <c r="CS32" i="10"/>
  <c r="CS543" i="42"/>
  <c r="CS1104" i="10"/>
  <c r="AY20" i="41"/>
  <c r="CN845" i="10"/>
  <c r="CN853" i="10"/>
  <c r="CN857" i="10"/>
  <c r="CN855" i="10"/>
  <c r="CN986" i="10"/>
  <c r="CN985" i="10"/>
  <c r="CN854" i="10"/>
  <c r="CN856" i="10"/>
  <c r="CN846" i="10"/>
  <c r="CN850" i="10"/>
  <c r="CN852" i="10"/>
  <c r="CN851" i="10"/>
  <c r="CN25" i="20"/>
  <c r="CN17" i="20"/>
  <c r="CC369" i="20"/>
  <c r="DK1028" i="10"/>
  <c r="BP87" i="49"/>
  <c r="BP181" i="49"/>
  <c r="BP284" i="49" s="1"/>
  <c r="BP85" i="49"/>
  <c r="BP183" i="49" s="1"/>
  <c r="BP286" i="49" s="1"/>
  <c r="EH29" i="41"/>
  <c r="BR16" i="20"/>
  <c r="BR30" i="20" s="1"/>
  <c r="BR26" i="20"/>
  <c r="CZ1009" i="10"/>
  <c r="BS662" i="10"/>
  <c r="BR664" i="10"/>
  <c r="BS664" i="10" s="1"/>
  <c r="BR707" i="10"/>
  <c r="BR706" i="10"/>
  <c r="AR60" i="41"/>
  <c r="AV60" i="41"/>
  <c r="AF20" i="51"/>
  <c r="AM61" i="51"/>
  <c r="CN299" i="10"/>
  <c r="CO297" i="10"/>
  <c r="CN808" i="20"/>
  <c r="BH178" i="49"/>
  <c r="BH281" i="49" s="1"/>
  <c r="BH83" i="49"/>
  <c r="BV80" i="49"/>
  <c r="AZ450" i="42"/>
  <c r="BB447" i="42"/>
  <c r="BB450" i="42" s="1"/>
  <c r="DM909" i="20"/>
  <c r="DJ909" i="20"/>
  <c r="DJ916" i="20" s="1"/>
  <c r="G59" i="51"/>
  <c r="DN495" i="42"/>
  <c r="DN496" i="42" s="1"/>
  <c r="DN498" i="42"/>
  <c r="CH1025" i="10"/>
  <c r="BR24" i="20"/>
  <c r="BR11" i="20"/>
  <c r="AO25" i="51"/>
  <c r="CF30" i="20"/>
  <c r="CJ855" i="10"/>
  <c r="CJ845" i="10"/>
  <c r="CJ853" i="10"/>
  <c r="CJ857" i="10"/>
  <c r="CJ985" i="10"/>
  <c r="CJ854" i="10"/>
  <c r="CJ856" i="10"/>
  <c r="CJ986" i="10"/>
  <c r="CJ846" i="10"/>
  <c r="CJ852" i="10"/>
  <c r="CJ850" i="10"/>
  <c r="CJ851" i="10"/>
  <c r="DV29" i="41"/>
  <c r="BZ203" i="49"/>
  <c r="BZ306" i="49"/>
  <c r="BI59" i="49"/>
  <c r="BI58" i="46"/>
  <c r="BI55" i="46" s="1"/>
  <c r="BI56" i="46" s="1"/>
  <c r="BI60" i="46" s="1"/>
  <c r="BI8" i="43"/>
  <c r="BI543" i="42"/>
  <c r="BI445" i="42"/>
  <c r="BI32" i="10"/>
  <c r="BI1104" i="10"/>
  <c r="O20" i="41"/>
  <c r="O65" i="41" s="1"/>
  <c r="BC20" i="51"/>
  <c r="CP119" i="46"/>
  <c r="CP121" i="46" s="1"/>
  <c r="EA70" i="41"/>
  <c r="AQ58" i="51"/>
  <c r="BE274" i="42"/>
  <c r="BE271" i="42" s="1"/>
  <c r="BE276" i="42" s="1"/>
  <c r="BE278" i="42" s="1"/>
  <c r="BE447" i="42"/>
  <c r="BE11" i="43"/>
  <c r="BE47" i="43"/>
  <c r="BE9" i="43"/>
  <c r="CS276" i="49"/>
  <c r="CS282" i="49" s="1"/>
  <c r="CR170" i="49"/>
  <c r="CR162" i="49"/>
  <c r="CR164" i="49"/>
  <c r="CR166" i="49"/>
  <c r="CR167" i="49"/>
  <c r="CR171" i="49"/>
  <c r="CR165" i="49"/>
  <c r="CR168" i="49"/>
  <c r="CR172" i="49"/>
  <c r="CR163" i="49"/>
  <c r="CX708" i="10"/>
  <c r="CX868" i="10" s="1"/>
  <c r="CX707" i="10"/>
  <c r="CX1187" i="10" s="1"/>
  <c r="CX706" i="10"/>
  <c r="BN1187" i="10"/>
  <c r="CH1024" i="10"/>
  <c r="CP1216" i="10"/>
  <c r="CN1217" i="10"/>
  <c r="DY29" i="41"/>
  <c r="CK369" i="20"/>
  <c r="BR83" i="49"/>
  <c r="BS75" i="49"/>
  <c r="BR81" i="49"/>
  <c r="CJ87" i="49"/>
  <c r="CJ85" i="49"/>
  <c r="BG19" i="51"/>
  <c r="CX24" i="20"/>
  <c r="DO555" i="20"/>
  <c r="DN562" i="20"/>
  <c r="CZ162" i="49"/>
  <c r="CZ170" i="49"/>
  <c r="DA276" i="49"/>
  <c r="DA282" i="49" s="1"/>
  <c r="CZ167" i="49"/>
  <c r="CZ164" i="49"/>
  <c r="CZ166" i="49"/>
  <c r="CZ168" i="49"/>
  <c r="CZ171" i="49"/>
  <c r="CZ172" i="49"/>
  <c r="CZ165" i="49"/>
  <c r="CZ163" i="49"/>
  <c r="DA179" i="49"/>
  <c r="CZ909" i="10"/>
  <c r="DB83" i="49"/>
  <c r="L63" i="41"/>
  <c r="CP1032" i="10"/>
  <c r="CN314" i="42"/>
  <c r="CP312" i="42"/>
  <c r="CG1217" i="10"/>
  <c r="CG1218" i="10" s="1"/>
  <c r="CG1222" i="10"/>
  <c r="CT708" i="10"/>
  <c r="CT868" i="10" s="1"/>
  <c r="CT707" i="10"/>
  <c r="CT1187" i="10" s="1"/>
  <c r="AI18" i="41"/>
  <c r="AY60" i="51"/>
  <c r="CX275" i="42"/>
  <c r="CT1025" i="10"/>
  <c r="CU1013" i="10"/>
  <c r="BY930" i="10"/>
  <c r="BY928" i="10"/>
  <c r="BY898" i="10"/>
  <c r="AF58" i="51"/>
  <c r="AF59" i="51" s="1"/>
  <c r="BD392" i="10"/>
  <c r="BD395" i="10"/>
  <c r="BD394" i="10"/>
  <c r="BD172" i="10"/>
  <c r="BD170" i="10"/>
  <c r="BD390" i="10"/>
  <c r="BD169" i="10"/>
  <c r="BD168" i="10"/>
  <c r="BD391" i="10"/>
  <c r="BD393" i="10"/>
  <c r="BD171" i="10"/>
  <c r="AN38" i="41"/>
  <c r="AN39" i="41" s="1"/>
  <c r="CH664" i="10"/>
  <c r="CH708" i="10"/>
  <c r="CH868" i="10" s="1"/>
  <c r="CH707" i="10"/>
  <c r="CH1187" i="10" s="1"/>
  <c r="CH706" i="10"/>
  <c r="AQ60" i="51"/>
  <c r="BB1194" i="10"/>
  <c r="CM26" i="41" s="1"/>
  <c r="AK295" i="42"/>
  <c r="AK326" i="42"/>
  <c r="BH3" i="42"/>
  <c r="BE1" i="42"/>
  <c r="DB275" i="42"/>
  <c r="CV895" i="20"/>
  <c r="CX887" i="20"/>
  <c r="DN59" i="10"/>
  <c r="BW246" i="20"/>
  <c r="CB83" i="49"/>
  <c r="CB173" i="49"/>
  <c r="CB81" i="49"/>
  <c r="BN201" i="49"/>
  <c r="BN304" i="49"/>
  <c r="CF928" i="10"/>
  <c r="CF930" i="10"/>
  <c r="CF898" i="10"/>
  <c r="CF314" i="10"/>
  <c r="CF323" i="10"/>
  <c r="BU30" i="20"/>
  <c r="BU17" i="20"/>
  <c r="CW913" i="20"/>
  <c r="CW918" i="20"/>
  <c r="CL304" i="49"/>
  <c r="CP304" i="49" s="1"/>
  <c r="CT304" i="49" s="1"/>
  <c r="CX304" i="49" s="1"/>
  <c r="DB304" i="49" s="1"/>
  <c r="CL201" i="49"/>
  <c r="CP201" i="49" s="1"/>
  <c r="CT201" i="49" s="1"/>
  <c r="CX201" i="49" s="1"/>
  <c r="DB201" i="49" s="1"/>
  <c r="CI882" i="20"/>
  <c r="CH894" i="20"/>
  <c r="L18" i="41"/>
  <c r="AF54" i="43"/>
  <c r="AF50" i="43"/>
  <c r="AG446" i="42"/>
  <c r="CJ930" i="10"/>
  <c r="CJ928" i="10"/>
  <c r="CJ898" i="10"/>
  <c r="CL707" i="10"/>
  <c r="CL1187" i="10" s="1"/>
  <c r="AO336" i="46"/>
  <c r="AO337" i="46" s="1"/>
  <c r="AP405" i="42"/>
  <c r="AP406" i="42" s="1"/>
  <c r="AO406" i="42"/>
  <c r="EH31" i="41"/>
  <c r="BF282" i="49"/>
  <c r="CN275" i="42"/>
  <c r="CP446" i="42"/>
  <c r="BR1216" i="10"/>
  <c r="BR1222" i="10" s="1"/>
  <c r="BP1217" i="10"/>
  <c r="BP1222" i="10"/>
  <c r="BR425" i="42"/>
  <c r="BQ429" i="42"/>
  <c r="BQ439" i="42" s="1"/>
  <c r="BY54" i="49"/>
  <c r="BY30" i="10"/>
  <c r="BY1226" i="10"/>
  <c r="BY1216" i="10"/>
  <c r="AE16" i="41"/>
  <c r="AI64" i="41" s="1"/>
  <c r="CX181" i="49"/>
  <c r="BL276" i="49"/>
  <c r="BL282" i="49" s="1"/>
  <c r="BL179" i="49"/>
  <c r="CH275" i="42"/>
  <c r="CT54" i="49"/>
  <c r="AZ16" i="41"/>
  <c r="CK181" i="49"/>
  <c r="CK284" i="49" s="1"/>
  <c r="CS828" i="20"/>
  <c r="CT828" i="20" s="1"/>
  <c r="CT836" i="20" s="1"/>
  <c r="CR842" i="20"/>
  <c r="CR836" i="20"/>
  <c r="CR830" i="20"/>
  <c r="CO1217" i="10"/>
  <c r="CO1218" i="10" s="1"/>
  <c r="CO1222" i="10"/>
  <c r="AZ17" i="20"/>
  <c r="AZ25" i="20"/>
  <c r="CV900" i="20"/>
  <c r="CV920" i="20"/>
  <c r="CD119" i="46"/>
  <c r="CD121" i="46" s="1"/>
  <c r="DO70" i="41"/>
  <c r="CT998" i="10"/>
  <c r="CT1031" i="10"/>
  <c r="CY1031" i="10" s="1"/>
  <c r="CU1019" i="10"/>
  <c r="CO369" i="20"/>
  <c r="DL476" i="42"/>
  <c r="DL491" i="42"/>
  <c r="EW40" i="41" s="1"/>
  <c r="DL474" i="42"/>
  <c r="EW35" i="41"/>
  <c r="CD48" i="49"/>
  <c r="CD42" i="10"/>
  <c r="CD662" i="10"/>
  <c r="CD1103" i="10"/>
  <c r="CD1193" i="10"/>
  <c r="CD1270" i="10"/>
  <c r="CD1269" i="10" s="1"/>
  <c r="AJ11" i="41"/>
  <c r="AN59" i="41" s="1"/>
  <c r="BA2" i="10"/>
  <c r="BB2" i="10"/>
  <c r="AZ2" i="10"/>
  <c r="BB394" i="10"/>
  <c r="BB172" i="10"/>
  <c r="BB392" i="10"/>
  <c r="BB391" i="10"/>
  <c r="BB393" i="10"/>
  <c r="BB390" i="10"/>
  <c r="BB395" i="10"/>
  <c r="BB168" i="10"/>
  <c r="BB169" i="10"/>
  <c r="BB170" i="10"/>
  <c r="BB171" i="10"/>
  <c r="CH1216" i="10"/>
  <c r="CF1217" i="10"/>
  <c r="DE799" i="20"/>
  <c r="DE821" i="20"/>
  <c r="DE825" i="20" s="1"/>
  <c r="DI820" i="20"/>
  <c r="CJ59" i="49"/>
  <c r="CJ8" i="43"/>
  <c r="CJ58" i="46"/>
  <c r="CJ55" i="46" s="1"/>
  <c r="CJ543" i="42"/>
  <c r="CL30" i="10"/>
  <c r="CK33" i="10" s="1"/>
  <c r="CJ32" i="10"/>
  <c r="CJ1104" i="10"/>
  <c r="AP20" i="41"/>
  <c r="DA59" i="49"/>
  <c r="DA8" i="43"/>
  <c r="DA58" i="46"/>
  <c r="DA55" i="46" s="1"/>
  <c r="DA56" i="46" s="1"/>
  <c r="DA60" i="46" s="1"/>
  <c r="DA32" i="10"/>
  <c r="DA543" i="42"/>
  <c r="DA445" i="42"/>
  <c r="DA274" i="42" s="1"/>
  <c r="DA1104" i="10"/>
  <c r="BG20" i="41"/>
  <c r="BM83" i="41" s="1"/>
  <c r="DV31" i="41"/>
  <c r="DB884" i="20"/>
  <c r="CZ887" i="20"/>
  <c r="AG45" i="43"/>
  <c r="AG44" i="43"/>
  <c r="AG504" i="42"/>
  <c r="S19" i="51"/>
  <c r="BJ24" i="20"/>
  <c r="BJ11" i="20"/>
  <c r="CD201" i="49"/>
  <c r="CD304" i="49"/>
  <c r="DB1194" i="10"/>
  <c r="EM26" i="41" s="1"/>
  <c r="EM24" i="41"/>
  <c r="CT918" i="20"/>
  <c r="CT913" i="20"/>
  <c r="CT920" i="20" s="1"/>
  <c r="CG87" i="49"/>
  <c r="CG185" i="49" s="1"/>
  <c r="CG288" i="49" s="1"/>
  <c r="CG289" i="49" s="1"/>
  <c r="CG181" i="49"/>
  <c r="CG284" i="49" s="1"/>
  <c r="CG85" i="49"/>
  <c r="CG183" i="49" s="1"/>
  <c r="CG286" i="49" s="1"/>
  <c r="AP25" i="51"/>
  <c r="CG30" i="20"/>
  <c r="BI30" i="20"/>
  <c r="CS369" i="20"/>
  <c r="CH878" i="20"/>
  <c r="CI878" i="20" s="1"/>
  <c r="CH905" i="20"/>
  <c r="BF59" i="49"/>
  <c r="BF58" i="46"/>
  <c r="BF8" i="43"/>
  <c r="BF543" i="42"/>
  <c r="BF32" i="10"/>
  <c r="BF445" i="42"/>
  <c r="BF1104" i="10"/>
  <c r="L20" i="41"/>
  <c r="BD9" i="43"/>
  <c r="BD47" i="43"/>
  <c r="BD11" i="43"/>
  <c r="BN59" i="49"/>
  <c r="BN58" i="46"/>
  <c r="BN8" i="43"/>
  <c r="BN445" i="42"/>
  <c r="BN543" i="42"/>
  <c r="BN32" i="10"/>
  <c r="BN1104" i="10"/>
  <c r="T20" i="41"/>
  <c r="AY68" i="41"/>
  <c r="AY82" i="41"/>
  <c r="AV59" i="41"/>
  <c r="AV38" i="41"/>
  <c r="AV39" i="41" s="1"/>
  <c r="CQ662" i="10"/>
  <c r="CP664" i="10"/>
  <c r="CO25" i="20"/>
  <c r="CO17" i="20"/>
  <c r="CL706" i="10"/>
  <c r="BK64" i="51"/>
  <c r="AY19" i="51"/>
  <c r="CP24" i="20"/>
  <c r="BJ179" i="49"/>
  <c r="DB132" i="49"/>
  <c r="DB54" i="43"/>
  <c r="BJ201" i="49"/>
  <c r="BJ304" i="49"/>
  <c r="BZ358" i="20"/>
  <c r="BZ368" i="20"/>
  <c r="BP30" i="20"/>
  <c r="BP17" i="20"/>
  <c r="EM27" i="41"/>
  <c r="AX59" i="49"/>
  <c r="AX58" i="46"/>
  <c r="AX8" i="43"/>
  <c r="AX543" i="42"/>
  <c r="AX541" i="42" s="1"/>
  <c r="AX32" i="10"/>
  <c r="AX1104" i="10"/>
  <c r="CW866" i="10"/>
  <c r="CW894" i="10"/>
  <c r="CW896" i="10"/>
  <c r="CW1018" i="10"/>
  <c r="CW891" i="10"/>
  <c r="CW902" i="10" s="1"/>
  <c r="CW895" i="10"/>
  <c r="CW906" i="10" s="1"/>
  <c r="CW892" i="10"/>
  <c r="CW903" i="10" s="1"/>
  <c r="CW893" i="10"/>
  <c r="CW904" i="10" s="1"/>
  <c r="BH1222" i="10"/>
  <c r="BJ1216" i="10"/>
  <c r="BJ1222" i="10" s="1"/>
  <c r="BH1217" i="10"/>
  <c r="BA47" i="43"/>
  <c r="BA11" i="43"/>
  <c r="BY30" i="20"/>
  <c r="BY17" i="20"/>
  <c r="CC31" i="20" s="1"/>
  <c r="AZ1227" i="10"/>
  <c r="BB1226" i="10"/>
  <c r="BB1227" i="10" s="1"/>
  <c r="BE17" i="20"/>
  <c r="BE25" i="20"/>
  <c r="CZ825" i="20"/>
  <c r="DB821" i="20"/>
  <c r="DB825" i="20" s="1"/>
  <c r="BC60" i="51"/>
  <c r="CI867" i="10"/>
  <c r="CI868" i="10" s="1"/>
  <c r="CH929" i="10"/>
  <c r="O24" i="51"/>
  <c r="BF28" i="20"/>
  <c r="CT929" i="10"/>
  <c r="CU867" i="10"/>
  <c r="S64" i="41"/>
  <c r="S18" i="41"/>
  <c r="BF18" i="41"/>
  <c r="BF64" i="41"/>
  <c r="DB54" i="49"/>
  <c r="BH16" i="41"/>
  <c r="BH77" i="41" s="1"/>
  <c r="BU436" i="10"/>
  <c r="BX436" i="10" s="1"/>
  <c r="BR304" i="49"/>
  <c r="BR201" i="49"/>
  <c r="CV59" i="49"/>
  <c r="CV58" i="46"/>
  <c r="CV55" i="46" s="1"/>
  <c r="CV8" i="43"/>
  <c r="CV445" i="42"/>
  <c r="CV274" i="42" s="1"/>
  <c r="CV32" i="10"/>
  <c r="CV543" i="42"/>
  <c r="CX30" i="10"/>
  <c r="CV33" i="10" s="1"/>
  <c r="CV1104" i="10"/>
  <c r="BB20" i="41"/>
  <c r="DB281" i="49"/>
  <c r="DB284" i="49" s="1"/>
  <c r="DB282" i="49"/>
  <c r="CH315" i="42"/>
  <c r="CH320" i="42"/>
  <c r="CS900" i="20"/>
  <c r="CT900" i="20" s="1"/>
  <c r="CT904" i="20" s="1"/>
  <c r="CS920" i="20"/>
  <c r="CB319" i="42"/>
  <c r="BV1216" i="10"/>
  <c r="BV1222" i="10" s="1"/>
  <c r="BT1217" i="10"/>
  <c r="BT1222" i="10"/>
  <c r="AU61" i="51"/>
  <c r="CL358" i="20"/>
  <c r="CL368" i="20"/>
  <c r="BF175" i="49"/>
  <c r="BF178" i="49" s="1"/>
  <c r="BF181" i="49" s="1"/>
  <c r="BF278" i="49"/>
  <c r="BF281" i="49" s="1"/>
  <c r="BF284" i="49" s="1"/>
  <c r="CV1227" i="10"/>
  <c r="CX1226" i="10"/>
  <c r="CX1227" i="10" s="1"/>
  <c r="BB82" i="41"/>
  <c r="BB68" i="41"/>
  <c r="BN54" i="49"/>
  <c r="T16" i="41"/>
  <c r="AY64" i="41"/>
  <c r="AY18" i="41"/>
  <c r="AT68" i="41"/>
  <c r="AT82" i="41"/>
  <c r="BD1" i="20"/>
  <c r="BE2" i="20"/>
  <c r="S63" i="51"/>
  <c r="CH1009" i="10"/>
  <c r="DU29" i="41"/>
  <c r="BV132" i="49"/>
  <c r="BV54" i="43"/>
  <c r="AW47" i="43"/>
  <c r="AW11" i="43"/>
  <c r="BN338" i="49"/>
  <c r="BN235" i="49"/>
  <c r="DB369" i="20"/>
  <c r="CL132" i="49"/>
  <c r="CL54" i="43"/>
  <c r="X59" i="41"/>
  <c r="X38" i="41"/>
  <c r="X39" i="41" s="1"/>
  <c r="AN412" i="42"/>
  <c r="AO411" i="42"/>
  <c r="AN413" i="42"/>
  <c r="CX83" i="49"/>
  <c r="CY75" i="49"/>
  <c r="CX81" i="49"/>
  <c r="CD16" i="20"/>
  <c r="CD26" i="20"/>
  <c r="CU662" i="10"/>
  <c r="CT664" i="10"/>
  <c r="AO429" i="42"/>
  <c r="BG63" i="51"/>
  <c r="BG64" i="51" s="1"/>
  <c r="BV282" i="49"/>
  <c r="CN369" i="20"/>
  <c r="AL424" i="42"/>
  <c r="AL429" i="42"/>
  <c r="CR909" i="10"/>
  <c r="CR369" i="20"/>
  <c r="K19" i="51"/>
  <c r="BB24" i="20"/>
  <c r="DM950" i="20"/>
  <c r="DQ950" i="20" s="1"/>
  <c r="DI884" i="20"/>
  <c r="AP68" i="41"/>
  <c r="AP82" i="41"/>
  <c r="BT25" i="20"/>
  <c r="BT17" i="20"/>
  <c r="BX25" i="20"/>
  <c r="CG898" i="10"/>
  <c r="CG928" i="10"/>
  <c r="CG930" i="10"/>
  <c r="DF915" i="20"/>
  <c r="O18" i="41"/>
  <c r="O64" i="41"/>
  <c r="CJ369" i="20"/>
  <c r="BD59" i="41"/>
  <c r="BD38" i="41"/>
  <c r="BD39" i="41" s="1"/>
  <c r="BL1218" i="10"/>
  <c r="CP54" i="49"/>
  <c r="AV16" i="41"/>
  <c r="EU43" i="41"/>
  <c r="DA930" i="10"/>
  <c r="DA928" i="10"/>
  <c r="DB928" i="10" s="1"/>
  <c r="DA898" i="10"/>
  <c r="BK25" i="51"/>
  <c r="DB30" i="20"/>
  <c r="DA87" i="49"/>
  <c r="DA185" i="49" s="1"/>
  <c r="DA181" i="49"/>
  <c r="DA284" i="49" s="1"/>
  <c r="DA85" i="49"/>
  <c r="DA183" i="49" s="1"/>
  <c r="DA286" i="49" s="1"/>
  <c r="CX119" i="46"/>
  <c r="CX121" i="46" s="1"/>
  <c r="EI70" i="41"/>
  <c r="BQ276" i="49"/>
  <c r="BQ282" i="49" s="1"/>
  <c r="BQ179" i="49"/>
  <c r="CL1024" i="10"/>
  <c r="BE30" i="20"/>
  <c r="CM867" i="10"/>
  <c r="CM868" i="10" s="1"/>
  <c r="CL868" i="10"/>
  <c r="CL929" i="10"/>
  <c r="O19" i="51"/>
  <c r="BF24" i="20"/>
  <c r="BF11" i="20"/>
  <c r="CG59" i="49"/>
  <c r="CG8" i="43"/>
  <c r="CG58" i="46"/>
  <c r="CG55" i="46" s="1"/>
  <c r="CG56" i="46" s="1"/>
  <c r="CG60" i="46" s="1"/>
  <c r="CG543" i="42"/>
  <c r="CG445" i="42"/>
  <c r="CG32" i="10"/>
  <c r="CG1104" i="10"/>
  <c r="AM20" i="41"/>
  <c r="AX68" i="41"/>
  <c r="AX82" i="41"/>
  <c r="BJ299" i="49"/>
  <c r="BJ196" i="49"/>
  <c r="CK878" i="20"/>
  <c r="CK882" i="20" s="1"/>
  <c r="CL882" i="20" s="1"/>
  <c r="CK905" i="20"/>
  <c r="DL952" i="20"/>
  <c r="DP952" i="20" s="1"/>
  <c r="AY61" i="51"/>
  <c r="CP1024" i="10"/>
  <c r="CU1012" i="10"/>
  <c r="CT1024" i="10"/>
  <c r="AQ61" i="51"/>
  <c r="CT706" i="10"/>
  <c r="BY83" i="49"/>
  <c r="BY173" i="49"/>
  <c r="BY81" i="49"/>
  <c r="CL315" i="42"/>
  <c r="CL320" i="42"/>
  <c r="AJ44" i="43"/>
  <c r="AJ45" i="43"/>
  <c r="AJ49" i="43" s="1"/>
  <c r="AJ504" i="42"/>
  <c r="DL44" i="49"/>
  <c r="DL72" i="49" s="1"/>
  <c r="DN16" i="10"/>
  <c r="BR37" i="41"/>
  <c r="BR8" i="41"/>
  <c r="BN706" i="10"/>
  <c r="CD25" i="20"/>
  <c r="AX1092" i="10"/>
  <c r="AX1093" i="10" s="1"/>
  <c r="AW1093" i="10"/>
  <c r="AW1096" i="10" s="1"/>
  <c r="BF68" i="41"/>
  <c r="BF82" i="41"/>
  <c r="CO909" i="10"/>
  <c r="DL345" i="42"/>
  <c r="DM339" i="42"/>
  <c r="DM344" i="42" s="1"/>
  <c r="AF63" i="41"/>
  <c r="CQ973" i="10"/>
  <c r="DB119" i="46"/>
  <c r="DB121" i="46" s="1"/>
  <c r="EM70" i="41"/>
  <c r="CX917" i="20"/>
  <c r="CX911" i="20"/>
  <c r="CC1009" i="10"/>
  <c r="CF896" i="20"/>
  <c r="CF890" i="20"/>
  <c r="CV855" i="10"/>
  <c r="CV845" i="10"/>
  <c r="CV853" i="10"/>
  <c r="CV857" i="10"/>
  <c r="CV986" i="10"/>
  <c r="CV985" i="10"/>
  <c r="CV854" i="10"/>
  <c r="CV856" i="10"/>
  <c r="CV851" i="10"/>
  <c r="CV846" i="10"/>
  <c r="CV852" i="10"/>
  <c r="CV850" i="10"/>
  <c r="CK1009" i="10"/>
  <c r="AN63" i="41"/>
  <c r="CL174" i="49"/>
  <c r="CL81" i="49"/>
  <c r="CM76" i="49"/>
  <c r="CL277" i="49"/>
  <c r="CQ76" i="49"/>
  <c r="DF843" i="20"/>
  <c r="DF848" i="20" s="1"/>
  <c r="DL184" i="46"/>
  <c r="K21" i="51"/>
  <c r="BB16" i="20"/>
  <c r="BB26" i="20"/>
  <c r="CG322" i="10"/>
  <c r="CG325" i="10"/>
  <c r="DA17" i="20"/>
  <c r="DA25" i="20"/>
  <c r="CW1217" i="10"/>
  <c r="CW1218" i="10" s="1"/>
  <c r="CW1222" i="10"/>
  <c r="BF179" i="49"/>
  <c r="BP1227" i="10"/>
  <c r="BR1226" i="10"/>
  <c r="BR1227" i="10" s="1"/>
  <c r="CC891" i="20"/>
  <c r="CD890" i="20"/>
  <c r="BU424" i="42"/>
  <c r="BT425" i="42"/>
  <c r="BT429" i="42" s="1"/>
  <c r="BT439" i="42" s="1"/>
  <c r="BZ34" i="10"/>
  <c r="BZ975" i="10" s="1"/>
  <c r="AE38" i="41"/>
  <c r="AE39" i="41" s="1"/>
  <c r="AI68" i="41" s="1"/>
  <c r="AE59" i="41"/>
  <c r="BY855" i="10"/>
  <c r="BY845" i="10"/>
  <c r="BY857" i="10"/>
  <c r="BY985" i="10"/>
  <c r="BY853" i="10"/>
  <c r="BY986" i="10"/>
  <c r="BY856" i="10"/>
  <c r="BY850" i="10"/>
  <c r="BY854" i="10"/>
  <c r="BY852" i="10"/>
  <c r="BY846" i="10"/>
  <c r="BY851" i="10"/>
  <c r="BY369" i="20"/>
  <c r="DA369" i="20"/>
  <c r="BL87" i="49"/>
  <c r="BL181" i="49"/>
  <c r="BL284" i="49" s="1"/>
  <c r="BL85" i="49"/>
  <c r="BL183" i="49" s="1"/>
  <c r="BL286" i="49" s="1"/>
  <c r="AX18" i="41"/>
  <c r="AX64" i="41"/>
  <c r="CR59" i="49"/>
  <c r="CR8" i="43"/>
  <c r="CR445" i="42"/>
  <c r="CR58" i="46"/>
  <c r="CR55" i="46" s="1"/>
  <c r="CR543" i="42"/>
  <c r="CR32" i="10"/>
  <c r="CT30" i="10"/>
  <c r="CS33" i="10" s="1"/>
  <c r="CR1104" i="10"/>
  <c r="AX20" i="41"/>
  <c r="CO901" i="20"/>
  <c r="CP901" i="20" s="1"/>
  <c r="CO904" i="20"/>
  <c r="CO834" i="20"/>
  <c r="CO798" i="20"/>
  <c r="CO803" i="20" s="1"/>
  <c r="CO838" i="20"/>
  <c r="DZ31" i="41"/>
  <c r="DL16" i="42"/>
  <c r="DL138" i="42"/>
  <c r="DL601" i="20" s="1"/>
  <c r="CJ811" i="20"/>
  <c r="CL809" i="20"/>
  <c r="CL816" i="20" s="1"/>
  <c r="CJ816" i="20"/>
  <c r="BL17" i="20"/>
  <c r="BL25" i="20"/>
  <c r="BP25" i="20"/>
  <c r="CR30" i="20"/>
  <c r="BQ17" i="20"/>
  <c r="BQ25" i="20"/>
  <c r="BU25" i="20"/>
  <c r="CF1227" i="10"/>
  <c r="CH1226" i="10"/>
  <c r="CH1227" i="10" s="1"/>
  <c r="G63" i="51"/>
  <c r="AP18" i="41"/>
  <c r="AP64" i="41"/>
  <c r="CL54" i="49"/>
  <c r="AR16" i="41"/>
  <c r="BG18" i="41"/>
  <c r="BG64" i="41"/>
  <c r="CK59" i="49"/>
  <c r="CK8" i="43"/>
  <c r="CK58" i="46"/>
  <c r="CK55" i="46" s="1"/>
  <c r="CK56" i="46" s="1"/>
  <c r="CK60" i="46" s="1"/>
  <c r="CK32" i="10"/>
  <c r="CK543" i="42"/>
  <c r="CK1104" i="10"/>
  <c r="AQ20" i="41"/>
  <c r="BK246" i="20"/>
  <c r="CF17" i="20"/>
  <c r="CL1026" i="10"/>
  <c r="DB664" i="10"/>
  <c r="DB844" i="10" s="1"/>
  <c r="EK29" i="41"/>
  <c r="DB915" i="20"/>
  <c r="CP1025" i="10"/>
  <c r="CP181" i="49"/>
  <c r="CS25" i="20"/>
  <c r="CS17" i="20"/>
  <c r="CW31" i="20" s="1"/>
  <c r="BQ1217" i="10"/>
  <c r="BQ1218" i="10" s="1"/>
  <c r="BQ1222" i="10"/>
  <c r="BV1194" i="10"/>
  <c r="DG26" i="41" s="1"/>
  <c r="DG24" i="41"/>
  <c r="AU63" i="51"/>
  <c r="BD541" i="42"/>
  <c r="BF55" i="46"/>
  <c r="BD56" i="46"/>
  <c r="BL274" i="42"/>
  <c r="BL447" i="42"/>
  <c r="BL56" i="46"/>
  <c r="DJ1159" i="10"/>
  <c r="DJ1160" i="10" s="1"/>
  <c r="DJ1169" i="10" s="1"/>
  <c r="DI1168" i="10"/>
  <c r="CP1269" i="10"/>
  <c r="CE71" i="49"/>
  <c r="CD75" i="49"/>
  <c r="CI75" i="49" s="1"/>
  <c r="BR284" i="49"/>
  <c r="DN179" i="46"/>
  <c r="DN12" i="43"/>
  <c r="DC246" i="20"/>
  <c r="BD63" i="41"/>
  <c r="BZ16" i="20"/>
  <c r="BZ17" i="20" s="1"/>
  <c r="BZ26" i="20"/>
  <c r="AF60" i="51"/>
  <c r="CQ29" i="41"/>
  <c r="P63" i="41"/>
  <c r="BJ54" i="49"/>
  <c r="P16" i="41"/>
  <c r="CU75" i="49"/>
  <c r="CT83" i="49"/>
  <c r="BA545" i="42"/>
  <c r="BA34" i="10"/>
  <c r="BA20" i="20"/>
  <c r="G22" i="41"/>
  <c r="G66" i="41" s="1"/>
  <c r="DU27" i="41"/>
  <c r="BB1217" i="10"/>
  <c r="BB1218" i="10" s="1"/>
  <c r="AZ1218" i="10"/>
  <c r="AP295" i="42"/>
  <c r="AP326" i="42"/>
  <c r="AQ18" i="51"/>
  <c r="CH23" i="20"/>
  <c r="CH11" i="20"/>
  <c r="K18" i="51"/>
  <c r="BB23" i="20"/>
  <c r="BB11" i="20"/>
  <c r="BF23" i="20"/>
  <c r="CS1032" i="10"/>
  <c r="BX928" i="10"/>
  <c r="BX930" i="10"/>
  <c r="BX898" i="10"/>
  <c r="T19" i="51"/>
  <c r="BN24" i="20"/>
  <c r="BN11" i="20"/>
  <c r="BC61" i="51"/>
  <c r="BV306" i="49"/>
  <c r="BV203" i="49"/>
  <c r="CI973" i="10"/>
  <c r="CU973" i="10"/>
  <c r="BU59" i="49"/>
  <c r="BU8" i="43"/>
  <c r="BU58" i="46"/>
  <c r="BU55" i="46" s="1"/>
  <c r="BU56" i="46" s="1"/>
  <c r="BU60" i="46" s="1"/>
  <c r="BU32" i="10"/>
  <c r="BU543" i="42"/>
  <c r="BU445" i="42"/>
  <c r="BU1104" i="10"/>
  <c r="AA20" i="41"/>
  <c r="DA855" i="10"/>
  <c r="DA845" i="10"/>
  <c r="DA853" i="10"/>
  <c r="DA857" i="10"/>
  <c r="DA986" i="10"/>
  <c r="DA985" i="10"/>
  <c r="DA856" i="10"/>
  <c r="DA852" i="10"/>
  <c r="DA854" i="10"/>
  <c r="DA851" i="10"/>
  <c r="DA850" i="10"/>
  <c r="DA846" i="10"/>
  <c r="BV16" i="20"/>
  <c r="BV26" i="20"/>
  <c r="DB1216" i="10"/>
  <c r="DB1222" i="10" s="1"/>
  <c r="CZ1217" i="10"/>
  <c r="CZ1222" i="10"/>
  <c r="CH207" i="49"/>
  <c r="CH205" i="49"/>
  <c r="BZ169" i="49"/>
  <c r="DB179" i="49"/>
  <c r="CT178" i="49"/>
  <c r="CT181" i="49" s="1"/>
  <c r="CT179" i="49"/>
  <c r="CS1217" i="10"/>
  <c r="CS1218" i="10" s="1"/>
  <c r="CS1222" i="10"/>
  <c r="BJ175" i="49"/>
  <c r="BJ178" i="49" s="1"/>
  <c r="BJ181" i="49" s="1"/>
  <c r="BK77" i="49"/>
  <c r="BJ278" i="49"/>
  <c r="BJ281" i="49" s="1"/>
  <c r="BJ284" i="49" s="1"/>
  <c r="BO77" i="49"/>
  <c r="CT281" i="49"/>
  <c r="CT284" i="49" s="1"/>
  <c r="CT282" i="49"/>
  <c r="CF317" i="42"/>
  <c r="CF318" i="42" s="1"/>
  <c r="CF320" i="42" s="1"/>
  <c r="BV278" i="49"/>
  <c r="BV281" i="49" s="1"/>
  <c r="BV284" i="49" s="1"/>
  <c r="BW77" i="49"/>
  <c r="BV175" i="49"/>
  <c r="BV178" i="49" s="1"/>
  <c r="BV181" i="49" s="1"/>
  <c r="CP83" i="49"/>
  <c r="CQ75" i="49"/>
  <c r="CP81" i="49"/>
  <c r="BR306" i="49"/>
  <c r="BR203" i="49"/>
  <c r="BT1227" i="10"/>
  <c r="BV1226" i="10"/>
  <c r="BV1227" i="10" s="1"/>
  <c r="DI192" i="10"/>
  <c r="DJ182" i="10"/>
  <c r="DI240" i="10"/>
  <c r="ET59" i="41"/>
  <c r="AU60" i="51"/>
  <c r="G21" i="51"/>
  <c r="AX16" i="20"/>
  <c r="CX54" i="49"/>
  <c r="BD16" i="41"/>
  <c r="BD77" i="41" s="1"/>
  <c r="ED31" i="41"/>
  <c r="BZ929" i="10"/>
  <c r="AW545" i="42"/>
  <c r="AW34" i="10"/>
  <c r="CM75" i="49"/>
  <c r="BK58" i="51"/>
  <c r="CZ401" i="42"/>
  <c r="DB401" i="42" s="1"/>
  <c r="DB399" i="42"/>
  <c r="BL253" i="42"/>
  <c r="BI255" i="42"/>
  <c r="BR368" i="20"/>
  <c r="BR358" i="20"/>
  <c r="CZ1032" i="10"/>
  <c r="CD358" i="20"/>
  <c r="CD368" i="20"/>
  <c r="BD25" i="20"/>
  <c r="BD17" i="20"/>
  <c r="AZ38" i="41"/>
  <c r="AZ39" i="41" s="1"/>
  <c r="AZ59" i="41"/>
  <c r="CK295" i="10"/>
  <c r="CK307" i="10"/>
  <c r="CK293" i="10"/>
  <c r="CK300" i="10"/>
  <c r="AP423" i="42"/>
  <c r="AN425" i="42"/>
  <c r="AN429" i="42" s="1"/>
  <c r="CP847" i="20"/>
  <c r="CP851" i="20"/>
  <c r="CP844" i="20"/>
  <c r="CP849" i="20" s="1"/>
  <c r="BB275" i="42"/>
  <c r="AZ271" i="42"/>
  <c r="CH83" i="49"/>
  <c r="CH81" i="49"/>
  <c r="T25" i="51"/>
  <c r="BN30" i="20"/>
  <c r="BV119" i="46"/>
  <c r="BV121" i="46" s="1"/>
  <c r="DG70" i="41"/>
  <c r="BH25" i="20"/>
  <c r="BH17" i="20"/>
  <c r="BI1217" i="10"/>
  <c r="BI1218" i="10" s="1"/>
  <c r="BI1222" i="10"/>
  <c r="BC57" i="51"/>
  <c r="CD1031" i="10"/>
  <c r="CD998" i="10"/>
  <c r="CD1025" i="10"/>
  <c r="DN238" i="10"/>
  <c r="DM239" i="10"/>
  <c r="DM253" i="10" s="1"/>
  <c r="DN253" i="10" s="1"/>
  <c r="DM241" i="10"/>
  <c r="BE545" i="42"/>
  <c r="BE34" i="10"/>
  <c r="BE20" i="20"/>
  <c r="K22" i="41"/>
  <c r="BG18" i="51"/>
  <c r="CX23" i="20"/>
  <c r="CX11" i="20"/>
  <c r="DB25" i="20" s="1"/>
  <c r="EG29" i="41"/>
  <c r="BF1217" i="10"/>
  <c r="BF1218" i="10" s="1"/>
  <c r="BD1218" i="10"/>
  <c r="CX1024" i="10"/>
  <c r="CY1012" i="10"/>
  <c r="AT64" i="41"/>
  <c r="AT18" i="41"/>
  <c r="CN8" i="43"/>
  <c r="CN58" i="46"/>
  <c r="CN55" i="46" s="1"/>
  <c r="CN59" i="49"/>
  <c r="CN445" i="42"/>
  <c r="CP30" i="10"/>
  <c r="CO33" i="10" s="1"/>
  <c r="CN32" i="10"/>
  <c r="CN543" i="42"/>
  <c r="CN1104" i="10"/>
  <c r="AT20" i="41"/>
  <c r="CP708" i="10"/>
  <c r="CP868" i="10" s="1"/>
  <c r="CP707" i="10"/>
  <c r="CP1187" i="10" s="1"/>
  <c r="CP706" i="10"/>
  <c r="AY18" i="51"/>
  <c r="CP11" i="20"/>
  <c r="CP23" i="20"/>
  <c r="DI35" i="42"/>
  <c r="ET43" i="41"/>
  <c r="AM63" i="51"/>
  <c r="CY867" i="10"/>
  <c r="CX929" i="10"/>
  <c r="AU18" i="51"/>
  <c r="CL11" i="20"/>
  <c r="CL23" i="20"/>
  <c r="CZ19" i="20"/>
  <c r="DD33" i="20" s="1"/>
  <c r="CG314" i="10"/>
  <c r="CG323" i="10"/>
  <c r="CZ1018" i="10"/>
  <c r="CZ896" i="10"/>
  <c r="CZ866" i="10"/>
  <c r="CZ894" i="10"/>
  <c r="CZ895" i="10"/>
  <c r="CZ906" i="10" s="1"/>
  <c r="CZ891" i="10"/>
  <c r="CZ902" i="10" s="1"/>
  <c r="CZ892" i="10"/>
  <c r="CZ903" i="10" s="1"/>
  <c r="CZ893" i="10"/>
  <c r="CZ904" i="10" s="1"/>
  <c r="BM369" i="20"/>
  <c r="CK17" i="20"/>
  <c r="CK25" i="20"/>
  <c r="CU29" i="41"/>
  <c r="BQ87" i="49"/>
  <c r="BQ181" i="49"/>
  <c r="BQ284" i="49" s="1"/>
  <c r="BQ85" i="49"/>
  <c r="BQ183" i="49" s="1"/>
  <c r="BQ286" i="49" s="1"/>
  <c r="CP1009" i="10"/>
  <c r="BC68" i="41"/>
  <c r="BC82" i="41"/>
  <c r="CX1009" i="10"/>
  <c r="AT547" i="42"/>
  <c r="AT546" i="42"/>
  <c r="DN918" i="10"/>
  <c r="DN919" i="10" s="1"/>
  <c r="AU19" i="51"/>
  <c r="CL24" i="20"/>
  <c r="CB369" i="20"/>
  <c r="BG246" i="20"/>
  <c r="AM18" i="41"/>
  <c r="AM64" i="41"/>
  <c r="EC29" i="41"/>
  <c r="CJ296" i="10"/>
  <c r="CJ301" i="10"/>
  <c r="CJ309" i="10"/>
  <c r="CJ310" i="10" s="1"/>
  <c r="AU68" i="41"/>
  <c r="AU82" i="41"/>
  <c r="CC1217" i="10"/>
  <c r="CC1218" i="10" s="1"/>
  <c r="CC1222" i="10"/>
  <c r="CB898" i="10"/>
  <c r="CB928" i="10"/>
  <c r="CB930" i="10"/>
  <c r="DF846" i="20"/>
  <c r="DJ202" i="10"/>
  <c r="T62" i="51"/>
  <c r="CK930" i="10"/>
  <c r="CK928" i="10"/>
  <c r="CK898" i="10"/>
  <c r="DM44" i="49"/>
  <c r="DM72" i="49" s="1"/>
  <c r="BS37" i="41"/>
  <c r="BS8" i="41"/>
  <c r="CH1194" i="10"/>
  <c r="DS26" i="41" s="1"/>
  <c r="DS24" i="41"/>
  <c r="CH368" i="20"/>
  <c r="CH358" i="20"/>
  <c r="CJ894" i="20"/>
  <c r="CJ888" i="20"/>
  <c r="DW24" i="41"/>
  <c r="AF58" i="41"/>
  <c r="AJ58" i="41"/>
  <c r="BG68" i="41"/>
  <c r="BG82" i="41"/>
  <c r="CD97" i="49"/>
  <c r="CE973" i="10"/>
  <c r="CO276" i="49"/>
  <c r="CO282" i="49" s="1"/>
  <c r="CO179" i="49"/>
  <c r="CP929" i="10"/>
  <c r="CQ867" i="10"/>
  <c r="CQ868" i="10" s="1"/>
  <c r="DB910" i="20"/>
  <c r="DB917" i="20" s="1"/>
  <c r="DE910" i="20"/>
  <c r="DA911" i="20"/>
  <c r="CG369" i="20"/>
  <c r="BI369" i="20"/>
  <c r="CW369" i="20"/>
  <c r="BJ132" i="49"/>
  <c r="BJ54" i="43"/>
  <c r="CY31" i="41"/>
  <c r="ED29" i="41"/>
  <c r="BN87" i="49"/>
  <c r="BN5" i="49" s="1"/>
  <c r="BN85" i="49"/>
  <c r="BR181" i="49"/>
  <c r="CD281" i="49"/>
  <c r="CD284" i="49" s="1"/>
  <c r="CD282" i="49"/>
  <c r="DL843" i="20"/>
  <c r="DP843" i="20" s="1"/>
  <c r="CJ25" i="20"/>
  <c r="CJ17" i="20"/>
  <c r="CR901" i="20"/>
  <c r="CR904" i="20"/>
  <c r="CP1026" i="10"/>
  <c r="DM126" i="10"/>
  <c r="CW59" i="49"/>
  <c r="CW8" i="43"/>
  <c r="CW58" i="46"/>
  <c r="CW55" i="46" s="1"/>
  <c r="CW56" i="46" s="1"/>
  <c r="CW60" i="46" s="1"/>
  <c r="CW543" i="42"/>
  <c r="CW32" i="10"/>
  <c r="CW445" i="42"/>
  <c r="CW274" i="42" s="1"/>
  <c r="CW1104" i="10"/>
  <c r="BC20" i="41"/>
  <c r="BR54" i="49"/>
  <c r="X16" i="41"/>
  <c r="BY708" i="10"/>
  <c r="BY868" i="10" s="1"/>
  <c r="BY707" i="10"/>
  <c r="BY1187" i="10" s="1"/>
  <c r="BY706" i="10"/>
  <c r="DE885" i="20"/>
  <c r="DI951" i="20"/>
  <c r="CH119" i="46"/>
  <c r="CH121" i="46" s="1"/>
  <c r="DS70" i="41"/>
  <c r="CT1226" i="10"/>
  <c r="CT1227" i="10" s="1"/>
  <c r="CR1227" i="10"/>
  <c r="CR853" i="10"/>
  <c r="CR857" i="10"/>
  <c r="CR986" i="10"/>
  <c r="CR855" i="10"/>
  <c r="CR845" i="10"/>
  <c r="CR985" i="10"/>
  <c r="CR856" i="10"/>
  <c r="CR854" i="10"/>
  <c r="CR852" i="10"/>
  <c r="CR850" i="10"/>
  <c r="CR846" i="10"/>
  <c r="CR851" i="10"/>
  <c r="AP20" i="51"/>
  <c r="CG17" i="20"/>
  <c r="CG25" i="20"/>
  <c r="CO59" i="49"/>
  <c r="CO58" i="46"/>
  <c r="CO55" i="46" s="1"/>
  <c r="CO56" i="46" s="1"/>
  <c r="CO60" i="46" s="1"/>
  <c r="CO8" i="43"/>
  <c r="CO543" i="42"/>
  <c r="CO32" i="10"/>
  <c r="CO1104" i="10"/>
  <c r="AU20" i="41"/>
  <c r="EE27" i="41"/>
  <c r="DM912" i="20"/>
  <c r="DJ912" i="20"/>
  <c r="DJ919" i="20" s="1"/>
  <c r="BM25" i="20"/>
  <c r="BM17" i="20"/>
  <c r="CB706" i="10"/>
  <c r="CB707" i="10"/>
  <c r="CB1187" i="10" s="1"/>
  <c r="CB708" i="10"/>
  <c r="CB868" i="10" s="1"/>
  <c r="CD704" i="10"/>
  <c r="CB54" i="49"/>
  <c r="CB30" i="10"/>
  <c r="CD25" i="10"/>
  <c r="CB1216" i="10"/>
  <c r="CB1226" i="10"/>
  <c r="AH16" i="41"/>
  <c r="AL64" i="41" s="1"/>
  <c r="CH54" i="49"/>
  <c r="AN16" i="41"/>
  <c r="CR25" i="20"/>
  <c r="CL1216" i="10"/>
  <c r="CJ1217" i="10"/>
  <c r="DA1217" i="10"/>
  <c r="DA1218" i="10" s="1"/>
  <c r="DA1222" i="10"/>
  <c r="AQ18" i="41"/>
  <c r="AQ64" i="41"/>
  <c r="DB955" i="20"/>
  <c r="DB953" i="20"/>
  <c r="DB958" i="20" s="1"/>
  <c r="BT282" i="49"/>
  <c r="CN930" i="10"/>
  <c r="CN898" i="10"/>
  <c r="CN928" i="10"/>
  <c r="CW19" i="20"/>
  <c r="BH38" i="41"/>
  <c r="BH39" i="41" s="1"/>
  <c r="BH59" i="41"/>
  <c r="S25" i="51"/>
  <c r="CV369" i="20"/>
  <c r="BG25" i="51"/>
  <c r="BQ59" i="49"/>
  <c r="BQ8" i="43"/>
  <c r="BQ58" i="46"/>
  <c r="BQ55" i="46" s="1"/>
  <c r="BQ56" i="46" s="1"/>
  <c r="BQ60" i="46" s="1"/>
  <c r="BQ543" i="42"/>
  <c r="BQ445" i="42"/>
  <c r="BQ32" i="10"/>
  <c r="BQ1104" i="10"/>
  <c r="W20" i="41"/>
  <c r="BW1264" i="10"/>
  <c r="BW1268" i="10"/>
  <c r="BW1258" i="10"/>
  <c r="BV1269" i="10"/>
  <c r="BW1269" i="10" s="1"/>
  <c r="BW1257" i="10"/>
  <c r="BW1267" i="10"/>
  <c r="BW1259" i="10"/>
  <c r="BW1260" i="10"/>
  <c r="BW1266" i="10"/>
  <c r="BW1261" i="10"/>
  <c r="BW1262" i="10"/>
  <c r="BW1265" i="10"/>
  <c r="BW1256" i="10"/>
  <c r="BA17" i="20"/>
  <c r="BA25" i="20"/>
  <c r="CU887" i="20"/>
  <c r="CT895" i="20"/>
  <c r="BL115" i="49"/>
  <c r="BL141" i="49" s="1"/>
  <c r="BL47" i="43"/>
  <c r="BL9" i="43"/>
  <c r="BL11" i="43"/>
  <c r="DI52" i="49"/>
  <c r="DI79" i="49" s="1"/>
  <c r="DI177" i="49" s="1"/>
  <c r="DI951" i="10"/>
  <c r="DI952" i="10" s="1"/>
  <c r="BO14" i="41"/>
  <c r="BO62" i="41" s="1"/>
  <c r="T63" i="51"/>
  <c r="CS179" i="49"/>
  <c r="CQ246" i="20"/>
  <c r="AR423" i="42"/>
  <c r="AS423" i="42"/>
  <c r="AS425" i="42" s="1"/>
  <c r="CP975" i="10"/>
  <c r="K24" i="51"/>
  <c r="BB28" i="20"/>
  <c r="BP369" i="20"/>
  <c r="BE369" i="20"/>
  <c r="AF276" i="42"/>
  <c r="AV47" i="43"/>
  <c r="AV11" i="43"/>
  <c r="CU25" i="41"/>
  <c r="BJ1194" i="10"/>
  <c r="CU26" i="41" s="1"/>
  <c r="N64" i="41"/>
  <c r="N18" i="41"/>
  <c r="BH8" i="43"/>
  <c r="BH59" i="49"/>
  <c r="BH58" i="46"/>
  <c r="BH55" i="46" s="1"/>
  <c r="BH445" i="42"/>
  <c r="BJ30" i="10"/>
  <c r="BH33" i="10" s="1"/>
  <c r="BH32" i="10"/>
  <c r="BL34" i="10" s="1"/>
  <c r="BH543" i="42"/>
  <c r="BH1104" i="10"/>
  <c r="N20" i="41"/>
  <c r="N65" i="41" s="1"/>
  <c r="O21" i="51"/>
  <c r="BF16" i="20"/>
  <c r="BJ30" i="20" s="1"/>
  <c r="BF26" i="20"/>
  <c r="CS930" i="10"/>
  <c r="CS928" i="10"/>
  <c r="CT928" i="10" s="1"/>
  <c r="CS898" i="10"/>
  <c r="AK25" i="51"/>
  <c r="CB30" i="20"/>
  <c r="CB17" i="20"/>
  <c r="AZ59" i="49"/>
  <c r="AZ58" i="46"/>
  <c r="AZ55" i="46" s="1"/>
  <c r="AZ8" i="43"/>
  <c r="AZ32" i="10"/>
  <c r="BD34" i="10" s="1"/>
  <c r="AZ543" i="42"/>
  <c r="AZ541" i="42" s="1"/>
  <c r="BB30" i="10"/>
  <c r="AZ33" i="10" s="1"/>
  <c r="AZ1104" i="10"/>
  <c r="F20" i="41"/>
  <c r="F65" i="41" s="1"/>
  <c r="BK20" i="51"/>
  <c r="DB17" i="20"/>
  <c r="AN295" i="42"/>
  <c r="AN326" i="42"/>
  <c r="CN803" i="20"/>
  <c r="DJ908" i="20"/>
  <c r="DD911" i="20"/>
  <c r="BL14" i="41"/>
  <c r="BL62" i="41" s="1"/>
  <c r="CH284" i="49"/>
  <c r="CP282" i="49"/>
  <c r="DE886" i="20"/>
  <c r="DF886" i="20" s="1"/>
  <c r="DI952" i="20"/>
  <c r="DB799" i="20"/>
  <c r="DC799" i="20" s="1"/>
  <c r="CT16" i="20"/>
  <c r="CT17" i="20" s="1"/>
  <c r="CT26" i="20"/>
  <c r="AJ56" i="41"/>
  <c r="BV304" i="49"/>
  <c r="BV201" i="49"/>
  <c r="BP97" i="49"/>
  <c r="BR275" i="42"/>
  <c r="AA18" i="41"/>
  <c r="AA64" i="41"/>
  <c r="CL660" i="10"/>
  <c r="CL663" i="10"/>
  <c r="CL664" i="10" s="1"/>
  <c r="CL832" i="10"/>
  <c r="CL833" i="10" s="1"/>
  <c r="CL1263" i="10"/>
  <c r="CL1269" i="10" s="1"/>
  <c r="BZ119" i="46"/>
  <c r="BZ121" i="46" s="1"/>
  <c r="DK70" i="41"/>
  <c r="BV358" i="20"/>
  <c r="BV368" i="20"/>
  <c r="BM1217" i="10"/>
  <c r="BM1218" i="10" s="1"/>
  <c r="BM1222" i="10"/>
  <c r="CZ1227" i="10"/>
  <c r="DB1226" i="10"/>
  <c r="DB1227" i="10" s="1"/>
  <c r="BT369" i="20"/>
  <c r="CH308" i="49"/>
  <c r="CH310" i="49"/>
  <c r="BU428" i="10"/>
  <c r="BX428" i="10" s="1"/>
  <c r="BU430" i="10"/>
  <c r="BX430" i="10" s="1"/>
  <c r="BY431" i="10"/>
  <c r="CB431" i="10" s="1"/>
  <c r="BT59" i="49"/>
  <c r="BT8" i="43"/>
  <c r="BT58" i="46"/>
  <c r="BT55" i="46" s="1"/>
  <c r="BT445" i="42"/>
  <c r="BT543" i="42"/>
  <c r="BV30" i="10"/>
  <c r="BT33" i="10" s="1"/>
  <c r="BT32" i="10"/>
  <c r="BT1104" i="10"/>
  <c r="Z20" i="41"/>
  <c r="CQ31" i="41"/>
  <c r="AL26" i="51"/>
  <c r="CC19" i="20"/>
  <c r="AL25" i="51"/>
  <c r="CC30" i="20"/>
  <c r="BZ1025" i="10"/>
  <c r="BP276" i="49"/>
  <c r="BP282" i="49" s="1"/>
  <c r="BP179" i="49"/>
  <c r="CC930" i="10"/>
  <c r="CC928" i="10"/>
  <c r="CC898" i="10"/>
  <c r="CN878" i="20"/>
  <c r="CN882" i="20" s="1"/>
  <c r="CN905" i="20"/>
  <c r="BR1194" i="10"/>
  <c r="DC26" i="41" s="1"/>
  <c r="DC24" i="41"/>
  <c r="CX284" i="49"/>
  <c r="AM60" i="51"/>
  <c r="CL1025" i="10"/>
  <c r="CT1194" i="10"/>
  <c r="EE26" i="41" s="1"/>
  <c r="EE24" i="41"/>
  <c r="BV179" i="49"/>
  <c r="CR866" i="10"/>
  <c r="CR894" i="10"/>
  <c r="CR896" i="10"/>
  <c r="CR1018" i="10"/>
  <c r="CR895" i="10"/>
  <c r="CR906" i="10" s="1"/>
  <c r="CR893" i="10"/>
  <c r="CR904" i="10" s="1"/>
  <c r="CR891" i="10"/>
  <c r="CR902" i="10" s="1"/>
  <c r="CR892" i="10"/>
  <c r="CR903" i="10" s="1"/>
  <c r="T60" i="51"/>
  <c r="CK811" i="20"/>
  <c r="CK816" i="20"/>
  <c r="BT87" i="49"/>
  <c r="BT181" i="49"/>
  <c r="BT284" i="49" s="1"/>
  <c r="BT85" i="49"/>
  <c r="BT183" i="49" s="1"/>
  <c r="BT286" i="49" s="1"/>
  <c r="AQ68" i="41"/>
  <c r="AQ82" i="41"/>
  <c r="BZ1009" i="10"/>
  <c r="DM908" i="20"/>
  <c r="DQ908" i="20" s="1"/>
  <c r="DL246" i="10"/>
  <c r="DL182" i="10"/>
  <c r="CY1014" i="10"/>
  <c r="CX1026" i="10"/>
  <c r="DC1014" i="10"/>
  <c r="DN26" i="42"/>
  <c r="CX1194" i="10"/>
  <c r="EI26" i="41" s="1"/>
  <c r="EI24" i="41"/>
  <c r="CP1226" i="10"/>
  <c r="CP1227" i="10" s="1"/>
  <c r="CN1227" i="10"/>
  <c r="CH1032" i="10"/>
  <c r="AZ345" i="42"/>
  <c r="BA339" i="42"/>
  <c r="BA344" i="42" s="1"/>
  <c r="CZ25" i="20"/>
  <c r="DL23" i="10"/>
  <c r="DL1169" i="10"/>
  <c r="DL1159" i="10"/>
  <c r="DL1168" i="10" s="1"/>
  <c r="CG320" i="10"/>
  <c r="CG326" i="10"/>
  <c r="DG27" i="41"/>
  <c r="DC75" i="49"/>
  <c r="DF951" i="20"/>
  <c r="DF956" i="20" s="1"/>
  <c r="DD885" i="20"/>
  <c r="CX1032" i="10"/>
  <c r="BX369" i="20"/>
  <c r="DJ23" i="10"/>
  <c r="BN14" i="41"/>
  <c r="BN62" i="41" s="1"/>
  <c r="BD369" i="20"/>
  <c r="CJ316" i="10"/>
  <c r="DZ29" i="41"/>
  <c r="CC59" i="49"/>
  <c r="CC58" i="46"/>
  <c r="CC55" i="46" s="1"/>
  <c r="CC56" i="46" s="1"/>
  <c r="CC60" i="46" s="1"/>
  <c r="CC8" i="43"/>
  <c r="CC445" i="42"/>
  <c r="CC32" i="10"/>
  <c r="CC543" i="42"/>
  <c r="CC1104" i="10"/>
  <c r="AI20" i="41"/>
  <c r="DL841" i="20"/>
  <c r="DP841" i="20" s="1"/>
  <c r="DJ841" i="20"/>
  <c r="CP16" i="20"/>
  <c r="CP26" i="20"/>
  <c r="CP358" i="20"/>
  <c r="CP368" i="20"/>
  <c r="BH3" i="10"/>
  <c r="BE1" i="10"/>
  <c r="BH30" i="20"/>
  <c r="CH1269" i="10"/>
  <c r="CH16" i="20"/>
  <c r="CH26" i="20"/>
  <c r="CF369" i="20"/>
  <c r="CJ317" i="42"/>
  <c r="CJ318" i="42" s="1"/>
  <c r="CJ320" i="42" s="1"/>
  <c r="BN369" i="20"/>
  <c r="DN124" i="42"/>
  <c r="DN464" i="42" s="1"/>
  <c r="DM180" i="46"/>
  <c r="DM122" i="42"/>
  <c r="DM464" i="42"/>
  <c r="CL901" i="20"/>
  <c r="AR38" i="41"/>
  <c r="AR39" i="41" s="1"/>
  <c r="AR59" i="41"/>
  <c r="CM662" i="10"/>
  <c r="CA74" i="49"/>
  <c r="BZ172" i="49"/>
  <c r="BZ275" i="49"/>
  <c r="CE74" i="49"/>
  <c r="EL29" i="41"/>
  <c r="CD929" i="10"/>
  <c r="CE867" i="10"/>
  <c r="CE868" i="10" s="1"/>
  <c r="AB19" i="51"/>
  <c r="BV24" i="20"/>
  <c r="BV11" i="20"/>
  <c r="BN203" i="49"/>
  <c r="BN306" i="49"/>
  <c r="CO1018" i="10"/>
  <c r="CO896" i="10"/>
  <c r="CO866" i="10"/>
  <c r="CO894" i="10"/>
  <c r="CO895" i="10"/>
  <c r="CO906" i="10" s="1"/>
  <c r="CO891" i="10"/>
  <c r="CO902" i="10" s="1"/>
  <c r="CO892" i="10"/>
  <c r="CO903" i="10" s="1"/>
  <c r="CO893" i="10"/>
  <c r="CO904" i="10" s="1"/>
  <c r="AV700" i="10"/>
  <c r="AV1101" i="10"/>
  <c r="AV1100" i="10"/>
  <c r="AV777" i="20"/>
  <c r="AV776" i="20" s="1"/>
  <c r="AV1097" i="10"/>
  <c r="CO87" i="49"/>
  <c r="CO185" i="49" s="1"/>
  <c r="CO288" i="49" s="1"/>
  <c r="CO289" i="49" s="1"/>
  <c r="CO181" i="49"/>
  <c r="CO284" i="49" s="1"/>
  <c r="CO85" i="49"/>
  <c r="CO183" i="49" s="1"/>
  <c r="CO286" i="49" s="1"/>
  <c r="CC1032" i="10"/>
  <c r="CL306" i="49"/>
  <c r="CL203" i="49"/>
  <c r="BJ233" i="49"/>
  <c r="BJ336" i="49"/>
  <c r="DI361" i="42"/>
  <c r="DI362" i="42" s="1"/>
  <c r="CK1032" i="10"/>
  <c r="CD178" i="49"/>
  <c r="CD181" i="49" s="1"/>
  <c r="CD179" i="49"/>
  <c r="BX275" i="42"/>
  <c r="BZ446" i="42"/>
  <c r="BB368" i="20"/>
  <c r="BB358" i="20"/>
  <c r="BB369" i="20" s="1"/>
  <c r="BC18" i="41"/>
  <c r="BC64" i="41"/>
  <c r="BX30" i="20"/>
  <c r="BX17" i="20"/>
  <c r="BF80" i="49"/>
  <c r="BF83" i="49" s="1"/>
  <c r="V18" i="41"/>
  <c r="V64" i="41"/>
  <c r="BP59" i="49"/>
  <c r="BP58" i="46"/>
  <c r="BP55" i="46" s="1"/>
  <c r="BP8" i="43"/>
  <c r="BP32" i="10"/>
  <c r="BP543" i="42"/>
  <c r="BR30" i="10"/>
  <c r="BP33" i="10" s="1"/>
  <c r="BP445" i="42"/>
  <c r="BP1104" i="10"/>
  <c r="V20" i="41"/>
  <c r="V65" i="41" s="1"/>
  <c r="BC58" i="51"/>
  <c r="CT1216" i="10"/>
  <c r="CT1222" i="10" s="1"/>
  <c r="CR1217" i="10"/>
  <c r="CR1222" i="10"/>
  <c r="CO806" i="20"/>
  <c r="CO808" i="20" s="1"/>
  <c r="CO815" i="20" s="1"/>
  <c r="CO847" i="20"/>
  <c r="CO844" i="20"/>
  <c r="CO849" i="20" s="1"/>
  <c r="AU18" i="41"/>
  <c r="AU64" i="41"/>
  <c r="DJ44" i="49"/>
  <c r="DJ72" i="49" s="1"/>
  <c r="DK72" i="49" s="1"/>
  <c r="BP8" i="41"/>
  <c r="BP37" i="41"/>
  <c r="DJ246" i="10"/>
  <c r="DJ254" i="10" s="1"/>
  <c r="AH38" i="41"/>
  <c r="AH39" i="41" s="1"/>
  <c r="CB857" i="10"/>
  <c r="CB986" i="10"/>
  <c r="CB855" i="10"/>
  <c r="CB845" i="10"/>
  <c r="CB985" i="10"/>
  <c r="CB852" i="10"/>
  <c r="CB854" i="10"/>
  <c r="CB856" i="10"/>
  <c r="CB850" i="10"/>
  <c r="CB853" i="10"/>
  <c r="CB851" i="10"/>
  <c r="CB846" i="10"/>
  <c r="AL18" i="41"/>
  <c r="CF59" i="49"/>
  <c r="CF58" i="46"/>
  <c r="CF55" i="46" s="1"/>
  <c r="CF8" i="43"/>
  <c r="CF32" i="10"/>
  <c r="CF543" i="42"/>
  <c r="CH30" i="10"/>
  <c r="CG33" i="10" s="1"/>
  <c r="CF445" i="42"/>
  <c r="CF1104" i="10"/>
  <c r="AL20" i="41"/>
  <c r="CR17" i="20"/>
  <c r="CJ1227" i="10"/>
  <c r="CL1226" i="10"/>
  <c r="CL1227" i="10" s="1"/>
  <c r="AF63" i="51"/>
  <c r="EL31" i="41"/>
  <c r="CK1217" i="10"/>
  <c r="CK1218" i="10" s="1"/>
  <c r="CK1222" i="10"/>
  <c r="DD884" i="20"/>
  <c r="DF950" i="20"/>
  <c r="DD953" i="20"/>
  <c r="DD958" i="20" s="1"/>
  <c r="BT179" i="49"/>
  <c r="CU1014" i="10"/>
  <c r="CD203" i="49"/>
  <c r="CD306" i="49"/>
  <c r="DB708" i="10"/>
  <c r="DB868" i="10" s="1"/>
  <c r="DB707" i="10"/>
  <c r="DB1187" i="10" s="1"/>
  <c r="BQ369" i="20"/>
  <c r="S60" i="51"/>
  <c r="BR119" i="46"/>
  <c r="BR121" i="46" s="1"/>
  <c r="DC70" i="41"/>
  <c r="CG276" i="49"/>
  <c r="CG282" i="49" s="1"/>
  <c r="CG179" i="49"/>
  <c r="W18" i="41"/>
  <c r="W64" i="41"/>
  <c r="AB38" i="41"/>
  <c r="AB39" i="41" s="1"/>
  <c r="AB59" i="41"/>
  <c r="BW662" i="10"/>
  <c r="BV664" i="10"/>
  <c r="BV708" i="10"/>
  <c r="BV707" i="10"/>
  <c r="BV1187" i="10" s="1"/>
  <c r="CJ30" i="20"/>
  <c r="BE2" i="43"/>
  <c r="BD1" i="43"/>
  <c r="BD545" i="42"/>
  <c r="BD20" i="20"/>
  <c r="J22" i="41"/>
  <c r="BD274" i="42"/>
  <c r="BD447" i="42"/>
  <c r="BD450" i="42" s="1"/>
  <c r="BL545" i="42"/>
  <c r="BL20" i="20"/>
  <c r="R22" i="41"/>
  <c r="CP1194" i="10"/>
  <c r="EA26" i="41" s="1"/>
  <c r="EA24" i="41"/>
  <c r="AR336" i="46"/>
  <c r="AR337" i="46" s="1"/>
  <c r="AR406" i="42"/>
  <c r="BJ282" i="49"/>
  <c r="DJ170" i="49"/>
  <c r="DN170" i="49" s="1"/>
  <c r="DR170" i="49" s="1"/>
  <c r="BG664" i="10"/>
  <c r="BJ203" i="49"/>
  <c r="BJ306" i="49"/>
  <c r="AF61" i="51"/>
  <c r="CV928" i="10"/>
  <c r="CV930" i="10"/>
  <c r="CV898" i="10"/>
  <c r="AV545" i="42"/>
  <c r="AV34" i="10"/>
  <c r="AX55" i="46"/>
  <c r="AV56" i="46"/>
  <c r="CW909" i="10"/>
  <c r="BJ1226" i="10"/>
  <c r="BJ1227" i="10" s="1"/>
  <c r="BH1227" i="10"/>
  <c r="BF358" i="20"/>
  <c r="BF368" i="20"/>
  <c r="BA541" i="42"/>
  <c r="AP63" i="41"/>
  <c r="AT63" i="41"/>
  <c r="CJ1031" i="10"/>
  <c r="CJ998" i="10"/>
  <c r="CL53" i="49"/>
  <c r="CL34" i="10"/>
  <c r="CL975" i="10" s="1"/>
  <c r="CL47" i="10"/>
  <c r="CL1019" i="10"/>
  <c r="CL1186" i="10"/>
  <c r="DW30" i="41" s="1"/>
  <c r="CL1188" i="10"/>
  <c r="DW25" i="41" s="1"/>
  <c r="CL1033" i="10"/>
  <c r="CQ1033" i="10" s="1"/>
  <c r="AR15" i="41"/>
  <c r="F18" i="41"/>
  <c r="F64" i="41"/>
  <c r="BB54" i="49"/>
  <c r="H16" i="41"/>
  <c r="BI25" i="20"/>
  <c r="BI17" i="20"/>
  <c r="BK57" i="51"/>
  <c r="AL515" i="42"/>
  <c r="AL520" i="42" s="1"/>
  <c r="AL516" i="42"/>
  <c r="AL521" i="42" s="1"/>
  <c r="CZ913" i="20"/>
  <c r="CZ918" i="20"/>
  <c r="CS1009" i="10"/>
  <c r="CO30" i="20"/>
  <c r="DF820" i="20"/>
  <c r="DF824" i="20" s="1"/>
  <c r="DD799" i="20"/>
  <c r="DD821" i="20"/>
  <c r="BO246" i="20"/>
  <c r="CT358" i="20"/>
  <c r="CX369" i="20" s="1"/>
  <c r="CT368" i="20"/>
  <c r="BU1217" i="10"/>
  <c r="BU1218" i="10" s="1"/>
  <c r="BU1222" i="10"/>
  <c r="CL119" i="46"/>
  <c r="CL121" i="46" s="1"/>
  <c r="DW70" i="41"/>
  <c r="CJ1194" i="10"/>
  <c r="DU26" i="41" s="1"/>
  <c r="BJ234" i="49"/>
  <c r="BJ337" i="49"/>
  <c r="CG888" i="20"/>
  <c r="CH888" i="20" s="1"/>
  <c r="CH896" i="20" s="1"/>
  <c r="CG894" i="20"/>
  <c r="AM59" i="51"/>
  <c r="AB61" i="51"/>
  <c r="AB60" i="51"/>
  <c r="BM58" i="46"/>
  <c r="BM55" i="46" s="1"/>
  <c r="BM56" i="46" s="1"/>
  <c r="BM60" i="46" s="1"/>
  <c r="BM8" i="43"/>
  <c r="BM59" i="49"/>
  <c r="BM445" i="42"/>
  <c r="BM32" i="10"/>
  <c r="BM33" i="10"/>
  <c r="BM543" i="42"/>
  <c r="BM1104" i="10"/>
  <c r="S20" i="41"/>
  <c r="S65" i="41" s="1"/>
  <c r="CZ59" i="49"/>
  <c r="CZ8" i="43"/>
  <c r="CZ58" i="46"/>
  <c r="CZ55" i="46" s="1"/>
  <c r="CZ445" i="42"/>
  <c r="CZ274" i="42" s="1"/>
  <c r="CZ543" i="42"/>
  <c r="DB30" i="10"/>
  <c r="DA33" i="10" s="1"/>
  <c r="CZ32" i="10"/>
  <c r="CZ1104" i="10"/>
  <c r="BF20" i="41"/>
  <c r="BM80" i="41" s="1"/>
  <c r="CY80" i="49"/>
  <c r="BZ272" i="49"/>
  <c r="DR553" i="42" l="1"/>
  <c r="CX853" i="10"/>
  <c r="DR590" i="20"/>
  <c r="DR648" i="20"/>
  <c r="BH78" i="41"/>
  <c r="BR235" i="49"/>
  <c r="BR338" i="49"/>
  <c r="BV275" i="42"/>
  <c r="BT97" i="49"/>
  <c r="DR182" i="46"/>
  <c r="DQ223" i="46"/>
  <c r="EI27" i="41"/>
  <c r="DH958" i="20"/>
  <c r="DH825" i="20"/>
  <c r="DH913" i="20"/>
  <c r="DH918" i="20"/>
  <c r="EI30" i="41"/>
  <c r="BV57" i="41"/>
  <c r="DR552" i="42"/>
  <c r="BA540" i="42"/>
  <c r="BA551" i="42"/>
  <c r="BA554" i="42" s="1"/>
  <c r="BA555" i="42" s="1"/>
  <c r="AZ540" i="42"/>
  <c r="AZ551" i="42"/>
  <c r="AZ554" i="42" s="1"/>
  <c r="AZ555" i="42" s="1"/>
  <c r="BD540" i="42"/>
  <c r="BD551" i="42"/>
  <c r="BD554" i="42" s="1"/>
  <c r="BD555" i="42" s="1"/>
  <c r="AX540" i="42"/>
  <c r="AX551" i="42"/>
  <c r="AX554" i="42" s="1"/>
  <c r="AX555" i="42" s="1"/>
  <c r="BZ1032" i="10"/>
  <c r="BZ1270" i="10"/>
  <c r="BZ1269" i="10" s="1"/>
  <c r="BZ1103" i="10"/>
  <c r="BZ1193" i="10"/>
  <c r="CH185" i="49"/>
  <c r="CH12" i="49" s="1"/>
  <c r="DQ52" i="49"/>
  <c r="DQ79" i="49" s="1"/>
  <c r="DP52" i="49"/>
  <c r="DP79" i="49" s="1"/>
  <c r="DR122" i="49"/>
  <c r="DR26" i="42"/>
  <c r="DQ917" i="10"/>
  <c r="DF280" i="49"/>
  <c r="DF177" i="49"/>
  <c r="DG79" i="49"/>
  <c r="CK87" i="49"/>
  <c r="CK185" i="49" s="1"/>
  <c r="CK288" i="49" s="1"/>
  <c r="CK289" i="49" s="1"/>
  <c r="DF201" i="49"/>
  <c r="DJ201" i="49" s="1"/>
  <c r="DN201" i="49" s="1"/>
  <c r="DR201" i="49" s="1"/>
  <c r="CP286" i="49"/>
  <c r="DF304" i="49"/>
  <c r="DJ304" i="49" s="1"/>
  <c r="DN304" i="49" s="1"/>
  <c r="DR304" i="49" s="1"/>
  <c r="DR447" i="20"/>
  <c r="DR75" i="10"/>
  <c r="DR912" i="10"/>
  <c r="DR911" i="10"/>
  <c r="DR913" i="10"/>
  <c r="DR16" i="46"/>
  <c r="DR97" i="42"/>
  <c r="DR263" i="42"/>
  <c r="DP184" i="46"/>
  <c r="DR157" i="20"/>
  <c r="DR88" i="10"/>
  <c r="DR125" i="10"/>
  <c r="DR914" i="10"/>
  <c r="BW14" i="41"/>
  <c r="BW62" i="41" s="1"/>
  <c r="DQ951" i="10"/>
  <c r="DQ952" i="10" s="1"/>
  <c r="DR80" i="10"/>
  <c r="DR495" i="42"/>
  <c r="DR496" i="42" s="1"/>
  <c r="DR498" i="42"/>
  <c r="DP246" i="10"/>
  <c r="DP182" i="10"/>
  <c r="DR1159" i="10"/>
  <c r="DR1160" i="10" s="1"/>
  <c r="DQ1168" i="10"/>
  <c r="DQ16" i="10"/>
  <c r="DR59" i="10"/>
  <c r="DP253" i="10"/>
  <c r="DR747" i="10"/>
  <c r="DP951" i="10"/>
  <c r="DP952" i="10" s="1"/>
  <c r="BV14" i="41"/>
  <c r="DR23" i="10"/>
  <c r="DR179" i="46"/>
  <c r="DR76" i="10"/>
  <c r="DR238" i="10"/>
  <c r="DQ241" i="10"/>
  <c r="DQ239" i="10"/>
  <c r="DR12" i="43"/>
  <c r="DQ722" i="10"/>
  <c r="DR722" i="10" s="1"/>
  <c r="DQ735" i="10"/>
  <c r="DR917" i="10"/>
  <c r="FA35" i="41"/>
  <c r="DP491" i="42"/>
  <c r="FA40" i="41" s="1"/>
  <c r="DP476" i="42"/>
  <c r="DP474" i="42"/>
  <c r="DQ159" i="20"/>
  <c r="DQ112" i="10"/>
  <c r="DQ126" i="10" s="1"/>
  <c r="DR126" i="10" s="1"/>
  <c r="FC46" i="41"/>
  <c r="DQ911" i="10"/>
  <c r="DQ913" i="10"/>
  <c r="DQ912" i="10"/>
  <c r="DQ914" i="10"/>
  <c r="DQ915" i="10"/>
  <c r="DP138" i="42"/>
  <c r="DP601" i="20" s="1"/>
  <c r="DP16" i="42"/>
  <c r="DP918" i="10"/>
  <c r="DP919" i="10" s="1"/>
  <c r="DQ464" i="42"/>
  <c r="DQ122" i="42"/>
  <c r="DR124" i="42"/>
  <c r="DR464" i="42" s="1"/>
  <c r="DQ180" i="46"/>
  <c r="DQ184" i="46" s="1"/>
  <c r="DR184" i="46" s="1"/>
  <c r="DR915" i="10"/>
  <c r="DR181" i="46"/>
  <c r="AF11" i="41"/>
  <c r="BZ662" i="10"/>
  <c r="BZ664" i="10" s="1"/>
  <c r="BI85" i="49"/>
  <c r="BI183" i="49" s="1"/>
  <c r="BI286" i="49" s="1"/>
  <c r="BZ42" i="10"/>
  <c r="BI181" i="49"/>
  <c r="BI284" i="49" s="1"/>
  <c r="CA20" i="10"/>
  <c r="CA34" i="10" s="1"/>
  <c r="CX852" i="10"/>
  <c r="BZ48" i="49"/>
  <c r="CX846" i="10"/>
  <c r="CX985" i="10"/>
  <c r="BZ1186" i="10"/>
  <c r="BZ1033" i="10"/>
  <c r="CE20" i="10"/>
  <c r="CE34" i="10" s="1"/>
  <c r="DR150" i="20"/>
  <c r="DN912" i="20"/>
  <c r="DQ912" i="20"/>
  <c r="DR912" i="20" s="1"/>
  <c r="DR562" i="20"/>
  <c r="DS555" i="20"/>
  <c r="DP886" i="20"/>
  <c r="DN909" i="20"/>
  <c r="DN916" i="20" s="1"/>
  <c r="DQ909" i="20"/>
  <c r="DR909" i="20" s="1"/>
  <c r="DP805" i="20"/>
  <c r="DQ884" i="20"/>
  <c r="DP807" i="20"/>
  <c r="DR274" i="20"/>
  <c r="BR57" i="41"/>
  <c r="BS57" i="41"/>
  <c r="BP57" i="41"/>
  <c r="BJ119" i="46"/>
  <c r="BJ121" i="46" s="1"/>
  <c r="CU70" i="41"/>
  <c r="DO27" i="41"/>
  <c r="CC85" i="49"/>
  <c r="CC183" i="49" s="1"/>
  <c r="CC286" i="49" s="1"/>
  <c r="CX986" i="10"/>
  <c r="CX845" i="10"/>
  <c r="CX851" i="10"/>
  <c r="CX855" i="10"/>
  <c r="CX856" i="10"/>
  <c r="CX857" i="10"/>
  <c r="CX854" i="10"/>
  <c r="DF799" i="20"/>
  <c r="DG799" i="20" s="1"/>
  <c r="BN286" i="49"/>
  <c r="AT65" i="41"/>
  <c r="CS87" i="49"/>
  <c r="CS185" i="49" s="1"/>
  <c r="CS288" i="49" s="1"/>
  <c r="CQ77" i="49"/>
  <c r="CL175" i="49"/>
  <c r="CL178" i="49" s="1"/>
  <c r="CL181" i="49" s="1"/>
  <c r="CM77" i="49"/>
  <c r="CC87" i="49"/>
  <c r="CC185" i="49" s="1"/>
  <c r="CC288" i="49" s="1"/>
  <c r="CC289" i="49" s="1"/>
  <c r="DN723" i="10"/>
  <c r="CL278" i="49"/>
  <c r="CL281" i="49" s="1"/>
  <c r="CL284" i="49" s="1"/>
  <c r="BN185" i="49"/>
  <c r="BN12" i="49" s="1"/>
  <c r="BC65" i="41"/>
  <c r="CS85" i="49"/>
  <c r="CS183" i="49" s="1"/>
  <c r="CS286" i="49" s="1"/>
  <c r="CP798" i="20"/>
  <c r="CQ798" i="20" s="1"/>
  <c r="CW33" i="10"/>
  <c r="CV837" i="20"/>
  <c r="CW829" i="20"/>
  <c r="CW899" i="10"/>
  <c r="K66" i="41"/>
  <c r="AQ65" i="41"/>
  <c r="BK59" i="51"/>
  <c r="BK65" i="51" s="1"/>
  <c r="DG1026" i="10"/>
  <c r="DJ848" i="20"/>
  <c r="BW664" i="10"/>
  <c r="S64" i="51"/>
  <c r="DF885" i="20"/>
  <c r="AM64" i="51"/>
  <c r="AM65" i="51" s="1"/>
  <c r="T64" i="51"/>
  <c r="CW276" i="49"/>
  <c r="CW282" i="49" s="1"/>
  <c r="CV170" i="49"/>
  <c r="CQ170" i="49" s="1"/>
  <c r="CV164" i="49"/>
  <c r="CQ164" i="49" s="1"/>
  <c r="CV166" i="49"/>
  <c r="CQ166" i="49" s="1"/>
  <c r="CW179" i="49"/>
  <c r="CV162" i="49"/>
  <c r="CQ162" i="49" s="1"/>
  <c r="CV167" i="49"/>
  <c r="CQ167" i="49" s="1"/>
  <c r="CV163" i="49"/>
  <c r="CQ163" i="49" s="1"/>
  <c r="CV165" i="49"/>
  <c r="CQ165" i="49" s="1"/>
  <c r="CV171" i="49"/>
  <c r="CQ171" i="49" s="1"/>
  <c r="CV168" i="49"/>
  <c r="CQ168" i="49" s="1"/>
  <c r="CV169" i="49"/>
  <c r="CQ169" i="49" s="1"/>
  <c r="CV172" i="49"/>
  <c r="CQ172" i="49" s="1"/>
  <c r="BM181" i="49"/>
  <c r="BM284" i="49" s="1"/>
  <c r="BM87" i="49"/>
  <c r="BM85" i="49"/>
  <c r="BM183" i="49" s="1"/>
  <c r="BM286" i="49" s="1"/>
  <c r="BX1216" i="10"/>
  <c r="BZ1216" i="10" s="1"/>
  <c r="BZ1222" i="10" s="1"/>
  <c r="BX1226" i="10"/>
  <c r="BX1227" i="10" s="1"/>
  <c r="AD16" i="41"/>
  <c r="AH64" i="41" s="1"/>
  <c r="BX30" i="10"/>
  <c r="BZ30" i="10" s="1"/>
  <c r="BX54" i="49"/>
  <c r="BX706" i="10"/>
  <c r="BX707" i="10"/>
  <c r="BX1187" i="10" s="1"/>
  <c r="BX708" i="10"/>
  <c r="BX868" i="10" s="1"/>
  <c r="DI15" i="46"/>
  <c r="DI262" i="42"/>
  <c r="DJ106" i="42"/>
  <c r="DL331" i="42"/>
  <c r="BX173" i="49"/>
  <c r="BX83" i="49"/>
  <c r="BX81" i="49"/>
  <c r="AD59" i="41"/>
  <c r="AD38" i="41"/>
  <c r="AD39" i="41" s="1"/>
  <c r="AH68" i="41" s="1"/>
  <c r="BX855" i="10"/>
  <c r="BX986" i="10"/>
  <c r="BX985" i="10"/>
  <c r="BX852" i="10"/>
  <c r="BX853" i="10"/>
  <c r="BX850" i="10"/>
  <c r="BX856" i="10"/>
  <c r="BX854" i="10"/>
  <c r="BX851" i="10"/>
  <c r="BX846" i="10"/>
  <c r="BX845" i="10"/>
  <c r="BX857" i="10"/>
  <c r="CW181" i="49"/>
  <c r="CW284" i="49" s="1"/>
  <c r="CW85" i="49"/>
  <c r="CW183" i="49" s="1"/>
  <c r="CW286" i="49" s="1"/>
  <c r="CW87" i="49"/>
  <c r="CW185" i="49" s="1"/>
  <c r="AU65" i="41"/>
  <c r="CF319" i="42"/>
  <c r="CT275" i="42"/>
  <c r="CJ319" i="42"/>
  <c r="DI805" i="20"/>
  <c r="DJ805" i="20" s="1"/>
  <c r="DM841" i="20"/>
  <c r="CZ403" i="42"/>
  <c r="DE887" i="20"/>
  <c r="DE895" i="20" s="1"/>
  <c r="AN383" i="42"/>
  <c r="AO383" i="42" s="1"/>
  <c r="AP383" i="42" s="1"/>
  <c r="AO382" i="42"/>
  <c r="AP382" i="42" s="1"/>
  <c r="AO387" i="42"/>
  <c r="AO385" i="42" s="1"/>
  <c r="AP380" i="42"/>
  <c r="BF65" i="41"/>
  <c r="DL475" i="42"/>
  <c r="CD185" i="49"/>
  <c r="CD183" i="49"/>
  <c r="CC431" i="10"/>
  <c r="CF431" i="10" s="1"/>
  <c r="BJ185" i="49"/>
  <c r="BJ12" i="49" s="1"/>
  <c r="BJ183" i="49"/>
  <c r="BF288" i="49"/>
  <c r="BF286" i="49"/>
  <c r="BY434" i="10"/>
  <c r="CB434" i="10" s="1"/>
  <c r="AF26" i="51"/>
  <c r="AF10" i="51" s="1"/>
  <c r="BZ19" i="20"/>
  <c r="BC26" i="51"/>
  <c r="BC10" i="51" s="1"/>
  <c r="CT19" i="20"/>
  <c r="CT185" i="49"/>
  <c r="CT183" i="49"/>
  <c r="BY428" i="10"/>
  <c r="CB428" i="10" s="1"/>
  <c r="BV288" i="49"/>
  <c r="BV286" i="49"/>
  <c r="BY429" i="10"/>
  <c r="CB429" i="10" s="1"/>
  <c r="BY435" i="10"/>
  <c r="CB435" i="10" s="1"/>
  <c r="H64" i="41"/>
  <c r="H18" i="41"/>
  <c r="BP34" i="10"/>
  <c r="BP545" i="42"/>
  <c r="BP20" i="20"/>
  <c r="V22" i="41"/>
  <c r="V66" i="41" s="1"/>
  <c r="DI105" i="42"/>
  <c r="DL360" i="42"/>
  <c r="BN308" i="49"/>
  <c r="BN310" i="49"/>
  <c r="AB58" i="51"/>
  <c r="AB59" i="51" s="1"/>
  <c r="CM664" i="10"/>
  <c r="CL844" i="10"/>
  <c r="DM491" i="42"/>
  <c r="EX40" i="41" s="1"/>
  <c r="DM474" i="42"/>
  <c r="DN474" i="42" s="1"/>
  <c r="DN477" i="42" s="1"/>
  <c r="DM476" i="42"/>
  <c r="EX35" i="41"/>
  <c r="BF1" i="10"/>
  <c r="BE170" i="10"/>
  <c r="BE393" i="10"/>
  <c r="BE172" i="10"/>
  <c r="BE390" i="10"/>
  <c r="BE394" i="10"/>
  <c r="BE168" i="10"/>
  <c r="BE169" i="10"/>
  <c r="BE392" i="10"/>
  <c r="BE395" i="10"/>
  <c r="BE171" i="10"/>
  <c r="BE391" i="10"/>
  <c r="DJ846" i="20"/>
  <c r="CC545" i="42"/>
  <c r="CC20" i="20"/>
  <c r="AI22" i="41"/>
  <c r="DJ52" i="49"/>
  <c r="DJ79" i="49" s="1"/>
  <c r="DK79" i="49" s="1"/>
  <c r="DJ951" i="10"/>
  <c r="DJ952" i="10" s="1"/>
  <c r="BP14" i="41"/>
  <c r="BP62" i="41" s="1"/>
  <c r="DY31" i="41"/>
  <c r="CT896" i="10"/>
  <c r="CT866" i="10"/>
  <c r="CT894" i="10"/>
  <c r="CT1018" i="10"/>
  <c r="CT895" i="10"/>
  <c r="CT906" i="10" s="1"/>
  <c r="CT893" i="10"/>
  <c r="CT904" i="10" s="1"/>
  <c r="CT891" i="10"/>
  <c r="CT902" i="10" s="1"/>
  <c r="CT892" i="10"/>
  <c r="CT903" i="10" s="1"/>
  <c r="CX288" i="49"/>
  <c r="CX286" i="49"/>
  <c r="EK31" i="41"/>
  <c r="DI886" i="20"/>
  <c r="DJ886" i="20" s="1"/>
  <c r="DM952" i="20"/>
  <c r="AN43" i="43"/>
  <c r="AO290" i="42"/>
  <c r="AN296" i="42"/>
  <c r="AZ11" i="43"/>
  <c r="AZ47" i="43"/>
  <c r="CS909" i="10"/>
  <c r="BH545" i="42"/>
  <c r="BH34" i="10"/>
  <c r="BH20" i="20"/>
  <c r="N22" i="41"/>
  <c r="N66" i="41" s="1"/>
  <c r="AR425" i="42"/>
  <c r="AT423" i="42"/>
  <c r="BL117" i="49"/>
  <c r="BL119" i="49" s="1"/>
  <c r="BL30" i="43"/>
  <c r="BL13" i="43"/>
  <c r="BH68" i="41"/>
  <c r="BH82" i="41"/>
  <c r="AH18" i="41"/>
  <c r="CB59" i="49"/>
  <c r="CB8" i="43"/>
  <c r="CB58" i="46"/>
  <c r="CB55" i="46" s="1"/>
  <c r="CB543" i="42"/>
  <c r="CB32" i="10"/>
  <c r="CB445" i="42"/>
  <c r="CD30" i="10"/>
  <c r="CI30" i="10" s="1"/>
  <c r="CB1104" i="10"/>
  <c r="AH20" i="41"/>
  <c r="AL65" i="41" s="1"/>
  <c r="EC31" i="41"/>
  <c r="DI885" i="20"/>
  <c r="DM951" i="20"/>
  <c r="CW545" i="42"/>
  <c r="CW20" i="20"/>
  <c r="BC22" i="41"/>
  <c r="CW47" i="43"/>
  <c r="CW9" i="43"/>
  <c r="CW11" i="43"/>
  <c r="BJ235" i="49"/>
  <c r="BJ338" i="49"/>
  <c r="CD299" i="49"/>
  <c r="CD196" i="49"/>
  <c r="CM882" i="20"/>
  <c r="CL894" i="20"/>
  <c r="DI210" i="10"/>
  <c r="CB909" i="10"/>
  <c r="CJ322" i="10"/>
  <c r="CJ325" i="10"/>
  <c r="AU57" i="51"/>
  <c r="CY929" i="10"/>
  <c r="CX930" i="10"/>
  <c r="CX898" i="10"/>
  <c r="CN545" i="42"/>
  <c r="CN20" i="20"/>
  <c r="AT22" i="41"/>
  <c r="CP55" i="46"/>
  <c r="CN56" i="46"/>
  <c r="CD1009" i="10"/>
  <c r="BH19" i="20"/>
  <c r="BH31" i="20"/>
  <c r="BD19" i="20"/>
  <c r="BD31" i="20"/>
  <c r="BD64" i="41"/>
  <c r="BD18" i="41"/>
  <c r="DB185" i="49"/>
  <c r="DB183" i="49"/>
  <c r="AB25" i="51"/>
  <c r="BV30" i="20"/>
  <c r="AA65" i="41"/>
  <c r="BV308" i="49"/>
  <c r="BV310" i="49"/>
  <c r="K20" i="51"/>
  <c r="BB25" i="20"/>
  <c r="BB17" i="20"/>
  <c r="AQ20" i="51"/>
  <c r="CH25" i="20"/>
  <c r="CH17" i="20"/>
  <c r="CT87" i="49"/>
  <c r="CT5" i="49" s="1"/>
  <c r="CT85" i="49"/>
  <c r="BL60" i="46"/>
  <c r="BN56" i="46"/>
  <c r="BF56" i="46"/>
  <c r="BF60" i="46" s="1"/>
  <c r="BD60" i="46"/>
  <c r="CP185" i="49"/>
  <c r="CP183" i="49"/>
  <c r="DB853" i="10"/>
  <c r="DB857" i="10"/>
  <c r="DB855" i="10"/>
  <c r="DB845" i="10"/>
  <c r="DB985" i="10"/>
  <c r="DB986" i="10"/>
  <c r="DC986" i="10" s="1"/>
  <c r="DB856" i="10"/>
  <c r="DB854" i="10"/>
  <c r="DB852" i="10"/>
  <c r="DB846" i="10"/>
  <c r="DB850" i="10"/>
  <c r="DB851" i="10"/>
  <c r="AR18" i="41"/>
  <c r="AR64" i="41"/>
  <c r="DL35" i="42"/>
  <c r="EW43" i="41"/>
  <c r="AX65" i="41"/>
  <c r="CR545" i="42"/>
  <c r="CR20" i="20"/>
  <c r="AX22" i="41"/>
  <c r="CR47" i="43"/>
  <c r="CR9" i="43"/>
  <c r="CR11" i="43"/>
  <c r="AF38" i="41"/>
  <c r="AF39" i="41" s="1"/>
  <c r="AF68" i="41" s="1"/>
  <c r="AF59" i="41"/>
  <c r="CL179" i="49"/>
  <c r="CF891" i="20"/>
  <c r="CK888" i="20"/>
  <c r="CL888" i="20" s="1"/>
  <c r="CL896" i="20" s="1"/>
  <c r="CK894" i="20"/>
  <c r="CG274" i="42"/>
  <c r="CG447" i="42"/>
  <c r="CG47" i="43"/>
  <c r="CG9" i="43"/>
  <c r="CG11" i="43"/>
  <c r="O20" i="51"/>
  <c r="BF17" i="20"/>
  <c r="BF25" i="20"/>
  <c r="CP298" i="49"/>
  <c r="CP347" i="49"/>
  <c r="CP321" i="49"/>
  <c r="CP323" i="49" s="1"/>
  <c r="CP24" i="49"/>
  <c r="CP339" i="49"/>
  <c r="BT19" i="20"/>
  <c r="BT31" i="20"/>
  <c r="DM884" i="20"/>
  <c r="AM25" i="51"/>
  <c r="CD30" i="20"/>
  <c r="CD17" i="20"/>
  <c r="BE1" i="20"/>
  <c r="BH2" i="20"/>
  <c r="CL369" i="20"/>
  <c r="CX274" i="42"/>
  <c r="CV271" i="42"/>
  <c r="BH18" i="41"/>
  <c r="BH64" i="41"/>
  <c r="CT930" i="10"/>
  <c r="CT898" i="10"/>
  <c r="CU929" i="10"/>
  <c r="CI929" i="10"/>
  <c r="CH930" i="10"/>
  <c r="CH898" i="10"/>
  <c r="CM31" i="41"/>
  <c r="AX545" i="42"/>
  <c r="AX34" i="10"/>
  <c r="BP19" i="20"/>
  <c r="BP31" i="20"/>
  <c r="AY58" i="51"/>
  <c r="CQ664" i="10"/>
  <c r="CP844" i="10"/>
  <c r="S58" i="51"/>
  <c r="S59" i="51" s="1"/>
  <c r="DB887" i="20"/>
  <c r="CZ895" i="20"/>
  <c r="DA545" i="42"/>
  <c r="DA20" i="20"/>
  <c r="BG22" i="41"/>
  <c r="CL59" i="49"/>
  <c r="CL58" i="46"/>
  <c r="CL8" i="43"/>
  <c r="CL543" i="42"/>
  <c r="CL32" i="10"/>
  <c r="CM30" i="10"/>
  <c r="CL1104" i="10"/>
  <c r="AR20" i="41"/>
  <c r="CJ9" i="43"/>
  <c r="CJ11" i="43"/>
  <c r="CJ47" i="43"/>
  <c r="CH1217" i="10"/>
  <c r="CD1194" i="10"/>
  <c r="DO26" i="41" s="1"/>
  <c r="DO24" i="41"/>
  <c r="CX185" i="49"/>
  <c r="CX183" i="49"/>
  <c r="BY1217" i="10"/>
  <c r="BY1222" i="10"/>
  <c r="BR424" i="42"/>
  <c r="BR429" i="42"/>
  <c r="BR439" i="42" s="1"/>
  <c r="CL928" i="10"/>
  <c r="CJ866" i="10"/>
  <c r="CJ1018" i="10"/>
  <c r="CJ894" i="10"/>
  <c r="CJ896" i="10"/>
  <c r="CJ895" i="10"/>
  <c r="CJ906" i="10" s="1"/>
  <c r="CJ891" i="10"/>
  <c r="CJ902" i="10" s="1"/>
  <c r="CJ892" i="10"/>
  <c r="CJ903" i="10" s="1"/>
  <c r="CJ893" i="10"/>
  <c r="CJ904" i="10" s="1"/>
  <c r="AG275" i="42"/>
  <c r="AH446" i="42"/>
  <c r="AG447" i="42"/>
  <c r="CB87" i="49"/>
  <c r="CB185" i="49" s="1"/>
  <c r="CB288" i="49" s="1"/>
  <c r="CB289" i="49" s="1"/>
  <c r="CB181" i="49"/>
  <c r="CB284" i="49" s="1"/>
  <c r="CB85" i="49"/>
  <c r="CB183" i="49" s="1"/>
  <c r="CB286" i="49" s="1"/>
  <c r="AQ64" i="51"/>
  <c r="AN82" i="41"/>
  <c r="EE29" i="41"/>
  <c r="DG1024" i="10"/>
  <c r="DK1024" i="10"/>
  <c r="EI29" i="41"/>
  <c r="BE13" i="43"/>
  <c r="BE30" i="43"/>
  <c r="BR25" i="20"/>
  <c r="BR17" i="20"/>
  <c r="CP806" i="20"/>
  <c r="BR1187" i="10"/>
  <c r="CS47" i="43"/>
  <c r="CS9" i="43"/>
  <c r="CS11" i="43"/>
  <c r="AU25" i="51"/>
  <c r="CL30" i="20"/>
  <c r="BL97" i="49"/>
  <c r="BN275" i="42"/>
  <c r="BY432" i="10"/>
  <c r="CB432" i="10" s="1"/>
  <c r="BY433" i="10"/>
  <c r="CB433" i="10" s="1"/>
  <c r="BE1" i="43"/>
  <c r="BH2" i="43"/>
  <c r="DD887" i="20"/>
  <c r="DH895" i="20" s="1"/>
  <c r="DF884" i="20"/>
  <c r="CZ33" i="10"/>
  <c r="AB64" i="51"/>
  <c r="CT369" i="20"/>
  <c r="CZ900" i="20"/>
  <c r="CZ920" i="20"/>
  <c r="AV60" i="46"/>
  <c r="AX56" i="46"/>
  <c r="AX60" i="46" s="1"/>
  <c r="CV866" i="10"/>
  <c r="CV894" i="10"/>
  <c r="CX928" i="10"/>
  <c r="CV1018" i="10"/>
  <c r="CV896" i="10"/>
  <c r="CV895" i="10"/>
  <c r="CV906" i="10" s="1"/>
  <c r="CV892" i="10"/>
  <c r="CV903" i="10" s="1"/>
  <c r="CV893" i="10"/>
  <c r="CV904" i="10" s="1"/>
  <c r="CV891" i="10"/>
  <c r="CV902" i="10" s="1"/>
  <c r="CD207" i="49"/>
  <c r="CD205" i="49"/>
  <c r="DU31" i="41"/>
  <c r="CF33" i="10"/>
  <c r="CF545" i="42"/>
  <c r="CF20" i="20"/>
  <c r="AL22" i="41"/>
  <c r="CT288" i="49"/>
  <c r="CT286" i="49"/>
  <c r="BP274" i="42"/>
  <c r="BP447" i="42"/>
  <c r="BP115" i="49"/>
  <c r="BP141" i="49" s="1"/>
  <c r="BP9" i="43"/>
  <c r="BP11" i="43"/>
  <c r="BP47" i="43"/>
  <c r="CD288" i="49"/>
  <c r="CD286" i="49"/>
  <c r="DI272" i="42"/>
  <c r="DJ272" i="42" s="1"/>
  <c r="DJ94" i="49" s="1"/>
  <c r="DJ361" i="42"/>
  <c r="DJ362" i="42" s="1"/>
  <c r="DJ105" i="42" s="1"/>
  <c r="CL207" i="49"/>
  <c r="CP190" i="49" s="1"/>
  <c r="CL205" i="49"/>
  <c r="CP189" i="49" s="1"/>
  <c r="AV702" i="10"/>
  <c r="AV701" i="10"/>
  <c r="BN207" i="49"/>
  <c r="BN205" i="49"/>
  <c r="DM16" i="42"/>
  <c r="DN122" i="42"/>
  <c r="DN16" i="42" s="1"/>
  <c r="DM138" i="42"/>
  <c r="DM601" i="20" s="1"/>
  <c r="BH1" i="10"/>
  <c r="BI3" i="10"/>
  <c r="AY25" i="51"/>
  <c r="CP30" i="20"/>
  <c r="DL805" i="20"/>
  <c r="CC274" i="42"/>
  <c r="CC447" i="42"/>
  <c r="DL951" i="20"/>
  <c r="DP951" i="20" s="1"/>
  <c r="DJ951" i="20"/>
  <c r="DJ956" i="20" s="1"/>
  <c r="DL52" i="49"/>
  <c r="DL79" i="49" s="1"/>
  <c r="DN23" i="10"/>
  <c r="DL951" i="10"/>
  <c r="DL952" i="10" s="1"/>
  <c r="BR14" i="41"/>
  <c r="EA31" i="41"/>
  <c r="DL202" i="10"/>
  <c r="DL192" i="10"/>
  <c r="DL240" i="10"/>
  <c r="EW59" i="41"/>
  <c r="AL28" i="51"/>
  <c r="BT545" i="42"/>
  <c r="BT34" i="10"/>
  <c r="BT20" i="20"/>
  <c r="Z22" i="41"/>
  <c r="BT274" i="42"/>
  <c r="BT447" i="42"/>
  <c r="DD918" i="20"/>
  <c r="DD913" i="20"/>
  <c r="BB59" i="49"/>
  <c r="BB8" i="43"/>
  <c r="BB58" i="46"/>
  <c r="BB32" i="10"/>
  <c r="BF34" i="10" s="1"/>
  <c r="BB543" i="42"/>
  <c r="BB541" i="42" s="1"/>
  <c r="BB1104" i="10"/>
  <c r="H20" i="41"/>
  <c r="H65" i="41" s="1"/>
  <c r="BA33" i="10"/>
  <c r="BB55" i="46"/>
  <c r="AZ56" i="46"/>
  <c r="CS896" i="10"/>
  <c r="CS1018" i="10"/>
  <c r="CS866" i="10"/>
  <c r="CS894" i="10"/>
  <c r="CS895" i="10"/>
  <c r="CS906" i="10" s="1"/>
  <c r="CS893" i="10"/>
  <c r="CS904" i="10" s="1"/>
  <c r="CS892" i="10"/>
  <c r="CS903" i="10" s="1"/>
  <c r="CS891" i="10"/>
  <c r="CS902" i="10" s="1"/>
  <c r="BJ59" i="49"/>
  <c r="BJ8" i="43"/>
  <c r="BO8" i="43" s="1"/>
  <c r="BJ58" i="46"/>
  <c r="BJ32" i="10"/>
  <c r="BN34" i="10" s="1"/>
  <c r="BJ543" i="42"/>
  <c r="BJ445" i="42"/>
  <c r="BK30" i="10"/>
  <c r="BJ1104" i="10"/>
  <c r="P20" i="41"/>
  <c r="P65" i="41" s="1"/>
  <c r="BH47" i="43"/>
  <c r="BH11" i="43"/>
  <c r="BH9" i="43"/>
  <c r="K63" i="51"/>
  <c r="R65" i="41"/>
  <c r="BA19" i="20"/>
  <c r="BA33" i="20" s="1"/>
  <c r="BA31" i="20"/>
  <c r="BQ545" i="42"/>
  <c r="BQ34" i="10"/>
  <c r="BQ20" i="20"/>
  <c r="W22" i="41"/>
  <c r="CN909" i="10"/>
  <c r="CD1226" i="10"/>
  <c r="CD1227" i="10" s="1"/>
  <c r="CB1227" i="10"/>
  <c r="CE704" i="10"/>
  <c r="CD708" i="10"/>
  <c r="CD868" i="10" s="1"/>
  <c r="CD707" i="10"/>
  <c r="CD1187" i="10" s="1"/>
  <c r="CD706" i="10"/>
  <c r="BM19" i="20"/>
  <c r="BM31" i="20"/>
  <c r="DN919" i="20"/>
  <c r="EE31" i="41"/>
  <c r="CR878" i="20"/>
  <c r="CR882" i="20" s="1"/>
  <c r="CR905" i="20"/>
  <c r="BR185" i="49"/>
  <c r="BR183" i="49"/>
  <c r="DA913" i="20"/>
  <c r="DA918" i="20"/>
  <c r="CQ929" i="10"/>
  <c r="CP930" i="10"/>
  <c r="CP898" i="10"/>
  <c r="CK909" i="10"/>
  <c r="DN126" i="10"/>
  <c r="DB866" i="10"/>
  <c r="DB894" i="10"/>
  <c r="DB896" i="10"/>
  <c r="DB895" i="10"/>
  <c r="DB906" i="10" s="1"/>
  <c r="DB893" i="10"/>
  <c r="DB904" i="10" s="1"/>
  <c r="DB891" i="10"/>
  <c r="DB902" i="10" s="1"/>
  <c r="DB892" i="10"/>
  <c r="DB903" i="10" s="1"/>
  <c r="CP59" i="49"/>
  <c r="CP8" i="43"/>
  <c r="CP58" i="46"/>
  <c r="CP32" i="10"/>
  <c r="CP543" i="42"/>
  <c r="CQ30" i="10"/>
  <c r="CP1104" i="10"/>
  <c r="AV20" i="41"/>
  <c r="CN9" i="43"/>
  <c r="CN47" i="43"/>
  <c r="CN11" i="43"/>
  <c r="BG20" i="51"/>
  <c r="CX25" i="20"/>
  <c r="CX17" i="20"/>
  <c r="DB31" i="20" s="1"/>
  <c r="CD1032" i="10"/>
  <c r="DB402" i="42"/>
  <c r="DD399" i="42" s="1"/>
  <c r="DF399" i="42" s="1"/>
  <c r="CL87" i="49"/>
  <c r="CL85" i="49"/>
  <c r="BZ930" i="10"/>
  <c r="BZ898" i="10"/>
  <c r="BR205" i="49"/>
  <c r="BR207" i="49"/>
  <c r="CP87" i="49"/>
  <c r="CP5" i="49" s="1"/>
  <c r="CP85" i="49"/>
  <c r="BZ173" i="49"/>
  <c r="DB1217" i="10"/>
  <c r="DB1218" i="10" s="1"/>
  <c r="CZ1218" i="10"/>
  <c r="BU545" i="42"/>
  <c r="BU34" i="10"/>
  <c r="BU20" i="20"/>
  <c r="AA22" i="41"/>
  <c r="T58" i="51"/>
  <c r="T59" i="51" s="1"/>
  <c r="BA546" i="42"/>
  <c r="BA547" i="42"/>
  <c r="AF25" i="51"/>
  <c r="BZ30" i="20"/>
  <c r="CE75" i="49"/>
  <c r="CD83" i="49"/>
  <c r="CD81" i="49"/>
  <c r="BN55" i="46"/>
  <c r="BF59" i="46"/>
  <c r="CK545" i="42"/>
  <c r="CK20" i="20"/>
  <c r="AQ22" i="41"/>
  <c r="BL5" i="49"/>
  <c r="BL185" i="49"/>
  <c r="CE890" i="20"/>
  <c r="CD891" i="20"/>
  <c r="CE891" i="20" s="1"/>
  <c r="BF185" i="49"/>
  <c r="BF183" i="49"/>
  <c r="K25" i="51"/>
  <c r="BB30" i="20"/>
  <c r="CL282" i="49"/>
  <c r="CM80" i="49"/>
  <c r="CQ80" i="49"/>
  <c r="CO899" i="10"/>
  <c r="DN44" i="49"/>
  <c r="DN72" i="49" s="1"/>
  <c r="BT37" i="41"/>
  <c r="BT8" i="41"/>
  <c r="AJ46" i="43"/>
  <c r="AJ48" i="43"/>
  <c r="BY276" i="49"/>
  <c r="BY282" i="49" s="1"/>
  <c r="BY179" i="49"/>
  <c r="DL886" i="20"/>
  <c r="AM65" i="41"/>
  <c r="AP425" i="42"/>
  <c r="AO412" i="42"/>
  <c r="AO413" i="42"/>
  <c r="AP413" i="42" s="1"/>
  <c r="AP411" i="42"/>
  <c r="BV1217" i="10"/>
  <c r="BV1218" i="10" s="1"/>
  <c r="BT1218" i="10"/>
  <c r="DB288" i="49"/>
  <c r="DB286" i="49"/>
  <c r="CX59" i="49"/>
  <c r="CX58" i="46"/>
  <c r="CX8" i="43"/>
  <c r="CX445" i="42"/>
  <c r="CX32" i="10"/>
  <c r="CY30" i="10"/>
  <c r="CX543" i="42"/>
  <c r="CX1104" i="10"/>
  <c r="BD20" i="41"/>
  <c r="CV9" i="43"/>
  <c r="CV11" i="43"/>
  <c r="CV47" i="43"/>
  <c r="BA30" i="43"/>
  <c r="BA13" i="43"/>
  <c r="BJ1217" i="10"/>
  <c r="BJ1218" i="10" s="1"/>
  <c r="BH1218" i="10"/>
  <c r="CW1030" i="10"/>
  <c r="DA1018" i="10"/>
  <c r="DE1018" i="10" s="1"/>
  <c r="CW996" i="10"/>
  <c r="CW994" i="10"/>
  <c r="CW991" i="10"/>
  <c r="CW995" i="10"/>
  <c r="CW1006" i="10" s="1"/>
  <c r="CW992" i="10"/>
  <c r="CW1003" i="10" s="1"/>
  <c r="CW993" i="10"/>
  <c r="CW1004" i="10" s="1"/>
  <c r="CW1020" i="10"/>
  <c r="CO19" i="20"/>
  <c r="CO31" i="20"/>
  <c r="BO30" i="10"/>
  <c r="BN115" i="49"/>
  <c r="BN9" i="43"/>
  <c r="BN11" i="43"/>
  <c r="BN47" i="43"/>
  <c r="BF545" i="42"/>
  <c r="BF20" i="20"/>
  <c r="L22" i="41"/>
  <c r="AG515" i="42"/>
  <c r="AG520" i="42" s="1"/>
  <c r="AG516" i="42"/>
  <c r="AG521" i="42" s="1"/>
  <c r="AP65" i="41"/>
  <c r="DI799" i="20"/>
  <c r="DM820" i="20"/>
  <c r="DQ820" i="20" s="1"/>
  <c r="DI821" i="20"/>
  <c r="DI825" i="20" s="1"/>
  <c r="AZ67" i="10"/>
  <c r="AZ69" i="10"/>
  <c r="AZ768" i="10"/>
  <c r="AZ763" i="10"/>
  <c r="AZ764" i="10"/>
  <c r="AZ766" i="10"/>
  <c r="AZ1080" i="10"/>
  <c r="AZ176" i="10"/>
  <c r="AZ769" i="10"/>
  <c r="AZ765" i="10"/>
  <c r="AZ175" i="10"/>
  <c r="AZ767" i="10"/>
  <c r="AZ174" i="10"/>
  <c r="AZ1086" i="10"/>
  <c r="AZ1089" i="10" s="1"/>
  <c r="AZ1091" i="10" s="1"/>
  <c r="AZ1092" i="10" s="1"/>
  <c r="AZ1093" i="10" s="1"/>
  <c r="AZ1096" i="10" s="1"/>
  <c r="AZ770" i="10"/>
  <c r="AZ771" i="10"/>
  <c r="AZ1085" i="10"/>
  <c r="CU1031" i="10"/>
  <c r="CT1032" i="10"/>
  <c r="AZ19" i="20"/>
  <c r="AZ33" i="20" s="1"/>
  <c r="AZ31" i="20"/>
  <c r="CR806" i="20"/>
  <c r="CR847" i="20"/>
  <c r="CR844" i="20"/>
  <c r="CR849" i="20" s="1"/>
  <c r="AZ18" i="41"/>
  <c r="AZ64" i="41"/>
  <c r="BY1227" i="10"/>
  <c r="CP275" i="42"/>
  <c r="DW29" i="41"/>
  <c r="CW900" i="20"/>
  <c r="CX900" i="20" s="1"/>
  <c r="CX904" i="20" s="1"/>
  <c r="CW920" i="20"/>
  <c r="AK43" i="43"/>
  <c r="AK296" i="42"/>
  <c r="AL296" i="42" s="1"/>
  <c r="BY909" i="10"/>
  <c r="CX97" i="49"/>
  <c r="AY64" i="51"/>
  <c r="CP313" i="42"/>
  <c r="CP320" i="42"/>
  <c r="CP315" i="42"/>
  <c r="DB87" i="49"/>
  <c r="DB5" i="49" s="1"/>
  <c r="DB85" i="49"/>
  <c r="BG58" i="51"/>
  <c r="CY29" i="41"/>
  <c r="BF447" i="42"/>
  <c r="BI33" i="10"/>
  <c r="BZ308" i="49"/>
  <c r="BZ310" i="49"/>
  <c r="CR297" i="10"/>
  <c r="CO299" i="10"/>
  <c r="BP5" i="49"/>
  <c r="BP185" i="49"/>
  <c r="CN19" i="20"/>
  <c r="CN31" i="20"/>
  <c r="AB18" i="41"/>
  <c r="AB64" i="41"/>
  <c r="BS62" i="41"/>
  <c r="BZ83" i="49"/>
  <c r="CA75" i="49"/>
  <c r="BZ81" i="49"/>
  <c r="BM274" i="42"/>
  <c r="BN274" i="42" s="1"/>
  <c r="BM447" i="42"/>
  <c r="AV546" i="42"/>
  <c r="AV547" i="42"/>
  <c r="BJ288" i="49"/>
  <c r="BJ24" i="49" s="1"/>
  <c r="BO24" i="49" s="1"/>
  <c r="BJ286" i="49"/>
  <c r="CD308" i="49"/>
  <c r="CD310" i="49"/>
  <c r="BZ276" i="49"/>
  <c r="CZ545" i="42"/>
  <c r="CZ20" i="20"/>
  <c r="BF22" i="41"/>
  <c r="DB274" i="42"/>
  <c r="CZ271" i="42"/>
  <c r="BM115" i="49"/>
  <c r="BM141" i="49" s="1"/>
  <c r="BM47" i="43"/>
  <c r="BM9" i="43"/>
  <c r="BM11" i="43"/>
  <c r="DF821" i="20"/>
  <c r="DF825" i="20" s="1"/>
  <c r="DD825" i="20"/>
  <c r="BI19" i="20"/>
  <c r="BI31" i="20"/>
  <c r="AR63" i="41"/>
  <c r="AV63" i="41"/>
  <c r="DW27" i="41"/>
  <c r="CJ1009" i="10"/>
  <c r="BF369" i="20"/>
  <c r="AX59" i="46"/>
  <c r="CV909" i="10"/>
  <c r="BJ308" i="49"/>
  <c r="BJ310" i="49"/>
  <c r="BF274" i="42"/>
  <c r="BF96" i="49" s="1"/>
  <c r="BD271" i="42"/>
  <c r="BD546" i="42"/>
  <c r="BD547" i="42"/>
  <c r="DG29" i="41"/>
  <c r="DF955" i="20"/>
  <c r="DF953" i="20"/>
  <c r="DF958" i="20" s="1"/>
  <c r="CF274" i="42"/>
  <c r="CF447" i="42"/>
  <c r="CF9" i="43"/>
  <c r="CF11" i="43"/>
  <c r="CF47" i="43"/>
  <c r="BR58" i="46"/>
  <c r="BR8" i="43"/>
  <c r="BR59" i="49"/>
  <c r="BR445" i="42"/>
  <c r="BR32" i="10"/>
  <c r="BS30" i="10"/>
  <c r="BR543" i="42"/>
  <c r="BR1104" i="10"/>
  <c r="X20" i="41"/>
  <c r="X65" i="41" s="1"/>
  <c r="BR55" i="46"/>
  <c r="BP56" i="46"/>
  <c r="BF87" i="49"/>
  <c r="BF85" i="49"/>
  <c r="BZ275" i="42"/>
  <c r="CL308" i="49"/>
  <c r="CP292" i="49" s="1"/>
  <c r="CL310" i="49"/>
  <c r="CP293" i="49" s="1"/>
  <c r="AB20" i="51"/>
  <c r="BV17" i="20"/>
  <c r="BV25" i="20"/>
  <c r="CL878" i="20"/>
  <c r="CM878" i="20" s="1"/>
  <c r="CL905" i="20"/>
  <c r="DN180" i="46"/>
  <c r="CP369" i="20"/>
  <c r="CC47" i="43"/>
  <c r="CC9" i="43"/>
  <c r="CC11" i="43"/>
  <c r="CJ314" i="10"/>
  <c r="CJ323" i="10"/>
  <c r="DL254" i="10"/>
  <c r="DL255" i="10" s="1"/>
  <c r="DJ915" i="20"/>
  <c r="CR1030" i="10"/>
  <c r="CR996" i="10"/>
  <c r="CR994" i="10"/>
  <c r="CR995" i="10"/>
  <c r="CR1006" i="10" s="1"/>
  <c r="CR991" i="10"/>
  <c r="CR1020" i="10"/>
  <c r="CR993" i="10"/>
  <c r="CR1004" i="10" s="1"/>
  <c r="CR992" i="10"/>
  <c r="CR1003" i="10" s="1"/>
  <c r="BV185" i="49"/>
  <c r="BV183" i="49"/>
  <c r="CN894" i="20"/>
  <c r="CN888" i="20"/>
  <c r="CC909" i="10"/>
  <c r="BV59" i="49"/>
  <c r="BV58" i="46"/>
  <c r="BV8" i="43"/>
  <c r="BV543" i="42"/>
  <c r="BV32" i="10"/>
  <c r="BV445" i="42"/>
  <c r="BW30" i="10"/>
  <c r="BV1104" i="10"/>
  <c r="AB20" i="41"/>
  <c r="BV55" i="46"/>
  <c r="BT56" i="46"/>
  <c r="BV369" i="20"/>
  <c r="BR97" i="49"/>
  <c r="BC25" i="51"/>
  <c r="CT30" i="20"/>
  <c r="DL908" i="20"/>
  <c r="CP803" i="20"/>
  <c r="CP814" i="20" s="1"/>
  <c r="CN809" i="20"/>
  <c r="CN814" i="20"/>
  <c r="BK26" i="51"/>
  <c r="BK10" i="51" s="1"/>
  <c r="DB19" i="20"/>
  <c r="O25" i="51"/>
  <c r="BF30" i="20"/>
  <c r="BH274" i="42"/>
  <c r="BH447" i="42"/>
  <c r="AV30" i="43"/>
  <c r="AV13" i="43"/>
  <c r="BL133" i="49"/>
  <c r="BL48" i="43"/>
  <c r="BL49" i="43"/>
  <c r="BL50" i="43"/>
  <c r="BL57" i="43"/>
  <c r="BQ274" i="42"/>
  <c r="BQ447" i="42"/>
  <c r="BQ115" i="49"/>
  <c r="BQ141" i="49" s="1"/>
  <c r="BQ47" i="43"/>
  <c r="BQ9" i="43"/>
  <c r="BQ11" i="43"/>
  <c r="CX30" i="20"/>
  <c r="AN18" i="41"/>
  <c r="CB1222" i="10"/>
  <c r="CD1216" i="10"/>
  <c r="CD1222" i="10" s="1"/>
  <c r="CB1217" i="10"/>
  <c r="CO47" i="43"/>
  <c r="CO9" i="43"/>
  <c r="CO11" i="43"/>
  <c r="AP26" i="51"/>
  <c r="CG19" i="20"/>
  <c r="CG31" i="20"/>
  <c r="BZ708" i="10"/>
  <c r="BZ868" i="10" s="1"/>
  <c r="BZ707" i="10"/>
  <c r="BZ1187" i="10" s="1"/>
  <c r="BZ706" i="10"/>
  <c r="DI910" i="20"/>
  <c r="DF910" i="20"/>
  <c r="DE911" i="20"/>
  <c r="CL1194" i="10"/>
  <c r="DW26" i="41" s="1"/>
  <c r="CH369" i="20"/>
  <c r="CK866" i="10"/>
  <c r="CK1018" i="10"/>
  <c r="CK896" i="10"/>
  <c r="CK894" i="10"/>
  <c r="CK895" i="10"/>
  <c r="CK906" i="10" s="1"/>
  <c r="CK891" i="10"/>
  <c r="CK902" i="10" s="1"/>
  <c r="CK892" i="10"/>
  <c r="CK903" i="10" s="1"/>
  <c r="CK893" i="10"/>
  <c r="CK904" i="10" s="1"/>
  <c r="CD928" i="10"/>
  <c r="CB866" i="10"/>
  <c r="CB896" i="10"/>
  <c r="CB1018" i="10"/>
  <c r="CB894" i="10"/>
  <c r="CB905" i="10" s="1"/>
  <c r="CB895" i="10"/>
  <c r="CB906" i="10" s="1"/>
  <c r="CB893" i="10"/>
  <c r="CB904" i="10" s="1"/>
  <c r="CB891" i="10"/>
  <c r="CB902" i="10" s="1"/>
  <c r="CB892" i="10"/>
  <c r="CB903" i="10" s="1"/>
  <c r="BQ185" i="49"/>
  <c r="BQ5" i="49"/>
  <c r="CK19" i="20"/>
  <c r="CK31" i="20"/>
  <c r="AY20" i="51"/>
  <c r="CP17" i="20"/>
  <c r="CP25" i="20"/>
  <c r="EA29" i="41"/>
  <c r="CN274" i="42"/>
  <c r="DK1025" i="10"/>
  <c r="BC59" i="51"/>
  <c r="CK296" i="10"/>
  <c r="CK301" i="10"/>
  <c r="CK309" i="10"/>
  <c r="CK310" i="10" s="1"/>
  <c r="AZ82" i="41"/>
  <c r="AZ68" i="41"/>
  <c r="G25" i="51"/>
  <c r="AX17" i="20"/>
  <c r="BR308" i="49"/>
  <c r="BR310" i="49"/>
  <c r="DM1168" i="10"/>
  <c r="BU33" i="10"/>
  <c r="BZ928" i="10"/>
  <c r="BX866" i="10"/>
  <c r="BX1018" i="10"/>
  <c r="BX896" i="10"/>
  <c r="BX891" i="10"/>
  <c r="BX902" i="10" s="1"/>
  <c r="BX895" i="10"/>
  <c r="BX906" i="10" s="1"/>
  <c r="BX894" i="10"/>
  <c r="BX905" i="10" s="1"/>
  <c r="BX893" i="10"/>
  <c r="BX904" i="10" s="1"/>
  <c r="BX892" i="10"/>
  <c r="BX903" i="10" s="1"/>
  <c r="K57" i="51"/>
  <c r="AQ57" i="51"/>
  <c r="AQ59" i="51" s="1"/>
  <c r="P18" i="41"/>
  <c r="P64" i="41"/>
  <c r="AF64" i="51"/>
  <c r="AF65" i="51" s="1"/>
  <c r="DM184" i="46"/>
  <c r="DN184" i="46" s="1"/>
  <c r="BR288" i="49"/>
  <c r="BR24" i="49" s="1"/>
  <c r="BS24" i="49" s="1"/>
  <c r="BR286" i="49"/>
  <c r="CS19" i="20"/>
  <c r="CS31" i="20"/>
  <c r="DS31" i="41"/>
  <c r="CL811" i="20"/>
  <c r="CO809" i="20"/>
  <c r="CO814" i="20"/>
  <c r="CT59" i="49"/>
  <c r="CT58" i="46"/>
  <c r="CT445" i="42"/>
  <c r="CT8" i="43"/>
  <c r="CT543" i="42"/>
  <c r="CU30" i="10"/>
  <c r="CT32" i="10"/>
  <c r="CT1104" i="10"/>
  <c r="AZ20" i="41"/>
  <c r="CT55" i="46"/>
  <c r="CR56" i="46"/>
  <c r="BU425" i="42"/>
  <c r="BX424" i="42"/>
  <c r="DA19" i="20"/>
  <c r="DA33" i="20" s="1"/>
  <c r="DA31" i="20"/>
  <c r="K60" i="51"/>
  <c r="CX913" i="20"/>
  <c r="CX920" i="20" s="1"/>
  <c r="CX918" i="20"/>
  <c r="BY87" i="49"/>
  <c r="BY185" i="49" s="1"/>
  <c r="BY288" i="49" s="1"/>
  <c r="BY289" i="49" s="1"/>
  <c r="BY181" i="49"/>
  <c r="BY284" i="49" s="1"/>
  <c r="BY85" i="49"/>
  <c r="BY183" i="49" s="1"/>
  <c r="BY286" i="49" s="1"/>
  <c r="DJ952" i="20"/>
  <c r="DJ957" i="20" s="1"/>
  <c r="O58" i="51"/>
  <c r="O59" i="51" s="1"/>
  <c r="CL898" i="10"/>
  <c r="CM929" i="10"/>
  <c r="CL930" i="10"/>
  <c r="DA909" i="10"/>
  <c r="BN1217" i="10"/>
  <c r="BN1218" i="10" s="1"/>
  <c r="CG909" i="10"/>
  <c r="K58" i="51"/>
  <c r="CU664" i="10"/>
  <c r="CT844" i="10"/>
  <c r="AW30" i="43"/>
  <c r="AW13" i="43"/>
  <c r="T18" i="41"/>
  <c r="T64" i="41"/>
  <c r="EI31" i="41"/>
  <c r="BJ369" i="20"/>
  <c r="BB65" i="41"/>
  <c r="CX55" i="46"/>
  <c r="CV56" i="46"/>
  <c r="BA48" i="43"/>
  <c r="BA49" i="43"/>
  <c r="BA50" i="43"/>
  <c r="AX47" i="43"/>
  <c r="AX11" i="43"/>
  <c r="AV82" i="41"/>
  <c r="AV68" i="41"/>
  <c r="BN545" i="42"/>
  <c r="BN20" i="20"/>
  <c r="T22" i="41"/>
  <c r="BD13" i="43"/>
  <c r="BD30" i="43"/>
  <c r="S20" i="51"/>
  <c r="BJ17" i="20"/>
  <c r="BJ25" i="20"/>
  <c r="AH44" i="43"/>
  <c r="AG46" i="43"/>
  <c r="AG48" i="43"/>
  <c r="DA271" i="42"/>
  <c r="DA9" i="43"/>
  <c r="DA11" i="43"/>
  <c r="DA47" i="43"/>
  <c r="CJ33" i="10"/>
  <c r="BB67" i="10"/>
  <c r="BB763" i="10"/>
  <c r="BB768" i="10"/>
  <c r="BB69" i="10"/>
  <c r="BB764" i="10"/>
  <c r="BB766" i="10"/>
  <c r="BB176" i="10"/>
  <c r="BB175" i="10"/>
  <c r="BB174" i="10"/>
  <c r="BB767" i="10"/>
  <c r="BB765" i="10"/>
  <c r="BB769" i="10"/>
  <c r="BB1085" i="10"/>
  <c r="BB771" i="10"/>
  <c r="BB1086" i="10"/>
  <c r="BB1089" i="10" s="1"/>
  <c r="BB770" i="10"/>
  <c r="AJ38" i="41"/>
  <c r="AJ39" i="41" s="1"/>
  <c r="CE662" i="10"/>
  <c r="CD664" i="10"/>
  <c r="CI664" i="10" s="1"/>
  <c r="CT1009" i="10"/>
  <c r="CT1010" i="10" s="1"/>
  <c r="CR798" i="20"/>
  <c r="CR838" i="20"/>
  <c r="CR834" i="20"/>
  <c r="CS842" i="20"/>
  <c r="CS830" i="20"/>
  <c r="CV828" i="20"/>
  <c r="CS836" i="20"/>
  <c r="BZ54" i="49"/>
  <c r="AF16" i="41"/>
  <c r="BY59" i="49"/>
  <c r="BY58" i="46"/>
  <c r="BY55" i="46" s="1"/>
  <c r="BY8" i="43"/>
  <c r="BY543" i="42"/>
  <c r="BY445" i="42"/>
  <c r="BY32" i="10"/>
  <c r="BY1104" i="10"/>
  <c r="AE20" i="41"/>
  <c r="AE65" i="41" s="1"/>
  <c r="BR1217" i="10"/>
  <c r="BR1218" i="10" s="1"/>
  <c r="BP1218" i="10"/>
  <c r="CJ909" i="10"/>
  <c r="BU19" i="20"/>
  <c r="BU31" i="20"/>
  <c r="CF866" i="10"/>
  <c r="CF894" i="10"/>
  <c r="CH928" i="10"/>
  <c r="CF1018" i="10"/>
  <c r="CF896" i="10"/>
  <c r="CF891" i="10"/>
  <c r="CF902" i="10" s="1"/>
  <c r="CF895" i="10"/>
  <c r="CF906" i="10" s="1"/>
  <c r="CF893" i="10"/>
  <c r="CF904" i="10" s="1"/>
  <c r="CF892" i="10"/>
  <c r="CF903" i="10" s="1"/>
  <c r="BF1" i="42"/>
  <c r="BF2" i="42" s="1"/>
  <c r="BF541" i="42" s="1"/>
  <c r="BF551" i="42" s="1"/>
  <c r="BF554" i="42" s="1"/>
  <c r="BF555" i="42" s="1"/>
  <c r="BE2" i="42"/>
  <c r="BE541" i="42" s="1"/>
  <c r="CH844" i="10"/>
  <c r="BY866" i="10"/>
  <c r="BY896" i="10"/>
  <c r="BY1018" i="10"/>
  <c r="BY894" i="10"/>
  <c r="BY905" i="10" s="1"/>
  <c r="BY891" i="10"/>
  <c r="BY902" i="10" s="1"/>
  <c r="BY895" i="10"/>
  <c r="BY906" i="10" s="1"/>
  <c r="BY893" i="10"/>
  <c r="BY904" i="10" s="1"/>
  <c r="BY892" i="10"/>
  <c r="BY903" i="10" s="1"/>
  <c r="CN317" i="42"/>
  <c r="CN318" i="42" s="1"/>
  <c r="CN320" i="42" s="1"/>
  <c r="CZ899" i="10"/>
  <c r="CZ173" i="49"/>
  <c r="CP1217" i="10"/>
  <c r="CR173" i="49"/>
  <c r="CT25" i="20"/>
  <c r="BI545" i="42"/>
  <c r="BI34" i="10"/>
  <c r="BI20" i="20"/>
  <c r="O22" i="41"/>
  <c r="O66" i="41" s="1"/>
  <c r="BI47" i="43"/>
  <c r="BI11" i="43"/>
  <c r="BI9" i="43"/>
  <c r="BZ205" i="49"/>
  <c r="BZ207" i="49"/>
  <c r="BW80" i="49"/>
  <c r="CA80" i="49"/>
  <c r="BV83" i="49"/>
  <c r="AY65" i="41"/>
  <c r="CS545" i="42"/>
  <c r="CS20" i="20"/>
  <c r="AY22" i="41"/>
  <c r="CV19" i="20"/>
  <c r="CV31" i="20"/>
  <c r="DC929" i="10"/>
  <c r="BJ87" i="49"/>
  <c r="BJ5" i="49" s="1"/>
  <c r="BO5" i="49" s="1"/>
  <c r="BJ85" i="49"/>
  <c r="CZ9" i="43"/>
  <c r="CZ11" i="43"/>
  <c r="CZ47" i="43"/>
  <c r="DW31" i="41"/>
  <c r="DB59" i="49"/>
  <c r="DB58" i="46"/>
  <c r="DB8" i="43"/>
  <c r="DB11" i="43" s="1"/>
  <c r="DB543" i="42"/>
  <c r="DB445" i="42"/>
  <c r="DB32" i="10"/>
  <c r="DC30" i="10"/>
  <c r="DB1104" i="10"/>
  <c r="BH20" i="41"/>
  <c r="DB55" i="46"/>
  <c r="CZ56" i="46"/>
  <c r="BM545" i="42"/>
  <c r="BM34" i="10"/>
  <c r="BM20" i="20"/>
  <c r="S22" i="41"/>
  <c r="CG896" i="20"/>
  <c r="CG890" i="20"/>
  <c r="CG891" i="20" s="1"/>
  <c r="DL820" i="20"/>
  <c r="DP820" i="20" s="1"/>
  <c r="DJ820" i="20"/>
  <c r="DJ824" i="20" s="1"/>
  <c r="CL998" i="10"/>
  <c r="CL1031" i="10"/>
  <c r="CJ1032" i="10"/>
  <c r="CU31" i="41"/>
  <c r="BJ205" i="49"/>
  <c r="BJ207" i="49"/>
  <c r="EM29" i="41"/>
  <c r="DL950" i="20"/>
  <c r="DP950" i="20" s="1"/>
  <c r="DJ950" i="20"/>
  <c r="CR19" i="20"/>
  <c r="CR31" i="20"/>
  <c r="CH58" i="46"/>
  <c r="CH59" i="49"/>
  <c r="CH8" i="43"/>
  <c r="CH445" i="42"/>
  <c r="CH32" i="10"/>
  <c r="CH543" i="42"/>
  <c r="CH1104" i="10"/>
  <c r="AN20" i="41"/>
  <c r="CH55" i="46"/>
  <c r="CF56" i="46"/>
  <c r="DJ154" i="49"/>
  <c r="DJ257" i="49"/>
  <c r="CT1217" i="10"/>
  <c r="CT1218" i="10" s="1"/>
  <c r="CR1218" i="10"/>
  <c r="BX19" i="20"/>
  <c r="BX31" i="20"/>
  <c r="CO1030" i="10"/>
  <c r="CO996" i="10"/>
  <c r="CO994" i="10"/>
  <c r="CO991" i="10"/>
  <c r="CO995" i="10"/>
  <c r="CO1006" i="10" s="1"/>
  <c r="CO1020" i="10"/>
  <c r="CO993" i="10"/>
  <c r="CO1004" i="10" s="1"/>
  <c r="CO992" i="10"/>
  <c r="CO1003" i="10" s="1"/>
  <c r="CD930" i="10"/>
  <c r="CD898" i="10"/>
  <c r="CE929" i="10"/>
  <c r="AR82" i="41"/>
  <c r="AR68" i="41"/>
  <c r="DN491" i="42"/>
  <c r="EY40" i="41" s="1"/>
  <c r="EY35" i="41"/>
  <c r="AQ25" i="51"/>
  <c r="CH30" i="20"/>
  <c r="CJ320" i="10"/>
  <c r="CJ326" i="10"/>
  <c r="BD339" i="42"/>
  <c r="BA345" i="42"/>
  <c r="BB345" i="42" s="1"/>
  <c r="BT185" i="49"/>
  <c r="BT5" i="49"/>
  <c r="CP905" i="20"/>
  <c r="CP878" i="20"/>
  <c r="CC896" i="10"/>
  <c r="CC1018" i="10"/>
  <c r="CC866" i="10"/>
  <c r="CC894" i="10"/>
  <c r="CC905" i="10" s="1"/>
  <c r="CC891" i="10"/>
  <c r="CC902" i="10" s="1"/>
  <c r="CC895" i="10"/>
  <c r="CC906" i="10" s="1"/>
  <c r="CC893" i="10"/>
  <c r="CC904" i="10" s="1"/>
  <c r="CC892" i="10"/>
  <c r="CC903" i="10" s="1"/>
  <c r="DG1025" i="10"/>
  <c r="Z65" i="41"/>
  <c r="BT115" i="49"/>
  <c r="BT141" i="49" s="1"/>
  <c r="BT9" i="43"/>
  <c r="BT11" i="43"/>
  <c r="BT47" i="43"/>
  <c r="BY430" i="10"/>
  <c r="CB430" i="10" s="1"/>
  <c r="EM31" i="41"/>
  <c r="CH288" i="49"/>
  <c r="CH286" i="49"/>
  <c r="AZ545" i="42"/>
  <c r="AZ34" i="10"/>
  <c r="AZ20" i="20"/>
  <c r="F22" i="41"/>
  <c r="F66" i="41" s="1"/>
  <c r="AK26" i="51"/>
  <c r="CB19" i="20"/>
  <c r="CB31" i="20"/>
  <c r="O60" i="51"/>
  <c r="BJ55" i="46"/>
  <c r="BH56" i="46"/>
  <c r="AV49" i="43"/>
  <c r="AV48" i="43"/>
  <c r="AV50" i="43"/>
  <c r="AT425" i="42"/>
  <c r="W65" i="41"/>
  <c r="BQ33" i="10"/>
  <c r="CN866" i="10"/>
  <c r="CP928" i="10"/>
  <c r="CN896" i="10"/>
  <c r="CN894" i="10"/>
  <c r="CN1018" i="10"/>
  <c r="CN895" i="10"/>
  <c r="CN906" i="10" s="1"/>
  <c r="CN892" i="10"/>
  <c r="CN903" i="10" s="1"/>
  <c r="CN893" i="10"/>
  <c r="CN904" i="10" s="1"/>
  <c r="CN891" i="10"/>
  <c r="CN902" i="10" s="1"/>
  <c r="CL1217" i="10"/>
  <c r="CD54" i="49"/>
  <c r="AJ16" i="41"/>
  <c r="AN64" i="41" s="1"/>
  <c r="CO545" i="42"/>
  <c r="CO20" i="20"/>
  <c r="AU22" i="41"/>
  <c r="X64" i="41"/>
  <c r="X18" i="41"/>
  <c r="CW271" i="42"/>
  <c r="CJ19" i="20"/>
  <c r="CJ31" i="20"/>
  <c r="DL807" i="20"/>
  <c r="CJ896" i="20"/>
  <c r="CJ890" i="20"/>
  <c r="AU58" i="51"/>
  <c r="CZ1030" i="10"/>
  <c r="CZ996" i="10"/>
  <c r="CZ994" i="10"/>
  <c r="CZ995" i="10"/>
  <c r="CZ1006" i="10" s="1"/>
  <c r="CZ991" i="10"/>
  <c r="CZ992" i="10"/>
  <c r="CZ1003" i="10" s="1"/>
  <c r="CZ993" i="10"/>
  <c r="CZ1004" i="10" s="1"/>
  <c r="CZ1020" i="10"/>
  <c r="AU20" i="51"/>
  <c r="CL17" i="20"/>
  <c r="CL25" i="20"/>
  <c r="AY57" i="51"/>
  <c r="CN33" i="10"/>
  <c r="BG57" i="51"/>
  <c r="DN239" i="10"/>
  <c r="DM182" i="10"/>
  <c r="DM202" i="10" s="1"/>
  <c r="DM246" i="10"/>
  <c r="DM254" i="10" s="1"/>
  <c r="DM255" i="10" s="1"/>
  <c r="CH87" i="49"/>
  <c r="CH85" i="49"/>
  <c r="BB271" i="42"/>
  <c r="AZ276" i="42"/>
  <c r="BB276" i="42" s="1"/>
  <c r="CK316" i="10"/>
  <c r="CD369" i="20"/>
  <c r="BR369" i="20"/>
  <c r="BL255" i="42"/>
  <c r="BM253" i="42"/>
  <c r="AW546" i="42"/>
  <c r="AW547" i="42"/>
  <c r="G60" i="51"/>
  <c r="G64" i="51" s="1"/>
  <c r="G65" i="51" s="1"/>
  <c r="AU64" i="51"/>
  <c r="EU59" i="41"/>
  <c r="DG31" i="41"/>
  <c r="DN1159" i="10"/>
  <c r="DN1160" i="10" s="1"/>
  <c r="DN1169" i="10" s="1"/>
  <c r="BU274" i="42"/>
  <c r="BU447" i="42"/>
  <c r="BU9" i="43"/>
  <c r="BU11" i="43"/>
  <c r="BU47" i="43"/>
  <c r="BV205" i="49"/>
  <c r="BV207" i="49"/>
  <c r="T20" i="51"/>
  <c r="BN25" i="20"/>
  <c r="BN17" i="20"/>
  <c r="BX909" i="10"/>
  <c r="AP43" i="43"/>
  <c r="AT290" i="42"/>
  <c r="AT294" i="42" s="1"/>
  <c r="AR290" i="42"/>
  <c r="AR294" i="42" s="1"/>
  <c r="AR325" i="42" s="1"/>
  <c r="DN121" i="49"/>
  <c r="BL96" i="49"/>
  <c r="BL271" i="42"/>
  <c r="J65" i="41"/>
  <c r="DB911" i="20"/>
  <c r="DK1026" i="10"/>
  <c r="AO26" i="51"/>
  <c r="CF19" i="20"/>
  <c r="CF31" i="20"/>
  <c r="CK9" i="43"/>
  <c r="CK11" i="43"/>
  <c r="CK47" i="43"/>
  <c r="BQ19" i="20"/>
  <c r="BQ31" i="20"/>
  <c r="BL19" i="20"/>
  <c r="BL31" i="20"/>
  <c r="CO878" i="20"/>
  <c r="CO882" i="20" s="1"/>
  <c r="CP882" i="20" s="1"/>
  <c r="CO905" i="20"/>
  <c r="CR33" i="10"/>
  <c r="CR274" i="42"/>
  <c r="BZ1194" i="10"/>
  <c r="DK26" i="41" s="1"/>
  <c r="DK24" i="41"/>
  <c r="DC31" i="41"/>
  <c r="DN344" i="42"/>
  <c r="DP339" i="42" s="1"/>
  <c r="DM345" i="42"/>
  <c r="DN345" i="42" s="1"/>
  <c r="AX1096" i="10"/>
  <c r="AW700" i="10"/>
  <c r="AW1101" i="10"/>
  <c r="AW777" i="20"/>
  <c r="AW776" i="20" s="1"/>
  <c r="AW1100" i="10"/>
  <c r="AW1097" i="10"/>
  <c r="AJ515" i="42"/>
  <c r="AJ520" i="42" s="1"/>
  <c r="AJ516" i="42"/>
  <c r="AJ521" i="42" s="1"/>
  <c r="CG545" i="42"/>
  <c r="CG20" i="20"/>
  <c r="AM22" i="41"/>
  <c r="DA866" i="10"/>
  <c r="DA894" i="10"/>
  <c r="DA896" i="10"/>
  <c r="DA895" i="10"/>
  <c r="DA906" i="10" s="1"/>
  <c r="DA893" i="10"/>
  <c r="DA904" i="10" s="1"/>
  <c r="DA891" i="10"/>
  <c r="DA902" i="10" s="1"/>
  <c r="DA892" i="10"/>
  <c r="DA903" i="10" s="1"/>
  <c r="AV18" i="41"/>
  <c r="AV64" i="41"/>
  <c r="BD82" i="41"/>
  <c r="BD68" i="41"/>
  <c r="CG866" i="10"/>
  <c r="CG894" i="10"/>
  <c r="CG896" i="10"/>
  <c r="CG1018" i="10"/>
  <c r="CG893" i="10"/>
  <c r="CG904" i="10" s="1"/>
  <c r="CG895" i="10"/>
  <c r="CG906" i="10" s="1"/>
  <c r="CG891" i="10"/>
  <c r="CG902" i="10" s="1"/>
  <c r="CG892" i="10"/>
  <c r="CG903" i="10" s="1"/>
  <c r="DI953" i="20"/>
  <c r="DI958" i="20" s="1"/>
  <c r="AL68" i="41"/>
  <c r="CR899" i="10"/>
  <c r="CX87" i="49"/>
  <c r="CX5" i="49" s="1"/>
  <c r="CX85" i="49"/>
  <c r="AW49" i="43"/>
  <c r="AW48" i="43"/>
  <c r="AW50" i="43"/>
  <c r="EG31" i="41"/>
  <c r="CS904" i="20"/>
  <c r="CS901" i="20"/>
  <c r="CT901" i="20" s="1"/>
  <c r="CV545" i="42"/>
  <c r="CV20" i="20"/>
  <c r="BB22" i="41"/>
  <c r="BY436" i="10"/>
  <c r="CB436" i="10" s="1"/>
  <c r="O63" i="51"/>
  <c r="BC64" i="51"/>
  <c r="BE19" i="20"/>
  <c r="BE31" i="20"/>
  <c r="BY19" i="20"/>
  <c r="BY31" i="20"/>
  <c r="BZ369" i="20"/>
  <c r="BD48" i="43"/>
  <c r="BD49" i="43"/>
  <c r="BD50" i="43"/>
  <c r="BG30" i="10"/>
  <c r="BF47" i="43"/>
  <c r="BF11" i="43"/>
  <c r="BF115" i="49"/>
  <c r="BF9" i="43"/>
  <c r="AH45" i="43"/>
  <c r="AH49" i="43" s="1"/>
  <c r="AG49" i="43"/>
  <c r="BG65" i="41"/>
  <c r="CJ545" i="42"/>
  <c r="CJ20" i="20"/>
  <c r="AP22" i="41"/>
  <c r="CL55" i="46"/>
  <c r="CJ56" i="46"/>
  <c r="BA174" i="10"/>
  <c r="BA67" i="10"/>
  <c r="BA69" i="10"/>
  <c r="BA768" i="10"/>
  <c r="BA763" i="10"/>
  <c r="BA764" i="10"/>
  <c r="BA766" i="10"/>
  <c r="BA1080" i="10"/>
  <c r="BA767" i="10"/>
  <c r="BA769" i="10"/>
  <c r="BA765" i="10"/>
  <c r="BA176" i="10"/>
  <c r="BA771" i="10"/>
  <c r="BA770" i="10"/>
  <c r="BA1086" i="10"/>
  <c r="BA1089" i="10" s="1"/>
  <c r="BA1091" i="10" s="1"/>
  <c r="BA1092" i="10" s="1"/>
  <c r="BA1085" i="10"/>
  <c r="BA175" i="10"/>
  <c r="CV901" i="20"/>
  <c r="CV904" i="20"/>
  <c r="CH97" i="49"/>
  <c r="AE18" i="41"/>
  <c r="AE64" i="41"/>
  <c r="L64" i="41"/>
  <c r="CF909" i="10"/>
  <c r="CB276" i="49"/>
  <c r="CB282" i="49" s="1"/>
  <c r="CB179" i="49"/>
  <c r="CY887" i="20"/>
  <c r="CX895" i="20"/>
  <c r="DB97" i="49"/>
  <c r="BH1" i="42"/>
  <c r="BH2" i="42" s="1"/>
  <c r="BH541" i="42" s="1"/>
  <c r="BI3" i="42"/>
  <c r="DS29" i="41"/>
  <c r="CI662" i="10"/>
  <c r="BR87" i="49"/>
  <c r="BR5" i="49" s="1"/>
  <c r="BS5" i="49" s="1"/>
  <c r="BR85" i="49"/>
  <c r="BE49" i="43"/>
  <c r="BE48" i="43"/>
  <c r="BE50" i="43"/>
  <c r="BI274" i="42"/>
  <c r="BI447" i="42"/>
  <c r="DN500" i="42"/>
  <c r="BH87" i="49"/>
  <c r="BH185" i="49" s="1"/>
  <c r="BH288" i="49" s="1"/>
  <c r="BH289" i="49" s="1"/>
  <c r="BH181" i="49"/>
  <c r="BH284" i="49" s="1"/>
  <c r="BH85" i="49"/>
  <c r="BH183" i="49" s="1"/>
  <c r="BH286" i="49" s="1"/>
  <c r="CP808" i="20"/>
  <c r="CP815" i="20" s="1"/>
  <c r="CN815" i="20"/>
  <c r="BZ25" i="20"/>
  <c r="DI157" i="42"/>
  <c r="CS271" i="42"/>
  <c r="CX1217" i="10"/>
  <c r="CX1218" i="10" s="1"/>
  <c r="CV1218" i="10"/>
  <c r="DB909" i="10"/>
  <c r="DI807" i="20"/>
  <c r="DJ807" i="20" s="1"/>
  <c r="DM843" i="20"/>
  <c r="BK80" i="49"/>
  <c r="CH236" i="49" l="1"/>
  <c r="CH244" i="49"/>
  <c r="BN186" i="49"/>
  <c r="BN18" i="49" s="1"/>
  <c r="BV97" i="49"/>
  <c r="DH900" i="20"/>
  <c r="DH920" i="20"/>
  <c r="CU928" i="10"/>
  <c r="DC928" i="10"/>
  <c r="AX556" i="42"/>
  <c r="CI22" i="41"/>
  <c r="BF556" i="42"/>
  <c r="CQ22" i="41"/>
  <c r="BH540" i="42"/>
  <c r="BH551" i="42"/>
  <c r="BH554" i="42" s="1"/>
  <c r="BH555" i="42" s="1"/>
  <c r="BE540" i="42"/>
  <c r="BE551" i="42"/>
  <c r="BE554" i="42" s="1"/>
  <c r="BE555" i="42" s="1"/>
  <c r="BB540" i="42"/>
  <c r="BB551" i="42"/>
  <c r="BB554" i="42" s="1"/>
  <c r="BB555" i="42" s="1"/>
  <c r="DK27" i="41"/>
  <c r="AJ59" i="41"/>
  <c r="DC985" i="10"/>
  <c r="CA662" i="10"/>
  <c r="BE33" i="20"/>
  <c r="DQ44" i="49"/>
  <c r="DQ72" i="49" s="1"/>
  <c r="DR52" i="49"/>
  <c r="DR79" i="49" s="1"/>
  <c r="DR121" i="49"/>
  <c r="DO72" i="49"/>
  <c r="DN154" i="49" s="1"/>
  <c r="DR500" i="42"/>
  <c r="DP475" i="42"/>
  <c r="DR723" i="10"/>
  <c r="FC35" i="41"/>
  <c r="DR491" i="42"/>
  <c r="FC40" i="41" s="1"/>
  <c r="FA59" i="41"/>
  <c r="DP202" i="10"/>
  <c r="DP192" i="10"/>
  <c r="DP240" i="10"/>
  <c r="DR159" i="20"/>
  <c r="DR112" i="10"/>
  <c r="DR122" i="42"/>
  <c r="DR16" i="42" s="1"/>
  <c r="DQ16" i="42"/>
  <c r="DQ138" i="42"/>
  <c r="DQ601" i="20" s="1"/>
  <c r="DQ918" i="10"/>
  <c r="DQ919" i="10" s="1"/>
  <c r="FB35" i="41"/>
  <c r="DQ474" i="42"/>
  <c r="DR474" i="42" s="1"/>
  <c r="DR477" i="42" s="1"/>
  <c r="DQ491" i="42"/>
  <c r="FB40" i="41" s="1"/>
  <c r="DQ476" i="42"/>
  <c r="DP254" i="10"/>
  <c r="DP255" i="10" s="1"/>
  <c r="DR918" i="10"/>
  <c r="DR919" i="10" s="1"/>
  <c r="BW8" i="41"/>
  <c r="BW57" i="41" s="1"/>
  <c r="BW37" i="41"/>
  <c r="DR16" i="10"/>
  <c r="FA43" i="41"/>
  <c r="DP35" i="42"/>
  <c r="DQ723" i="10"/>
  <c r="DR951" i="10"/>
  <c r="DR952" i="10" s="1"/>
  <c r="BX14" i="41"/>
  <c r="DR1169" i="10"/>
  <c r="DR339" i="42"/>
  <c r="DP344" i="42"/>
  <c r="DR919" i="20"/>
  <c r="DR180" i="46"/>
  <c r="DQ253" i="10"/>
  <c r="DR253" i="10" s="1"/>
  <c r="DQ182" i="10"/>
  <c r="DQ202" i="10" s="1"/>
  <c r="DQ246" i="10"/>
  <c r="DR239" i="10"/>
  <c r="BR62" i="41"/>
  <c r="BV62" i="41"/>
  <c r="DR916" i="20"/>
  <c r="DL911" i="20"/>
  <c r="DP908" i="20"/>
  <c r="DR950" i="20"/>
  <c r="DP884" i="20"/>
  <c r="DP953" i="20"/>
  <c r="DQ821" i="20"/>
  <c r="DQ799" i="20"/>
  <c r="DM885" i="20"/>
  <c r="DQ951" i="20"/>
  <c r="DM886" i="20"/>
  <c r="DN886" i="20" s="1"/>
  <c r="DQ952" i="20"/>
  <c r="DM807" i="20"/>
  <c r="DQ843" i="20"/>
  <c r="DM805" i="20"/>
  <c r="DQ841" i="20"/>
  <c r="DP821" i="20"/>
  <c r="DR820" i="20"/>
  <c r="DP799" i="20"/>
  <c r="DP885" i="20"/>
  <c r="DE996" i="10"/>
  <c r="DE994" i="10"/>
  <c r="BT57" i="41"/>
  <c r="DD401" i="42"/>
  <c r="DF401" i="42" s="1"/>
  <c r="DF402" i="42" s="1"/>
  <c r="AT424" i="42"/>
  <c r="DN841" i="20"/>
  <c r="DN846" i="20" s="1"/>
  <c r="DN952" i="20"/>
  <c r="DJ799" i="20"/>
  <c r="DK799" i="20" s="1"/>
  <c r="BC11" i="51"/>
  <c r="AF11" i="51"/>
  <c r="AF12" i="51" s="1"/>
  <c r="S65" i="51"/>
  <c r="AY59" i="51"/>
  <c r="AY65" i="51" s="1"/>
  <c r="BL33" i="20"/>
  <c r="R66" i="41"/>
  <c r="DI887" i="20"/>
  <c r="DI895" i="20" s="1"/>
  <c r="CY5" i="49"/>
  <c r="BC65" i="51"/>
  <c r="BC53" i="51" s="1"/>
  <c r="BC66" i="51" s="1"/>
  <c r="BC67" i="51" s="1"/>
  <c r="AB65" i="51"/>
  <c r="T65" i="41"/>
  <c r="BX33" i="20"/>
  <c r="T65" i="51"/>
  <c r="BQ33" i="20"/>
  <c r="L65" i="41"/>
  <c r="AV65" i="41"/>
  <c r="BF57" i="46"/>
  <c r="BY33" i="20"/>
  <c r="AZ65" i="41"/>
  <c r="DB899" i="10"/>
  <c r="BH65" i="41"/>
  <c r="BZ1226" i="10"/>
  <c r="BZ1227" i="10" s="1"/>
  <c r="S66" i="41"/>
  <c r="DJ885" i="20"/>
  <c r="CX829" i="20"/>
  <c r="CX837" i="20" s="1"/>
  <c r="CW837" i="20"/>
  <c r="CZ829" i="20"/>
  <c r="K64" i="51"/>
  <c r="BO12" i="49"/>
  <c r="CR33" i="20"/>
  <c r="AB65" i="41"/>
  <c r="AJ68" i="41"/>
  <c r="BG59" i="51"/>
  <c r="BG65" i="51" s="1"/>
  <c r="CS33" i="20"/>
  <c r="BM5" i="49"/>
  <c r="BM185" i="49"/>
  <c r="DM953" i="20"/>
  <c r="DM958" i="20" s="1"/>
  <c r="AD18" i="41"/>
  <c r="AD64" i="41"/>
  <c r="CF899" i="10"/>
  <c r="CB33" i="10"/>
  <c r="BX1222" i="10"/>
  <c r="BX1217" i="10"/>
  <c r="BX1218" i="10" s="1"/>
  <c r="CQ878" i="20"/>
  <c r="AX57" i="46"/>
  <c r="BX87" i="49"/>
  <c r="BX185" i="49" s="1"/>
  <c r="BX288" i="49" s="1"/>
  <c r="BX289" i="49" s="1"/>
  <c r="BX181" i="49"/>
  <c r="BX284" i="49" s="1"/>
  <c r="BX85" i="49"/>
  <c r="BX183" i="49" s="1"/>
  <c r="BX286" i="49" s="1"/>
  <c r="CV173" i="49"/>
  <c r="BX899" i="10"/>
  <c r="CQ173" i="49"/>
  <c r="DL336" i="42"/>
  <c r="DN331" i="42"/>
  <c r="BX276" i="49"/>
  <c r="BX282" i="49" s="1"/>
  <c r="BX179" i="49"/>
  <c r="DJ15" i="46"/>
  <c r="DJ262" i="42"/>
  <c r="CJ899" i="10"/>
  <c r="BX445" i="42"/>
  <c r="BX32" i="10"/>
  <c r="BX543" i="42"/>
  <c r="BX1104" i="10"/>
  <c r="AD20" i="41"/>
  <c r="AD65" i="41" s="1"/>
  <c r="BX59" i="49"/>
  <c r="BX8" i="43"/>
  <c r="BX58" i="46"/>
  <c r="BX55" i="46" s="1"/>
  <c r="BX56" i="46" s="1"/>
  <c r="BX60" i="46" s="1"/>
  <c r="CK33" i="20"/>
  <c r="CN319" i="42"/>
  <c r="CV899" i="10"/>
  <c r="CT97" i="49"/>
  <c r="AP387" i="42"/>
  <c r="AP385" i="42" s="1"/>
  <c r="AR380" i="42"/>
  <c r="CZ49" i="43"/>
  <c r="CZ48" i="43"/>
  <c r="DA49" i="43"/>
  <c r="DA48" i="43"/>
  <c r="CT878" i="20"/>
  <c r="CU878" i="20" s="1"/>
  <c r="CT905" i="20"/>
  <c r="CC429" i="10"/>
  <c r="CF429" i="10" s="1"/>
  <c r="CC430" i="10"/>
  <c r="CF430" i="10" s="1"/>
  <c r="CC434" i="10"/>
  <c r="CF434" i="10" s="1"/>
  <c r="CQ882" i="20"/>
  <c r="CP894" i="20"/>
  <c r="DM210" i="10"/>
  <c r="CC433" i="10"/>
  <c r="CF433" i="10" s="1"/>
  <c r="BF140" i="49"/>
  <c r="BF540" i="42"/>
  <c r="BF139" i="49" s="1"/>
  <c r="CC435" i="10"/>
  <c r="CF435" i="10" s="1"/>
  <c r="CS276" i="42"/>
  <c r="DI156" i="42"/>
  <c r="DL157" i="42"/>
  <c r="BF133" i="49"/>
  <c r="BF48" i="43"/>
  <c r="BF49" i="43"/>
  <c r="BF50" i="43"/>
  <c r="BB66" i="41"/>
  <c r="BB81" i="41"/>
  <c r="AM66" i="41"/>
  <c r="AX700" i="10"/>
  <c r="AX1100" i="10"/>
  <c r="AX1101" i="10"/>
  <c r="AX777" i="20"/>
  <c r="AX776" i="20" s="1"/>
  <c r="AX1097" i="10"/>
  <c r="BN96" i="49"/>
  <c r="AR326" i="42"/>
  <c r="AR324" i="42"/>
  <c r="CK314" i="10"/>
  <c r="CK323" i="10"/>
  <c r="CH5" i="49"/>
  <c r="AU26" i="51"/>
  <c r="AU10" i="51" s="1"/>
  <c r="CL19" i="20"/>
  <c r="CL31" i="20"/>
  <c r="DN843" i="20"/>
  <c r="DN848" i="20" s="1"/>
  <c r="BT186" i="49"/>
  <c r="BT18" i="49" s="1"/>
  <c r="BT12" i="49"/>
  <c r="BT288" i="49"/>
  <c r="CO1002" i="10"/>
  <c r="CO999" i="10"/>
  <c r="CH59" i="46"/>
  <c r="DJ821" i="20"/>
  <c r="DJ825" i="20" s="1"/>
  <c r="DB56" i="46"/>
  <c r="DB60" i="46" s="1"/>
  <c r="CZ60" i="46"/>
  <c r="DB115" i="49"/>
  <c r="DB141" i="49" s="1"/>
  <c r="DB9" i="43"/>
  <c r="DB47" i="43"/>
  <c r="DC8" i="43"/>
  <c r="CV33" i="20"/>
  <c r="BI13" i="43"/>
  <c r="BI30" i="43"/>
  <c r="CF994" i="10"/>
  <c r="CF996" i="10"/>
  <c r="CF1030" i="10"/>
  <c r="CF995" i="10"/>
  <c r="CF1006" i="10" s="1"/>
  <c r="CF991" i="10"/>
  <c r="CF993" i="10"/>
  <c r="CF1004" i="10" s="1"/>
  <c r="CF992" i="10"/>
  <c r="CF1003" i="10" s="1"/>
  <c r="CF1020" i="10"/>
  <c r="BY545" i="42"/>
  <c r="BY20" i="20"/>
  <c r="AE22" i="41"/>
  <c r="AI66" i="41" s="1"/>
  <c r="BY47" i="43"/>
  <c r="BY9" i="43"/>
  <c r="BY11" i="43"/>
  <c r="CV830" i="20"/>
  <c r="CV836" i="20"/>
  <c r="CW828" i="20"/>
  <c r="CX828" i="20" s="1"/>
  <c r="CX836" i="20" s="1"/>
  <c r="CV842" i="20"/>
  <c r="DA13" i="43"/>
  <c r="DA30" i="43"/>
  <c r="BD36" i="43"/>
  <c r="BD35" i="43"/>
  <c r="J24" i="41"/>
  <c r="CX59" i="46"/>
  <c r="CT59" i="46"/>
  <c r="K59" i="51"/>
  <c r="AY26" i="51"/>
  <c r="AY10" i="51" s="1"/>
  <c r="CP19" i="20"/>
  <c r="CT33" i="20" s="1"/>
  <c r="CP31" i="20"/>
  <c r="CK1030" i="10"/>
  <c r="CK996" i="10"/>
  <c r="CK994" i="10"/>
  <c r="CK995" i="10"/>
  <c r="CK1006" i="10" s="1"/>
  <c r="CK991" i="10"/>
  <c r="CK993" i="10"/>
  <c r="CK1004" i="10" s="1"/>
  <c r="CK992" i="10"/>
  <c r="CK1003" i="10" s="1"/>
  <c r="CK1020" i="10"/>
  <c r="CO13" i="43"/>
  <c r="CO30" i="43"/>
  <c r="CD1217" i="10"/>
  <c r="CD1218" i="10" s="1"/>
  <c r="CB1218" i="10"/>
  <c r="BR447" i="42"/>
  <c r="AV32" i="43"/>
  <c r="AV15" i="43"/>
  <c r="AV17" i="43" s="1"/>
  <c r="AV34" i="43" s="1"/>
  <c r="BK28" i="51"/>
  <c r="CN811" i="20"/>
  <c r="CP809" i="20"/>
  <c r="CP816" i="20" s="1"/>
  <c r="CN816" i="20"/>
  <c r="DN246" i="10"/>
  <c r="DN254" i="10" s="1"/>
  <c r="CF48" i="43"/>
  <c r="CF49" i="43"/>
  <c r="CF50" i="43"/>
  <c r="CF57" i="43"/>
  <c r="BD1105" i="10"/>
  <c r="BM133" i="49"/>
  <c r="BM48" i="43"/>
  <c r="BM49" i="43"/>
  <c r="BM57" i="43"/>
  <c r="BM50" i="43"/>
  <c r="DB96" i="49"/>
  <c r="BE450" i="42"/>
  <c r="AK45" i="43"/>
  <c r="AK44" i="43"/>
  <c r="AK504" i="42"/>
  <c r="CW901" i="20"/>
  <c r="CX901" i="20" s="1"/>
  <c r="CW904" i="20"/>
  <c r="BN133" i="49"/>
  <c r="BN48" i="43"/>
  <c r="BN49" i="43"/>
  <c r="BN57" i="43"/>
  <c r="BN50" i="43"/>
  <c r="CO33" i="20"/>
  <c r="CV30" i="43"/>
  <c r="DH35" i="43" s="1"/>
  <c r="CV13" i="43"/>
  <c r="DB24" i="49"/>
  <c r="DB339" i="49"/>
  <c r="DB289" i="49"/>
  <c r="DB30" i="49" s="1"/>
  <c r="DB347" i="49"/>
  <c r="DB298" i="49"/>
  <c r="DC288" i="49"/>
  <c r="DB321" i="49"/>
  <c r="DB323" i="49" s="1"/>
  <c r="AR411" i="42"/>
  <c r="AP412" i="42"/>
  <c r="BL186" i="49"/>
  <c r="BL18" i="49" s="1"/>
  <c r="BL12" i="49"/>
  <c r="BL288" i="49"/>
  <c r="CP115" i="49"/>
  <c r="CP141" i="49" s="1"/>
  <c r="CP9" i="43"/>
  <c r="CP11" i="43"/>
  <c r="CQ8" i="43"/>
  <c r="CP47" i="43"/>
  <c r="BM33" i="20"/>
  <c r="W66" i="41"/>
  <c r="BJ115" i="49"/>
  <c r="BJ9" i="43"/>
  <c r="BJ11" i="43"/>
  <c r="BO11" i="43" s="1"/>
  <c r="BK8" i="43"/>
  <c r="BJ47" i="43"/>
  <c r="BB545" i="42"/>
  <c r="BB34" i="10"/>
  <c r="BB20" i="20"/>
  <c r="H22" i="41"/>
  <c r="H66" i="41" s="1"/>
  <c r="CC33" i="20"/>
  <c r="DN52" i="49"/>
  <c r="DN79" i="49" s="1"/>
  <c r="DN951" i="10"/>
  <c r="DN952" i="10" s="1"/>
  <c r="BT14" i="41"/>
  <c r="BH390" i="10"/>
  <c r="BH394" i="10"/>
  <c r="BH392" i="10"/>
  <c r="BH393" i="10"/>
  <c r="BH395" i="10"/>
  <c r="BH391" i="10"/>
  <c r="BI2" i="43"/>
  <c r="BH1" i="43"/>
  <c r="BN97" i="49"/>
  <c r="CS13" i="43"/>
  <c r="CS30" i="43"/>
  <c r="BE36" i="43"/>
  <c r="BE35" i="43"/>
  <c r="K24" i="41"/>
  <c r="CX96" i="49"/>
  <c r="BH1" i="20"/>
  <c r="BI2" i="20"/>
  <c r="BT33" i="20"/>
  <c r="CK890" i="20"/>
  <c r="CK891" i="20" s="1"/>
  <c r="CK896" i="20"/>
  <c r="CR30" i="43"/>
  <c r="DH36" i="43" s="1"/>
  <c r="CR13" i="43"/>
  <c r="AX66" i="41"/>
  <c r="AX81" i="41"/>
  <c r="BN60" i="46"/>
  <c r="AT66" i="41"/>
  <c r="AT81" i="41"/>
  <c r="CJ328" i="10"/>
  <c r="CB47" i="43"/>
  <c r="CB9" i="43"/>
  <c r="CB11" i="43"/>
  <c r="BH546" i="42"/>
  <c r="BH547" i="42"/>
  <c r="AZ48" i="43"/>
  <c r="AZ49" i="43"/>
  <c r="AZ50" i="43"/>
  <c r="AN44" i="43"/>
  <c r="AN45" i="43"/>
  <c r="AN49" i="43" s="1"/>
  <c r="AN504" i="42"/>
  <c r="DJ158" i="49"/>
  <c r="DK158" i="49" s="1"/>
  <c r="DK177" i="49" s="1"/>
  <c r="DJ177" i="49" s="1"/>
  <c r="DJ261" i="49"/>
  <c r="DK261" i="49" s="1"/>
  <c r="DK280" i="49" s="1"/>
  <c r="DJ280" i="49" s="1"/>
  <c r="BF2" i="10"/>
  <c r="BD2" i="10"/>
  <c r="BE2" i="10"/>
  <c r="BF394" i="10"/>
  <c r="BF172" i="10"/>
  <c r="BF170" i="10"/>
  <c r="BF390" i="10"/>
  <c r="BF392" i="10"/>
  <c r="BF395" i="10"/>
  <c r="BF391" i="10"/>
  <c r="BF393" i="10"/>
  <c r="BF169" i="10"/>
  <c r="BF168" i="10"/>
  <c r="BF171" i="10"/>
  <c r="CL853" i="10"/>
  <c r="CL857" i="10"/>
  <c r="CL855" i="10"/>
  <c r="CL845" i="10"/>
  <c r="CL986" i="10"/>
  <c r="CL985" i="10"/>
  <c r="CL856" i="10"/>
  <c r="CL854" i="10"/>
  <c r="CL851" i="10"/>
  <c r="CL852" i="10"/>
  <c r="CL850" i="10"/>
  <c r="CL846" i="10"/>
  <c r="DN360" i="42"/>
  <c r="DL361" i="42"/>
  <c r="DL362" i="42" s="1"/>
  <c r="BC8" i="51"/>
  <c r="BC9" i="51"/>
  <c r="BC4" i="51"/>
  <c r="BC5" i="51"/>
  <c r="BC6" i="51"/>
  <c r="BC7" i="51"/>
  <c r="AF28" i="51"/>
  <c r="BL3" i="42"/>
  <c r="BI1" i="42"/>
  <c r="BB1092" i="10"/>
  <c r="BB1093" i="10" s="1"/>
  <c r="BB1096" i="10" s="1"/>
  <c r="BA1093" i="10"/>
  <c r="BA1096" i="10" s="1"/>
  <c r="CL56" i="46"/>
  <c r="CL60" i="46" s="1"/>
  <c r="CJ60" i="46"/>
  <c r="CS878" i="20"/>
  <c r="CS882" i="20" s="1"/>
  <c r="CT882" i="20" s="1"/>
  <c r="CS905" i="20"/>
  <c r="CG1030" i="10"/>
  <c r="CG996" i="10"/>
  <c r="CG994" i="10"/>
  <c r="CG993" i="10"/>
  <c r="CG1004" i="10" s="1"/>
  <c r="CG1020" i="10"/>
  <c r="CG995" i="10"/>
  <c r="CG1006" i="10" s="1"/>
  <c r="CG991" i="10"/>
  <c r="CG992" i="10"/>
  <c r="CG1003" i="10" s="1"/>
  <c r="CO894" i="20"/>
  <c r="CO888" i="20"/>
  <c r="CP888" i="20" s="1"/>
  <c r="CP896" i="20" s="1"/>
  <c r="DB913" i="20"/>
  <c r="DB920" i="20" s="1"/>
  <c r="DB918" i="20"/>
  <c r="AT325" i="42"/>
  <c r="AS294" i="42"/>
  <c r="T26" i="51"/>
  <c r="T10" i="51" s="1"/>
  <c r="BN19" i="20"/>
  <c r="BN31" i="20"/>
  <c r="CZ1002" i="10"/>
  <c r="CZ999" i="10"/>
  <c r="CJ891" i="20"/>
  <c r="BH60" i="46"/>
  <c r="BJ56" i="46"/>
  <c r="BJ60" i="46" s="1"/>
  <c r="BF339" i="42"/>
  <c r="BD344" i="42"/>
  <c r="CD909" i="10"/>
  <c r="CH545" i="42"/>
  <c r="CH20" i="20"/>
  <c r="AN22" i="41"/>
  <c r="AM73" i="41" s="1"/>
  <c r="DJ953" i="20"/>
  <c r="DJ958" i="20" s="1"/>
  <c r="DJ955" i="20"/>
  <c r="CQ1031" i="10"/>
  <c r="CL1032" i="10"/>
  <c r="DB59" i="46"/>
  <c r="DB545" i="42"/>
  <c r="DB20" i="20"/>
  <c r="BH22" i="41"/>
  <c r="BF73" i="41" s="1"/>
  <c r="BV87" i="49"/>
  <c r="BV5" i="49" s="1"/>
  <c r="BW5" i="49" s="1"/>
  <c r="BV85" i="49"/>
  <c r="BI48" i="43"/>
  <c r="BI49" i="43"/>
  <c r="BI50" i="43"/>
  <c r="BU33" i="20"/>
  <c r="BZ59" i="49"/>
  <c r="BZ8" i="43"/>
  <c r="BZ58" i="46"/>
  <c r="BZ32" i="10"/>
  <c r="BZ543" i="42"/>
  <c r="BZ445" i="42"/>
  <c r="CA30" i="10"/>
  <c r="BZ1104" i="10"/>
  <c r="AF20" i="41"/>
  <c r="AF65" i="41" s="1"/>
  <c r="BX33" i="10"/>
  <c r="BY274" i="42"/>
  <c r="BY447" i="42"/>
  <c r="BY56" i="46"/>
  <c r="CS798" i="20"/>
  <c r="CS803" i="20" s="1"/>
  <c r="CS838" i="20"/>
  <c r="CS834" i="20"/>
  <c r="S26" i="51"/>
  <c r="BJ19" i="20"/>
  <c r="BJ31" i="20"/>
  <c r="BD15" i="43"/>
  <c r="BD17" i="43" s="1"/>
  <c r="BD34" i="43" s="1"/>
  <c r="BD32" i="43"/>
  <c r="AX13" i="43"/>
  <c r="AX30" i="43"/>
  <c r="AW15" i="43"/>
  <c r="AW17" i="43" s="1"/>
  <c r="AW34" i="43" s="1"/>
  <c r="AW32" i="43"/>
  <c r="CG899" i="10"/>
  <c r="BY424" i="42"/>
  <c r="BX425" i="42"/>
  <c r="BX429" i="42" s="1"/>
  <c r="BX439" i="42" s="1"/>
  <c r="CO811" i="20"/>
  <c r="CO816" i="20"/>
  <c r="CP274" i="42"/>
  <c r="CN271" i="42"/>
  <c r="DE913" i="20"/>
  <c r="DE918" i="20"/>
  <c r="DK29" i="41"/>
  <c r="BQ133" i="49"/>
  <c r="BQ49" i="43"/>
  <c r="BQ48" i="43"/>
  <c r="BQ50" i="43"/>
  <c r="BQ57" i="43"/>
  <c r="BQ96" i="49"/>
  <c r="BQ271" i="42"/>
  <c r="BL136" i="49"/>
  <c r="AV35" i="43"/>
  <c r="AV36" i="43"/>
  <c r="BK8" i="51"/>
  <c r="BK6" i="51"/>
  <c r="BK9" i="51"/>
  <c r="BK7" i="51"/>
  <c r="BK5" i="51"/>
  <c r="BK4" i="51"/>
  <c r="BR196" i="49"/>
  <c r="BR299" i="49"/>
  <c r="BV56" i="46"/>
  <c r="BV60" i="46" s="1"/>
  <c r="BT60" i="46"/>
  <c r="BV115" i="49"/>
  <c r="BV9" i="43"/>
  <c r="BV11" i="43"/>
  <c r="BV47" i="43"/>
  <c r="BW8" i="43"/>
  <c r="CN896" i="20"/>
  <c r="CN890" i="20"/>
  <c r="BV236" i="49"/>
  <c r="BV12" i="49"/>
  <c r="BV244" i="49"/>
  <c r="CR1002" i="10"/>
  <c r="CR999" i="10"/>
  <c r="CC13" i="43"/>
  <c r="CC30" i="43"/>
  <c r="BR56" i="46"/>
  <c r="BR60" i="46" s="1"/>
  <c r="BP60" i="46"/>
  <c r="CF30" i="43"/>
  <c r="CF13" i="43"/>
  <c r="CH274" i="42"/>
  <c r="CF271" i="42"/>
  <c r="BI33" i="20"/>
  <c r="BZ87" i="49"/>
  <c r="BZ5" i="49" s="1"/>
  <c r="BZ85" i="49"/>
  <c r="BP12" i="49"/>
  <c r="BP288" i="49"/>
  <c r="BP186" i="49"/>
  <c r="BP18" i="49" s="1"/>
  <c r="BF450" i="42"/>
  <c r="DC5" i="49"/>
  <c r="BY899" i="10"/>
  <c r="DM799" i="20"/>
  <c r="DM821" i="20"/>
  <c r="DM825" i="20" s="1"/>
  <c r="BN117" i="49"/>
  <c r="BN13" i="43"/>
  <c r="BN30" i="43"/>
  <c r="DA996" i="10"/>
  <c r="DA1030" i="10"/>
  <c r="DB1018" i="10"/>
  <c r="DA994" i="10"/>
  <c r="DA995" i="10"/>
  <c r="DA1006" i="10" s="1"/>
  <c r="DA993" i="10"/>
  <c r="DA1004" i="10" s="1"/>
  <c r="DA1019" i="10"/>
  <c r="DA992" i="10"/>
  <c r="DA1003" i="10" s="1"/>
  <c r="DA991" i="10"/>
  <c r="DA1002" i="10" s="1"/>
  <c r="BA32" i="43"/>
  <c r="BA15" i="43"/>
  <c r="BA17" i="43" s="1"/>
  <c r="BA34" i="43" s="1"/>
  <c r="CX115" i="49"/>
  <c r="CX141" i="49" s="1"/>
  <c r="CX9" i="43"/>
  <c r="CX11" i="43"/>
  <c r="CX47" i="43"/>
  <c r="CY8" i="43"/>
  <c r="AP424" i="42"/>
  <c r="AP429" i="42"/>
  <c r="AQ66" i="41"/>
  <c r="AQ81" i="41"/>
  <c r="CD87" i="49"/>
  <c r="CD186" i="49" s="1"/>
  <c r="CD18" i="49" s="1"/>
  <c r="CD85" i="49"/>
  <c r="AA66" i="41"/>
  <c r="BZ909" i="10"/>
  <c r="CK899" i="10"/>
  <c r="DA900" i="20"/>
  <c r="DB900" i="20" s="1"/>
  <c r="DB904" i="20" s="1"/>
  <c r="DA920" i="20"/>
  <c r="BR12" i="49"/>
  <c r="BS12" i="49" s="1"/>
  <c r="BR186" i="49"/>
  <c r="BR18" i="49" s="1"/>
  <c r="DD900" i="20"/>
  <c r="DD920" i="20"/>
  <c r="BT96" i="49"/>
  <c r="BV274" i="42"/>
  <c r="BT271" i="42"/>
  <c r="CC271" i="42"/>
  <c r="CD24" i="49"/>
  <c r="CD339" i="49"/>
  <c r="CD347" i="49"/>
  <c r="BP133" i="49"/>
  <c r="BP48" i="43"/>
  <c r="BP49" i="43"/>
  <c r="BP50" i="43"/>
  <c r="BP57" i="43"/>
  <c r="CT24" i="49"/>
  <c r="CU24" i="49" s="1"/>
  <c r="CT339" i="49"/>
  <c r="CT289" i="49"/>
  <c r="CT30" i="49" s="1"/>
  <c r="CT298" i="49"/>
  <c r="CT347" i="49"/>
  <c r="CT321" i="49"/>
  <c r="CT323" i="49" s="1"/>
  <c r="DD895" i="20"/>
  <c r="DF887" i="20"/>
  <c r="DC29" i="41"/>
  <c r="BE15" i="43"/>
  <c r="BE17" i="43" s="1"/>
  <c r="BE34" i="43" s="1"/>
  <c r="BE32" i="43"/>
  <c r="AN68" i="41"/>
  <c r="AH447" i="42"/>
  <c r="AH450" i="42" s="1"/>
  <c r="AG450" i="42"/>
  <c r="BY1218" i="10"/>
  <c r="CL545" i="42"/>
  <c r="CL20" i="20"/>
  <c r="AR22" i="41"/>
  <c r="AP73" i="41" s="1"/>
  <c r="BG66" i="41"/>
  <c r="BG81" i="41"/>
  <c r="CP855" i="10"/>
  <c r="CP845" i="10"/>
  <c r="CP853" i="10"/>
  <c r="CP857" i="10"/>
  <c r="CP986" i="10"/>
  <c r="CP985" i="10"/>
  <c r="CP856" i="10"/>
  <c r="CP854" i="10"/>
  <c r="CP846" i="10"/>
  <c r="CP850" i="10"/>
  <c r="CP851" i="10"/>
  <c r="CP852" i="10"/>
  <c r="BP33" i="20"/>
  <c r="CT909" i="10"/>
  <c r="CT899" i="10"/>
  <c r="CG13" i="43"/>
  <c r="CG30" i="43"/>
  <c r="CH447" i="42"/>
  <c r="CH890" i="20"/>
  <c r="CP195" i="49"/>
  <c r="CP12" i="49"/>
  <c r="CP236" i="49"/>
  <c r="CP244" i="49"/>
  <c r="CP186" i="49"/>
  <c r="CP18" i="49" s="1"/>
  <c r="CP218" i="49"/>
  <c r="CP220" i="49" s="1"/>
  <c r="BE547" i="42"/>
  <c r="CZ33" i="20"/>
  <c r="CW13" i="43"/>
  <c r="CW30" i="43"/>
  <c r="BC66" i="41"/>
  <c r="BC81" i="41"/>
  <c r="CB545" i="42"/>
  <c r="CB20" i="20"/>
  <c r="AH22" i="41"/>
  <c r="AL66" i="41" s="1"/>
  <c r="AZ30" i="43"/>
  <c r="BL35" i="43" s="1"/>
  <c r="AZ13" i="43"/>
  <c r="CT1030" i="10"/>
  <c r="CT994" i="10"/>
  <c r="CT996" i="10"/>
  <c r="CT995" i="10"/>
  <c r="CT1006" i="10" s="1"/>
  <c r="CT993" i="10"/>
  <c r="CT1004" i="10" s="1"/>
  <c r="CT992" i="10"/>
  <c r="CT1003" i="10" s="1"/>
  <c r="CT1020" i="10"/>
  <c r="CT991" i="10"/>
  <c r="DN908" i="20"/>
  <c r="DM475" i="42"/>
  <c r="DN475" i="42" s="1"/>
  <c r="DN476" i="42" s="1"/>
  <c r="DN478" i="42" s="1"/>
  <c r="DI14" i="46"/>
  <c r="DI261" i="42"/>
  <c r="BV24" i="49"/>
  <c r="BW24" i="49" s="1"/>
  <c r="BV339" i="49"/>
  <c r="BV347" i="49"/>
  <c r="CT195" i="49"/>
  <c r="CT236" i="49"/>
  <c r="CT244" i="49"/>
  <c r="CT218" i="49"/>
  <c r="CT220" i="49" s="1"/>
  <c r="CT12" i="49"/>
  <c r="CT186" i="49"/>
  <c r="CT18" i="49" s="1"/>
  <c r="CU185" i="49"/>
  <c r="AF4" i="51"/>
  <c r="AF8" i="51"/>
  <c r="AF6" i="51"/>
  <c r="AF7" i="51"/>
  <c r="AF5" i="51"/>
  <c r="AF9" i="51"/>
  <c r="CG431" i="10"/>
  <c r="CJ431" i="10" s="1"/>
  <c r="DE504" i="42"/>
  <c r="BJ447" i="42"/>
  <c r="CV878" i="20"/>
  <c r="CV882" i="20" s="1"/>
  <c r="CV905" i="20"/>
  <c r="CL59" i="46"/>
  <c r="BF218" i="49"/>
  <c r="BF141" i="49"/>
  <c r="BF321" i="49"/>
  <c r="CC436" i="10"/>
  <c r="CF436" i="10" s="1"/>
  <c r="CT274" i="42"/>
  <c r="CR271" i="42"/>
  <c r="CK49" i="43"/>
  <c r="CK48" i="43"/>
  <c r="CK50" i="43"/>
  <c r="CK57" i="43"/>
  <c r="B71" i="51"/>
  <c r="B72" i="51" s="1"/>
  <c r="AP504" i="42"/>
  <c r="BU49" i="43"/>
  <c r="BU48" i="43"/>
  <c r="BU50" i="43"/>
  <c r="BU57" i="43"/>
  <c r="BV447" i="42"/>
  <c r="DN255" i="10"/>
  <c r="CJ33" i="20"/>
  <c r="CP866" i="10"/>
  <c r="CQ928" i="10"/>
  <c r="CP896" i="10"/>
  <c r="CP894" i="10"/>
  <c r="CP1018" i="10"/>
  <c r="CU1018" i="10" s="1"/>
  <c r="CP895" i="10"/>
  <c r="CP906" i="10" s="1"/>
  <c r="CP892" i="10"/>
  <c r="CP903" i="10" s="1"/>
  <c r="CP893" i="10"/>
  <c r="CP904" i="10" s="1"/>
  <c r="CP891" i="10"/>
  <c r="CP902" i="10" s="1"/>
  <c r="BJ59" i="46"/>
  <c r="AK28" i="51"/>
  <c r="CB33" i="20"/>
  <c r="CH339" i="49"/>
  <c r="CH347" i="49"/>
  <c r="CH24" i="49"/>
  <c r="BT48" i="43"/>
  <c r="BT133" i="49"/>
  <c r="BT49" i="43"/>
  <c r="BT50" i="43"/>
  <c r="BT57" i="43"/>
  <c r="CC996" i="10"/>
  <c r="CC1030" i="10"/>
  <c r="CC994" i="10"/>
  <c r="CC1005" i="10" s="1"/>
  <c r="CC991" i="10"/>
  <c r="CC993" i="10"/>
  <c r="CC1004" i="10" s="1"/>
  <c r="CC995" i="10"/>
  <c r="CC1006" i="10" s="1"/>
  <c r="CC992" i="10"/>
  <c r="CC1003" i="10" s="1"/>
  <c r="CC1020" i="10"/>
  <c r="DL884" i="20"/>
  <c r="DN950" i="20"/>
  <c r="DL953" i="20"/>
  <c r="DL958" i="20" s="1"/>
  <c r="DL821" i="20"/>
  <c r="DL799" i="20"/>
  <c r="DN820" i="20"/>
  <c r="DN824" i="20" s="1"/>
  <c r="CZ50" i="43"/>
  <c r="CZ57" i="43"/>
  <c r="AY66" i="41"/>
  <c r="AY81" i="41"/>
  <c r="CH845" i="10"/>
  <c r="CH853" i="10"/>
  <c r="CH857" i="10"/>
  <c r="CH855" i="10"/>
  <c r="CH985" i="10"/>
  <c r="CH986" i="10"/>
  <c r="CH856" i="10"/>
  <c r="CH854" i="10"/>
  <c r="CH852" i="10"/>
  <c r="CH846" i="10"/>
  <c r="CH850" i="10"/>
  <c r="CH851" i="10"/>
  <c r="CS847" i="20"/>
  <c r="CS806" i="20"/>
  <c r="CS808" i="20" s="1"/>
  <c r="CS815" i="20" s="1"/>
  <c r="CS844" i="20"/>
  <c r="CS849" i="20" s="1"/>
  <c r="CR803" i="20"/>
  <c r="CE664" i="10"/>
  <c r="CD844" i="10"/>
  <c r="AG54" i="43"/>
  <c r="AG50" i="43"/>
  <c r="AJ446" i="42"/>
  <c r="AX49" i="43"/>
  <c r="AX48" i="43"/>
  <c r="AX50" i="43"/>
  <c r="AW35" i="43"/>
  <c r="AW36" i="43"/>
  <c r="CT855" i="10"/>
  <c r="CT845" i="10"/>
  <c r="CT853" i="10"/>
  <c r="CT857" i="10"/>
  <c r="CT985" i="10"/>
  <c r="CT986" i="10"/>
  <c r="CT856" i="10"/>
  <c r="CT852" i="10"/>
  <c r="CT854" i="10"/>
  <c r="CT850" i="10"/>
  <c r="CT846" i="10"/>
  <c r="CT851" i="10"/>
  <c r="DA899" i="10"/>
  <c r="BV425" i="42"/>
  <c r="BU429" i="42"/>
  <c r="BU439" i="42" s="1"/>
  <c r="CT115" i="49"/>
  <c r="CT141" i="49" s="1"/>
  <c r="CT9" i="43"/>
  <c r="CT11" i="43"/>
  <c r="CT47" i="43"/>
  <c r="CU8" i="43"/>
  <c r="AF53" i="51"/>
  <c r="AF66" i="51" s="1"/>
  <c r="AF67" i="51" s="1"/>
  <c r="BZ866" i="10"/>
  <c r="BZ896" i="10"/>
  <c r="BZ1018" i="10"/>
  <c r="BZ894" i="10"/>
  <c r="BZ905" i="10" s="1"/>
  <c r="BZ895" i="10"/>
  <c r="BZ906" i="10" s="1"/>
  <c r="BZ893" i="10"/>
  <c r="BZ904" i="10" s="1"/>
  <c r="BZ891" i="10"/>
  <c r="BZ902" i="10" s="1"/>
  <c r="BZ892" i="10"/>
  <c r="BZ903" i="10" s="1"/>
  <c r="DF917" i="20"/>
  <c r="DF911" i="20"/>
  <c r="AP28" i="51"/>
  <c r="CG33" i="20"/>
  <c r="CO49" i="43"/>
  <c r="CO48" i="43"/>
  <c r="CO57" i="43"/>
  <c r="CO50" i="43"/>
  <c r="BL135" i="49"/>
  <c r="BH450" i="42"/>
  <c r="BV59" i="46"/>
  <c r="CC899" i="10"/>
  <c r="AB26" i="51"/>
  <c r="AB11" i="51" s="1"/>
  <c r="BV19" i="20"/>
  <c r="BV31" i="20"/>
  <c r="BR59" i="46"/>
  <c r="BR115" i="49"/>
  <c r="BR9" i="43"/>
  <c r="BR11" i="43"/>
  <c r="BR47" i="43"/>
  <c r="BS8" i="43"/>
  <c r="BF271" i="42"/>
  <c r="BF93" i="49" s="1"/>
  <c r="BD276" i="42"/>
  <c r="BM117" i="49"/>
  <c r="BM119" i="49" s="1"/>
  <c r="BM13" i="43"/>
  <c r="BM30" i="43"/>
  <c r="BF66" i="41"/>
  <c r="BF81" i="41"/>
  <c r="AV1105" i="10"/>
  <c r="BN447" i="42"/>
  <c r="CH186" i="49"/>
  <c r="CH18" i="49" s="1"/>
  <c r="CN33" i="20"/>
  <c r="CS297" i="10"/>
  <c r="CR299" i="10"/>
  <c r="CP97" i="49"/>
  <c r="CR808" i="20"/>
  <c r="AZ700" i="10"/>
  <c r="AZ1100" i="10"/>
  <c r="AZ777" i="20"/>
  <c r="AZ1101" i="10"/>
  <c r="AZ1097" i="10"/>
  <c r="CW1002" i="10"/>
  <c r="CW999" i="10"/>
  <c r="BA35" i="43"/>
  <c r="BA36" i="43"/>
  <c r="G24" i="41"/>
  <c r="G70" i="41" s="1"/>
  <c r="BK11" i="51"/>
  <c r="BA1105" i="10"/>
  <c r="CL5" i="49"/>
  <c r="CQ5" i="49" s="1"/>
  <c r="CM87" i="49"/>
  <c r="CN30" i="43"/>
  <c r="CN13" i="43"/>
  <c r="CP545" i="42"/>
  <c r="CP20" i="20"/>
  <c r="AV22" i="41"/>
  <c r="AT73" i="41" s="1"/>
  <c r="CR888" i="20"/>
  <c r="CR894" i="20"/>
  <c r="DO29" i="41"/>
  <c r="DO31" i="41"/>
  <c r="BH30" i="43"/>
  <c r="BH13" i="43"/>
  <c r="BJ545" i="42"/>
  <c r="BJ34" i="10"/>
  <c r="BJ20" i="20"/>
  <c r="P22" i="41"/>
  <c r="P66" i="41" s="1"/>
  <c r="BB56" i="46"/>
  <c r="BB60" i="46" s="1"/>
  <c r="AZ60" i="46"/>
  <c r="BB47" i="43"/>
  <c r="BB11" i="43"/>
  <c r="Z66" i="41"/>
  <c r="DN951" i="20"/>
  <c r="DN956" i="20" s="1"/>
  <c r="DL885" i="20"/>
  <c r="DN885" i="20" s="1"/>
  <c r="DN805" i="20"/>
  <c r="EY43" i="41"/>
  <c r="DJ14" i="46"/>
  <c r="DJ261" i="42"/>
  <c r="BP117" i="49"/>
  <c r="BP119" i="49" s="1"/>
  <c r="BP30" i="43"/>
  <c r="BP13" i="43"/>
  <c r="CX896" i="10"/>
  <c r="CX866" i="10"/>
  <c r="CY928" i="10"/>
  <c r="CX894" i="10"/>
  <c r="CX1018" i="10"/>
  <c r="CX895" i="10"/>
  <c r="CX906" i="10" s="1"/>
  <c r="CX892" i="10"/>
  <c r="CX903" i="10" s="1"/>
  <c r="CX891" i="10"/>
  <c r="CX902" i="10" s="1"/>
  <c r="CX893" i="10"/>
  <c r="CX904" i="10" s="1"/>
  <c r="CZ901" i="20"/>
  <c r="CZ904" i="20"/>
  <c r="CC432" i="10"/>
  <c r="CF432" i="10" s="1"/>
  <c r="CS49" i="43"/>
  <c r="CS48" i="43"/>
  <c r="CS57" i="43"/>
  <c r="CS50" i="43"/>
  <c r="BR19" i="20"/>
  <c r="BR31" i="20"/>
  <c r="CJ1030" i="10"/>
  <c r="CJ996" i="10"/>
  <c r="CJ995" i="10"/>
  <c r="CJ1006" i="10" s="1"/>
  <c r="CJ994" i="10"/>
  <c r="CJ992" i="10"/>
  <c r="CJ1003" i="10" s="1"/>
  <c r="CJ993" i="10"/>
  <c r="CJ1004" i="10" s="1"/>
  <c r="CJ991" i="10"/>
  <c r="CJ1020" i="10"/>
  <c r="CM928" i="10"/>
  <c r="CL866" i="10"/>
  <c r="CL1018" i="10"/>
  <c r="CL894" i="10"/>
  <c r="CL896" i="10"/>
  <c r="CL895" i="10"/>
  <c r="CL906" i="10" s="1"/>
  <c r="CL893" i="10"/>
  <c r="CL904" i="10" s="1"/>
  <c r="CL891" i="10"/>
  <c r="CL902" i="10" s="1"/>
  <c r="CL892" i="10"/>
  <c r="CL903" i="10" s="1"/>
  <c r="CJ48" i="43"/>
  <c r="CJ49" i="43"/>
  <c r="CJ50" i="43"/>
  <c r="CJ57" i="43"/>
  <c r="AR65" i="41"/>
  <c r="CG271" i="42"/>
  <c r="CA664" i="10"/>
  <c r="BZ844" i="10"/>
  <c r="CR48" i="43"/>
  <c r="CR49" i="43"/>
  <c r="CR57" i="43"/>
  <c r="CR50" i="43"/>
  <c r="CU5" i="49"/>
  <c r="K26" i="51"/>
  <c r="BB19" i="20"/>
  <c r="BB31" i="20"/>
  <c r="DB236" i="49"/>
  <c r="DB244" i="49"/>
  <c r="DB218" i="49"/>
  <c r="DB220" i="49" s="1"/>
  <c r="DB12" i="49"/>
  <c r="DB195" i="49"/>
  <c r="DC185" i="49"/>
  <c r="DB186" i="49"/>
  <c r="DB18" i="49" s="1"/>
  <c r="BD33" i="20"/>
  <c r="BH33" i="20"/>
  <c r="BE546" i="42"/>
  <c r="CN60" i="46"/>
  <c r="CP56" i="46"/>
  <c r="CP60" i="46" s="1"/>
  <c r="CB899" i="10"/>
  <c r="CD59" i="49"/>
  <c r="CD58" i="46"/>
  <c r="CD8" i="43"/>
  <c r="CI8" i="43" s="1"/>
  <c r="CD445" i="42"/>
  <c r="CD543" i="42"/>
  <c r="CD32" i="10"/>
  <c r="CE30" i="10"/>
  <c r="CD1104" i="10"/>
  <c r="AJ20" i="41"/>
  <c r="CC33" i="10"/>
  <c r="BL32" i="43"/>
  <c r="BL15" i="43"/>
  <c r="BL17" i="43" s="1"/>
  <c r="BL34" i="43" s="1"/>
  <c r="CS899" i="10"/>
  <c r="CX339" i="49"/>
  <c r="CX24" i="49"/>
  <c r="CX347" i="49"/>
  <c r="CX289" i="49"/>
  <c r="CX30" i="49" s="1"/>
  <c r="CX321" i="49"/>
  <c r="CX323" i="49" s="1"/>
  <c r="CX298" i="49"/>
  <c r="CY288" i="49"/>
  <c r="AI65" i="41"/>
  <c r="CC428" i="10"/>
  <c r="CF428" i="10" s="1"/>
  <c r="CT31" i="20"/>
  <c r="BI271" i="42"/>
  <c r="CH196" i="49"/>
  <c r="CH299" i="49"/>
  <c r="AP66" i="41"/>
  <c r="AP81" i="41"/>
  <c r="BF117" i="49"/>
  <c r="BF13" i="43"/>
  <c r="BF30" i="43"/>
  <c r="AW702" i="10"/>
  <c r="AW701" i="10"/>
  <c r="CK13" i="43"/>
  <c r="CK30" i="43"/>
  <c r="AO28" i="51"/>
  <c r="CF33" i="20"/>
  <c r="BL93" i="49"/>
  <c r="BL276" i="42"/>
  <c r="BU13" i="43"/>
  <c r="BU30" i="43"/>
  <c r="BU271" i="42"/>
  <c r="AW1105" i="10"/>
  <c r="BM255" i="42"/>
  <c r="BP253" i="42"/>
  <c r="CK320" i="10"/>
  <c r="CK326" i="10"/>
  <c r="DM240" i="10"/>
  <c r="DN182" i="10"/>
  <c r="DM192" i="10"/>
  <c r="EX59" i="41"/>
  <c r="DN807" i="20"/>
  <c r="CW276" i="42"/>
  <c r="AU66" i="41"/>
  <c r="AU81" i="41"/>
  <c r="AJ18" i="41"/>
  <c r="AJ64" i="41"/>
  <c r="CN1030" i="10"/>
  <c r="CN996" i="10"/>
  <c r="CN994" i="10"/>
  <c r="CN995" i="10"/>
  <c r="CN1006" i="10" s="1"/>
  <c r="CN993" i="10"/>
  <c r="CN1004" i="10" s="1"/>
  <c r="CN991" i="10"/>
  <c r="CN1020" i="10"/>
  <c r="CN992" i="10"/>
  <c r="CN1003" i="10" s="1"/>
  <c r="O64" i="51"/>
  <c r="O65" i="51" s="1"/>
  <c r="AZ547" i="42"/>
  <c r="AZ546" i="42"/>
  <c r="BT117" i="49"/>
  <c r="BT119" i="49" s="1"/>
  <c r="BT30" i="43"/>
  <c r="BT13" i="43"/>
  <c r="CH56" i="46"/>
  <c r="CH60" i="46" s="1"/>
  <c r="CF60" i="46"/>
  <c r="CH115" i="49"/>
  <c r="CH9" i="43"/>
  <c r="CH11" i="43"/>
  <c r="CH47" i="43"/>
  <c r="DJ884" i="20"/>
  <c r="J66" i="41"/>
  <c r="CL1009" i="10"/>
  <c r="CZ30" i="43"/>
  <c r="CZ13" i="43"/>
  <c r="BY1030" i="10"/>
  <c r="BY996" i="10"/>
  <c r="BY991" i="10"/>
  <c r="BY994" i="10"/>
  <c r="BY1005" i="10" s="1"/>
  <c r="BY993" i="10"/>
  <c r="BY1004" i="10" s="1"/>
  <c r="BY995" i="10"/>
  <c r="BY1006" i="10" s="1"/>
  <c r="BY1020" i="10"/>
  <c r="BY992" i="10"/>
  <c r="BY1003" i="10" s="1"/>
  <c r="CH896" i="10"/>
  <c r="CH866" i="10"/>
  <c r="CI928" i="10"/>
  <c r="CH894" i="10"/>
  <c r="CH1018" i="10"/>
  <c r="CH893" i="10"/>
  <c r="CH904" i="10" s="1"/>
  <c r="CH895" i="10"/>
  <c r="CH906" i="10" s="1"/>
  <c r="CH891" i="10"/>
  <c r="CH902" i="10" s="1"/>
  <c r="CH892" i="10"/>
  <c r="CH903" i="10" s="1"/>
  <c r="BY33" i="10"/>
  <c r="AF18" i="41"/>
  <c r="AF64" i="41"/>
  <c r="CT830" i="20"/>
  <c r="CT838" i="20" s="1"/>
  <c r="DA50" i="43"/>
  <c r="DA57" i="43"/>
  <c r="DA276" i="42"/>
  <c r="AH46" i="43"/>
  <c r="AH48" i="43"/>
  <c r="AH51" i="43"/>
  <c r="CX56" i="46"/>
  <c r="CX60" i="46" s="1"/>
  <c r="CV60" i="46"/>
  <c r="CL909" i="10"/>
  <c r="CR60" i="46"/>
  <c r="CT56" i="46"/>
  <c r="CT60" i="46" s="1"/>
  <c r="CT545" i="42"/>
  <c r="CT20" i="20"/>
  <c r="AZ22" i="41"/>
  <c r="BX1030" i="10"/>
  <c r="BX996" i="10"/>
  <c r="BX995" i="10"/>
  <c r="BX1006" i="10" s="1"/>
  <c r="BX993" i="10"/>
  <c r="BX1004" i="10" s="1"/>
  <c r="BX991" i="10"/>
  <c r="BX994" i="10"/>
  <c r="BX1005" i="10" s="1"/>
  <c r="BX992" i="10"/>
  <c r="BX1003" i="10" s="1"/>
  <c r="BX1020" i="10"/>
  <c r="G26" i="51"/>
  <c r="G11" i="51" s="1"/>
  <c r="AX19" i="20"/>
  <c r="G28" i="51" s="1"/>
  <c r="EQ44" i="41"/>
  <c r="EP44" i="41"/>
  <c r="CK322" i="10"/>
  <c r="CK325" i="10"/>
  <c r="BQ186" i="49"/>
  <c r="BQ18" i="49" s="1"/>
  <c r="BQ12" i="49"/>
  <c r="BQ288" i="49"/>
  <c r="CB1030" i="10"/>
  <c r="CB996" i="10"/>
  <c r="CB993" i="10"/>
  <c r="CB1004" i="10" s="1"/>
  <c r="CB994" i="10"/>
  <c r="CB1005" i="10" s="1"/>
  <c r="CB995" i="10"/>
  <c r="CB1006" i="10" s="1"/>
  <c r="CB991" i="10"/>
  <c r="CB992" i="10"/>
  <c r="CB1003" i="10" s="1"/>
  <c r="CB1020" i="10"/>
  <c r="CD896" i="10"/>
  <c r="CE928" i="10"/>
  <c r="CD866" i="10"/>
  <c r="CD1018" i="10"/>
  <c r="CD893" i="10"/>
  <c r="CD904" i="10" s="1"/>
  <c r="CD895" i="10"/>
  <c r="CD906" i="10" s="1"/>
  <c r="CD891" i="10"/>
  <c r="CD902" i="10" s="1"/>
  <c r="CD894" i="10"/>
  <c r="CD905" i="10" s="1"/>
  <c r="CD892" i="10"/>
  <c r="CD903" i="10" s="1"/>
  <c r="DM910" i="20"/>
  <c r="DQ910" i="20" s="1"/>
  <c r="DR910" i="20" s="1"/>
  <c r="DJ910" i="20"/>
  <c r="DI911" i="20"/>
  <c r="BQ13" i="43"/>
  <c r="BQ30" i="43"/>
  <c r="BQ117" i="49"/>
  <c r="BQ119" i="49" s="1"/>
  <c r="BL134" i="49"/>
  <c r="BJ274" i="42"/>
  <c r="BH271" i="42"/>
  <c r="DL913" i="20"/>
  <c r="DL918" i="20"/>
  <c r="BV545" i="42"/>
  <c r="BV20" i="20"/>
  <c r="AB22" i="41"/>
  <c r="CC49" i="43"/>
  <c r="CC48" i="43"/>
  <c r="CC50" i="43"/>
  <c r="CC57" i="43"/>
  <c r="BZ97" i="49"/>
  <c r="BR545" i="42"/>
  <c r="BR34" i="10"/>
  <c r="BR20" i="20"/>
  <c r="X22" i="41"/>
  <c r="X66" i="41" s="1"/>
  <c r="BF195" i="49"/>
  <c r="BF298" i="49"/>
  <c r="CZ276" i="42"/>
  <c r="DB271" i="42"/>
  <c r="BZ284" i="49"/>
  <c r="BZ282" i="49"/>
  <c r="BM96" i="49"/>
  <c r="BM271" i="42"/>
  <c r="CT842" i="20"/>
  <c r="BF546" i="42"/>
  <c r="BF547" i="42"/>
  <c r="BN141" i="49"/>
  <c r="BN321" i="49"/>
  <c r="BN218" i="49"/>
  <c r="BK53" i="51"/>
  <c r="BK66" i="51" s="1"/>
  <c r="BK67" i="51" s="1"/>
  <c r="CV48" i="43"/>
  <c r="CV49" i="43"/>
  <c r="CV50" i="43"/>
  <c r="CV57" i="43"/>
  <c r="BD65" i="41"/>
  <c r="CX545" i="42"/>
  <c r="CX20" i="20"/>
  <c r="BD22" i="41"/>
  <c r="DN957" i="20"/>
  <c r="AJ50" i="43"/>
  <c r="AJ54" i="43"/>
  <c r="AK446" i="42"/>
  <c r="CL288" i="49"/>
  <c r="CL286" i="49"/>
  <c r="BN59" i="46"/>
  <c r="BN57" i="46"/>
  <c r="BZ181" i="49"/>
  <c r="BZ179" i="49"/>
  <c r="DB407" i="42"/>
  <c r="DB406" i="42" s="1"/>
  <c r="BG26" i="51"/>
  <c r="CX19" i="20"/>
  <c r="CX31" i="20"/>
  <c r="CN48" i="43"/>
  <c r="CN49" i="43"/>
  <c r="CN50" i="43"/>
  <c r="CN57" i="43"/>
  <c r="CP909" i="10"/>
  <c r="CN899" i="10"/>
  <c r="BH48" i="43"/>
  <c r="BH49" i="43"/>
  <c r="BH50" i="43"/>
  <c r="CS994" i="10"/>
  <c r="CS996" i="10"/>
  <c r="CS1030" i="10"/>
  <c r="CS993" i="10"/>
  <c r="CS1004" i="10" s="1"/>
  <c r="CS995" i="10"/>
  <c r="CS1006" i="10" s="1"/>
  <c r="CS1020" i="10"/>
  <c r="CS991" i="10"/>
  <c r="CS992" i="10"/>
  <c r="CS1003" i="10" s="1"/>
  <c r="BB59" i="46"/>
  <c r="DN202" i="10"/>
  <c r="DL210" i="10"/>
  <c r="BI1" i="10"/>
  <c r="BL3" i="10"/>
  <c r="DM35" i="42"/>
  <c r="EX43" i="41"/>
  <c r="DJ193" i="49"/>
  <c r="DJ296" i="49"/>
  <c r="BP96" i="49"/>
  <c r="BR274" i="42"/>
  <c r="BP271" i="42"/>
  <c r="CV994" i="10"/>
  <c r="CV996" i="10"/>
  <c r="CV1030" i="10"/>
  <c r="CV995" i="10"/>
  <c r="CV1006" i="10" s="1"/>
  <c r="CV992" i="10"/>
  <c r="CV1003" i="10" s="1"/>
  <c r="CV1020" i="10"/>
  <c r="CV991" i="10"/>
  <c r="CV993" i="10"/>
  <c r="CV1004" i="10" s="1"/>
  <c r="AQ65" i="51"/>
  <c r="AG271" i="42"/>
  <c r="AH275" i="42"/>
  <c r="CX218" i="49"/>
  <c r="CX220" i="49" s="1"/>
  <c r="CX12" i="49"/>
  <c r="CX244" i="49"/>
  <c r="CX186" i="49"/>
  <c r="CX18" i="49" s="1"/>
  <c r="CX195" i="49"/>
  <c r="CX236" i="49"/>
  <c r="CY185" i="49"/>
  <c r="CJ30" i="43"/>
  <c r="CJ13" i="43"/>
  <c r="CL115" i="49"/>
  <c r="CL9" i="43"/>
  <c r="CL11" i="43"/>
  <c r="CL47" i="43"/>
  <c r="CM8" i="43"/>
  <c r="DC887" i="20"/>
  <c r="DB895" i="20"/>
  <c r="AX546" i="42"/>
  <c r="AX547" i="42"/>
  <c r="CH909" i="10"/>
  <c r="CV276" i="42"/>
  <c r="CX271" i="42"/>
  <c r="AM26" i="51"/>
  <c r="CD19" i="20"/>
  <c r="CD31" i="20"/>
  <c r="CP325" i="49"/>
  <c r="CP328" i="49"/>
  <c r="CP26" i="49" s="1"/>
  <c r="O26" i="51"/>
  <c r="O11" i="51" s="1"/>
  <c r="BF19" i="20"/>
  <c r="BF31" i="20"/>
  <c r="CG48" i="43"/>
  <c r="CG49" i="43"/>
  <c r="CG50" i="43"/>
  <c r="CG57" i="43"/>
  <c r="CL185" i="49"/>
  <c r="CQ185" i="49" s="1"/>
  <c r="CL183" i="49"/>
  <c r="AQ26" i="51"/>
  <c r="AQ11" i="51" s="1"/>
  <c r="CH19" i="20"/>
  <c r="CH31" i="20"/>
  <c r="CP59" i="46"/>
  <c r="CX909" i="10"/>
  <c r="AU59" i="51"/>
  <c r="AU65" i="51" s="1"/>
  <c r="CW48" i="43"/>
  <c r="CW49" i="43"/>
  <c r="CW57" i="43"/>
  <c r="CW50" i="43"/>
  <c r="CB274" i="42"/>
  <c r="CB447" i="42"/>
  <c r="CD55" i="46"/>
  <c r="CB56" i="46"/>
  <c r="CW33" i="20"/>
  <c r="BL36" i="43"/>
  <c r="BL120" i="49"/>
  <c r="R24" i="41"/>
  <c r="AO295" i="42"/>
  <c r="AO326" i="42"/>
  <c r="BC28" i="51"/>
  <c r="BZ31" i="20"/>
  <c r="CD236" i="49"/>
  <c r="CD244" i="49"/>
  <c r="CD12" i="49"/>
  <c r="BV299" i="49" l="1"/>
  <c r="BV196" i="49"/>
  <c r="DF407" i="42"/>
  <c r="DF406" i="42" s="1"/>
  <c r="DH399" i="42"/>
  <c r="DH401" i="42" s="1"/>
  <c r="DH901" i="20"/>
  <c r="DH904" i="20"/>
  <c r="DM887" i="20"/>
  <c r="DM895" i="20" s="1"/>
  <c r="BB556" i="42"/>
  <c r="CM22" i="41"/>
  <c r="DN257" i="49"/>
  <c r="DR44" i="49"/>
  <c r="DR72" i="49" s="1"/>
  <c r="DS72" i="49" s="1"/>
  <c r="DR257" i="49" s="1"/>
  <c r="DO79" i="49"/>
  <c r="DN158" i="49" s="1"/>
  <c r="DO158" i="49" s="1"/>
  <c r="DO177" i="49" s="1"/>
  <c r="DN177" i="49" s="1"/>
  <c r="DS79" i="49"/>
  <c r="AU11" i="51"/>
  <c r="DQ254" i="10"/>
  <c r="DQ255" i="10" s="1"/>
  <c r="DQ210" i="10"/>
  <c r="FB59" i="41"/>
  <c r="DQ240" i="10"/>
  <c r="DR182" i="10"/>
  <c r="DQ192" i="10"/>
  <c r="DP210" i="10"/>
  <c r="DR202" i="10"/>
  <c r="BX37" i="41"/>
  <c r="BX8" i="41"/>
  <c r="BX57" i="41" s="1"/>
  <c r="FB43" i="41"/>
  <c r="DQ35" i="42"/>
  <c r="DP345" i="42"/>
  <c r="DQ339" i="42"/>
  <c r="DQ344" i="42" s="1"/>
  <c r="DR246" i="10"/>
  <c r="DR254" i="10" s="1"/>
  <c r="FC43" i="41"/>
  <c r="DQ475" i="42"/>
  <c r="DR475" i="42" s="1"/>
  <c r="DR476" i="42" s="1"/>
  <c r="DR478" i="42" s="1"/>
  <c r="BT62" i="41"/>
  <c r="BX62" i="41"/>
  <c r="DR824" i="20"/>
  <c r="DP825" i="20"/>
  <c r="DR821" i="20"/>
  <c r="DQ885" i="20"/>
  <c r="DQ953" i="20"/>
  <c r="DQ958" i="20" s="1"/>
  <c r="DQ911" i="20"/>
  <c r="DQ825" i="20"/>
  <c r="DQ805" i="20"/>
  <c r="DR841" i="20"/>
  <c r="DP958" i="20"/>
  <c r="DR884" i="20"/>
  <c r="DP887" i="20"/>
  <c r="DQ807" i="20"/>
  <c r="DR807" i="20" s="1"/>
  <c r="DR843" i="20"/>
  <c r="DR848" i="20" s="1"/>
  <c r="DR955" i="20"/>
  <c r="DR885" i="20"/>
  <c r="DR951" i="20"/>
  <c r="DR956" i="20" s="1"/>
  <c r="DQ886" i="20"/>
  <c r="DR886" i="20" s="1"/>
  <c r="DR952" i="20"/>
  <c r="DR957" i="20" s="1"/>
  <c r="DP911" i="20"/>
  <c r="DR908" i="20"/>
  <c r="DR799" i="20"/>
  <c r="DE505" i="42"/>
  <c r="DE515" i="42"/>
  <c r="DE520" i="42" s="1"/>
  <c r="DE516" i="42"/>
  <c r="DE521" i="42" s="1"/>
  <c r="BR33" i="20"/>
  <c r="AL73" i="41"/>
  <c r="DD403" i="42"/>
  <c r="DK31" i="41"/>
  <c r="K65" i="51"/>
  <c r="K53" i="51" s="1"/>
  <c r="K66" i="51" s="1"/>
  <c r="K67" i="51" s="1"/>
  <c r="K70" i="51" s="1"/>
  <c r="S53" i="51"/>
  <c r="S66" i="51" s="1"/>
  <c r="S67" i="51" s="1"/>
  <c r="S70" i="51" s="1"/>
  <c r="S72" i="51" s="1"/>
  <c r="CX276" i="42"/>
  <c r="CA5" i="49"/>
  <c r="BJ57" i="46"/>
  <c r="CY24" i="49"/>
  <c r="BR57" i="46"/>
  <c r="BB57" i="46"/>
  <c r="CT798" i="20"/>
  <c r="CU798" i="20" s="1"/>
  <c r="AB10" i="51"/>
  <c r="AB12" i="51" s="1"/>
  <c r="CL57" i="46"/>
  <c r="BV186" i="49"/>
  <c r="BV18" i="49" s="1"/>
  <c r="CI24" i="49"/>
  <c r="DN799" i="20"/>
  <c r="DO799" i="20" s="1"/>
  <c r="AH65" i="41"/>
  <c r="CZ837" i="20"/>
  <c r="DA829" i="20"/>
  <c r="CQ986" i="10"/>
  <c r="AU73" i="41"/>
  <c r="CU12" i="49"/>
  <c r="CM5" i="49"/>
  <c r="AY11" i="51"/>
  <c r="CL890" i="20"/>
  <c r="CL891" i="20" s="1"/>
  <c r="BZ1217" i="10"/>
  <c r="BZ1218" i="10" s="1"/>
  <c r="CX899" i="10"/>
  <c r="DB276" i="42"/>
  <c r="DB98" i="49" s="1"/>
  <c r="CH899" i="10"/>
  <c r="S10" i="51"/>
  <c r="BX274" i="42"/>
  <c r="BZ274" i="42" s="1"/>
  <c r="BX447" i="42"/>
  <c r="BZ447" i="42" s="1"/>
  <c r="BX47" i="43"/>
  <c r="BX9" i="43"/>
  <c r="BX11" i="43"/>
  <c r="CY12" i="49"/>
  <c r="CL899" i="10"/>
  <c r="BG73" i="41"/>
  <c r="BV57" i="46"/>
  <c r="BZ55" i="46"/>
  <c r="BZ59" i="46" s="1"/>
  <c r="CP899" i="10"/>
  <c r="AJ65" i="41"/>
  <c r="BM12" i="49"/>
  <c r="BM288" i="49"/>
  <c r="BM186" i="49"/>
  <c r="BM18" i="49" s="1"/>
  <c r="BX545" i="42"/>
  <c r="BX20" i="20"/>
  <c r="AD22" i="41"/>
  <c r="AD66" i="41" s="1"/>
  <c r="DL106" i="42"/>
  <c r="DM331" i="42"/>
  <c r="DM336" i="42" s="1"/>
  <c r="CQ985" i="10"/>
  <c r="AS380" i="42"/>
  <c r="AR382" i="42"/>
  <c r="AR387" i="42"/>
  <c r="AR385" i="42" s="1"/>
  <c r="CP57" i="46"/>
  <c r="CT806" i="20"/>
  <c r="DB48" i="43"/>
  <c r="DB49" i="43"/>
  <c r="DB57" i="46"/>
  <c r="AF70" i="51"/>
  <c r="AF54" i="51"/>
  <c r="CG432" i="10"/>
  <c r="CJ432" i="10" s="1"/>
  <c r="CG430" i="10"/>
  <c r="CJ430" i="10" s="1"/>
  <c r="AU53" i="51"/>
  <c r="AU66" i="51" s="1"/>
  <c r="AU67" i="51" s="1"/>
  <c r="CG433" i="10"/>
  <c r="CJ433" i="10" s="1"/>
  <c r="CG436" i="10"/>
  <c r="CJ436" i="10" s="1"/>
  <c r="AO43" i="43"/>
  <c r="AO296" i="42"/>
  <c r="AP296" i="42" s="1"/>
  <c r="AR296" i="42"/>
  <c r="CD59" i="46"/>
  <c r="EH14" i="41"/>
  <c r="AM5" i="51"/>
  <c r="AM4" i="51"/>
  <c r="AM8" i="51"/>
  <c r="AM6" i="51"/>
  <c r="AM7" i="51"/>
  <c r="AM9" i="51"/>
  <c r="AM10" i="51"/>
  <c r="CL141" i="49"/>
  <c r="CL218" i="49"/>
  <c r="CL321" i="49"/>
  <c r="BJ1" i="10"/>
  <c r="BI392" i="10"/>
  <c r="BI395" i="10"/>
  <c r="BI390" i="10"/>
  <c r="BI394" i="10"/>
  <c r="BI391" i="10"/>
  <c r="BI393" i="10"/>
  <c r="BG28" i="51"/>
  <c r="CX33" i="20"/>
  <c r="BN347" i="49"/>
  <c r="BN244" i="49"/>
  <c r="DB93" i="49"/>
  <c r="BZ299" i="49"/>
  <c r="BZ196" i="49"/>
  <c r="AM53" i="51"/>
  <c r="AM66" i="51" s="1"/>
  <c r="AM67" i="51" s="1"/>
  <c r="AB66" i="41"/>
  <c r="BQ120" i="49"/>
  <c r="BQ35" i="43"/>
  <c r="BQ36" i="43"/>
  <c r="W24" i="41"/>
  <c r="BX1002" i="10"/>
  <c r="BX999" i="10"/>
  <c r="AH50" i="43"/>
  <c r="AH54" i="43"/>
  <c r="BY1002" i="10"/>
  <c r="BY999" i="10"/>
  <c r="BT120" i="49"/>
  <c r="BT36" i="43"/>
  <c r="BT35" i="43"/>
  <c r="Z24" i="41"/>
  <c r="O53" i="51"/>
  <c r="O66" i="51" s="1"/>
  <c r="O67" i="51" s="1"/>
  <c r="O70" i="51" s="1"/>
  <c r="BQ253" i="42"/>
  <c r="BP255" i="42"/>
  <c r="BU276" i="42"/>
  <c r="CK15" i="43"/>
  <c r="CK17" i="43" s="1"/>
  <c r="CK34" i="43" s="1"/>
  <c r="CK32" i="43"/>
  <c r="BC54" i="51"/>
  <c r="BC70" i="51"/>
  <c r="CG428" i="10"/>
  <c r="CJ428" i="10" s="1"/>
  <c r="CX325" i="49"/>
  <c r="CX328" i="49"/>
  <c r="CX26" i="49" s="1"/>
  <c r="CD115" i="49"/>
  <c r="CD9" i="43"/>
  <c r="CD11" i="43"/>
  <c r="CI11" i="43" s="1"/>
  <c r="CD47" i="43"/>
  <c r="CE8" i="43"/>
  <c r="K28" i="51"/>
  <c r="BB33" i="20"/>
  <c r="CG276" i="42"/>
  <c r="CL1030" i="10"/>
  <c r="CL996" i="10"/>
  <c r="CL994" i="10"/>
  <c r="CL995" i="10"/>
  <c r="CL1006" i="10" s="1"/>
  <c r="CL991" i="10"/>
  <c r="CL992" i="10"/>
  <c r="CL1003" i="10" s="1"/>
  <c r="CL993" i="10"/>
  <c r="CL1004" i="10" s="1"/>
  <c r="CL1020" i="10"/>
  <c r="ED14" i="41"/>
  <c r="CZ878" i="20"/>
  <c r="CZ882" i="20" s="1"/>
  <c r="CZ905" i="20"/>
  <c r="BP120" i="49"/>
  <c r="BP36" i="43"/>
  <c r="BP35" i="43"/>
  <c r="V24" i="41"/>
  <c r="V70" i="41" s="1"/>
  <c r="BF276" i="42"/>
  <c r="BD278" i="42"/>
  <c r="BR117" i="49"/>
  <c r="BS11" i="43"/>
  <c r="BR13" i="43"/>
  <c r="BR30" i="43"/>
  <c r="AB28" i="51"/>
  <c r="BV33" i="20"/>
  <c r="DZ14" i="41"/>
  <c r="DF913" i="20"/>
  <c r="DF920" i="20" s="1"/>
  <c r="DF918" i="20"/>
  <c r="BZ1030" i="10"/>
  <c r="BZ996" i="10"/>
  <c r="BZ993" i="10"/>
  <c r="BZ1004" i="10" s="1"/>
  <c r="BZ994" i="10"/>
  <c r="BZ1005" i="10" s="1"/>
  <c r="BZ991" i="10"/>
  <c r="BZ995" i="10"/>
  <c r="BZ1006" i="10" s="1"/>
  <c r="BZ1020" i="10"/>
  <c r="BZ992" i="10"/>
  <c r="BZ1003" i="10" s="1"/>
  <c r="CT117" i="49"/>
  <c r="CU11" i="43"/>
  <c r="CT13" i="43"/>
  <c r="CT30" i="43"/>
  <c r="CU985" i="10"/>
  <c r="CY985" i="10"/>
  <c r="CT803" i="20"/>
  <c r="CT814" i="20" s="1"/>
  <c r="CR809" i="20"/>
  <c r="CR814" i="20"/>
  <c r="EK14" i="41"/>
  <c r="G53" i="51"/>
  <c r="G66" i="51" s="1"/>
  <c r="G67" i="51" s="1"/>
  <c r="G70" i="51" s="1"/>
  <c r="AP505" i="42"/>
  <c r="AP515" i="42"/>
  <c r="AP520" i="42" s="1"/>
  <c r="AP516" i="42"/>
  <c r="AP521" i="42" s="1"/>
  <c r="BF142" i="49"/>
  <c r="BF244" i="49"/>
  <c r="BF347" i="49"/>
  <c r="EP16" i="41"/>
  <c r="AZ15" i="43"/>
  <c r="AZ17" i="43" s="1"/>
  <c r="AZ34" i="43" s="1"/>
  <c r="AZ32" i="43"/>
  <c r="CW35" i="43"/>
  <c r="BC25" i="41" s="1"/>
  <c r="CW36" i="43"/>
  <c r="BC24" i="41"/>
  <c r="BE1105" i="10"/>
  <c r="AQ10" i="51"/>
  <c r="K26" i="41"/>
  <c r="DG887" i="20"/>
  <c r="DF895" i="20"/>
  <c r="BP136" i="49"/>
  <c r="BT93" i="49"/>
  <c r="BT276" i="42"/>
  <c r="BV271" i="42"/>
  <c r="DA901" i="20"/>
  <c r="DA904" i="20"/>
  <c r="AA73" i="41"/>
  <c r="CE87" i="49"/>
  <c r="CD5" i="49"/>
  <c r="CE5" i="49" s="1"/>
  <c r="DI1018" i="10"/>
  <c r="BN119" i="49"/>
  <c r="BN220" i="49"/>
  <c r="BN323" i="49"/>
  <c r="AY53" i="51"/>
  <c r="AY66" i="51" s="1"/>
  <c r="AY67" i="51" s="1"/>
  <c r="CC15" i="43"/>
  <c r="CC17" i="43" s="1"/>
  <c r="CC34" i="43" s="1"/>
  <c r="CC32" i="43"/>
  <c r="BV117" i="49"/>
  <c r="BW11" i="43"/>
  <c r="BV13" i="43"/>
  <c r="BV30" i="43"/>
  <c r="BQ134" i="49"/>
  <c r="J26" i="41"/>
  <c r="S8" i="51"/>
  <c r="S4" i="51"/>
  <c r="S9" i="51"/>
  <c r="S6" i="51"/>
  <c r="S11" i="51"/>
  <c r="S5" i="51"/>
  <c r="CS809" i="20"/>
  <c r="CS814" i="20"/>
  <c r="BY271" i="42"/>
  <c r="BH66" i="41"/>
  <c r="BH81" i="41"/>
  <c r="AN65" i="41"/>
  <c r="CD899" i="10"/>
  <c r="BE339" i="42"/>
  <c r="BE344" i="42" s="1"/>
  <c r="BD345" i="42"/>
  <c r="T7" i="51"/>
  <c r="T4" i="51"/>
  <c r="T8" i="51"/>
  <c r="T6" i="51"/>
  <c r="T9" i="51"/>
  <c r="T5" i="51"/>
  <c r="T11" i="51"/>
  <c r="CO896" i="20"/>
  <c r="CO890" i="20"/>
  <c r="CO891" i="20" s="1"/>
  <c r="CS894" i="20"/>
  <c r="CS888" i="20"/>
  <c r="CT888" i="20" s="1"/>
  <c r="CT896" i="20" s="1"/>
  <c r="BB700" i="10"/>
  <c r="BB1101" i="10"/>
  <c r="BB777" i="20"/>
  <c r="BB1100" i="10"/>
  <c r="BB1097" i="10"/>
  <c r="BJ1" i="42"/>
  <c r="BJ2" i="42" s="1"/>
  <c r="BJ541" i="42" s="1"/>
  <c r="BJ551" i="42" s="1"/>
  <c r="BJ554" i="42" s="1"/>
  <c r="BJ555" i="42" s="1"/>
  <c r="BI2" i="42"/>
  <c r="BC12" i="51"/>
  <c r="CM985" i="10"/>
  <c r="BD67" i="10"/>
  <c r="BD69" i="10"/>
  <c r="BD70" i="10" s="1"/>
  <c r="BD763" i="10"/>
  <c r="BD1080" i="10"/>
  <c r="BD175" i="10"/>
  <c r="BD176" i="10"/>
  <c r="BD766" i="10"/>
  <c r="BD764" i="10"/>
  <c r="BD767" i="10"/>
  <c r="BD769" i="10"/>
  <c r="BD765" i="10"/>
  <c r="BD771" i="10"/>
  <c r="BD770" i="10"/>
  <c r="BD1085" i="10"/>
  <c r="BD1086" i="10"/>
  <c r="BD1089" i="10" s="1"/>
  <c r="BD1091" i="10" s="1"/>
  <c r="BD1092" i="10" s="1"/>
  <c r="BD1093" i="10" s="1"/>
  <c r="BD1096" i="10" s="1"/>
  <c r="BD174" i="10"/>
  <c r="CR32" i="43"/>
  <c r="CR15" i="43"/>
  <c r="CR17" i="43" s="1"/>
  <c r="CR34" i="43" s="1"/>
  <c r="O10" i="51"/>
  <c r="BI1" i="20"/>
  <c r="BL2" i="20"/>
  <c r="BJ133" i="49"/>
  <c r="BJ49" i="43"/>
  <c r="BJ48" i="43"/>
  <c r="BJ50" i="43"/>
  <c r="BJ141" i="49"/>
  <c r="BJ218" i="49"/>
  <c r="BJ321" i="49"/>
  <c r="CP133" i="49"/>
  <c r="CP48" i="43"/>
  <c r="CP49" i="43"/>
  <c r="CP50" i="43"/>
  <c r="CP57" i="43"/>
  <c r="AR413" i="42"/>
  <c r="AR412" i="42"/>
  <c r="AS412" i="42" s="1"/>
  <c r="AS411" i="42" s="1"/>
  <c r="CV15" i="43"/>
  <c r="CV17" i="43" s="1"/>
  <c r="CV34" i="43" s="1"/>
  <c r="CV32" i="43"/>
  <c r="BN136" i="49"/>
  <c r="BN339" i="49"/>
  <c r="BN236" i="49"/>
  <c r="AK515" i="42"/>
  <c r="AK520" i="42" s="1"/>
  <c r="AK516" i="42"/>
  <c r="AK521" i="42" s="1"/>
  <c r="CO15" i="43"/>
  <c r="CO17" i="43" s="1"/>
  <c r="CO34" i="43" s="1"/>
  <c r="CO32" i="43"/>
  <c r="CK1002" i="10"/>
  <c r="CK999" i="10"/>
  <c r="DA15" i="43"/>
  <c r="DA17" i="43" s="1"/>
  <c r="DA34" i="43" s="1"/>
  <c r="DA32" i="43"/>
  <c r="BY49" i="43"/>
  <c r="BY48" i="43"/>
  <c r="BY50" i="43"/>
  <c r="BY57" i="43"/>
  <c r="CF1002" i="10"/>
  <c r="CF999" i="10"/>
  <c r="AU8" i="51"/>
  <c r="AU7" i="51"/>
  <c r="AU6" i="51"/>
  <c r="AU9" i="51"/>
  <c r="AU4" i="51"/>
  <c r="AU5" i="51"/>
  <c r="CI87" i="49"/>
  <c r="BN195" i="49"/>
  <c r="BN298" i="49"/>
  <c r="BF134" i="49"/>
  <c r="CQ14" i="41"/>
  <c r="DM157" i="42"/>
  <c r="DP157" i="42" s="1"/>
  <c r="DL156" i="42"/>
  <c r="T53" i="51"/>
  <c r="T66" i="51" s="1"/>
  <c r="T67" i="51" s="1"/>
  <c r="T70" i="51" s="1"/>
  <c r="AQ28" i="51"/>
  <c r="CH33" i="20"/>
  <c r="O28" i="51"/>
  <c r="BF33" i="20"/>
  <c r="CP25" i="49"/>
  <c r="CL133" i="49"/>
  <c r="CL49" i="43"/>
  <c r="CL48" i="43"/>
  <c r="CL50" i="43"/>
  <c r="CL57" i="43"/>
  <c r="BP93" i="49"/>
  <c r="BR271" i="42"/>
  <c r="BP276" i="42"/>
  <c r="BG8" i="51"/>
  <c r="BG7" i="51"/>
  <c r="BG6" i="51"/>
  <c r="BG9" i="51"/>
  <c r="BG4" i="51"/>
  <c r="BG5" i="51"/>
  <c r="BG11" i="51"/>
  <c r="BD66" i="41"/>
  <c r="BD81" i="41"/>
  <c r="BF143" i="49"/>
  <c r="BF1105" i="10"/>
  <c r="DL900" i="20"/>
  <c r="DL920" i="20"/>
  <c r="BQ32" i="43"/>
  <c r="BQ15" i="43"/>
  <c r="BQ17" i="43" s="1"/>
  <c r="BQ34" i="43" s="1"/>
  <c r="DI918" i="20"/>
  <c r="DI913" i="20"/>
  <c r="BQ289" i="49"/>
  <c r="BQ30" i="49" s="1"/>
  <c r="BQ24" i="49"/>
  <c r="EL14" i="41"/>
  <c r="CZ15" i="43"/>
  <c r="CZ17" i="43" s="1"/>
  <c r="CZ34" i="43" s="1"/>
  <c r="CZ32" i="43"/>
  <c r="DJ887" i="20"/>
  <c r="CH141" i="49"/>
  <c r="CH321" i="49"/>
  <c r="CH218" i="49"/>
  <c r="BF120" i="49"/>
  <c r="BF35" i="43"/>
  <c r="BF36" i="43"/>
  <c r="L24" i="41"/>
  <c r="R27" i="41"/>
  <c r="CD545" i="42"/>
  <c r="CD20" i="20"/>
  <c r="AJ22" i="41"/>
  <c r="AN66" i="41" s="1"/>
  <c r="K8" i="51"/>
  <c r="K4" i="51"/>
  <c r="K6" i="51"/>
  <c r="K9" i="51"/>
  <c r="K5" i="51"/>
  <c r="CY1018" i="10"/>
  <c r="CX1030" i="10"/>
  <c r="CX994" i="10"/>
  <c r="CX996" i="10"/>
  <c r="CX995" i="10"/>
  <c r="CX1006" i="10" s="1"/>
  <c r="CX992" i="10"/>
  <c r="CX1003" i="10" s="1"/>
  <c r="CX1020" i="10"/>
  <c r="CX993" i="10"/>
  <c r="CX1004" i="10" s="1"/>
  <c r="CX991" i="10"/>
  <c r="Z73" i="41"/>
  <c r="CN15" i="43"/>
  <c r="CN17" i="43" s="1"/>
  <c r="CN34" i="43" s="1"/>
  <c r="CN32" i="43"/>
  <c r="AZ702" i="10"/>
  <c r="AZ701" i="10"/>
  <c r="CV297" i="10"/>
  <c r="CS299" i="10"/>
  <c r="BM120" i="49"/>
  <c r="BM35" i="43"/>
  <c r="BM36" i="43"/>
  <c r="S24" i="41"/>
  <c r="BF192" i="49"/>
  <c r="BF295" i="49"/>
  <c r="AB8" i="51"/>
  <c r="AB9" i="51"/>
  <c r="AB4" i="51"/>
  <c r="AB6" i="51"/>
  <c r="AB7" i="51"/>
  <c r="AB5" i="51"/>
  <c r="BV424" i="42"/>
  <c r="BV429" i="42"/>
  <c r="BV439" i="42" s="1"/>
  <c r="DL825" i="20"/>
  <c r="DN821" i="20"/>
  <c r="DN825" i="20" s="1"/>
  <c r="DN953" i="20"/>
  <c r="DN958" i="20" s="1"/>
  <c r="DN955" i="20"/>
  <c r="BT134" i="49"/>
  <c r="DV14" i="41"/>
  <c r="CR276" i="42"/>
  <c r="CT276" i="42" s="1"/>
  <c r="CT271" i="42"/>
  <c r="CX878" i="20"/>
  <c r="CY878" i="20" s="1"/>
  <c r="CX905" i="20"/>
  <c r="CT222" i="49"/>
  <c r="CT225" i="49"/>
  <c r="CT14" i="49" s="1"/>
  <c r="AZ36" i="43"/>
  <c r="AZ35" i="43"/>
  <c r="F24" i="41"/>
  <c r="F70" i="41" s="1"/>
  <c r="CW32" i="43"/>
  <c r="CW15" i="43"/>
  <c r="CW17" i="43" s="1"/>
  <c r="CW34" i="43" s="1"/>
  <c r="CI890" i="20"/>
  <c r="CH891" i="20"/>
  <c r="CI891" i="20" s="1"/>
  <c r="AR66" i="41"/>
  <c r="AR81" i="41"/>
  <c r="K27" i="41"/>
  <c r="BP135" i="49"/>
  <c r="BV96" i="49"/>
  <c r="BZ899" i="10"/>
  <c r="AQ73" i="41"/>
  <c r="CX133" i="49"/>
  <c r="CX48" i="43"/>
  <c r="CX49" i="43"/>
  <c r="CX50" i="43"/>
  <c r="CX57" i="43"/>
  <c r="G27" i="41"/>
  <c r="G71" i="41" s="1"/>
  <c r="DA998" i="10"/>
  <c r="DB1019" i="10"/>
  <c r="DA1031" i="10"/>
  <c r="DA1020" i="10"/>
  <c r="DB994" i="10"/>
  <c r="DC1018" i="10"/>
  <c r="DB996" i="10"/>
  <c r="DB1021" i="10"/>
  <c r="DB1030" i="10"/>
  <c r="DB993" i="10"/>
  <c r="DB1004" i="10" s="1"/>
  <c r="DB995" i="10"/>
  <c r="DB1006" i="10" s="1"/>
  <c r="DB991" i="10"/>
  <c r="DB1002" i="10" s="1"/>
  <c r="DB992" i="10"/>
  <c r="DB1003" i="10" s="1"/>
  <c r="BN120" i="49"/>
  <c r="BN36" i="43"/>
  <c r="T24" i="41"/>
  <c r="CF15" i="43"/>
  <c r="CF17" i="43" s="1"/>
  <c r="CF34" i="43" s="1"/>
  <c r="CF32" i="43"/>
  <c r="BQ135" i="49"/>
  <c r="CP271" i="42"/>
  <c r="CN276" i="42"/>
  <c r="BY425" i="42"/>
  <c r="CB424" i="42"/>
  <c r="J27" i="41"/>
  <c r="BZ115" i="49"/>
  <c r="BZ9" i="43"/>
  <c r="BZ11" i="43"/>
  <c r="CA8" i="43"/>
  <c r="BZ47" i="43"/>
  <c r="BL1" i="42"/>
  <c r="BL2" i="42" s="1"/>
  <c r="BM3" i="42"/>
  <c r="DM360" i="42"/>
  <c r="DL105" i="42"/>
  <c r="CM986" i="10"/>
  <c r="BF67" i="10"/>
  <c r="BF69" i="10"/>
  <c r="BF763" i="10"/>
  <c r="BF176" i="10"/>
  <c r="BF175" i="10"/>
  <c r="BF766" i="10"/>
  <c r="BF764" i="10"/>
  <c r="BF767" i="10"/>
  <c r="BF765" i="10"/>
  <c r="BF769" i="10"/>
  <c r="BF174" i="10"/>
  <c r="BF770" i="10"/>
  <c r="BF771" i="10"/>
  <c r="BF1085" i="10"/>
  <c r="BF1086" i="10"/>
  <c r="BF1089" i="10" s="1"/>
  <c r="AN46" i="43"/>
  <c r="AN48" i="43"/>
  <c r="BH1105" i="10"/>
  <c r="CB48" i="43"/>
  <c r="CB49" i="43"/>
  <c r="CB50" i="43"/>
  <c r="CB57" i="43"/>
  <c r="K10" i="51"/>
  <c r="CR35" i="43"/>
  <c r="AX25" i="41" s="1"/>
  <c r="AX24" i="41"/>
  <c r="CD447" i="42"/>
  <c r="DC24" i="49"/>
  <c r="CV36" i="43"/>
  <c r="CV35" i="43"/>
  <c r="BB25" i="41" s="1"/>
  <c r="BB24" i="41"/>
  <c r="L66" i="41"/>
  <c r="AK46" i="43"/>
  <c r="AK48" i="43"/>
  <c r="AL44" i="43"/>
  <c r="BM135" i="49"/>
  <c r="AY28" i="51"/>
  <c r="CP33" i="20"/>
  <c r="CV798" i="20"/>
  <c r="CV834" i="20"/>
  <c r="CV838" i="20"/>
  <c r="BI36" i="43"/>
  <c r="BI35" i="43"/>
  <c r="O24" i="41"/>
  <c r="O70" i="41" s="1"/>
  <c r="DB133" i="49"/>
  <c r="DB50" i="43"/>
  <c r="DB57" i="43"/>
  <c r="BF236" i="49"/>
  <c r="BF339" i="49"/>
  <c r="CG435" i="10"/>
  <c r="CJ435" i="10" s="1"/>
  <c r="BF242" i="49"/>
  <c r="BF345" i="49"/>
  <c r="CG434" i="10"/>
  <c r="CJ434" i="10" s="1"/>
  <c r="BG53" i="51"/>
  <c r="BG66" i="51" s="1"/>
  <c r="BG67" i="51" s="1"/>
  <c r="CD274" i="42"/>
  <c r="CB271" i="42"/>
  <c r="AQ8" i="51"/>
  <c r="AQ9" i="51"/>
  <c r="AQ7" i="51"/>
  <c r="AQ6" i="51"/>
  <c r="AQ5" i="51"/>
  <c r="AQ4" i="51"/>
  <c r="CL236" i="49"/>
  <c r="CL244" i="49"/>
  <c r="CL12" i="49"/>
  <c r="CM12" i="49" s="1"/>
  <c r="CL186" i="49"/>
  <c r="CL18" i="49" s="1"/>
  <c r="O8" i="51"/>
  <c r="O4" i="51"/>
  <c r="O5" i="51"/>
  <c r="O6" i="51"/>
  <c r="O9" i="51"/>
  <c r="CX93" i="49"/>
  <c r="AX1105" i="10"/>
  <c r="CL117" i="49"/>
  <c r="CM11" i="43"/>
  <c r="CL13" i="43"/>
  <c r="CL30" i="43"/>
  <c r="CJ15" i="43"/>
  <c r="CJ17" i="43" s="1"/>
  <c r="CJ34" i="43" s="1"/>
  <c r="CJ32" i="43"/>
  <c r="CX225" i="49"/>
  <c r="CX14" i="49" s="1"/>
  <c r="CX222" i="49"/>
  <c r="AG276" i="42"/>
  <c r="AH276" i="42" s="1"/>
  <c r="AH271" i="42"/>
  <c r="CV1002" i="10"/>
  <c r="CV999" i="10"/>
  <c r="BR96" i="49"/>
  <c r="DY14" i="41"/>
  <c r="BZ185" i="49"/>
  <c r="BZ183" i="49"/>
  <c r="AL446" i="42"/>
  <c r="AK275" i="42"/>
  <c r="AK271" i="42" s="1"/>
  <c r="AK276" i="42" s="1"/>
  <c r="AK447" i="42"/>
  <c r="BK54" i="51"/>
  <c r="BK70" i="51"/>
  <c r="CQ23" i="41"/>
  <c r="BM93" i="49"/>
  <c r="BM276" i="42"/>
  <c r="BN276" i="42" s="1"/>
  <c r="BZ288" i="49"/>
  <c r="BZ286" i="49"/>
  <c r="BJ271" i="42"/>
  <c r="BH276" i="42"/>
  <c r="DJ917" i="20"/>
  <c r="DJ911" i="20"/>
  <c r="CH1030" i="10"/>
  <c r="CH996" i="10"/>
  <c r="CH994" i="10"/>
  <c r="CH993" i="10"/>
  <c r="CH1004" i="10" s="1"/>
  <c r="CH995" i="10"/>
  <c r="CH1006" i="10" s="1"/>
  <c r="CH1020" i="10"/>
  <c r="CH992" i="10"/>
  <c r="CH1003" i="10" s="1"/>
  <c r="CH991" i="10"/>
  <c r="CZ36" i="43"/>
  <c r="CZ35" i="43"/>
  <c r="BF25" i="41" s="1"/>
  <c r="BF24" i="41"/>
  <c r="CH133" i="49"/>
  <c r="CH48" i="43"/>
  <c r="CH49" i="43"/>
  <c r="CH57" i="43"/>
  <c r="CH50" i="43"/>
  <c r="BU36" i="43"/>
  <c r="BU35" i="43"/>
  <c r="AA24" i="41"/>
  <c r="BN271" i="42"/>
  <c r="BF32" i="43"/>
  <c r="BF15" i="43"/>
  <c r="BF17" i="43" s="1"/>
  <c r="BF34" i="43" s="1"/>
  <c r="BI276" i="42"/>
  <c r="BI278" i="42" s="1"/>
  <c r="DF504" i="42"/>
  <c r="R26" i="41"/>
  <c r="BZ855" i="10"/>
  <c r="BZ845" i="10"/>
  <c r="BZ857" i="10"/>
  <c r="BZ985" i="10"/>
  <c r="BZ853" i="10"/>
  <c r="BZ986" i="10"/>
  <c r="BZ856" i="10"/>
  <c r="BZ850" i="10"/>
  <c r="BZ852" i="10"/>
  <c r="BZ854" i="10"/>
  <c r="BZ846" i="10"/>
  <c r="BZ851" i="10"/>
  <c r="CJ1002" i="10"/>
  <c r="CJ999" i="10"/>
  <c r="BB30" i="43"/>
  <c r="BB13" i="43"/>
  <c r="BH15" i="43"/>
  <c r="BH17" i="43" s="1"/>
  <c r="BH34" i="43" s="1"/>
  <c r="BH32" i="43"/>
  <c r="CU882" i="20"/>
  <c r="CT894" i="20"/>
  <c r="AT24" i="41"/>
  <c r="CT808" i="20"/>
  <c r="CT815" i="20" s="1"/>
  <c r="CR815" i="20"/>
  <c r="BM15" i="43"/>
  <c r="BM17" i="43" s="1"/>
  <c r="BM34" i="43" s="1"/>
  <c r="BM32" i="43"/>
  <c r="BR141" i="49"/>
  <c r="BR218" i="49"/>
  <c r="BR321" i="49"/>
  <c r="AJ275" i="42"/>
  <c r="AJ447" i="42"/>
  <c r="AJ450" i="42" s="1"/>
  <c r="CD855" i="10"/>
  <c r="CD845" i="10"/>
  <c r="CD857" i="10"/>
  <c r="CD853" i="10"/>
  <c r="CD985" i="10"/>
  <c r="CD986" i="10"/>
  <c r="CD852" i="10"/>
  <c r="CD856" i="10"/>
  <c r="CD850" i="10"/>
  <c r="CD854" i="10"/>
  <c r="CD851" i="10"/>
  <c r="CD846" i="10"/>
  <c r="DN884" i="20"/>
  <c r="DL887" i="20"/>
  <c r="BT136" i="49"/>
  <c r="CT96" i="49"/>
  <c r="CV888" i="20"/>
  <c r="CV894" i="20"/>
  <c r="DN915" i="20"/>
  <c r="BC73" i="41"/>
  <c r="CP225" i="49"/>
  <c r="CP14" i="49" s="1"/>
  <c r="CP222" i="49"/>
  <c r="CG35" i="43"/>
  <c r="AM25" i="41" s="1"/>
  <c r="CG36" i="43"/>
  <c r="AM24" i="41"/>
  <c r="BP134" i="49"/>
  <c r="CC276" i="42"/>
  <c r="CX117" i="49"/>
  <c r="CY11" i="43"/>
  <c r="CX13" i="43"/>
  <c r="CX30" i="43"/>
  <c r="G26" i="41"/>
  <c r="BN15" i="43"/>
  <c r="BN17" i="43" s="1"/>
  <c r="BN32" i="43"/>
  <c r="BP24" i="49"/>
  <c r="BP289" i="49"/>
  <c r="BP30" i="49" s="1"/>
  <c r="CH271" i="42"/>
  <c r="CF276" i="42"/>
  <c r="CF36" i="43"/>
  <c r="CF35" i="43"/>
  <c r="AL25" i="41" s="1"/>
  <c r="AL24" i="41"/>
  <c r="CN891" i="20"/>
  <c r="BV141" i="49"/>
  <c r="BV218" i="49"/>
  <c r="BV321" i="49"/>
  <c r="BK12" i="51"/>
  <c r="CP96" i="49"/>
  <c r="AX36" i="43"/>
  <c r="AX35" i="43"/>
  <c r="BY60" i="46"/>
  <c r="BZ56" i="46"/>
  <c r="AN81" i="41"/>
  <c r="AS325" i="42"/>
  <c r="AS295" i="42"/>
  <c r="DL272" i="42"/>
  <c r="K70" i="41"/>
  <c r="CS35" i="43"/>
  <c r="AY25" i="41" s="1"/>
  <c r="CS36" i="43"/>
  <c r="AY24" i="41"/>
  <c r="BN299" i="49"/>
  <c r="BN196" i="49"/>
  <c r="BI1" i="43"/>
  <c r="BL2" i="43"/>
  <c r="BJ117" i="49"/>
  <c r="BK11" i="43"/>
  <c r="BJ13" i="43"/>
  <c r="BJ30" i="43"/>
  <c r="BO30" i="43" s="1"/>
  <c r="CP117" i="49"/>
  <c r="CQ11" i="43"/>
  <c r="CP13" i="43"/>
  <c r="CP30" i="43"/>
  <c r="BN135" i="49"/>
  <c r="AL45" i="43"/>
  <c r="AL49" i="43" s="1"/>
  <c r="AK49" i="43"/>
  <c r="BM134" i="49"/>
  <c r="CP811" i="20"/>
  <c r="AY8" i="51"/>
  <c r="AY9" i="51"/>
  <c r="AY7" i="51"/>
  <c r="AY6" i="51"/>
  <c r="AY4" i="51"/>
  <c r="AY5" i="51"/>
  <c r="T66" i="41"/>
  <c r="CV806" i="20"/>
  <c r="CV847" i="20"/>
  <c r="CV844" i="20"/>
  <c r="CV849" i="20" s="1"/>
  <c r="BY13" i="43"/>
  <c r="BY30" i="43"/>
  <c r="CO36" i="43" s="1"/>
  <c r="AE66" i="41"/>
  <c r="BI15" i="43"/>
  <c r="BI17" i="43" s="1"/>
  <c r="BI34" i="43" s="1"/>
  <c r="BI32" i="43"/>
  <c r="DB117" i="49"/>
  <c r="DC11" i="43"/>
  <c r="DB13" i="43"/>
  <c r="DB30" i="43"/>
  <c r="BT289" i="49"/>
  <c r="BT30" i="49" s="1"/>
  <c r="BT24" i="49"/>
  <c r="BF136" i="49"/>
  <c r="BF243" i="49"/>
  <c r="BF346" i="49"/>
  <c r="CG429" i="10"/>
  <c r="CJ429" i="10" s="1"/>
  <c r="CB60" i="46"/>
  <c r="CD56" i="46"/>
  <c r="CD60" i="46" s="1"/>
  <c r="AM28" i="51"/>
  <c r="CD33" i="20"/>
  <c r="CI23" i="41"/>
  <c r="CJ36" i="43"/>
  <c r="AP24" i="41"/>
  <c r="AQ53" i="51"/>
  <c r="AQ66" i="51" s="1"/>
  <c r="AQ67" i="51" s="1"/>
  <c r="BM3" i="10"/>
  <c r="BL1" i="10"/>
  <c r="CS1002" i="10"/>
  <c r="CS999" i="10"/>
  <c r="CL24" i="49"/>
  <c r="CL339" i="49"/>
  <c r="CL347" i="49"/>
  <c r="EG14" i="41"/>
  <c r="CT851" i="20"/>
  <c r="CT847" i="20"/>
  <c r="CT844" i="20"/>
  <c r="CT849" i="20" s="1"/>
  <c r="CI12" i="49"/>
  <c r="BJ96" i="49"/>
  <c r="DN910" i="20"/>
  <c r="DN917" i="20" s="1"/>
  <c r="DM911" i="20"/>
  <c r="CD1030" i="10"/>
  <c r="CD996" i="10"/>
  <c r="CD991" i="10"/>
  <c r="CD995" i="10"/>
  <c r="CD1006" i="10" s="1"/>
  <c r="CD994" i="10"/>
  <c r="CD1005" i="10" s="1"/>
  <c r="CD993" i="10"/>
  <c r="CD1004" i="10" s="1"/>
  <c r="CD992" i="10"/>
  <c r="CD1003" i="10" s="1"/>
  <c r="CD1020" i="10"/>
  <c r="CB1002" i="10"/>
  <c r="CB999" i="10"/>
  <c r="G8" i="51"/>
  <c r="G4" i="51"/>
  <c r="G5" i="51"/>
  <c r="G9" i="51"/>
  <c r="G10" i="51"/>
  <c r="G6" i="51"/>
  <c r="AZ66" i="41"/>
  <c r="AZ81" i="41"/>
  <c r="CH117" i="49"/>
  <c r="CH13" i="43"/>
  <c r="CH30" i="43"/>
  <c r="BT15" i="43"/>
  <c r="BT17" i="43" s="1"/>
  <c r="BT34" i="43" s="1"/>
  <c r="BT32" i="43"/>
  <c r="AZ1105" i="10"/>
  <c r="CN1002" i="10"/>
  <c r="CN999" i="10"/>
  <c r="EY59" i="41"/>
  <c r="BU15" i="43"/>
  <c r="BU17" i="43" s="1"/>
  <c r="BU34" i="43" s="1"/>
  <c r="BU32" i="43"/>
  <c r="BL98" i="49"/>
  <c r="BL278" i="42"/>
  <c r="CK36" i="43"/>
  <c r="AQ24" i="41"/>
  <c r="BF323" i="49"/>
  <c r="BF119" i="49"/>
  <c r="BF220" i="49"/>
  <c r="DC12" i="49"/>
  <c r="EC14" i="41"/>
  <c r="DU14" i="41"/>
  <c r="BP15" i="43"/>
  <c r="BP17" i="43" s="1"/>
  <c r="BP34" i="43" s="1"/>
  <c r="BP32" i="43"/>
  <c r="BB49" i="43"/>
  <c r="BB48" i="43"/>
  <c r="BB50" i="43"/>
  <c r="BH35" i="43"/>
  <c r="BH36" i="43"/>
  <c r="N24" i="41"/>
  <c r="N70" i="41" s="1"/>
  <c r="CR896" i="20"/>
  <c r="CR890" i="20"/>
  <c r="AV66" i="41"/>
  <c r="AV81" i="41"/>
  <c r="K11" i="51"/>
  <c r="AZ779" i="20"/>
  <c r="AZ776" i="20"/>
  <c r="AZ778" i="20" s="1"/>
  <c r="BR133" i="49"/>
  <c r="BR48" i="43"/>
  <c r="BR49" i="43"/>
  <c r="BR50" i="43"/>
  <c r="BR57" i="43"/>
  <c r="CT133" i="49"/>
  <c r="CT48" i="43"/>
  <c r="CT49" i="43"/>
  <c r="CT50" i="43"/>
  <c r="CT57" i="43"/>
  <c r="CU986" i="10"/>
  <c r="CY986" i="10"/>
  <c r="CI14" i="41"/>
  <c r="AY73" i="41"/>
  <c r="CC1002" i="10"/>
  <c r="CC999" i="10"/>
  <c r="BT135" i="49"/>
  <c r="CP1030" i="10"/>
  <c r="CP996" i="10"/>
  <c r="CP994" i="10"/>
  <c r="CP1020" i="10"/>
  <c r="CP995" i="10"/>
  <c r="CP1006" i="10" s="1"/>
  <c r="CP991" i="10"/>
  <c r="CP992" i="10"/>
  <c r="CP1003" i="10" s="1"/>
  <c r="CP993" i="10"/>
  <c r="CP1004" i="10" s="1"/>
  <c r="CK431" i="10"/>
  <c r="CN431" i="10" s="1"/>
  <c r="CT1002" i="10"/>
  <c r="CT999" i="10"/>
  <c r="CG32" i="43"/>
  <c r="CG15" i="43"/>
  <c r="CG17" i="43" s="1"/>
  <c r="CG34" i="43" s="1"/>
  <c r="AM11" i="51"/>
  <c r="AB53" i="51"/>
  <c r="AB66" i="51" s="1"/>
  <c r="AB67" i="51" s="1"/>
  <c r="CT325" i="49"/>
  <c r="CT328" i="49"/>
  <c r="CT26" i="49" s="1"/>
  <c r="DD904" i="20"/>
  <c r="DD901" i="20"/>
  <c r="BG10" i="51"/>
  <c r="CH96" i="49"/>
  <c r="CC35" i="43"/>
  <c r="AI25" i="41" s="1"/>
  <c r="CC36" i="43"/>
  <c r="AI24" i="41"/>
  <c r="BW12" i="49"/>
  <c r="BV133" i="49"/>
  <c r="BV49" i="43"/>
  <c r="BV48" i="43"/>
  <c r="BV57" i="43"/>
  <c r="BV50" i="43"/>
  <c r="BQ93" i="49"/>
  <c r="BQ276" i="42"/>
  <c r="BQ98" i="49" s="1"/>
  <c r="BQ136" i="49"/>
  <c r="DE920" i="20"/>
  <c r="DE900" i="20"/>
  <c r="AX15" i="43"/>
  <c r="AX17" i="43" s="1"/>
  <c r="AX34" i="43" s="1"/>
  <c r="AX32" i="43"/>
  <c r="S28" i="51"/>
  <c r="BJ33" i="20"/>
  <c r="BZ545" i="42"/>
  <c r="BZ20" i="20"/>
  <c r="AF22" i="41"/>
  <c r="T28" i="51"/>
  <c r="BN33" i="20"/>
  <c r="AT326" i="42"/>
  <c r="AT324" i="42"/>
  <c r="CG1002" i="10"/>
  <c r="CG999" i="10"/>
  <c r="BA700" i="10"/>
  <c r="BA1101" i="10"/>
  <c r="BA1100" i="10"/>
  <c r="BA777" i="20"/>
  <c r="BA1097" i="10"/>
  <c r="BZ33" i="20"/>
  <c r="BE67" i="10"/>
  <c r="BE69" i="10"/>
  <c r="BE763" i="10"/>
  <c r="BE764" i="10"/>
  <c r="BE766" i="10"/>
  <c r="BE1080" i="10"/>
  <c r="BE769" i="10"/>
  <c r="BE765" i="10"/>
  <c r="BE767" i="10"/>
  <c r="BE176" i="10"/>
  <c r="BE175" i="10"/>
  <c r="BE770" i="10"/>
  <c r="BE1085" i="10"/>
  <c r="BE1086" i="10"/>
  <c r="BE1089" i="10" s="1"/>
  <c r="BE1091" i="10" s="1"/>
  <c r="BE1092" i="10" s="1"/>
  <c r="BE771" i="10"/>
  <c r="BE174" i="10"/>
  <c r="AN505" i="42"/>
  <c r="AN515" i="42"/>
  <c r="AN520" i="42" s="1"/>
  <c r="AN516" i="42"/>
  <c r="AN521" i="42" s="1"/>
  <c r="CB30" i="43"/>
  <c r="CN35" i="43" s="1"/>
  <c r="AT25" i="41" s="1"/>
  <c r="CB13" i="43"/>
  <c r="AX73" i="41"/>
  <c r="CS15" i="43"/>
  <c r="CS17" i="43" s="1"/>
  <c r="CS34" i="43" s="1"/>
  <c r="CS32" i="43"/>
  <c r="BB546" i="42"/>
  <c r="BB547" i="42"/>
  <c r="BL289" i="49"/>
  <c r="BL30" i="49" s="1"/>
  <c r="BL24" i="49"/>
  <c r="BN134" i="49"/>
  <c r="CY14" i="41"/>
  <c r="CW905" i="20"/>
  <c r="CW878" i="20"/>
  <c r="CW882" i="20" s="1"/>
  <c r="CX882" i="20" s="1"/>
  <c r="BM136" i="49"/>
  <c r="DB33" i="20"/>
  <c r="CO35" i="43"/>
  <c r="AU25" i="41" s="1"/>
  <c r="AU24" i="41"/>
  <c r="CT57" i="46"/>
  <c r="CX57" i="46"/>
  <c r="DA36" i="43"/>
  <c r="DA35" i="43"/>
  <c r="BG25" i="41" s="1"/>
  <c r="BG24" i="41"/>
  <c r="CW830" i="20"/>
  <c r="CX830" i="20" s="1"/>
  <c r="CX838" i="20" s="1"/>
  <c r="CZ828" i="20"/>
  <c r="CW842" i="20"/>
  <c r="CX842" i="20" s="1"/>
  <c r="CW836" i="20"/>
  <c r="CH57" i="46"/>
  <c r="AU28" i="51"/>
  <c r="CL33" i="20"/>
  <c r="AX702" i="10"/>
  <c r="AX701" i="10"/>
  <c r="BB73" i="41"/>
  <c r="BF135" i="49"/>
  <c r="DH905" i="20" l="1"/>
  <c r="DH878" i="20"/>
  <c r="DH882" i="20" s="1"/>
  <c r="DH403" i="42"/>
  <c r="DJ401" i="42"/>
  <c r="DN261" i="49"/>
  <c r="DO261" i="49" s="1"/>
  <c r="DO280" i="49" s="1"/>
  <c r="DN280" i="49" s="1"/>
  <c r="BJ556" i="42"/>
  <c r="CU22" i="41"/>
  <c r="DR154" i="49"/>
  <c r="DR255" i="10"/>
  <c r="DR261" i="49"/>
  <c r="DS261" i="49" s="1"/>
  <c r="DS280" i="49" s="1"/>
  <c r="DR158" i="49"/>
  <c r="DS158" i="49" s="1"/>
  <c r="DS177" i="49" s="1"/>
  <c r="DR177" i="49" s="1"/>
  <c r="DQ157" i="42"/>
  <c r="DQ156" i="42" s="1"/>
  <c r="DP156" i="42"/>
  <c r="FC59" i="41"/>
  <c r="DQ345" i="42"/>
  <c r="DR345" i="42" s="1"/>
  <c r="DR344" i="42"/>
  <c r="DR911" i="20"/>
  <c r="DR915" i="20"/>
  <c r="DP913" i="20"/>
  <c r="DP918" i="20"/>
  <c r="DR846" i="20"/>
  <c r="DR805" i="20"/>
  <c r="DR917" i="20"/>
  <c r="DR953" i="20"/>
  <c r="DR958" i="20" s="1"/>
  <c r="DQ918" i="20"/>
  <c r="DQ913" i="20"/>
  <c r="DQ887" i="20"/>
  <c r="DQ895" i="20" s="1"/>
  <c r="DR825" i="20"/>
  <c r="DP895" i="20"/>
  <c r="DS799" i="20"/>
  <c r="DF505" i="42"/>
  <c r="DF515" i="42"/>
  <c r="DF516" i="42"/>
  <c r="DF521" i="42" s="1"/>
  <c r="DM156" i="42"/>
  <c r="DE517" i="42"/>
  <c r="DE518" i="42"/>
  <c r="CM890" i="20"/>
  <c r="AA70" i="41"/>
  <c r="BZ60" i="46"/>
  <c r="BE70" i="10"/>
  <c r="S54" i="51"/>
  <c r="CM891" i="20"/>
  <c r="BG70" i="41"/>
  <c r="CX98" i="49"/>
  <c r="BJ450" i="42"/>
  <c r="J70" i="41"/>
  <c r="CP890" i="20"/>
  <c r="CP891" i="20" s="1"/>
  <c r="CQ891" i="20" s="1"/>
  <c r="AH66" i="41"/>
  <c r="DB829" i="20"/>
  <c r="DB837" i="20" s="1"/>
  <c r="DD829" i="20"/>
  <c r="DA837" i="20"/>
  <c r="CE985" i="10"/>
  <c r="BM289" i="49"/>
  <c r="BM30" i="49" s="1"/>
  <c r="BM24" i="49"/>
  <c r="CQ12" i="49"/>
  <c r="CK35" i="43"/>
  <c r="AQ25" i="41" s="1"/>
  <c r="AX70" i="41"/>
  <c r="BX30" i="43"/>
  <c r="BX13" i="43"/>
  <c r="DN336" i="42"/>
  <c r="DP331" i="42" s="1"/>
  <c r="DM106" i="42"/>
  <c r="AU12" i="51"/>
  <c r="BJ546" i="42"/>
  <c r="BJ547" i="42"/>
  <c r="DL15" i="46"/>
  <c r="DL262" i="42"/>
  <c r="BX49" i="43"/>
  <c r="BX50" i="43"/>
  <c r="BX57" i="43"/>
  <c r="BX48" i="43"/>
  <c r="CI5" i="49"/>
  <c r="BX271" i="42"/>
  <c r="BZ271" i="42" s="1"/>
  <c r="CE986" i="10"/>
  <c r="AS382" i="42"/>
  <c r="AT382" i="42" s="1"/>
  <c r="AR383" i="42"/>
  <c r="AS383" i="42" s="1"/>
  <c r="AT383" i="42" s="1"/>
  <c r="AS387" i="42"/>
  <c r="AS385" i="42" s="1"/>
  <c r="AT380" i="42"/>
  <c r="AY12" i="51"/>
  <c r="BF70" i="41"/>
  <c r="AQ54" i="51"/>
  <c r="AQ70" i="51"/>
  <c r="CK428" i="10"/>
  <c r="CN428" i="10" s="1"/>
  <c r="CK430" i="10"/>
  <c r="CN430" i="10" s="1"/>
  <c r="CX847" i="20"/>
  <c r="CX851" i="20"/>
  <c r="CX844" i="20"/>
  <c r="CX849" i="20" s="1"/>
  <c r="K54" i="51"/>
  <c r="K72" i="51"/>
  <c r="CY882" i="20"/>
  <c r="CX894" i="20"/>
  <c r="AY70" i="51"/>
  <c r="AY54" i="51"/>
  <c r="CK436" i="10"/>
  <c r="CN436" i="10" s="1"/>
  <c r="CK434" i="10"/>
  <c r="CN434" i="10" s="1"/>
  <c r="O54" i="51"/>
  <c r="O72" i="51"/>
  <c r="DE901" i="20"/>
  <c r="DF901" i="20" s="1"/>
  <c r="DE904" i="20"/>
  <c r="BV136" i="49"/>
  <c r="AB54" i="51"/>
  <c r="AB70" i="51"/>
  <c r="CO431" i="10"/>
  <c r="CR431" i="10" s="1"/>
  <c r="CP1002" i="10"/>
  <c r="CP999" i="10"/>
  <c r="BR134" i="49"/>
  <c r="DC14" i="41"/>
  <c r="CR891" i="20"/>
  <c r="V27" i="41"/>
  <c r="V71" i="41" s="1"/>
  <c r="AA26" i="41"/>
  <c r="CH120" i="49"/>
  <c r="CH35" i="43"/>
  <c r="AN25" i="41" s="1"/>
  <c r="CH36" i="43"/>
  <c r="AN24" i="41"/>
  <c r="DM913" i="20"/>
  <c r="DM918" i="20"/>
  <c r="BJ195" i="49"/>
  <c r="BJ298" i="49"/>
  <c r="CM24" i="49"/>
  <c r="CQ24" i="49"/>
  <c r="CK429" i="10"/>
  <c r="CN429" i="10" s="1"/>
  <c r="CQ13" i="43"/>
  <c r="CP15" i="43"/>
  <c r="CP17" i="43" s="1"/>
  <c r="CP32" i="43"/>
  <c r="BK13" i="43"/>
  <c r="BJ15" i="43"/>
  <c r="BJ17" i="43" s="1"/>
  <c r="BO17" i="43" s="1"/>
  <c r="BJ32" i="43"/>
  <c r="BO13" i="43"/>
  <c r="CX123" i="49"/>
  <c r="CX7" i="49" s="1"/>
  <c r="CX119" i="49"/>
  <c r="CX6" i="49" s="1"/>
  <c r="DN911" i="20"/>
  <c r="AL275" i="42"/>
  <c r="AJ271" i="42"/>
  <c r="BB15" i="43"/>
  <c r="BB17" i="43" s="1"/>
  <c r="BB34" i="43" s="1"/>
  <c r="BB32" i="43"/>
  <c r="DJ918" i="20"/>
  <c r="DJ913" i="20"/>
  <c r="DJ920" i="20" s="1"/>
  <c r="BM98" i="49"/>
  <c r="BM278" i="42"/>
  <c r="CX13" i="49"/>
  <c r="CL120" i="49"/>
  <c r="CL36" i="43"/>
  <c r="CM30" i="43"/>
  <c r="AR24" i="41"/>
  <c r="R70" i="41"/>
  <c r="CK435" i="10"/>
  <c r="CN435" i="10" s="1"/>
  <c r="DB134" i="49"/>
  <c r="DB237" i="49" s="1"/>
  <c r="EM14" i="41"/>
  <c r="AL46" i="43"/>
  <c r="AL48" i="43"/>
  <c r="AL51" i="43"/>
  <c r="BL541" i="42"/>
  <c r="BL551" i="42" s="1"/>
  <c r="BL554" i="42" s="1"/>
  <c r="BL555" i="42" s="1"/>
  <c r="BL450" i="42"/>
  <c r="BL546" i="42"/>
  <c r="BZ117" i="49"/>
  <c r="CA11" i="43"/>
  <c r="BZ13" i="43"/>
  <c r="BZ30" i="43"/>
  <c r="CL35" i="43" s="1"/>
  <c r="AR25" i="41" s="1"/>
  <c r="BZ57" i="46"/>
  <c r="CB425" i="42"/>
  <c r="CB429" i="42" s="1"/>
  <c r="CB439" i="42" s="1"/>
  <c r="CC424" i="42"/>
  <c r="CP93" i="49"/>
  <c r="BC27" i="41"/>
  <c r="CT13" i="49"/>
  <c r="EO49" i="41"/>
  <c r="CQ8" i="41"/>
  <c r="BF27" i="41"/>
  <c r="W27" i="41"/>
  <c r="CL136" i="49"/>
  <c r="T54" i="51"/>
  <c r="T72" i="51"/>
  <c r="BF237" i="49"/>
  <c r="BF340" i="49"/>
  <c r="BG27" i="41"/>
  <c r="BB26" i="41"/>
  <c r="AT411" i="42"/>
  <c r="AT412" i="42" s="1"/>
  <c r="AV412" i="42" s="1"/>
  <c r="AS413" i="42"/>
  <c r="AT413" i="42" s="1"/>
  <c r="BJ135" i="49"/>
  <c r="BL1" i="20"/>
  <c r="BM2" i="20"/>
  <c r="AX26" i="41"/>
  <c r="BJ140" i="49"/>
  <c r="BJ142" i="49" s="1"/>
  <c r="BJ540" i="42"/>
  <c r="BJ139" i="49" s="1"/>
  <c r="BB779" i="20"/>
  <c r="BB776" i="20"/>
  <c r="BB778" i="20" s="1"/>
  <c r="BH339" i="42"/>
  <c r="BF344" i="42"/>
  <c r="BE345" i="42"/>
  <c r="BF345" i="42" s="1"/>
  <c r="BV119" i="49"/>
  <c r="BV123" i="49"/>
  <c r="BV7" i="49" s="1"/>
  <c r="BV220" i="49"/>
  <c r="BV225" i="49" s="1"/>
  <c r="BV14" i="49" s="1"/>
  <c r="BV323" i="49"/>
  <c r="BV328" i="49" s="1"/>
  <c r="BV26" i="49" s="1"/>
  <c r="AI27" i="41"/>
  <c r="DM1018" i="10"/>
  <c r="DQ1018" i="10" s="1"/>
  <c r="DI994" i="10"/>
  <c r="DI996" i="10"/>
  <c r="BT98" i="49"/>
  <c r="BV276" i="42"/>
  <c r="BT278" i="42"/>
  <c r="F27" i="41"/>
  <c r="F71" i="41" s="1"/>
  <c r="CT119" i="49"/>
  <c r="CT6" i="49" s="1"/>
  <c r="CT123" i="49"/>
  <c r="CT7" i="49" s="1"/>
  <c r="BZ1002" i="10"/>
  <c r="BZ999" i="10"/>
  <c r="BR119" i="49"/>
  <c r="BR220" i="49"/>
  <c r="BR323" i="49"/>
  <c r="CD141" i="49"/>
  <c r="CD321" i="49"/>
  <c r="CD218" i="49"/>
  <c r="CD57" i="46"/>
  <c r="AO44" i="43"/>
  <c r="AO45" i="43"/>
  <c r="AO504" i="42"/>
  <c r="CK433" i="10"/>
  <c r="CN433" i="10" s="1"/>
  <c r="CB35" i="43"/>
  <c r="AH25" i="41" s="1"/>
  <c r="CB36" i="43"/>
  <c r="AH24" i="41"/>
  <c r="DZ8" i="41"/>
  <c r="AU70" i="41"/>
  <c r="CM23" i="41"/>
  <c r="AY26" i="41"/>
  <c r="DF900" i="20"/>
  <c r="DF904" i="20" s="1"/>
  <c r="CT25" i="49"/>
  <c r="CU25" i="49" s="1"/>
  <c r="CT136" i="49"/>
  <c r="BR236" i="49"/>
  <c r="BR339" i="49"/>
  <c r="CM14" i="41"/>
  <c r="AA27" i="41"/>
  <c r="CH15" i="43"/>
  <c r="CH17" i="43" s="1"/>
  <c r="CH32" i="43"/>
  <c r="CD1002" i="10"/>
  <c r="CD999" i="10"/>
  <c r="DU8" i="41"/>
  <c r="AP70" i="41"/>
  <c r="BF239" i="49"/>
  <c r="BF342" i="49"/>
  <c r="DB119" i="49"/>
  <c r="DB6" i="49" s="1"/>
  <c r="DB123" i="49"/>
  <c r="DB7" i="49" s="1"/>
  <c r="BY36" i="43"/>
  <c r="BY35" i="43"/>
  <c r="AE25" i="41" s="1"/>
  <c r="AE24" i="41"/>
  <c r="AE70" i="41" s="1"/>
  <c r="BN34" i="43"/>
  <c r="CX120" i="49"/>
  <c r="CX35" i="43"/>
  <c r="BD25" i="41" s="1"/>
  <c r="CY30" i="43"/>
  <c r="CX36" i="43"/>
  <c r="BD24" i="41"/>
  <c r="AM70" i="41"/>
  <c r="CP13" i="49"/>
  <c r="CV890" i="20"/>
  <c r="CV896" i="20"/>
  <c r="BR244" i="49"/>
  <c r="BR347" i="49"/>
  <c r="N26" i="41"/>
  <c r="BB35" i="43"/>
  <c r="BC30" i="43"/>
  <c r="BB36" i="43"/>
  <c r="H24" i="41"/>
  <c r="L27" i="41"/>
  <c r="BN93" i="49"/>
  <c r="CH135" i="49"/>
  <c r="CH238" i="49" s="1"/>
  <c r="BJ276" i="42"/>
  <c r="BH278" i="42"/>
  <c r="BR195" i="49"/>
  <c r="BR298" i="49"/>
  <c r="CL32" i="43"/>
  <c r="CM13" i="43"/>
  <c r="CL15" i="43"/>
  <c r="CL17" i="43" s="1"/>
  <c r="CB276" i="42"/>
  <c r="CD271" i="42"/>
  <c r="CR36" i="43"/>
  <c r="DL14" i="46"/>
  <c r="DL261" i="42"/>
  <c r="BY429" i="42"/>
  <c r="BY439" i="42" s="1"/>
  <c r="BZ425" i="42"/>
  <c r="BN35" i="43"/>
  <c r="DA1032" i="10"/>
  <c r="CX136" i="49"/>
  <c r="BC26" i="41"/>
  <c r="CT93" i="49"/>
  <c r="CW297" i="10"/>
  <c r="CV299" i="10"/>
  <c r="AT26" i="41"/>
  <c r="AJ66" i="41"/>
  <c r="AI73" i="41"/>
  <c r="BG30" i="43"/>
  <c r="DK887" i="20"/>
  <c r="DJ895" i="20"/>
  <c r="W26" i="41"/>
  <c r="DL901" i="20"/>
  <c r="DL904" i="20"/>
  <c r="BG12" i="51"/>
  <c r="CL134" i="49"/>
  <c r="CL237" i="49" s="1"/>
  <c r="CL340" i="49" s="1"/>
  <c r="CL336" i="49" s="1"/>
  <c r="DW14" i="41"/>
  <c r="AU26" i="41"/>
  <c r="BB27" i="41"/>
  <c r="CP136" i="49"/>
  <c r="BJ244" i="49"/>
  <c r="BJ347" i="49"/>
  <c r="BJ236" i="49"/>
  <c r="BJ339" i="49"/>
  <c r="BV120" i="49"/>
  <c r="BV35" i="43"/>
  <c r="BV36" i="43"/>
  <c r="BW30" i="43"/>
  <c r="AB24" i="41"/>
  <c r="DA878" i="20"/>
  <c r="DA882" i="20" s="1"/>
  <c r="DB882" i="20" s="1"/>
  <c r="DA905" i="20"/>
  <c r="CT809" i="20"/>
  <c r="CT816" i="20" s="1"/>
  <c r="CR816" i="20"/>
  <c r="CR811" i="20"/>
  <c r="CT120" i="49"/>
  <c r="CT35" i="43"/>
  <c r="AZ25" i="41" s="1"/>
  <c r="CU30" i="43"/>
  <c r="AZ24" i="41"/>
  <c r="BR120" i="49"/>
  <c r="BR35" i="43"/>
  <c r="BS30" i="43"/>
  <c r="BR36" i="43"/>
  <c r="X24" i="41"/>
  <c r="CD133" i="49"/>
  <c r="CD49" i="43"/>
  <c r="CD48" i="43"/>
  <c r="CD50" i="43"/>
  <c r="CD57" i="43"/>
  <c r="AQ26" i="41"/>
  <c r="AU54" i="51"/>
  <c r="AU70" i="51"/>
  <c r="CK432" i="10"/>
  <c r="CN432" i="10" s="1"/>
  <c r="CW834" i="20"/>
  <c r="CW838" i="20"/>
  <c r="CW798" i="20"/>
  <c r="CW803" i="20" s="1"/>
  <c r="CW806" i="20"/>
  <c r="CW808" i="20" s="1"/>
  <c r="CW815" i="20" s="1"/>
  <c r="CW847" i="20"/>
  <c r="CW844" i="20"/>
  <c r="CW849" i="20" s="1"/>
  <c r="AY27" i="41"/>
  <c r="BA702" i="10"/>
  <c r="BA701" i="10"/>
  <c r="AF66" i="41"/>
  <c r="AD73" i="41"/>
  <c r="BV134" i="49"/>
  <c r="BV237" i="49" s="1"/>
  <c r="DG14" i="41"/>
  <c r="CH195" i="49"/>
  <c r="CH298" i="49"/>
  <c r="AM27" i="41"/>
  <c r="CT135" i="49"/>
  <c r="CT238" i="49" s="1"/>
  <c r="BR136" i="49"/>
  <c r="BF325" i="49"/>
  <c r="BF222" i="49"/>
  <c r="DV8" i="41"/>
  <c r="AQ70" i="41"/>
  <c r="BN98" i="49"/>
  <c r="BN278" i="42"/>
  <c r="Z26" i="41"/>
  <c r="BL390" i="10"/>
  <c r="BL394" i="10"/>
  <c r="BL392" i="10"/>
  <c r="BL395" i="10"/>
  <c r="BL393" i="10"/>
  <c r="BL391" i="10"/>
  <c r="DB120" i="49"/>
  <c r="DB35" i="43"/>
  <c r="BH25" i="41" s="1"/>
  <c r="DB36" i="43"/>
  <c r="DC30" i="43"/>
  <c r="BH24" i="41"/>
  <c r="O26" i="41"/>
  <c r="BY15" i="43"/>
  <c r="BY17" i="43" s="1"/>
  <c r="BY34" i="43" s="1"/>
  <c r="BY32" i="43"/>
  <c r="CV808" i="20"/>
  <c r="BN341" i="49"/>
  <c r="BN238" i="49"/>
  <c r="CP119" i="49"/>
  <c r="CP223" i="49" s="1"/>
  <c r="CP19" i="49" s="1"/>
  <c r="CP123" i="49"/>
  <c r="CP7" i="49" s="1"/>
  <c r="BJ119" i="49"/>
  <c r="BJ323" i="49"/>
  <c r="BJ220" i="49"/>
  <c r="AS43" i="43"/>
  <c r="AV296" i="42"/>
  <c r="AS296" i="42"/>
  <c r="AT296" i="42" s="1"/>
  <c r="CH276" i="42"/>
  <c r="CF278" i="42"/>
  <c r="CX15" i="43"/>
  <c r="CX17" i="43" s="1"/>
  <c r="CX32" i="43"/>
  <c r="CY13" i="43"/>
  <c r="DL895" i="20"/>
  <c r="DN887" i="20"/>
  <c r="S26" i="41"/>
  <c r="DY8" i="41"/>
  <c r="AT70" i="41"/>
  <c r="N27" i="41"/>
  <c r="N71" i="41" s="1"/>
  <c r="EQ16" i="41"/>
  <c r="L26" i="41"/>
  <c r="CH134" i="49"/>
  <c r="CH237" i="49" s="1"/>
  <c r="DS14" i="41"/>
  <c r="CH1002" i="10"/>
  <c r="CH999" i="10"/>
  <c r="BJ93" i="49"/>
  <c r="AP26" i="41"/>
  <c r="AQ12" i="51"/>
  <c r="CD96" i="49"/>
  <c r="BG54" i="51"/>
  <c r="BG70" i="51"/>
  <c r="DB136" i="49"/>
  <c r="CV803" i="20"/>
  <c r="AK54" i="43"/>
  <c r="AK50" i="43"/>
  <c r="AN446" i="42"/>
  <c r="BB70" i="41"/>
  <c r="DM361" i="42"/>
  <c r="DM362" i="42" s="1"/>
  <c r="DP360" i="42" s="1"/>
  <c r="BZ133" i="49"/>
  <c r="BZ49" i="43"/>
  <c r="BZ48" i="43"/>
  <c r="BZ50" i="43"/>
  <c r="BZ57" i="43"/>
  <c r="BZ141" i="49"/>
  <c r="BZ218" i="49"/>
  <c r="BZ321" i="49"/>
  <c r="AL26" i="41"/>
  <c r="DC1019" i="10"/>
  <c r="DB998" i="10"/>
  <c r="DB1031" i="10"/>
  <c r="DB1020" i="10"/>
  <c r="CX135" i="49"/>
  <c r="CX238" i="49" s="1"/>
  <c r="BV195" i="49"/>
  <c r="BV298" i="49"/>
  <c r="K71" i="41"/>
  <c r="CT98" i="49"/>
  <c r="CI985" i="10"/>
  <c r="AT27" i="41"/>
  <c r="DI900" i="20"/>
  <c r="DI920" i="20"/>
  <c r="BP98" i="49"/>
  <c r="BR276" i="42"/>
  <c r="BP278" i="42"/>
  <c r="CL135" i="49"/>
  <c r="CL238" i="49" s="1"/>
  <c r="CL341" i="49" s="1"/>
  <c r="CL337" i="49" s="1"/>
  <c r="CL332" i="49" s="1"/>
  <c r="AU27" i="41"/>
  <c r="CP135" i="49"/>
  <c r="CP238" i="49" s="1"/>
  <c r="BJ136" i="49"/>
  <c r="BD700" i="10"/>
  <c r="BD1100" i="10"/>
  <c r="BD1101" i="10"/>
  <c r="BD777" i="20"/>
  <c r="BD1097" i="10"/>
  <c r="BB702" i="10"/>
  <c r="BB701" i="10"/>
  <c r="BZ96" i="49"/>
  <c r="CS811" i="20"/>
  <c r="CS816" i="20"/>
  <c r="BV32" i="43"/>
  <c r="BW13" i="43"/>
  <c r="BV15" i="43"/>
  <c r="BV17" i="43" s="1"/>
  <c r="AH73" i="41"/>
  <c r="BF245" i="49"/>
  <c r="BF348" i="49"/>
  <c r="G54" i="51"/>
  <c r="G72" i="51"/>
  <c r="CT15" i="43"/>
  <c r="CT17" i="43" s="1"/>
  <c r="CU13" i="43"/>
  <c r="CT32" i="43"/>
  <c r="BR15" i="43"/>
  <c r="BR17" i="43" s="1"/>
  <c r="BR32" i="43"/>
  <c r="BS13" i="43"/>
  <c r="BF98" i="49"/>
  <c r="BF278" i="42"/>
  <c r="CZ894" i="20"/>
  <c r="CZ888" i="20"/>
  <c r="CD117" i="49"/>
  <c r="CE11" i="43"/>
  <c r="CD13" i="43"/>
  <c r="CD30" i="43"/>
  <c r="CP35" i="43" s="1"/>
  <c r="AV25" i="41" s="1"/>
  <c r="CX25" i="49"/>
  <c r="AQ27" i="41"/>
  <c r="BT253" i="42"/>
  <c r="BQ255" i="42"/>
  <c r="W70" i="41"/>
  <c r="AM54" i="51"/>
  <c r="AM70" i="51"/>
  <c r="AM12" i="51"/>
  <c r="CW888" i="20"/>
  <c r="CX888" i="20" s="1"/>
  <c r="CX896" i="20" s="1"/>
  <c r="CW894" i="20"/>
  <c r="BB1105" i="10"/>
  <c r="BF238" i="49"/>
  <c r="BF341" i="49"/>
  <c r="CZ842" i="20"/>
  <c r="CZ836" i="20"/>
  <c r="DA828" i="20"/>
  <c r="DB828" i="20" s="1"/>
  <c r="DB836" i="20" s="1"/>
  <c r="CZ830" i="20"/>
  <c r="BN340" i="49"/>
  <c r="BN237" i="49"/>
  <c r="CB32" i="43"/>
  <c r="CB15" i="43"/>
  <c r="CB17" i="43" s="1"/>
  <c r="CB34" i="43" s="1"/>
  <c r="BF1092" i="10"/>
  <c r="BF1093" i="10" s="1"/>
  <c r="BF1096" i="10" s="1"/>
  <c r="BE1093" i="10"/>
  <c r="BE1096" i="10" s="1"/>
  <c r="BA776" i="20"/>
  <c r="BA778" i="20" s="1"/>
  <c r="BA779" i="20"/>
  <c r="BV135" i="49"/>
  <c r="BV238" i="49" s="1"/>
  <c r="DD878" i="20"/>
  <c r="DD882" i="20" s="1"/>
  <c r="DD905" i="20"/>
  <c r="AM26" i="41"/>
  <c r="CT134" i="49"/>
  <c r="CT237" i="49" s="1"/>
  <c r="EE14" i="41"/>
  <c r="BR135" i="49"/>
  <c r="V26" i="41"/>
  <c r="Z27" i="41"/>
  <c r="CH220" i="49"/>
  <c r="CH225" i="49" s="1"/>
  <c r="CH14" i="49" s="1"/>
  <c r="CH323" i="49"/>
  <c r="CH328" i="49" s="1"/>
  <c r="CH26" i="49" s="1"/>
  <c r="CH123" i="49"/>
  <c r="CH7" i="49" s="1"/>
  <c r="CH119" i="49"/>
  <c r="BM1" i="10"/>
  <c r="BP3" i="10"/>
  <c r="DB32" i="43"/>
  <c r="DC13" i="43"/>
  <c r="DB15" i="43"/>
  <c r="DB17" i="43" s="1"/>
  <c r="O27" i="41"/>
  <c r="O71" i="41" s="1"/>
  <c r="AE73" i="41"/>
  <c r="CP120" i="49"/>
  <c r="CQ30" i="43"/>
  <c r="AV24" i="41"/>
  <c r="BJ120" i="49"/>
  <c r="BJ36" i="43"/>
  <c r="BK30" i="43"/>
  <c r="BJ35" i="43"/>
  <c r="P24" i="41"/>
  <c r="T70" i="41" s="1"/>
  <c r="BM2" i="43"/>
  <c r="BL1" i="43"/>
  <c r="ED8" i="41"/>
  <c r="AY70" i="41"/>
  <c r="AS326" i="42"/>
  <c r="AS324" i="42"/>
  <c r="CH93" i="49"/>
  <c r="T26" i="41"/>
  <c r="S27" i="41"/>
  <c r="DJ290" i="42"/>
  <c r="CH136" i="49"/>
  <c r="BZ339" i="49"/>
  <c r="BZ347" i="49"/>
  <c r="BZ24" i="49"/>
  <c r="AL447" i="42"/>
  <c r="AL450" i="42" s="1"/>
  <c r="AK450" i="42"/>
  <c r="BZ12" i="49"/>
  <c r="BZ236" i="49"/>
  <c r="BZ186" i="49"/>
  <c r="BZ18" i="49" s="1"/>
  <c r="BZ244" i="49"/>
  <c r="AP27" i="41"/>
  <c r="CL119" i="49"/>
  <c r="CL220" i="49"/>
  <c r="CL225" i="49" s="1"/>
  <c r="CL14" i="49" s="1"/>
  <c r="CL323" i="49"/>
  <c r="CL328" i="49" s="1"/>
  <c r="CL26" i="49" s="1"/>
  <c r="CL123" i="49"/>
  <c r="CL7" i="49" s="1"/>
  <c r="CX295" i="49"/>
  <c r="CX192" i="49"/>
  <c r="DB135" i="49"/>
  <c r="DB238" i="49" s="1"/>
  <c r="AN50" i="43"/>
  <c r="AN54" i="43"/>
  <c r="AO446" i="42"/>
  <c r="BM1" i="42"/>
  <c r="BP3" i="42"/>
  <c r="CP276" i="42"/>
  <c r="CN278" i="42"/>
  <c r="AL27" i="41"/>
  <c r="CY8" i="41"/>
  <c r="DA1009" i="10"/>
  <c r="DA999" i="10"/>
  <c r="CX134" i="49"/>
  <c r="CX237" i="49" s="1"/>
  <c r="EI14" i="41"/>
  <c r="S70" i="41"/>
  <c r="CX1002" i="10"/>
  <c r="CX999" i="10"/>
  <c r="BF26" i="41"/>
  <c r="EQ49" i="41"/>
  <c r="BR93" i="49"/>
  <c r="BG26" i="41"/>
  <c r="BN342" i="49"/>
  <c r="BN239" i="49"/>
  <c r="CP134" i="49"/>
  <c r="CP237" i="49" s="1"/>
  <c r="EA14" i="41"/>
  <c r="BJ134" i="49"/>
  <c r="CU14" i="41"/>
  <c r="AX27" i="41"/>
  <c r="BI541" i="42"/>
  <c r="BI450" i="42"/>
  <c r="BI546" i="42"/>
  <c r="CS896" i="20"/>
  <c r="CS890" i="20"/>
  <c r="CS891" i="20" s="1"/>
  <c r="BY276" i="42"/>
  <c r="AI26" i="41"/>
  <c r="BN222" i="49"/>
  <c r="BN13" i="49" s="1"/>
  <c r="BN6" i="49"/>
  <c r="BN325" i="49"/>
  <c r="BN25" i="49" s="1"/>
  <c r="BV93" i="49"/>
  <c r="BC70" i="41"/>
  <c r="EH8" i="41"/>
  <c r="F26" i="41"/>
  <c r="CI986" i="10"/>
  <c r="DB901" i="20"/>
  <c r="CL1002" i="10"/>
  <c r="CL999" i="10"/>
  <c r="Z70" i="41"/>
  <c r="DE66" i="10"/>
  <c r="EP49" i="41"/>
  <c r="DB295" i="49"/>
  <c r="DB192" i="49"/>
  <c r="BH2" i="10"/>
  <c r="BH259" i="10" s="1"/>
  <c r="BI2" i="10"/>
  <c r="BI259" i="10" s="1"/>
  <c r="BJ2" i="10"/>
  <c r="BJ259" i="10" s="1"/>
  <c r="BJ172" i="10"/>
  <c r="BJ395" i="10"/>
  <c r="BJ169" i="10"/>
  <c r="BJ392" i="10"/>
  <c r="BJ168" i="10"/>
  <c r="BJ170" i="10"/>
  <c r="BJ394" i="10"/>
  <c r="BJ390" i="10"/>
  <c r="BJ391" i="10"/>
  <c r="BJ171" i="10"/>
  <c r="BJ393" i="10"/>
  <c r="DR280" i="49" l="1"/>
  <c r="DH894" i="20"/>
  <c r="DH888" i="20"/>
  <c r="BI540" i="42"/>
  <c r="BI551" i="42"/>
  <c r="BI554" i="42" s="1"/>
  <c r="BI555" i="42" s="1"/>
  <c r="DF520" i="42"/>
  <c r="DR887" i="20"/>
  <c r="DR895" i="20" s="1"/>
  <c r="DP336" i="42"/>
  <c r="DR331" i="42"/>
  <c r="DQ994" i="10"/>
  <c r="DQ996" i="10"/>
  <c r="DP361" i="42"/>
  <c r="DP362" i="42" s="1"/>
  <c r="DR360" i="42"/>
  <c r="DQ920" i="20"/>
  <c r="DQ900" i="20"/>
  <c r="DP920" i="20"/>
  <c r="DP900" i="20"/>
  <c r="DR918" i="20"/>
  <c r="DR913" i="20"/>
  <c r="DN106" i="42"/>
  <c r="DN15" i="46" s="1"/>
  <c r="DM105" i="42"/>
  <c r="DF517" i="42"/>
  <c r="DF518" i="42"/>
  <c r="CQ890" i="20"/>
  <c r="CY25" i="49"/>
  <c r="BJ1105" i="10"/>
  <c r="BJ143" i="49"/>
  <c r="Z71" i="41"/>
  <c r="CP36" i="43"/>
  <c r="AA71" i="41"/>
  <c r="CL233" i="49"/>
  <c r="CL228" i="49" s="1"/>
  <c r="AM71" i="41"/>
  <c r="AX71" i="41"/>
  <c r="CX326" i="49"/>
  <c r="CX31" i="49" s="1"/>
  <c r="DC6" i="49"/>
  <c r="CT326" i="49"/>
  <c r="CT31" i="49" s="1"/>
  <c r="DD837" i="20"/>
  <c r="DE829" i="20"/>
  <c r="DH829" i="20" s="1"/>
  <c r="CU23" i="41"/>
  <c r="CL234" i="49"/>
  <c r="CL229" i="49" s="1"/>
  <c r="J71" i="41"/>
  <c r="DM15" i="46"/>
  <c r="DM262" i="42"/>
  <c r="AD24" i="41"/>
  <c r="AD70" i="41" s="1"/>
  <c r="BX35" i="43"/>
  <c r="AD25" i="41" s="1"/>
  <c r="BX36" i="43"/>
  <c r="CJ35" i="43"/>
  <c r="AP25" i="41" s="1"/>
  <c r="CN36" i="43"/>
  <c r="AI70" i="41"/>
  <c r="BX32" i="43"/>
  <c r="BX15" i="43"/>
  <c r="BX17" i="43" s="1"/>
  <c r="BX34" i="43" s="1"/>
  <c r="R71" i="41"/>
  <c r="AL70" i="41"/>
  <c r="BX276" i="42"/>
  <c r="BX278" i="42" s="1"/>
  <c r="CM7" i="49"/>
  <c r="CX806" i="20"/>
  <c r="CX798" i="20"/>
  <c r="CY798" i="20" s="1"/>
  <c r="S71" i="41"/>
  <c r="AT387" i="42"/>
  <c r="AT385" i="42" s="1"/>
  <c r="AV380" i="42"/>
  <c r="BG71" i="41"/>
  <c r="DC7" i="49"/>
  <c r="CX223" i="49"/>
  <c r="CX19" i="49" s="1"/>
  <c r="CO430" i="10"/>
  <c r="CR430" i="10" s="1"/>
  <c r="CO432" i="10"/>
  <c r="CR432" i="10" s="1"/>
  <c r="CO428" i="10"/>
  <c r="CR428" i="10" s="1"/>
  <c r="CO433" i="10"/>
  <c r="CR433" i="10" s="1"/>
  <c r="CS431" i="10"/>
  <c r="CV431" i="10" s="1"/>
  <c r="BO68" i="51"/>
  <c r="DB878" i="20"/>
  <c r="DC878" i="20" s="1"/>
  <c r="DB905" i="20"/>
  <c r="BZ93" i="49"/>
  <c r="BJ237" i="49"/>
  <c r="BJ340" i="49"/>
  <c r="BN1" i="42"/>
  <c r="BN2" i="42" s="1"/>
  <c r="BM2" i="42"/>
  <c r="CL6" i="49"/>
  <c r="CL325" i="49"/>
  <c r="CL222" i="49"/>
  <c r="CH192" i="49"/>
  <c r="CH295" i="49"/>
  <c r="BP1" i="10"/>
  <c r="BQ3" i="10"/>
  <c r="CL338" i="49"/>
  <c r="CL331" i="49"/>
  <c r="DD894" i="20"/>
  <c r="DD888" i="20"/>
  <c r="AH26" i="41"/>
  <c r="DA836" i="20"/>
  <c r="DA842" i="20"/>
  <c r="DB842" i="20" s="1"/>
  <c r="DA830" i="20"/>
  <c r="DB830" i="20" s="1"/>
  <c r="DB838" i="20" s="1"/>
  <c r="DD828" i="20"/>
  <c r="BT255" i="42"/>
  <c r="BU253" i="42"/>
  <c r="BF197" i="49"/>
  <c r="BF300" i="49"/>
  <c r="AZ26" i="41"/>
  <c r="BD776" i="20"/>
  <c r="BD778" i="20" s="1"/>
  <c r="BD779" i="20"/>
  <c r="BJ239" i="49"/>
  <c r="BJ342" i="49"/>
  <c r="BR98" i="49"/>
  <c r="BZ136" i="49"/>
  <c r="DM272" i="42"/>
  <c r="DN272" i="42" s="1"/>
  <c r="DN94" i="49" s="1"/>
  <c r="DN361" i="42"/>
  <c r="DN362" i="42" s="1"/>
  <c r="DN105" i="42" s="1"/>
  <c r="CD298" i="49"/>
  <c r="CD195" i="49"/>
  <c r="CY17" i="43"/>
  <c r="CX34" i="43"/>
  <c r="CH98" i="49"/>
  <c r="CQ7" i="49"/>
  <c r="CO7" i="49"/>
  <c r="CX808" i="20"/>
  <c r="CX815" i="20" s="1"/>
  <c r="CV815" i="20"/>
  <c r="BN197" i="49"/>
  <c r="BN300" i="49"/>
  <c r="CW809" i="20"/>
  <c r="CW814" i="20"/>
  <c r="CD134" i="49"/>
  <c r="CD237" i="49" s="1"/>
  <c r="DO14" i="41"/>
  <c r="DC8" i="41"/>
  <c r="X70" i="41"/>
  <c r="BZ424" i="42"/>
  <c r="BZ429" i="42"/>
  <c r="BZ439" i="42" s="1"/>
  <c r="CD93" i="49"/>
  <c r="CM17" i="43"/>
  <c r="CL34" i="43"/>
  <c r="CM8" i="41"/>
  <c r="H70" i="41"/>
  <c r="EI8" i="41"/>
  <c r="BD70" i="41"/>
  <c r="T27" i="41"/>
  <c r="AN26" i="41"/>
  <c r="AO505" i="42"/>
  <c r="AO515" i="42"/>
  <c r="AO520" i="42" s="1"/>
  <c r="AO516" i="42"/>
  <c r="AO521" i="42" s="1"/>
  <c r="CU7" i="49"/>
  <c r="L70" i="41"/>
  <c r="EO36" i="41"/>
  <c r="CT223" i="49"/>
  <c r="CT19" i="49" s="1"/>
  <c r="CP295" i="49"/>
  <c r="CP192" i="49"/>
  <c r="CY6" i="49"/>
  <c r="P26" i="41"/>
  <c r="CQ17" i="43"/>
  <c r="CP34" i="43"/>
  <c r="DS8" i="41"/>
  <c r="BR237" i="49"/>
  <c r="BR340" i="49"/>
  <c r="CO436" i="10"/>
  <c r="CR436" i="10" s="1"/>
  <c r="BJ67" i="10"/>
  <c r="BJ69" i="10"/>
  <c r="BJ769" i="10"/>
  <c r="BJ764" i="10"/>
  <c r="BJ767" i="10"/>
  <c r="BJ763" i="10"/>
  <c r="BJ766" i="10"/>
  <c r="BJ175" i="10"/>
  <c r="BJ176" i="10"/>
  <c r="BJ425" i="10"/>
  <c r="BJ174" i="10"/>
  <c r="BJ765" i="10"/>
  <c r="BJ474" i="10"/>
  <c r="BJ771" i="10"/>
  <c r="BJ770" i="10"/>
  <c r="BJ1086" i="10"/>
  <c r="BJ1089" i="10" s="1"/>
  <c r="BJ1085" i="10"/>
  <c r="BJ473" i="10"/>
  <c r="EP53" i="41"/>
  <c r="EP52" i="41"/>
  <c r="EQ53" i="41"/>
  <c r="EQ52" i="41"/>
  <c r="CP98" i="49"/>
  <c r="AP446" i="42"/>
  <c r="AO275" i="42"/>
  <c r="AO271" i="42" s="1"/>
  <c r="AO276" i="42" s="1"/>
  <c r="AO447" i="42"/>
  <c r="DB341" i="49"/>
  <c r="DB337" i="49" s="1"/>
  <c r="DB234" i="49"/>
  <c r="DU7" i="41"/>
  <c r="AP71" i="41"/>
  <c r="DJ106" i="49"/>
  <c r="BM1" i="43"/>
  <c r="BP2" i="43"/>
  <c r="EA8" i="41"/>
  <c r="AV70" i="41"/>
  <c r="BH26" i="41"/>
  <c r="BN1" i="10"/>
  <c r="BM390" i="10"/>
  <c r="BM394" i="10"/>
  <c r="BM392" i="10"/>
  <c r="BM395" i="10"/>
  <c r="BM393" i="10"/>
  <c r="BM391" i="10"/>
  <c r="BR238" i="49"/>
  <c r="BR341" i="49"/>
  <c r="DF905" i="20"/>
  <c r="DF878" i="20"/>
  <c r="BE700" i="10"/>
  <c r="BE1100" i="10"/>
  <c r="BE777" i="20"/>
  <c r="BE1101" i="10"/>
  <c r="BE1097" i="10"/>
  <c r="AQ71" i="41"/>
  <c r="DV7" i="41"/>
  <c r="CD220" i="49"/>
  <c r="CD225" i="49" s="1"/>
  <c r="CD14" i="49" s="1"/>
  <c r="CD323" i="49"/>
  <c r="CD328" i="49" s="1"/>
  <c r="CD26" i="49" s="1"/>
  <c r="CD123" i="49"/>
  <c r="CD7" i="49" s="1"/>
  <c r="CI7" i="49" s="1"/>
  <c r="CD119" i="49"/>
  <c r="BW17" i="43"/>
  <c r="BV34" i="43"/>
  <c r="DZ7" i="41"/>
  <c r="AU71" i="41"/>
  <c r="DI904" i="20"/>
  <c r="DI901" i="20"/>
  <c r="DJ901" i="20" s="1"/>
  <c r="DY7" i="41"/>
  <c r="AT71" i="41"/>
  <c r="BZ134" i="49"/>
  <c r="BZ237" i="49" s="1"/>
  <c r="BZ340" i="49" s="1"/>
  <c r="BZ336" i="49" s="1"/>
  <c r="DK14" i="41"/>
  <c r="AN275" i="42"/>
  <c r="AN447" i="42"/>
  <c r="AN450" i="42" s="1"/>
  <c r="CX803" i="20"/>
  <c r="CX814" i="20" s="1"/>
  <c r="CV809" i="20"/>
  <c r="CV814" i="20"/>
  <c r="DO887" i="20"/>
  <c r="DN895" i="20"/>
  <c r="CP6" i="49"/>
  <c r="CP326" i="49"/>
  <c r="CP31" i="49" s="1"/>
  <c r="BR239" i="49"/>
  <c r="BR342" i="49"/>
  <c r="CD135" i="49"/>
  <c r="CD238" i="49" s="1"/>
  <c r="DJ900" i="20"/>
  <c r="DJ904" i="20" s="1"/>
  <c r="AB70" i="41"/>
  <c r="DG8" i="41"/>
  <c r="BJ348" i="49"/>
  <c r="BJ28" i="49" s="1"/>
  <c r="BJ9" i="49"/>
  <c r="BJ245" i="49"/>
  <c r="BJ16" i="49" s="1"/>
  <c r="DL878" i="20"/>
  <c r="DL882" i="20" s="1"/>
  <c r="DL905" i="20"/>
  <c r="CZ297" i="10"/>
  <c r="CW299" i="10"/>
  <c r="CD276" i="42"/>
  <c r="CB278" i="42"/>
  <c r="BJ98" i="49"/>
  <c r="BJ278" i="42"/>
  <c r="BN192" i="49"/>
  <c r="BN295" i="49"/>
  <c r="CH34" i="43"/>
  <c r="AP45" i="43"/>
  <c r="AP49" i="43" s="1"/>
  <c r="AO49" i="43"/>
  <c r="BR6" i="49"/>
  <c r="BS6" i="49" s="1"/>
  <c r="BR222" i="49"/>
  <c r="BR13" i="49" s="1"/>
  <c r="BS13" i="49" s="1"/>
  <c r="BR325" i="49"/>
  <c r="BR25" i="49" s="1"/>
  <c r="BS25" i="49" s="1"/>
  <c r="BJ339" i="42"/>
  <c r="BH344" i="42"/>
  <c r="EO53" i="41"/>
  <c r="EO52" i="41"/>
  <c r="EH7" i="41"/>
  <c r="BC71" i="41"/>
  <c r="BZ123" i="49"/>
  <c r="BZ7" i="49" s="1"/>
  <c r="CA7" i="49" s="1"/>
  <c r="BZ220" i="49"/>
  <c r="BZ225" i="49" s="1"/>
  <c r="BZ14" i="49" s="1"/>
  <c r="BZ323" i="49"/>
  <c r="BZ328" i="49" s="1"/>
  <c r="BZ26" i="49" s="1"/>
  <c r="BZ119" i="49"/>
  <c r="BL140" i="49"/>
  <c r="BL142" i="49" s="1"/>
  <c r="BL540" i="42"/>
  <c r="BL139" i="49" s="1"/>
  <c r="CO435" i="10"/>
  <c r="CR435" i="10" s="1"/>
  <c r="AR70" i="41"/>
  <c r="DW8" i="41"/>
  <c r="CY7" i="49"/>
  <c r="BK17" i="43"/>
  <c r="BJ34" i="43"/>
  <c r="CO429" i="10"/>
  <c r="CR429" i="10" s="1"/>
  <c r="DM900" i="20"/>
  <c r="DM920" i="20"/>
  <c r="DE878" i="20"/>
  <c r="DE882" i="20" s="1"/>
  <c r="DE905" i="20"/>
  <c r="CO434" i="10"/>
  <c r="CR434" i="10" s="1"/>
  <c r="BI67" i="10"/>
  <c r="BI69" i="10"/>
  <c r="BI172" i="10"/>
  <c r="BI767" i="10"/>
  <c r="BI763" i="10"/>
  <c r="BI764" i="10"/>
  <c r="BI766" i="10"/>
  <c r="BI769" i="10"/>
  <c r="BI1080" i="10"/>
  <c r="BI168" i="10"/>
  <c r="BI169" i="10"/>
  <c r="BI171" i="10"/>
  <c r="BI170" i="10"/>
  <c r="BI176" i="10"/>
  <c r="BI175" i="10"/>
  <c r="BI474" i="10"/>
  <c r="BI425" i="10"/>
  <c r="BI174" i="10"/>
  <c r="BI765" i="10"/>
  <c r="BI1086" i="10"/>
  <c r="BI1089" i="10" s="1"/>
  <c r="BI1091" i="10" s="1"/>
  <c r="BI1092" i="10" s="1"/>
  <c r="BI770" i="10"/>
  <c r="BI1085" i="10"/>
  <c r="BI771" i="10"/>
  <c r="BI473" i="10"/>
  <c r="DG145" i="46"/>
  <c r="BI547" i="42"/>
  <c r="BR192" i="49"/>
  <c r="BR295" i="49"/>
  <c r="CA24" i="49"/>
  <c r="CE24" i="49"/>
  <c r="CU8" i="41"/>
  <c r="P70" i="41"/>
  <c r="CH6" i="49"/>
  <c r="CH222" i="49"/>
  <c r="CH325" i="49"/>
  <c r="CT340" i="49"/>
  <c r="CT336" i="49" s="1"/>
  <c r="CT233" i="49"/>
  <c r="BV341" i="49"/>
  <c r="BV337" i="49" s="1"/>
  <c r="BV332" i="49" s="1"/>
  <c r="BV234" i="49"/>
  <c r="BV229" i="49" s="1"/>
  <c r="BF700" i="10"/>
  <c r="BF1101" i="10"/>
  <c r="BF1100" i="10"/>
  <c r="BF777" i="20"/>
  <c r="BF1097" i="10"/>
  <c r="CD120" i="49"/>
  <c r="CD36" i="43"/>
  <c r="CD35" i="43"/>
  <c r="AJ25" i="41" s="1"/>
  <c r="CE30" i="43"/>
  <c r="AJ24" i="41"/>
  <c r="AN70" i="41" s="1"/>
  <c r="CZ896" i="20"/>
  <c r="CZ890" i="20"/>
  <c r="X26" i="41"/>
  <c r="CU17" i="43"/>
  <c r="CT34" i="43"/>
  <c r="BZ195" i="49"/>
  <c r="BZ298" i="49"/>
  <c r="CP341" i="49"/>
  <c r="CP337" i="49" s="1"/>
  <c r="CP332" i="49" s="1"/>
  <c r="CP234" i="49"/>
  <c r="CP229" i="49" s="1"/>
  <c r="DC1031" i="10"/>
  <c r="DB1032" i="10"/>
  <c r="BZ135" i="49"/>
  <c r="BZ238" i="49" s="1"/>
  <c r="BZ341" i="49" s="1"/>
  <c r="BZ337" i="49" s="1"/>
  <c r="BZ332" i="49" s="1"/>
  <c r="CH340" i="49"/>
  <c r="CH336" i="49" s="1"/>
  <c r="CH233" i="49"/>
  <c r="AV298" i="42"/>
  <c r="AX296" i="42"/>
  <c r="AX298" i="42" s="1"/>
  <c r="AE26" i="41"/>
  <c r="CT36" i="43"/>
  <c r="DA894" i="20"/>
  <c r="DA888" i="20"/>
  <c r="DB888" i="20" s="1"/>
  <c r="DB896" i="20" s="1"/>
  <c r="BB71" i="41"/>
  <c r="CT295" i="49"/>
  <c r="CT192" i="49"/>
  <c r="AR26" i="41"/>
  <c r="CH341" i="49"/>
  <c r="CH337" i="49" s="1"/>
  <c r="CH332" i="49" s="1"/>
  <c r="CH234" i="49"/>
  <c r="CH229" i="49" s="1"/>
  <c r="AO46" i="43"/>
  <c r="AO48" i="43"/>
  <c r="AP44" i="43"/>
  <c r="DM994" i="10"/>
  <c r="DM996" i="10"/>
  <c r="BV6" i="49"/>
  <c r="BV325" i="49"/>
  <c r="BV222" i="49"/>
  <c r="BJ242" i="49"/>
  <c r="BJ345" i="49"/>
  <c r="AV411" i="42"/>
  <c r="AV413" i="42" s="1"/>
  <c r="AW412" i="42"/>
  <c r="AW411" i="42" s="1"/>
  <c r="BF71" i="41"/>
  <c r="BZ120" i="49"/>
  <c r="BZ36" i="43"/>
  <c r="CA30" i="43"/>
  <c r="BZ35" i="43"/>
  <c r="AF25" i="41" s="1"/>
  <c r="AF24" i="41"/>
  <c r="BL547" i="42"/>
  <c r="CY13" i="49"/>
  <c r="H26" i="41"/>
  <c r="CI30" i="43"/>
  <c r="CT890" i="20"/>
  <c r="BH67" i="10"/>
  <c r="BH69" i="10"/>
  <c r="BH70" i="10" s="1"/>
  <c r="BH169" i="10"/>
  <c r="BH170" i="10"/>
  <c r="BH172" i="10"/>
  <c r="BH763" i="10"/>
  <c r="BH764" i="10"/>
  <c r="BH766" i="10"/>
  <c r="BH769" i="10"/>
  <c r="BH767" i="10"/>
  <c r="BH1080" i="10"/>
  <c r="BH168" i="10"/>
  <c r="BH176" i="10"/>
  <c r="BH425" i="10"/>
  <c r="BH171" i="10"/>
  <c r="BH175" i="10"/>
  <c r="BH765" i="10"/>
  <c r="BH174" i="10"/>
  <c r="BH1085" i="10"/>
  <c r="BH473" i="10"/>
  <c r="BH474" i="10"/>
  <c r="BH1086" i="10"/>
  <c r="BH1089" i="10" s="1"/>
  <c r="BH1091" i="10" s="1"/>
  <c r="BH1092" i="10" s="1"/>
  <c r="BH1093" i="10" s="1"/>
  <c r="BH1096" i="10" s="1"/>
  <c r="BH770" i="10"/>
  <c r="BH771" i="10"/>
  <c r="DJ399" i="42"/>
  <c r="DJ402" i="42" s="1"/>
  <c r="BV192" i="49"/>
  <c r="BV295" i="49"/>
  <c r="CP340" i="49"/>
  <c r="CP336" i="49" s="1"/>
  <c r="CP233" i="49"/>
  <c r="CX340" i="49"/>
  <c r="CX336" i="49" s="1"/>
  <c r="CX233" i="49"/>
  <c r="BQ3" i="42"/>
  <c r="BP1" i="42"/>
  <c r="BP2" i="42" s="1"/>
  <c r="CA12" i="49"/>
  <c r="CE12" i="49"/>
  <c r="DC17" i="43"/>
  <c r="DB34" i="43"/>
  <c r="D102" i="78"/>
  <c r="AH27" i="41"/>
  <c r="CZ798" i="20"/>
  <c r="CZ834" i="20"/>
  <c r="CZ838" i="20"/>
  <c r="CZ806" i="20"/>
  <c r="CZ847" i="20"/>
  <c r="CZ844" i="20"/>
  <c r="CZ849" i="20" s="1"/>
  <c r="CW890" i="20"/>
  <c r="CW891" i="20" s="1"/>
  <c r="CW896" i="20"/>
  <c r="CD15" i="43"/>
  <c r="CD17" i="43" s="1"/>
  <c r="CE13" i="43"/>
  <c r="CD32" i="43"/>
  <c r="DC882" i="20"/>
  <c r="DB894" i="20"/>
  <c r="BS17" i="43"/>
  <c r="BR34" i="43"/>
  <c r="AB26" i="41"/>
  <c r="BD702" i="10"/>
  <c r="BD701" i="10"/>
  <c r="CX341" i="49"/>
  <c r="CX337" i="49" s="1"/>
  <c r="CX332" i="49" s="1"/>
  <c r="CX234" i="49"/>
  <c r="CX229" i="49" s="1"/>
  <c r="DB999" i="10"/>
  <c r="DB1009" i="10"/>
  <c r="BJ295" i="49"/>
  <c r="BJ192" i="49"/>
  <c r="BD26" i="41"/>
  <c r="AS44" i="43"/>
  <c r="AS45" i="43"/>
  <c r="AS504" i="42"/>
  <c r="BJ325" i="49"/>
  <c r="BJ25" i="49" s="1"/>
  <c r="BO25" i="49" s="1"/>
  <c r="BJ6" i="49"/>
  <c r="BO6" i="49" s="1"/>
  <c r="BJ222" i="49"/>
  <c r="BJ13" i="49" s="1"/>
  <c r="BO13" i="49" s="1"/>
  <c r="AE27" i="41"/>
  <c r="AE71" i="41" s="1"/>
  <c r="BH70" i="41"/>
  <c r="EM8" i="41"/>
  <c r="CT341" i="49"/>
  <c r="CT337" i="49" s="1"/>
  <c r="CT332" i="49" s="1"/>
  <c r="CT234" i="49"/>
  <c r="CT229" i="49" s="1"/>
  <c r="BV340" i="49"/>
  <c r="BV336" i="49" s="1"/>
  <c r="BV233" i="49"/>
  <c r="ED7" i="41"/>
  <c r="AY71" i="41"/>
  <c r="CD136" i="49"/>
  <c r="EE8" i="41"/>
  <c r="AZ70" i="41"/>
  <c r="CT811" i="20"/>
  <c r="CQ7" i="41"/>
  <c r="CV891" i="20"/>
  <c r="CI13" i="43"/>
  <c r="BV98" i="49"/>
  <c r="BJ243" i="49"/>
  <c r="BJ346" i="49"/>
  <c r="BM1" i="20"/>
  <c r="BP2" i="20"/>
  <c r="BJ238" i="49"/>
  <c r="BJ341" i="49"/>
  <c r="W71" i="41"/>
  <c r="DF66" i="10"/>
  <c r="CU13" i="49"/>
  <c r="CF424" i="42"/>
  <c r="CC425" i="42"/>
  <c r="CA13" i="43"/>
  <c r="BZ15" i="43"/>
  <c r="BZ17" i="43" s="1"/>
  <c r="BZ32" i="43"/>
  <c r="AL54" i="43"/>
  <c r="AL50" i="43"/>
  <c r="DB340" i="49"/>
  <c r="DB336" i="49" s="1"/>
  <c r="DB233" i="49"/>
  <c r="H27" i="41"/>
  <c r="L71" i="41" s="1"/>
  <c r="AL271" i="42"/>
  <c r="AJ276" i="42"/>
  <c r="AL276" i="42" s="1"/>
  <c r="DN913" i="20"/>
  <c r="DN920" i="20" s="1"/>
  <c r="DN918" i="20"/>
  <c r="AV26" i="41"/>
  <c r="DM261" i="42" l="1"/>
  <c r="DH837" i="20"/>
  <c r="DH890" i="20"/>
  <c r="DH891" i="20" s="1"/>
  <c r="DH896" i="20"/>
  <c r="DS887" i="20"/>
  <c r="DM14" i="46"/>
  <c r="DN262" i="42"/>
  <c r="DP105" i="42"/>
  <c r="DQ360" i="42"/>
  <c r="DP272" i="42"/>
  <c r="DP106" i="42"/>
  <c r="DQ331" i="42"/>
  <c r="DQ336" i="42" s="1"/>
  <c r="DR920" i="20"/>
  <c r="DP901" i="20"/>
  <c r="DR900" i="20"/>
  <c r="DP904" i="20"/>
  <c r="DQ904" i="20"/>
  <c r="DQ901" i="20"/>
  <c r="CL235" i="49"/>
  <c r="CL239" i="49" s="1"/>
  <c r="AH70" i="41"/>
  <c r="BZ233" i="49"/>
  <c r="BZ228" i="49" s="1"/>
  <c r="CX890" i="20"/>
  <c r="CY890" i="20" s="1"/>
  <c r="DE837" i="20"/>
  <c r="DF829" i="20"/>
  <c r="DF837" i="20" s="1"/>
  <c r="CQ6" i="49"/>
  <c r="BZ276" i="42"/>
  <c r="BW6" i="49"/>
  <c r="CU6" i="49"/>
  <c r="AD27" i="41"/>
  <c r="AD71" i="41" s="1"/>
  <c r="AD26" i="41"/>
  <c r="DG878" i="20"/>
  <c r="AV387" i="42"/>
  <c r="AV385" i="42" s="1"/>
  <c r="AV382" i="42"/>
  <c r="AW380" i="42"/>
  <c r="BZ331" i="49"/>
  <c r="BZ338" i="49"/>
  <c r="BZ342" i="49" s="1"/>
  <c r="CS436" i="10"/>
  <c r="CV436" i="10" s="1"/>
  <c r="CW431" i="10"/>
  <c r="CZ431" i="10" s="1"/>
  <c r="CS428" i="10"/>
  <c r="CV428" i="10" s="1"/>
  <c r="CS432" i="10"/>
  <c r="CV432" i="10" s="1"/>
  <c r="CS434" i="10"/>
  <c r="CV434" i="10" s="1"/>
  <c r="CS433" i="10"/>
  <c r="CV433" i="10" s="1"/>
  <c r="EO68" i="41"/>
  <c r="DB338" i="49"/>
  <c r="CC429" i="42"/>
  <c r="CC439" i="42" s="1"/>
  <c r="CD425" i="42"/>
  <c r="BV331" i="49"/>
  <c r="BV338" i="49"/>
  <c r="BV342" i="49" s="1"/>
  <c r="AS505" i="42"/>
  <c r="AS515" i="42"/>
  <c r="AS520" i="42" s="1"/>
  <c r="AS516" i="42"/>
  <c r="AS521" i="42" s="1"/>
  <c r="X27" i="41"/>
  <c r="AJ26" i="41"/>
  <c r="CZ808" i="20"/>
  <c r="CZ803" i="20"/>
  <c r="BH27" i="41"/>
  <c r="CP338" i="49"/>
  <c r="CP299" i="49" s="1"/>
  <c r="CP300" i="49" s="1"/>
  <c r="CP301" i="49" s="1"/>
  <c r="CP331" i="49"/>
  <c r="BL143" i="49"/>
  <c r="BL1105" i="10"/>
  <c r="CH228" i="49"/>
  <c r="CH235" i="49"/>
  <c r="CH239" i="49" s="1"/>
  <c r="BF776" i="20"/>
  <c r="BF778" i="20" s="1"/>
  <c r="BF779" i="20"/>
  <c r="CH13" i="49"/>
  <c r="CH223" i="49"/>
  <c r="CH19" i="49" s="1"/>
  <c r="DE894" i="20"/>
  <c r="DE888" i="20"/>
  <c r="DF888" i="20" s="1"/>
  <c r="DF896" i="20" s="1"/>
  <c r="CS429" i="10"/>
  <c r="CV429" i="10" s="1"/>
  <c r="BI339" i="42"/>
  <c r="BI344" i="42" s="1"/>
  <c r="BH345" i="42"/>
  <c r="BL2" i="10"/>
  <c r="BL259" i="10" s="1"/>
  <c r="BM2" i="10"/>
  <c r="BM259" i="10" s="1"/>
  <c r="BN2" i="10"/>
  <c r="BN259" i="10" s="1"/>
  <c r="BN390" i="10"/>
  <c r="BN168" i="10"/>
  <c r="BN172" i="10"/>
  <c r="BN394" i="10"/>
  <c r="BN171" i="10"/>
  <c r="BN170" i="10"/>
  <c r="BN169" i="10"/>
  <c r="BN395" i="10"/>
  <c r="BN392" i="10"/>
  <c r="BN393" i="10"/>
  <c r="BN391" i="10"/>
  <c r="AV27" i="41"/>
  <c r="CY7" i="41"/>
  <c r="AR27" i="41"/>
  <c r="CD340" i="49"/>
  <c r="CD336" i="49" s="1"/>
  <c r="CD233" i="49"/>
  <c r="CW816" i="20"/>
  <c r="CW811" i="20"/>
  <c r="BD27" i="41"/>
  <c r="DN14" i="46"/>
  <c r="DN261" i="42"/>
  <c r="DA798" i="20"/>
  <c r="DA803" i="20" s="1"/>
  <c r="DA834" i="20"/>
  <c r="DA838" i="20"/>
  <c r="BT3" i="10"/>
  <c r="BQ1" i="10"/>
  <c r="BM541" i="42"/>
  <c r="BM546" i="42"/>
  <c r="BM450" i="42"/>
  <c r="AF26" i="41"/>
  <c r="CG424" i="42"/>
  <c r="CF425" i="42"/>
  <c r="CF429" i="42" s="1"/>
  <c r="CF439" i="42" s="1"/>
  <c r="AS49" i="43"/>
  <c r="AT45" i="43"/>
  <c r="AT49" i="43" s="1"/>
  <c r="BP541" i="42"/>
  <c r="BP546" i="42"/>
  <c r="BP450" i="42"/>
  <c r="CX235" i="49"/>
  <c r="CX228" i="49"/>
  <c r="DL399" i="42"/>
  <c r="DJ113" i="42"/>
  <c r="DJ407" i="42"/>
  <c r="DJ406" i="42" s="1"/>
  <c r="BH700" i="10"/>
  <c r="BH1101" i="10"/>
  <c r="BH777" i="20"/>
  <c r="BH1100" i="10"/>
  <c r="BH1097" i="10"/>
  <c r="CU890" i="20"/>
  <c r="CT891" i="20"/>
  <c r="CU891" i="20" s="1"/>
  <c r="DK8" i="41"/>
  <c r="AF70" i="41"/>
  <c r="AX411" i="42"/>
  <c r="AW413" i="42"/>
  <c r="AX413" i="42" s="1"/>
  <c r="AP46" i="43"/>
  <c r="AP48" i="43"/>
  <c r="AP51" i="43"/>
  <c r="CH331" i="49"/>
  <c r="CH338" i="49"/>
  <c r="CH342" i="49" s="1"/>
  <c r="CT235" i="49"/>
  <c r="CT228" i="49"/>
  <c r="D68" i="78"/>
  <c r="D76" i="78" s="1"/>
  <c r="DG151" i="46"/>
  <c r="BI70" i="10"/>
  <c r="CD341" i="49"/>
  <c r="CD337" i="49" s="1"/>
  <c r="CD332" i="49" s="1"/>
  <c r="CD234" i="49"/>
  <c r="CD229" i="49" s="1"/>
  <c r="AP275" i="42"/>
  <c r="AN271" i="42"/>
  <c r="BW34" i="43"/>
  <c r="AB27" i="41"/>
  <c r="CD222" i="49"/>
  <c r="CD6" i="49"/>
  <c r="CD325" i="49"/>
  <c r="BE779" i="20"/>
  <c r="BE776" i="20"/>
  <c r="BE778" i="20" s="1"/>
  <c r="BQ2" i="43"/>
  <c r="BP1" i="43"/>
  <c r="AP447" i="42"/>
  <c r="AP450" i="42" s="1"/>
  <c r="AO450" i="42"/>
  <c r="DN296" i="49"/>
  <c r="DN193" i="49"/>
  <c r="DA847" i="20"/>
  <c r="DA806" i="20"/>
  <c r="DA808" i="20" s="1"/>
  <c r="DA815" i="20" s="1"/>
  <c r="DA844" i="20"/>
  <c r="DA849" i="20" s="1"/>
  <c r="DF882" i="20"/>
  <c r="BP392" i="10"/>
  <c r="BP393" i="10"/>
  <c r="BP395" i="10"/>
  <c r="BP390" i="10"/>
  <c r="BP394" i="10"/>
  <c r="BP391" i="10"/>
  <c r="CL13" i="49"/>
  <c r="CL223" i="49"/>
  <c r="CL19" i="49" s="1"/>
  <c r="BN541" i="42"/>
  <c r="BN546" i="42"/>
  <c r="BN450" i="42"/>
  <c r="CS430" i="10"/>
  <c r="CV430" i="10" s="1"/>
  <c r="BV300" i="49"/>
  <c r="BV197" i="49"/>
  <c r="AS46" i="43"/>
  <c r="AS48" i="43"/>
  <c r="AT44" i="43"/>
  <c r="CE17" i="43"/>
  <c r="CD34" i="43"/>
  <c r="CI34" i="43" s="1"/>
  <c r="DB851" i="20"/>
  <c r="DB847" i="20"/>
  <c r="DB844" i="20"/>
  <c r="DB849" i="20" s="1"/>
  <c r="BQ1" i="42"/>
  <c r="BT3" i="42"/>
  <c r="CX338" i="49"/>
  <c r="CX331" i="49"/>
  <c r="DI399" i="42"/>
  <c r="DI402" i="42" s="1"/>
  <c r="BV13" i="49"/>
  <c r="BW13" i="49" s="1"/>
  <c r="BV223" i="49"/>
  <c r="BV19" i="49" s="1"/>
  <c r="DJ878" i="20"/>
  <c r="DK878" i="20" s="1"/>
  <c r="DJ905" i="20"/>
  <c r="AZ27" i="41"/>
  <c r="DO8" i="41"/>
  <c r="AJ70" i="41"/>
  <c r="CT331" i="49"/>
  <c r="CT338" i="49"/>
  <c r="DM901" i="20"/>
  <c r="DM904" i="20"/>
  <c r="DN900" i="20"/>
  <c r="DN904" i="20" s="1"/>
  <c r="P27" i="41"/>
  <c r="CS435" i="10"/>
  <c r="CV435" i="10" s="1"/>
  <c r="AN27" i="41"/>
  <c r="CD98" i="49"/>
  <c r="DA297" i="10"/>
  <c r="DD297" i="10" s="1"/>
  <c r="CZ299" i="10"/>
  <c r="DL894" i="20"/>
  <c r="DL888" i="20"/>
  <c r="CV811" i="20"/>
  <c r="CX809" i="20"/>
  <c r="CX816" i="20" s="1"/>
  <c r="CV816" i="20"/>
  <c r="CE7" i="49"/>
  <c r="D101" i="78"/>
  <c r="D103" i="78" s="1"/>
  <c r="AL71" i="41"/>
  <c r="CH197" i="49"/>
  <c r="CH300" i="49"/>
  <c r="BR197" i="49"/>
  <c r="BR300" i="49"/>
  <c r="BU255" i="42"/>
  <c r="BX253" i="42"/>
  <c r="DD896" i="20"/>
  <c r="DD890" i="20"/>
  <c r="CL333" i="49"/>
  <c r="CL25" i="49"/>
  <c r="CL326" i="49"/>
  <c r="CL31" i="49" s="1"/>
  <c r="BZ295" i="49"/>
  <c r="BZ192" i="49"/>
  <c r="EP36" i="41"/>
  <c r="CA17" i="43"/>
  <c r="BZ34" i="43"/>
  <c r="CM7" i="41"/>
  <c r="H71" i="41"/>
  <c r="DB235" i="49"/>
  <c r="BP1" i="20"/>
  <c r="BQ2" i="20"/>
  <c r="BV228" i="49"/>
  <c r="BV235" i="49"/>
  <c r="BV239" i="49" s="1"/>
  <c r="CL230" i="49"/>
  <c r="CP235" i="49"/>
  <c r="CP196" i="49" s="1"/>
  <c r="CP197" i="49" s="1"/>
  <c r="CP198" i="49" s="1"/>
  <c r="CP228" i="49"/>
  <c r="BV25" i="49"/>
  <c r="BW25" i="49" s="1"/>
  <c r="BV326" i="49"/>
  <c r="BV31" i="49" s="1"/>
  <c r="AO50" i="43"/>
  <c r="AO54" i="43"/>
  <c r="AR446" i="42"/>
  <c r="DA890" i="20"/>
  <c r="DA891" i="20" s="1"/>
  <c r="DA896" i="20"/>
  <c r="CZ891" i="20"/>
  <c r="BF702" i="10"/>
  <c r="BF701" i="10"/>
  <c r="CH326" i="49"/>
  <c r="CH31" i="49" s="1"/>
  <c r="CH25" i="49"/>
  <c r="BZ234" i="49"/>
  <c r="BZ229" i="49" s="1"/>
  <c r="BI1105" i="10"/>
  <c r="BI1093" i="10"/>
  <c r="BI1096" i="10" s="1"/>
  <c r="BJ1092" i="10"/>
  <c r="BJ1093" i="10" s="1"/>
  <c r="BJ1096" i="10" s="1"/>
  <c r="BZ325" i="49"/>
  <c r="BZ6" i="49"/>
  <c r="CA6" i="49" s="1"/>
  <c r="BZ222" i="49"/>
  <c r="CI17" i="43"/>
  <c r="BJ197" i="49"/>
  <c r="BJ300" i="49"/>
  <c r="DI878" i="20"/>
  <c r="DI882" i="20" s="1"/>
  <c r="DI905" i="20"/>
  <c r="BE702" i="10"/>
  <c r="BE701" i="10"/>
  <c r="EO38" i="41"/>
  <c r="AI71" i="41"/>
  <c r="CD295" i="49"/>
  <c r="CD192" i="49"/>
  <c r="DD830" i="20"/>
  <c r="DD842" i="20"/>
  <c r="DE828" i="20"/>
  <c r="DH828" i="20" s="1"/>
  <c r="DD836" i="20"/>
  <c r="CL342" i="49"/>
  <c r="CM6" i="49"/>
  <c r="DH836" i="20" l="1"/>
  <c r="DH842" i="20"/>
  <c r="DH830" i="20"/>
  <c r="BN547" i="42"/>
  <c r="BN551" i="42"/>
  <c r="BN554" i="42" s="1"/>
  <c r="BN555" i="42" s="1"/>
  <c r="BM547" i="42"/>
  <c r="BM1105" i="10" s="1"/>
  <c r="BM551" i="42"/>
  <c r="BM554" i="42" s="1"/>
  <c r="BM555" i="42" s="1"/>
  <c r="DQ106" i="42"/>
  <c r="DR336" i="42"/>
  <c r="DR106" i="42" s="1"/>
  <c r="DP15" i="46"/>
  <c r="DP262" i="42"/>
  <c r="DQ361" i="42"/>
  <c r="DQ362" i="42" s="1"/>
  <c r="DQ105" i="42" s="1"/>
  <c r="DP14" i="46"/>
  <c r="DP261" i="42"/>
  <c r="DQ905" i="20"/>
  <c r="DQ878" i="20"/>
  <c r="DQ882" i="20" s="1"/>
  <c r="DR904" i="20"/>
  <c r="DP905" i="20"/>
  <c r="DP878" i="20"/>
  <c r="DP882" i="20" s="1"/>
  <c r="DR901" i="20"/>
  <c r="DD299" i="10"/>
  <c r="DE297" i="10"/>
  <c r="DH297" i="10" s="1"/>
  <c r="CX891" i="20"/>
  <c r="CY891" i="20" s="1"/>
  <c r="AH71" i="41"/>
  <c r="DI829" i="20"/>
  <c r="BZ98" i="49"/>
  <c r="AW382" i="42"/>
  <c r="AX382" i="42" s="1"/>
  <c r="AV383" i="42"/>
  <c r="AW383" i="42" s="1"/>
  <c r="AX383" i="42" s="1"/>
  <c r="CX811" i="20"/>
  <c r="AX380" i="42"/>
  <c r="AW387" i="42"/>
  <c r="AW385" i="42" s="1"/>
  <c r="BM143" i="49"/>
  <c r="CW433" i="10"/>
  <c r="CZ433" i="10" s="1"/>
  <c r="CW432" i="10"/>
  <c r="CZ432" i="10" s="1"/>
  <c r="CT291" i="49"/>
  <c r="CP303" i="49"/>
  <c r="CP306" i="49" s="1"/>
  <c r="CP344" i="49"/>
  <c r="CW430" i="10"/>
  <c r="CZ430" i="10" s="1"/>
  <c r="CW434" i="10"/>
  <c r="CZ434" i="10" s="1"/>
  <c r="CT188" i="49"/>
  <c r="CP200" i="49"/>
  <c r="CP203" i="49" s="1"/>
  <c r="CP241" i="49"/>
  <c r="DA431" i="10"/>
  <c r="DD431" i="10" s="1"/>
  <c r="AR275" i="42"/>
  <c r="AT446" i="42"/>
  <c r="AR447" i="42"/>
  <c r="EQ36" i="41"/>
  <c r="DL896" i="20"/>
  <c r="DL890" i="20"/>
  <c r="DA299" i="10"/>
  <c r="DM905" i="20"/>
  <c r="DM878" i="20"/>
  <c r="DM882" i="20" s="1"/>
  <c r="DN901" i="20"/>
  <c r="DB299" i="49"/>
  <c r="CX342" i="49"/>
  <c r="AS50" i="43"/>
  <c r="AV446" i="42"/>
  <c r="BN140" i="49"/>
  <c r="BN540" i="42"/>
  <c r="BN139" i="49" s="1"/>
  <c r="BQ1" i="43"/>
  <c r="BT2" i="43"/>
  <c r="CE6" i="49"/>
  <c r="D67" i="78"/>
  <c r="CT230" i="49"/>
  <c r="DB196" i="49"/>
  <c r="CX239" i="49"/>
  <c r="BP140" i="49"/>
  <c r="BP142" i="49" s="1"/>
  <c r="BP551" i="42"/>
  <c r="BP554" i="42" s="1"/>
  <c r="BP555" i="42" s="1"/>
  <c r="BP540" i="42"/>
  <c r="BP139" i="49" s="1"/>
  <c r="DA809" i="20"/>
  <c r="DA814" i="20"/>
  <c r="EI7" i="41"/>
  <c r="BD71" i="41"/>
  <c r="AV71" i="41"/>
  <c r="EA7" i="41"/>
  <c r="BL172" i="10"/>
  <c r="BL769" i="10"/>
  <c r="BL69" i="10"/>
  <c r="BL70" i="10" s="1"/>
  <c r="BL171" i="10"/>
  <c r="BL767" i="10"/>
  <c r="BL67" i="10"/>
  <c r="BL168" i="10"/>
  <c r="BL763" i="10"/>
  <c r="BL764" i="10"/>
  <c r="BL766" i="10"/>
  <c r="BL1080" i="10"/>
  <c r="BL170" i="10"/>
  <c r="BL169" i="10"/>
  <c r="BL176" i="10"/>
  <c r="BL174" i="10"/>
  <c r="BL425" i="10"/>
  <c r="BL175" i="10"/>
  <c r="BL765" i="10"/>
  <c r="BL770" i="10"/>
  <c r="BL1085" i="10"/>
  <c r="BL474" i="10"/>
  <c r="BL1086" i="10"/>
  <c r="BL1089" i="10" s="1"/>
  <c r="BL1091" i="10" s="1"/>
  <c r="BL1092" i="10" s="1"/>
  <c r="BL1093" i="10" s="1"/>
  <c r="BL1096" i="10" s="1"/>
  <c r="BL771" i="10"/>
  <c r="BL473" i="10"/>
  <c r="CZ809" i="20"/>
  <c r="CZ814" i="20"/>
  <c r="DB803" i="20"/>
  <c r="DB814" i="20" s="1"/>
  <c r="CW428" i="10"/>
  <c r="CZ428" i="10" s="1"/>
  <c r="CW436" i="10"/>
  <c r="CZ436" i="10" s="1"/>
  <c r="DD838" i="20"/>
  <c r="DD798" i="20"/>
  <c r="DD834" i="20"/>
  <c r="DI894" i="20"/>
  <c r="DI888" i="20"/>
  <c r="DJ888" i="20" s="1"/>
  <c r="DJ896" i="20" s="1"/>
  <c r="BZ13" i="49"/>
  <c r="CA13" i="49" s="1"/>
  <c r="BZ223" i="49"/>
  <c r="BZ19" i="49" s="1"/>
  <c r="BJ700" i="10"/>
  <c r="BJ1100" i="10"/>
  <c r="BJ777" i="20"/>
  <c r="BJ1101" i="10"/>
  <c r="BJ1097" i="10"/>
  <c r="BV230" i="49"/>
  <c r="BU228" i="49"/>
  <c r="CA34" i="43"/>
  <c r="AF27" i="41"/>
  <c r="CL334" i="49"/>
  <c r="CL32" i="49" s="1"/>
  <c r="CL27" i="49"/>
  <c r="BY253" i="42"/>
  <c r="BX255" i="42"/>
  <c r="DS7" i="41"/>
  <c r="P71" i="41"/>
  <c r="CU7" i="41"/>
  <c r="CX299" i="49"/>
  <c r="CT342" i="49"/>
  <c r="EE7" i="41"/>
  <c r="AZ71" i="41"/>
  <c r="DI113" i="42"/>
  <c r="DI407" i="42"/>
  <c r="DI406" i="42" s="1"/>
  <c r="BT1" i="42"/>
  <c r="BT2" i="42" s="1"/>
  <c r="BU3" i="42"/>
  <c r="CD223" i="49"/>
  <c r="CD19" i="49" s="1"/>
  <c r="CD13" i="49"/>
  <c r="CI13" i="49" s="1"/>
  <c r="CX196" i="49"/>
  <c r="CT239" i="49"/>
  <c r="CH333" i="49"/>
  <c r="AP54" i="43"/>
  <c r="AP50" i="43"/>
  <c r="BH779" i="20"/>
  <c r="BH776" i="20"/>
  <c r="BH778" i="20" s="1"/>
  <c r="DJ22" i="46"/>
  <c r="BS68" i="51"/>
  <c r="DJ509" i="42"/>
  <c r="DJ100" i="42"/>
  <c r="BP547" i="42"/>
  <c r="CD228" i="49"/>
  <c r="CD235" i="49"/>
  <c r="CD239" i="49" s="1"/>
  <c r="T71" i="41"/>
  <c r="CW429" i="10"/>
  <c r="CZ429" i="10" s="1"/>
  <c r="CH230" i="49"/>
  <c r="CP333" i="49"/>
  <c r="DB798" i="20"/>
  <c r="DC798" i="20" s="1"/>
  <c r="CD429" i="42"/>
  <c r="CD439" i="42" s="1"/>
  <c r="CD424" i="42"/>
  <c r="DD847" i="20"/>
  <c r="DD806" i="20"/>
  <c r="DD844" i="20"/>
  <c r="DD849" i="20" s="1"/>
  <c r="DE836" i="20"/>
  <c r="DE830" i="20"/>
  <c r="DE842" i="20"/>
  <c r="DF842" i="20" s="1"/>
  <c r="BI700" i="10"/>
  <c r="BI1100" i="10"/>
  <c r="BI1101" i="10"/>
  <c r="BI777" i="20"/>
  <c r="BI1097" i="10"/>
  <c r="CP230" i="49"/>
  <c r="BQ1" i="20"/>
  <c r="BT2" i="20"/>
  <c r="EQ38" i="41"/>
  <c r="EP38" i="41"/>
  <c r="DD891" i="20"/>
  <c r="CW435" i="10"/>
  <c r="CZ435" i="10" s="1"/>
  <c r="CT333" i="49"/>
  <c r="BQ2" i="42"/>
  <c r="BR1" i="42"/>
  <c r="BR2" i="42" s="1"/>
  <c r="CE34" i="43"/>
  <c r="AJ27" i="41"/>
  <c r="AT46" i="43"/>
  <c r="AT50" i="43" s="1"/>
  <c r="AT48" i="43"/>
  <c r="AT51" i="43"/>
  <c r="BN143" i="49"/>
  <c r="BN1105" i="10"/>
  <c r="DG7" i="41"/>
  <c r="AB71" i="41"/>
  <c r="AP271" i="42"/>
  <c r="AN276" i="42"/>
  <c r="AP276" i="42" s="1"/>
  <c r="DL402" i="42"/>
  <c r="DN399" i="42"/>
  <c r="DN402" i="42" s="1"/>
  <c r="DP399" i="42" s="1"/>
  <c r="BM140" i="49"/>
  <c r="BM142" i="49" s="1"/>
  <c r="BM540" i="42"/>
  <c r="BM139" i="49" s="1"/>
  <c r="BR1" i="10"/>
  <c r="BQ390" i="10"/>
  <c r="BQ394" i="10"/>
  <c r="BQ392" i="10"/>
  <c r="BQ395" i="10"/>
  <c r="BQ391" i="10"/>
  <c r="BQ393" i="10"/>
  <c r="CD331" i="49"/>
  <c r="CD338" i="49"/>
  <c r="CD342" i="49" s="1"/>
  <c r="DW7" i="41"/>
  <c r="AR71" i="41"/>
  <c r="BN766" i="10"/>
  <c r="BN767" i="10"/>
  <c r="BN764" i="10"/>
  <c r="BN763" i="10"/>
  <c r="BN769" i="10"/>
  <c r="BN69" i="10"/>
  <c r="BN176" i="10"/>
  <c r="BN67" i="10"/>
  <c r="BN174" i="10"/>
  <c r="BN425" i="10"/>
  <c r="BN175" i="10"/>
  <c r="BN765" i="10"/>
  <c r="BN1085" i="10"/>
  <c r="BN473" i="10"/>
  <c r="BN474" i="10"/>
  <c r="BN771" i="10"/>
  <c r="BN770" i="10"/>
  <c r="BN1086" i="10"/>
  <c r="BN1089" i="10" s="1"/>
  <c r="BL339" i="42"/>
  <c r="BJ344" i="42"/>
  <c r="BI345" i="42"/>
  <c r="BJ345" i="42" s="1"/>
  <c r="BZ235" i="49"/>
  <c r="BZ239" i="49" s="1"/>
  <c r="CT299" i="49"/>
  <c r="CP342" i="49"/>
  <c r="DB808" i="20"/>
  <c r="DB815" i="20" s="1"/>
  <c r="CZ815" i="20"/>
  <c r="DC7" i="41"/>
  <c r="X71" i="41"/>
  <c r="BV333" i="49"/>
  <c r="BU331" i="49"/>
  <c r="BX331" i="49" s="1"/>
  <c r="BY331" i="49" s="1"/>
  <c r="CB331" i="49" s="1"/>
  <c r="BZ333" i="49"/>
  <c r="DF828" i="20"/>
  <c r="DF836" i="20" s="1"/>
  <c r="BZ326" i="49"/>
  <c r="BZ31" i="49" s="1"/>
  <c r="BZ25" i="49"/>
  <c r="CA25" i="49" s="1"/>
  <c r="DB890" i="20"/>
  <c r="CT196" i="49"/>
  <c r="CP239" i="49"/>
  <c r="CL15" i="49"/>
  <c r="CL231" i="49"/>
  <c r="CL20" i="49" s="1"/>
  <c r="DB239" i="49"/>
  <c r="CM25" i="49"/>
  <c r="CQ25" i="49"/>
  <c r="CD197" i="49"/>
  <c r="CD300" i="49"/>
  <c r="CX333" i="49"/>
  <c r="CY23" i="41"/>
  <c r="CM13" i="49"/>
  <c r="CQ13" i="49"/>
  <c r="DG882" i="20"/>
  <c r="DF894" i="20"/>
  <c r="CD25" i="49"/>
  <c r="CD326" i="49"/>
  <c r="CD31" i="49" s="1"/>
  <c r="CI6" i="49"/>
  <c r="AX412" i="42"/>
  <c r="AZ411" i="42"/>
  <c r="BH702" i="10"/>
  <c r="BH701" i="10"/>
  <c r="CX230" i="49"/>
  <c r="CG425" i="42"/>
  <c r="CJ424" i="42"/>
  <c r="BT1" i="10"/>
  <c r="BU3" i="10"/>
  <c r="BM69" i="10"/>
  <c r="BM171" i="10"/>
  <c r="BM763" i="10"/>
  <c r="BM764" i="10"/>
  <c r="BM766" i="10"/>
  <c r="BM170" i="10"/>
  <c r="BM769" i="10"/>
  <c r="BM172" i="10"/>
  <c r="BM767" i="10"/>
  <c r="BM169" i="10"/>
  <c r="BM67" i="10"/>
  <c r="BM1080" i="10"/>
  <c r="BM168" i="10"/>
  <c r="BM174" i="10"/>
  <c r="BM425" i="10"/>
  <c r="BM474" i="10"/>
  <c r="BM176" i="10"/>
  <c r="BM765" i="10"/>
  <c r="BM175" i="10"/>
  <c r="BM1085" i="10"/>
  <c r="BM473" i="10"/>
  <c r="BM771" i="10"/>
  <c r="BM770" i="10"/>
  <c r="BM1086" i="10"/>
  <c r="BM1089" i="10" s="1"/>
  <c r="BM1091" i="10" s="1"/>
  <c r="BM1092" i="10" s="1"/>
  <c r="DE896" i="20"/>
  <c r="DE890" i="20"/>
  <c r="DE891" i="20" s="1"/>
  <c r="BZ230" i="49"/>
  <c r="BX228" i="49"/>
  <c r="BY228" i="49" s="1"/>
  <c r="DJ882" i="20"/>
  <c r="EM7" i="41"/>
  <c r="BH71" i="41"/>
  <c r="DB806" i="20"/>
  <c r="DB342" i="49"/>
  <c r="DE431" i="10" l="1"/>
  <c r="DH431" i="10" s="1"/>
  <c r="DH798" i="20"/>
  <c r="DH803" i="20" s="1"/>
  <c r="DH838" i="20"/>
  <c r="DH834" i="20"/>
  <c r="DH299" i="10"/>
  <c r="DH806" i="20"/>
  <c r="DH808" i="20" s="1"/>
  <c r="DH847" i="20"/>
  <c r="DH844" i="20"/>
  <c r="DH849" i="20" s="1"/>
  <c r="BN556" i="42"/>
  <c r="CY22" i="41"/>
  <c r="DR399" i="42"/>
  <c r="DR402" i="42" s="1"/>
  <c r="DP402" i="42"/>
  <c r="DQ14" i="46"/>
  <c r="DQ261" i="42"/>
  <c r="DQ272" i="42"/>
  <c r="DR272" i="42" s="1"/>
  <c r="DR94" i="49" s="1"/>
  <c r="DR361" i="42"/>
  <c r="DR362" i="42" s="1"/>
  <c r="DR105" i="42" s="1"/>
  <c r="DR15" i="46"/>
  <c r="DR262" i="42"/>
  <c r="DQ15" i="46"/>
  <c r="DQ262" i="42"/>
  <c r="DR905" i="20"/>
  <c r="DR878" i="20"/>
  <c r="DP894" i="20"/>
  <c r="DP888" i="20"/>
  <c r="DR882" i="20"/>
  <c r="DQ894" i="20"/>
  <c r="DQ888" i="20"/>
  <c r="DE299" i="10"/>
  <c r="DJ829" i="20"/>
  <c r="DJ837" i="20" s="1"/>
  <c r="DL829" i="20"/>
  <c r="DI837" i="20"/>
  <c r="BZ197" i="49"/>
  <c r="BZ300" i="49"/>
  <c r="BM70" i="10"/>
  <c r="CE13" i="49"/>
  <c r="CE25" i="49"/>
  <c r="AX387" i="42"/>
  <c r="AX385" i="42" s="1"/>
  <c r="AZ380" i="42"/>
  <c r="DA430" i="10"/>
  <c r="DD430" i="10" s="1"/>
  <c r="DA435" i="10"/>
  <c r="DD435" i="10" s="1"/>
  <c r="DA436" i="10"/>
  <c r="DD436" i="10" s="1"/>
  <c r="BT390" i="10"/>
  <c r="BT394" i="10"/>
  <c r="BT392" i="10"/>
  <c r="BT395" i="10"/>
  <c r="BT393" i="10"/>
  <c r="BT391" i="10"/>
  <c r="CH425" i="42"/>
  <c r="CG429" i="42"/>
  <c r="CG439" i="42" s="1"/>
  <c r="CI25" i="49"/>
  <c r="DO7" i="41"/>
  <c r="AJ71" i="41"/>
  <c r="BR541" i="42"/>
  <c r="BR547" i="42" s="1"/>
  <c r="BR450" i="42"/>
  <c r="BR546" i="42"/>
  <c r="BI702" i="10"/>
  <c r="BI701" i="10"/>
  <c r="DE834" i="20"/>
  <c r="DE798" i="20"/>
  <c r="DE803" i="20" s="1"/>
  <c r="DE838" i="20"/>
  <c r="CP27" i="49"/>
  <c r="CQ27" i="49" s="1"/>
  <c r="CP334" i="49"/>
  <c r="CP32" i="49" s="1"/>
  <c r="CD230" i="49"/>
  <c r="CB228" i="49"/>
  <c r="CF228" i="49" s="1"/>
  <c r="BP143" i="49"/>
  <c r="BP1105" i="10"/>
  <c r="CH27" i="49"/>
  <c r="CM27" i="49" s="1"/>
  <c r="CH334" i="49"/>
  <c r="CH32" i="49" s="1"/>
  <c r="DI22" i="46"/>
  <c r="DI35" i="46" s="1"/>
  <c r="DJ35" i="46" s="1"/>
  <c r="DI509" i="42"/>
  <c r="DI100" i="42"/>
  <c r="BJ702" i="10"/>
  <c r="BJ701" i="10"/>
  <c r="DA428" i="10"/>
  <c r="DD428" i="10" s="1"/>
  <c r="CT15" i="49"/>
  <c r="CT231" i="49"/>
  <c r="CT20" i="49" s="1"/>
  <c r="BN346" i="49"/>
  <c r="BN243" i="49"/>
  <c r="BN142" i="49"/>
  <c r="AT275" i="42"/>
  <c r="AR271" i="42"/>
  <c r="DA433" i="10"/>
  <c r="DD433" i="10" s="1"/>
  <c r="BM1093" i="10"/>
  <c r="BM1096" i="10" s="1"/>
  <c r="BN1092" i="10"/>
  <c r="BN1093" i="10" s="1"/>
  <c r="BN1096" i="10" s="1"/>
  <c r="CX27" i="49"/>
  <c r="CX334" i="49"/>
  <c r="CX32" i="49" s="1"/>
  <c r="BQ2" i="10"/>
  <c r="BQ259" i="10" s="1"/>
  <c r="BR2" i="10"/>
  <c r="BR259" i="10" s="1"/>
  <c r="BP2" i="10"/>
  <c r="BP259" i="10" s="1"/>
  <c r="BR394" i="10"/>
  <c r="BR172" i="10"/>
  <c r="BR170" i="10"/>
  <c r="BR392" i="10"/>
  <c r="BR390" i="10"/>
  <c r="BR169" i="10"/>
  <c r="BR168" i="10"/>
  <c r="BR395" i="10"/>
  <c r="BR391" i="10"/>
  <c r="BR393" i="10"/>
  <c r="BR171" i="10"/>
  <c r="DG83" i="46"/>
  <c r="BQ541" i="42"/>
  <c r="BQ547" i="42" s="1"/>
  <c r="BQ450" i="42"/>
  <c r="BQ546" i="42"/>
  <c r="DF890" i="20"/>
  <c r="BT1" i="20"/>
  <c r="BU2" i="20"/>
  <c r="BI776" i="20"/>
  <c r="BI778" i="20" s="1"/>
  <c r="BI779" i="20"/>
  <c r="DD808" i="20"/>
  <c r="BX3" i="42"/>
  <c r="BU1" i="42"/>
  <c r="CB253" i="42"/>
  <c r="BY255" i="42"/>
  <c r="DI896" i="20"/>
  <c r="DI890" i="20"/>
  <c r="DI891" i="20" s="1"/>
  <c r="DF830" i="20"/>
  <c r="DF838" i="20" s="1"/>
  <c r="BL700" i="10"/>
  <c r="BL1101" i="10"/>
  <c r="BL1100" i="10"/>
  <c r="BL777" i="20"/>
  <c r="BL1097" i="10"/>
  <c r="DA811" i="20"/>
  <c r="DA816" i="20"/>
  <c r="D69" i="78"/>
  <c r="D75" i="78"/>
  <c r="DN878" i="20"/>
  <c r="DO878" i="20" s="1"/>
  <c r="DN905" i="20"/>
  <c r="DL891" i="20"/>
  <c r="DA434" i="10"/>
  <c r="DD434" i="10" s="1"/>
  <c r="DA432" i="10"/>
  <c r="DD432" i="10" s="1"/>
  <c r="BZ231" i="49"/>
  <c r="BZ20" i="49" s="1"/>
  <c r="BZ15" i="49"/>
  <c r="CX231" i="49"/>
  <c r="CX20" i="49" s="1"/>
  <c r="CX15" i="49"/>
  <c r="AZ413" i="42"/>
  <c r="AZ412" i="42"/>
  <c r="BA412" i="42" s="1"/>
  <c r="BA411" i="42" s="1"/>
  <c r="BN339" i="42"/>
  <c r="BL344" i="42"/>
  <c r="CD333" i="49"/>
  <c r="CC331" i="49"/>
  <c r="CF331" i="49" s="1"/>
  <c r="CG331" i="49" s="1"/>
  <c r="CJ331" i="49" s="1"/>
  <c r="CK331" i="49" s="1"/>
  <c r="CN331" i="49" s="1"/>
  <c r="CO331" i="49" s="1"/>
  <c r="CR331" i="49" s="1"/>
  <c r="CS331" i="49" s="1"/>
  <c r="CV331" i="49" s="1"/>
  <c r="CW331" i="49" s="1"/>
  <c r="CZ331" i="49" s="1"/>
  <c r="DN113" i="42"/>
  <c r="BW68" i="51" s="1"/>
  <c r="DN407" i="42"/>
  <c r="DN406" i="42" s="1"/>
  <c r="CT334" i="49"/>
  <c r="CT32" i="49" s="1"/>
  <c r="CT27" i="49"/>
  <c r="CP15" i="49"/>
  <c r="CQ15" i="49" s="1"/>
  <c r="CP231" i="49"/>
  <c r="CP20" i="49" s="1"/>
  <c r="DE806" i="20"/>
  <c r="DE808" i="20" s="1"/>
  <c r="DE815" i="20" s="1"/>
  <c r="DE847" i="20"/>
  <c r="DE844" i="20"/>
  <c r="DE849" i="20" s="1"/>
  <c r="CH15" i="49"/>
  <c r="CM15" i="49" s="1"/>
  <c r="CH231" i="49"/>
  <c r="CH20" i="49" s="1"/>
  <c r="DA429" i="10"/>
  <c r="DD429" i="10" s="1"/>
  <c r="BT541" i="42"/>
  <c r="BT546" i="42"/>
  <c r="BT450" i="42"/>
  <c r="AN71" i="41"/>
  <c r="AF71" i="41"/>
  <c r="DK7" i="41"/>
  <c r="BJ779" i="20"/>
  <c r="BJ776" i="20"/>
  <c r="BJ778" i="20" s="1"/>
  <c r="DM888" i="20"/>
  <c r="DM894" i="20"/>
  <c r="DN882" i="20"/>
  <c r="AR450" i="42"/>
  <c r="AT447" i="42"/>
  <c r="AT450" i="42" s="1"/>
  <c r="CP207" i="49"/>
  <c r="CT190" i="49" s="1"/>
  <c r="CP205" i="49"/>
  <c r="CT189" i="49" s="1"/>
  <c r="CP310" i="49"/>
  <c r="CT293" i="49" s="1"/>
  <c r="CP308" i="49"/>
  <c r="CT292" i="49" s="1"/>
  <c r="DK882" i="20"/>
  <c r="DJ894" i="20"/>
  <c r="BX3" i="10"/>
  <c r="BU1" i="10"/>
  <c r="CJ425" i="42"/>
  <c r="CJ429" i="42" s="1"/>
  <c r="CJ439" i="42" s="1"/>
  <c r="CK424" i="42"/>
  <c r="DC890" i="20"/>
  <c r="DB891" i="20"/>
  <c r="DC891" i="20" s="1"/>
  <c r="BZ27" i="49"/>
  <c r="BZ334" i="49"/>
  <c r="BZ32" i="49" s="1"/>
  <c r="BV334" i="49"/>
  <c r="BV32" i="49" s="1"/>
  <c r="BV27" i="49"/>
  <c r="BW27" i="49" s="1"/>
  <c r="DL113" i="42"/>
  <c r="DM399" i="42"/>
  <c r="DM402" i="42" s="1"/>
  <c r="DL407" i="42"/>
  <c r="DL406" i="42" s="1"/>
  <c r="DI828" i="20"/>
  <c r="DJ828" i="20" s="1"/>
  <c r="DJ836" i="20" s="1"/>
  <c r="DF847" i="20"/>
  <c r="DF851" i="20"/>
  <c r="DF844" i="20"/>
  <c r="DF849" i="20" s="1"/>
  <c r="BV15" i="49"/>
  <c r="BW15" i="49" s="1"/>
  <c r="BV231" i="49"/>
  <c r="BV20" i="49" s="1"/>
  <c r="DD803" i="20"/>
  <c r="CZ811" i="20"/>
  <c r="DB809" i="20"/>
  <c r="DB816" i="20" s="1"/>
  <c r="CZ816" i="20"/>
  <c r="BT1" i="43"/>
  <c r="BU2" i="43"/>
  <c r="BN345" i="49"/>
  <c r="BN242" i="49"/>
  <c r="AV275" i="42"/>
  <c r="AV447" i="42"/>
  <c r="AX446" i="42"/>
  <c r="DE432" i="10" l="1"/>
  <c r="DH432" i="10" s="1"/>
  <c r="DE430" i="10"/>
  <c r="DH430" i="10" s="1"/>
  <c r="DE434" i="10"/>
  <c r="DH434" i="10" s="1"/>
  <c r="DH815" i="20"/>
  <c r="DE429" i="10"/>
  <c r="DH429" i="10" s="1"/>
  <c r="DH809" i="20"/>
  <c r="DH814" i="20"/>
  <c r="DE436" i="10"/>
  <c r="DH436" i="10" s="1"/>
  <c r="DE433" i="10"/>
  <c r="DH433" i="10" s="1"/>
  <c r="DE428" i="10"/>
  <c r="DH428" i="10" s="1"/>
  <c r="DE435" i="10"/>
  <c r="DH435" i="10" s="1"/>
  <c r="DR296" i="49"/>
  <c r="DR193" i="49"/>
  <c r="DR14" i="46"/>
  <c r="DR261" i="42"/>
  <c r="DQ399" i="42"/>
  <c r="DQ402" i="42" s="1"/>
  <c r="DP407" i="42"/>
  <c r="DP406" i="42" s="1"/>
  <c r="DP113" i="42"/>
  <c r="DR407" i="42"/>
  <c r="DR406" i="42" s="1"/>
  <c r="DR113" i="42"/>
  <c r="DQ896" i="20"/>
  <c r="DQ890" i="20"/>
  <c r="DQ891" i="20" s="1"/>
  <c r="DS882" i="20"/>
  <c r="DR894" i="20"/>
  <c r="DR888" i="20"/>
  <c r="DP896" i="20"/>
  <c r="DP890" i="20"/>
  <c r="DS878" i="20"/>
  <c r="DF798" i="20"/>
  <c r="DG798" i="20" s="1"/>
  <c r="CC228" i="49"/>
  <c r="DB811" i="20"/>
  <c r="DM829" i="20"/>
  <c r="DP829" i="20" s="1"/>
  <c r="DL837" i="20"/>
  <c r="CY15" i="49"/>
  <c r="CU27" i="49"/>
  <c r="BA380" i="42"/>
  <c r="AZ382" i="42"/>
  <c r="AZ387" i="42"/>
  <c r="AZ385" i="42" s="1"/>
  <c r="DI431" i="10"/>
  <c r="DL431" i="10" s="1"/>
  <c r="BX1" i="10"/>
  <c r="BY3" i="10"/>
  <c r="DM896" i="20"/>
  <c r="DM890" i="20"/>
  <c r="DN888" i="20"/>
  <c r="DN896" i="20" s="1"/>
  <c r="BT140" i="49"/>
  <c r="BT142" i="49" s="1"/>
  <c r="BT540" i="42"/>
  <c r="BT139" i="49" s="1"/>
  <c r="BT551" i="42"/>
  <c r="BT554" i="42" s="1"/>
  <c r="BT555" i="42" s="1"/>
  <c r="BL345" i="42"/>
  <c r="BM339" i="42"/>
  <c r="BM344" i="42" s="1"/>
  <c r="D71" i="78"/>
  <c r="D57" i="78" s="1"/>
  <c r="D77" i="78"/>
  <c r="D81" i="78" s="1"/>
  <c r="D59" i="78" s="1"/>
  <c r="AT271" i="42"/>
  <c r="AR276" i="42"/>
  <c r="AT276" i="42" s="1"/>
  <c r="BR143" i="49"/>
  <c r="BR1105" i="10"/>
  <c r="AV450" i="42"/>
  <c r="AX447" i="42"/>
  <c r="AX450" i="42" s="1"/>
  <c r="BU1" i="43"/>
  <c r="BX2" i="43"/>
  <c r="DI842" i="20"/>
  <c r="DJ842" i="20" s="1"/>
  <c r="DI830" i="20"/>
  <c r="DJ830" i="20" s="1"/>
  <c r="DJ838" i="20" s="1"/>
  <c r="DL828" i="20"/>
  <c r="DI836" i="20"/>
  <c r="CA27" i="49"/>
  <c r="CK425" i="42"/>
  <c r="CN424" i="42"/>
  <c r="CT197" i="49"/>
  <c r="CT198" i="49" s="1"/>
  <c r="BT547" i="42"/>
  <c r="BA413" i="42"/>
  <c r="BB413" i="42" s="1"/>
  <c r="BB411" i="42"/>
  <c r="CA15" i="49"/>
  <c r="BL702" i="10"/>
  <c r="BL701" i="10"/>
  <c r="DF808" i="20"/>
  <c r="DF815" i="20" s="1"/>
  <c r="DD815" i="20"/>
  <c r="BU1" i="20"/>
  <c r="BV1" i="20" s="1"/>
  <c r="BX2" i="20"/>
  <c r="BQ143" i="49"/>
  <c r="BQ1105" i="10"/>
  <c r="BP67" i="10"/>
  <c r="BP169" i="10"/>
  <c r="BP170" i="10"/>
  <c r="BP172" i="10"/>
  <c r="BP767" i="10"/>
  <c r="BP69" i="10"/>
  <c r="BP70" i="10" s="1"/>
  <c r="BP763" i="10"/>
  <c r="BP764" i="10"/>
  <c r="BP766" i="10"/>
  <c r="BP769" i="10"/>
  <c r="BP168" i="10"/>
  <c r="BP176" i="10"/>
  <c r="BP1080" i="10"/>
  <c r="BP175" i="10"/>
  <c r="BP425" i="10"/>
  <c r="BP171" i="10"/>
  <c r="BP765" i="10"/>
  <c r="BP1085" i="10"/>
  <c r="BP174" i="10"/>
  <c r="BP770" i="10"/>
  <c r="BP771" i="10"/>
  <c r="BP474" i="10"/>
  <c r="BP1086" i="10"/>
  <c r="BP1089" i="10" s="1"/>
  <c r="BP1091" i="10" s="1"/>
  <c r="BP1092" i="10" s="1"/>
  <c r="BP1093" i="10" s="1"/>
  <c r="BP1096" i="10" s="1"/>
  <c r="BP473" i="10"/>
  <c r="BN700" i="10"/>
  <c r="BN1100" i="10"/>
  <c r="BN1101" i="10"/>
  <c r="BN777" i="20"/>
  <c r="BN1097" i="10"/>
  <c r="DJ890" i="20"/>
  <c r="DC23" i="41"/>
  <c r="CH424" i="42"/>
  <c r="CH429" i="42"/>
  <c r="CH439" i="42" s="1"/>
  <c r="AX275" i="42"/>
  <c r="AV271" i="42"/>
  <c r="DF803" i="20"/>
  <c r="DF814" i="20" s="1"/>
  <c r="DD809" i="20"/>
  <c r="DD814" i="20"/>
  <c r="DM113" i="42"/>
  <c r="DM407" i="42"/>
  <c r="DM406" i="42" s="1"/>
  <c r="DO882" i="20"/>
  <c r="DN894" i="20"/>
  <c r="BL776" i="20"/>
  <c r="BL778" i="20" s="1"/>
  <c r="BL779" i="20"/>
  <c r="CB255" i="42"/>
  <c r="CC253" i="42"/>
  <c r="BV1" i="42"/>
  <c r="BV2" i="42" s="1"/>
  <c r="BU2" i="42"/>
  <c r="DF806" i="20"/>
  <c r="BR763" i="10"/>
  <c r="BR764" i="10"/>
  <c r="BR769" i="10"/>
  <c r="BR69" i="10"/>
  <c r="BR67" i="10"/>
  <c r="BR767" i="10"/>
  <c r="BR766" i="10"/>
  <c r="BR176" i="10"/>
  <c r="BR175" i="10"/>
  <c r="BR425" i="10"/>
  <c r="BR765" i="10"/>
  <c r="BR770" i="10"/>
  <c r="BR1085" i="10"/>
  <c r="BR174" i="10"/>
  <c r="BR474" i="10"/>
  <c r="BR771" i="10"/>
  <c r="BR1086" i="10"/>
  <c r="BR1089" i="10" s="1"/>
  <c r="BR473" i="10"/>
  <c r="CY27" i="49"/>
  <c r="BM700" i="10"/>
  <c r="BM1101" i="10"/>
  <c r="BM777" i="20"/>
  <c r="BM1100" i="10"/>
  <c r="BM1097" i="10"/>
  <c r="CJ228" i="49"/>
  <c r="CG228" i="49"/>
  <c r="DL100" i="42"/>
  <c r="DL22" i="46"/>
  <c r="DL35" i="46" s="1"/>
  <c r="DL509" i="42"/>
  <c r="BV1" i="10"/>
  <c r="BU390" i="10"/>
  <c r="BU394" i="10"/>
  <c r="BU395" i="10"/>
  <c r="BU393" i="10"/>
  <c r="BU392" i="10"/>
  <c r="BU391" i="10"/>
  <c r="CT300" i="49"/>
  <c r="CT301" i="49" s="1"/>
  <c r="DN22" i="46"/>
  <c r="DN509" i="42"/>
  <c r="DN100" i="42"/>
  <c r="CD334" i="49"/>
  <c r="CD32" i="49" s="1"/>
  <c r="CD27" i="49"/>
  <c r="CE27" i="49" s="1"/>
  <c r="BX1" i="42"/>
  <c r="BX2" i="42" s="1"/>
  <c r="BY3" i="42"/>
  <c r="DG890" i="20"/>
  <c r="DF891" i="20"/>
  <c r="DG891" i="20" s="1"/>
  <c r="BQ140" i="49"/>
  <c r="BQ142" i="49" s="1"/>
  <c r="BQ551" i="42"/>
  <c r="BQ554" i="42" s="1"/>
  <c r="BQ555" i="42" s="1"/>
  <c r="BQ540" i="42"/>
  <c r="BQ139" i="49" s="1"/>
  <c r="BQ172" i="10"/>
  <c r="BQ67" i="10"/>
  <c r="BQ769" i="10"/>
  <c r="BQ767" i="10"/>
  <c r="BQ69" i="10"/>
  <c r="BQ171" i="10"/>
  <c r="BQ763" i="10"/>
  <c r="BQ764" i="10"/>
  <c r="BQ766" i="10"/>
  <c r="BQ170" i="10"/>
  <c r="BQ168" i="10"/>
  <c r="BQ176" i="10"/>
  <c r="BQ1080" i="10"/>
  <c r="BQ169" i="10"/>
  <c r="BQ765" i="10"/>
  <c r="BQ1086" i="10"/>
  <c r="BQ1089" i="10" s="1"/>
  <c r="BQ1091" i="10" s="1"/>
  <c r="BQ1092" i="10" s="1"/>
  <c r="BQ474" i="10"/>
  <c r="BQ174" i="10"/>
  <c r="BQ425" i="10"/>
  <c r="BQ175" i="10"/>
  <c r="BQ771" i="10"/>
  <c r="BQ770" i="10"/>
  <c r="BQ1085" i="10"/>
  <c r="BQ473" i="10"/>
  <c r="BN9" i="49"/>
  <c r="BO9" i="49" s="1"/>
  <c r="BN245" i="49"/>
  <c r="BN16" i="49" s="1"/>
  <c r="BO16" i="49" s="1"/>
  <c r="BN348" i="49"/>
  <c r="BN28" i="49" s="1"/>
  <c r="BO28" i="49" s="1"/>
  <c r="CU15" i="49"/>
  <c r="CD15" i="49"/>
  <c r="CE15" i="49" s="1"/>
  <c r="CD231" i="49"/>
  <c r="CD20" i="49" s="1"/>
  <c r="DE809" i="20"/>
  <c r="DE814" i="20"/>
  <c r="BR140" i="49"/>
  <c r="BR540" i="42"/>
  <c r="BR139" i="49" s="1"/>
  <c r="BR551" i="42"/>
  <c r="BR554" i="42" s="1"/>
  <c r="BR555" i="42" s="1"/>
  <c r="BR556" i="42" s="1"/>
  <c r="DH816" i="20" l="1"/>
  <c r="DH811" i="20"/>
  <c r="DP22" i="46"/>
  <c r="DP35" i="46" s="1"/>
  <c r="DP509" i="42"/>
  <c r="DP100" i="42"/>
  <c r="DQ407" i="42"/>
  <c r="DQ406" i="42" s="1"/>
  <c r="DQ113" i="42"/>
  <c r="DR22" i="46"/>
  <c r="DR509" i="42"/>
  <c r="DR100" i="42"/>
  <c r="DP891" i="20"/>
  <c r="DR890" i="20"/>
  <c r="DR896" i="20"/>
  <c r="DQ829" i="20"/>
  <c r="DQ837" i="20" s="1"/>
  <c r="DP837" i="20"/>
  <c r="DM431" i="10"/>
  <c r="DP431" i="10" s="1"/>
  <c r="DQ431" i="10" s="1"/>
  <c r="DC22" i="41"/>
  <c r="BQ70" i="10"/>
  <c r="DM837" i="20"/>
  <c r="DN829" i="20"/>
  <c r="DN837" i="20" s="1"/>
  <c r="CI27" i="49"/>
  <c r="AZ383" i="42"/>
  <c r="BA383" i="42" s="1"/>
  <c r="BB383" i="42" s="1"/>
  <c r="BA382" i="42"/>
  <c r="BB382" i="42" s="1"/>
  <c r="BA387" i="42"/>
  <c r="BA385" i="42" s="1"/>
  <c r="BB380" i="42"/>
  <c r="DI429" i="10"/>
  <c r="DL429" i="10" s="1"/>
  <c r="DI435" i="10"/>
  <c r="DL435" i="10" s="1"/>
  <c r="DJ851" i="20"/>
  <c r="DJ847" i="20"/>
  <c r="DJ844" i="20"/>
  <c r="DJ849" i="20" s="1"/>
  <c r="DI428" i="10"/>
  <c r="DL428" i="10" s="1"/>
  <c r="BR242" i="49"/>
  <c r="BR345" i="49"/>
  <c r="BQ1093" i="10"/>
  <c r="BQ1096" i="10" s="1"/>
  <c r="BR1092" i="10"/>
  <c r="BR1093" i="10" s="1"/>
  <c r="BR1096" i="10" s="1"/>
  <c r="CB3" i="42"/>
  <c r="BY1" i="42"/>
  <c r="CX291" i="49"/>
  <c r="CT303" i="49"/>
  <c r="CT306" i="49" s="1"/>
  <c r="CT344" i="49"/>
  <c r="CK228" i="49"/>
  <c r="CN228" i="49"/>
  <c r="BV541" i="42"/>
  <c r="BV547" i="42" s="1"/>
  <c r="BV450" i="42"/>
  <c r="BV546" i="42"/>
  <c r="DI432" i="10"/>
  <c r="DL432" i="10" s="1"/>
  <c r="DM22" i="46"/>
  <c r="DM35" i="46" s="1"/>
  <c r="DN35" i="46" s="1"/>
  <c r="DM509" i="42"/>
  <c r="DM100" i="42"/>
  <c r="AX271" i="42"/>
  <c r="AV276" i="42"/>
  <c r="AX276" i="42" s="1"/>
  <c r="BN702" i="10"/>
  <c r="BN701" i="10"/>
  <c r="CI15" i="49"/>
  <c r="CL425" i="42"/>
  <c r="CK429" i="42"/>
  <c r="CK439" i="42" s="1"/>
  <c r="DM891" i="20"/>
  <c r="DN890" i="20"/>
  <c r="DI433" i="10"/>
  <c r="DL433" i="10" s="1"/>
  <c r="BR243" i="49"/>
  <c r="BR346" i="49"/>
  <c r="BR142" i="49"/>
  <c r="BX541" i="42"/>
  <c r="BX546" i="42"/>
  <c r="BX450" i="42"/>
  <c r="BM779" i="20"/>
  <c r="BM776" i="20"/>
  <c r="BM778" i="20" s="1"/>
  <c r="CC255" i="42"/>
  <c r="CF253" i="42"/>
  <c r="BN776" i="20"/>
  <c r="BN778" i="20" s="1"/>
  <c r="BN779" i="20"/>
  <c r="BT143" i="49"/>
  <c r="BT1105" i="10"/>
  <c r="DL830" i="20"/>
  <c r="DL836" i="20"/>
  <c r="DM828" i="20"/>
  <c r="DP828" i="20" s="1"/>
  <c r="DL842" i="20"/>
  <c r="DI430" i="10"/>
  <c r="DL430" i="10" s="1"/>
  <c r="DI436" i="10"/>
  <c r="DL436" i="10" s="1"/>
  <c r="DE811" i="20"/>
  <c r="DE816" i="20"/>
  <c r="DD811" i="20"/>
  <c r="DF809" i="20"/>
  <c r="DF816" i="20" s="1"/>
  <c r="DD816" i="20"/>
  <c r="DK890" i="20"/>
  <c r="DJ891" i="20"/>
  <c r="DK891" i="20" s="1"/>
  <c r="BP700" i="10"/>
  <c r="BP1100" i="10"/>
  <c r="BP777" i="20"/>
  <c r="BP1101" i="10"/>
  <c r="BP1097" i="10"/>
  <c r="BY2" i="20"/>
  <c r="BX1" i="20"/>
  <c r="BB412" i="42"/>
  <c r="BD411" i="42"/>
  <c r="CX188" i="49"/>
  <c r="CT200" i="49"/>
  <c r="CT203" i="49" s="1"/>
  <c r="CT241" i="49"/>
  <c r="DI798" i="20"/>
  <c r="DI803" i="20" s="1"/>
  <c r="DI838" i="20"/>
  <c r="DI834" i="20"/>
  <c r="BY1" i="10"/>
  <c r="CB3" i="10"/>
  <c r="DI434" i="10"/>
  <c r="DL434" i="10" s="1"/>
  <c r="BV2" i="10"/>
  <c r="BV259" i="10" s="1"/>
  <c r="BV172" i="10"/>
  <c r="BT2" i="10"/>
  <c r="BT259" i="10" s="1"/>
  <c r="BU2" i="10"/>
  <c r="BU259" i="10" s="1"/>
  <c r="BV171" i="10"/>
  <c r="BV168" i="10"/>
  <c r="BV390" i="10"/>
  <c r="BV170" i="10"/>
  <c r="BV394" i="10"/>
  <c r="BV169" i="10"/>
  <c r="BV392" i="10"/>
  <c r="BV393" i="10"/>
  <c r="BV395" i="10"/>
  <c r="BV391" i="10"/>
  <c r="BM702" i="10"/>
  <c r="BM701" i="10"/>
  <c r="BU541" i="42"/>
  <c r="BU547" i="42" s="1"/>
  <c r="BU546" i="42"/>
  <c r="BU450" i="42"/>
  <c r="CO424" i="42"/>
  <c r="CN425" i="42"/>
  <c r="CN429" i="42" s="1"/>
  <c r="CN439" i="42" s="1"/>
  <c r="DI847" i="20"/>
  <c r="DI806" i="20"/>
  <c r="DI808" i="20" s="1"/>
  <c r="DI815" i="20" s="1"/>
  <c r="DI844" i="20"/>
  <c r="DI849" i="20" s="1"/>
  <c r="BX1" i="43"/>
  <c r="BY2" i="43"/>
  <c r="BP339" i="42"/>
  <c r="BN344" i="42"/>
  <c r="BM345" i="42"/>
  <c r="BN345" i="42" s="1"/>
  <c r="BX390" i="10"/>
  <c r="BX394" i="10"/>
  <c r="BX392" i="10"/>
  <c r="BX395" i="10"/>
  <c r="BX391" i="10"/>
  <c r="BX393" i="10"/>
  <c r="DQ22" i="46" l="1"/>
  <c r="DQ35" i="46" s="1"/>
  <c r="DR35" i="46" s="1"/>
  <c r="DQ509" i="42"/>
  <c r="DQ100" i="42"/>
  <c r="DP830" i="20"/>
  <c r="DQ828" i="20"/>
  <c r="DP842" i="20"/>
  <c r="DP836" i="20"/>
  <c r="DR829" i="20"/>
  <c r="DR837" i="20" s="1"/>
  <c r="DR891" i="20"/>
  <c r="DS890" i="20"/>
  <c r="DM433" i="10"/>
  <c r="DP433" i="10" s="1"/>
  <c r="DQ433" i="10" s="1"/>
  <c r="DM432" i="10"/>
  <c r="DP432" i="10" s="1"/>
  <c r="DQ432" i="10" s="1"/>
  <c r="DM428" i="10"/>
  <c r="DP428" i="10" s="1"/>
  <c r="DQ428" i="10" s="1"/>
  <c r="DM434" i="10"/>
  <c r="DP434" i="10" s="1"/>
  <c r="DQ434" i="10" s="1"/>
  <c r="DM436" i="10"/>
  <c r="DP436" i="10" s="1"/>
  <c r="DQ436" i="10" s="1"/>
  <c r="DM435" i="10"/>
  <c r="DP435" i="10" s="1"/>
  <c r="DQ435" i="10" s="1"/>
  <c r="DM430" i="10"/>
  <c r="DP430" i="10" s="1"/>
  <c r="DQ430" i="10" s="1"/>
  <c r="DM429" i="10"/>
  <c r="DP429" i="10" s="1"/>
  <c r="DQ429" i="10" s="1"/>
  <c r="DJ798" i="20"/>
  <c r="DK798" i="20" s="1"/>
  <c r="BD380" i="42"/>
  <c r="BB387" i="42"/>
  <c r="BB385" i="42" s="1"/>
  <c r="DJ806" i="20"/>
  <c r="BU1105" i="10"/>
  <c r="BT67" i="10"/>
  <c r="BT69" i="10"/>
  <c r="BT70" i="10" s="1"/>
  <c r="BT172" i="10"/>
  <c r="BT358" i="10"/>
  <c r="BT767" i="10"/>
  <c r="BT763" i="10"/>
  <c r="BT764" i="10"/>
  <c r="BT766" i="10"/>
  <c r="BT174" i="10"/>
  <c r="BT359" i="10"/>
  <c r="BT362" i="10"/>
  <c r="BT769" i="10"/>
  <c r="BT168" i="10"/>
  <c r="BT171" i="10"/>
  <c r="BT361" i="10"/>
  <c r="BT1080" i="10"/>
  <c r="BT170" i="10"/>
  <c r="BT169" i="10"/>
  <c r="BT363" i="10"/>
  <c r="BT176" i="10"/>
  <c r="BT765" i="10"/>
  <c r="BT425" i="10"/>
  <c r="BT175" i="10"/>
  <c r="BT770" i="10"/>
  <c r="BT1085" i="10"/>
  <c r="BT1086" i="10"/>
  <c r="BT1089" i="10" s="1"/>
  <c r="BT1091" i="10" s="1"/>
  <c r="BT1092" i="10" s="1"/>
  <c r="BT1093" i="10" s="1"/>
  <c r="BT1096" i="10" s="1"/>
  <c r="BT771" i="10"/>
  <c r="BT474" i="10"/>
  <c r="BT473" i="10"/>
  <c r="BD412" i="42"/>
  <c r="BE412" i="42" s="1"/>
  <c r="BE411" i="42" s="1"/>
  <c r="BD413" i="42"/>
  <c r="BP702" i="10"/>
  <c r="BP701" i="10"/>
  <c r="DL806" i="20"/>
  <c r="DL847" i="20"/>
  <c r="DL844" i="20"/>
  <c r="DL849" i="20" s="1"/>
  <c r="BX540" i="42"/>
  <c r="BX551" i="42"/>
  <c r="BX554" i="42" s="1"/>
  <c r="BX555" i="42" s="1"/>
  <c r="CL424" i="42"/>
  <c r="CL429" i="42"/>
  <c r="CL439" i="42" s="1"/>
  <c r="DG23" i="41"/>
  <c r="BR700" i="10"/>
  <c r="BR1101" i="10"/>
  <c r="BR777" i="20"/>
  <c r="BR1100" i="10"/>
  <c r="BR1097" i="10"/>
  <c r="BP344" i="42"/>
  <c r="BR339" i="42"/>
  <c r="DJ803" i="20"/>
  <c r="DJ814" i="20" s="1"/>
  <c r="CO425" i="42"/>
  <c r="CR424" i="42"/>
  <c r="BU551" i="42"/>
  <c r="BU554" i="42" s="1"/>
  <c r="BU555" i="42" s="1"/>
  <c r="BU540" i="42"/>
  <c r="CC3" i="10"/>
  <c r="CB1" i="10"/>
  <c r="DF811" i="20"/>
  <c r="DM830" i="20"/>
  <c r="DN830" i="20" s="1"/>
  <c r="DN838" i="20" s="1"/>
  <c r="DM842" i="20"/>
  <c r="DN842" i="20" s="1"/>
  <c r="DM836" i="20"/>
  <c r="BR245" i="49"/>
  <c r="BR16" i="49" s="1"/>
  <c r="BS16" i="49" s="1"/>
  <c r="BR348" i="49"/>
  <c r="BR28" i="49" s="1"/>
  <c r="BS28" i="49" s="1"/>
  <c r="BR9" i="49"/>
  <c r="BS9" i="49" s="1"/>
  <c r="DO890" i="20"/>
  <c r="DN891" i="20"/>
  <c r="DO891" i="20" s="1"/>
  <c r="BQ700" i="10"/>
  <c r="BQ1101" i="10"/>
  <c r="BQ1100" i="10"/>
  <c r="BQ777" i="20"/>
  <c r="BQ1097" i="10"/>
  <c r="BV359" i="10"/>
  <c r="BV362" i="10"/>
  <c r="BV69" i="10"/>
  <c r="BV361" i="10"/>
  <c r="BV358" i="10"/>
  <c r="BV763" i="10"/>
  <c r="BV767" i="10"/>
  <c r="BV769" i="10"/>
  <c r="BV764" i="10"/>
  <c r="BV766" i="10"/>
  <c r="BV67" i="10"/>
  <c r="BV174" i="10"/>
  <c r="BV176" i="10"/>
  <c r="BV363" i="10"/>
  <c r="BV765" i="10"/>
  <c r="BV175" i="10"/>
  <c r="BV770" i="10"/>
  <c r="BV1085" i="10"/>
  <c r="BV425" i="10"/>
  <c r="BV771" i="10"/>
  <c r="BV1086" i="10"/>
  <c r="BV1089" i="10" s="1"/>
  <c r="BV474" i="10"/>
  <c r="BV473" i="10"/>
  <c r="BZ1" i="10"/>
  <c r="BY392" i="10"/>
  <c r="BY393" i="10"/>
  <c r="BY395" i="10"/>
  <c r="BY390" i="10"/>
  <c r="BY394" i="10"/>
  <c r="BY391" i="10"/>
  <c r="CT207" i="49"/>
  <c r="CX190" i="49" s="1"/>
  <c r="CT205" i="49"/>
  <c r="CX189" i="49" s="1"/>
  <c r="BP779" i="20"/>
  <c r="BP776" i="20"/>
  <c r="BP778" i="20" s="1"/>
  <c r="BX547" i="42"/>
  <c r="BV143" i="49"/>
  <c r="BV1105" i="10"/>
  <c r="BZ1" i="42"/>
  <c r="BZ2" i="42" s="1"/>
  <c r="BY2" i="42"/>
  <c r="DJ808" i="20"/>
  <c r="DJ815" i="20" s="1"/>
  <c r="BY1" i="43"/>
  <c r="CB2" i="43"/>
  <c r="BU69" i="10"/>
  <c r="BU361" i="10"/>
  <c r="BU170" i="10"/>
  <c r="BU358" i="10"/>
  <c r="BU767" i="10"/>
  <c r="BU171" i="10"/>
  <c r="BU172" i="10"/>
  <c r="BU763" i="10"/>
  <c r="BU764" i="10"/>
  <c r="BU766" i="10"/>
  <c r="BU362" i="10"/>
  <c r="BU769" i="10"/>
  <c r="BU169" i="10"/>
  <c r="BU1080" i="10"/>
  <c r="BU67" i="10"/>
  <c r="BU176" i="10"/>
  <c r="BU168" i="10"/>
  <c r="BU359" i="10"/>
  <c r="BU425" i="10"/>
  <c r="BU765" i="10"/>
  <c r="BU474" i="10"/>
  <c r="BU174" i="10"/>
  <c r="BU771" i="10"/>
  <c r="BU770" i="10"/>
  <c r="BU1086" i="10"/>
  <c r="BU1089" i="10" s="1"/>
  <c r="BU1091" i="10" s="1"/>
  <c r="BU1092" i="10" s="1"/>
  <c r="BU175" i="10"/>
  <c r="BU1085" i="10"/>
  <c r="BU363" i="10"/>
  <c r="BU473" i="10"/>
  <c r="DI809" i="20"/>
  <c r="DI814" i="20"/>
  <c r="BY1" i="20"/>
  <c r="BZ1" i="20" s="1"/>
  <c r="CB2" i="20"/>
  <c r="DN828" i="20"/>
  <c r="DN836" i="20" s="1"/>
  <c r="DL798" i="20"/>
  <c r="DL834" i="20"/>
  <c r="DL838" i="20"/>
  <c r="CG253" i="42"/>
  <c r="CF255" i="42"/>
  <c r="BV140" i="49"/>
  <c r="BV142" i="49" s="1"/>
  <c r="BV9" i="49" s="1"/>
  <c r="BV551" i="42"/>
  <c r="BV554" i="42" s="1"/>
  <c r="BV555" i="42" s="1"/>
  <c r="BV540" i="42"/>
  <c r="BV139" i="49" s="1"/>
  <c r="CR228" i="49"/>
  <c r="CO228" i="49"/>
  <c r="CT310" i="49"/>
  <c r="CX293" i="49" s="1"/>
  <c r="CT308" i="49"/>
  <c r="CX292" i="49" s="1"/>
  <c r="CB1" i="42"/>
  <c r="CB2" i="42" s="1"/>
  <c r="CC3" i="42"/>
  <c r="DS891" i="20" l="1"/>
  <c r="DP806" i="20"/>
  <c r="DP847" i="20"/>
  <c r="DP844" i="20"/>
  <c r="DP849" i="20" s="1"/>
  <c r="DQ842" i="20"/>
  <c r="DQ836" i="20"/>
  <c r="DQ830" i="20"/>
  <c r="DR828" i="20"/>
  <c r="DR836" i="20" s="1"/>
  <c r="DP838" i="20"/>
  <c r="DP798" i="20"/>
  <c r="DP834" i="20"/>
  <c r="DG22" i="41"/>
  <c r="BU360" i="10"/>
  <c r="BU364" i="10" s="1"/>
  <c r="BU70" i="10"/>
  <c r="BW9" i="49"/>
  <c r="BD387" i="42"/>
  <c r="BD385" i="42" s="1"/>
  <c r="BE380" i="42"/>
  <c r="BD382" i="42"/>
  <c r="CX300" i="49"/>
  <c r="CX301" i="49" s="1"/>
  <c r="CX344" i="49" s="1"/>
  <c r="DN847" i="20"/>
  <c r="DN851" i="20"/>
  <c r="DN844" i="20"/>
  <c r="DN849" i="20" s="1"/>
  <c r="BY574" i="20"/>
  <c r="BX574" i="20"/>
  <c r="BZ574" i="20"/>
  <c r="CC1" i="42"/>
  <c r="CF3" i="42"/>
  <c r="CB1" i="20"/>
  <c r="CC2" i="20"/>
  <c r="DI811" i="20"/>
  <c r="DI816" i="20"/>
  <c r="BU1093" i="10"/>
  <c r="BU1096" i="10" s="1"/>
  <c r="BV1092" i="10"/>
  <c r="BV1093" i="10" s="1"/>
  <c r="BV1096" i="10" s="1"/>
  <c r="BX1105" i="10"/>
  <c r="BV360" i="10"/>
  <c r="BV364" i="10" s="1"/>
  <c r="CB390" i="10"/>
  <c r="CB394" i="10"/>
  <c r="CB392" i="10"/>
  <c r="CB395" i="10"/>
  <c r="CB393" i="10"/>
  <c r="CB391" i="10"/>
  <c r="DJ809" i="20"/>
  <c r="DJ816" i="20" s="1"/>
  <c r="CB541" i="42"/>
  <c r="CB547" i="42" s="1"/>
  <c r="CB450" i="42"/>
  <c r="CB546" i="42"/>
  <c r="CS228" i="49"/>
  <c r="CV228" i="49"/>
  <c r="CW228" i="49" s="1"/>
  <c r="CX197" i="49"/>
  <c r="CX198" i="49" s="1"/>
  <c r="BX2" i="10"/>
  <c r="BX259" i="10" s="1"/>
  <c r="BY2" i="10"/>
  <c r="BY259" i="10" s="1"/>
  <c r="BZ2" i="10"/>
  <c r="BZ259" i="10" s="1"/>
  <c r="BZ172" i="10"/>
  <c r="BZ392" i="10"/>
  <c r="BZ395" i="10"/>
  <c r="BZ171" i="10"/>
  <c r="BZ390" i="10"/>
  <c r="BZ169" i="10"/>
  <c r="BZ170" i="10"/>
  <c r="BZ394" i="10"/>
  <c r="BZ391" i="10"/>
  <c r="BZ168" i="10"/>
  <c r="BZ393" i="10"/>
  <c r="BQ702" i="10"/>
  <c r="BQ701" i="10"/>
  <c r="CC1" i="10"/>
  <c r="CF3" i="10"/>
  <c r="CR425" i="42"/>
  <c r="CR429" i="42" s="1"/>
  <c r="CR439" i="42" s="1"/>
  <c r="CS424" i="42"/>
  <c r="BR702" i="10"/>
  <c r="BR701" i="10"/>
  <c r="BV345" i="49"/>
  <c r="BV346" i="49" s="1"/>
  <c r="BV348" i="49" s="1"/>
  <c r="BV242" i="49"/>
  <c r="BV243" i="49" s="1"/>
  <c r="BV245" i="49" s="1"/>
  <c r="CJ253" i="42"/>
  <c r="CG255" i="42"/>
  <c r="DL803" i="20"/>
  <c r="BY541" i="42"/>
  <c r="BY546" i="42"/>
  <c r="BY450" i="42"/>
  <c r="BQ776" i="20"/>
  <c r="BQ778" i="20" s="1"/>
  <c r="BQ779" i="20"/>
  <c r="DM806" i="20"/>
  <c r="DM808" i="20" s="1"/>
  <c r="DM815" i="20" s="1"/>
  <c r="DM847" i="20"/>
  <c r="DM844" i="20"/>
  <c r="DM849" i="20" s="1"/>
  <c r="CO429" i="42"/>
  <c r="CO439" i="42" s="1"/>
  <c r="CP425" i="42"/>
  <c r="BP345" i="42"/>
  <c r="BQ339" i="42"/>
  <c r="BQ344" i="42" s="1"/>
  <c r="DL808" i="20"/>
  <c r="BT700" i="10"/>
  <c r="BT1100" i="10"/>
  <c r="BT1101" i="10"/>
  <c r="BT777" i="20"/>
  <c r="BT1097" i="10"/>
  <c r="BT360" i="10"/>
  <c r="BT364" i="10" s="1"/>
  <c r="CB1" i="43"/>
  <c r="CC2" i="43"/>
  <c r="BZ541" i="42"/>
  <c r="BZ547" i="42" s="1"/>
  <c r="BZ546" i="42"/>
  <c r="BZ450" i="42"/>
  <c r="DM834" i="20"/>
  <c r="DM838" i="20"/>
  <c r="DM798" i="20"/>
  <c r="DM803" i="20" s="1"/>
  <c r="BR779" i="20"/>
  <c r="BR776" i="20"/>
  <c r="BR778" i="20" s="1"/>
  <c r="BF411" i="42"/>
  <c r="BE413" i="42"/>
  <c r="BF413" i="42" s="1"/>
  <c r="DP803" i="20" l="1"/>
  <c r="DQ838" i="20"/>
  <c r="DQ798" i="20"/>
  <c r="DQ803" i="20" s="1"/>
  <c r="DQ834" i="20"/>
  <c r="DQ806" i="20"/>
  <c r="DQ808" i="20" s="1"/>
  <c r="DQ815" i="20" s="1"/>
  <c r="DQ847" i="20"/>
  <c r="DQ844" i="20"/>
  <c r="DQ849" i="20" s="1"/>
  <c r="DP808" i="20"/>
  <c r="DR842" i="20"/>
  <c r="DR830" i="20"/>
  <c r="DR838" i="20" s="1"/>
  <c r="DJ811" i="20"/>
  <c r="BD383" i="42"/>
  <c r="BE383" i="42" s="1"/>
  <c r="BF383" i="42" s="1"/>
  <c r="BE382" i="42"/>
  <c r="BF382" i="42" s="1"/>
  <c r="BF380" i="42"/>
  <c r="BE387" i="42"/>
  <c r="BE385" i="42" s="1"/>
  <c r="DN806" i="20"/>
  <c r="DB291" i="49"/>
  <c r="CX303" i="49"/>
  <c r="CX306" i="49" s="1"/>
  <c r="CX310" i="49" s="1"/>
  <c r="DB293" i="49" s="1"/>
  <c r="CC1" i="43"/>
  <c r="CF2" i="43"/>
  <c r="BT702" i="10"/>
  <c r="BT701" i="10"/>
  <c r="BY540" i="42"/>
  <c r="BY551" i="42"/>
  <c r="BY554" i="42" s="1"/>
  <c r="BY555" i="42" s="1"/>
  <c r="CJ255" i="42"/>
  <c r="CK253" i="42"/>
  <c r="CD1" i="10"/>
  <c r="CC390" i="10"/>
  <c r="CC394" i="10"/>
  <c r="CC392" i="10"/>
  <c r="CC393" i="10"/>
  <c r="CC395" i="10"/>
  <c r="CC391" i="10"/>
  <c r="BX67" i="10"/>
  <c r="BX69" i="10"/>
  <c r="BX70" i="10" s="1"/>
  <c r="BX169" i="10"/>
  <c r="BX170" i="10"/>
  <c r="BX172" i="10"/>
  <c r="BX176" i="10"/>
  <c r="BX763" i="10"/>
  <c r="BX764" i="10"/>
  <c r="BX765" i="10"/>
  <c r="BX766" i="10"/>
  <c r="BX359" i="10"/>
  <c r="BX362" i="10"/>
  <c r="BX769" i="10"/>
  <c r="BX171" i="10"/>
  <c r="BX361" i="10"/>
  <c r="BX781" i="10"/>
  <c r="BX791" i="10" s="1"/>
  <c r="BX358" i="10"/>
  <c r="BX767" i="10"/>
  <c r="BX782" i="10"/>
  <c r="BX792" i="10" s="1"/>
  <c r="BX785" i="10"/>
  <c r="BX783" i="10"/>
  <c r="BX793" i="10" s="1"/>
  <c r="BX784" i="10"/>
  <c r="BX794" i="10" s="1"/>
  <c r="BX1080" i="10"/>
  <c r="BX1085" i="10"/>
  <c r="BX1086" i="10"/>
  <c r="BX1089" i="10" s="1"/>
  <c r="BX1091" i="10" s="1"/>
  <c r="BX1092" i="10" s="1"/>
  <c r="BX1093" i="10" s="1"/>
  <c r="BX1096" i="10" s="1"/>
  <c r="BX175" i="10"/>
  <c r="BX168" i="10"/>
  <c r="BX363" i="10"/>
  <c r="BX174" i="10"/>
  <c r="BX256" i="10"/>
  <c r="BX770" i="10"/>
  <c r="BX425" i="10"/>
  <c r="BX771" i="10"/>
  <c r="BX474" i="10"/>
  <c r="BX935" i="10"/>
  <c r="BX933" i="10"/>
  <c r="BX473" i="10"/>
  <c r="BX937" i="10"/>
  <c r="BX934" i="10"/>
  <c r="BX940" i="10"/>
  <c r="BX939" i="10"/>
  <c r="CB1105" i="10"/>
  <c r="CD1" i="42"/>
  <c r="CD2" i="42" s="1"/>
  <c r="CC2" i="42"/>
  <c r="BF412" i="42"/>
  <c r="BH411" i="42"/>
  <c r="BZ143" i="49"/>
  <c r="BZ1105" i="10"/>
  <c r="BT776" i="20"/>
  <c r="BT778" i="20" s="1"/>
  <c r="BT779" i="20"/>
  <c r="DN808" i="20"/>
  <c r="DN815" i="20" s="1"/>
  <c r="DL815" i="20"/>
  <c r="CP424" i="42"/>
  <c r="CP429" i="42"/>
  <c r="CP439" i="42" s="1"/>
  <c r="BY547" i="42"/>
  <c r="DN798" i="20"/>
  <c r="DO798" i="20" s="1"/>
  <c r="BV16" i="49"/>
  <c r="BW16" i="49" s="1"/>
  <c r="BV246" i="49"/>
  <c r="BV21" i="49" s="1"/>
  <c r="CS425" i="42"/>
  <c r="CV424" i="42"/>
  <c r="DB188" i="49"/>
  <c r="CX200" i="49"/>
  <c r="CX203" i="49" s="1"/>
  <c r="CX241" i="49"/>
  <c r="CB551" i="42"/>
  <c r="CB554" i="42" s="1"/>
  <c r="CB555" i="42" s="1"/>
  <c r="CB540" i="42"/>
  <c r="BV700" i="10"/>
  <c r="BV1101" i="10"/>
  <c r="BV1100" i="10"/>
  <c r="BV777" i="20"/>
  <c r="BV1097" i="10"/>
  <c r="CF2" i="20"/>
  <c r="CC1" i="20"/>
  <c r="CD1" i="20" s="1"/>
  <c r="DK23" i="41"/>
  <c r="DN803" i="20"/>
  <c r="DN814" i="20" s="1"/>
  <c r="DL809" i="20"/>
  <c r="DL814" i="20"/>
  <c r="BV349" i="49"/>
  <c r="BV33" i="49" s="1"/>
  <c r="BV28" i="49"/>
  <c r="BW28" i="49" s="1"/>
  <c r="BZ67" i="10"/>
  <c r="BZ361" i="10"/>
  <c r="BZ358" i="10"/>
  <c r="BZ765" i="10"/>
  <c r="CA765" i="10" s="1"/>
  <c r="BZ783" i="10"/>
  <c r="BZ793" i="10" s="1"/>
  <c r="BZ359" i="10"/>
  <c r="BZ362" i="10"/>
  <c r="BZ769" i="10"/>
  <c r="CA769" i="10" s="1"/>
  <c r="BZ781" i="10"/>
  <c r="BZ782" i="10"/>
  <c r="BZ792" i="10" s="1"/>
  <c r="BZ785" i="10"/>
  <c r="BZ1086" i="10"/>
  <c r="BZ1089" i="10" s="1"/>
  <c r="BZ784" i="10"/>
  <c r="BZ794" i="10" s="1"/>
  <c r="BZ256" i="10"/>
  <c r="BZ767" i="10"/>
  <c r="CA767" i="10" s="1"/>
  <c r="BZ176" i="10"/>
  <c r="BZ763" i="10"/>
  <c r="CA763" i="10" s="1"/>
  <c r="BZ764" i="10"/>
  <c r="CA764" i="10" s="1"/>
  <c r="BZ766" i="10"/>
  <c r="BZ175" i="10"/>
  <c r="BZ69" i="10"/>
  <c r="BZ174" i="10"/>
  <c r="BZ363" i="10"/>
  <c r="BZ425" i="10"/>
  <c r="BZ770" i="10"/>
  <c r="CA770" i="10" s="1"/>
  <c r="BZ1085" i="10"/>
  <c r="BZ771" i="10"/>
  <c r="BZ935" i="10"/>
  <c r="BZ933" i="10"/>
  <c r="BZ474" i="10"/>
  <c r="BZ936" i="10"/>
  <c r="BZ473" i="10"/>
  <c r="BZ937" i="10"/>
  <c r="BZ934" i="10"/>
  <c r="BZ940" i="10"/>
  <c r="BZ939" i="10"/>
  <c r="BU700" i="10"/>
  <c r="BU1100" i="10"/>
  <c r="BU777" i="20"/>
  <c r="BU1101" i="10"/>
  <c r="BU1097" i="10"/>
  <c r="DM809" i="20"/>
  <c r="DM814" i="20"/>
  <c r="BZ140" i="49"/>
  <c r="BZ142" i="49" s="1"/>
  <c r="BZ9" i="49" s="1"/>
  <c r="CA9" i="49" s="1"/>
  <c r="BZ551" i="42"/>
  <c r="BZ554" i="42" s="1"/>
  <c r="BZ555" i="42" s="1"/>
  <c r="BZ540" i="42"/>
  <c r="BZ139" i="49" s="1"/>
  <c r="BT339" i="42"/>
  <c r="BQ345" i="42"/>
  <c r="BR345" i="42" s="1"/>
  <c r="BR344" i="42"/>
  <c r="CF1" i="10"/>
  <c r="CG3" i="10"/>
  <c r="BY67" i="10"/>
  <c r="BY172" i="10"/>
  <c r="BY358" i="10"/>
  <c r="BY1086" i="10"/>
  <c r="BY1089" i="10" s="1"/>
  <c r="BY1091" i="10" s="1"/>
  <c r="BY1092" i="10" s="1"/>
  <c r="BY767" i="10"/>
  <c r="BY171" i="10"/>
  <c r="BY763" i="10"/>
  <c r="BY764" i="10"/>
  <c r="BY765" i="10"/>
  <c r="BY766" i="10"/>
  <c r="BY174" i="10"/>
  <c r="BY362" i="10"/>
  <c r="BY769" i="10"/>
  <c r="BY784" i="10"/>
  <c r="BY794" i="10" s="1"/>
  <c r="BY361" i="10"/>
  <c r="BY781" i="10"/>
  <c r="BY791" i="10" s="1"/>
  <c r="BY782" i="10"/>
  <c r="BY792" i="10" s="1"/>
  <c r="BY785" i="10"/>
  <c r="BY783" i="10"/>
  <c r="BY793" i="10" s="1"/>
  <c r="BY1080" i="10"/>
  <c r="BY168" i="10"/>
  <c r="BY176" i="10"/>
  <c r="BY169" i="10"/>
  <c r="BY69" i="10"/>
  <c r="BY170" i="10"/>
  <c r="BY175" i="10"/>
  <c r="BY359" i="10"/>
  <c r="BY256" i="10"/>
  <c r="BY770" i="10"/>
  <c r="BY1085" i="10"/>
  <c r="BY425" i="10"/>
  <c r="BY474" i="10"/>
  <c r="BY473" i="10"/>
  <c r="BY771" i="10"/>
  <c r="BY933" i="10"/>
  <c r="BY363" i="10"/>
  <c r="BY935" i="10"/>
  <c r="BY937" i="10"/>
  <c r="BY934" i="10"/>
  <c r="BY940" i="10"/>
  <c r="BY939" i="10"/>
  <c r="CG3" i="42"/>
  <c r="CF1" i="42"/>
  <c r="CF2" i="42" s="1"/>
  <c r="DR806" i="20" l="1"/>
  <c r="DR851" i="20"/>
  <c r="DR847" i="20"/>
  <c r="DR844" i="20"/>
  <c r="DR849" i="20" s="1"/>
  <c r="DR808" i="20"/>
  <c r="DR815" i="20" s="1"/>
  <c r="DP815" i="20"/>
  <c r="DQ814" i="20"/>
  <c r="DQ809" i="20"/>
  <c r="DR803" i="20"/>
  <c r="DR814" i="20" s="1"/>
  <c r="DP814" i="20"/>
  <c r="DP809" i="20"/>
  <c r="DR798" i="20"/>
  <c r="DS798" i="20" s="1"/>
  <c r="DK22" i="41"/>
  <c r="BY360" i="10"/>
  <c r="BY364" i="10" s="1"/>
  <c r="BX941" i="10"/>
  <c r="BZ941" i="10"/>
  <c r="BY70" i="10"/>
  <c r="CX308" i="49"/>
  <c r="DB292" i="49" s="1"/>
  <c r="DB300" i="49" s="1"/>
  <c r="DB301" i="49" s="1"/>
  <c r="DF291" i="49" s="1"/>
  <c r="BF387" i="42"/>
  <c r="BF385" i="42" s="1"/>
  <c r="BH380" i="42"/>
  <c r="BY874" i="10"/>
  <c r="BY1051" i="10"/>
  <c r="CF541" i="42"/>
  <c r="CF547" i="42" s="1"/>
  <c r="CF450" i="42"/>
  <c r="CF546" i="42"/>
  <c r="BY804" i="10"/>
  <c r="BY873" i="10"/>
  <c r="BY1050" i="10"/>
  <c r="CF390" i="10"/>
  <c r="CF394" i="10"/>
  <c r="CF392" i="10"/>
  <c r="CF395" i="10"/>
  <c r="CF393" i="10"/>
  <c r="CF391" i="10"/>
  <c r="BV702" i="10"/>
  <c r="BV701" i="10"/>
  <c r="CW424" i="42"/>
  <c r="CV425" i="42"/>
  <c r="CV429" i="42" s="1"/>
  <c r="CV439" i="42" s="1"/>
  <c r="BX700" i="10"/>
  <c r="BX1097" i="10"/>
  <c r="BX1101" i="10"/>
  <c r="BX777" i="20"/>
  <c r="BX1100" i="10"/>
  <c r="BX804" i="10"/>
  <c r="BX873" i="10"/>
  <c r="BX1050" i="10"/>
  <c r="CK255" i="42"/>
  <c r="CN253" i="42"/>
  <c r="BZ242" i="49"/>
  <c r="BZ243" i="49" s="1"/>
  <c r="BZ245" i="49" s="1"/>
  <c r="BZ345" i="49"/>
  <c r="BZ346" i="49" s="1"/>
  <c r="BZ348" i="49" s="1"/>
  <c r="BZ787" i="10"/>
  <c r="BZ797" i="10" s="1"/>
  <c r="BZ795" i="10"/>
  <c r="BV776" i="20"/>
  <c r="BV778" i="20" s="1"/>
  <c r="BV779" i="20"/>
  <c r="CX205" i="49"/>
  <c r="DB189" i="49" s="1"/>
  <c r="CX207" i="49"/>
  <c r="DB190" i="49" s="1"/>
  <c r="CS429" i="42"/>
  <c r="CS439" i="42" s="1"/>
  <c r="CT425" i="42"/>
  <c r="BY1105" i="10"/>
  <c r="BX787" i="10"/>
  <c r="BX797" i="10" s="1"/>
  <c r="BX795" i="10"/>
  <c r="BX802" i="10"/>
  <c r="BZ791" i="10"/>
  <c r="BX871" i="10"/>
  <c r="BX1048" i="10"/>
  <c r="CG1" i="42"/>
  <c r="CJ3" i="42"/>
  <c r="DM816" i="20"/>
  <c r="DM811" i="20"/>
  <c r="BY803" i="10"/>
  <c r="BY872" i="10"/>
  <c r="BY1049" i="10"/>
  <c r="CB574" i="20"/>
  <c r="CD574" i="20"/>
  <c r="CC574" i="20"/>
  <c r="CC361" i="20"/>
  <c r="CB361" i="20"/>
  <c r="CD361" i="20"/>
  <c r="BZ803" i="10"/>
  <c r="BZ872" i="10"/>
  <c r="BZ1049" i="10"/>
  <c r="BZ360" i="10"/>
  <c r="BZ364" i="10" s="1"/>
  <c r="CC541" i="42"/>
  <c r="CC547" i="42" s="1"/>
  <c r="CC546" i="42"/>
  <c r="CC450" i="42"/>
  <c r="BX803" i="10"/>
  <c r="BX872" i="10"/>
  <c r="BX1049" i="10"/>
  <c r="BX360" i="10"/>
  <c r="BX364" i="10" s="1"/>
  <c r="CF1" i="43"/>
  <c r="CG2" i="43"/>
  <c r="BY787" i="10"/>
  <c r="BY797" i="10" s="1"/>
  <c r="BY795" i="10"/>
  <c r="BU779" i="20"/>
  <c r="BU776" i="20"/>
  <c r="BU778" i="20" s="1"/>
  <c r="BY941" i="10"/>
  <c r="BY802" i="10"/>
  <c r="BY871" i="10"/>
  <c r="BY1048" i="10"/>
  <c r="BY1093" i="10"/>
  <c r="BY1096" i="10" s="1"/>
  <c r="BZ1092" i="10"/>
  <c r="BZ1093" i="10" s="1"/>
  <c r="BZ1096" i="10" s="1"/>
  <c r="CJ3" i="10"/>
  <c r="CG1" i="10"/>
  <c r="BV339" i="42"/>
  <c r="BT345" i="42"/>
  <c r="BV345" i="42" s="1"/>
  <c r="BT343" i="42"/>
  <c r="BV343" i="42" s="1"/>
  <c r="BU702" i="10"/>
  <c r="BU701" i="10"/>
  <c r="BZ874" i="10"/>
  <c r="BZ1051" i="10"/>
  <c r="BZ873" i="10"/>
  <c r="BZ804" i="10"/>
  <c r="BZ1050" i="10"/>
  <c r="DL811" i="20"/>
  <c r="DN809" i="20"/>
  <c r="DN816" i="20" s="1"/>
  <c r="DL816" i="20"/>
  <c r="CF1" i="20"/>
  <c r="CG2" i="20"/>
  <c r="BH413" i="42"/>
  <c r="BH412" i="42"/>
  <c r="BI412" i="42" s="1"/>
  <c r="BI411" i="42" s="1"/>
  <c r="CD541" i="42"/>
  <c r="CD547" i="42" s="1"/>
  <c r="CD450" i="42"/>
  <c r="CD546" i="42"/>
  <c r="BX874" i="10"/>
  <c r="BX1051" i="10"/>
  <c r="CB2" i="10"/>
  <c r="CB259" i="10" s="1"/>
  <c r="CC2" i="10"/>
  <c r="CC259" i="10" s="1"/>
  <c r="CD2" i="10"/>
  <c r="CD259" i="10" s="1"/>
  <c r="CD390" i="10"/>
  <c r="CD168" i="10"/>
  <c r="CD170" i="10"/>
  <c r="CD172" i="10"/>
  <c r="CD394" i="10"/>
  <c r="CD169" i="10"/>
  <c r="CD171" i="10"/>
  <c r="CD392" i="10"/>
  <c r="CD395" i="10"/>
  <c r="CD393" i="10"/>
  <c r="CD391" i="10"/>
  <c r="DP811" i="20" l="1"/>
  <c r="DP816" i="20"/>
  <c r="DR809" i="20"/>
  <c r="DR816" i="20" s="1"/>
  <c r="DQ811" i="20"/>
  <c r="DQ816" i="20"/>
  <c r="BI380" i="42"/>
  <c r="BH382" i="42"/>
  <c r="BH387" i="42"/>
  <c r="BH385" i="42" s="1"/>
  <c r="DN811" i="20"/>
  <c r="CB359" i="10"/>
  <c r="CB362" i="10"/>
  <c r="CB1086" i="10"/>
  <c r="CB1089" i="10" s="1"/>
  <c r="CB1091" i="10" s="1"/>
  <c r="CB1092" i="10" s="1"/>
  <c r="CB1093" i="10" s="1"/>
  <c r="CB1096" i="10" s="1"/>
  <c r="CB763" i="10"/>
  <c r="CB764" i="10"/>
  <c r="CB765" i="10"/>
  <c r="CB171" i="10"/>
  <c r="CB361" i="10"/>
  <c r="CB769" i="10"/>
  <c r="CB770" i="10"/>
  <c r="CB67" i="10"/>
  <c r="CB358" i="10"/>
  <c r="CB425" i="10"/>
  <c r="CB782" i="10"/>
  <c r="CB792" i="10" s="1"/>
  <c r="CB785" i="10"/>
  <c r="CB69" i="10"/>
  <c r="CB70" i="10" s="1"/>
  <c r="CB168" i="10"/>
  <c r="CB766" i="10"/>
  <c r="CB767" i="10"/>
  <c r="CB783" i="10"/>
  <c r="CB793" i="10" s="1"/>
  <c r="CB781" i="10"/>
  <c r="CB791" i="10" s="1"/>
  <c r="CB784" i="10"/>
  <c r="CB794" i="10" s="1"/>
  <c r="CB1085" i="10"/>
  <c r="CB1080" i="10"/>
  <c r="CB170" i="10"/>
  <c r="CB169" i="10"/>
  <c r="CB172" i="10"/>
  <c r="CB363" i="10"/>
  <c r="CB771" i="10"/>
  <c r="CB176" i="10"/>
  <c r="CB174" i="10"/>
  <c r="CB175" i="10"/>
  <c r="CB474" i="10"/>
  <c r="CB256" i="10"/>
  <c r="CB473" i="10"/>
  <c r="CB935" i="10"/>
  <c r="CB936" i="10"/>
  <c r="CB933" i="10"/>
  <c r="CB937" i="10"/>
  <c r="CB934" i="10"/>
  <c r="CB940" i="10"/>
  <c r="CB939" i="10"/>
  <c r="DO23" i="41"/>
  <c r="BZ884" i="10"/>
  <c r="BZ1071" i="10"/>
  <c r="CJ1" i="10"/>
  <c r="CK3" i="10"/>
  <c r="BY881" i="10"/>
  <c r="BY1068" i="10"/>
  <c r="BY1058" i="10"/>
  <c r="CC540" i="42"/>
  <c r="CC551" i="42"/>
  <c r="CC554" i="42" s="1"/>
  <c r="CC555" i="42" s="1"/>
  <c r="BX806" i="10"/>
  <c r="BX875" i="10"/>
  <c r="BX1052" i="10"/>
  <c r="CT429" i="42"/>
  <c r="CT439" i="42" s="1"/>
  <c r="CT424" i="42"/>
  <c r="BZ806" i="10"/>
  <c r="BZ875" i="10"/>
  <c r="BZ1052" i="10"/>
  <c r="BX702" i="10"/>
  <c r="BX701" i="10"/>
  <c r="BY883" i="10"/>
  <c r="BY1060" i="10"/>
  <c r="BY1070" i="10"/>
  <c r="BY1071" i="10"/>
  <c r="BY884" i="10"/>
  <c r="BZ1070" i="10"/>
  <c r="BZ883" i="10"/>
  <c r="BZ1060" i="10"/>
  <c r="DB303" i="49"/>
  <c r="DB306" i="49" s="1"/>
  <c r="DB344" i="49"/>
  <c r="BY806" i="10"/>
  <c r="BY875" i="10"/>
  <c r="BY1052" i="10"/>
  <c r="CC1105" i="10"/>
  <c r="CJ1" i="42"/>
  <c r="CJ2" i="42" s="1"/>
  <c r="CK3" i="42"/>
  <c r="BZ798" i="10"/>
  <c r="BZ802" i="10"/>
  <c r="BZ871" i="10"/>
  <c r="BZ1048" i="10"/>
  <c r="BX808" i="10"/>
  <c r="BX877" i="10"/>
  <c r="BX1054" i="10"/>
  <c r="BZ877" i="10"/>
  <c r="BZ808" i="10"/>
  <c r="BZ1054" i="10"/>
  <c r="BX1060" i="10"/>
  <c r="BX883" i="10"/>
  <c r="BX1070" i="10"/>
  <c r="BX779" i="20"/>
  <c r="BX776" i="20"/>
  <c r="BX778" i="20" s="1"/>
  <c r="CF1105" i="10"/>
  <c r="BX884" i="10"/>
  <c r="BX1071" i="10"/>
  <c r="CD358" i="10"/>
  <c r="CD766" i="10"/>
  <c r="CD359" i="10"/>
  <c r="CD362" i="10"/>
  <c r="CD784" i="10"/>
  <c r="CD794" i="10" s="1"/>
  <c r="CD361" i="10"/>
  <c r="CD782" i="10"/>
  <c r="CD792" i="10" s="1"/>
  <c r="CD785" i="10"/>
  <c r="CD783" i="10"/>
  <c r="CD793" i="10" s="1"/>
  <c r="CD765" i="10"/>
  <c r="CE765" i="10" s="1"/>
  <c r="CD769" i="10"/>
  <c r="CE769" i="10" s="1"/>
  <c r="CD767" i="10"/>
  <c r="CE767" i="10" s="1"/>
  <c r="CD763" i="10"/>
  <c r="CE763" i="10" s="1"/>
  <c r="CD69" i="10"/>
  <c r="CD781" i="10"/>
  <c r="CD764" i="10"/>
  <c r="CE764" i="10" s="1"/>
  <c r="CD1086" i="10"/>
  <c r="CD1089" i="10" s="1"/>
  <c r="CD67" i="10"/>
  <c r="CD771" i="10"/>
  <c r="CD176" i="10"/>
  <c r="CD425" i="10"/>
  <c r="CD256" i="10"/>
  <c r="CD363" i="10"/>
  <c r="CD175" i="10"/>
  <c r="CD474" i="10"/>
  <c r="CD473" i="10"/>
  <c r="CD174" i="10"/>
  <c r="CD1085" i="10"/>
  <c r="CD937" i="10"/>
  <c r="CD936" i="10"/>
  <c r="CD933" i="10"/>
  <c r="CD935" i="10"/>
  <c r="CD770" i="10"/>
  <c r="CE770" i="10" s="1"/>
  <c r="CD934" i="10"/>
  <c r="CD940" i="10"/>
  <c r="CD939" i="10"/>
  <c r="CD140" i="49"/>
  <c r="CD142" i="49" s="1"/>
  <c r="CD9" i="49" s="1"/>
  <c r="CE9" i="49" s="1"/>
  <c r="CD540" i="42"/>
  <c r="CD139" i="49" s="1"/>
  <c r="CD551" i="42"/>
  <c r="CD554" i="42" s="1"/>
  <c r="CD555" i="42" s="1"/>
  <c r="CJ2" i="20"/>
  <c r="CG1" i="20"/>
  <c r="CH1" i="20" s="1"/>
  <c r="BZ700" i="10"/>
  <c r="BZ1100" i="10"/>
  <c r="BZ777" i="20"/>
  <c r="BZ1101" i="10"/>
  <c r="BZ1097" i="10"/>
  <c r="BY798" i="10"/>
  <c r="BY808" i="10"/>
  <c r="BY877" i="10"/>
  <c r="BY1054" i="10"/>
  <c r="BX882" i="10"/>
  <c r="BX1069" i="10"/>
  <c r="BX1059" i="10"/>
  <c r="BZ882" i="10"/>
  <c r="BZ1059" i="10"/>
  <c r="BZ1069" i="10"/>
  <c r="CG2" i="42"/>
  <c r="CH1" i="42"/>
  <c r="CH2" i="42" s="1"/>
  <c r="BZ349" i="49"/>
  <c r="BZ33" i="49" s="1"/>
  <c r="BZ28" i="49"/>
  <c r="CA28" i="49" s="1"/>
  <c r="CW425" i="42"/>
  <c r="CZ424" i="42"/>
  <c r="CC69" i="10"/>
  <c r="CC766" i="10"/>
  <c r="CC767" i="10"/>
  <c r="CC170" i="10"/>
  <c r="CC359" i="10"/>
  <c r="CC362" i="10"/>
  <c r="CC763" i="10"/>
  <c r="CC764" i="10"/>
  <c r="CC765" i="10"/>
  <c r="CC361" i="10"/>
  <c r="CC769" i="10"/>
  <c r="CC781" i="10"/>
  <c r="CC791" i="10" s="1"/>
  <c r="CC782" i="10"/>
  <c r="CC792" i="10" s="1"/>
  <c r="CC785" i="10"/>
  <c r="CC783" i="10"/>
  <c r="CC793" i="10" s="1"/>
  <c r="CC784" i="10"/>
  <c r="CC794" i="10" s="1"/>
  <c r="CC172" i="10"/>
  <c r="CC1086" i="10"/>
  <c r="CC1089" i="10" s="1"/>
  <c r="CC1091" i="10" s="1"/>
  <c r="CC1092" i="10" s="1"/>
  <c r="CC358" i="10"/>
  <c r="CC1080" i="10"/>
  <c r="CC168" i="10"/>
  <c r="CC67" i="10"/>
  <c r="CC771" i="10"/>
  <c r="CC169" i="10"/>
  <c r="CC176" i="10"/>
  <c r="CC256" i="10"/>
  <c r="CC171" i="10"/>
  <c r="CC425" i="10"/>
  <c r="CC473" i="10"/>
  <c r="CC174" i="10"/>
  <c r="CC474" i="10"/>
  <c r="CC175" i="10"/>
  <c r="CC1085" i="10"/>
  <c r="CC363" i="10"/>
  <c r="CC770" i="10"/>
  <c r="CC936" i="10"/>
  <c r="CC933" i="10"/>
  <c r="CC937" i="10"/>
  <c r="CC935" i="10"/>
  <c r="CC934" i="10"/>
  <c r="CC940" i="10"/>
  <c r="CC939" i="10"/>
  <c r="CD143" i="49"/>
  <c r="D85" i="78"/>
  <c r="CD1105" i="10"/>
  <c r="BJ411" i="42"/>
  <c r="BI413" i="42"/>
  <c r="BJ413" i="42" s="1"/>
  <c r="CH1" i="10"/>
  <c r="CG390" i="10"/>
  <c r="CG394" i="10"/>
  <c r="CG392" i="10"/>
  <c r="CG395" i="10"/>
  <c r="CG391" i="10"/>
  <c r="CG393" i="10"/>
  <c r="BY700" i="10"/>
  <c r="BY1100" i="10"/>
  <c r="BY1101" i="10"/>
  <c r="BY777" i="20"/>
  <c r="BY1097" i="10"/>
  <c r="CG1" i="43"/>
  <c r="CJ2" i="43"/>
  <c r="BY1059" i="10"/>
  <c r="BY882" i="10"/>
  <c r="BY1069" i="10"/>
  <c r="BX1068" i="10"/>
  <c r="BX881" i="10"/>
  <c r="BX1058" i="10"/>
  <c r="BX798" i="10"/>
  <c r="DB197" i="49"/>
  <c r="DB198" i="49" s="1"/>
  <c r="DF188" i="49" s="1"/>
  <c r="BZ16" i="49"/>
  <c r="CA16" i="49" s="1"/>
  <c r="BZ246" i="49"/>
  <c r="BZ21" i="49" s="1"/>
  <c r="CO253" i="42"/>
  <c r="CN255" i="42"/>
  <c r="CF551" i="42"/>
  <c r="CF554" i="42" s="1"/>
  <c r="CF555" i="42" s="1"/>
  <c r="CF540" i="42"/>
  <c r="DR811" i="20" l="1"/>
  <c r="DO22" i="41"/>
  <c r="CB941" i="10"/>
  <c r="CC70" i="10"/>
  <c r="CC941" i="10"/>
  <c r="CC360" i="10"/>
  <c r="CC364" i="10" s="1"/>
  <c r="BH383" i="42"/>
  <c r="BI383" i="42" s="1"/>
  <c r="BJ383" i="42" s="1"/>
  <c r="BI382" i="42"/>
  <c r="BJ382" i="42" s="1"/>
  <c r="BI387" i="42"/>
  <c r="BI385" i="42" s="1"/>
  <c r="BJ380" i="42"/>
  <c r="CR253" i="42"/>
  <c r="CO255" i="42"/>
  <c r="CJ1" i="43"/>
  <c r="CK2" i="43"/>
  <c r="BJ412" i="42"/>
  <c r="BL411" i="42"/>
  <c r="CC804" i="10"/>
  <c r="CC873" i="10"/>
  <c r="CC1050" i="10"/>
  <c r="CG541" i="42"/>
  <c r="CG546" i="42"/>
  <c r="CG450" i="42"/>
  <c r="BY799" i="10"/>
  <c r="BY788" i="10"/>
  <c r="BY809" i="10"/>
  <c r="BY878" i="10"/>
  <c r="BY1055" i="10"/>
  <c r="CD804" i="10"/>
  <c r="CD873" i="10"/>
  <c r="CD1050" i="10"/>
  <c r="CD874" i="10"/>
  <c r="CD1051" i="10"/>
  <c r="BZ1058" i="10"/>
  <c r="BZ881" i="10"/>
  <c r="BZ1068" i="10"/>
  <c r="CN3" i="42"/>
  <c r="CK1" i="42"/>
  <c r="BY885" i="10"/>
  <c r="BY1062" i="10"/>
  <c r="BY1072" i="10"/>
  <c r="CB804" i="10"/>
  <c r="CB873" i="10"/>
  <c r="CB1050" i="10"/>
  <c r="CG2" i="10"/>
  <c r="CG259" i="10" s="1"/>
  <c r="CH2" i="10"/>
  <c r="CH259" i="10" s="1"/>
  <c r="CF2" i="10"/>
  <c r="CF259" i="10" s="1"/>
  <c r="CH169" i="10"/>
  <c r="CH171" i="10"/>
  <c r="CH168" i="10"/>
  <c r="CH394" i="10"/>
  <c r="CH390" i="10"/>
  <c r="CH172" i="10"/>
  <c r="CH395" i="10"/>
  <c r="CH393" i="10"/>
  <c r="CH392" i="10"/>
  <c r="CH391" i="10"/>
  <c r="CC1093" i="10"/>
  <c r="CC1096" i="10" s="1"/>
  <c r="CD1092" i="10"/>
  <c r="CD1093" i="10" s="1"/>
  <c r="CD1096" i="10" s="1"/>
  <c r="CC787" i="10"/>
  <c r="CC797" i="10" s="1"/>
  <c r="CC795" i="10"/>
  <c r="BY834" i="10"/>
  <c r="BY887" i="10"/>
  <c r="BY1064" i="10"/>
  <c r="BY1074" i="10"/>
  <c r="BZ702" i="10"/>
  <c r="BZ701" i="10"/>
  <c r="CD345" i="49"/>
  <c r="CD346" i="49" s="1"/>
  <c r="CD348" i="49" s="1"/>
  <c r="CD242" i="49"/>
  <c r="CD243" i="49" s="1"/>
  <c r="CD245" i="49" s="1"/>
  <c r="CD787" i="10"/>
  <c r="CD797" i="10" s="1"/>
  <c r="CD795" i="10"/>
  <c r="BX887" i="10"/>
  <c r="BX834" i="10"/>
  <c r="BX1064" i="10"/>
  <c r="BX1074" i="10"/>
  <c r="CJ450" i="42"/>
  <c r="CJ541" i="42"/>
  <c r="CJ547" i="42" s="1"/>
  <c r="CJ546" i="42"/>
  <c r="DB308" i="49"/>
  <c r="DF292" i="49" s="1"/>
  <c r="DB310" i="49"/>
  <c r="DF293" i="49" s="1"/>
  <c r="CB787" i="10"/>
  <c r="CB797" i="10" s="1"/>
  <c r="CB795" i="10"/>
  <c r="CB700" i="10"/>
  <c r="CB1101" i="10"/>
  <c r="CB1100" i="10"/>
  <c r="CB1097" i="10"/>
  <c r="CB777" i="20"/>
  <c r="DB200" i="49"/>
  <c r="DB203" i="49" s="1"/>
  <c r="DB241" i="49"/>
  <c r="BY702" i="10"/>
  <c r="BY701" i="10"/>
  <c r="CG574" i="20"/>
  <c r="CF574" i="20"/>
  <c r="CH574" i="20"/>
  <c r="CG361" i="20"/>
  <c r="CF361" i="20"/>
  <c r="CH361" i="20"/>
  <c r="CC803" i="10"/>
  <c r="CC872" i="10"/>
  <c r="CC1049" i="10"/>
  <c r="CZ425" i="42"/>
  <c r="CZ429" i="42" s="1"/>
  <c r="CZ439" i="42" s="1"/>
  <c r="DA424" i="42"/>
  <c r="DD424" i="42" s="1"/>
  <c r="CD941" i="10"/>
  <c r="CD803" i="10"/>
  <c r="CD872" i="10"/>
  <c r="CD1049" i="10"/>
  <c r="CD360" i="10"/>
  <c r="CD364" i="10" s="1"/>
  <c r="BZ1064" i="10"/>
  <c r="BZ1074" i="10"/>
  <c r="BZ834" i="10"/>
  <c r="BZ887" i="10"/>
  <c r="BZ885" i="10"/>
  <c r="BZ1062" i="10"/>
  <c r="BZ1072" i="10"/>
  <c r="CN3" i="10"/>
  <c r="CK1" i="10"/>
  <c r="CB874" i="10"/>
  <c r="CB1051" i="10"/>
  <c r="CB872" i="10"/>
  <c r="CB803" i="10"/>
  <c r="CB1049" i="10"/>
  <c r="BX799" i="10"/>
  <c r="BX788" i="10"/>
  <c r="BX878" i="10"/>
  <c r="BX809" i="10"/>
  <c r="BX1055" i="10"/>
  <c r="BY776" i="20"/>
  <c r="BY778" i="20" s="1"/>
  <c r="BY779" i="20"/>
  <c r="CC874" i="10"/>
  <c r="CC1051" i="10"/>
  <c r="CC802" i="10"/>
  <c r="CC871" i="10"/>
  <c r="CC1048" i="10"/>
  <c r="CW429" i="42"/>
  <c r="CW439" i="42" s="1"/>
  <c r="CX425" i="42"/>
  <c r="CH541" i="42"/>
  <c r="CH547" i="42" s="1"/>
  <c r="CH450" i="42"/>
  <c r="CH546" i="42"/>
  <c r="BZ779" i="20"/>
  <c r="BZ776" i="20"/>
  <c r="BZ778" i="20" s="1"/>
  <c r="CJ1" i="20"/>
  <c r="CK2" i="20"/>
  <c r="BZ788" i="10"/>
  <c r="BZ799" i="10"/>
  <c r="BZ878" i="10"/>
  <c r="BZ809" i="10"/>
  <c r="BZ1055" i="10"/>
  <c r="BX885" i="10"/>
  <c r="BX1062" i="10"/>
  <c r="BX1072" i="10"/>
  <c r="CJ390" i="10"/>
  <c r="CJ394" i="10"/>
  <c r="CJ392" i="10"/>
  <c r="CJ393" i="10"/>
  <c r="CJ395" i="10"/>
  <c r="CJ391" i="10"/>
  <c r="CB802" i="10"/>
  <c r="CB871" i="10"/>
  <c r="CD791" i="10"/>
  <c r="CB1048" i="10"/>
  <c r="CB360" i="10"/>
  <c r="CB364" i="10" s="1"/>
  <c r="DD425" i="42" l="1"/>
  <c r="DD429" i="42" s="1"/>
  <c r="DD439" i="42" s="1"/>
  <c r="DE424" i="42"/>
  <c r="CB798" i="10"/>
  <c r="CB878" i="10" s="1"/>
  <c r="CC798" i="10"/>
  <c r="CC788" i="10" s="1"/>
  <c r="BJ387" i="42"/>
  <c r="BJ385" i="42" s="1"/>
  <c r="BL380" i="42"/>
  <c r="CJ1105" i="10"/>
  <c r="CH143" i="49"/>
  <c r="D86" i="78"/>
  <c r="D87" i="78" s="1"/>
  <c r="D92" i="78" s="1"/>
  <c r="D94" i="78" s="1"/>
  <c r="D96" i="78" s="1"/>
  <c r="D60" i="78" s="1"/>
  <c r="CH1105" i="10"/>
  <c r="CC1068" i="10"/>
  <c r="CC881" i="10"/>
  <c r="CC1058" i="10"/>
  <c r="CC884" i="10"/>
  <c r="CC1071" i="10"/>
  <c r="CL1" i="10"/>
  <c r="CK390" i="10"/>
  <c r="CK394" i="10"/>
  <c r="CK392" i="10"/>
  <c r="CK395" i="10"/>
  <c r="CK393" i="10"/>
  <c r="CK391" i="10"/>
  <c r="CC882" i="10"/>
  <c r="CC1069" i="10"/>
  <c r="CC1059" i="10"/>
  <c r="CB875" i="10"/>
  <c r="CB806" i="10"/>
  <c r="CB1052" i="10"/>
  <c r="DU23" i="41"/>
  <c r="CD806" i="10"/>
  <c r="CD875" i="10"/>
  <c r="CD1052" i="10"/>
  <c r="CD700" i="10"/>
  <c r="CD1100" i="10"/>
  <c r="CD1101" i="10"/>
  <c r="CD777" i="20"/>
  <c r="CD1097" i="10"/>
  <c r="CF67" i="10"/>
  <c r="CF69" i="10"/>
  <c r="CF70" i="10" s="1"/>
  <c r="CF172" i="10"/>
  <c r="CF361" i="10"/>
  <c r="CF763" i="10"/>
  <c r="CF764" i="10"/>
  <c r="CF765" i="10"/>
  <c r="CF358" i="10"/>
  <c r="CF425" i="10"/>
  <c r="CF769" i="10"/>
  <c r="CF783" i="10"/>
  <c r="CF793" i="10" s="1"/>
  <c r="CF171" i="10"/>
  <c r="CF359" i="10"/>
  <c r="CF362" i="10"/>
  <c r="CF767" i="10"/>
  <c r="CF781" i="10"/>
  <c r="CF791" i="10" s="1"/>
  <c r="CF782" i="10"/>
  <c r="CF792" i="10" s="1"/>
  <c r="CF785" i="10"/>
  <c r="CF1080" i="10"/>
  <c r="CF168" i="10"/>
  <c r="CF1086" i="10"/>
  <c r="CF1089" i="10" s="1"/>
  <c r="CF1091" i="10" s="1"/>
  <c r="CF1092" i="10" s="1"/>
  <c r="CF1093" i="10" s="1"/>
  <c r="CF1096" i="10" s="1"/>
  <c r="CF169" i="10"/>
  <c r="CF174" i="10"/>
  <c r="CF256" i="10"/>
  <c r="CF771" i="10"/>
  <c r="CF176" i="10"/>
  <c r="CF770" i="10"/>
  <c r="CF175" i="10"/>
  <c r="CF373" i="10" s="1"/>
  <c r="CF363" i="10"/>
  <c r="CF1085" i="10"/>
  <c r="CF937" i="10"/>
  <c r="CF933" i="10"/>
  <c r="CF473" i="10"/>
  <c r="CF474" i="10"/>
  <c r="CF935" i="10"/>
  <c r="CF934" i="10"/>
  <c r="CF940" i="10"/>
  <c r="CF939" i="10"/>
  <c r="BY888" i="10"/>
  <c r="BY1065" i="10"/>
  <c r="BY1075" i="10"/>
  <c r="CG551" i="42"/>
  <c r="CG554" i="42" s="1"/>
  <c r="CG555" i="42" s="1"/>
  <c r="CG540" i="42"/>
  <c r="BL412" i="42"/>
  <c r="BM412" i="42" s="1"/>
  <c r="BM411" i="42" s="1"/>
  <c r="BL413" i="42"/>
  <c r="CB881" i="10"/>
  <c r="CB1058" i="10"/>
  <c r="CB1068" i="10"/>
  <c r="CH140" i="49"/>
  <c r="CH142" i="49" s="1"/>
  <c r="CH9" i="49" s="1"/>
  <c r="CI9" i="49" s="1"/>
  <c r="CH540" i="42"/>
  <c r="CH139" i="49" s="1"/>
  <c r="CH551" i="42"/>
  <c r="CH554" i="42" s="1"/>
  <c r="CH555" i="42" s="1"/>
  <c r="CN1" i="10"/>
  <c r="CO3" i="10"/>
  <c r="DA425" i="42"/>
  <c r="CB808" i="10"/>
  <c r="CB877" i="10"/>
  <c r="CB1054" i="10"/>
  <c r="CD808" i="10"/>
  <c r="CD877" i="10"/>
  <c r="CD1054" i="10"/>
  <c r="CC700" i="10"/>
  <c r="CC1101" i="10"/>
  <c r="CC777" i="20"/>
  <c r="CC1100" i="10"/>
  <c r="CC1097" i="10"/>
  <c r="CH362" i="10"/>
  <c r="CH767" i="10"/>
  <c r="CI767" i="10" s="1"/>
  <c r="CH361" i="10"/>
  <c r="CH781" i="10"/>
  <c r="CH358" i="10"/>
  <c r="CH785" i="10"/>
  <c r="CH783" i="10"/>
  <c r="CH793" i="10" s="1"/>
  <c r="CH764" i="10"/>
  <c r="CI764" i="10" s="1"/>
  <c r="CH359" i="10"/>
  <c r="CH763" i="10"/>
  <c r="CI763" i="10" s="1"/>
  <c r="CH782" i="10"/>
  <c r="CH792" i="10" s="1"/>
  <c r="CH765" i="10"/>
  <c r="CI765" i="10" s="1"/>
  <c r="CH769" i="10"/>
  <c r="CI769" i="10" s="1"/>
  <c r="CH67" i="10"/>
  <c r="CH69" i="10"/>
  <c r="CH771" i="10"/>
  <c r="CH1086" i="10"/>
  <c r="CH1089" i="10" s="1"/>
  <c r="CH256" i="10"/>
  <c r="CH425" i="10"/>
  <c r="CH363" i="10"/>
  <c r="CH176" i="10"/>
  <c r="CH174" i="10"/>
  <c r="CH1085" i="10"/>
  <c r="CH175" i="10"/>
  <c r="CH373" i="10" s="1"/>
  <c r="CH770" i="10"/>
  <c r="CI770" i="10" s="1"/>
  <c r="CH473" i="10"/>
  <c r="CH474" i="10"/>
  <c r="CH935" i="10"/>
  <c r="CH937" i="10"/>
  <c r="CH934" i="10"/>
  <c r="CH933" i="10"/>
  <c r="CH940" i="10"/>
  <c r="CH939" i="10"/>
  <c r="CD883" i="10"/>
  <c r="CE1050" i="10"/>
  <c r="CD1060" i="10"/>
  <c r="CD1070" i="10"/>
  <c r="CC1060" i="10"/>
  <c r="CC883" i="10"/>
  <c r="CC1070" i="10"/>
  <c r="CD802" i="10"/>
  <c r="CD798" i="10"/>
  <c r="CD871" i="10"/>
  <c r="CD1048" i="10"/>
  <c r="CK1" i="20"/>
  <c r="CL1" i="20" s="1"/>
  <c r="CN2" i="20"/>
  <c r="DS23" i="41"/>
  <c r="CX424" i="42"/>
  <c r="CX429" i="42"/>
  <c r="CX439" i="42" s="1"/>
  <c r="BX888" i="10"/>
  <c r="BX1065" i="10"/>
  <c r="BX1075" i="10"/>
  <c r="CB884" i="10"/>
  <c r="CB1071" i="10"/>
  <c r="CJ540" i="42"/>
  <c r="CJ551" i="42"/>
  <c r="CJ554" i="42" s="1"/>
  <c r="CJ555" i="42" s="1"/>
  <c r="CD16" i="49"/>
  <c r="CE16" i="49" s="1"/>
  <c r="CD246" i="49"/>
  <c r="CD21" i="49" s="1"/>
  <c r="CC806" i="10"/>
  <c r="CC875" i="10"/>
  <c r="CC1052" i="10"/>
  <c r="CG362" i="10"/>
  <c r="CG767" i="10"/>
  <c r="CG69" i="10"/>
  <c r="CG171" i="10"/>
  <c r="CG763" i="10"/>
  <c r="CG764" i="10"/>
  <c r="CG765" i="10"/>
  <c r="CG358" i="10"/>
  <c r="CG769" i="10"/>
  <c r="CG782" i="10"/>
  <c r="CG792" i="10" s="1"/>
  <c r="CG785" i="10"/>
  <c r="CG67" i="10"/>
  <c r="CG783" i="10"/>
  <c r="CG793" i="10" s="1"/>
  <c r="CG781" i="10"/>
  <c r="CG791" i="10" s="1"/>
  <c r="CG1080" i="10"/>
  <c r="CG1086" i="10"/>
  <c r="CG1089" i="10" s="1"/>
  <c r="CG1091" i="10" s="1"/>
  <c r="CG1092" i="10" s="1"/>
  <c r="CG172" i="10"/>
  <c r="CG168" i="10"/>
  <c r="CG361" i="10"/>
  <c r="CG425" i="10"/>
  <c r="CG359" i="10"/>
  <c r="CG771" i="10"/>
  <c r="CG474" i="10"/>
  <c r="CG169" i="10"/>
  <c r="CG174" i="10"/>
  <c r="CG176" i="10"/>
  <c r="CG770" i="10"/>
  <c r="CG1085" i="10"/>
  <c r="CG175" i="10"/>
  <c r="CG373" i="10" s="1"/>
  <c r="CG363" i="10"/>
  <c r="CG256" i="10"/>
  <c r="CG473" i="10"/>
  <c r="CG935" i="10"/>
  <c r="CG937" i="10"/>
  <c r="CG934" i="10"/>
  <c r="CG933" i="10"/>
  <c r="CG940" i="10"/>
  <c r="CG939" i="10"/>
  <c r="CB883" i="10"/>
  <c r="CB1070" i="10"/>
  <c r="CB1060" i="10"/>
  <c r="CL1" i="42"/>
  <c r="CL2" i="42" s="1"/>
  <c r="CK2" i="42"/>
  <c r="CG547" i="42"/>
  <c r="CK1" i="43"/>
  <c r="CN2" i="43"/>
  <c r="BZ1065" i="10"/>
  <c r="BZ1075" i="10"/>
  <c r="BZ888" i="10"/>
  <c r="CB1069" i="10"/>
  <c r="CB882" i="10"/>
  <c r="CB1059" i="10"/>
  <c r="CD1059" i="10"/>
  <c r="CE1049" i="10"/>
  <c r="CD882" i="10"/>
  <c r="CD1069" i="10"/>
  <c r="DB205" i="49"/>
  <c r="DF189" i="49" s="1"/>
  <c r="DB207" i="49"/>
  <c r="DF190" i="49" s="1"/>
  <c r="CB776" i="20"/>
  <c r="CB778" i="20" s="1"/>
  <c r="CB779" i="20"/>
  <c r="CB701" i="10"/>
  <c r="CB702" i="10"/>
  <c r="CD349" i="49"/>
  <c r="CD33" i="49" s="1"/>
  <c r="CD28" i="49"/>
  <c r="CE28" i="49" s="1"/>
  <c r="CC808" i="10"/>
  <c r="CC877" i="10"/>
  <c r="CC1054" i="10"/>
  <c r="CN1" i="42"/>
  <c r="CN2" i="42" s="1"/>
  <c r="CO3" i="42"/>
  <c r="CD1071" i="10"/>
  <c r="CD884" i="10"/>
  <c r="CR255" i="42"/>
  <c r="CS253" i="42"/>
  <c r="DE425" i="42" l="1"/>
  <c r="DE429" i="42" s="1"/>
  <c r="DH424" i="42"/>
  <c r="DH425" i="42" s="1"/>
  <c r="DH429" i="42" s="1"/>
  <c r="DH439" i="42" s="1"/>
  <c r="CC809" i="10"/>
  <c r="DS22" i="41"/>
  <c r="DU22" i="41"/>
  <c r="CC1055" i="10"/>
  <c r="CC1075" i="10" s="1"/>
  <c r="CC799" i="10"/>
  <c r="CG70" i="10"/>
  <c r="CC878" i="10"/>
  <c r="CB788" i="10"/>
  <c r="CB1055" i="10"/>
  <c r="CB888" i="10" s="1"/>
  <c r="CB809" i="10"/>
  <c r="CB799" i="10"/>
  <c r="CF941" i="10"/>
  <c r="CG941" i="10"/>
  <c r="CG360" i="10"/>
  <c r="CG364" i="10" s="1"/>
  <c r="CF360" i="10"/>
  <c r="CF364" i="10" s="1"/>
  <c r="CH360" i="10"/>
  <c r="CH364" i="10" s="1"/>
  <c r="BM380" i="42"/>
  <c r="BL382" i="42"/>
  <c r="BL387" i="42"/>
  <c r="BL385" i="42" s="1"/>
  <c r="CR3" i="42"/>
  <c r="CO1" i="42"/>
  <c r="CG804" i="10"/>
  <c r="CG873" i="10"/>
  <c r="CG1050" i="10"/>
  <c r="CH803" i="10"/>
  <c r="CH872" i="10"/>
  <c r="CH1049" i="10"/>
  <c r="CH804" i="10"/>
  <c r="CH873" i="10"/>
  <c r="CH1050" i="10"/>
  <c r="CD834" i="10"/>
  <c r="CD887" i="10"/>
  <c r="CE1054" i="10"/>
  <c r="CD1064" i="10"/>
  <c r="CD1074" i="10"/>
  <c r="DB425" i="42"/>
  <c r="DA429" i="42"/>
  <c r="DA439" i="42" s="1"/>
  <c r="CN390" i="10"/>
  <c r="CN394" i="10"/>
  <c r="CN395" i="10"/>
  <c r="CN392" i="10"/>
  <c r="CN393" i="10"/>
  <c r="CN391" i="10"/>
  <c r="CF700" i="10"/>
  <c r="CF1100" i="10"/>
  <c r="CF777" i="20"/>
  <c r="CF1101" i="10"/>
  <c r="CF1097" i="10"/>
  <c r="CF803" i="10"/>
  <c r="CF872" i="10"/>
  <c r="CF1049" i="10"/>
  <c r="CB1062" i="10"/>
  <c r="CB1072" i="10"/>
  <c r="CB885" i="10"/>
  <c r="CN541" i="42"/>
  <c r="CN547" i="42" s="1"/>
  <c r="CN546" i="42"/>
  <c r="CJ574" i="20"/>
  <c r="CJ575" i="20" s="1"/>
  <c r="CL574" i="20"/>
  <c r="CK574" i="20"/>
  <c r="CJ361" i="20"/>
  <c r="CK361" i="20"/>
  <c r="CL361" i="20"/>
  <c r="CG1105" i="10"/>
  <c r="CG1093" i="10"/>
  <c r="CG1096" i="10" s="1"/>
  <c r="CH1092" i="10"/>
  <c r="CH1093" i="10" s="1"/>
  <c r="CH1096" i="10" s="1"/>
  <c r="CC885" i="10"/>
  <c r="CC1062" i="10"/>
  <c r="CC1072" i="10"/>
  <c r="CD881" i="10"/>
  <c r="CD1068" i="10"/>
  <c r="CE1048" i="10"/>
  <c r="CD1058" i="10"/>
  <c r="CH795" i="10"/>
  <c r="CH787" i="10"/>
  <c r="CH797" i="10" s="1"/>
  <c r="CC779" i="20"/>
  <c r="CC776" i="20"/>
  <c r="CC778" i="20" s="1"/>
  <c r="CN277" i="10"/>
  <c r="CN317" i="10"/>
  <c r="CN327" i="10" s="1"/>
  <c r="CH791" i="10"/>
  <c r="CF802" i="10"/>
  <c r="CF871" i="10"/>
  <c r="CF1048" i="10"/>
  <c r="CD702" i="10"/>
  <c r="CD701" i="10"/>
  <c r="CS255" i="42"/>
  <c r="CV253" i="42"/>
  <c r="CC887" i="10"/>
  <c r="CC1064" i="10"/>
  <c r="CC1074" i="10"/>
  <c r="CC834" i="10"/>
  <c r="CK450" i="42"/>
  <c r="CK541" i="42"/>
  <c r="CK546" i="42"/>
  <c r="CG787" i="10"/>
  <c r="CG797" i="10" s="1"/>
  <c r="CG795" i="10"/>
  <c r="CN276" i="10"/>
  <c r="CN279" i="10"/>
  <c r="CN285" i="10" s="1"/>
  <c r="CN292" i="10"/>
  <c r="BN411" i="42"/>
  <c r="BM413" i="42"/>
  <c r="BN413" i="42" s="1"/>
  <c r="CF873" i="10"/>
  <c r="CF804" i="10"/>
  <c r="CF1050" i="10"/>
  <c r="CD776" i="20"/>
  <c r="CD778" i="20" s="1"/>
  <c r="CD779" i="20"/>
  <c r="CD885" i="10"/>
  <c r="CD1062" i="10"/>
  <c r="CD1072" i="10"/>
  <c r="CE1052" i="10"/>
  <c r="CN1" i="43"/>
  <c r="CO2" i="43"/>
  <c r="CL450" i="42"/>
  <c r="CL541" i="42"/>
  <c r="CL547" i="42" s="1"/>
  <c r="CL546" i="42"/>
  <c r="CG802" i="10"/>
  <c r="CG871" i="10"/>
  <c r="CG1048" i="10"/>
  <c r="CG803" i="10"/>
  <c r="CG872" i="10"/>
  <c r="CG1049" i="10"/>
  <c r="CO2" i="20"/>
  <c r="CN1" i="20"/>
  <c r="CD799" i="10"/>
  <c r="CD788" i="10"/>
  <c r="CD809" i="10"/>
  <c r="CD878" i="10"/>
  <c r="CD1055" i="10"/>
  <c r="CH941" i="10"/>
  <c r="CC702" i="10"/>
  <c r="CC701" i="10"/>
  <c r="CB887" i="10"/>
  <c r="CB834" i="10"/>
  <c r="CB1064" i="10"/>
  <c r="CB1074" i="10"/>
  <c r="CO1" i="10"/>
  <c r="CR3" i="10"/>
  <c r="CH242" i="49"/>
  <c r="CH243" i="49" s="1"/>
  <c r="CH245" i="49" s="1"/>
  <c r="CH345" i="49"/>
  <c r="CH346" i="49" s="1"/>
  <c r="CH348" i="49" s="1"/>
  <c r="CF787" i="10"/>
  <c r="CF797" i="10" s="1"/>
  <c r="CF795" i="10"/>
  <c r="CL2" i="10"/>
  <c r="CL259" i="10" s="1"/>
  <c r="CJ2" i="10"/>
  <c r="CJ259" i="10" s="1"/>
  <c r="CK2" i="10"/>
  <c r="CK259" i="10" s="1"/>
  <c r="CL168" i="10"/>
  <c r="CL390" i="10"/>
  <c r="CL172" i="10"/>
  <c r="CL169" i="10"/>
  <c r="CL394" i="10"/>
  <c r="CL395" i="10"/>
  <c r="CL392" i="10"/>
  <c r="CL171" i="10"/>
  <c r="CL393" i="10"/>
  <c r="CL391" i="10"/>
  <c r="DF425" i="42" l="1"/>
  <c r="CC1065" i="10"/>
  <c r="CC888" i="10"/>
  <c r="DF424" i="42"/>
  <c r="DF429" i="42"/>
  <c r="CB1065" i="10"/>
  <c r="CB1075" i="10"/>
  <c r="CG798" i="10"/>
  <c r="CG809" i="10" s="1"/>
  <c r="CF798" i="10"/>
  <c r="CF788" i="10" s="1"/>
  <c r="BL383" i="42"/>
  <c r="BM383" i="42" s="1"/>
  <c r="BN383" i="42" s="1"/>
  <c r="BM382" i="42"/>
  <c r="BN382" i="42" s="1"/>
  <c r="BN380" i="42"/>
  <c r="BM387" i="42"/>
  <c r="BM385" i="42" s="1"/>
  <c r="CJ172" i="10"/>
  <c r="CJ68" i="10"/>
  <c r="CJ358" i="10"/>
  <c r="CJ425" i="10"/>
  <c r="CJ764" i="10"/>
  <c r="CJ171" i="10"/>
  <c r="CJ769" i="10"/>
  <c r="CJ359" i="10"/>
  <c r="CJ362" i="10"/>
  <c r="CJ168" i="10"/>
  <c r="CJ361" i="10"/>
  <c r="CJ767" i="10"/>
  <c r="CJ782" i="10"/>
  <c r="CJ792" i="10" s="1"/>
  <c r="CJ785" i="10"/>
  <c r="CJ1080" i="10"/>
  <c r="CJ169" i="10"/>
  <c r="CJ67" i="10"/>
  <c r="CJ256" i="10"/>
  <c r="CJ69" i="10"/>
  <c r="CJ70" i="10" s="1"/>
  <c r="CJ176" i="10"/>
  <c r="CJ363" i="10"/>
  <c r="CJ174" i="10"/>
  <c r="CJ765" i="10"/>
  <c r="CJ175" i="10"/>
  <c r="CJ373" i="10" s="1"/>
  <c r="CJ781" i="10"/>
  <c r="CJ791" i="10" s="1"/>
  <c r="CJ783" i="10"/>
  <c r="CJ793" i="10" s="1"/>
  <c r="CJ763" i="10"/>
  <c r="CJ937" i="10"/>
  <c r="CJ1086" i="10"/>
  <c r="CJ1089" i="10" s="1"/>
  <c r="CJ1091" i="10" s="1"/>
  <c r="CJ1092" i="10" s="1"/>
  <c r="CJ1093" i="10" s="1"/>
  <c r="CJ1096" i="10" s="1"/>
  <c r="CJ771" i="10"/>
  <c r="CJ474" i="10"/>
  <c r="CJ1085" i="10"/>
  <c r="CJ473" i="10"/>
  <c r="CJ770" i="10"/>
  <c r="CJ934" i="10"/>
  <c r="CJ933" i="10"/>
  <c r="CJ935" i="10"/>
  <c r="CJ940" i="10"/>
  <c r="CJ939" i="10"/>
  <c r="CK767" i="10"/>
  <c r="CK358" i="10"/>
  <c r="CK764" i="10"/>
  <c r="CK69" i="10"/>
  <c r="CK172" i="10"/>
  <c r="CK769" i="10"/>
  <c r="CK359" i="10"/>
  <c r="CK362" i="10"/>
  <c r="CK782" i="10"/>
  <c r="CK792" i="10" s="1"/>
  <c r="CK785" i="10"/>
  <c r="CK169" i="10"/>
  <c r="CK256" i="10"/>
  <c r="CK1080" i="10"/>
  <c r="CK168" i="10"/>
  <c r="CK67" i="10"/>
  <c r="CK361" i="10"/>
  <c r="CK176" i="10"/>
  <c r="CK765" i="10"/>
  <c r="CK171" i="10"/>
  <c r="CK783" i="10"/>
  <c r="CK793" i="10" s="1"/>
  <c r="CK474" i="10"/>
  <c r="CK763" i="10"/>
  <c r="CK174" i="10"/>
  <c r="CK68" i="10"/>
  <c r="CK425" i="10"/>
  <c r="CK781" i="10"/>
  <c r="CK791" i="10" s="1"/>
  <c r="CK175" i="10"/>
  <c r="CK373" i="10" s="1"/>
  <c r="CK1086" i="10"/>
  <c r="CK1089" i="10" s="1"/>
  <c r="CK1091" i="10" s="1"/>
  <c r="CK1092" i="10" s="1"/>
  <c r="CK1085" i="10"/>
  <c r="CK363" i="10"/>
  <c r="CK771" i="10"/>
  <c r="CK473" i="10"/>
  <c r="CK770" i="10"/>
  <c r="CK937" i="10"/>
  <c r="CK933" i="10"/>
  <c r="CK934" i="10"/>
  <c r="CK935" i="10"/>
  <c r="CK940" i="10"/>
  <c r="CK939" i="10"/>
  <c r="CH16" i="49"/>
  <c r="CI16" i="49" s="1"/>
  <c r="CH246" i="49"/>
  <c r="CH21" i="49" s="1"/>
  <c r="CO276" i="10"/>
  <c r="CO279" i="10"/>
  <c r="CO285" i="10" s="1"/>
  <c r="CO292" i="10"/>
  <c r="CP1241" i="10"/>
  <c r="CO1" i="20"/>
  <c r="CP1" i="20" s="1"/>
  <c r="CR2" i="20"/>
  <c r="CG881" i="10"/>
  <c r="CG1058" i="10"/>
  <c r="CG1068" i="10"/>
  <c r="CL143" i="49"/>
  <c r="CL1105" i="10"/>
  <c r="CO1" i="43"/>
  <c r="CR2" i="43"/>
  <c r="CN300" i="10"/>
  <c r="CN295" i="10"/>
  <c r="CN307" i="10"/>
  <c r="CN293" i="10"/>
  <c r="CP1238" i="10"/>
  <c r="CG875" i="10"/>
  <c r="CG806" i="10"/>
  <c r="CG1052" i="10"/>
  <c r="CK551" i="42"/>
  <c r="CK554" i="42" s="1"/>
  <c r="CK555" i="42" s="1"/>
  <c r="CK540" i="42"/>
  <c r="CG700" i="10"/>
  <c r="CG1101" i="10"/>
  <c r="CG1100" i="10"/>
  <c r="CG777" i="20"/>
  <c r="CG1097" i="10"/>
  <c r="CP1240" i="10"/>
  <c r="CH882" i="10"/>
  <c r="CH1069" i="10"/>
  <c r="CI1049" i="10"/>
  <c r="CH1059" i="10"/>
  <c r="CS3" i="10"/>
  <c r="CR1" i="10"/>
  <c r="CG1069" i="10"/>
  <c r="CG882" i="10"/>
  <c r="CG1059" i="10"/>
  <c r="DW23" i="41"/>
  <c r="CG808" i="10"/>
  <c r="CG877" i="10"/>
  <c r="CG1054" i="10"/>
  <c r="CH802" i="10"/>
  <c r="CH871" i="10"/>
  <c r="CH798" i="10"/>
  <c r="CH1048" i="10"/>
  <c r="CN1105" i="10"/>
  <c r="CF702" i="10"/>
  <c r="CF701" i="10"/>
  <c r="CH1060" i="10"/>
  <c r="CI1050" i="10"/>
  <c r="CH883" i="10"/>
  <c r="CH1070" i="10"/>
  <c r="CG883" i="10"/>
  <c r="CG1070" i="10"/>
  <c r="CG1060" i="10"/>
  <c r="CM394" i="10"/>
  <c r="CM391" i="10"/>
  <c r="CL359" i="10"/>
  <c r="CL362" i="10"/>
  <c r="CL361" i="10"/>
  <c r="CL358" i="10"/>
  <c r="CL782" i="10"/>
  <c r="CL792" i="10" s="1"/>
  <c r="CL785" i="10"/>
  <c r="CL256" i="10"/>
  <c r="CL764" i="10"/>
  <c r="CM764" i="10" s="1"/>
  <c r="CL767" i="10"/>
  <c r="CM767" i="10" s="1"/>
  <c r="CL69" i="10"/>
  <c r="CL769" i="10"/>
  <c r="CM769" i="10" s="1"/>
  <c r="CL363" i="10"/>
  <c r="CL67" i="10"/>
  <c r="CL176" i="10"/>
  <c r="CL765" i="10"/>
  <c r="CM765" i="10" s="1"/>
  <c r="CL781" i="10"/>
  <c r="CL175" i="10"/>
  <c r="CL373" i="10" s="1"/>
  <c r="CL783" i="10"/>
  <c r="CL793" i="10" s="1"/>
  <c r="CL68" i="10"/>
  <c r="CL425" i="10"/>
  <c r="CL174" i="10"/>
  <c r="CL763" i="10"/>
  <c r="CM763" i="10" s="1"/>
  <c r="CL474" i="10"/>
  <c r="CL770" i="10"/>
  <c r="CM770" i="10" s="1"/>
  <c r="CL771" i="10"/>
  <c r="CL1085" i="10"/>
  <c r="CL1086" i="10"/>
  <c r="CL1089" i="10" s="1"/>
  <c r="CL937" i="10"/>
  <c r="CL473" i="10"/>
  <c r="CL935" i="10"/>
  <c r="CL933" i="10"/>
  <c r="CL934" i="10"/>
  <c r="CL940" i="10"/>
  <c r="CL939" i="10"/>
  <c r="CF877" i="10"/>
  <c r="CF808" i="10"/>
  <c r="CF1054" i="10"/>
  <c r="CP1" i="10"/>
  <c r="CO390" i="10"/>
  <c r="CO394" i="10"/>
  <c r="CO393" i="10"/>
  <c r="CO392" i="10"/>
  <c r="CO395" i="10"/>
  <c r="CO391" i="10"/>
  <c r="CD1065" i="10"/>
  <c r="CD1075" i="10"/>
  <c r="CE1055" i="10"/>
  <c r="CD888" i="10"/>
  <c r="CL140" i="49"/>
  <c r="CL142" i="49" s="1"/>
  <c r="CL9" i="49" s="1"/>
  <c r="CM9" i="49" s="1"/>
  <c r="CL551" i="42"/>
  <c r="CL554" i="42" s="1"/>
  <c r="CL555" i="42" s="1"/>
  <c r="CL540" i="42"/>
  <c r="CL139" i="49" s="1"/>
  <c r="CN280" i="10"/>
  <c r="CN286" i="10" s="1"/>
  <c r="CN287" i="10" s="1"/>
  <c r="CN282" i="10"/>
  <c r="DV23" i="41"/>
  <c r="CW253" i="42"/>
  <c r="CV255" i="42"/>
  <c r="CF1058" i="10"/>
  <c r="CF881" i="10"/>
  <c r="CF1068" i="10"/>
  <c r="CP1239" i="10"/>
  <c r="CH808" i="10"/>
  <c r="CH877" i="10"/>
  <c r="CH1054" i="10"/>
  <c r="CK575" i="20"/>
  <c r="DY23" i="41"/>
  <c r="CF882" i="10"/>
  <c r="CF1059" i="10"/>
  <c r="CF1069" i="10"/>
  <c r="CP1" i="42"/>
  <c r="CP2" i="42" s="1"/>
  <c r="CO2" i="42"/>
  <c r="CF806" i="10"/>
  <c r="CF875" i="10"/>
  <c r="CF1052" i="10"/>
  <c r="CH349" i="49"/>
  <c r="CH33" i="49" s="1"/>
  <c r="CH28" i="49"/>
  <c r="CI28" i="49" s="1"/>
  <c r="CO277" i="10"/>
  <c r="CO283" i="10" s="1"/>
  <c r="CO317" i="10"/>
  <c r="CF1070" i="10"/>
  <c r="CF883" i="10"/>
  <c r="CF1060" i="10"/>
  <c r="BN412" i="42"/>
  <c r="BP411" i="42"/>
  <c r="CK547" i="42"/>
  <c r="CH806" i="10"/>
  <c r="CH875" i="10"/>
  <c r="CH1052" i="10"/>
  <c r="CH700" i="10"/>
  <c r="CH1101" i="10"/>
  <c r="CH777" i="20"/>
  <c r="CH1100" i="10"/>
  <c r="CH1097" i="10"/>
  <c r="CN540" i="42"/>
  <c r="CN551" i="42"/>
  <c r="CN554" i="42" s="1"/>
  <c r="CN555" i="42" s="1"/>
  <c r="CF779" i="20"/>
  <c r="CF776" i="20"/>
  <c r="CF778" i="20" s="1"/>
  <c r="DB424" i="42"/>
  <c r="DB429" i="42"/>
  <c r="DB439" i="42" s="1"/>
  <c r="CR1" i="42"/>
  <c r="CR2" i="42" s="1"/>
  <c r="CS3" i="42"/>
  <c r="DY22" i="41" l="1"/>
  <c r="DV22" i="41"/>
  <c r="DW22" i="41"/>
  <c r="CG1055" i="10"/>
  <c r="CG888" i="10" s="1"/>
  <c r="CG878" i="10"/>
  <c r="CL360" i="10"/>
  <c r="CL364" i="10" s="1"/>
  <c r="CJ941" i="10"/>
  <c r="CG799" i="10"/>
  <c r="CF1055" i="10"/>
  <c r="CF1075" i="10" s="1"/>
  <c r="CF878" i="10"/>
  <c r="CG788" i="10"/>
  <c r="CF809" i="10"/>
  <c r="CF799" i="10"/>
  <c r="CK941" i="10"/>
  <c r="BP380" i="42"/>
  <c r="BN387" i="42"/>
  <c r="BN385" i="42" s="1"/>
  <c r="CL941" i="10"/>
  <c r="CK70" i="10"/>
  <c r="CR541" i="42"/>
  <c r="CR547" i="42" s="1"/>
  <c r="CR546" i="42"/>
  <c r="CH779" i="20"/>
  <c r="CH776" i="20"/>
  <c r="CH778" i="20" s="1"/>
  <c r="CK1105" i="10"/>
  <c r="CO574" i="20"/>
  <c r="CN574" i="20"/>
  <c r="CN575" i="20" s="1"/>
  <c r="CP574" i="20"/>
  <c r="CN361" i="20"/>
  <c r="CO361" i="20"/>
  <c r="CP361" i="20"/>
  <c r="CF885" i="10"/>
  <c r="CF1062" i="10"/>
  <c r="CF1072" i="10"/>
  <c r="CP541" i="42"/>
  <c r="CP546" i="42"/>
  <c r="CH887" i="10"/>
  <c r="CH1064" i="10"/>
  <c r="CH1074" i="10"/>
  <c r="CH834" i="10"/>
  <c r="CI1054" i="10"/>
  <c r="CZ253" i="42"/>
  <c r="CW255" i="42"/>
  <c r="CF1064" i="10"/>
  <c r="CF1074" i="10"/>
  <c r="CF834" i="10"/>
  <c r="CF887" i="10"/>
  <c r="CL872" i="10"/>
  <c r="CL803" i="10"/>
  <c r="CL1049" i="10"/>
  <c r="CH1068" i="10"/>
  <c r="CH881" i="10"/>
  <c r="CH1058" i="10"/>
  <c r="CI1048" i="10"/>
  <c r="CG834" i="10"/>
  <c r="CG1064" i="10"/>
  <c r="CG1074" i="10"/>
  <c r="CR277" i="10"/>
  <c r="CR317" i="10"/>
  <c r="CR327" i="10" s="1"/>
  <c r="CR1" i="43"/>
  <c r="CS2" i="43"/>
  <c r="CR1" i="20"/>
  <c r="CS2" i="20"/>
  <c r="CK802" i="10"/>
  <c r="CK871" i="10"/>
  <c r="CK1048" i="10"/>
  <c r="CK787" i="10"/>
  <c r="CK797" i="10" s="1"/>
  <c r="CK795" i="10"/>
  <c r="CH885" i="10"/>
  <c r="CI1052" i="10"/>
  <c r="CH1062" i="10"/>
  <c r="CH1072" i="10"/>
  <c r="DI424" i="42"/>
  <c r="CH799" i="10"/>
  <c r="CH878" i="10"/>
  <c r="CH809" i="10"/>
  <c r="CH788" i="10"/>
  <c r="CH1055" i="10"/>
  <c r="CR276" i="10"/>
  <c r="CR279" i="10"/>
  <c r="CR285" i="10" s="1"/>
  <c r="CR292" i="10"/>
  <c r="CO280" i="10"/>
  <c r="CO286" i="10" s="1"/>
  <c r="CO287" i="10" s="1"/>
  <c r="CO282" i="10"/>
  <c r="CK803" i="10"/>
  <c r="CK872" i="10"/>
  <c r="CK1049" i="10"/>
  <c r="CK386" i="20" s="1"/>
  <c r="CJ804" i="10"/>
  <c r="CJ873" i="10"/>
  <c r="CJ1050" i="10"/>
  <c r="CJ787" i="10"/>
  <c r="CJ797" i="10" s="1"/>
  <c r="CJ795" i="10"/>
  <c r="CH702" i="10"/>
  <c r="CH701" i="10"/>
  <c r="DE426" i="42"/>
  <c r="CL242" i="49"/>
  <c r="CL243" i="49" s="1"/>
  <c r="CL245" i="49" s="1"/>
  <c r="CL345" i="49"/>
  <c r="CL346" i="49" s="1"/>
  <c r="CL348" i="49" s="1"/>
  <c r="CR394" i="10"/>
  <c r="CR392" i="10"/>
  <c r="CR395" i="10"/>
  <c r="CR390" i="10"/>
  <c r="CR391" i="10"/>
  <c r="CR393" i="10"/>
  <c r="CG702" i="10"/>
  <c r="CG701" i="10"/>
  <c r="CG1062" i="10"/>
  <c r="CG1072" i="10"/>
  <c r="CG885" i="10"/>
  <c r="CN309" i="10"/>
  <c r="CN310" i="10" s="1"/>
  <c r="CN296" i="10"/>
  <c r="CN301" i="10"/>
  <c r="CL1092" i="10"/>
  <c r="CL1093" i="10" s="1"/>
  <c r="CL1096" i="10" s="1"/>
  <c r="CK1093" i="10"/>
  <c r="CK1096" i="10" s="1"/>
  <c r="CK873" i="10"/>
  <c r="CK804" i="10"/>
  <c r="CK1050" i="10"/>
  <c r="CJ700" i="10"/>
  <c r="CJ1100" i="10"/>
  <c r="CJ1101" i="10"/>
  <c r="CJ777" i="20"/>
  <c r="CJ1097" i="10"/>
  <c r="CJ802" i="10"/>
  <c r="CL791" i="10"/>
  <c r="CJ871" i="10"/>
  <c r="CJ1048" i="10"/>
  <c r="CJ803" i="10"/>
  <c r="CJ872" i="10"/>
  <c r="CJ1049" i="10"/>
  <c r="CJ386" i="20" s="1"/>
  <c r="CJ388" i="20" s="1"/>
  <c r="CJ390" i="20" s="1"/>
  <c r="CJ391" i="20" s="1"/>
  <c r="CS1" i="42"/>
  <c r="CV3" i="42"/>
  <c r="BP413" i="42"/>
  <c r="BP412" i="42"/>
  <c r="BQ412" i="42" s="1"/>
  <c r="BQ411" i="42" s="1"/>
  <c r="CO327" i="10"/>
  <c r="CO321" i="10"/>
  <c r="CO541" i="42"/>
  <c r="CO547" i="42" s="1"/>
  <c r="CO546" i="42"/>
  <c r="CN2" i="10"/>
  <c r="CN259" i="10" s="1"/>
  <c r="CO2" i="10"/>
  <c r="CO259" i="10" s="1"/>
  <c r="CP2" i="10"/>
  <c r="CP259" i="10" s="1"/>
  <c r="CP172" i="10"/>
  <c r="CP169" i="10"/>
  <c r="CP390" i="10"/>
  <c r="CP394" i="10"/>
  <c r="CP168" i="10"/>
  <c r="CP393" i="10"/>
  <c r="CP171" i="10"/>
  <c r="CP392" i="10"/>
  <c r="CP395" i="10"/>
  <c r="CP391" i="10"/>
  <c r="CL804" i="10"/>
  <c r="CL873" i="10"/>
  <c r="CL1050" i="10"/>
  <c r="CL787" i="10"/>
  <c r="CL797" i="10" s="1"/>
  <c r="CL795" i="10"/>
  <c r="CS1" i="10"/>
  <c r="CV3" i="10"/>
  <c r="CG776" i="20"/>
  <c r="CG778" i="20" s="1"/>
  <c r="CG779" i="20"/>
  <c r="CN316" i="10"/>
  <c r="CO293" i="10"/>
  <c r="CO300" i="10"/>
  <c r="CO295" i="10"/>
  <c r="CO307" i="10"/>
  <c r="CK360" i="10"/>
  <c r="CK364" i="10" s="1"/>
  <c r="CJ360" i="10"/>
  <c r="CJ364" i="10" s="1"/>
  <c r="CL386" i="20" l="1"/>
  <c r="CK388" i="20"/>
  <c r="DF426" i="42"/>
  <c r="DE28" i="10"/>
  <c r="CG1075" i="10"/>
  <c r="CG1065" i="10"/>
  <c r="CQ394" i="10"/>
  <c r="CQ391" i="10"/>
  <c r="CF1065" i="10"/>
  <c r="CF888" i="10"/>
  <c r="CJ798" i="10"/>
  <c r="CJ809" i="10" s="1"/>
  <c r="CK798" i="10"/>
  <c r="CK788" i="10" s="1"/>
  <c r="BQ380" i="42"/>
  <c r="BP382" i="42"/>
  <c r="BP387" i="42"/>
  <c r="BP385" i="42" s="1"/>
  <c r="CO316" i="10"/>
  <c r="CS277" i="10"/>
  <c r="CS283" i="10" s="1"/>
  <c r="CS317" i="10"/>
  <c r="CL883" i="10"/>
  <c r="CL1070" i="10"/>
  <c r="CM1050" i="10"/>
  <c r="CL1060" i="10"/>
  <c r="CO1105" i="10"/>
  <c r="CT1" i="42"/>
  <c r="CT2" i="42" s="1"/>
  <c r="CS2" i="42"/>
  <c r="CJ881" i="10"/>
  <c r="CJ1068" i="10"/>
  <c r="CJ1058" i="10"/>
  <c r="CL28" i="49"/>
  <c r="CM28" i="49" s="1"/>
  <c r="CL349" i="49"/>
  <c r="CL33" i="49" s="1"/>
  <c r="CJ808" i="10"/>
  <c r="CJ877" i="10"/>
  <c r="CJ1054" i="10"/>
  <c r="CK882" i="10"/>
  <c r="CK1059" i="10"/>
  <c r="CK1069" i="10"/>
  <c r="DL424" i="42"/>
  <c r="DI425" i="42"/>
  <c r="CK877" i="10"/>
  <c r="CK808" i="10"/>
  <c r="CK1054" i="10"/>
  <c r="EA23" i="41"/>
  <c r="CS279" i="10"/>
  <c r="CS285" i="10" s="1"/>
  <c r="CS276" i="10"/>
  <c r="CS292" i="10"/>
  <c r="CT1240" i="10"/>
  <c r="CP361" i="10"/>
  <c r="CP358" i="10"/>
  <c r="CP765" i="10"/>
  <c r="CQ765" i="10" s="1"/>
  <c r="CP783" i="10"/>
  <c r="CP793" i="10" s="1"/>
  <c r="CP1050" i="10" s="1"/>
  <c r="CQ1050" i="10" s="1"/>
  <c r="CP362" i="10"/>
  <c r="CP769" i="10"/>
  <c r="CQ769" i="10" s="1"/>
  <c r="CP781" i="10"/>
  <c r="CP782" i="10"/>
  <c r="CP792" i="10" s="1"/>
  <c r="CP1049" i="10" s="1"/>
  <c r="CP785" i="10"/>
  <c r="CP764" i="10"/>
  <c r="CQ764" i="10" s="1"/>
  <c r="CP767" i="10"/>
  <c r="CQ767" i="10" s="1"/>
  <c r="CP359" i="10"/>
  <c r="CP763" i="10"/>
  <c r="CQ763" i="10" s="1"/>
  <c r="CP69" i="10"/>
  <c r="CP1086" i="10"/>
  <c r="CP1089" i="10" s="1"/>
  <c r="CP256" i="10"/>
  <c r="CP68" i="10"/>
  <c r="CP425" i="10"/>
  <c r="CP176" i="10"/>
  <c r="CP363" i="10"/>
  <c r="CP67" i="10"/>
  <c r="CP1085" i="10"/>
  <c r="CP174" i="10"/>
  <c r="CP175" i="10"/>
  <c r="CP373" i="10" s="1"/>
  <c r="CP771" i="10"/>
  <c r="CP770" i="10"/>
  <c r="CQ770" i="10" s="1"/>
  <c r="CP473" i="10"/>
  <c r="CP474" i="10"/>
  <c r="CP937" i="10"/>
  <c r="CP934" i="10"/>
  <c r="CP935" i="10"/>
  <c r="CP933" i="10"/>
  <c r="CP940" i="10"/>
  <c r="CP939" i="10"/>
  <c r="DZ23" i="41"/>
  <c r="BQ413" i="42"/>
  <c r="BR413" i="42" s="1"/>
  <c r="BR411" i="42"/>
  <c r="BR412" i="42" s="1"/>
  <c r="CJ1059" i="10"/>
  <c r="CJ882" i="10"/>
  <c r="CJ1069" i="10"/>
  <c r="CJ702" i="10"/>
  <c r="CJ701" i="10"/>
  <c r="CK700" i="10"/>
  <c r="CK1100" i="10"/>
  <c r="CK777" i="20"/>
  <c r="CK1101" i="10"/>
  <c r="CK1097" i="10"/>
  <c r="CN322" i="10"/>
  <c r="CN325" i="10"/>
  <c r="CT1241" i="10"/>
  <c r="CL246" i="49"/>
  <c r="CL21" i="49" s="1"/>
  <c r="CL16" i="49"/>
  <c r="CM16" i="49" s="1"/>
  <c r="CJ883" i="10"/>
  <c r="CJ1060" i="10"/>
  <c r="CJ1070" i="10"/>
  <c r="CR280" i="10"/>
  <c r="CR286" i="10" s="1"/>
  <c r="CR287" i="10" s="1"/>
  <c r="CR282" i="10"/>
  <c r="CH888" i="10"/>
  <c r="CI1055" i="10"/>
  <c r="CH1065" i="10"/>
  <c r="CH1075" i="10"/>
  <c r="CK1058" i="10"/>
  <c r="CK881" i="10"/>
  <c r="CK1068" i="10"/>
  <c r="CV2" i="20"/>
  <c r="CS1" i="20"/>
  <c r="CT1" i="20" s="1"/>
  <c r="CL1069" i="10"/>
  <c r="CL882" i="10"/>
  <c r="CL1059" i="10"/>
  <c r="CM1049" i="10"/>
  <c r="CZ255" i="42"/>
  <c r="DA253" i="42"/>
  <c r="DD253" i="42" s="1"/>
  <c r="CP140" i="49"/>
  <c r="CP142" i="49" s="1"/>
  <c r="CP9" i="49" s="1"/>
  <c r="CQ9" i="49" s="1"/>
  <c r="CP551" i="42"/>
  <c r="CP554" i="42" s="1"/>
  <c r="CP555" i="42" s="1"/>
  <c r="CP540" i="42"/>
  <c r="CP139" i="49" s="1"/>
  <c r="CR1105" i="10"/>
  <c r="CN320" i="10"/>
  <c r="CN326" i="10"/>
  <c r="CV1" i="10"/>
  <c r="CW3" i="10"/>
  <c r="CL875" i="10"/>
  <c r="CL806" i="10"/>
  <c r="CL1052" i="10"/>
  <c r="CO172" i="10"/>
  <c r="CO358" i="10"/>
  <c r="CO425" i="10"/>
  <c r="CO1086" i="10"/>
  <c r="CO1089" i="10" s="1"/>
  <c r="CO1091" i="10" s="1"/>
  <c r="CO1092" i="10" s="1"/>
  <c r="CO767" i="10"/>
  <c r="CO763" i="10"/>
  <c r="CO764" i="10"/>
  <c r="CO765" i="10"/>
  <c r="CO362" i="10"/>
  <c r="CO769" i="10"/>
  <c r="CO169" i="10"/>
  <c r="CO781" i="10"/>
  <c r="CO791" i="10" s="1"/>
  <c r="CO782" i="10"/>
  <c r="CO792" i="10" s="1"/>
  <c r="CO785" i="10"/>
  <c r="CO1080" i="10"/>
  <c r="CO783" i="10"/>
  <c r="CO793" i="10" s="1"/>
  <c r="CO361" i="10"/>
  <c r="CO176" i="10"/>
  <c r="CO69" i="10"/>
  <c r="CO168" i="10"/>
  <c r="CO171" i="10"/>
  <c r="CO67" i="10"/>
  <c r="CO68" i="10"/>
  <c r="CO359" i="10"/>
  <c r="CO256" i="10"/>
  <c r="CO771" i="10"/>
  <c r="CO770" i="10"/>
  <c r="CO1085" i="10"/>
  <c r="CO175" i="10"/>
  <c r="CO373" i="10" s="1"/>
  <c r="CO474" i="10"/>
  <c r="CO473" i="10"/>
  <c r="CO174" i="10"/>
  <c r="CO363" i="10"/>
  <c r="CO933" i="10"/>
  <c r="CO937" i="10"/>
  <c r="CO934" i="10"/>
  <c r="CO935" i="10"/>
  <c r="CO940" i="10"/>
  <c r="CO939" i="10"/>
  <c r="CO540" i="42"/>
  <c r="CO551" i="42"/>
  <c r="CO554" i="42" s="1"/>
  <c r="CO555" i="42" s="1"/>
  <c r="CL802" i="10"/>
  <c r="CL871" i="10"/>
  <c r="CL798" i="10"/>
  <c r="CL1048" i="10"/>
  <c r="CJ776" i="20"/>
  <c r="CJ778" i="20" s="1"/>
  <c r="CJ779" i="20"/>
  <c r="CK1070" i="10"/>
  <c r="CK883" i="10"/>
  <c r="CK1060" i="10"/>
  <c r="CL700" i="10"/>
  <c r="CL1101" i="10"/>
  <c r="CL1100" i="10"/>
  <c r="CL777" i="20"/>
  <c r="CL1097" i="10"/>
  <c r="CT1239" i="10"/>
  <c r="CO575" i="20"/>
  <c r="EC23" i="41"/>
  <c r="CO301" i="10"/>
  <c r="CO309" i="10"/>
  <c r="CO296" i="10"/>
  <c r="CN314" i="10"/>
  <c r="CN323" i="10"/>
  <c r="CT1" i="10"/>
  <c r="CS390" i="10"/>
  <c r="CS394" i="10"/>
  <c r="CS392" i="10"/>
  <c r="CS395" i="10"/>
  <c r="CS391" i="10"/>
  <c r="CS393" i="10"/>
  <c r="CL808" i="10"/>
  <c r="CL877" i="10"/>
  <c r="CL1054" i="10"/>
  <c r="CN69" i="10"/>
  <c r="CN70" i="10" s="1"/>
  <c r="CN172" i="10"/>
  <c r="CN763" i="10"/>
  <c r="CN764" i="10"/>
  <c r="CN765" i="10"/>
  <c r="CN359" i="10"/>
  <c r="CN362" i="10"/>
  <c r="CN769" i="10"/>
  <c r="CN361" i="10"/>
  <c r="CN781" i="10"/>
  <c r="CN791" i="10" s="1"/>
  <c r="CN358" i="10"/>
  <c r="CN767" i="10"/>
  <c r="CN782" i="10"/>
  <c r="CN792" i="10" s="1"/>
  <c r="CN785" i="10"/>
  <c r="CN1080" i="10"/>
  <c r="CN783" i="10"/>
  <c r="CN793" i="10" s="1"/>
  <c r="CN67" i="10"/>
  <c r="CN169" i="10"/>
  <c r="CN168" i="10"/>
  <c r="CN176" i="10"/>
  <c r="CN1086" i="10"/>
  <c r="CN1089" i="10" s="1"/>
  <c r="CN1091" i="10" s="1"/>
  <c r="CN1092" i="10" s="1"/>
  <c r="CN1093" i="10" s="1"/>
  <c r="CN1096" i="10" s="1"/>
  <c r="CN171" i="10"/>
  <c r="CN256" i="10"/>
  <c r="CN68" i="10"/>
  <c r="CN175" i="10"/>
  <c r="CN373" i="10" s="1"/>
  <c r="CN425" i="10"/>
  <c r="CN363" i="10"/>
  <c r="CN771" i="10"/>
  <c r="CN770" i="10"/>
  <c r="CN1085" i="10"/>
  <c r="CN174" i="10"/>
  <c r="CN473" i="10"/>
  <c r="CN937" i="10"/>
  <c r="CN474" i="10"/>
  <c r="CN933" i="10"/>
  <c r="CN934" i="10"/>
  <c r="CN935" i="10"/>
  <c r="CN940" i="10"/>
  <c r="CN939" i="10"/>
  <c r="CW3" i="42"/>
  <c r="CV1" i="42"/>
  <c r="CV2" i="42" s="1"/>
  <c r="CJ806" i="10"/>
  <c r="CJ875" i="10"/>
  <c r="CJ1052" i="10"/>
  <c r="CR295" i="10"/>
  <c r="CR307" i="10"/>
  <c r="CR293" i="10"/>
  <c r="CR300" i="10"/>
  <c r="CT1238" i="10"/>
  <c r="CK806" i="10"/>
  <c r="CK875" i="10"/>
  <c r="CK1052" i="10"/>
  <c r="CS1" i="43"/>
  <c r="CV2" i="43"/>
  <c r="CP547" i="42"/>
  <c r="CR551" i="42"/>
  <c r="CR554" i="42" s="1"/>
  <c r="CR555" i="42" s="1"/>
  <c r="CR540" i="42"/>
  <c r="CJ799" i="10" l="1"/>
  <c r="CL388" i="20"/>
  <c r="CL390" i="20" s="1"/>
  <c r="CL391" i="20" s="1"/>
  <c r="CK390" i="20"/>
  <c r="CK391" i="20" s="1"/>
  <c r="CQ1049" i="10"/>
  <c r="DF28" i="10"/>
  <c r="DF57" i="49" s="1"/>
  <c r="DE57" i="49"/>
  <c r="DD255" i="42"/>
  <c r="DE253" i="42"/>
  <c r="CJ1055" i="10"/>
  <c r="CJ1075" i="10" s="1"/>
  <c r="CJ788" i="10"/>
  <c r="EC22" i="41"/>
  <c r="EA22" i="41"/>
  <c r="DZ22" i="41"/>
  <c r="CZ3" i="10"/>
  <c r="CJ878" i="10"/>
  <c r="CP360" i="10"/>
  <c r="CP364" i="10" s="1"/>
  <c r="CK1055" i="10"/>
  <c r="CK888" i="10" s="1"/>
  <c r="CK809" i="10"/>
  <c r="CP941" i="10"/>
  <c r="CK878" i="10"/>
  <c r="CK799" i="10"/>
  <c r="CO941" i="10"/>
  <c r="CO360" i="10"/>
  <c r="CO364" i="10" s="1"/>
  <c r="BP383" i="42"/>
  <c r="BQ383" i="42" s="1"/>
  <c r="BR383" i="42" s="1"/>
  <c r="BQ382" i="42"/>
  <c r="BR382" i="42" s="1"/>
  <c r="BR380" i="42"/>
  <c r="BQ387" i="42"/>
  <c r="BQ385" i="42" s="1"/>
  <c r="CR296" i="10"/>
  <c r="CR301" i="10"/>
  <c r="CR309" i="10"/>
  <c r="CR310" i="10" s="1"/>
  <c r="CW1" i="42"/>
  <c r="CZ3" i="42"/>
  <c r="CN804" i="10"/>
  <c r="CN873" i="10"/>
  <c r="CN1050" i="10"/>
  <c r="CL834" i="10"/>
  <c r="CM1054" i="10"/>
  <c r="CL1064" i="10"/>
  <c r="CL1074" i="10"/>
  <c r="CL887" i="10"/>
  <c r="CL881" i="10"/>
  <c r="CM1048" i="10"/>
  <c r="CL1058" i="10"/>
  <c r="CL1068" i="10"/>
  <c r="CO787" i="10"/>
  <c r="CO797" i="10" s="1"/>
  <c r="CO795" i="10"/>
  <c r="CV277" i="10"/>
  <c r="CV317" i="10"/>
  <c r="CV327" i="10" s="1"/>
  <c r="CS282" i="10"/>
  <c r="CS280" i="10"/>
  <c r="CS286" i="10" s="1"/>
  <c r="CS287" i="10" s="1"/>
  <c r="CK1064" i="10"/>
  <c r="CK1074" i="10"/>
  <c r="CK834" i="10"/>
  <c r="CK887" i="10"/>
  <c r="DM424" i="42"/>
  <c r="DP424" i="42" s="1"/>
  <c r="DL425" i="42"/>
  <c r="CT541" i="42"/>
  <c r="CT547" i="42" s="1"/>
  <c r="CT546" i="42"/>
  <c r="CK885" i="10"/>
  <c r="CK1062" i="10"/>
  <c r="CK1072" i="10"/>
  <c r="CR316" i="10"/>
  <c r="CR2" i="10"/>
  <c r="CR259" i="10" s="1"/>
  <c r="CS2" i="10"/>
  <c r="CS259" i="10" s="1"/>
  <c r="CT2" i="10"/>
  <c r="CT390" i="10"/>
  <c r="CT172" i="10"/>
  <c r="CT395" i="10"/>
  <c r="CT168" i="10"/>
  <c r="CT169" i="10"/>
  <c r="CT394" i="10"/>
  <c r="CT392" i="10"/>
  <c r="CT391" i="10"/>
  <c r="CT171" i="10"/>
  <c r="CT393" i="10"/>
  <c r="CO322" i="10"/>
  <c r="CO325" i="10"/>
  <c r="CL788" i="10"/>
  <c r="CL809" i="10"/>
  <c r="CL799" i="10"/>
  <c r="CL878" i="10"/>
  <c r="CL1055" i="10"/>
  <c r="CO803" i="10"/>
  <c r="CO872" i="10"/>
  <c r="CO1049" i="10"/>
  <c r="CO386" i="20" s="1"/>
  <c r="CV1252" i="10"/>
  <c r="CV276" i="10"/>
  <c r="CV279" i="10"/>
  <c r="CV285" i="10" s="1"/>
  <c r="CV292" i="10"/>
  <c r="CP242" i="49"/>
  <c r="CP243" i="49" s="1"/>
  <c r="CP245" i="49" s="1"/>
  <c r="CP345" i="49"/>
  <c r="CP346" i="49" s="1"/>
  <c r="CP348" i="49" s="1"/>
  <c r="CN328" i="10"/>
  <c r="CK779" i="20"/>
  <c r="CK776" i="20"/>
  <c r="CK778" i="20" s="1"/>
  <c r="CP787" i="10"/>
  <c r="CP797" i="10" s="1"/>
  <c r="CP1054" i="10" s="1"/>
  <c r="CQ1054" i="10" s="1"/>
  <c r="CP795" i="10"/>
  <c r="CP1052" i="10" s="1"/>
  <c r="CQ1052" i="10" s="1"/>
  <c r="CO310" i="10"/>
  <c r="CP143" i="49"/>
  <c r="CP1105" i="10"/>
  <c r="CN941" i="10"/>
  <c r="CN795" i="10"/>
  <c r="CN787" i="10"/>
  <c r="CN797" i="10" s="1"/>
  <c r="CN802" i="10"/>
  <c r="CP791" i="10"/>
  <c r="CP1048" i="10" s="1"/>
  <c r="CQ1048" i="10" s="1"/>
  <c r="CN871" i="10"/>
  <c r="CN1048" i="10"/>
  <c r="CN360" i="10"/>
  <c r="CN364" i="10" s="1"/>
  <c r="CR574" i="20"/>
  <c r="CR575" i="20" s="1"/>
  <c r="CT574" i="20"/>
  <c r="CS574" i="20"/>
  <c r="CS361" i="20"/>
  <c r="CR361" i="20"/>
  <c r="CT361" i="20"/>
  <c r="CL702" i="10"/>
  <c r="CL701" i="10"/>
  <c r="CO804" i="10"/>
  <c r="CO873" i="10"/>
  <c r="CO1050" i="10"/>
  <c r="CO802" i="10"/>
  <c r="CO871" i="10"/>
  <c r="CO1048" i="10"/>
  <c r="CO1093" i="10"/>
  <c r="CO1096" i="10" s="1"/>
  <c r="CP1092" i="10"/>
  <c r="CP1093" i="10" s="1"/>
  <c r="CP1096" i="10" s="1"/>
  <c r="CL1062" i="10"/>
  <c r="CL1072" i="10"/>
  <c r="CM1052" i="10"/>
  <c r="CL885" i="10"/>
  <c r="CW1" i="10"/>
  <c r="CZ1252" i="10"/>
  <c r="DB1252" i="10" s="1"/>
  <c r="DA255" i="42"/>
  <c r="CP803" i="10"/>
  <c r="CP872" i="10"/>
  <c r="CP873" i="10"/>
  <c r="CP804" i="10"/>
  <c r="CJ834" i="10"/>
  <c r="CJ887" i="10"/>
  <c r="CJ1064" i="10"/>
  <c r="CJ1074" i="10"/>
  <c r="CO320" i="10"/>
  <c r="CO326" i="10"/>
  <c r="CV1" i="43"/>
  <c r="CW2" i="43"/>
  <c r="CJ885" i="10"/>
  <c r="CJ1062" i="10"/>
  <c r="CJ1072" i="10"/>
  <c r="CV541" i="42"/>
  <c r="CV547" i="42" s="1"/>
  <c r="CV546" i="42"/>
  <c r="CN700" i="10"/>
  <c r="CN1101" i="10"/>
  <c r="CN777" i="20"/>
  <c r="CN1100" i="10"/>
  <c r="CN1097" i="10"/>
  <c r="CN803" i="10"/>
  <c r="CN872" i="10"/>
  <c r="CN1049" i="10"/>
  <c r="CN386" i="20" s="1"/>
  <c r="CN388" i="20" s="1"/>
  <c r="CN390" i="20" s="1"/>
  <c r="CN391" i="20" s="1"/>
  <c r="CL776" i="20"/>
  <c r="CL778" i="20" s="1"/>
  <c r="CL779" i="20"/>
  <c r="CO70" i="10"/>
  <c r="CV390" i="10"/>
  <c r="CV393" i="10"/>
  <c r="CV392" i="10"/>
  <c r="CV395" i="10"/>
  <c r="CV391" i="10"/>
  <c r="CV1" i="20"/>
  <c r="CW2" i="20"/>
  <c r="CK702" i="10"/>
  <c r="CK701" i="10"/>
  <c r="CS295" i="10"/>
  <c r="CS307" i="10"/>
  <c r="CS293" i="10"/>
  <c r="CS300" i="10"/>
  <c r="DI429" i="42"/>
  <c r="DI439" i="42" s="1"/>
  <c r="DJ425" i="42"/>
  <c r="DI725" i="20"/>
  <c r="CS541" i="42"/>
  <c r="CS547" i="42" s="1"/>
  <c r="CS546" i="42"/>
  <c r="CS321" i="10"/>
  <c r="CS327" i="10"/>
  <c r="DE255" i="42" l="1"/>
  <c r="DH253" i="42"/>
  <c r="DH255" i="42" s="1"/>
  <c r="CT259" i="10"/>
  <c r="CT937" i="10"/>
  <c r="CT935" i="10"/>
  <c r="CT933" i="10"/>
  <c r="CT934" i="10"/>
  <c r="CT939" i="10"/>
  <c r="CT940" i="10"/>
  <c r="CP386" i="20"/>
  <c r="CO388" i="20"/>
  <c r="CJ1065" i="10"/>
  <c r="DQ424" i="42"/>
  <c r="DQ425" i="42" s="1"/>
  <c r="DP425" i="42"/>
  <c r="CJ888" i="10"/>
  <c r="DM425" i="42"/>
  <c r="DM429" i="42" s="1"/>
  <c r="DM439" i="42" s="1"/>
  <c r="CK1075" i="10"/>
  <c r="DA3" i="10"/>
  <c r="CU394" i="10"/>
  <c r="CU391" i="10"/>
  <c r="CK1065" i="10"/>
  <c r="CO798" i="10"/>
  <c r="CO878" i="10" s="1"/>
  <c r="CS575" i="20"/>
  <c r="CN798" i="10"/>
  <c r="CN788" i="10" s="1"/>
  <c r="BT380" i="42"/>
  <c r="BR387" i="42"/>
  <c r="BR385" i="42" s="1"/>
  <c r="CX1241" i="10"/>
  <c r="CT143" i="49"/>
  <c r="CT1105" i="10"/>
  <c r="CS1105" i="10"/>
  <c r="CN702" i="10"/>
  <c r="CN701" i="10"/>
  <c r="CN882" i="10"/>
  <c r="CN1069" i="10"/>
  <c r="CN1059" i="10"/>
  <c r="CV1105" i="10"/>
  <c r="DI426" i="42"/>
  <c r="DI28" i="10"/>
  <c r="DJ28" i="10" s="1"/>
  <c r="CS296" i="10"/>
  <c r="CS301" i="10"/>
  <c r="CS309" i="10"/>
  <c r="CS310" i="10" s="1"/>
  <c r="CN779" i="20"/>
  <c r="CN776" i="20"/>
  <c r="CN778" i="20" s="1"/>
  <c r="EG23" i="41"/>
  <c r="CP882" i="10"/>
  <c r="CP1059" i="10"/>
  <c r="CP1069" i="10"/>
  <c r="DJ429" i="42"/>
  <c r="DJ439" i="42" s="1"/>
  <c r="DJ424" i="42"/>
  <c r="CS316" i="10"/>
  <c r="DJ725" i="20"/>
  <c r="CZ2" i="20"/>
  <c r="CW1" i="20"/>
  <c r="CW574" i="20" s="1"/>
  <c r="CV551" i="42"/>
  <c r="CV554" i="42" s="1"/>
  <c r="CV555" i="42" s="1"/>
  <c r="CV540" i="42"/>
  <c r="CW1" i="43"/>
  <c r="CZ2" i="43"/>
  <c r="CP1070" i="10"/>
  <c r="CP883" i="10"/>
  <c r="CP1060" i="10"/>
  <c r="CZ1" i="10"/>
  <c r="CP700" i="10"/>
  <c r="CP1100" i="10"/>
  <c r="CP777" i="20"/>
  <c r="CP1101" i="10"/>
  <c r="CP1097" i="10"/>
  <c r="CP16" i="49"/>
  <c r="CQ16" i="49" s="1"/>
  <c r="CP246" i="49"/>
  <c r="CP21" i="49" s="1"/>
  <c r="CL888" i="10"/>
  <c r="CL1065" i="10"/>
  <c r="CL1075" i="10"/>
  <c r="CM1055" i="10"/>
  <c r="CR320" i="10"/>
  <c r="CR326" i="10"/>
  <c r="DL429" i="42"/>
  <c r="DL439" i="42" s="1"/>
  <c r="DL725" i="20"/>
  <c r="CR322" i="10"/>
  <c r="CR325" i="10"/>
  <c r="CW277" i="10"/>
  <c r="CW283" i="10" s="1"/>
  <c r="CW317" i="10"/>
  <c r="CO700" i="10"/>
  <c r="CO1100" i="10"/>
  <c r="CO1101" i="10"/>
  <c r="CO777" i="20"/>
  <c r="CO1097" i="10"/>
  <c r="CN1068" i="10"/>
  <c r="CN881" i="10"/>
  <c r="CN1058" i="10"/>
  <c r="CV300" i="10"/>
  <c r="CV295" i="10"/>
  <c r="CV307" i="10"/>
  <c r="CV293" i="10"/>
  <c r="CX1239" i="10"/>
  <c r="CO1059" i="10"/>
  <c r="CO882" i="10"/>
  <c r="CO1069" i="10"/>
  <c r="CT358" i="10"/>
  <c r="CT359" i="10"/>
  <c r="CT362" i="10"/>
  <c r="CT361" i="10"/>
  <c r="CT782" i="10"/>
  <c r="CT792" i="10" s="1"/>
  <c r="CT1049" i="10" s="1"/>
  <c r="CT785" i="10"/>
  <c r="CT783" i="10"/>
  <c r="CT793" i="10" s="1"/>
  <c r="CT1050" i="10" s="1"/>
  <c r="CT764" i="10"/>
  <c r="CU764" i="10" s="1"/>
  <c r="CT765" i="10"/>
  <c r="CU765" i="10" s="1"/>
  <c r="CT69" i="10"/>
  <c r="CT767" i="10"/>
  <c r="CU767" i="10" s="1"/>
  <c r="CT763" i="10"/>
  <c r="CU763" i="10" s="1"/>
  <c r="CT781" i="10"/>
  <c r="CT769" i="10"/>
  <c r="CU769" i="10" s="1"/>
  <c r="CT67" i="10"/>
  <c r="CT176" i="10"/>
  <c r="CT1086" i="10"/>
  <c r="CT1089" i="10" s="1"/>
  <c r="CT175" i="10"/>
  <c r="CT373" i="10" s="1"/>
  <c r="CT425" i="10"/>
  <c r="CT771" i="10"/>
  <c r="CT68" i="10"/>
  <c r="CT363" i="10"/>
  <c r="CT256" i="10"/>
  <c r="CT473" i="10"/>
  <c r="CT174" i="10"/>
  <c r="CT474" i="10"/>
  <c r="CT1085" i="10"/>
  <c r="CT770" i="10"/>
  <c r="CU770" i="10" s="1"/>
  <c r="CO806" i="10"/>
  <c r="CO875" i="10"/>
  <c r="CO1052" i="10"/>
  <c r="BN19" i="41"/>
  <c r="CS540" i="42"/>
  <c r="CS551" i="42"/>
  <c r="CS554" i="42" s="1"/>
  <c r="CS555" i="42" s="1"/>
  <c r="CW279" i="10"/>
  <c r="CW285" i="10" s="1"/>
  <c r="CW276" i="10"/>
  <c r="CW292" i="10"/>
  <c r="CX1238" i="10"/>
  <c r="CO881" i="10"/>
  <c r="CO1068" i="10"/>
  <c r="CO1058" i="10"/>
  <c r="CO883" i="10"/>
  <c r="CO1060" i="10"/>
  <c r="CO1070" i="10"/>
  <c r="CN808" i="10"/>
  <c r="CN877" i="10"/>
  <c r="CN1054" i="10"/>
  <c r="CP806" i="10"/>
  <c r="CP875" i="10"/>
  <c r="CS69" i="10"/>
  <c r="CS176" i="10"/>
  <c r="CS767" i="10"/>
  <c r="CS359" i="10"/>
  <c r="CS362" i="10"/>
  <c r="CS763" i="10"/>
  <c r="CS764" i="10"/>
  <c r="CS765" i="10"/>
  <c r="CS172" i="10"/>
  <c r="CS361" i="10"/>
  <c r="CS769" i="10"/>
  <c r="CS781" i="10"/>
  <c r="CS791" i="10" s="1"/>
  <c r="CS782" i="10"/>
  <c r="CS792" i="10" s="1"/>
  <c r="CS785" i="10"/>
  <c r="CS783" i="10"/>
  <c r="CS793" i="10" s="1"/>
  <c r="CS1080" i="10"/>
  <c r="CS1086" i="10"/>
  <c r="CS1089" i="10" s="1"/>
  <c r="CS1091" i="10" s="1"/>
  <c r="CS1092" i="10" s="1"/>
  <c r="CS67" i="10"/>
  <c r="CS169" i="10"/>
  <c r="CS168" i="10"/>
  <c r="CS358" i="10"/>
  <c r="CS68" i="10"/>
  <c r="CS256" i="10"/>
  <c r="CS425" i="10"/>
  <c r="CS175" i="10"/>
  <c r="CS373" i="10" s="1"/>
  <c r="CS171" i="10"/>
  <c r="CS771" i="10"/>
  <c r="CS174" i="10"/>
  <c r="CS474" i="10"/>
  <c r="CS473" i="10"/>
  <c r="CS363" i="10"/>
  <c r="CS770" i="10"/>
  <c r="CS1085" i="10"/>
  <c r="CS935" i="10"/>
  <c r="CS937" i="10"/>
  <c r="CS933" i="10"/>
  <c r="CS934" i="10"/>
  <c r="CS940" i="10"/>
  <c r="CS939" i="10"/>
  <c r="EE23" i="41"/>
  <c r="CO808" i="10"/>
  <c r="CO877" i="10"/>
  <c r="CO1054" i="10"/>
  <c r="CZ1" i="42"/>
  <c r="CZ2" i="42" s="1"/>
  <c r="DA3" i="42"/>
  <c r="ED23" i="41"/>
  <c r="CX1" i="10"/>
  <c r="CW392" i="10"/>
  <c r="CW393" i="10"/>
  <c r="CW395" i="10"/>
  <c r="CW390" i="10"/>
  <c r="CW391" i="10"/>
  <c r="CV574" i="20"/>
  <c r="CV575" i="20" s="1"/>
  <c r="CP798" i="10"/>
  <c r="CP1055" i="10" s="1"/>
  <c r="CQ1055" i="10" s="1"/>
  <c r="CP802" i="10"/>
  <c r="CP871" i="10"/>
  <c r="CN806" i="10"/>
  <c r="CN875" i="10"/>
  <c r="CN1052" i="10"/>
  <c r="CO314" i="10"/>
  <c r="CO323" i="10"/>
  <c r="CP877" i="10"/>
  <c r="CP808" i="10"/>
  <c r="CP349" i="49"/>
  <c r="CP33" i="49" s="1"/>
  <c r="CP28" i="49"/>
  <c r="CQ28" i="49" s="1"/>
  <c r="CV280" i="10"/>
  <c r="CV286" i="10" s="1"/>
  <c r="CV287" i="10" s="1"/>
  <c r="CV282" i="10"/>
  <c r="CW1252" i="10"/>
  <c r="CX1252" i="10" s="1"/>
  <c r="CR172" i="10"/>
  <c r="CR359" i="10"/>
  <c r="CR362" i="10"/>
  <c r="CR1086" i="10"/>
  <c r="CR1089" i="10" s="1"/>
  <c r="CR1091" i="10" s="1"/>
  <c r="CR1092" i="10" s="1"/>
  <c r="CR1093" i="10" s="1"/>
  <c r="CR1096" i="10" s="1"/>
  <c r="CR763" i="10"/>
  <c r="CR764" i="10"/>
  <c r="CR765" i="10"/>
  <c r="CR67" i="10"/>
  <c r="CR69" i="10"/>
  <c r="CR70" i="10" s="1"/>
  <c r="CR361" i="10"/>
  <c r="CR769" i="10"/>
  <c r="CR770" i="10"/>
  <c r="CR358" i="10"/>
  <c r="CR425" i="10"/>
  <c r="CR782" i="10"/>
  <c r="CR792" i="10" s="1"/>
  <c r="CR785" i="10"/>
  <c r="CR168" i="10"/>
  <c r="CR767" i="10"/>
  <c r="CR783" i="10"/>
  <c r="CR793" i="10" s="1"/>
  <c r="CR1085" i="10"/>
  <c r="CR781" i="10"/>
  <c r="CR791" i="10" s="1"/>
  <c r="CR1080" i="10"/>
  <c r="CR176" i="10"/>
  <c r="CR169" i="10"/>
  <c r="CR175" i="10"/>
  <c r="CR373" i="10" s="1"/>
  <c r="CR68" i="10"/>
  <c r="CR771" i="10"/>
  <c r="CR171" i="10"/>
  <c r="CR363" i="10"/>
  <c r="CR473" i="10"/>
  <c r="CR174" i="10"/>
  <c r="CR256" i="10"/>
  <c r="CR474" i="10"/>
  <c r="CR937" i="10"/>
  <c r="CR935" i="10"/>
  <c r="CR933" i="10"/>
  <c r="CR934" i="10"/>
  <c r="CR940" i="10"/>
  <c r="CR939" i="10"/>
  <c r="CR314" i="10"/>
  <c r="CR323" i="10"/>
  <c r="CT140" i="49"/>
  <c r="CT142" i="49" s="1"/>
  <c r="CT9" i="49" s="1"/>
  <c r="CU9" i="49" s="1"/>
  <c r="CT540" i="42"/>
  <c r="CT139" i="49" s="1"/>
  <c r="CT551" i="42"/>
  <c r="CT554" i="42" s="1"/>
  <c r="CT555" i="42" s="1"/>
  <c r="CX1240" i="10"/>
  <c r="CN1060" i="10"/>
  <c r="CN883" i="10"/>
  <c r="CN1070" i="10"/>
  <c r="CW2" i="42"/>
  <c r="CX1" i="42"/>
  <c r="CX2" i="42" s="1"/>
  <c r="CP388" i="20" l="1"/>
  <c r="CP390" i="20" s="1"/>
  <c r="CP391" i="20" s="1"/>
  <c r="CO390" i="20"/>
  <c r="CO391" i="20" s="1"/>
  <c r="CT1069" i="10"/>
  <c r="CU1049" i="10"/>
  <c r="CT1070" i="10"/>
  <c r="CU1050" i="10"/>
  <c r="DM725" i="20"/>
  <c r="DN725" i="20" s="1"/>
  <c r="DN425" i="42"/>
  <c r="DN424" i="42" s="1"/>
  <c r="DP725" i="20"/>
  <c r="DP429" i="42"/>
  <c r="DP439" i="42" s="1"/>
  <c r="DQ725" i="20"/>
  <c r="DQ429" i="42"/>
  <c r="DQ439" i="42" s="1"/>
  <c r="DR425" i="42"/>
  <c r="EE22" i="41"/>
  <c r="ED22" i="41"/>
  <c r="EG22" i="41"/>
  <c r="DD3" i="10"/>
  <c r="CR328" i="10"/>
  <c r="CO809" i="10"/>
  <c r="CO799" i="10"/>
  <c r="CO788" i="10"/>
  <c r="CO1055" i="10"/>
  <c r="CO1075" i="10" s="1"/>
  <c r="CN799" i="10"/>
  <c r="CR360" i="10"/>
  <c r="CR364" i="10" s="1"/>
  <c r="CN878" i="10"/>
  <c r="CN1055" i="10"/>
  <c r="CN1065" i="10" s="1"/>
  <c r="CN809" i="10"/>
  <c r="CT360" i="10"/>
  <c r="CT364" i="10" s="1"/>
  <c r="CT941" i="10"/>
  <c r="CS70" i="10"/>
  <c r="BT387" i="42"/>
  <c r="BT385" i="42" s="1"/>
  <c r="BU380" i="42"/>
  <c r="BT382" i="42"/>
  <c r="CZ276" i="10"/>
  <c r="CZ279" i="10"/>
  <c r="CZ285" i="10" s="1"/>
  <c r="CZ292" i="10"/>
  <c r="CS320" i="10"/>
  <c r="CS326" i="10"/>
  <c r="DA1" i="10"/>
  <c r="CW575" i="20"/>
  <c r="CS314" i="10"/>
  <c r="CS323" i="10"/>
  <c r="CX541" i="42"/>
  <c r="CX547" i="42" s="1"/>
  <c r="CX546" i="42"/>
  <c r="CR787" i="10"/>
  <c r="CR797" i="10" s="1"/>
  <c r="CR795" i="10"/>
  <c r="CR700" i="10"/>
  <c r="CR1101" i="10"/>
  <c r="CR1100" i="10"/>
  <c r="CR1097" i="10"/>
  <c r="CR777" i="20"/>
  <c r="CO887" i="10"/>
  <c r="CO834" i="10"/>
  <c r="CO1064" i="10"/>
  <c r="CO1074" i="10"/>
  <c r="CS1093" i="10"/>
  <c r="CS1096" i="10" s="1"/>
  <c r="CT1092" i="10"/>
  <c r="CT1093" i="10" s="1"/>
  <c r="CT1096" i="10" s="1"/>
  <c r="CS803" i="10"/>
  <c r="CS872" i="10"/>
  <c r="CS1049" i="10"/>
  <c r="CS386" i="20" s="1"/>
  <c r="CN887" i="10"/>
  <c r="CN834" i="10"/>
  <c r="CN1064" i="10"/>
  <c r="CN1074" i="10"/>
  <c r="CO885" i="10"/>
  <c r="CO1062" i="10"/>
  <c r="CO1072" i="10"/>
  <c r="CT787" i="10"/>
  <c r="CT797" i="10" s="1"/>
  <c r="CT1054" i="10" s="1"/>
  <c r="CT795" i="10"/>
  <c r="CT1052" i="10" s="1"/>
  <c r="CW541" i="42"/>
  <c r="CW547" i="42" s="1"/>
  <c r="CW546" i="42"/>
  <c r="CR804" i="10"/>
  <c r="CR873" i="10"/>
  <c r="CR1050" i="10"/>
  <c r="CR803" i="10"/>
  <c r="CR872" i="10"/>
  <c r="CR1049" i="10"/>
  <c r="CR386" i="20" s="1"/>
  <c r="CR388" i="20" s="1"/>
  <c r="CR390" i="20" s="1"/>
  <c r="CR391" i="20" s="1"/>
  <c r="CP788" i="10"/>
  <c r="CP799" i="10"/>
  <c r="CP809" i="10"/>
  <c r="CP878" i="10"/>
  <c r="CS802" i="10"/>
  <c r="CS871" i="10"/>
  <c r="CS1048" i="10"/>
  <c r="CS360" i="10"/>
  <c r="CS364" i="10" s="1"/>
  <c r="CP885" i="10"/>
  <c r="CP1062" i="10"/>
  <c r="CP1072" i="10"/>
  <c r="CT803" i="10"/>
  <c r="CT872" i="10"/>
  <c r="DL426" i="42"/>
  <c r="DL28" i="10"/>
  <c r="CP702" i="10"/>
  <c r="CP701" i="10"/>
  <c r="CR941" i="10"/>
  <c r="CP1064" i="10"/>
  <c r="CP1074" i="10"/>
  <c r="CP834" i="10"/>
  <c r="CP887" i="10"/>
  <c r="CP1058" i="10"/>
  <c r="CP881" i="10"/>
  <c r="CP1068" i="10"/>
  <c r="CW2" i="10"/>
  <c r="CW259" i="10" s="1"/>
  <c r="CX2" i="10"/>
  <c r="CV2" i="10"/>
  <c r="CV259" i="10" s="1"/>
  <c r="CX169" i="10"/>
  <c r="CX168" i="10"/>
  <c r="CX390" i="10"/>
  <c r="CX395" i="10"/>
  <c r="CX393" i="10"/>
  <c r="CX171" i="10"/>
  <c r="CX392" i="10"/>
  <c r="CX391" i="10"/>
  <c r="DD3" i="42"/>
  <c r="DA1" i="42"/>
  <c r="CS804" i="10"/>
  <c r="CS873" i="10"/>
  <c r="CS1050" i="10"/>
  <c r="CW293" i="10"/>
  <c r="CW300" i="10"/>
  <c r="CW295" i="10"/>
  <c r="CW307" i="10"/>
  <c r="CV309" i="10"/>
  <c r="CV296" i="10"/>
  <c r="CV301" i="10"/>
  <c r="CO702" i="10"/>
  <c r="CO701" i="10"/>
  <c r="CT242" i="49"/>
  <c r="CT243" i="49" s="1"/>
  <c r="CT245" i="49" s="1"/>
  <c r="CT345" i="49"/>
  <c r="CT346" i="49" s="1"/>
  <c r="CT348" i="49" s="1"/>
  <c r="CT791" i="10"/>
  <c r="CT1048" i="10" s="1"/>
  <c r="CR802" i="10"/>
  <c r="CR871" i="10"/>
  <c r="CR1048" i="10"/>
  <c r="CN885" i="10"/>
  <c r="CN1062" i="10"/>
  <c r="CN1072" i="10"/>
  <c r="CZ541" i="42"/>
  <c r="CZ547" i="42" s="1"/>
  <c r="CZ546" i="42"/>
  <c r="CS941" i="10"/>
  <c r="CS795" i="10"/>
  <c r="CS787" i="10"/>
  <c r="CS797" i="10" s="1"/>
  <c r="CW280" i="10"/>
  <c r="CW286" i="10" s="1"/>
  <c r="CW287" i="10" s="1"/>
  <c r="CW282" i="10"/>
  <c r="DJ57" i="49"/>
  <c r="DJ86" i="49" s="1"/>
  <c r="BP19" i="41"/>
  <c r="DJ440" i="42"/>
  <c r="CT804" i="10"/>
  <c r="CT873" i="10"/>
  <c r="CV316" i="10"/>
  <c r="CO776" i="20"/>
  <c r="CO778" i="20" s="1"/>
  <c r="CO779" i="20"/>
  <c r="CW327" i="10"/>
  <c r="CW321" i="10"/>
  <c r="CP779" i="20"/>
  <c r="CP776" i="20"/>
  <c r="CP778" i="20" s="1"/>
  <c r="CZ392" i="10"/>
  <c r="CZ395" i="10"/>
  <c r="CZ390" i="10"/>
  <c r="CZ391" i="10"/>
  <c r="CZ393" i="10"/>
  <c r="CZ1" i="43"/>
  <c r="DA2" i="43"/>
  <c r="CZ1" i="20"/>
  <c r="DA2" i="20"/>
  <c r="DI57" i="49"/>
  <c r="DI86" i="49" s="1"/>
  <c r="DI184" i="49" s="1"/>
  <c r="DI1225" i="10"/>
  <c r="DJ1225" i="10" s="1"/>
  <c r="BO19" i="41"/>
  <c r="DI440" i="42"/>
  <c r="CX1" i="20"/>
  <c r="CZ277" i="10"/>
  <c r="CZ317" i="10"/>
  <c r="CZ327" i="10" s="1"/>
  <c r="DJ426" i="42"/>
  <c r="CS322" i="10"/>
  <c r="CS325" i="10"/>
  <c r="DN429" i="42" l="1"/>
  <c r="DN439" i="42" s="1"/>
  <c r="DM28" i="10"/>
  <c r="DM1225" i="10" s="1"/>
  <c r="DM426" i="42"/>
  <c r="CX259" i="10"/>
  <c r="CX937" i="10"/>
  <c r="CX934" i="10"/>
  <c r="CX933" i="10"/>
  <c r="CX935" i="10"/>
  <c r="CX940" i="10"/>
  <c r="CX939" i="10"/>
  <c r="CT386" i="20"/>
  <c r="CS388" i="20"/>
  <c r="CT1074" i="10"/>
  <c r="CU1054" i="10"/>
  <c r="CT1068" i="10"/>
  <c r="CU1048" i="10"/>
  <c r="CT1072" i="10"/>
  <c r="CU1052" i="10"/>
  <c r="DR424" i="42"/>
  <c r="DR429" i="42"/>
  <c r="DR439" i="42" s="1"/>
  <c r="DQ426" i="42"/>
  <c r="DQ28" i="10"/>
  <c r="DP28" i="10"/>
  <c r="DR725" i="20"/>
  <c r="DP426" i="42"/>
  <c r="CO1065" i="10"/>
  <c r="CO888" i="10"/>
  <c r="DE3" i="10"/>
  <c r="CY394" i="10"/>
  <c r="CY391" i="10"/>
  <c r="CN888" i="10"/>
  <c r="CN1075" i="10"/>
  <c r="CR798" i="10"/>
  <c r="CR788" i="10" s="1"/>
  <c r="BT383" i="42"/>
  <c r="BU383" i="42" s="1"/>
  <c r="BV383" i="42" s="1"/>
  <c r="BU382" i="42"/>
  <c r="BV382" i="42" s="1"/>
  <c r="BU387" i="42"/>
  <c r="BU385" i="42" s="1"/>
  <c r="BV380" i="42"/>
  <c r="DB1241" i="10"/>
  <c r="DB1" i="10"/>
  <c r="DA390" i="10"/>
  <c r="DA395" i="10"/>
  <c r="DA393" i="10"/>
  <c r="DA392" i="10"/>
  <c r="DA391" i="10"/>
  <c r="DB1238" i="10"/>
  <c r="CZ280" i="10"/>
  <c r="CZ286" i="10" s="1"/>
  <c r="CZ287" i="10" s="1"/>
  <c r="CZ282" i="10"/>
  <c r="DA276" i="10"/>
  <c r="DA279" i="10"/>
  <c r="DA292" i="10"/>
  <c r="CV361" i="20"/>
  <c r="CW361" i="20"/>
  <c r="CX361" i="20"/>
  <c r="CX574" i="20"/>
  <c r="CT883" i="10"/>
  <c r="CT1060" i="10"/>
  <c r="CZ1105" i="10"/>
  <c r="CT28" i="49"/>
  <c r="CU28" i="49" s="1"/>
  <c r="CT349" i="49"/>
  <c r="CT33" i="49" s="1"/>
  <c r="CV322" i="10"/>
  <c r="CV325" i="10"/>
  <c r="CW301" i="10"/>
  <c r="CW309" i="10"/>
  <c r="CW310" i="10" s="1"/>
  <c r="CW296" i="10"/>
  <c r="DB1" i="42"/>
  <c r="DB2" i="42" s="1"/>
  <c r="DA2" i="42"/>
  <c r="CW362" i="10"/>
  <c r="CW767" i="10"/>
  <c r="CW171" i="10"/>
  <c r="CW176" i="10"/>
  <c r="CW763" i="10"/>
  <c r="CW764" i="10"/>
  <c r="CW765" i="10"/>
  <c r="CW67" i="10"/>
  <c r="CW358" i="10"/>
  <c r="CW769" i="10"/>
  <c r="CW782" i="10"/>
  <c r="CW792" i="10" s="1"/>
  <c r="CW785" i="10"/>
  <c r="CW69" i="10"/>
  <c r="CW169" i="10"/>
  <c r="CW783" i="10"/>
  <c r="CW793" i="10" s="1"/>
  <c r="CW781" i="10"/>
  <c r="CW791" i="10" s="1"/>
  <c r="CW68" i="10"/>
  <c r="CW174" i="10"/>
  <c r="CW1080" i="10"/>
  <c r="CW1086" i="10"/>
  <c r="CW1089" i="10" s="1"/>
  <c r="CW1091" i="10" s="1"/>
  <c r="CW1092" i="10" s="1"/>
  <c r="CW168" i="10"/>
  <c r="CW361" i="10"/>
  <c r="CW359" i="10"/>
  <c r="CW256" i="10"/>
  <c r="CW771" i="10"/>
  <c r="CW474" i="10"/>
  <c r="CW425" i="10"/>
  <c r="CW175" i="10"/>
  <c r="CW373" i="10" s="1"/>
  <c r="CW770" i="10"/>
  <c r="CW473" i="10"/>
  <c r="CW1085" i="10"/>
  <c r="CW363" i="10"/>
  <c r="CW933" i="10"/>
  <c r="CW937" i="10"/>
  <c r="CW935" i="10"/>
  <c r="CW934" i="10"/>
  <c r="CW940" i="10"/>
  <c r="CW939" i="10"/>
  <c r="DN426" i="42"/>
  <c r="CT808" i="10"/>
  <c r="CT877" i="10"/>
  <c r="CX143" i="49"/>
  <c r="CX1105" i="10"/>
  <c r="DA1" i="20"/>
  <c r="DA574" i="20" s="1"/>
  <c r="DD2" i="20"/>
  <c r="DJ184" i="49"/>
  <c r="DJ287" i="49"/>
  <c r="CZ540" i="42"/>
  <c r="CZ551" i="42"/>
  <c r="CZ554" i="42" s="1"/>
  <c r="CZ555" i="42" s="1"/>
  <c r="CT246" i="49"/>
  <c r="CT21" i="49" s="1"/>
  <c r="CT16" i="49"/>
  <c r="CU16" i="49" s="1"/>
  <c r="CW316" i="10"/>
  <c r="CS1060" i="10"/>
  <c r="CS883" i="10"/>
  <c r="CS1070" i="10"/>
  <c r="DD1" i="42"/>
  <c r="DD2" i="42" s="1"/>
  <c r="DE3" i="42"/>
  <c r="DH3" i="42" s="1"/>
  <c r="DH1" i="42" s="1"/>
  <c r="DH2" i="42" s="1"/>
  <c r="DL57" i="49"/>
  <c r="DL86" i="49" s="1"/>
  <c r="DL1225" i="10"/>
  <c r="BR19" i="41"/>
  <c r="DL440" i="42"/>
  <c r="EH23" i="41"/>
  <c r="CT700" i="10"/>
  <c r="CT1100" i="10"/>
  <c r="CT1101" i="10"/>
  <c r="CT777" i="20"/>
  <c r="CT1097" i="10"/>
  <c r="CR776" i="20"/>
  <c r="CR778" i="20" s="1"/>
  <c r="CR779" i="20"/>
  <c r="CR701" i="10"/>
  <c r="CR702" i="10"/>
  <c r="EI23" i="41"/>
  <c r="DI253" i="42"/>
  <c r="DB1240" i="10"/>
  <c r="CZ574" i="20"/>
  <c r="CZ575" i="20" s="1"/>
  <c r="CV320" i="10"/>
  <c r="CV326" i="10"/>
  <c r="CS808" i="10"/>
  <c r="CS877" i="10"/>
  <c r="CS1054" i="10"/>
  <c r="CV67" i="10"/>
  <c r="CV361" i="10"/>
  <c r="CV763" i="10"/>
  <c r="CV764" i="10"/>
  <c r="CV765" i="10"/>
  <c r="CV358" i="10"/>
  <c r="CV425" i="10"/>
  <c r="CV769" i="10"/>
  <c r="CV783" i="10"/>
  <c r="CV793" i="10" s="1"/>
  <c r="CV362" i="10"/>
  <c r="CV767" i="10"/>
  <c r="CV781" i="10"/>
  <c r="CV791" i="10" s="1"/>
  <c r="CV782" i="10"/>
  <c r="CV792" i="10" s="1"/>
  <c r="CV785" i="10"/>
  <c r="CV1086" i="10"/>
  <c r="CV1089" i="10" s="1"/>
  <c r="CV1091" i="10" s="1"/>
  <c r="CV1092" i="10" s="1"/>
  <c r="CV1093" i="10" s="1"/>
  <c r="CV1096" i="10" s="1"/>
  <c r="CV1080" i="10"/>
  <c r="CV359" i="10"/>
  <c r="CV168" i="10"/>
  <c r="CV69" i="10"/>
  <c r="CV70" i="10" s="1"/>
  <c r="CV169" i="10"/>
  <c r="CV771" i="10"/>
  <c r="CV256" i="10"/>
  <c r="CV68" i="10"/>
  <c r="CV363" i="10"/>
  <c r="CV171" i="10"/>
  <c r="CV176" i="10"/>
  <c r="CV175" i="10"/>
  <c r="CV373" i="10" s="1"/>
  <c r="CV770" i="10"/>
  <c r="CV1085" i="10"/>
  <c r="CV174" i="10"/>
  <c r="CV473" i="10"/>
  <c r="CV937" i="10"/>
  <c r="CV474" i="10"/>
  <c r="CV934" i="10"/>
  <c r="CV933" i="10"/>
  <c r="CV935" i="10"/>
  <c r="CV940" i="10"/>
  <c r="CV939" i="10"/>
  <c r="CT1059" i="10"/>
  <c r="CT882" i="10"/>
  <c r="CS1068" i="10"/>
  <c r="CS881" i="10"/>
  <c r="CS1058" i="10"/>
  <c r="CP1065" i="10"/>
  <c r="CP1075" i="10"/>
  <c r="CP888" i="10"/>
  <c r="CR883" i="10"/>
  <c r="CR1070" i="10"/>
  <c r="CR1060" i="10"/>
  <c r="CW1105" i="10"/>
  <c r="CS882" i="10"/>
  <c r="CS1069" i="10"/>
  <c r="CS1059" i="10"/>
  <c r="CS700" i="10"/>
  <c r="CS1101" i="10"/>
  <c r="CS777" i="20"/>
  <c r="CS1100" i="10"/>
  <c r="CS1097" i="10"/>
  <c r="CR875" i="10"/>
  <c r="CR806" i="10"/>
  <c r="CR1052" i="10"/>
  <c r="CX140" i="49"/>
  <c r="CX142" i="49" s="1"/>
  <c r="CX9" i="49" s="1"/>
  <c r="CY9" i="49" s="1"/>
  <c r="CX540" i="42"/>
  <c r="CX139" i="49" s="1"/>
  <c r="CX551" i="42"/>
  <c r="CX554" i="42" s="1"/>
  <c r="CX555" i="42" s="1"/>
  <c r="DA1" i="43"/>
  <c r="DD2" i="43"/>
  <c r="CV310" i="10"/>
  <c r="CS806" i="10"/>
  <c r="CS875" i="10"/>
  <c r="CS1052" i="10"/>
  <c r="EK23" i="41"/>
  <c r="CR881" i="10"/>
  <c r="CR1058" i="10"/>
  <c r="CR1068" i="10"/>
  <c r="CT802" i="10"/>
  <c r="CT798" i="10"/>
  <c r="CT1055" i="10" s="1"/>
  <c r="CU1055" i="10" s="1"/>
  <c r="CT871" i="10"/>
  <c r="CX359" i="10"/>
  <c r="CX362" i="10"/>
  <c r="CX767" i="10"/>
  <c r="CX361" i="10"/>
  <c r="CX781" i="10"/>
  <c r="CX358" i="10"/>
  <c r="CX785" i="10"/>
  <c r="CX783" i="10"/>
  <c r="CX793" i="10" s="1"/>
  <c r="CX1050" i="10" s="1"/>
  <c r="CX765" i="10"/>
  <c r="CX769" i="10"/>
  <c r="CX763" i="10"/>
  <c r="CX782" i="10"/>
  <c r="CX792" i="10" s="1"/>
  <c r="CX1049" i="10" s="1"/>
  <c r="CX764" i="10"/>
  <c r="CX67" i="10"/>
  <c r="CX771" i="10"/>
  <c r="CX256" i="10"/>
  <c r="CX1086" i="10"/>
  <c r="CX1089" i="10" s="1"/>
  <c r="CX69" i="10"/>
  <c r="CX425" i="10"/>
  <c r="CX363" i="10"/>
  <c r="CX176" i="10"/>
  <c r="CX68" i="10"/>
  <c r="CX770" i="10"/>
  <c r="CX174" i="10"/>
  <c r="CX1085" i="10"/>
  <c r="CX175" i="10"/>
  <c r="CX373" i="10" s="1"/>
  <c r="CX474" i="10"/>
  <c r="CX473" i="10"/>
  <c r="CS798" i="10"/>
  <c r="CR1069" i="10"/>
  <c r="CR882" i="10"/>
  <c r="CR1059" i="10"/>
  <c r="CW551" i="42"/>
  <c r="CW554" i="42" s="1"/>
  <c r="CW555" i="42" s="1"/>
  <c r="CW540" i="42"/>
  <c r="CT806" i="10"/>
  <c r="CT875" i="10"/>
  <c r="CR808" i="10"/>
  <c r="CR877" i="10"/>
  <c r="CR1054" i="10"/>
  <c r="DD1" i="10"/>
  <c r="CZ295" i="10"/>
  <c r="CZ307" i="10"/>
  <c r="CZ293" i="10"/>
  <c r="CZ300" i="10"/>
  <c r="DB1239" i="10"/>
  <c r="DA317" i="10"/>
  <c r="DA277" i="10"/>
  <c r="DA283" i="10" s="1"/>
  <c r="DN28" i="10" l="1"/>
  <c r="DM440" i="42"/>
  <c r="BS19" i="41"/>
  <c r="DM57" i="49"/>
  <c r="DM86" i="49" s="1"/>
  <c r="DF1238" i="10"/>
  <c r="DF1241" i="10"/>
  <c r="DF1240" i="10"/>
  <c r="DF1239" i="10"/>
  <c r="DH3" i="10"/>
  <c r="DH541" i="42"/>
  <c r="DH547" i="42" s="1"/>
  <c r="DH546" i="42"/>
  <c r="CS390" i="20"/>
  <c r="CS391" i="20" s="1"/>
  <c r="CT388" i="20"/>
  <c r="CT390" i="20" s="1"/>
  <c r="CT391" i="20" s="1"/>
  <c r="CX1069" i="10"/>
  <c r="CY1049" i="10"/>
  <c r="CX1070" i="10"/>
  <c r="CY1050" i="10"/>
  <c r="DP57" i="49"/>
  <c r="DP86" i="49" s="1"/>
  <c r="DQ57" i="49"/>
  <c r="DQ86" i="49" s="1"/>
  <c r="DR426" i="42"/>
  <c r="BV19" i="41"/>
  <c r="DR28" i="10"/>
  <c r="DP440" i="42"/>
  <c r="DP1225" i="10"/>
  <c r="BW19" i="41"/>
  <c r="DQ1225" i="10"/>
  <c r="DQ440" i="42"/>
  <c r="EH22" i="41"/>
  <c r="CR878" i="10"/>
  <c r="DD292" i="10"/>
  <c r="DD279" i="10"/>
  <c r="DD285" i="10" s="1"/>
  <c r="DD276" i="10"/>
  <c r="DD317" i="10"/>
  <c r="DD327" i="10" s="1"/>
  <c r="DD277" i="10"/>
  <c r="DA285" i="10"/>
  <c r="DN1225" i="10"/>
  <c r="CR1055" i="10"/>
  <c r="CR1075" i="10" s="1"/>
  <c r="CR799" i="10"/>
  <c r="CR809" i="10"/>
  <c r="CW360" i="10"/>
  <c r="CW364" i="10" s="1"/>
  <c r="CV360" i="10"/>
  <c r="CV364" i="10" s="1"/>
  <c r="DB1" i="20"/>
  <c r="DB574" i="20" s="1"/>
  <c r="CW941" i="10"/>
  <c r="BX380" i="42"/>
  <c r="BV387" i="42"/>
  <c r="BV385" i="42" s="1"/>
  <c r="CX360" i="10"/>
  <c r="CX364" i="10" s="1"/>
  <c r="CX941" i="10"/>
  <c r="CV941" i="10"/>
  <c r="DE1" i="10"/>
  <c r="CX795" i="10"/>
  <c r="CX1052" i="10" s="1"/>
  <c r="CX787" i="10"/>
  <c r="CX797" i="10" s="1"/>
  <c r="CX1054" i="10" s="1"/>
  <c r="CS779" i="20"/>
  <c r="CS776" i="20"/>
  <c r="CS778" i="20" s="1"/>
  <c r="CV787" i="10"/>
  <c r="CV797" i="10" s="1"/>
  <c r="CV795" i="10"/>
  <c r="CT702" i="10"/>
  <c r="CT701" i="10"/>
  <c r="CW320" i="10"/>
  <c r="CW326" i="10"/>
  <c r="DE2" i="20"/>
  <c r="DH2" i="20" s="1"/>
  <c r="DH1" i="20" s="1"/>
  <c r="DH574" i="20" s="1"/>
  <c r="DD1" i="20"/>
  <c r="DD574" i="20" s="1"/>
  <c r="CT887" i="10"/>
  <c r="CT834" i="10"/>
  <c r="CT1064" i="10"/>
  <c r="CW1093" i="10"/>
  <c r="CW1096" i="10" s="1"/>
  <c r="CX1092" i="10"/>
  <c r="CX1093" i="10" s="1"/>
  <c r="CX1096" i="10" s="1"/>
  <c r="CW802" i="10"/>
  <c r="CW871" i="10"/>
  <c r="CW1048" i="10"/>
  <c r="CW787" i="10"/>
  <c r="CW797" i="10" s="1"/>
  <c r="CW795" i="10"/>
  <c r="DA541" i="42"/>
  <c r="DA546" i="42"/>
  <c r="DA293" i="10"/>
  <c r="DA307" i="10"/>
  <c r="DA295" i="10"/>
  <c r="DA300" i="10"/>
  <c r="DA321" i="10"/>
  <c r="DA327" i="10"/>
  <c r="CZ296" i="10"/>
  <c r="CZ301" i="10"/>
  <c r="CZ309" i="10"/>
  <c r="CZ310" i="10" s="1"/>
  <c r="CT799" i="10"/>
  <c r="CT809" i="10"/>
  <c r="CT878" i="10"/>
  <c r="CT788" i="10"/>
  <c r="CV803" i="10"/>
  <c r="CV872" i="10"/>
  <c r="CV1049" i="10"/>
  <c r="CV386" i="20" s="1"/>
  <c r="CV388" i="20" s="1"/>
  <c r="CV390" i="20" s="1"/>
  <c r="CV391" i="20" s="1"/>
  <c r="CV873" i="10"/>
  <c r="CV804" i="10"/>
  <c r="CV1050" i="10"/>
  <c r="CT776" i="20"/>
  <c r="CT778" i="20" s="1"/>
  <c r="CT779" i="20"/>
  <c r="DN57" i="49"/>
  <c r="DN86" i="49" s="1"/>
  <c r="BT19" i="41"/>
  <c r="DN440" i="42"/>
  <c r="DA575" i="20"/>
  <c r="CW804" i="10"/>
  <c r="CW873" i="10"/>
  <c r="CW1050" i="10"/>
  <c r="CW872" i="10"/>
  <c r="CW803" i="10"/>
  <c r="CW1049" i="10"/>
  <c r="CW386" i="20" s="1"/>
  <c r="DB546" i="42"/>
  <c r="CV328" i="10"/>
  <c r="CZ316" i="10"/>
  <c r="CT885" i="10"/>
  <c r="CT1062" i="10"/>
  <c r="CV314" i="10"/>
  <c r="CV323" i="10"/>
  <c r="CS702" i="10"/>
  <c r="CS701" i="10"/>
  <c r="CX791" i="10"/>
  <c r="CX1048" i="10" s="1"/>
  <c r="CV802" i="10"/>
  <c r="CV871" i="10"/>
  <c r="CV1048" i="10"/>
  <c r="CS887" i="10"/>
  <c r="CS1064" i="10"/>
  <c r="CS1074" i="10"/>
  <c r="CS834" i="10"/>
  <c r="DE1" i="42"/>
  <c r="CR1064" i="10"/>
  <c r="CR1074" i="10"/>
  <c r="CR834" i="10"/>
  <c r="CR887" i="10"/>
  <c r="CS799" i="10"/>
  <c r="CS878" i="10"/>
  <c r="CS809" i="10"/>
  <c r="CS788" i="10"/>
  <c r="CS1055" i="10"/>
  <c r="CX803" i="10"/>
  <c r="CX872" i="10"/>
  <c r="CX804" i="10"/>
  <c r="CX873" i="10"/>
  <c r="CT881" i="10"/>
  <c r="CT1058" i="10"/>
  <c r="CS885" i="10"/>
  <c r="CS1062" i="10"/>
  <c r="CS1072" i="10"/>
  <c r="DD1" i="43"/>
  <c r="DE2" i="43"/>
  <c r="DH2" i="43" s="1"/>
  <c r="DH1" i="43" s="1"/>
  <c r="CX242" i="49"/>
  <c r="CX243" i="49" s="1"/>
  <c r="CX245" i="49" s="1"/>
  <c r="CX345" i="49"/>
  <c r="CX346" i="49" s="1"/>
  <c r="CX348" i="49" s="1"/>
  <c r="CR1062" i="10"/>
  <c r="CR1072" i="10"/>
  <c r="CR885" i="10"/>
  <c r="CV700" i="10"/>
  <c r="CV1100" i="10"/>
  <c r="CV777" i="20"/>
  <c r="CV1101" i="10"/>
  <c r="CV1097" i="10"/>
  <c r="DI255" i="42"/>
  <c r="DL253" i="42"/>
  <c r="CW314" i="10"/>
  <c r="CW323" i="10"/>
  <c r="CW70" i="10"/>
  <c r="CW322" i="10"/>
  <c r="CW325" i="10"/>
  <c r="DA282" i="10"/>
  <c r="DA280" i="10"/>
  <c r="DB2" i="10"/>
  <c r="CZ2" i="10"/>
  <c r="CZ259" i="10" s="1"/>
  <c r="DA2" i="10"/>
  <c r="DA259" i="10" s="1"/>
  <c r="DB168" i="10"/>
  <c r="DB390" i="10"/>
  <c r="DB169" i="10"/>
  <c r="DB393" i="10"/>
  <c r="DB171" i="10"/>
  <c r="DB395" i="10"/>
  <c r="DB392" i="10"/>
  <c r="DB391" i="10"/>
  <c r="DH551" i="42" l="1"/>
  <c r="DH554" i="42" s="1"/>
  <c r="DH555" i="42" s="1"/>
  <c r="DH540" i="42"/>
  <c r="DH1" i="10"/>
  <c r="DI3" i="10"/>
  <c r="DL3" i="10" s="1"/>
  <c r="DM3" i="10" s="1"/>
  <c r="DP3" i="10" s="1"/>
  <c r="DB259" i="10"/>
  <c r="DB937" i="10"/>
  <c r="DB933" i="10"/>
  <c r="DB935" i="10"/>
  <c r="DB934" i="10"/>
  <c r="CX386" i="20"/>
  <c r="CW388" i="20"/>
  <c r="CX1074" i="10"/>
  <c r="CY1054" i="10"/>
  <c r="CX1068" i="10"/>
  <c r="CY1048" i="10"/>
  <c r="CX1072" i="10"/>
  <c r="CY1052" i="10"/>
  <c r="DR57" i="49"/>
  <c r="DR86" i="49" s="1"/>
  <c r="DR184" i="49" s="1"/>
  <c r="DR440" i="42"/>
  <c r="BX19" i="41"/>
  <c r="DR1225" i="10"/>
  <c r="DD575" i="20"/>
  <c r="DE317" i="10"/>
  <c r="DE277" i="10"/>
  <c r="DE283" i="10" s="1"/>
  <c r="DE279" i="10"/>
  <c r="DE276" i="10"/>
  <c r="DE292" i="10"/>
  <c r="DD280" i="10"/>
  <c r="DD286" i="10" s="1"/>
  <c r="DD287" i="10" s="1"/>
  <c r="DD293" i="10"/>
  <c r="DD307" i="10"/>
  <c r="DD295" i="10"/>
  <c r="CR1065" i="10"/>
  <c r="DD282" i="10"/>
  <c r="CZ361" i="20"/>
  <c r="CR888" i="10"/>
  <c r="DD300" i="10"/>
  <c r="DA286" i="10"/>
  <c r="DA287" i="10" s="1"/>
  <c r="DC394" i="10"/>
  <c r="DC391" i="10"/>
  <c r="DA361" i="20"/>
  <c r="DB361" i="20"/>
  <c r="CV798" i="10"/>
  <c r="CV809" i="10" s="1"/>
  <c r="CW798" i="10"/>
  <c r="CW809" i="10" s="1"/>
  <c r="BX382" i="42"/>
  <c r="BX387" i="42"/>
  <c r="BX385" i="42" s="1"/>
  <c r="BY380" i="42"/>
  <c r="DA69" i="10"/>
  <c r="DA763" i="10"/>
  <c r="DA764" i="10"/>
  <c r="DA765" i="10"/>
  <c r="DA358" i="10"/>
  <c r="DA769" i="10"/>
  <c r="DA783" i="10"/>
  <c r="DA793" i="10" s="1"/>
  <c r="DA362" i="10"/>
  <c r="DA767" i="10"/>
  <c r="DA781" i="10"/>
  <c r="DA791" i="10" s="1"/>
  <c r="DA782" i="10"/>
  <c r="DA792" i="10" s="1"/>
  <c r="DA785" i="10"/>
  <c r="DA1086" i="10"/>
  <c r="DA1089" i="10" s="1"/>
  <c r="DA1091" i="10" s="1"/>
  <c r="DA1092" i="10" s="1"/>
  <c r="DA168" i="10"/>
  <c r="DA771" i="10"/>
  <c r="DA169" i="10"/>
  <c r="DA1080" i="10"/>
  <c r="DA256" i="10"/>
  <c r="DA171" i="10"/>
  <c r="DA359" i="10"/>
  <c r="DA361" i="10"/>
  <c r="DA67" i="10"/>
  <c r="DA176" i="10"/>
  <c r="DA425" i="10"/>
  <c r="DA174" i="10"/>
  <c r="DA474" i="10"/>
  <c r="DA68" i="10"/>
  <c r="DA770" i="10"/>
  <c r="DA175" i="10"/>
  <c r="DA1085" i="10"/>
  <c r="DA363" i="10"/>
  <c r="DA473" i="10"/>
  <c r="DA935" i="10"/>
  <c r="DA937" i="10"/>
  <c r="DA933" i="10"/>
  <c r="DA934" i="10"/>
  <c r="DA940" i="10"/>
  <c r="DA939" i="10"/>
  <c r="CV702" i="10"/>
  <c r="CV701" i="10"/>
  <c r="CX349" i="49"/>
  <c r="CX33" i="49" s="1"/>
  <c r="CX28" i="49"/>
  <c r="CY28" i="49" s="1"/>
  <c r="CX1060" i="10"/>
  <c r="CX883" i="10"/>
  <c r="CX798" i="10"/>
  <c r="CX1055" i="10" s="1"/>
  <c r="CY1055" i="10" s="1"/>
  <c r="CX802" i="10"/>
  <c r="CX871" i="10"/>
  <c r="EM23" i="41"/>
  <c r="DN287" i="49"/>
  <c r="DN184" i="49"/>
  <c r="CZ322" i="10"/>
  <c r="CZ325" i="10"/>
  <c r="DA316" i="10"/>
  <c r="DA551" i="42"/>
  <c r="DA554" i="42" s="1"/>
  <c r="DA555" i="42" s="1"/>
  <c r="DA540" i="42"/>
  <c r="CW700" i="10"/>
  <c r="CW1101" i="10"/>
  <c r="CW1100" i="10"/>
  <c r="CW777" i="20"/>
  <c r="CW1097" i="10"/>
  <c r="CV806" i="10"/>
  <c r="CV875" i="10"/>
  <c r="CV1052" i="10"/>
  <c r="CX808" i="10"/>
  <c r="CX877" i="10"/>
  <c r="CZ358" i="10"/>
  <c r="CZ425" i="10"/>
  <c r="CZ769" i="10"/>
  <c r="CZ171" i="10"/>
  <c r="CZ359" i="10"/>
  <c r="CZ362" i="10"/>
  <c r="CZ767" i="10"/>
  <c r="CZ168" i="10"/>
  <c r="CZ361" i="10"/>
  <c r="CZ763" i="10"/>
  <c r="CZ764" i="10"/>
  <c r="CZ765" i="10"/>
  <c r="CZ781" i="10"/>
  <c r="CZ791" i="10" s="1"/>
  <c r="CZ782" i="10"/>
  <c r="CZ792" i="10" s="1"/>
  <c r="CZ785" i="10"/>
  <c r="CZ783" i="10"/>
  <c r="CZ793" i="10" s="1"/>
  <c r="CZ1080" i="10"/>
  <c r="CZ169" i="10"/>
  <c r="CZ176" i="10"/>
  <c r="CZ67" i="10"/>
  <c r="CZ1086" i="10"/>
  <c r="CZ1089" i="10" s="1"/>
  <c r="CZ1091" i="10" s="1"/>
  <c r="CZ1092" i="10" s="1"/>
  <c r="CZ1093" i="10" s="1"/>
  <c r="CZ1096" i="10" s="1"/>
  <c r="CZ69" i="10"/>
  <c r="CZ70" i="10" s="1"/>
  <c r="CZ771" i="10"/>
  <c r="CZ68" i="10"/>
  <c r="CZ363" i="10"/>
  <c r="CZ174" i="10"/>
  <c r="CZ473" i="10"/>
  <c r="CZ256" i="10"/>
  <c r="CZ175" i="10"/>
  <c r="CZ373" i="10" s="1"/>
  <c r="CZ1085" i="10"/>
  <c r="CZ937" i="10"/>
  <c r="CZ474" i="10"/>
  <c r="CZ770" i="10"/>
  <c r="CZ934" i="10"/>
  <c r="CZ935" i="10"/>
  <c r="CZ933" i="10"/>
  <c r="CZ940" i="10"/>
  <c r="CZ939" i="10"/>
  <c r="CX246" i="49"/>
  <c r="CX21" i="49" s="1"/>
  <c r="CX16" i="49"/>
  <c r="CY16" i="49" s="1"/>
  <c r="CV1058" i="10"/>
  <c r="CV881" i="10"/>
  <c r="CV1068" i="10"/>
  <c r="CZ314" i="10"/>
  <c r="CZ323" i="10"/>
  <c r="CW883" i="10"/>
  <c r="CW1070" i="10"/>
  <c r="CW1060" i="10"/>
  <c r="CT1065" i="10"/>
  <c r="CT1075" i="10"/>
  <c r="CT888" i="10"/>
  <c r="DA309" i="10"/>
  <c r="DA296" i="10"/>
  <c r="DA301" i="10"/>
  <c r="CW875" i="10"/>
  <c r="CW806" i="10"/>
  <c r="CW1052" i="10"/>
  <c r="CV877" i="10"/>
  <c r="CV808" i="10"/>
  <c r="CV1054" i="10"/>
  <c r="CX806" i="10"/>
  <c r="CX875" i="10"/>
  <c r="DB359" i="10"/>
  <c r="DB362" i="10"/>
  <c r="DB764" i="10"/>
  <c r="DB358" i="10"/>
  <c r="DB782" i="10"/>
  <c r="DB792" i="10" s="1"/>
  <c r="DB781" i="10"/>
  <c r="DB785" i="10"/>
  <c r="DB763" i="10"/>
  <c r="DB769" i="10"/>
  <c r="DB765" i="10"/>
  <c r="DB361" i="10"/>
  <c r="DB767" i="10"/>
  <c r="DB783" i="10"/>
  <c r="DB793" i="10" s="1"/>
  <c r="DB176" i="10"/>
  <c r="DB771" i="10"/>
  <c r="DB1086" i="10"/>
  <c r="DB1089" i="10" s="1"/>
  <c r="DB69" i="10"/>
  <c r="DB256" i="10"/>
  <c r="DB425" i="10"/>
  <c r="DB363" i="10"/>
  <c r="DB174" i="10"/>
  <c r="DB67" i="10"/>
  <c r="DB175" i="10"/>
  <c r="DB373" i="10" s="1"/>
  <c r="DB68" i="10"/>
  <c r="DB473" i="10"/>
  <c r="DB1085" i="10"/>
  <c r="DB474" i="10"/>
  <c r="DB770" i="10"/>
  <c r="DB940" i="10"/>
  <c r="DB939" i="10"/>
  <c r="DM253" i="42"/>
  <c r="DP253" i="42" s="1"/>
  <c r="DL255" i="42"/>
  <c r="CV779" i="20"/>
  <c r="CV776" i="20"/>
  <c r="CV778" i="20" s="1"/>
  <c r="DE1" i="43"/>
  <c r="CS888" i="10"/>
  <c r="CS1065" i="10"/>
  <c r="CS1075" i="10"/>
  <c r="DF1" i="42"/>
  <c r="DF2" i="42" s="1"/>
  <c r="DE2" i="42"/>
  <c r="CZ320" i="10"/>
  <c r="CZ326" i="10"/>
  <c r="CW1069" i="10"/>
  <c r="CW882" i="10"/>
  <c r="CW1059" i="10"/>
  <c r="CV882" i="10"/>
  <c r="CV1059" i="10"/>
  <c r="CV1069" i="10"/>
  <c r="EL23" i="41"/>
  <c r="CW808" i="10"/>
  <c r="CW877" i="10"/>
  <c r="CW1054" i="10"/>
  <c r="CX882" i="10"/>
  <c r="CX1059" i="10"/>
  <c r="DI3" i="42"/>
  <c r="CV1070" i="10"/>
  <c r="CV883" i="10"/>
  <c r="CV1060" i="10"/>
  <c r="DA547" i="42"/>
  <c r="CW881" i="10"/>
  <c r="CW1058" i="10"/>
  <c r="CW1068" i="10"/>
  <c r="CX700" i="10"/>
  <c r="CX1101" i="10"/>
  <c r="CX777" i="20"/>
  <c r="CX1100" i="10"/>
  <c r="CX1097" i="10"/>
  <c r="DE1" i="20"/>
  <c r="DF1" i="10"/>
  <c r="DH279" i="10" l="1"/>
  <c r="DH285" i="10" s="1"/>
  <c r="DH276" i="10"/>
  <c r="DH282" i="10" s="1"/>
  <c r="DH292" i="10"/>
  <c r="DH390" i="10"/>
  <c r="DH393" i="10"/>
  <c r="DH395" i="10"/>
  <c r="DH392" i="10"/>
  <c r="DH391" i="10"/>
  <c r="DH277" i="10"/>
  <c r="DH317" i="10"/>
  <c r="DH327" i="10" s="1"/>
  <c r="DP1" i="10"/>
  <c r="DQ3" i="10"/>
  <c r="DE285" i="10"/>
  <c r="CX388" i="20"/>
  <c r="CX390" i="20" s="1"/>
  <c r="CX391" i="20" s="1"/>
  <c r="CW390" i="20"/>
  <c r="CW391" i="20" s="1"/>
  <c r="DR287" i="49"/>
  <c r="DP255" i="42"/>
  <c r="DQ253" i="42"/>
  <c r="DQ255" i="42" s="1"/>
  <c r="DF1" i="20"/>
  <c r="DE574" i="20"/>
  <c r="DM255" i="42"/>
  <c r="DE307" i="10"/>
  <c r="DE300" i="10"/>
  <c r="DE295" i="10"/>
  <c r="DE293" i="10"/>
  <c r="DE280" i="10"/>
  <c r="DE282" i="10"/>
  <c r="DE327" i="10"/>
  <c r="DE321" i="10"/>
  <c r="CV878" i="10"/>
  <c r="CV799" i="10"/>
  <c r="DD316" i="10"/>
  <c r="DD326" i="10" s="1"/>
  <c r="DD309" i="10"/>
  <c r="DD310" i="10" s="1"/>
  <c r="DD314" i="10" s="1"/>
  <c r="DD296" i="10"/>
  <c r="DD301" i="10"/>
  <c r="DA310" i="10"/>
  <c r="CV788" i="10"/>
  <c r="CV1055" i="10"/>
  <c r="CV888" i="10" s="1"/>
  <c r="DA360" i="10"/>
  <c r="DA364" i="10" s="1"/>
  <c r="CW1055" i="10"/>
  <c r="CW1065" i="10" s="1"/>
  <c r="CW878" i="10"/>
  <c r="CW799" i="10"/>
  <c r="CW788" i="10"/>
  <c r="CZ360" i="10"/>
  <c r="CZ364" i="10" s="1"/>
  <c r="DB941" i="10"/>
  <c r="CZ941" i="10"/>
  <c r="BZ380" i="42"/>
  <c r="BY387" i="42"/>
  <c r="BY385" i="42" s="1"/>
  <c r="BY382" i="42"/>
  <c r="BZ382" i="42" s="1"/>
  <c r="BX383" i="42"/>
  <c r="BY383" i="42" s="1"/>
  <c r="BZ383" i="42" s="1"/>
  <c r="DA941" i="10"/>
  <c r="DI2" i="20"/>
  <c r="CX779" i="20"/>
  <c r="CX776" i="20"/>
  <c r="CX778" i="20" s="1"/>
  <c r="DI1" i="42"/>
  <c r="DL3" i="42"/>
  <c r="DB804" i="10"/>
  <c r="DB873" i="10"/>
  <c r="DB1050" i="10"/>
  <c r="DB1070" i="10" s="1"/>
  <c r="DB803" i="10"/>
  <c r="DB872" i="10"/>
  <c r="DB1049" i="10"/>
  <c r="DB360" i="10"/>
  <c r="DB364" i="10" s="1"/>
  <c r="CV1064" i="10"/>
  <c r="CV1074" i="10"/>
  <c r="CV887" i="10"/>
  <c r="CV834" i="10"/>
  <c r="DI1235" i="10"/>
  <c r="DI1240" i="10" s="1"/>
  <c r="CZ700" i="10"/>
  <c r="CZ1100" i="10"/>
  <c r="CZ1101" i="10"/>
  <c r="CZ777" i="20"/>
  <c r="CZ1097" i="10"/>
  <c r="CZ802" i="10"/>
  <c r="DB791" i="10"/>
  <c r="CZ871" i="10"/>
  <c r="CZ1048" i="10"/>
  <c r="CW776" i="20"/>
  <c r="CW778" i="20" s="1"/>
  <c r="CW779" i="20"/>
  <c r="DA803" i="10"/>
  <c r="DA872" i="10"/>
  <c r="DA1049" i="10"/>
  <c r="DA386" i="20" s="1"/>
  <c r="DA873" i="10"/>
  <c r="DA804" i="10"/>
  <c r="DA1050" i="10"/>
  <c r="DI2" i="43"/>
  <c r="CX885" i="10"/>
  <c r="CX1062" i="10"/>
  <c r="CW1062" i="10"/>
  <c r="CW1072" i="10"/>
  <c r="CW885" i="10"/>
  <c r="CZ804" i="10"/>
  <c r="CZ873" i="10"/>
  <c r="CZ1050" i="10"/>
  <c r="CZ328" i="10"/>
  <c r="DI1234" i="10"/>
  <c r="DI1239" i="10" s="1"/>
  <c r="DI1233" i="10"/>
  <c r="DI1238" i="10" s="1"/>
  <c r="DA802" i="10"/>
  <c r="DA871" i="10"/>
  <c r="DA1048" i="10"/>
  <c r="CX702" i="10"/>
  <c r="CX701" i="10"/>
  <c r="DA1105" i="10"/>
  <c r="CW834" i="10"/>
  <c r="CW1064" i="10"/>
  <c r="CW1074" i="10"/>
  <c r="CW887" i="10"/>
  <c r="DB787" i="10"/>
  <c r="DB797" i="10" s="1"/>
  <c r="DB795" i="10"/>
  <c r="DA322" i="10"/>
  <c r="DA325" i="10"/>
  <c r="CZ787" i="10"/>
  <c r="CZ797" i="10" s="1"/>
  <c r="CZ795" i="10"/>
  <c r="CV885" i="10"/>
  <c r="CV1062" i="10"/>
  <c r="CV1072" i="10"/>
  <c r="CX799" i="10"/>
  <c r="CX878" i="10"/>
  <c r="CX788" i="10"/>
  <c r="CX809" i="10"/>
  <c r="DA373" i="10"/>
  <c r="DB1092" i="10"/>
  <c r="DB1093" i="10" s="1"/>
  <c r="DB1096" i="10" s="1"/>
  <c r="DA1093" i="10"/>
  <c r="DA1096" i="10" s="1"/>
  <c r="DA70" i="10"/>
  <c r="DD2" i="10"/>
  <c r="DE2" i="10"/>
  <c r="DF2" i="10"/>
  <c r="DI1" i="10"/>
  <c r="CZ803" i="10"/>
  <c r="CZ872" i="10"/>
  <c r="CZ1049" i="10"/>
  <c r="CZ386" i="20" s="1"/>
  <c r="CZ388" i="20" s="1"/>
  <c r="CZ390" i="20" s="1"/>
  <c r="CZ391" i="20" s="1"/>
  <c r="CX887" i="10"/>
  <c r="CX1064" i="10"/>
  <c r="CX834" i="10"/>
  <c r="CW702" i="10"/>
  <c r="CW701" i="10"/>
  <c r="DA320" i="10"/>
  <c r="DA326" i="10"/>
  <c r="CX881" i="10"/>
  <c r="CX1058" i="10"/>
  <c r="DI1236" i="10"/>
  <c r="DI1241" i="10" s="1"/>
  <c r="DA787" i="10"/>
  <c r="DA797" i="10" s="1"/>
  <c r="DA795" i="10"/>
  <c r="DE575" i="20" l="1"/>
  <c r="DH575" i="20"/>
  <c r="DQ1" i="10"/>
  <c r="DH307" i="10"/>
  <c r="DH295" i="10"/>
  <c r="DH293" i="10"/>
  <c r="DP385" i="10"/>
  <c r="DP381" i="10"/>
  <c r="DH280" i="10"/>
  <c r="DH286" i="10" s="1"/>
  <c r="DH287" i="10" s="1"/>
  <c r="DH300" i="10"/>
  <c r="DE286" i="10"/>
  <c r="DE287" i="10" s="1"/>
  <c r="DB386" i="20"/>
  <c r="DA388" i="20"/>
  <c r="DB1069" i="10"/>
  <c r="DD361" i="20"/>
  <c r="DF574" i="20"/>
  <c r="DE1080" i="10"/>
  <c r="DE782" i="10"/>
  <c r="DE792" i="10" s="1"/>
  <c r="DE764" i="10"/>
  <c r="DE763" i="10"/>
  <c r="DE767" i="10"/>
  <c r="DE785" i="10"/>
  <c r="DE781" i="10"/>
  <c r="DE791" i="10" s="1"/>
  <c r="DE783" i="10"/>
  <c r="DE793" i="10" s="1"/>
  <c r="DE765" i="10"/>
  <c r="DE1086" i="10"/>
  <c r="DE1089" i="10" s="1"/>
  <c r="DE1091" i="10" s="1"/>
  <c r="DE1092" i="10" s="1"/>
  <c r="DE771" i="10"/>
  <c r="DF782" i="10"/>
  <c r="DF792" i="10" s="1"/>
  <c r="DF764" i="10"/>
  <c r="DF781" i="10"/>
  <c r="DF763" i="10"/>
  <c r="DF767" i="10"/>
  <c r="DF785" i="10"/>
  <c r="DF765" i="10"/>
  <c r="DF783" i="10"/>
  <c r="DF793" i="10" s="1"/>
  <c r="DF1086" i="10"/>
  <c r="DF1089" i="10" s="1"/>
  <c r="DF771" i="10"/>
  <c r="DE309" i="10"/>
  <c r="DE301" i="10"/>
  <c r="DE296" i="10"/>
  <c r="DF358" i="10"/>
  <c r="DF362" i="10"/>
  <c r="DF359" i="10"/>
  <c r="DF361" i="10"/>
  <c r="DF69" i="10"/>
  <c r="DF67" i="10"/>
  <c r="DF68" i="10"/>
  <c r="DF259" i="10"/>
  <c r="DF256" i="10"/>
  <c r="DF363" i="10"/>
  <c r="DE362" i="10"/>
  <c r="DE358" i="10"/>
  <c r="DE69" i="10"/>
  <c r="DE67" i="10"/>
  <c r="DE359" i="10"/>
  <c r="DE361" i="10"/>
  <c r="DE68" i="10"/>
  <c r="DE259" i="10"/>
  <c r="DE256" i="10"/>
  <c r="DE363" i="10"/>
  <c r="DD256" i="10"/>
  <c r="DD259" i="10"/>
  <c r="DE316" i="10"/>
  <c r="DD320" i="10"/>
  <c r="DD325" i="10"/>
  <c r="DD328" i="10" s="1"/>
  <c r="DD322" i="10"/>
  <c r="CV1075" i="10"/>
  <c r="CV1065" i="10"/>
  <c r="DD323" i="10"/>
  <c r="DA323" i="10"/>
  <c r="DD362" i="10"/>
  <c r="DD358" i="10"/>
  <c r="DD1080" i="10"/>
  <c r="DD67" i="10"/>
  <c r="DD764" i="10"/>
  <c r="DD359" i="10"/>
  <c r="DD69" i="10"/>
  <c r="DD70" i="10" s="1"/>
  <c r="DD785" i="10"/>
  <c r="DD783" i="10"/>
  <c r="DD793" i="10" s="1"/>
  <c r="DD765" i="10"/>
  <c r="DD767" i="10"/>
  <c r="DD361" i="10"/>
  <c r="DD782" i="10"/>
  <c r="DD792" i="10" s="1"/>
  <c r="DD763" i="10"/>
  <c r="DD68" i="10"/>
  <c r="DD781" i="10"/>
  <c r="DD791" i="10" s="1"/>
  <c r="DD1086" i="10"/>
  <c r="DD1089" i="10" s="1"/>
  <c r="DD1091" i="10" s="1"/>
  <c r="DD1092" i="10" s="1"/>
  <c r="DD771" i="10"/>
  <c r="DD363" i="10"/>
  <c r="DA314" i="10"/>
  <c r="CW888" i="10"/>
  <c r="CW1075" i="10"/>
  <c r="BZ387" i="42"/>
  <c r="BZ385" i="42" s="1"/>
  <c r="CB380" i="42"/>
  <c r="DA700" i="10"/>
  <c r="DA1100" i="10"/>
  <c r="DA777" i="20"/>
  <c r="DA1101" i="10"/>
  <c r="DA1097" i="10"/>
  <c r="DI317" i="10"/>
  <c r="DA1070" i="10"/>
  <c r="DA883" i="10"/>
  <c r="DA1060" i="10"/>
  <c r="CZ881" i="10"/>
  <c r="CZ1068" i="10"/>
  <c r="CZ1058" i="10"/>
  <c r="DL1235" i="10"/>
  <c r="DB883" i="10"/>
  <c r="DC1050" i="10"/>
  <c r="DB1060" i="10"/>
  <c r="DI574" i="20"/>
  <c r="DB700" i="10"/>
  <c r="DB1101" i="10"/>
  <c r="DB1100" i="10"/>
  <c r="DB777" i="20"/>
  <c r="DB1097" i="10"/>
  <c r="CZ702" i="10"/>
  <c r="CZ701" i="10"/>
  <c r="DB882" i="10"/>
  <c r="DB1059" i="10"/>
  <c r="DC1049" i="10"/>
  <c r="DM3" i="42"/>
  <c r="DP3" i="42" s="1"/>
  <c r="DL1" i="42"/>
  <c r="DL2" i="42" s="1"/>
  <c r="DL2" i="20"/>
  <c r="DI1" i="20"/>
  <c r="DJ1" i="20" s="1"/>
  <c r="DH361" i="20" s="1"/>
  <c r="DA806" i="10"/>
  <c r="DA875" i="10"/>
  <c r="DA1052" i="10"/>
  <c r="DJ1241" i="10"/>
  <c r="DL1" i="10"/>
  <c r="CX888" i="10"/>
  <c r="CX1065" i="10"/>
  <c r="CX1075" i="10"/>
  <c r="CZ806" i="10"/>
  <c r="CZ875" i="10"/>
  <c r="CZ1052" i="10"/>
  <c r="DB875" i="10"/>
  <c r="DB806" i="10"/>
  <c r="DB1052" i="10"/>
  <c r="DB1072" i="10" s="1"/>
  <c r="DA798" i="10"/>
  <c r="DJ1238" i="10"/>
  <c r="DL1234" i="10"/>
  <c r="CZ883" i="10"/>
  <c r="CZ1060" i="10"/>
  <c r="CZ1070" i="10"/>
  <c r="DI1" i="43"/>
  <c r="DL2" i="43"/>
  <c r="DB802" i="10"/>
  <c r="DB871" i="10"/>
  <c r="DB798" i="10"/>
  <c r="DB1048" i="10"/>
  <c r="DB1068" i="10" s="1"/>
  <c r="CZ776" i="20"/>
  <c r="CZ778" i="20" s="1"/>
  <c r="CZ779" i="20"/>
  <c r="DJ1" i="42"/>
  <c r="DJ2" i="42" s="1"/>
  <c r="DI2" i="42"/>
  <c r="DA877" i="10"/>
  <c r="DA808" i="10"/>
  <c r="DA1054" i="10"/>
  <c r="DL1236" i="10"/>
  <c r="CZ1059" i="10"/>
  <c r="CZ882" i="10"/>
  <c r="CZ1069" i="10"/>
  <c r="DJ1" i="10"/>
  <c r="DH2" i="10" s="1"/>
  <c r="DI385" i="10"/>
  <c r="DJ385" i="10" s="1"/>
  <c r="DI381" i="10"/>
  <c r="CZ808" i="10"/>
  <c r="CZ877" i="10"/>
  <c r="CZ1054" i="10"/>
  <c r="DB808" i="10"/>
  <c r="DB877" i="10"/>
  <c r="DB1054" i="10"/>
  <c r="DB1074" i="10" s="1"/>
  <c r="DA1058" i="10"/>
  <c r="DA881" i="10"/>
  <c r="DA1068" i="10"/>
  <c r="DL1233" i="10"/>
  <c r="DJ1239" i="10"/>
  <c r="DA882" i="10"/>
  <c r="DA1059" i="10"/>
  <c r="DA1069" i="10"/>
  <c r="CZ798" i="10"/>
  <c r="DJ1240" i="10"/>
  <c r="DH316" i="10" l="1"/>
  <c r="DH320" i="10" s="1"/>
  <c r="DQ385" i="10"/>
  <c r="DQ381" i="10"/>
  <c r="DR1" i="10"/>
  <c r="DP622" i="20"/>
  <c r="DH309" i="10"/>
  <c r="DH310" i="10" s="1"/>
  <c r="DH314" i="10" s="1"/>
  <c r="DH296" i="10"/>
  <c r="DH301" i="10"/>
  <c r="DP405" i="20"/>
  <c r="DE310" i="10"/>
  <c r="DE314" i="10" s="1"/>
  <c r="DH256" i="10"/>
  <c r="DH176" i="10"/>
  <c r="DH1080" i="10"/>
  <c r="DI1080" i="10" s="1"/>
  <c r="DH362" i="10"/>
  <c r="DH361" i="10"/>
  <c r="DH259" i="10"/>
  <c r="DH359" i="10"/>
  <c r="DH358" i="10"/>
  <c r="DH764" i="10"/>
  <c r="DH782" i="10"/>
  <c r="DH792" i="10" s="1"/>
  <c r="DH934" i="10"/>
  <c r="DH783" i="10"/>
  <c r="DH793" i="10" s="1"/>
  <c r="DH765" i="10"/>
  <c r="DH68" i="10"/>
  <c r="DH69" i="10"/>
  <c r="DH70" i="10" s="1"/>
  <c r="DH169" i="10"/>
  <c r="DH937" i="10"/>
  <c r="DH767" i="10"/>
  <c r="DH67" i="10"/>
  <c r="DH168" i="10"/>
  <c r="DI168" i="10" s="1"/>
  <c r="DH175" i="10"/>
  <c r="DH935" i="10"/>
  <c r="DH769" i="10"/>
  <c r="DH363" i="10"/>
  <c r="DH474" i="10"/>
  <c r="DH785" i="10"/>
  <c r="DH933" i="10"/>
  <c r="DH763" i="10"/>
  <c r="DH781" i="10"/>
  <c r="DH791" i="10" s="1"/>
  <c r="DH171" i="10"/>
  <c r="DH1086" i="10"/>
  <c r="DH1089" i="10" s="1"/>
  <c r="DH1091" i="10" s="1"/>
  <c r="DH1092" i="10" s="1"/>
  <c r="DH1093" i="10" s="1"/>
  <c r="DH1096" i="10" s="1"/>
  <c r="DH174" i="10"/>
  <c r="DH770" i="10"/>
  <c r="DH1085" i="10"/>
  <c r="DH473" i="10"/>
  <c r="DH771" i="10"/>
  <c r="DH940" i="10"/>
  <c r="DH939" i="10"/>
  <c r="DB388" i="20"/>
  <c r="DB390" i="20" s="1"/>
  <c r="DB391" i="20" s="1"/>
  <c r="DA390" i="20"/>
  <c r="DA391" i="20" s="1"/>
  <c r="DF360" i="10"/>
  <c r="DF364" i="10" s="1"/>
  <c r="DP1" i="42"/>
  <c r="DP2" i="42" s="1"/>
  <c r="DQ3" i="42"/>
  <c r="DQ1" i="42" s="1"/>
  <c r="DM1" i="42"/>
  <c r="DM2" i="42" s="1"/>
  <c r="DF791" i="10"/>
  <c r="DF1092" i="10"/>
  <c r="DF78" i="10"/>
  <c r="DE78" i="10"/>
  <c r="DE81" i="10" s="1"/>
  <c r="DE37" i="10"/>
  <c r="DE787" i="10"/>
  <c r="DE797" i="10" s="1"/>
  <c r="DE795" i="10"/>
  <c r="DF787" i="10"/>
  <c r="DF797" i="10" s="1"/>
  <c r="DF795" i="10"/>
  <c r="DE360" i="10"/>
  <c r="DE364" i="10" s="1"/>
  <c r="DE70" i="10"/>
  <c r="DE326" i="10"/>
  <c r="DE320" i="10"/>
  <c r="DE325" i="10"/>
  <c r="DE322" i="10"/>
  <c r="DD360" i="10"/>
  <c r="DD364" i="10" s="1"/>
  <c r="DD795" i="10"/>
  <c r="DD787" i="10"/>
  <c r="DD797" i="10" s="1"/>
  <c r="CB387" i="42"/>
  <c r="CB385" i="42" s="1"/>
  <c r="CB382" i="42"/>
  <c r="CC380" i="42"/>
  <c r="DG566" i="20"/>
  <c r="CZ799" i="10"/>
  <c r="CZ788" i="10"/>
  <c r="CZ809" i="10"/>
  <c r="CZ878" i="10"/>
  <c r="CZ1055" i="10"/>
  <c r="CZ834" i="10"/>
  <c r="CZ887" i="10"/>
  <c r="CZ1064" i="10"/>
  <c r="CZ1074" i="10"/>
  <c r="DM1234" i="10"/>
  <c r="DP1234" i="10" s="1"/>
  <c r="DL1239" i="10"/>
  <c r="DA788" i="10"/>
  <c r="DA799" i="10"/>
  <c r="DA809" i="10"/>
  <c r="DA878" i="10"/>
  <c r="DA1055" i="10"/>
  <c r="DB1062" i="10"/>
  <c r="DC1052" i="10"/>
  <c r="DB885" i="10"/>
  <c r="DL385" i="10"/>
  <c r="DL381" i="10"/>
  <c r="DA885" i="10"/>
  <c r="DA1062" i="10"/>
  <c r="DA1072" i="10"/>
  <c r="DL1" i="20"/>
  <c r="DM2" i="20"/>
  <c r="DA702" i="10"/>
  <c r="DA701" i="10"/>
  <c r="DM1233" i="10"/>
  <c r="DP1233" i="10" s="1"/>
  <c r="DL1238" i="10"/>
  <c r="DB834" i="10"/>
  <c r="DC1054" i="10"/>
  <c r="DB1064" i="10"/>
  <c r="DB887" i="10"/>
  <c r="DA1064" i="10"/>
  <c r="DA1074" i="10"/>
  <c r="DA834" i="10"/>
  <c r="DA887" i="10"/>
  <c r="DB881" i="10"/>
  <c r="DC1048" i="10"/>
  <c r="DB1058" i="10"/>
  <c r="DL1" i="43"/>
  <c r="DM2" i="43"/>
  <c r="DP2" i="43" s="1"/>
  <c r="DI405" i="20"/>
  <c r="DJ405" i="20" s="1"/>
  <c r="DI2" i="10"/>
  <c r="DJ2" i="10"/>
  <c r="DB788" i="10"/>
  <c r="DB809" i="10"/>
  <c r="DB799" i="10"/>
  <c r="DB878" i="10"/>
  <c r="DB1055" i="10"/>
  <c r="DJ381" i="10"/>
  <c r="DB702" i="10"/>
  <c r="DB701" i="10"/>
  <c r="DL574" i="20"/>
  <c r="DI566" i="20"/>
  <c r="DJ566" i="20" s="1"/>
  <c r="DL317" i="10"/>
  <c r="DI308" i="10"/>
  <c r="DI327" i="10"/>
  <c r="DA779" i="20"/>
  <c r="DA776" i="20"/>
  <c r="DA778" i="20" s="1"/>
  <c r="DI622" i="20"/>
  <c r="DJ622" i="20" s="1"/>
  <c r="DL1241" i="10"/>
  <c r="DM1236" i="10"/>
  <c r="DP1236" i="10" s="1"/>
  <c r="CZ885" i="10"/>
  <c r="CZ1062" i="10"/>
  <c r="CZ1072" i="10"/>
  <c r="DM1" i="10"/>
  <c r="DB776" i="20"/>
  <c r="DB778" i="20" s="1"/>
  <c r="DB779" i="20"/>
  <c r="DM1235" i="10"/>
  <c r="DP1235" i="10" s="1"/>
  <c r="DL1240" i="10"/>
  <c r="DE323" i="10" l="1"/>
  <c r="DH326" i="10"/>
  <c r="DH373" i="10"/>
  <c r="DI175" i="10"/>
  <c r="DH325" i="10"/>
  <c r="DH328" i="10" s="1"/>
  <c r="DH322" i="10"/>
  <c r="DH323" i="10"/>
  <c r="DR2" i="10"/>
  <c r="DQ2" i="10"/>
  <c r="DP2" i="10"/>
  <c r="DQ405" i="20"/>
  <c r="DQ622" i="20"/>
  <c r="DR622" i="20" s="1"/>
  <c r="DR385" i="10"/>
  <c r="DR381" i="10"/>
  <c r="DH803" i="10"/>
  <c r="DH872" i="10"/>
  <c r="DH1049" i="10"/>
  <c r="DH1101" i="10"/>
  <c r="DH1100" i="10"/>
  <c r="DH700" i="10"/>
  <c r="DH1097" i="10"/>
  <c r="DH941" i="10"/>
  <c r="DH360" i="10"/>
  <c r="DH364" i="10" s="1"/>
  <c r="DH802" i="10"/>
  <c r="DH871" i="10"/>
  <c r="DH1048" i="10"/>
  <c r="DH787" i="10"/>
  <c r="DH797" i="10" s="1"/>
  <c r="DH795" i="10"/>
  <c r="DH804" i="10"/>
  <c r="DH873" i="10"/>
  <c r="DH1050" i="10"/>
  <c r="DQ2" i="43"/>
  <c r="DQ1" i="43" s="1"/>
  <c r="DP1" i="43"/>
  <c r="DE798" i="10"/>
  <c r="DE788" i="10" s="1"/>
  <c r="DQ2" i="42"/>
  <c r="DR1" i="42"/>
  <c r="DR2" i="42" s="1"/>
  <c r="DN1" i="42"/>
  <c r="DN2" i="42" s="1"/>
  <c r="DQ1234" i="10"/>
  <c r="DP1239" i="10"/>
  <c r="DQ1235" i="10"/>
  <c r="DP1240" i="10"/>
  <c r="DQ1233" i="10"/>
  <c r="DP1238" i="10"/>
  <c r="DP1241" i="10"/>
  <c r="DQ1236" i="10"/>
  <c r="DF798" i="10"/>
  <c r="DF788" i="10" s="1"/>
  <c r="DG544" i="20"/>
  <c r="DM1" i="20"/>
  <c r="DN1" i="20" s="1"/>
  <c r="DL566" i="20" s="1"/>
  <c r="DP2" i="20"/>
  <c r="DM1" i="43"/>
  <c r="DE82" i="10"/>
  <c r="DF81" i="10"/>
  <c r="DF82" i="10" s="1"/>
  <c r="DD798" i="10"/>
  <c r="DD788" i="10" s="1"/>
  <c r="DM1239" i="10"/>
  <c r="DM1241" i="10"/>
  <c r="CD380" i="42"/>
  <c r="CC387" i="42"/>
  <c r="CC385" i="42" s="1"/>
  <c r="CC382" i="42"/>
  <c r="CD382" i="42" s="1"/>
  <c r="CB383" i="42"/>
  <c r="CC383" i="42" s="1"/>
  <c r="CD383" i="42" s="1"/>
  <c r="DK566" i="20"/>
  <c r="DJ570" i="20"/>
  <c r="DJ574" i="20"/>
  <c r="DM574" i="20"/>
  <c r="DI309" i="10"/>
  <c r="EO60" i="41"/>
  <c r="DM1238" i="10"/>
  <c r="DL622" i="20"/>
  <c r="DJ390" i="10"/>
  <c r="DI316" i="10"/>
  <c r="DM1240" i="10"/>
  <c r="DN1" i="10"/>
  <c r="DM385" i="10"/>
  <c r="DN385" i="10" s="1"/>
  <c r="DM381" i="10"/>
  <c r="DN381" i="10" s="1"/>
  <c r="DL308" i="10"/>
  <c r="DM317" i="10"/>
  <c r="DP317" i="10" s="1"/>
  <c r="DL327" i="10"/>
  <c r="DJ765" i="10"/>
  <c r="DJ785" i="10"/>
  <c r="DJ764" i="10"/>
  <c r="DJ783" i="10"/>
  <c r="DJ793" i="10" s="1"/>
  <c r="DJ782" i="10"/>
  <c r="DJ792" i="10" s="1"/>
  <c r="DJ763" i="10"/>
  <c r="DJ767" i="10"/>
  <c r="DJ781" i="10"/>
  <c r="DJ771" i="10"/>
  <c r="DJ1086" i="10"/>
  <c r="DJ1089" i="10" s="1"/>
  <c r="DJ256" i="10"/>
  <c r="DL1080" i="10"/>
  <c r="DI1079" i="10"/>
  <c r="DI698" i="10" s="1"/>
  <c r="CZ1065" i="10"/>
  <c r="CZ1075" i="10"/>
  <c r="CZ888" i="10"/>
  <c r="DI570" i="20"/>
  <c r="DI544" i="20"/>
  <c r="DI568" i="20"/>
  <c r="DI572" i="20" s="1"/>
  <c r="DB888" i="10"/>
  <c r="DB1065" i="10"/>
  <c r="DB1075" i="10"/>
  <c r="DC1055" i="10"/>
  <c r="DI783" i="10"/>
  <c r="DI793" i="10" s="1"/>
  <c r="DI781" i="10"/>
  <c r="DI791" i="10" s="1"/>
  <c r="DI767" i="10"/>
  <c r="DI764" i="10"/>
  <c r="DI785" i="10"/>
  <c r="DI782" i="10"/>
  <c r="DI792" i="10" s="1"/>
  <c r="DI765" i="10"/>
  <c r="DI763" i="10"/>
  <c r="DI771" i="10"/>
  <c r="DI1086" i="10"/>
  <c r="DI1089" i="10" s="1"/>
  <c r="DI1091" i="10" s="1"/>
  <c r="DI1092" i="10" s="1"/>
  <c r="DI256" i="10"/>
  <c r="DI160" i="10"/>
  <c r="DI403" i="20" s="1"/>
  <c r="DI162" i="10"/>
  <c r="DI621" i="20" s="1"/>
  <c r="DL405" i="20"/>
  <c r="DA888" i="10"/>
  <c r="DA1065" i="10"/>
  <c r="DA1075" i="10"/>
  <c r="DP574" i="20" l="1"/>
  <c r="DH798" i="10"/>
  <c r="DH788" i="10" s="1"/>
  <c r="DR390" i="10"/>
  <c r="DP1086" i="10"/>
  <c r="DP1089" i="10" s="1"/>
  <c r="DP1091" i="10" s="1"/>
  <c r="DP1092" i="10" s="1"/>
  <c r="DP765" i="10"/>
  <c r="DP785" i="10"/>
  <c r="DP781" i="10"/>
  <c r="DP791" i="10" s="1"/>
  <c r="DP767" i="10"/>
  <c r="DP771" i="10"/>
  <c r="DP256" i="10"/>
  <c r="DP160" i="10"/>
  <c r="DP782" i="10"/>
  <c r="DP792" i="10" s="1"/>
  <c r="DP162" i="10"/>
  <c r="DP764" i="10"/>
  <c r="DP763" i="10"/>
  <c r="DP783" i="10"/>
  <c r="DP793" i="10" s="1"/>
  <c r="DQ1086" i="10"/>
  <c r="DQ1089" i="10" s="1"/>
  <c r="DQ1091" i="10" s="1"/>
  <c r="DQ1092" i="10" s="1"/>
  <c r="DQ256" i="10"/>
  <c r="DQ160" i="10"/>
  <c r="DQ403" i="20" s="1"/>
  <c r="DQ781" i="10"/>
  <c r="DQ791" i="10" s="1"/>
  <c r="DQ162" i="10"/>
  <c r="DQ621" i="20" s="1"/>
  <c r="DQ764" i="10"/>
  <c r="DQ765" i="10"/>
  <c r="DQ763" i="10"/>
  <c r="DQ782" i="10"/>
  <c r="DQ792" i="10" s="1"/>
  <c r="DQ783" i="10"/>
  <c r="DQ793" i="10" s="1"/>
  <c r="DQ785" i="10"/>
  <c r="DQ767" i="10"/>
  <c r="DQ771" i="10"/>
  <c r="DR1086" i="10"/>
  <c r="DR1089" i="10" s="1"/>
  <c r="DR767" i="10"/>
  <c r="DR771" i="10"/>
  <c r="DR256" i="10"/>
  <c r="DR764" i="10"/>
  <c r="DR782" i="10"/>
  <c r="DR792" i="10" s="1"/>
  <c r="DR765" i="10"/>
  <c r="DR763" i="10"/>
  <c r="DR783" i="10"/>
  <c r="DR793" i="10" s="1"/>
  <c r="DR781" i="10"/>
  <c r="DR785" i="10"/>
  <c r="DR405" i="20"/>
  <c r="DH878" i="10"/>
  <c r="DH1055" i="10"/>
  <c r="DH883" i="10"/>
  <c r="DH1070" i="10"/>
  <c r="DH1060" i="10"/>
  <c r="DH702" i="10"/>
  <c r="DH701" i="10"/>
  <c r="DH806" i="10"/>
  <c r="DH875" i="10"/>
  <c r="DH1052" i="10"/>
  <c r="DH1069" i="10"/>
  <c r="DH882" i="10"/>
  <c r="DH1059" i="10"/>
  <c r="DH808" i="10"/>
  <c r="DH877" i="10"/>
  <c r="DH1054" i="10"/>
  <c r="DH1068" i="10"/>
  <c r="DH881" i="10"/>
  <c r="DH1058" i="10"/>
  <c r="DQ1241" i="10"/>
  <c r="DP327" i="10"/>
  <c r="DQ317" i="10"/>
  <c r="DP308" i="10"/>
  <c r="DQ1238" i="10"/>
  <c r="DQ1240" i="10"/>
  <c r="DQ1239" i="10"/>
  <c r="DQ574" i="20"/>
  <c r="DP1" i="20"/>
  <c r="DQ2" i="20"/>
  <c r="DQ1" i="20" s="1"/>
  <c r="DN1239" i="10"/>
  <c r="DJ1092" i="10"/>
  <c r="DN1238" i="10"/>
  <c r="DN1241" i="10"/>
  <c r="CF380" i="42"/>
  <c r="CD387" i="42"/>
  <c r="CD385" i="42" s="1"/>
  <c r="DJ568" i="20"/>
  <c r="DJ572" i="20" s="1"/>
  <c r="DN1240" i="10"/>
  <c r="DL568" i="20"/>
  <c r="DL544" i="20"/>
  <c r="DL570" i="20"/>
  <c r="DM308" i="10"/>
  <c r="DM327" i="10"/>
  <c r="DJ1079" i="10"/>
  <c r="DJ160" i="10"/>
  <c r="DI78" i="10"/>
  <c r="DD215" i="10"/>
  <c r="EP60" i="41"/>
  <c r="DM405" i="20"/>
  <c r="DM2" i="10"/>
  <c r="DN2" i="10"/>
  <c r="DL2" i="10"/>
  <c r="DL1079" i="10" s="1"/>
  <c r="DJ162" i="10"/>
  <c r="DN390" i="10"/>
  <c r="DI795" i="10"/>
  <c r="DI787" i="10"/>
  <c r="DI797" i="10" s="1"/>
  <c r="DJ787" i="10"/>
  <c r="DJ797" i="10" s="1"/>
  <c r="DJ795" i="10"/>
  <c r="DJ544" i="20"/>
  <c r="DL316" i="10"/>
  <c r="DI326" i="10"/>
  <c r="DI307" i="10"/>
  <c r="DI310" i="10" s="1"/>
  <c r="DL309" i="10"/>
  <c r="DI325" i="10"/>
  <c r="DM566" i="20"/>
  <c r="DN566" i="20" s="1"/>
  <c r="DM1080" i="10"/>
  <c r="DP1080" i="10" s="1"/>
  <c r="DM622" i="20"/>
  <c r="DN622" i="20" s="1"/>
  <c r="DJ791" i="10"/>
  <c r="DH799" i="10" l="1"/>
  <c r="DH809" i="10"/>
  <c r="DR1092" i="10"/>
  <c r="DR162" i="10"/>
  <c r="DP621" i="20"/>
  <c r="DR621" i="20" s="1"/>
  <c r="DP403" i="20"/>
  <c r="DR160" i="10"/>
  <c r="DR791" i="10"/>
  <c r="DP795" i="10"/>
  <c r="DP787" i="10"/>
  <c r="DP797" i="10" s="1"/>
  <c r="DR787" i="10"/>
  <c r="DR797" i="10" s="1"/>
  <c r="DR795" i="10"/>
  <c r="DQ795" i="10"/>
  <c r="DQ787" i="10"/>
  <c r="DQ797" i="10" s="1"/>
  <c r="DH887" i="10"/>
  <c r="DH1064" i="10"/>
  <c r="DH834" i="10"/>
  <c r="DH1074" i="10"/>
  <c r="DH888" i="10"/>
  <c r="DH1065" i="10"/>
  <c r="DH1075" i="10"/>
  <c r="DH1072" i="10"/>
  <c r="DH885" i="10"/>
  <c r="DH1062" i="10"/>
  <c r="DR1241" i="10"/>
  <c r="DR1240" i="10"/>
  <c r="DQ1080" i="10"/>
  <c r="DQ1079" i="10" s="1"/>
  <c r="DQ698" i="10" s="1"/>
  <c r="DP1079" i="10"/>
  <c r="DR1238" i="10"/>
  <c r="DQ327" i="10"/>
  <c r="DQ308" i="10"/>
  <c r="DR1239" i="10"/>
  <c r="DR1" i="20"/>
  <c r="DP566" i="20" s="1"/>
  <c r="DM1079" i="10"/>
  <c r="DM698" i="10" s="1"/>
  <c r="DI798" i="10"/>
  <c r="DI788" i="10" s="1"/>
  <c r="DI328" i="10"/>
  <c r="CF387" i="42"/>
  <c r="CF385" i="42" s="1"/>
  <c r="CG380" i="42"/>
  <c r="CF382" i="42"/>
  <c r="DN570" i="20"/>
  <c r="DN574" i="20"/>
  <c r="DO566" i="20"/>
  <c r="EO62" i="41"/>
  <c r="EO61" i="41" s="1"/>
  <c r="EO81" i="41" s="1"/>
  <c r="DJ621" i="20"/>
  <c r="DN785" i="10"/>
  <c r="DN763" i="10"/>
  <c r="DN783" i="10"/>
  <c r="DN793" i="10" s="1"/>
  <c r="DN781" i="10"/>
  <c r="DN764" i="10"/>
  <c r="DN767" i="10"/>
  <c r="DN782" i="10"/>
  <c r="DN792" i="10" s="1"/>
  <c r="DN765" i="10"/>
  <c r="DN1086" i="10"/>
  <c r="DN1089" i="10" s="1"/>
  <c r="DN771" i="10"/>
  <c r="DN256" i="10"/>
  <c r="DJ403" i="20"/>
  <c r="DJ698" i="10"/>
  <c r="DL78" i="10"/>
  <c r="DM309" i="10"/>
  <c r="DP309" i="10" s="1"/>
  <c r="DL325" i="10"/>
  <c r="DL326" i="10"/>
  <c r="DL307" i="10"/>
  <c r="DL310" i="10" s="1"/>
  <c r="DM316" i="10"/>
  <c r="DP316" i="10" s="1"/>
  <c r="DM782" i="10"/>
  <c r="DM792" i="10" s="1"/>
  <c r="DM765" i="10"/>
  <c r="DM785" i="10"/>
  <c r="DM783" i="10"/>
  <c r="DM793" i="10" s="1"/>
  <c r="DM763" i="10"/>
  <c r="DM764" i="10"/>
  <c r="DM781" i="10"/>
  <c r="DM791" i="10" s="1"/>
  <c r="DM767" i="10"/>
  <c r="DM1086" i="10"/>
  <c r="DM1089" i="10" s="1"/>
  <c r="DM1091" i="10" s="1"/>
  <c r="DM1092" i="10" s="1"/>
  <c r="DM771" i="10"/>
  <c r="DM256" i="10"/>
  <c r="DM162" i="10"/>
  <c r="DM621" i="20" s="1"/>
  <c r="DM160" i="10"/>
  <c r="DM403" i="20" s="1"/>
  <c r="EQ60" i="41"/>
  <c r="ES60" i="41"/>
  <c r="DN405" i="20"/>
  <c r="DL572" i="20"/>
  <c r="DJ798" i="10"/>
  <c r="DL698" i="10"/>
  <c r="DM544" i="20"/>
  <c r="DM570" i="20"/>
  <c r="DM568" i="20"/>
  <c r="DM572" i="20" s="1"/>
  <c r="DI314" i="10"/>
  <c r="DI183" i="10" s="1"/>
  <c r="DI323" i="10"/>
  <c r="DJ78" i="10"/>
  <c r="DK544" i="20"/>
  <c r="DL781" i="10"/>
  <c r="DL791" i="10" s="1"/>
  <c r="DL783" i="10"/>
  <c r="DL793" i="10" s="1"/>
  <c r="DL764" i="10"/>
  <c r="DL763" i="10"/>
  <c r="DL782" i="10"/>
  <c r="DL792" i="10" s="1"/>
  <c r="DL767" i="10"/>
  <c r="DL785" i="10"/>
  <c r="DL765" i="10"/>
  <c r="DL1086" i="10"/>
  <c r="DL1089" i="10" s="1"/>
  <c r="DL1091" i="10" s="1"/>
  <c r="DL1092" i="10" s="1"/>
  <c r="DL771" i="10"/>
  <c r="DL256" i="10"/>
  <c r="DL162" i="10"/>
  <c r="DL160" i="10"/>
  <c r="DP798" i="10" l="1"/>
  <c r="DP788" i="10" s="1"/>
  <c r="DQ798" i="10"/>
  <c r="DQ788" i="10" s="1"/>
  <c r="DR798" i="10"/>
  <c r="DR788" i="10" s="1"/>
  <c r="DR403" i="20"/>
  <c r="DN1079" i="10"/>
  <c r="DQ566" i="20"/>
  <c r="DR566" i="20" s="1"/>
  <c r="DP698" i="10"/>
  <c r="DR1079" i="10"/>
  <c r="DQ316" i="10"/>
  <c r="DP326" i="10"/>
  <c r="DP307" i="10"/>
  <c r="DP310" i="10" s="1"/>
  <c r="DQ309" i="10"/>
  <c r="DQ325" i="10" s="1"/>
  <c r="DP325" i="10"/>
  <c r="DP570" i="20"/>
  <c r="DP568" i="20"/>
  <c r="DP544" i="20"/>
  <c r="DM325" i="10"/>
  <c r="CF383" i="42"/>
  <c r="CG383" i="42" s="1"/>
  <c r="CH383" i="42" s="1"/>
  <c r="CG382" i="42"/>
  <c r="CH382" i="42" s="1"/>
  <c r="CH380" i="42"/>
  <c r="CG387" i="42"/>
  <c r="CG385" i="42" s="1"/>
  <c r="DN162" i="10"/>
  <c r="DL621" i="20"/>
  <c r="DN791" i="10"/>
  <c r="DM78" i="10"/>
  <c r="DJ788" i="10"/>
  <c r="DN795" i="10"/>
  <c r="DN787" i="10"/>
  <c r="DN797" i="10" s="1"/>
  <c r="DL787" i="10"/>
  <c r="DL797" i="10" s="1"/>
  <c r="DL795" i="10"/>
  <c r="DJ183" i="10"/>
  <c r="DI186" i="10"/>
  <c r="DI223" i="10"/>
  <c r="DH215" i="10" s="1"/>
  <c r="DI193" i="10"/>
  <c r="DI368" i="10"/>
  <c r="ET60" i="41"/>
  <c r="DI185" i="10"/>
  <c r="DI205" i="10" s="1"/>
  <c r="EP63" i="41"/>
  <c r="DM787" i="10"/>
  <c r="DM797" i="10" s="1"/>
  <c r="DM795" i="10"/>
  <c r="DN160" i="10"/>
  <c r="DL403" i="20"/>
  <c r="DN568" i="20"/>
  <c r="DN572" i="20" s="1"/>
  <c r="DI203" i="10"/>
  <c r="DJ203" i="10" s="1"/>
  <c r="CT187" i="10"/>
  <c r="EP62" i="41"/>
  <c r="EP61" i="41" s="1"/>
  <c r="EP81" i="41" s="1"/>
  <c r="DM307" i="10"/>
  <c r="DM310" i="10" s="1"/>
  <c r="DM326" i="10"/>
  <c r="DN544" i="20"/>
  <c r="DN698" i="10"/>
  <c r="EO63" i="41"/>
  <c r="DN1092" i="10"/>
  <c r="DL323" i="10"/>
  <c r="DL314" i="10"/>
  <c r="DL183" i="10" s="1"/>
  <c r="DL328" i="10"/>
  <c r="DQ568" i="20" l="1"/>
  <c r="DQ572" i="20" s="1"/>
  <c r="DQ570" i="20"/>
  <c r="DQ544" i="20"/>
  <c r="DP328" i="10"/>
  <c r="DM328" i="10"/>
  <c r="DR698" i="10"/>
  <c r="DP314" i="10"/>
  <c r="DP183" i="10" s="1"/>
  <c r="DP323" i="10"/>
  <c r="DQ326" i="10"/>
  <c r="DQ328" i="10" s="1"/>
  <c r="DQ307" i="10"/>
  <c r="DQ310" i="10" s="1"/>
  <c r="DP78" i="10"/>
  <c r="DP81" i="10" s="1"/>
  <c r="DP60" i="10" s="1"/>
  <c r="DP37" i="10"/>
  <c r="DP58" i="10"/>
  <c r="DR570" i="20"/>
  <c r="DR574" i="20"/>
  <c r="DS566" i="20"/>
  <c r="DP572" i="20"/>
  <c r="DL798" i="10"/>
  <c r="DL788" i="10" s="1"/>
  <c r="CJ380" i="42"/>
  <c r="CH387" i="42"/>
  <c r="CH385" i="42" s="1"/>
  <c r="DI65" i="49"/>
  <c r="DI164" i="49" s="1"/>
  <c r="DI208" i="10"/>
  <c r="DM314" i="10"/>
  <c r="DM183" i="10" s="1"/>
  <c r="DM203" i="10" s="1"/>
  <c r="DM323" i="10"/>
  <c r="EQ62" i="41"/>
  <c r="DN403" i="20"/>
  <c r="EU60" i="41"/>
  <c r="DJ185" i="10"/>
  <c r="DJ189" i="10" s="1"/>
  <c r="DE356" i="10"/>
  <c r="DJ205" i="10"/>
  <c r="EQ63" i="41"/>
  <c r="DL193" i="10"/>
  <c r="DL203" i="10"/>
  <c r="DL223" i="10"/>
  <c r="DL368" i="10"/>
  <c r="DL186" i="10"/>
  <c r="EW60" i="41"/>
  <c r="DL185" i="10"/>
  <c r="DN621" i="20"/>
  <c r="DN78" i="10"/>
  <c r="DO544" i="20"/>
  <c r="DI195" i="10"/>
  <c r="DI189" i="10"/>
  <c r="DI225" i="10"/>
  <c r="DI221" i="10"/>
  <c r="DI211" i="10"/>
  <c r="DM798" i="10"/>
  <c r="DJ186" i="10"/>
  <c r="DI311" i="10"/>
  <c r="ES62" i="41"/>
  <c r="ES61" i="41" s="1"/>
  <c r="ES81" i="41" s="1"/>
  <c r="DN798" i="10"/>
  <c r="EQ61" i="41" l="1"/>
  <c r="DR568" i="20"/>
  <c r="DR572" i="20" s="1"/>
  <c r="DQ37" i="10"/>
  <c r="DQ78" i="10"/>
  <c r="DQ81" i="10" s="1"/>
  <c r="DQ60" i="10" s="1"/>
  <c r="DQ82" i="10" s="1"/>
  <c r="DR544" i="20"/>
  <c r="DQ58" i="10"/>
  <c r="DR58" i="10" s="1"/>
  <c r="DQ314" i="10"/>
  <c r="DQ183" i="10" s="1"/>
  <c r="DQ203" i="10" s="1"/>
  <c r="DQ323" i="10"/>
  <c r="FA60" i="41"/>
  <c r="DP203" i="10"/>
  <c r="DP368" i="10"/>
  <c r="DP186" i="10"/>
  <c r="DP193" i="10"/>
  <c r="DP223" i="10"/>
  <c r="DP185" i="10"/>
  <c r="DP65" i="10"/>
  <c r="DP9" i="10"/>
  <c r="DP61" i="10"/>
  <c r="DP82" i="10"/>
  <c r="CJ387" i="42"/>
  <c r="CJ385" i="42" s="1"/>
  <c r="CK380" i="42"/>
  <c r="CJ382" i="42"/>
  <c r="DL205" i="10"/>
  <c r="DL189" i="10"/>
  <c r="DL195" i="10"/>
  <c r="DM211" i="10"/>
  <c r="DN183" i="10"/>
  <c r="DM193" i="10"/>
  <c r="DM223" i="10"/>
  <c r="DM186" i="10"/>
  <c r="DM368" i="10"/>
  <c r="EX60" i="41"/>
  <c r="DM185" i="10"/>
  <c r="DI212" i="10"/>
  <c r="ET63" i="41"/>
  <c r="DN788" i="10"/>
  <c r="DI197" i="10"/>
  <c r="ET62" i="41"/>
  <c r="ET61" i="41" s="1"/>
  <c r="ET81" i="41" s="1"/>
  <c r="DL225" i="10"/>
  <c r="DL221" i="10"/>
  <c r="DM788" i="10"/>
  <c r="DL311" i="10"/>
  <c r="DN203" i="10"/>
  <c r="DL211" i="10"/>
  <c r="DJ65" i="49"/>
  <c r="DK65" i="49" s="1"/>
  <c r="DJ208" i="10"/>
  <c r="DI232" i="10"/>
  <c r="DI216" i="10"/>
  <c r="ES63" i="41"/>
  <c r="EU62" i="41"/>
  <c r="EU61" i="41" s="1"/>
  <c r="EU81" i="41" s="1"/>
  <c r="EQ81" i="41" l="1"/>
  <c r="DR60" i="10"/>
  <c r="DR61" i="10" s="1"/>
  <c r="DR78" i="10"/>
  <c r="DR81" i="10" s="1"/>
  <c r="DS544" i="20"/>
  <c r="DR37" i="10"/>
  <c r="DQ9" i="10"/>
  <c r="DQ65" i="10"/>
  <c r="DR65" i="10" s="1"/>
  <c r="DQ61" i="10"/>
  <c r="DP37" i="49"/>
  <c r="DP63" i="49" s="1"/>
  <c r="BV36" i="41"/>
  <c r="BV6" i="41"/>
  <c r="DP311" i="10"/>
  <c r="DP189" i="10"/>
  <c r="DP195" i="10"/>
  <c r="DP205" i="10"/>
  <c r="DP65" i="49" s="1"/>
  <c r="DP225" i="10"/>
  <c r="DP221" i="10"/>
  <c r="DR203" i="10"/>
  <c r="DP211" i="10"/>
  <c r="DQ211" i="10"/>
  <c r="FB60" i="41"/>
  <c r="DQ368" i="10"/>
  <c r="DQ186" i="10"/>
  <c r="DQ223" i="10"/>
  <c r="DQ193" i="10"/>
  <c r="DR183" i="10"/>
  <c r="DQ185" i="10"/>
  <c r="CJ383" i="42"/>
  <c r="CK383" i="42" s="1"/>
  <c r="CL383" i="42" s="1"/>
  <c r="CK382" i="42"/>
  <c r="CL382" i="42" s="1"/>
  <c r="CL380" i="42"/>
  <c r="CL387" i="42" s="1"/>
  <c r="CL385" i="42" s="1"/>
  <c r="CK387" i="42"/>
  <c r="CK385" i="42" s="1"/>
  <c r="EU63" i="41"/>
  <c r="EY60" i="41"/>
  <c r="DN185" i="10"/>
  <c r="DL197" i="10"/>
  <c r="EW62" i="41"/>
  <c r="EW61" i="41" s="1"/>
  <c r="EW81" i="41" s="1"/>
  <c r="DJ150" i="49"/>
  <c r="DJ253" i="49"/>
  <c r="DL216" i="10"/>
  <c r="DL232" i="10"/>
  <c r="DN186" i="10"/>
  <c r="DM311" i="10"/>
  <c r="DJ347" i="10"/>
  <c r="DL65" i="49"/>
  <c r="DL208" i="10"/>
  <c r="DJ216" i="10"/>
  <c r="DI227" i="10"/>
  <c r="DM195" i="10"/>
  <c r="DM189" i="10"/>
  <c r="DM221" i="10"/>
  <c r="DM225" i="10"/>
  <c r="DM205" i="10"/>
  <c r="DR82" i="10" l="1"/>
  <c r="DQ37" i="49"/>
  <c r="DQ63" i="49" s="1"/>
  <c r="BW36" i="41"/>
  <c r="BW6" i="41"/>
  <c r="DR9" i="10"/>
  <c r="DR37" i="49"/>
  <c r="DR63" i="49" s="1"/>
  <c r="DP216" i="10"/>
  <c r="DP232" i="10"/>
  <c r="DP208" i="10"/>
  <c r="DR185" i="10"/>
  <c r="DR189" i="10" s="1"/>
  <c r="FC60" i="41"/>
  <c r="DP197" i="10"/>
  <c r="FA62" i="41"/>
  <c r="FA61" i="41" s="1"/>
  <c r="FA81" i="41" s="1"/>
  <c r="DQ311" i="10"/>
  <c r="DR186" i="10"/>
  <c r="DQ195" i="10"/>
  <c r="DQ189" i="10"/>
  <c r="DQ205" i="10"/>
  <c r="DQ221" i="10"/>
  <c r="DQ225" i="10"/>
  <c r="DL212" i="10"/>
  <c r="EW63" i="41"/>
  <c r="CX187" i="10"/>
  <c r="DN189" i="10"/>
  <c r="DM197" i="10"/>
  <c r="EX62" i="41"/>
  <c r="EX61" i="41" s="1"/>
  <c r="EX81" i="41" s="1"/>
  <c r="DM216" i="10"/>
  <c r="DM232" i="10"/>
  <c r="DM65" i="49"/>
  <c r="DM208" i="10"/>
  <c r="DN205" i="10"/>
  <c r="DL227" i="10"/>
  <c r="BX36" i="41" l="1"/>
  <c r="BX6" i="41"/>
  <c r="DR205" i="10"/>
  <c r="DR65" i="49" s="1"/>
  <c r="DQ65" i="49"/>
  <c r="DQ197" i="10"/>
  <c r="FB62" i="41"/>
  <c r="FB61" i="41" s="1"/>
  <c r="FB81" i="41" s="1"/>
  <c r="DP227" i="10"/>
  <c r="DQ232" i="10"/>
  <c r="DQ216" i="10"/>
  <c r="FC62" i="41"/>
  <c r="FC61" i="41" s="1"/>
  <c r="FC81" i="41" s="1"/>
  <c r="DP212" i="10"/>
  <c r="FA63" i="41"/>
  <c r="DQ208" i="10"/>
  <c r="DI347" i="10"/>
  <c r="DI351" i="10" s="1"/>
  <c r="DM212" i="10"/>
  <c r="EX63" i="41"/>
  <c r="DN216" i="10"/>
  <c r="DM227" i="10"/>
  <c r="DN65" i="49"/>
  <c r="DN208" i="10"/>
  <c r="EY62" i="41"/>
  <c r="EY61" i="41" s="1"/>
  <c r="EY81" i="41" s="1"/>
  <c r="DR208" i="10" l="1"/>
  <c r="DO65" i="49"/>
  <c r="DN253" i="49" s="1"/>
  <c r="DS65" i="49"/>
  <c r="DQ227" i="10"/>
  <c r="DR216" i="10"/>
  <c r="FB63" i="41"/>
  <c r="DQ212" i="10"/>
  <c r="DI349" i="10"/>
  <c r="DI348" i="10"/>
  <c r="DI353" i="10"/>
  <c r="DI352" i="10"/>
  <c r="EY63" i="41"/>
  <c r="DJ351" i="10"/>
  <c r="DN150" i="49" l="1"/>
  <c r="FC63" i="41"/>
  <c r="DR253" i="49"/>
  <c r="DR150" i="49"/>
  <c r="DJ349" i="10"/>
  <c r="DJ359" i="10" s="1"/>
  <c r="DI350" i="10"/>
  <c r="DJ353" i="10"/>
  <c r="DJ363" i="10" s="1"/>
  <c r="DJ348" i="10"/>
  <c r="DJ358" i="10" s="1"/>
  <c r="DI354" i="10"/>
  <c r="DJ352" i="10"/>
  <c r="DJ362" i="10" s="1"/>
  <c r="DJ361" i="10"/>
  <c r="DJ350" i="10" l="1"/>
  <c r="DJ354" i="10"/>
  <c r="DJ355" i="10" s="1"/>
  <c r="DI336" i="10"/>
  <c r="DJ336" i="10" s="1"/>
  <c r="DL347" i="10" s="1"/>
  <c r="DJ360" i="10"/>
  <c r="DJ364" i="10" s="1"/>
  <c r="DI376" i="10" l="1"/>
  <c r="DJ376" i="10" s="1"/>
  <c r="DI370" i="10"/>
  <c r="DI343" i="10"/>
  <c r="DI377" i="10" s="1"/>
  <c r="DJ377" i="10" s="1"/>
  <c r="DI369" i="10"/>
  <c r="DI340" i="10"/>
  <c r="DJ343" i="10"/>
  <c r="DL351" i="10"/>
  <c r="DL353" i="10"/>
  <c r="DL348" i="10"/>
  <c r="DL352" i="10"/>
  <c r="DL349" i="10"/>
  <c r="DN347" i="10"/>
  <c r="DJ378" i="10" l="1"/>
  <c r="DI383" i="10"/>
  <c r="DI344" i="10"/>
  <c r="DI378" i="10"/>
  <c r="DJ344" i="10"/>
  <c r="DL354" i="10"/>
  <c r="DM347" i="10" s="1"/>
  <c r="DL350" i="10"/>
  <c r="DJ383" i="10" l="1"/>
  <c r="DI382" i="10"/>
  <c r="DI407" i="20"/>
  <c r="DJ392" i="10"/>
  <c r="DL336" i="10"/>
  <c r="BN41" i="41"/>
  <c r="DM353" i="10"/>
  <c r="DM348" i="10"/>
  <c r="DM352" i="10"/>
  <c r="DM349" i="10"/>
  <c r="DM351" i="10"/>
  <c r="DJ407" i="20" l="1"/>
  <c r="DL370" i="10"/>
  <c r="DL340" i="10"/>
  <c r="DL343" i="10"/>
  <c r="DL344" i="10" s="1"/>
  <c r="DL376" i="10"/>
  <c r="DL383" i="10" s="1"/>
  <c r="DL369" i="10"/>
  <c r="DI395" i="10"/>
  <c r="DI406" i="20"/>
  <c r="DI384" i="10"/>
  <c r="DJ382" i="10"/>
  <c r="DN349" i="10"/>
  <c r="DN352" i="10"/>
  <c r="DN351" i="10"/>
  <c r="DM350" i="10"/>
  <c r="DN348" i="10"/>
  <c r="DM354" i="10"/>
  <c r="DN353" i="10"/>
  <c r="DL377" i="10" l="1"/>
  <c r="DL378" i="10" s="1"/>
  <c r="DL382" i="10" s="1"/>
  <c r="DJ391" i="10"/>
  <c r="DJ395" i="10"/>
  <c r="DI393" i="10"/>
  <c r="DI387" i="10"/>
  <c r="DJ384" i="10"/>
  <c r="DI404" i="20"/>
  <c r="DJ406" i="20"/>
  <c r="DN350" i="10"/>
  <c r="DN358" i="10"/>
  <c r="DN354" i="10"/>
  <c r="DN361" i="10"/>
  <c r="DN362" i="10"/>
  <c r="DM336" i="10"/>
  <c r="DL407" i="20"/>
  <c r="DN359" i="10"/>
  <c r="DN363" i="10"/>
  <c r="DI415" i="20" l="1"/>
  <c r="DJ404" i="20"/>
  <c r="DJ393" i="10"/>
  <c r="DJ387" i="10"/>
  <c r="DI656" i="10"/>
  <c r="DI12" i="10"/>
  <c r="DN360" i="10"/>
  <c r="DN364" i="10" s="1"/>
  <c r="DM343" i="10"/>
  <c r="DN336" i="10"/>
  <c r="DP347" i="10" s="1"/>
  <c r="DM340" i="10"/>
  <c r="DM369" i="10"/>
  <c r="DM370" i="10"/>
  <c r="DM376" i="10"/>
  <c r="DN355" i="10"/>
  <c r="DL395" i="10"/>
  <c r="DL406" i="20"/>
  <c r="DL384" i="10"/>
  <c r="DL387" i="20" l="1"/>
  <c r="DR347" i="10"/>
  <c r="DP352" i="10"/>
  <c r="DP348" i="10"/>
  <c r="DP353" i="10"/>
  <c r="DP351" i="10"/>
  <c r="DP349" i="10"/>
  <c r="DI40" i="49"/>
  <c r="DI67" i="49" s="1"/>
  <c r="DI165" i="49" s="1"/>
  <c r="BO41" i="41"/>
  <c r="DJ12" i="10"/>
  <c r="DJ656" i="10"/>
  <c r="DN343" i="10"/>
  <c r="DL387" i="10"/>
  <c r="DL393" i="10"/>
  <c r="DM377" i="10"/>
  <c r="DN377" i="10" s="1"/>
  <c r="DL404" i="20"/>
  <c r="DM344" i="10"/>
  <c r="DM383" i="10"/>
  <c r="DN376" i="10"/>
  <c r="DP354" i="10" l="1"/>
  <c r="DP350" i="10"/>
  <c r="DJ40" i="49"/>
  <c r="DJ67" i="49" s="1"/>
  <c r="BP41" i="41"/>
  <c r="DM378" i="10"/>
  <c r="DL12" i="10"/>
  <c r="DL656" i="10"/>
  <c r="DN344" i="10"/>
  <c r="DL420" i="20"/>
  <c r="DL415" i="20"/>
  <c r="DM407" i="20"/>
  <c r="DN383" i="10"/>
  <c r="DN378" i="10"/>
  <c r="DQ347" i="10" l="1"/>
  <c r="DP336" i="10"/>
  <c r="DM382" i="10"/>
  <c r="DM406" i="20" s="1"/>
  <c r="DJ254" i="49"/>
  <c r="DK254" i="49" s="1"/>
  <c r="DJ151" i="49"/>
  <c r="DK151" i="49" s="1"/>
  <c r="DN392" i="10"/>
  <c r="DL40" i="49"/>
  <c r="DL67" i="49" s="1"/>
  <c r="BR41" i="41"/>
  <c r="DN407" i="20"/>
  <c r="DM387" i="20" l="1"/>
  <c r="DP376" i="10"/>
  <c r="DP340" i="10"/>
  <c r="DP343" i="10"/>
  <c r="DP370" i="10"/>
  <c r="DP369" i="10"/>
  <c r="DQ349" i="10"/>
  <c r="DQ352" i="10"/>
  <c r="DQ348" i="10"/>
  <c r="DQ353" i="10"/>
  <c r="DQ351" i="10"/>
  <c r="DM395" i="10"/>
  <c r="DN382" i="10"/>
  <c r="DN395" i="10" s="1"/>
  <c r="DJ165" i="49"/>
  <c r="DJ268" i="49"/>
  <c r="DM384" i="10"/>
  <c r="DM404" i="20"/>
  <c r="DN406" i="20"/>
  <c r="DN387" i="20" s="1"/>
  <c r="DP383" i="10" l="1"/>
  <c r="DP377" i="10"/>
  <c r="DP378" i="10" s="1"/>
  <c r="DR349" i="10"/>
  <c r="DQ350" i="10"/>
  <c r="DR348" i="10"/>
  <c r="DP344" i="10"/>
  <c r="DQ354" i="10"/>
  <c r="DR351" i="10"/>
  <c r="DR353" i="10"/>
  <c r="DR352" i="10"/>
  <c r="DP407" i="20"/>
  <c r="DN391" i="10"/>
  <c r="DN384" i="10"/>
  <c r="DN387" i="10" s="1"/>
  <c r="DM393" i="10"/>
  <c r="DM387" i="10"/>
  <c r="DM415" i="20"/>
  <c r="DM420" i="20"/>
  <c r="DN404" i="20"/>
  <c r="DP382" i="10" l="1"/>
  <c r="DR350" i="10"/>
  <c r="DR358" i="10"/>
  <c r="DR354" i="10"/>
  <c r="DR359" i="10"/>
  <c r="DR363" i="10"/>
  <c r="DR362" i="10"/>
  <c r="DR361" i="10"/>
  <c r="DQ336" i="10"/>
  <c r="DN393" i="10"/>
  <c r="DM12" i="10"/>
  <c r="BS41" i="41" s="1"/>
  <c r="DM656" i="10"/>
  <c r="DN656" i="10"/>
  <c r="DO404" i="20"/>
  <c r="DN420" i="20"/>
  <c r="DQ343" i="10" l="1"/>
  <c r="DQ344" i="10" s="1"/>
  <c r="DR336" i="10"/>
  <c r="DQ340" i="10"/>
  <c r="DQ369" i="10"/>
  <c r="DQ370" i="10"/>
  <c r="DQ376" i="10"/>
  <c r="DR355" i="10"/>
  <c r="DR360" i="10"/>
  <c r="DR364" i="10" s="1"/>
  <c r="DP395" i="10"/>
  <c r="DP384" i="10"/>
  <c r="DP406" i="20"/>
  <c r="DP387" i="20" s="1"/>
  <c r="DM40" i="49"/>
  <c r="DM67" i="49" s="1"/>
  <c r="DN12" i="10"/>
  <c r="DN40" i="49" s="1"/>
  <c r="DN67" i="49" s="1"/>
  <c r="DQ383" i="10" l="1"/>
  <c r="DQ407" i="20" s="1"/>
  <c r="DR376" i="10"/>
  <c r="DP387" i="10"/>
  <c r="DP393" i="10"/>
  <c r="DP404" i="20"/>
  <c r="DQ377" i="10"/>
  <c r="DR377" i="10" s="1"/>
  <c r="DR343" i="10"/>
  <c r="BT41" i="41"/>
  <c r="DN151" i="49"/>
  <c r="DO151" i="49" s="1"/>
  <c r="DN254" i="49"/>
  <c r="DO254" i="49" s="1"/>
  <c r="DO67" i="49"/>
  <c r="DP415" i="20" l="1"/>
  <c r="DP420" i="20"/>
  <c r="DP421" i="20" s="1"/>
  <c r="DP656" i="10"/>
  <c r="DP12" i="10"/>
  <c r="DP40" i="49" s="1"/>
  <c r="DP67" i="49" s="1"/>
  <c r="DR407" i="20"/>
  <c r="DR378" i="10"/>
  <c r="DR344" i="10"/>
  <c r="DQ378" i="10"/>
  <c r="DR383" i="10"/>
  <c r="DN268" i="49"/>
  <c r="DN165" i="49"/>
  <c r="DO165" i="49" l="1"/>
  <c r="DO268" i="49"/>
  <c r="DR392" i="10"/>
  <c r="BV41" i="41"/>
  <c r="DQ382" i="10"/>
  <c r="DQ395" i="10" l="1"/>
  <c r="DQ384" i="10"/>
  <c r="DR382" i="10"/>
  <c r="DQ406" i="20"/>
  <c r="DQ387" i="20" s="1"/>
  <c r="DR406" i="20" l="1"/>
  <c r="DQ404" i="20"/>
  <c r="DR395" i="10"/>
  <c r="DR391" i="10"/>
  <c r="DQ387" i="10"/>
  <c r="DQ393" i="10"/>
  <c r="DR384" i="10"/>
  <c r="DR387" i="20" l="1"/>
  <c r="DR387" i="10"/>
  <c r="DR393" i="10"/>
  <c r="DQ415" i="20"/>
  <c r="DR404" i="20"/>
  <c r="DQ420" i="20"/>
  <c r="DQ421" i="20" s="1"/>
  <c r="DQ656" i="10"/>
  <c r="DQ12" i="10"/>
  <c r="DQ40" i="49" s="1"/>
  <c r="DQ67" i="49" s="1"/>
  <c r="DR12" i="10" l="1"/>
  <c r="DR40" i="49" s="1"/>
  <c r="DR67" i="49" s="1"/>
  <c r="BW41" i="41"/>
  <c r="DS404" i="20"/>
  <c r="DR420" i="20"/>
  <c r="DS387" i="10"/>
  <c r="DR656" i="10"/>
  <c r="DR254" i="49" l="1"/>
  <c r="DR151" i="49"/>
  <c r="DS67" i="49"/>
  <c r="DS420" i="20"/>
  <c r="DR421" i="20"/>
  <c r="BX41" i="41"/>
  <c r="DS151" i="49" l="1"/>
  <c r="DR165" i="49" s="1"/>
  <c r="DS165" i="49" s="1"/>
  <c r="DS254" i="49"/>
  <c r="DR268" i="49" s="1"/>
  <c r="DS268" i="49" s="1"/>
  <c r="DB317" i="49" l="1"/>
  <c r="DF312" i="49" s="1"/>
  <c r="DF317" i="49" s="1"/>
  <c r="DB214" i="49"/>
  <c r="DF209" i="49" s="1"/>
  <c r="DF214" i="49" s="1"/>
  <c r="DF215" i="49" l="1"/>
  <c r="DF232" i="49"/>
  <c r="DF318" i="49"/>
  <c r="DF335" i="49"/>
  <c r="DB232" i="49"/>
  <c r="DB215" i="49"/>
  <c r="DB216" i="49" s="1"/>
  <c r="DB221" i="49" s="1"/>
  <c r="DB318" i="49"/>
  <c r="DB319" i="49" s="1"/>
  <c r="DB324" i="49" s="1"/>
  <c r="DB335" i="49"/>
  <c r="DF319" i="49" l="1"/>
  <c r="DF324" i="49" s="1"/>
  <c r="DF216" i="49"/>
  <c r="DF221" i="49" s="1"/>
  <c r="DJ209" i="49"/>
  <c r="DB331" i="49"/>
  <c r="DB332" i="49"/>
  <c r="DB325" i="49"/>
  <c r="DB328" i="49"/>
  <c r="DB26" i="49" s="1"/>
  <c r="DB225" i="49"/>
  <c r="DB14" i="49" s="1"/>
  <c r="DB222" i="49"/>
  <c r="DJ312" i="49"/>
  <c r="DB229" i="49"/>
  <c r="DB228" i="49"/>
  <c r="DB333" i="49" l="1"/>
  <c r="DA331" i="49"/>
  <c r="DD331" i="49" s="1"/>
  <c r="CZ228" i="49"/>
  <c r="DA228" i="49" s="1"/>
  <c r="DB230" i="49"/>
  <c r="DB25" i="49"/>
  <c r="DC25" i="49" s="1"/>
  <c r="DB326" i="49"/>
  <c r="DB31" i="49" s="1"/>
  <c r="DB13" i="49"/>
  <c r="DC13" i="49" s="1"/>
  <c r="DB223" i="49"/>
  <c r="DB19" i="49" s="1"/>
  <c r="DB15" i="49" l="1"/>
  <c r="DC15" i="49" s="1"/>
  <c r="DB231" i="49"/>
  <c r="DB20" i="49" s="1"/>
  <c r="DB334" i="49"/>
  <c r="DB32" i="49" s="1"/>
  <c r="DB27" i="49"/>
  <c r="DC27" i="49" s="1"/>
  <c r="BJ6" i="41" l="1"/>
  <c r="BJ51" i="41" s="1"/>
  <c r="BJ36" i="41"/>
  <c r="DF76" i="10" l="1"/>
  <c r="DF37" i="10"/>
  <c r="BK6" i="41" l="1"/>
  <c r="BK51" i="41" s="1"/>
  <c r="BK36" i="41"/>
  <c r="BL6" i="41" l="1"/>
  <c r="BL36" i="41"/>
  <c r="BL51" i="41" l="1"/>
  <c r="DI272" i="20" l="1"/>
  <c r="DI276" i="20" s="1"/>
  <c r="DI37" i="10"/>
  <c r="DJ37" i="10"/>
  <c r="DI58" i="10"/>
  <c r="DI65" i="10" s="1"/>
  <c r="DI76" i="10"/>
  <c r="DI81" i="10" s="1"/>
  <c r="DI60" i="10" s="1"/>
  <c r="DI82" i="10" s="1"/>
  <c r="DJ76" i="10"/>
  <c r="DJ81" i="10" s="1"/>
  <c r="DI274" i="20" l="1"/>
  <c r="DI278" i="20" s="1"/>
  <c r="DJ58" i="10"/>
  <c r="DJ272" i="20"/>
  <c r="DJ276" i="20" s="1"/>
  <c r="DI9" i="10"/>
  <c r="DI61" i="10"/>
  <c r="DJ60" i="10"/>
  <c r="DJ82" i="10" s="1"/>
  <c r="DJ249" i="20"/>
  <c r="DJ274" i="20" l="1"/>
  <c r="DJ278" i="20" s="1"/>
  <c r="DJ65" i="10"/>
  <c r="BO36" i="41"/>
  <c r="BO6" i="41"/>
  <c r="BO51" i="41" s="1"/>
  <c r="DJ61" i="10"/>
  <c r="DI37" i="49"/>
  <c r="DI63" i="49" s="1"/>
  <c r="DI162" i="49" s="1"/>
  <c r="DJ9" i="10"/>
  <c r="BN6" i="41"/>
  <c r="BN51" i="41" s="1"/>
  <c r="BN36" i="41"/>
  <c r="DJ37" i="49" l="1"/>
  <c r="DJ63" i="49" s="1"/>
  <c r="BP36" i="41"/>
  <c r="BP6" i="41"/>
  <c r="BP51" i="41" l="1"/>
  <c r="DK63" i="49"/>
  <c r="DJ149" i="49" l="1"/>
  <c r="DK149" i="49" s="1"/>
  <c r="DK162" i="49" s="1"/>
  <c r="DJ162" i="49" s="1"/>
  <c r="DJ252" i="49"/>
  <c r="DK252" i="49" s="1"/>
  <c r="DK265" i="49" s="1"/>
  <c r="DJ265" i="49" s="1"/>
  <c r="DL272" i="20" l="1"/>
  <c r="DP276" i="20" s="1"/>
  <c r="DM272" i="20"/>
  <c r="DL313" i="20"/>
  <c r="DL552" i="10" s="1"/>
  <c r="DM274" i="20" l="1"/>
  <c r="DQ276" i="20"/>
  <c r="DN272" i="20"/>
  <c r="DM276" i="20"/>
  <c r="DL274" i="20"/>
  <c r="DP278" i="20" s="1"/>
  <c r="DL276" i="20"/>
  <c r="DN276" i="20" l="1"/>
  <c r="DR276" i="20"/>
  <c r="DM278" i="20"/>
  <c r="DQ278" i="20"/>
  <c r="DM76" i="10"/>
  <c r="DM81" i="10" s="1"/>
  <c r="DM60" i="10" s="1"/>
  <c r="DM82" i="10" s="1"/>
  <c r="DM37" i="10"/>
  <c r="DM58" i="10"/>
  <c r="DL76" i="10"/>
  <c r="DL81" i="10" s="1"/>
  <c r="DL60" i="10" s="1"/>
  <c r="DL37" i="10"/>
  <c r="DL58" i="10"/>
  <c r="DN274" i="20"/>
  <c r="DL278" i="20"/>
  <c r="DN278" i="20" l="1"/>
  <c r="DR278" i="20"/>
  <c r="DM61" i="10"/>
  <c r="DM9" i="10"/>
  <c r="DM65" i="10"/>
  <c r="DL61" i="10"/>
  <c r="DL9" i="10"/>
  <c r="DL65" i="10"/>
  <c r="DN58" i="10"/>
  <c r="DN60" i="10"/>
  <c r="DL82" i="10"/>
  <c r="DN249" i="20"/>
  <c r="DN76" i="10"/>
  <c r="DN81" i="10" s="1"/>
  <c r="DN37" i="10"/>
  <c r="DN82" i="10" l="1"/>
  <c r="DL37" i="49"/>
  <c r="DL63" i="49" s="1"/>
  <c r="DN9" i="10"/>
  <c r="BR36" i="41"/>
  <c r="BR6" i="41"/>
  <c r="DM37" i="49"/>
  <c r="DM63" i="49" s="1"/>
  <c r="BS6" i="41"/>
  <c r="BS36" i="41"/>
  <c r="DN61" i="10"/>
  <c r="DN65" i="10"/>
  <c r="BR51" i="41" l="1"/>
  <c r="BV51" i="41"/>
  <c r="BS51" i="41"/>
  <c r="BW51" i="41"/>
  <c r="DN37" i="49"/>
  <c r="DN63" i="49" s="1"/>
  <c r="DS63" i="49" s="1"/>
  <c r="BT6" i="41"/>
  <c r="BX51" i="41" s="1"/>
  <c r="BT36" i="41"/>
  <c r="DR252" i="49" l="1"/>
  <c r="DS252" i="49" s="1"/>
  <c r="DS265" i="49" s="1"/>
  <c r="DR149" i="49"/>
  <c r="DS149" i="49" s="1"/>
  <c r="DS162" i="49" s="1"/>
  <c r="BT51" i="41"/>
  <c r="DO63" i="49"/>
  <c r="DN252" i="49" l="1"/>
  <c r="DO252" i="49" s="1"/>
  <c r="DO265" i="49" s="1"/>
  <c r="DN265" i="49" s="1"/>
  <c r="DR265" i="49" s="1"/>
  <c r="DN149" i="49"/>
  <c r="DO149" i="49" s="1"/>
  <c r="DO162" i="49" s="1"/>
  <c r="DN162" i="49" s="1"/>
  <c r="DR162" i="49" s="1"/>
  <c r="DD27" i="10" l="1"/>
  <c r="DD38" i="10"/>
  <c r="DD39" i="10"/>
  <c r="DD40" i="10"/>
  <c r="DD43" i="10"/>
  <c r="DD44" i="10"/>
  <c r="DD46" i="10"/>
  <c r="DD50" i="10" s="1"/>
  <c r="DD92" i="10"/>
  <c r="DD95" i="10" s="1"/>
  <c r="DD100" i="10"/>
  <c r="DD102" i="10"/>
  <c r="DD104" i="10"/>
  <c r="DD114" i="10"/>
  <c r="DD116" i="10"/>
  <c r="DD129" i="10"/>
  <c r="DD139" i="10"/>
  <c r="DD140" i="10"/>
  <c r="DD141" i="10"/>
  <c r="DD147" i="10" s="1"/>
  <c r="DD151" i="10"/>
  <c r="DD152" i="10"/>
  <c r="DD158" i="10"/>
  <c r="DD168" i="10" s="1"/>
  <c r="DD159" i="10"/>
  <c r="DD160" i="10"/>
  <c r="DD162" i="10"/>
  <c r="DD381" i="10"/>
  <c r="DD382" i="10"/>
  <c r="DD383" i="10"/>
  <c r="DD385" i="10"/>
  <c r="DD416" i="10"/>
  <c r="DD417" i="10"/>
  <c r="DD418" i="10"/>
  <c r="DD420" i="10"/>
  <c r="DD422" i="10"/>
  <c r="DD442" i="10"/>
  <c r="DD443" i="10"/>
  <c r="DD444" i="10"/>
  <c r="DD446" i="10"/>
  <c r="DD448" i="10"/>
  <c r="DD495" i="10"/>
  <c r="DH494" i="10" s="1"/>
  <c r="DD496" i="10"/>
  <c r="DD497" i="10"/>
  <c r="DD499" i="10"/>
  <c r="DD501" i="10"/>
  <c r="DD1044" i="10" s="1"/>
  <c r="DD506" i="10"/>
  <c r="DD507" i="10"/>
  <c r="DD508" i="10"/>
  <c r="DD510" i="10"/>
  <c r="DD512" i="10"/>
  <c r="DD517" i="10"/>
  <c r="DD518" i="10"/>
  <c r="DD519" i="10"/>
  <c r="DD521" i="10"/>
  <c r="DD523" i="10"/>
  <c r="DD528" i="10"/>
  <c r="DD529" i="10"/>
  <c r="DD530" i="10"/>
  <c r="DD532" i="10"/>
  <c r="DD534" i="10"/>
  <c r="DD539" i="10"/>
  <c r="DD540" i="10"/>
  <c r="DD541" i="10"/>
  <c r="DD543" i="10"/>
  <c r="DD545" i="10"/>
  <c r="DD550" i="10"/>
  <c r="DD551" i="10"/>
  <c r="DD553" i="10"/>
  <c r="DD556" i="10"/>
  <c r="DD561" i="10"/>
  <c r="DD562" i="10"/>
  <c r="DD563" i="10"/>
  <c r="DD565" i="10"/>
  <c r="DD567" i="10"/>
  <c r="DD572" i="10"/>
  <c r="DD573" i="10"/>
  <c r="DD574" i="10"/>
  <c r="DD576" i="10"/>
  <c r="DD578" i="10"/>
  <c r="DD583" i="10"/>
  <c r="DD584" i="10"/>
  <c r="DD585" i="10"/>
  <c r="DD587" i="10"/>
  <c r="DD589" i="10"/>
  <c r="DD594" i="10"/>
  <c r="DD595" i="10"/>
  <c r="DD596" i="10"/>
  <c r="DD598" i="10"/>
  <c r="DD600" i="10"/>
  <c r="DD605" i="10"/>
  <c r="DD606" i="10"/>
  <c r="DD607" i="10"/>
  <c r="DD609" i="10"/>
  <c r="DD611" i="10"/>
  <c r="DD616" i="10"/>
  <c r="DD617" i="10"/>
  <c r="DD618" i="10"/>
  <c r="DD620" i="10"/>
  <c r="DD622" i="10"/>
  <c r="DD627" i="10"/>
  <c r="DD628" i="10"/>
  <c r="DD629" i="10"/>
  <c r="DD631" i="10"/>
  <c r="DD633" i="10"/>
  <c r="DD638" i="10"/>
  <c r="DD639" i="10"/>
  <c r="DD640" i="10"/>
  <c r="DD642" i="10"/>
  <c r="DD644" i="10"/>
  <c r="DD670" i="10"/>
  <c r="DD671" i="10"/>
  <c r="DD672" i="10"/>
  <c r="DD674" i="10"/>
  <c r="DD676" i="10"/>
  <c r="DD691" i="10"/>
  <c r="DD757" i="10" s="1"/>
  <c r="DD769" i="10" s="1"/>
  <c r="DD814" i="10"/>
  <c r="DD815" i="10"/>
  <c r="DD803" i="10" s="1"/>
  <c r="DD816" i="10"/>
  <c r="DD924" i="10" s="1"/>
  <c r="DD818" i="10"/>
  <c r="DD926" i="10" s="1"/>
  <c r="DD820" i="10"/>
  <c r="DD955" i="10"/>
  <c r="DD956" i="10"/>
  <c r="DD1129" i="10"/>
  <c r="DD1130" i="10"/>
  <c r="DD1201" i="10"/>
  <c r="DD1202" i="10"/>
  <c r="DD1203" i="10"/>
  <c r="DD1205" i="10"/>
  <c r="DD1207" i="10"/>
  <c r="DD1221" i="10"/>
  <c r="DD56" i="49" l="1"/>
  <c r="DD84" i="49" s="1"/>
  <c r="DF102" i="10"/>
  <c r="DD1145" i="10"/>
  <c r="DD648" i="10"/>
  <c r="DD1040" i="10"/>
  <c r="DD1141" i="10"/>
  <c r="DD967" i="10"/>
  <c r="DD145" i="10"/>
  <c r="DD1042" i="10"/>
  <c r="DD105" i="10"/>
  <c r="DD107" i="10" s="1"/>
  <c r="DD49" i="10"/>
  <c r="DD1143" i="10"/>
  <c r="DD937" i="10"/>
  <c r="DD1052" i="10"/>
  <c r="DD1062" i="10" s="1"/>
  <c r="DD1016" i="10"/>
  <c r="DD1028" i="10" s="1"/>
  <c r="DD494" i="10"/>
  <c r="DD146" i="10"/>
  <c r="DD1224" i="10"/>
  <c r="DD1134" i="10"/>
  <c r="DD1136" i="10" s="1"/>
  <c r="DD22" i="10" s="1"/>
  <c r="DD51" i="49" s="1"/>
  <c r="DD78" i="49" s="1"/>
  <c r="DD970" i="10"/>
  <c r="DD48" i="10"/>
  <c r="DD968" i="10"/>
  <c r="DD557" i="10"/>
  <c r="DD658" i="10" s="1"/>
  <c r="BJ17" i="41"/>
  <c r="DD806" i="10"/>
  <c r="DD1038" i="10"/>
  <c r="DD966" i="10"/>
  <c r="DD972" i="10"/>
  <c r="DD117" i="10"/>
  <c r="DD119" i="10" s="1"/>
  <c r="DD935" i="10"/>
  <c r="DD1014" i="10"/>
  <c r="DD1026" i="10" s="1"/>
  <c r="DD1050" i="10"/>
  <c r="DD831" i="10"/>
  <c r="DD843" i="10" s="1"/>
  <c r="DD634" i="10"/>
  <c r="DD804" i="10"/>
  <c r="DD778" i="10"/>
  <c r="DD366" i="10"/>
  <c r="DD41" i="10"/>
  <c r="DD176" i="10"/>
  <c r="DD829" i="10"/>
  <c r="DD841" i="10" s="1"/>
  <c r="DD395" i="10"/>
  <c r="DD175" i="10"/>
  <c r="DD827" i="10"/>
  <c r="DD839" i="10" s="1"/>
  <c r="DD392" i="10"/>
  <c r="DD169" i="10"/>
  <c r="DD923" i="10"/>
  <c r="DD1049" i="10" s="1"/>
  <c r="DD386" i="20" s="1"/>
  <c r="DD388" i="20" s="1"/>
  <c r="DD390" i="20" s="1"/>
  <c r="DD391" i="20" s="1"/>
  <c r="DD449" i="10"/>
  <c r="DD18" i="10" s="1"/>
  <c r="DD46" i="49" s="1"/>
  <c r="DD74" i="49" s="1"/>
  <c r="DD391" i="10"/>
  <c r="DD1093" i="10"/>
  <c r="DD1096" i="10" s="1"/>
  <c r="DD777" i="20" s="1"/>
  <c r="DD1039" i="10"/>
  <c r="DD390" i="10"/>
  <c r="DD1208" i="10"/>
  <c r="DD825" i="10"/>
  <c r="DD837" i="10" s="1"/>
  <c r="DJ606" i="10"/>
  <c r="DD808" i="10"/>
  <c r="DD821" i="10"/>
  <c r="DD922" i="10"/>
  <c r="DD1012" i="10" s="1"/>
  <c r="DD802" i="10"/>
  <c r="DD13" i="10"/>
  <c r="DD41" i="49" s="1"/>
  <c r="DD68" i="49" s="1"/>
  <c r="DD690" i="10"/>
  <c r="DD692" i="10" s="1"/>
  <c r="DD612" i="10"/>
  <c r="DD601" i="10"/>
  <c r="DD590" i="10"/>
  <c r="DD579" i="10"/>
  <c r="DD568" i="10"/>
  <c r="DD535" i="10"/>
  <c r="DD524" i="10"/>
  <c r="DD513" i="10"/>
  <c r="DD423" i="10"/>
  <c r="DD384" i="10"/>
  <c r="DD154" i="10"/>
  <c r="DD155" i="10" s="1"/>
  <c r="DD134" i="10"/>
  <c r="DD677" i="10"/>
  <c r="DD19" i="10" s="1"/>
  <c r="DD47" i="49" s="1"/>
  <c r="DD623" i="10"/>
  <c r="DD546" i="10"/>
  <c r="DD502" i="10"/>
  <c r="DD161" i="10"/>
  <c r="DD142" i="10"/>
  <c r="DD148" i="10" s="1"/>
  <c r="DD645" i="10"/>
  <c r="DD130" i="10"/>
  <c r="DD1148" i="10" l="1"/>
  <c r="DD51" i="10"/>
  <c r="DD14" i="10"/>
  <c r="DD1072" i="10"/>
  <c r="DJ298" i="20"/>
  <c r="DJ303" i="20" s="1"/>
  <c r="DN606" i="10"/>
  <c r="DD488" i="10"/>
  <c r="DJ433" i="20"/>
  <c r="DD26" i="10"/>
  <c r="DD55" i="49" s="1"/>
  <c r="DD86" i="49" s="1"/>
  <c r="DD700" i="10"/>
  <c r="DD481" i="10"/>
  <c r="DD464" i="10" s="1"/>
  <c r="BJ13" i="41"/>
  <c r="BJ61" i="41" s="1"/>
  <c r="DD962" i="10"/>
  <c r="DD973" i="10" s="1"/>
  <c r="DL497" i="10"/>
  <c r="DP497" i="10" s="1"/>
  <c r="DL1143" i="10"/>
  <c r="DD875" i="10"/>
  <c r="DD982" i="10"/>
  <c r="DD885" i="10"/>
  <c r="DD1013" i="10"/>
  <c r="DD1025" i="10" s="1"/>
  <c r="DD1059" i="10"/>
  <c r="DD1069" i="10"/>
  <c r="DD934" i="10"/>
  <c r="DD883" i="10"/>
  <c r="DD1070" i="10"/>
  <c r="DD1060" i="10"/>
  <c r="DD873" i="10"/>
  <c r="DD980" i="10"/>
  <c r="DD373" i="10"/>
  <c r="DD489" i="10"/>
  <c r="DD487" i="10"/>
  <c r="DD387" i="10"/>
  <c r="DD393" i="10"/>
  <c r="DD826" i="10"/>
  <c r="DD478" i="10"/>
  <c r="DD483" i="10"/>
  <c r="DD407" i="10"/>
  <c r="BJ33" i="41"/>
  <c r="BJ53" i="41" s="1"/>
  <c r="DD809" i="10"/>
  <c r="DL607" i="10"/>
  <c r="DP607" i="10" s="1"/>
  <c r="DJ607" i="10"/>
  <c r="DD871" i="10"/>
  <c r="DD877" i="10"/>
  <c r="DD984" i="10"/>
  <c r="DD974" i="10"/>
  <c r="DD779" i="20"/>
  <c r="DD776" i="20"/>
  <c r="DD778" i="20" s="1"/>
  <c r="DD484" i="10"/>
  <c r="DD758" i="10"/>
  <c r="DD693" i="10"/>
  <c r="DD697" i="10"/>
  <c r="DD867" i="10"/>
  <c r="DD485" i="10"/>
  <c r="DJ611" i="10"/>
  <c r="DD978" i="10"/>
  <c r="DD15" i="10"/>
  <c r="DD43" i="49" s="1"/>
  <c r="DD70" i="49" s="1"/>
  <c r="DD479" i="10"/>
  <c r="DD165" i="10"/>
  <c r="DH167" i="10" s="1"/>
  <c r="DD171" i="10"/>
  <c r="DD476" i="10"/>
  <c r="DD1045" i="10"/>
  <c r="DD480" i="10"/>
  <c r="DD17" i="10"/>
  <c r="DD45" i="49" s="1"/>
  <c r="DD73" i="49" s="1"/>
  <c r="DD425" i="10"/>
  <c r="DD477" i="10"/>
  <c r="DD482" i="10"/>
  <c r="DD486" i="10"/>
  <c r="DD1024" i="10"/>
  <c r="BJ10" i="41"/>
  <c r="BJ58" i="41" s="1"/>
  <c r="DD1048" i="10"/>
  <c r="DD933" i="10"/>
  <c r="BJ34" i="41" l="1"/>
  <c r="BJ54" i="41" s="1"/>
  <c r="DD42" i="49"/>
  <c r="DD69" i="49" s="1"/>
  <c r="DD82" i="49" s="1"/>
  <c r="DR607" i="10"/>
  <c r="DP318" i="20"/>
  <c r="DP612" i="10"/>
  <c r="DP1040" i="10"/>
  <c r="DP502" i="10"/>
  <c r="DD408" i="10"/>
  <c r="DD963" i="10"/>
  <c r="DD440" i="42"/>
  <c r="DL308" i="20"/>
  <c r="DP308" i="20"/>
  <c r="DJ102" i="10"/>
  <c r="DL433" i="20"/>
  <c r="DN433" i="20" s="1"/>
  <c r="DD1225" i="10"/>
  <c r="BJ19" i="41"/>
  <c r="DL1040" i="10"/>
  <c r="DL502" i="10"/>
  <c r="DL1045" i="10" s="1"/>
  <c r="DL102" i="10"/>
  <c r="DN298" i="20"/>
  <c r="DR303" i="20" s="1"/>
  <c r="DD21" i="10"/>
  <c r="DD699" i="10"/>
  <c r="DD49" i="49" s="1"/>
  <c r="DD1082" i="10"/>
  <c r="DD467" i="10"/>
  <c r="DD1212" i="10"/>
  <c r="DD1214" i="10" s="1"/>
  <c r="DD1219" i="10" s="1"/>
  <c r="DD838" i="10"/>
  <c r="DD882" i="10"/>
  <c r="DJ318" i="20"/>
  <c r="DD468" i="10"/>
  <c r="DD463" i="10"/>
  <c r="DJ757" i="20"/>
  <c r="DD466" i="10"/>
  <c r="DD490" i="10"/>
  <c r="DD799" i="10"/>
  <c r="DD770" i="10"/>
  <c r="DD1085" i="10"/>
  <c r="BJ32" i="41"/>
  <c r="DD450" i="10"/>
  <c r="DD881" i="10"/>
  <c r="DD1058" i="10"/>
  <c r="DD1068" i="10"/>
  <c r="DL179" i="20"/>
  <c r="DN179" i="20" s="1"/>
  <c r="DN605" i="10"/>
  <c r="DL612" i="10"/>
  <c r="BJ9" i="41"/>
  <c r="BJ35" i="41"/>
  <c r="BJ55" i="41" s="1"/>
  <c r="DD11" i="10"/>
  <c r="DD167" i="10"/>
  <c r="DD174" i="10"/>
  <c r="DL757" i="20"/>
  <c r="DN611" i="10"/>
  <c r="DD929" i="10"/>
  <c r="DL318" i="20"/>
  <c r="DN607" i="10"/>
  <c r="DD12" i="10"/>
  <c r="DD40" i="49" s="1"/>
  <c r="DD67" i="49" s="1"/>
  <c r="DD656" i="10"/>
  <c r="DD465" i="10"/>
  <c r="DD50" i="49" l="1"/>
  <c r="DD77" i="49" s="1"/>
  <c r="DD76" i="49"/>
  <c r="DD405" i="10"/>
  <c r="DD39" i="49"/>
  <c r="DD64" i="49" s="1"/>
  <c r="DP1045" i="10"/>
  <c r="DP476" i="10"/>
  <c r="DP486" i="10"/>
  <c r="DR612" i="10"/>
  <c r="DR318" i="20"/>
  <c r="DP324" i="20"/>
  <c r="DL421" i="20"/>
  <c r="DL476" i="10"/>
  <c r="DN102" i="10"/>
  <c r="DN303" i="20"/>
  <c r="DD406" i="10"/>
  <c r="BJ41" i="41"/>
  <c r="DD928" i="10"/>
  <c r="DD898" i="10"/>
  <c r="DD930" i="10"/>
  <c r="DD940" i="10"/>
  <c r="DD941" i="10" s="1"/>
  <c r="DD1055" i="10"/>
  <c r="DN318" i="20"/>
  <c r="DL324" i="20"/>
  <c r="DN757" i="20"/>
  <c r="DJ324" i="20"/>
  <c r="BJ44" i="41"/>
  <c r="DD24" i="10"/>
  <c r="DD53" i="49" s="1"/>
  <c r="BJ12" i="41"/>
  <c r="BJ60" i="41" s="1"/>
  <c r="DD10" i="10"/>
  <c r="DD38" i="49" s="1"/>
  <c r="BJ31" i="41"/>
  <c r="DL486" i="10"/>
  <c r="DN612" i="10"/>
  <c r="DD474" i="10"/>
  <c r="BJ45" i="41"/>
  <c r="DD872" i="10"/>
  <c r="DD979" i="10"/>
  <c r="DD705" i="10"/>
  <c r="DD701" i="10"/>
  <c r="DD1081" i="10"/>
  <c r="DD1098" i="10"/>
  <c r="DD1097" i="10" s="1"/>
  <c r="DD1189" i="10"/>
  <c r="DD702" i="10"/>
  <c r="DD473" i="10"/>
  <c r="BJ42" i="41"/>
  <c r="DD493" i="10" s="1"/>
  <c r="DD469" i="10"/>
  <c r="DD462" i="10"/>
  <c r="BJ43" i="41"/>
  <c r="DD66" i="49" l="1"/>
  <c r="DD71" i="49"/>
  <c r="DD75" i="49" s="1"/>
  <c r="DD81" i="49" s="1"/>
  <c r="DD80" i="49"/>
  <c r="DR324" i="20"/>
  <c r="DR486" i="10"/>
  <c r="DP463" i="10"/>
  <c r="DP1212" i="10"/>
  <c r="DP1214" i="10" s="1"/>
  <c r="DN486" i="10"/>
  <c r="DL463" i="10"/>
  <c r="DL1212" i="10"/>
  <c r="DL1214" i="10" s="1"/>
  <c r="DD909" i="10"/>
  <c r="BN43" i="41"/>
  <c r="DD1065" i="10"/>
  <c r="DD1075" i="10"/>
  <c r="DD896" i="10"/>
  <c r="DD866" i="10"/>
  <c r="DD894" i="10"/>
  <c r="DD895" i="10"/>
  <c r="DD906" i="10" s="1"/>
  <c r="DD939" i="10"/>
  <c r="DD1054" i="10"/>
  <c r="DD1018" i="10"/>
  <c r="DF1018" i="10" s="1"/>
  <c r="DD893" i="10"/>
  <c r="DD904" i="10" s="1"/>
  <c r="DD892" i="10"/>
  <c r="DD903" i="10" s="1"/>
  <c r="DD891" i="10"/>
  <c r="DD902" i="10" s="1"/>
  <c r="DD655" i="10"/>
  <c r="DD657" i="10" s="1"/>
  <c r="DD659" i="10" s="1"/>
  <c r="DD491" i="10"/>
  <c r="DD470" i="10"/>
  <c r="DD20" i="10"/>
  <c r="DD48" i="49" s="1"/>
  <c r="BJ7" i="41"/>
  <c r="BJ56" i="41" s="1"/>
  <c r="DN324" i="20"/>
  <c r="BJ46" i="41"/>
  <c r="BJ69" i="41" s="1"/>
  <c r="BJ52" i="41"/>
  <c r="DD47" i="10"/>
  <c r="DD1019" i="10"/>
  <c r="DD1188" i="10"/>
  <c r="EO25" i="41" s="1"/>
  <c r="BJ15" i="41"/>
  <c r="BJ63" i="41" s="1"/>
  <c r="DD83" i="49" l="1"/>
  <c r="BV43" i="41"/>
  <c r="DR463" i="10"/>
  <c r="DP462" i="10"/>
  <c r="DO324" i="20"/>
  <c r="DS324" i="20"/>
  <c r="DF1021" i="10"/>
  <c r="DF996" i="10"/>
  <c r="DF994" i="10"/>
  <c r="DD1186" i="10"/>
  <c r="EO27" i="41" s="1"/>
  <c r="DD25" i="10"/>
  <c r="DD54" i="49" s="1"/>
  <c r="DD34" i="10"/>
  <c r="DD975" i="10" s="1"/>
  <c r="DD1033" i="10"/>
  <c r="DD1020" i="10"/>
  <c r="DD1031" i="10"/>
  <c r="DD998" i="10"/>
  <c r="DD899" i="10"/>
  <c r="DN463" i="10"/>
  <c r="DL462" i="10"/>
  <c r="BR43" i="41"/>
  <c r="DD662" i="10"/>
  <c r="DD42" i="10"/>
  <c r="DD704" i="10"/>
  <c r="DD1103" i="10"/>
  <c r="DD1193" i="10"/>
  <c r="BJ11" i="41"/>
  <c r="BJ75" i="41" s="1"/>
  <c r="BJ76" i="41" s="1"/>
  <c r="DD1100" i="10"/>
  <c r="DD822" i="10"/>
  <c r="DD996" i="10"/>
  <c r="DD1030" i="10"/>
  <c r="DD994" i="10"/>
  <c r="DD992" i="10"/>
  <c r="DD1003" i="10" s="1"/>
  <c r="DD995" i="10"/>
  <c r="DD1006" i="10" s="1"/>
  <c r="DD993" i="10"/>
  <c r="DD1004" i="10" s="1"/>
  <c r="DD991" i="10"/>
  <c r="DD1002" i="10" s="1"/>
  <c r="DD663" i="10"/>
  <c r="DD660" i="10"/>
  <c r="DD832" i="10"/>
  <c r="DD834" i="10" s="1"/>
  <c r="DD887" i="10"/>
  <c r="DD1064" i="10"/>
  <c r="DD1074" i="10"/>
  <c r="DD87" i="49" l="1"/>
  <c r="DD85" i="49"/>
  <c r="BX43" i="41"/>
  <c r="DR462" i="10"/>
  <c r="EO30" i="41"/>
  <c r="BJ38" i="41"/>
  <c r="BJ39" i="41" s="1"/>
  <c r="BJ59" i="41"/>
  <c r="DD708" i="10"/>
  <c r="DD868" i="10" s="1"/>
  <c r="DD707" i="10"/>
  <c r="DD1187" i="10" s="1"/>
  <c r="DD706" i="10"/>
  <c r="DD664" i="10"/>
  <c r="DD844" i="10" s="1"/>
  <c r="DN462" i="10"/>
  <c r="BT43" i="41"/>
  <c r="DD1009" i="10"/>
  <c r="DD999" i="10"/>
  <c r="DD1194" i="10"/>
  <c r="EO26" i="41" s="1"/>
  <c r="EO24" i="41"/>
  <c r="DD30" i="10"/>
  <c r="DD59" i="49" s="1"/>
  <c r="DD1216" i="10"/>
  <c r="DD1226" i="10"/>
  <c r="BJ16" i="41"/>
  <c r="BJ77" i="41" s="1"/>
  <c r="BJ78" i="41" s="1"/>
  <c r="DD1032" i="10"/>
  <c r="DJ1018" i="10"/>
  <c r="DL1018" i="10"/>
  <c r="DP1018" i="10" s="1"/>
  <c r="DD833" i="10"/>
  <c r="DD888" i="10"/>
  <c r="DG1018" i="10"/>
  <c r="DP996" i="10" l="1"/>
  <c r="DP994" i="10"/>
  <c r="DR1018" i="10"/>
  <c r="BJ68" i="41"/>
  <c r="BJ82" i="41"/>
  <c r="DD445" i="42"/>
  <c r="DD274" i="42" s="1"/>
  <c r="DD271" i="42" s="1"/>
  <c r="DD276" i="42" s="1"/>
  <c r="DD8" i="43"/>
  <c r="DD11" i="43" s="1"/>
  <c r="DD543" i="42"/>
  <c r="DD541" i="42" s="1"/>
  <c r="DD58" i="46"/>
  <c r="DD55" i="46" s="1"/>
  <c r="DD56" i="46" s="1"/>
  <c r="DD60" i="46" s="1"/>
  <c r="DD1227" i="10"/>
  <c r="EO29" i="41"/>
  <c r="DJ994" i="10"/>
  <c r="DK1018" i="10"/>
  <c r="DJ1021" i="10"/>
  <c r="DJ996" i="10"/>
  <c r="DD1217" i="10"/>
  <c r="DD1222" i="10"/>
  <c r="DD845" i="10"/>
  <c r="DD852" i="10"/>
  <c r="DD878" i="10"/>
  <c r="DD853" i="10"/>
  <c r="DD857" i="10"/>
  <c r="DD854" i="10"/>
  <c r="DD855" i="10"/>
  <c r="DD986" i="10"/>
  <c r="DD856" i="10"/>
  <c r="DD850" i="10"/>
  <c r="DD846" i="10"/>
  <c r="DD985" i="10"/>
  <c r="DD851" i="10"/>
  <c r="DL996" i="10"/>
  <c r="DN1018" i="10"/>
  <c r="DL994" i="10"/>
  <c r="BJ18" i="41"/>
  <c r="BJ64" i="41"/>
  <c r="DD32" i="10"/>
  <c r="DD545" i="42" s="1"/>
  <c r="DD546" i="42" s="1"/>
  <c r="DD1104" i="10"/>
  <c r="BJ20" i="41"/>
  <c r="BJ65" i="41" s="1"/>
  <c r="DD1101" i="10"/>
  <c r="DR1021" i="10" l="1"/>
  <c r="DR994" i="10"/>
  <c r="DR996" i="10"/>
  <c r="DD547" i="42"/>
  <c r="DD540" i="42"/>
  <c r="DD551" i="42"/>
  <c r="DD554" i="42" s="1"/>
  <c r="DD555" i="42" s="1"/>
  <c r="DD47" i="43"/>
  <c r="DD9" i="43"/>
  <c r="DD20" i="20"/>
  <c r="BJ22" i="41"/>
  <c r="BJ81" i="41" s="1"/>
  <c r="EO31" i="41"/>
  <c r="DN996" i="10"/>
  <c r="DN994" i="10"/>
  <c r="DN1021" i="10"/>
  <c r="DD1218" i="10"/>
  <c r="DD13" i="43" l="1"/>
  <c r="DD30" i="43"/>
  <c r="DD48" i="43"/>
  <c r="DD50" i="43"/>
  <c r="DD49" i="43"/>
  <c r="DD57" i="43"/>
  <c r="BJ66" i="41"/>
  <c r="EO13" i="41"/>
  <c r="DD35" i="43" l="1"/>
  <c r="DD36" i="43"/>
  <c r="DD15" i="43"/>
  <c r="DD17" i="43" s="1"/>
  <c r="DD34" i="43" s="1"/>
  <c r="DD32" i="43"/>
  <c r="EO14" i="41"/>
  <c r="BJ28" i="41"/>
  <c r="BJ72" i="41" s="1"/>
  <c r="EO23" i="41"/>
  <c r="DI290" i="42" l="1"/>
  <c r="DH504" i="42"/>
  <c r="DH505" i="42" l="1"/>
  <c r="DH515" i="42"/>
  <c r="DH516" i="42"/>
  <c r="DH521" i="42" s="1"/>
  <c r="ES16" i="41"/>
  <c r="DI325" i="42"/>
  <c r="DJ282" i="42"/>
  <c r="DH520" i="42" l="1"/>
  <c r="F31" i="78"/>
  <c r="DH517" i="42"/>
  <c r="DH518" i="42"/>
  <c r="DI294" i="42"/>
  <c r="DJ294" i="42" s="1"/>
  <c r="DJ110" i="49" s="1"/>
  <c r="DI323" i="42"/>
  <c r="DJ325" i="42"/>
  <c r="DJ326" i="42" s="1"/>
  <c r="DI286" i="42" l="1"/>
  <c r="DJ286" i="42" s="1"/>
  <c r="DJ323" i="42"/>
  <c r="DJ324" i="42" s="1"/>
  <c r="DJ213" i="49"/>
  <c r="DJ316" i="49"/>
  <c r="DD1105" i="10" l="1"/>
  <c r="EO9" i="41"/>
  <c r="EO12" i="41" s="1"/>
  <c r="EO10" i="41"/>
  <c r="EO11" i="41" s="1"/>
  <c r="EO21" i="41"/>
  <c r="EO37" i="41"/>
  <c r="EO39" i="41"/>
  <c r="EO51" i="41"/>
  <c r="EO54" i="41" s="1"/>
  <c r="EO56" i="41" l="1"/>
  <c r="EO55" i="41"/>
  <c r="EO67" i="41" l="1"/>
  <c r="DD297" i="42" l="1"/>
  <c r="EO17" i="41"/>
  <c r="EO18" i="41"/>
  <c r="BJ24" i="41"/>
  <c r="BJ70" i="41" s="1"/>
  <c r="BJ25" i="41"/>
  <c r="BJ26" i="41"/>
  <c r="BJ27" i="41"/>
  <c r="BJ71" i="41" s="1"/>
  <c r="DD298" i="42" l="1"/>
  <c r="DD231" i="42" l="1"/>
  <c r="DD232" i="42" s="1"/>
  <c r="EO69" i="41"/>
  <c r="EO70" i="41"/>
  <c r="EO71" i="41"/>
  <c r="EO72" i="41"/>
  <c r="DJ267" i="42" l="1"/>
  <c r="DJ89" i="49" s="1"/>
  <c r="EQ37" i="41"/>
  <c r="EP10" i="41"/>
  <c r="EP11" i="41" s="1"/>
  <c r="EQ10" i="41"/>
  <c r="EQ11" i="41" s="1"/>
  <c r="EP37" i="41"/>
  <c r="EP51" i="41"/>
  <c r="EP56" i="41" s="1"/>
  <c r="EQ51" i="41"/>
  <c r="EP54" i="41"/>
  <c r="EQ54" i="41" l="1"/>
  <c r="EQ55" i="41"/>
  <c r="EP55" i="41"/>
  <c r="EQ56" i="41"/>
  <c r="EQ9" i="41"/>
  <c r="EQ12" i="41" s="1"/>
  <c r="EP9" i="41"/>
  <c r="EP12" i="41" s="1"/>
  <c r="EP39" i="41"/>
  <c r="EQ39" i="41"/>
  <c r="EP21" i="41"/>
  <c r="DF297" i="42"/>
  <c r="EP17" i="41"/>
  <c r="EQ17" i="41"/>
  <c r="EP18" i="41"/>
  <c r="EQ18" i="41"/>
  <c r="DE297" i="42" l="1"/>
  <c r="DE298" i="42" s="1"/>
  <c r="DF113" i="49"/>
  <c r="DF298" i="42"/>
  <c r="EP13" i="41" l="1"/>
  <c r="EQ13" i="41"/>
  <c r="EQ15" i="41" s="1"/>
  <c r="BK28" i="41"/>
  <c r="BK72" i="41" s="1"/>
  <c r="BL28" i="41"/>
  <c r="BL72" i="41" l="1"/>
  <c r="DI293" i="42"/>
  <c r="DJ293" i="42" l="1"/>
  <c r="DI295" i="42"/>
  <c r="DI282" i="42"/>
  <c r="DI296" i="42" l="1"/>
  <c r="DI43" i="43"/>
  <c r="DJ295" i="42"/>
  <c r="D47" i="78" s="1"/>
  <c r="DJ109" i="49"/>
  <c r="DL290" i="42" l="1"/>
  <c r="DJ111" i="49"/>
  <c r="DJ43" i="43"/>
  <c r="DI504" i="42"/>
  <c r="ET16" i="41"/>
  <c r="DJ296" i="42"/>
  <c r="DJ112" i="49" s="1"/>
  <c r="DJ129" i="49" l="1"/>
  <c r="DJ504" i="42"/>
  <c r="EU16" i="41"/>
  <c r="DL325" i="42"/>
  <c r="DN290" i="42"/>
  <c r="DN106" i="49" l="1"/>
  <c r="DL323" i="42"/>
  <c r="DL286" i="42" s="1"/>
  <c r="DL294" i="42"/>
  <c r="DE50" i="46" l="1"/>
  <c r="DF50" i="46"/>
  <c r="DE51" i="46"/>
  <c r="DF51" i="46"/>
  <c r="DE231" i="42" l="1"/>
  <c r="DE232" i="42" s="1"/>
  <c r="DE26" i="46"/>
  <c r="DF26" i="46" s="1"/>
  <c r="DF39" i="46" s="1"/>
  <c r="DE29" i="46"/>
  <c r="DE42" i="46" s="1"/>
  <c r="DE30" i="46"/>
  <c r="DF30" i="46" s="1"/>
  <c r="DF43" i="46" s="1"/>
  <c r="DE78" i="46"/>
  <c r="DE105" i="46" s="1"/>
  <c r="DE86" i="46"/>
  <c r="DE103" i="46" s="1"/>
  <c r="DE104" i="46" s="1"/>
  <c r="DE39" i="46" l="1"/>
  <c r="DE87" i="46"/>
  <c r="DF87" i="46" s="1"/>
  <c r="DE43" i="46"/>
  <c r="DE57" i="46" s="1"/>
  <c r="DH54" i="46" s="1"/>
  <c r="DH56" i="46" s="1"/>
  <c r="DH60" i="46" s="1"/>
  <c r="DF78" i="46"/>
  <c r="DE80" i="46"/>
  <c r="DE68" i="46" s="1"/>
  <c r="DI39" i="46"/>
  <c r="DJ39" i="46" s="1"/>
  <c r="DF104" i="46"/>
  <c r="DG104" i="46" s="1"/>
  <c r="DE106" i="46"/>
  <c r="DE114" i="46"/>
  <c r="DF114" i="46" s="1"/>
  <c r="DF105" i="46"/>
  <c r="DE69" i="46"/>
  <c r="DF69" i="46" s="1"/>
  <c r="DF86" i="46"/>
  <c r="DE31" i="46"/>
  <c r="DE44" i="46" s="1"/>
  <c r="DI42" i="46"/>
  <c r="DF29" i="46"/>
  <c r="DF42" i="46" s="1"/>
  <c r="DJ54" i="46" l="1"/>
  <c r="DF95" i="46"/>
  <c r="DF97" i="46" s="1"/>
  <c r="DE95" i="46"/>
  <c r="DE97" i="46" s="1"/>
  <c r="DF106" i="46"/>
  <c r="DL39" i="46"/>
  <c r="DM39" i="46" s="1"/>
  <c r="DP39" i="46" s="1"/>
  <c r="DQ39" i="46" s="1"/>
  <c r="DR39" i="46" s="1"/>
  <c r="DF80" i="46"/>
  <c r="EP67" i="41"/>
  <c r="DE36" i="46"/>
  <c r="DE48" i="46" s="1"/>
  <c r="DE49" i="46" s="1"/>
  <c r="DJ49" i="46" s="1"/>
  <c r="DJ42" i="46"/>
  <c r="DI29" i="46"/>
  <c r="DL42" i="46"/>
  <c r="DF68" i="46"/>
  <c r="DE70" i="46"/>
  <c r="DF31" i="46"/>
  <c r="EQ67" i="41" l="1"/>
  <c r="DL49" i="46"/>
  <c r="DM49" i="46" s="1"/>
  <c r="DP49" i="46" s="1"/>
  <c r="DQ49" i="46" s="1"/>
  <c r="DR49" i="46" s="1"/>
  <c r="DM42" i="46"/>
  <c r="DP42" i="46" s="1"/>
  <c r="DL29" i="46"/>
  <c r="DL126" i="46" s="1"/>
  <c r="DI126" i="46"/>
  <c r="DK126" i="46" s="1"/>
  <c r="DJ29" i="46"/>
  <c r="DE72" i="46"/>
  <c r="DF70" i="46"/>
  <c r="DG68" i="46"/>
  <c r="DN39" i="46"/>
  <c r="DF36" i="46"/>
  <c r="DF48" i="46" s="1"/>
  <c r="DF49" i="46" s="1"/>
  <c r="DF44" i="46"/>
  <c r="DQ42" i="46" l="1"/>
  <c r="DP29" i="46"/>
  <c r="DP126" i="46" s="1"/>
  <c r="DN49" i="46"/>
  <c r="DM29" i="46"/>
  <c r="DN42" i="46"/>
  <c r="DG70" i="46"/>
  <c r="DF72" i="46"/>
  <c r="DF101" i="49" s="1"/>
  <c r="DF102" i="49" l="1"/>
  <c r="DR42" i="46"/>
  <c r="DQ29" i="46"/>
  <c r="DN29" i="46"/>
  <c r="DM126" i="46"/>
  <c r="DO126" i="46" s="1"/>
  <c r="DQ126" i="46" l="1"/>
  <c r="DS126" i="46" s="1"/>
  <c r="DR29" i="46"/>
  <c r="DE436" i="42" l="1"/>
  <c r="DF436" i="42"/>
  <c r="DE416" i="10"/>
  <c r="DF416" i="10" s="1"/>
  <c r="DE670" i="10"/>
  <c r="DE955" i="10"/>
  <c r="DF955" i="10"/>
  <c r="DE1129" i="10"/>
  <c r="DF1129" i="10"/>
  <c r="DE1201" i="10"/>
  <c r="DI670" i="10" l="1"/>
  <c r="DI119" i="20" l="1"/>
  <c r="DJ119" i="20" s="1"/>
  <c r="DL670" i="10"/>
  <c r="DL119" i="20" l="1"/>
  <c r="DM670" i="10"/>
  <c r="DP670" i="10" s="1"/>
  <c r="DQ670" i="10" l="1"/>
  <c r="DM119" i="20"/>
  <c r="DN119" i="20" s="1"/>
  <c r="DP119" i="20" l="1"/>
  <c r="DQ119" i="20" l="1"/>
  <c r="DR119" i="20" s="1"/>
  <c r="DE115" i="20"/>
  <c r="DE100" i="10"/>
  <c r="DF100" i="10"/>
  <c r="DE139" i="10"/>
  <c r="DH145" i="10" s="1"/>
  <c r="DE1141" i="10" l="1"/>
  <c r="DE145" i="10"/>
  <c r="DI139" i="10"/>
  <c r="DF115" i="20"/>
  <c r="DG115" i="20" l="1"/>
  <c r="DI149" i="20"/>
  <c r="DJ149" i="20" s="1"/>
  <c r="DJ100" i="10" s="1"/>
  <c r="DL139" i="10"/>
  <c r="DI1141" i="10"/>
  <c r="DL149" i="20" l="1"/>
  <c r="DM139" i="10"/>
  <c r="DP139" i="10" s="1"/>
  <c r="DL1141" i="10"/>
  <c r="DI153" i="20"/>
  <c r="DI100" i="10"/>
  <c r="DP1141" i="10" l="1"/>
  <c r="DQ139" i="10"/>
  <c r="DQ1141" i="10" s="1"/>
  <c r="DI115" i="20"/>
  <c r="DJ115" i="20" s="1"/>
  <c r="DI216" i="20"/>
  <c r="DJ216" i="20" s="1"/>
  <c r="DJ218" i="20" s="1"/>
  <c r="DJ223" i="20" s="1"/>
  <c r="DI160" i="20"/>
  <c r="DM149" i="20"/>
  <c r="DN149" i="20" s="1"/>
  <c r="DN100" i="10" s="1"/>
  <c r="DM1141" i="10"/>
  <c r="DL153" i="20"/>
  <c r="DL100" i="10"/>
  <c r="DJ153" i="20"/>
  <c r="DJ160" i="20" s="1"/>
  <c r="DK115" i="20" l="1"/>
  <c r="DL115" i="20"/>
  <c r="DL216" i="20"/>
  <c r="DL160" i="20"/>
  <c r="DP149" i="20"/>
  <c r="DP100" i="10" s="1"/>
  <c r="DI218" i="20"/>
  <c r="DI223" i="20" s="1"/>
  <c r="DI123" i="20"/>
  <c r="DM153" i="20"/>
  <c r="DN153" i="20" s="1"/>
  <c r="DN160" i="20" s="1"/>
  <c r="DM100" i="10"/>
  <c r="DP153" i="20" l="1"/>
  <c r="DL123" i="20"/>
  <c r="DL218" i="20"/>
  <c r="DL223" i="20" s="1"/>
  <c r="DQ149" i="20"/>
  <c r="DM115" i="20"/>
  <c r="DM216" i="20"/>
  <c r="DM160" i="20"/>
  <c r="DI125" i="20"/>
  <c r="DJ125" i="20" s="1"/>
  <c r="DI955" i="10"/>
  <c r="DI1129" i="10"/>
  <c r="DJ123" i="20"/>
  <c r="DQ153" i="20" l="1"/>
  <c r="DQ216" i="20" s="1"/>
  <c r="DQ100" i="10"/>
  <c r="DR149" i="20"/>
  <c r="DR100" i="10" s="1"/>
  <c r="DL125" i="20"/>
  <c r="DL1129" i="10"/>
  <c r="DL955" i="10"/>
  <c r="DI132" i="20"/>
  <c r="DM123" i="20"/>
  <c r="DM218" i="20"/>
  <c r="DM223" i="20" s="1"/>
  <c r="DJ132" i="20"/>
  <c r="DQ160" i="20"/>
  <c r="DJ1129" i="10"/>
  <c r="DJ955" i="10"/>
  <c r="DP115" i="20"/>
  <c r="DP216" i="20"/>
  <c r="DP160" i="20"/>
  <c r="DN115" i="20"/>
  <c r="DN216" i="20"/>
  <c r="DN218" i="20" s="1"/>
  <c r="DN223" i="20" s="1"/>
  <c r="DR153" i="20" l="1"/>
  <c r="DR160" i="20" s="1"/>
  <c r="DQ115" i="20"/>
  <c r="DQ123" i="20"/>
  <c r="DQ218" i="20"/>
  <c r="DQ223" i="20" s="1"/>
  <c r="DL132" i="20"/>
  <c r="DO115" i="20"/>
  <c r="DP123" i="20"/>
  <c r="DR216" i="20"/>
  <c r="DR218" i="20" s="1"/>
  <c r="DR223" i="20" s="1"/>
  <c r="DP218" i="20"/>
  <c r="DP223" i="20" s="1"/>
  <c r="DM125" i="20"/>
  <c r="DN125" i="20" s="1"/>
  <c r="DM1129" i="10"/>
  <c r="DM955" i="10"/>
  <c r="DN123" i="20"/>
  <c r="DR115" i="20" l="1"/>
  <c r="DQ125" i="20"/>
  <c r="DQ1129" i="10"/>
  <c r="DQ955" i="10"/>
  <c r="DP1129" i="10"/>
  <c r="DP955" i="10"/>
  <c r="DN132" i="20"/>
  <c r="DP125" i="20"/>
  <c r="DR123" i="20"/>
  <c r="DN1129" i="10"/>
  <c r="DN955" i="10"/>
  <c r="DM132" i="20"/>
  <c r="DS115" i="20" l="1"/>
  <c r="DQ132" i="20"/>
  <c r="DR1129" i="10"/>
  <c r="DR955" i="10"/>
  <c r="DR125" i="20"/>
  <c r="DP132" i="20"/>
  <c r="DR132" i="20" l="1"/>
  <c r="DE118" i="20"/>
  <c r="DG165" i="20"/>
  <c r="DE495" i="10"/>
  <c r="DI495" i="10" s="1"/>
  <c r="DE506" i="10"/>
  <c r="DE517" i="10"/>
  <c r="DE528" i="10"/>
  <c r="DF528" i="10" s="1"/>
  <c r="DE539" i="10"/>
  <c r="DE550" i="10"/>
  <c r="DF550" i="10" s="1"/>
  <c r="DE561" i="10"/>
  <c r="DE572" i="10"/>
  <c r="DF572" i="10" s="1"/>
  <c r="DE583" i="10"/>
  <c r="DF583" i="10" s="1"/>
  <c r="DE594" i="10"/>
  <c r="DF594" i="10" s="1"/>
  <c r="DE605" i="10"/>
  <c r="DE616" i="10"/>
  <c r="DF616" i="10" s="1"/>
  <c r="DE627" i="10"/>
  <c r="DF627" i="10" s="1"/>
  <c r="DE638" i="10"/>
  <c r="DF495" i="10" l="1"/>
  <c r="DF1038" i="10" s="1"/>
  <c r="DG1038" i="10" s="1"/>
  <c r="DF605" i="10"/>
  <c r="DE442" i="10"/>
  <c r="DE1038" i="10"/>
  <c r="DI169" i="20"/>
  <c r="DE825" i="10"/>
  <c r="DF638" i="10"/>
  <c r="DF561" i="10"/>
  <c r="DF539" i="10"/>
  <c r="DF517" i="10"/>
  <c r="DF506" i="10"/>
  <c r="DF118" i="20"/>
  <c r="DE120" i="20"/>
  <c r="DG495" i="10" l="1"/>
  <c r="DI1038" i="10"/>
  <c r="DJ495" i="10"/>
  <c r="DI638" i="10"/>
  <c r="DE126" i="20"/>
  <c r="DE131" i="20"/>
  <c r="DF120" i="20"/>
  <c r="DE814" i="10"/>
  <c r="DI539" i="10"/>
  <c r="DJ539" i="10" s="1"/>
  <c r="DI550" i="10"/>
  <c r="DJ550" i="10" s="1"/>
  <c r="DF442" i="10"/>
  <c r="DI179" i="20"/>
  <c r="DI612" i="10"/>
  <c r="DJ605" i="10"/>
  <c r="DJ169" i="20"/>
  <c r="DI164" i="20"/>
  <c r="DI165" i="20" s="1"/>
  <c r="DF825" i="10"/>
  <c r="DK495" i="10" l="1"/>
  <c r="DJ1038" i="10"/>
  <c r="DK1038" i="10" s="1"/>
  <c r="DL638" i="10"/>
  <c r="DI182" i="20"/>
  <c r="DJ182" i="20" s="1"/>
  <c r="DJ638" i="10"/>
  <c r="DF131" i="20"/>
  <c r="DF814" i="10"/>
  <c r="DF1024" i="10" s="1"/>
  <c r="DI174" i="20"/>
  <c r="DJ174" i="20" s="1"/>
  <c r="DL550" i="10"/>
  <c r="DE966" i="10"/>
  <c r="DE922" i="10"/>
  <c r="DE802" i="10"/>
  <c r="DE837" i="10"/>
  <c r="DE1012" i="10"/>
  <c r="DJ179" i="20"/>
  <c r="DJ164" i="20"/>
  <c r="DJ165" i="20" s="1"/>
  <c r="DI486" i="10"/>
  <c r="DJ612" i="10"/>
  <c r="DE128" i="20"/>
  <c r="DF126" i="20"/>
  <c r="DE133" i="20"/>
  <c r="DI173" i="20"/>
  <c r="DL539" i="10"/>
  <c r="DI825" i="10"/>
  <c r="DI546" i="10"/>
  <c r="DJ825" i="10" l="1"/>
  <c r="DM638" i="10"/>
  <c r="DP638" i="10" s="1"/>
  <c r="DL182" i="20"/>
  <c r="DL174" i="20"/>
  <c r="DM550" i="10"/>
  <c r="DP550" i="10" s="1"/>
  <c r="DI183" i="20"/>
  <c r="DI118" i="20" s="1"/>
  <c r="DE991" i="10"/>
  <c r="DE1002" i="10" s="1"/>
  <c r="DF1012" i="10"/>
  <c r="DL173" i="20"/>
  <c r="DL546" i="10"/>
  <c r="DM539" i="10"/>
  <c r="DP539" i="10" s="1"/>
  <c r="DL825" i="10"/>
  <c r="DF966" i="10"/>
  <c r="DF802" i="10"/>
  <c r="DF837" i="10"/>
  <c r="DE933" i="10"/>
  <c r="DF922" i="10"/>
  <c r="DE1048" i="10"/>
  <c r="DK165" i="20"/>
  <c r="DO165" i="20"/>
  <c r="DE9" i="20"/>
  <c r="DF128" i="20"/>
  <c r="DI463" i="10"/>
  <c r="DJ486" i="10"/>
  <c r="DI1212" i="10"/>
  <c r="DI1214" i="10" s="1"/>
  <c r="DE871" i="10"/>
  <c r="DE978" i="10"/>
  <c r="DF133" i="20"/>
  <c r="DI480" i="10"/>
  <c r="DJ480" i="10" s="1"/>
  <c r="DJ546" i="10"/>
  <c r="DJ173" i="20"/>
  <c r="DN638" i="10" l="1"/>
  <c r="DF1048" i="10"/>
  <c r="DG1048" i="10" s="1"/>
  <c r="DF933" i="10"/>
  <c r="DN550" i="10"/>
  <c r="DN539" i="10"/>
  <c r="DQ550" i="10"/>
  <c r="DR550" i="10" s="1"/>
  <c r="DQ539" i="10"/>
  <c r="DR539" i="10" s="1"/>
  <c r="DP546" i="10"/>
  <c r="DP825" i="10"/>
  <c r="DQ638" i="10"/>
  <c r="DM182" i="20"/>
  <c r="DN182" i="20" s="1"/>
  <c r="DI120" i="20"/>
  <c r="DJ120" i="20" s="1"/>
  <c r="DI442" i="10"/>
  <c r="DJ183" i="20"/>
  <c r="DM173" i="20"/>
  <c r="DN173" i="20" s="1"/>
  <c r="DM825" i="10"/>
  <c r="DM546" i="10"/>
  <c r="DE881" i="10"/>
  <c r="DE1068" i="10"/>
  <c r="DE1058" i="10"/>
  <c r="DJ463" i="10"/>
  <c r="DI462" i="10"/>
  <c r="BO43" i="41"/>
  <c r="DM174" i="20"/>
  <c r="DN174" i="20" s="1"/>
  <c r="DJ118" i="20"/>
  <c r="DG922" i="10"/>
  <c r="DF860" i="10"/>
  <c r="DL480" i="10"/>
  <c r="DF9" i="20"/>
  <c r="DL183" i="20"/>
  <c r="DL118" i="20" s="1"/>
  <c r="DE23" i="20"/>
  <c r="DF978" i="10"/>
  <c r="DF871" i="10"/>
  <c r="DF991" i="10"/>
  <c r="DF1002" i="10" s="1"/>
  <c r="DG1012" i="10"/>
  <c r="BN42" i="41"/>
  <c r="DH493" i="10" s="1"/>
  <c r="DN825" i="10" l="1"/>
  <c r="DR638" i="10"/>
  <c r="DP480" i="10"/>
  <c r="DP466" i="10" s="1"/>
  <c r="DQ546" i="10"/>
  <c r="DQ825" i="10"/>
  <c r="DQ182" i="20"/>
  <c r="DP182" i="20"/>
  <c r="DJ442" i="10"/>
  <c r="DP173" i="20"/>
  <c r="DF1068" i="10"/>
  <c r="DF881" i="10"/>
  <c r="DF1058" i="10"/>
  <c r="DM480" i="10"/>
  <c r="DN480" i="10" s="1"/>
  <c r="DJ131" i="20"/>
  <c r="DJ814" i="10"/>
  <c r="DJ462" i="10"/>
  <c r="BP43" i="41"/>
  <c r="DM183" i="20"/>
  <c r="DM118" i="20" s="1"/>
  <c r="DN118" i="20" s="1"/>
  <c r="DL466" i="10"/>
  <c r="DP174" i="20"/>
  <c r="DN183" i="20"/>
  <c r="DL120" i="20"/>
  <c r="DL442" i="10"/>
  <c r="DF23" i="20"/>
  <c r="BO18" i="51"/>
  <c r="DN546" i="10"/>
  <c r="DI126" i="20"/>
  <c r="DJ126" i="20" s="1"/>
  <c r="DI131" i="20"/>
  <c r="DI814" i="10"/>
  <c r="DR825" i="10" l="1"/>
  <c r="DQ480" i="10"/>
  <c r="DR480" i="10" s="1"/>
  <c r="DR546" i="10"/>
  <c r="BV42" i="41"/>
  <c r="DP493" i="10" s="1"/>
  <c r="DR182" i="20"/>
  <c r="DJ1024" i="10"/>
  <c r="DJ837" i="10"/>
  <c r="DJ802" i="10"/>
  <c r="BR42" i="41"/>
  <c r="DJ966" i="10"/>
  <c r="DM120" i="20"/>
  <c r="DN120" i="20" s="1"/>
  <c r="DM442" i="10"/>
  <c r="DN442" i="10"/>
  <c r="DQ173" i="20"/>
  <c r="DL131" i="20"/>
  <c r="DL126" i="20"/>
  <c r="DL814" i="10"/>
  <c r="DQ174" i="20"/>
  <c r="DR174" i="20" s="1"/>
  <c r="DP183" i="20"/>
  <c r="DP118" i="20" s="1"/>
  <c r="DI133" i="20"/>
  <c r="DI128" i="20"/>
  <c r="DJ128" i="20" s="1"/>
  <c r="BO57" i="51"/>
  <c r="DI837" i="10"/>
  <c r="DI978" i="10" s="1"/>
  <c r="DI802" i="10"/>
  <c r="DI922" i="10"/>
  <c r="DI1012" i="10"/>
  <c r="DJ133" i="20"/>
  <c r="DP442" i="10" l="1"/>
  <c r="DQ183" i="20"/>
  <c r="DQ118" i="20" s="1"/>
  <c r="DR118" i="20" s="1"/>
  <c r="DJ9" i="20"/>
  <c r="DL493" i="10"/>
  <c r="DN131" i="20"/>
  <c r="DN814" i="10"/>
  <c r="DI991" i="10"/>
  <c r="DI1002" i="10" s="1"/>
  <c r="DJ1012" i="10"/>
  <c r="DL128" i="20"/>
  <c r="DL133" i="20"/>
  <c r="DM131" i="20"/>
  <c r="DM126" i="20"/>
  <c r="DM814" i="10"/>
  <c r="DI9" i="20"/>
  <c r="DI1048" i="10"/>
  <c r="DI933" i="10"/>
  <c r="DR173" i="20"/>
  <c r="DR183" i="20" s="1"/>
  <c r="DJ978" i="10"/>
  <c r="DP120" i="20"/>
  <c r="DJ922" i="10"/>
  <c r="DJ933" i="10" s="1"/>
  <c r="DI871" i="10"/>
  <c r="DL802" i="10"/>
  <c r="DL837" i="10"/>
  <c r="DL1012" i="10"/>
  <c r="DL922" i="10"/>
  <c r="DJ871" i="10"/>
  <c r="DJ1048" i="10" l="1"/>
  <c r="DJ1068" i="10" s="1"/>
  <c r="DP814" i="10"/>
  <c r="DP1012" i="10" s="1"/>
  <c r="DN1024" i="10"/>
  <c r="DQ120" i="20"/>
  <c r="DQ442" i="10"/>
  <c r="DR442" i="10"/>
  <c r="DN966" i="10"/>
  <c r="DI881" i="10"/>
  <c r="DI1058" i="10"/>
  <c r="DI1068" i="10"/>
  <c r="DL871" i="10"/>
  <c r="DM133" i="20"/>
  <c r="DM128" i="20"/>
  <c r="DN128" i="20" s="1"/>
  <c r="DN126" i="20"/>
  <c r="DK922" i="10"/>
  <c r="DJ860" i="10"/>
  <c r="DL9" i="20"/>
  <c r="DL933" i="10"/>
  <c r="DL1048" i="10"/>
  <c r="DN802" i="10"/>
  <c r="DN837" i="10"/>
  <c r="DJ23" i="20"/>
  <c r="BS18" i="51"/>
  <c r="DP131" i="20"/>
  <c r="DP126" i="20"/>
  <c r="DM802" i="10"/>
  <c r="DM837" i="10"/>
  <c r="DM978" i="10" s="1"/>
  <c r="DM1012" i="10"/>
  <c r="DM922" i="10"/>
  <c r="DL978" i="10"/>
  <c r="DJ991" i="10"/>
  <c r="DJ1002" i="10" s="1"/>
  <c r="DK1012" i="10"/>
  <c r="DL991" i="10"/>
  <c r="DL1002" i="10" s="1"/>
  <c r="DI23" i="20"/>
  <c r="DK1048" i="10" l="1"/>
  <c r="DP802" i="10"/>
  <c r="DP837" i="10"/>
  <c r="DP978" i="10" s="1"/>
  <c r="DP922" i="10"/>
  <c r="DP933" i="10" s="1"/>
  <c r="DR120" i="20"/>
  <c r="DP991" i="10"/>
  <c r="DP1002" i="10" s="1"/>
  <c r="DQ814" i="10"/>
  <c r="DQ131" i="20"/>
  <c r="DQ126" i="20"/>
  <c r="DN9" i="20"/>
  <c r="BW18" i="51" s="1"/>
  <c r="BW57" i="51" s="1"/>
  <c r="DN133" i="20"/>
  <c r="BS57" i="51"/>
  <c r="DM933" i="10"/>
  <c r="DM1048" i="10"/>
  <c r="DJ881" i="10"/>
  <c r="DJ1058" i="10"/>
  <c r="DP133" i="20"/>
  <c r="DP128" i="20"/>
  <c r="DN922" i="10"/>
  <c r="DN933" i="10" s="1"/>
  <c r="DL23" i="20"/>
  <c r="DN1012" i="10"/>
  <c r="DN991" i="10" s="1"/>
  <c r="DN1002" i="10" s="1"/>
  <c r="DM991" i="10"/>
  <c r="DM1002" i="10" s="1"/>
  <c r="DN978" i="10"/>
  <c r="DM871" i="10"/>
  <c r="DN871" i="10"/>
  <c r="DL881" i="10"/>
  <c r="DL1058" i="10"/>
  <c r="DL1068" i="10"/>
  <c r="DM9" i="20"/>
  <c r="DP871" i="10" l="1"/>
  <c r="DN1048" i="10"/>
  <c r="DN1068" i="10" s="1"/>
  <c r="DP1048" i="10"/>
  <c r="DP1068" i="10" s="1"/>
  <c r="DR814" i="10"/>
  <c r="DR837" i="10" s="1"/>
  <c r="DR131" i="20"/>
  <c r="DQ922" i="10"/>
  <c r="DQ1012" i="10"/>
  <c r="DQ837" i="10"/>
  <c r="DQ802" i="10"/>
  <c r="DQ128" i="20"/>
  <c r="DQ133" i="20"/>
  <c r="DR126" i="20"/>
  <c r="DM881" i="10"/>
  <c r="DM1058" i="10"/>
  <c r="DM1068" i="10"/>
  <c r="DP9" i="20"/>
  <c r="DN23" i="20"/>
  <c r="DM23" i="20"/>
  <c r="DN860" i="10"/>
  <c r="DP881" i="10" l="1"/>
  <c r="DP1058" i="10"/>
  <c r="DO1048" i="10"/>
  <c r="DR966" i="10"/>
  <c r="DR978" i="10" s="1"/>
  <c r="DQ9" i="20"/>
  <c r="DQ23" i="20" s="1"/>
  <c r="DR1024" i="10"/>
  <c r="DR802" i="10"/>
  <c r="DR133" i="20"/>
  <c r="DQ871" i="10"/>
  <c r="DR871" i="10"/>
  <c r="DQ978" i="10"/>
  <c r="DQ991" i="10"/>
  <c r="DQ1002" i="10" s="1"/>
  <c r="DR1012" i="10"/>
  <c r="DR991" i="10" s="1"/>
  <c r="DR1002" i="10" s="1"/>
  <c r="DR128" i="20"/>
  <c r="DQ1048" i="10"/>
  <c r="DQ933" i="10"/>
  <c r="DR922" i="10"/>
  <c r="DR933" i="10" s="1"/>
  <c r="DP23" i="20"/>
  <c r="DN1058" i="10"/>
  <c r="DN881" i="10"/>
  <c r="DE437" i="42"/>
  <c r="DF437" i="42"/>
  <c r="DE418" i="10"/>
  <c r="DF418" i="10" s="1"/>
  <c r="DE672" i="10"/>
  <c r="DE1203" i="10"/>
  <c r="DR1048" i="10" l="1"/>
  <c r="DI672" i="10"/>
  <c r="DI235" i="20" s="1"/>
  <c r="DI418" i="10"/>
  <c r="DI233" i="20" s="1"/>
  <c r="DR9" i="20"/>
  <c r="DR23" i="20" s="1"/>
  <c r="DR860" i="10"/>
  <c r="DQ1068" i="10"/>
  <c r="DQ1058" i="10"/>
  <c r="DQ881" i="10"/>
  <c r="DJ235" i="20" l="1"/>
  <c r="DL672" i="10"/>
  <c r="DM672" i="10" s="1"/>
  <c r="DP672" i="10" s="1"/>
  <c r="DQ672" i="10" s="1"/>
  <c r="DS1048" i="10"/>
  <c r="DR1068" i="10"/>
  <c r="DJ233" i="20"/>
  <c r="DL418" i="10"/>
  <c r="DL233" i="20" s="1"/>
  <c r="DJ418" i="10"/>
  <c r="DR1058" i="10"/>
  <c r="DR881" i="10"/>
  <c r="DL235" i="20" l="1"/>
  <c r="DM418" i="10"/>
  <c r="DP418" i="10" s="1"/>
  <c r="DQ418" i="10" s="1"/>
  <c r="DR418" i="10" s="1"/>
  <c r="DM235" i="20"/>
  <c r="DN235" i="20" s="1"/>
  <c r="DM233" i="20" l="1"/>
  <c r="DN233" i="20" s="1"/>
  <c r="DN418" i="10"/>
  <c r="DP233" i="20"/>
  <c r="DQ233" i="20"/>
  <c r="DP235" i="20"/>
  <c r="DQ235" i="20"/>
  <c r="DR235" i="20" l="1"/>
  <c r="DR233" i="20"/>
  <c r="DE231" i="20"/>
  <c r="DE260" i="20"/>
  <c r="DF260" i="20"/>
  <c r="DE261" i="20"/>
  <c r="DF261" i="20"/>
  <c r="DE262" i="20"/>
  <c r="DF262" i="20"/>
  <c r="DE114" i="10"/>
  <c r="DF114" i="10"/>
  <c r="DE152" i="10"/>
  <c r="DE263" i="20" l="1"/>
  <c r="DE268" i="20" s="1"/>
  <c r="DG114" i="10"/>
  <c r="DE154" i="10"/>
  <c r="DI152" i="10"/>
  <c r="DI299" i="20" s="1"/>
  <c r="DI114" i="10" s="1"/>
  <c r="DF263" i="20"/>
  <c r="DF268" i="20" s="1"/>
  <c r="BO79" i="51" s="1"/>
  <c r="DI154" i="10"/>
  <c r="DF231" i="20"/>
  <c r="DE266" i="20" l="1"/>
  <c r="DE155" i="10"/>
  <c r="DH155" i="10"/>
  <c r="DE267" i="20"/>
  <c r="DJ299" i="20"/>
  <c r="DJ301" i="20" s="1"/>
  <c r="DI304" i="20"/>
  <c r="DF266" i="20"/>
  <c r="BO77" i="51" s="1"/>
  <c r="DF267" i="20"/>
  <c r="BO78" i="51" s="1"/>
  <c r="DI301" i="20"/>
  <c r="DI262" i="20" s="1"/>
  <c r="DL152" i="10"/>
  <c r="DL299" i="20" s="1"/>
  <c r="DE269" i="20"/>
  <c r="DG231" i="20"/>
  <c r="DI305" i="20" l="1"/>
  <c r="DI260" i="20"/>
  <c r="DI261" i="20"/>
  <c r="DJ114" i="10"/>
  <c r="DJ304" i="20"/>
  <c r="DI231" i="20"/>
  <c r="DJ231" i="20" s="1"/>
  <c r="DM152" i="10"/>
  <c r="DP152" i="10" s="1"/>
  <c r="DQ152" i="10" s="1"/>
  <c r="DQ154" i="10" s="1"/>
  <c r="DL154" i="10"/>
  <c r="DF269" i="20"/>
  <c r="DL301" i="20"/>
  <c r="DL304" i="20"/>
  <c r="DL114" i="10"/>
  <c r="DJ262" i="20"/>
  <c r="DJ261" i="20"/>
  <c r="DJ260" i="20"/>
  <c r="DJ305" i="20"/>
  <c r="DP154" i="10" l="1"/>
  <c r="DI263" i="20"/>
  <c r="DI268" i="20" s="1"/>
  <c r="DM154" i="10"/>
  <c r="DM299" i="20"/>
  <c r="DN299" i="20" s="1"/>
  <c r="DN304" i="20" s="1"/>
  <c r="DK231" i="20"/>
  <c r="DJ263" i="20"/>
  <c r="DJ267" i="20" s="1"/>
  <c r="BS78" i="51" s="1"/>
  <c r="DP299" i="20"/>
  <c r="DP114" i="10" s="1"/>
  <c r="DL231" i="20"/>
  <c r="DL262" i="20"/>
  <c r="DL261" i="20"/>
  <c r="DL260" i="20"/>
  <c r="DL305" i="20"/>
  <c r="DI267" i="20" l="1"/>
  <c r="DI266" i="20"/>
  <c r="DN114" i="10"/>
  <c r="DN301" i="20"/>
  <c r="DN261" i="20" s="1"/>
  <c r="DM304" i="20"/>
  <c r="DM114" i="10"/>
  <c r="DM301" i="20"/>
  <c r="DM305" i="20" s="1"/>
  <c r="DI269" i="20"/>
  <c r="DJ268" i="20"/>
  <c r="BS79" i="51" s="1"/>
  <c r="DJ266" i="20"/>
  <c r="BS77" i="51" s="1"/>
  <c r="DP304" i="20"/>
  <c r="DP301" i="20"/>
  <c r="DQ299" i="20"/>
  <c r="DL263" i="20"/>
  <c r="DL268" i="20" s="1"/>
  <c r="DM231" i="20" l="1"/>
  <c r="DM262" i="20"/>
  <c r="DN305" i="20"/>
  <c r="DN262" i="20"/>
  <c r="DM260" i="20"/>
  <c r="DN260" i="20"/>
  <c r="DM261" i="20"/>
  <c r="DJ269" i="20"/>
  <c r="DL266" i="20"/>
  <c r="DL267" i="20"/>
  <c r="DR299" i="20"/>
  <c r="DR114" i="10" s="1"/>
  <c r="DQ114" i="10"/>
  <c r="DQ304" i="20"/>
  <c r="DQ301" i="20"/>
  <c r="DP231" i="20"/>
  <c r="DP262" i="20"/>
  <c r="DP261" i="20"/>
  <c r="DP260" i="20"/>
  <c r="DP305" i="20"/>
  <c r="DN231" i="20"/>
  <c r="DN263" i="20" l="1"/>
  <c r="DN266" i="20" s="1"/>
  <c r="BW77" i="51" s="1"/>
  <c r="DM263" i="20"/>
  <c r="DM268" i="20" s="1"/>
  <c r="DR304" i="20"/>
  <c r="DN268" i="20"/>
  <c r="BW79" i="51" s="1"/>
  <c r="DL269" i="20"/>
  <c r="DN267" i="20"/>
  <c r="BW78" i="51" s="1"/>
  <c r="DR301" i="20"/>
  <c r="DO231" i="20"/>
  <c r="DP263" i="20"/>
  <c r="DP266" i="20" s="1"/>
  <c r="DQ305" i="20"/>
  <c r="DQ231" i="20"/>
  <c r="DR231" i="20" s="1"/>
  <c r="DQ262" i="20"/>
  <c r="DQ261" i="20"/>
  <c r="DQ260" i="20"/>
  <c r="DM267" i="20" l="1"/>
  <c r="DM266" i="20"/>
  <c r="DR305" i="20"/>
  <c r="DN269" i="20"/>
  <c r="DR260" i="20"/>
  <c r="DR261" i="20"/>
  <c r="DR262" i="20"/>
  <c r="DP267" i="20"/>
  <c r="DS231" i="20"/>
  <c r="DP268" i="20"/>
  <c r="DQ263" i="20"/>
  <c r="DQ268" i="20" s="1"/>
  <c r="DM269" i="20" l="1"/>
  <c r="DP269" i="20"/>
  <c r="DR263" i="20"/>
  <c r="DR268" i="20" s="1"/>
  <c r="DQ267" i="20"/>
  <c r="DQ266" i="20"/>
  <c r="DE234" i="20"/>
  <c r="DE250" i="20"/>
  <c r="DI250" i="20" s="1"/>
  <c r="DM250" i="20" s="1"/>
  <c r="DF250" i="20"/>
  <c r="DF251" i="20" s="1"/>
  <c r="DF252" i="20" s="1"/>
  <c r="DK324" i="20"/>
  <c r="DE497" i="10"/>
  <c r="DE508" i="10"/>
  <c r="DE519" i="10"/>
  <c r="DE530" i="10"/>
  <c r="DF530" i="10" s="1"/>
  <c r="DE541" i="10"/>
  <c r="DE552" i="10"/>
  <c r="DF552" i="10" s="1"/>
  <c r="DE553" i="10"/>
  <c r="DF553" i="10" s="1"/>
  <c r="DE563" i="10"/>
  <c r="DF563" i="10" s="1"/>
  <c r="DE574" i="10"/>
  <c r="DF574" i="10" s="1"/>
  <c r="DE585" i="10"/>
  <c r="DF585" i="10" s="1"/>
  <c r="DE596" i="10"/>
  <c r="DF596" i="10" s="1"/>
  <c r="DE607" i="10"/>
  <c r="DE618" i="10"/>
  <c r="DF618" i="10" s="1"/>
  <c r="DE629" i="10"/>
  <c r="DF629" i="10" s="1"/>
  <c r="DE640" i="10"/>
  <c r="DE1040" i="10" l="1"/>
  <c r="DR266" i="20"/>
  <c r="DR267" i="20"/>
  <c r="DI640" i="10"/>
  <c r="DF519" i="10"/>
  <c r="DF640" i="10"/>
  <c r="DF541" i="10"/>
  <c r="DQ269" i="20"/>
  <c r="DQ250" i="20"/>
  <c r="DM251" i="20"/>
  <c r="DI251" i="20"/>
  <c r="DF607" i="10"/>
  <c r="DI313" i="20"/>
  <c r="DE251" i="20"/>
  <c r="DE252" i="20" s="1"/>
  <c r="DE444" i="10"/>
  <c r="DE827" i="10"/>
  <c r="DI497" i="10"/>
  <c r="DF234" i="20"/>
  <c r="DE236" i="20"/>
  <c r="DF508" i="10"/>
  <c r="DF497" i="10"/>
  <c r="DE573" i="10"/>
  <c r="DM313" i="20"/>
  <c r="DR269" i="20" l="1"/>
  <c r="DJ313" i="20"/>
  <c r="DJ250" i="20" s="1"/>
  <c r="DJ251" i="20" s="1"/>
  <c r="DJ252" i="20" s="1"/>
  <c r="DI552" i="10"/>
  <c r="DJ552" i="10" s="1"/>
  <c r="DQ251" i="20"/>
  <c r="DQ313" i="20"/>
  <c r="DG497" i="10"/>
  <c r="DF827" i="10"/>
  <c r="DF1040" i="10"/>
  <c r="DG1040" i="10" s="1"/>
  <c r="DN313" i="20"/>
  <c r="DN250" i="20" s="1"/>
  <c r="DN251" i="20" s="1"/>
  <c r="DM552" i="10"/>
  <c r="DN552" i="10" s="1"/>
  <c r="DF573" i="10"/>
  <c r="DI827" i="10"/>
  <c r="DE255" i="20"/>
  <c r="DE243" i="20"/>
  <c r="DF236" i="20"/>
  <c r="DE816" i="10"/>
  <c r="DF444" i="10"/>
  <c r="DI308" i="20"/>
  <c r="DJ497" i="10"/>
  <c r="DI1040" i="10"/>
  <c r="DM497" i="10"/>
  <c r="DQ497" i="10" s="1"/>
  <c r="DQ502" i="10" l="1"/>
  <c r="DQ1040" i="10"/>
  <c r="DR497" i="10"/>
  <c r="DR313" i="20"/>
  <c r="DR250" i="20" s="1"/>
  <c r="DR251" i="20" s="1"/>
  <c r="DR252" i="20" s="1"/>
  <c r="DQ552" i="10"/>
  <c r="DR552" i="10" s="1"/>
  <c r="DM502" i="10"/>
  <c r="DM1040" i="10"/>
  <c r="DM308" i="20"/>
  <c r="DN497" i="10"/>
  <c r="DI321" i="20"/>
  <c r="DL640" i="10"/>
  <c r="DE839" i="10"/>
  <c r="DE968" i="10"/>
  <c r="DE924" i="10"/>
  <c r="DE804" i="10"/>
  <c r="DE1014" i="10"/>
  <c r="DG236" i="20"/>
  <c r="DF255" i="20"/>
  <c r="DF816" i="10"/>
  <c r="DF1026" i="10" s="1"/>
  <c r="DJ1040" i="10"/>
  <c r="DK1040" i="10" s="1"/>
  <c r="DK497" i="10"/>
  <c r="DJ308" i="20"/>
  <c r="DE245" i="20"/>
  <c r="DE257" i="20"/>
  <c r="DF243" i="20"/>
  <c r="DN252" i="20"/>
  <c r="DJ640" i="10"/>
  <c r="DQ476" i="10" l="1"/>
  <c r="DQ1045" i="10"/>
  <c r="DR502" i="10"/>
  <c r="DQ503" i="10" s="1"/>
  <c r="DR1040" i="10"/>
  <c r="DN308" i="20"/>
  <c r="DI322" i="20"/>
  <c r="DI234" i="20" s="1"/>
  <c r="DJ234" i="20" s="1"/>
  <c r="DI323" i="20"/>
  <c r="DE1050" i="10"/>
  <c r="DF924" i="10"/>
  <c r="DE935" i="10"/>
  <c r="DQ308" i="20"/>
  <c r="DE10" i="20"/>
  <c r="DE246" i="20"/>
  <c r="DF245" i="20"/>
  <c r="DN1040" i="10"/>
  <c r="DE993" i="10"/>
  <c r="DE1004" i="10" s="1"/>
  <c r="DF1014" i="10"/>
  <c r="DN502" i="10"/>
  <c r="DM503" i="10" s="1"/>
  <c r="DM476" i="10"/>
  <c r="DM1045" i="10"/>
  <c r="DE980" i="10"/>
  <c r="DE873" i="10"/>
  <c r="DJ321" i="20"/>
  <c r="DF839" i="10"/>
  <c r="DF968" i="10"/>
  <c r="DF804" i="10"/>
  <c r="DJ827" i="10"/>
  <c r="DF257" i="20"/>
  <c r="DL321" i="20"/>
  <c r="DL827" i="10"/>
  <c r="DM640" i="10"/>
  <c r="DF935" i="10" l="1"/>
  <c r="DF1050" i="10"/>
  <c r="DG1050" i="10" s="1"/>
  <c r="DR1045" i="10"/>
  <c r="DS502" i="10"/>
  <c r="DP503" i="10"/>
  <c r="DJ323" i="20"/>
  <c r="DQ466" i="10"/>
  <c r="DR476" i="10"/>
  <c r="DJ322" i="20"/>
  <c r="DN640" i="10"/>
  <c r="DP640" i="10"/>
  <c r="DJ444" i="10"/>
  <c r="DI236" i="20"/>
  <c r="DJ236" i="20" s="1"/>
  <c r="DI444" i="10"/>
  <c r="DF862" i="10"/>
  <c r="DG924" i="10"/>
  <c r="DE11" i="20"/>
  <c r="DE24" i="20"/>
  <c r="DR308" i="20"/>
  <c r="DF980" i="10"/>
  <c r="DF873" i="10"/>
  <c r="DN1045" i="10"/>
  <c r="DL503" i="10"/>
  <c r="DF993" i="10"/>
  <c r="DF1004" i="10" s="1"/>
  <c r="DG1014" i="10"/>
  <c r="DM321" i="20"/>
  <c r="DN321" i="20" s="1"/>
  <c r="DN323" i="20" s="1"/>
  <c r="DM827" i="10"/>
  <c r="DL322" i="20"/>
  <c r="DL234" i="20" s="1"/>
  <c r="DL323" i="20"/>
  <c r="DM466" i="10"/>
  <c r="DN476" i="10"/>
  <c r="DF10" i="20"/>
  <c r="DF246" i="20"/>
  <c r="DG246" i="20" s="1"/>
  <c r="DG245" i="20"/>
  <c r="DE883" i="10"/>
  <c r="DE1070" i="10"/>
  <c r="DE1060" i="10"/>
  <c r="DQ640" i="10" l="1"/>
  <c r="DR640" i="10" s="1"/>
  <c r="DP827" i="10"/>
  <c r="DN827" i="10"/>
  <c r="BW42" i="41"/>
  <c r="DQ493" i="10" s="1"/>
  <c r="DR466" i="10"/>
  <c r="DN322" i="20"/>
  <c r="DL236" i="20"/>
  <c r="DL444" i="10"/>
  <c r="DP321" i="20"/>
  <c r="DF24" i="20"/>
  <c r="DF11" i="20"/>
  <c r="BO19" i="51"/>
  <c r="DN466" i="10"/>
  <c r="BS42" i="41"/>
  <c r="DE25" i="20"/>
  <c r="DM322" i="20"/>
  <c r="DM234" i="20" s="1"/>
  <c r="DN234" i="20" s="1"/>
  <c r="DM323" i="20"/>
  <c r="DF883" i="10"/>
  <c r="DF1070" i="10"/>
  <c r="DF1060" i="10"/>
  <c r="DK236" i="20"/>
  <c r="DJ255" i="20"/>
  <c r="DJ816" i="10"/>
  <c r="DI255" i="20"/>
  <c r="DI243" i="20"/>
  <c r="DJ243" i="20" s="1"/>
  <c r="DI816" i="10"/>
  <c r="BX42" i="41" l="1"/>
  <c r="DR493" i="10" s="1"/>
  <c r="DR827" i="10"/>
  <c r="DQ827" i="10"/>
  <c r="DN444" i="10"/>
  <c r="DF25" i="20"/>
  <c r="BO20" i="51"/>
  <c r="BO58" i="51"/>
  <c r="BO59" i="51" s="1"/>
  <c r="DL255" i="20"/>
  <c r="DL243" i="20"/>
  <c r="DL816" i="10"/>
  <c r="DQ321" i="20"/>
  <c r="DJ257" i="20"/>
  <c r="DI804" i="10"/>
  <c r="DI839" i="10"/>
  <c r="DI980" i="10" s="1"/>
  <c r="DI1014" i="10"/>
  <c r="DI924" i="10"/>
  <c r="DJ924" i="10" s="1"/>
  <c r="DJ935" i="10" s="1"/>
  <c r="DM493" i="10"/>
  <c r="DI257" i="20"/>
  <c r="DI245" i="20"/>
  <c r="DJ245" i="20" s="1"/>
  <c r="DP323" i="20"/>
  <c r="DP322" i="20"/>
  <c r="DP234" i="20" s="1"/>
  <c r="DJ804" i="10"/>
  <c r="DJ839" i="10"/>
  <c r="DJ1026" i="10"/>
  <c r="BT42" i="41"/>
  <c r="DJ968" i="10"/>
  <c r="DM236" i="20"/>
  <c r="DM444" i="10"/>
  <c r="DJ1050" i="10" l="1"/>
  <c r="DJ1070" i="10" s="1"/>
  <c r="DP444" i="10"/>
  <c r="DK924" i="10"/>
  <c r="DJ862" i="10"/>
  <c r="DJ873" i="10"/>
  <c r="DM255" i="20"/>
  <c r="DM816" i="10"/>
  <c r="DM243" i="20"/>
  <c r="DI935" i="10"/>
  <c r="DI1050" i="10"/>
  <c r="DI873" i="10"/>
  <c r="DJ10" i="20"/>
  <c r="DJ246" i="20"/>
  <c r="DK246" i="20" s="1"/>
  <c r="DK245" i="20"/>
  <c r="DI993" i="10"/>
  <c r="DI1004" i="10" s="1"/>
  <c r="DJ1014" i="10"/>
  <c r="DP236" i="20"/>
  <c r="DQ323" i="20"/>
  <c r="DQ322" i="20"/>
  <c r="DQ234" i="20" s="1"/>
  <c r="DL257" i="20"/>
  <c r="DL245" i="20"/>
  <c r="DJ980" i="10"/>
  <c r="DN493" i="10"/>
  <c r="DL924" i="10"/>
  <c r="DL804" i="10"/>
  <c r="DL839" i="10"/>
  <c r="DL980" i="10" s="1"/>
  <c r="DL1014" i="10"/>
  <c r="DL993" i="10" s="1"/>
  <c r="DL1004" i="10" s="1"/>
  <c r="DN236" i="20"/>
  <c r="DR321" i="20"/>
  <c r="DI10" i="20"/>
  <c r="DI246" i="20"/>
  <c r="DK1050" i="10" l="1"/>
  <c r="DR234" i="20"/>
  <c r="DP816" i="10"/>
  <c r="DP1014" i="10" s="1"/>
  <c r="DP993" i="10" s="1"/>
  <c r="DP1004" i="10" s="1"/>
  <c r="DQ236" i="20"/>
  <c r="DQ444" i="10"/>
  <c r="DI883" i="10"/>
  <c r="DI1060" i="10"/>
  <c r="DI1070" i="10"/>
  <c r="DP243" i="20"/>
  <c r="DP255" i="20"/>
  <c r="DI24" i="20"/>
  <c r="DI11" i="20"/>
  <c r="DM245" i="20"/>
  <c r="DM257" i="20"/>
  <c r="DJ883" i="10"/>
  <c r="DJ1060" i="10"/>
  <c r="DL10" i="20"/>
  <c r="DL246" i="20"/>
  <c r="DM1014" i="10"/>
  <c r="DM924" i="10"/>
  <c r="DN924" i="10" s="1"/>
  <c r="DN935" i="10" s="1"/>
  <c r="DM804" i="10"/>
  <c r="DM839" i="10"/>
  <c r="DM980" i="10" s="1"/>
  <c r="DL935" i="10"/>
  <c r="DL1050" i="10"/>
  <c r="DJ993" i="10"/>
  <c r="DJ1004" i="10" s="1"/>
  <c r="DK1014" i="10"/>
  <c r="DN243" i="20"/>
  <c r="DJ24" i="20"/>
  <c r="DJ11" i="20"/>
  <c r="BS19" i="51"/>
  <c r="DL873" i="10"/>
  <c r="DR323" i="20"/>
  <c r="DR322" i="20"/>
  <c r="DO236" i="20"/>
  <c r="DN255" i="20"/>
  <c r="DN816" i="10"/>
  <c r="DN1026" i="10" s="1"/>
  <c r="DN1050" i="10" l="1"/>
  <c r="DN1070" i="10" s="1"/>
  <c r="DP839" i="10"/>
  <c r="DP980" i="10" s="1"/>
  <c r="DP804" i="10"/>
  <c r="DP924" i="10"/>
  <c r="DP1050" i="10" s="1"/>
  <c r="DR444" i="10"/>
  <c r="DQ816" i="10"/>
  <c r="DQ924" i="10" s="1"/>
  <c r="DR236" i="20"/>
  <c r="DQ243" i="20"/>
  <c r="DQ257" i="20" s="1"/>
  <c r="DQ255" i="20"/>
  <c r="DN862" i="10"/>
  <c r="DN257" i="20"/>
  <c r="DN1014" i="10"/>
  <c r="DN993" i="10" s="1"/>
  <c r="DN1004" i="10" s="1"/>
  <c r="DM993" i="10"/>
  <c r="DM1004" i="10" s="1"/>
  <c r="DM10" i="20"/>
  <c r="DM246" i="20"/>
  <c r="DN245" i="20"/>
  <c r="DN804" i="10"/>
  <c r="DN839" i="10"/>
  <c r="DN968" i="10"/>
  <c r="DJ25" i="20"/>
  <c r="BS20" i="51"/>
  <c r="DL883" i="10"/>
  <c r="DL1060" i="10"/>
  <c r="DL1070" i="10"/>
  <c r="BS58" i="51"/>
  <c r="BS59" i="51" s="1"/>
  <c r="DL24" i="20"/>
  <c r="DL11" i="20"/>
  <c r="DI25" i="20"/>
  <c r="DM873" i="10"/>
  <c r="DP257" i="20"/>
  <c r="DP245" i="20"/>
  <c r="DM935" i="10"/>
  <c r="DM1050" i="10"/>
  <c r="DP873" i="10" l="1"/>
  <c r="DP935" i="10"/>
  <c r="DO1050" i="10"/>
  <c r="DN980" i="10"/>
  <c r="DR924" i="10"/>
  <c r="DQ245" i="20"/>
  <c r="DR816" i="10"/>
  <c r="DR968" i="10" s="1"/>
  <c r="DQ839" i="10"/>
  <c r="DQ980" i="10" s="1"/>
  <c r="DR255" i="20"/>
  <c r="DQ1014" i="10"/>
  <c r="DQ993" i="10" s="1"/>
  <c r="DQ1004" i="10" s="1"/>
  <c r="DS236" i="20"/>
  <c r="DR243" i="20"/>
  <c r="DQ804" i="10"/>
  <c r="DP1060" i="10"/>
  <c r="DP883" i="10"/>
  <c r="DP1070" i="10"/>
  <c r="DQ935" i="10"/>
  <c r="DQ1050" i="10"/>
  <c r="DP10" i="20"/>
  <c r="DP246" i="20"/>
  <c r="DL25" i="20"/>
  <c r="DN873" i="10"/>
  <c r="DM24" i="20"/>
  <c r="DM11" i="20"/>
  <c r="DN246" i="20"/>
  <c r="DO246" i="20" s="1"/>
  <c r="DN10" i="20"/>
  <c r="BW19" i="51" s="1"/>
  <c r="BW58" i="51" s="1"/>
  <c r="BW59" i="51" s="1"/>
  <c r="DO245" i="20"/>
  <c r="DN883" i="10"/>
  <c r="DN1060" i="10"/>
  <c r="DM883" i="10"/>
  <c r="DM1070" i="10"/>
  <c r="DM1060" i="10"/>
  <c r="DR1050" i="10" l="1"/>
  <c r="DR1060" i="10" s="1"/>
  <c r="DR935" i="10"/>
  <c r="DR804" i="10"/>
  <c r="DR839" i="10"/>
  <c r="DR980" i="10" s="1"/>
  <c r="DR1014" i="10"/>
  <c r="DR993" i="10" s="1"/>
  <c r="DR1004" i="10" s="1"/>
  <c r="DR1026" i="10"/>
  <c r="DQ246" i="20"/>
  <c r="DQ10" i="20"/>
  <c r="DQ11" i="20" s="1"/>
  <c r="DR862" i="10"/>
  <c r="DR245" i="20"/>
  <c r="DR257" i="20"/>
  <c r="DQ873" i="10"/>
  <c r="DQ1060" i="10"/>
  <c r="DQ883" i="10"/>
  <c r="DQ1070" i="10"/>
  <c r="DP24" i="20"/>
  <c r="DP11" i="20"/>
  <c r="DN24" i="20"/>
  <c r="DN11" i="20"/>
  <c r="BW20" i="51" s="1"/>
  <c r="DM25" i="20"/>
  <c r="DR873" i="10" l="1"/>
  <c r="DR883" i="10"/>
  <c r="DS1050" i="10"/>
  <c r="DR1070" i="10"/>
  <c r="DQ24" i="20"/>
  <c r="DS245" i="20"/>
  <c r="DR246" i="20"/>
  <c r="DS246" i="20" s="1"/>
  <c r="DR10" i="20"/>
  <c r="DR11" i="20" s="1"/>
  <c r="DQ25" i="20"/>
  <c r="DN25" i="20"/>
  <c r="DP25" i="20"/>
  <c r="DR24" i="20" l="1"/>
  <c r="DR25" i="20"/>
  <c r="DE432" i="42"/>
  <c r="DF432" i="42"/>
  <c r="DE44" i="10"/>
  <c r="DF44" i="10"/>
  <c r="DE417" i="10"/>
  <c r="DE671" i="10"/>
  <c r="DE956" i="10"/>
  <c r="DF956" i="10"/>
  <c r="DE1130" i="10"/>
  <c r="DF1130" i="10"/>
  <c r="DE1202" i="10"/>
  <c r="DF417" i="10" l="1"/>
  <c r="DE1134" i="10"/>
  <c r="DF1134" i="10" s="1"/>
  <c r="DF1136" i="10" s="1"/>
  <c r="DI417" i="10"/>
  <c r="DJ417" i="10" s="1"/>
  <c r="DE1136" i="10" l="1"/>
  <c r="DE22" i="10" s="1"/>
  <c r="DE51" i="49" s="1"/>
  <c r="DE78" i="49" s="1"/>
  <c r="DE176" i="49" s="1"/>
  <c r="DE279" i="49" s="1"/>
  <c r="DI671" i="10"/>
  <c r="DI345" i="20"/>
  <c r="DL417" i="10"/>
  <c r="BK13" i="41" l="1"/>
  <c r="BK61" i="41" s="1"/>
  <c r="DF22" i="10"/>
  <c r="DF51" i="49" s="1"/>
  <c r="DF78" i="49" s="1"/>
  <c r="DF279" i="49" s="1"/>
  <c r="DE962" i="10"/>
  <c r="DE963" i="10" s="1"/>
  <c r="DI448" i="20"/>
  <c r="DL345" i="20"/>
  <c r="DM417" i="10"/>
  <c r="DP417" i="10" s="1"/>
  <c r="DI347" i="20"/>
  <c r="DJ347" i="20" s="1"/>
  <c r="DL671" i="10"/>
  <c r="DJ345" i="20"/>
  <c r="BL13" i="41" l="1"/>
  <c r="BL61" i="41" s="1"/>
  <c r="DF176" i="49"/>
  <c r="DG78" i="49"/>
  <c r="DF962" i="10"/>
  <c r="DF963" i="10" s="1"/>
  <c r="DQ417" i="10"/>
  <c r="DR417" i="10" s="1"/>
  <c r="DJ450" i="20"/>
  <c r="DJ448" i="20"/>
  <c r="DM345" i="20"/>
  <c r="DN345" i="20" s="1"/>
  <c r="DL347" i="20"/>
  <c r="DM671" i="10"/>
  <c r="DP671" i="10" s="1"/>
  <c r="DI450" i="20"/>
  <c r="DN417" i="10"/>
  <c r="DL448" i="20"/>
  <c r="DQ671" i="10" l="1"/>
  <c r="DN448" i="20"/>
  <c r="DM448" i="20"/>
  <c r="DL450" i="20"/>
  <c r="DP345" i="20"/>
  <c r="DM347" i="20"/>
  <c r="DQ345" i="20" l="1"/>
  <c r="DR345" i="20" s="1"/>
  <c r="DP448" i="20"/>
  <c r="DP347" i="20"/>
  <c r="DM450" i="20"/>
  <c r="DN347" i="20"/>
  <c r="DR448" i="20" l="1"/>
  <c r="DQ448" i="20"/>
  <c r="DN450" i="20"/>
  <c r="DQ347" i="20"/>
  <c r="DP450" i="20"/>
  <c r="DQ450" i="20" l="1"/>
  <c r="DR347" i="20"/>
  <c r="DR450" i="20" l="1"/>
  <c r="DE343" i="20" l="1"/>
  <c r="DE38" i="10" s="1"/>
  <c r="DE372" i="20"/>
  <c r="DE373" i="20" s="1"/>
  <c r="DF372" i="20"/>
  <c r="DF373" i="20" s="1"/>
  <c r="DG400" i="20"/>
  <c r="DG401" i="20"/>
  <c r="DG402" i="20"/>
  <c r="DG404" i="20"/>
  <c r="DK404" i="20"/>
  <c r="DG411" i="20"/>
  <c r="DE158" i="10"/>
  <c r="DE168" i="10" s="1"/>
  <c r="DE159" i="10"/>
  <c r="DE160" i="10"/>
  <c r="DF160" i="10" s="1"/>
  <c r="DE381" i="10"/>
  <c r="DE382" i="10"/>
  <c r="DF382" i="10" s="1"/>
  <c r="DE383" i="10"/>
  <c r="DF343" i="20" l="1"/>
  <c r="DE392" i="10"/>
  <c r="DF158" i="10"/>
  <c r="DF168" i="10" s="1"/>
  <c r="DF383" i="10"/>
  <c r="DE784" i="20"/>
  <c r="DE175" i="10"/>
  <c r="DE169" i="10"/>
  <c r="DE384" i="10"/>
  <c r="DE366" i="10"/>
  <c r="DE176" i="10"/>
  <c r="DF159" i="10"/>
  <c r="DF391" i="10"/>
  <c r="DF395" i="10"/>
  <c r="DE390" i="10"/>
  <c r="DF381" i="10"/>
  <c r="DE395" i="10"/>
  <c r="DE161" i="10"/>
  <c r="DE391" i="10"/>
  <c r="DF38" i="10" l="1"/>
  <c r="DG343" i="20"/>
  <c r="DF392" i="10"/>
  <c r="DE393" i="10"/>
  <c r="DE373" i="10"/>
  <c r="DF384" i="10"/>
  <c r="DF393" i="10" s="1"/>
  <c r="DF176" i="10"/>
  <c r="DF366" i="10"/>
  <c r="DF175" i="10"/>
  <c r="DF373" i="10" s="1"/>
  <c r="DF169" i="10"/>
  <c r="DF390" i="10"/>
  <c r="DF161" i="10"/>
  <c r="DF171" i="10" s="1"/>
  <c r="DE171" i="10"/>
  <c r="DI158" i="10"/>
  <c r="DL168" i="10"/>
  <c r="DJ158" i="10" l="1"/>
  <c r="DJ168" i="10" s="1"/>
  <c r="DI401" i="20"/>
  <c r="DL158" i="10"/>
  <c r="DM168" i="10"/>
  <c r="DP168" i="10" s="1"/>
  <c r="DQ168" i="10" l="1"/>
  <c r="DQ158" i="10" s="1"/>
  <c r="DP158" i="10"/>
  <c r="DI373" i="10"/>
  <c r="DL175" i="10"/>
  <c r="DI159" i="10"/>
  <c r="DJ401" i="20"/>
  <c r="DM158" i="10"/>
  <c r="DN158" i="10" s="1"/>
  <c r="DN168" i="10" s="1"/>
  <c r="DL401" i="20"/>
  <c r="DL373" i="10" l="1"/>
  <c r="DL159" i="10"/>
  <c r="DM175" i="10"/>
  <c r="DI402" i="20"/>
  <c r="DI382" i="20" s="1"/>
  <c r="DI176" i="10"/>
  <c r="DI366" i="10"/>
  <c r="DI169" i="10"/>
  <c r="DI161" i="10"/>
  <c r="DJ161" i="10" s="1"/>
  <c r="DJ171" i="10" s="1"/>
  <c r="DR158" i="10"/>
  <c r="DR168" i="10" s="1"/>
  <c r="DJ159" i="10"/>
  <c r="DK401" i="20"/>
  <c r="DM401" i="20"/>
  <c r="DN401" i="20" l="1"/>
  <c r="DI400" i="20"/>
  <c r="DJ402" i="20"/>
  <c r="DJ382" i="20" s="1"/>
  <c r="DI165" i="10"/>
  <c r="DI171" i="10"/>
  <c r="DP175" i="10"/>
  <c r="DM373" i="10"/>
  <c r="DM159" i="10"/>
  <c r="DJ169" i="10"/>
  <c r="DJ366" i="10"/>
  <c r="DJ176" i="10"/>
  <c r="DJ175" i="10"/>
  <c r="DJ373" i="10" s="1"/>
  <c r="DL402" i="20"/>
  <c r="DL382" i="20" s="1"/>
  <c r="DL366" i="10"/>
  <c r="DL169" i="10"/>
  <c r="DL176" i="10"/>
  <c r="DL161" i="10"/>
  <c r="DQ401" i="20"/>
  <c r="DP401" i="20"/>
  <c r="DO401" i="20" l="1"/>
  <c r="BN31" i="41"/>
  <c r="BN52" i="41" s="1"/>
  <c r="DK402" i="20"/>
  <c r="DI372" i="20"/>
  <c r="DI373" i="20" s="1"/>
  <c r="DI414" i="20"/>
  <c r="DI411" i="20"/>
  <c r="DJ400" i="20"/>
  <c r="DL165" i="10"/>
  <c r="DL171" i="10"/>
  <c r="DQ175" i="10"/>
  <c r="DP373" i="10"/>
  <c r="DP159" i="10"/>
  <c r="DM402" i="20"/>
  <c r="DM382" i="20" s="1"/>
  <c r="DM366" i="10"/>
  <c r="DM169" i="10"/>
  <c r="DM176" i="10"/>
  <c r="DM161" i="10"/>
  <c r="DL400" i="20"/>
  <c r="DN159" i="10"/>
  <c r="DJ165" i="10"/>
  <c r="DI11" i="10"/>
  <c r="DI174" i="10"/>
  <c r="DR401" i="20"/>
  <c r="DN402" i="20" l="1"/>
  <c r="DN382" i="20" s="1"/>
  <c r="DL372" i="20"/>
  <c r="DL373" i="20" s="1"/>
  <c r="DL414" i="20"/>
  <c r="DL411" i="20"/>
  <c r="DO402" i="20"/>
  <c r="DQ373" i="10"/>
  <c r="DQ159" i="10"/>
  <c r="DR159" i="10" s="1"/>
  <c r="DI418" i="20"/>
  <c r="DI343" i="20"/>
  <c r="DJ343" i="20" s="1"/>
  <c r="DI455" i="20"/>
  <c r="DJ455" i="20" s="1"/>
  <c r="DJ174" i="10"/>
  <c r="DP366" i="10"/>
  <c r="DP176" i="10"/>
  <c r="DP169" i="10"/>
  <c r="DP402" i="20"/>
  <c r="DP382" i="20" s="1"/>
  <c r="DP161" i="10"/>
  <c r="DM171" i="10"/>
  <c r="DM165" i="10"/>
  <c r="DN165" i="10" s="1"/>
  <c r="DN161" i="10"/>
  <c r="DN171" i="10" s="1"/>
  <c r="DL174" i="10"/>
  <c r="DL11" i="10"/>
  <c r="DK400" i="20"/>
  <c r="DJ372" i="20"/>
  <c r="DJ373" i="20" s="1"/>
  <c r="DN366" i="10"/>
  <c r="DN176" i="10"/>
  <c r="DN169" i="10"/>
  <c r="DN175" i="10"/>
  <c r="DN373" i="10" s="1"/>
  <c r="DM400" i="20"/>
  <c r="DN400" i="20" s="1"/>
  <c r="DI39" i="49"/>
  <c r="DI64" i="49" s="1"/>
  <c r="BO31" i="41"/>
  <c r="DJ411" i="20"/>
  <c r="DJ11" i="10"/>
  <c r="DS401" i="20"/>
  <c r="DI66" i="49" l="1"/>
  <c r="DI163" i="49"/>
  <c r="DN174" i="10"/>
  <c r="DJ457" i="20"/>
  <c r="DJ462" i="20" s="1"/>
  <c r="DJ464" i="20"/>
  <c r="DJ460" i="20"/>
  <c r="DM11" i="10"/>
  <c r="DN11" i="10" s="1"/>
  <c r="DM174" i="10"/>
  <c r="DJ39" i="49"/>
  <c r="DJ64" i="49" s="1"/>
  <c r="DJ66" i="49" s="1"/>
  <c r="DJ163" i="49" s="1"/>
  <c r="BP31" i="41"/>
  <c r="DJ38" i="10"/>
  <c r="DK343" i="20"/>
  <c r="DP400" i="20"/>
  <c r="DI460" i="20"/>
  <c r="DI351" i="20"/>
  <c r="DJ351" i="20" s="1"/>
  <c r="DI457" i="20"/>
  <c r="DI462" i="20" s="1"/>
  <c r="DO400" i="20"/>
  <c r="DN372" i="20"/>
  <c r="DN373" i="20" s="1"/>
  <c r="DI38" i="10"/>
  <c r="DK411" i="20"/>
  <c r="DR366" i="10"/>
  <c r="DR176" i="10"/>
  <c r="DR175" i="10"/>
  <c r="DR373" i="10" s="1"/>
  <c r="DR169" i="10"/>
  <c r="DL418" i="20"/>
  <c r="DL343" i="20"/>
  <c r="DL455" i="20"/>
  <c r="DP165" i="10"/>
  <c r="DP171" i="10"/>
  <c r="DM372" i="20"/>
  <c r="DM373" i="20" s="1"/>
  <c r="DM414" i="20"/>
  <c r="DM411" i="20"/>
  <c r="DN411" i="20" s="1"/>
  <c r="DL39" i="49"/>
  <c r="DL64" i="49" s="1"/>
  <c r="DL66" i="49" s="1"/>
  <c r="BR31" i="41"/>
  <c r="DQ366" i="10"/>
  <c r="DQ176" i="10"/>
  <c r="DQ169" i="10"/>
  <c r="DQ402" i="20"/>
  <c r="DQ382" i="20" s="1"/>
  <c r="DQ161" i="10"/>
  <c r="DJ266" i="49" l="1"/>
  <c r="DL460" i="20"/>
  <c r="DL457" i="20"/>
  <c r="DL462" i="20" s="1"/>
  <c r="DL351" i="20"/>
  <c r="DL38" i="10"/>
  <c r="DM39" i="49"/>
  <c r="DM64" i="49" s="1"/>
  <c r="DM66" i="49" s="1"/>
  <c r="BS31" i="41"/>
  <c r="BT31" i="41"/>
  <c r="DN39" i="49"/>
  <c r="DN64" i="49" s="1"/>
  <c r="BN13" i="41"/>
  <c r="BN61" i="41" s="1"/>
  <c r="DM343" i="20"/>
  <c r="DN343" i="20" s="1"/>
  <c r="DM455" i="20"/>
  <c r="DM418" i="20"/>
  <c r="DR402" i="20"/>
  <c r="DR382" i="20" s="1"/>
  <c r="DQ400" i="20"/>
  <c r="DI353" i="20"/>
  <c r="DI44" i="10"/>
  <c r="DI956" i="10"/>
  <c r="DI1130" i="10"/>
  <c r="DI1136" i="10" s="1"/>
  <c r="DI22" i="10" s="1"/>
  <c r="DJ22" i="10" s="1"/>
  <c r="DJ956" i="10"/>
  <c r="DJ44" i="10"/>
  <c r="DJ1130" i="10"/>
  <c r="DJ1136" i="10" s="1"/>
  <c r="DQ165" i="10"/>
  <c r="DQ171" i="10"/>
  <c r="DO411" i="20"/>
  <c r="DP372" i="20"/>
  <c r="DP373" i="20" s="1"/>
  <c r="DP414" i="20"/>
  <c r="DP411" i="20"/>
  <c r="DR161" i="10"/>
  <c r="DR171" i="10" s="1"/>
  <c r="BR52" i="41"/>
  <c r="DP11" i="10"/>
  <c r="DP39" i="49" s="1"/>
  <c r="DP64" i="49" s="1"/>
  <c r="DP66" i="49" s="1"/>
  <c r="DP174" i="10"/>
  <c r="DQ372" i="20" l="1"/>
  <c r="DQ373" i="20" s="1"/>
  <c r="DQ411" i="20"/>
  <c r="DR411" i="20" s="1"/>
  <c r="DQ414" i="20"/>
  <c r="DJ51" i="49"/>
  <c r="DJ78" i="49" s="1"/>
  <c r="DK78" i="49" s="1"/>
  <c r="DJ962" i="10"/>
  <c r="DJ963" i="10" s="1"/>
  <c r="BP13" i="41"/>
  <c r="BP61" i="41" s="1"/>
  <c r="DN38" i="10"/>
  <c r="DO343" i="20"/>
  <c r="DP418" i="20"/>
  <c r="DP455" i="20"/>
  <c r="DP343" i="20"/>
  <c r="DM460" i="20"/>
  <c r="DM351" i="20"/>
  <c r="DN351" i="20" s="1"/>
  <c r="DM457" i="20"/>
  <c r="DM462" i="20" s="1"/>
  <c r="DO64" i="49"/>
  <c r="DN66" i="49"/>
  <c r="DL44" i="10"/>
  <c r="DL1130" i="10"/>
  <c r="DL1136" i="10" s="1"/>
  <c r="DL22" i="10" s="1"/>
  <c r="DL353" i="20"/>
  <c r="DL956" i="10"/>
  <c r="DR400" i="20"/>
  <c r="BT52" i="41"/>
  <c r="DQ11" i="10"/>
  <c r="DQ174" i="10"/>
  <c r="DS402" i="20"/>
  <c r="DM38" i="10"/>
  <c r="DR165" i="10"/>
  <c r="BS52" i="41"/>
  <c r="DI962" i="10"/>
  <c r="DI963" i="10" s="1"/>
  <c r="DI1137" i="10"/>
  <c r="DJ1137" i="10" s="1"/>
  <c r="BO13" i="41"/>
  <c r="BO61" i="41" s="1"/>
  <c r="DI51" i="49"/>
  <c r="DI78" i="49" s="1"/>
  <c r="DI176" i="49" s="1"/>
  <c r="BV31" i="41"/>
  <c r="BV52" i="41" s="1"/>
  <c r="DI365" i="20"/>
  <c r="DJ353" i="20"/>
  <c r="DN455" i="20"/>
  <c r="DR11" i="10" l="1"/>
  <c r="DR39" i="49" s="1"/>
  <c r="DR64" i="49" s="1"/>
  <c r="DQ39" i="49"/>
  <c r="DQ64" i="49" s="1"/>
  <c r="DQ66" i="49" s="1"/>
  <c r="DL365" i="20"/>
  <c r="DN44" i="10"/>
  <c r="DN1130" i="10"/>
  <c r="DN1136" i="10" s="1"/>
  <c r="DN956" i="10"/>
  <c r="DL1137" i="10"/>
  <c r="BR13" i="41"/>
  <c r="BR61" i="41" s="1"/>
  <c r="DL51" i="49"/>
  <c r="DL78" i="49" s="1"/>
  <c r="DL962" i="10"/>
  <c r="DL963" i="10" s="1"/>
  <c r="DP38" i="10"/>
  <c r="DP460" i="20"/>
  <c r="DP457" i="20"/>
  <c r="DP462" i="20" s="1"/>
  <c r="DP351" i="20"/>
  <c r="DS411" i="20"/>
  <c r="DN163" i="49"/>
  <c r="DN266" i="49"/>
  <c r="DQ455" i="20"/>
  <c r="DR455" i="20" s="1"/>
  <c r="DQ343" i="20"/>
  <c r="DQ418" i="20"/>
  <c r="DJ365" i="20"/>
  <c r="DR174" i="10"/>
  <c r="DS400" i="20"/>
  <c r="DR372" i="20"/>
  <c r="DR373" i="20" s="1"/>
  <c r="DM353" i="20"/>
  <c r="DM956" i="10"/>
  <c r="DM44" i="10"/>
  <c r="DM1130" i="10"/>
  <c r="DM1136" i="10" s="1"/>
  <c r="DM22" i="10" s="1"/>
  <c r="DN460" i="20"/>
  <c r="DN457" i="20"/>
  <c r="DN462" i="20" s="1"/>
  <c r="DN464" i="20"/>
  <c r="BW31" i="41"/>
  <c r="BW52" i="41" s="1"/>
  <c r="BX31" i="41" l="1"/>
  <c r="BX52" i="41" s="1"/>
  <c r="DR66" i="49"/>
  <c r="DS64" i="49"/>
  <c r="DO266" i="49"/>
  <c r="DO163" i="49"/>
  <c r="DR460" i="20"/>
  <c r="DR464" i="20"/>
  <c r="DR457" i="20"/>
  <c r="DR462" i="20" s="1"/>
  <c r="DQ38" i="10"/>
  <c r="DM365" i="20"/>
  <c r="DM1137" i="10"/>
  <c r="DN1137" i="10" s="1"/>
  <c r="BS13" i="41"/>
  <c r="BS61" i="41" s="1"/>
  <c r="DM962" i="10"/>
  <c r="DM963" i="10" s="1"/>
  <c r="DM51" i="49"/>
  <c r="DM78" i="49" s="1"/>
  <c r="DN353" i="20"/>
  <c r="DP44" i="10"/>
  <c r="DP353" i="20"/>
  <c r="DP956" i="10"/>
  <c r="DP1130" i="10"/>
  <c r="DP1136" i="10" s="1"/>
  <c r="DP22" i="10" s="1"/>
  <c r="DQ460" i="20"/>
  <c r="DQ351" i="20"/>
  <c r="DR351" i="20" s="1"/>
  <c r="DQ457" i="20"/>
  <c r="DQ462" i="20" s="1"/>
  <c r="DN22" i="10"/>
  <c r="DR343" i="20"/>
  <c r="DE346" i="20"/>
  <c r="DF346" i="20" s="1"/>
  <c r="DG420" i="20"/>
  <c r="DE496" i="10"/>
  <c r="DE507" i="10"/>
  <c r="DF507" i="10" s="1"/>
  <c r="DE518" i="10"/>
  <c r="DE529" i="10"/>
  <c r="DE540" i="10"/>
  <c r="DE551" i="10"/>
  <c r="DE562" i="10"/>
  <c r="DF562" i="10" s="1"/>
  <c r="DE584" i="10"/>
  <c r="DF584" i="10" s="1"/>
  <c r="DE595" i="10"/>
  <c r="DF595" i="10" s="1"/>
  <c r="DE606" i="10"/>
  <c r="DE617" i="10"/>
  <c r="DF617" i="10" s="1"/>
  <c r="DE628" i="10"/>
  <c r="DF628" i="10" s="1"/>
  <c r="DE639" i="10"/>
  <c r="DF639" i="10" l="1"/>
  <c r="DF496" i="10"/>
  <c r="DF518" i="10"/>
  <c r="DP51" i="49"/>
  <c r="DP78" i="49" s="1"/>
  <c r="DF606" i="10"/>
  <c r="DR266" i="49"/>
  <c r="DS266" i="49" s="1"/>
  <c r="DR163" i="49"/>
  <c r="DS163" i="49" s="1"/>
  <c r="DF443" i="10"/>
  <c r="DF648" i="10"/>
  <c r="DR956" i="10"/>
  <c r="DR1130" i="10"/>
  <c r="DR1136" i="10" s="1"/>
  <c r="DR44" i="10"/>
  <c r="DF551" i="10"/>
  <c r="DQ353" i="20"/>
  <c r="DQ956" i="10"/>
  <c r="DQ1130" i="10"/>
  <c r="DQ1136" i="10" s="1"/>
  <c r="DQ22" i="10" s="1"/>
  <c r="DQ44" i="10"/>
  <c r="DS343" i="20"/>
  <c r="DR38" i="10"/>
  <c r="DN962" i="10"/>
  <c r="DN963" i="10" s="1"/>
  <c r="BT13" i="41"/>
  <c r="BT61" i="41" s="1"/>
  <c r="DN51" i="49"/>
  <c r="DN78" i="49" s="1"/>
  <c r="DN365" i="20"/>
  <c r="DE1039" i="10"/>
  <c r="DE443" i="10"/>
  <c r="DP365" i="20"/>
  <c r="BV13" i="41"/>
  <c r="BV61" i="41" s="1"/>
  <c r="DP1137" i="10"/>
  <c r="DP962" i="10"/>
  <c r="DP963" i="10" s="1"/>
  <c r="DG496" i="10"/>
  <c r="DF1039" i="10"/>
  <c r="DG1039" i="10" s="1"/>
  <c r="DI551" i="10"/>
  <c r="DJ551" i="10" s="1"/>
  <c r="DE648" i="10"/>
  <c r="DF529" i="10"/>
  <c r="DE826" i="10"/>
  <c r="DF540" i="10"/>
  <c r="DE348" i="20"/>
  <c r="DE377" i="20" l="1"/>
  <c r="DE378" i="20" s="1"/>
  <c r="DE385" i="20" s="1"/>
  <c r="DE383" i="20"/>
  <c r="DR22" i="10"/>
  <c r="DR962" i="10" s="1"/>
  <c r="DR963" i="10" s="1"/>
  <c r="DQ51" i="49"/>
  <c r="DQ78" i="49" s="1"/>
  <c r="DR51" i="49"/>
  <c r="DR78" i="49" s="1"/>
  <c r="DS78" i="49" s="1"/>
  <c r="DO78" i="49"/>
  <c r="DQ365" i="20"/>
  <c r="DR353" i="20"/>
  <c r="BW13" i="41"/>
  <c r="BW61" i="41" s="1"/>
  <c r="DQ962" i="10"/>
  <c r="DQ963" i="10" s="1"/>
  <c r="DQ1137" i="10"/>
  <c r="DR1137" i="10" s="1"/>
  <c r="DE364" i="20"/>
  <c r="DF348" i="20"/>
  <c r="DF383" i="20" s="1"/>
  <c r="DE349" i="20"/>
  <c r="DE354" i="20"/>
  <c r="DE815" i="10"/>
  <c r="DI428" i="20"/>
  <c r="DJ428" i="20" s="1"/>
  <c r="DL551" i="10"/>
  <c r="DI557" i="10"/>
  <c r="DI423" i="20"/>
  <c r="DI387" i="20" s="1"/>
  <c r="DJ496" i="10"/>
  <c r="DI502" i="10"/>
  <c r="DI1039" i="10"/>
  <c r="DF826" i="10"/>
  <c r="BX13" i="41" l="1"/>
  <c r="BX61" i="41" s="1"/>
  <c r="DF385" i="20"/>
  <c r="DF377" i="20"/>
  <c r="DF378" i="20" s="1"/>
  <c r="DR365" i="20"/>
  <c r="DK496" i="10"/>
  <c r="DJ1039" i="10"/>
  <c r="DK1039" i="10" s="1"/>
  <c r="DI481" i="10"/>
  <c r="DI464" i="10" s="1"/>
  <c r="DI658" i="10"/>
  <c r="DL428" i="20"/>
  <c r="DM551" i="10"/>
  <c r="DL557" i="10"/>
  <c r="DE923" i="10"/>
  <c r="DE803" i="10"/>
  <c r="DE838" i="10"/>
  <c r="DE967" i="10"/>
  <c r="DE1013" i="10"/>
  <c r="DE356" i="20"/>
  <c r="DE366" i="20"/>
  <c r="DF354" i="20"/>
  <c r="DJ502" i="10"/>
  <c r="DI476" i="10"/>
  <c r="DI1045" i="10"/>
  <c r="DJ423" i="20"/>
  <c r="DJ387" i="20" s="1"/>
  <c r="DI420" i="20"/>
  <c r="DF364" i="20"/>
  <c r="DG348" i="20"/>
  <c r="DF815" i="10"/>
  <c r="DF1025" i="10" s="1"/>
  <c r="DJ557" i="10"/>
  <c r="DJ658" i="10" s="1"/>
  <c r="DI639" i="10"/>
  <c r="DI503" i="10" l="1"/>
  <c r="DH503" i="10"/>
  <c r="DN551" i="10"/>
  <c r="DP551" i="10"/>
  <c r="DJ476" i="10"/>
  <c r="DI466" i="10"/>
  <c r="BO32" i="41"/>
  <c r="DI421" i="20"/>
  <c r="DM421" i="20"/>
  <c r="DJ420" i="20"/>
  <c r="DE992" i="10"/>
  <c r="DE1003" i="10" s="1"/>
  <c r="DF1013" i="10"/>
  <c r="DF366" i="20"/>
  <c r="DI436" i="20"/>
  <c r="DJ436" i="20" s="1"/>
  <c r="DI826" i="10"/>
  <c r="DJ639" i="10"/>
  <c r="DE360" i="20"/>
  <c r="DE375" i="20"/>
  <c r="DF356" i="20"/>
  <c r="DE357" i="20"/>
  <c r="DE374" i="20"/>
  <c r="DE12" i="20"/>
  <c r="DE367" i="20"/>
  <c r="DE361" i="20"/>
  <c r="DJ481" i="10"/>
  <c r="DJ464" i="10"/>
  <c r="BN32" i="41"/>
  <c r="DM428" i="20"/>
  <c r="DN428" i="20" s="1"/>
  <c r="DM557" i="10"/>
  <c r="DN557" i="10" s="1"/>
  <c r="DN658" i="10" s="1"/>
  <c r="DJ1045" i="10"/>
  <c r="DO502" i="10"/>
  <c r="DF923" i="10"/>
  <c r="DE1049" i="10"/>
  <c r="DE386" i="20" s="1"/>
  <c r="DE934" i="10"/>
  <c r="DF838" i="10"/>
  <c r="DF803" i="10"/>
  <c r="DF967" i="10"/>
  <c r="DE979" i="10"/>
  <c r="DE872" i="10"/>
  <c r="DL481" i="10"/>
  <c r="DL658" i="10"/>
  <c r="DF386" i="20" l="1"/>
  <c r="DE388" i="20"/>
  <c r="DF934" i="10"/>
  <c r="DF1049" i="10"/>
  <c r="DQ551" i="10"/>
  <c r="DP557" i="10"/>
  <c r="DF979" i="10"/>
  <c r="DF872" i="10"/>
  <c r="DL464" i="10"/>
  <c r="DE1069" i="10"/>
  <c r="DE1059" i="10"/>
  <c r="DE882" i="10"/>
  <c r="DP428" i="20"/>
  <c r="DJ466" i="10"/>
  <c r="BO42" i="41"/>
  <c r="DF861" i="10"/>
  <c r="DG923" i="10"/>
  <c r="DF992" i="10"/>
  <c r="DF1003" i="10" s="1"/>
  <c r="DG1013" i="10"/>
  <c r="BP32" i="41"/>
  <c r="DJ826" i="10"/>
  <c r="DM481" i="10"/>
  <c r="DN481" i="10" s="1"/>
  <c r="DM658" i="10"/>
  <c r="DI437" i="20"/>
  <c r="DE26" i="20"/>
  <c r="DJ421" i="20"/>
  <c r="DN421" i="20"/>
  <c r="DK420" i="20"/>
  <c r="DO420" i="20"/>
  <c r="DE358" i="20"/>
  <c r="DE368" i="20"/>
  <c r="DF360" i="20"/>
  <c r="DF375" i="20"/>
  <c r="BO22" i="51" s="1"/>
  <c r="DG356" i="20"/>
  <c r="DF357" i="20"/>
  <c r="DF374" i="20"/>
  <c r="BO21" i="51" s="1"/>
  <c r="DF361" i="20"/>
  <c r="DF12" i="20"/>
  <c r="DF367" i="20"/>
  <c r="DJ437" i="20"/>
  <c r="DJ449" i="20" s="1"/>
  <c r="DF388" i="20" l="1"/>
  <c r="DF390" i="20" s="1"/>
  <c r="DF391" i="20" s="1"/>
  <c r="DE390" i="20"/>
  <c r="DE391" i="20" s="1"/>
  <c r="DG1049" i="10"/>
  <c r="DR551" i="10"/>
  <c r="DQ557" i="10"/>
  <c r="DP658" i="10"/>
  <c r="DP481" i="10"/>
  <c r="DR557" i="10"/>
  <c r="DR658" i="10" s="1"/>
  <c r="BR32" i="41"/>
  <c r="DM464" i="10"/>
  <c r="DN464" i="10" s="1"/>
  <c r="DJ451" i="20"/>
  <c r="DF26" i="20"/>
  <c r="DF1069" i="10"/>
  <c r="DF1059" i="10"/>
  <c r="DF882" i="10"/>
  <c r="DE369" i="20"/>
  <c r="DI493" i="10"/>
  <c r="BO60" i="51"/>
  <c r="DI346" i="20"/>
  <c r="DJ346" i="20" s="1"/>
  <c r="DI449" i="20"/>
  <c r="DQ428" i="20"/>
  <c r="DR428" i="20" s="1"/>
  <c r="DF358" i="20"/>
  <c r="DF368" i="20"/>
  <c r="BP42" i="41"/>
  <c r="BO61" i="51"/>
  <c r="DP464" i="10" l="1"/>
  <c r="DQ481" i="10"/>
  <c r="DQ464" i="10" s="1"/>
  <c r="DQ658" i="10"/>
  <c r="DJ443" i="10"/>
  <c r="DF369" i="20"/>
  <c r="BT32" i="41"/>
  <c r="DJ493" i="10"/>
  <c r="DI451" i="20"/>
  <c r="DI348" i="20"/>
  <c r="DI383" i="20" s="1"/>
  <c r="DI443" i="10"/>
  <c r="BS32" i="41"/>
  <c r="DJ348" i="20" l="1"/>
  <c r="DJ383" i="20" s="1"/>
  <c r="DI377" i="20"/>
  <c r="DI378" i="20" s="1"/>
  <c r="DI385" i="20" s="1"/>
  <c r="BV32" i="41"/>
  <c r="DR464" i="10"/>
  <c r="BW32" i="41"/>
  <c r="DR481" i="10"/>
  <c r="DI364" i="20"/>
  <c r="DI354" i="20"/>
  <c r="DJ354" i="20" s="1"/>
  <c r="DI815" i="10"/>
  <c r="DJ815" i="10" l="1"/>
  <c r="DJ1025" i="10" s="1"/>
  <c r="DK348" i="20"/>
  <c r="DJ385" i="20"/>
  <c r="DJ364" i="20"/>
  <c r="DJ377" i="20"/>
  <c r="DJ378" i="20" s="1"/>
  <c r="BX32" i="41"/>
  <c r="DJ838" i="10"/>
  <c r="DI366" i="20"/>
  <c r="DI356" i="20"/>
  <c r="DJ356" i="20" s="1"/>
  <c r="DJ366" i="20"/>
  <c r="DH386" i="20"/>
  <c r="DH388" i="20" s="1"/>
  <c r="DH390" i="20" s="1"/>
  <c r="DH391" i="20" s="1"/>
  <c r="DI803" i="10"/>
  <c r="DI1013" i="10"/>
  <c r="DI838" i="10"/>
  <c r="DI923" i="10"/>
  <c r="DJ967" i="10" l="1"/>
  <c r="DJ803" i="10"/>
  <c r="DJ357" i="20"/>
  <c r="DJ361" i="20"/>
  <c r="DJ12" i="20"/>
  <c r="DJ367" i="20"/>
  <c r="DJ360" i="20"/>
  <c r="DJ375" i="20"/>
  <c r="BS22" i="51" s="1"/>
  <c r="DJ374" i="20"/>
  <c r="BS21" i="51" s="1"/>
  <c r="DK356" i="20"/>
  <c r="DI934" i="10"/>
  <c r="DI1049" i="10"/>
  <c r="DI386" i="20" s="1"/>
  <c r="DI361" i="20"/>
  <c r="DI12" i="20"/>
  <c r="DI367" i="20"/>
  <c r="DI360" i="20"/>
  <c r="DI375" i="20"/>
  <c r="DI374" i="20"/>
  <c r="DI357" i="20"/>
  <c r="DI872" i="10"/>
  <c r="DI992" i="10"/>
  <c r="DI1003" i="10" s="1"/>
  <c r="DJ1013" i="10"/>
  <c r="DJ923" i="10"/>
  <c r="DJ934" i="10" s="1"/>
  <c r="DI979" i="10"/>
  <c r="DJ872" i="10"/>
  <c r="DJ979" i="10"/>
  <c r="DJ386" i="20" l="1"/>
  <c r="DI388" i="20"/>
  <c r="DJ1049" i="10"/>
  <c r="DI26" i="20"/>
  <c r="DI368" i="20"/>
  <c r="DI358" i="20"/>
  <c r="DK1013" i="10"/>
  <c r="DJ992" i="10"/>
  <c r="DJ1003" i="10" s="1"/>
  <c r="DJ26" i="20"/>
  <c r="DJ368" i="20"/>
  <c r="DJ358" i="20"/>
  <c r="DI1059" i="10"/>
  <c r="DI882" i="10"/>
  <c r="DI1069" i="10"/>
  <c r="DJ861" i="10"/>
  <c r="DK923" i="10"/>
  <c r="BS60" i="51"/>
  <c r="BS61" i="51"/>
  <c r="DJ388" i="20" l="1"/>
  <c r="DJ390" i="20" s="1"/>
  <c r="DJ391" i="20" s="1"/>
  <c r="DI390" i="20"/>
  <c r="DI391" i="20" s="1"/>
  <c r="DJ1069" i="10"/>
  <c r="DK1049" i="10"/>
  <c r="DJ882" i="10"/>
  <c r="DJ1059" i="10"/>
  <c r="DI369" i="20"/>
  <c r="DJ369" i="20"/>
  <c r="DE434" i="42"/>
  <c r="DF434" i="42"/>
  <c r="DE420" i="10"/>
  <c r="DF420" i="10"/>
  <c r="DE674" i="10"/>
  <c r="DE1205" i="10"/>
  <c r="DI420" i="10" l="1"/>
  <c r="DI547" i="20" s="1"/>
  <c r="DI674" i="10"/>
  <c r="DJ547" i="20" l="1"/>
  <c r="DJ420" i="10"/>
  <c r="DL420" i="10"/>
  <c r="DL547" i="20" s="1"/>
  <c r="DL674" i="10"/>
  <c r="DI549" i="20"/>
  <c r="DI676" i="10"/>
  <c r="DI715" i="20" s="1"/>
  <c r="DJ715" i="20" s="1"/>
  <c r="DM420" i="10" l="1"/>
  <c r="DP420" i="10" s="1"/>
  <c r="DQ420" i="10"/>
  <c r="DR420" i="10" s="1"/>
  <c r="DJ549" i="20"/>
  <c r="DM547" i="20"/>
  <c r="DN547" i="20" s="1"/>
  <c r="DN420" i="10"/>
  <c r="DM674" i="10"/>
  <c r="DP674" i="10" s="1"/>
  <c r="DL549" i="20"/>
  <c r="DL676" i="10"/>
  <c r="DL715" i="20" s="1"/>
  <c r="DQ674" i="10" l="1"/>
  <c r="DQ676" i="10" s="1"/>
  <c r="DP676" i="10"/>
  <c r="DM549" i="20"/>
  <c r="DM676" i="10"/>
  <c r="DM715" i="20" s="1"/>
  <c r="DP547" i="20"/>
  <c r="DQ547" i="20" l="1"/>
  <c r="DN549" i="20"/>
  <c r="DN715" i="20"/>
  <c r="DP549" i="20"/>
  <c r="DP715" i="20"/>
  <c r="DQ549" i="20" l="1"/>
  <c r="DQ715" i="20"/>
  <c r="DR715" i="20" s="1"/>
  <c r="DR547" i="20"/>
  <c r="DR549" i="20" l="1"/>
  <c r="DE548" i="20" l="1"/>
  <c r="DF548" i="20" s="1"/>
  <c r="DE499" i="10"/>
  <c r="DF499" i="10" s="1"/>
  <c r="DF1042" i="10" s="1"/>
  <c r="DE510" i="10"/>
  <c r="DF510" i="10" s="1"/>
  <c r="DE521" i="10"/>
  <c r="DF521" i="10" s="1"/>
  <c r="DE532" i="10"/>
  <c r="DF532" i="10" s="1"/>
  <c r="DE543" i="10"/>
  <c r="DF543" i="10" s="1"/>
  <c r="DE565" i="10"/>
  <c r="DF565" i="10" s="1"/>
  <c r="DE576" i="10"/>
  <c r="DF576" i="10" s="1"/>
  <c r="DE587" i="10"/>
  <c r="DF587" i="10" s="1"/>
  <c r="DE598" i="10"/>
  <c r="DF598" i="10" s="1"/>
  <c r="DE609" i="10"/>
  <c r="DE620" i="10"/>
  <c r="DF620" i="10" s="1"/>
  <c r="DE631" i="10"/>
  <c r="DF631" i="10" s="1"/>
  <c r="DE642" i="10"/>
  <c r="DE1042" i="10" l="1"/>
  <c r="DF609" i="10"/>
  <c r="DF642" i="10"/>
  <c r="DF446" i="10"/>
  <c r="DE829" i="10"/>
  <c r="DE446" i="10"/>
  <c r="DE550" i="20"/>
  <c r="DJ642" i="10"/>
  <c r="DF829" i="10" l="1"/>
  <c r="DF550" i="20"/>
  <c r="DF561" i="20" s="1"/>
  <c r="DE551" i="20"/>
  <c r="DE561" i="20"/>
  <c r="DE556" i="20"/>
  <c r="DE818" i="10"/>
  <c r="DJ829" i="10"/>
  <c r="DG550" i="20"/>
  <c r="DF551" i="20"/>
  <c r="DI645" i="20"/>
  <c r="DI646" i="20" s="1"/>
  <c r="DI548" i="20" s="1"/>
  <c r="DI645" i="10"/>
  <c r="DL642" i="10"/>
  <c r="DI829" i="10"/>
  <c r="DF818" i="10" l="1"/>
  <c r="DE558" i="20"/>
  <c r="DF556" i="20"/>
  <c r="DE563" i="20"/>
  <c r="DE1016" i="10"/>
  <c r="DE841" i="10"/>
  <c r="DE926" i="10"/>
  <c r="DE806" i="10"/>
  <c r="DE970" i="10"/>
  <c r="DL645" i="20"/>
  <c r="DM642" i="10"/>
  <c r="DP642" i="10" s="1"/>
  <c r="DL829" i="10"/>
  <c r="DF1028" i="10"/>
  <c r="DF970" i="10"/>
  <c r="DF806" i="10"/>
  <c r="DF841" i="10"/>
  <c r="DI489" i="10"/>
  <c r="DI468" i="10" s="1"/>
  <c r="DI550" i="20"/>
  <c r="DI446" i="10"/>
  <c r="DJ645" i="10"/>
  <c r="DJ645" i="20"/>
  <c r="DJ646" i="20" s="1"/>
  <c r="DJ548" i="20"/>
  <c r="DN642" i="10" l="1"/>
  <c r="DJ489" i="10"/>
  <c r="DE875" i="10"/>
  <c r="DE982" i="10"/>
  <c r="DF563" i="20"/>
  <c r="DF926" i="10"/>
  <c r="DE1052" i="10"/>
  <c r="DE937" i="10"/>
  <c r="DP829" i="10"/>
  <c r="DQ642" i="10"/>
  <c r="DR642" i="10" s="1"/>
  <c r="DE14" i="20"/>
  <c r="DF558" i="20"/>
  <c r="DE1019" i="10"/>
  <c r="DE995" i="10"/>
  <c r="DE1006" i="10" s="1"/>
  <c r="DF1016" i="10"/>
  <c r="DN829" i="10"/>
  <c r="BO45" i="41"/>
  <c r="BO46" i="41" s="1"/>
  <c r="DJ550" i="20"/>
  <c r="DM645" i="20"/>
  <c r="DM646" i="20" s="1"/>
  <c r="DM548" i="20" s="1"/>
  <c r="DM829" i="10"/>
  <c r="DI556" i="20"/>
  <c r="DI551" i="20"/>
  <c r="DI561" i="20"/>
  <c r="DI818" i="10"/>
  <c r="DJ446" i="10"/>
  <c r="DF875" i="10"/>
  <c r="DF982" i="10"/>
  <c r="DJ468" i="10"/>
  <c r="BN45" i="41"/>
  <c r="BN46" i="41" s="1"/>
  <c r="DL646" i="20"/>
  <c r="DL548" i="20" s="1"/>
  <c r="BN69" i="41" l="1"/>
  <c r="DH660" i="10"/>
  <c r="DF937" i="10"/>
  <c r="DF1052" i="10"/>
  <c r="DG1052" i="10" s="1"/>
  <c r="DR829" i="10"/>
  <c r="DF995" i="10"/>
  <c r="DF1006" i="10" s="1"/>
  <c r="DG1016" i="10"/>
  <c r="DE1020" i="10"/>
  <c r="DE998" i="10"/>
  <c r="DE999" i="10" s="1"/>
  <c r="DF1019" i="10"/>
  <c r="DE1072" i="10"/>
  <c r="DE885" i="10"/>
  <c r="DE1062" i="10"/>
  <c r="DG926" i="10"/>
  <c r="DF864" i="10"/>
  <c r="DF14" i="20"/>
  <c r="DG558" i="20"/>
  <c r="DE28" i="20"/>
  <c r="DE16" i="20"/>
  <c r="DN645" i="20"/>
  <c r="DN646" i="20" s="1"/>
  <c r="DQ829" i="10"/>
  <c r="DI558" i="20"/>
  <c r="DI563" i="20"/>
  <c r="DP645" i="20"/>
  <c r="DN548" i="20"/>
  <c r="DL550" i="20"/>
  <c r="DL446" i="10"/>
  <c r="DJ561" i="20"/>
  <c r="DK550" i="20"/>
  <c r="DJ551" i="20"/>
  <c r="DJ818" i="10"/>
  <c r="DI1016" i="10"/>
  <c r="DI806" i="10"/>
  <c r="DI841" i="10"/>
  <c r="DI982" i="10" s="1"/>
  <c r="DI926" i="10"/>
  <c r="DM550" i="20"/>
  <c r="DM446" i="10"/>
  <c r="DJ556" i="20"/>
  <c r="BP45" i="41"/>
  <c r="BP46" i="41" s="1"/>
  <c r="DF885" i="10" l="1"/>
  <c r="DF1062" i="10"/>
  <c r="DF1072" i="10"/>
  <c r="DF28" i="20"/>
  <c r="BO24" i="51"/>
  <c r="BO63" i="51" s="1"/>
  <c r="BO64" i="51" s="1"/>
  <c r="BO65" i="51" s="1"/>
  <c r="DF16" i="20"/>
  <c r="DF1020" i="10"/>
  <c r="DF998" i="10"/>
  <c r="DF999" i="10" s="1"/>
  <c r="DG1019" i="10"/>
  <c r="DE17" i="20"/>
  <c r="DE30" i="20"/>
  <c r="DN446" i="10"/>
  <c r="DI14" i="20"/>
  <c r="DJ806" i="10"/>
  <c r="DJ841" i="10"/>
  <c r="DQ645" i="20"/>
  <c r="DQ646" i="20" s="1"/>
  <c r="DQ548" i="20" s="1"/>
  <c r="DP646" i="20"/>
  <c r="DP548" i="20" s="1"/>
  <c r="DJ558" i="20"/>
  <c r="DJ563" i="20"/>
  <c r="DJ926" i="10"/>
  <c r="DJ937" i="10" s="1"/>
  <c r="DI875" i="10"/>
  <c r="DI1052" i="10"/>
  <c r="DI937" i="10"/>
  <c r="DJ970" i="10"/>
  <c r="DI995" i="10"/>
  <c r="DI1006" i="10" s="1"/>
  <c r="DJ1016" i="10"/>
  <c r="DI1019" i="10"/>
  <c r="DM556" i="20"/>
  <c r="DM551" i="20"/>
  <c r="DM561" i="20"/>
  <c r="DM818" i="10"/>
  <c r="DL551" i="20"/>
  <c r="DN550" i="20"/>
  <c r="DL561" i="20"/>
  <c r="DL556" i="20"/>
  <c r="DL818" i="10"/>
  <c r="DJ1028" i="10"/>
  <c r="DJ1052" i="10" l="1"/>
  <c r="DJ1072" i="10" s="1"/>
  <c r="DR645" i="20"/>
  <c r="DR646" i="20" s="1"/>
  <c r="DP446" i="10"/>
  <c r="DF30" i="20"/>
  <c r="BO25" i="51"/>
  <c r="DF17" i="20"/>
  <c r="DE31" i="20"/>
  <c r="DQ550" i="20"/>
  <c r="DQ446" i="10"/>
  <c r="DO550" i="20"/>
  <c r="DN551" i="20"/>
  <c r="DN561" i="20"/>
  <c r="DN818" i="10"/>
  <c r="DN1028" i="10" s="1"/>
  <c r="DM558" i="20"/>
  <c r="DM563" i="20"/>
  <c r="DJ875" i="10"/>
  <c r="DR548" i="20"/>
  <c r="DP550" i="20"/>
  <c r="DI1020" i="10"/>
  <c r="DI998" i="10"/>
  <c r="DJ1019" i="10"/>
  <c r="DJ982" i="10"/>
  <c r="DI16" i="20"/>
  <c r="DI28" i="20"/>
  <c r="DJ995" i="10"/>
  <c r="DJ1006" i="10" s="1"/>
  <c r="DK1016" i="10"/>
  <c r="DI1062" i="10"/>
  <c r="DI885" i="10"/>
  <c r="DI1072" i="10"/>
  <c r="DJ14" i="20"/>
  <c r="DK558" i="20"/>
  <c r="DL806" i="10"/>
  <c r="DL926" i="10"/>
  <c r="DL841" i="10"/>
  <c r="DL982" i="10" s="1"/>
  <c r="DL1016" i="10"/>
  <c r="DL995" i="10" s="1"/>
  <c r="DL1006" i="10" s="1"/>
  <c r="DM806" i="10"/>
  <c r="DM926" i="10"/>
  <c r="DM841" i="10"/>
  <c r="DM982" i="10" s="1"/>
  <c r="DM1016" i="10"/>
  <c r="DJ864" i="10"/>
  <c r="DK926" i="10"/>
  <c r="DL558" i="20"/>
  <c r="DL563" i="20"/>
  <c r="DN556" i="20"/>
  <c r="DK1052" i="10" l="1"/>
  <c r="DQ556" i="20"/>
  <c r="DN970" i="10"/>
  <c r="DQ551" i="20"/>
  <c r="DQ818" i="10"/>
  <c r="DQ1016" i="10" s="1"/>
  <c r="DR446" i="10"/>
  <c r="DF31" i="20"/>
  <c r="BO26" i="51"/>
  <c r="DP818" i="10"/>
  <c r="DP1016" i="10" s="1"/>
  <c r="DP995" i="10" s="1"/>
  <c r="DP1006" i="10" s="1"/>
  <c r="DQ561" i="20"/>
  <c r="DM995" i="10"/>
  <c r="DM1006" i="10" s="1"/>
  <c r="DN1016" i="10"/>
  <c r="DN995" i="10" s="1"/>
  <c r="DN1006" i="10" s="1"/>
  <c r="DM875" i="10"/>
  <c r="DK1019" i="10"/>
  <c r="DJ1020" i="10"/>
  <c r="DJ998" i="10"/>
  <c r="DM14" i="20"/>
  <c r="DM28" i="20" s="1"/>
  <c r="DM937" i="10"/>
  <c r="DM1052" i="10"/>
  <c r="DN558" i="20"/>
  <c r="DL14" i="20"/>
  <c r="DL28" i="20" s="1"/>
  <c r="DJ16" i="20"/>
  <c r="DJ28" i="20"/>
  <c r="BS24" i="51"/>
  <c r="DI999" i="10"/>
  <c r="DJ1062" i="10"/>
  <c r="DJ885" i="10"/>
  <c r="DN563" i="20"/>
  <c r="DQ563" i="20"/>
  <c r="DQ558" i="20"/>
  <c r="DN806" i="10"/>
  <c r="DN841" i="10"/>
  <c r="DL875" i="10"/>
  <c r="DI17" i="20"/>
  <c r="DI30" i="20"/>
  <c r="DP556" i="20"/>
  <c r="DP551" i="20"/>
  <c r="DP561" i="20"/>
  <c r="DR550" i="20"/>
  <c r="DL937" i="10"/>
  <c r="DN926" i="10"/>
  <c r="DN937" i="10" s="1"/>
  <c r="DL1052" i="10"/>
  <c r="DN1052" i="10" l="1"/>
  <c r="DN1072" i="10" s="1"/>
  <c r="DQ806" i="10"/>
  <c r="DQ926" i="10"/>
  <c r="DQ937" i="10" s="1"/>
  <c r="DQ841" i="10"/>
  <c r="DQ982" i="10" s="1"/>
  <c r="DP806" i="10"/>
  <c r="DP926" i="10"/>
  <c r="DP1052" i="10" s="1"/>
  <c r="BO53" i="51"/>
  <c r="BO4" i="51"/>
  <c r="BO6" i="51"/>
  <c r="BO9" i="51"/>
  <c r="BO5" i="51"/>
  <c r="BO8" i="51"/>
  <c r="BO10" i="51"/>
  <c r="BO7" i="51"/>
  <c r="DR818" i="10"/>
  <c r="DR1028" i="10" s="1"/>
  <c r="DQ14" i="20"/>
  <c r="DQ28" i="20" s="1"/>
  <c r="DP841" i="10"/>
  <c r="DP875" i="10" s="1"/>
  <c r="BO11" i="51"/>
  <c r="DR1016" i="10"/>
  <c r="DR995" i="10" s="1"/>
  <c r="DQ995" i="10"/>
  <c r="DQ1006" i="10" s="1"/>
  <c r="DN875" i="10"/>
  <c r="DP563" i="20"/>
  <c r="DR556" i="20"/>
  <c r="DP558" i="20"/>
  <c r="DN982" i="10"/>
  <c r="DI31" i="20"/>
  <c r="DO558" i="20"/>
  <c r="DN14" i="20"/>
  <c r="DJ999" i="10"/>
  <c r="DM1072" i="10"/>
  <c r="DM1062" i="10"/>
  <c r="DM885" i="10"/>
  <c r="DN864" i="10"/>
  <c r="BS63" i="51"/>
  <c r="BS64" i="51" s="1"/>
  <c r="BS65" i="51" s="1"/>
  <c r="DL1072" i="10"/>
  <c r="DL1062" i="10"/>
  <c r="DL885" i="10"/>
  <c r="DR551" i="20"/>
  <c r="DS550" i="20"/>
  <c r="DR561" i="20"/>
  <c r="DJ17" i="20"/>
  <c r="DJ30" i="20"/>
  <c r="BS25" i="51"/>
  <c r="DQ875" i="10" l="1"/>
  <c r="DR1006" i="10"/>
  <c r="DO1052" i="10"/>
  <c r="DN28" i="20"/>
  <c r="BW24" i="51"/>
  <c r="BW63" i="51" s="1"/>
  <c r="DQ1052" i="10"/>
  <c r="DR970" i="10"/>
  <c r="DP982" i="10"/>
  <c r="DR926" i="10"/>
  <c r="DP937" i="10"/>
  <c r="BO12" i="51"/>
  <c r="DR563" i="20"/>
  <c r="DR806" i="10"/>
  <c r="DR841" i="10"/>
  <c r="DP1062" i="10"/>
  <c r="DP885" i="10"/>
  <c r="DP1072" i="10"/>
  <c r="DQ1062" i="10"/>
  <c r="DQ885" i="10"/>
  <c r="DQ1072" i="10"/>
  <c r="DN1062" i="10"/>
  <c r="DN885" i="10"/>
  <c r="DR558" i="20"/>
  <c r="DP14" i="20"/>
  <c r="DP28" i="20" s="1"/>
  <c r="DJ31" i="20"/>
  <c r="BS26" i="51"/>
  <c r="BS53" i="51" s="1"/>
  <c r="DR1052" i="10" l="1"/>
  <c r="DR885" i="10" s="1"/>
  <c r="DR937" i="10"/>
  <c r="DR982" i="10"/>
  <c r="DR864" i="10"/>
  <c r="DR875" i="10"/>
  <c r="BS11" i="51"/>
  <c r="DS558" i="20"/>
  <c r="DR14" i="20"/>
  <c r="DR28" i="20" s="1"/>
  <c r="BS6" i="51"/>
  <c r="CK6" i="51" s="1"/>
  <c r="BS10" i="51"/>
  <c r="BS4" i="51"/>
  <c r="CK4" i="51" s="1"/>
  <c r="BS5" i="51"/>
  <c r="CK5" i="51" s="1"/>
  <c r="BS7" i="51"/>
  <c r="CK7" i="51" s="1"/>
  <c r="BS8" i="51"/>
  <c r="BS9" i="51"/>
  <c r="CK8" i="51" s="1"/>
  <c r="DR1062" i="10" l="1"/>
  <c r="DS1052" i="10"/>
  <c r="DR1072" i="10"/>
  <c r="BS12" i="51"/>
  <c r="DE431" i="42"/>
  <c r="DE439" i="42" s="1"/>
  <c r="DF431" i="42"/>
  <c r="DF439" i="42" s="1"/>
  <c r="DE27" i="10"/>
  <c r="DE39" i="10"/>
  <c r="DF39" i="10"/>
  <c r="DE43" i="10"/>
  <c r="DF43" i="10"/>
  <c r="DE46" i="10"/>
  <c r="DE49" i="10" s="1"/>
  <c r="DF46" i="10"/>
  <c r="DF50" i="10" s="1"/>
  <c r="DE422" i="10"/>
  <c r="DE423" i="10" s="1"/>
  <c r="DE17" i="10" s="1"/>
  <c r="DE676" i="10"/>
  <c r="DE677" i="10" s="1"/>
  <c r="DE19" i="10" s="1"/>
  <c r="DE691" i="10"/>
  <c r="DF691" i="10" s="1"/>
  <c r="DG691" i="10" s="1"/>
  <c r="DE1207" i="10"/>
  <c r="DE1208" i="10" s="1"/>
  <c r="DE26" i="10" s="1"/>
  <c r="DE1221" i="10"/>
  <c r="DE48" i="10" l="1"/>
  <c r="DE50" i="10"/>
  <c r="DE51" i="10" s="1"/>
  <c r="DF49" i="10"/>
  <c r="DE1225" i="10"/>
  <c r="DF1225" i="10" s="1"/>
  <c r="BK19" i="41"/>
  <c r="DF788" i="20"/>
  <c r="DE47" i="49"/>
  <c r="DF27" i="10"/>
  <c r="DE56" i="49"/>
  <c r="DE84" i="49" s="1"/>
  <c r="DE182" i="49" s="1"/>
  <c r="DE285" i="49" s="1"/>
  <c r="DE55" i="49"/>
  <c r="DE86" i="49" s="1"/>
  <c r="DE184" i="49" s="1"/>
  <c r="DE287" i="49" s="1"/>
  <c r="DE1224" i="10"/>
  <c r="BK17" i="41"/>
  <c r="DF422" i="10"/>
  <c r="DF48" i="10"/>
  <c r="DF1221" i="10"/>
  <c r="DF1208" i="10"/>
  <c r="DE440" i="42"/>
  <c r="DF26" i="10"/>
  <c r="DF55" i="49" s="1"/>
  <c r="DF86" i="49" s="1"/>
  <c r="DF19" i="10"/>
  <c r="DF47" i="49" s="1"/>
  <c r="DE425" i="10"/>
  <c r="DF423" i="10"/>
  <c r="DF425" i="10" s="1"/>
  <c r="DE690" i="10"/>
  <c r="DE757" i="10"/>
  <c r="DF1224" i="10" l="1"/>
  <c r="DF51" i="10"/>
  <c r="BL17" i="41"/>
  <c r="DF287" i="49"/>
  <c r="DF184" i="49"/>
  <c r="DF56" i="49"/>
  <c r="DF84" i="49" s="1"/>
  <c r="DF786" i="20"/>
  <c r="DE45" i="49"/>
  <c r="DE73" i="49" s="1"/>
  <c r="DE171" i="49" s="1"/>
  <c r="DE274" i="49" s="1"/>
  <c r="DI422" i="10"/>
  <c r="DI423" i="10" s="1"/>
  <c r="DF440" i="42"/>
  <c r="BL19" i="41"/>
  <c r="DF17" i="10"/>
  <c r="DF45" i="49" s="1"/>
  <c r="DF73" i="49" s="1"/>
  <c r="BK9" i="41"/>
  <c r="DE778" i="10"/>
  <c r="DE769" i="10"/>
  <c r="DF757" i="10"/>
  <c r="DE1093" i="10"/>
  <c r="DE1096" i="10" s="1"/>
  <c r="DE777" i="20" s="1"/>
  <c r="DE974" i="10"/>
  <c r="DF690" i="10"/>
  <c r="DF974" i="10" s="1"/>
  <c r="DG974" i="10" s="1"/>
  <c r="DE692" i="10"/>
  <c r="DL422" i="10" l="1"/>
  <c r="DJ422" i="10"/>
  <c r="DJ423" i="10" s="1"/>
  <c r="DI713" i="20"/>
  <c r="DF182" i="49"/>
  <c r="DF285" i="49"/>
  <c r="DF171" i="49"/>
  <c r="DF274" i="49"/>
  <c r="DG73" i="49"/>
  <c r="DE779" i="20"/>
  <c r="DE776" i="20"/>
  <c r="DE778" i="20" s="1"/>
  <c r="DI17" i="10"/>
  <c r="DJ17" i="10" s="1"/>
  <c r="DE700" i="10"/>
  <c r="DF778" i="10"/>
  <c r="DF769" i="10"/>
  <c r="DF1093" i="10"/>
  <c r="DF1096" i="10" s="1"/>
  <c r="DF777" i="20" s="1"/>
  <c r="DE758" i="10"/>
  <c r="DE697" i="10"/>
  <c r="DF692" i="10"/>
  <c r="DE693" i="10"/>
  <c r="DF693" i="10" s="1"/>
  <c r="BN9" i="41"/>
  <c r="BL9" i="41"/>
  <c r="DL713" i="20"/>
  <c r="DL423" i="10"/>
  <c r="DM422" i="10"/>
  <c r="DP422" i="10" s="1"/>
  <c r="DJ713" i="20" l="1"/>
  <c r="DI39" i="10"/>
  <c r="DN422" i="10"/>
  <c r="DN423" i="10" s="1"/>
  <c r="DQ422" i="10"/>
  <c r="DQ423" i="10" s="1"/>
  <c r="DP423" i="10"/>
  <c r="DF779" i="20"/>
  <c r="DF776" i="20"/>
  <c r="DF778" i="20" s="1"/>
  <c r="DL17" i="10"/>
  <c r="DF700" i="10"/>
  <c r="DL39" i="10"/>
  <c r="DJ45" i="49"/>
  <c r="DJ73" i="49" s="1"/>
  <c r="BP9" i="41"/>
  <c r="DE699" i="10"/>
  <c r="DE49" i="49" s="1"/>
  <c r="DF697" i="10"/>
  <c r="DE21" i="10"/>
  <c r="DE1082" i="10"/>
  <c r="DE770" i="10"/>
  <c r="DE799" i="10"/>
  <c r="DF758" i="10"/>
  <c r="DE1085" i="10"/>
  <c r="DG692" i="10"/>
  <c r="DJ39" i="10"/>
  <c r="DM713" i="20"/>
  <c r="DM423" i="10"/>
  <c r="DI45" i="49"/>
  <c r="DI73" i="49" s="1"/>
  <c r="DI171" i="49" s="1"/>
  <c r="BO9" i="41"/>
  <c r="DR422" i="10" l="1"/>
  <c r="DR423" i="10" s="1"/>
  <c r="DE50" i="49"/>
  <c r="DE77" i="49" s="1"/>
  <c r="DE175" i="49" s="1"/>
  <c r="DE278" i="49" s="1"/>
  <c r="DE76" i="49"/>
  <c r="DP17" i="10"/>
  <c r="DQ17" i="10"/>
  <c r="DF1082" i="10"/>
  <c r="DE705" i="10"/>
  <c r="DE701" i="10"/>
  <c r="DF699" i="10"/>
  <c r="DF49" i="49" s="1"/>
  <c r="DF76" i="49" s="1"/>
  <c r="DE1098" i="10"/>
  <c r="DE1097" i="10" s="1"/>
  <c r="DE1189" i="10"/>
  <c r="DE1081" i="10"/>
  <c r="DE702" i="10"/>
  <c r="DM39" i="10"/>
  <c r="DN713" i="20"/>
  <c r="DF770" i="10"/>
  <c r="DF799" i="10"/>
  <c r="DF1085" i="10"/>
  <c r="DJ274" i="49"/>
  <c r="DK274" i="49" s="1"/>
  <c r="DK73" i="49"/>
  <c r="DJ171" i="49"/>
  <c r="DK171" i="49" s="1"/>
  <c r="DM17" i="10"/>
  <c r="DN17" i="10" s="1"/>
  <c r="DP713" i="20"/>
  <c r="DE24" i="10"/>
  <c r="DE53" i="49" s="1"/>
  <c r="DF21" i="10"/>
  <c r="BK12" i="41"/>
  <c r="BK60" i="41" s="1"/>
  <c r="DL45" i="49"/>
  <c r="DL73" i="49" s="1"/>
  <c r="BR9" i="41"/>
  <c r="DQ45" i="49" l="1"/>
  <c r="DQ73" i="49" s="1"/>
  <c r="DP45" i="49"/>
  <c r="DP73" i="49" s="1"/>
  <c r="DE174" i="49"/>
  <c r="DE277" i="49" s="1"/>
  <c r="DE80" i="49"/>
  <c r="DE178" i="49" s="1"/>
  <c r="DE281" i="49" s="1"/>
  <c r="DF277" i="49"/>
  <c r="DF174" i="49"/>
  <c r="DG76" i="49"/>
  <c r="DF50" i="49"/>
  <c r="DF77" i="49" s="1"/>
  <c r="DF80" i="49" s="1"/>
  <c r="DG80" i="49" s="1"/>
  <c r="DR17" i="10"/>
  <c r="BW9" i="41"/>
  <c r="DP39" i="10"/>
  <c r="BV9" i="41"/>
  <c r="BL12" i="41"/>
  <c r="BL60" i="41" s="1"/>
  <c r="DN45" i="49"/>
  <c r="DN73" i="49" s="1"/>
  <c r="BT9" i="41"/>
  <c r="DF24" i="10"/>
  <c r="DE47" i="10"/>
  <c r="DE1188" i="10"/>
  <c r="EP25" i="41" s="1"/>
  <c r="BK15" i="41"/>
  <c r="BK63" i="41" s="1"/>
  <c r="DF1081" i="10"/>
  <c r="DF1098" i="10"/>
  <c r="DF1097" i="10" s="1"/>
  <c r="DF701" i="10"/>
  <c r="DF1189" i="10"/>
  <c r="DF705" i="10"/>
  <c r="DQ713" i="20"/>
  <c r="DM45" i="49"/>
  <c r="DM73" i="49" s="1"/>
  <c r="BS9" i="41"/>
  <c r="DN39" i="10"/>
  <c r="DF702" i="10"/>
  <c r="DR45" i="49" l="1"/>
  <c r="DR73" i="49" s="1"/>
  <c r="DS73" i="49" s="1"/>
  <c r="DS24" i="10"/>
  <c r="DF53" i="49"/>
  <c r="DR171" i="49"/>
  <c r="DR274" i="49"/>
  <c r="DF278" i="49"/>
  <c r="DF281" i="49" s="1"/>
  <c r="DF175" i="49"/>
  <c r="DF178" i="49" s="1"/>
  <c r="DG77" i="49"/>
  <c r="DQ39" i="10"/>
  <c r="BX9" i="41"/>
  <c r="DN171" i="49"/>
  <c r="DN274" i="49"/>
  <c r="DO73" i="49"/>
  <c r="DF47" i="10"/>
  <c r="DF1188" i="10"/>
  <c r="EQ25" i="41" s="1"/>
  <c r="BL15" i="41"/>
  <c r="BL63" i="41" s="1"/>
  <c r="DR713" i="20"/>
  <c r="DO274" i="49" l="1"/>
  <c r="DS274" i="49"/>
  <c r="DO171" i="49"/>
  <c r="DS171" i="49"/>
  <c r="DR39" i="10"/>
  <c r="DE714" i="20" l="1"/>
  <c r="DE501" i="10"/>
  <c r="DF501" i="10" s="1"/>
  <c r="DF1044" i="10" s="1"/>
  <c r="DE512" i="10"/>
  <c r="DE523" i="10"/>
  <c r="DE534" i="10"/>
  <c r="DF534" i="10" s="1"/>
  <c r="DE545" i="10"/>
  <c r="DE556" i="10"/>
  <c r="DE557" i="10" s="1"/>
  <c r="DE567" i="10"/>
  <c r="DF567" i="10" s="1"/>
  <c r="DE578" i="10"/>
  <c r="DF578" i="10" s="1"/>
  <c r="DE589" i="10"/>
  <c r="DE590" i="10" s="1"/>
  <c r="DE600" i="10"/>
  <c r="DF600" i="10" s="1"/>
  <c r="DE611" i="10"/>
  <c r="DE622" i="10"/>
  <c r="DE633" i="10"/>
  <c r="DF633" i="10" s="1"/>
  <c r="DE644" i="10"/>
  <c r="DE448" i="10" l="1"/>
  <c r="DE449" i="10" s="1"/>
  <c r="DE18" i="10" s="1"/>
  <c r="DE46" i="49" s="1"/>
  <c r="DE74" i="49" s="1"/>
  <c r="DE172" i="49" s="1"/>
  <c r="DE275" i="49" s="1"/>
  <c r="DE40" i="10"/>
  <c r="DE41" i="10" s="1"/>
  <c r="DE535" i="10"/>
  <c r="DF535" i="10" s="1"/>
  <c r="DE645" i="10"/>
  <c r="DE579" i="10"/>
  <c r="DE483" i="10" s="1"/>
  <c r="DF483" i="10" s="1"/>
  <c r="DE612" i="10"/>
  <c r="DE601" i="10"/>
  <c r="DF601" i="10" s="1"/>
  <c r="DE513" i="10"/>
  <c r="BK10" i="41"/>
  <c r="BK58" i="41" s="1"/>
  <c r="DE1044" i="10"/>
  <c r="DE831" i="10"/>
  <c r="DE623" i="10"/>
  <c r="DE487" i="10" s="1"/>
  <c r="DE465" i="10" s="1"/>
  <c r="DE546" i="10"/>
  <c r="DE716" i="20"/>
  <c r="DF716" i="20" s="1"/>
  <c r="DE787" i="20"/>
  <c r="DE568" i="10"/>
  <c r="DE482" i="10" s="1"/>
  <c r="DF482" i="10" s="1"/>
  <c r="DI622" i="10"/>
  <c r="DJ622" i="10" s="1"/>
  <c r="DJ831" i="10" s="1"/>
  <c r="DE481" i="10"/>
  <c r="DF557" i="10"/>
  <c r="DF658" i="10" s="1"/>
  <c r="DE658" i="10"/>
  <c r="DF590" i="10"/>
  <c r="DE484" i="10"/>
  <c r="DF484" i="10" s="1"/>
  <c r="DF622" i="10"/>
  <c r="DF589" i="10"/>
  <c r="DF556" i="10"/>
  <c r="DF523" i="10"/>
  <c r="DE634" i="10"/>
  <c r="DF644" i="10"/>
  <c r="DF611" i="10"/>
  <c r="DF545" i="10"/>
  <c r="DF512" i="10"/>
  <c r="DE524" i="10"/>
  <c r="DE502" i="10"/>
  <c r="DF714" i="20"/>
  <c r="DF787" i="20" l="1"/>
  <c r="DF18" i="10"/>
  <c r="DF46" i="49" s="1"/>
  <c r="DF74" i="49" s="1"/>
  <c r="DF579" i="10"/>
  <c r="DF645" i="10"/>
  <c r="DE489" i="10"/>
  <c r="DF489" i="10" s="1"/>
  <c r="DF513" i="10"/>
  <c r="DE486" i="10"/>
  <c r="DE463" i="10" s="1"/>
  <c r="DE479" i="10"/>
  <c r="DF479" i="10" s="1"/>
  <c r="DF612" i="10"/>
  <c r="DE485" i="10"/>
  <c r="DF485" i="10" s="1"/>
  <c r="DE480" i="10"/>
  <c r="DF480" i="10" s="1"/>
  <c r="DF275" i="49"/>
  <c r="DF172" i="49"/>
  <c r="DG74" i="49"/>
  <c r="DE477" i="10"/>
  <c r="DF477" i="10" s="1"/>
  <c r="DF546" i="10"/>
  <c r="DF487" i="10"/>
  <c r="DE722" i="20"/>
  <c r="DF568" i="10"/>
  <c r="DF623" i="10"/>
  <c r="DE789" i="20"/>
  <c r="DE820" i="10"/>
  <c r="DF831" i="10"/>
  <c r="DF481" i="10"/>
  <c r="DE464" i="10"/>
  <c r="DI759" i="20"/>
  <c r="DI761" i="20" s="1"/>
  <c r="DI714" i="20" s="1"/>
  <c r="DI623" i="10"/>
  <c r="DI487" i="10" s="1"/>
  <c r="DL622" i="10"/>
  <c r="DI831" i="10"/>
  <c r="DF524" i="10"/>
  <c r="DE478" i="10"/>
  <c r="DE488" i="10"/>
  <c r="DF488" i="10" s="1"/>
  <c r="DF634" i="10"/>
  <c r="DF465" i="10"/>
  <c r="DF820" i="10"/>
  <c r="DF40" i="10"/>
  <c r="DF41" i="10" s="1"/>
  <c r="DF448" i="10"/>
  <c r="DF449" i="10" s="1"/>
  <c r="DF502" i="10"/>
  <c r="DE476" i="10"/>
  <c r="DE1045" i="10"/>
  <c r="DE468" i="10" l="1"/>
  <c r="DF486" i="10"/>
  <c r="BL10" i="41"/>
  <c r="BL58" i="41" s="1"/>
  <c r="DF722" i="20"/>
  <c r="DE727" i="20"/>
  <c r="DE728" i="20" s="1"/>
  <c r="DJ759" i="20"/>
  <c r="DJ761" i="20" s="1"/>
  <c r="DJ623" i="10"/>
  <c r="DE808" i="10"/>
  <c r="DE843" i="10"/>
  <c r="DE972" i="10"/>
  <c r="DE821" i="10"/>
  <c r="DE1030" i="10"/>
  <c r="DF463" i="10"/>
  <c r="BK43" i="41"/>
  <c r="DF468" i="10"/>
  <c r="DE474" i="10"/>
  <c r="BK45" i="41"/>
  <c r="DF478" i="10"/>
  <c r="DE467" i="10"/>
  <c r="DE462" i="10" s="1"/>
  <c r="DE1212" i="10"/>
  <c r="DE1214" i="10" s="1"/>
  <c r="DE1219" i="10" s="1"/>
  <c r="DG502" i="10"/>
  <c r="DK502" i="10"/>
  <c r="DD503" i="10"/>
  <c r="DF1045" i="10"/>
  <c r="DJ714" i="20"/>
  <c r="DL759" i="20"/>
  <c r="DL623" i="10"/>
  <c r="DM622" i="10"/>
  <c r="DP622" i="10" s="1"/>
  <c r="DL831" i="10"/>
  <c r="DE503" i="10"/>
  <c r="DE450" i="10"/>
  <c r="DF464" i="10"/>
  <c r="DF450" i="10" s="1"/>
  <c r="BK32" i="41"/>
  <c r="DJ487" i="10"/>
  <c r="DF808" i="10"/>
  <c r="DF1030" i="10"/>
  <c r="DF821" i="10"/>
  <c r="DF843" i="10"/>
  <c r="DF972" i="10"/>
  <c r="DI490" i="10"/>
  <c r="DI465" i="10"/>
  <c r="DI716" i="20"/>
  <c r="DI40" i="10"/>
  <c r="DI41" i="10" s="1"/>
  <c r="DI448" i="10"/>
  <c r="DI449" i="10" s="1"/>
  <c r="DF476" i="10"/>
  <c r="DE466" i="10"/>
  <c r="DE490" i="10"/>
  <c r="DF490" i="10" s="1"/>
  <c r="DE18" i="20" l="1"/>
  <c r="DF727" i="20"/>
  <c r="DN622" i="10"/>
  <c r="DN831" i="10" s="1"/>
  <c r="DE1031" i="10"/>
  <c r="DE867" i="10"/>
  <c r="DE929" i="10" s="1"/>
  <c r="DE1055" i="10" s="1"/>
  <c r="DE973" i="10"/>
  <c r="DE1009" i="10"/>
  <c r="DE809" i="10"/>
  <c r="DP831" i="10"/>
  <c r="DP623" i="10"/>
  <c r="DQ622" i="10"/>
  <c r="DR622" i="10" s="1"/>
  <c r="DR831" i="10" s="1"/>
  <c r="DE877" i="10"/>
  <c r="DE984" i="10"/>
  <c r="DF728" i="20"/>
  <c r="DE473" i="10"/>
  <c r="DF466" i="10"/>
  <c r="BK42" i="41"/>
  <c r="DE493" i="10" s="1"/>
  <c r="DF867" i="10"/>
  <c r="DF809" i="10"/>
  <c r="DF973" i="10"/>
  <c r="DF1031" i="10"/>
  <c r="DF1009" i="10"/>
  <c r="DJ716" i="20"/>
  <c r="BL43" i="41"/>
  <c r="DF474" i="10"/>
  <c r="BL45" i="41"/>
  <c r="DL487" i="10"/>
  <c r="DJ465" i="10"/>
  <c r="DL761" i="20"/>
  <c r="DL714" i="20" s="1"/>
  <c r="DI820" i="10"/>
  <c r="DF877" i="10"/>
  <c r="DF984" i="10"/>
  <c r="BL32" i="41"/>
  <c r="DI469" i="10"/>
  <c r="DI470" i="10" s="1"/>
  <c r="DG1045" i="10"/>
  <c r="DK1045" i="10"/>
  <c r="DM759" i="20"/>
  <c r="DM761" i="20" s="1"/>
  <c r="DM714" i="20" s="1"/>
  <c r="DM831" i="10"/>
  <c r="DM623" i="10"/>
  <c r="DM487" i="10" s="1"/>
  <c r="DF1219" i="10"/>
  <c r="DJ40" i="10"/>
  <c r="DJ41" i="10" s="1"/>
  <c r="DJ448" i="10"/>
  <c r="DJ449" i="10" s="1"/>
  <c r="DE469" i="10"/>
  <c r="DI18" i="10"/>
  <c r="DI450" i="10"/>
  <c r="DJ490" i="10"/>
  <c r="DE32" i="20"/>
  <c r="DE19" i="20"/>
  <c r="DE33" i="20" s="1"/>
  <c r="DF467" i="10"/>
  <c r="DF462" i="10" s="1"/>
  <c r="BK44" i="41"/>
  <c r="DF18" i="20" l="1"/>
  <c r="DF19" i="20" s="1"/>
  <c r="DE930" i="10"/>
  <c r="DE940" i="10"/>
  <c r="DE941" i="10" s="1"/>
  <c r="DE928" i="10"/>
  <c r="DF928" i="10" s="1"/>
  <c r="DE898" i="10"/>
  <c r="DE909" i="10" s="1"/>
  <c r="DQ623" i="10"/>
  <c r="DQ487" i="10" s="1"/>
  <c r="DQ465" i="10" s="1"/>
  <c r="DQ831" i="10"/>
  <c r="DP487" i="10"/>
  <c r="DN759" i="20"/>
  <c r="DN761" i="20" s="1"/>
  <c r="DJ469" i="10"/>
  <c r="DJ470" i="10" s="1"/>
  <c r="DJ450" i="10"/>
  <c r="DG1031" i="10"/>
  <c r="BL44" i="41"/>
  <c r="DP759" i="20"/>
  <c r="DJ18" i="10"/>
  <c r="BN10" i="41"/>
  <c r="BN58" i="41" s="1"/>
  <c r="DG867" i="10"/>
  <c r="DF929" i="10"/>
  <c r="DF32" i="20"/>
  <c r="DN714" i="20"/>
  <c r="DL716" i="20"/>
  <c r="DL448" i="10"/>
  <c r="DE1065" i="10"/>
  <c r="DE1075" i="10"/>
  <c r="DM465" i="10"/>
  <c r="DM716" i="20"/>
  <c r="DM448" i="10"/>
  <c r="DI808" i="10"/>
  <c r="DI1030" i="10"/>
  <c r="DI821" i="10"/>
  <c r="DI843" i="10"/>
  <c r="DL465" i="10"/>
  <c r="DN487" i="10"/>
  <c r="DJ820" i="10"/>
  <c r="DE655" i="10"/>
  <c r="DE470" i="10"/>
  <c r="DF469" i="10"/>
  <c r="DE491" i="10"/>
  <c r="DI46" i="49"/>
  <c r="DI74" i="49" s="1"/>
  <c r="DI172" i="49" s="1"/>
  <c r="BO10" i="41"/>
  <c r="BO58" i="41" s="1"/>
  <c r="DI491" i="10"/>
  <c r="DI655" i="10"/>
  <c r="DI657" i="10" s="1"/>
  <c r="DI659" i="10" s="1"/>
  <c r="DN623" i="10"/>
  <c r="DF473" i="10"/>
  <c r="BL42" i="41"/>
  <c r="DF493" i="10" s="1"/>
  <c r="BO27" i="51" l="1"/>
  <c r="BO66" i="51" s="1"/>
  <c r="BO67" i="51" s="1"/>
  <c r="BO70" i="51" s="1"/>
  <c r="DE894" i="10"/>
  <c r="DE895" i="10"/>
  <c r="DE906" i="10" s="1"/>
  <c r="DE893" i="10"/>
  <c r="DE904" i="10" s="1"/>
  <c r="DE866" i="10"/>
  <c r="DE1054" i="10"/>
  <c r="DE887" i="10" s="1"/>
  <c r="DE891" i="10"/>
  <c r="DE902" i="10" s="1"/>
  <c r="DE892" i="10"/>
  <c r="DE903" i="10" s="1"/>
  <c r="DF940" i="10"/>
  <c r="DF941" i="10" s="1"/>
  <c r="DF1055" i="10"/>
  <c r="DG1055" i="10" s="1"/>
  <c r="DF1054" i="10"/>
  <c r="DG1054" i="10" s="1"/>
  <c r="DF939" i="10"/>
  <c r="DE896" i="10"/>
  <c r="DE939" i="10"/>
  <c r="DR623" i="10"/>
  <c r="DP465" i="10"/>
  <c r="DR487" i="10"/>
  <c r="DM820" i="10"/>
  <c r="DN716" i="20"/>
  <c r="DL820" i="10"/>
  <c r="DQ759" i="20"/>
  <c r="DQ761" i="20" s="1"/>
  <c r="DQ714" i="20" s="1"/>
  <c r="DJ46" i="49"/>
  <c r="DJ74" i="49" s="1"/>
  <c r="BP10" i="41"/>
  <c r="BP58" i="41" s="1"/>
  <c r="DP761" i="20"/>
  <c r="DP714" i="20" s="1"/>
  <c r="DF896" i="10"/>
  <c r="DF895" i="10"/>
  <c r="DF906" i="10" s="1"/>
  <c r="DF894" i="10"/>
  <c r="DF893" i="10"/>
  <c r="DF904" i="10" s="1"/>
  <c r="DF892" i="10"/>
  <c r="DF903" i="10" s="1"/>
  <c r="DF891" i="10"/>
  <c r="DF902" i="10" s="1"/>
  <c r="DF866" i="10"/>
  <c r="DG928" i="10"/>
  <c r="DF898" i="10"/>
  <c r="DG929" i="10"/>
  <c r="DF930" i="10"/>
  <c r="DN448" i="10"/>
  <c r="DI877" i="10"/>
  <c r="DJ491" i="10"/>
  <c r="DJ655" i="10"/>
  <c r="DJ657" i="10" s="1"/>
  <c r="DJ659" i="10" s="1"/>
  <c r="DI809" i="10"/>
  <c r="DI974" i="10"/>
  <c r="DI1031" i="10"/>
  <c r="DI1009" i="10"/>
  <c r="DJ843" i="10"/>
  <c r="DJ808" i="10"/>
  <c r="DJ821" i="10"/>
  <c r="DJ1030" i="10"/>
  <c r="DI663" i="10"/>
  <c r="DI660" i="10"/>
  <c r="DI832" i="10"/>
  <c r="DI833" i="10" s="1"/>
  <c r="DN465" i="10"/>
  <c r="DF655" i="10"/>
  <c r="DF491" i="10"/>
  <c r="DF470" i="10"/>
  <c r="DF33" i="20"/>
  <c r="BO28" i="51"/>
  <c r="BO54" i="51" l="1"/>
  <c r="D50" i="78" s="1"/>
  <c r="DE899" i="10"/>
  <c r="DE1064" i="10"/>
  <c r="DE1074" i="10"/>
  <c r="DP448" i="10"/>
  <c r="DR465" i="10"/>
  <c r="DQ716" i="20"/>
  <c r="DQ448" i="10"/>
  <c r="DR759" i="20"/>
  <c r="DR761" i="20" s="1"/>
  <c r="DJ258" i="49"/>
  <c r="DJ155" i="49"/>
  <c r="DK155" i="49" s="1"/>
  <c r="DJ172" i="49" s="1"/>
  <c r="DK172" i="49" s="1"/>
  <c r="DK74" i="49"/>
  <c r="DL843" i="10"/>
  <c r="DL808" i="10"/>
  <c r="DL1030" i="10"/>
  <c r="DF1075" i="10"/>
  <c r="DF1065" i="10"/>
  <c r="DN820" i="10"/>
  <c r="DP716" i="20"/>
  <c r="DR714" i="20"/>
  <c r="DJ1009" i="10"/>
  <c r="DJ809" i="10"/>
  <c r="DJ974" i="10"/>
  <c r="DK974" i="10" s="1"/>
  <c r="DJ1031" i="10"/>
  <c r="DK1031" i="10" s="1"/>
  <c r="DF887" i="10"/>
  <c r="DF1074" i="10"/>
  <c r="DF1064" i="10"/>
  <c r="DM843" i="10"/>
  <c r="DM808" i="10"/>
  <c r="DM1030" i="10"/>
  <c r="DF909" i="10"/>
  <c r="DF899" i="10"/>
  <c r="DJ877" i="10"/>
  <c r="DJ663" i="10"/>
  <c r="DJ660" i="10"/>
  <c r="DJ832" i="10"/>
  <c r="DJ833" i="10" s="1"/>
  <c r="DK258" i="49" l="1"/>
  <c r="DJ275" i="49" s="1"/>
  <c r="DK275" i="49" s="1"/>
  <c r="DQ820" i="10"/>
  <c r="DQ843" i="10" s="1"/>
  <c r="DP820" i="10"/>
  <c r="DP1030" i="10" s="1"/>
  <c r="DR448" i="10"/>
  <c r="DL877" i="10"/>
  <c r="DM877" i="10"/>
  <c r="DR716" i="20"/>
  <c r="DN843" i="10"/>
  <c r="DN808" i="10"/>
  <c r="DN1030" i="10"/>
  <c r="DQ808" i="10" l="1"/>
  <c r="DQ1030" i="10"/>
  <c r="DR820" i="10"/>
  <c r="DR843" i="10" s="1"/>
  <c r="DP808" i="10"/>
  <c r="DP843" i="10"/>
  <c r="DP877" i="10" s="1"/>
  <c r="DQ877" i="10"/>
  <c r="DN877" i="10"/>
  <c r="DR808" i="10" l="1"/>
  <c r="DR1030" i="10"/>
  <c r="DR877" i="10"/>
  <c r="EQ21" i="41" l="1"/>
  <c r="DB541" i="42"/>
  <c r="DB540" i="42" s="1"/>
  <c r="DB139" i="49" s="1"/>
  <c r="DB345" i="49" s="1"/>
  <c r="DB346" i="49" s="1"/>
  <c r="DB348" i="49" s="1"/>
  <c r="DB28" i="49" s="1"/>
  <c r="DC28" i="49" s="1"/>
  <c r="EM21" i="41"/>
  <c r="DL639" i="10"/>
  <c r="DM639" i="10"/>
  <c r="DB140" i="49" l="1"/>
  <c r="DB142" i="49" s="1"/>
  <c r="DB9" i="49" s="1"/>
  <c r="DC9" i="49" s="1"/>
  <c r="DB242" i="49"/>
  <c r="DB243" i="49" s="1"/>
  <c r="DB245" i="49" s="1"/>
  <c r="DB16" i="49" s="1"/>
  <c r="DC16" i="49" s="1"/>
  <c r="DB551" i="42"/>
  <c r="DB554" i="42" s="1"/>
  <c r="DB555" i="42" s="1"/>
  <c r="DB547" i="42"/>
  <c r="DB1105" i="10" s="1"/>
  <c r="DN639" i="10"/>
  <c r="DB349" i="49"/>
  <c r="DB33" i="49" s="1"/>
  <c r="DN826" i="10"/>
  <c r="DM436" i="20"/>
  <c r="DM826" i="10"/>
  <c r="DM645" i="10"/>
  <c r="DL436" i="20"/>
  <c r="DL826" i="10"/>
  <c r="DL645" i="10"/>
  <c r="DB246" i="49" l="1"/>
  <c r="DB21" i="49" s="1"/>
  <c r="DB143" i="49"/>
  <c r="DL489" i="10"/>
  <c r="DN645" i="10"/>
  <c r="DN436" i="20"/>
  <c r="DL437" i="20"/>
  <c r="DM489" i="10"/>
  <c r="DM437" i="20"/>
  <c r="DM346" i="20" l="1"/>
  <c r="DM449" i="20"/>
  <c r="DM468" i="10"/>
  <c r="DM490" i="10"/>
  <c r="DL346" i="20"/>
  <c r="DL449" i="20"/>
  <c r="DN437" i="20"/>
  <c r="DN449" i="20" s="1"/>
  <c r="DL468" i="10"/>
  <c r="DN489" i="10"/>
  <c r="DL490" i="10"/>
  <c r="DN490" i="10" l="1"/>
  <c r="DN468" i="10"/>
  <c r="BR45" i="41"/>
  <c r="BR46" i="41" s="1"/>
  <c r="BR69" i="41" s="1"/>
  <c r="DL469" i="10"/>
  <c r="DN451" i="20"/>
  <c r="DL451" i="20"/>
  <c r="DN346" i="20"/>
  <c r="DL348" i="20"/>
  <c r="DL40" i="10"/>
  <c r="DL41" i="10" s="1"/>
  <c r="DL443" i="10"/>
  <c r="DL449" i="10" s="1"/>
  <c r="DM469" i="10"/>
  <c r="BS45" i="41"/>
  <c r="BS46" i="41" s="1"/>
  <c r="BS69" i="41" s="1"/>
  <c r="DM451" i="20"/>
  <c r="DM348" i="20"/>
  <c r="DM40" i="10"/>
  <c r="DM41" i="10" s="1"/>
  <c r="DM443" i="10"/>
  <c r="DM449" i="10" s="1"/>
  <c r="DM377" i="20" l="1"/>
  <c r="DM378" i="20" s="1"/>
  <c r="DM385" i="20" s="1"/>
  <c r="DM383" i="20"/>
  <c r="DL377" i="20"/>
  <c r="DL378" i="20" s="1"/>
  <c r="DL385" i="20" s="1"/>
  <c r="DL383" i="20"/>
  <c r="DM491" i="10"/>
  <c r="DM655" i="10"/>
  <c r="DM657" i="10" s="1"/>
  <c r="DM659" i="10" s="1"/>
  <c r="DM470" i="10"/>
  <c r="DM18" i="10"/>
  <c r="DM450" i="10"/>
  <c r="DM354" i="20"/>
  <c r="DM364" i="20"/>
  <c r="DM815" i="10"/>
  <c r="BT45" i="41"/>
  <c r="BT46" i="41" s="1"/>
  <c r="BT69" i="41" s="1"/>
  <c r="DL491" i="10"/>
  <c r="DL655" i="10"/>
  <c r="DL657" i="10" s="1"/>
  <c r="DL659" i="10" s="1"/>
  <c r="DN469" i="10"/>
  <c r="DL470" i="10"/>
  <c r="DL18" i="10"/>
  <c r="DL450" i="10"/>
  <c r="DL354" i="20"/>
  <c r="DL364" i="20"/>
  <c r="DN348" i="20"/>
  <c r="DN383" i="20" s="1"/>
  <c r="DL815" i="10"/>
  <c r="DN40" i="10"/>
  <c r="DN41" i="10" s="1"/>
  <c r="DN443" i="10"/>
  <c r="DN449" i="10" s="1"/>
  <c r="DN385" i="20" l="1"/>
  <c r="DN377" i="20"/>
  <c r="DN378" i="20" s="1"/>
  <c r="DM821" i="10"/>
  <c r="DM923" i="10"/>
  <c r="DM803" i="10"/>
  <c r="DM1013" i="10"/>
  <c r="DM838" i="10"/>
  <c r="DM979" i="10" s="1"/>
  <c r="DL803" i="10"/>
  <c r="DL821" i="10"/>
  <c r="DL838" i="10"/>
  <c r="DL1013" i="10"/>
  <c r="DL923" i="10"/>
  <c r="DN491" i="10"/>
  <c r="DN655" i="10"/>
  <c r="DN657" i="10" s="1"/>
  <c r="DN659" i="10" s="1"/>
  <c r="DN364" i="20"/>
  <c r="DO348" i="20"/>
  <c r="DN815" i="10"/>
  <c r="DN1025" i="10" s="1"/>
  <c r="DN354" i="20"/>
  <c r="DL356" i="20"/>
  <c r="DL366" i="20"/>
  <c r="DL46" i="49"/>
  <c r="DL74" i="49" s="1"/>
  <c r="DN18" i="10"/>
  <c r="BR10" i="41"/>
  <c r="BR58" i="41" s="1"/>
  <c r="DM46" i="49"/>
  <c r="DM74" i="49" s="1"/>
  <c r="BS10" i="41"/>
  <c r="BS58" i="41" s="1"/>
  <c r="DL660" i="10"/>
  <c r="DL663" i="10"/>
  <c r="DL832" i="10"/>
  <c r="DL833" i="10" s="1"/>
  <c r="DM660" i="10"/>
  <c r="DM832" i="10"/>
  <c r="DM833" i="10" s="1"/>
  <c r="DM663" i="10"/>
  <c r="DM356" i="20"/>
  <c r="DM366" i="20"/>
  <c r="DN470" i="10"/>
  <c r="DN450" i="10"/>
  <c r="DN967" i="10" l="1"/>
  <c r="DM809" i="10"/>
  <c r="DM934" i="10"/>
  <c r="DM1049" i="10"/>
  <c r="DM386" i="20" s="1"/>
  <c r="DL12" i="20"/>
  <c r="DL357" i="20"/>
  <c r="DL360" i="20"/>
  <c r="DL374" i="20"/>
  <c r="DL367" i="20"/>
  <c r="DN356" i="20"/>
  <c r="DL361" i="20"/>
  <c r="DL375" i="20"/>
  <c r="DN366" i="20"/>
  <c r="DM12" i="20"/>
  <c r="DM357" i="20"/>
  <c r="DM360" i="20"/>
  <c r="DM374" i="20"/>
  <c r="DM367" i="20"/>
  <c r="DM375" i="20"/>
  <c r="DM361" i="20"/>
  <c r="DL809" i="10"/>
  <c r="DN663" i="10"/>
  <c r="DN660" i="10"/>
  <c r="DN832" i="10"/>
  <c r="DN833" i="10" s="1"/>
  <c r="DM992" i="10"/>
  <c r="DM1003" i="10" s="1"/>
  <c r="DM1019" i="10"/>
  <c r="DN1013" i="10"/>
  <c r="DN992" i="10" s="1"/>
  <c r="DN1003" i="10" s="1"/>
  <c r="DL872" i="10"/>
  <c r="DN46" i="49"/>
  <c r="DN74" i="49" s="1"/>
  <c r="BT10" i="41"/>
  <c r="BT58" i="41" s="1"/>
  <c r="DM872" i="10"/>
  <c r="DL934" i="10"/>
  <c r="DL1049" i="10"/>
  <c r="DL386" i="20" s="1"/>
  <c r="DL388" i="20" s="1"/>
  <c r="DL390" i="20" s="1"/>
  <c r="DL391" i="20" s="1"/>
  <c r="DN923" i="10"/>
  <c r="DN934" i="10" s="1"/>
  <c r="DL979" i="10"/>
  <c r="DN821" i="10"/>
  <c r="DN838" i="10"/>
  <c r="DN803" i="10"/>
  <c r="DL974" i="10"/>
  <c r="DL992" i="10"/>
  <c r="DL1003" i="10" s="1"/>
  <c r="DL1019" i="10"/>
  <c r="DM974" i="10"/>
  <c r="DN979" i="10" l="1"/>
  <c r="DN386" i="20"/>
  <c r="DM388" i="20"/>
  <c r="DN1049" i="10"/>
  <c r="DM26" i="20"/>
  <c r="DM16" i="20"/>
  <c r="DM882" i="10"/>
  <c r="DM1059" i="10"/>
  <c r="DM1069" i="10"/>
  <c r="DO74" i="49"/>
  <c r="DN258" i="49"/>
  <c r="DN155" i="49"/>
  <c r="DO155" i="49" s="1"/>
  <c r="DN172" i="49" s="1"/>
  <c r="DO172" i="49" s="1"/>
  <c r="DL358" i="20"/>
  <c r="DL368" i="20"/>
  <c r="DN861" i="10"/>
  <c r="DL882" i="10"/>
  <c r="DL1059" i="10"/>
  <c r="DL1069" i="10"/>
  <c r="DN361" i="20"/>
  <c r="DN375" i="20"/>
  <c r="BW22" i="51" s="1"/>
  <c r="DN12" i="20"/>
  <c r="DN357" i="20"/>
  <c r="DN360" i="20"/>
  <c r="DN374" i="20"/>
  <c r="BW21" i="51" s="1"/>
  <c r="DN367" i="20"/>
  <c r="DO356" i="20"/>
  <c r="DL26" i="20"/>
  <c r="DL16" i="20"/>
  <c r="DN872" i="10"/>
  <c r="DN809" i="10"/>
  <c r="DL1031" i="10"/>
  <c r="DL998" i="10"/>
  <c r="DL1020" i="10"/>
  <c r="DN1019" i="10"/>
  <c r="DM1031" i="10"/>
  <c r="DM998" i="10"/>
  <c r="DM1020" i="10"/>
  <c r="DM358" i="20"/>
  <c r="DM368" i="20"/>
  <c r="DN974" i="10"/>
  <c r="DN388" i="20" l="1"/>
  <c r="DN390" i="20" s="1"/>
  <c r="DN391" i="20" s="1"/>
  <c r="DM390" i="20"/>
  <c r="DM391" i="20" s="1"/>
  <c r="DN1069" i="10"/>
  <c r="DO1049" i="10"/>
  <c r="DO258" i="49"/>
  <c r="DN275" i="49" s="1"/>
  <c r="DO275" i="49" s="1"/>
  <c r="BW61" i="51"/>
  <c r="DN358" i="20"/>
  <c r="DN368" i="20"/>
  <c r="DL999" i="10"/>
  <c r="DL1009" i="10"/>
  <c r="DM999" i="10"/>
  <c r="DM1009" i="10"/>
  <c r="DL17" i="20"/>
  <c r="DL30" i="20"/>
  <c r="DN1031" i="10"/>
  <c r="DN998" i="10"/>
  <c r="DN1020" i="10"/>
  <c r="DM17" i="20"/>
  <c r="DM30" i="20"/>
  <c r="DN26" i="20"/>
  <c r="DN16" i="20"/>
  <c r="DM369" i="20"/>
  <c r="DL369" i="20"/>
  <c r="DN882" i="10"/>
  <c r="DN1059" i="10"/>
  <c r="BW60" i="51"/>
  <c r="BW64" i="51" l="1"/>
  <c r="BW65" i="51" s="1"/>
  <c r="DM31" i="20"/>
  <c r="DN369" i="20"/>
  <c r="DN999" i="10"/>
  <c r="DN1009" i="10"/>
  <c r="DN17" i="20"/>
  <c r="DN30" i="20"/>
  <c r="BW25" i="51"/>
  <c r="DL31" i="20"/>
  <c r="DN31" i="20" l="1"/>
  <c r="BW26" i="51"/>
  <c r="BW9" i="51" l="1"/>
  <c r="BW10" i="51"/>
  <c r="BW4" i="51"/>
  <c r="BW5" i="51"/>
  <c r="BW8" i="51"/>
  <c r="BW7" i="51"/>
  <c r="BW6" i="51"/>
  <c r="BW53" i="51"/>
  <c r="BW11" i="51"/>
  <c r="BW12" i="51" l="1"/>
  <c r="CK9" i="51"/>
  <c r="DP639" i="10"/>
  <c r="DP436" i="20" s="1"/>
  <c r="DQ639" i="10"/>
  <c r="DQ436" i="20" s="1"/>
  <c r="DQ645" i="10" l="1"/>
  <c r="DQ826" i="10"/>
  <c r="DP645" i="10"/>
  <c r="DP826" i="10"/>
  <c r="DR639" i="10"/>
  <c r="DQ437" i="20"/>
  <c r="DR436" i="20"/>
  <c r="DP437" i="20"/>
  <c r="DQ489" i="10" l="1"/>
  <c r="DP489" i="10"/>
  <c r="DR645" i="10"/>
  <c r="DP346" i="20"/>
  <c r="DP449" i="20"/>
  <c r="DR437" i="20"/>
  <c r="DR449" i="20" s="1"/>
  <c r="DR826" i="10"/>
  <c r="DQ449" i="20"/>
  <c r="DQ346" i="20"/>
  <c r="DP468" i="10"/>
  <c r="DQ468" i="10"/>
  <c r="DQ490" i="10"/>
  <c r="DR489" i="10" l="1"/>
  <c r="DP490" i="10"/>
  <c r="DR490" i="10"/>
  <c r="DQ469" i="10"/>
  <c r="BW45" i="41"/>
  <c r="BW46" i="41" s="1"/>
  <c r="BW69" i="41" s="1"/>
  <c r="DR468" i="10"/>
  <c r="DP469" i="10"/>
  <c r="BV45" i="41"/>
  <c r="BV46" i="41" s="1"/>
  <c r="BV69" i="41" s="1"/>
  <c r="DQ348" i="20"/>
  <c r="DQ383" i="20" s="1"/>
  <c r="DQ40" i="10"/>
  <c r="DQ41" i="10" s="1"/>
  <c r="DQ443" i="10"/>
  <c r="DQ449" i="10" s="1"/>
  <c r="DQ451" i="20"/>
  <c r="DR451" i="20"/>
  <c r="DP451" i="20"/>
  <c r="DP348" i="20"/>
  <c r="DP383" i="20" s="1"/>
  <c r="DR346" i="20"/>
  <c r="DP40" i="10"/>
  <c r="DP41" i="10" s="1"/>
  <c r="DP443" i="10"/>
  <c r="DP449" i="10" s="1"/>
  <c r="DQ377" i="20" l="1"/>
  <c r="DQ378" i="20" s="1"/>
  <c r="DQ385" i="20" s="1"/>
  <c r="DP377" i="20"/>
  <c r="DP378" i="20" s="1"/>
  <c r="DP385" i="20" s="1"/>
  <c r="DR469" i="10"/>
  <c r="DP655" i="10"/>
  <c r="DP657" i="10" s="1"/>
  <c r="DP659" i="10" s="1"/>
  <c r="DP660" i="10" s="1"/>
  <c r="DP491" i="10"/>
  <c r="DR443" i="10"/>
  <c r="DR449" i="10" s="1"/>
  <c r="DR40" i="10"/>
  <c r="DR41" i="10" s="1"/>
  <c r="DQ491" i="10"/>
  <c r="DQ655" i="10"/>
  <c r="DQ657" i="10" s="1"/>
  <c r="DQ659" i="10" s="1"/>
  <c r="DQ660" i="10" s="1"/>
  <c r="DP364" i="20"/>
  <c r="DR348" i="20"/>
  <c r="DR383" i="20" s="1"/>
  <c r="DP354" i="20"/>
  <c r="DP815" i="10"/>
  <c r="BX45" i="41"/>
  <c r="BX46" i="41" s="1"/>
  <c r="BX69" i="41" s="1"/>
  <c r="DQ354" i="20"/>
  <c r="DQ364" i="20"/>
  <c r="DQ815" i="10"/>
  <c r="DP450" i="10"/>
  <c r="DP18" i="10"/>
  <c r="DP470" i="10"/>
  <c r="DQ450" i="10"/>
  <c r="DQ18" i="10"/>
  <c r="DQ470" i="10"/>
  <c r="DR385" i="20" l="1"/>
  <c r="DR377" i="20"/>
  <c r="DR378" i="20" s="1"/>
  <c r="DQ366" i="20"/>
  <c r="DQ356" i="20"/>
  <c r="DP923" i="10"/>
  <c r="DP821" i="10"/>
  <c r="DP974" i="10" s="1"/>
  <c r="DP838" i="10"/>
  <c r="DP979" i="10" s="1"/>
  <c r="DP803" i="10"/>
  <c r="DP1013" i="10"/>
  <c r="DR491" i="10"/>
  <c r="DR655" i="10"/>
  <c r="DR657" i="10" s="1"/>
  <c r="DR659" i="10" s="1"/>
  <c r="DR660" i="10" s="1"/>
  <c r="DQ46" i="49"/>
  <c r="DQ74" i="49" s="1"/>
  <c r="BW10" i="41"/>
  <c r="BW58" i="41" s="1"/>
  <c r="DP46" i="49"/>
  <c r="DP74" i="49" s="1"/>
  <c r="DR18" i="10"/>
  <c r="BV10" i="41"/>
  <c r="BV58" i="41" s="1"/>
  <c r="DQ821" i="10"/>
  <c r="DQ974" i="10" s="1"/>
  <c r="DQ803" i="10"/>
  <c r="DQ1013" i="10"/>
  <c r="DQ923" i="10"/>
  <c r="DQ838" i="10"/>
  <c r="DQ979" i="10" s="1"/>
  <c r="DR470" i="10"/>
  <c r="DR450" i="10"/>
  <c r="DP366" i="20"/>
  <c r="DR354" i="20"/>
  <c r="DP356" i="20"/>
  <c r="DS348" i="20"/>
  <c r="DR364" i="20"/>
  <c r="DR815" i="10"/>
  <c r="DR967" i="10" s="1"/>
  <c r="DP663" i="10"/>
  <c r="DP832" i="10"/>
  <c r="DP833" i="10" s="1"/>
  <c r="DQ663" i="10"/>
  <c r="DQ832" i="10"/>
  <c r="DQ833" i="10" s="1"/>
  <c r="DR1025" i="10" l="1"/>
  <c r="DP992" i="10"/>
  <c r="DP1003" i="10" s="1"/>
  <c r="DP1019" i="10"/>
  <c r="DQ872" i="10"/>
  <c r="DR46" i="49"/>
  <c r="DR74" i="49" s="1"/>
  <c r="BX10" i="41"/>
  <c r="BX58" i="41" s="1"/>
  <c r="DR663" i="10"/>
  <c r="DR832" i="10"/>
  <c r="DR833" i="10" s="1"/>
  <c r="DR923" i="10"/>
  <c r="DR934" i="10" s="1"/>
  <c r="DP1049" i="10"/>
  <c r="DP386" i="20" s="1"/>
  <c r="DP934" i="10"/>
  <c r="DQ375" i="20"/>
  <c r="DQ360" i="20"/>
  <c r="DQ12" i="20"/>
  <c r="DQ374" i="20"/>
  <c r="DQ357" i="20"/>
  <c r="DQ367" i="20"/>
  <c r="DQ361" i="20"/>
  <c r="DQ1049" i="10"/>
  <c r="DQ386" i="20" s="1"/>
  <c r="DQ388" i="20" s="1"/>
  <c r="DQ934" i="10"/>
  <c r="DQ992" i="10"/>
  <c r="DQ1003" i="10" s="1"/>
  <c r="DR1013" i="10"/>
  <c r="DR992" i="10" s="1"/>
  <c r="DR1003" i="10" s="1"/>
  <c r="DQ1019" i="10"/>
  <c r="DP872" i="10"/>
  <c r="DQ809" i="10"/>
  <c r="DP375" i="20"/>
  <c r="DR356" i="20"/>
  <c r="DP12" i="20"/>
  <c r="DP357" i="20"/>
  <c r="DP361" i="20"/>
  <c r="DP367" i="20"/>
  <c r="DP374" i="20"/>
  <c r="DP360" i="20"/>
  <c r="DR821" i="10"/>
  <c r="DR974" i="10" s="1"/>
  <c r="DR838" i="10"/>
  <c r="DR803" i="10"/>
  <c r="DR366" i="20"/>
  <c r="DP809" i="10"/>
  <c r="DQ390" i="20" l="1"/>
  <c r="DQ391" i="20" s="1"/>
  <c r="DR386" i="20"/>
  <c r="DP388" i="20"/>
  <c r="DP390" i="20" s="1"/>
  <c r="DP391" i="20" s="1"/>
  <c r="DR1049" i="10"/>
  <c r="DR861" i="10"/>
  <c r="DQ16" i="20"/>
  <c r="DQ26" i="20"/>
  <c r="DQ1069" i="10"/>
  <c r="DQ882" i="10"/>
  <c r="DQ1059" i="10"/>
  <c r="DP1031" i="10"/>
  <c r="DP1020" i="10"/>
  <c r="DP998" i="10"/>
  <c r="DS74" i="49"/>
  <c r="DR155" i="49"/>
  <c r="DS155" i="49" s="1"/>
  <c r="DR172" i="49" s="1"/>
  <c r="DS172" i="49" s="1"/>
  <c r="DR258" i="49"/>
  <c r="DP358" i="20"/>
  <c r="DP368" i="20"/>
  <c r="DR872" i="10"/>
  <c r="DR809" i="10"/>
  <c r="DP16" i="20"/>
  <c r="DP26" i="20"/>
  <c r="DP1059" i="10"/>
  <c r="DP1069" i="10"/>
  <c r="DP882" i="10"/>
  <c r="DR979" i="10"/>
  <c r="DR357" i="20"/>
  <c r="DS356" i="20"/>
  <c r="DR374" i="20"/>
  <c r="DR375" i="20"/>
  <c r="DR12" i="20"/>
  <c r="DR360" i="20"/>
  <c r="DR367" i="20"/>
  <c r="DR361" i="20"/>
  <c r="DQ1020" i="10"/>
  <c r="DQ998" i="10"/>
  <c r="DQ1031" i="10"/>
  <c r="DR1019" i="10"/>
  <c r="DQ358" i="20"/>
  <c r="DQ368" i="20"/>
  <c r="DR388" i="20" l="1"/>
  <c r="DR390" i="20" s="1"/>
  <c r="DR391" i="20" s="1"/>
  <c r="DS1049" i="10"/>
  <c r="DR1069" i="10"/>
  <c r="DS258" i="49"/>
  <c r="DR275" i="49" s="1"/>
  <c r="DS275" i="49" s="1"/>
  <c r="DQ369" i="20"/>
  <c r="DR1031" i="10"/>
  <c r="DR1020" i="10"/>
  <c r="DR998" i="10"/>
  <c r="DR368" i="20"/>
  <c r="DR358" i="20"/>
  <c r="DR16" i="20"/>
  <c r="DR26" i="20"/>
  <c r="DQ1009" i="10"/>
  <c r="DQ999" i="10"/>
  <c r="DQ30" i="20"/>
  <c r="DQ17" i="20"/>
  <c r="DP1009" i="10"/>
  <c r="DP999" i="10"/>
  <c r="DP17" i="20"/>
  <c r="DP30" i="20"/>
  <c r="DR882" i="10"/>
  <c r="DR1059" i="10"/>
  <c r="DP369" i="20"/>
  <c r="DR17" i="20" l="1"/>
  <c r="DR30" i="20"/>
  <c r="DR369" i="20"/>
  <c r="DR999" i="10"/>
  <c r="DR1009" i="10"/>
  <c r="DQ31" i="20"/>
  <c r="DP31" i="20"/>
  <c r="DR31" i="20" l="1"/>
  <c r="DI166" i="42" l="1"/>
  <c r="DI167" i="42"/>
  <c r="DE170" i="42"/>
  <c r="DE187" i="42"/>
  <c r="DE188" i="42"/>
  <c r="DE191" i="42" l="1"/>
  <c r="DL167" i="42"/>
  <c r="DL166" i="42"/>
  <c r="DM167" i="42" l="1"/>
  <c r="DM166" i="42"/>
  <c r="ES48" i="41"/>
  <c r="DP167" i="42" l="1"/>
  <c r="DP166" i="42"/>
  <c r="DQ167" i="42" l="1"/>
  <c r="DQ166" i="42"/>
  <c r="ES44" i="41" l="1"/>
  <c r="ES49" i="41" l="1"/>
  <c r="ES53" i="41" s="1"/>
  <c r="ES36" i="41" l="1"/>
  <c r="ES52" i="41"/>
  <c r="ES38" i="41" l="1"/>
  <c r="ES68" i="41"/>
  <c r="EQ22" i="41" l="1"/>
  <c r="BN12" i="41" l="1"/>
  <c r="BN60" i="41" s="1"/>
  <c r="BN17" i="41"/>
  <c r="ES25" i="41" l="1"/>
  <c r="BN15" i="41"/>
  <c r="BN63" i="41" s="1"/>
  <c r="BN33" i="41"/>
  <c r="BN53" i="41" l="1"/>
  <c r="DH20" i="20"/>
  <c r="DH777" i="20"/>
  <c r="DH776" i="20" s="1"/>
  <c r="DH778" i="20" s="1"/>
  <c r="DI129" i="10"/>
  <c r="DI623" i="20" s="1"/>
  <c r="DI92" i="10" s="1"/>
  <c r="DI95" i="10" s="1"/>
  <c r="DI140" i="10"/>
  <c r="DI624" i="20" s="1"/>
  <c r="DJ624" i="20" s="1"/>
  <c r="DJ104" i="10" s="1"/>
  <c r="BN7" i="41"/>
  <c r="BN56" i="41" s="1"/>
  <c r="BN11" i="41"/>
  <c r="ES13" i="41"/>
  <c r="BN16" i="41"/>
  <c r="BN20" i="41"/>
  <c r="BN65" i="41" s="1"/>
  <c r="BN22" i="41"/>
  <c r="BN66" i="41" s="1"/>
  <c r="ES23" i="41"/>
  <c r="ES24" i="41"/>
  <c r="ES26" i="41"/>
  <c r="ES27" i="41"/>
  <c r="ES29" i="41"/>
  <c r="ES30" i="41"/>
  <c r="ES31" i="41"/>
  <c r="BN34" i="41"/>
  <c r="BN35" i="41"/>
  <c r="BN55" i="41" s="1"/>
  <c r="BN75" i="41" l="1"/>
  <c r="BN76" i="41" s="1"/>
  <c r="BN64" i="41"/>
  <c r="BN77" i="41"/>
  <c r="BN78" i="41" s="1"/>
  <c r="DJ129" i="10"/>
  <c r="DI1145" i="10"/>
  <c r="DI1148" i="10" s="1"/>
  <c r="BN81" i="41"/>
  <c r="DL140" i="10"/>
  <c r="BN59" i="41"/>
  <c r="DL129" i="10"/>
  <c r="DL130" i="10" s="1"/>
  <c r="DH779" i="20"/>
  <c r="DI130" i="10"/>
  <c r="DI132" i="10" s="1"/>
  <c r="BN18" i="41"/>
  <c r="BN54" i="41"/>
  <c r="BN38" i="41"/>
  <c r="BN39" i="41" s="1"/>
  <c r="DI13" i="10"/>
  <c r="DI625" i="20"/>
  <c r="DJ623" i="20"/>
  <c r="DJ92" i="10" s="1"/>
  <c r="DJ95" i="10" s="1"/>
  <c r="DI104" i="10"/>
  <c r="DL623" i="20" l="1"/>
  <c r="DL92" i="10" s="1"/>
  <c r="DL95" i="10" s="1"/>
  <c r="DJ130" i="10"/>
  <c r="DM129" i="10"/>
  <c r="DN129" i="10" s="1"/>
  <c r="DL624" i="20"/>
  <c r="DL1145" i="10"/>
  <c r="DL1148" i="10" s="1"/>
  <c r="DM140" i="10"/>
  <c r="BN28" i="41"/>
  <c r="BN72" i="41" s="1"/>
  <c r="BN82" i="41"/>
  <c r="BN68" i="41"/>
  <c r="DI41" i="49"/>
  <c r="DI68" i="49" s="1"/>
  <c r="DI166" i="49" s="1"/>
  <c r="DJ13" i="10"/>
  <c r="BO33" i="41"/>
  <c r="DL132" i="10"/>
  <c r="DI311" i="42"/>
  <c r="DJ625" i="20"/>
  <c r="DJ116" i="10" s="1"/>
  <c r="DI141" i="10"/>
  <c r="DI116" i="10"/>
  <c r="DL625" i="20" l="1"/>
  <c r="DM623" i="20"/>
  <c r="DM130" i="10"/>
  <c r="DP129" i="10"/>
  <c r="DM624" i="20"/>
  <c r="DM104" i="10" s="1"/>
  <c r="DM1145" i="10"/>
  <c r="DM1148" i="10" s="1"/>
  <c r="DP140" i="10"/>
  <c r="DL104" i="10"/>
  <c r="DN624" i="20"/>
  <c r="DN104" i="10" s="1"/>
  <c r="DL13" i="10"/>
  <c r="DJ41" i="49"/>
  <c r="DJ68" i="49" s="1"/>
  <c r="BP33" i="41"/>
  <c r="DI446" i="42"/>
  <c r="DI147" i="10"/>
  <c r="DI142" i="10"/>
  <c r="DI148" i="10" s="1"/>
  <c r="DL116" i="10"/>
  <c r="DL141" i="10"/>
  <c r="DI312" i="42"/>
  <c r="DJ311" i="42"/>
  <c r="DI117" i="10"/>
  <c r="DI119" i="10" s="1"/>
  <c r="DI54" i="46"/>
  <c r="DP130" i="10" l="1"/>
  <c r="DP623" i="20"/>
  <c r="DQ129" i="10"/>
  <c r="DN130" i="10"/>
  <c r="DM132" i="10"/>
  <c r="DQ140" i="10"/>
  <c r="DP1145" i="10"/>
  <c r="DP1148" i="10" s="1"/>
  <c r="DP624" i="20"/>
  <c r="DM92" i="10"/>
  <c r="DM95" i="10" s="1"/>
  <c r="DM625" i="20"/>
  <c r="DN623" i="20"/>
  <c r="DN92" i="10" s="1"/>
  <c r="DN95" i="10" s="1"/>
  <c r="DI15" i="10"/>
  <c r="DJ312" i="42"/>
  <c r="DI314" i="42"/>
  <c r="DL41" i="49"/>
  <c r="DL68" i="49" s="1"/>
  <c r="BR33" i="41"/>
  <c r="DI275" i="42"/>
  <c r="DJ446" i="42"/>
  <c r="DL147" i="10"/>
  <c r="DL142" i="10"/>
  <c r="DL148" i="10" s="1"/>
  <c r="DI105" i="10"/>
  <c r="DJ117" i="10"/>
  <c r="DM116" i="10" l="1"/>
  <c r="DM141" i="10"/>
  <c r="DN625" i="20"/>
  <c r="DN116" i="10" s="1"/>
  <c r="DP104" i="10"/>
  <c r="DQ130" i="10"/>
  <c r="DQ132" i="10" s="1"/>
  <c r="DQ623" i="20"/>
  <c r="DR129" i="10"/>
  <c r="DP132" i="10"/>
  <c r="DM13" i="10"/>
  <c r="DQ624" i="20"/>
  <c r="DQ104" i="10" s="1"/>
  <c r="DQ1145" i="10"/>
  <c r="DQ1148" i="10" s="1"/>
  <c r="DP92" i="10"/>
  <c r="DP95" i="10" s="1"/>
  <c r="DP625" i="20"/>
  <c r="BR53" i="41"/>
  <c r="DL117" i="10"/>
  <c r="DJ119" i="10"/>
  <c r="DJ105" i="10"/>
  <c r="DJ107" i="10" s="1"/>
  <c r="DI107" i="10"/>
  <c r="DJ314" i="42"/>
  <c r="DI317" i="42"/>
  <c r="DI318" i="42" s="1"/>
  <c r="DI320" i="42" s="1"/>
  <c r="DI285" i="42" s="1"/>
  <c r="DI43" i="49"/>
  <c r="DI70" i="49" s="1"/>
  <c r="DI168" i="49" s="1"/>
  <c r="DJ15" i="10"/>
  <c r="BO35" i="41"/>
  <c r="DJ315" i="42"/>
  <c r="DJ313" i="42"/>
  <c r="DJ275" i="42"/>
  <c r="DR130" i="10" l="1"/>
  <c r="DR624" i="20"/>
  <c r="DR104" i="10" s="1"/>
  <c r="DM41" i="49"/>
  <c r="DM68" i="49" s="1"/>
  <c r="BS33" i="41"/>
  <c r="BS53" i="41" s="1"/>
  <c r="DN13" i="10"/>
  <c r="DR623" i="20"/>
  <c r="DR92" i="10" s="1"/>
  <c r="DR95" i="10" s="1"/>
  <c r="DQ625" i="20"/>
  <c r="DR625" i="20" s="1"/>
  <c r="DR116" i="10" s="1"/>
  <c r="DQ92" i="10"/>
  <c r="DQ95" i="10" s="1"/>
  <c r="DP141" i="10"/>
  <c r="DP116" i="10"/>
  <c r="DP13" i="10"/>
  <c r="DM142" i="10"/>
  <c r="DM148" i="10" s="1"/>
  <c r="DM147" i="10"/>
  <c r="DM117" i="10"/>
  <c r="DN117" i="10" s="1"/>
  <c r="DL105" i="10"/>
  <c r="DL107" i="10" s="1"/>
  <c r="DL119" i="10"/>
  <c r="DJ285" i="42"/>
  <c r="DJ287" i="42" s="1"/>
  <c r="DI270" i="42"/>
  <c r="DI287" i="42"/>
  <c r="DI104" i="42" s="1"/>
  <c r="DI319" i="42"/>
  <c r="DL293" i="42" s="1"/>
  <c r="DJ43" i="49"/>
  <c r="DJ70" i="49" s="1"/>
  <c r="BP35" i="41"/>
  <c r="DJ97" i="49"/>
  <c r="DI14" i="10"/>
  <c r="DP142" i="10" l="1"/>
  <c r="DP148" i="10" s="1"/>
  <c r="DP147" i="10"/>
  <c r="DQ13" i="10"/>
  <c r="DQ141" i="10"/>
  <c r="DQ116" i="10"/>
  <c r="BT33" i="41"/>
  <c r="BT53" i="41" s="1"/>
  <c r="DN41" i="49"/>
  <c r="DN68" i="49" s="1"/>
  <c r="DO68" i="49" s="1"/>
  <c r="DN152" i="49" s="1"/>
  <c r="BV33" i="41"/>
  <c r="BV53" i="41" s="1"/>
  <c r="DP41" i="49"/>
  <c r="DP68" i="49" s="1"/>
  <c r="DL14" i="10"/>
  <c r="DJ104" i="42"/>
  <c r="DL282" i="42"/>
  <c r="DM105" i="10"/>
  <c r="DM119" i="10"/>
  <c r="DP117" i="10"/>
  <c r="DN119" i="10"/>
  <c r="DJ271" i="49"/>
  <c r="DJ168" i="49"/>
  <c r="DL295" i="42"/>
  <c r="DI42" i="49"/>
  <c r="DI69" i="49" s="1"/>
  <c r="DI167" i="49" s="1"/>
  <c r="DJ14" i="10"/>
  <c r="DI1149" i="10"/>
  <c r="BO34" i="41"/>
  <c r="DI10" i="10"/>
  <c r="DI96" i="42"/>
  <c r="DI260" i="42"/>
  <c r="DI13" i="46"/>
  <c r="DJ270" i="42"/>
  <c r="DL15" i="10"/>
  <c r="DI180" i="49" l="1"/>
  <c r="DN255" i="49"/>
  <c r="DQ147" i="10"/>
  <c r="DQ142" i="10"/>
  <c r="DQ148" i="10" s="1"/>
  <c r="DQ41" i="49"/>
  <c r="DQ68" i="49" s="1"/>
  <c r="BW33" i="41"/>
  <c r="BW53" i="41" s="1"/>
  <c r="DR13" i="10"/>
  <c r="DL43" i="49"/>
  <c r="DL70" i="49" s="1"/>
  <c r="BR35" i="41"/>
  <c r="BR55" i="41" s="1"/>
  <c r="DQ117" i="10"/>
  <c r="DR117" i="10" s="1"/>
  <c r="DR119" i="10" s="1"/>
  <c r="DP105" i="10"/>
  <c r="DP107" i="10" s="1"/>
  <c r="DP119" i="10"/>
  <c r="DI38" i="49"/>
  <c r="DJ10" i="10"/>
  <c r="DI20" i="10"/>
  <c r="BO7" i="41"/>
  <c r="DJ42" i="49"/>
  <c r="DJ69" i="49" s="1"/>
  <c r="BP34" i="41"/>
  <c r="DJ96" i="42"/>
  <c r="DJ260" i="42"/>
  <c r="DJ13" i="46"/>
  <c r="DJ92" i="49"/>
  <c r="DI26" i="46"/>
  <c r="DL42" i="49"/>
  <c r="DL69" i="49" s="1"/>
  <c r="DL1149" i="10"/>
  <c r="BR34" i="41"/>
  <c r="DL10" i="10"/>
  <c r="DM15" i="10"/>
  <c r="DN15" i="10" s="1"/>
  <c r="DN105" i="10"/>
  <c r="DN107" i="10" s="1"/>
  <c r="DM107" i="10"/>
  <c r="DI82" i="49"/>
  <c r="DI71" i="49"/>
  <c r="DN282" i="42"/>
  <c r="DL296" i="42"/>
  <c r="DM290" i="42"/>
  <c r="DL43" i="43"/>
  <c r="DI75" i="49" l="1"/>
  <c r="DI173" i="49" s="1"/>
  <c r="DI169" i="49"/>
  <c r="BX33" i="41"/>
  <c r="BX53" i="41" s="1"/>
  <c r="DR41" i="49"/>
  <c r="DR68" i="49" s="1"/>
  <c r="DS68" i="49" s="1"/>
  <c r="DN43" i="49"/>
  <c r="DN70" i="49" s="1"/>
  <c r="BT35" i="41"/>
  <c r="BT55" i="41" s="1"/>
  <c r="DJ26" i="46"/>
  <c r="DI125" i="46"/>
  <c r="DK125" i="46" s="1"/>
  <c r="DL504" i="42"/>
  <c r="EW16" i="41"/>
  <c r="DP14" i="10"/>
  <c r="DI48" i="49"/>
  <c r="DJ20" i="10"/>
  <c r="DI42" i="10"/>
  <c r="DI704" i="10"/>
  <c r="DI1193" i="10"/>
  <c r="DI1103" i="10"/>
  <c r="DI662" i="10"/>
  <c r="DI664" i="10" s="1"/>
  <c r="DI844" i="10" s="1"/>
  <c r="DI822" i="10"/>
  <c r="BO11" i="41"/>
  <c r="BO75" i="41" s="1"/>
  <c r="DL82" i="49"/>
  <c r="DL71" i="49"/>
  <c r="DL75" i="49" s="1"/>
  <c r="DP15" i="10"/>
  <c r="DL38" i="49"/>
  <c r="DL20" i="10"/>
  <c r="BR7" i="41"/>
  <c r="BR54" i="41"/>
  <c r="DQ105" i="10"/>
  <c r="DQ119" i="10"/>
  <c r="DM14" i="10"/>
  <c r="DJ38" i="49"/>
  <c r="BP7" i="41"/>
  <c r="DM325" i="42"/>
  <c r="DJ82" i="49"/>
  <c r="DJ71" i="49"/>
  <c r="DM43" i="49"/>
  <c r="DM70" i="49" s="1"/>
  <c r="BS35" i="41"/>
  <c r="BS55" i="41" s="1"/>
  <c r="DH169" i="49" l="1"/>
  <c r="DH170" i="49"/>
  <c r="DH164" i="49"/>
  <c r="DH165" i="49"/>
  <c r="DH162" i="49"/>
  <c r="DH163" i="49"/>
  <c r="DH171" i="49"/>
  <c r="DH172" i="49"/>
  <c r="DH166" i="49"/>
  <c r="DH168" i="49"/>
  <c r="DH167" i="49"/>
  <c r="DR255" i="49"/>
  <c r="DR152" i="49"/>
  <c r="DJ157" i="49"/>
  <c r="DK157" i="49" s="1"/>
  <c r="DJ260" i="49"/>
  <c r="DK260" i="49" s="1"/>
  <c r="DQ15" i="10"/>
  <c r="DR15" i="10" s="1"/>
  <c r="BO38" i="41"/>
  <c r="BO39" i="41" s="1"/>
  <c r="DJ704" i="10"/>
  <c r="DI705" i="10"/>
  <c r="DM294" i="42"/>
  <c r="DN294" i="42" s="1"/>
  <c r="DN110" i="49" s="1"/>
  <c r="DN325" i="42"/>
  <c r="DN326" i="42" s="1"/>
  <c r="DM323" i="42"/>
  <c r="DP43" i="49"/>
  <c r="DP70" i="49" s="1"/>
  <c r="BV35" i="41"/>
  <c r="BV55" i="41" s="1"/>
  <c r="DP42" i="49"/>
  <c r="DP69" i="49" s="1"/>
  <c r="DP1149" i="10"/>
  <c r="BV34" i="41"/>
  <c r="DP10" i="10"/>
  <c r="BR56" i="41"/>
  <c r="DL48" i="49"/>
  <c r="DL42" i="10"/>
  <c r="DL662" i="10"/>
  <c r="DL664" i="10" s="1"/>
  <c r="DL844" i="10" s="1"/>
  <c r="DL704" i="10"/>
  <c r="DL1193" i="10"/>
  <c r="DL1103" i="10"/>
  <c r="DL822" i="10"/>
  <c r="BR11" i="41"/>
  <c r="BR75" i="41" s="1"/>
  <c r="BR76" i="41" s="1"/>
  <c r="DR105" i="10"/>
  <c r="DR107" i="10" s="1"/>
  <c r="DQ107" i="10"/>
  <c r="DI878" i="10"/>
  <c r="DI850" i="10"/>
  <c r="DI856" i="10"/>
  <c r="DI846" i="10"/>
  <c r="DI845" i="10"/>
  <c r="DI854" i="10"/>
  <c r="DI857" i="10"/>
  <c r="DI853" i="10"/>
  <c r="DI851" i="10"/>
  <c r="DI855" i="10"/>
  <c r="DI852" i="10"/>
  <c r="DI986" i="10"/>
  <c r="ET24" i="41"/>
  <c r="DJ75" i="49"/>
  <c r="DM42" i="49"/>
  <c r="DM69" i="49" s="1"/>
  <c r="DM1149" i="10"/>
  <c r="BS34" i="41"/>
  <c r="DM10" i="10"/>
  <c r="DN14" i="10"/>
  <c r="DJ48" i="49"/>
  <c r="DJ42" i="10"/>
  <c r="DJ662" i="10"/>
  <c r="DJ664" i="10" s="1"/>
  <c r="DJ844" i="10" s="1"/>
  <c r="DJ1193" i="10"/>
  <c r="DJ1103" i="10"/>
  <c r="DJ822" i="10"/>
  <c r="BP11" i="41"/>
  <c r="BP75" i="41" s="1"/>
  <c r="DN271" i="49"/>
  <c r="DO70" i="49"/>
  <c r="DN168" i="49"/>
  <c r="DH173" i="49" l="1"/>
  <c r="DR43" i="49"/>
  <c r="DR70" i="49" s="1"/>
  <c r="BX35" i="41"/>
  <c r="BX55" i="41" s="1"/>
  <c r="DQ43" i="49"/>
  <c r="DQ70" i="49" s="1"/>
  <c r="BW35" i="41"/>
  <c r="BW55" i="41" s="1"/>
  <c r="DG604" i="20"/>
  <c r="BP38" i="41"/>
  <c r="BP39" i="41" s="1"/>
  <c r="DM286" i="42"/>
  <c r="DN286" i="42" s="1"/>
  <c r="DN323" i="42"/>
  <c r="DN324" i="42" s="1"/>
  <c r="BR59" i="41"/>
  <c r="BR38" i="41"/>
  <c r="BR39" i="41" s="1"/>
  <c r="DN42" i="49"/>
  <c r="DN69" i="49" s="1"/>
  <c r="BT34" i="41"/>
  <c r="DP38" i="49"/>
  <c r="DP20" i="10"/>
  <c r="BV7" i="41"/>
  <c r="DJ851" i="10"/>
  <c r="DJ857" i="10"/>
  <c r="DJ878" i="10"/>
  <c r="DJ850" i="10"/>
  <c r="DJ856" i="10"/>
  <c r="DJ845" i="10"/>
  <c r="DJ986" i="10"/>
  <c r="DJ854" i="10"/>
  <c r="DJ853" i="10"/>
  <c r="DJ846" i="10"/>
  <c r="DJ855" i="10"/>
  <c r="DJ852" i="10"/>
  <c r="BS54" i="41"/>
  <c r="DN213" i="49"/>
  <c r="DN316" i="49"/>
  <c r="EW24" i="41"/>
  <c r="DM38" i="49"/>
  <c r="DM20" i="10"/>
  <c r="BS7" i="41"/>
  <c r="DN10" i="10"/>
  <c r="DL705" i="10"/>
  <c r="DL851" i="10"/>
  <c r="DL857" i="10"/>
  <c r="DL878" i="10"/>
  <c r="DL850" i="10"/>
  <c r="DL846" i="10"/>
  <c r="DL852" i="10"/>
  <c r="DL845" i="10"/>
  <c r="DL854" i="10"/>
  <c r="DL986" i="10"/>
  <c r="DL856" i="10"/>
  <c r="DL853" i="10"/>
  <c r="DL855" i="10"/>
  <c r="BV54" i="41"/>
  <c r="DP82" i="49"/>
  <c r="DP71" i="49"/>
  <c r="DP75" i="49" s="1"/>
  <c r="BO82" i="41"/>
  <c r="EU24" i="41"/>
  <c r="DJ705" i="10"/>
  <c r="DJ706" i="10" s="1"/>
  <c r="DI699" i="10"/>
  <c r="DQ14" i="10"/>
  <c r="DM82" i="49"/>
  <c r="DM71" i="49"/>
  <c r="DM75" i="49" s="1"/>
  <c r="BV56" i="41" l="1"/>
  <c r="DP48" i="49"/>
  <c r="DP822" i="10"/>
  <c r="DP704" i="10"/>
  <c r="DP42" i="10"/>
  <c r="DP1193" i="10"/>
  <c r="DP662" i="10"/>
  <c r="DP664" i="10" s="1"/>
  <c r="DP844" i="10" s="1"/>
  <c r="DP1103" i="10"/>
  <c r="BV11" i="41"/>
  <c r="BV75" i="41" s="1"/>
  <c r="BV76" i="41" s="1"/>
  <c r="DQ42" i="49"/>
  <c r="DQ69" i="49" s="1"/>
  <c r="DQ1149" i="10"/>
  <c r="BW34" i="41"/>
  <c r="DQ10" i="10"/>
  <c r="DR14" i="10"/>
  <c r="DL699" i="10"/>
  <c r="BS56" i="41"/>
  <c r="DM48" i="49"/>
  <c r="DM42" i="10"/>
  <c r="DM704" i="10"/>
  <c r="DM1193" i="10"/>
  <c r="DM662" i="10"/>
  <c r="DM664" i="10" s="1"/>
  <c r="DM844" i="10" s="1"/>
  <c r="DM1103" i="10"/>
  <c r="DM822" i="10"/>
  <c r="BS11" i="41"/>
  <c r="BS75" i="41" s="1"/>
  <c r="BS76" i="41" s="1"/>
  <c r="DN20" i="10"/>
  <c r="BT54" i="41"/>
  <c r="DS70" i="49"/>
  <c r="DR168" i="49"/>
  <c r="DR271" i="49"/>
  <c r="BR68" i="41"/>
  <c r="BR82" i="41"/>
  <c r="DI49" i="49"/>
  <c r="DI76" i="49" s="1"/>
  <c r="DI174" i="49" s="1"/>
  <c r="DI179" i="49" s="1"/>
  <c r="DI697" i="10"/>
  <c r="DJ699" i="10"/>
  <c r="DI707" i="10"/>
  <c r="DI1187" i="10" s="1"/>
  <c r="DI1081" i="10"/>
  <c r="DI1189" i="10"/>
  <c r="DI1098" i="10"/>
  <c r="DN38" i="49"/>
  <c r="BT7" i="41"/>
  <c r="BP82" i="41"/>
  <c r="DN82" i="49"/>
  <c r="DO69" i="49"/>
  <c r="DN71" i="49"/>
  <c r="DN153" i="49" l="1"/>
  <c r="DN256" i="49"/>
  <c r="DL49" i="49"/>
  <c r="DL76" i="49" s="1"/>
  <c r="DL1098" i="10"/>
  <c r="DL707" i="10"/>
  <c r="DL1187" i="10" s="1"/>
  <c r="DL1081" i="10"/>
  <c r="DL697" i="10"/>
  <c r="DL1189" i="10"/>
  <c r="DP853" i="10"/>
  <c r="DP986" i="10"/>
  <c r="DP852" i="10"/>
  <c r="DP850" i="10"/>
  <c r="DP855" i="10"/>
  <c r="DP857" i="10"/>
  <c r="DP845" i="10"/>
  <c r="DP854" i="10"/>
  <c r="DP878" i="10"/>
  <c r="DP851" i="10"/>
  <c r="DP856" i="10"/>
  <c r="DP846" i="10"/>
  <c r="DM705" i="10"/>
  <c r="DN704" i="10"/>
  <c r="DN260" i="49"/>
  <c r="DN157" i="49"/>
  <c r="DO157" i="49" s="1"/>
  <c r="DN48" i="49"/>
  <c r="DN42" i="10"/>
  <c r="DN822" i="10"/>
  <c r="DN1193" i="10"/>
  <c r="DN662" i="10"/>
  <c r="DN664" i="10" s="1"/>
  <c r="DN844" i="10" s="1"/>
  <c r="DN1103" i="10"/>
  <c r="BT11" i="41"/>
  <c r="BT75" i="41" s="1"/>
  <c r="BT76" i="41" s="1"/>
  <c r="EX24" i="41"/>
  <c r="BT56" i="41"/>
  <c r="BW54" i="41"/>
  <c r="DN75" i="49"/>
  <c r="DO71" i="49"/>
  <c r="FA24" i="41"/>
  <c r="DJ49" i="49"/>
  <c r="DJ76" i="49" s="1"/>
  <c r="DJ1098" i="10"/>
  <c r="DJ707" i="10"/>
  <c r="DJ1081" i="10"/>
  <c r="DJ1189" i="10"/>
  <c r="DQ38" i="49"/>
  <c r="DQ20" i="10"/>
  <c r="BW7" i="41"/>
  <c r="DR10" i="10"/>
  <c r="ET29" i="41"/>
  <c r="BS59" i="41"/>
  <c r="BS38" i="41"/>
  <c r="BS39" i="41" s="1"/>
  <c r="DJ697" i="10"/>
  <c r="DI708" i="10"/>
  <c r="DI692" i="10"/>
  <c r="BV38" i="41"/>
  <c r="BV39" i="41" s="1"/>
  <c r="BV59" i="41"/>
  <c r="DR42" i="49"/>
  <c r="DR69" i="49" s="1"/>
  <c r="BX34" i="41"/>
  <c r="DI81" i="49"/>
  <c r="DM852" i="10"/>
  <c r="DM851" i="10"/>
  <c r="DM857" i="10"/>
  <c r="DM846" i="10"/>
  <c r="DM850" i="10"/>
  <c r="DM845" i="10"/>
  <c r="DM854" i="10"/>
  <c r="DM986" i="10"/>
  <c r="DM878" i="10"/>
  <c r="DM856" i="10"/>
  <c r="DM853" i="10"/>
  <c r="DM855" i="10"/>
  <c r="DQ82" i="49"/>
  <c r="DQ71" i="49"/>
  <c r="DQ75" i="49" s="1"/>
  <c r="DP705" i="10"/>
  <c r="BV82" i="41" l="1"/>
  <c r="BV68" i="41"/>
  <c r="BS68" i="41"/>
  <c r="BS82" i="41"/>
  <c r="DL81" i="49"/>
  <c r="DR38" i="49"/>
  <c r="BX7" i="41"/>
  <c r="DJ81" i="49"/>
  <c r="DK76" i="49"/>
  <c r="DQ48" i="49"/>
  <c r="DQ822" i="10"/>
  <c r="DQ704" i="10"/>
  <c r="DQ42" i="10"/>
  <c r="DQ1193" i="10"/>
  <c r="DQ662" i="10"/>
  <c r="DQ664" i="10" s="1"/>
  <c r="DQ844" i="10" s="1"/>
  <c r="DQ1103" i="10"/>
  <c r="BW11" i="41"/>
  <c r="BW75" i="41" s="1"/>
  <c r="BW76" i="41" s="1"/>
  <c r="DR20" i="10"/>
  <c r="EW29" i="41"/>
  <c r="DM699" i="10"/>
  <c r="DN705" i="10"/>
  <c r="DN706" i="10" s="1"/>
  <c r="DL692" i="10"/>
  <c r="DL708" i="10"/>
  <c r="BX54" i="41"/>
  <c r="DI691" i="10"/>
  <c r="DI693" i="10" s="1"/>
  <c r="DJ693" i="10" s="1"/>
  <c r="DI758" i="10"/>
  <c r="DI1082" i="10"/>
  <c r="DI867" i="10"/>
  <c r="DJ692" i="10"/>
  <c r="DN986" i="10"/>
  <c r="DN852" i="10"/>
  <c r="DN851" i="10"/>
  <c r="DN850" i="10"/>
  <c r="DN857" i="10"/>
  <c r="DN845" i="10"/>
  <c r="DN854" i="10"/>
  <c r="DN878" i="10"/>
  <c r="DN856" i="10"/>
  <c r="DN846" i="10"/>
  <c r="DN853" i="10"/>
  <c r="DN855" i="10"/>
  <c r="DJ1187" i="10"/>
  <c r="BW56" i="41"/>
  <c r="BT38" i="41"/>
  <c r="BT39" i="41" s="1"/>
  <c r="BT59" i="41"/>
  <c r="DP699" i="10"/>
  <c r="DR82" i="49"/>
  <c r="DS69" i="49"/>
  <c r="DR71" i="49"/>
  <c r="DJ708" i="10"/>
  <c r="DO75" i="49"/>
  <c r="EY24" i="41"/>
  <c r="BW59" i="41" l="1"/>
  <c r="BW38" i="41"/>
  <c r="BW39" i="41" s="1"/>
  <c r="BX56" i="41"/>
  <c r="BT68" i="41"/>
  <c r="BT82" i="41"/>
  <c r="EU29" i="41"/>
  <c r="DQ853" i="10"/>
  <c r="DQ986" i="10"/>
  <c r="DQ851" i="10"/>
  <c r="DQ852" i="10"/>
  <c r="DQ855" i="10"/>
  <c r="DQ850" i="10"/>
  <c r="DQ857" i="10"/>
  <c r="DQ845" i="10"/>
  <c r="DQ854" i="10"/>
  <c r="DQ878" i="10"/>
  <c r="DQ856" i="10"/>
  <c r="DQ846" i="10"/>
  <c r="FB24" i="41"/>
  <c r="DL691" i="10"/>
  <c r="DL693" i="10" s="1"/>
  <c r="DL867" i="10"/>
  <c r="DL758" i="10"/>
  <c r="DL1082" i="10"/>
  <c r="DS71" i="49"/>
  <c r="DR75" i="49"/>
  <c r="DR157" i="49"/>
  <c r="DS157" i="49" s="1"/>
  <c r="DR260" i="49"/>
  <c r="DS260" i="49" s="1"/>
  <c r="DK692" i="10"/>
  <c r="DJ758" i="10"/>
  <c r="DJ1082" i="10"/>
  <c r="DJ867" i="10"/>
  <c r="DQ705" i="10"/>
  <c r="DR704" i="10"/>
  <c r="DI868" i="10"/>
  <c r="DI929" i="10"/>
  <c r="DJ156" i="49"/>
  <c r="DJ259" i="49"/>
  <c r="DM49" i="49"/>
  <c r="DM76" i="49" s="1"/>
  <c r="DM697" i="10"/>
  <c r="DM1098" i="10"/>
  <c r="DM707" i="10"/>
  <c r="DM1187" i="10" s="1"/>
  <c r="DM1081" i="10"/>
  <c r="DM1189" i="10"/>
  <c r="DN699" i="10"/>
  <c r="DR153" i="49"/>
  <c r="DR256" i="49"/>
  <c r="DP49" i="49"/>
  <c r="DP76" i="49" s="1"/>
  <c r="DP707" i="10"/>
  <c r="DP1187" i="10" s="1"/>
  <c r="DP1098" i="10"/>
  <c r="DP1081" i="10"/>
  <c r="DP697" i="10"/>
  <c r="DP1189" i="10"/>
  <c r="DI1085" i="10"/>
  <c r="DI770" i="10"/>
  <c r="DI799" i="10"/>
  <c r="DI765" i="20"/>
  <c r="DJ691" i="10"/>
  <c r="DI757" i="10"/>
  <c r="DR48" i="49"/>
  <c r="DR822" i="10"/>
  <c r="DR662" i="10"/>
  <c r="DR664" i="10" s="1"/>
  <c r="DR844" i="10" s="1"/>
  <c r="DR1103" i="10"/>
  <c r="DR42" i="10"/>
  <c r="DR1193" i="10"/>
  <c r="BX11" i="41"/>
  <c r="BX75" i="41" s="1"/>
  <c r="BX76" i="41" s="1"/>
  <c r="DI770" i="20" l="1"/>
  <c r="DI718" i="20"/>
  <c r="DJ765" i="20"/>
  <c r="DI768" i="20"/>
  <c r="DI773" i="20" s="1"/>
  <c r="BX38" i="41"/>
  <c r="BX39" i="41" s="1"/>
  <c r="BX59" i="41"/>
  <c r="DL770" i="10"/>
  <c r="DL799" i="10"/>
  <c r="DL1085" i="10"/>
  <c r="DR845" i="10"/>
  <c r="DR854" i="10"/>
  <c r="DR853" i="10"/>
  <c r="DR851" i="10"/>
  <c r="DR852" i="10"/>
  <c r="DR855" i="10"/>
  <c r="DR850" i="10"/>
  <c r="DR857" i="10"/>
  <c r="DR986" i="10"/>
  <c r="DR878" i="10"/>
  <c r="DR856" i="10"/>
  <c r="DR846" i="10"/>
  <c r="BW68" i="41"/>
  <c r="BW82" i="41"/>
  <c r="DL929" i="10"/>
  <c r="DL868" i="10"/>
  <c r="DL765" i="20"/>
  <c r="DL757" i="10"/>
  <c r="DN49" i="49"/>
  <c r="DN76" i="49" s="1"/>
  <c r="DN1081" i="10"/>
  <c r="DN1098" i="10"/>
  <c r="DN707" i="10"/>
  <c r="DN1187" i="10" s="1"/>
  <c r="DN1189" i="10"/>
  <c r="DM692" i="10"/>
  <c r="DM708" i="10"/>
  <c r="DN697" i="10"/>
  <c r="DM81" i="49"/>
  <c r="DI898" i="10"/>
  <c r="DI928" i="10"/>
  <c r="DI930" i="10"/>
  <c r="DI940" i="10"/>
  <c r="DI941" i="10" s="1"/>
  <c r="DI1055" i="10"/>
  <c r="EX29" i="41"/>
  <c r="DS75" i="49"/>
  <c r="FA29" i="41"/>
  <c r="DQ699" i="10"/>
  <c r="DR705" i="10"/>
  <c r="DR706" i="10" s="1"/>
  <c r="DP81" i="49"/>
  <c r="FC24" i="41"/>
  <c r="DP692" i="10"/>
  <c r="DP708" i="10"/>
  <c r="DK867" i="10"/>
  <c r="DJ929" i="10"/>
  <c r="DJ868" i="10"/>
  <c r="DI769" i="10"/>
  <c r="DI1093" i="10"/>
  <c r="DI1096" i="10" s="1"/>
  <c r="DK691" i="10"/>
  <c r="DJ757" i="10"/>
  <c r="DJ770" i="10"/>
  <c r="DJ799" i="10"/>
  <c r="DJ1085" i="10"/>
  <c r="DL928" i="10" l="1"/>
  <c r="DL1055" i="10"/>
  <c r="DL930" i="10"/>
  <c r="DL940" i="10"/>
  <c r="DL941" i="10" s="1"/>
  <c r="DL898" i="10"/>
  <c r="DK929" i="10"/>
  <c r="DJ930" i="10"/>
  <c r="DJ940" i="10"/>
  <c r="DJ941" i="10" s="1"/>
  <c r="DJ898" i="10"/>
  <c r="DJ1055" i="10"/>
  <c r="DL770" i="20"/>
  <c r="DL768" i="20"/>
  <c r="DL773" i="20" s="1"/>
  <c r="DL718" i="20"/>
  <c r="DM758" i="10"/>
  <c r="DM1082" i="10"/>
  <c r="DM867" i="10"/>
  <c r="DM691" i="10"/>
  <c r="DN692" i="10"/>
  <c r="DP758" i="10"/>
  <c r="DP691" i="10"/>
  <c r="DP1082" i="10"/>
  <c r="DP867" i="10"/>
  <c r="EY29" i="41"/>
  <c r="DJ770" i="20"/>
  <c r="DJ768" i="20"/>
  <c r="DJ773" i="20" s="1"/>
  <c r="DJ718" i="20"/>
  <c r="DI721" i="20"/>
  <c r="DI21" i="10"/>
  <c r="DI43" i="10"/>
  <c r="DI1075" i="10"/>
  <c r="DI888" i="10"/>
  <c r="DI1065" i="10"/>
  <c r="BX68" i="41"/>
  <c r="BX82" i="41"/>
  <c r="DI939" i="10"/>
  <c r="DI891" i="10"/>
  <c r="DI902" i="10" s="1"/>
  <c r="DI894" i="10"/>
  <c r="DI1054" i="10"/>
  <c r="DI896" i="10"/>
  <c r="DI866" i="10"/>
  <c r="DI892" i="10"/>
  <c r="DI903" i="10" s="1"/>
  <c r="DJ928" i="10"/>
  <c r="DI893" i="10"/>
  <c r="DI904" i="10" s="1"/>
  <c r="DI895" i="10"/>
  <c r="DI906" i="10" s="1"/>
  <c r="DI909" i="10"/>
  <c r="DO76" i="49"/>
  <c r="DN81" i="49"/>
  <c r="DJ769" i="10"/>
  <c r="DJ1093" i="10"/>
  <c r="DJ1096" i="10" s="1"/>
  <c r="DI777" i="20"/>
  <c r="DI700" i="10"/>
  <c r="DI1100" i="10"/>
  <c r="DI1097" i="10"/>
  <c r="DN708" i="10"/>
  <c r="DQ49" i="49"/>
  <c r="DQ76" i="49" s="1"/>
  <c r="DQ707" i="10"/>
  <c r="DQ1187" i="10" s="1"/>
  <c r="DQ1189" i="10"/>
  <c r="DQ1098" i="10"/>
  <c r="DQ1081" i="10"/>
  <c r="DQ697" i="10"/>
  <c r="DR699" i="10"/>
  <c r="DL1093" i="10"/>
  <c r="DL1096" i="10" s="1"/>
  <c r="DL769" i="10"/>
  <c r="DJ909" i="10" l="1"/>
  <c r="DP765" i="20"/>
  <c r="DP757" i="10"/>
  <c r="DK928" i="10"/>
  <c r="DJ939" i="10"/>
  <c r="DJ895" i="10"/>
  <c r="DJ906" i="10" s="1"/>
  <c r="DJ1054" i="10"/>
  <c r="DJ894" i="10"/>
  <c r="DJ896" i="10"/>
  <c r="DJ866" i="10"/>
  <c r="DJ892" i="10"/>
  <c r="DJ903" i="10" s="1"/>
  <c r="DJ891" i="10"/>
  <c r="DJ902" i="10" s="1"/>
  <c r="DJ893" i="10"/>
  <c r="DJ904" i="10" s="1"/>
  <c r="DP799" i="10"/>
  <c r="DP770" i="10"/>
  <c r="DP1085" i="10"/>
  <c r="DN758" i="10"/>
  <c r="DN1082" i="10"/>
  <c r="DN867" i="10"/>
  <c r="DL909" i="10"/>
  <c r="DM799" i="10"/>
  <c r="DM770" i="10"/>
  <c r="DM1085" i="10"/>
  <c r="DM765" i="20"/>
  <c r="DM757" i="10"/>
  <c r="DN691" i="10"/>
  <c r="DN757" i="10" s="1"/>
  <c r="DQ81" i="49"/>
  <c r="DM929" i="10"/>
  <c r="DM868" i="10"/>
  <c r="DI50" i="49"/>
  <c r="DI77" i="49" s="1"/>
  <c r="DI24" i="10"/>
  <c r="DJ21" i="10"/>
  <c r="BO12" i="41"/>
  <c r="DP693" i="10"/>
  <c r="DQ708" i="10"/>
  <c r="DQ692" i="10"/>
  <c r="DR697" i="10"/>
  <c r="DJ43" i="10"/>
  <c r="DP929" i="10"/>
  <c r="DP868" i="10"/>
  <c r="DL721" i="20"/>
  <c r="DL43" i="10"/>
  <c r="DL21" i="10"/>
  <c r="DL888" i="10"/>
  <c r="DL1065" i="10"/>
  <c r="DL1075" i="10"/>
  <c r="DI722" i="20"/>
  <c r="DJ721" i="20"/>
  <c r="DI46" i="10"/>
  <c r="DI48" i="10" s="1"/>
  <c r="DK1055" i="10"/>
  <c r="DJ888" i="10"/>
  <c r="DJ1065" i="10"/>
  <c r="DJ1075" i="10"/>
  <c r="FB29" i="41"/>
  <c r="DI1064" i="10"/>
  <c r="DI834" i="10"/>
  <c r="DI887" i="10"/>
  <c r="DI1074" i="10"/>
  <c r="DM693" i="10"/>
  <c r="DN693" i="10" s="1"/>
  <c r="DI899" i="10"/>
  <c r="DI702" i="10"/>
  <c r="DI701" i="10"/>
  <c r="DL777" i="20"/>
  <c r="DL700" i="10"/>
  <c r="DL1100" i="10"/>
  <c r="DL1097" i="10"/>
  <c r="DI779" i="20"/>
  <c r="DI776" i="20"/>
  <c r="DI778" i="20" s="1"/>
  <c r="DJ777" i="20"/>
  <c r="DJ700" i="10"/>
  <c r="DJ1100" i="10"/>
  <c r="DJ1097" i="10"/>
  <c r="DR49" i="49"/>
  <c r="DR76" i="49" s="1"/>
  <c r="DR707" i="10"/>
  <c r="DR1187" i="10" s="1"/>
  <c r="DR1189" i="10"/>
  <c r="DR1098" i="10"/>
  <c r="DR1081" i="10"/>
  <c r="DN156" i="49"/>
  <c r="DN259" i="49"/>
  <c r="DL892" i="10"/>
  <c r="DL903" i="10" s="1"/>
  <c r="DL895" i="10"/>
  <c r="DL906" i="10" s="1"/>
  <c r="DL939" i="10"/>
  <c r="DL893" i="10"/>
  <c r="DL904" i="10" s="1"/>
  <c r="DL1054" i="10"/>
  <c r="DL894" i="10"/>
  <c r="DL896" i="10"/>
  <c r="DL866" i="10"/>
  <c r="DL891" i="10"/>
  <c r="DL902" i="10" s="1"/>
  <c r="DI80" i="49" l="1"/>
  <c r="DI175" i="49"/>
  <c r="DM1093" i="10"/>
  <c r="DM1096" i="10" s="1"/>
  <c r="DM769" i="10"/>
  <c r="DJ702" i="10"/>
  <c r="DJ701" i="10"/>
  <c r="DQ758" i="10"/>
  <c r="DQ1082" i="10"/>
  <c r="DQ867" i="10"/>
  <c r="DQ691" i="10"/>
  <c r="DQ693" i="10" s="1"/>
  <c r="DR693" i="10" s="1"/>
  <c r="DR692" i="10"/>
  <c r="DM718" i="20"/>
  <c r="DM770" i="20"/>
  <c r="DM768" i="20"/>
  <c r="DM773" i="20" s="1"/>
  <c r="DN765" i="20"/>
  <c r="DJ779" i="20"/>
  <c r="DJ776" i="20"/>
  <c r="DJ778" i="20" s="1"/>
  <c r="DP940" i="10"/>
  <c r="DP941" i="10" s="1"/>
  <c r="DP898" i="10"/>
  <c r="DP1055" i="10"/>
  <c r="DP928" i="10"/>
  <c r="DP930" i="10"/>
  <c r="DM928" i="10"/>
  <c r="DM898" i="10"/>
  <c r="DM1055" i="10"/>
  <c r="DM930" i="10"/>
  <c r="DM940" i="10"/>
  <c r="DM941" i="10" s="1"/>
  <c r="DJ899" i="10"/>
  <c r="BO60" i="41"/>
  <c r="DN799" i="10"/>
  <c r="DN770" i="10"/>
  <c r="DN1085" i="10"/>
  <c r="DP718" i="20"/>
  <c r="DP770" i="20"/>
  <c r="DP768" i="20"/>
  <c r="DP773" i="20" s="1"/>
  <c r="DR81" i="49"/>
  <c r="DS76" i="49"/>
  <c r="DL899" i="10"/>
  <c r="DJ722" i="20"/>
  <c r="DP1093" i="10"/>
  <c r="DP1096" i="10" s="1"/>
  <c r="DP769" i="10"/>
  <c r="DJ50" i="49"/>
  <c r="DJ77" i="49" s="1"/>
  <c r="BP12" i="41"/>
  <c r="DI53" i="49"/>
  <c r="DI47" i="10"/>
  <c r="DI34" i="10"/>
  <c r="DJ24" i="10"/>
  <c r="DI1033" i="10"/>
  <c r="DI1186" i="10"/>
  <c r="DI1032" i="10"/>
  <c r="DI1188" i="10"/>
  <c r="BO15" i="41"/>
  <c r="BO63" i="41" s="1"/>
  <c r="DI25" i="10"/>
  <c r="FC29" i="41"/>
  <c r="DJ46" i="10"/>
  <c r="DJ48" i="10" s="1"/>
  <c r="DL50" i="49"/>
  <c r="DL77" i="49" s="1"/>
  <c r="DL80" i="49" s="1"/>
  <c r="DL83" i="49" s="1"/>
  <c r="DL24" i="10"/>
  <c r="BR12" i="41"/>
  <c r="DL1074" i="10"/>
  <c r="DL834" i="10"/>
  <c r="DL1064" i="10"/>
  <c r="DL887" i="10"/>
  <c r="DL702" i="10"/>
  <c r="DL701" i="10"/>
  <c r="DL779" i="20"/>
  <c r="DL776" i="20"/>
  <c r="DL778" i="20" s="1"/>
  <c r="DI50" i="10"/>
  <c r="DI49" i="10"/>
  <c r="DL722" i="20"/>
  <c r="DL46" i="10"/>
  <c r="DL48" i="10" s="1"/>
  <c r="DR708" i="10"/>
  <c r="DN1093" i="10"/>
  <c r="DN1096" i="10" s="1"/>
  <c r="DN769" i="10"/>
  <c r="DN929" i="10"/>
  <c r="DN868" i="10"/>
  <c r="DJ1074" i="10"/>
  <c r="DK1054" i="10"/>
  <c r="DJ834" i="10"/>
  <c r="DJ1064" i="10"/>
  <c r="DJ887" i="10"/>
  <c r="DI83" i="49" l="1"/>
  <c r="DI181" i="49" s="1"/>
  <c r="DI178" i="49"/>
  <c r="DI51" i="10"/>
  <c r="DP1065" i="10"/>
  <c r="DP888" i="10"/>
  <c r="DP1075" i="10"/>
  <c r="BR60" i="41"/>
  <c r="DN940" i="10"/>
  <c r="DN941" i="10" s="1"/>
  <c r="DN898" i="10"/>
  <c r="DN1055" i="10"/>
  <c r="DN930" i="10"/>
  <c r="DP909" i="10"/>
  <c r="DN777" i="20"/>
  <c r="DN779" i="20" s="1"/>
  <c r="DN1100" i="10"/>
  <c r="DN700" i="10"/>
  <c r="DN1097" i="10"/>
  <c r="DJ278" i="49"/>
  <c r="DK278" i="49" s="1"/>
  <c r="DK77" i="49"/>
  <c r="DJ175" i="49"/>
  <c r="DK175" i="49" s="1"/>
  <c r="DJ80" i="49"/>
  <c r="DL50" i="10"/>
  <c r="DL49" i="10"/>
  <c r="DL53" i="49"/>
  <c r="DL47" i="10"/>
  <c r="DL34" i="10"/>
  <c r="DL1188" i="10"/>
  <c r="DL1186" i="10"/>
  <c r="DL1033" i="10"/>
  <c r="DL1032" i="10"/>
  <c r="BR15" i="41"/>
  <c r="BR63" i="41" s="1"/>
  <c r="DL25" i="10"/>
  <c r="DR1082" i="10"/>
  <c r="DR867" i="10"/>
  <c r="DR758" i="10"/>
  <c r="DQ765" i="20"/>
  <c r="DQ757" i="10"/>
  <c r="DR691" i="10"/>
  <c r="DR757" i="10" s="1"/>
  <c r="DM909" i="10"/>
  <c r="DN770" i="20"/>
  <c r="DN768" i="20"/>
  <c r="DN773" i="20" s="1"/>
  <c r="DM721" i="20"/>
  <c r="DM43" i="10"/>
  <c r="DM21" i="10"/>
  <c r="DN718" i="20"/>
  <c r="ET27" i="41"/>
  <c r="ET30" i="41"/>
  <c r="DJ53" i="49"/>
  <c r="DJ47" i="10"/>
  <c r="DJ34" i="10"/>
  <c r="DJ1033" i="10"/>
  <c r="DJ1186" i="10"/>
  <c r="DJ1032" i="10"/>
  <c r="BP15" i="41"/>
  <c r="BP63" i="41" s="1"/>
  <c r="DJ1188" i="10"/>
  <c r="DQ929" i="10"/>
  <c r="DQ868" i="10"/>
  <c r="DQ799" i="10"/>
  <c r="DQ770" i="10"/>
  <c r="DQ1085" i="10"/>
  <c r="DP721" i="20"/>
  <c r="DP21" i="10"/>
  <c r="DP43" i="10"/>
  <c r="DI54" i="49"/>
  <c r="DJ25" i="10"/>
  <c r="DI1216" i="10"/>
  <c r="DI1226" i="10"/>
  <c r="DJ1226" i="10" s="1"/>
  <c r="BO16" i="41"/>
  <c r="BO77" i="41" s="1"/>
  <c r="BP60" i="41"/>
  <c r="DM892" i="10"/>
  <c r="DM903" i="10" s="1"/>
  <c r="DM895" i="10"/>
  <c r="DM906" i="10" s="1"/>
  <c r="DM891" i="10"/>
  <c r="DM902" i="10" s="1"/>
  <c r="DM893" i="10"/>
  <c r="DM904" i="10" s="1"/>
  <c r="DM939" i="10"/>
  <c r="DM1054" i="10"/>
  <c r="DM894" i="10"/>
  <c r="DM896" i="10"/>
  <c r="DM866" i="10"/>
  <c r="DN928" i="10"/>
  <c r="ET25" i="41"/>
  <c r="DI1194" i="10"/>
  <c r="ET26" i="41" s="1"/>
  <c r="DP777" i="20"/>
  <c r="DP1100" i="10"/>
  <c r="DP700" i="10"/>
  <c r="DP1097" i="10"/>
  <c r="DJ50" i="10"/>
  <c r="DJ49" i="10"/>
  <c r="DM888" i="10"/>
  <c r="DM1065" i="10"/>
  <c r="DM1075" i="10"/>
  <c r="DR156" i="49"/>
  <c r="DR259" i="49"/>
  <c r="DP866" i="10"/>
  <c r="DP895" i="10"/>
  <c r="DP906" i="10" s="1"/>
  <c r="DP891" i="10"/>
  <c r="DP902" i="10" s="1"/>
  <c r="DP893" i="10"/>
  <c r="DP904" i="10" s="1"/>
  <c r="DP939" i="10"/>
  <c r="DP892" i="10"/>
  <c r="DP903" i="10" s="1"/>
  <c r="DP1054" i="10"/>
  <c r="DP894" i="10"/>
  <c r="DP896" i="10"/>
  <c r="DM777" i="20"/>
  <c r="DM1100" i="10"/>
  <c r="DM700" i="10"/>
  <c r="DM1097" i="10"/>
  <c r="DL51" i="10" l="1"/>
  <c r="DN776" i="20"/>
  <c r="DN778" i="20" s="1"/>
  <c r="DJ51" i="10"/>
  <c r="DQ718" i="20"/>
  <c r="DQ770" i="20"/>
  <c r="DQ768" i="20"/>
  <c r="DQ773" i="20" s="1"/>
  <c r="DR765" i="20"/>
  <c r="EW30" i="41"/>
  <c r="EW27" i="41"/>
  <c r="EW25" i="41"/>
  <c r="DL1194" i="10"/>
  <c r="EW26" i="41" s="1"/>
  <c r="DK80" i="49"/>
  <c r="DJ83" i="49"/>
  <c r="DN1065" i="10"/>
  <c r="DO1055" i="10"/>
  <c r="DN888" i="10"/>
  <c r="DN1075" i="10"/>
  <c r="DP50" i="49"/>
  <c r="DP77" i="49" s="1"/>
  <c r="DP80" i="49" s="1"/>
  <c r="DP83" i="49" s="1"/>
  <c r="DP24" i="10"/>
  <c r="BV12" i="41"/>
  <c r="DN909" i="10"/>
  <c r="DJ54" i="49"/>
  <c r="BP16" i="41"/>
  <c r="BP77" i="41" s="1"/>
  <c r="DN702" i="10"/>
  <c r="DN701" i="10"/>
  <c r="DP779" i="20"/>
  <c r="DP776" i="20"/>
  <c r="DP778" i="20" s="1"/>
  <c r="DQ940" i="10"/>
  <c r="DQ941" i="10" s="1"/>
  <c r="DQ898" i="10"/>
  <c r="DQ1055" i="10"/>
  <c r="DQ928" i="10"/>
  <c r="DQ930" i="10"/>
  <c r="DR770" i="10"/>
  <c r="DR799" i="10"/>
  <c r="DR1085" i="10"/>
  <c r="EU25" i="41"/>
  <c r="DJ1194" i="10"/>
  <c r="EU26" i="41" s="1"/>
  <c r="DP887" i="10"/>
  <c r="DP834" i="10"/>
  <c r="DP1064" i="10"/>
  <c r="DP1074" i="10"/>
  <c r="DJ1216" i="10"/>
  <c r="DI1217" i="10"/>
  <c r="DM50" i="49"/>
  <c r="DM77" i="49" s="1"/>
  <c r="DM80" i="49" s="1"/>
  <c r="DM83" i="49" s="1"/>
  <c r="DM24" i="10"/>
  <c r="BS12" i="41"/>
  <c r="DN21" i="10"/>
  <c r="DN892" i="10"/>
  <c r="DN903" i="10" s="1"/>
  <c r="DN895" i="10"/>
  <c r="DN906" i="10" s="1"/>
  <c r="DN891" i="10"/>
  <c r="DN902" i="10" s="1"/>
  <c r="DN893" i="10"/>
  <c r="DN904" i="10" s="1"/>
  <c r="DN939" i="10"/>
  <c r="DN1054" i="10"/>
  <c r="DN894" i="10"/>
  <c r="DN896" i="10"/>
  <c r="DN866" i="10"/>
  <c r="DP722" i="20"/>
  <c r="DP46" i="10"/>
  <c r="DP48" i="10" s="1"/>
  <c r="DL54" i="49"/>
  <c r="DL1226" i="10"/>
  <c r="DL1216" i="10"/>
  <c r="BR16" i="41"/>
  <c r="BR77" i="41" s="1"/>
  <c r="BR78" i="41" s="1"/>
  <c r="DN43" i="10"/>
  <c r="DR769" i="10"/>
  <c r="DR1093" i="10"/>
  <c r="DR1096" i="10" s="1"/>
  <c r="DP899" i="10"/>
  <c r="DR868" i="10"/>
  <c r="DR929" i="10"/>
  <c r="EU27" i="41"/>
  <c r="EU30" i="41"/>
  <c r="DM834" i="10"/>
  <c r="DM887" i="10"/>
  <c r="DM1074" i="10"/>
  <c r="DM1064" i="10"/>
  <c r="DM702" i="10"/>
  <c r="DM701" i="10"/>
  <c r="DP702" i="10"/>
  <c r="DP701" i="10"/>
  <c r="DM779" i="20"/>
  <c r="DM776" i="20"/>
  <c r="DM778" i="20" s="1"/>
  <c r="DM722" i="20"/>
  <c r="DM46" i="10"/>
  <c r="DN721" i="20"/>
  <c r="DM899" i="10"/>
  <c r="DQ769" i="10"/>
  <c r="DQ1093" i="10"/>
  <c r="DQ1096" i="10" s="1"/>
  <c r="DN46" i="10" l="1"/>
  <c r="DN48" i="10" s="1"/>
  <c r="DQ888" i="10"/>
  <c r="DQ1075" i="10"/>
  <c r="DQ1065" i="10"/>
  <c r="DQ893" i="10"/>
  <c r="DQ904" i="10" s="1"/>
  <c r="DQ896" i="10"/>
  <c r="DQ866" i="10"/>
  <c r="DQ895" i="10"/>
  <c r="DQ906" i="10" s="1"/>
  <c r="DQ891" i="10"/>
  <c r="DQ902" i="10" s="1"/>
  <c r="DQ939" i="10"/>
  <c r="DQ892" i="10"/>
  <c r="DQ903" i="10" s="1"/>
  <c r="DQ1054" i="10"/>
  <c r="DQ894" i="10"/>
  <c r="DR928" i="10"/>
  <c r="DP53" i="49"/>
  <c r="DP47" i="10"/>
  <c r="DP1032" i="10"/>
  <c r="DP1188" i="10"/>
  <c r="DP34" i="10"/>
  <c r="DP1186" i="10"/>
  <c r="DP1033" i="10"/>
  <c r="BV15" i="41"/>
  <c r="BV63" i="41" s="1"/>
  <c r="DP25" i="10"/>
  <c r="DM50" i="10"/>
  <c r="DM49" i="10"/>
  <c r="DN50" i="49"/>
  <c r="DN77" i="49" s="1"/>
  <c r="BT12" i="41"/>
  <c r="DI1219" i="10"/>
  <c r="DJ1217" i="10"/>
  <c r="DR768" i="20"/>
  <c r="DR773" i="20" s="1"/>
  <c r="DR770" i="20"/>
  <c r="DQ721" i="20"/>
  <c r="DQ21" i="10"/>
  <c r="DQ43" i="10"/>
  <c r="DR718" i="20"/>
  <c r="DP50" i="10"/>
  <c r="DP49" i="10"/>
  <c r="DN722" i="20"/>
  <c r="DL1217" i="10"/>
  <c r="DR930" i="10"/>
  <c r="DR898" i="10"/>
  <c r="DR1055" i="10"/>
  <c r="DR940" i="10"/>
  <c r="DR941" i="10" s="1"/>
  <c r="DR777" i="20"/>
  <c r="DR779" i="20" s="1"/>
  <c r="DR700" i="10"/>
  <c r="DR1100" i="10"/>
  <c r="DR1097" i="10"/>
  <c r="BS60" i="41"/>
  <c r="DN899" i="10"/>
  <c r="DQ777" i="20"/>
  <c r="DQ700" i="10"/>
  <c r="DQ1100" i="10"/>
  <c r="DQ1097" i="10"/>
  <c r="BV60" i="41"/>
  <c r="BR64" i="41"/>
  <c r="DQ909" i="10"/>
  <c r="DM53" i="49"/>
  <c r="DM47" i="10"/>
  <c r="DM34" i="10"/>
  <c r="DM1188" i="10"/>
  <c r="DM1186" i="10"/>
  <c r="DM1033" i="10"/>
  <c r="DM1032" i="10"/>
  <c r="BS15" i="41"/>
  <c r="BS63" i="41" s="1"/>
  <c r="DM25" i="10"/>
  <c r="DN24" i="10"/>
  <c r="DM48" i="10"/>
  <c r="DN887" i="10"/>
  <c r="DN834" i="10"/>
  <c r="DN1064" i="10"/>
  <c r="DN1074" i="10"/>
  <c r="DO1054" i="10"/>
  <c r="DP51" i="10" l="1"/>
  <c r="DQ899" i="10"/>
  <c r="DR909" i="10"/>
  <c r="DR43" i="10"/>
  <c r="DQ887" i="10"/>
  <c r="DQ834" i="10"/>
  <c r="DQ1064" i="10"/>
  <c r="DQ1074" i="10"/>
  <c r="DR888" i="10"/>
  <c r="DR1075" i="10"/>
  <c r="DS1055" i="10"/>
  <c r="DR1065" i="10"/>
  <c r="DR893" i="10"/>
  <c r="DR904" i="10" s="1"/>
  <c r="DR896" i="10"/>
  <c r="DR866" i="10"/>
  <c r="DR895" i="10"/>
  <c r="DR906" i="10" s="1"/>
  <c r="DR891" i="10"/>
  <c r="DR902" i="10" s="1"/>
  <c r="DR939" i="10"/>
  <c r="DR892" i="10"/>
  <c r="DR903" i="10" s="1"/>
  <c r="DR1054" i="10"/>
  <c r="DR894" i="10"/>
  <c r="DR702" i="10"/>
  <c r="DR701" i="10"/>
  <c r="DP54" i="49"/>
  <c r="DP1226" i="10"/>
  <c r="DP1216" i="10"/>
  <c r="BV16" i="41"/>
  <c r="BV77" i="41" s="1"/>
  <c r="BV78" i="41" s="1"/>
  <c r="DN50" i="10"/>
  <c r="DN49" i="10"/>
  <c r="DQ50" i="49"/>
  <c r="DQ77" i="49" s="1"/>
  <c r="DQ80" i="49" s="1"/>
  <c r="DQ83" i="49" s="1"/>
  <c r="DQ24" i="10"/>
  <c r="BW12" i="41"/>
  <c r="DR21" i="10"/>
  <c r="DM51" i="10"/>
  <c r="DN53" i="49"/>
  <c r="DN47" i="10"/>
  <c r="DN34" i="10"/>
  <c r="DN1188" i="10"/>
  <c r="DN1186" i="10"/>
  <c r="DN1033" i="10"/>
  <c r="DN1032" i="10"/>
  <c r="BT15" i="41"/>
  <c r="BT63" i="41" s="1"/>
  <c r="DQ722" i="20"/>
  <c r="DQ46" i="10"/>
  <c r="DQ48" i="10" s="1"/>
  <c r="DR721" i="20"/>
  <c r="BT60" i="41"/>
  <c r="FA25" i="41"/>
  <c r="DP1194" i="10"/>
  <c r="FA26" i="41" s="1"/>
  <c r="DJ1219" i="10"/>
  <c r="DJ1218" i="10" s="1"/>
  <c r="DI1221" i="10"/>
  <c r="DM54" i="49"/>
  <c r="DM1226" i="10"/>
  <c r="DN1226" i="10" s="1"/>
  <c r="DM1216" i="10"/>
  <c r="BS16" i="41"/>
  <c r="BS77" i="41" s="1"/>
  <c r="BS78" i="41" s="1"/>
  <c r="DN25" i="10"/>
  <c r="DL1219" i="10"/>
  <c r="DO77" i="49"/>
  <c r="DN278" i="49"/>
  <c r="DO278" i="49" s="1"/>
  <c r="DN175" i="49"/>
  <c r="DO175" i="49" s="1"/>
  <c r="DN80" i="49"/>
  <c r="DQ702" i="10"/>
  <c r="DQ701" i="10"/>
  <c r="FA30" i="41"/>
  <c r="FA27" i="41"/>
  <c r="DQ779" i="20"/>
  <c r="DQ776" i="20"/>
  <c r="DQ778" i="20" s="1"/>
  <c r="EX30" i="41"/>
  <c r="EX27" i="41"/>
  <c r="EX25" i="41"/>
  <c r="DM1194" i="10"/>
  <c r="EX26" i="41" s="1"/>
  <c r="DR776" i="20"/>
  <c r="DR778" i="20" s="1"/>
  <c r="DN51" i="10" l="1"/>
  <c r="DS1054" i="10"/>
  <c r="DR887" i="10"/>
  <c r="DR1064" i="10"/>
  <c r="DR1074" i="10"/>
  <c r="DR834" i="10"/>
  <c r="DM1217" i="10"/>
  <c r="DN1216" i="10"/>
  <c r="BV64" i="41"/>
  <c r="BW60" i="41"/>
  <c r="DO80" i="49"/>
  <c r="DN83" i="49"/>
  <c r="DR722" i="20"/>
  <c r="DP1217" i="10"/>
  <c r="DQ53" i="49"/>
  <c r="DQ1032" i="10"/>
  <c r="DQ1033" i="10"/>
  <c r="DQ47" i="10"/>
  <c r="DQ1188" i="10"/>
  <c r="DQ34" i="10"/>
  <c r="DQ1186" i="10"/>
  <c r="BW15" i="41"/>
  <c r="BW63" i="41" s="1"/>
  <c r="DQ25" i="10"/>
  <c r="DR24" i="10"/>
  <c r="DL1221" i="10"/>
  <c r="EY30" i="41"/>
  <c r="EY27" i="41"/>
  <c r="DR46" i="10"/>
  <c r="DR48" i="10" s="1"/>
  <c r="DR899" i="10"/>
  <c r="DR50" i="49"/>
  <c r="DR77" i="49" s="1"/>
  <c r="BX12" i="41"/>
  <c r="DI724" i="20"/>
  <c r="DJ1221" i="10"/>
  <c r="DJ1222" i="10" s="1"/>
  <c r="DI1222" i="10"/>
  <c r="EY25" i="41"/>
  <c r="DN1194" i="10"/>
  <c r="EY26" i="41" s="1"/>
  <c r="DN54" i="49"/>
  <c r="BT16" i="41"/>
  <c r="BT77" i="41" s="1"/>
  <c r="BT78" i="41" s="1"/>
  <c r="BS64" i="41"/>
  <c r="DQ50" i="10"/>
  <c r="DQ49" i="10"/>
  <c r="DQ51" i="10" l="1"/>
  <c r="DS77" i="49"/>
  <c r="DR278" i="49"/>
  <c r="DS278" i="49" s="1"/>
  <c r="DR175" i="49"/>
  <c r="DS175" i="49" s="1"/>
  <c r="DR80" i="49"/>
  <c r="FB25" i="41"/>
  <c r="DQ1194" i="10"/>
  <c r="FB26" i="41" s="1"/>
  <c r="DM1219" i="10"/>
  <c r="DN1217" i="10"/>
  <c r="BT64" i="41"/>
  <c r="DJ724" i="20"/>
  <c r="DI27" i="10"/>
  <c r="DI727" i="20"/>
  <c r="DR53" i="49"/>
  <c r="DR1032" i="10"/>
  <c r="DR47" i="10"/>
  <c r="DR1188" i="10"/>
  <c r="DR34" i="10"/>
  <c r="DR1033" i="10"/>
  <c r="DR1186" i="10"/>
  <c r="BX15" i="41"/>
  <c r="BX63" i="41" s="1"/>
  <c r="BX60" i="41"/>
  <c r="DQ54" i="49"/>
  <c r="DQ1226" i="10"/>
  <c r="DR1226" i="10" s="1"/>
  <c r="DQ1216" i="10"/>
  <c r="BW16" i="41"/>
  <c r="BW77" i="41" s="1"/>
  <c r="BW78" i="41" s="1"/>
  <c r="DR25" i="10"/>
  <c r="DR49" i="10"/>
  <c r="DR50" i="10"/>
  <c r="DL724" i="20"/>
  <c r="DL1222" i="10"/>
  <c r="FB30" i="41"/>
  <c r="FB27" i="41"/>
  <c r="DP1219" i="10"/>
  <c r="DR51" i="10" l="1"/>
  <c r="BW64" i="41"/>
  <c r="DI56" i="49"/>
  <c r="DI84" i="49" s="1"/>
  <c r="DI182" i="49" s="1"/>
  <c r="DI1224" i="10"/>
  <c r="DI1227" i="10" s="1"/>
  <c r="DJ27" i="10"/>
  <c r="BO17" i="41"/>
  <c r="DI30" i="10"/>
  <c r="FC25" i="41"/>
  <c r="DR1194" i="10"/>
  <c r="FC26" i="41" s="1"/>
  <c r="DR54" i="49"/>
  <c r="BX16" i="41"/>
  <c r="BX77" i="41" s="1"/>
  <c r="BX78" i="41" s="1"/>
  <c r="DQ1217" i="10"/>
  <c r="DR1216" i="10"/>
  <c r="DS80" i="49"/>
  <c r="DR83" i="49"/>
  <c r="FC30" i="41"/>
  <c r="FC27" i="41"/>
  <c r="DP1221" i="10"/>
  <c r="DL27" i="10"/>
  <c r="DL727" i="20"/>
  <c r="DM1221" i="10"/>
  <c r="DN1219" i="10"/>
  <c r="DN1218" i="10" s="1"/>
  <c r="DI728" i="20"/>
  <c r="DI18" i="20"/>
  <c r="DJ727" i="20"/>
  <c r="DQ1219" i="10" l="1"/>
  <c r="DR1217" i="10"/>
  <c r="BO18" i="41"/>
  <c r="BX64" i="41"/>
  <c r="DJ728" i="20"/>
  <c r="DJ18" i="20"/>
  <c r="DJ56" i="49"/>
  <c r="DJ84" i="49" s="1"/>
  <c r="DJ1224" i="10"/>
  <c r="DJ1227" i="10" s="1"/>
  <c r="BP17" i="41"/>
  <c r="DI85" i="49"/>
  <c r="DI183" i="49" s="1"/>
  <c r="DI87" i="49"/>
  <c r="DI185" i="49" s="1"/>
  <c r="DI32" i="20"/>
  <c r="DI19" i="20"/>
  <c r="DI33" i="20" s="1"/>
  <c r="DM724" i="20"/>
  <c r="DN1221" i="10"/>
  <c r="DN1222" i="10" s="1"/>
  <c r="DM1222" i="10"/>
  <c r="ET31" i="41"/>
  <c r="DP724" i="20"/>
  <c r="DP1222" i="10"/>
  <c r="DL728" i="20"/>
  <c r="DL18" i="20"/>
  <c r="DL56" i="49"/>
  <c r="DL84" i="49" s="1"/>
  <c r="DL1224" i="10"/>
  <c r="DL1227" i="10" s="1"/>
  <c r="BR17" i="41"/>
  <c r="DL30" i="10"/>
  <c r="DI445" i="42"/>
  <c r="DI274" i="42" s="1"/>
  <c r="DI59" i="49"/>
  <c r="DI543" i="42"/>
  <c r="DI58" i="46"/>
  <c r="DI55" i="46" s="1"/>
  <c r="DI8" i="43"/>
  <c r="DI1104" i="10"/>
  <c r="DJ30" i="10"/>
  <c r="DI33" i="10" s="1"/>
  <c r="DI32" i="10"/>
  <c r="BO20" i="41"/>
  <c r="DI1101" i="10"/>
  <c r="DJ274" i="42" l="1"/>
  <c r="DL32" i="20"/>
  <c r="DL19" i="20"/>
  <c r="DL33" i="20" s="1"/>
  <c r="DI47" i="43"/>
  <c r="DI41" i="43"/>
  <c r="DI40" i="43"/>
  <c r="DI545" i="42"/>
  <c r="DI20" i="20"/>
  <c r="BO22" i="41"/>
  <c r="DJ32" i="20"/>
  <c r="DJ19" i="20"/>
  <c r="BS27" i="51"/>
  <c r="BS66" i="51" s="1"/>
  <c r="BS67" i="51" s="1"/>
  <c r="EU31" i="41"/>
  <c r="EW31" i="41"/>
  <c r="DM27" i="10"/>
  <c r="DM727" i="20"/>
  <c r="DN724" i="20"/>
  <c r="DQ1221" i="10"/>
  <c r="DR1219" i="10"/>
  <c r="DR1218" i="10" s="1"/>
  <c r="BR18" i="41"/>
  <c r="BP18" i="41"/>
  <c r="DI56" i="46"/>
  <c r="DJ56" i="46" s="1"/>
  <c r="DJ55" i="46"/>
  <c r="DL543" i="42"/>
  <c r="DL445" i="42"/>
  <c r="DL274" i="42" s="1"/>
  <c r="DL59" i="49"/>
  <c r="DL58" i="46"/>
  <c r="DL55" i="46" s="1"/>
  <c r="DL8" i="43"/>
  <c r="DL32" i="10"/>
  <c r="DL1104" i="10"/>
  <c r="BR20" i="41"/>
  <c r="BR65" i="41" s="1"/>
  <c r="DL1101" i="10"/>
  <c r="DH33" i="10"/>
  <c r="DJ543" i="42"/>
  <c r="DJ445" i="42"/>
  <c r="DJ59" i="49"/>
  <c r="DJ58" i="46"/>
  <c r="DJ8" i="43"/>
  <c r="DJ32" i="10"/>
  <c r="DJ1104" i="10"/>
  <c r="BP20" i="41"/>
  <c r="DJ1101" i="10"/>
  <c r="DJ85" i="49"/>
  <c r="DJ87" i="49"/>
  <c r="DJ5" i="49" s="1"/>
  <c r="DL85" i="49"/>
  <c r="DL87" i="49"/>
  <c r="DP27" i="10"/>
  <c r="DP727" i="20"/>
  <c r="DI57" i="46" l="1"/>
  <c r="DI43" i="46" s="1"/>
  <c r="DJ43" i="46" s="1"/>
  <c r="DJ44" i="46" s="1"/>
  <c r="DJ48" i="46" s="1"/>
  <c r="DJ50" i="46" s="1"/>
  <c r="DJ545" i="42"/>
  <c r="DJ20" i="20"/>
  <c r="BP22" i="41"/>
  <c r="BO73" i="41" s="1"/>
  <c r="DL56" i="46"/>
  <c r="DJ41" i="43"/>
  <c r="DI45" i="43"/>
  <c r="BO81" i="41"/>
  <c r="D14" i="78"/>
  <c r="DJ59" i="46"/>
  <c r="DJ57" i="46"/>
  <c r="DQ724" i="20"/>
  <c r="DR1221" i="10"/>
  <c r="DR1222" i="10" s="1"/>
  <c r="DQ1222" i="10"/>
  <c r="DP728" i="20"/>
  <c r="DP18" i="20"/>
  <c r="DJ262" i="49"/>
  <c r="DK262" i="49" s="1"/>
  <c r="DJ286" i="49" s="1"/>
  <c r="DJ159" i="49"/>
  <c r="DK159" i="49" s="1"/>
  <c r="DJ183" i="49" s="1"/>
  <c r="DP56" i="49"/>
  <c r="DP84" i="49" s="1"/>
  <c r="DP1224" i="10"/>
  <c r="DP1227" i="10" s="1"/>
  <c r="BV17" i="41"/>
  <c r="DP30" i="10"/>
  <c r="DI126" i="49"/>
  <c r="DI44" i="43"/>
  <c r="DJ40" i="43"/>
  <c r="DI42" i="43"/>
  <c r="ET13" i="41"/>
  <c r="DJ60" i="46"/>
  <c r="DL545" i="42"/>
  <c r="DL20" i="20"/>
  <c r="BR22" i="41"/>
  <c r="DL40" i="43"/>
  <c r="DL47" i="43"/>
  <c r="DL41" i="43"/>
  <c r="DM728" i="20"/>
  <c r="DM18" i="20"/>
  <c r="DN727" i="20"/>
  <c r="DJ33" i="20"/>
  <c r="BS28" i="51"/>
  <c r="BS54" i="51" s="1"/>
  <c r="D51" i="78" s="1"/>
  <c r="D15" i="78" s="1"/>
  <c r="DJ115" i="49"/>
  <c r="DJ141" i="49" s="1"/>
  <c r="DJ47" i="43"/>
  <c r="DJ133" i="49" s="1"/>
  <c r="BS70" i="51"/>
  <c r="DM56" i="49"/>
  <c r="DM84" i="49" s="1"/>
  <c r="DM1224" i="10"/>
  <c r="DM1227" i="10" s="1"/>
  <c r="BS17" i="41"/>
  <c r="DM30" i="10"/>
  <c r="DN27" i="10"/>
  <c r="DJ96" i="49"/>
  <c r="DL54" i="46" l="1"/>
  <c r="DN54" i="46" s="1"/>
  <c r="DI44" i="46"/>
  <c r="DI48" i="46" s="1"/>
  <c r="H9" i="79"/>
  <c r="DP445" i="42"/>
  <c r="DP274" i="42" s="1"/>
  <c r="DP543" i="42"/>
  <c r="DP59" i="49"/>
  <c r="DP58" i="46"/>
  <c r="DP55" i="46" s="1"/>
  <c r="DP8" i="43"/>
  <c r="DP32" i="10"/>
  <c r="DP1104" i="10"/>
  <c r="BV20" i="41"/>
  <c r="BV65" i="41" s="1"/>
  <c r="DP1101" i="10"/>
  <c r="BV18" i="41"/>
  <c r="BN73" i="41"/>
  <c r="BP81" i="41"/>
  <c r="DP19" i="20"/>
  <c r="DP33" i="20" s="1"/>
  <c r="DP32" i="20"/>
  <c r="DJ45" i="43"/>
  <c r="DM85" i="49"/>
  <c r="DM87" i="49"/>
  <c r="BR66" i="41"/>
  <c r="BR81" i="41"/>
  <c r="DL45" i="43"/>
  <c r="DL126" i="49"/>
  <c r="F41" i="78" s="1"/>
  <c r="D41" i="78" s="1"/>
  <c r="L14" i="79" s="1"/>
  <c r="DL42" i="43"/>
  <c r="DL44" i="43"/>
  <c r="EW13" i="41"/>
  <c r="EW15" i="41" s="1"/>
  <c r="BO28" i="41"/>
  <c r="BO72" i="41" s="1"/>
  <c r="DN56" i="49"/>
  <c r="DN84" i="49" s="1"/>
  <c r="DN1224" i="10"/>
  <c r="DN1227" i="10" s="1"/>
  <c r="BT17" i="41"/>
  <c r="DQ27" i="10"/>
  <c r="DQ727" i="20"/>
  <c r="DR724" i="20"/>
  <c r="DM543" i="42"/>
  <c r="DM445" i="42"/>
  <c r="DM274" i="42" s="1"/>
  <c r="DM59" i="49"/>
  <c r="DM58" i="46"/>
  <c r="DM55" i="46" s="1"/>
  <c r="DM8" i="43"/>
  <c r="DM32" i="10"/>
  <c r="DM1104" i="10"/>
  <c r="BS20" i="41"/>
  <c r="BS65" i="41" s="1"/>
  <c r="DM1101" i="10"/>
  <c r="DN30" i="10"/>
  <c r="DJ126" i="49"/>
  <c r="DJ42" i="43"/>
  <c r="DK40" i="43"/>
  <c r="EU13" i="41"/>
  <c r="EU15" i="41" s="1"/>
  <c r="DL311" i="42"/>
  <c r="DJ44" i="43"/>
  <c r="DI46" i="43"/>
  <c r="DP85" i="49"/>
  <c r="DP87" i="49"/>
  <c r="DJ127" i="49"/>
  <c r="FA31" i="41"/>
  <c r="DN18" i="20"/>
  <c r="DN728" i="20"/>
  <c r="BS18" i="41"/>
  <c r="EX31" i="41"/>
  <c r="DM32" i="20"/>
  <c r="DM19" i="20"/>
  <c r="DM33" i="20" s="1"/>
  <c r="H8" i="79"/>
  <c r="D16" i="78"/>
  <c r="DI50" i="46" l="1"/>
  <c r="DI79" i="46" s="1"/>
  <c r="DL57" i="46"/>
  <c r="DN543" i="42"/>
  <c r="DN445" i="42"/>
  <c r="DN59" i="49"/>
  <c r="DN58" i="46"/>
  <c r="DN8" i="43"/>
  <c r="DN32" i="10"/>
  <c r="DO30" i="10"/>
  <c r="DN1104" i="10"/>
  <c r="BT20" i="41"/>
  <c r="DN1101" i="10"/>
  <c r="DL33" i="10"/>
  <c r="DM56" i="46"/>
  <c r="DN56" i="46" s="1"/>
  <c r="DN55" i="46"/>
  <c r="DP47" i="43"/>
  <c r="DL312" i="42"/>
  <c r="DN311" i="42"/>
  <c r="DJ131" i="49"/>
  <c r="DJ49" i="43"/>
  <c r="DN274" i="42"/>
  <c r="DP56" i="46"/>
  <c r="DJ130" i="49"/>
  <c r="DJ48" i="43"/>
  <c r="DJ46" i="43"/>
  <c r="DJ51" i="43"/>
  <c r="EY31" i="41"/>
  <c r="DQ728" i="20"/>
  <c r="DQ18" i="20"/>
  <c r="DR727" i="20"/>
  <c r="DM33" i="10"/>
  <c r="DM545" i="42"/>
  <c r="DM20" i="20"/>
  <c r="BS22" i="41"/>
  <c r="BT18" i="41"/>
  <c r="BR28" i="41"/>
  <c r="BR72" i="41" s="1"/>
  <c r="H10" i="79"/>
  <c r="DN85" i="49"/>
  <c r="DN87" i="49"/>
  <c r="DN5" i="49" s="1"/>
  <c r="DM47" i="43"/>
  <c r="DL46" i="43"/>
  <c r="DQ56" i="49"/>
  <c r="DQ84" i="49" s="1"/>
  <c r="DQ1224" i="10"/>
  <c r="DQ1227" i="10" s="1"/>
  <c r="BW17" i="41"/>
  <c r="DQ30" i="10"/>
  <c r="DR27" i="10"/>
  <c r="DJ128" i="49"/>
  <c r="DJ8" i="49" s="1"/>
  <c r="DK8" i="49" s="1"/>
  <c r="BP28" i="41"/>
  <c r="DN32" i="20"/>
  <c r="DN19" i="20"/>
  <c r="BW27" i="51"/>
  <c r="BW66" i="51" s="1"/>
  <c r="BW67" i="51" s="1"/>
  <c r="DL446" i="42"/>
  <c r="DI57" i="43"/>
  <c r="DI54" i="43"/>
  <c r="DI50" i="43"/>
  <c r="DM54" i="46"/>
  <c r="DL43" i="46"/>
  <c r="DL44" i="46" s="1"/>
  <c r="DL48" i="46" s="1"/>
  <c r="DL50" i="46" s="1"/>
  <c r="DL79" i="46" s="1"/>
  <c r="DP545" i="42"/>
  <c r="DP20" i="20"/>
  <c r="BV22" i="41"/>
  <c r="DI110" i="46" l="1"/>
  <c r="DJ110" i="46" s="1"/>
  <c r="DJ79" i="46"/>
  <c r="DJ51" i="46" s="1"/>
  <c r="DI51" i="46"/>
  <c r="DN57" i="46"/>
  <c r="DM57" i="46"/>
  <c r="DM43" i="46" s="1"/>
  <c r="DP54" i="46" s="1"/>
  <c r="DN60" i="46"/>
  <c r="DL314" i="42"/>
  <c r="DN312" i="42"/>
  <c r="BT65" i="41"/>
  <c r="DQ19" i="20"/>
  <c r="DQ33" i="20" s="1"/>
  <c r="DQ32" i="20"/>
  <c r="BP72" i="41"/>
  <c r="DL50" i="43"/>
  <c r="DL54" i="43"/>
  <c r="DQ85" i="49"/>
  <c r="DQ87" i="49"/>
  <c r="DO5" i="49"/>
  <c r="D18" i="78"/>
  <c r="DR18" i="20"/>
  <c r="DR728" i="20"/>
  <c r="DQ59" i="49"/>
  <c r="DQ543" i="42"/>
  <c r="DQ445" i="42"/>
  <c r="DQ274" i="42" s="1"/>
  <c r="DQ58" i="46"/>
  <c r="DQ55" i="46" s="1"/>
  <c r="DQ8" i="43"/>
  <c r="DQ32" i="10"/>
  <c r="DQ1104" i="10"/>
  <c r="BW20" i="41"/>
  <c r="BW65" i="41" s="1"/>
  <c r="DQ1101" i="10"/>
  <c r="DR30" i="10"/>
  <c r="DN159" i="49"/>
  <c r="DO159" i="49" s="1"/>
  <c r="DN183" i="49" s="1"/>
  <c r="DN262" i="49"/>
  <c r="DO262" i="49" s="1"/>
  <c r="DN286" i="49" s="1"/>
  <c r="DJ132" i="49"/>
  <c r="DJ50" i="43"/>
  <c r="DJ54" i="43"/>
  <c r="DJ57" i="43"/>
  <c r="DJ135" i="49"/>
  <c r="DJ238" i="49" s="1"/>
  <c r="DJ341" i="49" s="1"/>
  <c r="DN59" i="46"/>
  <c r="DN96" i="49"/>
  <c r="DR56" i="49"/>
  <c r="DR84" i="49" s="1"/>
  <c r="DR1224" i="10"/>
  <c r="DR1227" i="10" s="1"/>
  <c r="BX17" i="41"/>
  <c r="BS66" i="41"/>
  <c r="BS81" i="41"/>
  <c r="DJ134" i="49"/>
  <c r="DJ237" i="49" s="1"/>
  <c r="DJ340" i="49" s="1"/>
  <c r="EU14" i="41"/>
  <c r="DN545" i="42"/>
  <c r="DN20" i="20"/>
  <c r="BT22" i="41"/>
  <c r="BV66" i="41"/>
  <c r="BV81" i="41"/>
  <c r="DN446" i="42"/>
  <c r="DL275" i="42"/>
  <c r="BW70" i="51"/>
  <c r="DN33" i="20"/>
  <c r="BW28" i="51"/>
  <c r="BW54" i="51" s="1"/>
  <c r="D52" i="78" s="1"/>
  <c r="D19" i="78" s="1"/>
  <c r="BW18" i="41"/>
  <c r="DL110" i="46"/>
  <c r="DL51" i="46"/>
  <c r="FB31" i="41"/>
  <c r="DN115" i="49"/>
  <c r="DN141" i="49" s="1"/>
  <c r="DO8" i="43"/>
  <c r="DN47" i="43"/>
  <c r="DN133" i="49" s="1"/>
  <c r="DN43" i="46" l="1"/>
  <c r="DN44" i="46" s="1"/>
  <c r="DN48" i="46" s="1"/>
  <c r="DN50" i="46" s="1"/>
  <c r="DM44" i="46"/>
  <c r="DM48" i="46" s="1"/>
  <c r="DM50" i="46" s="1"/>
  <c r="DM79" i="46" s="1"/>
  <c r="DN79" i="46" s="1"/>
  <c r="DQ56" i="46"/>
  <c r="DR56" i="46" s="1"/>
  <c r="DR55" i="46"/>
  <c r="DR19" i="20"/>
  <c r="DR33" i="20" s="1"/>
  <c r="DR32" i="20"/>
  <c r="DR274" i="42"/>
  <c r="DN275" i="42"/>
  <c r="DR543" i="42"/>
  <c r="DR445" i="42"/>
  <c r="DR59" i="49"/>
  <c r="DR58" i="46"/>
  <c r="DR8" i="43"/>
  <c r="DR32" i="10"/>
  <c r="DS30" i="10"/>
  <c r="DR1104" i="10"/>
  <c r="BX20" i="41"/>
  <c r="BX65" i="41" s="1"/>
  <c r="DR1101" i="10"/>
  <c r="DP33" i="10"/>
  <c r="D20" i="78"/>
  <c r="H12" i="79"/>
  <c r="DN315" i="42"/>
  <c r="DN313" i="42"/>
  <c r="DR85" i="49"/>
  <c r="DR87" i="49"/>
  <c r="DR5" i="49" s="1"/>
  <c r="DS5" i="49" s="1"/>
  <c r="BX18" i="41"/>
  <c r="DQ545" i="42"/>
  <c r="DQ20" i="20"/>
  <c r="BW22" i="41"/>
  <c r="FC31" i="41"/>
  <c r="DQ33" i="10"/>
  <c r="DN314" i="42"/>
  <c r="DL317" i="42"/>
  <c r="DL318" i="42" s="1"/>
  <c r="DL320" i="42" s="1"/>
  <c r="DL285" i="42" s="1"/>
  <c r="H13" i="79"/>
  <c r="DQ47" i="43"/>
  <c r="DR54" i="46"/>
  <c r="DP57" i="46"/>
  <c r="BT66" i="41"/>
  <c r="BT81" i="41"/>
  <c r="DJ136" i="49"/>
  <c r="DM51" i="46" l="1"/>
  <c r="DM110" i="46"/>
  <c r="DN110" i="46" s="1"/>
  <c r="DR57" i="46"/>
  <c r="BW66" i="41"/>
  <c r="BW81" i="41"/>
  <c r="DL270" i="42"/>
  <c r="DN285" i="42"/>
  <c r="DN287" i="42" s="1"/>
  <c r="DL287" i="42"/>
  <c r="DL319" i="42"/>
  <c r="DM293" i="42" s="1"/>
  <c r="DR59" i="46"/>
  <c r="DP43" i="46"/>
  <c r="DP44" i="46" s="1"/>
  <c r="DP48" i="46" s="1"/>
  <c r="DP50" i="46" s="1"/>
  <c r="DP79" i="46" s="1"/>
  <c r="DQ54" i="46"/>
  <c r="DQ57" i="46" s="1"/>
  <c r="DQ43" i="46" s="1"/>
  <c r="DN97" i="49"/>
  <c r="DR545" i="42"/>
  <c r="DR20" i="20"/>
  <c r="BX22" i="41"/>
  <c r="DR60" i="46"/>
  <c r="DN51" i="46"/>
  <c r="H14" i="79"/>
  <c r="D21" i="78"/>
  <c r="DR115" i="49"/>
  <c r="DR141" i="49" s="1"/>
  <c r="DS8" i="43"/>
  <c r="DR47" i="43"/>
  <c r="DR133" i="49" s="1"/>
  <c r="DR96" i="49"/>
  <c r="DR159" i="49"/>
  <c r="DS159" i="49" s="1"/>
  <c r="DR183" i="49" s="1"/>
  <c r="DR262" i="49"/>
  <c r="DS262" i="49" s="1"/>
  <c r="DR286" i="49" s="1"/>
  <c r="DQ44" i="46" l="1"/>
  <c r="DQ48" i="46" s="1"/>
  <c r="DQ50" i="46" s="1"/>
  <c r="DQ79" i="46" s="1"/>
  <c r="DR43" i="46"/>
  <c r="DR44" i="46" s="1"/>
  <c r="DR48" i="46" s="1"/>
  <c r="DR50" i="46" s="1"/>
  <c r="DN104" i="42"/>
  <c r="DP282" i="42"/>
  <c r="DN270" i="42"/>
  <c r="DL57" i="43"/>
  <c r="DN293" i="42"/>
  <c r="DM295" i="42"/>
  <c r="DL104" i="42"/>
  <c r="DM282" i="42"/>
  <c r="DM287" i="42" s="1"/>
  <c r="DM104" i="42" s="1"/>
  <c r="DP110" i="46"/>
  <c r="DP51" i="46"/>
  <c r="BX66" i="41"/>
  <c r="BX81" i="41"/>
  <c r="H15" i="79"/>
  <c r="D23" i="78"/>
  <c r="DN295" i="42" l="1"/>
  <c r="DN109" i="49"/>
  <c r="DL96" i="42"/>
  <c r="DL260" i="42"/>
  <c r="DL13" i="46"/>
  <c r="DM296" i="42"/>
  <c r="DM43" i="43"/>
  <c r="DN92" i="49"/>
  <c r="DM96" i="42"/>
  <c r="DM260" i="42"/>
  <c r="DM13" i="46"/>
  <c r="DR282" i="42"/>
  <c r="DN96" i="42"/>
  <c r="DN260" i="42"/>
  <c r="DN13" i="46"/>
  <c r="D24" i="78"/>
  <c r="H17" i="79"/>
  <c r="DQ110" i="46"/>
  <c r="DQ51" i="46"/>
  <c r="DR79" i="46"/>
  <c r="DR51" i="46" l="1"/>
  <c r="DM504" i="42"/>
  <c r="EX16" i="41"/>
  <c r="DM41" i="43"/>
  <c r="DM40" i="43"/>
  <c r="DR110" i="46"/>
  <c r="D56" i="78"/>
  <c r="D61" i="78" s="1"/>
  <c r="H18" i="79"/>
  <c r="DN296" i="42"/>
  <c r="DN112" i="49" s="1"/>
  <c r="DM26" i="46"/>
  <c r="DL26" i="46"/>
  <c r="DP290" i="42"/>
  <c r="DN111" i="49"/>
  <c r="DN43" i="43"/>
  <c r="DL125" i="46" l="1"/>
  <c r="DM126" i="49"/>
  <c r="DM44" i="43"/>
  <c r="DN40" i="43"/>
  <c r="DM42" i="43"/>
  <c r="EX13" i="41"/>
  <c r="EX15" i="41" s="1"/>
  <c r="DN504" i="42"/>
  <c r="DN129" i="49"/>
  <c r="EY16" i="41"/>
  <c r="DN26" i="46"/>
  <c r="DM125" i="46"/>
  <c r="DO125" i="46" s="1"/>
  <c r="DN41" i="43"/>
  <c r="DM45" i="43"/>
  <c r="DP325" i="42"/>
  <c r="DR290" i="42"/>
  <c r="BS28" i="41" l="1"/>
  <c r="BS72" i="41" s="1"/>
  <c r="DP294" i="42"/>
  <c r="DP323" i="42"/>
  <c r="DP286" i="42" s="1"/>
  <c r="DN45" i="43"/>
  <c r="DN127" i="49"/>
  <c r="DN126" i="49"/>
  <c r="DN42" i="43"/>
  <c r="DO40" i="43"/>
  <c r="EY13" i="41"/>
  <c r="EY15" i="41" s="1"/>
  <c r="F45" i="78"/>
  <c r="DP311" i="42"/>
  <c r="DN44" i="43"/>
  <c r="DM46" i="43"/>
  <c r="DR106" i="49"/>
  <c r="DN130" i="49" l="1"/>
  <c r="DN48" i="43"/>
  <c r="DN46" i="43"/>
  <c r="DN51" i="43"/>
  <c r="DR311" i="42"/>
  <c r="DP312" i="42"/>
  <c r="DP446" i="42"/>
  <c r="DM54" i="43"/>
  <c r="DM50" i="43"/>
  <c r="DM57" i="43"/>
  <c r="DN131" i="49"/>
  <c r="DN49" i="43"/>
  <c r="DP295" i="42"/>
  <c r="DN128" i="49"/>
  <c r="DN8" i="49" s="1"/>
  <c r="DO8" i="49" s="1"/>
  <c r="BT28" i="41"/>
  <c r="DP296" i="42" l="1"/>
  <c r="DQ290" i="42"/>
  <c r="DP43" i="43"/>
  <c r="DR446" i="42"/>
  <c r="DP275" i="42"/>
  <c r="DP314" i="42"/>
  <c r="DR312" i="42"/>
  <c r="DN135" i="49"/>
  <c r="DN238" i="49" s="1"/>
  <c r="DN341" i="49" s="1"/>
  <c r="DN134" i="49"/>
  <c r="DN237" i="49" s="1"/>
  <c r="DN340" i="49" s="1"/>
  <c r="EY14" i="41"/>
  <c r="BT72" i="41"/>
  <c r="DN132" i="49"/>
  <c r="DN54" i="43"/>
  <c r="DN50" i="43"/>
  <c r="DN57" i="43"/>
  <c r="DN136" i="49" l="1"/>
  <c r="DR315" i="42"/>
  <c r="DR313" i="42"/>
  <c r="DR314" i="42"/>
  <c r="DP317" i="42"/>
  <c r="DP318" i="42" s="1"/>
  <c r="DP320" i="42" s="1"/>
  <c r="DP285" i="42" s="1"/>
  <c r="DR275" i="42"/>
  <c r="DP504" i="42"/>
  <c r="FA16" i="41"/>
  <c r="DP40" i="43"/>
  <c r="DP41" i="43"/>
  <c r="DQ325" i="42"/>
  <c r="DR97" i="49" l="1"/>
  <c r="DP270" i="42"/>
  <c r="DR285" i="42"/>
  <c r="DP287" i="42"/>
  <c r="DP319" i="42"/>
  <c r="DQ293" i="42" s="1"/>
  <c r="DQ294" i="42"/>
  <c r="DR294" i="42" s="1"/>
  <c r="DR110" i="49" s="1"/>
  <c r="DR325" i="42"/>
  <c r="DR326" i="42" s="1"/>
  <c r="DQ323" i="42"/>
  <c r="DP45" i="43"/>
  <c r="DP126" i="49"/>
  <c r="DP42" i="43"/>
  <c r="DP44" i="43"/>
  <c r="FA13" i="41"/>
  <c r="FA15" i="41" s="1"/>
  <c r="BV28" i="41" l="1"/>
  <c r="BV72" i="41" s="1"/>
  <c r="DR316" i="49"/>
  <c r="DR213" i="49"/>
  <c r="DP46" i="43"/>
  <c r="DR293" i="42"/>
  <c r="DQ295" i="42"/>
  <c r="DP104" i="42"/>
  <c r="DQ282" i="42"/>
  <c r="DR270" i="42"/>
  <c r="DR323" i="42"/>
  <c r="DR324" i="42" s="1"/>
  <c r="DQ286" i="42"/>
  <c r="DR286" i="42" s="1"/>
  <c r="DR287" i="42" s="1"/>
  <c r="DR104" i="42" s="1"/>
  <c r="DQ287" i="42" l="1"/>
  <c r="DQ104" i="42" s="1"/>
  <c r="DQ96" i="42" s="1"/>
  <c r="DP57" i="43"/>
  <c r="DP54" i="43"/>
  <c r="DP50" i="43"/>
  <c r="DR92" i="49"/>
  <c r="DP96" i="42"/>
  <c r="DP260" i="42"/>
  <c r="DP13" i="46"/>
  <c r="DR96" i="42"/>
  <c r="DR260" i="42"/>
  <c r="DR13" i="46"/>
  <c r="DQ296" i="42"/>
  <c r="DQ43" i="43"/>
  <c r="DR109" i="49"/>
  <c r="DR295" i="42"/>
  <c r="DQ13" i="46" l="1"/>
  <c r="DQ26" i="46" s="1"/>
  <c r="DQ260" i="42"/>
  <c r="DP26" i="46"/>
  <c r="DR296" i="42"/>
  <c r="DR112" i="49" s="1"/>
  <c r="DR111" i="49"/>
  <c r="DR43" i="43"/>
  <c r="DQ504" i="42"/>
  <c r="FB16" i="41"/>
  <c r="DQ40" i="43"/>
  <c r="DQ41" i="43"/>
  <c r="DQ45" i="43" l="1"/>
  <c r="DR41" i="43"/>
  <c r="DQ126" i="49"/>
  <c r="DQ42" i="43"/>
  <c r="DR40" i="43"/>
  <c r="DQ44" i="43"/>
  <c r="FB13" i="41"/>
  <c r="FB15" i="41" s="1"/>
  <c r="DP125" i="46"/>
  <c r="DR504" i="42"/>
  <c r="DR129" i="49"/>
  <c r="FC16" i="41"/>
  <c r="DQ125" i="46"/>
  <c r="DS125" i="46" s="1"/>
  <c r="DR26" i="46"/>
  <c r="DR44" i="43" l="1"/>
  <c r="DQ46" i="43"/>
  <c r="DR126" i="49"/>
  <c r="DS40" i="43"/>
  <c r="DR42" i="43"/>
  <c r="FC13" i="41"/>
  <c r="FC15" i="41" s="1"/>
  <c r="BW28" i="41"/>
  <c r="BW72" i="41" s="1"/>
  <c r="DR127" i="49"/>
  <c r="DR45" i="43"/>
  <c r="DR128" i="49" l="1"/>
  <c r="DR8" i="49" s="1"/>
  <c r="DS8" i="49" s="1"/>
  <c r="BX28" i="41"/>
  <c r="BX72" i="41" s="1"/>
  <c r="DR131" i="49"/>
  <c r="DR49" i="43"/>
  <c r="DQ57" i="43"/>
  <c r="DQ54" i="43"/>
  <c r="DQ50" i="43"/>
  <c r="DR130" i="49"/>
  <c r="DR46" i="43"/>
  <c r="DR48" i="43"/>
  <c r="DR51" i="43"/>
  <c r="DR135" i="49" l="1"/>
  <c r="DR238" i="49" s="1"/>
  <c r="DR341" i="49" s="1"/>
  <c r="DR134" i="49"/>
  <c r="DR237" i="49" s="1"/>
  <c r="DR340" i="49" s="1"/>
  <c r="FC14" i="41"/>
  <c r="DR132" i="49"/>
  <c r="DR57" i="43"/>
  <c r="DR54" i="43"/>
  <c r="DR50" i="43"/>
  <c r="DR136" i="49" l="1"/>
  <c r="DI267" i="42"/>
  <c r="DI540" i="42"/>
  <c r="DJ540" i="42" s="1"/>
  <c r="DJ139" i="49" s="1"/>
  <c r="DJ242" i="49" s="1"/>
  <c r="DH1105" i="10"/>
  <c r="ES9" i="41"/>
  <c r="ES12" i="41" s="1"/>
  <c r="ES10" i="41"/>
  <c r="ES11" i="41" s="1"/>
  <c r="ES21" i="41"/>
  <c r="ES22" i="41"/>
  <c r="ES37" i="41"/>
  <c r="ES39" i="41"/>
  <c r="ES51" i="41"/>
  <c r="ES56" i="41" s="1"/>
  <c r="DL540" i="42" l="1"/>
  <c r="DM540" i="42" s="1"/>
  <c r="DP540" i="42" s="1"/>
  <c r="ES55" i="41"/>
  <c r="ES54" i="41"/>
  <c r="DJ345" i="49"/>
  <c r="DN540" i="42" l="1"/>
  <c r="DN139" i="49" s="1"/>
  <c r="DN242" i="49" s="1"/>
  <c r="DQ540" i="42"/>
  <c r="DR540" i="42" s="1"/>
  <c r="DR139" i="49" s="1"/>
  <c r="DN345" i="49" l="1"/>
  <c r="DR242" i="49"/>
  <c r="DR345" i="49"/>
  <c r="ES67" i="41" l="1"/>
  <c r="DH297" i="42" l="1"/>
  <c r="DI9" i="43"/>
  <c r="DL9" i="43" s="1"/>
  <c r="ES17" i="41"/>
  <c r="ES18" i="41"/>
  <c r="BN24" i="41"/>
  <c r="BN25" i="41"/>
  <c r="BN26" i="41"/>
  <c r="BN27" i="41"/>
  <c r="BN71" i="41" s="1"/>
  <c r="DI10" i="43" l="1"/>
  <c r="DJ10" i="43" s="1"/>
  <c r="DJ116" i="49" s="1"/>
  <c r="DJ219" i="49" s="1"/>
  <c r="BN70" i="41"/>
  <c r="DM9" i="43"/>
  <c r="DP9" i="43" s="1"/>
  <c r="DL10" i="43"/>
  <c r="DL11" i="43" s="1"/>
  <c r="DL13" i="43" s="1"/>
  <c r="DI297" i="42"/>
  <c r="DJ297" i="42" s="1"/>
  <c r="DH298" i="42"/>
  <c r="DJ322" i="49" l="1"/>
  <c r="DJ9" i="43"/>
  <c r="DI11" i="43"/>
  <c r="DI13" i="43" s="1"/>
  <c r="DJ11" i="43"/>
  <c r="DJ117" i="49" s="1"/>
  <c r="DM10" i="43"/>
  <c r="DJ113" i="49"/>
  <c r="DJ298" i="42"/>
  <c r="DJ19" i="43"/>
  <c r="DJ21" i="43" s="1"/>
  <c r="DL297" i="42"/>
  <c r="DI298" i="42"/>
  <c r="DI19" i="43"/>
  <c r="DI21" i="43" s="1"/>
  <c r="DP10" i="43"/>
  <c r="DQ9" i="43"/>
  <c r="DQ10" i="43" s="1"/>
  <c r="DL15" i="43"/>
  <c r="DL17" i="43" s="1"/>
  <c r="DM11" i="43" l="1"/>
  <c r="DJ30" i="43"/>
  <c r="DJ36" i="43" s="1"/>
  <c r="DJ13" i="43"/>
  <c r="DJ15" i="43" s="1"/>
  <c r="DJ17" i="43" s="1"/>
  <c r="DN10" i="43"/>
  <c r="DN116" i="49"/>
  <c r="DN9" i="43"/>
  <c r="DN11" i="43"/>
  <c r="DM13" i="43"/>
  <c r="DI27" i="43"/>
  <c r="ET17" i="41"/>
  <c r="DI30" i="43"/>
  <c r="DM297" i="42"/>
  <c r="DN297" i="42" s="1"/>
  <c r="DL298" i="42"/>
  <c r="DL19" i="43"/>
  <c r="DL21" i="43" s="1"/>
  <c r="DI15" i="43"/>
  <c r="DI17" i="43" s="1"/>
  <c r="DJ118" i="49"/>
  <c r="DJ119" i="49" s="1"/>
  <c r="DJ6" i="49" s="1"/>
  <c r="DK21" i="43"/>
  <c r="DJ27" i="43"/>
  <c r="EU17" i="41"/>
  <c r="DQ11" i="43"/>
  <c r="DR10" i="43"/>
  <c r="DP11" i="43"/>
  <c r="DJ32" i="43" l="1"/>
  <c r="G14" i="78" s="1"/>
  <c r="BP24" i="41"/>
  <c r="DJ35" i="43"/>
  <c r="BP25" i="41" s="1"/>
  <c r="DJ120" i="49"/>
  <c r="DJ123" i="49"/>
  <c r="DJ7" i="49" s="1"/>
  <c r="ET18" i="41"/>
  <c r="DI34" i="43"/>
  <c r="DL27" i="43"/>
  <c r="EW17" i="41"/>
  <c r="DL30" i="43"/>
  <c r="DJ34" i="43"/>
  <c r="DM15" i="43"/>
  <c r="DM17" i="43" s="1"/>
  <c r="DI36" i="43"/>
  <c r="DI35" i="43"/>
  <c r="BO25" i="41" s="1"/>
  <c r="BO24" i="41"/>
  <c r="BP26" i="41"/>
  <c r="DQ13" i="43"/>
  <c r="DN298" i="42"/>
  <c r="DN113" i="49"/>
  <c r="DN19" i="43"/>
  <c r="DN21" i="43" s="1"/>
  <c r="DM298" i="42"/>
  <c r="DP297" i="42"/>
  <c r="DM19" i="43"/>
  <c r="DM21" i="43" s="1"/>
  <c r="DN117" i="49"/>
  <c r="DO11" i="43"/>
  <c r="DN13" i="43"/>
  <c r="DK27" i="43"/>
  <c r="EU18" i="41"/>
  <c r="DN322" i="49"/>
  <c r="DN219" i="49"/>
  <c r="DP13" i="43"/>
  <c r="DR116" i="49"/>
  <c r="DR11" i="43"/>
  <c r="DR9" i="43"/>
  <c r="DI32" i="43"/>
  <c r="EU8" i="41" l="1"/>
  <c r="EW18" i="41"/>
  <c r="DL32" i="43"/>
  <c r="DL34" i="43"/>
  <c r="DN118" i="49"/>
  <c r="DN119" i="49" s="1"/>
  <c r="DN6" i="49" s="1"/>
  <c r="DO6" i="49" s="1"/>
  <c r="DN27" i="43"/>
  <c r="DO21" i="43"/>
  <c r="EY17" i="41"/>
  <c r="DR219" i="49"/>
  <c r="DR322" i="49"/>
  <c r="DQ15" i="43"/>
  <c r="DQ17" i="43" s="1"/>
  <c r="DR117" i="49"/>
  <c r="DS11" i="43"/>
  <c r="DR13" i="43"/>
  <c r="DP15" i="43"/>
  <c r="DP17" i="43" s="1"/>
  <c r="DP298" i="42"/>
  <c r="DQ297" i="42"/>
  <c r="DP19" i="43"/>
  <c r="DP21" i="43" s="1"/>
  <c r="DO13" i="43"/>
  <c r="DN15" i="43"/>
  <c r="DN17" i="43" s="1"/>
  <c r="BO27" i="41"/>
  <c r="DN30" i="43"/>
  <c r="BP27" i="41"/>
  <c r="DL36" i="43"/>
  <c r="DL35" i="43"/>
  <c r="BR25" i="41" s="1"/>
  <c r="BR24" i="41"/>
  <c r="BO26" i="41"/>
  <c r="DM27" i="43"/>
  <c r="DM34" i="43" s="1"/>
  <c r="EX17" i="41"/>
  <c r="DM30" i="43"/>
  <c r="DN123" i="49" l="1"/>
  <c r="DN7" i="49" s="1"/>
  <c r="DO7" i="49" s="1"/>
  <c r="DQ298" i="42"/>
  <c r="DQ19" i="43"/>
  <c r="DQ21" i="43" s="1"/>
  <c r="EW8" i="41"/>
  <c r="BR70" i="41"/>
  <c r="DP27" i="43"/>
  <c r="FA17" i="41"/>
  <c r="DP30" i="43"/>
  <c r="BS27" i="41"/>
  <c r="EX18" i="41"/>
  <c r="DM32" i="43"/>
  <c r="DO17" i="43"/>
  <c r="DN34" i="43"/>
  <c r="DR297" i="42"/>
  <c r="DN120" i="49"/>
  <c r="DO30" i="43"/>
  <c r="DN36" i="43"/>
  <c r="DN35" i="43"/>
  <c r="BT25" i="41" s="1"/>
  <c r="BT24" i="41"/>
  <c r="DO27" i="43"/>
  <c r="EY18" i="41"/>
  <c r="BR27" i="41"/>
  <c r="BR26" i="41"/>
  <c r="DN32" i="43"/>
  <c r="DR15" i="43"/>
  <c r="DR17" i="43" s="1"/>
  <c r="DS13" i="43"/>
  <c r="EU7" i="41"/>
  <c r="DM36" i="43"/>
  <c r="DM35" i="43"/>
  <c r="BS25" i="41" s="1"/>
  <c r="BS24" i="41"/>
  <c r="BT26" i="41" l="1"/>
  <c r="F43" i="78"/>
  <c r="G18" i="78"/>
  <c r="D25" i="78" s="1"/>
  <c r="D26" i="78" s="1"/>
  <c r="DP36" i="43"/>
  <c r="DP35" i="43"/>
  <c r="BV25" i="41" s="1"/>
  <c r="BV24" i="41"/>
  <c r="FA18" i="41"/>
  <c r="DP32" i="43"/>
  <c r="DR298" i="42"/>
  <c r="DR113" i="49"/>
  <c r="DR19" i="43"/>
  <c r="DR21" i="43" s="1"/>
  <c r="DS17" i="43"/>
  <c r="BT27" i="41"/>
  <c r="EX7" i="41"/>
  <c r="BS71" i="41"/>
  <c r="BS26" i="41"/>
  <c r="EX8" i="41"/>
  <c r="BS70" i="41"/>
  <c r="EW7" i="41"/>
  <c r="BR71" i="41"/>
  <c r="DQ27" i="43"/>
  <c r="FB17" i="41"/>
  <c r="DQ30" i="43"/>
  <c r="BT70" i="41"/>
  <c r="EY8" i="41"/>
  <c r="DP34" i="43"/>
  <c r="BV27" i="41" l="1"/>
  <c r="BV26" i="41"/>
  <c r="H19" i="79"/>
  <c r="BT71" i="41"/>
  <c r="EY7" i="41"/>
  <c r="DQ36" i="43"/>
  <c r="BW24" i="41"/>
  <c r="DR118" i="49"/>
  <c r="DR27" i="43"/>
  <c r="DS21" i="43"/>
  <c r="FC17" i="41"/>
  <c r="DR30" i="43"/>
  <c r="FB18" i="41"/>
  <c r="DQ32" i="43"/>
  <c r="DQ34" i="43"/>
  <c r="BV70" i="41"/>
  <c r="FA8" i="41"/>
  <c r="BW27" i="41" l="1"/>
  <c r="BW26" i="41"/>
  <c r="DS27" i="43"/>
  <c r="FC18" i="41"/>
  <c r="DR32" i="43"/>
  <c r="DR34" i="43"/>
  <c r="DR123" i="49"/>
  <c r="DR7" i="49" s="1"/>
  <c r="DS7" i="49" s="1"/>
  <c r="DR119" i="49"/>
  <c r="DR6" i="49" s="1"/>
  <c r="DS6" i="49" s="1"/>
  <c r="FA7" i="41"/>
  <c r="BV71" i="41"/>
  <c r="DR120" i="49"/>
  <c r="DS30" i="43"/>
  <c r="DR36" i="43"/>
  <c r="BX24" i="41"/>
  <c r="BW70" i="41"/>
  <c r="FB8" i="41"/>
  <c r="F26" i="78"/>
  <c r="H20" i="79"/>
  <c r="BX70" i="41" l="1"/>
  <c r="FC8" i="41"/>
  <c r="BX26" i="41"/>
  <c r="BX27" i="41"/>
  <c r="FB7" i="41"/>
  <c r="BW71" i="41"/>
  <c r="FC7" i="41" l="1"/>
  <c r="BX71" i="41"/>
  <c r="DH231" i="42"/>
  <c r="DH232" i="42" s="1"/>
  <c r="DI232" i="42" s="1"/>
  <c r="ES69" i="41"/>
  <c r="ES70" i="41"/>
  <c r="ES71" i="41"/>
  <c r="ES72" i="41"/>
  <c r="DL232" i="42" l="1"/>
  <c r="DM232" i="42" l="1"/>
  <c r="DP232" i="42" l="1"/>
  <c r="DQ232" i="42" l="1"/>
  <c r="M14" i="78" l="1"/>
  <c r="M15" i="78"/>
  <c r="M18" i="78"/>
  <c r="M19" i="78"/>
  <c r="M24" i="78"/>
  <c r="DI201" i="46" l="1"/>
  <c r="DL201" i="46" s="1"/>
  <c r="DI202" i="46"/>
  <c r="DI212" i="46" s="1"/>
  <c r="DI204" i="46"/>
  <c r="DL204" i="46" s="1"/>
  <c r="DI214" i="46" l="1"/>
  <c r="DI171" i="46" s="1"/>
  <c r="DJ171" i="46" s="1"/>
  <c r="DL202" i="46"/>
  <c r="DJ214" i="46"/>
  <c r="DK214" i="46" s="1"/>
  <c r="DL214" i="46"/>
  <c r="DL171" i="46" s="1"/>
  <c r="DM204" i="46"/>
  <c r="DJ212" i="46"/>
  <c r="DK212" i="46" s="1"/>
  <c r="DI169" i="46"/>
  <c r="DJ169" i="46" s="1"/>
  <c r="DM201" i="46"/>
  <c r="DL211" i="46"/>
  <c r="DI211" i="46"/>
  <c r="DL212" i="46" l="1"/>
  <c r="DL169" i="46" s="1"/>
  <c r="DM202" i="46"/>
  <c r="DL168" i="46"/>
  <c r="DP201" i="46"/>
  <c r="DM211" i="46"/>
  <c r="DI168" i="46"/>
  <c r="DJ211" i="46"/>
  <c r="DK211" i="46" s="1"/>
  <c r="DM214" i="46"/>
  <c r="DP204" i="46"/>
  <c r="DP202" i="46" l="1"/>
  <c r="DM212" i="46"/>
  <c r="DJ168" i="46"/>
  <c r="DM168" i="46"/>
  <c r="DN211" i="46"/>
  <c r="DO211" i="46" s="1"/>
  <c r="DP211" i="46"/>
  <c r="DQ201" i="46"/>
  <c r="DQ211" i="46" s="1"/>
  <c r="DQ204" i="46"/>
  <c r="DQ214" i="46" s="1"/>
  <c r="DP214" i="46"/>
  <c r="DP171" i="46" s="1"/>
  <c r="DN214" i="46"/>
  <c r="DO214" i="46" s="1"/>
  <c r="DM171" i="46"/>
  <c r="DN171" i="46" s="1"/>
  <c r="DM169" i="46" l="1"/>
  <c r="DN169" i="46" s="1"/>
  <c r="DN212" i="46"/>
  <c r="DO212" i="46" s="1"/>
  <c r="DQ202" i="46"/>
  <c r="DQ212" i="46" s="1"/>
  <c r="DP212" i="46"/>
  <c r="DP169" i="46" s="1"/>
  <c r="DR211" i="46"/>
  <c r="DS211" i="46" s="1"/>
  <c r="DQ168" i="46"/>
  <c r="DP168" i="46"/>
  <c r="DN168" i="46"/>
  <c r="DQ171" i="46"/>
  <c r="DR171" i="46" s="1"/>
  <c r="DR214" i="46"/>
  <c r="DS214" i="46" s="1"/>
  <c r="DR212" i="46" l="1"/>
  <c r="DS212" i="46" s="1"/>
  <c r="DQ169" i="46"/>
  <c r="DR169" i="46" s="1"/>
  <c r="DR168" i="46"/>
  <c r="DH200" i="46" l="1"/>
  <c r="DH210" i="46" s="1"/>
  <c r="DE210" i="46"/>
  <c r="DI200" i="46" l="1"/>
  <c r="DL200" i="46" s="1"/>
  <c r="DL210" i="46" s="1"/>
  <c r="DM200" i="46"/>
  <c r="DF210" i="46"/>
  <c r="DG210" i="46" s="1"/>
  <c r="DE167" i="46"/>
  <c r="DI210" i="46" l="1"/>
  <c r="DL167" i="46"/>
  <c r="DF167" i="46"/>
  <c r="DM210" i="46"/>
  <c r="DP200" i="46"/>
  <c r="DI167" i="46" l="1"/>
  <c r="DJ167" i="46" s="1"/>
  <c r="DJ210" i="46"/>
  <c r="DK210" i="46" s="1"/>
  <c r="DQ200" i="46"/>
  <c r="DQ210" i="46" s="1"/>
  <c r="DP210" i="46"/>
  <c r="DN210" i="46"/>
  <c r="DO210" i="46" s="1"/>
  <c r="DM167" i="46"/>
  <c r="DP167" i="46" l="1"/>
  <c r="DQ167" i="46"/>
  <c r="DR210" i="46"/>
  <c r="DS210" i="46" s="1"/>
  <c r="DN167" i="46"/>
  <c r="DR167" i="46" l="1"/>
  <c r="DH188" i="46" l="1"/>
  <c r="DH167" i="46"/>
  <c r="DH168" i="46"/>
  <c r="DH169" i="46"/>
  <c r="DH171" i="46"/>
  <c r="DI170" i="42" l="1"/>
  <c r="DL170" i="42" s="1"/>
  <c r="DH178" i="42"/>
  <c r="DH424" i="10" s="1"/>
  <c r="DH425" i="10" s="1"/>
  <c r="DH191" i="42"/>
  <c r="DH192" i="42"/>
  <c r="ES47" i="41"/>
  <c r="DI171" i="42" l="1"/>
  <c r="DI178" i="42" s="1"/>
  <c r="DI424" i="10" s="1"/>
  <c r="DI425" i="10" s="1"/>
  <c r="DL171" i="42"/>
  <c r="DM170" i="42"/>
  <c r="DJ171" i="42" l="1"/>
  <c r="DI172" i="42"/>
  <c r="ET48" i="41" s="1"/>
  <c r="DI192" i="42"/>
  <c r="ET47" i="41"/>
  <c r="EW47" i="41"/>
  <c r="EU47" i="41"/>
  <c r="DL178" i="42"/>
  <c r="DL424" i="10" s="1"/>
  <c r="DL425" i="10" s="1"/>
  <c r="DM171" i="42"/>
  <c r="DM178" i="42" s="1"/>
  <c r="DP170" i="42"/>
  <c r="DL192" i="42"/>
  <c r="DL172" i="42"/>
  <c r="EW48" i="41" s="1"/>
  <c r="DI152" i="42"/>
  <c r="DI193" i="42"/>
  <c r="DJ172" i="42"/>
  <c r="EU48" i="41" s="1"/>
  <c r="DI223" i="42"/>
  <c r="DI194" i="46"/>
  <c r="DJ178" i="42"/>
  <c r="DN178" i="42" l="1"/>
  <c r="DN424" i="10"/>
  <c r="DN425" i="10" s="1"/>
  <c r="DJ424" i="10"/>
  <c r="DJ425" i="10" s="1"/>
  <c r="DM424" i="10"/>
  <c r="DM425" i="10" s="1"/>
  <c r="EX47" i="41"/>
  <c r="DI224" i="42"/>
  <c r="DI227" i="42"/>
  <c r="DJ152" i="42"/>
  <c r="DI150" i="42"/>
  <c r="DI151" i="42"/>
  <c r="DI149" i="42" s="1"/>
  <c r="DI153" i="42"/>
  <c r="DL152" i="42"/>
  <c r="DL153" i="42" s="1"/>
  <c r="DL193" i="42"/>
  <c r="DL223" i="42"/>
  <c r="DL194" i="46"/>
  <c r="DP171" i="42"/>
  <c r="DP178" i="42" s="1"/>
  <c r="DP424" i="10" s="1"/>
  <c r="DP425" i="10" s="1"/>
  <c r="DQ170" i="42"/>
  <c r="DN171" i="42"/>
  <c r="DM192" i="42"/>
  <c r="DM172" i="42"/>
  <c r="EX48" i="41" s="1"/>
  <c r="DL472" i="10" l="1"/>
  <c r="DJ153" i="42"/>
  <c r="DJ472" i="10" s="1"/>
  <c r="DI472" i="10"/>
  <c r="DL151" i="42"/>
  <c r="FA47" i="41"/>
  <c r="EY47" i="41"/>
  <c r="DL150" i="42"/>
  <c r="DM152" i="42"/>
  <c r="DM153" i="42" s="1"/>
  <c r="DM472" i="10" s="1"/>
  <c r="DM193" i="42"/>
  <c r="DN172" i="42"/>
  <c r="DM223" i="42"/>
  <c r="DM194" i="46"/>
  <c r="DQ171" i="42"/>
  <c r="DP192" i="42"/>
  <c r="DP172" i="42"/>
  <c r="DL224" i="42"/>
  <c r="DL227" i="42"/>
  <c r="DI148" i="42"/>
  <c r="DI147" i="42"/>
  <c r="DI231" i="42"/>
  <c r="DI132" i="46" s="1"/>
  <c r="DI228" i="42"/>
  <c r="DI146" i="42" l="1"/>
  <c r="DI143" i="42" s="1"/>
  <c r="DI196" i="42" s="1"/>
  <c r="DI134" i="46"/>
  <c r="DK132" i="46"/>
  <c r="DM150" i="42"/>
  <c r="DM151" i="42"/>
  <c r="DL149" i="42"/>
  <c r="DL147" i="42" s="1"/>
  <c r="DL474" i="10"/>
  <c r="DL473" i="10"/>
  <c r="FB47" i="41"/>
  <c r="DM474" i="10"/>
  <c r="DM473" i="10"/>
  <c r="DI474" i="10"/>
  <c r="DI473" i="10"/>
  <c r="DJ474" i="10"/>
  <c r="DJ473" i="10"/>
  <c r="EY48" i="41"/>
  <c r="FA48" i="41"/>
  <c r="DQ178" i="42"/>
  <c r="DN153" i="42"/>
  <c r="DN472" i="10" s="1"/>
  <c r="DI145" i="42"/>
  <c r="DI214" i="42" s="1"/>
  <c r="DL228" i="42"/>
  <c r="DL231" i="42"/>
  <c r="DL132" i="46" s="1"/>
  <c r="DL134" i="46" s="1"/>
  <c r="DL86" i="46" s="1"/>
  <c r="DP152" i="42"/>
  <c r="DP193" i="42"/>
  <c r="DP223" i="42"/>
  <c r="DP194" i="46"/>
  <c r="DQ172" i="42"/>
  <c r="DR171" i="42"/>
  <c r="FC47" i="41" s="1"/>
  <c r="DQ192" i="42"/>
  <c r="DM224" i="42"/>
  <c r="DM228" i="42" s="1"/>
  <c r="DM227" i="42"/>
  <c r="DN152" i="42"/>
  <c r="DI144" i="42" l="1"/>
  <c r="DI205" i="42" s="1"/>
  <c r="DM149" i="42"/>
  <c r="DP150" i="42"/>
  <c r="DI86" i="46"/>
  <c r="DK134" i="46"/>
  <c r="DQ424" i="10"/>
  <c r="DQ425" i="10" s="1"/>
  <c r="DR178" i="42"/>
  <c r="DN474" i="10"/>
  <c r="DN473" i="10"/>
  <c r="DL69" i="46"/>
  <c r="DL103" i="46"/>
  <c r="DP153" i="42"/>
  <c r="DL148" i="42"/>
  <c r="DP151" i="42"/>
  <c r="DM147" i="42"/>
  <c r="FB48" i="41"/>
  <c r="DM231" i="42"/>
  <c r="DM132" i="46" s="1"/>
  <c r="DQ223" i="42"/>
  <c r="DR172" i="42"/>
  <c r="DQ152" i="42"/>
  <c r="DQ150" i="42" s="1"/>
  <c r="DQ193" i="42"/>
  <c r="DQ194" i="46"/>
  <c r="DP224" i="42"/>
  <c r="DP227" i="42"/>
  <c r="DI207" i="42"/>
  <c r="DI209" i="42"/>
  <c r="DI200" i="42"/>
  <c r="DI198" i="42"/>
  <c r="DI216" i="42"/>
  <c r="DI218" i="42"/>
  <c r="DM148" i="42" l="1"/>
  <c r="DP149" i="42"/>
  <c r="DM134" i="46"/>
  <c r="DO132" i="46"/>
  <c r="DJ86" i="46"/>
  <c r="DI103" i="46"/>
  <c r="DI69" i="46"/>
  <c r="DJ69" i="46" s="1"/>
  <c r="DM146" i="42"/>
  <c r="DM143" i="42" s="1"/>
  <c r="DM196" i="42" s="1"/>
  <c r="DM198" i="42" s="1"/>
  <c r="DL146" i="42"/>
  <c r="DL143" i="42" s="1"/>
  <c r="DL196" i="42" s="1"/>
  <c r="DM200" i="42" s="1"/>
  <c r="DQ153" i="42"/>
  <c r="DQ472" i="10" s="1"/>
  <c r="DQ473" i="10" s="1"/>
  <c r="DP147" i="42"/>
  <c r="DP148" i="42"/>
  <c r="DP472" i="10"/>
  <c r="DR424" i="10"/>
  <c r="DR425" i="10" s="1"/>
  <c r="FC48" i="41"/>
  <c r="DQ151" i="42"/>
  <c r="DQ149" i="42" s="1"/>
  <c r="DJ216" i="42"/>
  <c r="DJ23" i="42" s="1"/>
  <c r="DI220" i="42"/>
  <c r="DI23" i="42"/>
  <c r="DI17" i="42"/>
  <c r="DJ198" i="42"/>
  <c r="DJ17" i="42" s="1"/>
  <c r="DI202" i="42"/>
  <c r="DI19" i="42"/>
  <c r="DJ207" i="42"/>
  <c r="DJ19" i="42" s="1"/>
  <c r="DI211" i="42"/>
  <c r="DP228" i="42"/>
  <c r="DP231" i="42"/>
  <c r="DP132" i="46" s="1"/>
  <c r="DP134" i="46" s="1"/>
  <c r="DP86" i="46" s="1"/>
  <c r="DR152" i="42"/>
  <c r="DQ224" i="42"/>
  <c r="DQ227" i="42"/>
  <c r="DL145" i="42" l="1"/>
  <c r="DL214" i="42" s="1"/>
  <c r="DL144" i="42"/>
  <c r="DL205" i="42" s="1"/>
  <c r="DL207" i="42" s="1"/>
  <c r="DQ474" i="10"/>
  <c r="DM144" i="42"/>
  <c r="DM205" i="42" s="1"/>
  <c r="DM209" i="42" s="1"/>
  <c r="DR153" i="42"/>
  <c r="DR472" i="10" s="1"/>
  <c r="DM145" i="42"/>
  <c r="DM214" i="42" s="1"/>
  <c r="DM216" i="42" s="1"/>
  <c r="DM23" i="42" s="1"/>
  <c r="DM86" i="46"/>
  <c r="DO134" i="46"/>
  <c r="DJ27" i="42"/>
  <c r="DJ526" i="42" s="1"/>
  <c r="EU44" i="41"/>
  <c r="DQ147" i="42"/>
  <c r="DI38" i="42"/>
  <c r="ET44" i="41"/>
  <c r="DI42" i="42"/>
  <c r="DL216" i="42"/>
  <c r="DL218" i="42"/>
  <c r="DR473" i="10"/>
  <c r="DR474" i="10"/>
  <c r="DL198" i="42"/>
  <c r="DL200" i="42"/>
  <c r="DP473" i="10"/>
  <c r="DP474" i="10"/>
  <c r="DQ148" i="42"/>
  <c r="DP146" i="42"/>
  <c r="DM17" i="42"/>
  <c r="DN198" i="42"/>
  <c r="DN17" i="42" s="1"/>
  <c r="DQ228" i="42"/>
  <c r="DQ231" i="42"/>
  <c r="DQ132" i="46" s="1"/>
  <c r="DP103" i="46"/>
  <c r="DP69" i="46"/>
  <c r="DI36" i="42"/>
  <c r="DI245" i="42"/>
  <c r="DI244" i="42" s="1"/>
  <c r="DI57" i="42" s="1"/>
  <c r="DI27" i="42"/>
  <c r="DM220" i="42" l="1"/>
  <c r="DN216" i="42"/>
  <c r="DN23" i="42" s="1"/>
  <c r="DL209" i="42"/>
  <c r="DM207" i="42"/>
  <c r="DM19" i="42" s="1"/>
  <c r="DM27" i="42" s="1"/>
  <c r="DM218" i="42"/>
  <c r="DN86" i="46"/>
  <c r="DM103" i="46"/>
  <c r="DM69" i="46"/>
  <c r="DN69" i="46" s="1"/>
  <c r="DQ134" i="46"/>
  <c r="DS132" i="46"/>
  <c r="DQ146" i="42"/>
  <c r="DQ144" i="42" s="1"/>
  <c r="DQ205" i="42" s="1"/>
  <c r="DQ207" i="42" s="1"/>
  <c r="EY44" i="41"/>
  <c r="DL19" i="42"/>
  <c r="DL211" i="42"/>
  <c r="DL17" i="42"/>
  <c r="DM36" i="42" s="1"/>
  <c r="DL202" i="42"/>
  <c r="EX44" i="41"/>
  <c r="EU49" i="41"/>
  <c r="ET49" i="41"/>
  <c r="DM202" i="42"/>
  <c r="DP145" i="42"/>
  <c r="DP214" i="42" s="1"/>
  <c r="DP144" i="42"/>
  <c r="DP205" i="42" s="1"/>
  <c r="DP143" i="42"/>
  <c r="DP196" i="42" s="1"/>
  <c r="DL220" i="42"/>
  <c r="DL23" i="42"/>
  <c r="DM42" i="42" s="1"/>
  <c r="DI46" i="42"/>
  <c r="DI526" i="42"/>
  <c r="DI454" i="42"/>
  <c r="DI537" i="42"/>
  <c r="DI66" i="10" s="1"/>
  <c r="DI160" i="46"/>
  <c r="DI144" i="46" s="1"/>
  <c r="DI145" i="46" s="1"/>
  <c r="DI80" i="42"/>
  <c r="DJ57" i="42"/>
  <c r="DM245" i="42"/>
  <c r="DM244" i="42" s="1"/>
  <c r="DM57" i="42" s="1"/>
  <c r="DM211" i="42" l="1"/>
  <c r="DN207" i="42"/>
  <c r="DN19" i="42" s="1"/>
  <c r="DN27" i="42"/>
  <c r="DQ143" i="42"/>
  <c r="DQ196" i="42" s="1"/>
  <c r="DQ198" i="42" s="1"/>
  <c r="DQ145" i="42"/>
  <c r="DQ214" i="42" s="1"/>
  <c r="DQ216" i="42" s="1"/>
  <c r="DR216" i="42" s="1"/>
  <c r="DR23" i="42" s="1"/>
  <c r="DQ86" i="46"/>
  <c r="DS134" i="46"/>
  <c r="DQ200" i="42"/>
  <c r="DQ218" i="42"/>
  <c r="DQ209" i="42"/>
  <c r="DI69" i="10"/>
  <c r="DI70" i="10" s="1"/>
  <c r="DI63" i="10"/>
  <c r="ET52" i="41"/>
  <c r="EU52" i="41"/>
  <c r="DL38" i="42"/>
  <c r="ET53" i="41"/>
  <c r="EW44" i="41"/>
  <c r="DL245" i="42"/>
  <c r="DL244" i="42" s="1"/>
  <c r="DL57" i="42" s="1"/>
  <c r="DL27" i="42"/>
  <c r="DM46" i="42" s="1"/>
  <c r="DL36" i="42"/>
  <c r="DP200" i="42"/>
  <c r="DP198" i="42"/>
  <c r="DP209" i="42"/>
  <c r="DP207" i="42"/>
  <c r="DQ211" i="42" s="1"/>
  <c r="DL42" i="42"/>
  <c r="EY49" i="41"/>
  <c r="EY53" i="41" s="1"/>
  <c r="EX49" i="41"/>
  <c r="EX53" i="41" s="1"/>
  <c r="EU53" i="41"/>
  <c r="DP216" i="42"/>
  <c r="DP218" i="42"/>
  <c r="DM38" i="42"/>
  <c r="DM526" i="42"/>
  <c r="DM454" i="42"/>
  <c r="DM160" i="46"/>
  <c r="DM144" i="46" s="1"/>
  <c r="DM145" i="46" s="1"/>
  <c r="DN57" i="42"/>
  <c r="DQ19" i="42"/>
  <c r="DR207" i="42"/>
  <c r="DR19" i="42" s="1"/>
  <c r="DI151" i="46"/>
  <c r="DJ145" i="46"/>
  <c r="DK145" i="46" s="1"/>
  <c r="DJ537" i="42"/>
  <c r="DI546" i="42"/>
  <c r="DJ454" i="42"/>
  <c r="DI456" i="42"/>
  <c r="ET36" i="41" s="1"/>
  <c r="DN526" i="42" l="1"/>
  <c r="DQ23" i="42"/>
  <c r="DQ202" i="42"/>
  <c r="DQ17" i="42"/>
  <c r="DR86" i="46"/>
  <c r="DQ69" i="46"/>
  <c r="DR69" i="46" s="1"/>
  <c r="DQ103" i="46"/>
  <c r="DR198" i="42"/>
  <c r="DR17" i="42" s="1"/>
  <c r="FC44" i="41" s="1"/>
  <c r="DM537" i="42"/>
  <c r="DM546" i="42" s="1"/>
  <c r="EX23" i="41" s="1"/>
  <c r="DP220" i="42"/>
  <c r="DP23" i="42"/>
  <c r="DM151" i="46"/>
  <c r="DN151" i="46" s="1"/>
  <c r="DN145" i="46"/>
  <c r="DO145" i="46" s="1"/>
  <c r="DJ546" i="42"/>
  <c r="EU23" i="41" s="1"/>
  <c r="DJ66" i="10"/>
  <c r="DJ69" i="10" s="1"/>
  <c r="ET23" i="41"/>
  <c r="DP202" i="42"/>
  <c r="DP17" i="42"/>
  <c r="DJ63" i="10"/>
  <c r="DI64" i="10"/>
  <c r="DL80" i="42"/>
  <c r="DP19" i="42"/>
  <c r="DQ38" i="42" s="1"/>
  <c r="DP211" i="42"/>
  <c r="DQ220" i="42"/>
  <c r="EX52" i="41"/>
  <c r="EY52" i="41"/>
  <c r="DM80" i="42"/>
  <c r="EW49" i="41"/>
  <c r="DL537" i="42"/>
  <c r="DL46" i="42"/>
  <c r="DL454" i="42"/>
  <c r="DL456" i="42" s="1"/>
  <c r="DL526" i="42"/>
  <c r="DL160" i="46"/>
  <c r="DL144" i="46" s="1"/>
  <c r="DL145" i="46" s="1"/>
  <c r="DL151" i="46" s="1"/>
  <c r="DL83" i="46" s="1"/>
  <c r="DI455" i="42"/>
  <c r="DI486" i="42"/>
  <c r="DI459" i="42"/>
  <c r="DJ459" i="42" s="1"/>
  <c r="DJ456" i="42"/>
  <c r="EU36" i="41" s="1"/>
  <c r="DI527" i="42"/>
  <c r="DI186" i="46"/>
  <c r="DI83" i="46"/>
  <c r="DI85" i="46" s="1"/>
  <c r="DI87" i="46" s="1"/>
  <c r="DJ87" i="46" s="1"/>
  <c r="DJ151" i="46"/>
  <c r="DK151" i="46" s="1"/>
  <c r="DQ245" i="42"/>
  <c r="DQ244" i="42" s="1"/>
  <c r="DQ57" i="42" s="1"/>
  <c r="DQ27" i="42"/>
  <c r="DM456" i="42"/>
  <c r="EX36" i="41" s="1"/>
  <c r="DN454" i="42"/>
  <c r="DQ42" i="42" l="1"/>
  <c r="DR27" i="42"/>
  <c r="FB44" i="41"/>
  <c r="DR526" i="42"/>
  <c r="DM66" i="10"/>
  <c r="DM63" i="10" s="1"/>
  <c r="DO151" i="46"/>
  <c r="DJ67" i="10"/>
  <c r="DL66" i="10"/>
  <c r="DN537" i="42"/>
  <c r="DL546" i="42"/>
  <c r="EW52" i="41"/>
  <c r="DM83" i="46"/>
  <c r="DM85" i="46" s="1"/>
  <c r="DM87" i="46" s="1"/>
  <c r="DN87" i="46" s="1"/>
  <c r="EW53" i="41"/>
  <c r="FC49" i="41"/>
  <c r="FA44" i="41"/>
  <c r="DP36" i="42"/>
  <c r="DP245" i="42"/>
  <c r="DP244" i="42" s="1"/>
  <c r="DP57" i="42" s="1"/>
  <c r="DQ80" i="42" s="1"/>
  <c r="DP27" i="42"/>
  <c r="DQ537" i="42" s="1"/>
  <c r="DJ461" i="42"/>
  <c r="DI68" i="10"/>
  <c r="DJ64" i="10"/>
  <c r="DP42" i="42"/>
  <c r="DL85" i="46"/>
  <c r="DL87" i="46" s="1"/>
  <c r="DL102" i="46"/>
  <c r="DL104" i="46" s="1"/>
  <c r="DL152" i="46"/>
  <c r="DP38" i="42"/>
  <c r="FB49" i="41"/>
  <c r="DI460" i="42"/>
  <c r="DJ460" i="42" s="1"/>
  <c r="DQ36" i="42"/>
  <c r="EW36" i="41"/>
  <c r="DL486" i="42"/>
  <c r="DL186" i="46"/>
  <c r="DL459" i="42"/>
  <c r="DL460" i="42" s="1"/>
  <c r="DL527" i="42"/>
  <c r="DL455" i="42"/>
  <c r="DM459" i="42"/>
  <c r="DN459" i="42" s="1"/>
  <c r="DN456" i="42"/>
  <c r="EY36" i="41" s="1"/>
  <c r="DM527" i="42"/>
  <c r="DM455" i="42"/>
  <c r="DN455" i="42" s="1"/>
  <c r="DM486" i="42"/>
  <c r="DM186" i="46"/>
  <c r="DQ454" i="42"/>
  <c r="DQ526" i="42"/>
  <c r="DQ160" i="46"/>
  <c r="DQ144" i="46" s="1"/>
  <c r="DQ145" i="46" s="1"/>
  <c r="DR57" i="42"/>
  <c r="DI102" i="46"/>
  <c r="DI104" i="46" s="1"/>
  <c r="DI152" i="46"/>
  <c r="DJ83" i="46"/>
  <c r="DK83" i="46" s="1"/>
  <c r="DJ186" i="46"/>
  <c r="DI185" i="46"/>
  <c r="DJ185" i="46" s="1"/>
  <c r="DJ527" i="42"/>
  <c r="DJ457" i="42"/>
  <c r="DI489" i="42"/>
  <c r="ET38" i="41" s="1"/>
  <c r="DJ486" i="42"/>
  <c r="DJ489" i="42" s="1"/>
  <c r="EU38" i="41" s="1"/>
  <c r="DJ455" i="42"/>
  <c r="DI187" i="46"/>
  <c r="DJ187" i="46" s="1"/>
  <c r="FB53" i="41" l="1"/>
  <c r="DM69" i="10"/>
  <c r="DI188" i="46"/>
  <c r="DJ188" i="46" s="1"/>
  <c r="DQ46" i="42"/>
  <c r="DN83" i="46"/>
  <c r="DO83" i="46" s="1"/>
  <c r="DM460" i="42"/>
  <c r="DN460" i="42" s="1"/>
  <c r="DM185" i="46"/>
  <c r="DN185" i="46" s="1"/>
  <c r="FC52" i="41"/>
  <c r="DN546" i="42"/>
  <c r="DN66" i="10"/>
  <c r="DN69" i="10" s="1"/>
  <c r="FB52" i="41"/>
  <c r="DL187" i="46"/>
  <c r="DM187" i="46" s="1"/>
  <c r="DN187" i="46" s="1"/>
  <c r="DL69" i="10"/>
  <c r="DL70" i="10" s="1"/>
  <c r="DL63" i="10"/>
  <c r="DL489" i="42"/>
  <c r="EW38" i="41" s="1"/>
  <c r="EW23" i="41"/>
  <c r="DM64" i="10"/>
  <c r="DL185" i="46"/>
  <c r="FC53" i="41"/>
  <c r="DQ546" i="42"/>
  <c r="FB23" i="41" s="1"/>
  <c r="DQ66" i="10"/>
  <c r="FA49" i="41"/>
  <c r="FA53" i="41" s="1"/>
  <c r="DP46" i="42"/>
  <c r="DP526" i="42"/>
  <c r="DP537" i="42"/>
  <c r="DP454" i="42"/>
  <c r="DP456" i="42" s="1"/>
  <c r="DP160" i="46"/>
  <c r="DP144" i="46" s="1"/>
  <c r="DP145" i="46" s="1"/>
  <c r="DP151" i="46" s="1"/>
  <c r="DP83" i="46" s="1"/>
  <c r="DP80" i="42"/>
  <c r="DM102" i="46"/>
  <c r="DM104" i="46" s="1"/>
  <c r="DN104" i="46" s="1"/>
  <c r="DN461" i="42"/>
  <c r="DM152" i="46"/>
  <c r="DJ68" i="10"/>
  <c r="DJ104" i="46"/>
  <c r="DK104" i="46" s="1"/>
  <c r="DQ151" i="46"/>
  <c r="DR145" i="46"/>
  <c r="DS145" i="46" s="1"/>
  <c r="DR454" i="42"/>
  <c r="DQ456" i="42"/>
  <c r="DN186" i="46"/>
  <c r="DN486" i="42"/>
  <c r="DN489" i="42" s="1"/>
  <c r="EY38" i="41" s="1"/>
  <c r="DM489" i="42"/>
  <c r="EX38" i="41" s="1"/>
  <c r="DN527" i="42"/>
  <c r="DN457" i="42"/>
  <c r="DM70" i="10" l="1"/>
  <c r="DO104" i="46"/>
  <c r="DL188" i="46"/>
  <c r="DM188" i="46"/>
  <c r="DN188" i="46" s="1"/>
  <c r="DP102" i="46"/>
  <c r="DP104" i="46" s="1"/>
  <c r="DP85" i="46"/>
  <c r="DP87" i="46" s="1"/>
  <c r="DP152" i="46"/>
  <c r="DQ69" i="10"/>
  <c r="DQ63" i="10"/>
  <c r="FA36" i="41"/>
  <c r="DP486" i="42"/>
  <c r="DP186" i="46"/>
  <c r="DP459" i="42"/>
  <c r="DP460" i="42" s="1"/>
  <c r="DP455" i="42"/>
  <c r="DP187" i="46" s="1"/>
  <c r="DP527" i="42"/>
  <c r="DQ186" i="46"/>
  <c r="FB36" i="41"/>
  <c r="DP66" i="10"/>
  <c r="DR537" i="42"/>
  <c r="DP546" i="42"/>
  <c r="DL64" i="10"/>
  <c r="EY23" i="41"/>
  <c r="DM68" i="10"/>
  <c r="FA52" i="41"/>
  <c r="DN63" i="10"/>
  <c r="DQ486" i="42"/>
  <c r="DQ459" i="42"/>
  <c r="DR459" i="42" s="1"/>
  <c r="DR456" i="42"/>
  <c r="FC36" i="41" s="1"/>
  <c r="DQ527" i="42"/>
  <c r="DQ455" i="42"/>
  <c r="DR455" i="42" s="1"/>
  <c r="DQ83" i="46"/>
  <c r="DR151" i="46"/>
  <c r="DS151" i="46" s="1"/>
  <c r="DQ460" i="42" l="1"/>
  <c r="DR460" i="42" s="1"/>
  <c r="DQ187" i="46"/>
  <c r="DR187" i="46" s="1"/>
  <c r="DL68" i="10"/>
  <c r="DP188" i="46"/>
  <c r="DP185" i="46"/>
  <c r="FA23" i="41"/>
  <c r="DR186" i="46"/>
  <c r="DQ185" i="46"/>
  <c r="DR185" i="46" s="1"/>
  <c r="DP489" i="42"/>
  <c r="FA38" i="41" s="1"/>
  <c r="DN64" i="10"/>
  <c r="DQ64" i="10"/>
  <c r="DR546" i="42"/>
  <c r="DR66" i="10"/>
  <c r="DR69" i="10" s="1"/>
  <c r="DR461" i="42"/>
  <c r="DP69" i="10"/>
  <c r="DP70" i="10" s="1"/>
  <c r="DP63" i="10"/>
  <c r="DR63" i="10" s="1"/>
  <c r="DN67" i="10"/>
  <c r="DQ102" i="46"/>
  <c r="DQ104" i="46" s="1"/>
  <c r="DR83" i="46"/>
  <c r="DS83" i="46" s="1"/>
  <c r="DQ85" i="46"/>
  <c r="DQ87" i="46" s="1"/>
  <c r="DR87" i="46" s="1"/>
  <c r="DQ152" i="46"/>
  <c r="DR527" i="42"/>
  <c r="DR457" i="42"/>
  <c r="DR486" i="42"/>
  <c r="DR489" i="42" s="1"/>
  <c r="FC38" i="41" s="1"/>
  <c r="DQ489" i="42"/>
  <c r="FB38" i="41" s="1"/>
  <c r="DQ70" i="10" l="1"/>
  <c r="DQ188" i="46"/>
  <c r="DR188" i="46" s="1"/>
  <c r="DN68" i="10"/>
  <c r="DR67" i="10"/>
  <c r="DQ68" i="10"/>
  <c r="DP64" i="10"/>
  <c r="DR64" i="10" s="1"/>
  <c r="FC23" i="41"/>
  <c r="DR104" i="46"/>
  <c r="DS104" i="46" s="1"/>
  <c r="DR68" i="10" l="1"/>
  <c r="DP68" i="10"/>
  <c r="DH203" i="46" l="1"/>
  <c r="DH213" i="46" s="1"/>
  <c r="DE213" i="46"/>
  <c r="DE224" i="46"/>
  <c r="DE225" i="46" s="1"/>
  <c r="DE215" i="46" l="1"/>
  <c r="DE170" i="46"/>
  <c r="DF213" i="46"/>
  <c r="DG213" i="46" s="1"/>
  <c r="DH215" i="46"/>
  <c r="DH170" i="46"/>
  <c r="DI203" i="46"/>
  <c r="DH224" i="46"/>
  <c r="DH225" i="46" s="1"/>
  <c r="DE172" i="46" l="1"/>
  <c r="DE226" i="46"/>
  <c r="DE227" i="46" s="1"/>
  <c r="DF170" i="46"/>
  <c r="DI213" i="46"/>
  <c r="DI224" i="46"/>
  <c r="DI225" i="46" s="1"/>
  <c r="DL203" i="46"/>
  <c r="DH172" i="46"/>
  <c r="DH173" i="46" s="1"/>
  <c r="DH218" i="46" s="1"/>
  <c r="DI218" i="46" s="1"/>
  <c r="DL218" i="46" s="1"/>
  <c r="DM218" i="46" s="1"/>
  <c r="DP218" i="46" s="1"/>
  <c r="DQ218" i="46" s="1"/>
  <c r="DH226" i="46"/>
  <c r="DH227" i="46" s="1"/>
  <c r="DH217" i="46"/>
  <c r="DH205" i="46"/>
  <c r="DF215" i="46"/>
  <c r="DG215" i="46" s="1"/>
  <c r="DE217" i="46"/>
  <c r="DE205" i="46"/>
  <c r="DF217" i="46" l="1"/>
  <c r="DG217" i="46" s="1"/>
  <c r="DE207" i="46"/>
  <c r="DH207" i="46"/>
  <c r="DH219" i="46"/>
  <c r="DI173" i="46"/>
  <c r="DJ173" i="46" s="1"/>
  <c r="DJ218" i="46"/>
  <c r="DM203" i="46"/>
  <c r="DL213" i="46"/>
  <c r="DL224" i="46"/>
  <c r="DL225" i="46" s="1"/>
  <c r="DI215" i="46"/>
  <c r="DJ213" i="46"/>
  <c r="DK213" i="46" s="1"/>
  <c r="DI170" i="46"/>
  <c r="DF172" i="46"/>
  <c r="DE173" i="46"/>
  <c r="DJ215" i="46" l="1"/>
  <c r="DK215" i="46" s="1"/>
  <c r="DI217" i="46"/>
  <c r="DI205" i="46"/>
  <c r="DL215" i="46"/>
  <c r="DL170" i="46"/>
  <c r="DM224" i="46"/>
  <c r="DM225" i="46" s="1"/>
  <c r="DM213" i="46"/>
  <c r="DP203" i="46"/>
  <c r="DL173" i="46"/>
  <c r="DE218" i="46"/>
  <c r="DF173" i="46"/>
  <c r="DI172" i="46"/>
  <c r="DI226" i="46"/>
  <c r="DI227" i="46" s="1"/>
  <c r="DJ170" i="46"/>
  <c r="DF218" i="46" l="1"/>
  <c r="DE219" i="46"/>
  <c r="DN218" i="46"/>
  <c r="DO218" i="46" s="1"/>
  <c r="DM173" i="46"/>
  <c r="DN173" i="46" s="1"/>
  <c r="DP224" i="46"/>
  <c r="DP225" i="46" s="1"/>
  <c r="DQ203" i="46"/>
  <c r="DP213" i="46"/>
  <c r="DN213" i="46"/>
  <c r="DO213" i="46" s="1"/>
  <c r="DM170" i="46"/>
  <c r="DM215" i="46"/>
  <c r="DL172" i="46"/>
  <c r="DL174" i="46" s="1"/>
  <c r="DL92" i="46" s="1"/>
  <c r="DL96" i="46" s="1"/>
  <c r="DL226" i="46"/>
  <c r="DL227" i="46" s="1"/>
  <c r="DL205" i="46"/>
  <c r="DL217" i="46"/>
  <c r="DI174" i="46"/>
  <c r="DJ172" i="46"/>
  <c r="DI207" i="46"/>
  <c r="DJ217" i="46"/>
  <c r="DK217" i="46" s="1"/>
  <c r="DI219" i="46"/>
  <c r="DM205" i="46" l="1"/>
  <c r="DM217" i="46"/>
  <c r="DN215" i="46"/>
  <c r="DO215" i="46" s="1"/>
  <c r="DM172" i="46"/>
  <c r="DM226" i="46"/>
  <c r="DM227" i="46" s="1"/>
  <c r="DN170" i="46"/>
  <c r="DI90" i="46"/>
  <c r="DJ219" i="46"/>
  <c r="DP170" i="46"/>
  <c r="DP215" i="46"/>
  <c r="DQ224" i="46"/>
  <c r="DQ225" i="46" s="1"/>
  <c r="DQ213" i="46"/>
  <c r="DI92" i="46"/>
  <c r="DJ174" i="46"/>
  <c r="DP173" i="46"/>
  <c r="DL219" i="46"/>
  <c r="DL90" i="46" s="1"/>
  <c r="DL207" i="46"/>
  <c r="DE90" i="46"/>
  <c r="DF219" i="46"/>
  <c r="DG219" i="46" s="1"/>
  <c r="DG218" i="46"/>
  <c r="DK218" i="46"/>
  <c r="DQ170" i="46" l="1"/>
  <c r="DR213" i="46"/>
  <c r="DS213" i="46" s="1"/>
  <c r="DQ215" i="46"/>
  <c r="DP217" i="46"/>
  <c r="DP205" i="46"/>
  <c r="DP226" i="46"/>
  <c r="DP227" i="46" s="1"/>
  <c r="DP172" i="46"/>
  <c r="DP174" i="46" s="1"/>
  <c r="DP92" i="46" s="1"/>
  <c r="DP96" i="46" s="1"/>
  <c r="DK219" i="46"/>
  <c r="DE109" i="46"/>
  <c r="DE67" i="46"/>
  <c r="DF90" i="46"/>
  <c r="DG90" i="46" s="1"/>
  <c r="DE220" i="46"/>
  <c r="DJ90" i="46"/>
  <c r="DI67" i="46"/>
  <c r="DI109" i="46"/>
  <c r="DI220" i="46"/>
  <c r="DL67" i="46"/>
  <c r="DL109" i="46"/>
  <c r="DL220" i="46"/>
  <c r="DN172" i="46"/>
  <c r="DM174" i="46"/>
  <c r="DR218" i="46"/>
  <c r="DS218" i="46" s="1"/>
  <c r="DQ173" i="46"/>
  <c r="DR173" i="46" s="1"/>
  <c r="DM219" i="46"/>
  <c r="DM207" i="46"/>
  <c r="DN217" i="46"/>
  <c r="DO217" i="46" s="1"/>
  <c r="DJ92" i="46"/>
  <c r="DJ96" i="46" s="1"/>
  <c r="DI96" i="46"/>
  <c r="DN219" i="46" l="1"/>
  <c r="DO219" i="46" s="1"/>
  <c r="DM90" i="46"/>
  <c r="DE71" i="46"/>
  <c r="DF67" i="46"/>
  <c r="DE73" i="46"/>
  <c r="EP68" i="41"/>
  <c r="DM92" i="46"/>
  <c r="DN174" i="46"/>
  <c r="DE113" i="46"/>
  <c r="DE111" i="46"/>
  <c r="DF109" i="46"/>
  <c r="DG109" i="46" s="1"/>
  <c r="DL113" i="46"/>
  <c r="EW69" i="41" s="1"/>
  <c r="DL111" i="46"/>
  <c r="EW68" i="41"/>
  <c r="DP219" i="46"/>
  <c r="DP90" i="46" s="1"/>
  <c r="DP207" i="46"/>
  <c r="DI113" i="46"/>
  <c r="DI111" i="46"/>
  <c r="DJ111" i="46" s="1"/>
  <c r="DJ109" i="46"/>
  <c r="DR215" i="46"/>
  <c r="DS215" i="46" s="1"/>
  <c r="DQ217" i="46"/>
  <c r="DQ205" i="46"/>
  <c r="DJ67" i="46"/>
  <c r="ET68" i="41"/>
  <c r="DK90" i="46"/>
  <c r="DQ172" i="46"/>
  <c r="DR170" i="46"/>
  <c r="DQ226" i="46"/>
  <c r="DQ227" i="46" s="1"/>
  <c r="DK109" i="46" l="1"/>
  <c r="DE115" i="46"/>
  <c r="DF111" i="46"/>
  <c r="DF113" i="46"/>
  <c r="EQ69" i="41" s="1"/>
  <c r="EP69" i="41"/>
  <c r="DJ113" i="46"/>
  <c r="EU69" i="41" s="1"/>
  <c r="ET69" i="41"/>
  <c r="DN92" i="46"/>
  <c r="DN96" i="46" s="1"/>
  <c r="DM96" i="46"/>
  <c r="DR172" i="46"/>
  <c r="DQ174" i="46"/>
  <c r="DP67" i="46"/>
  <c r="DP220" i="46"/>
  <c r="DP109" i="46"/>
  <c r="DF73" i="46"/>
  <c r="EP72" i="41"/>
  <c r="DJ103" i="49"/>
  <c r="DK67" i="46"/>
  <c r="EU68" i="41"/>
  <c r="DF103" i="49"/>
  <c r="DG67" i="46"/>
  <c r="ER68" i="41" s="1"/>
  <c r="EQ68" i="41"/>
  <c r="DF71" i="46"/>
  <c r="EP71" i="41"/>
  <c r="DM67" i="46"/>
  <c r="DN90" i="46"/>
  <c r="DO90" i="46" s="1"/>
  <c r="DM109" i="46"/>
  <c r="DM220" i="46"/>
  <c r="DR217" i="46"/>
  <c r="DS217" i="46" s="1"/>
  <c r="DQ219" i="46"/>
  <c r="DQ207" i="46"/>
  <c r="DF104" i="49" l="1"/>
  <c r="DF202" i="49"/>
  <c r="DF305" i="49"/>
  <c r="FA68" i="41"/>
  <c r="DM113" i="46"/>
  <c r="DM111" i="46"/>
  <c r="DN111" i="46" s="1"/>
  <c r="DN109" i="46"/>
  <c r="DO109" i="46" s="1"/>
  <c r="DR174" i="46"/>
  <c r="DQ92" i="46"/>
  <c r="DN67" i="46"/>
  <c r="EX68" i="41"/>
  <c r="DJ202" i="49"/>
  <c r="DJ305" i="49"/>
  <c r="EQ71" i="41"/>
  <c r="EQ72" i="41"/>
  <c r="DR219" i="46"/>
  <c r="DS219" i="46" s="1"/>
  <c r="DQ90" i="46"/>
  <c r="DP113" i="46"/>
  <c r="FA69" i="41" s="1"/>
  <c r="DP111" i="46"/>
  <c r="DF115" i="46"/>
  <c r="DE119" i="46"/>
  <c r="DE121" i="46" s="1"/>
  <c r="EP70" i="41"/>
  <c r="DO67" i="46" l="1"/>
  <c r="DN103" i="49"/>
  <c r="EY68" i="41"/>
  <c r="DR92" i="46"/>
  <c r="DR96" i="46" s="1"/>
  <c r="DQ96" i="46"/>
  <c r="DN113" i="46"/>
  <c r="EY69" i="41" s="1"/>
  <c r="EX69" i="41"/>
  <c r="DF119" i="46"/>
  <c r="DF121" i="46" s="1"/>
  <c r="EQ70" i="41"/>
  <c r="DQ109" i="46"/>
  <c r="DQ67" i="46"/>
  <c r="DR90" i="46"/>
  <c r="DS90" i="46" s="1"/>
  <c r="DQ220" i="46"/>
  <c r="DR109" i="46" l="1"/>
  <c r="DS109" i="46" s="1"/>
  <c r="DQ113" i="46"/>
  <c r="DQ111" i="46"/>
  <c r="DR111" i="46" s="1"/>
  <c r="DN202" i="49"/>
  <c r="DN305" i="49"/>
  <c r="DR67" i="46"/>
  <c r="FB68" i="41"/>
  <c r="DS67" i="46" l="1"/>
  <c r="DR103" i="49"/>
  <c r="FC68" i="41"/>
  <c r="DR113" i="46"/>
  <c r="FC69" i="41" s="1"/>
  <c r="FB69" i="41"/>
  <c r="DR305" i="49" l="1"/>
  <c r="DR202" i="49"/>
  <c r="DJ214" i="49" l="1"/>
  <c r="DN209" i="49" s="1"/>
  <c r="DN214" i="49"/>
  <c r="DJ215" i="49"/>
  <c r="DJ216" i="49" s="1"/>
  <c r="DJ221" i="49" s="1"/>
  <c r="DN215" i="49"/>
  <c r="DJ232" i="49"/>
  <c r="DJ317" i="49"/>
  <c r="DN312" i="49" s="1"/>
  <c r="DN317" i="49" s="1"/>
  <c r="DR312" i="49" s="1"/>
  <c r="DR317" i="49" s="1"/>
  <c r="DR318" i="49" s="1"/>
  <c r="DJ318" i="49"/>
  <c r="DN318" i="49"/>
  <c r="DN319" i="49" s="1"/>
  <c r="DN324" i="49" s="1"/>
  <c r="DJ319" i="49"/>
  <c r="DJ324" i="49"/>
  <c r="DJ335" i="49"/>
  <c r="DR319" i="49" l="1"/>
  <c r="DR324" i="49" s="1"/>
  <c r="DN216" i="49"/>
  <c r="DN221" i="49" s="1"/>
  <c r="DN232" i="49"/>
  <c r="DR209" i="49"/>
  <c r="DR214" i="49" s="1"/>
  <c r="DR335" i="49"/>
  <c r="DN335" i="49"/>
  <c r="DR232" i="49" l="1"/>
  <c r="DR215" i="49"/>
  <c r="DR216" i="49" s="1"/>
  <c r="DR221" i="49" s="1"/>
  <c r="DI62" i="42"/>
  <c r="DJ62" i="42"/>
  <c r="DL62" i="42"/>
  <c r="DM62" i="42"/>
  <c r="DN62" i="42"/>
  <c r="DP62" i="42"/>
  <c r="DQ62" i="42"/>
  <c r="DR62" i="42"/>
  <c r="DI63" i="42"/>
  <c r="DJ63" i="42"/>
  <c r="DL63" i="42"/>
  <c r="DM63" i="42"/>
  <c r="DN63" i="42"/>
  <c r="DP63" i="42"/>
  <c r="DQ63" i="42"/>
  <c r="DR63" i="42"/>
  <c r="DI69" i="42"/>
  <c r="DJ69" i="42"/>
  <c r="DL69" i="42"/>
  <c r="DM69" i="42"/>
  <c r="DN69" i="42"/>
  <c r="DP69" i="42"/>
  <c r="DQ69" i="42"/>
  <c r="DR69" i="42"/>
  <c r="DI70" i="42"/>
  <c r="DJ70" i="42"/>
  <c r="DL70" i="42"/>
  <c r="DM70" i="42"/>
  <c r="DN70" i="42"/>
  <c r="DP70" i="42"/>
  <c r="DQ70" i="42"/>
  <c r="DR70" i="42"/>
  <c r="DI85" i="42"/>
  <c r="DL85" i="42"/>
  <c r="DM85" i="42"/>
  <c r="DP85" i="42"/>
  <c r="DQ85" i="42"/>
  <c r="DI86" i="42"/>
  <c r="DL86" i="42"/>
  <c r="DM86" i="42"/>
  <c r="DP86" i="42"/>
  <c r="DQ86" i="42"/>
  <c r="DI91" i="42"/>
  <c r="DL91" i="42"/>
  <c r="DM91" i="42"/>
  <c r="DP91" i="42"/>
  <c r="DQ91" i="42"/>
  <c r="DI92" i="42"/>
  <c r="DL92" i="42"/>
  <c r="DM92" i="42"/>
  <c r="DP92" i="42"/>
  <c r="DQ92" i="42"/>
  <c r="DI98" i="42"/>
  <c r="DJ98" i="42"/>
  <c r="DL98" i="42"/>
  <c r="DM98" i="42"/>
  <c r="DN98" i="42"/>
  <c r="DP98" i="42"/>
  <c r="DQ98" i="42"/>
  <c r="DR98" i="42"/>
  <c r="DI99" i="42"/>
  <c r="DJ99" i="42"/>
  <c r="DL99" i="42"/>
  <c r="DM99" i="42"/>
  <c r="DN99" i="42"/>
  <c r="DP99" i="42"/>
  <c r="DQ99" i="42"/>
  <c r="DR99" i="42"/>
  <c r="DI101" i="42"/>
  <c r="DJ101" i="42"/>
  <c r="DL101" i="42"/>
  <c r="DM101" i="42"/>
  <c r="DN101" i="42"/>
  <c r="DP101" i="42"/>
  <c r="DQ101" i="42"/>
  <c r="DR101" i="42"/>
  <c r="DI108" i="42"/>
  <c r="DJ108" i="42"/>
  <c r="DL108" i="42"/>
  <c r="DM108" i="42"/>
  <c r="DN108" i="42"/>
  <c r="DP108" i="42"/>
  <c r="DQ108" i="42"/>
  <c r="DR108" i="42"/>
  <c r="DI109" i="42"/>
  <c r="DJ109" i="42"/>
  <c r="DL109" i="42"/>
  <c r="DM109" i="42"/>
  <c r="DN109" i="42"/>
  <c r="DP109" i="42"/>
  <c r="DQ109" i="42"/>
  <c r="DR109" i="42"/>
  <c r="DI114" i="42"/>
  <c r="DJ114" i="42"/>
  <c r="DL114" i="42"/>
  <c r="DM114" i="42"/>
  <c r="DN114" i="42"/>
  <c r="DP114" i="42"/>
  <c r="DQ114" i="42"/>
  <c r="DR114" i="42"/>
  <c r="DI115" i="42"/>
  <c r="DJ115" i="42"/>
  <c r="DL115" i="42"/>
  <c r="DM115" i="42"/>
  <c r="DN115" i="42"/>
  <c r="DP115" i="42"/>
  <c r="DQ115" i="42"/>
  <c r="DR115" i="42"/>
  <c r="BH123" i="42"/>
  <c r="BI123" i="42"/>
  <c r="BH124" i="42"/>
  <c r="BI124" i="42"/>
  <c r="BJ124" i="42"/>
  <c r="BH129" i="42"/>
  <c r="BI129" i="42"/>
  <c r="BH130" i="42"/>
  <c r="BI130" i="42"/>
  <c r="BH135" i="42"/>
  <c r="BI135" i="42"/>
  <c r="BL135" i="42"/>
  <c r="BH136" i="42"/>
  <c r="BI136" i="42"/>
  <c r="BL136" i="42"/>
  <c r="BH137" i="42"/>
  <c r="BI137" i="42"/>
  <c r="BL137" i="42"/>
  <c r="DI264" i="42"/>
  <c r="DJ264" i="42"/>
  <c r="DL264" i="42"/>
  <c r="DM264" i="42"/>
  <c r="DN264" i="42"/>
  <c r="DP264" i="42"/>
  <c r="DQ264" i="42"/>
  <c r="DR264" i="42"/>
  <c r="DI265" i="42"/>
  <c r="DJ265" i="42"/>
  <c r="DL265" i="42"/>
  <c r="DM265" i="42"/>
  <c r="DN265" i="42"/>
  <c r="DP265" i="42"/>
  <c r="DQ265" i="42"/>
  <c r="DR265" i="42"/>
  <c r="DL267" i="42"/>
  <c r="DM267" i="42"/>
  <c r="DN267" i="42"/>
  <c r="DP267" i="42"/>
  <c r="DQ267" i="42"/>
  <c r="DR267" i="42"/>
  <c r="DE271" i="42"/>
  <c r="DF271" i="42"/>
  <c r="DI271" i="42"/>
  <c r="DJ271" i="42"/>
  <c r="DL271" i="42"/>
  <c r="DM271" i="42"/>
  <c r="DN271" i="42"/>
  <c r="DP271" i="42"/>
  <c r="DQ271" i="42"/>
  <c r="DR271" i="42"/>
  <c r="DE274" i="42"/>
  <c r="DF274" i="42"/>
  <c r="DE276" i="42"/>
  <c r="DF276" i="42"/>
  <c r="DI276" i="42"/>
  <c r="DJ276" i="42"/>
  <c r="DL276" i="42"/>
  <c r="DM276" i="42"/>
  <c r="DN276" i="42"/>
  <c r="DP276" i="42"/>
  <c r="DQ276" i="42"/>
  <c r="DR276" i="42"/>
  <c r="DI277" i="42"/>
  <c r="DJ277" i="42"/>
  <c r="DL277" i="42"/>
  <c r="DM277" i="42"/>
  <c r="DN277" i="42"/>
  <c r="DP277" i="42"/>
  <c r="DQ277" i="42"/>
  <c r="DR277" i="42"/>
  <c r="BE333" i="42"/>
  <c r="BF333" i="42"/>
  <c r="BE335" i="42"/>
  <c r="BF335" i="42"/>
  <c r="CO444" i="42"/>
  <c r="CS444" i="42"/>
  <c r="CV444" i="42"/>
  <c r="CW444" i="42"/>
  <c r="CX444" i="42"/>
  <c r="CZ444" i="42"/>
  <c r="DA444" i="42"/>
  <c r="DB444" i="42"/>
  <c r="DD444" i="42"/>
  <c r="DE444" i="42"/>
  <c r="DF444" i="42"/>
  <c r="DH444" i="42"/>
  <c r="DI444" i="42"/>
  <c r="DJ444" i="42"/>
  <c r="DL444" i="42"/>
  <c r="DM444" i="42"/>
  <c r="DN444" i="42"/>
  <c r="DP444" i="42"/>
  <c r="DQ444" i="42"/>
  <c r="DR444" i="42"/>
  <c r="DE445" i="42"/>
  <c r="DF445" i="42"/>
  <c r="CN447" i="42"/>
  <c r="CO447" i="42"/>
  <c r="CP447" i="42"/>
  <c r="CR447" i="42"/>
  <c r="CS447" i="42"/>
  <c r="CT447" i="42"/>
  <c r="CV447" i="42"/>
  <c r="CW447" i="42"/>
  <c r="CX447" i="42"/>
  <c r="CZ447" i="42"/>
  <c r="DA447" i="42"/>
  <c r="DB447" i="42"/>
  <c r="DD447" i="42"/>
  <c r="DE447" i="42"/>
  <c r="DF447" i="42"/>
  <c r="DH447" i="42"/>
  <c r="DI447" i="42"/>
  <c r="DJ447" i="42"/>
  <c r="DL447" i="42"/>
  <c r="DM447" i="42"/>
  <c r="DN447" i="42"/>
  <c r="DP447" i="42"/>
  <c r="DQ447" i="42"/>
  <c r="DR447" i="42"/>
  <c r="CN448" i="42"/>
  <c r="CR448" i="42"/>
  <c r="CS448" i="42"/>
  <c r="CT448" i="42"/>
  <c r="CV448" i="42"/>
  <c r="CW448" i="42"/>
  <c r="CX448" i="42"/>
  <c r="CZ448" i="42"/>
  <c r="DA448" i="42"/>
  <c r="DB448" i="42"/>
  <c r="DD448" i="42"/>
  <c r="DE448" i="42"/>
  <c r="DF448" i="42"/>
  <c r="DH448" i="42"/>
  <c r="DI448" i="42"/>
  <c r="DJ448" i="42"/>
  <c r="DL448" i="42"/>
  <c r="DM448" i="42"/>
  <c r="DN448" i="42"/>
  <c r="DP448" i="42"/>
  <c r="DQ448" i="42"/>
  <c r="DR448" i="42"/>
  <c r="CN450" i="42"/>
  <c r="CO450" i="42"/>
  <c r="CP450" i="42"/>
  <c r="CR450" i="42"/>
  <c r="CS450" i="42"/>
  <c r="CT450" i="42"/>
  <c r="CV450" i="42"/>
  <c r="CW450" i="42"/>
  <c r="CX450" i="42"/>
  <c r="CZ450" i="42"/>
  <c r="DA450" i="42"/>
  <c r="DB450" i="42"/>
  <c r="DD450" i="42"/>
  <c r="DE450" i="42"/>
  <c r="DF450" i="42"/>
  <c r="DH450" i="42"/>
  <c r="DJ450" i="42"/>
  <c r="DN450" i="42"/>
  <c r="DR450" i="42"/>
  <c r="BH464" i="42"/>
  <c r="BI464" i="42"/>
  <c r="BJ464" i="42"/>
  <c r="BH476" i="42"/>
  <c r="BI476" i="42"/>
  <c r="BJ476" i="42"/>
  <c r="BH477" i="42"/>
  <c r="BI477" i="42"/>
  <c r="BJ477" i="42"/>
  <c r="BH478" i="42"/>
  <c r="BI478" i="42"/>
  <c r="BJ478" i="42"/>
  <c r="DI481" i="42"/>
  <c r="DJ481" i="42"/>
  <c r="DL481" i="42"/>
  <c r="DM481" i="42"/>
  <c r="DN481" i="42"/>
  <c r="DP481" i="42"/>
  <c r="DQ481" i="42"/>
  <c r="DR481" i="42"/>
  <c r="DI485" i="42"/>
  <c r="DJ485" i="42"/>
  <c r="DL485" i="42"/>
  <c r="DM485" i="42"/>
  <c r="DN485" i="42"/>
  <c r="DP485" i="42"/>
  <c r="DQ485" i="42"/>
  <c r="DR485" i="42"/>
  <c r="DI488" i="42"/>
  <c r="DJ488" i="42"/>
  <c r="DL488" i="42"/>
  <c r="DM488" i="42"/>
  <c r="DN488" i="42"/>
  <c r="DP488" i="42"/>
  <c r="DQ488" i="42"/>
  <c r="DR488" i="42"/>
  <c r="DI490" i="42"/>
  <c r="DJ490" i="42"/>
  <c r="DL490" i="42"/>
  <c r="DM490" i="42"/>
  <c r="DN490" i="42"/>
  <c r="DP490" i="42"/>
  <c r="DQ490" i="42"/>
  <c r="DR490" i="42"/>
  <c r="BH491" i="42"/>
  <c r="BI491" i="42"/>
  <c r="BJ491" i="42"/>
  <c r="DI507" i="42"/>
  <c r="DJ507" i="42"/>
  <c r="DL507" i="42"/>
  <c r="DM507" i="42"/>
  <c r="DN507" i="42"/>
  <c r="DP507" i="42"/>
  <c r="DQ507" i="42"/>
  <c r="DR507" i="42"/>
  <c r="DI510" i="42"/>
  <c r="DJ510" i="42"/>
  <c r="DL510" i="42"/>
  <c r="DM510" i="42"/>
  <c r="DN510" i="42"/>
  <c r="DP510" i="42"/>
  <c r="DQ510" i="42"/>
  <c r="DR510" i="42"/>
  <c r="DI514" i="42"/>
  <c r="DJ514" i="42"/>
  <c r="DL514" i="42"/>
  <c r="DM514" i="42"/>
  <c r="DN514" i="42"/>
  <c r="DP514" i="42"/>
  <c r="DQ514" i="42"/>
  <c r="DR514" i="42"/>
  <c r="DI515" i="42"/>
  <c r="DJ515" i="42"/>
  <c r="DL515" i="42"/>
  <c r="DM515" i="42"/>
  <c r="DN515" i="42"/>
  <c r="DP515" i="42"/>
  <c r="DQ515" i="42"/>
  <c r="DR515" i="42"/>
  <c r="DI516" i="42"/>
  <c r="DJ516" i="42"/>
  <c r="DL516" i="42"/>
  <c r="DM516" i="42"/>
  <c r="DN516" i="42"/>
  <c r="DP516" i="42"/>
  <c r="DQ516" i="42"/>
  <c r="DR516" i="42"/>
  <c r="DI520" i="42"/>
  <c r="DJ520" i="42"/>
  <c r="DL520" i="42"/>
  <c r="DM520" i="42"/>
  <c r="DN520" i="42"/>
  <c r="DP520" i="42"/>
  <c r="DQ520" i="42"/>
  <c r="DR520" i="42"/>
  <c r="DI521" i="42"/>
  <c r="DJ521" i="42"/>
  <c r="DL521" i="42"/>
  <c r="DM521" i="42"/>
  <c r="DN521" i="42"/>
  <c r="DP521" i="42"/>
  <c r="DQ521" i="42"/>
  <c r="DR521" i="42"/>
  <c r="DI528" i="42"/>
  <c r="DJ528" i="42"/>
  <c r="DL528" i="42"/>
  <c r="DM528" i="42"/>
  <c r="DN528" i="42"/>
  <c r="DP528" i="42"/>
  <c r="DQ528" i="42"/>
  <c r="DR528" i="42"/>
  <c r="DI529" i="42"/>
  <c r="DJ529" i="42"/>
  <c r="DL529" i="42"/>
  <c r="DM529" i="42"/>
  <c r="DN529" i="42"/>
  <c r="DP529" i="42"/>
  <c r="DQ529" i="42"/>
  <c r="DR529" i="42"/>
  <c r="DI531" i="42"/>
  <c r="DJ531" i="42"/>
  <c r="DL531" i="42"/>
  <c r="DM531" i="42"/>
  <c r="DN531" i="42"/>
  <c r="DP531" i="42"/>
  <c r="DQ531" i="42"/>
  <c r="DR531" i="42"/>
  <c r="DI532" i="42"/>
  <c r="DJ532" i="42"/>
  <c r="DL532" i="42"/>
  <c r="DM532" i="42"/>
  <c r="DN532" i="42"/>
  <c r="DP532" i="42"/>
  <c r="DQ532" i="42"/>
  <c r="DR532" i="42"/>
  <c r="DI533" i="42"/>
  <c r="DJ533" i="42"/>
  <c r="DL533" i="42"/>
  <c r="DM533" i="42"/>
  <c r="DN533" i="42"/>
  <c r="DP533" i="42"/>
  <c r="DQ533" i="42"/>
  <c r="DR533" i="42"/>
  <c r="DI538" i="42"/>
  <c r="DJ538" i="42"/>
  <c r="DL538" i="42"/>
  <c r="DM538" i="42"/>
  <c r="DN538" i="42"/>
  <c r="DP538" i="42"/>
  <c r="DQ538" i="42"/>
  <c r="DR538" i="42"/>
  <c r="DI539" i="42"/>
  <c r="DJ539" i="42"/>
  <c r="DL539" i="42"/>
  <c r="DM539" i="42"/>
  <c r="DN539" i="42"/>
  <c r="DP539" i="42"/>
  <c r="DQ539" i="42"/>
  <c r="DR539" i="42"/>
  <c r="DE540" i="42"/>
  <c r="DF540" i="42"/>
  <c r="DE541" i="42"/>
  <c r="DF541" i="42"/>
  <c r="DI541" i="42"/>
  <c r="DJ541" i="42"/>
  <c r="DL541" i="42"/>
  <c r="DM541" i="42"/>
  <c r="DN541" i="42"/>
  <c r="DP541" i="42"/>
  <c r="DQ541" i="42"/>
  <c r="DR541" i="42"/>
  <c r="DE543" i="42"/>
  <c r="DF543" i="42"/>
  <c r="DI544" i="42"/>
  <c r="DJ544" i="42"/>
  <c r="DL544" i="42"/>
  <c r="DM544" i="42"/>
  <c r="DN544" i="42"/>
  <c r="DP544" i="42"/>
  <c r="DQ544" i="42"/>
  <c r="DR544" i="42"/>
  <c r="DE545" i="42"/>
  <c r="DF545" i="42"/>
  <c r="DE546" i="42"/>
  <c r="DF546" i="42"/>
  <c r="DE547" i="42"/>
  <c r="DF547" i="42"/>
  <c r="DI547" i="42"/>
  <c r="DJ547" i="42"/>
  <c r="DL547" i="42"/>
  <c r="DM547" i="42"/>
  <c r="DN547" i="42"/>
  <c r="DP547" i="42"/>
  <c r="DQ547" i="42"/>
  <c r="DR547" i="42"/>
  <c r="DJ548" i="42"/>
  <c r="DN548" i="42"/>
  <c r="DR548" i="42"/>
  <c r="DE551" i="42"/>
  <c r="DF551" i="42"/>
  <c r="DI551" i="42"/>
  <c r="DJ551" i="42"/>
  <c r="DL551" i="42"/>
  <c r="DM551" i="42"/>
  <c r="DN551" i="42"/>
  <c r="DP551" i="42"/>
  <c r="DQ551" i="42"/>
  <c r="DR551" i="42"/>
  <c r="DE554" i="42"/>
  <c r="DF554" i="42"/>
  <c r="DI554" i="42"/>
  <c r="DJ554" i="42"/>
  <c r="DL554" i="42"/>
  <c r="DM554" i="42"/>
  <c r="DN554" i="42"/>
  <c r="DP554" i="42"/>
  <c r="DQ554" i="42"/>
  <c r="DR554" i="42"/>
  <c r="DE555" i="42"/>
  <c r="DF555" i="42"/>
  <c r="DI555" i="42"/>
  <c r="DJ555" i="42"/>
  <c r="DL555" i="42"/>
  <c r="DM555" i="42"/>
  <c r="DN555" i="42"/>
  <c r="DP555" i="42"/>
  <c r="DQ555" i="42"/>
  <c r="DR555" i="42"/>
  <c r="DI556" i="42"/>
  <c r="DJ556" i="42"/>
  <c r="DL556" i="42"/>
  <c r="DM556" i="42"/>
  <c r="DN556" i="42"/>
  <c r="DP556" i="42"/>
  <c r="DQ556" i="42"/>
  <c r="DR556" i="42"/>
  <c r="DF5" i="49"/>
  <c r="DG5" i="49"/>
  <c r="DK5" i="49"/>
  <c r="DF6" i="49"/>
  <c r="DG6" i="49"/>
  <c r="DK6" i="49"/>
  <c r="DF7" i="49"/>
  <c r="DG7" i="49"/>
  <c r="DK7" i="49"/>
  <c r="DF9" i="49"/>
  <c r="DG9" i="49"/>
  <c r="DJ9" i="49"/>
  <c r="DK9" i="49"/>
  <c r="DN9" i="49"/>
  <c r="DO9" i="49"/>
  <c r="DR9" i="49"/>
  <c r="DS9" i="49"/>
  <c r="DF12" i="49"/>
  <c r="DG12" i="49"/>
  <c r="DJ12" i="49"/>
  <c r="DK12" i="49"/>
  <c r="DN12" i="49"/>
  <c r="DO12" i="49"/>
  <c r="DR12" i="49"/>
  <c r="DS12" i="49"/>
  <c r="DF13" i="49"/>
  <c r="DG13" i="49"/>
  <c r="DJ13" i="49"/>
  <c r="DK13" i="49"/>
  <c r="DN13" i="49"/>
  <c r="DO13" i="49"/>
  <c r="DR13" i="49"/>
  <c r="DS13" i="49"/>
  <c r="DF14" i="49"/>
  <c r="DJ14" i="49"/>
  <c r="DN14" i="49"/>
  <c r="DR14" i="49"/>
  <c r="DF15" i="49"/>
  <c r="DG15" i="49"/>
  <c r="DJ15" i="49"/>
  <c r="DK15" i="49"/>
  <c r="DN15" i="49"/>
  <c r="DO15" i="49"/>
  <c r="DR15" i="49"/>
  <c r="DS15" i="49"/>
  <c r="DF16" i="49"/>
  <c r="DG16" i="49"/>
  <c r="DJ16" i="49"/>
  <c r="DK16" i="49"/>
  <c r="DN16" i="49"/>
  <c r="DO16" i="49"/>
  <c r="DR16" i="49"/>
  <c r="DS16" i="49"/>
  <c r="DF18" i="49"/>
  <c r="DJ18" i="49"/>
  <c r="DN18" i="49"/>
  <c r="DR18" i="49"/>
  <c r="DF19" i="49"/>
  <c r="DJ19" i="49"/>
  <c r="DN19" i="49"/>
  <c r="DR19" i="49"/>
  <c r="DF20" i="49"/>
  <c r="DJ20" i="49"/>
  <c r="DN20" i="49"/>
  <c r="DR20" i="49"/>
  <c r="DF21" i="49"/>
  <c r="DJ21" i="49"/>
  <c r="DN21" i="49"/>
  <c r="DR21" i="49"/>
  <c r="DF24" i="49"/>
  <c r="DG24" i="49"/>
  <c r="DJ24" i="49"/>
  <c r="DK24" i="49"/>
  <c r="DN24" i="49"/>
  <c r="DO24" i="49"/>
  <c r="DR24" i="49"/>
  <c r="DS24" i="49"/>
  <c r="DF25" i="49"/>
  <c r="DG25" i="49"/>
  <c r="DJ25" i="49"/>
  <c r="DK25" i="49"/>
  <c r="DN25" i="49"/>
  <c r="DO25" i="49"/>
  <c r="DR25" i="49"/>
  <c r="DS25" i="49"/>
  <c r="DF26" i="49"/>
  <c r="DJ26" i="49"/>
  <c r="DN26" i="49"/>
  <c r="DR26" i="49"/>
  <c r="DF27" i="49"/>
  <c r="DG27" i="49"/>
  <c r="DJ27" i="49"/>
  <c r="DK27" i="49"/>
  <c r="DN27" i="49"/>
  <c r="DO27" i="49"/>
  <c r="DR27" i="49"/>
  <c r="DS27" i="49"/>
  <c r="DF28" i="49"/>
  <c r="DG28" i="49"/>
  <c r="DJ28" i="49"/>
  <c r="DK28" i="49"/>
  <c r="DN28" i="49"/>
  <c r="DO28" i="49"/>
  <c r="DR28" i="49"/>
  <c r="DS28" i="49"/>
  <c r="DF30" i="49"/>
  <c r="DJ30" i="49"/>
  <c r="DN30" i="49"/>
  <c r="DR30" i="49"/>
  <c r="DF31" i="49"/>
  <c r="DJ31" i="49"/>
  <c r="DN31" i="49"/>
  <c r="DR31" i="49"/>
  <c r="DF32" i="49"/>
  <c r="DJ32" i="49"/>
  <c r="DN32" i="49"/>
  <c r="DR32" i="49"/>
  <c r="DF33" i="49"/>
  <c r="DJ33" i="49"/>
  <c r="DN33" i="49"/>
  <c r="DR33" i="49"/>
  <c r="DE38" i="49"/>
  <c r="DF38" i="49"/>
  <c r="DE39" i="49"/>
  <c r="DF39" i="49"/>
  <c r="DE40" i="49"/>
  <c r="DF40" i="49"/>
  <c r="DE41" i="49"/>
  <c r="DF41" i="49"/>
  <c r="DE42" i="49"/>
  <c r="DF42" i="49"/>
  <c r="DE43" i="49"/>
  <c r="DF43" i="49"/>
  <c r="DE48" i="49"/>
  <c r="DF48" i="49"/>
  <c r="DE54" i="49"/>
  <c r="DF54" i="49"/>
  <c r="DE59" i="49"/>
  <c r="DF59" i="49"/>
  <c r="DE64" i="49"/>
  <c r="DF64" i="49"/>
  <c r="DG64" i="49"/>
  <c r="DK64" i="49"/>
  <c r="DE66" i="49"/>
  <c r="DF66" i="49"/>
  <c r="DE67" i="49"/>
  <c r="DF67" i="49"/>
  <c r="DG67" i="49"/>
  <c r="DK67" i="49"/>
  <c r="DE68" i="49"/>
  <c r="DF68" i="49"/>
  <c r="DG68" i="49"/>
  <c r="DK68" i="49"/>
  <c r="DE69" i="49"/>
  <c r="DF69" i="49"/>
  <c r="DG69" i="49"/>
  <c r="DK69" i="49"/>
  <c r="DE70" i="49"/>
  <c r="DF70" i="49"/>
  <c r="DG70" i="49"/>
  <c r="DK70" i="49"/>
  <c r="DE71" i="49"/>
  <c r="DF71" i="49"/>
  <c r="DG71" i="49"/>
  <c r="DK71" i="49"/>
  <c r="DE75" i="49"/>
  <c r="DF75" i="49"/>
  <c r="DG75" i="49"/>
  <c r="DK75" i="49"/>
  <c r="DE81" i="49"/>
  <c r="DF81" i="49"/>
  <c r="DE82" i="49"/>
  <c r="DF82" i="49"/>
  <c r="DE83" i="49"/>
  <c r="DF83" i="49"/>
  <c r="DE85" i="49"/>
  <c r="DF85" i="49"/>
  <c r="DE87" i="49"/>
  <c r="DF87" i="49"/>
  <c r="DN89" i="49"/>
  <c r="DR89" i="49"/>
  <c r="DF93" i="49"/>
  <c r="DJ93" i="49"/>
  <c r="DN93" i="49"/>
  <c r="DR93" i="49"/>
  <c r="DF96" i="49"/>
  <c r="DF98" i="49"/>
  <c r="DJ98" i="49"/>
  <c r="DN98" i="49"/>
  <c r="DR98" i="49"/>
  <c r="DJ99" i="49"/>
  <c r="DN99" i="49"/>
  <c r="DR99" i="49"/>
  <c r="DJ101" i="49"/>
  <c r="DN101" i="49"/>
  <c r="DR101" i="49"/>
  <c r="DJ102" i="49"/>
  <c r="DN102" i="49"/>
  <c r="DR102" i="49"/>
  <c r="DJ104" i="49"/>
  <c r="DN104" i="49"/>
  <c r="DR104" i="49"/>
  <c r="DF115" i="49"/>
  <c r="DF117" i="49"/>
  <c r="DF119" i="49"/>
  <c r="DF120" i="49"/>
  <c r="DF123" i="49"/>
  <c r="DF133" i="49"/>
  <c r="DF134" i="49"/>
  <c r="DF135" i="49"/>
  <c r="DF136" i="49"/>
  <c r="DJ138" i="49"/>
  <c r="DN138" i="49"/>
  <c r="DR138" i="49"/>
  <c r="DF139" i="49"/>
  <c r="DF140" i="49"/>
  <c r="DJ140" i="49"/>
  <c r="DN140" i="49"/>
  <c r="DR140" i="49"/>
  <c r="DF141" i="49"/>
  <c r="DF142" i="49"/>
  <c r="DJ142" i="49"/>
  <c r="DN142" i="49"/>
  <c r="DR142" i="49"/>
  <c r="DF143" i="49"/>
  <c r="DJ143" i="49"/>
  <c r="DN143" i="49"/>
  <c r="DR143" i="49"/>
  <c r="DJ152" i="49"/>
  <c r="DJ153" i="49"/>
  <c r="DD162" i="49"/>
  <c r="DD163" i="49"/>
  <c r="DE163" i="49"/>
  <c r="DF163" i="49"/>
  <c r="DK163" i="49"/>
  <c r="DD164" i="49"/>
  <c r="DD165" i="49"/>
  <c r="DE165" i="49"/>
  <c r="DF165" i="49"/>
  <c r="DK165" i="49"/>
  <c r="DD166" i="49"/>
  <c r="DE166" i="49"/>
  <c r="DF166" i="49"/>
  <c r="DJ166" i="49"/>
  <c r="DN166" i="49"/>
  <c r="DR166" i="49"/>
  <c r="DD167" i="49"/>
  <c r="DE167" i="49"/>
  <c r="DF167" i="49"/>
  <c r="DJ167" i="49"/>
  <c r="DN167" i="49"/>
  <c r="DR167" i="49"/>
  <c r="DD168" i="49"/>
  <c r="DE168" i="49"/>
  <c r="DF168" i="49"/>
  <c r="DD169" i="49"/>
  <c r="DE169" i="49"/>
  <c r="DF169" i="49"/>
  <c r="DJ169" i="49"/>
  <c r="DK169" i="49"/>
  <c r="DN169" i="49"/>
  <c r="DO169" i="49"/>
  <c r="DR169" i="49"/>
  <c r="DS169" i="49"/>
  <c r="DD170" i="49"/>
  <c r="DD171" i="49"/>
  <c r="DD172" i="49"/>
  <c r="DD173" i="49"/>
  <c r="DE173" i="49"/>
  <c r="DF173" i="49"/>
  <c r="DJ173" i="49"/>
  <c r="DK173" i="49"/>
  <c r="DN173" i="49"/>
  <c r="DO173" i="49"/>
  <c r="DR173" i="49"/>
  <c r="DS173" i="49"/>
  <c r="DJ174" i="49"/>
  <c r="DK174" i="49"/>
  <c r="DN174" i="49"/>
  <c r="DO174" i="49"/>
  <c r="DR174" i="49"/>
  <c r="DS174" i="49"/>
  <c r="DJ176" i="49"/>
  <c r="DK176" i="49"/>
  <c r="DN176" i="49"/>
  <c r="DO176" i="49"/>
  <c r="DR176" i="49"/>
  <c r="DS176" i="49"/>
  <c r="DJ178" i="49"/>
  <c r="DK178" i="49"/>
  <c r="DN178" i="49"/>
  <c r="DO178" i="49"/>
  <c r="DR178" i="49"/>
  <c r="DS178" i="49"/>
  <c r="DE179" i="49"/>
  <c r="DF179" i="49"/>
  <c r="DJ179" i="49"/>
  <c r="DN179" i="49"/>
  <c r="DR179" i="49"/>
  <c r="DE180" i="49"/>
  <c r="DF180" i="49"/>
  <c r="DJ180" i="49"/>
  <c r="DN180" i="49"/>
  <c r="DR180" i="49"/>
  <c r="DE181" i="49"/>
  <c r="DF181" i="49"/>
  <c r="DJ181" i="49"/>
  <c r="DN181" i="49"/>
  <c r="DR181" i="49"/>
  <c r="DJ182" i="49"/>
  <c r="DN182" i="49"/>
  <c r="DR182" i="49"/>
  <c r="DE183" i="49"/>
  <c r="DF183" i="49"/>
  <c r="DE185" i="49"/>
  <c r="DF185" i="49"/>
  <c r="DG185" i="49"/>
  <c r="DJ185" i="49"/>
  <c r="DK185" i="49"/>
  <c r="DN185" i="49"/>
  <c r="DO185" i="49"/>
  <c r="DR185" i="49"/>
  <c r="DS185" i="49"/>
  <c r="DF186" i="49"/>
  <c r="DJ186" i="49"/>
  <c r="DN186" i="49"/>
  <c r="DR186" i="49"/>
  <c r="DJ188" i="49"/>
  <c r="DN188" i="49"/>
  <c r="DR188" i="49"/>
  <c r="DJ189" i="49"/>
  <c r="DN189" i="49"/>
  <c r="DR189" i="49"/>
  <c r="DJ190" i="49"/>
  <c r="DN190" i="49"/>
  <c r="DR190" i="49"/>
  <c r="DF192" i="49"/>
  <c r="DJ192" i="49"/>
  <c r="DN192" i="49"/>
  <c r="DR192" i="49"/>
  <c r="DF195" i="49"/>
  <c r="DJ195" i="49"/>
  <c r="DN195" i="49"/>
  <c r="DR195" i="49"/>
  <c r="DF196" i="49"/>
  <c r="DJ196" i="49"/>
  <c r="DN196" i="49"/>
  <c r="DR196" i="49"/>
  <c r="DF197" i="49"/>
  <c r="DJ197" i="49"/>
  <c r="DN197" i="49"/>
  <c r="DR197" i="49"/>
  <c r="DF198" i="49"/>
  <c r="DJ198" i="49"/>
  <c r="DN198" i="49"/>
  <c r="DR198" i="49"/>
  <c r="DF200" i="49"/>
  <c r="DJ200" i="49"/>
  <c r="DN200" i="49"/>
  <c r="DR200" i="49"/>
  <c r="DF203" i="49"/>
  <c r="DJ203" i="49"/>
  <c r="DN203" i="49"/>
  <c r="DR203" i="49"/>
  <c r="DF205" i="49"/>
  <c r="DJ205" i="49"/>
  <c r="DN205" i="49"/>
  <c r="DR205" i="49"/>
  <c r="DF207" i="49"/>
  <c r="DJ207" i="49"/>
  <c r="DN207" i="49"/>
  <c r="DR207" i="49"/>
  <c r="DF218" i="49"/>
  <c r="DJ218" i="49"/>
  <c r="DN218" i="49"/>
  <c r="DR218" i="49"/>
  <c r="DF220" i="49"/>
  <c r="DJ220" i="49"/>
  <c r="DN220" i="49"/>
  <c r="DR220" i="49"/>
  <c r="DF222" i="49"/>
  <c r="DJ222" i="49"/>
  <c r="DN222" i="49"/>
  <c r="DR222" i="49"/>
  <c r="DF223" i="49"/>
  <c r="DJ223" i="49"/>
  <c r="DN223" i="49"/>
  <c r="DR223" i="49"/>
  <c r="DF225" i="49"/>
  <c r="DJ225" i="49"/>
  <c r="DN225" i="49"/>
  <c r="DR225" i="49"/>
  <c r="DD228" i="49"/>
  <c r="DE228" i="49"/>
  <c r="DF228" i="49"/>
  <c r="DH228" i="49"/>
  <c r="DI228" i="49"/>
  <c r="DJ228" i="49"/>
  <c r="DL228" i="49"/>
  <c r="DM228" i="49"/>
  <c r="DN228" i="49"/>
  <c r="DP228" i="49"/>
  <c r="DQ228" i="49"/>
  <c r="DR228" i="49"/>
  <c r="DF229" i="49"/>
  <c r="DJ229" i="49"/>
  <c r="DN229" i="49"/>
  <c r="DR229" i="49"/>
  <c r="DF230" i="49"/>
  <c r="DJ230" i="49"/>
  <c r="DN230" i="49"/>
  <c r="DR230" i="49"/>
  <c r="DF231" i="49"/>
  <c r="DJ231" i="49"/>
  <c r="DN231" i="49"/>
  <c r="DR231" i="49"/>
  <c r="DF233" i="49"/>
  <c r="DJ233" i="49"/>
  <c r="DN233" i="49"/>
  <c r="DR233" i="49"/>
  <c r="DF234" i="49"/>
  <c r="DJ234" i="49"/>
  <c r="DN234" i="49"/>
  <c r="DR234" i="49"/>
  <c r="DF235" i="49"/>
  <c r="DJ235" i="49"/>
  <c r="DN235" i="49"/>
  <c r="DR235" i="49"/>
  <c r="DF236" i="49"/>
  <c r="DJ236" i="49"/>
  <c r="DN236" i="49"/>
  <c r="DR236" i="49"/>
  <c r="DF237" i="49"/>
  <c r="DF238" i="49"/>
  <c r="DF239" i="49"/>
  <c r="DJ239" i="49"/>
  <c r="DN239" i="49"/>
  <c r="DR239" i="49"/>
  <c r="DF241" i="49"/>
  <c r="DJ241" i="49"/>
  <c r="DN241" i="49"/>
  <c r="DR241" i="49"/>
  <c r="DF242" i="49"/>
  <c r="DF243" i="49"/>
  <c r="DJ243" i="49"/>
  <c r="DN243" i="49"/>
  <c r="DR243" i="49"/>
  <c r="DF244" i="49"/>
  <c r="DJ244" i="49"/>
  <c r="DN244" i="49"/>
  <c r="DR244" i="49"/>
  <c r="DF245" i="49"/>
  <c r="DJ245" i="49"/>
  <c r="DN245" i="49"/>
  <c r="DR245" i="49"/>
  <c r="DF246" i="49"/>
  <c r="DJ246" i="49"/>
  <c r="DN246" i="49"/>
  <c r="DR246" i="49"/>
  <c r="DJ255" i="49"/>
  <c r="DJ256" i="49"/>
  <c r="DE266" i="49"/>
  <c r="DF266" i="49"/>
  <c r="DK266" i="49"/>
  <c r="DE268" i="49"/>
  <c r="DF268" i="49"/>
  <c r="DK268" i="49"/>
  <c r="DE269" i="49"/>
  <c r="DF269" i="49"/>
  <c r="DJ269" i="49"/>
  <c r="DN269" i="49"/>
  <c r="DR269" i="49"/>
  <c r="DE270" i="49"/>
  <c r="DF270" i="49"/>
  <c r="DJ270" i="49"/>
  <c r="DN270" i="49"/>
  <c r="DR270" i="49"/>
  <c r="DE271" i="49"/>
  <c r="DF271" i="49"/>
  <c r="DE272" i="49"/>
  <c r="DF272" i="49"/>
  <c r="DJ272" i="49"/>
  <c r="DK272" i="49"/>
  <c r="DN272" i="49"/>
  <c r="DO272" i="49"/>
  <c r="DR272" i="49"/>
  <c r="DS272" i="49"/>
  <c r="DE276" i="49"/>
  <c r="DF276" i="49"/>
  <c r="DJ276" i="49"/>
  <c r="DK276" i="49"/>
  <c r="DN276" i="49"/>
  <c r="DO276" i="49"/>
  <c r="DR276" i="49"/>
  <c r="DS276" i="49"/>
  <c r="DJ277" i="49"/>
  <c r="DK277" i="49"/>
  <c r="DN277" i="49"/>
  <c r="DO277" i="49"/>
  <c r="DR277" i="49"/>
  <c r="DS277" i="49"/>
  <c r="DJ279" i="49"/>
  <c r="DK279" i="49"/>
  <c r="DN279" i="49"/>
  <c r="DO279" i="49"/>
  <c r="DR279" i="49"/>
  <c r="DS279" i="49"/>
  <c r="DJ281" i="49"/>
  <c r="DK281" i="49"/>
  <c r="DN281" i="49"/>
  <c r="DO281" i="49"/>
  <c r="DR281" i="49"/>
  <c r="DS281" i="49"/>
  <c r="DE282" i="49"/>
  <c r="DF282" i="49"/>
  <c r="DJ282" i="49"/>
  <c r="DN282" i="49"/>
  <c r="DR282" i="49"/>
  <c r="DE283" i="49"/>
  <c r="DF283" i="49"/>
  <c r="DJ283" i="49"/>
  <c r="DN283" i="49"/>
  <c r="DR283" i="49"/>
  <c r="DE284" i="49"/>
  <c r="DF284" i="49"/>
  <c r="DJ284" i="49"/>
  <c r="DN284" i="49"/>
  <c r="DR284" i="49"/>
  <c r="DJ285" i="49"/>
  <c r="DN285" i="49"/>
  <c r="DR285" i="49"/>
  <c r="DE286" i="49"/>
  <c r="DF286" i="49"/>
  <c r="DF288" i="49"/>
  <c r="DG288" i="49"/>
  <c r="DJ288" i="49"/>
  <c r="DK288" i="49"/>
  <c r="DN288" i="49"/>
  <c r="DO288" i="49"/>
  <c r="DR288" i="49"/>
  <c r="DS288" i="49"/>
  <c r="DF289" i="49"/>
  <c r="DJ289" i="49"/>
  <c r="DN289" i="49"/>
  <c r="DR289" i="49"/>
  <c r="DJ291" i="49"/>
  <c r="DN291" i="49"/>
  <c r="DR291" i="49"/>
  <c r="DJ292" i="49"/>
  <c r="DN292" i="49"/>
  <c r="DR292" i="49"/>
  <c r="DJ293" i="49"/>
  <c r="DN293" i="49"/>
  <c r="DR293" i="49"/>
  <c r="DF295" i="49"/>
  <c r="DJ295" i="49"/>
  <c r="DN295" i="49"/>
  <c r="DR295" i="49"/>
  <c r="DF298" i="49"/>
  <c r="DJ298" i="49"/>
  <c r="DN298" i="49"/>
  <c r="DR298" i="49"/>
  <c r="DF299" i="49"/>
  <c r="DJ299" i="49"/>
  <c r="DN299" i="49"/>
  <c r="DR299" i="49"/>
  <c r="DF300" i="49"/>
  <c r="DJ300" i="49"/>
  <c r="DN300" i="49"/>
  <c r="DR300" i="49"/>
  <c r="DF301" i="49"/>
  <c r="DJ301" i="49"/>
  <c r="DN301" i="49"/>
  <c r="DR301" i="49"/>
  <c r="DF303" i="49"/>
  <c r="DJ303" i="49"/>
  <c r="DN303" i="49"/>
  <c r="DR303" i="49"/>
  <c r="DF306" i="49"/>
  <c r="DJ306" i="49"/>
  <c r="DN306" i="49"/>
  <c r="DR306" i="49"/>
  <c r="DF308" i="49"/>
  <c r="DJ308" i="49"/>
  <c r="DN308" i="49"/>
  <c r="DR308" i="49"/>
  <c r="DF310" i="49"/>
  <c r="DJ310" i="49"/>
  <c r="DN310" i="49"/>
  <c r="DR310" i="49"/>
  <c r="DF321" i="49"/>
  <c r="DJ321" i="49"/>
  <c r="DN321" i="49"/>
  <c r="DR321" i="49"/>
  <c r="DF323" i="49"/>
  <c r="DJ323" i="49"/>
  <c r="DN323" i="49"/>
  <c r="DR323" i="49"/>
  <c r="DF325" i="49"/>
  <c r="DJ325" i="49"/>
  <c r="DN325" i="49"/>
  <c r="DR325" i="49"/>
  <c r="DF326" i="49"/>
  <c r="DJ326" i="49"/>
  <c r="DN326" i="49"/>
  <c r="DR326" i="49"/>
  <c r="DF328" i="49"/>
  <c r="DJ328" i="49"/>
  <c r="DN328" i="49"/>
  <c r="DR328" i="49"/>
  <c r="DE331" i="49"/>
  <c r="DF331" i="49"/>
  <c r="DH331" i="49"/>
  <c r="DI331" i="49"/>
  <c r="DJ331" i="49"/>
  <c r="DL331" i="49"/>
  <c r="DM331" i="49"/>
  <c r="DN331" i="49"/>
  <c r="DP331" i="49"/>
  <c r="DQ331" i="49"/>
  <c r="DR331" i="49"/>
  <c r="DF332" i="49"/>
  <c r="DJ332" i="49"/>
  <c r="DN332" i="49"/>
  <c r="DR332" i="49"/>
  <c r="DF333" i="49"/>
  <c r="DJ333" i="49"/>
  <c r="DN333" i="49"/>
  <c r="DR333" i="49"/>
  <c r="DF334" i="49"/>
  <c r="DJ334" i="49"/>
  <c r="DN334" i="49"/>
  <c r="DR334" i="49"/>
  <c r="DF336" i="49"/>
  <c r="DJ336" i="49"/>
  <c r="DN336" i="49"/>
  <c r="DR336" i="49"/>
  <c r="DF337" i="49"/>
  <c r="DJ337" i="49"/>
  <c r="DN337" i="49"/>
  <c r="DR337" i="49"/>
  <c r="DF338" i="49"/>
  <c r="DJ338" i="49"/>
  <c r="DN338" i="49"/>
  <c r="DR338" i="49"/>
  <c r="DF339" i="49"/>
  <c r="DJ339" i="49"/>
  <c r="DN339" i="49"/>
  <c r="DR339" i="49"/>
  <c r="DF340" i="49"/>
  <c r="DF341" i="49"/>
  <c r="DF342" i="49"/>
  <c r="DJ342" i="49"/>
  <c r="DN342" i="49"/>
  <c r="DR342" i="49"/>
  <c r="DF344" i="49"/>
  <c r="DJ344" i="49"/>
  <c r="DN344" i="49"/>
  <c r="DR344" i="49"/>
  <c r="DF345" i="49"/>
  <c r="DF346" i="49"/>
  <c r="DJ346" i="49"/>
  <c r="DN346" i="49"/>
  <c r="DR346" i="49"/>
  <c r="DF347" i="49"/>
  <c r="DJ347" i="49"/>
  <c r="DN347" i="49"/>
  <c r="DR347" i="49"/>
  <c r="DF348" i="49"/>
  <c r="DJ348" i="49"/>
  <c r="DN348" i="49"/>
  <c r="DR348" i="49"/>
  <c r="DF349" i="49"/>
  <c r="DJ349" i="49"/>
  <c r="DN349" i="49"/>
  <c r="DR349" i="49"/>
  <c r="DI17" i="46"/>
  <c r="DJ17" i="46"/>
  <c r="DL17" i="46"/>
  <c r="DM17" i="46"/>
  <c r="DN17" i="46"/>
  <c r="DP17" i="46"/>
  <c r="DQ17" i="46"/>
  <c r="DR17" i="46"/>
  <c r="DI18" i="46"/>
  <c r="DJ18" i="46"/>
  <c r="DL18" i="46"/>
  <c r="DM18" i="46"/>
  <c r="DN18" i="46"/>
  <c r="DP18" i="46"/>
  <c r="DQ18" i="46"/>
  <c r="DR18" i="46"/>
  <c r="DI23" i="46"/>
  <c r="DJ23" i="46"/>
  <c r="DL23" i="46"/>
  <c r="DM23" i="46"/>
  <c r="DN23" i="46"/>
  <c r="DP23" i="46"/>
  <c r="DQ23" i="46"/>
  <c r="DR23" i="46"/>
  <c r="BE26" i="46"/>
  <c r="BF26" i="46"/>
  <c r="DI30" i="46"/>
  <c r="DJ30" i="46"/>
  <c r="DL30" i="46"/>
  <c r="DM30" i="46"/>
  <c r="DN30" i="46"/>
  <c r="DP30" i="46"/>
  <c r="DQ30" i="46"/>
  <c r="DR30" i="46"/>
  <c r="BE31" i="46"/>
  <c r="BF31" i="46"/>
  <c r="DI31" i="46"/>
  <c r="DJ31" i="46"/>
  <c r="DL31" i="46"/>
  <c r="DM31" i="46"/>
  <c r="DN31" i="46"/>
  <c r="DP31" i="46"/>
  <c r="DQ31" i="46"/>
  <c r="DR31" i="46"/>
  <c r="BE36" i="46"/>
  <c r="BF36" i="46"/>
  <c r="DI36" i="46"/>
  <c r="DJ36" i="46"/>
  <c r="DL36" i="46"/>
  <c r="DM36" i="46"/>
  <c r="DN36" i="46"/>
  <c r="DP36" i="46"/>
  <c r="DQ36" i="46"/>
  <c r="DR36" i="46"/>
  <c r="BE39" i="46"/>
  <c r="BF39" i="46"/>
  <c r="BE44" i="46"/>
  <c r="BF44" i="46"/>
  <c r="BE48" i="46"/>
  <c r="BF48" i="46"/>
  <c r="BE49" i="46"/>
  <c r="BF49" i="46"/>
  <c r="DE55" i="46"/>
  <c r="DF55" i="46"/>
  <c r="DE56" i="46"/>
  <c r="DF56" i="46"/>
  <c r="DF57" i="46"/>
  <c r="DE58" i="46"/>
  <c r="DF58" i="46"/>
  <c r="DF59" i="46"/>
  <c r="DE60" i="46"/>
  <c r="DF60" i="46"/>
  <c r="DI68" i="46"/>
  <c r="DJ68" i="46"/>
  <c r="DK68" i="46"/>
  <c r="DL68" i="46"/>
  <c r="DM68" i="46"/>
  <c r="DN68" i="46"/>
  <c r="DO68" i="46"/>
  <c r="DP68" i="46"/>
  <c r="DQ68" i="46"/>
  <c r="DR68" i="46"/>
  <c r="DS68" i="46"/>
  <c r="DI70" i="46"/>
  <c r="DJ70" i="46"/>
  <c r="DK70" i="46"/>
  <c r="DL70" i="46"/>
  <c r="DM70" i="46"/>
  <c r="DN70" i="46"/>
  <c r="DO70" i="46"/>
  <c r="DP70" i="46"/>
  <c r="DQ70" i="46"/>
  <c r="DR70" i="46"/>
  <c r="DS70" i="46"/>
  <c r="DI71" i="46"/>
  <c r="DJ71" i="46"/>
  <c r="DL71" i="46"/>
  <c r="DM71" i="46"/>
  <c r="DN71" i="46"/>
  <c r="DP71" i="46"/>
  <c r="DQ71" i="46"/>
  <c r="DR71" i="46"/>
  <c r="DI72" i="46"/>
  <c r="DJ72" i="46"/>
  <c r="DL72" i="46"/>
  <c r="DM72" i="46"/>
  <c r="DN72" i="46"/>
  <c r="DP72" i="46"/>
  <c r="DQ72" i="46"/>
  <c r="DR72" i="46"/>
  <c r="DI73" i="46"/>
  <c r="DJ73" i="46"/>
  <c r="DL73" i="46"/>
  <c r="DM73" i="46"/>
  <c r="DN73" i="46"/>
  <c r="DP73" i="46"/>
  <c r="DQ73" i="46"/>
  <c r="DR73" i="46"/>
  <c r="DI78" i="46"/>
  <c r="DJ78" i="46"/>
  <c r="DL78" i="46"/>
  <c r="DM78" i="46"/>
  <c r="DN78" i="46"/>
  <c r="DP78" i="46"/>
  <c r="DQ78" i="46"/>
  <c r="DR78" i="46"/>
  <c r="DI80" i="46"/>
  <c r="DJ80" i="46"/>
  <c r="DL80" i="46"/>
  <c r="DM80" i="46"/>
  <c r="DN80" i="46"/>
  <c r="DP80" i="46"/>
  <c r="DQ80" i="46"/>
  <c r="DR80" i="46"/>
  <c r="DI95" i="46"/>
  <c r="DJ95" i="46"/>
  <c r="DL95" i="46"/>
  <c r="DM95" i="46"/>
  <c r="DN95" i="46"/>
  <c r="DP95" i="46"/>
  <c r="DQ95" i="46"/>
  <c r="DR95" i="46"/>
  <c r="DI97" i="46"/>
  <c r="DJ97" i="46"/>
  <c r="DL97" i="46"/>
  <c r="DM97" i="46"/>
  <c r="DN97" i="46"/>
  <c r="DP97" i="46"/>
  <c r="DQ97" i="46"/>
  <c r="DR97" i="46"/>
  <c r="DI105" i="46"/>
  <c r="DJ105" i="46"/>
  <c r="DL105" i="46"/>
  <c r="DM105" i="46"/>
  <c r="DN105" i="46"/>
  <c r="DP105" i="46"/>
  <c r="DQ105" i="46"/>
  <c r="DR105" i="46"/>
  <c r="DI106" i="46"/>
  <c r="DJ106" i="46"/>
  <c r="DL106" i="46"/>
  <c r="DM106" i="46"/>
  <c r="DN106" i="46"/>
  <c r="DP106" i="46"/>
  <c r="DQ106" i="46"/>
  <c r="DR106" i="46"/>
  <c r="DI114" i="46"/>
  <c r="DJ114" i="46"/>
  <c r="DL114" i="46"/>
  <c r="DM114" i="46"/>
  <c r="DN114" i="46"/>
  <c r="DP114" i="46"/>
  <c r="DQ114" i="46"/>
  <c r="DR114" i="46"/>
  <c r="DI115" i="46"/>
  <c r="DJ115" i="46"/>
  <c r="DL115" i="46"/>
  <c r="DM115" i="46"/>
  <c r="DN115" i="46"/>
  <c r="DP115" i="46"/>
  <c r="DQ115" i="46"/>
  <c r="DR115" i="46"/>
  <c r="DI119" i="46"/>
  <c r="DJ119" i="46"/>
  <c r="DL119" i="46"/>
  <c r="DM119" i="46"/>
  <c r="DN119" i="46"/>
  <c r="DP119" i="46"/>
  <c r="DQ119" i="46"/>
  <c r="DR119" i="46"/>
  <c r="DI121" i="46"/>
  <c r="DJ121" i="46"/>
  <c r="DL121" i="46"/>
  <c r="DM121" i="46"/>
  <c r="DN121" i="46"/>
  <c r="DP121" i="46"/>
  <c r="DQ121" i="46"/>
  <c r="DR121" i="46"/>
  <c r="DI127" i="46"/>
  <c r="DK127" i="46"/>
  <c r="DL127" i="46"/>
  <c r="DM127" i="46"/>
  <c r="DO127" i="46"/>
  <c r="DP127" i="46"/>
  <c r="DQ127" i="46"/>
  <c r="DS127" i="46"/>
  <c r="DI128" i="46"/>
  <c r="DK128" i="46"/>
  <c r="DL128" i="46"/>
  <c r="DM128" i="46"/>
  <c r="DO128" i="46"/>
  <c r="DP128" i="46"/>
  <c r="DQ128" i="46"/>
  <c r="DS128" i="46"/>
  <c r="DI135" i="46"/>
  <c r="DK135" i="46"/>
  <c r="DL135" i="46"/>
  <c r="DM135" i="46"/>
  <c r="DO135" i="46"/>
  <c r="DP135" i="46"/>
  <c r="DQ135" i="46"/>
  <c r="DS135" i="46"/>
  <c r="DI138" i="46"/>
  <c r="DK138" i="46"/>
  <c r="DL138" i="46"/>
  <c r="DM138" i="46"/>
  <c r="DO138" i="46"/>
  <c r="DP138" i="46"/>
  <c r="DQ138" i="46"/>
  <c r="DS138" i="46"/>
  <c r="DI154" i="46"/>
  <c r="DL154" i="46"/>
  <c r="DM154" i="46"/>
  <c r="DP154" i="46"/>
  <c r="DQ154" i="46"/>
  <c r="BI158" i="46"/>
  <c r="BI159" i="46"/>
  <c r="BI192" i="46"/>
  <c r="BE260" i="46"/>
  <c r="BF260" i="46"/>
  <c r="BE261" i="46"/>
  <c r="BF261" i="46"/>
  <c r="BE351" i="46"/>
  <c r="BF351" i="46"/>
  <c r="BE352" i="46"/>
  <c r="BF352" i="46"/>
  <c r="BE355" i="46"/>
  <c r="BF355" i="46"/>
  <c r="BE356" i="46"/>
  <c r="BF356" i="46"/>
  <c r="DE20" i="20"/>
  <c r="DF20" i="20"/>
  <c r="BH598" i="20"/>
  <c r="BI598" i="20"/>
  <c r="BL598" i="20"/>
  <c r="BH599" i="20"/>
  <c r="BI599" i="20"/>
  <c r="BL599" i="20"/>
  <c r="BH600" i="20"/>
  <c r="BI600" i="20"/>
  <c r="BL600" i="20"/>
  <c r="DE621" i="20"/>
  <c r="DF621" i="20"/>
  <c r="DE622" i="20"/>
  <c r="DF622" i="20"/>
  <c r="DE623" i="20"/>
  <c r="DF623" i="20"/>
  <c r="DE624" i="20"/>
  <c r="DF624" i="20"/>
  <c r="DE625" i="20"/>
  <c r="DF625" i="20"/>
  <c r="DF784" i="20"/>
  <c r="DF789" i="20"/>
  <c r="CB806" i="20"/>
  <c r="CC806" i="20"/>
  <c r="CD806" i="20"/>
  <c r="CB808" i="20"/>
  <c r="CC808" i="20"/>
  <c r="CD808" i="20"/>
  <c r="CB809" i="20"/>
  <c r="CC809" i="20"/>
  <c r="CD809" i="20"/>
  <c r="CB811" i="20"/>
  <c r="CC811" i="20"/>
  <c r="CD811" i="20"/>
  <c r="CB815" i="20"/>
  <c r="CC815" i="20"/>
  <c r="CD815" i="20"/>
  <c r="CF815" i="20"/>
  <c r="CG815" i="20"/>
  <c r="CH815" i="20"/>
  <c r="CB816" i="20"/>
  <c r="CC816" i="20"/>
  <c r="CD816" i="20"/>
  <c r="CF816" i="20"/>
  <c r="CG816" i="20"/>
  <c r="CH816" i="20"/>
  <c r="CB842" i="20"/>
  <c r="CC842" i="20"/>
  <c r="CD842" i="20"/>
  <c r="CB844" i="20"/>
  <c r="CC844" i="20"/>
  <c r="CD844" i="20"/>
  <c r="CB847" i="20"/>
  <c r="CC847" i="20"/>
  <c r="CD847" i="20"/>
  <c r="CF847" i="20"/>
  <c r="CG847" i="20"/>
  <c r="CH847" i="20"/>
  <c r="CB849" i="20"/>
  <c r="CC849" i="20"/>
  <c r="CD849" i="20"/>
  <c r="CF849" i="20"/>
  <c r="CG849" i="20"/>
  <c r="CH849" i="20"/>
  <c r="CD851" i="20"/>
  <c r="DE8" i="43"/>
  <c r="DF8" i="43"/>
  <c r="DG8" i="43"/>
  <c r="DK8" i="43"/>
  <c r="DE9" i="43"/>
  <c r="DF9" i="43"/>
  <c r="DE11" i="43"/>
  <c r="DF11" i="43"/>
  <c r="DG11" i="43"/>
  <c r="DK11" i="43"/>
  <c r="DE13" i="43"/>
  <c r="DF13" i="43"/>
  <c r="DG13" i="43"/>
  <c r="DK13" i="43"/>
  <c r="DE15" i="43"/>
  <c r="DF15" i="43"/>
  <c r="DE17" i="43"/>
  <c r="DF17" i="43"/>
  <c r="DG17" i="43"/>
  <c r="DK17" i="43"/>
  <c r="DE30" i="43"/>
  <c r="DF30" i="43"/>
  <c r="DG30" i="43"/>
  <c r="DK30" i="43"/>
  <c r="DE32" i="43"/>
  <c r="DF32" i="43"/>
  <c r="DE34" i="43"/>
  <c r="DF34" i="43"/>
  <c r="DE35" i="43"/>
  <c r="DF35" i="43"/>
  <c r="DQ35" i="43"/>
  <c r="DR35" i="43"/>
  <c r="DE36" i="43"/>
  <c r="DF36" i="43"/>
  <c r="DE47" i="43"/>
  <c r="DF47" i="43"/>
  <c r="DE48" i="43"/>
  <c r="DF48" i="43"/>
  <c r="DE49" i="43"/>
  <c r="DF49" i="43"/>
  <c r="DE50" i="43"/>
  <c r="DF50" i="43"/>
  <c r="DE57" i="43"/>
  <c r="DF57" i="43"/>
  <c r="DE10" i="10"/>
  <c r="DF10" i="10"/>
  <c r="DE11" i="10"/>
  <c r="DF11" i="10"/>
  <c r="DE12" i="10"/>
  <c r="DF12" i="10"/>
  <c r="DE13" i="10"/>
  <c r="DF13" i="10"/>
  <c r="DE14" i="10"/>
  <c r="DF14" i="10"/>
  <c r="DE15" i="10"/>
  <c r="DF15" i="10"/>
  <c r="DE20" i="10"/>
  <c r="DF20" i="10"/>
  <c r="DS20" i="10"/>
  <c r="DE25" i="10"/>
  <c r="DF25" i="10"/>
  <c r="DE30" i="10"/>
  <c r="DF30" i="10"/>
  <c r="DG30" i="10"/>
  <c r="DK30" i="10"/>
  <c r="DE32" i="10"/>
  <c r="DF32" i="10"/>
  <c r="DD33" i="10"/>
  <c r="DE33" i="10"/>
  <c r="DE34" i="10"/>
  <c r="DF34" i="10"/>
  <c r="DE42" i="10"/>
  <c r="DF42" i="10"/>
  <c r="DE92" i="10"/>
  <c r="DF92" i="10"/>
  <c r="DE95" i="10"/>
  <c r="DF95" i="10"/>
  <c r="DE104" i="10"/>
  <c r="DF104" i="10"/>
  <c r="DE105" i="10"/>
  <c r="DF105" i="10"/>
  <c r="DE107" i="10"/>
  <c r="DF107" i="10"/>
  <c r="DE116" i="10"/>
  <c r="DF116" i="10"/>
  <c r="DG116" i="10"/>
  <c r="DE117" i="10"/>
  <c r="DF117" i="10"/>
  <c r="DG117" i="10"/>
  <c r="DE119" i="10"/>
  <c r="DF119" i="10"/>
  <c r="DG119" i="10"/>
  <c r="DE129" i="10"/>
  <c r="DF129" i="10"/>
  <c r="DE130" i="10"/>
  <c r="DF130" i="10"/>
  <c r="DH134" i="10"/>
  <c r="DE140" i="10"/>
  <c r="DE141" i="10"/>
  <c r="DE142" i="10"/>
  <c r="DE146" i="10"/>
  <c r="DH146" i="10"/>
  <c r="DE147" i="10"/>
  <c r="DH147" i="10"/>
  <c r="DE148" i="10"/>
  <c r="DH148" i="10"/>
  <c r="DE162" i="10"/>
  <c r="DF162" i="10"/>
  <c r="DE165" i="10"/>
  <c r="DF165" i="10"/>
  <c r="DG165" i="10"/>
  <c r="DK165" i="10"/>
  <c r="DE167" i="10"/>
  <c r="DE174" i="10"/>
  <c r="DF174" i="10"/>
  <c r="DE385" i="10"/>
  <c r="DF385" i="10"/>
  <c r="DE387" i="10"/>
  <c r="DF387" i="10"/>
  <c r="DO387" i="10"/>
  <c r="DE405" i="10"/>
  <c r="DE406" i="10"/>
  <c r="DE407" i="10"/>
  <c r="DE408" i="10"/>
  <c r="DE656" i="10"/>
  <c r="DF656" i="10"/>
  <c r="DE657" i="10"/>
  <c r="DF657" i="10"/>
  <c r="DE659" i="10"/>
  <c r="DF659" i="10"/>
  <c r="DE660" i="10"/>
  <c r="DF660" i="10"/>
  <c r="DE662" i="10"/>
  <c r="DF662" i="10"/>
  <c r="DE663" i="10"/>
  <c r="DF663" i="10"/>
  <c r="DE664" i="10"/>
  <c r="DF664" i="10"/>
  <c r="DE704" i="10"/>
  <c r="DF704" i="10"/>
  <c r="DE706" i="10"/>
  <c r="DF706" i="10"/>
  <c r="DE707" i="10"/>
  <c r="DF707" i="10"/>
  <c r="DE708" i="10"/>
  <c r="DF708" i="10"/>
  <c r="DE822" i="10"/>
  <c r="DF822" i="10"/>
  <c r="DE832" i="10"/>
  <c r="DF832" i="10"/>
  <c r="DE833" i="10"/>
  <c r="DF833" i="10"/>
  <c r="DE834" i="10"/>
  <c r="DF834" i="10"/>
  <c r="DE844" i="10"/>
  <c r="DF844" i="10"/>
  <c r="DE845" i="10"/>
  <c r="DF845" i="10"/>
  <c r="DE846" i="10"/>
  <c r="DF846" i="10"/>
  <c r="DE850" i="10"/>
  <c r="DF850" i="10"/>
  <c r="DE851" i="10"/>
  <c r="DF851" i="10"/>
  <c r="DE852" i="10"/>
  <c r="DF852" i="10"/>
  <c r="DE853" i="10"/>
  <c r="DF853" i="10"/>
  <c r="DE854" i="10"/>
  <c r="DF854" i="10"/>
  <c r="DE855" i="10"/>
  <c r="DF855" i="10"/>
  <c r="DE856" i="10"/>
  <c r="DF856" i="10"/>
  <c r="DE857" i="10"/>
  <c r="DF857" i="10"/>
  <c r="DE868" i="10"/>
  <c r="DF868" i="10"/>
  <c r="DE878" i="10"/>
  <c r="DF878" i="10"/>
  <c r="DE888" i="10"/>
  <c r="DF888" i="10"/>
  <c r="DE975" i="10"/>
  <c r="DF975" i="10"/>
  <c r="DE985" i="10"/>
  <c r="DF985" i="10"/>
  <c r="DE986" i="10"/>
  <c r="DF986" i="10"/>
  <c r="DG986" i="10"/>
  <c r="DK986" i="10"/>
  <c r="DE1032" i="10"/>
  <c r="DF1032" i="10"/>
  <c r="DE1033" i="10"/>
  <c r="DF1033" i="10"/>
  <c r="DG1033" i="10"/>
  <c r="DK1033" i="10"/>
  <c r="DE1100" i="10"/>
  <c r="DF1100" i="10"/>
  <c r="DE1101" i="10"/>
  <c r="DF1101" i="10"/>
  <c r="DE1103" i="10"/>
  <c r="DF1103" i="10"/>
  <c r="DE1104" i="10"/>
  <c r="DF1104" i="10"/>
  <c r="DE1105" i="10"/>
  <c r="DF1105" i="10"/>
  <c r="DI1105" i="10"/>
  <c r="DJ1105" i="10"/>
  <c r="DL1105" i="10"/>
  <c r="DM1105" i="10"/>
  <c r="DN1105" i="10"/>
  <c r="DP1105" i="10"/>
  <c r="DQ1105" i="10"/>
  <c r="DR1105" i="10"/>
  <c r="DE1145" i="10"/>
  <c r="DE1148" i="10"/>
  <c r="DE1186" i="10"/>
  <c r="DF1186" i="10"/>
  <c r="DE1187" i="10"/>
  <c r="DF1187" i="10"/>
  <c r="DE1193" i="10"/>
  <c r="DF1193" i="10"/>
  <c r="DE1194" i="10"/>
  <c r="DF1194" i="10"/>
  <c r="DE1216" i="10"/>
  <c r="DF1216" i="10"/>
  <c r="DE1217" i="10"/>
  <c r="DF1217" i="10"/>
  <c r="CF1218" i="10"/>
  <c r="CH1218" i="10"/>
  <c r="CJ1218" i="10"/>
  <c r="CL1218" i="10"/>
  <c r="CN1218" i="10"/>
  <c r="CP1218" i="10"/>
  <c r="DE1218" i="10"/>
  <c r="DF1218" i="10"/>
  <c r="CF1219" i="10"/>
  <c r="CH1219" i="10"/>
  <c r="CJ1219" i="10"/>
  <c r="CL1219" i="10"/>
  <c r="CN1219" i="10"/>
  <c r="CP1219" i="10"/>
  <c r="CF1221" i="10"/>
  <c r="CH1221" i="10"/>
  <c r="CJ1221" i="10"/>
  <c r="CL1221" i="10"/>
  <c r="CN1221" i="10"/>
  <c r="CP1221" i="10"/>
  <c r="CF1222" i="10"/>
  <c r="CH1222" i="10"/>
  <c r="CJ1222" i="10"/>
  <c r="CL1222" i="10"/>
  <c r="CN1222" i="10"/>
  <c r="CP1222" i="10"/>
  <c r="DE1222" i="10"/>
  <c r="DF1222" i="10"/>
  <c r="DE1226" i="10"/>
  <c r="DF1226" i="10"/>
  <c r="DE1227" i="10"/>
  <c r="DF1227" i="10"/>
  <c r="BK7" i="41"/>
  <c r="BL7" i="41"/>
  <c r="EQ7" i="41"/>
  <c r="EQ8" i="41"/>
  <c r="ET9" i="41"/>
  <c r="EU9" i="41"/>
  <c r="EW9" i="41"/>
  <c r="EX9" i="41"/>
  <c r="EY9" i="41"/>
  <c r="FA9" i="41"/>
  <c r="FB9" i="41"/>
  <c r="FC9" i="41"/>
  <c r="ET10" i="41"/>
  <c r="EU10" i="41"/>
  <c r="EW10" i="41"/>
  <c r="EX10" i="41"/>
  <c r="EY10" i="41"/>
  <c r="FA10" i="41"/>
  <c r="FB10" i="41"/>
  <c r="FC10" i="41"/>
  <c r="BK11" i="41"/>
  <c r="BL11" i="41"/>
  <c r="ET11" i="41"/>
  <c r="EU11" i="41"/>
  <c r="EW11" i="41"/>
  <c r="EX11" i="41"/>
  <c r="EY11" i="41"/>
  <c r="FA11" i="41"/>
  <c r="FB11" i="41"/>
  <c r="FC11" i="41"/>
  <c r="ET12" i="41"/>
  <c r="EU12" i="41"/>
  <c r="EW12" i="41"/>
  <c r="EX12" i="41"/>
  <c r="EY12" i="41"/>
  <c r="FA12" i="41"/>
  <c r="FB12" i="41"/>
  <c r="FC12" i="41"/>
  <c r="EP14" i="41"/>
  <c r="EQ14" i="41"/>
  <c r="BK16" i="41"/>
  <c r="BL16" i="41"/>
  <c r="BK18" i="41"/>
  <c r="BL18" i="41"/>
  <c r="BK20" i="41"/>
  <c r="BL20" i="41"/>
  <c r="ET21" i="41"/>
  <c r="EU21" i="41"/>
  <c r="EW21" i="41"/>
  <c r="EX21" i="41"/>
  <c r="EY21" i="41"/>
  <c r="FA21" i="41"/>
  <c r="FB21" i="41"/>
  <c r="FC21" i="41"/>
  <c r="BK22" i="41"/>
  <c r="BL22" i="41"/>
  <c r="ET22" i="41"/>
  <c r="EU22" i="41"/>
  <c r="EW22" i="41"/>
  <c r="EX22" i="41"/>
  <c r="EY22" i="41"/>
  <c r="FA22" i="41"/>
  <c r="FB22" i="41"/>
  <c r="FC22" i="41"/>
  <c r="EP23" i="41"/>
  <c r="EQ23" i="41"/>
  <c r="BK24" i="41"/>
  <c r="BL24" i="41"/>
  <c r="EP24" i="41"/>
  <c r="EQ24" i="41"/>
  <c r="BK25" i="41"/>
  <c r="BL25" i="41"/>
  <c r="BW25" i="41"/>
  <c r="BX25" i="41"/>
  <c r="BK26" i="41"/>
  <c r="BL26" i="41"/>
  <c r="EP26" i="41"/>
  <c r="EQ26" i="41"/>
  <c r="BK27" i="41"/>
  <c r="BL27" i="41"/>
  <c r="EP27" i="41"/>
  <c r="EQ27" i="41"/>
  <c r="EP29" i="41"/>
  <c r="EQ29" i="41"/>
  <c r="EP30" i="41"/>
  <c r="EQ30" i="41"/>
  <c r="BK31" i="41"/>
  <c r="BL31" i="41"/>
  <c r="EP31" i="41"/>
  <c r="EQ31" i="41"/>
  <c r="BK33" i="41"/>
  <c r="BL33" i="41"/>
  <c r="BK34" i="41"/>
  <c r="BL34" i="41"/>
  <c r="BK35" i="41"/>
  <c r="BL35" i="41"/>
  <c r="CU35" i="41"/>
  <c r="ET37" i="41"/>
  <c r="EU37" i="41"/>
  <c r="EW37" i="41"/>
  <c r="EX37" i="41"/>
  <c r="EY37" i="41"/>
  <c r="FA37" i="41"/>
  <c r="FB37" i="41"/>
  <c r="FC37" i="41"/>
  <c r="BK38" i="41"/>
  <c r="BL38" i="41"/>
  <c r="BK39" i="41"/>
  <c r="BL39" i="41"/>
  <c r="ET39" i="41"/>
  <c r="EU39" i="41"/>
  <c r="EW39" i="41"/>
  <c r="EX39" i="41"/>
  <c r="EY39" i="41"/>
  <c r="FA39" i="41"/>
  <c r="FB39" i="41"/>
  <c r="FC39" i="41"/>
  <c r="CU40" i="41"/>
  <c r="BK41" i="41"/>
  <c r="BL41" i="41"/>
  <c r="BK46" i="41"/>
  <c r="BL46" i="41"/>
  <c r="ET51" i="41"/>
  <c r="EU51" i="41"/>
  <c r="EW51" i="41"/>
  <c r="EX51" i="41"/>
  <c r="EY51" i="41"/>
  <c r="FA51" i="41"/>
  <c r="FB51" i="41"/>
  <c r="FC51" i="41"/>
  <c r="BK52" i="41"/>
  <c r="BL52" i="41"/>
  <c r="BO52" i="41"/>
  <c r="BP52" i="41"/>
  <c r="BK53" i="41"/>
  <c r="BL53" i="41"/>
  <c r="BO53" i="41"/>
  <c r="BP53" i="41"/>
  <c r="BK54" i="41"/>
  <c r="BL54" i="41"/>
  <c r="BO54" i="41"/>
  <c r="BP54" i="41"/>
  <c r="ET54" i="41"/>
  <c r="EU54" i="41"/>
  <c r="EW54" i="41"/>
  <c r="EX54" i="41"/>
  <c r="EY54" i="41"/>
  <c r="FA54" i="41"/>
  <c r="FB54" i="41"/>
  <c r="FC54" i="41"/>
  <c r="BK55" i="41"/>
  <c r="BL55" i="41"/>
  <c r="BO55" i="41"/>
  <c r="BP55" i="41"/>
  <c r="ET55" i="41"/>
  <c r="EU55" i="41"/>
  <c r="EW55" i="41"/>
  <c r="EX55" i="41"/>
  <c r="EY55" i="41"/>
  <c r="FA55" i="41"/>
  <c r="FB55" i="41"/>
  <c r="FC55" i="41"/>
  <c r="BK56" i="41"/>
  <c r="BL56" i="41"/>
  <c r="BO56" i="41"/>
  <c r="BP56" i="41"/>
  <c r="ET56" i="41"/>
  <c r="EU56" i="41"/>
  <c r="EW56" i="41"/>
  <c r="EX56" i="41"/>
  <c r="EY56" i="41"/>
  <c r="FA56" i="41"/>
  <c r="FB56" i="41"/>
  <c r="FC56" i="41"/>
  <c r="BK59" i="41"/>
  <c r="BL59" i="41"/>
  <c r="BO59" i="41"/>
  <c r="BP59" i="41"/>
  <c r="BK64" i="41"/>
  <c r="BL64" i="41"/>
  <c r="BO64" i="41"/>
  <c r="BP64" i="41"/>
  <c r="BK65" i="41"/>
  <c r="BL65" i="41"/>
  <c r="BO65" i="41"/>
  <c r="BP65" i="41"/>
  <c r="BK66" i="41"/>
  <c r="BL66" i="41"/>
  <c r="BO66" i="41"/>
  <c r="BP66" i="41"/>
  <c r="ET67" i="41"/>
  <c r="EU67" i="41"/>
  <c r="EW67" i="41"/>
  <c r="EX67" i="41"/>
  <c r="EY67" i="41"/>
  <c r="FA67" i="41"/>
  <c r="FB67" i="41"/>
  <c r="FC67" i="41"/>
  <c r="BK68" i="41"/>
  <c r="BL68" i="41"/>
  <c r="BO68" i="41"/>
  <c r="BP68" i="41"/>
  <c r="BK69" i="41"/>
  <c r="BL69" i="41"/>
  <c r="BO69" i="41"/>
  <c r="BP69" i="41"/>
  <c r="BK70" i="41"/>
  <c r="BL70" i="41"/>
  <c r="BO70" i="41"/>
  <c r="BP70" i="41"/>
  <c r="ET70" i="41"/>
  <c r="EU70" i="41"/>
  <c r="EW70" i="41"/>
  <c r="EX70" i="41"/>
  <c r="EY70" i="41"/>
  <c r="FA70" i="41"/>
  <c r="FB70" i="41"/>
  <c r="FC70" i="41"/>
  <c r="BK71" i="41"/>
  <c r="BL71" i="41"/>
  <c r="BO71" i="41"/>
  <c r="BP71" i="41"/>
  <c r="ET71" i="41"/>
  <c r="EU71" i="41"/>
  <c r="EW71" i="41"/>
  <c r="EX71" i="41"/>
  <c r="EY71" i="41"/>
  <c r="FA71" i="41"/>
  <c r="FB71" i="41"/>
  <c r="FC71" i="41"/>
  <c r="ET72" i="41"/>
  <c r="EU72" i="41"/>
  <c r="EW72" i="41"/>
  <c r="EX72" i="41"/>
  <c r="EY72" i="41"/>
  <c r="FA72" i="41"/>
  <c r="FB72" i="41"/>
  <c r="FC72" i="41"/>
  <c r="BJ73" i="41"/>
  <c r="BK73" i="41"/>
  <c r="BK75" i="41"/>
  <c r="BL75" i="41"/>
  <c r="BK76" i="41"/>
  <c r="BL76" i="41"/>
  <c r="BO76" i="41"/>
  <c r="BP76" i="41"/>
  <c r="BK77" i="41"/>
  <c r="BL77" i="41"/>
  <c r="BK78" i="41"/>
  <c r="BL78" i="41"/>
  <c r="BO78" i="41"/>
  <c r="BP78" i="41"/>
  <c r="BK81" i="41"/>
  <c r="BL81" i="41"/>
  <c r="BK82" i="41"/>
  <c r="BL82" i="41"/>
  <c r="D7" i="79"/>
  <c r="D8" i="79"/>
  <c r="D9" i="79"/>
  <c r="D11" i="79"/>
  <c r="L11" i="79"/>
  <c r="L13" i="79"/>
  <c r="D15" i="79"/>
  <c r="L15" i="79"/>
  <c r="D16" i="79"/>
  <c r="D17" i="79"/>
  <c r="L17" i="79"/>
  <c r="D18" i="79"/>
  <c r="L18" i="79"/>
  <c r="L19" i="79"/>
  <c r="D20" i="79"/>
  <c r="D7" i="78"/>
  <c r="G7" i="78"/>
  <c r="M7" i="78"/>
  <c r="D8" i="78"/>
  <c r="G8" i="78"/>
  <c r="M8" i="78"/>
  <c r="D9" i="78"/>
  <c r="D11" i="78"/>
  <c r="E11" i="78"/>
  <c r="M11" i="78"/>
  <c r="H14" i="78"/>
  <c r="E19" i="78"/>
  <c r="D28" i="78"/>
  <c r="G28" i="78"/>
  <c r="M28" i="78"/>
  <c r="D29" i="78"/>
  <c r="G29" i="78"/>
  <c r="M29" i="78"/>
  <c r="D30" i="78"/>
  <c r="G30" i="78"/>
  <c r="D31" i="78"/>
  <c r="E31" i="78"/>
  <c r="D33" i="78"/>
  <c r="M33" i="78"/>
  <c r="D38" i="78"/>
  <c r="M38" i="78"/>
  <c r="D40" i="78"/>
  <c r="D42" i="78"/>
  <c r="D43" i="78"/>
  <c r="D44" i="78"/>
  <c r="F44" i="78"/>
  <c r="D45" i="78"/>
  <c r="D62" i="78"/>
  <c r="D63" i="78"/>
  <c r="D105" i="78"/>
  <c r="D106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Stadnik, Andrei (Research)</author>
    <author>O'Neill, Emilie (Research)</author>
    <author>tc={D424783E-4C33-4887-B108-80BA62EA71D7}</author>
    <author>tc={F8F07034-3C3D-48D4-905E-642F1BA83D86}</author>
    <author>tc={3D435742-DFA8-490C-BD6C-C7715CC8F138}</author>
    <author>tc={CFAD6380-7978-4CB0-BFB3-8BD9BB0B4415}</author>
    <author>tc={7A2C6E90-A555-4769-88DD-B66698A49A7D}</author>
    <author>tc={54559616-827C-4D92-B05D-1AB526FC3FDD}</author>
    <author>tc={EC7D1B13-8AD0-4F44-B642-2CAC4BED7E00}</author>
    <author>tc={F3B7D041-8A41-47FC-AE1B-FB9E98F4D33E}</author>
    <author>Bounpraseuth, Daniel N (Research)</author>
    <author>tc={8280240B-5FC1-48A6-A93A-73371422888B}</author>
    <author>tc={834B4AFD-31B3-42FB-A52A-063F771B7A68}</author>
    <author>Wiles, Richard (Research)</author>
    <author>tc={D2F3ADEE-3654-4E65-B7AF-6BFAA68E9A5B}</author>
    <author>tc={624C7DA1-B126-468D-A1D1-26AF61A09FB4}</author>
    <author>tc={051CAC35-4EFD-40B9-AD13-D6D67922F7EB}</author>
    <author>Hau, Jenny (Research)</author>
    <author>Zhou, Sally (Research)</author>
    <author>tc={82E08F58-A7E6-4CE8-9C05-800F94614117}</author>
    <author>tc={383C58BE-3A5E-4632-9856-661EBD049DF0}</author>
    <author>tc={B75219B6-FC91-44A4-9BE0-F711789EFB87}</author>
    <author>tc={746C995C-A699-4493-A969-08CC5A68B236}</author>
    <author>tc={07A7B481-ADC8-4AD2-A16C-A1F35F368942}</author>
    <author>tc={B34B94FA-550D-4850-B486-65BA702EF8FC}</author>
    <author>tc={06200ECD-F1CA-4F5F-AA0C-AE53BA5FE082}</author>
    <author>tc={2E805D89-395B-479A-BC52-37AB5B349C9C}</author>
    <author>tc={9E17FA2D-BA12-41C8-9B0D-1380098EAD3B}</author>
    <author>tc={58FD3944-BA30-4529-A0BA-4FBB15A18885}</author>
    <author>tc={41D3240E-5913-44B3-B338-2E54EDB4CF33}</author>
    <author>tc={69E4AA3F-2554-4A43-B1DE-59352CBCAAFD}</author>
    <author>tc={649B7F28-7EB7-4610-B645-06C613416830}</author>
    <author>tc={5128420C-9D06-4261-BC98-1699DD637C45}</author>
    <author>tc={B916522E-0845-45C9-95EF-E75BC29C6E04}</author>
    <author>tc={CEA16071-302F-462F-84CE-4281ACD34CA4}</author>
    <author>tc={908783C4-6B6B-4777-96D8-45E5C83B1D2A}</author>
    <author>tc={E11B8F70-73B8-44B0-8066-524A0A33D9BE}</author>
    <author>tc={71529954-168C-48AA-ACCF-6FA188C77F54}</author>
    <author>tc={D614B67E-A021-4F52-BE84-A93E7086E361}</author>
    <author>tc={6626E5A2-B017-4F83-8797-74E72841902F}</author>
    <author>Dunger, Matt (Research)</author>
  </authors>
  <commentList>
    <comment ref="BY11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CB116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116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116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116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R116" authorId="2" shapeId="0" xr:uid="{D424783E-4C33-4887-B108-80BA62EA71D7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S116" authorId="3" shapeId="0" xr:uid="{F8F07034-3C3D-48D4-905E-642F1BA83D86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F117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117" authorId="1" shapeId="0" xr:uid="{00000000-0006-0000-0700-00000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S117" authorId="4" shapeId="0" xr:uid="{3D435742-DFA8-490C-BD6C-C7715CC8F138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C119" authorId="1" shapeId="0" xr:uid="{00000000-0006-0000-0700-00000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G119" authorId="1" shapeId="0" xr:uid="{00000000-0006-0000-0700-00000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S119" authorId="5" shapeId="0" xr:uid="{CFAD6380-7978-4CB0-BFB3-8BD9BB0B4415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B122" authorId="1" shapeId="0" xr:uid="{00000000-0006-0000-0700-00000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122" authorId="1" shapeId="0" xr:uid="{00000000-0006-0000-0700-00000B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122" authorId="1" shapeId="0" xr:uid="{00000000-0006-0000-0700-00000C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122" authorId="1" shapeId="0" xr:uid="{00000000-0006-0000-0700-00000D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S122" authorId="6" shapeId="0" xr:uid="{7A2C6E90-A555-4769-88DD-B66698A49A7D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F123" authorId="1" shapeId="0" xr:uid="{00000000-0006-0000-0700-00000E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123" authorId="1" shapeId="0" xr:uid="{00000000-0006-0000-0700-00000F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S123" authorId="7" shapeId="0" xr:uid="{54559616-827C-4D92-B05D-1AB526FC3FDD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BU124" authorId="1" shapeId="0" xr:uid="{00000000-0006-0000-0700-000010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with no HY split provided</t>
        </r>
      </text>
    </comment>
    <comment ref="CB124" authorId="1" shapeId="0" xr:uid="{00000000-0006-0000-0700-00001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124" authorId="1" shapeId="0" xr:uid="{00000000-0006-0000-0700-00001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124" authorId="1" shapeId="0" xr:uid="{00000000-0006-0000-0700-00001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124" authorId="1" shapeId="0" xr:uid="{00000000-0006-0000-0700-00001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S124" authorId="8" shapeId="0" xr:uid="{EC7D1B13-8AD0-4F44-B642-2CAC4BED7E00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C127" authorId="1" shapeId="0" xr:uid="{00000000-0006-0000-0700-000015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127" authorId="1" shapeId="0" xr:uid="{00000000-0006-0000-0700-00001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127" authorId="1" shapeId="0" xr:uid="{00000000-0006-0000-0700-00001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S127" authorId="9" shapeId="0" xr:uid="{F3B7D041-8A41-47FC-AE1B-FB9E98F4D33E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DI141" authorId="0" shapeId="0" xr:uid="{A3A352D5-B0E4-4441-9F9F-43B631985217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less headwind from funding costs of extra equit investments</t>
        </r>
      </text>
    </comment>
    <comment ref="DB144" authorId="0" shapeId="0" xr:uid="{44C79CF2-29A5-4AB2-9662-D4CC8A394D3E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presentation slide 16</t>
        </r>
      </text>
    </comment>
    <comment ref="DD144" authorId="10" shapeId="0" xr:uid="{81304D03-6CFF-47C2-9294-B5FED617AE87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slide 52 preso</t>
        </r>
      </text>
    </comment>
    <comment ref="DF144" authorId="10" shapeId="0" xr:uid="{EA5A6EEA-6189-47C6-9AF4-C85CA49A1265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slide 52 preso</t>
        </r>
      </text>
    </comment>
    <comment ref="BY148" authorId="1" shapeId="0" xr:uid="{00000000-0006-0000-0700-00001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disclosure changed.
Includes transfer of CGM's 25% interest in US DCM business</t>
        </r>
      </text>
    </comment>
    <comment ref="CC148" authorId="1" shapeId="0" xr:uid="{00000000-0006-0000-0700-00001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disclosure changed.
Includes transfer of CGM's 25% interest in US DCM business</t>
        </r>
      </text>
    </comment>
    <comment ref="CF148" authorId="1" shapeId="0" xr:uid="{00000000-0006-0000-0700-00001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Segment reporting in financial report - ie note 3 - restated</t>
        </r>
      </text>
    </comment>
    <comment ref="CG148" authorId="1" shapeId="0" xr:uid="{00000000-0006-0000-0700-00001B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Segment reporting in financial report - ie note 3 - RESTATED for CAF elimination</t>
        </r>
      </text>
    </comment>
    <comment ref="CJ148" authorId="1" shapeId="0" xr:uid="{00000000-0006-0000-0700-00001C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Segment reporting in financial report - ie note 3</t>
        </r>
      </text>
    </comment>
    <comment ref="CN148" authorId="1" shapeId="0" xr:uid="{00000000-0006-0000-0700-00001D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Segment reporting in financial report - ie note 3</t>
        </r>
      </text>
    </comment>
    <comment ref="CF150" authorId="1" shapeId="0" xr:uid="{00000000-0006-0000-0700-00001F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Segment reporting in financial report - ie note 3 - restated</t>
        </r>
      </text>
    </comment>
    <comment ref="CG150" authorId="1" shapeId="0" xr:uid="{00000000-0006-0000-0700-000020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Segment reporting in financial report - ie note 3</t>
        </r>
      </text>
    </comment>
    <comment ref="CK150" authorId="1" shapeId="0" xr:uid="{00000000-0006-0000-0700-00002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Segment reporting in financial report - ie note 3</t>
        </r>
      </text>
    </comment>
    <comment ref="CO150" authorId="1" shapeId="0" xr:uid="{00000000-0006-0000-0700-00002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Segment reporting in financial report - ie note 3</t>
        </r>
      </text>
    </comment>
    <comment ref="CR150" authorId="11" shapeId="0" xr:uid="{8280240B-5FC1-48A6-A93A-73371422888B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S150" authorId="12" shapeId="0" xr:uid="{834B4AFD-31B3-42FB-A52A-063F771B7A68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B153" authorId="1" shapeId="0" xr:uid="{00000000-0006-0000-0700-000025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153" authorId="1" shapeId="0" xr:uid="{00000000-0006-0000-0700-00002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153" authorId="1" shapeId="0" xr:uid="{00000000-0006-0000-0700-00002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BY169" authorId="1" shapeId="0" xr:uid="{00000000-0006-0000-0700-00002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B169" authorId="1" shapeId="0" xr:uid="{00000000-0006-0000-0700-00002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169" authorId="13" shapeId="0" xr:uid="{00000000-0006-0000-0700-00002A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gains on asset realisations across many industries</t>
        </r>
      </text>
    </comment>
    <comment ref="CF169" authorId="1" shapeId="0" xr:uid="{00000000-0006-0000-0700-00002B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G169" authorId="1" shapeId="0" xr:uid="{00000000-0006-0000-0700-00002C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S169" authorId="14" shapeId="0" xr:uid="{D2F3ADEE-3654-4E65-B7AF-6BFAA68E9A5B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B179" authorId="1" shapeId="0" xr:uid="{00000000-0006-0000-0700-00002D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179" authorId="1" shapeId="0" xr:uid="{00000000-0006-0000-0700-00002E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179" authorId="1" shapeId="0" xr:uid="{00000000-0006-0000-0700-00002F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179" authorId="1" shapeId="0" xr:uid="{00000000-0006-0000-0700-000030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S179" authorId="15" shapeId="0" xr:uid="{624C7DA1-B126-468D-A1D1-26AF61A09FB4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BU182" authorId="1" shapeId="0" xr:uid="{00000000-0006-0000-0700-00003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with no HY split provided</t>
        </r>
      </text>
    </comment>
    <comment ref="CB182" authorId="1" shapeId="0" xr:uid="{00000000-0006-0000-0700-00003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182" authorId="1" shapeId="0" xr:uid="{00000000-0006-0000-0700-00003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182" authorId="1" shapeId="0" xr:uid="{00000000-0006-0000-0700-00003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182" authorId="1" shapeId="0" xr:uid="{00000000-0006-0000-0700-000035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S182" authorId="16" shapeId="0" xr:uid="{051CAC35-4EFD-40B9-AD13-D6D67922F7EB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DI187" authorId="10" shapeId="0" xr:uid="{7B50E98F-379E-4AFD-A5AD-6B55561C1B09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slowing in 2H</t>
        </r>
      </text>
    </comment>
    <comment ref="DL187" authorId="10" shapeId="0" xr:uid="{EB96D504-52B0-4048-82A2-640ED9FBE146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strong rebound in completed M&amp;A in 2027</t>
        </r>
      </text>
    </comment>
    <comment ref="BX193" authorId="0" shapeId="0" xr:uid="{00000000-0006-0000-0700-00003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1H18 preso</t>
        </r>
      </text>
    </comment>
    <comment ref="BY193" authorId="0" shapeId="0" xr:uid="{00000000-0006-0000-0700-00003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preso</t>
        </r>
      </text>
    </comment>
    <comment ref="CB193" authorId="1" shapeId="0" xr:uid="{00000000-0006-0000-0700-00003E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Preso</t>
        </r>
      </text>
    </comment>
    <comment ref="CC193" authorId="0" shapeId="0" xr:uid="{00000000-0006-0000-0700-00003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preso - check FY17 transaction number</t>
        </r>
      </text>
    </comment>
    <comment ref="CF193" authorId="1" shapeId="0" xr:uid="{00000000-0006-0000-0700-000040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Preso</t>
        </r>
      </text>
    </comment>
    <comment ref="CG193" authorId="1" shapeId="0" xr:uid="{00000000-0006-0000-0700-000041000000}">
      <text>
        <r>
          <rPr>
            <b/>
            <sz val="9"/>
            <color indexed="81"/>
            <rFont val="Tahoma"/>
            <family val="2"/>
          </rPr>
          <t>O'Neill, Emilie (Research):slide 20 of fy19 preso</t>
        </r>
      </text>
    </comment>
    <comment ref="CJ193" authorId="1" shapeId="0" xr:uid="{00000000-0006-0000-0700-00004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Preso</t>
        </r>
      </text>
    </comment>
    <comment ref="CK193" authorId="1" shapeId="0" xr:uid="{00000000-0006-0000-0700-000043000000}">
      <text>
        <r>
          <rPr>
            <b/>
            <sz val="9"/>
            <color indexed="81"/>
            <rFont val="Tahoma"/>
            <family val="2"/>
          </rPr>
          <t>O'Neill, Emilie (Research):slide 20 of fy19 preso</t>
        </r>
      </text>
    </comment>
    <comment ref="CL193" authorId="17" shapeId="0" xr:uid="{00000000-0006-0000-0700-000044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search TRANSACTIONS
VALUED AT in preso</t>
        </r>
      </text>
    </comment>
    <comment ref="BX199" authorId="0" shapeId="0" xr:uid="{00000000-0006-0000-0700-00004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 restated for the gross up, not consistent!</t>
        </r>
      </text>
    </comment>
    <comment ref="BY199" authorId="1" shapeId="0" xr:uid="{00000000-0006-0000-0700-00004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 and this is now full transaction value not just the part attributed to MQG</t>
        </r>
      </text>
    </comment>
    <comment ref="CB199" authorId="0" shapeId="0" xr:uid="{00000000-0006-0000-0700-00004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 restated for the gross up, not consistent!</t>
        </r>
      </text>
    </comment>
    <comment ref="CC199" authorId="1" shapeId="0" xr:uid="{00000000-0006-0000-0700-00004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this is now full transaction value not just the part attributed to MQG</t>
        </r>
      </text>
    </comment>
    <comment ref="AN230" authorId="1" shapeId="0" xr:uid="{00000000-0006-0000-0700-00004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AO230" authorId="1" shapeId="0" xr:uid="{00000000-0006-0000-0700-00004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AR230" authorId="1" shapeId="0" xr:uid="{00000000-0006-0000-0700-00004B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AS230" authorId="1" shapeId="0" xr:uid="{00000000-0006-0000-0700-00004C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AV230" authorId="1" shapeId="0" xr:uid="{00000000-0006-0000-0700-00004D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AW230" authorId="1" shapeId="0" xr:uid="{00000000-0006-0000-0700-00004E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AZ230" authorId="1" shapeId="0" xr:uid="{00000000-0006-0000-0700-00004F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BA230" authorId="1" shapeId="0" xr:uid="{00000000-0006-0000-0700-000050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BD230" authorId="1" shapeId="0" xr:uid="{00000000-0006-0000-0700-00005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BE230" authorId="1" shapeId="0" xr:uid="{00000000-0006-0000-0700-00005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BH230" authorId="1" shapeId="0" xr:uid="{00000000-0006-0000-0700-00005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BI230" authorId="1" shapeId="0" xr:uid="{00000000-0006-0000-0700-00005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BL230" authorId="1" shapeId="0" xr:uid="{00000000-0006-0000-0700-000055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BM230" authorId="1" shapeId="0" xr:uid="{00000000-0006-0000-0700-00005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BP230" authorId="1" shapeId="0" xr:uid="{00000000-0006-0000-0700-00005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BQ230" authorId="1" shapeId="0" xr:uid="{00000000-0006-0000-0700-00005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BT230" authorId="1" shapeId="0" xr:uid="{00000000-0006-0000-0700-00005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BU230" authorId="1" shapeId="0" xr:uid="{00000000-0006-0000-0700-00005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BX230" authorId="1" shapeId="0" xr:uid="{00000000-0006-0000-0700-00005B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for CFM + Mac securities</t>
        </r>
      </text>
    </comment>
    <comment ref="CF230" authorId="0" shapeId="0" xr:uid="{00000000-0006-0000-0700-00005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230" authorId="0" shapeId="0" xr:uid="{00000000-0006-0000-0700-00005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F235" authorId="0" shapeId="0" xr:uid="{00000000-0006-0000-0700-00005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F238" authorId="0" shapeId="0" xr:uid="{00000000-0006-0000-0700-00005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238" authorId="0" shapeId="0" xr:uid="{00000000-0006-0000-0700-00006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F239" authorId="0" shapeId="0" xr:uid="{00000000-0006-0000-0700-00006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239" authorId="0" shapeId="0" xr:uid="{00000000-0006-0000-0700-00006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F240" authorId="0" shapeId="0" xr:uid="{00000000-0006-0000-0700-00006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240" authorId="0" shapeId="0" xr:uid="{00000000-0006-0000-0700-00006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F244" authorId="0" shapeId="0" xr:uid="{00000000-0006-0000-0700-00006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244" authorId="0" shapeId="0" xr:uid="{00000000-0006-0000-0700-00006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DI252" authorId="0" shapeId="0" xr:uid="{EA700F34-BF06-493E-9EE0-9F6134441009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focus on growing SAF again + Scottish Energy Meters book was hlaf way in 1H26</t>
        </r>
      </text>
    </comment>
    <comment ref="DL252" authorId="0" shapeId="0" xr:uid="{C615DB35-5C46-4D2F-9BE0-39015C47E6D1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focus on growing SAF again + Scottish Energy Meters book was hlaf way in 1H26</t>
        </r>
      </text>
    </comment>
    <comment ref="DM252" authorId="0" shapeId="0" xr:uid="{A25D38FB-D1FC-4A72-9790-6EA285A25B1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focus on growing SAF again</t>
        </r>
      </text>
    </comment>
    <comment ref="DP252" authorId="0" shapeId="0" xr:uid="{7DBB8810-71EB-4DB7-9292-0659A8E1EBEB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focus on growing SAF again</t>
        </r>
      </text>
    </comment>
    <comment ref="DQ252" authorId="0" shapeId="0" xr:uid="{81526C9B-5534-4442-BD31-F892434FCFD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focus on growing SAF again</t>
        </r>
      </text>
    </comment>
    <comment ref="CV281" authorId="0" shapeId="0" xr:uid="{19FB6FDC-BDA1-417C-97CD-70A1EDADB679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AP284" authorId="0" shapeId="0" xr:uid="{00000000-0006-0000-0700-00006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group disclosures</t>
        </r>
      </text>
    </comment>
    <comment ref="AT284" authorId="0" shapeId="0" xr:uid="{00000000-0006-0000-0700-00006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group disclosures</t>
        </r>
      </text>
    </comment>
    <comment ref="AX284" authorId="0" shapeId="0" xr:uid="{00000000-0006-0000-0700-00006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group disclosures</t>
        </r>
      </text>
    </comment>
    <comment ref="CV284" authorId="0" shapeId="0" xr:uid="{4C7738DF-C89C-4827-BCBF-C030B273047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AP285" authorId="0" shapeId="0" xr:uid="{00000000-0006-0000-0700-00006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group disclosures</t>
        </r>
      </text>
    </comment>
    <comment ref="AT285" authorId="0" shapeId="0" xr:uid="{00000000-0006-0000-0700-00006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group disclosures</t>
        </r>
      </text>
    </comment>
    <comment ref="AX285" authorId="0" shapeId="0" xr:uid="{00000000-0006-0000-0700-00006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group disclosures</t>
        </r>
      </text>
    </comment>
    <comment ref="DI291" authorId="0" shapeId="0" xr:uid="{F592937C-8F81-4524-A22E-2E83BD15A45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unwind of income recogniution mismatch</t>
        </r>
      </text>
    </comment>
    <comment ref="DJ292" authorId="10" shapeId="0" xr:uid="{E9341148-E3E2-4660-B015-6623EFDDDE20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guiding to up on pcp</t>
        </r>
      </text>
    </comment>
    <comment ref="A298" authorId="0" shapeId="0" xr:uid="{00000000-0006-0000-0700-00007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~70% of this in 1H16-1H17 was from Securities</t>
        </r>
      </text>
    </comment>
    <comment ref="CF298" authorId="0" shapeId="0" xr:uid="{00000000-0006-0000-0700-00007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1H20</t>
        </r>
      </text>
    </comment>
    <comment ref="CG298" authorId="0" shapeId="0" xr:uid="{00000000-0006-0000-0700-00007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1H20</t>
        </r>
      </text>
    </comment>
    <comment ref="CF299" authorId="0" shapeId="0" xr:uid="{00000000-0006-0000-0700-00007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1H20</t>
        </r>
      </text>
    </comment>
    <comment ref="CG299" authorId="0" shapeId="0" xr:uid="{00000000-0006-0000-0700-00007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1H20</t>
        </r>
      </text>
    </comment>
    <comment ref="CR299" authorId="18" shapeId="0" xr:uid="{00000000-0006-0000-0700-00007A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Total other fee commission minus M&amp;A (no longer disclosed)</t>
        </r>
      </text>
    </comment>
    <comment ref="CV299" authorId="18" shapeId="0" xr:uid="{949E7DE8-BECD-43CE-BCA0-15BA3FECFF32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Total other fee commission minus M&amp;A (no longer disclosed)</t>
        </r>
      </text>
    </comment>
    <comment ref="CZ299" authorId="18" shapeId="0" xr:uid="{45B93796-A49F-4392-B72B-F279DAD6D165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Total other fee commission minus M&amp;A (no longer disclosed)</t>
        </r>
      </text>
    </comment>
    <comment ref="DA299" authorId="18" shapeId="0" xr:uid="{0B6A6627-D8C9-450E-ACC5-C40F3E97973F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Total other fee commission minus M&amp;A (no longer disclosed)</t>
        </r>
      </text>
    </comment>
    <comment ref="DD299" authorId="18" shapeId="0" xr:uid="{46B854A7-EFEB-4B7A-93F6-5401862687AF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Total other fee commission minus M&amp;A (no longer disclosed)</t>
        </r>
      </text>
    </comment>
    <comment ref="DE299" authorId="18" shapeId="0" xr:uid="{903C0780-B719-45B9-8FA4-3C1217BE9FF1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Total other fee commission minus M&amp;A (no longer disclosed)</t>
        </r>
      </text>
    </comment>
    <comment ref="DH299" authorId="18" shapeId="0" xr:uid="{57499CAB-D169-4176-ADFF-0EF190170DA5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Total other fee commission minus M&amp;A (no longer disclosed)</t>
        </r>
      </text>
    </comment>
    <comment ref="CF300" authorId="0" shapeId="0" xr:uid="{00000000-0006-0000-0700-00007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fin report note 3 on Segment Reporting</t>
        </r>
      </text>
    </comment>
    <comment ref="CG300" authorId="0" shapeId="0" xr:uid="{00000000-0006-0000-0700-00007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fin report note 3 on Segment Reporting</t>
        </r>
      </text>
    </comment>
    <comment ref="CJ300" authorId="0" shapeId="0" xr:uid="{00000000-0006-0000-0700-00007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fin report note 3 on Segment Reporting</t>
        </r>
      </text>
    </comment>
    <comment ref="CN300" authorId="0" shapeId="0" xr:uid="{00000000-0006-0000-0700-00007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fin report note 3 on Segment Reporting
includes credit and other impairment of -32</t>
        </r>
      </text>
    </comment>
    <comment ref="CO300" authorId="18" shapeId="0" xr:uid="{00000000-0006-0000-0700-00007F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Our estimate, this is no longer disclosed.</t>
        </r>
      </text>
    </comment>
    <comment ref="CR300" authorId="18" shapeId="0" xr:uid="{00000000-0006-0000-0700-000080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Our estimate, this is no longer disclosed.</t>
        </r>
      </text>
    </comment>
    <comment ref="CS300" authorId="18" shapeId="0" xr:uid="{00000000-0006-0000-0700-000081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Our estimate, this is no longer disclosed.</t>
        </r>
      </text>
    </comment>
    <comment ref="CV300" authorId="18" shapeId="0" xr:uid="{48F84D58-08F7-45D1-8A69-FCD8D53733A2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Our estimate, this is no longer disclosed.</t>
        </r>
      </text>
    </comment>
    <comment ref="CW300" authorId="18" shapeId="0" xr:uid="{8FF95E2A-CA4A-4FED-AEAD-AF7B4C7D2551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Our estimate, this is no longer disclosed.</t>
        </r>
      </text>
    </comment>
    <comment ref="CZ300" authorId="18" shapeId="0" xr:uid="{3B6B1A67-370C-4F4A-ABDF-7F8D937DADE4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Our estimate, this is no longer disclosed.</t>
        </r>
      </text>
    </comment>
    <comment ref="DA300" authorId="18" shapeId="0" xr:uid="{1B6B34C3-97ED-4C15-BEA9-08B2879D654A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Our estimate, this is no longer disclosed.</t>
        </r>
      </text>
    </comment>
    <comment ref="DD300" authorId="18" shapeId="0" xr:uid="{87BFB7F1-0195-40BF-B126-4643AA0D7EB1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Our estimate, this is no longer disclosed.</t>
        </r>
      </text>
    </comment>
    <comment ref="DE300" authorId="18" shapeId="0" xr:uid="{A279550E-0D0C-488B-ABA3-D1C2E102C9AC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Our estimate, this is no longer disclosed.</t>
        </r>
      </text>
    </comment>
    <comment ref="DH300" authorId="18" shapeId="0" xr:uid="{950BAD51-24F9-47CA-93C3-FECBF7A72D02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Our estimate, this is no longer disclosed.</t>
        </r>
      </text>
    </comment>
    <comment ref="AP301" authorId="0" shapeId="0" xr:uid="{00000000-0006-0000-0700-00008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group disclosures</t>
        </r>
      </text>
    </comment>
    <comment ref="CF308" authorId="0" shapeId="0" xr:uid="{00000000-0006-0000-0700-00008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308" authorId="0" shapeId="0" xr:uid="{00000000-0006-0000-0700-00008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F313" authorId="0" shapeId="0" xr:uid="{00000000-0006-0000-0700-00008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313" authorId="0" shapeId="0" xr:uid="{00000000-0006-0000-0700-00008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318" authorId="0" shapeId="0" xr:uid="{00000000-0006-0000-0700-00008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F321" authorId="0" shapeId="0" xr:uid="{00000000-0006-0000-0700-00008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321" authorId="0" shapeId="0" xr:uid="{00000000-0006-0000-0700-00008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DL332" authorId="0" shapeId="0" xr:uid="{184758EF-9AF1-4FDD-AC0C-83A03BE65D09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transaction costs from Scottish Meters come off</t>
        </r>
      </text>
    </comment>
    <comment ref="BX344" authorId="1" shapeId="0" xr:uid="{00000000-0006-0000-0700-00008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B344" authorId="1" shapeId="0" xr:uid="{00000000-0006-0000-0700-00008B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344" authorId="1" shapeId="0" xr:uid="{00000000-0006-0000-0700-00008C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344" authorId="0" shapeId="0" xr:uid="{00000000-0006-0000-0700-00008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elimination of CAF</t>
        </r>
      </text>
    </comment>
    <comment ref="CG344" authorId="0" shapeId="0" xr:uid="{00000000-0006-0000-0700-00008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elimination of CAF</t>
        </r>
      </text>
    </comment>
    <comment ref="CR344" authorId="19" shapeId="0" xr:uid="{82E08F58-A7E6-4CE8-9C05-800F94614117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Restated.</t>
      </text>
    </comment>
    <comment ref="CS344" authorId="20" shapeId="0" xr:uid="{383C58BE-3A5E-4632-9856-661EBD049DF0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B345" authorId="1" shapeId="0" xr:uid="{00000000-0006-0000-0700-00008F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345" authorId="1" shapeId="0" xr:uid="{00000000-0006-0000-0700-000090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345" authorId="1" shapeId="0" xr:uid="{00000000-0006-0000-0700-00009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G345" authorId="0" shapeId="0" xr:uid="{00000000-0006-0000-0700-00009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R345" authorId="21" shapeId="0" xr:uid="{B75219B6-FC91-44A4-9BE0-F711789EFB87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Restated.</t>
      </text>
    </comment>
    <comment ref="CS345" authorId="22" shapeId="0" xr:uid="{746C995C-A699-4493-A969-08CC5A68B236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Restated.</t>
      </text>
    </comment>
    <comment ref="CC347" authorId="1" shapeId="0" xr:uid="{00000000-0006-0000-0700-00009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G347" authorId="0" shapeId="0" xr:uid="{00000000-0006-0000-0700-00009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R347" authorId="23" shapeId="0" xr:uid="{07A7B481-ADC8-4AD2-A16C-A1F35F368942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S347" authorId="24" shapeId="0" xr:uid="{B34B94FA-550D-4850-B486-65BA702EF8FC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B350" authorId="1" shapeId="0" xr:uid="{00000000-0006-0000-0700-000095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350" authorId="1" shapeId="0" xr:uid="{00000000-0006-0000-0700-00009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350" authorId="0" shapeId="0" xr:uid="{00000000-0006-0000-0700-00009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350" authorId="0" shapeId="0" xr:uid="{00000000-0006-0000-0700-00009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R350" authorId="25" shapeId="0" xr:uid="{06200ECD-F1CA-4F5F-AA0C-AE53BA5FE082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S350" authorId="26" shapeId="0" xr:uid="{2E805D89-395B-479A-BC52-37AB5B349C9C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B351" authorId="1" shapeId="0" xr:uid="{00000000-0006-0000-0700-00009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351" authorId="1" shapeId="0" xr:uid="{00000000-0006-0000-0700-00009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351" authorId="0" shapeId="0" xr:uid="{00000000-0006-0000-0700-00009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351" authorId="0" shapeId="0" xr:uid="{00000000-0006-0000-0700-00009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B352" authorId="1" shapeId="0" xr:uid="{00000000-0006-0000-0700-00009D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352" authorId="1" shapeId="0" xr:uid="{00000000-0006-0000-0700-00009E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352" authorId="0" shapeId="0" xr:uid="{00000000-0006-0000-0700-00009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352" authorId="0" shapeId="0" xr:uid="{00000000-0006-0000-0700-0000A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R352" authorId="27" shapeId="0" xr:uid="{9E17FA2D-BA12-41C8-9B0D-1380098EAD3B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S352" authorId="28" shapeId="0" xr:uid="{58FD3944-BA30-4529-A0BA-4FBB15A18885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C355" authorId="1" shapeId="0" xr:uid="{00000000-0006-0000-0700-0000A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S355" authorId="29" shapeId="0" xr:uid="{41D3240E-5913-44B3-B338-2E54EDB4CF33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AP401" authorId="0" shapeId="0" xr:uid="{00000000-0006-0000-0700-0000A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former Macquarie Funds</t>
        </r>
      </text>
    </comment>
    <comment ref="AR401" authorId="0" shapeId="0" xr:uid="{00000000-0006-0000-0700-0000A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former Macquarie Funds</t>
        </r>
      </text>
    </comment>
    <comment ref="AS401" authorId="0" shapeId="0" xr:uid="{00000000-0006-0000-0700-0000A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former Macquarie Funds</t>
        </r>
      </text>
    </comment>
    <comment ref="AW401" authorId="0" shapeId="0" xr:uid="{00000000-0006-0000-0700-0000A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Delaware completed on 5 Jan 2010 and had US$135bn at 30 Nov 2009</t>
        </r>
      </text>
    </comment>
    <comment ref="CO401" authorId="17" shapeId="0" xr:uid="{00000000-0006-0000-0700-0000A6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Fee and commission income section</t>
        </r>
      </text>
    </comment>
    <comment ref="CS401" authorId="17" shapeId="0" xr:uid="{00000000-0006-0000-0700-0000A7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Fee and commission income section</t>
        </r>
      </text>
    </comment>
    <comment ref="CW401" authorId="17" shapeId="0" xr:uid="{3AF67488-281A-476E-9E37-C5450C7EDC0C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Fee and commission income section</t>
        </r>
      </text>
    </comment>
    <comment ref="DA401" authorId="17" shapeId="0" xr:uid="{7D18B6B1-BA38-4E25-ADCA-AE19BA491717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Fee and commission income section</t>
        </r>
      </text>
    </comment>
    <comment ref="DE401" authorId="17" shapeId="0" xr:uid="{629D56FB-84CE-491B-99E0-5DBD6CA74E7F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Fee and commission income section</t>
        </r>
      </text>
    </comment>
    <comment ref="AP402" authorId="0" shapeId="0" xr:uid="{00000000-0006-0000-0700-0000A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odl Mac Capital</t>
        </r>
      </text>
    </comment>
    <comment ref="AT402" authorId="0" shapeId="0" xr:uid="{00000000-0006-0000-0700-0000A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odl Mac Capital</t>
        </r>
      </text>
    </comment>
    <comment ref="CF402" authorId="0" shapeId="0" xr:uid="{00000000-0006-0000-0700-0000A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402" authorId="0" shapeId="0" xr:uid="{00000000-0006-0000-0700-0000A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K402" authorId="0" shapeId="0" xr:uid="{00000000-0006-0000-0700-0000A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O402" authorId="0" shapeId="0" xr:uid="{00000000-0006-0000-0700-0000A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S402" authorId="0" shapeId="0" xr:uid="{00000000-0006-0000-0700-0000A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W402" authorId="0" shapeId="0" xr:uid="{41FB4916-DAC0-4DD2-A166-8D8EC9A9F2C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DA402" authorId="0" shapeId="0" xr:uid="{589210DE-F38F-4619-8EF6-A726F2C1D8B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DE402" authorId="0" shapeId="0" xr:uid="{DEB71C97-57FB-4435-86F4-0153DC2C518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B403" authorId="1" shapeId="0" xr:uid="{00000000-0006-0000-0700-0000AF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CC403" authorId="1" shapeId="0" xr:uid="{00000000-0006-0000-0700-0000B0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CF403" authorId="1" shapeId="0" xr:uid="{00000000-0006-0000-0700-0000B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AP405" authorId="0" shapeId="0" xr:uid="{00000000-0006-0000-0700-0000B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former Macquarie Funds</t>
        </r>
      </text>
    </comment>
    <comment ref="AT405" authorId="0" shapeId="0" xr:uid="{00000000-0006-0000-0700-0000B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former Macquarie Funds</t>
        </r>
      </text>
    </comment>
    <comment ref="AP406" authorId="0" shapeId="0" xr:uid="{00000000-0006-0000-0700-0000B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odl Mac Capital</t>
        </r>
      </text>
    </comment>
    <comment ref="AT406" authorId="0" shapeId="0" xr:uid="{00000000-0006-0000-0700-0000B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odl Mac Capital</t>
        </r>
      </text>
    </comment>
    <comment ref="BT406" authorId="13" shapeId="0" xr:uid="{00000000-0006-0000-0700-0000B6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Included MIC, MEIF1. MQA, MIIF, MKIF + other UK asset.
Upfold said MIC, MEIF1 and UK asset were similar. MIC was ~A$190m.</t>
        </r>
      </text>
    </comment>
    <comment ref="BX406" authorId="13" shapeId="0" xr:uid="{00000000-0006-0000-0700-0000B7000000}">
      <text>
        <r>
          <rPr>
            <b/>
            <sz val="9"/>
            <color indexed="81"/>
            <rFont val="Tahoma"/>
            <family val="2"/>
          </rPr>
          <t xml:space="preserve">Wiles, Richard (Research):
</t>
        </r>
        <r>
          <rPr>
            <sz val="9"/>
            <color indexed="81"/>
            <rFont val="Tahoma"/>
            <family val="2"/>
          </rPr>
          <t>Performance fees from MQA, MKIF, Aust managed funds accounts and con-investors</t>
        </r>
      </text>
    </comment>
    <comment ref="AY409" authorId="0" shapeId="0" xr:uid="{00000000-0006-0000-0700-0000B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410" authorId="0" shapeId="0" xr:uid="{00000000-0006-0000-0700-0000B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former Macquarie Funds</t>
        </r>
      </text>
    </comment>
    <comment ref="AR410" authorId="0" shapeId="0" xr:uid="{00000000-0006-0000-0700-0000B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former Macquarie Funds</t>
        </r>
      </text>
    </comment>
    <comment ref="AS410" authorId="0" shapeId="0" xr:uid="{00000000-0006-0000-0700-0000B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former Macquarie Funds</t>
        </r>
      </text>
    </comment>
    <comment ref="BX410" authorId="1" shapeId="0" xr:uid="{00000000-0006-0000-0700-0000BC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Y410" authorId="1" shapeId="0" xr:uid="{00000000-0006-0000-0700-0000BD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B410" authorId="1" shapeId="0" xr:uid="{00000000-0006-0000-0700-0000BE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410" authorId="1" shapeId="0" xr:uid="{00000000-0006-0000-0700-0000BF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410" authorId="0" shapeId="0" xr:uid="{00000000-0006-0000-0700-0000C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410" authorId="0" shapeId="0" xr:uid="{00000000-0006-0000-0700-0000C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R410" authorId="30" shapeId="0" xr:uid="{69E4AA3F-2554-4A43-B1DE-59352CBCAAFD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Restated.</t>
      </text>
    </comment>
    <comment ref="CS410" authorId="31" shapeId="0" xr:uid="{649B7F28-7EB7-4610-B645-06C613416830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Restated.</t>
      </text>
    </comment>
    <comment ref="CW410" authorId="0" shapeId="0" xr:uid="{72112597-E3C4-4C94-AB3C-690937391CA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restated, estimated 1H vs 2H impact</t>
        </r>
      </text>
    </comment>
    <comment ref="A423" authorId="0" shapeId="0" xr:uid="{00000000-0006-0000-0700-0000C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eg holdings of MIC, MQA, almond orchard</t>
        </r>
      </text>
    </comment>
    <comment ref="BX423" authorId="13" shapeId="0" xr:uid="{00000000-0006-0000-0700-0000C4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partial sale of MQA, sell down of infr debt in MSIS</t>
        </r>
      </text>
    </comment>
    <comment ref="BY423" authorId="13" shapeId="0" xr:uid="{00000000-0006-0000-0700-0000C5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partial sale of MIC,</t>
        </r>
      </text>
    </comment>
    <comment ref="CB423" authorId="1" shapeId="0" xr:uid="{00000000-0006-0000-0700-0000C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423" authorId="1" shapeId="0" xr:uid="{00000000-0006-0000-0700-0000C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423" authorId="0" shapeId="0" xr:uid="{00000000-0006-0000-0700-0000C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R423" authorId="32" shapeId="0" xr:uid="{5128420C-9D06-4261-BC98-1699DD637C45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Restated.</t>
      </text>
    </comment>
    <comment ref="CS423" authorId="33" shapeId="0" xr:uid="{B916522E-0845-45C9-95EF-E75BC29C6E04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Restated.</t>
      </text>
    </comment>
    <comment ref="CB428" authorId="1" shapeId="0" xr:uid="{00000000-0006-0000-0700-0000C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CC428" authorId="1" shapeId="0" xr:uid="{00000000-0006-0000-0700-0000C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CB433" authorId="1" shapeId="0" xr:uid="{00000000-0006-0000-0700-0000CB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433" authorId="1" shapeId="0" xr:uid="{00000000-0006-0000-0700-0000CC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433" authorId="0" shapeId="0" xr:uid="{00000000-0006-0000-0700-0000C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433" authorId="0" shapeId="0" xr:uid="{00000000-0006-0000-0700-0000C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R433" authorId="34" shapeId="0" xr:uid="{CEA16071-302F-462F-84CE-4281ACD34CA4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S433" authorId="35" shapeId="0" xr:uid="{908783C4-6B6B-4777-96D8-45E5C83B1D2A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A436" authorId="0" shapeId="0" xr:uid="{00000000-0006-0000-0700-0000C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distribution income from MIRA investing in MIC etc</t>
        </r>
      </text>
    </comment>
    <comment ref="CB436" authorId="1" shapeId="0" xr:uid="{00000000-0006-0000-0700-0000D0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436" authorId="1" shapeId="0" xr:uid="{00000000-0006-0000-0700-0000D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436" authorId="0" shapeId="0" xr:uid="{00000000-0006-0000-0700-0000D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G436" authorId="0" shapeId="0" xr:uid="{00000000-0006-0000-0700-0000D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on CAF elimination</t>
        </r>
      </text>
    </comment>
    <comment ref="CN436" authorId="17" shapeId="0" xr:uid="{00000000-0006-0000-0700-0000D4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CR436" authorId="36" shapeId="0" xr:uid="{E11B8F70-73B8-44B0-8066-524A0A33D9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S436" authorId="37" shapeId="0" xr:uid="{71529954-168C-48AA-ACCF-6FA188C77F54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</t>
      </text>
    </comment>
    <comment ref="CW436" authorId="0" shapeId="0" xr:uid="{3609A765-E0F7-4AF0-A4E6-092A6AD51FE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restated, estimated 1H vs 2H impact</t>
        </r>
      </text>
    </comment>
    <comment ref="DI459" authorId="0" shapeId="0" xr:uid="{699DCD6D-A4D9-4826-BB76-9492A236C262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sale to NOmura</t>
        </r>
      </text>
    </comment>
    <comment ref="DL459" authorId="0" shapeId="0" xr:uid="{12124EF1-0D79-4198-A6EC-A70D26898EF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sale to NOmura</t>
        </r>
      </text>
    </comment>
    <comment ref="DM459" authorId="0" shapeId="0" xr:uid="{E50466A4-8B51-4CD6-97A1-E8DDEB259CE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sale to NOmura</t>
        </r>
      </text>
    </comment>
    <comment ref="DI461" authorId="0" shapeId="0" xr:uid="{3744CD43-DCA2-4252-983A-FA82AD1FDFD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sale to NOmura</t>
        </r>
      </text>
    </comment>
    <comment ref="CB469" authorId="1" shapeId="0" xr:uid="{00000000-0006-0000-0700-0000DE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469" authorId="1" shapeId="0" xr:uid="{00000000-0006-0000-0700-0000DF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469" authorId="1" shapeId="0" xr:uid="{00000000-0006-0000-0700-0000E0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B470" authorId="1" shapeId="0" xr:uid="{00000000-0006-0000-0700-0000E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470" authorId="1" shapeId="0" xr:uid="{00000000-0006-0000-0700-0000E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470" authorId="1" shapeId="0" xr:uid="{00000000-0006-0000-0700-0000E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474" authorId="1" shapeId="0" xr:uid="{00000000-0006-0000-0700-0000E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B477" authorId="1" shapeId="0" xr:uid="{00000000-0006-0000-0700-0000E5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477" authorId="1" shapeId="0" xr:uid="{00000000-0006-0000-0700-0000E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477" authorId="1" shapeId="0" xr:uid="{00000000-0006-0000-0700-0000E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B478" authorId="1" shapeId="0" xr:uid="{00000000-0006-0000-0700-0000E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478" authorId="1" shapeId="0" xr:uid="{00000000-0006-0000-0700-0000E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478" authorId="1" shapeId="0" xr:uid="{00000000-0006-0000-0700-0000E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B479" authorId="1" shapeId="0" xr:uid="{00000000-0006-0000-0700-0000EB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479" authorId="1" shapeId="0" xr:uid="{00000000-0006-0000-0700-0000EC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479" authorId="1" shapeId="0" xr:uid="{00000000-0006-0000-0700-0000ED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BY511" authorId="1" shapeId="0" xr:uid="{00000000-0006-0000-0700-0000EE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sale of US toll road</t>
        </r>
      </text>
    </comment>
    <comment ref="CB511" authorId="1" shapeId="0" xr:uid="{00000000-0006-0000-0700-0000EF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</t>
        </r>
      </text>
    </comment>
    <comment ref="CC511" authorId="1" shapeId="0" xr:uid="{00000000-0006-0000-0700-0000F0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</t>
        </r>
      </text>
    </comment>
    <comment ref="CF511" authorId="1" shapeId="0" xr:uid="{00000000-0006-0000-0700-0000F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</t>
        </r>
      </text>
    </comment>
    <comment ref="BY513" authorId="13" shapeId="0" xr:uid="{00000000-0006-0000-0700-0000F2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predominantly impairment of aviation assets</t>
        </r>
      </text>
    </comment>
    <comment ref="BX515" authorId="13" shapeId="0" xr:uid="{00000000-0006-0000-0700-0000F3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sale of aircraft</t>
        </r>
      </text>
    </comment>
    <comment ref="BY515" authorId="13" shapeId="0" xr:uid="{00000000-0006-0000-0700-0000F4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sale of aircraft</t>
        </r>
      </text>
    </comment>
    <comment ref="CB516" authorId="1" shapeId="0" xr:uid="{00000000-0006-0000-0700-0000F5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</t>
        </r>
      </text>
    </comment>
    <comment ref="CC516" authorId="1" shapeId="0" xr:uid="{00000000-0006-0000-0700-0000F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</t>
        </r>
      </text>
    </comment>
    <comment ref="CF516" authorId="1" shapeId="0" xr:uid="{00000000-0006-0000-0700-0000F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</t>
        </r>
      </text>
    </comment>
    <comment ref="BU521" authorId="13" shapeId="0" xr:uid="{00000000-0006-0000-0700-0000F8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increased due to underperformance of certain credits</t>
        </r>
      </text>
    </comment>
    <comment ref="CB521" authorId="1" shapeId="0" xr:uid="{00000000-0006-0000-0700-0000F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</t>
        </r>
      </text>
    </comment>
    <comment ref="CC521" authorId="1" shapeId="0" xr:uid="{00000000-0006-0000-0700-0000F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</t>
        </r>
      </text>
    </comment>
    <comment ref="CF521" authorId="1" shapeId="0" xr:uid="{00000000-0006-0000-0700-0000FB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</t>
        </r>
      </text>
    </comment>
    <comment ref="CB524" authorId="1" shapeId="0" xr:uid="{00000000-0006-0000-0700-0000FC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</t>
        </r>
      </text>
    </comment>
    <comment ref="CC524" authorId="1" shapeId="0" xr:uid="{00000000-0006-0000-0700-0000FD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</t>
        </r>
      </text>
    </comment>
    <comment ref="CF524" authorId="1" shapeId="0" xr:uid="{00000000-0006-0000-0700-0000FE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</t>
        </r>
      </text>
    </comment>
    <comment ref="CB544" authorId="1" shapeId="0" xr:uid="{00000000-0006-0000-0700-0000FF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544" authorId="1" shapeId="0" xr:uid="{00000000-0006-0000-0700-000000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544" authorId="1" shapeId="0" xr:uid="{00000000-0006-0000-0700-000001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B552" authorId="1" shapeId="0" xr:uid="{00000000-0006-0000-0700-000002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552" authorId="1" shapeId="0" xr:uid="{00000000-0006-0000-0700-000003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552" authorId="1" shapeId="0" xr:uid="{00000000-0006-0000-0700-000004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553" authorId="1" shapeId="0" xr:uid="{00000000-0006-0000-0700-000005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553" authorId="1" shapeId="0" xr:uid="{00000000-0006-0000-0700-000006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B554" authorId="1" shapeId="0" xr:uid="{00000000-0006-0000-0700-000007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554" authorId="1" shapeId="0" xr:uid="{00000000-0006-0000-0700-000008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554" authorId="1" shapeId="0" xr:uid="{00000000-0006-0000-0700-000009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577" authorId="0" shapeId="0" xr:uid="{00000000-0006-0000-0700-000010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as some leasing business moved here from CAF</t>
        </r>
      </text>
    </comment>
    <comment ref="CF577" authorId="0" shapeId="0" xr:uid="{00000000-0006-0000-0700-000011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as some leasing business moved here from CAF</t>
        </r>
      </text>
    </comment>
    <comment ref="CG577" authorId="0" shapeId="0" xr:uid="{00000000-0006-0000-0700-000012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MDA</t>
        </r>
      </text>
    </comment>
    <comment ref="CK577" authorId="0" shapeId="0" xr:uid="{00000000-0006-0000-0700-000013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MDA</t>
        </r>
      </text>
    </comment>
    <comment ref="CO577" authorId="0" shapeId="0" xr:uid="{00000000-0006-0000-0700-000014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MDA</t>
        </r>
      </text>
    </comment>
    <comment ref="CS577" authorId="0" shapeId="0" xr:uid="{00000000-0006-0000-0700-000015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MDA</t>
        </r>
      </text>
    </comment>
    <comment ref="CW577" authorId="0" shapeId="0" xr:uid="{C12EAF5B-5727-4511-8C67-EC320709B4C7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MDA</t>
        </r>
      </text>
    </comment>
    <comment ref="DA577" authorId="0" shapeId="0" xr:uid="{5B21DC1E-3E58-42CD-B265-26E53DBA266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MDA</t>
        </r>
      </text>
    </comment>
    <comment ref="DE577" authorId="0" shapeId="0" xr:uid="{9317DCF2-6848-4A64-9036-52450EFF96AE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MDA</t>
        </r>
      </text>
    </comment>
    <comment ref="CB578" authorId="0" shapeId="0" xr:uid="{00000000-0006-0000-0700-000016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</t>
        </r>
      </text>
    </comment>
    <comment ref="CC578" authorId="0" shapeId="0" xr:uid="{00000000-0006-0000-0700-000017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</t>
        </r>
      </text>
    </comment>
    <comment ref="CG578" authorId="0" shapeId="0" xr:uid="{00000000-0006-0000-0700-000018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CK578" authorId="0" shapeId="0" xr:uid="{00000000-0006-0000-0700-000019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CN578" authorId="17" shapeId="0" xr:uid="{00000000-0006-0000-0700-00001A01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Note accompanying BFS in segment 3</t>
        </r>
      </text>
    </comment>
    <comment ref="CO578" authorId="0" shapeId="0" xr:uid="{00000000-0006-0000-0700-00001B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CR578" authorId="17" shapeId="0" xr:uid="{00000000-0006-0000-0700-00001C01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Note accompanying BFS in segment 3</t>
        </r>
      </text>
    </comment>
    <comment ref="CS578" authorId="0" shapeId="0" xr:uid="{00000000-0006-0000-0700-00001D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CW578" authorId="0" shapeId="0" xr:uid="{4B97E2B8-2121-476E-B15F-EB7DAED24B4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DA578" authorId="0" shapeId="0" xr:uid="{BDABE96E-CC3D-4D43-BB89-77110B6189C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DE578" authorId="0" shapeId="0" xr:uid="{EC41FA41-DA54-4234-93AA-312E6604BFA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CC581" authorId="0" shapeId="0" xr:uid="{00000000-0006-0000-0700-00001E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18, AUS vehicle leasing</t>
        </r>
      </text>
    </comment>
    <comment ref="CG581" authorId="0" shapeId="0" xr:uid="{00000000-0006-0000-0700-00001F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18, AUS vehicle leasing</t>
        </r>
      </text>
    </comment>
    <comment ref="CK581" authorId="0" shapeId="0" xr:uid="{00000000-0006-0000-0700-000020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18, AUS vehicle leasing</t>
        </r>
      </text>
    </comment>
    <comment ref="CN581" authorId="0" shapeId="0" xr:uid="{00000000-0006-0000-0700-000021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18, AUS vehicle leasing</t>
        </r>
      </text>
    </comment>
    <comment ref="CO581" authorId="0" shapeId="0" xr:uid="{00000000-0006-0000-0700-000022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18, AUS vehicle leasing</t>
        </r>
      </text>
    </comment>
    <comment ref="CR581" authorId="0" shapeId="0" xr:uid="{00000000-0006-0000-0700-000023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18, AUS vehicle leasing</t>
        </r>
      </text>
    </comment>
    <comment ref="CS581" authorId="0" shapeId="0" xr:uid="{00000000-0006-0000-0700-000024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18, AUS vehicle leasing</t>
        </r>
      </text>
    </comment>
    <comment ref="CW581" authorId="0" shapeId="0" xr:uid="{8C4A73DA-74F2-4799-A0D2-E241E2BAA856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18, AUS vehicle leasing</t>
        </r>
      </text>
    </comment>
    <comment ref="CZ581" authorId="38" shapeId="0" xr:uid="{D614B67E-A021-4F52-BE84-A93E7086E361}">
      <text>
        <t>[Threaded comment]
Your version of Excel allows you to read this threaded comment; however, any edits to it will get removed if the file is opened in a newer version of Excel. Learn more: https://go.microsoft.com/fwlink/?linkid=870924
Comment:
    Car loan portfolio, as per mgmt preso</t>
      </text>
    </comment>
    <comment ref="DA581" authorId="0" shapeId="0" xr:uid="{DB63E6BB-F240-43A5-BE82-7F5572D3E89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18, AUS vehicle leasing</t>
        </r>
      </text>
    </comment>
    <comment ref="DD581" authorId="39" shapeId="0" xr:uid="{6626E5A2-B017-4F83-8797-74E72841902F}">
      <text>
        <t>[Threaded comment]
Your version of Excel allows you to read this threaded comment; however, any edits to it will get removed if the file is opened in a newer version of Excel. Learn more: https://go.microsoft.com/fwlink/?linkid=870924
Comment:
    Car loan portfolio, as per mgmt preso</t>
      </text>
    </comment>
    <comment ref="DE581" authorId="10" shapeId="0" xr:uid="{D4B42AFD-D8F9-4317-8C01-2BBDB756706B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footnote. Slide 25 in preso</t>
        </r>
      </text>
    </comment>
    <comment ref="CC582" authorId="0" shapeId="0" xr:uid="{00000000-0006-0000-0700-000025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18, AUS vehicle leasing</t>
        </r>
      </text>
    </comment>
    <comment ref="CG582" authorId="0" shapeId="0" xr:uid="{00000000-0006-0000-0700-000026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CK582" authorId="0" shapeId="0" xr:uid="{00000000-0006-0000-0700-000027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CN582" authorId="0" shapeId="0" xr:uid="{00000000-0006-0000-0700-000028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CO582" authorId="0" shapeId="0" xr:uid="{00000000-0006-0000-0700-000029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CR582" authorId="0" shapeId="0" xr:uid="{00000000-0006-0000-0700-00002A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CS582" authorId="0" shapeId="0" xr:uid="{00000000-0006-0000-0700-00002B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CW582" authorId="0" shapeId="0" xr:uid="{37501CC5-93CD-481E-BDAE-B32058EA82FE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DA582" authorId="0" shapeId="0" xr:uid="{4138EEB2-C0D8-43F3-96A4-84573B39FB72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DE582" authorId="0" shapeId="0" xr:uid="{FBE17DEA-3428-474F-BA72-09772E61AB5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 slide 18</t>
        </r>
      </text>
    </comment>
    <comment ref="AV604" authorId="0" shapeId="0" xr:uid="{00000000-0006-0000-0700-00002C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AW604" authorId="0" shapeId="0" xr:uid="{00000000-0006-0000-0700-00002D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AZ604" authorId="0" shapeId="0" xr:uid="{00000000-0006-0000-0700-00002E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BA604" authorId="0" shapeId="0" xr:uid="{00000000-0006-0000-0700-00002F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BD604" authorId="0" shapeId="0" xr:uid="{00000000-0006-0000-0700-000030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BE604" authorId="0" shapeId="0" xr:uid="{00000000-0006-0000-0700-000031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BH604" authorId="0" shapeId="0" xr:uid="{00000000-0006-0000-0700-000032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BI604" authorId="0" shapeId="0" xr:uid="{00000000-0006-0000-0700-000033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BL604" authorId="0" shapeId="0" xr:uid="{00000000-0006-0000-0700-000034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BM604" authorId="0" shapeId="0" xr:uid="{00000000-0006-0000-0700-000035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BP604" authorId="0" shapeId="0" xr:uid="{00000000-0006-0000-0700-000036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BQ604" authorId="0" shapeId="0" xr:uid="{00000000-0006-0000-0700-000037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BX604" authorId="1" shapeId="0" xr:uid="{00000000-0006-0000-0700-000038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Restatement FY17
</t>
        </r>
      </text>
    </comment>
    <comment ref="BX605" authorId="1" shapeId="0" xr:uid="{00000000-0006-0000-0700-000039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1H17</t>
        </r>
      </text>
    </comment>
    <comment ref="CG605" authorId="1" shapeId="0" xr:uid="{00000000-0006-0000-0700-00003A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Includes banking fee income + other fee income as per disclosed on page 34 of the MDA</t>
        </r>
      </text>
    </comment>
    <comment ref="CK605" authorId="1" shapeId="0" xr:uid="{00000000-0006-0000-0700-00003B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Includes banking fee income + other fee income as per disclosed on page 34 of the MDA</t>
        </r>
      </text>
    </comment>
    <comment ref="CO605" authorId="1" shapeId="0" xr:uid="{00000000-0006-0000-0700-00003C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Includes banking fee income + other fee income as per disclosed on page 34 of the MDA</t>
        </r>
      </text>
    </comment>
    <comment ref="CS605" authorId="1" shapeId="0" xr:uid="{00000000-0006-0000-0700-00003D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Includes banking fee income + other fee income as per disclosed on page 34 of the MDA</t>
        </r>
      </text>
    </comment>
    <comment ref="CW605" authorId="1" shapeId="0" xr:uid="{158E3136-B7A5-4137-AFAB-CB4876A2E92A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Includes banking fee income + other fee income as per disclosed on page 34 of the MDA</t>
        </r>
      </text>
    </comment>
    <comment ref="DA605" authorId="1" shapeId="0" xr:uid="{038F11C4-184B-4A12-94E7-79334B78CC44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Includes banking fee income + other fee income as per disclosed on page 34 of the MDA</t>
        </r>
      </text>
    </comment>
    <comment ref="DE605" authorId="1" shapeId="0" xr:uid="{BBC35F3A-C1B6-4917-9AF1-7CE92C731FA1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Includes banking fee income + other fee income as per disclosed on page 34 of the MDA</t>
        </r>
      </text>
    </comment>
    <comment ref="BT607" authorId="13" shapeId="0" xr:uid="{00000000-0006-0000-0700-00003E01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Performance fee in respect of a UK asset</t>
        </r>
      </text>
    </comment>
    <comment ref="CB607" authorId="1" shapeId="0" xr:uid="{00000000-0006-0000-0700-00003F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607" authorId="1" shapeId="0" xr:uid="{00000000-0006-0000-0700-000040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607" authorId="1" shapeId="0" xr:uid="{00000000-0006-0000-0700-000041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AV616" authorId="0" shapeId="0" xr:uid="{00000000-0006-0000-0700-000042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via ASX200 movement</t>
        </r>
      </text>
    </comment>
    <comment ref="AW616" authorId="0" shapeId="0" xr:uid="{00000000-0006-0000-0700-000043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via ASX200 movement</t>
        </r>
      </text>
    </comment>
    <comment ref="BA616" authorId="0" shapeId="0" xr:uid="{00000000-0006-0000-0700-000044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preson</t>
        </r>
      </text>
    </comment>
    <comment ref="BD616" authorId="0" shapeId="0" xr:uid="{00000000-0006-0000-0700-000045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preson</t>
        </r>
      </text>
    </comment>
    <comment ref="BI616" authorId="0" shapeId="0" xr:uid="{00000000-0006-0000-0700-000046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preson</t>
        </r>
      </text>
    </comment>
    <comment ref="BM616" authorId="0" shapeId="0" xr:uid="{00000000-0006-0000-0700-000047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preson</t>
        </r>
      </text>
    </comment>
    <comment ref="BP616" authorId="0" shapeId="0" xr:uid="{00000000-0006-0000-0700-000048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preson</t>
        </r>
      </text>
    </comment>
    <comment ref="DD616" authorId="10" shapeId="0" xr:uid="{B1FC5733-3666-4BAA-9E9D-AC6EE5DEC43B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restated at FY</t>
        </r>
      </text>
    </comment>
    <comment ref="DH616" authorId="10" shapeId="0" xr:uid="{283B085A-5888-4065-9642-38C9BB14072B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restated at FY</t>
        </r>
      </text>
    </comment>
    <comment ref="BY621" authorId="1" shapeId="0" xr:uid="{00000000-0006-0000-0700-000049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estimate using group fee and comission income disclosure</t>
        </r>
      </text>
    </comment>
    <comment ref="CB621" authorId="1" shapeId="0" xr:uid="{00000000-0006-0000-0700-00004A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621" authorId="1" shapeId="0" xr:uid="{00000000-0006-0000-0700-00004B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as per note 3 in financial report</t>
        </r>
      </text>
    </comment>
    <comment ref="CF621" authorId="1" shapeId="0" xr:uid="{00000000-0006-0000-0700-00004C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G621" authorId="1" shapeId="0" xr:uid="{00000000-0006-0000-0700-00004D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as per note 3 in financial report</t>
        </r>
      </text>
    </comment>
    <comment ref="BT623" authorId="40" shapeId="0" xr:uid="{00000000-0006-0000-0700-00004E01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Estimate to reconcile to $537 of M&amp;A fee income for the group</t>
        </r>
      </text>
    </comment>
    <comment ref="BX623" authorId="40" shapeId="0" xr:uid="{00000000-0006-0000-0700-00004F01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Estimate to reconcile to $537 of M&amp;A fee income for the group</t>
        </r>
      </text>
    </comment>
    <comment ref="BY624" authorId="1" shapeId="0" xr:uid="{00000000-0006-0000-0700-000050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Disclosure change - estimate</t>
        </r>
      </text>
    </comment>
    <comment ref="CB624" authorId="1" shapeId="0" xr:uid="{00000000-0006-0000-0700-000051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as per note 3 in financial report</t>
        </r>
      </text>
    </comment>
    <comment ref="CC624" authorId="1" shapeId="0" xr:uid="{00000000-0006-0000-0700-000052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as per note 3 in financial report</t>
        </r>
      </text>
    </comment>
    <comment ref="CF624" authorId="1" shapeId="0" xr:uid="{00000000-0006-0000-0700-000053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as per note 3 in financial report</t>
        </r>
      </text>
    </comment>
    <comment ref="CG624" authorId="1" shapeId="0" xr:uid="{00000000-0006-0000-0700-000054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as per note 3 in financial report</t>
        </r>
      </text>
    </comment>
    <comment ref="CJ624" authorId="1" shapeId="0" xr:uid="{00000000-0006-0000-0700-000055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as per note 3 Segment Reporting in financial report</t>
        </r>
      </text>
    </comment>
    <comment ref="CN624" authorId="17" shapeId="0" xr:uid="{00000000-0006-0000-0700-00005601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not disclosed</t>
        </r>
      </text>
    </comment>
    <comment ref="CR624" authorId="17" shapeId="0" xr:uid="{00000000-0006-0000-0700-00005701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not disclosed</t>
        </r>
      </text>
    </comment>
    <comment ref="BX636" authorId="0" shapeId="0" xr:uid="{00000000-0006-0000-0700-000058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Life sold</t>
        </r>
      </text>
    </comment>
    <comment ref="CB642" authorId="1" shapeId="0" xr:uid="{00000000-0006-0000-0700-000059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642" authorId="1" shapeId="0" xr:uid="{00000000-0006-0000-0700-00005A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642" authorId="1" shapeId="0" xr:uid="{00000000-0006-0000-0700-00005B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B645" authorId="1" shapeId="0" xr:uid="{00000000-0006-0000-0700-00005C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C645" authorId="1" shapeId="0" xr:uid="{00000000-0006-0000-0700-00005D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CF645" authorId="1" shapeId="0" xr:uid="{00000000-0006-0000-0700-00005E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 results</t>
        </r>
      </text>
    </comment>
    <comment ref="BX658" authorId="13" shapeId="0" xr:uid="{00000000-0006-0000-0700-00005F01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Change in capitalised software added A$48m y-o-y </t>
        </r>
      </text>
    </comment>
    <comment ref="BX710" authorId="1" shapeId="0" xr:uid="{00000000-0006-0000-0700-000060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Y710" authorId="1" shapeId="0" xr:uid="{00000000-0006-0000-0700-000061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X735" authorId="13" shapeId="0" xr:uid="{00000000-0006-0000-0700-00006201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Lower due to cost of managing liquidity and lower interest rates</t>
        </r>
      </text>
    </comment>
    <comment ref="DI735" authorId="0" shapeId="0" xr:uid="{79866ABB-A68B-4F15-AF00-E138C7F29F27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lower rates and or lower excess capital to generate interest income</t>
        </r>
      </text>
    </comment>
    <comment ref="CB747" authorId="1" shapeId="0" xr:uid="{00000000-0006-0000-0700-000069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Restatement 1H19</t>
        </r>
      </text>
    </comment>
    <comment ref="CC747" authorId="1" shapeId="0" xr:uid="{00000000-0006-0000-0700-00006A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Restatement 1H19</t>
        </r>
      </text>
    </comment>
    <comment ref="CB748" authorId="1" shapeId="0" xr:uid="{00000000-0006-0000-0700-00006B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Restatement 1H19</t>
        </r>
      </text>
    </comment>
    <comment ref="BU749" authorId="1" shapeId="0" xr:uid="{00000000-0006-0000-0700-00006C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FY17</t>
        </r>
      </text>
    </comment>
    <comment ref="BX749" authorId="1" shapeId="0" xr:uid="{00000000-0006-0000-0700-00006D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Y749" authorId="1" shapeId="0" xr:uid="{00000000-0006-0000-0700-00006E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U760" authorId="1" shapeId="0" xr:uid="{00000000-0006-0000-0700-00006F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FY17</t>
        </r>
      </text>
    </comment>
    <comment ref="BX760" authorId="1" shapeId="0" xr:uid="{00000000-0006-0000-0700-000070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Y760" authorId="1" shapeId="0" xr:uid="{00000000-0006-0000-0700-000071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B760" authorId="1" shapeId="0" xr:uid="{00000000-0006-0000-0700-000072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Restatement 1H19</t>
        </r>
      </text>
    </comment>
    <comment ref="CC760" authorId="1" shapeId="0" xr:uid="{00000000-0006-0000-0700-000073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Restatement 1H19</t>
        </r>
      </text>
    </comment>
    <comment ref="DH760" authorId="0" shapeId="0" xr:uid="{34E71FAB-21BE-4693-BD00-B401293A9AD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$152m loss on Green Energy Wind  here</t>
        </r>
      </text>
    </comment>
    <comment ref="DI772" authorId="0" shapeId="0" xr:uid="{4606FE56-88DA-4687-A32E-5367274F9156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Green energy support costs in here - but fall away by end FY27</t>
        </r>
      </text>
    </comment>
    <comment ref="DL772" authorId="0" shapeId="0" xr:uid="{08BAD3B9-BB6F-4A79-8FEB-C35CD73C90AB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Green energy support costs in here - but fall away by end FY27</t>
        </r>
      </text>
    </comment>
    <comment ref="DM772" authorId="0" shapeId="0" xr:uid="{566762C3-4E28-4FE4-AAA3-12784DF64BE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Green energy support costs in here - but fall away by end FY27</t>
        </r>
      </text>
    </comment>
    <comment ref="BY797" authorId="1" shapeId="0" xr:uid="{00000000-0006-0000-0700-000074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need to adjust to account for new CGM section</t>
        </r>
      </text>
    </comment>
    <comment ref="BY876" authorId="1" shapeId="0" xr:uid="{00000000-0006-0000-0700-000075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need to adjust for new CGM section</t>
        </r>
      </text>
    </comment>
    <comment ref="BT932" authorId="40" shapeId="0" xr:uid="{00000000-0006-0000-0700-00007601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disclosed at 1H17 refer p35</t>
        </r>
      </text>
    </comment>
    <comment ref="BU932" authorId="40" shapeId="0" xr:uid="{00000000-0006-0000-0700-00007701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disclosed at 1H17 refer p35</t>
        </r>
      </text>
    </comment>
    <comment ref="BX932" authorId="40" shapeId="0" xr:uid="{00000000-0006-0000-0700-00007801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not disclosed</t>
        </r>
      </text>
    </comment>
    <comment ref="BY932" authorId="40" shapeId="0" xr:uid="{00000000-0006-0000-0700-00007901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disclosed at 1H17 refer p35</t>
        </r>
      </text>
    </comment>
    <comment ref="BP945" authorId="40" shapeId="0" xr:uid="{00000000-0006-0000-0700-00007A01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in 1H16</t>
        </r>
      </text>
    </comment>
    <comment ref="BQ945" authorId="40" shapeId="0" xr:uid="{00000000-0006-0000-0700-00007B01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in 1H16</t>
        </r>
      </text>
    </comment>
    <comment ref="BU945" authorId="40" shapeId="0" xr:uid="{00000000-0006-0000-0700-00007C01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in 1H16</t>
        </r>
      </text>
    </comment>
    <comment ref="BY945" authorId="40" shapeId="0" xr:uid="{00000000-0006-0000-0700-00007D01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in 1H16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O'Neill, Emilie (Research)</author>
    <author>Dunger, Matt (Research)</author>
    <author>Stadnik, Andrei (Research)</author>
    <author>Hau, Jenny (Research)</author>
    <author>tc={EC953918-0550-4FC5-89C4-85A8092EE77C}</author>
    <author>Zhou, Sally (Research)</author>
    <author>tc={0CD0B472-68E4-4A08-88C8-D561982B3D27}</author>
    <author>tc={4C11C308-FAAF-4A11-9A0E-60CFA005D876}</author>
    <author>tc={E36017C6-91C4-4C66-B312-ED34A2672771}</author>
    <author>tc={89B23991-5263-4CB1-AAF8-C7035DD2905D}</author>
    <author>tc={486069AB-1813-4E81-B040-CB853CC316AA}</author>
    <author>tc={AF6954B8-9876-4C09-AF46-C9B4E709F6E2}</author>
    <author>tc={7EF9C7F9-6129-486B-A88B-D07CA3C5285D}</author>
    <author>tc={67E91060-5C1F-4A77-92DE-22EEA4F8B768}</author>
    <author>Pham, Edward (Research)</author>
    <author>tc={3E5EE0AE-2462-4008-A4B8-9B444C64E70E}</author>
    <author>tc={0B5F5FC3-0D8D-444C-9561-07BA5FC2B8AE}</author>
    <author>tc={D6B60444-783B-41AB-B9FC-C13BBFA99181}</author>
    <author>Wiles, Richard (Research)</author>
    <author>tc={2D6B26ED-3CA2-4418-8165-8411A4A7DE8F}</author>
    <author>tc={870F6535-60EE-4D51-9480-1B565CCBF120}</author>
    <author>tc={6E981724-0823-4E71-BC35-29BFC7A324EF}</author>
    <author>Bounpraseuth, Daniel N (Research)</author>
    <author>tc={11AC9681-3ACD-46C5-A370-0B1232650964}</author>
    <author>tc={6EACC280-1CCD-4B91-89FE-57EA94184257}</author>
    <author>tc={1894C3EE-FD40-4625-A0C5-0F2F408F10F6}</author>
    <author>tc={9CAADEAA-86CF-4B3D-A704-2736B5651C51}</author>
    <author>tc={7554213C-6510-4FB1-A508-AF374BDEA704}</author>
    <author>tc={297A8F8B-67C6-46C9-AF2E-1183F04B11C2}</author>
    <author>tc={DD11C98D-516E-4D1A-B763-ECC0E099F1BD}</author>
    <author>tc={962717BE-EC4E-43E8-8156-D287C3C6CD43}</author>
    <author>tc={254B96BA-2356-44F6-8092-F218B69E4902}</author>
    <author>tc={89E328BC-1703-4817-BE30-3473B1A7D647}</author>
    <author>tc={DC742DAD-CCBB-4DCE-AA3E-9236A39DC96A}</author>
    <author>tc={4EBA0350-6E50-4E32-89A8-D1DFD156FA16}</author>
    <author>tc={01E38546-5302-4CF4-A88F-4050BA67FBD1}</author>
  </authors>
  <commentList>
    <comment ref="BX9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Y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X16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Y16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T63" authorId="1" shapeId="0" xr:uid="{00000000-0006-0000-0800-000005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p9 of consolidated financial statements</t>
        </r>
      </text>
    </comment>
    <comment ref="BX63" authorId="1" shapeId="0" xr:uid="{00000000-0006-0000-0800-000006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J63" authorId="2" shapeId="0" xr:uid="{00000000-0006-0000-0800-00000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financial report</t>
        </r>
      </text>
    </comment>
    <comment ref="CN63" authorId="2" shapeId="0" xr:uid="{00000000-0006-0000-0800-00000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financial report</t>
        </r>
      </text>
    </comment>
    <comment ref="CO63" authorId="3" shapeId="0" xr:uid="{00000000-0006-0000-0800-000009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Use annual report</t>
        </r>
      </text>
    </comment>
    <comment ref="CR63" authorId="2" shapeId="0" xr:uid="{00000000-0006-0000-0800-00000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financial report</t>
        </r>
      </text>
    </comment>
    <comment ref="CS63" authorId="3" shapeId="0" xr:uid="{00000000-0006-0000-0800-00000B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Use annual report</t>
        </r>
      </text>
    </comment>
    <comment ref="CV63" authorId="2" shapeId="0" xr:uid="{576F4265-D18A-48CB-88A9-2EDC047EAF3C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financial report</t>
        </r>
      </text>
    </comment>
    <comment ref="CW63" authorId="3" shapeId="0" xr:uid="{F320AB67-2C6E-4608-A396-9D5F5DCC1E1F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Use annual report</t>
        </r>
      </text>
    </comment>
    <comment ref="CZ63" authorId="2" shapeId="0" xr:uid="{78656438-6856-43F1-91E7-0A0BF02AE3CE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financial report</t>
        </r>
      </text>
    </comment>
    <comment ref="DA63" authorId="3" shapeId="0" xr:uid="{799FF825-050F-4D96-A81F-7535218177E6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Use annual report</t>
        </r>
      </text>
    </comment>
    <comment ref="DD63" authorId="2" shapeId="0" xr:uid="{44A1EDDD-1CFA-4309-A81D-AE3393EE625E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financial report</t>
        </r>
      </text>
    </comment>
    <comment ref="DE63" authorId="3" shapeId="0" xr:uid="{606D5E68-D935-4DC9-AEAA-239FD9FF4C15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Use annual report</t>
        </r>
      </text>
    </comment>
    <comment ref="DH63" authorId="2" shapeId="0" xr:uid="{B5B171D4-129C-4326-B58D-D53304D7BC2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financial report</t>
        </r>
      </text>
    </comment>
    <comment ref="BX65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can this not be linked to row 9?</t>
        </r>
      </text>
    </comment>
    <comment ref="BY65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can this not be linked to row 9?</t>
        </r>
      </text>
    </comment>
    <comment ref="CK94" authorId="3" shapeId="0" xr:uid="{00000000-0006-0000-0800-00000E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Key in total</t>
        </r>
      </text>
    </comment>
    <comment ref="CO94" authorId="3" shapeId="0" xr:uid="{00000000-0006-0000-0800-00000F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Key in total</t>
        </r>
      </text>
    </comment>
    <comment ref="CS94" authorId="3" shapeId="0" xr:uid="{00000000-0006-0000-0800-000010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Key in total</t>
        </r>
      </text>
    </comment>
    <comment ref="CW94" authorId="3" shapeId="0" xr:uid="{DFBD8A0C-47EE-45B6-B8E8-1CE328643913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Key in total</t>
        </r>
      </text>
    </comment>
    <comment ref="DA94" authorId="3" shapeId="0" xr:uid="{D77CA544-7BF6-47D7-BAE1-65FA018C0BF7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Key in total</t>
        </r>
      </text>
    </comment>
    <comment ref="DE94" authorId="3" shapeId="0" xr:uid="{7CFD8BF5-8AA1-4665-BD0D-217542D6319C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Key in total</t>
        </r>
      </text>
    </comment>
    <comment ref="CJ96" authorId="2" shapeId="0" xr:uid="{00000000-0006-0000-0800-00001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2.2 on fee &amp; commission</t>
        </r>
      </text>
    </comment>
    <comment ref="CN96" authorId="2" shapeId="0" xr:uid="{00000000-0006-0000-0800-00001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2.2 on fee &amp; commission</t>
        </r>
      </text>
    </comment>
    <comment ref="CR96" authorId="2" shapeId="0" xr:uid="{00000000-0006-0000-0800-00001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2.2 on fee &amp; commission</t>
        </r>
      </text>
    </comment>
    <comment ref="CV96" authorId="2" shapeId="0" xr:uid="{DCAF10A9-7C30-4FF2-8917-BA83AB8C3C2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2.2 on fee &amp; commission</t>
        </r>
      </text>
    </comment>
    <comment ref="CZ96" authorId="2" shapeId="0" xr:uid="{65C9843C-CEB4-4B4D-A479-596404A2145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2.2 on fee &amp; commission</t>
        </r>
      </text>
    </comment>
    <comment ref="DD96" authorId="2" shapeId="0" xr:uid="{ED05A9A0-2629-407F-B48A-85C94D2ACB61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2.2 on fee &amp; commission</t>
        </r>
      </text>
    </comment>
    <comment ref="BX117" authorId="0" shapeId="0" xr:uid="{00000000-0006-0000-0800-00001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Y117" authorId="0" shapeId="0" xr:uid="{00000000-0006-0000-0800-000015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K117" authorId="3" shapeId="0" xr:uid="{00000000-0006-0000-0800-000016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2.2 Fee and Commission Income</t>
        </r>
      </text>
    </comment>
    <comment ref="CO117" authorId="3" shapeId="0" xr:uid="{00000000-0006-0000-0800-000017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2.2 Fee and Commission Income</t>
        </r>
      </text>
    </comment>
    <comment ref="CS117" authorId="3" shapeId="0" xr:uid="{00000000-0006-0000-0800-000018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2.2 Fee and Commission Income</t>
        </r>
      </text>
    </comment>
    <comment ref="CW117" authorId="3" shapeId="0" xr:uid="{C5D394C0-DA57-4AAE-8741-EC47AB609A0B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2.2 Fee and Commission Income</t>
        </r>
      </text>
    </comment>
    <comment ref="BX120" authorId="0" shapeId="0" xr:uid="{00000000-0006-0000-0800-00001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Y120" authorId="0" shapeId="0" xr:uid="{00000000-0006-0000-0800-00001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F120" authorId="2" shapeId="0" xr:uid="{00000000-0006-0000-0800-00001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CG120" authorId="2" shapeId="0" xr:uid="{00000000-0006-0000-0800-00001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CW120" authorId="4" shapeId="0" xr:uid="{EC953918-0550-4FC5-89C4-85A8092EE77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FY23 re-stated, but no split by HY. So adjust to get to full year figures.
</t>
      </text>
    </comment>
    <comment ref="BX163" authorId="2" shapeId="0" xr:uid="{00000000-0006-0000-0800-00001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BY163" authorId="2" shapeId="0" xr:uid="{00000000-0006-0000-0800-00001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CB163" authorId="2" shapeId="0" xr:uid="{00000000-0006-0000-0800-00001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base and performance fees table in group section circa page 19</t>
        </r>
      </text>
    </comment>
    <comment ref="CF163" authorId="2" shapeId="0" xr:uid="{00000000-0006-0000-0800-00002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base and performance fees table in group section circa page 19 - restated on CAF bye Bye</t>
        </r>
      </text>
    </comment>
    <comment ref="CG163" authorId="2" shapeId="0" xr:uid="{00000000-0006-0000-0800-00002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CAF - note 3 of financials report - restated on CAF bye Bye</t>
        </r>
      </text>
    </comment>
    <comment ref="CK163" authorId="3" shapeId="0" xr:uid="{00000000-0006-0000-0800-000022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base fees, other asset management fees and performance fees</t>
        </r>
      </text>
    </comment>
    <comment ref="CO163" authorId="3" shapeId="0" xr:uid="{00000000-0006-0000-0800-000023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base fees, other asset management fees and performance fees</t>
        </r>
      </text>
    </comment>
    <comment ref="CS163" authorId="3" shapeId="0" xr:uid="{00000000-0006-0000-0800-000024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base fees, other asset management fees and performance fees</t>
        </r>
      </text>
    </comment>
    <comment ref="CW163" authorId="3" shapeId="0" xr:uid="{86B28E0E-698B-4379-9A7F-1174A2292504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base fees, other asset management fees and performance fees</t>
        </r>
      </text>
    </comment>
    <comment ref="CK182" authorId="3" shapeId="0" xr:uid="{00000000-0006-0000-0800-000025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7.1 Assets under Management</t>
        </r>
      </text>
    </comment>
    <comment ref="CO182" authorId="3" shapeId="0" xr:uid="{00000000-0006-0000-0800-000026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7.1 Assets under Management</t>
        </r>
      </text>
    </comment>
    <comment ref="CR182" authorId="5" shapeId="0" xr:uid="{00000000-0006-0000-0800-000027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Total Public Investments</t>
        </r>
      </text>
    </comment>
    <comment ref="CS182" authorId="3" shapeId="0" xr:uid="{00000000-0006-0000-0800-000028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7.1 Assets under Management</t>
        </r>
      </text>
    </comment>
    <comment ref="CV182" authorId="5" shapeId="0" xr:uid="{CAD4D6CA-259C-40E0-8A79-8F9756D14111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Total Public Investments</t>
        </r>
      </text>
    </comment>
    <comment ref="CW182" authorId="3" shapeId="0" xr:uid="{68358FD0-F30D-4A70-86BD-1A32FE2F47D7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7.1 Assets under Management</t>
        </r>
      </text>
    </comment>
    <comment ref="CZ182" authorId="5" shapeId="0" xr:uid="{3EB2F7A4-F139-4908-BD68-241667CDE31C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Total Public Investments</t>
        </r>
      </text>
    </comment>
    <comment ref="DA182" authorId="3" shapeId="0" xr:uid="{BA9A7241-C650-41CF-9315-B3C3C76CEB67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7.1 Assets under Management</t>
        </r>
      </text>
    </comment>
    <comment ref="DD182" authorId="5" shapeId="0" xr:uid="{D1174045-C809-4A43-8BDC-C0AB9909F37D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Total Public Investments</t>
        </r>
      </text>
    </comment>
    <comment ref="DE182" authorId="3" shapeId="0" xr:uid="{57448A1C-7259-48D8-9F53-75E4E023F3B3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7.1 Assets under Management</t>
        </r>
      </text>
    </comment>
    <comment ref="CF183" authorId="2" shapeId="0" xr:uid="{00000000-0006-0000-0800-00002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MIRA up as CAF eliminated, but MIML not up</t>
        </r>
      </text>
    </comment>
    <comment ref="CG183" authorId="2" shapeId="0" xr:uid="{00000000-0006-0000-0800-00002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MIRA up as CAF eliminated, but MIML not up</t>
        </r>
      </text>
    </comment>
    <comment ref="CJ183" authorId="2" shapeId="0" xr:uid="{00000000-0006-0000-0800-00002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MIRA up as CAF eliminated, but MIML not up</t>
        </r>
      </text>
    </comment>
    <comment ref="CK183" authorId="2" shapeId="0" xr:uid="{00000000-0006-0000-0800-00002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MIRA up as CAF eliminated, but MIML not up</t>
        </r>
      </text>
    </comment>
    <comment ref="CN183" authorId="2" shapeId="0" xr:uid="{00000000-0006-0000-0800-00002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MIRA up as CAF eliminated, but MIML not up</t>
        </r>
      </text>
    </comment>
    <comment ref="CO183" authorId="2" shapeId="0" xr:uid="{00000000-0006-0000-0800-00002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MIRA up as CAF eliminated, but MIML not up</t>
        </r>
      </text>
    </comment>
    <comment ref="CR183" authorId="5" shapeId="0" xr:uid="{00000000-0006-0000-0800-00002F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Total Private Markets</t>
        </r>
      </text>
    </comment>
    <comment ref="CS183" authorId="2" shapeId="0" xr:uid="{00000000-0006-0000-0800-00003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- with equity yet to deploy added</t>
        </r>
      </text>
    </comment>
    <comment ref="CV183" authorId="2" shapeId="0" xr:uid="{7A073BC4-3678-4375-96E2-733753634EC6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- with equity yet to deploy added</t>
        </r>
      </text>
    </comment>
    <comment ref="CW183" authorId="2" shapeId="0" xr:uid="{F8061A95-997E-48EA-87EB-4048592EB73C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MIRA up as CAF eliminated, but MIML not up</t>
        </r>
      </text>
    </comment>
    <comment ref="CZ183" authorId="2" shapeId="0" xr:uid="{3F2E376A-0A02-499C-8742-70F111631B31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- with equity yet to deploy added</t>
        </r>
      </text>
    </comment>
    <comment ref="DA183" authorId="2" shapeId="0" xr:uid="{08042841-3783-4C52-A54D-D97E6152F9CB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MIRA up as CAF eliminated, but MIML not up</t>
        </r>
      </text>
    </comment>
    <comment ref="DD183" authorId="2" shapeId="0" xr:uid="{C183CDBC-BDA4-41AC-BB41-ABC923A41E52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- with equity yet to deploy added</t>
        </r>
      </text>
    </comment>
    <comment ref="DE183" authorId="2" shapeId="0" xr:uid="{63972B5D-F827-4C0F-A496-D52C99FD2D7E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MIRA up as CAF eliminated, but MIML not up</t>
        </r>
      </text>
    </comment>
    <comment ref="CF184" authorId="2" shapeId="0" xr:uid="{00000000-0006-0000-0800-00003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eliminated &amp; restated 1H20</t>
        </r>
      </text>
    </comment>
    <comment ref="CG184" authorId="2" shapeId="0" xr:uid="{00000000-0006-0000-0800-00003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eliminated &amp; restated 1H20</t>
        </r>
      </text>
    </comment>
    <comment ref="CJ184" authorId="2" shapeId="0" xr:uid="{00000000-0006-0000-0800-00003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eliminated &amp; restated 1H20</t>
        </r>
      </text>
    </comment>
    <comment ref="CK184" authorId="2" shapeId="0" xr:uid="{00000000-0006-0000-0800-00003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eliminated &amp; restated 1H20</t>
        </r>
      </text>
    </comment>
    <comment ref="CN184" authorId="2" shapeId="0" xr:uid="{00000000-0006-0000-0800-00003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eliminated &amp; restated 1H20</t>
        </r>
      </text>
    </comment>
    <comment ref="CO184" authorId="2" shapeId="0" xr:uid="{00000000-0006-0000-0800-00003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eliminated &amp; restated 1H20</t>
        </r>
      </text>
    </comment>
    <comment ref="CS184" authorId="2" shapeId="0" xr:uid="{00000000-0006-0000-0800-00003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eliminated &amp; restated 1H20</t>
        </r>
      </text>
    </comment>
    <comment ref="CW184" authorId="2" shapeId="0" xr:uid="{F78BEC9E-EEF5-4B46-BD04-59CA1AD023E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eliminated &amp; restated 1H20</t>
        </r>
      </text>
    </comment>
    <comment ref="DA184" authorId="2" shapeId="0" xr:uid="{F6A903B5-A947-494E-A77F-2F2CBB6887AB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eliminated &amp; restated 1H20</t>
        </r>
      </text>
    </comment>
    <comment ref="DE184" authorId="2" shapeId="0" xr:uid="{3C3CCAA6-3038-4417-9388-536D70EA9395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eliminated &amp; restated 1H20</t>
        </r>
      </text>
    </comment>
    <comment ref="CS188" authorId="2" shapeId="0" xr:uid="{524BA3FB-BFDE-4E9C-8500-69626756950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CV188" authorId="6" shapeId="0" xr:uid="{0CD0B472-68E4-4A08-88C8-D561982B3D27}">
      <text>
        <t>[Threaded comment]
Your version of Excel allows you to read this threaded comment; however, any edits to it will get removed if the file is opened in a newer version of Excel. Learn more: https://go.microsoft.com/fwlink/?linkid=870924
Comment:
    As per MD&amp;A - Assets Under Management - 84/99.</t>
      </text>
    </comment>
    <comment ref="CZ188" authorId="7" shapeId="0" xr:uid="{4C11C308-FAAF-4A11-9A0E-60CFA005D876}">
      <text>
        <t>[Threaded comment]
Your version of Excel allows you to read this threaded comment; however, any edits to it will get removed if the file is opened in a newer version of Excel. Learn more: https://go.microsoft.com/fwlink/?linkid=870924
Comment:
    As per MD&amp;A - Assets Under Management - 84/99.</t>
      </text>
    </comment>
    <comment ref="DD188" authorId="8" shapeId="0" xr:uid="{E36017C6-91C4-4C66-B312-ED34A2672771}">
      <text>
        <t>[Threaded comment]
Your version of Excel allows you to read this threaded comment; however, any edits to it will get removed if the file is opened in a newer version of Excel. Learn more: https://go.microsoft.com/fwlink/?linkid=870924
Comment:
    As per MD&amp;A - Assets Under Management - 84/99.</t>
      </text>
    </comment>
    <comment ref="DH188" authorId="9" shapeId="0" xr:uid="{89B23991-5263-4CB1-AAF8-C7035DD2905D}">
      <text>
        <t>[Threaded comment]
Your version of Excel allows you to read this threaded comment; however, any edits to it will get removed if the file is opened in a newer version of Excel. Learn more: https://go.microsoft.com/fwlink/?linkid=870924
Comment:
    As per MD&amp;A - Assets Under Management - 84/99.</t>
      </text>
    </comment>
    <comment ref="CR202" authorId="2" shapeId="0" xr:uid="{00000000-0006-0000-0800-00003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fixing average AUM</t>
        </r>
      </text>
    </comment>
    <comment ref="CS202" authorId="2" shapeId="0" xr:uid="{00000000-0006-0000-0800-00003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timing of AMPCI GEGI deal at very end of FY22</t>
        </r>
      </text>
    </comment>
    <comment ref="BT216" authorId="1" shapeId="0" xr:uid="{00000000-0006-0000-0800-00003A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1H16</t>
        </r>
      </text>
    </comment>
    <comment ref="CK216" authorId="3" shapeId="0" xr:uid="{00000000-0006-0000-0800-00003B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7.1 Assets under Management
MD&amp;A pdf</t>
        </r>
      </text>
    </comment>
    <comment ref="CO216" authorId="3" shapeId="0" xr:uid="{00000000-0006-0000-0800-00003C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7.1 Assets under Management
MD&amp;A pdf</t>
        </r>
      </text>
    </comment>
    <comment ref="CS216" authorId="2" shapeId="0" xr:uid="{94E57852-F64C-4A3E-9489-46DAB42D3882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CV216" authorId="2" shapeId="0" xr:uid="{B31D9441-C152-4CFE-9C8A-6CEF8EE98EB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CW216" authorId="3" shapeId="0" xr:uid="{26D150ED-B018-4007-AE9B-645B4D35D9F1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7.1 Assets under Management
MD&amp;A pdf</t>
        </r>
      </text>
    </comment>
    <comment ref="CZ216" authorId="2" shapeId="0" xr:uid="{CC5AA3FC-5F2C-47D2-90D0-98CA4187258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DA216" authorId="3" shapeId="0" xr:uid="{9657DC5F-F509-4F85-8F41-4A664889171C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7.1 Assets under Management
MD&amp;A pdf</t>
        </r>
      </text>
    </comment>
    <comment ref="DD216" authorId="2" shapeId="0" xr:uid="{A85FBCEA-3A7E-44CF-8EB6-F069BEDDB032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DE216" authorId="3" shapeId="0" xr:uid="{B8B0120B-76A8-4421-B774-5C9D0CF9517C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7.1 Assets under Management
MD&amp;A pdf</t>
        </r>
      </text>
    </comment>
    <comment ref="DH216" authorId="2" shapeId="0" xr:uid="{DD00E0FE-740E-403E-BF15-E0E2A563B6A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BQ235" authorId="1" shapeId="0" xr:uid="{00000000-0006-0000-0800-00003E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1H16</t>
        </r>
      </text>
    </comment>
    <comment ref="BT235" authorId="1" shapeId="0" xr:uid="{00000000-0006-0000-0800-00003F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1H16</t>
        </r>
      </text>
    </comment>
    <comment ref="BX235" authorId="1" shapeId="0" xr:uid="{00000000-0006-0000-0800-000040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1H16</t>
        </r>
      </text>
    </comment>
    <comment ref="BQ236" authorId="1" shapeId="0" xr:uid="{00000000-0006-0000-0800-000041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1H16</t>
        </r>
      </text>
    </comment>
    <comment ref="BT236" authorId="1" shapeId="0" xr:uid="{00000000-0006-0000-0800-000042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1H16</t>
        </r>
      </text>
    </comment>
    <comment ref="BX236" authorId="1" shapeId="0" xr:uid="{00000000-0006-0000-0800-000043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1H16</t>
        </r>
      </text>
    </comment>
    <comment ref="BY236" authorId="0" shapeId="0" xr:uid="{00000000-0006-0000-0800-00004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Q237" authorId="1" shapeId="0" xr:uid="{00000000-0006-0000-0800-000045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1H16</t>
        </r>
      </text>
    </comment>
    <comment ref="BT237" authorId="1" shapeId="0" xr:uid="{00000000-0006-0000-0800-000046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1H16</t>
        </r>
      </text>
    </comment>
    <comment ref="BX237" authorId="1" shapeId="0" xr:uid="{00000000-0006-0000-0800-000047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1H16</t>
        </r>
      </text>
    </comment>
    <comment ref="BY237" authorId="0" shapeId="0" xr:uid="{00000000-0006-0000-0800-00004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K240" authorId="3" shapeId="0" xr:uid="{00000000-0006-0000-0800-000049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restatement gap</t>
        </r>
      </text>
    </comment>
    <comment ref="CO240" authorId="3" shapeId="0" xr:uid="{00000000-0006-0000-0800-00004A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restatement gap</t>
        </r>
      </text>
    </comment>
    <comment ref="CS240" authorId="3" shapeId="0" xr:uid="{00000000-0006-0000-0800-00004B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restatement gap</t>
        </r>
      </text>
    </comment>
    <comment ref="CW240" authorId="3" shapeId="0" xr:uid="{8AD62900-74E4-48F6-B0CA-F5F86076A095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restatement gap</t>
        </r>
      </text>
    </comment>
    <comment ref="DA240" authorId="3" shapeId="0" xr:uid="{6C993527-864A-4CF0-ADF3-F7278C863211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restatement gap</t>
        </r>
      </text>
    </comment>
    <comment ref="DE240" authorId="3" shapeId="0" xr:uid="{7FB9179C-7D5A-40BA-A8F1-2AE3955854AB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restatement gap</t>
        </r>
      </text>
    </comment>
    <comment ref="BX255" authorId="2" shapeId="0" xr:uid="{00000000-0006-0000-0800-00005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small net outflows in MIM from page 26 of 1H17</t>
        </r>
      </text>
    </comment>
    <comment ref="BZ255" authorId="2" shapeId="0" xr:uid="{00000000-0006-0000-0800-00005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-34bn in FI and 0bn in equities - MIM only flows from page 30 of 2H17 - said that "largely due to a reduction in lower fee
earning insurance assets"</t>
        </r>
      </text>
    </comment>
    <comment ref="CD255" authorId="2" shapeId="0" xr:uid="{00000000-0006-0000-0800-00005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MIM only flows from page 31 of 2H18</t>
        </r>
      </text>
    </comment>
    <comment ref="CF255" authorId="2" shapeId="0" xr:uid="{00000000-0006-0000-0800-00005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MIM only flows from page 31 of 1h19 preso</t>
        </r>
      </text>
    </comment>
    <comment ref="CH255" authorId="2" shapeId="0" xr:uid="{00000000-0006-0000-0800-00005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MIM only flows from page 31 of 1h19 preso</t>
        </r>
      </text>
    </comment>
    <comment ref="CJ255" authorId="2" shapeId="0" xr:uid="{00000000-0006-0000-0800-00005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MIM only flows from page 25 of 1h20 preso</t>
        </r>
      </text>
    </comment>
    <comment ref="CK255" authorId="3" shapeId="0" xr:uid="{00000000-0006-0000-0800-00005E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Page 34 fy 20 preso</t>
        </r>
      </text>
    </comment>
    <comment ref="CN255" authorId="2" shapeId="0" xr:uid="{00000000-0006-0000-0800-00005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MIM only flows from page 25 of 1h20 preso</t>
        </r>
      </text>
    </comment>
    <comment ref="CO255" authorId="3" shapeId="0" xr:uid="{00000000-0006-0000-0800-000060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Page 34 fy 20 preso</t>
        </r>
      </text>
    </comment>
    <comment ref="CR255" authorId="5" shapeId="0" xr:uid="{00000000-0006-0000-0800-000061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1H22 Preso slide 34/108</t>
        </r>
      </text>
    </comment>
    <comment ref="CS255" authorId="5" shapeId="0" xr:uid="{00000000-0006-0000-0800-000062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Public Investments net flows, p27/73 of Investor preso.</t>
        </r>
      </text>
    </comment>
    <comment ref="CV255" authorId="2" shapeId="0" xr:uid="{056B6323-A991-4EAA-898F-8331CF0AD9D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public markets inflows of 600m but 8500m outflows omfr insurance assets contract - Lincoln Life</t>
        </r>
      </text>
    </comment>
    <comment ref="CW255" authorId="5" shapeId="0" xr:uid="{C52DE0C4-001F-4996-9C80-1BD1E1BD047A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Public Investments net flows, p27/75 of Investor preso.
Incl movement in contractual insurance assets</t>
        </r>
      </text>
    </comment>
    <comment ref="CZ255" authorId="10" shapeId="0" xr:uid="{486069AB-1813-4E81-B040-CB853CC316AA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Preso slide 28.
Net flows PI = $5.3bn
Divestments PM = $5.1b
Assets no longer managed $17.1b</t>
      </text>
    </comment>
    <comment ref="DA255" authorId="11" shapeId="0" xr:uid="{AF6954B8-9876-4C09-AF46-C9B4E709F6E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MAM AUM Movements - Investor preso.
Net flows = A$10.9bn
</t>
      </text>
    </comment>
    <comment ref="DD255" authorId="12" shapeId="0" xr:uid="{7EF9C7F9-6129-486B-A88B-D07CA3C5285D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Preso slide 28.
Net flows PI = $5.3bn
Divestments PM = $5.1b
Assets no longer managed $17.1b</t>
      </text>
    </comment>
    <comment ref="DE255" authorId="13" shapeId="0" xr:uid="{67E91060-5C1F-4A77-92DE-22EEA4F8B7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MAM AUM Movements - Investor preso.
Net flows = A$10.9bn
</t>
      </text>
    </comment>
    <comment ref="CR258" authorId="2" shapeId="0" xr:uid="{A79E7044-5433-47D5-B89D-1DED59ACDD56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Waddell &amp; Reed</t>
        </r>
      </text>
    </comment>
    <comment ref="CS258" authorId="2" shapeId="0" xr:uid="{44A90631-9F6B-40A7-9A26-5E1EE8959C5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AMPCI Public Investemetns and Central Park (just A$4.9bn or US$3.5bn)</t>
        </r>
      </text>
    </comment>
    <comment ref="CS262" authorId="2" shapeId="0" xr:uid="{4519787C-8243-4209-99F3-3BD0B19F3329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CV262" authorId="2" shapeId="0" xr:uid="{1C93E1A6-1B11-4278-8DC4-FDCD8B0A21C7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CZ262" authorId="2" shapeId="0" xr:uid="{5F262BB1-DA9C-4DE0-A2F5-F41F173377A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DD262" authorId="2" shapeId="0" xr:uid="{E32B2D8A-C926-4E83-A1D5-8ED1B9BE6A6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DH262" authorId="2" shapeId="0" xr:uid="{F9D56FE1-7529-4F70-9541-27A497F065A9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BQ297" authorId="14" shapeId="0" xr:uid="{00000000-0006-0000-0800-000063000000}">
      <text>
        <r>
          <rPr>
            <b/>
            <sz val="9"/>
            <color indexed="81"/>
            <rFont val="Tahoma"/>
            <family val="2"/>
          </rPr>
          <t>Pham, Edward (Research):</t>
        </r>
        <r>
          <rPr>
            <sz val="9"/>
            <color indexed="81"/>
            <rFont val="Tahoma"/>
            <family val="2"/>
          </rPr>
          <t xml:space="preserve">
http://www.delawareinvestments.com/about-us/products-and-clients.aspx</t>
        </r>
      </text>
    </comment>
    <comment ref="BT297" authorId="2" shapeId="0" xr:uid="{00000000-0006-0000-0800-00006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30sep2015</t>
        </r>
      </text>
    </comment>
    <comment ref="BU297" authorId="2" shapeId="0" xr:uid="{00000000-0006-0000-0800-00006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31 mar 2016, delaware website - US$165.9bn at 31dec2016</t>
        </r>
      </text>
    </comment>
    <comment ref="BX297" authorId="1" shapeId="0" xr:uid="{00000000-0006-0000-0800-000066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30 June 2016 DEL website shows US$173.6bn, then US$167.2bn at 31DEC2016</t>
        </r>
      </text>
    </comment>
    <comment ref="BY297" authorId="0" shapeId="0" xr:uid="{00000000-0006-0000-0800-00006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Delaware reporting change</t>
        </r>
      </text>
    </comment>
    <comment ref="CB297" authorId="2" shapeId="0" xr:uid="{00000000-0006-0000-0800-00006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C297" authorId="2" shapeId="0" xr:uid="{00000000-0006-0000-0800-00006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F297" authorId="2" shapeId="0" xr:uid="{00000000-0006-0000-0800-00006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G297" authorId="2" shapeId="0" xr:uid="{00000000-0006-0000-0800-00006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J297" authorId="2" shapeId="0" xr:uid="{00000000-0006-0000-0800-00006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K297" authorId="2" shapeId="0" xr:uid="{00000000-0006-0000-0800-00006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N297" authorId="2" shapeId="0" xr:uid="{00000000-0006-0000-0800-00006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O297" authorId="2" shapeId="0" xr:uid="{00000000-0006-0000-0800-00006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R297" authorId="2" shapeId="0" xr:uid="{00000000-0006-0000-0800-00007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S297" authorId="2" shapeId="0" xr:uid="{00000000-0006-0000-0800-00007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V297" authorId="2" shapeId="0" xr:uid="{392272C9-CADB-4529-86DF-A050E218756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W297" authorId="2" shapeId="0" xr:uid="{B5F7F457-F973-4C98-A677-CC6A26C8227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Z297" authorId="2" shapeId="0" xr:uid="{15F93D92-8A8F-4899-9F59-5486502E50FE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DA297" authorId="2" shapeId="0" xr:uid="{79B1115E-F6D7-44B8-9E2D-CA8948F38ED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DD297" authorId="2" shapeId="0" xr:uid="{FE23B51D-6F99-49FF-9F55-3B9FC9FE150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DE297" authorId="2" shapeId="0" xr:uid="{0CE54F64-DCC7-4BC5-B8E7-DF6C950AFE8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DH297" authorId="2" shapeId="0" xr:uid="{47A97735-BE21-44C1-9715-B320CD054C3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longer disclosed as rebranded</t>
        </r>
      </text>
    </comment>
    <comment ref="CF335" authorId="2" shapeId="0" xr:uid="{00000000-0006-0000-0800-00007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for CAF bye bye</t>
        </r>
      </text>
    </comment>
    <comment ref="CG335" authorId="2" shapeId="0" xr:uid="{00000000-0006-0000-0800-00007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for CAF bye bye</t>
        </r>
      </text>
    </comment>
    <comment ref="CJ335" authorId="2" shapeId="0" xr:uid="{00000000-0006-0000-0800-00007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for CAF bye bye</t>
        </r>
      </text>
    </comment>
    <comment ref="CK335" authorId="2" shapeId="0" xr:uid="{00000000-0006-0000-0800-00007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for CAF bye bye</t>
        </r>
      </text>
    </comment>
    <comment ref="CN335" authorId="2" shapeId="0" xr:uid="{00000000-0006-0000-0800-00007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restated for CAF bye bye</t>
        </r>
      </text>
    </comment>
    <comment ref="AZ343" authorId="2" shapeId="0" xr:uid="{00000000-0006-0000-0800-00007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 disclosed - so esimated</t>
        </r>
      </text>
    </comment>
    <comment ref="BD343" authorId="2" shapeId="0" xr:uid="{00000000-0006-0000-0800-00007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 disclosed - so esimated</t>
        </r>
      </text>
    </comment>
    <comment ref="BF343" authorId="2" shapeId="0" xr:uid="{00000000-0006-0000-0800-00007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 disclosed - so esimated</t>
        </r>
      </text>
    </comment>
    <comment ref="CN343" authorId="3" shapeId="0" xr:uid="{00000000-0006-0000-0800-00007C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preso</t>
        </r>
      </text>
    </comment>
    <comment ref="CP343" authorId="3" shapeId="0" xr:uid="{00000000-0006-0000-0800-00007D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search in preso
of equity to deploy</t>
        </r>
      </text>
    </comment>
    <comment ref="CR343" authorId="5" shapeId="0" xr:uid="{00000000-0006-0000-0800-00007E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1H22 Preso 20/108</t>
        </r>
      </text>
    </comment>
    <comment ref="CT343" authorId="5" shapeId="0" xr:uid="{00000000-0006-0000-0800-00007F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Equity to deploy - preso p 14/73.</t>
        </r>
      </text>
    </comment>
    <comment ref="CV343" authorId="5" shapeId="0" xr:uid="{88361FDE-CFF2-4D6D-AACF-56D21A29B4A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1H22 Preso 20/108</t>
        </r>
      </text>
    </comment>
    <comment ref="CX343" authorId="5" shapeId="0" xr:uid="{C2B3EF80-7470-4E1E-ACB8-DB975A05F47A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Equity to deploy - preso p 14/75.</t>
        </r>
      </text>
    </comment>
    <comment ref="CZ343" authorId="5" shapeId="0" xr:uid="{79BBBDDA-4119-452C-A47E-DFCE6AF03E4F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1H22 Preso 20/108</t>
        </r>
      </text>
    </comment>
    <comment ref="DB343" authorId="5" shapeId="0" xr:uid="{4697AB7D-B363-40E2-82A3-B31B4CDAC90B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Equity to deploy - preso p 14/75.</t>
        </r>
      </text>
    </comment>
    <comment ref="DD343" authorId="5" shapeId="0" xr:uid="{1020B763-1CB6-4541-985F-DB5AD9E60B44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1H22 Preso 20/108</t>
        </r>
      </text>
    </comment>
    <comment ref="DF343" authorId="5" shapeId="0" xr:uid="{BF7D9716-32F4-49C8-9C3C-2896148C1767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Equity to deploy - preso p 14/75.</t>
        </r>
      </text>
    </comment>
    <comment ref="CN348" authorId="3" shapeId="0" xr:uid="{00000000-0006-0000-0800-000080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1h21 preso not MD&amp;A</t>
        </r>
      </text>
    </comment>
    <comment ref="CP348" authorId="3" shapeId="0" xr:uid="{00000000-0006-0000-0800-000081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search Raised xxx in new equity preso</t>
        </r>
      </text>
    </comment>
    <comment ref="CR348" authorId="5" shapeId="0" xr:uid="{00000000-0006-0000-0800-000082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1H22 Preso 20/108 </t>
        </r>
      </text>
    </comment>
    <comment ref="CT348" authorId="3" shapeId="0" xr:uid="{00000000-0006-0000-0800-000083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search Raised xxx in new equity preso</t>
        </r>
      </text>
    </comment>
    <comment ref="CV348" authorId="5" shapeId="0" xr:uid="{FCB5E5FB-EDF8-41D0-BC9B-B1FCE4AE0967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1H22 Preso 20/108 </t>
        </r>
      </text>
    </comment>
    <comment ref="CX348" authorId="15" shapeId="0" xr:uid="{3E5EE0AE-2462-4008-A4B8-9B444C64E70E}">
      <text>
        <t>[Threaded comment]
Your version of Excel allows you to read this threaded comment; however, any edits to it will get removed if the file is opened in a newer version of Excel. Learn more: https://go.microsoft.com/fwlink/?linkid=870924
Comment:
    MAM slide 14 'raised'</t>
      </text>
    </comment>
    <comment ref="CZ348" authorId="5" shapeId="0" xr:uid="{24C73ECD-07F1-4782-9E60-31DB12809A87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1H22 Preso 20/108 </t>
        </r>
      </text>
    </comment>
    <comment ref="DB348" authorId="16" shapeId="0" xr:uid="{0B5F5FC3-0D8D-444C-9561-07BA5FC2B8A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Raised in new equity
</t>
      </text>
    </comment>
    <comment ref="DD348" authorId="5" shapeId="0" xr:uid="{52C38A37-3E5E-436D-B5AC-25C6A8CB3C4F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1H22 Preso 20/108 </t>
        </r>
      </text>
    </comment>
    <comment ref="DF348" authorId="17" shapeId="0" xr:uid="{D6B60444-783B-41AB-B9FC-C13BBFA9918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Raised in new equity
</t>
      </text>
    </comment>
    <comment ref="CH349" authorId="2" shapeId="0" xr:uid="{00000000-0006-0000-0800-00008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7.5bn returned and 4.9bn from ALX (ex MQA) internalisation</t>
        </r>
      </text>
    </comment>
    <comment ref="CL349" authorId="3" shapeId="0" xr:uid="{00000000-0006-0000-0800-000085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Equity returned
or no longer
managed</t>
        </r>
      </text>
    </comment>
    <comment ref="CR349" authorId="2" shapeId="0" xr:uid="{00000000-0006-0000-0800-00008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equity proceeds from slide 20 of 1H22 as disc. changed</t>
        </r>
      </text>
    </comment>
    <comment ref="CT349" authorId="2" shapeId="0" xr:uid="{1CF4E4B3-3F35-4B76-A1E5-B6902C2CF15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slide 27 of FY22 as disc. Changed - then scale down by 1.6x as EUM is smaller than AUM</t>
        </r>
      </text>
    </comment>
    <comment ref="CV349" authorId="2" shapeId="0" xr:uid="{9E6C1632-10EA-49D9-8417-4F2D85771A2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slide 27 of FY22 as disc. Changed - then scale down by 1.6x as EUM is smaller than AUM</t>
        </r>
      </text>
    </comment>
    <comment ref="CX349" authorId="2" shapeId="0" xr:uid="{C02005DC-AE49-4E98-8C85-3AE19CB8845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slide 27 of FY22 as disc. Changed - then scale down by 1.6x as EUM is smaller than AUM</t>
        </r>
      </text>
    </comment>
    <comment ref="CZ349" authorId="2" shapeId="0" xr:uid="{5B56587B-8188-4D65-9328-E6CE471C750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AUM movements on slide 28 of F1H24 as disc. Changed - then scale down by 1.6x as EUM is smaller than AUM</t>
        </r>
      </text>
    </comment>
    <comment ref="DB349" authorId="2" shapeId="0" xr:uid="{DBDF3D55-C5AE-4802-BC5F-2BDA76FFF7A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slide 27 of FY24. Take Divestments and Asset no longer manage - then scale down by 1.6x as EUM is smaller than AUM</t>
        </r>
      </text>
    </comment>
    <comment ref="DD349" authorId="2" shapeId="0" xr:uid="{4C324DEF-0B66-456A-B69A-621B18361851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AUM movements on slide 28 of F1H24 as disc. Changed - then scale down by 1.6x as EUM is smaller than AUM</t>
        </r>
      </text>
    </comment>
    <comment ref="DF349" authorId="2" shapeId="0" xr:uid="{9FCB0734-39AD-42EF-8EEF-3042A52D3A9E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slide 23 of FY25. Take Divestments and equity to deploy movements - then scale down by 1.6x as EUM is smaller than AUM</t>
        </r>
      </text>
    </comment>
    <comment ref="DH349" authorId="2" shapeId="0" xr:uid="{C83B431E-BAF1-44A0-9BBC-F10F523E228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AUM movements on slide 28 of F1H24 as disc. Changed - then scale down by 1.6x as EUM is smaller than AUM</t>
        </r>
      </text>
    </comment>
    <comment ref="BT351" authorId="18" shapeId="0" xr:uid="{00000000-0006-0000-0800-000088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est</t>
        </r>
      </text>
    </comment>
    <comment ref="BV351" authorId="18" shapeId="0" xr:uid="{00000000-0006-0000-0800-000089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est</t>
        </r>
      </text>
    </comment>
    <comment ref="BX351" authorId="18" shapeId="0" xr:uid="{00000000-0006-0000-0800-00008A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est</t>
        </r>
      </text>
    </comment>
    <comment ref="BZ351" authorId="2" shapeId="0" xr:uid="{00000000-0006-0000-0800-00008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first time disclosure in FY17</t>
        </r>
      </text>
    </comment>
    <comment ref="CP351" authorId="3" shapeId="0" xr:uid="{00000000-0006-0000-0800-00008C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MIRA EUM movement</t>
        </r>
      </text>
    </comment>
    <comment ref="CR351" authorId="2" shapeId="0" xr:uid="{00000000-0006-0000-0800-00008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slide 20 of 1H22 as disc. Changed - then scale down by 1.4x as EUM is smaller than AUM</t>
        </r>
      </text>
    </comment>
    <comment ref="CT351" authorId="2" shapeId="0" xr:uid="{00000000-0006-0000-0800-00008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slide 27 of FY22 as disc. Changed - then scale down by 1.5x as EUM is smaller than AUM</t>
        </r>
      </text>
    </comment>
    <comment ref="CV351" authorId="2" shapeId="0" xr:uid="{08870C71-F446-4C9B-8EEB-77F6C17FD7B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slide 20 of 1H22 as disc. Changed - then scale down by 1.6x as EUM is smaller than AUM</t>
        </r>
      </text>
    </comment>
    <comment ref="CX351" authorId="2" shapeId="0" xr:uid="{3689EE92-C841-46BD-BAC7-79E3E2BE4791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slide 27 of FY22 as disc. Changed - then scale down by 1.6x as EUM is smaller than AUM</t>
        </r>
      </text>
    </comment>
    <comment ref="CZ351" authorId="2" shapeId="0" xr:uid="{81C92930-6609-46C8-A221-04933502FB6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AUM movements on slide 28 of F1H24 as disc. Changed - then scale down by 1.6x as EUM is smaller than AUM</t>
        </r>
      </text>
    </comment>
    <comment ref="DB351" authorId="2" shapeId="0" xr:uid="{55DA2F43-B9F4-4D78-BF28-76EC0B797D7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slide 27 of FY22 as disc. Changed - then scale down by 1.6x as EUM is smaller than AUM</t>
        </r>
      </text>
    </comment>
    <comment ref="DD351" authorId="2" shapeId="0" xr:uid="{949B059E-006E-43E4-AB4F-85924BCD068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AUM movements on slide 28 of F1H24 as disc. Changed - then scale down by 1.6x as EUM is smaller than AUM</t>
        </r>
      </text>
    </comment>
    <comment ref="DF351" authorId="2" shapeId="0" xr:uid="{292A0DA3-BD8E-4105-8318-AF30BAB68479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slide 27 of FY22 as disc. Changed - then scale down by 1.6x as EUM is smaller than AUM</t>
        </r>
      </text>
    </comment>
    <comment ref="DH351" authorId="2" shapeId="0" xr:uid="{9EFFC054-1548-43B8-B829-3072EFA8E6EB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estiamted from AUM movements on slide 28 of F1H24 as disc. Changed - then scale down by 1.6x as EUM is smaller than AUM</t>
        </r>
      </text>
    </comment>
    <comment ref="CB352" authorId="2" shapeId="0" xr:uid="{00000000-0006-0000-0800-00008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purchased green investment group GIG</t>
        </r>
      </text>
    </comment>
    <comment ref="CD352" authorId="2" shapeId="0" xr:uid="{00000000-0006-0000-0800-00009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purchased green investment group GIG</t>
        </r>
      </text>
    </comment>
    <comment ref="CH352" authorId="2" shapeId="0" xr:uid="{00000000-0006-0000-0800-00009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11.7 from GLL and the The Infrastrucutre Fund (TIF was $2.5bn), then 7.0 from transfer of Macquarie Real Estate Investment (MREI) from Mac Cap to MAM</t>
        </r>
      </text>
    </comment>
    <comment ref="DF352" authorId="2" shapeId="0" xr:uid="{25C6F867-4DA3-4F2F-ACCD-44FD6FA380F6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slide 23 of FY25. Take assets no longer managed as in FY25 these are  GLL Core real estate sales - then scale down by 1.6x as EUM is smaller than AUM</t>
        </r>
      </text>
    </comment>
    <comment ref="CD357" authorId="2" shapeId="0" xr:uid="{00000000-0006-0000-0800-00009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earlier slide on MAM summary</t>
        </r>
      </text>
    </comment>
    <comment ref="CH357" authorId="2" shapeId="0" xr:uid="{00000000-0006-0000-0800-00009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earlier slide on MAM summary</t>
        </r>
      </text>
    </comment>
    <comment ref="CL357" authorId="2" shapeId="0" xr:uid="{00000000-0006-0000-0800-00009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earlier slide on MAM summary</t>
        </r>
      </text>
    </comment>
    <comment ref="CN357" authorId="3" shapeId="0" xr:uid="{00000000-0006-0000-0800-000095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equity proceeds mam preso</t>
        </r>
      </text>
    </comment>
    <comment ref="CP357" authorId="2" shapeId="0" xr:uid="{00000000-0006-0000-0800-00009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from earlier slide on MAM summary
Equity proceeds of $A7.7b from asset divestments2, across a wide geographical spread</t>
        </r>
      </text>
    </comment>
    <comment ref="CR357" authorId="5" shapeId="0" xr:uid="{00000000-0006-0000-0800-000097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preso 20/108</t>
        </r>
      </text>
    </comment>
    <comment ref="CT357" authorId="5" shapeId="0" xr:uid="{00000000-0006-0000-0800-000098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Equity returned to clients from divestments preso 14/73</t>
        </r>
      </text>
    </comment>
    <comment ref="CV357" authorId="19" shapeId="0" xr:uid="{2D6B26ED-3CA2-4418-8165-8411A4A7DE8F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Preso pg 14. Equity returned to clients from divestments.</t>
      </text>
    </comment>
    <comment ref="CX357" authorId="5" shapeId="0" xr:uid="{99EFD331-BBBC-4BF4-B2EE-E8D0CF6AD08A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Equity returned to clients from divestments preso 14/73</t>
        </r>
      </text>
    </comment>
    <comment ref="CZ357" authorId="20" shapeId="0" xr:uid="{870F6535-60EE-4D51-9480-1B565CCBF120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Preso pg 14. Equity returned to clients from divestments.</t>
      </text>
    </comment>
    <comment ref="DB357" authorId="5" shapeId="0" xr:uid="{5C2A161E-7F5B-41B1-A3A1-FC1F2D967305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Equity returned to clients from divestments preso 14/73</t>
        </r>
      </text>
    </comment>
    <comment ref="DD357" authorId="21" shapeId="0" xr:uid="{6E981724-0823-4E71-BC35-29BFC7A324EF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Preso pg 14. Equity returned to clients from divestments.</t>
      </text>
    </comment>
    <comment ref="DF357" authorId="5" shapeId="0" xr:uid="{07D8CC09-0394-4DA6-B92F-15BF3F9444E7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Equity returned to clients from divestments preso 14/73</t>
        </r>
      </text>
    </comment>
    <comment ref="DI358" authorId="2" shapeId="0" xr:uid="{8A3D65B0-E65F-4181-8D26-92AFAF08E761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InEvo Re helping</t>
        </r>
      </text>
    </comment>
    <comment ref="DL358" authorId="2" shapeId="0" xr:uid="{79076C48-C12B-44E2-AC57-D4E89BE80E9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InEvo Re helping</t>
        </r>
      </text>
    </comment>
    <comment ref="DM358" authorId="2" shapeId="0" xr:uid="{FAE9712C-6700-42D4-8996-C63AD5E04D69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InEvo Re helping</t>
        </r>
      </text>
    </comment>
    <comment ref="DP358" authorId="2" shapeId="0" xr:uid="{7ABCF691-7BAC-48B1-A3B5-470003EC2DF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InEvo Re helping</t>
        </r>
      </text>
    </comment>
    <comment ref="DQ358" authorId="2" shapeId="0" xr:uid="{0A97B506-9706-45FA-8565-0914C390F55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InEvo Re helping</t>
        </r>
      </text>
    </comment>
    <comment ref="CO387" authorId="3" shapeId="0" xr:uid="{00000000-0006-0000-0800-00009F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Other operating groups saw 7 million additional p-fees</t>
        </r>
      </text>
    </comment>
    <comment ref="CP387" authorId="3" shapeId="0" xr:uid="{00000000-0006-0000-0800-0000A0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Other operating groups saw 7 million additional p-fees</t>
        </r>
      </text>
    </comment>
    <comment ref="DI391" authorId="22" shapeId="0" xr:uid="{C53E2ED4-033C-4470-B5B0-DBE2E9C6E455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Aligned</t>
        </r>
      </text>
    </comment>
    <comment ref="DL391" authorId="22" shapeId="0" xr:uid="{F2D6386B-ED32-4D2E-806B-E35723381A4A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Aligned</t>
        </r>
      </text>
    </comment>
    <comment ref="DM391" authorId="22" shapeId="0" xr:uid="{DB72C003-28CF-447E-80FE-897241076A26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Aligned</t>
        </r>
      </text>
    </comment>
    <comment ref="DP391" authorId="22" shapeId="0" xr:uid="{BB6C9791-3E61-4266-9EF9-772B9CBA880F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Aligned</t>
        </r>
      </text>
    </comment>
    <comment ref="DQ391" authorId="22" shapeId="0" xr:uid="{EC7811C9-0986-4B16-A495-392633AB4A92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Aligned</t>
        </r>
      </text>
    </comment>
    <comment ref="BX403" authorId="0" shapeId="0" xr:uid="{00000000-0006-0000-0800-0000A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
</t>
        </r>
      </text>
    </comment>
    <comment ref="BY403" authorId="0" shapeId="0" xr:uid="{00000000-0006-0000-0800-0000A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
</t>
        </r>
      </text>
    </comment>
    <comment ref="CF495" authorId="18" shapeId="0" xr:uid="{00000000-0006-0000-0800-0000A3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Average of the 4 years from FY15-FY18 was A$200m per half</t>
        </r>
      </text>
    </comment>
    <comment ref="CG495" authorId="18" shapeId="0" xr:uid="{00000000-0006-0000-0800-0000A4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Average of the 4 years from FY15-FY18 was A$200m per half</t>
        </r>
      </text>
    </comment>
    <comment ref="CJ495" authorId="18" shapeId="0" xr:uid="{00000000-0006-0000-0800-0000A5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Average of the 4 years from FY15-FY18 was A$200m per half</t>
        </r>
      </text>
    </comment>
    <comment ref="CK495" authorId="18" shapeId="0" xr:uid="{00000000-0006-0000-0800-0000A6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Average of the 4 years from FY15-FY18 was A$200m per half</t>
        </r>
      </text>
    </comment>
    <comment ref="CN495" authorId="18" shapeId="0" xr:uid="{00000000-0006-0000-0800-0000A7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Average of the 4 years from FY15-FY18 was A$200m per half</t>
        </r>
      </text>
    </comment>
    <comment ref="CO495" authorId="18" shapeId="0" xr:uid="{00000000-0006-0000-0800-0000A8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Average of the 4 years from FY15-FY18 was A$200m per half</t>
        </r>
      </text>
    </comment>
    <comment ref="CR495" authorId="18" shapeId="0" xr:uid="{00000000-0006-0000-0800-0000A9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Average of the 4 years from FY15-FY18 was A$200m per half</t>
        </r>
      </text>
    </comment>
    <comment ref="CV495" authorId="18" shapeId="0" xr:uid="{34B55BAE-3D18-4FDA-9097-87FD5CE7103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Average of the 4 years from FY15-FY18 was A$200m per half</t>
        </r>
      </text>
    </comment>
    <comment ref="CZ495" authorId="18" shapeId="0" xr:uid="{70268918-7948-490F-9711-75808B4CCF13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Average of the 4 years from FY15-FY18 was A$200m per half</t>
        </r>
      </text>
    </comment>
    <comment ref="DD495" authorId="18" shapeId="0" xr:uid="{6BC9210F-A1E7-4F9E-9087-4DE96AD90378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Average of the 4 years from FY15-FY18 was A$200m per half</t>
        </r>
      </text>
    </comment>
    <comment ref="DH495" authorId="18" shapeId="0" xr:uid="{8157E46D-854C-4DD4-AC95-212FC1C71B9E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Average of the 4 years from FY15-FY18 was A$200m per half</t>
        </r>
      </text>
    </comment>
    <comment ref="CF496" authorId="2" shapeId="0" xr:uid="{00000000-0006-0000-0800-0000B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G496" authorId="2" shapeId="0" xr:uid="{00000000-0006-0000-0800-0000B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J496" authorId="2" shapeId="0" xr:uid="{00000000-0006-0000-0800-0000B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K496" authorId="2" shapeId="0" xr:uid="{00000000-0006-0000-0800-0000B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N496" authorId="2" shapeId="0" xr:uid="{00000000-0006-0000-0800-0000B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O496" authorId="2" shapeId="0" xr:uid="{00000000-0006-0000-0800-0000B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R496" authorId="2" shapeId="0" xr:uid="{00000000-0006-0000-0800-0000B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V496" authorId="2" shapeId="0" xr:uid="{30082230-45D6-4F32-9A34-AE43B4726BF9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Z496" authorId="2" shapeId="0" xr:uid="{954EAFE4-9A5A-4444-BC2E-5405442AC929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DD496" authorId="2" shapeId="0" xr:uid="{31AE923A-FBCF-4F27-B135-26EC51C72E2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DH496" authorId="2" shapeId="0" xr:uid="{B8CF841B-D41C-4036-8088-E7122FF7422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F497" authorId="2" shapeId="0" xr:uid="{00000000-0006-0000-0800-0000B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G497" authorId="2" shapeId="0" xr:uid="{00000000-0006-0000-0800-0000B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J497" authorId="2" shapeId="0" xr:uid="{00000000-0006-0000-0800-0000B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K497" authorId="2" shapeId="0" xr:uid="{00000000-0006-0000-0800-0000B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N497" authorId="2" shapeId="0" xr:uid="{00000000-0006-0000-0800-0000B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O497" authorId="2" shapeId="0" xr:uid="{00000000-0006-0000-0800-0000B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R497" authorId="2" shapeId="0" xr:uid="{00000000-0006-0000-0800-0000B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V497" authorId="2" shapeId="0" xr:uid="{43646B91-7E22-4839-BCAB-03676028D861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Z497" authorId="2" shapeId="0" xr:uid="{B55331B9-3222-461C-BD5C-BEC93B2E786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DD497" authorId="2" shapeId="0" xr:uid="{812D7949-2AE9-4F17-ABF6-95D387CDAFB6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DH497" authorId="2" shapeId="0" xr:uid="{23FDCE2A-7BB1-40D8-B261-06B83FB8A96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moved to capital</t>
        </r>
      </text>
    </comment>
    <comment ref="CF498" authorId="2" shapeId="0" xr:uid="{00000000-0006-0000-0800-0000B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Energetics sale</t>
        </r>
      </text>
    </comment>
    <comment ref="CG498" authorId="2" shapeId="0" xr:uid="{00000000-0006-0000-0800-0000B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Energetics sale</t>
        </r>
      </text>
    </comment>
    <comment ref="CJ498" authorId="2" shapeId="0" xr:uid="{00000000-0006-0000-0800-0000C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Energetics sale</t>
        </r>
      </text>
    </comment>
    <comment ref="CK498" authorId="2" shapeId="0" xr:uid="{00000000-0006-0000-0800-0000C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Energetics sale</t>
        </r>
      </text>
    </comment>
    <comment ref="CN498" authorId="2" shapeId="0" xr:uid="{00000000-0006-0000-0800-0000C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Energetics sale</t>
        </r>
      </text>
    </comment>
    <comment ref="CO498" authorId="2" shapeId="0" xr:uid="{00000000-0006-0000-0800-0000C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Energetics sale</t>
        </r>
      </text>
    </comment>
    <comment ref="CR498" authorId="2" shapeId="0" xr:uid="{00000000-0006-0000-0800-0000C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Energetics sale</t>
        </r>
      </text>
    </comment>
    <comment ref="CV498" authorId="2" shapeId="0" xr:uid="{9A2E55DF-F3D7-45DA-AF0A-2E4B8E2F2C35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Energetics sale</t>
        </r>
      </text>
    </comment>
    <comment ref="CZ498" authorId="2" shapeId="0" xr:uid="{DD29AD97-0614-411B-9F3A-FC04F3E0BE2E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Energetics sale</t>
        </r>
      </text>
    </comment>
    <comment ref="DD498" authorId="2" shapeId="0" xr:uid="{761B1967-19DF-45BA-A3D7-0B3EFDC1F80B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Energetics sale</t>
        </r>
      </text>
    </comment>
    <comment ref="DH498" authorId="2" shapeId="0" xr:uid="{9030C467-CB76-41EE-AFFB-55A65312ECD5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Energetics sale</t>
        </r>
      </text>
    </comment>
    <comment ref="DH644" authorId="2" shapeId="0" xr:uid="{D65352E1-2701-4A35-AAF2-D6C3F9D3CF0C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$152m loss on Green Energy Wind  here</t>
        </r>
      </text>
    </comment>
    <comment ref="DM644" authorId="2" shapeId="0" xr:uid="{CACBE202-0891-4552-841E-DCD9EE312A51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green run off done by end FY27</t>
        </r>
      </text>
    </comment>
    <comment ref="DD646" authorId="2" shapeId="0" xr:uid="{85CEF9AE-1252-4C1E-8C12-A2F7EC4D3E3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$152m loss on Green Energy Wind  here</t>
        </r>
      </text>
    </comment>
    <comment ref="CR650" authorId="2" shapeId="0" xr:uid="{F81BD33A-CCC6-4940-9864-EF5DE9BF9216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 disclosed</t>
        </r>
      </text>
    </comment>
    <comment ref="CS650" authorId="2" shapeId="0" xr:uid="{8DC20307-102B-4A4D-AC60-44C4D76CF9D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 disclosed</t>
        </r>
      </text>
    </comment>
    <comment ref="CV650" authorId="2" shapeId="0" xr:uid="{C35B2646-0E55-4FA8-AF53-0A536D37D09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 disclosed</t>
        </r>
      </text>
    </comment>
    <comment ref="CW650" authorId="2" shapeId="0" xr:uid="{26CF4FAC-A226-43E3-802C-331AFEB71B3B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 disclosed</t>
        </r>
      </text>
    </comment>
    <comment ref="CZ650" authorId="2" shapeId="0" xr:uid="{69846BE3-8B27-4F33-BBC2-0FB7E28CCF4C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 disclosed</t>
        </r>
      </text>
    </comment>
    <comment ref="DA650" authorId="2" shapeId="0" xr:uid="{D7EAC6AE-3263-44D5-8C50-07D7611D273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 disclosed</t>
        </r>
      </text>
    </comment>
    <comment ref="BU698" authorId="2" shapeId="0" xr:uid="{00000000-0006-0000-0800-0000C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698" authorId="0" shapeId="0" xr:uid="{00000000-0006-0000-0800-0000CC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FY17</t>
        </r>
      </text>
    </comment>
    <comment ref="BY698" authorId="0" shapeId="0" xr:uid="{00000000-0006-0000-0800-0000CD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1H restated pg 21 MD&amp;A</t>
        </r>
      </text>
    </comment>
    <comment ref="CR706" authorId="2" shapeId="0" xr:uid="{00000000-0006-0000-0800-0000C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MIC disposition fee does not drive 1H22 comp and CGM Smart Meter sales will not drive large comp outcomes – so one offs supported the 1H22 comp ratio</t>
        </r>
      </text>
    </comment>
    <comment ref="CV706" authorId="2" shapeId="0" xr:uid="{0777D31A-CFD1-4DB8-9CA5-6AD924F9616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MIC disposition fee does not drive 1H22 comp and CGM Smart Meter sales will not drive large comp outcomes – so one offs supported the 1H22 comp ratio</t>
        </r>
      </text>
    </comment>
    <comment ref="CZ706" authorId="2" shapeId="0" xr:uid="{E732967F-1092-45E9-A40B-BFB60494C3E5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MIC disposition fee does not drive 1H22 comp and CGM Smart Meter sales will not drive large comp outcomes – so one offs supported the 1H22 comp ratio</t>
        </r>
      </text>
    </comment>
    <comment ref="DD706" authorId="2" shapeId="0" xr:uid="{B7E9461C-7FE7-4DA3-9FAB-4CF4ECE8E09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MIC disposition fee does not drive 1H22 comp and CGM Smart Meter sales will not drive large comp outcomes – so one offs supported the 1H22 comp ratio</t>
        </r>
      </text>
    </comment>
    <comment ref="DH706" authorId="2" shapeId="0" xr:uid="{F05A12A7-159B-4469-A2A1-1B6B6AF00D8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MIC disposition fee does not drive 1H22 comp and CGM Smart Meter sales will not drive large comp outcomes – so one offs supported the 1H22 comp ratio</t>
        </r>
      </text>
    </comment>
    <comment ref="BX711" authorId="2" shapeId="0" xr:uid="{00000000-0006-0000-0800-0000C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merged into CGM</t>
        </r>
      </text>
    </comment>
    <comment ref="CB711" authorId="2" shapeId="0" xr:uid="{00000000-0006-0000-0800-0000D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merged into CGM</t>
        </r>
      </text>
    </comment>
    <comment ref="CB712" authorId="0" shapeId="0" xr:uid="{00000000-0006-0000-0800-0000D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CC712" authorId="0" shapeId="0" xr:uid="{00000000-0006-0000-0800-0000D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CF712" authorId="0" shapeId="0" xr:uid="{00000000-0006-0000-0800-0000D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 &amp; at 1H20</t>
        </r>
      </text>
    </comment>
    <comment ref="CG712" authorId="0" shapeId="0" xr:uid="{00000000-0006-0000-0800-0000D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 &amp; at 1H20</t>
        </r>
      </text>
    </comment>
    <comment ref="CK712" authorId="3" shapeId="0" xr:uid="{00000000-0006-0000-0800-0000D5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2.8 Headcount MD&amp;A</t>
        </r>
      </text>
    </comment>
    <comment ref="CO712" authorId="3" shapeId="0" xr:uid="{00000000-0006-0000-0800-0000D6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2.8 Headcount MD&amp;A</t>
        </r>
      </text>
    </comment>
    <comment ref="CS712" authorId="3" shapeId="0" xr:uid="{00000000-0006-0000-0800-0000D7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2.8 Headcount MD&amp;A</t>
        </r>
      </text>
    </comment>
    <comment ref="CW712" authorId="3" shapeId="0" xr:uid="{3D93B0B1-F6C7-4BDE-BDD3-C63B7D109DB2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2.8 Headcount MD&amp;A</t>
        </r>
      </text>
    </comment>
    <comment ref="CB713" authorId="0" shapeId="0" xr:uid="{00000000-0006-0000-0800-0000D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CC713" authorId="0" shapeId="0" xr:uid="{00000000-0006-0000-0800-0000D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CF713" authorId="0" shapeId="0" xr:uid="{00000000-0006-0000-0800-0000D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 &amp; at 1H20</t>
        </r>
      </text>
    </comment>
    <comment ref="CG713" authorId="0" shapeId="0" xr:uid="{00000000-0006-0000-0800-0000DB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 &amp; at 1H20</t>
        </r>
      </text>
    </comment>
    <comment ref="BX714" authorId="2" shapeId="0" xr:uid="{00000000-0006-0000-0800-0000D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979 from SECurities</t>
        </r>
      </text>
    </comment>
    <comment ref="BY714" authorId="0" shapeId="0" xr:uid="{00000000-0006-0000-0800-0000DD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merged into CGM. </t>
        </r>
      </text>
    </comment>
    <comment ref="CF714" authorId="0" shapeId="0" xr:uid="{00000000-0006-0000-0800-0000DE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 &amp; at 1H20</t>
        </r>
      </text>
    </comment>
    <comment ref="CG714" authorId="0" shapeId="0" xr:uid="{00000000-0006-0000-0800-0000DF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 &amp; at 1H20</t>
        </r>
      </text>
    </comment>
    <comment ref="CB715" authorId="0" shapeId="0" xr:uid="{00000000-0006-0000-0800-0000E0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CC715" authorId="0" shapeId="0" xr:uid="{00000000-0006-0000-0800-0000E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CF715" authorId="0" shapeId="0" xr:uid="{00000000-0006-0000-0800-0000E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 &amp; at 1H20</t>
        </r>
      </text>
    </comment>
    <comment ref="CG715" authorId="0" shapeId="0" xr:uid="{00000000-0006-0000-0800-0000E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 &amp; at 1H20</t>
        </r>
      </text>
    </comment>
    <comment ref="CB716" authorId="0" shapeId="0" xr:uid="{00000000-0006-0000-0800-0000E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CC716" authorId="0" shapeId="0" xr:uid="{00000000-0006-0000-0800-0000E5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prior to 2H19</t>
        </r>
      </text>
    </comment>
    <comment ref="CF716" authorId="0" shapeId="0" xr:uid="{00000000-0006-0000-0800-0000E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 &amp; at 1H20</t>
        </r>
      </text>
    </comment>
    <comment ref="CG716" authorId="0" shapeId="0" xr:uid="{00000000-0006-0000-0800-0000E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on CAF elimination &amp; at 1H20</t>
        </r>
      </text>
    </comment>
    <comment ref="BZ787" authorId="23" shapeId="0" xr:uid="{11AC9681-3ACD-46C5-A370-0B1232650964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to be similar to BFS.</t>
      </text>
    </comment>
    <comment ref="CD787" authorId="24" shapeId="0" xr:uid="{6EACC280-1CCD-4B91-89FE-57EA94184257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to be similar to BFS.</t>
      </text>
    </comment>
    <comment ref="CH787" authorId="25" shapeId="0" xr:uid="{1894C3EE-FD40-4625-A0C5-0F2F408F10F6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to be similar to BFS.</t>
      </text>
    </comment>
    <comment ref="CL787" authorId="26" shapeId="0" xr:uid="{9CAADEAA-86CF-4B3D-A704-2736B5651C51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to be similar to BFS.</t>
      </text>
    </comment>
    <comment ref="CP787" authorId="27" shapeId="0" xr:uid="{7554213C-6510-4FB1-A508-AF374BDEA704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to be similar to BFS.</t>
      </text>
    </comment>
    <comment ref="CT787" authorId="28" shapeId="0" xr:uid="{297A8F8B-67C6-46C9-AF2E-1183F04B11C2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to be similar to BFS.</t>
      </text>
    </comment>
    <comment ref="CX787" authorId="29" shapeId="0" xr:uid="{DD11C98D-516E-4D1A-B763-ECC0E099F1BD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to be similar to BFS.</t>
      </text>
    </comment>
    <comment ref="DB787" authorId="30" shapeId="0" xr:uid="{962717BE-EC4E-43E8-8156-D287C3C6CD43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to be similar to BFS.</t>
      </text>
    </comment>
    <comment ref="DF787" authorId="31" shapeId="0" xr:uid="{254B96BA-2356-44F6-8092-F218B69E4902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to be similar to BFS.</t>
      </text>
    </comment>
    <comment ref="DJ787" authorId="32" shapeId="0" xr:uid="{89E328BC-1703-4817-BE30-3473B1A7D647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to be similar to BFS.</t>
      </text>
    </comment>
    <comment ref="DN787" authorId="33" shapeId="0" xr:uid="{DC742DAD-CCBB-4DCE-AA3E-9236A39DC96A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to be similar to BFS.</t>
      </text>
    </comment>
    <comment ref="DR787" authorId="34" shapeId="0" xr:uid="{4EBA0350-6E50-4E32-89A8-D1DFD156FA16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to be similar to BFS.</t>
      </text>
    </comment>
    <comment ref="CR826" authorId="2" shapeId="0" xr:uid="{8FC54D1E-F003-469B-8015-09132863DB96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add  MIC dispostion fees as these are corporate items and did not support comp outcomes for MAM</t>
        </r>
      </text>
    </comment>
    <comment ref="CO831" authorId="35" shapeId="0" xr:uid="{01E38546-5302-4CF4-A88F-4050BA67FBD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other performance fees in here.</t>
      </text>
    </comment>
    <comment ref="CR845" authorId="2" shapeId="0" xr:uid="{F5B85416-76BE-46C3-858C-F56203F0C96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add  MIC dispostion fees as these are corporate items and did not support comp outcomes for MAM</t>
        </r>
      </text>
    </comment>
    <comment ref="CK1137" authorId="3" shapeId="0" xr:uid="{00000000-0006-0000-0800-0000E8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2.7 Operating Expenses</t>
        </r>
      </text>
    </comment>
    <comment ref="CO1137" authorId="3" shapeId="0" xr:uid="{00000000-0006-0000-0800-0000E9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2.7 Operating Expenses</t>
        </r>
      </text>
    </comment>
    <comment ref="CS1137" authorId="3" shapeId="0" xr:uid="{00000000-0006-0000-0800-0000EA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2.7 Operating Expenses</t>
        </r>
      </text>
    </comment>
    <comment ref="CW1137" authorId="3" shapeId="0" xr:uid="{93AF83EF-E7EA-456A-9C79-EE006917DD41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2.7 Operating Expenses</t>
        </r>
      </text>
    </comment>
    <comment ref="CK1149" authorId="3" shapeId="0" xr:uid="{00000000-0006-0000-0800-0000EB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3.5 CGM md&amp;a pdf </t>
        </r>
      </text>
    </comment>
    <comment ref="CO1149" authorId="3" shapeId="0" xr:uid="{00000000-0006-0000-0800-0000EC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3.5 CGM md&amp;a pdf </t>
        </r>
      </text>
    </comment>
    <comment ref="CS1149" authorId="5" shapeId="0" xr:uid="{00000000-0006-0000-0800-0000ED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MD&amp;A 19/98</t>
        </r>
      </text>
    </comment>
    <comment ref="CK1156" authorId="3" shapeId="0" xr:uid="{00000000-0006-0000-0800-0000EE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2.6 Operating expenses</t>
        </r>
      </text>
    </comment>
    <comment ref="CO1156" authorId="3" shapeId="0" xr:uid="{00000000-0006-0000-0800-0000EF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2.6 Operating expenses</t>
        </r>
      </text>
    </comment>
    <comment ref="CK1157" authorId="3" shapeId="0" xr:uid="{00000000-0006-0000-0800-0000F0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2.6 Operating expenses</t>
        </r>
      </text>
    </comment>
    <comment ref="CO1157" authorId="3" shapeId="0" xr:uid="{00000000-0006-0000-0800-0000F1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2.6 Operating expenses</t>
        </r>
      </text>
    </comment>
    <comment ref="CK1158" authorId="3" shapeId="0" xr:uid="{00000000-0006-0000-0800-0000F2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2.6 Operating expenses</t>
        </r>
      </text>
    </comment>
    <comment ref="CO1158" authorId="3" shapeId="0" xr:uid="{00000000-0006-0000-0800-0000F3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2.6 Operating expenses</t>
        </r>
      </text>
    </comment>
    <comment ref="CK1159" authorId="3" shapeId="0" xr:uid="{00000000-0006-0000-0800-0000F4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amortisatoin , audit , other in 2.6 m&amp;da pdf</t>
        </r>
      </text>
    </comment>
    <comment ref="CO1159" authorId="3" shapeId="0" xr:uid="{00000000-0006-0000-0800-0000F5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amortisatoin , audit , other in 2.6 m&amp;da pdf</t>
        </r>
      </text>
    </comment>
    <comment ref="CK1161" authorId="3" shapeId="0" xr:uid="{00000000-0006-0000-0800-0000F6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1.1 Exec Summary</t>
        </r>
      </text>
    </comment>
    <comment ref="CO1161" authorId="3" shapeId="0" xr:uid="{00000000-0006-0000-0800-0000F7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1.1 Exec Summary</t>
        </r>
      </text>
    </comment>
    <comment ref="CN1177" authorId="3" shapeId="0" xr:uid="{00000000-0006-0000-0800-0000F8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Rounding error</t>
        </r>
      </text>
    </comment>
    <comment ref="CR1177" authorId="3" shapeId="0" xr:uid="{00000000-0006-0000-0800-0000F9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Rounding error</t>
        </r>
      </text>
    </comment>
    <comment ref="CV1177" authorId="3" shapeId="0" xr:uid="{831429C0-2086-49CC-A46D-EF4C543051B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Rounding error</t>
        </r>
      </text>
    </comment>
    <comment ref="CZ1177" authorId="3" shapeId="0" xr:uid="{A6CBD76D-C062-417D-AFE0-AAD7859D4FDA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Rounding error</t>
        </r>
      </text>
    </comment>
    <comment ref="DD1177" authorId="3" shapeId="0" xr:uid="{0F8CEEAA-B696-438B-B944-968178DC3FE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Rounding error</t>
        </r>
      </text>
    </comment>
    <comment ref="DH1177" authorId="3" shapeId="0" xr:uid="{616BEB3D-3C95-47B7-9FE2-9EEB4026AD57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Rounding error</t>
        </r>
      </text>
    </comment>
    <comment ref="BY1213" authorId="0" shapeId="0" xr:uid="{00000000-0006-0000-0800-0000F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effective tax rate 28.1%</t>
        </r>
      </text>
    </comment>
    <comment ref="DI1218" authorId="22" shapeId="0" xr:uid="{2232D2B0-E330-470B-9A8C-5045D2090266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expected to be broadly in line with 1H26</t>
        </r>
      </text>
    </comment>
    <comment ref="BX1233" authorId="2" shapeId="0" xr:uid="{00000000-0006-0000-0800-0000F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BY1233" authorId="2" shapeId="0" xr:uid="{00000000-0006-0000-0800-0000F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CB1233" authorId="2" shapeId="0" xr:uid="{00000000-0006-0000-0800-0000F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CC1233" authorId="2" shapeId="0" xr:uid="{00000000-0006-0000-0800-000000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CF1233" authorId="2" shapeId="0" xr:uid="{00000000-0006-0000-0800-000001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CG1233" authorId="2" shapeId="0" xr:uid="{00000000-0006-0000-0800-000002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 - ie GI - libarary - Exchange rates</t>
        </r>
      </text>
    </comment>
    <comment ref="CJ1233" authorId="2" shapeId="0" xr:uid="{00000000-0006-0000-0800-000003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CK1233" authorId="2" shapeId="0" xr:uid="{00000000-0006-0000-0800-000004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BY1238" authorId="2" shapeId="0" xr:uid="{00000000-0006-0000-0800-000006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CB1238" authorId="2" shapeId="0" xr:uid="{00000000-0006-0000-0800-000007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CC1238" authorId="2" shapeId="0" xr:uid="{00000000-0006-0000-0800-000008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CF1238" authorId="2" shapeId="0" xr:uid="{00000000-0006-0000-0800-000009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CG1238" authorId="2" shapeId="0" xr:uid="{00000000-0006-0000-0800-00000A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 - ie GI - libarary - Exchange rates</t>
        </r>
      </text>
    </comment>
    <comment ref="CJ1238" authorId="2" shapeId="0" xr:uid="{00000000-0006-0000-0800-00000B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CK1238" authorId="2" shapeId="0" xr:uid="{00000000-0006-0000-0800-00000C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external source</t>
        </r>
      </text>
    </comment>
    <comment ref="BX1247" authorId="2" shapeId="0" xr:uid="{00000000-0006-0000-0800-00000D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BY1247" authorId="2" shapeId="0" xr:uid="{00000000-0006-0000-0800-00000E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CB1247" authorId="2" shapeId="0" xr:uid="{00000000-0006-0000-0800-00000F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CC1247" authorId="2" shapeId="0" xr:uid="{00000000-0006-0000-0800-000010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CF1247" authorId="2" shapeId="0" xr:uid="{00000000-0006-0000-0800-000011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CG1247" authorId="2" shapeId="0" xr:uid="{00000000-0006-0000-0800-000012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CJ1247" authorId="2" shapeId="0" xr:uid="{00000000-0006-0000-0800-000013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CK1247" authorId="2" shapeId="0" xr:uid="{00000000-0006-0000-0800-000014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CN1247" authorId="2" shapeId="0" xr:uid="{00000000-0006-0000-0800-000015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CO1247" authorId="2" shapeId="0" xr:uid="{00000000-0006-0000-0800-000016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CR1247" authorId="2" shapeId="0" xr:uid="{00000000-0006-0000-0800-000017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BX1248" authorId="2" shapeId="0" xr:uid="{00000000-0006-0000-0800-000019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BY1248" authorId="2" shapeId="0" xr:uid="{00000000-0006-0000-0800-00001A01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spot from Banks - Econ Data</t>
        </r>
      </text>
    </comment>
    <comment ref="CC1248" authorId="0" shapeId="0" xr:uid="{00000000-0006-0000-0800-00001B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Updated as per spot on 29th mar 18</t>
        </r>
      </text>
    </comment>
    <comment ref="CG1248" authorId="0" shapeId="0" xr:uid="{00000000-0006-0000-0800-00001C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Updated as per spot on 29th mar 18</t>
        </r>
      </text>
    </comment>
    <comment ref="CK1248" authorId="0" shapeId="0" xr:uid="{00000000-0006-0000-0800-00001D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Updated as per spot on 29th mar 18</t>
        </r>
      </text>
    </comment>
    <comment ref="CO1248" authorId="0" shapeId="0" xr:uid="{00000000-0006-0000-0800-00001E01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Updated as per spot on 29th mar 18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O'Neill, Emilie (Research)</author>
    <author>Hau, Jenny (Research)</author>
    <author>Stadnik, Andrei (Research)</author>
    <author>Dunger, Matt (Research)</author>
    <author>Singh, Gaurav (Research)</author>
    <author>Tan, Raymond (Research)</author>
    <author>Wiles, Richard (Research)</author>
    <author>Pham, Edward (Research)</author>
    <author>tc={EA386C2D-BF15-4D61-B88D-D83F12252E44}</author>
    <author>tc={969E294F-4BC9-44B3-91E6-4DEDCDB85DC0}</author>
    <author>tc={DCF9113A-1466-4595-806D-2A7140AF576A}</author>
    <author>Zhou, Sally (Research)</author>
  </authors>
  <commentList>
    <comment ref="CB1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</t>
        </r>
      </text>
    </comment>
    <comment ref="CC14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</t>
        </r>
      </text>
    </comment>
    <comment ref="CB16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</t>
        </r>
      </text>
    </comment>
    <comment ref="CC16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</t>
        </r>
      </text>
    </comment>
    <comment ref="CB50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</t>
        </r>
      </text>
    </comment>
    <comment ref="CC50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</t>
        </r>
      </text>
    </comment>
    <comment ref="CB56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</t>
        </r>
      </text>
    </comment>
    <comment ref="CC56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</t>
        </r>
      </text>
    </comment>
    <comment ref="CO104" authorId="1" shapeId="0" xr:uid="{00000000-0006-0000-0A00-000009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Note 27 Contributed Equity in the Annual Report</t>
        </r>
      </text>
    </comment>
    <comment ref="CS104" authorId="1" shapeId="0" xr:uid="{00000000-0006-0000-0A00-00000A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Note 27 Contributed Equity in the Annual Report</t>
        </r>
      </text>
    </comment>
    <comment ref="CW104" authorId="1" shapeId="0" xr:uid="{642134DF-490E-4CDA-8ED4-902D44FEC0B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Note 27 Contributed Equity in the Annual Report</t>
        </r>
      </text>
    </comment>
    <comment ref="DA104" authorId="1" shapeId="0" xr:uid="{6B569BEB-A552-4D29-8DCC-E4D6F03E409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Note 27 Contributed Equity in the Annual Report</t>
        </r>
      </text>
    </comment>
    <comment ref="DE104" authorId="1" shapeId="0" xr:uid="{FC9A1991-0B38-475A-BC8A-0735D9210A58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Note 27 Contributed Equity in the Annual Report</t>
        </r>
      </text>
    </comment>
    <comment ref="BX105" authorId="2" shapeId="0" xr:uid="{00000000-0006-0000-0A00-00000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CB105" authorId="2" shapeId="0" xr:uid="{00000000-0006-0000-0A00-00000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CF105" authorId="2" shapeId="0" xr:uid="{00000000-0006-0000-0A00-00000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CJ105" authorId="2" shapeId="0" xr:uid="{00000000-0006-0000-0A00-00000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BX106" authorId="2" shapeId="0" xr:uid="{00000000-0006-0000-0A00-00000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CB106" authorId="2" shapeId="0" xr:uid="{00000000-0006-0000-0A00-00001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CF106" authorId="2" shapeId="0" xr:uid="{00000000-0006-0000-0A00-00001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CJ106" authorId="2" shapeId="0" xr:uid="{00000000-0006-0000-0A00-00001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BX110" authorId="2" shapeId="0" xr:uid="{00000000-0006-0000-0A00-00001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17</t>
        </r>
      </text>
    </comment>
    <comment ref="CB110" authorId="2" shapeId="0" xr:uid="{00000000-0006-0000-0A00-00001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17</t>
        </r>
      </text>
    </comment>
    <comment ref="CF110" authorId="0" shapeId="0" xr:uid="{00000000-0006-0000-0A00-000015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CJ110" authorId="0" shapeId="0" xr:uid="{00000000-0006-0000-0A00-00001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CF118" authorId="0" shapeId="0" xr:uid="{00000000-0006-0000-0A00-00001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Called FVOCI reserve</t>
        </r>
      </text>
    </comment>
    <comment ref="CJ118" authorId="0" shapeId="0" xr:uid="{00000000-0006-0000-0A00-00001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Called FVOCI reserve</t>
        </r>
      </text>
    </comment>
    <comment ref="CN118" authorId="0" shapeId="0" xr:uid="{00000000-0006-0000-0A00-00001B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Called FVOCI reserve</t>
        </r>
      </text>
    </comment>
    <comment ref="CR118" authorId="0" shapeId="0" xr:uid="{00000000-0006-0000-0A00-00001C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Called FVOCI reserve</t>
        </r>
      </text>
    </comment>
    <comment ref="CW118" authorId="0" shapeId="0" xr:uid="{99ED6BEB-34C5-4214-911D-0FBCF683195C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Called FVOCI reserve</t>
        </r>
      </text>
    </comment>
    <comment ref="DA118" authorId="0" shapeId="0" xr:uid="{6BEF467F-F1F7-4FC4-9218-05C421BA539A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Called FVOCI reserve</t>
        </r>
      </text>
    </comment>
    <comment ref="DE118" authorId="0" shapeId="0" xr:uid="{D930FA03-326A-491F-BB41-C6AAABF962F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Called FVOCI reserve</t>
        </r>
      </text>
    </comment>
    <comment ref="BT126" authorId="3" shapeId="0" xr:uid="{00000000-0006-0000-0A00-00001D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from p42 of the MD&amp;A</t>
        </r>
      </text>
    </comment>
    <comment ref="BX126" authorId="0" shapeId="0" xr:uid="{00000000-0006-0000-0A00-00001E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Y126" authorId="0" shapeId="0" xr:uid="{00000000-0006-0000-0A00-00001F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B126" authorId="3" shapeId="0" xr:uid="{00000000-0006-0000-0A00-000020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from p42 of the MD&amp;A</t>
        </r>
      </text>
    </comment>
    <comment ref="CG126" authorId="2" shapeId="0" xr:uid="{00000000-0006-0000-0A00-00002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47 of MDA fy19</t>
        </r>
      </text>
    </comment>
    <comment ref="CK126" authorId="2" shapeId="0" xr:uid="{00000000-0006-0000-0A00-00002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47 of MDA fy19</t>
        </r>
      </text>
    </comment>
    <comment ref="CN126" authorId="2" shapeId="0" xr:uid="{00000000-0006-0000-0A00-00002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O126" authorId="2" shapeId="0" xr:uid="{00000000-0006-0000-0A00-00002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S126" authorId="2" shapeId="0" xr:uid="{00000000-0006-0000-0A00-00002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W126" authorId="2" shapeId="0" xr:uid="{CE0D606B-B1D3-44BC-A176-EC79AE38FD7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DA126" authorId="2" shapeId="0" xr:uid="{AA22C322-4D6E-40C2-A3DF-501F8A7D792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DE126" authorId="2" shapeId="0" xr:uid="{EFB7F8DD-D2EC-4C97-920A-FF9665398B89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BT128" authorId="3" shapeId="0" xr:uid="{00000000-0006-0000-0A00-000026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from p42 of the MD&amp;A</t>
        </r>
      </text>
    </comment>
    <comment ref="BX128" authorId="0" shapeId="0" xr:uid="{00000000-0006-0000-0A00-00002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Y128" authorId="0" shapeId="0" xr:uid="{00000000-0006-0000-0A00-00002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N128" authorId="2" shapeId="0" xr:uid="{00000000-0006-0000-0A00-00002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O128" authorId="2" shapeId="0" xr:uid="{00000000-0006-0000-0A00-00002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S128" authorId="2" shapeId="0" xr:uid="{00000000-0006-0000-0A00-00002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W128" authorId="2" shapeId="0" xr:uid="{CDE0D8D2-B477-462B-9FCF-C0A0452A370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DA128" authorId="2" shapeId="0" xr:uid="{BDFA62B4-E409-446A-A58C-A02CCE29B9B5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DE128" authorId="2" shapeId="0" xr:uid="{1CE09842-765F-4588-BAA3-9B883E2759A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BT130" authorId="3" shapeId="0" xr:uid="{00000000-0006-0000-0A00-00002C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from p42 of the MD&amp;A</t>
        </r>
      </text>
    </comment>
    <comment ref="BX130" authorId="3" shapeId="0" xr:uid="{00000000-0006-0000-0A00-00002D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from p42 of the MD&amp;A</t>
        </r>
      </text>
    </comment>
    <comment ref="CB130" authorId="3" shapeId="0" xr:uid="{00000000-0006-0000-0A00-00002E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from p42 of the MD&amp;A</t>
        </r>
      </text>
    </comment>
    <comment ref="CG130" authorId="2" shapeId="0" xr:uid="{00000000-0006-0000-0A00-00002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47 of MDA fy19</t>
        </r>
      </text>
    </comment>
    <comment ref="CK130" authorId="2" shapeId="0" xr:uid="{00000000-0006-0000-0A00-00003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47 of MDA fy19</t>
        </r>
      </text>
    </comment>
    <comment ref="CN130" authorId="2" shapeId="0" xr:uid="{00000000-0006-0000-0A00-00003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O130" authorId="2" shapeId="0" xr:uid="{00000000-0006-0000-0A00-00003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S130" authorId="2" shapeId="0" xr:uid="{00000000-0006-0000-0A00-00003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W130" authorId="2" shapeId="0" xr:uid="{F2F0E5B9-2A0B-470A-AE12-EAE9ACBBFF7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DA130" authorId="2" shapeId="0" xr:uid="{9418D203-4BFA-4291-B662-4A790DF2AEAE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DE130" authorId="2" shapeId="0" xr:uid="{B12C11AF-6169-4826-A87F-2E93A23559C9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BX143" authorId="2" shapeId="0" xr:uid="{00000000-0006-0000-0A00-00003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after loan in MDA</t>
        </r>
      </text>
    </comment>
    <comment ref="CB143" authorId="2" shapeId="0" xr:uid="{00000000-0006-0000-0A00-00003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after loan in MDA</t>
        </r>
      </text>
    </comment>
    <comment ref="CF143" authorId="2" shapeId="0" xr:uid="{00000000-0006-0000-0A00-00003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after loan in MDA</t>
        </r>
      </text>
    </comment>
    <comment ref="CJ143" authorId="2" shapeId="0" xr:uid="{00000000-0006-0000-0A00-00003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after loan in MDA</t>
        </r>
      </text>
    </comment>
    <comment ref="CN143" authorId="2" shapeId="0" xr:uid="{00000000-0006-0000-0A00-00003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after loan in MDA</t>
        </r>
      </text>
    </comment>
    <comment ref="CR143" authorId="2" shapeId="0" xr:uid="{00000000-0006-0000-0A00-00003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after loan in MDA</t>
        </r>
      </text>
    </comment>
    <comment ref="CV143" authorId="2" shapeId="0" xr:uid="{8A0E116E-B577-4056-9B71-83499215FE2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after loan in MDA</t>
        </r>
      </text>
    </comment>
    <comment ref="CZ143" authorId="2" shapeId="0" xr:uid="{8A45600C-2C55-46CD-A698-CD0621B85D8C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after loan in MDA</t>
        </r>
      </text>
    </comment>
    <comment ref="DD143" authorId="2" shapeId="0" xr:uid="{6FD70A42-2DB5-4B7C-85E8-AFDFF4FC92B7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after loan in MDA</t>
        </r>
      </text>
    </comment>
    <comment ref="DH143" authorId="2" shapeId="0" xr:uid="{679B7105-51CD-4BAF-B7AC-D013E08BF1F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after loan in MDA</t>
        </r>
      </text>
    </comment>
    <comment ref="BX148" authorId="2" shapeId="0" xr:uid="{00000000-0006-0000-0A00-00003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new</t>
        </r>
      </text>
    </comment>
    <comment ref="BY148" authorId="2" shapeId="0" xr:uid="{00000000-0006-0000-0A00-00003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new</t>
        </r>
      </text>
    </comment>
    <comment ref="CB160" authorId="2" shapeId="0" xr:uid="{00000000-0006-0000-0A00-00003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 D &amp; A has more detail than preso on this</t>
        </r>
      </text>
    </comment>
    <comment ref="CF160" authorId="2" shapeId="0" xr:uid="{00000000-0006-0000-0A00-00003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 D &amp; A has more detail than preso on this</t>
        </r>
      </text>
    </comment>
    <comment ref="CJ160" authorId="2" shapeId="0" xr:uid="{00000000-0006-0000-0A00-00003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 D &amp; A has more detail than preso on this</t>
        </r>
      </text>
    </comment>
    <comment ref="CN160" authorId="2" shapeId="0" xr:uid="{00000000-0006-0000-0A00-00003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 D &amp; A has more detail than preso on this</t>
        </r>
      </text>
    </comment>
    <comment ref="CR160" authorId="4" shapeId="0" xr:uid="{00000000-0006-0000-0A00-000040000000}">
      <text>
        <r>
          <rPr>
            <b/>
            <sz val="9"/>
            <color indexed="81"/>
            <rFont val="Tahoma"/>
            <family val="2"/>
          </rPr>
          <t>Singh, Gaurav (Research):</t>
        </r>
        <r>
          <rPr>
            <sz val="9"/>
            <color indexed="81"/>
            <rFont val="Tahoma"/>
            <family val="2"/>
          </rPr>
          <t xml:space="preserve">
Equity investments by category (MDA)</t>
        </r>
      </text>
    </comment>
    <comment ref="CV160" authorId="4" shapeId="0" xr:uid="{DEA112F8-AD2F-4590-8C12-589074782834}">
      <text>
        <r>
          <rPr>
            <b/>
            <sz val="9"/>
            <color indexed="81"/>
            <rFont val="Tahoma"/>
            <family val="2"/>
          </rPr>
          <t>Singh, Gaurav (Research):</t>
        </r>
        <r>
          <rPr>
            <sz val="9"/>
            <color indexed="81"/>
            <rFont val="Tahoma"/>
            <family val="2"/>
          </rPr>
          <t xml:space="preserve">
Equity investments by category (MDA)</t>
        </r>
      </text>
    </comment>
    <comment ref="CZ160" authorId="4" shapeId="0" xr:uid="{F255C8BA-EC2A-459F-AB2F-773BE5176C84}">
      <text>
        <r>
          <rPr>
            <b/>
            <sz val="9"/>
            <color indexed="81"/>
            <rFont val="Tahoma"/>
            <family val="2"/>
          </rPr>
          <t>Singh, Gaurav (Research):</t>
        </r>
        <r>
          <rPr>
            <sz val="9"/>
            <color indexed="81"/>
            <rFont val="Tahoma"/>
            <family val="2"/>
          </rPr>
          <t xml:space="preserve">
Equity investments by category (MDA)</t>
        </r>
      </text>
    </comment>
    <comment ref="DD160" authorId="4" shapeId="0" xr:uid="{9FFEA740-3246-4238-AE0C-DE6A20B96362}">
      <text>
        <r>
          <rPr>
            <b/>
            <sz val="9"/>
            <color indexed="81"/>
            <rFont val="Tahoma"/>
            <family val="2"/>
          </rPr>
          <t>Singh, Gaurav (Research):</t>
        </r>
        <r>
          <rPr>
            <sz val="9"/>
            <color indexed="81"/>
            <rFont val="Tahoma"/>
            <family val="2"/>
          </rPr>
          <t xml:space="preserve">
Equity investments by category (MDA)</t>
        </r>
      </text>
    </comment>
    <comment ref="BX164" authorId="0" shapeId="0" xr:uid="{00000000-0006-0000-0A00-00004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FY17</t>
        </r>
      </text>
    </comment>
    <comment ref="BY164" authorId="0" shapeId="0" xr:uid="{00000000-0006-0000-0A00-00004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BX165" authorId="0" shapeId="0" xr:uid="{00000000-0006-0000-0A00-00004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O166" authorId="2" shapeId="0" xr:uid="{00000000-0006-0000-0A00-00004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resteaed at 1H22</t>
        </r>
      </text>
    </comment>
    <comment ref="CS166" authorId="2" shapeId="0" xr:uid="{00000000-0006-0000-0A00-00004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resteaed at 1H22</t>
        </r>
      </text>
    </comment>
    <comment ref="CW166" authorId="2" shapeId="0" xr:uid="{3D819E00-870B-4AC5-95A1-B745ADBAB58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resteaed at 1H22</t>
        </r>
      </text>
    </comment>
    <comment ref="DA166" authorId="2" shapeId="0" xr:uid="{9CD383CF-0C9D-438B-AA13-2449390A9C4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resteaed at 1H22</t>
        </r>
      </text>
    </comment>
    <comment ref="BY167" authorId="0" shapeId="0" xr:uid="{00000000-0006-0000-0A00-00004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B167" authorId="0" shapeId="0" xr:uid="{00000000-0006-0000-0A00-00004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2H18</t>
        </r>
      </text>
    </comment>
    <comment ref="CC167" authorId="0" shapeId="0" xr:uid="{00000000-0006-0000-0A00-00004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+ green energy</t>
        </r>
      </text>
    </comment>
    <comment ref="CG167" authorId="0" shapeId="0" xr:uid="{00000000-0006-0000-0A00-00004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+ green energy</t>
        </r>
      </text>
    </comment>
    <comment ref="AP171" authorId="5" shapeId="0" xr:uid="{00000000-0006-0000-0A00-00004A000000}">
      <text>
        <r>
          <rPr>
            <b/>
            <sz val="9"/>
            <color indexed="81"/>
            <rFont val="Tahoma"/>
            <family val="2"/>
          </rPr>
          <t>Tan, Raymond (Research):</t>
        </r>
        <r>
          <rPr>
            <sz val="9"/>
            <color indexed="81"/>
            <rFont val="Tahoma"/>
            <family val="2"/>
          </rPr>
          <t xml:space="preserve">
Held for sale investments of 79
(grouped into the above in future periods)</t>
        </r>
      </text>
    </comment>
    <comment ref="AR171" authorId="5" shapeId="0" xr:uid="{00000000-0006-0000-0A00-00004B000000}">
      <text>
        <r>
          <rPr>
            <b/>
            <sz val="9"/>
            <color indexed="81"/>
            <rFont val="Tahoma"/>
            <family val="2"/>
          </rPr>
          <t>Tan, Raymond (Research):</t>
        </r>
        <r>
          <rPr>
            <sz val="9"/>
            <color indexed="81"/>
            <rFont val="Tahoma"/>
            <family val="2"/>
          </rPr>
          <t xml:space="preserve">
Held for sale investments of 79
(grouped into the above in future periods)</t>
        </r>
      </text>
    </comment>
    <comment ref="AS171" authorId="5" shapeId="0" xr:uid="{00000000-0006-0000-0A00-00004C000000}">
      <text>
        <r>
          <rPr>
            <b/>
            <sz val="9"/>
            <color indexed="81"/>
            <rFont val="Tahoma"/>
            <family val="2"/>
          </rPr>
          <t>Tan, Raymond (Research):</t>
        </r>
        <r>
          <rPr>
            <sz val="9"/>
            <color indexed="81"/>
            <rFont val="Tahoma"/>
            <family val="2"/>
          </rPr>
          <t xml:space="preserve">
Held for sale investments of 79
(grouped into the above in future periods)</t>
        </r>
      </text>
    </comment>
    <comment ref="AV171" authorId="5" shapeId="0" xr:uid="{00000000-0006-0000-0A00-00004D000000}">
      <text>
        <r>
          <rPr>
            <b/>
            <sz val="9"/>
            <color indexed="81"/>
            <rFont val="Tahoma"/>
            <family val="2"/>
          </rPr>
          <t>Tan, Raymond (Research):</t>
        </r>
        <r>
          <rPr>
            <sz val="9"/>
            <color indexed="81"/>
            <rFont val="Tahoma"/>
            <family val="2"/>
          </rPr>
          <t xml:space="preserve">
Held for sale investments of 79
(grouped into the above in future periods)</t>
        </r>
      </text>
    </comment>
    <comment ref="AW171" authorId="5" shapeId="0" xr:uid="{00000000-0006-0000-0A00-00004E000000}">
      <text>
        <r>
          <rPr>
            <b/>
            <sz val="9"/>
            <color indexed="81"/>
            <rFont val="Tahoma"/>
            <family val="2"/>
          </rPr>
          <t>Tan, Raymond (Research):</t>
        </r>
        <r>
          <rPr>
            <sz val="9"/>
            <color indexed="81"/>
            <rFont val="Tahoma"/>
            <family val="2"/>
          </rPr>
          <t xml:space="preserve">
Held for sale investments of 79
(grouped into the above in future periods)</t>
        </r>
      </text>
    </comment>
    <comment ref="AZ171" authorId="5" shapeId="0" xr:uid="{00000000-0006-0000-0A00-00004F000000}">
      <text>
        <r>
          <rPr>
            <b/>
            <sz val="9"/>
            <color indexed="81"/>
            <rFont val="Tahoma"/>
            <family val="2"/>
          </rPr>
          <t>Tan, Raymond (Research):</t>
        </r>
        <r>
          <rPr>
            <sz val="9"/>
            <color indexed="81"/>
            <rFont val="Tahoma"/>
            <family val="2"/>
          </rPr>
          <t xml:space="preserve">
Held for sale investments of 79
(grouped into the above in future periods)</t>
        </r>
      </text>
    </comment>
    <comment ref="BA171" authorId="5" shapeId="0" xr:uid="{00000000-0006-0000-0A00-000050000000}">
      <text>
        <r>
          <rPr>
            <b/>
            <sz val="9"/>
            <color indexed="81"/>
            <rFont val="Tahoma"/>
            <family val="2"/>
          </rPr>
          <t>Tan, Raymond (Research):</t>
        </r>
        <r>
          <rPr>
            <sz val="9"/>
            <color indexed="81"/>
            <rFont val="Tahoma"/>
            <family val="2"/>
          </rPr>
          <t xml:space="preserve">
Held for sale investments of 79
(grouped into the above in future periods)</t>
        </r>
      </text>
    </comment>
    <comment ref="BT225" authorId="3" shapeId="0" xr:uid="{00000000-0006-0000-0A00-000051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p63 of presentation</t>
        </r>
      </text>
    </comment>
    <comment ref="BU225" authorId="3" shapeId="0" xr:uid="{00000000-0006-0000-0A00-000052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p68 of presentation</t>
        </r>
      </text>
    </comment>
    <comment ref="BX225" authorId="3" shapeId="0" xr:uid="{00000000-0006-0000-0A00-000053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p69 of presentation - non bank capital</t>
        </r>
      </text>
    </comment>
    <comment ref="CB225" authorId="3" shapeId="0" xr:uid="{00000000-0006-0000-0A00-000054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p69 of presentation - non bank capital</t>
        </r>
      </text>
    </comment>
    <comment ref="CC225" authorId="2" shapeId="0" xr:uid="{00000000-0006-0000-0A00-00005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slide 79 on non bank risk weights and capital</t>
        </r>
      </text>
    </comment>
    <comment ref="CF225" authorId="0" shapeId="0" xr:uid="{00000000-0006-0000-0A00-00005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Presentation in regulatory capital - non-bank group contribution slide 78</t>
        </r>
      </text>
    </comment>
    <comment ref="CG225" authorId="0" shapeId="0" xr:uid="{00000000-0006-0000-0A00-000057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Presentation in regulatory capital - non-bank group contribution slide 80 of Fy19 preso</t>
        </r>
      </text>
    </comment>
    <comment ref="CJ225" authorId="0" shapeId="0" xr:uid="{00000000-0006-0000-0A00-000058000000}">
      <text>
        <r>
          <rPr>
            <b/>
            <sz val="9"/>
            <color indexed="81"/>
            <rFont val="Tahoma"/>
            <family val="2"/>
          </rPr>
          <t>(Research):</t>
        </r>
        <r>
          <rPr>
            <sz val="9"/>
            <color indexed="81"/>
            <rFont val="Tahoma"/>
            <family val="2"/>
          </rPr>
          <t xml:space="preserve">
Presentation in regulatory capital - non-bank group contribution slide 68 of FY19 - ie </t>
        </r>
      </text>
    </comment>
    <comment ref="CK225" authorId="0" shapeId="0" xr:uid="{00000000-0006-0000-0A00-00005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Presentation in regulatory capital - non-bank group contribution slide 80 of Fy19 preso</t>
        </r>
      </text>
    </comment>
    <comment ref="CN225" authorId="0" shapeId="0" xr:uid="{00000000-0006-0000-0A00-00005A000000}">
      <text>
        <r>
          <rPr>
            <b/>
            <sz val="9"/>
            <color indexed="81"/>
            <rFont val="Tahoma"/>
            <family val="2"/>
          </rPr>
          <t>(Research):</t>
        </r>
        <r>
          <rPr>
            <sz val="9"/>
            <color indexed="81"/>
            <rFont val="Tahoma"/>
            <family val="2"/>
          </rPr>
          <t xml:space="preserve">
Presentation in regulatory capital - non-bank group contribution slide 68 of FY19 - ie </t>
        </r>
      </text>
    </comment>
    <comment ref="CO225" authorId="1" shapeId="0" xr:uid="{00000000-0006-0000-0A00-00005B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Non-Bank Group contribution
Co-investment in Macquarie-managed funds and other equity investments</t>
        </r>
      </text>
    </comment>
    <comment ref="CR225" authorId="0" shapeId="0" xr:uid="{00000000-0006-0000-0A00-00005C000000}">
      <text>
        <r>
          <rPr>
            <b/>
            <sz val="9"/>
            <color indexed="81"/>
            <rFont val="Tahoma"/>
            <family val="2"/>
          </rPr>
          <t>(Research):</t>
        </r>
        <r>
          <rPr>
            <sz val="9"/>
            <color indexed="81"/>
            <rFont val="Tahoma"/>
            <family val="2"/>
          </rPr>
          <t xml:space="preserve">
Presentation in regulatory capital - non-bank group contribution slide 68 of FY19 - ie </t>
        </r>
      </text>
    </comment>
    <comment ref="CS225" authorId="1" shapeId="0" xr:uid="{00000000-0006-0000-0A00-00005D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MDA - Non-Bank Group contribution
Co-investment in Macquarie-managed funds and other equity investments</t>
        </r>
      </text>
    </comment>
    <comment ref="CW225" authorId="1" shapeId="0" xr:uid="{7C95375A-1219-44C8-874C-EFC375625E5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MDA - Non-Bank Group contribution
Co-investment in Macquarie-managed funds and other equity investments</t>
        </r>
      </text>
    </comment>
    <comment ref="DA225" authorId="1" shapeId="0" xr:uid="{8364FCB4-B38B-41CA-B4B1-8CB810AE4482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MDA - Non-Bank Group contribution
Co-investment in Macquarie-managed funds and other equity investments</t>
        </r>
      </text>
    </comment>
    <comment ref="DD225" authorId="2" shapeId="0" xr:uid="{EE50EA8C-7E3B-415F-B027-954698C19A55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78 of 6.3 in MDA 1H25</t>
        </r>
      </text>
    </comment>
    <comment ref="DE225" authorId="1" shapeId="0" xr:uid="{36F59DA7-5C43-4D80-B943-0DB13E8C5BB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MDA - Non-Bank Group contribution
Co-investment in Macquarie-managed funds and other equity investments</t>
        </r>
      </text>
    </comment>
    <comment ref="DH225" authorId="1" shapeId="0" xr:uid="{CC1A3750-71EA-48A6-A1CE-B8757BEA03DC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MDA - Non-Bank Group contribution
Co-investment in Macquarie-managed funds and other equity investments</t>
        </r>
      </text>
    </comment>
    <comment ref="CJ283" authorId="6" shapeId="0" xr:uid="{00000000-0006-0000-0A00-000060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A$991m placement (net of transaction costs) and A$679m SPP</t>
        </r>
      </text>
    </comment>
    <comment ref="CP283" authorId="2" shapeId="0" xr:uid="{00000000-0006-0000-0A00-00006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on contributed equity in financial statements</t>
        </r>
      </text>
    </comment>
    <comment ref="CT283" authorId="2" shapeId="0" xr:uid="{00000000-0006-0000-0A00-00006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CX283" authorId="2" shapeId="0" xr:uid="{43E3F025-8525-4157-9CCF-B2AE2802534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DB283" authorId="2" shapeId="0" xr:uid="{F2923532-5640-4F05-8831-622D55DFDE8B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DF283" authorId="2" shapeId="0" xr:uid="{A3899ACE-453E-4CF3-8836-6CDFFE8534E6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BR285" authorId="7" shapeId="0" xr:uid="{00000000-0006-0000-0A00-000063000000}">
      <text>
        <r>
          <rPr>
            <b/>
            <sz val="9"/>
            <color indexed="81"/>
            <rFont val="Tahoma"/>
            <family val="2"/>
          </rPr>
          <t>Pham, Edward (Research):</t>
        </r>
        <r>
          <rPr>
            <sz val="9"/>
            <color indexed="81"/>
            <rFont val="Tahoma"/>
            <family val="2"/>
          </rPr>
          <t xml:space="preserve">
MDA 4.0</t>
        </r>
      </text>
    </comment>
    <comment ref="CP285" authorId="2" shapeId="0" xr:uid="{00000000-0006-0000-0A00-00006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on contributed equity in financial statements</t>
        </r>
      </text>
    </comment>
    <comment ref="CJ291" authorId="6" shapeId="0" xr:uid="{00000000-0006-0000-0A00-000065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Placement and SPP … refer 1H20 financials statements p53</t>
        </r>
      </text>
    </comment>
    <comment ref="CN291" authorId="2" shapeId="0" xr:uid="{00000000-0006-0000-0A00-00006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on contributed equity in financial statements</t>
        </r>
      </text>
    </comment>
    <comment ref="CP291" authorId="2" shapeId="0" xr:uid="{00000000-0006-0000-0A00-00006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on contributed equity in financial statements</t>
        </r>
      </text>
    </comment>
    <comment ref="CR291" authorId="2" shapeId="0" xr:uid="{00000000-0006-0000-0A00-00006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on contributed equity in financial statements</t>
        </r>
      </text>
    </comment>
    <comment ref="CT291" authorId="2" shapeId="0" xr:uid="{00000000-0006-0000-0A00-00006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CV291" authorId="2" shapeId="0" xr:uid="{880DBC9E-0BB3-4190-BAAC-098F0EAE268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on contributed equity in financial statements</t>
        </r>
      </text>
    </comment>
    <comment ref="CX291" authorId="2" shapeId="0" xr:uid="{4031206C-BB11-4A8B-B738-54C1435B935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CZ291" authorId="2" shapeId="0" xr:uid="{61C4EACB-591C-4B68-B869-465586BDE066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on contributed equity in financial statements</t>
        </r>
      </text>
    </comment>
    <comment ref="DB291" authorId="2" shapeId="0" xr:uid="{57365684-0491-438D-9FF8-7836D60F50F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DD291" authorId="2" shapeId="0" xr:uid="{6E8E2233-F537-4BD3-8A48-C9585A159F1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on contributed equity in financial statements</t>
        </r>
      </text>
    </comment>
    <comment ref="DF291" authorId="2" shapeId="0" xr:uid="{C599B993-AFD3-4564-878C-3711658DB9A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CP293" authorId="2" shapeId="0" xr:uid="{00000000-0006-0000-0A00-00006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 on contributed equity in financial statements</t>
        </r>
      </text>
    </comment>
    <comment ref="CT293" authorId="2" shapeId="0" xr:uid="{00000000-0006-0000-0A00-00006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CX293" authorId="2" shapeId="0" xr:uid="{C73A1640-6525-4CD6-8342-C0E9E55D640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DB293" authorId="2" shapeId="0" xr:uid="{9E0844AD-B3B5-4973-9515-BAA222A38D5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DF293" authorId="2" shapeId="0" xr:uid="{435A8131-1999-4840-BAE5-8EE2B9589027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BX295" authorId="2" shapeId="0" xr:uid="{00000000-0006-0000-0A00-00006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CB295" authorId="2" shapeId="0" xr:uid="{00000000-0006-0000-0A00-00006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CF295" authorId="2" shapeId="0" xr:uid="{00000000-0006-0000-0A00-00006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CJ295" authorId="2" shapeId="0" xr:uid="{00000000-0006-0000-0A00-00006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CN295" authorId="2" shapeId="0" xr:uid="{00000000-0006-0000-0A00-00007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16</t>
        </r>
      </text>
    </comment>
    <comment ref="BX297" authorId="2" shapeId="0" xr:uid="{00000000-0006-0000-0A00-00007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B297" authorId="2" shapeId="0" xr:uid="{00000000-0006-0000-0A00-00007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F297" authorId="2" shapeId="0" xr:uid="{00000000-0006-0000-0A00-00007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H297" authorId="2" shapeId="0" xr:uid="{00000000-0006-0000-0A00-00007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J297" authorId="2" shapeId="0" xr:uid="{00000000-0006-0000-0A00-00007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L297" authorId="2" shapeId="0" xr:uid="{00000000-0006-0000-0A00-00007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N297" authorId="2" shapeId="0" xr:uid="{00000000-0006-0000-0A00-00007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P297" authorId="2" shapeId="0" xr:uid="{00000000-0006-0000-0A00-00007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R297" authorId="2" shapeId="0" xr:uid="{00000000-0006-0000-0A00-00007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T297" authorId="2" shapeId="0" xr:uid="{00000000-0006-0000-0A00-00007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V297" authorId="2" shapeId="0" xr:uid="{2EB4A000-BA98-401A-8811-BAC47D9F202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X297" authorId="2" shapeId="0" xr:uid="{099DB963-57AB-4A9D-8287-14573D99527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Z297" authorId="2" shapeId="0" xr:uid="{27300EB5-BF31-4A38-8137-67646290B94C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DB297" authorId="2" shapeId="0" xr:uid="{86B0492C-F895-4DF9-A5FA-4D5AFA07554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DD297" authorId="2" shapeId="0" xr:uid="{5CBC60F1-374F-4286-86D5-9E79C9DA3BC1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DF297" authorId="2" shapeId="0" xr:uid="{A7FCD30E-0657-432C-9C8F-0CF87FAB12A3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DH297" authorId="2" shapeId="0" xr:uid="{93D2F2D5-5063-4226-AA2F-FD15D684637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note 6 on EPS</t>
        </r>
      </text>
    </comment>
    <comment ref="CS302" authorId="2" shapeId="0" xr:uid="{00000000-0006-0000-0A00-00007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CW302" authorId="2" shapeId="0" xr:uid="{A6280929-6697-4AA9-AC4C-0AE41D4E9955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DA302" authorId="2" shapeId="0" xr:uid="{6CFBC199-D588-4814-85A3-555A8E542A92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DE302" authorId="2" shapeId="0" xr:uid="{E64EF8BC-016D-4DFD-B14A-014CEE6829B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CN313" authorId="1" shapeId="0" xr:uid="{00000000-0006-0000-0A00-00007C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slide 47 of FY21 preso</t>
        </r>
      </text>
    </comment>
    <comment ref="CR313" authorId="2" shapeId="0" xr:uid="{00000000-0006-0000-0A00-00007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CS313" authorId="2" shapeId="0" xr:uid="{00000000-0006-0000-0A00-00007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CV313" authorId="2" shapeId="0" xr:uid="{6741EE94-80B9-4A3C-BF5A-95C92AF24EEC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CW313" authorId="2" shapeId="0" xr:uid="{44E50B17-0C1B-4983-8097-415C001EC4F7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CZ313" authorId="8" shapeId="0" xr:uid="{EA386C2D-BF15-4D61-B88D-D83F12252E44}">
      <text>
        <t>[Threaded comment]
Your version of Excel allows you to read this threaded comment; however, any edits to it will get removed if the file is opened in a newer version of Excel. Learn more: https://go.microsoft.com/fwlink/?linkid=870924
Comment:
    No DRP this time. 
So this is share price at reporting date.</t>
      </text>
    </comment>
    <comment ref="DA313" authorId="2" shapeId="0" xr:uid="{64E8F24D-4178-416E-9FE4-F46D335FE7FA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DD313" authorId="9" shapeId="0" xr:uid="{969E294F-4BC9-44B3-91E6-4DEDCDB85D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 DRP this time. 
So this is share price at reporting date.</t>
      </text>
    </comment>
    <comment ref="DE313" authorId="2" shapeId="0" xr:uid="{5992DDD8-B32E-4E94-B0B2-0E4F3A43497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page 195 of annual report = contributed equity note</t>
        </r>
      </text>
    </comment>
    <comment ref="DH313" authorId="10" shapeId="0" xr:uid="{DCF9113A-1466-4595-806D-2A7140AF576A}">
      <text>
        <t>[Threaded comment]
Your version of Excel allows you to read this threaded comment; however, any edits to it will get removed if the file is opened in a newer version of Excel. Learn more: https://go.microsoft.com/fwlink/?linkid=870924
Comment:
    No DRP this time. 
So this is share price at reporting date.</t>
      </text>
    </comment>
    <comment ref="DI315" authorId="2" shapeId="0" xr:uid="{E0613F57-37B0-44CF-838B-26E648DBAB7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assume on market DRP</t>
        </r>
      </text>
    </comment>
    <comment ref="DL315" authorId="2" shapeId="0" xr:uid="{E4C15549-9D5B-4046-93F5-1B6014E3C5DE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assume on market DRP</t>
        </r>
      </text>
    </comment>
    <comment ref="DM315" authorId="2" shapeId="0" xr:uid="{C14A45FD-8337-4D4E-8463-FF09FA156B7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assume on market DRP</t>
        </r>
      </text>
    </comment>
    <comment ref="DP315" authorId="2" shapeId="0" xr:uid="{3A300D4F-F5D3-4247-95E3-E0874AB43C1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assume on market DRP</t>
        </r>
      </text>
    </comment>
    <comment ref="DQ315" authorId="2" shapeId="0" xr:uid="{B2CA412F-2298-48A0-8C84-60495275F3B6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assume on market DRP</t>
        </r>
      </text>
    </comment>
    <comment ref="CR344" authorId="2" shapeId="0" xr:uid="{00000000-0006-0000-0A00-00007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gone but not forgotten - exchanged for regular stocjk in 1H22</t>
        </r>
      </text>
    </comment>
    <comment ref="CV344" authorId="2" shapeId="0" xr:uid="{718C3064-9EED-44ED-B5AF-996E7CBFA74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gone but not forgotten - exchanged for regular stocjk in 1H22</t>
        </r>
      </text>
    </comment>
    <comment ref="CZ344" authorId="2" shapeId="0" xr:uid="{97E09D6A-7E98-423B-AD08-AB6EED93F3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gone but not forgotten - exchanged for regular stocjk in 1H22</t>
        </r>
      </text>
    </comment>
    <comment ref="DD344" authorId="2" shapeId="0" xr:uid="{1CCAD04B-8636-4CBF-B452-B2BC9F5880F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gone but not forgotten - exchanged for regular stocjk in 1H22</t>
        </r>
      </text>
    </comment>
    <comment ref="DH344" authorId="2" shapeId="0" xr:uid="{96328D3F-D961-4A6A-812A-CFFA19939407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gone but not forgotten - exchanged for regular stocjk in 1H22</t>
        </r>
      </text>
    </comment>
    <comment ref="CB388" authorId="2" shapeId="0" xr:uid="{00000000-0006-0000-0A00-00008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search for macquarie income securi… - this is in fin report P&amp;L</t>
        </r>
      </text>
    </comment>
    <comment ref="CF388" authorId="2" shapeId="0" xr:uid="{00000000-0006-0000-0A00-00008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search for macquarie income securi… - this is in fin report P&amp;L</t>
        </r>
      </text>
    </comment>
    <comment ref="CH388" authorId="2" shapeId="0" xr:uid="{00000000-0006-0000-0A00-00008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search for macquarie income securi… - this is in fin report P&amp;L</t>
        </r>
      </text>
    </comment>
    <comment ref="CJ388" authorId="2" shapeId="0" xr:uid="{00000000-0006-0000-0A00-00008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search for macquarie income securi… - this is in fin report P&amp;L</t>
        </r>
      </text>
    </comment>
    <comment ref="CL388" authorId="2" shapeId="0" xr:uid="{00000000-0006-0000-0A00-00008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search for macquarie income securi… - this is in fin report P&amp;L</t>
        </r>
      </text>
    </comment>
    <comment ref="CN388" authorId="2" shapeId="0" xr:uid="{00000000-0006-0000-0A00-00008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search for macquarie income securi… - this is in fin report P&amp;L</t>
        </r>
      </text>
    </comment>
    <comment ref="CP388" authorId="2" shapeId="0" xr:uid="{00000000-0006-0000-0A00-00008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Annual Report
Macquarie Income Securities</t>
        </r>
      </text>
    </comment>
    <comment ref="CR388" authorId="2" shapeId="0" xr:uid="{00000000-0006-0000-0A00-00008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search for macquarie income securi… - this is in fin report P&amp;L</t>
        </r>
      </text>
    </comment>
    <comment ref="CV388" authorId="2" shapeId="0" xr:uid="{CEF9A825-CCB3-4A4B-9EB4-11CE65057528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search for macquarie income securi… - this is in fin report P&amp;L</t>
        </r>
      </text>
    </comment>
    <comment ref="CZ388" authorId="2" shapeId="0" xr:uid="{44C01D2A-5F75-4FEE-A0A6-7C3CC5703E5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search for macquarie income securi… - this is in fin report P&amp;L</t>
        </r>
      </text>
    </comment>
    <comment ref="DD388" authorId="2" shapeId="0" xr:uid="{425A6B76-6413-452F-B2C4-E0810DCE8E1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search for macquarie income securi… - this is in fin report P&amp;L</t>
        </r>
      </text>
    </comment>
    <comment ref="DH388" authorId="2" shapeId="0" xr:uid="{74032F80-BD4B-4717-94FC-D9645A3703B2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search for macquarie income securi… - this is in fin report P&amp;L</t>
        </r>
      </text>
    </comment>
    <comment ref="BT456" authorId="3" shapeId="0" xr:uid="{00000000-0006-0000-0A00-000088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p53 of MD&amp;A</t>
        </r>
      </text>
    </comment>
    <comment ref="BX456" authorId="3" shapeId="0" xr:uid="{00000000-0006-0000-0A00-000089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N456" authorId="2" shapeId="0" xr:uid="{00000000-0006-0000-0A00-00008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O456" authorId="2" shapeId="0" xr:uid="{00000000-0006-0000-0A00-00008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S456" authorId="2" shapeId="0" xr:uid="{00000000-0006-0000-0A00-00008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W456" authorId="2" shapeId="0" xr:uid="{1E02E312-FCF6-41DB-A64B-0F90C3EF3FD7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DA456" authorId="2" shapeId="0" xr:uid="{CFB4AA37-46BF-4236-A9F3-B586C415E35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DE456" authorId="2" shapeId="0" xr:uid="{BF8360CC-6717-4E75-AF81-57BE5FBA4D35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BT459" authorId="3" shapeId="0" xr:uid="{00000000-0006-0000-0A00-00008D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p53 of MD&amp;A</t>
        </r>
      </text>
    </comment>
    <comment ref="BX459" authorId="3" shapeId="0" xr:uid="{00000000-0006-0000-0A00-00008E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p53 of MD&amp;A</t>
        </r>
      </text>
    </comment>
    <comment ref="CB459" authorId="3" shapeId="0" xr:uid="{00000000-0006-0000-0A00-00008F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p53 of MD&amp;A</t>
        </r>
      </text>
    </comment>
    <comment ref="CS459" authorId="2" shapeId="0" xr:uid="{00000000-0006-0000-0A00-00009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CW459" authorId="2" shapeId="0" xr:uid="{220479CA-911A-4598-86D9-6ADD5DACA4B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DA459" authorId="2" shapeId="0" xr:uid="{305161C9-375C-4E35-86AD-83EE05BE5E5F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DE459" authorId="2" shapeId="0" xr:uid="{3BC10B06-E426-4B1B-B778-B7BD86A289A9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1H21 &amp; 2H21 restated at 1H22: external securitisations of home loans no longer netted down on the funded balance sheet</t>
        </r>
      </text>
    </comment>
    <comment ref="BT474" authorId="3" shapeId="0" xr:uid="{00000000-0006-0000-0A00-000091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p53 of MD&amp;A</t>
        </r>
      </text>
    </comment>
    <comment ref="BX474" authorId="3" shapeId="0" xr:uid="{00000000-0006-0000-0A00-000092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p53 of MD&amp;A</t>
        </r>
      </text>
    </comment>
    <comment ref="CG474" authorId="2" shapeId="0" xr:uid="{00000000-0006-0000-0A00-00009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MDA 5.5 funding</t>
        </r>
      </text>
    </comment>
    <comment ref="CK474" authorId="2" shapeId="0" xr:uid="{00000000-0006-0000-0A00-00009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MDA 5.5 funding</t>
        </r>
      </text>
    </comment>
    <comment ref="CO474" authorId="2" shapeId="0" xr:uid="{00000000-0006-0000-0A00-00009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MDA 5.5 funding</t>
        </r>
      </text>
    </comment>
    <comment ref="CS474" authorId="11" shapeId="0" xr:uid="{00000000-0006-0000-0A00-000096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No longer a category.</t>
        </r>
      </text>
    </comment>
    <comment ref="CW474" authorId="11" shapeId="0" xr:uid="{0B444B0C-8C69-4492-A6A3-8191367E86D3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No longer a category.</t>
        </r>
      </text>
    </comment>
    <comment ref="DA474" authorId="11" shapeId="0" xr:uid="{F5A376C7-E0D6-4B83-9FAD-93FD3643D185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No longer a category.</t>
        </r>
      </text>
    </comment>
    <comment ref="DE474" authorId="11" shapeId="0" xr:uid="{FC00E2C1-A146-439D-8FBD-B02B4A93707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No longer a category.</t>
        </r>
      </text>
    </comment>
    <comment ref="BT475" authorId="3" shapeId="0" xr:uid="{00000000-0006-0000-0A00-000097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p53 of MD&amp;A</t>
        </r>
      </text>
    </comment>
    <comment ref="BX475" authorId="0" shapeId="0" xr:uid="{00000000-0006-0000-0A00-00009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1H18</t>
        </r>
      </text>
    </comment>
    <comment ref="CB475" authorId="0" shapeId="0" xr:uid="{00000000-0006-0000-0A00-00009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</t>
        </r>
      </text>
    </comment>
    <comment ref="CC475" authorId="0" shapeId="0" xr:uid="{00000000-0006-0000-0A00-00009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</t>
        </r>
      </text>
    </comment>
    <comment ref="BT482" authorId="3" shapeId="0" xr:uid="{00000000-0006-0000-0A00-00009B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p53, no separate disclosure of deposits by type, only "customer deposits"</t>
        </r>
      </text>
    </comment>
    <comment ref="BU482" authorId="2" shapeId="0" xr:uid="{00000000-0006-0000-0A00-00009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MGL group</t>
        </r>
      </text>
    </comment>
    <comment ref="BX482" authorId="2" shapeId="0" xr:uid="{00000000-0006-0000-0A00-00009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MGL group</t>
        </r>
      </text>
    </comment>
    <comment ref="CG482" authorId="2" shapeId="0" xr:uid="{00000000-0006-0000-0A00-00009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MDA 5.5 funding</t>
        </r>
      </text>
    </comment>
    <comment ref="CK482" authorId="2" shapeId="0" xr:uid="{00000000-0006-0000-0A00-00009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MDA 5.5 funding</t>
        </r>
      </text>
    </comment>
    <comment ref="CO482" authorId="2" shapeId="0" xr:uid="{00000000-0006-0000-0A00-0000A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MDA 5.5 funding</t>
        </r>
      </text>
    </comment>
    <comment ref="CS482" authorId="2" shapeId="0" xr:uid="{00000000-0006-0000-0A00-0000A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MDA 5.5 funding</t>
        </r>
      </text>
    </comment>
    <comment ref="CW482" authorId="2" shapeId="0" xr:uid="{2B364213-1942-4F13-899B-4C23D5BAC35D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MDA 5.5 funding</t>
        </r>
      </text>
    </comment>
    <comment ref="DA482" authorId="2" shapeId="0" xr:uid="{787AEC49-5EE8-4DA9-B9F1-310CE911CB5E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MDA 5.5 funding</t>
        </r>
      </text>
    </comment>
    <comment ref="DE482" authorId="2" shapeId="0" xr:uid="{9D0016B3-3C97-4D01-AFC8-AE034F9F54CB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MDA 5.5 funding</t>
        </r>
      </text>
    </comment>
    <comment ref="BT483" authorId="3" shapeId="0" xr:uid="{00000000-0006-0000-0A00-0000A2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p53, no separate disclosure of deposits by type, only "customer deposits"</t>
        </r>
      </text>
    </comment>
    <comment ref="BX544" authorId="2" shapeId="0" xr:uid="{00000000-0006-0000-0A00-0000A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up front, exec summary</t>
        </r>
      </text>
    </comment>
    <comment ref="CB544" authorId="2" shapeId="0" xr:uid="{00000000-0006-0000-0A00-0000A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up front, exec summary</t>
        </r>
      </text>
    </comment>
    <comment ref="CF544" authorId="2" shapeId="0" xr:uid="{00000000-0006-0000-0A00-0000A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up front, exec summary</t>
        </r>
      </text>
    </comment>
    <comment ref="CJ544" authorId="2" shapeId="0" xr:uid="{00000000-0006-0000-0A00-0000A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up front, exec summary</t>
        </r>
      </text>
    </comment>
    <comment ref="CN544" authorId="2" shapeId="0" xr:uid="{00000000-0006-0000-0A00-0000A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up front, exec summary</t>
        </r>
      </text>
    </comment>
    <comment ref="CR544" authorId="2" shapeId="0" xr:uid="{00000000-0006-0000-0A00-0000A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up front, exec summary</t>
        </r>
      </text>
    </comment>
    <comment ref="CV544" authorId="2" shapeId="0" xr:uid="{7E2A3EFF-1856-41CA-951D-1AF6C6362C71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up front, exec summary</t>
        </r>
      </text>
    </comment>
    <comment ref="CZ544" authorId="2" shapeId="0" xr:uid="{4CCD7DF5-0C23-4379-BF54-CF828F393821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up front, exec summary</t>
        </r>
      </text>
    </comment>
    <comment ref="DD544" authorId="2" shapeId="0" xr:uid="{6AA185BB-1615-4A3F-9A0E-1EA7092CAB82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up front, exec summary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Stadnik, Andrei (Research)</author>
    <author>Dunger, Matt (Research)</author>
    <author>O'Neill, Emilie (Research)</author>
    <author>Zhou, Sally (Research)</author>
    <author>Bounpraseuth, Daniel N (Research)</author>
  </authors>
  <commentList>
    <comment ref="DI49" authorId="0" shapeId="0" xr:uid="{11F10A94-B103-444B-B1AE-C204BB661FE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sale of MIML to Nomura reduces intangibles deduction</t>
        </r>
      </text>
    </comment>
    <comment ref="BT83" authorId="1" shapeId="0" xr:uid="{00000000-0006-0000-0C00-000001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p63 of MD&amp;A</t>
        </r>
      </text>
    </comment>
    <comment ref="BX83" authorId="1" shapeId="0" xr:uid="{00000000-0006-0000-0C00-000002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p63 of MD&amp;A</t>
        </r>
      </text>
    </comment>
    <comment ref="CB83" authorId="1" shapeId="0" xr:uid="{00000000-0006-0000-0C00-000003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p63 of MD&amp;A</t>
        </r>
      </text>
    </comment>
    <comment ref="BT92" authorId="1" shapeId="0" xr:uid="{00000000-0006-0000-0C00-000004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p61 of presentation</t>
        </r>
      </text>
    </comment>
    <comment ref="BT125" authorId="1" shapeId="0" xr:uid="{00000000-0006-0000-0C00-000005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p62 of the MD&amp;A</t>
        </r>
      </text>
    </comment>
    <comment ref="BX125" authorId="1" shapeId="0" xr:uid="{00000000-0006-0000-0C00-000006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p62 of the MD&amp;A</t>
        </r>
      </text>
    </comment>
    <comment ref="CB125" authorId="1" shapeId="0" xr:uid="{00000000-0006-0000-0C00-000007000000}">
      <text>
        <r>
          <rPr>
            <b/>
            <sz val="9"/>
            <color indexed="81"/>
            <rFont val="Tahoma"/>
            <family val="2"/>
          </rPr>
          <t>Dunger, Matt (Research):</t>
        </r>
        <r>
          <rPr>
            <sz val="9"/>
            <color indexed="81"/>
            <rFont val="Tahoma"/>
            <family val="2"/>
          </rPr>
          <t xml:space="preserve">
p62 of the MD&amp;A</t>
        </r>
      </text>
    </comment>
    <comment ref="CF125" authorId="2" shapeId="0" xr:uid="{00000000-0006-0000-0C00-00000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MD&amp;A</t>
        </r>
      </text>
    </comment>
    <comment ref="CJ125" authorId="2" shapeId="0" xr:uid="{00000000-0006-0000-0C00-000009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MD&amp;A</t>
        </r>
      </text>
    </comment>
    <comment ref="CN125" authorId="2" shapeId="0" xr:uid="{00000000-0006-0000-0C00-00000A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MD&amp;A</t>
        </r>
      </text>
    </comment>
    <comment ref="CR125" authorId="2" shapeId="0" xr:uid="{00000000-0006-0000-0C00-00000B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MD&amp;A</t>
        </r>
      </text>
    </comment>
    <comment ref="CV125" authorId="2" shapeId="0" xr:uid="{C5177915-22D2-4B8F-A345-FCF8C34BDD59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MD&amp;A</t>
        </r>
      </text>
    </comment>
    <comment ref="CW125" authorId="2" shapeId="0" xr:uid="{3D637082-8251-40FE-ACCD-E8A6680C56AC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MD&amp;A</t>
        </r>
      </text>
    </comment>
    <comment ref="CZ125" authorId="2" shapeId="0" xr:uid="{7591E5AA-84D6-4DA7-8B8B-89E2CA42A7FE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MD&amp;A</t>
        </r>
      </text>
    </comment>
    <comment ref="DA125" authorId="2" shapeId="0" xr:uid="{7DCF562A-17EF-4FC7-87CF-6E888499661D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MD&amp;A</t>
        </r>
      </text>
    </comment>
    <comment ref="DD125" authorId="2" shapeId="0" xr:uid="{A983AD20-764E-4ADE-81D2-C3F10C13C64C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MD&amp;A</t>
        </r>
      </text>
    </comment>
    <comment ref="DE125" authorId="2" shapeId="0" xr:uid="{29C95CBB-47D5-4846-B6A8-F34B06A903F8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MD&amp;A</t>
        </r>
      </text>
    </comment>
    <comment ref="BY133" authorId="0" shapeId="0" xr:uid="{00000000-0006-0000-0C00-00000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add up all the other numbers</t>
        </r>
      </text>
    </comment>
    <comment ref="CB133" authorId="0" shapeId="0" xr:uid="{00000000-0006-0000-0C00-00000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add up all the other numbers</t>
        </r>
      </text>
    </comment>
    <comment ref="CC133" authorId="0" shapeId="0" xr:uid="{00000000-0006-0000-0C00-00000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add up all the other numbers</t>
        </r>
      </text>
    </comment>
    <comment ref="CF133" authorId="0" shapeId="0" xr:uid="{00000000-0006-0000-0C00-00000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add up all the other numbers</t>
        </r>
      </text>
    </comment>
    <comment ref="CG133" authorId="2" shapeId="0" xr:uid="{00000000-0006-0000-0C00-000010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 as per page 71 MDA</t>
        </r>
      </text>
    </comment>
    <comment ref="CJ133" authorId="0" shapeId="0" xr:uid="{00000000-0006-0000-0C00-00001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add up all the other numbers</t>
        </r>
      </text>
    </comment>
    <comment ref="CK133" authorId="2" shapeId="0" xr:uid="{00000000-0006-0000-0C00-00001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 as per page 71 MDA</t>
        </r>
      </text>
    </comment>
    <comment ref="CN133" authorId="2" shapeId="0" xr:uid="{00000000-0006-0000-0C00-00001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 as per page 71 MDA</t>
        </r>
      </text>
    </comment>
    <comment ref="CO133" authorId="2" shapeId="0" xr:uid="{00000000-0006-0000-0C00-00001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Restated 1H19 as per page 71 MDA</t>
        </r>
      </text>
    </comment>
    <comment ref="CS133" authorId="3" shapeId="0" xr:uid="{00000000-0006-0000-0C00-000015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Sum of other regulatory adjustments to Common Equity T1 Cap.</t>
        </r>
      </text>
    </comment>
    <comment ref="CW133" authorId="3" shapeId="0" xr:uid="{144F4DE5-C447-4404-AF9B-697F75F09FEA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Sum of other regulatory adjustments to Common Equity T1 Cap.</t>
        </r>
      </text>
    </comment>
    <comment ref="CZ133" authorId="3" shapeId="0" xr:uid="{184E5E66-DE91-4EA9-81C5-56B22E98D625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Sum of other regulatory adjustments to Common Equity T1 Cap.</t>
        </r>
      </text>
    </comment>
    <comment ref="DA133" authorId="3" shapeId="0" xr:uid="{83A61F7D-9503-4322-AF10-D05AAD84A848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Sum of other regulatory adjustments to Common Equity T1 Cap.</t>
        </r>
      </text>
    </comment>
    <comment ref="DD133" authorId="3" shapeId="0" xr:uid="{61C1EB55-711A-41AA-8429-E5351795211D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Sum of other regulatory adjustments to Common Equity T1 Cap.</t>
        </r>
      </text>
    </comment>
    <comment ref="DE133" authorId="3" shapeId="0" xr:uid="{599365C7-B933-4A0E-B6A7-535A1A162A73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Sum of other regulatory adjustments to Common Equity T1 Cap.</t>
        </r>
      </text>
    </comment>
    <comment ref="DE141" authorId="4" shapeId="0" xr:uid="{96FB3906-E424-4812-B41B-D325DE9E2C3F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not disclosed; estimated</t>
        </r>
      </text>
    </comment>
    <comment ref="DH141" authorId="4" shapeId="0" xr:uid="{06427434-7974-499C-AF61-CE0FE3FC6AFE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not disclosed; estimated</t>
        </r>
      </text>
    </comment>
    <comment ref="DE144" authorId="4" shapeId="0" xr:uid="{12F073F7-3DEA-4F60-AFCB-83EB41884C9A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not disclosed; estimated</t>
        </r>
      </text>
    </comment>
    <comment ref="DH144" authorId="4" shapeId="0" xr:uid="{D1836C73-49C8-4211-9FF0-C998C29EEC0E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not disclosed; estimated</t>
        </r>
      </text>
    </comment>
    <comment ref="CS167" authorId="3" shapeId="0" xr:uid="{00000000-0006-0000-0C00-000017000000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Preso slide 69/73.</t>
        </r>
      </text>
    </comment>
    <comment ref="CW167" authorId="3" shapeId="0" xr:uid="{DBE3849E-ABBF-4CDE-9FDA-9C4E2FE639AD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Preso slide 69/73.</t>
        </r>
      </text>
    </comment>
    <comment ref="CZ167" authorId="3" shapeId="0" xr:uid="{E5E28121-95B2-4B50-AF3C-BBA4C3D8ACAB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Preso slide 70/75</t>
        </r>
      </text>
    </comment>
    <comment ref="DA167" authorId="3" shapeId="0" xr:uid="{CAEE76A6-5895-43A0-953B-B7FBEF6DDDE2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Preso slide 69/73.</t>
        </r>
      </text>
    </comment>
    <comment ref="DD167" authorId="3" shapeId="0" xr:uid="{B9E0C67C-D239-4F8E-9F95-31C5AF1C1822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Preso slide 70/75 + back of MDA</t>
        </r>
      </text>
    </comment>
    <comment ref="DE167" authorId="3" shapeId="0" xr:uid="{2B577C05-30CB-4F0C-B9CF-34B5134E918B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Preso slide 69/73.</t>
        </r>
      </text>
    </comment>
    <comment ref="DH167" authorId="3" shapeId="0" xr:uid="{E3469595-085C-4A40-8805-9D0FADA9BD7B}">
      <text>
        <r>
          <rPr>
            <b/>
            <sz val="9"/>
            <color indexed="81"/>
            <rFont val="Tahoma"/>
            <family val="2"/>
          </rPr>
          <t>Zhou, Sally (Research):</t>
        </r>
        <r>
          <rPr>
            <sz val="9"/>
            <color indexed="81"/>
            <rFont val="Tahoma"/>
            <family val="2"/>
          </rPr>
          <t xml:space="preserve">
Preso slide 69/73.</t>
        </r>
      </text>
    </comment>
    <comment ref="CG168" authorId="2" shapeId="0" xr:uid="{00000000-0006-0000-0C00-000018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Big step up pg 74 MDA</t>
        </r>
      </text>
    </comment>
    <comment ref="CB182" authorId="0" shapeId="0" xr:uid="{00000000-0006-0000-0C00-00001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 hedgs for DPS</t>
        </r>
      </text>
    </comment>
    <comment ref="CF182" authorId="0" shapeId="0" xr:uid="{00000000-0006-0000-0C00-00001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 hedgs for DPS</t>
        </r>
      </text>
    </comment>
    <comment ref="CJ182" authorId="0" shapeId="0" xr:uid="{00000000-0006-0000-0C00-00001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ex hedgs for DPS</t>
        </r>
      </text>
    </comment>
    <comment ref="DE182" authorId="4" shapeId="0" xr:uid="{11947CAC-738A-4581-8BBB-5E7F374333AC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changed disclosure. Not only disclose 'Equity Investment'</t>
        </r>
      </text>
    </comment>
    <comment ref="DH182" authorId="4" shapeId="0" xr:uid="{8B93E53A-2653-47D4-AD71-2B2F378DD919}">
      <text>
        <r>
          <rPr>
            <b/>
            <sz val="9"/>
            <color indexed="81"/>
            <rFont val="Tahoma"/>
            <family val="2"/>
          </rPr>
          <t>Bounpraseuth, Daniel N (Research):</t>
        </r>
        <r>
          <rPr>
            <sz val="9"/>
            <color indexed="81"/>
            <rFont val="Tahoma"/>
            <family val="2"/>
          </rPr>
          <t xml:space="preserve">
changed disclosure. Not only disclose 'Equity Investment'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O'Neill, Emilie (Research)</author>
    <author>tc={617A77B5-231C-47DD-9A8D-DB7363268B15}</author>
    <author>tc={9467BED7-0DDB-4875-A3C2-31797695C16B}</author>
    <author>tc={DA5C5667-5196-4EDE-A8EA-4D3D0ED9DCC1}</author>
    <author>Hau, Jenny (Research)</author>
  </authors>
  <commentList>
    <comment ref="BZ10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note on EPS </t>
        </r>
      </text>
    </comment>
    <comment ref="CD10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note on EPS </t>
        </r>
      </text>
    </comment>
    <comment ref="CH10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note on EPS </t>
        </r>
      </text>
    </comment>
    <comment ref="CL10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note on EPS </t>
        </r>
      </text>
    </comment>
    <comment ref="CP10" authorId="0" shapeId="0" xr:uid="{00000000-0006-0000-0B00-000005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Use annual report</t>
        </r>
      </text>
    </comment>
    <comment ref="CT10" authorId="0" shapeId="0" xr:uid="{00000000-0006-0000-0B00-000006000000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Use annual report</t>
        </r>
      </text>
    </comment>
    <comment ref="CX10" authorId="0" shapeId="0" xr:uid="{581C1E4B-11A3-4EEA-9217-95FBBFCBD71D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Use annual report</t>
        </r>
      </text>
    </comment>
    <comment ref="DB10" authorId="0" shapeId="0" xr:uid="{4ED6E426-3820-408C-82DA-A424DCEA1C8B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Use annual report</t>
        </r>
      </text>
    </comment>
    <comment ref="DF10" authorId="0" shapeId="0" xr:uid="{7B0891B2-6DBE-4317-8E16-666B4A2DEDDA}">
      <text>
        <r>
          <rPr>
            <b/>
            <sz val="9"/>
            <color indexed="81"/>
            <rFont val="Tahoma"/>
            <family val="2"/>
          </rPr>
          <t>O'Neill, Emilie (Research):</t>
        </r>
        <r>
          <rPr>
            <sz val="9"/>
            <color indexed="81"/>
            <rFont val="Tahoma"/>
            <family val="2"/>
          </rPr>
          <t xml:space="preserve">
Use annual report</t>
        </r>
      </text>
    </comment>
    <comment ref="CZ12" authorId="1" shapeId="0" xr:uid="{617A77B5-231C-47DD-9A8D-DB7363268B1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Smaller due to no interest on convertible subordinated debt.
</t>
      </text>
    </comment>
    <comment ref="DD12" authorId="2" shapeId="0" xr:uid="{9467BED7-0DDB-4875-A3C2-31797695C1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Smaller due to no interest on convertible subordinated debt.
</t>
      </text>
    </comment>
    <comment ref="DH12" authorId="3" shapeId="0" xr:uid="{DA5C5667-5196-4EDE-A8EA-4D3D0ED9DCC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Smaller due to no interest on convertible subordinated debt.
</t>
      </text>
    </comment>
    <comment ref="CN51" authorId="4" shapeId="0" xr:uid="{00000000-0006-0000-0B00-000007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check asx divi announcement 3a.2</t>
        </r>
      </text>
    </comment>
    <comment ref="CO51" authorId="4" shapeId="0" xr:uid="{00000000-0006-0000-0B00-000008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Check media release </t>
        </r>
      </text>
    </comment>
    <comment ref="CR51" authorId="4" shapeId="0" xr:uid="{00000000-0006-0000-0B00-000009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check asx divi announcement 3a.2</t>
        </r>
      </text>
    </comment>
    <comment ref="CS51" authorId="4" shapeId="0" xr:uid="{00000000-0006-0000-0B00-00000A000000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Check media release </t>
        </r>
      </text>
    </comment>
    <comment ref="CV51" authorId="4" shapeId="0" xr:uid="{2EF24410-39F9-4F7A-BE5F-7972ADB3035F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check asx divi announcement 3a.2</t>
        </r>
      </text>
    </comment>
    <comment ref="CW51" authorId="4" shapeId="0" xr:uid="{A92BA153-CF0C-428B-A26C-2432952BB992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Check media release </t>
        </r>
      </text>
    </comment>
    <comment ref="CZ51" authorId="4" shapeId="0" xr:uid="{36EED49B-102F-4EE7-8E70-9DB2FDB3591E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check asx divi announcement 3a.2</t>
        </r>
      </text>
    </comment>
    <comment ref="DA51" authorId="4" shapeId="0" xr:uid="{C72BDFEE-A0AA-485A-ADFB-109A0151F8F3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Check media release </t>
        </r>
      </text>
    </comment>
    <comment ref="DD51" authorId="4" shapeId="0" xr:uid="{DCD3DA38-C54D-4F69-B590-4F2BE0E73E8A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check asx divi announcement 3a.2</t>
        </r>
      </text>
    </comment>
    <comment ref="DE51" authorId="4" shapeId="0" xr:uid="{4CD26206-9E22-470A-8F2D-7C1A3D3CA814}">
      <text>
        <r>
          <rPr>
            <b/>
            <sz val="9"/>
            <color indexed="81"/>
            <rFont val="Tahoma"/>
            <family val="2"/>
          </rPr>
          <t>Hau, Jenny (Research):</t>
        </r>
        <r>
          <rPr>
            <sz val="9"/>
            <color indexed="81"/>
            <rFont val="Tahoma"/>
            <family val="2"/>
          </rPr>
          <t xml:space="preserve">
Check media release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Stadnik, Andrei (Research)</author>
    <author>Wiles, Richard (Research)</author>
  </authors>
  <commentList>
    <comment ref="AM39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most of the US Alt Asset Managers do not pay tax and have more volatile earnings on quarterly m2m</t>
        </r>
      </text>
    </comment>
    <comment ref="AN39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most of the US Alt Asset Managers do not pay tax and have more volatile earnings on quarterly m2m</t>
        </r>
      </text>
    </comment>
    <comment ref="AO39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most of the US Alt Asset Managers do not pay tax and have more volatile earnings on quarterly m2m</t>
        </r>
      </text>
    </comment>
    <comment ref="AP39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most of the US Alt Asset Managers do not pay tax and have more volatile earnings on quarterly m2m</t>
        </r>
      </text>
    </comment>
    <comment ref="AQ39" authorId="0" shapeId="0" xr:uid="{00000000-0006-0000-1000-00000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most of the US Alt Asset Managers do not pay tax and have more volatile earnings on quarterly m2m</t>
        </r>
      </text>
    </comment>
    <comment ref="AR39" authorId="0" shapeId="0" xr:uid="{00000000-0006-0000-1000-00000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most of the US Alt Asset Managers do not pay tax and have more volatile earnings on quarterly m2m</t>
        </r>
      </text>
    </comment>
    <comment ref="AS39" authorId="0" shapeId="0" xr:uid="{00000000-0006-0000-1000-000007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most of the US Alt Asset Managers do not pay tax and have more volatile earnings on quarterly m2m</t>
        </r>
      </text>
    </comment>
    <comment ref="AT39" authorId="0" shapeId="0" xr:uid="{00000000-0006-0000-1000-00000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most of the US Alt Asset Managers do not pay tax and have more volatile earnings on quarterly m2m</t>
        </r>
      </text>
    </comment>
    <comment ref="AU39" authorId="0" shapeId="0" xr:uid="{00000000-0006-0000-1000-00000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most of the US Alt Asset Managers do not pay tax and have more volatile earnings on quarterly m2m</t>
        </r>
      </text>
    </comment>
    <comment ref="AB41" authorId="1" shapeId="0" xr:uid="{00000000-0006-0000-1000-00000A000000}">
      <text>
        <r>
          <rPr>
            <b/>
            <sz val="9"/>
            <color indexed="81"/>
            <rFont val="Tahoma"/>
            <family val="2"/>
          </rPr>
          <t>Wiles, Richard (Research):</t>
        </r>
        <r>
          <rPr>
            <sz val="9"/>
            <color indexed="81"/>
            <rFont val="Tahoma"/>
            <family val="2"/>
          </rPr>
          <t xml:space="preserve">
applied discount so don't capitalised per fees</t>
        </r>
      </text>
    </comment>
    <comment ref="AM41" authorId="0" shapeId="0" xr:uid="{00000000-0006-0000-1000-00000B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</t>
        </r>
      </text>
    </comment>
    <comment ref="AN41" authorId="0" shapeId="0" xr:uid="{00000000-0006-0000-1000-00000C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</t>
        </r>
      </text>
    </comment>
    <comment ref="AO41" authorId="0" shapeId="0" xr:uid="{00000000-0006-0000-1000-00000D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</t>
        </r>
      </text>
    </comment>
    <comment ref="AP41" authorId="0" shapeId="0" xr:uid="{00000000-0006-0000-1000-00000E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</t>
        </r>
      </text>
    </comment>
    <comment ref="AQ41" authorId="0" shapeId="0" xr:uid="{00000000-0006-0000-1000-00000F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 and has exposure to Asia</t>
        </r>
      </text>
    </comment>
    <comment ref="AR41" authorId="0" shapeId="0" xr:uid="{00000000-0006-0000-1000-000010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</t>
        </r>
      </text>
    </comment>
    <comment ref="AS41" authorId="0" shapeId="0" xr:uid="{00000000-0006-0000-1000-000011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</t>
        </r>
      </text>
    </comment>
    <comment ref="AT41" authorId="0" shapeId="0" xr:uid="{00000000-0006-0000-1000-000012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</t>
        </r>
      </text>
    </comment>
    <comment ref="AU41" authorId="0" shapeId="0" xr:uid="{00000000-0006-0000-1000-000013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 and has exposure to Asia</t>
        </r>
      </text>
    </comment>
    <comment ref="AY41" authorId="0" shapeId="0" xr:uid="{00000000-0006-0000-1000-000014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 and has exposure to Asia</t>
        </r>
      </text>
    </comment>
    <comment ref="BC41" authorId="0" shapeId="0" xr:uid="{00000000-0006-0000-1000-000015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 and has exposure to Asia</t>
        </r>
      </text>
    </comment>
    <comment ref="BG41" authorId="0" shapeId="0" xr:uid="{00000000-0006-0000-1000-000016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 and building scale</t>
        </r>
      </text>
    </comment>
    <comment ref="BK41" authorId="0" shapeId="0" xr:uid="{817C714F-D2DC-4875-8E81-1F31A0BF6146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 and building scale</t>
        </r>
      </text>
    </comment>
    <comment ref="BO41" authorId="0" shapeId="0" xr:uid="{E5AF3A6C-5BA6-4F5F-A41E-08D157BE0CAB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 and building scale</t>
        </r>
      </text>
    </comment>
    <comment ref="BS41" authorId="0" shapeId="0" xr:uid="{8CBDE8C5-8A0D-47AD-8A9A-705CE82B53D2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 and building scale</t>
        </r>
      </text>
    </comment>
    <comment ref="BW41" authorId="0" shapeId="0" xr:uid="{69061243-B536-4F04-B40E-A72CEB871274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MQG is growing and building scale</t>
        </r>
      </text>
    </comment>
    <comment ref="AR44" authorId="0" shapeId="0" xr:uid="{00000000-0006-0000-1000-000018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taking share against AUS majors</t>
        </r>
      </text>
    </comment>
    <comment ref="AS44" authorId="0" shapeId="0" xr:uid="{00000000-0006-0000-1000-000019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taking share against AUS majors</t>
        </r>
      </text>
    </comment>
    <comment ref="AT44" authorId="0" shapeId="0" xr:uid="{00000000-0006-0000-1000-00001A000000}">
      <text>
        <r>
          <rPr>
            <b/>
            <sz val="9"/>
            <color indexed="81"/>
            <rFont val="Tahoma"/>
            <family val="2"/>
          </rPr>
          <t>Stadnik, Andrei (Research):</t>
        </r>
        <r>
          <rPr>
            <sz val="9"/>
            <color indexed="81"/>
            <rFont val="Tahoma"/>
            <family val="2"/>
          </rPr>
          <t xml:space="preserve">
taking share against AUS majors</t>
        </r>
      </text>
    </comment>
  </commentList>
</comments>
</file>

<file path=xl/sharedStrings.xml><?xml version="1.0" encoding="utf-8"?>
<sst xmlns="http://schemas.openxmlformats.org/spreadsheetml/2006/main" count="5511" uniqueCount="1899">
  <si>
    <t>Price Target</t>
  </si>
  <si>
    <t>2H14</t>
  </si>
  <si>
    <t>FY14</t>
  </si>
  <si>
    <t>Total Income / Avg FTEs (A$000)</t>
  </si>
  <si>
    <t>Operating Expenses / Total Income (%)</t>
  </si>
  <si>
    <t>Compensation Ratio (%)</t>
  </si>
  <si>
    <t>Operating Expenses / Avg FTEs (A$000)</t>
  </si>
  <si>
    <t>Effective Tax Rate (%)</t>
  </si>
  <si>
    <t>Total Loans</t>
  </si>
  <si>
    <t>Total Assets</t>
  </si>
  <si>
    <t>Funded Assets</t>
  </si>
  <si>
    <t>Ordinary Shareholders Equity</t>
  </si>
  <si>
    <t>Investments in Macquarie Managed Funds</t>
  </si>
  <si>
    <t>Dividends and distributions</t>
  </si>
  <si>
    <t>Total Equity Investments</t>
  </si>
  <si>
    <t>Equity Investments / Shareholders Equity (%)</t>
  </si>
  <si>
    <t>GROWTH RATES (%)</t>
  </si>
  <si>
    <t>Per Share Data</t>
  </si>
  <si>
    <t>CAPITAL ADEQUACY</t>
  </si>
  <si>
    <t>Base Case</t>
  </si>
  <si>
    <t>Bull Case</t>
  </si>
  <si>
    <t>Bear Case</t>
  </si>
  <si>
    <t>BASE CASE</t>
  </si>
  <si>
    <t xml:space="preserve">  Base Fees</t>
  </si>
  <si>
    <t xml:space="preserve">  Performance Fees</t>
  </si>
  <si>
    <t xml:space="preserve">  M&amp;A, advisory and UW fees</t>
  </si>
  <si>
    <t xml:space="preserve">  Brokerage and commissions</t>
  </si>
  <si>
    <t xml:space="preserve">  Other fee and commission income</t>
  </si>
  <si>
    <t xml:space="preserve">  Brokerage and commission expenses</t>
  </si>
  <si>
    <t xml:space="preserve">  Other operating expenses</t>
  </si>
  <si>
    <t>Comp Ratio</t>
  </si>
  <si>
    <t>Brokerage Ratio</t>
  </si>
  <si>
    <t>BULL CASE</t>
  </si>
  <si>
    <t>MIRA Base Fees</t>
  </si>
  <si>
    <t>Group Revenue</t>
  </si>
  <si>
    <t>Operating Lease Income</t>
  </si>
  <si>
    <t>Growth: M&amp;A, advisory and UW fees</t>
  </si>
  <si>
    <t>Growth: Brokerage and commissions</t>
  </si>
  <si>
    <t>Growth: Trading income</t>
  </si>
  <si>
    <t>Brokerage ratio</t>
  </si>
  <si>
    <t>Growth: Other employment expenses</t>
  </si>
  <si>
    <t>Growth: Net Interest Income</t>
  </si>
  <si>
    <t>Other Operating Income</t>
  </si>
  <si>
    <t>vs Base Case</t>
  </si>
  <si>
    <t>BEAR CASE</t>
  </si>
  <si>
    <t>Compensation expenses</t>
  </si>
  <si>
    <t>Non comp employment expenses</t>
  </si>
  <si>
    <t xml:space="preserve">  Compensation expenses</t>
  </si>
  <si>
    <t xml:space="preserve">  Non comp employment expenses</t>
  </si>
  <si>
    <t xml:space="preserve">  Funds: Avge AUM</t>
  </si>
  <si>
    <t xml:space="preserve">  Base Fee Margin</t>
  </si>
  <si>
    <t>Growth: Average AUM</t>
  </si>
  <si>
    <t>Expense ratios</t>
  </si>
  <si>
    <t>Avge FTEs</t>
  </si>
  <si>
    <t>Compensation / Avg FTEs (A$000)</t>
  </si>
  <si>
    <t>Group Tax Expense</t>
  </si>
  <si>
    <t>PBT / Avg FTEs (A$000)</t>
  </si>
  <si>
    <t>Other Fees and Commissions</t>
  </si>
  <si>
    <t>Macquarie Investment Management</t>
  </si>
  <si>
    <t>Macquarie Infrastructure and Real Assets</t>
  </si>
  <si>
    <t>Loan Losses</t>
  </si>
  <si>
    <t>Shares on Issue</t>
  </si>
  <si>
    <t>Opening Balance</t>
  </si>
  <si>
    <t>m</t>
  </si>
  <si>
    <t>Capital Raising</t>
  </si>
  <si>
    <t>Dividend Reinvestment Plan</t>
  </si>
  <si>
    <t>Other Issues</t>
  </si>
  <si>
    <t>Closing Balance</t>
  </si>
  <si>
    <t>Profit for Basic EPS</t>
  </si>
  <si>
    <t>1H14</t>
  </si>
  <si>
    <t>Other non controlling interests</t>
  </si>
  <si>
    <t>Check=0</t>
  </si>
  <si>
    <t>Options, MEREP, ECS, MGCNs</t>
  </si>
  <si>
    <t>Earnings on Dilutive Shares</t>
  </si>
  <si>
    <t>Profit for Fully Diluted EPS</t>
  </si>
  <si>
    <t>Cash Profit</t>
  </si>
  <si>
    <t>Profit for Modelware EPS</t>
  </si>
  <si>
    <t>Weighted Average Shares (Pre Exchangeable Shares)</t>
  </si>
  <si>
    <t>Weighted Average Shares</t>
  </si>
  <si>
    <t>Dilutive Shares</t>
  </si>
  <si>
    <t>Fully Diluted Weighted Average Shares</t>
  </si>
  <si>
    <t>Basic EPS</t>
  </si>
  <si>
    <t>¢</t>
  </si>
  <si>
    <t>Fully Diluted EPS</t>
  </si>
  <si>
    <t>ModelWare EPS</t>
  </si>
  <si>
    <t>DIVIDENDS</t>
  </si>
  <si>
    <t>Ordinary Dividend Per Share</t>
  </si>
  <si>
    <t>Special Dividend Per Share</t>
  </si>
  <si>
    <t>Total Dividend Per Share</t>
  </si>
  <si>
    <t>Ordinary Dividends</t>
  </si>
  <si>
    <t>Special Dividends</t>
  </si>
  <si>
    <t>Total Dividends</t>
  </si>
  <si>
    <t>Ordinary Payout Ratio</t>
  </si>
  <si>
    <t>Special Payout Ratio</t>
  </si>
  <si>
    <t>Total Payout Ratio</t>
  </si>
  <si>
    <t>Ordinary Dividend Franking</t>
  </si>
  <si>
    <t>Special Dividend Franking</t>
  </si>
  <si>
    <t>na</t>
  </si>
  <si>
    <t>DRP Share Issue</t>
  </si>
  <si>
    <t>DRP Participation Rate</t>
  </si>
  <si>
    <t>Ordinary Share Capital</t>
  </si>
  <si>
    <t>Share Buybacks</t>
  </si>
  <si>
    <t>Ordinary Shares</t>
  </si>
  <si>
    <t>Share Issues / Placements</t>
  </si>
  <si>
    <t>Issue Price</t>
  </si>
  <si>
    <t>A$</t>
  </si>
  <si>
    <t>Buyback Price</t>
  </si>
  <si>
    <t>DRP Share Issue (BALANCING ITEM)</t>
  </si>
  <si>
    <t>DRP Price</t>
  </si>
  <si>
    <t>Other Issues / Opening Shares</t>
  </si>
  <si>
    <t>Exchangeable Shares</t>
  </si>
  <si>
    <t>Exchangeable Share Capital</t>
  </si>
  <si>
    <t>Share Expiration</t>
  </si>
  <si>
    <t>Simple Average for EPS</t>
  </si>
  <si>
    <t>Shares Exchanged For Ordinary Shares</t>
  </si>
  <si>
    <t>Issues</t>
  </si>
  <si>
    <t>Redemptions</t>
  </si>
  <si>
    <t>Other Movements</t>
  </si>
  <si>
    <t>Comprising :</t>
  </si>
  <si>
    <t>Macquarie Income Securities</t>
  </si>
  <si>
    <t>Principal</t>
  </si>
  <si>
    <t>Less: Issue Costs</t>
  </si>
  <si>
    <t>Hybrid Equity per Balance Sheet</t>
  </si>
  <si>
    <t>Hybrid Equity per Capital Adequacy</t>
  </si>
  <si>
    <t>90BBSW</t>
  </si>
  <si>
    <t>Spread</t>
  </si>
  <si>
    <t>Interest Rate</t>
  </si>
  <si>
    <t>Distributions</t>
  </si>
  <si>
    <t>Treasury Shares</t>
  </si>
  <si>
    <t>Movement</t>
  </si>
  <si>
    <t>Reserves</t>
  </si>
  <si>
    <t>Transfer to Retained Earnings</t>
  </si>
  <si>
    <t>Issue of Securities</t>
  </si>
  <si>
    <t>Macquarie Income Preferred Securities</t>
  </si>
  <si>
    <t>Total Minority Interests</t>
  </si>
  <si>
    <t>MIPS Distribution</t>
  </si>
  <si>
    <t>Exchange Rate at Issue</t>
  </si>
  <si>
    <t>Exchange Rate at Balance Date</t>
  </si>
  <si>
    <t>Current Principal</t>
  </si>
  <si>
    <t>FCTR</t>
  </si>
  <si>
    <t>Minority Interests per Balance Sheet</t>
  </si>
  <si>
    <t>Hybrid Tier 1 per Capital Adequacy</t>
  </si>
  <si>
    <t>Tier 2 per Capital Adequacy</t>
  </si>
  <si>
    <t>Average Principal</t>
  </si>
  <si>
    <t>Retained Earnings</t>
  </si>
  <si>
    <t>Dividends Paid</t>
  </si>
  <si>
    <t xml:space="preserve">Opening Shareholders Equity </t>
  </si>
  <si>
    <t>Dividends</t>
  </si>
  <si>
    <t>Net Movement in Ordinary Shareholder Equity</t>
  </si>
  <si>
    <t>Closing Ordinary Shareholders Equity</t>
  </si>
  <si>
    <t>Attributable Capital</t>
  </si>
  <si>
    <t>Total Equity</t>
  </si>
  <si>
    <t>Weighted Average Shares (Reported)</t>
  </si>
  <si>
    <t>Weighted Average Shares (Calculated)</t>
  </si>
  <si>
    <t>Effective tax rate</t>
  </si>
  <si>
    <t>Growth (h-o-h)</t>
  </si>
  <si>
    <t>Profit ex Performance Fees</t>
  </si>
  <si>
    <t>Profit ex Performance Fees and Other Income</t>
  </si>
  <si>
    <t>Check per P&amp;L</t>
  </si>
  <si>
    <t>Total Capital</t>
  </si>
  <si>
    <t>Other Non Controlling Interests</t>
  </si>
  <si>
    <t>Total Minority Interests (ex MIS)</t>
  </si>
  <si>
    <t>MIS Distribution</t>
  </si>
  <si>
    <t>Other: Corporate</t>
  </si>
  <si>
    <t>Other: Funds</t>
  </si>
  <si>
    <t>Other: CAF</t>
  </si>
  <si>
    <t>Balancing Item</t>
  </si>
  <si>
    <t>Other: BFS</t>
  </si>
  <si>
    <t>Other: Securities</t>
  </si>
  <si>
    <t>Other: Capital</t>
  </si>
  <si>
    <t>Other: FICC</t>
  </si>
  <si>
    <t>Income Statement: Minority Interests</t>
  </si>
  <si>
    <t>Net Assets</t>
  </si>
  <si>
    <t>NTA</t>
  </si>
  <si>
    <t>Refer "P&amp;L" sheet</t>
  </si>
  <si>
    <t>Input</t>
  </si>
  <si>
    <t>Credit, interest rates and FX</t>
  </si>
  <si>
    <t>Refer "Balance Sheet"</t>
  </si>
  <si>
    <t>Other operating expenses growth (h-o-h)</t>
  </si>
  <si>
    <t>Other fees and commissions</t>
  </si>
  <si>
    <t>Total Income</t>
  </si>
  <si>
    <t>Group balancing item</t>
  </si>
  <si>
    <t>PER DIVISIONS</t>
  </si>
  <si>
    <t>Input: estimate only</t>
  </si>
  <si>
    <t>ok</t>
  </si>
  <si>
    <t>Fee Income by Source</t>
  </si>
  <si>
    <t xml:space="preserve"> - MacCap</t>
  </si>
  <si>
    <t xml:space="preserve"> - MacSec </t>
  </si>
  <si>
    <t xml:space="preserve"> - BFS </t>
  </si>
  <si>
    <t>Total M&amp;A Related</t>
  </si>
  <si>
    <t>Total Equity Market Related</t>
  </si>
  <si>
    <t>Non-comp exp / Comp exp</t>
  </si>
  <si>
    <t>Non-comp exp / Total empl exp</t>
  </si>
  <si>
    <t xml:space="preserve"> - Operating (ex Corporate)</t>
  </si>
  <si>
    <t>Avge Operating FTEs (ex Corporate)</t>
  </si>
  <si>
    <t>Employment Expense / Avge FTE</t>
  </si>
  <si>
    <t>Operating Empl Exp / Avge FTE</t>
  </si>
  <si>
    <t>A$'000</t>
  </si>
  <si>
    <t>Implied Salary Expense</t>
  </si>
  <si>
    <t>Implied Bonus Expense</t>
  </si>
  <si>
    <t>Avge Corp FTEs</t>
  </si>
  <si>
    <t>Operating: Salary Exp / Avge FTE</t>
  </si>
  <si>
    <t>Premium / Discount</t>
  </si>
  <si>
    <t>Corp: Salary Exp / Avge FTE</t>
  </si>
  <si>
    <t>Bonus Expense</t>
  </si>
  <si>
    <t>Salary Expense</t>
  </si>
  <si>
    <t>Compensation Expense</t>
  </si>
  <si>
    <t>Bonus / Profit</t>
  </si>
  <si>
    <t>Bonus / Income</t>
  </si>
  <si>
    <t>Income</t>
  </si>
  <si>
    <t>Other fee and commission income (ECM)</t>
  </si>
  <si>
    <t>Corporate &amp; Asset Finance</t>
  </si>
  <si>
    <t>Banking &amp; Financial Services</t>
  </si>
  <si>
    <t>Less: Intangibles</t>
  </si>
  <si>
    <t>Reported ROE</t>
  </si>
  <si>
    <t>Return on Equity (ROE)</t>
  </si>
  <si>
    <t>Returns Analysis</t>
  </si>
  <si>
    <t>Average Assets</t>
  </si>
  <si>
    <t>Return on Assets (ROA)</t>
  </si>
  <si>
    <t>Core Tier 1 Ratio</t>
  </si>
  <si>
    <t>Price / Book Value</t>
  </si>
  <si>
    <t>Price / NTA</t>
  </si>
  <si>
    <t>Intangible Assets</t>
  </si>
  <si>
    <t>Deferred Tax Liabilities</t>
  </si>
  <si>
    <t>Deferred Income Tax Assets</t>
  </si>
  <si>
    <t>Assets</t>
  </si>
  <si>
    <t>Cash and Balances with Central Banks</t>
  </si>
  <si>
    <t>Due from Banks</t>
  </si>
  <si>
    <t>Cash Collateral and Reverse Repurchase Agreements</t>
  </si>
  <si>
    <t>Trading Portfolio Assets</t>
  </si>
  <si>
    <t>Other Securities</t>
  </si>
  <si>
    <t>Derivative Financial Instruments (positive values)</t>
  </si>
  <si>
    <t>Other Assets</t>
  </si>
  <si>
    <t>Investment Securities Available for Sale</t>
  </si>
  <si>
    <t>Life Insurance Contracts</t>
  </si>
  <si>
    <t>Equity Investments</t>
  </si>
  <si>
    <t>Interests in Associates and Joint Ventures</t>
  </si>
  <si>
    <t>Property, Plant and Equipment</t>
  </si>
  <si>
    <t>Liabilities</t>
  </si>
  <si>
    <t>Due to Banks</t>
  </si>
  <si>
    <t>Cash Collateral and Repurchase Agreements</t>
  </si>
  <si>
    <t>Trading Portfolio Liabilities</t>
  </si>
  <si>
    <t>Derivative Financial Instruments (negative values)</t>
  </si>
  <si>
    <t>Deposits</t>
  </si>
  <si>
    <t>Notes Payable</t>
  </si>
  <si>
    <t>Debt Issued (at amortised cost)</t>
  </si>
  <si>
    <t>Other Liabilities</t>
  </si>
  <si>
    <t>Current Tax Liabilities</t>
  </si>
  <si>
    <t>Liabilities (held for resale)</t>
  </si>
  <si>
    <t>Total Liabilities (excluding Loan Capital)</t>
  </si>
  <si>
    <t>Loan Capital</t>
  </si>
  <si>
    <t>Subordinated Debt (at amortised cost)</t>
  </si>
  <si>
    <t>Subordinated Debt (at fair value)</t>
  </si>
  <si>
    <t>Total Loan Capital</t>
  </si>
  <si>
    <t>Total Liabilities</t>
  </si>
  <si>
    <t>Less: Macquarie Income Securities</t>
  </si>
  <si>
    <t>MACQUARIE GROUP LIMITED (MBL)</t>
  </si>
  <si>
    <t>Eligible Capital</t>
  </si>
  <si>
    <t>Bank Gross Tier 1 Capital</t>
  </si>
  <si>
    <t>Non Bank Eligible Capital</t>
  </si>
  <si>
    <t>Intragroup Holdings</t>
  </si>
  <si>
    <t>Group Eligible Capital</t>
  </si>
  <si>
    <t>Banking Group</t>
  </si>
  <si>
    <t>Risk Weighted Assets</t>
  </si>
  <si>
    <t>Less: Exposure to Non Banking Group</t>
  </si>
  <si>
    <t>External Risk Weighted Assets</t>
  </si>
  <si>
    <t>Minimum Tier 1 Ratio</t>
  </si>
  <si>
    <t>Minimum Net Tier 1 Capital</t>
  </si>
  <si>
    <t>Tier 1 Deductions (excluding intragroup exposures)</t>
  </si>
  <si>
    <t>Profit for Diluted EPS</t>
  </si>
  <si>
    <t>Less: Significant Itens</t>
  </si>
  <si>
    <t>MEREP Earnings / Total Earnings</t>
  </si>
  <si>
    <t>Difference</t>
  </si>
  <si>
    <t>Group Tier 1 Ratio</t>
  </si>
  <si>
    <t>Minimum Capital Requirement</t>
  </si>
  <si>
    <t>Non Banking Group</t>
  </si>
  <si>
    <t>Excess Above MCR</t>
  </si>
  <si>
    <t>Total Group</t>
  </si>
  <si>
    <t xml:space="preserve">Group </t>
  </si>
  <si>
    <t>Gross Tier 1 Capital</t>
  </si>
  <si>
    <t>Deductions</t>
  </si>
  <si>
    <t>Net Tier 1 Capital</t>
  </si>
  <si>
    <t>GROUP EQUITY</t>
  </si>
  <si>
    <t>Group Equity</t>
  </si>
  <si>
    <t>Other Minority Interests</t>
  </si>
  <si>
    <t>Bank Equity</t>
  </si>
  <si>
    <t>Total Bank Equity</t>
  </si>
  <si>
    <t>Derivative Financial Instruments: Assets</t>
  </si>
  <si>
    <t>Derivative Financial Instruments: Liabilities</t>
  </si>
  <si>
    <t>Other Financial Liabilities at Fair Value</t>
  </si>
  <si>
    <t>Other Financial Assets at Fair Value</t>
  </si>
  <si>
    <t>Life Insurance Contracts: Liabilities</t>
  </si>
  <si>
    <t>Life Insurance Contracts: Assets</t>
  </si>
  <si>
    <t>Equity</t>
  </si>
  <si>
    <t>Convertible Preference Securities</t>
  </si>
  <si>
    <t>Trading Assets</t>
  </si>
  <si>
    <t>Total Assets / Ord Equity (x)</t>
  </si>
  <si>
    <t>Leverage Ratio (%)</t>
  </si>
  <si>
    <t>Loans / Total Assets</t>
  </si>
  <si>
    <t>Trading Assets / Total Assets</t>
  </si>
  <si>
    <t>Non Bank Equity</t>
  </si>
  <si>
    <t>Total Non Bank Equity</t>
  </si>
  <si>
    <t>Other Eligible Capital</t>
  </si>
  <si>
    <t>Total Eligible Capital</t>
  </si>
  <si>
    <t>Opening Retained Earnings</t>
  </si>
  <si>
    <t>Add: Share of Group Earnings</t>
  </si>
  <si>
    <t>Less: Distributions to Bank</t>
  </si>
  <si>
    <t>Closing Retained Earnings</t>
  </si>
  <si>
    <t>Group Earnings</t>
  </si>
  <si>
    <t>Share of Group Earnings</t>
  </si>
  <si>
    <t>Dividend Payout Ratio</t>
  </si>
  <si>
    <t>Eligible Capital Ratio</t>
  </si>
  <si>
    <t>Residual Tier 1 Ratio</t>
  </si>
  <si>
    <t>Tier 2 Ratio</t>
  </si>
  <si>
    <t>Total Capital Ratio</t>
  </si>
  <si>
    <t>Residual Tier 1 Capital</t>
  </si>
  <si>
    <t>Tier 2 Capital</t>
  </si>
  <si>
    <t>Total Capital Capital</t>
  </si>
  <si>
    <t>Innovative Tier 1 Capital</t>
  </si>
  <si>
    <t>100% Tier 1 Deductions</t>
  </si>
  <si>
    <t>Goodwill</t>
  </si>
  <si>
    <t>Other 100% Tier 1 Deductions</t>
  </si>
  <si>
    <t>50% Tier 1 Deductions</t>
  </si>
  <si>
    <t>Non-subsidiary Entities Exceeding Prescribed Limit</t>
  </si>
  <si>
    <t>Non-consolidated Subsidiaries</t>
  </si>
  <si>
    <t>Shortfall in Provisions for Credit Losses</t>
  </si>
  <si>
    <t>Other 50% Tier 1 Deductions</t>
  </si>
  <si>
    <t>Total Tier 1 Deductions</t>
  </si>
  <si>
    <t>Gross Tier 2 Capital</t>
  </si>
  <si>
    <t>Excess Tier 1 Capital Instruments</t>
  </si>
  <si>
    <t>Other Tier 2 Capital</t>
  </si>
  <si>
    <t>Own Tier 1 Capital</t>
  </si>
  <si>
    <t>50% Tier 2 Deductions</t>
  </si>
  <si>
    <t>Net Tier 2 Capital</t>
  </si>
  <si>
    <t>Credit Risk - FIRB</t>
  </si>
  <si>
    <t>Credit Risk - Specialised Lending</t>
  </si>
  <si>
    <t xml:space="preserve"> - MIRA (ex MEIF 1)</t>
  </si>
  <si>
    <t>Credit Risk - Standardised</t>
  </si>
  <si>
    <t>Credit Risk - Securitisation</t>
  </si>
  <si>
    <t>Total Credit Risk</t>
  </si>
  <si>
    <t>Equity Exposures</t>
  </si>
  <si>
    <t>Market Risk</t>
  </si>
  <si>
    <t xml:space="preserve">Operational Risk </t>
  </si>
  <si>
    <t>Interest Rate Risk in the Banking Book</t>
  </si>
  <si>
    <t>APRA Scaling Factor</t>
  </si>
  <si>
    <t>Total RWA</t>
  </si>
  <si>
    <t>Less: Exposures to Non Banking Group</t>
  </si>
  <si>
    <t>Internal RWA</t>
  </si>
  <si>
    <t>Credit Risk</t>
  </si>
  <si>
    <t>Credit Risk RWA</t>
  </si>
  <si>
    <t>Loan Assets</t>
  </si>
  <si>
    <t>Credit Risk RWA / Loan Assets</t>
  </si>
  <si>
    <t>Hybrid Capital</t>
  </si>
  <si>
    <t>Macquarie Income Securities (MIS)</t>
  </si>
  <si>
    <t>Convertible Preference Shares (CPS)</t>
  </si>
  <si>
    <t>Macquarie Income Preferred Securities (MIPS)</t>
  </si>
  <si>
    <t>Hybrids on Issue</t>
  </si>
  <si>
    <t xml:space="preserve">Included in Tier 1 </t>
  </si>
  <si>
    <t xml:space="preserve">Included in Tier 2 </t>
  </si>
  <si>
    <t>Total Hybrid Capital</t>
  </si>
  <si>
    <t>Per Balance Sheet</t>
  </si>
  <si>
    <t>Residual Tier 1 / Total Tier 1</t>
  </si>
  <si>
    <t>Intragroup Loan</t>
  </si>
  <si>
    <t>Loans (per Balance Sheet)</t>
  </si>
  <si>
    <t>Unfunded Loans</t>
  </si>
  <si>
    <t>Funded Loans</t>
  </si>
  <si>
    <t>A$bn</t>
  </si>
  <si>
    <t>Comprising</t>
  </si>
  <si>
    <t>Australian Home Loans</t>
  </si>
  <si>
    <t>Other Home Loans</t>
  </si>
  <si>
    <t>Total Home Loans</t>
  </si>
  <si>
    <t>Assets including Equity Investments</t>
  </si>
  <si>
    <t>Equity Investments: Financial Assets at Fair Value</t>
  </si>
  <si>
    <t>Equity Investments: Associates and Joint Ventures</t>
  </si>
  <si>
    <t>Equity Hedge Positions</t>
  </si>
  <si>
    <t>Total Funded Equity Investments</t>
  </si>
  <si>
    <t>Listed MIRA Funds</t>
  </si>
  <si>
    <t>Unlisted MIRA Funds</t>
  </si>
  <si>
    <t>Total Managed Funds</t>
  </si>
  <si>
    <t>Other Managed Funds</t>
  </si>
  <si>
    <t>Real Estate</t>
  </si>
  <si>
    <t>Other Equity Investments</t>
  </si>
  <si>
    <t>Change (h-o-h)</t>
  </si>
  <si>
    <t>Financial Assets at Fair Value</t>
  </si>
  <si>
    <t>Available for Sale</t>
  </si>
  <si>
    <t>Associates and Joint Ventures</t>
  </si>
  <si>
    <t>Debt Securities</t>
  </si>
  <si>
    <t>Equity Securities</t>
  </si>
  <si>
    <t>Debt Securities and Loan Assets</t>
  </si>
  <si>
    <t>FUNDING</t>
  </si>
  <si>
    <t>Funding Sources</t>
  </si>
  <si>
    <t>Equity and Hybrids</t>
  </si>
  <si>
    <t>Retail Deposits</t>
  </si>
  <si>
    <t>Other Deposits</t>
  </si>
  <si>
    <t>Wholesale Funding</t>
  </si>
  <si>
    <t>Funding</t>
  </si>
  <si>
    <t>Self Secuitisation</t>
  </si>
  <si>
    <t>Loan to MGL (Non Banking Group)</t>
  </si>
  <si>
    <t>Risk Weighting</t>
  </si>
  <si>
    <t>Attributable Equity Ratio</t>
  </si>
  <si>
    <t>Other Eligible Capital Ratio</t>
  </si>
  <si>
    <t>Non Bank Attributable Equity</t>
  </si>
  <si>
    <t>Cash and Liquid Assets</t>
  </si>
  <si>
    <t>Net Trading Assets</t>
  </si>
  <si>
    <t>HFS Assets</t>
  </si>
  <si>
    <t>Debt Investment Securities</t>
  </si>
  <si>
    <t>Group Average</t>
  </si>
  <si>
    <t>Less: FY13E minorities</t>
  </si>
  <si>
    <t>Less: FY13E preference shares</t>
  </si>
  <si>
    <t>12-mth Forward Price Target</t>
  </si>
  <si>
    <t>Comparable Company: PE Multiples</t>
  </si>
  <si>
    <t>MQG P/E Multiples</t>
  </si>
  <si>
    <t>MQG Premium / Discount</t>
  </si>
  <si>
    <t>Capitalized Earnings</t>
  </si>
  <si>
    <t>Value per Share</t>
  </si>
  <si>
    <t>Number of Shares</t>
  </si>
  <si>
    <t>P/E Multiple</t>
  </si>
  <si>
    <t>Non-salary technology expenses</t>
  </si>
  <si>
    <t>P/BV vs ROE</t>
  </si>
  <si>
    <t>Listed Co-Investments</t>
  </si>
  <si>
    <t>Unlisted Co-Investments</t>
  </si>
  <si>
    <t>TOTAL Co-Investments</t>
  </si>
  <si>
    <t>Deposits with MBL</t>
  </si>
  <si>
    <t>Total Funded Assets</t>
  </si>
  <si>
    <t>Self Funded Assets</t>
  </si>
  <si>
    <t>Risk Weightings</t>
  </si>
  <si>
    <t>Minimum Capital Ratio</t>
  </si>
  <si>
    <t>Capital Requirement</t>
  </si>
  <si>
    <t>Other (Off Balance Sheet Exposures, Operational, Market and Other Risks)</t>
  </si>
  <si>
    <t>Ordinary Capital</t>
  </si>
  <si>
    <t>Gross CET1 Capital</t>
  </si>
  <si>
    <t>Deferred Tax Assets</t>
  </si>
  <si>
    <t>Intangible Components of Investments</t>
  </si>
  <si>
    <t>Other Deductions</t>
  </si>
  <si>
    <t>CET1 Deductions</t>
  </si>
  <si>
    <t>Net CET1 Capital</t>
  </si>
  <si>
    <t>Additional Tier 1</t>
  </si>
  <si>
    <t>Deduction from Additional Tier 1</t>
  </si>
  <si>
    <t>GROUP CAPITAL: APRA BASEL III</t>
  </si>
  <si>
    <t>Tier 1 Deductions</t>
  </si>
  <si>
    <t>BANK: APRA BASEL III</t>
  </si>
  <si>
    <t>NON BANK: APRA BASEL III</t>
  </si>
  <si>
    <t>Debt Investments</t>
  </si>
  <si>
    <t>Co-investments in Funds and Equity Investments</t>
  </si>
  <si>
    <t>PPE and Intangibles</t>
  </si>
  <si>
    <t>Other Exposures</t>
  </si>
  <si>
    <t>Total Non Bank Capital Requirement</t>
  </si>
  <si>
    <t>Capital Requirement: Funded Assets</t>
  </si>
  <si>
    <t>Capital Requirement: Other Exposures</t>
  </si>
  <si>
    <t>Other Funded Assets</t>
  </si>
  <si>
    <t>Sub-Total</t>
  </si>
  <si>
    <t>Minimum Ratio</t>
  </si>
  <si>
    <t>Non Bank</t>
  </si>
  <si>
    <t>Mortgages</t>
  </si>
  <si>
    <t>Other Loans</t>
  </si>
  <si>
    <t>Equity Risk</t>
  </si>
  <si>
    <t>Operational Risk</t>
  </si>
  <si>
    <t>6% IRB Scaling Factors</t>
  </si>
  <si>
    <t>Total Bank RWA</t>
  </si>
  <si>
    <t>Credit RWA / Total Loans</t>
  </si>
  <si>
    <t>Credit RWA / Mortgages</t>
  </si>
  <si>
    <t>Credit RWA / Other Assets</t>
  </si>
  <si>
    <t>IRB Scaling Factor / Total Loans</t>
  </si>
  <si>
    <t>GROUP CAPITAL RATIOS</t>
  </si>
  <si>
    <t>GROUP CAPITAL</t>
  </si>
  <si>
    <t>Group RWA</t>
  </si>
  <si>
    <t>Group CET1 Ratio</t>
  </si>
  <si>
    <t>Bank</t>
  </si>
  <si>
    <t>CET1 / Ord Equity</t>
  </si>
  <si>
    <t>Minimum</t>
  </si>
  <si>
    <t>Maximum</t>
  </si>
  <si>
    <t>Deficit</t>
  </si>
  <si>
    <t>Surplus</t>
  </si>
  <si>
    <t>Dividend per Share</t>
  </si>
  <si>
    <t>Spot FX</t>
  </si>
  <si>
    <t>Average</t>
  </si>
  <si>
    <t>Spot Interest Rates</t>
  </si>
  <si>
    <t>Cash Rate</t>
  </si>
  <si>
    <t>Minority Interests (ex MIS)</t>
  </si>
  <si>
    <t>Earnings on unvested MEREP Shares</t>
  </si>
  <si>
    <t>Retention Securities and Options</t>
  </si>
  <si>
    <t>Less : Other Minority Interests</t>
  </si>
  <si>
    <t>Less: Deferred Tax Assets</t>
  </si>
  <si>
    <t>Add: Deferred Tax Liability</t>
  </si>
  <si>
    <t>Average Ordinary Equity (for ROE)</t>
  </si>
  <si>
    <t>Average Ordinary Equity (Calculated)</t>
  </si>
  <si>
    <t>Difference (Implied)</t>
  </si>
  <si>
    <t>ASSETS UNDER MANAGEMENT (A$bn)</t>
  </si>
  <si>
    <t>BALANCE SHEET (A$bn)</t>
  </si>
  <si>
    <t xml:space="preserve">APRA CAPITAL POSITION (A$bn) </t>
  </si>
  <si>
    <t>Avg AUM</t>
  </si>
  <si>
    <t>Funded Assets / Equity</t>
  </si>
  <si>
    <t>Leverage</t>
  </si>
  <si>
    <t>Totals Assets / Equity</t>
  </si>
  <si>
    <t>Funded Assets / Ordinary Equity</t>
  </si>
  <si>
    <t>Tier 1 Ratio</t>
  </si>
  <si>
    <t>AUD</t>
  </si>
  <si>
    <t>MQG.AX</t>
  </si>
  <si>
    <t>% of Group</t>
  </si>
  <si>
    <t xml:space="preserve">Bank </t>
  </si>
  <si>
    <t>% Bank</t>
  </si>
  <si>
    <t>FY15</t>
  </si>
  <si>
    <t>Convertible Preference Share</t>
  </si>
  <si>
    <t>Co-investments in Funds and Equity Investments (ex hedges for DPS plan liabilities)</t>
  </si>
  <si>
    <t>Exchange for Ordinary share</t>
  </si>
  <si>
    <t>Principal (Proceeds on the issue pf MIPS)</t>
  </si>
  <si>
    <t>Exchangeable Shares - balancing item to reconcile basic EPS in line 30</t>
  </si>
  <si>
    <t>Brokerage Expense / Total Revenue</t>
  </si>
  <si>
    <t>% Funded</t>
  </si>
  <si>
    <t>Deposits per Balance Sheet</t>
  </si>
  <si>
    <t>Deposits per Funding</t>
  </si>
  <si>
    <t>Corporate &amp; Wholesale Deposits</t>
  </si>
  <si>
    <t>% Retail</t>
  </si>
  <si>
    <t>Refer below</t>
  </si>
  <si>
    <t>Calculated</t>
  </si>
  <si>
    <t>Accounting Deductions and Non Recourse Assets</t>
  </si>
  <si>
    <t>Loans &gt; 1 yr</t>
  </si>
  <si>
    <t>Loans &lt; 1 yr</t>
  </si>
  <si>
    <t>% Short Term</t>
  </si>
  <si>
    <t>Self Securitisation</t>
  </si>
  <si>
    <t>Base</t>
  </si>
  <si>
    <t>Sum of the Parts (SOTP)</t>
  </si>
  <si>
    <t>Residual Income (RIVM)</t>
  </si>
  <si>
    <t>x</t>
  </si>
  <si>
    <t>Current price</t>
  </si>
  <si>
    <t>Group Value</t>
  </si>
  <si>
    <t>Weighted Average</t>
  </si>
  <si>
    <t>Next 12mth Dividend</t>
  </si>
  <si>
    <t>Upside to Price Target</t>
  </si>
  <si>
    <t>% Self Securitisation</t>
  </si>
  <si>
    <t>Self Funded and Non Recourse Assets</t>
  </si>
  <si>
    <t>Total Non Bank Group Assets</t>
  </si>
  <si>
    <t>Check RWA Calc: Co-investments</t>
  </si>
  <si>
    <t>Asset Balance</t>
  </si>
  <si>
    <t>RW Equivalent</t>
  </si>
  <si>
    <t>Implied Capital Ratio</t>
  </si>
  <si>
    <t>Check: Excess Above MCR (7% Bank Tier 1)</t>
  </si>
  <si>
    <t>EXCHANGE RATES</t>
  </si>
  <si>
    <t>INTEREST RATES</t>
  </si>
  <si>
    <t>Exhanged for Ordinary share</t>
  </si>
  <si>
    <t>DRP Buyback</t>
  </si>
  <si>
    <t>Net DRP Share Issue</t>
  </si>
  <si>
    <t>Other Movements (inc Transfer to/from Reserves)</t>
  </si>
  <si>
    <t>FUNDING (A$bn)</t>
  </si>
  <si>
    <t>Wholesale Funding / Total Funding (%)</t>
  </si>
  <si>
    <t>Share of Operating Profit</t>
  </si>
  <si>
    <t>Deposits / Total Funding (%)</t>
  </si>
  <si>
    <t>Equity / Total Funding (%)</t>
  </si>
  <si>
    <t>Funded Loans / Deposits (%)</t>
  </si>
  <si>
    <t>Av Assets</t>
  </si>
  <si>
    <t>Interest Income / Av Assets</t>
  </si>
  <si>
    <t>NII / Av Assets</t>
  </si>
  <si>
    <t>Macquarie Group Limited</t>
  </si>
  <si>
    <t>Commodities: Inventory Mgmt, Transport &amp; Storage</t>
  </si>
  <si>
    <t>Cross Cycle ROE</t>
  </si>
  <si>
    <t>Book Value per Share</t>
  </si>
  <si>
    <t>NTA per Share</t>
  </si>
  <si>
    <t>Assumptions</t>
  </si>
  <si>
    <t>Ratio</t>
  </si>
  <si>
    <t>RWA</t>
  </si>
  <si>
    <t>Valuation</t>
  </si>
  <si>
    <t>Converting Preference Shares</t>
  </si>
  <si>
    <t>Ordinary Equity</t>
  </si>
  <si>
    <t>Tier 1 Capital</t>
  </si>
  <si>
    <t>Core Tier 1 Capital</t>
  </si>
  <si>
    <t>Macquarie Securities</t>
  </si>
  <si>
    <t>Fee and commission income</t>
  </si>
  <si>
    <t>Internal revenue</t>
  </si>
  <si>
    <t>Total operating income</t>
  </si>
  <si>
    <t>Total operating expenses</t>
  </si>
  <si>
    <t>Tax expense</t>
  </si>
  <si>
    <t>Net interest income</t>
  </si>
  <si>
    <t>Profit before tax</t>
  </si>
  <si>
    <t>1H09</t>
  </si>
  <si>
    <t>2H09</t>
  </si>
  <si>
    <t>1H10</t>
  </si>
  <si>
    <t>Macquarie Capital</t>
  </si>
  <si>
    <t>Macquarie Funds</t>
  </si>
  <si>
    <t>Real Estate Banking</t>
  </si>
  <si>
    <t>Corporate</t>
  </si>
  <si>
    <t>Check</t>
  </si>
  <si>
    <t>Reported</t>
  </si>
  <si>
    <t>2H10</t>
  </si>
  <si>
    <t>FY09</t>
  </si>
  <si>
    <t>FY10</t>
  </si>
  <si>
    <t>Brokerage and Commissions</t>
  </si>
  <si>
    <t>Base Fees</t>
  </si>
  <si>
    <t>Performance Fees</t>
  </si>
  <si>
    <t>Total</t>
  </si>
  <si>
    <t>Corporate and Asset Finance</t>
  </si>
  <si>
    <t>Banking and Financial Services</t>
  </si>
  <si>
    <t>Commodities</t>
  </si>
  <si>
    <t>Net Trading Income</t>
  </si>
  <si>
    <t>Commodities: Risk Management</t>
  </si>
  <si>
    <t>Commodities: Lending and Financing</t>
  </si>
  <si>
    <t>Commodities: Total</t>
  </si>
  <si>
    <t>Macquarie Asset Management</t>
  </si>
  <si>
    <t>MACQUARIE ASSET MANAGEMENT</t>
  </si>
  <si>
    <t>Net Interest Income</t>
  </si>
  <si>
    <t>Other</t>
  </si>
  <si>
    <t>Equities</t>
  </si>
  <si>
    <t>GROUP</t>
  </si>
  <si>
    <t>Profit Before Tax</t>
  </si>
  <si>
    <t>1H11</t>
  </si>
  <si>
    <t>Employment expenses</t>
  </si>
  <si>
    <t>Brokerage and commission expenses</t>
  </si>
  <si>
    <t>Other operating expenses</t>
  </si>
  <si>
    <t>Employment Expenses</t>
  </si>
  <si>
    <t>Other Expenses</t>
  </si>
  <si>
    <t>1H08</t>
  </si>
  <si>
    <t>2H08</t>
  </si>
  <si>
    <t>FY08</t>
  </si>
  <si>
    <t>A$m</t>
  </si>
  <si>
    <t xml:space="preserve"> - total</t>
  </si>
  <si>
    <t xml:space="preserve"> - Macquarie Securities brokerage</t>
  </si>
  <si>
    <t>Base fees</t>
  </si>
  <si>
    <t xml:space="preserve"> - Macquarie Funds</t>
  </si>
  <si>
    <t>MIRA</t>
  </si>
  <si>
    <t>Performance fees</t>
  </si>
  <si>
    <t xml:space="preserve"> - BFS brokerage</t>
  </si>
  <si>
    <t xml:space="preserve"> - BFS other income</t>
  </si>
  <si>
    <t>Other operating income</t>
  </si>
  <si>
    <t>FINANCIAL SUMMARY</t>
  </si>
  <si>
    <t>1H00</t>
  </si>
  <si>
    <t>2H00</t>
  </si>
  <si>
    <t>FY00</t>
  </si>
  <si>
    <t>Ch</t>
  </si>
  <si>
    <t>1H01</t>
  </si>
  <si>
    <t>2H01</t>
  </si>
  <si>
    <t>FY01</t>
  </si>
  <si>
    <t>1H02</t>
  </si>
  <si>
    <t>2H02</t>
  </si>
  <si>
    <t>FY02</t>
  </si>
  <si>
    <t>1H03</t>
  </si>
  <si>
    <t>2H03</t>
  </si>
  <si>
    <t>FY03</t>
  </si>
  <si>
    <t>1H04</t>
  </si>
  <si>
    <t>2H04</t>
  </si>
  <si>
    <t>FY04</t>
  </si>
  <si>
    <t>1H05</t>
  </si>
  <si>
    <t>2H05</t>
  </si>
  <si>
    <t>FY05</t>
  </si>
  <si>
    <t>1H06</t>
  </si>
  <si>
    <t>2H06</t>
  </si>
  <si>
    <t>FY06</t>
  </si>
  <si>
    <t>1H07</t>
  </si>
  <si>
    <t>2H07</t>
  </si>
  <si>
    <t>FY07</t>
  </si>
  <si>
    <t xml:space="preserve">Sept 30 / Mar 31 </t>
  </si>
  <si>
    <t>AGAAP</t>
  </si>
  <si>
    <t>AIFRS</t>
  </si>
  <si>
    <t>Net trading income</t>
  </si>
  <si>
    <t>Associates and JVs</t>
  </si>
  <si>
    <t>Net profit contribution</t>
  </si>
  <si>
    <t xml:space="preserve"> - brokerage and commissions</t>
  </si>
  <si>
    <t xml:space="preserve"> - other fee and commission income</t>
  </si>
  <si>
    <t xml:space="preserve"> - M&amp;A, advisory and UW fees</t>
  </si>
  <si>
    <t xml:space="preserve"> - net gains on sale of equity investments</t>
  </si>
  <si>
    <t xml:space="preserve"> - gain on reclassification of retained investments</t>
  </si>
  <si>
    <t xml:space="preserve"> - impairment charge on equity investments</t>
  </si>
  <si>
    <t xml:space="preserve"> - impairment charge on non-financial assets</t>
  </si>
  <si>
    <t xml:space="preserve"> - gain on subsidiaries and businesses held for sale</t>
  </si>
  <si>
    <t xml:space="preserve"> - net operating lease income</t>
  </si>
  <si>
    <t xml:space="preserve"> - other income</t>
  </si>
  <si>
    <t>Non controlling interests</t>
  </si>
  <si>
    <t xml:space="preserve"> - base fees</t>
  </si>
  <si>
    <t xml:space="preserve"> - performance fees</t>
  </si>
  <si>
    <t xml:space="preserve"> - sale of management rights</t>
  </si>
  <si>
    <t xml:space="preserve"> - commodities</t>
  </si>
  <si>
    <t xml:space="preserve"> - FX</t>
  </si>
  <si>
    <t xml:space="preserve"> - interest rates</t>
  </si>
  <si>
    <t xml:space="preserve"> </t>
  </si>
  <si>
    <t xml:space="preserve"> - specific provisions and collective allowance for credit losses</t>
  </si>
  <si>
    <t xml:space="preserve"> - income from life and other unit holder businesses</t>
  </si>
  <si>
    <t xml:space="preserve"> - net gains on sale of debt and equity securities</t>
  </si>
  <si>
    <t xml:space="preserve"> - gain on repurchase of debt</t>
  </si>
  <si>
    <t>MIPS</t>
  </si>
  <si>
    <t>MIS</t>
  </si>
  <si>
    <t>M&amp;A related revenues</t>
  </si>
  <si>
    <t xml:space="preserve"> - Maquarie Capital: M&amp;A, advisory and UW fees</t>
  </si>
  <si>
    <t xml:space="preserve"> - Macquarie Capital: other fee and commission expense</t>
  </si>
  <si>
    <t xml:space="preserve"> - Macquarie Securities: other fee and commission income</t>
  </si>
  <si>
    <t xml:space="preserve"> - Macquarie Funds: M&amp;A, advisory and UW fees</t>
  </si>
  <si>
    <t xml:space="preserve"> - growth rate</t>
  </si>
  <si>
    <t>Net interest income split</t>
  </si>
  <si>
    <t xml:space="preserve"> - Macquarie Securities</t>
  </si>
  <si>
    <t xml:space="preserve"> - Macquarie Capital</t>
  </si>
  <si>
    <t xml:space="preserve"> - FICC</t>
  </si>
  <si>
    <t xml:space="preserve"> - Real Estate Banking</t>
  </si>
  <si>
    <t xml:space="preserve"> - Banking and Financial Services</t>
  </si>
  <si>
    <t xml:space="preserve"> - Corporate and Asset Finance</t>
  </si>
  <si>
    <t xml:space="preserve"> - Corporate</t>
  </si>
  <si>
    <t>Average AUM</t>
  </si>
  <si>
    <t>Staff numbers</t>
  </si>
  <si>
    <t>Group</t>
  </si>
  <si>
    <t>Employment expense</t>
  </si>
  <si>
    <t xml:space="preserve"> - Group</t>
  </si>
  <si>
    <t>FICC markets related fee income</t>
  </si>
  <si>
    <t>Macquarie Bank Capital Notes</t>
  </si>
  <si>
    <t>MBCN</t>
  </si>
  <si>
    <t xml:space="preserve"> - Funds other fee and commission income</t>
  </si>
  <si>
    <t xml:space="preserve"> - growth rate life and other unit holder business</t>
  </si>
  <si>
    <t xml:space="preserve"> - Macquarie Funds: MIML</t>
  </si>
  <si>
    <t xml:space="preserve"> - Macquarie Funds: MIRA</t>
  </si>
  <si>
    <t xml:space="preserve"> - Macquarie Funds: MSIS</t>
  </si>
  <si>
    <t xml:space="preserve"> - Macquarie Funds: total</t>
  </si>
  <si>
    <t xml:space="preserve"> - MIML</t>
  </si>
  <si>
    <t xml:space="preserve"> - MIRA</t>
  </si>
  <si>
    <t xml:space="preserve"> - MSIS</t>
  </si>
  <si>
    <t>Spot EUM</t>
  </si>
  <si>
    <t xml:space="preserve"> - MIRA + MSIS</t>
  </si>
  <si>
    <t>Base fee income</t>
  </si>
  <si>
    <t>Performance fee income</t>
  </si>
  <si>
    <t xml:space="preserve"> - equities</t>
  </si>
  <si>
    <t>Underlying net trading income</t>
  </si>
  <si>
    <t>One-off net trading income</t>
  </si>
  <si>
    <t xml:space="preserve"> - adjustment accounting for swaps</t>
  </si>
  <si>
    <t xml:space="preserve"> - growth in fee and commission income</t>
  </si>
  <si>
    <t>Associates and JVs share</t>
  </si>
  <si>
    <t>Impairment charge on non-financial assets</t>
  </si>
  <si>
    <t>Gain on reclassification of retained investments</t>
  </si>
  <si>
    <t>Sub-total</t>
  </si>
  <si>
    <t>"Lumpy Items"</t>
  </si>
  <si>
    <t>Less: Op Lease Income</t>
  </si>
  <si>
    <t>"Lumpy" Items</t>
  </si>
  <si>
    <t>Sale of management rights</t>
  </si>
  <si>
    <t>Net operating lease income</t>
  </si>
  <si>
    <t>Other income</t>
  </si>
  <si>
    <t>Loans</t>
  </si>
  <si>
    <t>Brokerage and commission expense</t>
  </si>
  <si>
    <t>Net interest and trading income</t>
  </si>
  <si>
    <t>OLD DISCLOSURE</t>
  </si>
  <si>
    <t>Fee Income</t>
  </si>
  <si>
    <t>Brokerage and commission income</t>
  </si>
  <si>
    <t>Other operating expense forecasting</t>
  </si>
  <si>
    <t>Occupancy expenses</t>
  </si>
  <si>
    <t>Non-salary technolopgy expenses</t>
  </si>
  <si>
    <t>DRP shares purchased on market</t>
  </si>
  <si>
    <t>Professional fees</t>
  </si>
  <si>
    <t>Travel and entertainment</t>
  </si>
  <si>
    <t>Advertising and communication</t>
  </si>
  <si>
    <t>Other expenses</t>
  </si>
  <si>
    <t>Other operating expenses split</t>
  </si>
  <si>
    <t>Discrepancy</t>
  </si>
  <si>
    <t>Non-controlling interests</t>
  </si>
  <si>
    <t>Net trading income by product</t>
  </si>
  <si>
    <t xml:space="preserve"> - fee and commission income / net interest income</t>
  </si>
  <si>
    <t xml:space="preserve"> - Corporate ex bonuses</t>
  </si>
  <si>
    <t xml:space="preserve"> - bonuses</t>
  </si>
  <si>
    <t xml:space="preserve"> - ex Corporate</t>
  </si>
  <si>
    <t>Employment expense composition</t>
  </si>
  <si>
    <t>Compensation expense</t>
  </si>
  <si>
    <t xml:space="preserve"> - salaries</t>
  </si>
  <si>
    <t>Total income</t>
  </si>
  <si>
    <t>Growth in compensation expense / employees</t>
  </si>
  <si>
    <t xml:space="preserve"> - bonuses / compensation expense</t>
  </si>
  <si>
    <t>Non-compensation expense / employees</t>
  </si>
  <si>
    <t>Non-compensation expense</t>
  </si>
  <si>
    <t>Total AUM</t>
  </si>
  <si>
    <t>Should be 8%</t>
  </si>
  <si>
    <t>Income Statement</t>
  </si>
  <si>
    <t>Fee and Commission Income</t>
  </si>
  <si>
    <t>Share of Profits from Assoc. and JVs</t>
  </si>
  <si>
    <t>Other Operating Income &amp; Charges</t>
  </si>
  <si>
    <t>Brokerage and Commission Expenses</t>
  </si>
  <si>
    <t>Total Operating Expenses</t>
  </si>
  <si>
    <t>Income Tax Expense</t>
  </si>
  <si>
    <t>Profit After Tax</t>
  </si>
  <si>
    <t>Minority Interests</t>
  </si>
  <si>
    <t>Reported Profit</t>
  </si>
  <si>
    <t>Less: Significant Items</t>
  </si>
  <si>
    <t>ModelWare Profit</t>
  </si>
  <si>
    <t>Basic EPS (cps)</t>
  </si>
  <si>
    <t>Deal Value</t>
  </si>
  <si>
    <t>Revenue per Transaction</t>
  </si>
  <si>
    <t>Revenue per A$bn Deal Value</t>
  </si>
  <si>
    <t>Listed</t>
  </si>
  <si>
    <t>Unlisted</t>
  </si>
  <si>
    <t>Modelware EPS (cps)</t>
  </si>
  <si>
    <t>Ordinary Dividend per Share (cps)</t>
  </si>
  <si>
    <t>M&amp;A, Advisory and Underwriting</t>
  </si>
  <si>
    <t>Other Fees and Commission Income</t>
  </si>
  <si>
    <t>Bull Case P/E Multiple</t>
  </si>
  <si>
    <t>Risk Free Rate</t>
  </si>
  <si>
    <t>Opening Ord Shareholders Equity</t>
  </si>
  <si>
    <t>Closing Ord Shareholders Equity</t>
  </si>
  <si>
    <t>Opening Ord Shares</t>
  </si>
  <si>
    <t>Closing Ord Shares</t>
  </si>
  <si>
    <t>Weighted Avge Shares</t>
  </si>
  <si>
    <t xml:space="preserve">Closing CET1 </t>
  </si>
  <si>
    <t>CET1 Ratio</t>
  </si>
  <si>
    <t>Mainly income from principal investments</t>
  </si>
  <si>
    <t>Average NTA for ROE</t>
  </si>
  <si>
    <t>Avg Intangibles, DTA, DTL</t>
  </si>
  <si>
    <t>Intangibles, DTA, DTL</t>
  </si>
  <si>
    <t>RoNTA</t>
  </si>
  <si>
    <t>Operating revenue</t>
  </si>
  <si>
    <t>Other Movements / Opening Balance</t>
  </si>
  <si>
    <t>Impairment Charges</t>
  </si>
  <si>
    <t>Total writedowns</t>
  </si>
  <si>
    <t>Profit before tax and writedowns</t>
  </si>
  <si>
    <t>Underlying tax rate</t>
  </si>
  <si>
    <t>Tax benefit from writedowns</t>
  </si>
  <si>
    <t>Tax expense ex writedowns</t>
  </si>
  <si>
    <t>Earnings</t>
  </si>
  <si>
    <t>Spot AUM growth (h-o-h)</t>
  </si>
  <si>
    <t>Performance fee margins (bp)</t>
  </si>
  <si>
    <t>Base fee margins (bp)</t>
  </si>
  <si>
    <t>Reported base fees</t>
  </si>
  <si>
    <t>M&amp;A, advisory and underwriting</t>
  </si>
  <si>
    <t>Check fee and commission reconciliation</t>
  </si>
  <si>
    <t>Brokerage and commissions</t>
  </si>
  <si>
    <t>Other fee and commission income</t>
  </si>
  <si>
    <t>2H11</t>
  </si>
  <si>
    <t>FY11</t>
  </si>
  <si>
    <t>BFS</t>
  </si>
  <si>
    <t xml:space="preserve">   - MSIS</t>
  </si>
  <si>
    <t xml:space="preserve"> - BFS M&amp;A, advisory and UW fees</t>
  </si>
  <si>
    <t>Net gains on sale of equity investments</t>
  </si>
  <si>
    <t>EPS</t>
  </si>
  <si>
    <t>Impairment charge on equity investments</t>
  </si>
  <si>
    <t>Gain on subsidiaries and businesses held for sale</t>
  </si>
  <si>
    <t>Specific provisions and collective allowance for credit losses</t>
  </si>
  <si>
    <t>Net gains on sale of debt and equity securities</t>
  </si>
  <si>
    <t>Gain on repurchase of debt</t>
  </si>
  <si>
    <t>Operating Businesses</t>
  </si>
  <si>
    <t>1H12</t>
  </si>
  <si>
    <t xml:space="preserve"> - net gains on sale of associates and JVs</t>
  </si>
  <si>
    <t xml:space="preserve"> - dividends and distributions received</t>
  </si>
  <si>
    <t>Dividends and distributions received</t>
  </si>
  <si>
    <t xml:space="preserve"> - MacCap growth rate</t>
  </si>
  <si>
    <t xml:space="preserve"> - MacSec growth rate</t>
  </si>
  <si>
    <t>100% sec</t>
  </si>
  <si>
    <t>100% FICC</t>
  </si>
  <si>
    <t>20% cap / 80% FICC</t>
  </si>
  <si>
    <t>Change (y-o-y)</t>
  </si>
  <si>
    <t>Capital Markets Facing</t>
  </si>
  <si>
    <t>Annuity Style</t>
  </si>
  <si>
    <t>Fees and Commissions</t>
  </si>
  <si>
    <t>MIRA AUM</t>
  </si>
  <si>
    <t>MACQUARIE GROUP (MQG)</t>
  </si>
  <si>
    <t>CORPORATE</t>
  </si>
  <si>
    <t>BANKING &amp; FINANCIAL SERVICES</t>
  </si>
  <si>
    <t>DIVISIONAL SUMMARY</t>
  </si>
  <si>
    <t>Profit ex Other Income</t>
  </si>
  <si>
    <t>Salaries</t>
  </si>
  <si>
    <t>Bonuses</t>
  </si>
  <si>
    <t>Salaries (y-o-y)</t>
  </si>
  <si>
    <t>Bonuses (y-o-y)</t>
  </si>
  <si>
    <t>Bank: Tier 1 Deduction</t>
  </si>
  <si>
    <t>Assets Under Management</t>
  </si>
  <si>
    <t>Equity Under Management</t>
  </si>
  <si>
    <t>Group AUM</t>
  </si>
  <si>
    <t>AUM by Type</t>
  </si>
  <si>
    <t>AUM by Geography</t>
  </si>
  <si>
    <t>Fixed Income</t>
  </si>
  <si>
    <t>AUM: MIRA</t>
  </si>
  <si>
    <t>Americas (US$)</t>
  </si>
  <si>
    <t>EMEA (Eur)</t>
  </si>
  <si>
    <t>Australia (A$)</t>
  </si>
  <si>
    <t>Asia (US$)</t>
  </si>
  <si>
    <t>A$/Eur</t>
  </si>
  <si>
    <t>Total (const ccy)</t>
  </si>
  <si>
    <t>Local Ccy</t>
  </si>
  <si>
    <t>FX Impact (estimate)</t>
  </si>
  <si>
    <t>- gains on sale + other income</t>
  </si>
  <si>
    <t>A$/HK$</t>
  </si>
  <si>
    <t>Delaware (US$)</t>
  </si>
  <si>
    <t>% Delaware</t>
  </si>
  <si>
    <t>% Other</t>
  </si>
  <si>
    <t>Delaware (A$)</t>
  </si>
  <si>
    <t>Other MIML (A$)</t>
  </si>
  <si>
    <t>Total MIML (A$)</t>
  </si>
  <si>
    <t>MIRA + MSIS</t>
  </si>
  <si>
    <t>MSIS</t>
  </si>
  <si>
    <t>Total MIRA + MSIS</t>
  </si>
  <si>
    <t>MIRA + MSIS (America)</t>
  </si>
  <si>
    <t>MIRA + MSIS (EMEA)</t>
  </si>
  <si>
    <t>MIML</t>
  </si>
  <si>
    <t>MIRA + MSIS (Aust + Asia)</t>
  </si>
  <si>
    <t>MIRA + MSIS (America) (US$)</t>
  </si>
  <si>
    <t>MIRA + MSIS (EMEA) (Eur)</t>
  </si>
  <si>
    <t>AUM by Asset Class</t>
  </si>
  <si>
    <t>Diluted EPS (cps)</t>
  </si>
  <si>
    <t>FORECASTS</t>
  </si>
  <si>
    <t>2H12</t>
  </si>
  <si>
    <t>FY12</t>
  </si>
  <si>
    <t xml:space="preserve"> - gain on sale of non-financial assets</t>
  </si>
  <si>
    <t>Gain on sale of non-financial assets</t>
  </si>
  <si>
    <t>Net gains on sales of associates and JVs</t>
  </si>
  <si>
    <t>Capital</t>
  </si>
  <si>
    <t xml:space="preserve"> - BFS brokerage growth rate</t>
  </si>
  <si>
    <t xml:space="preserve"> - BFS other income growth rate</t>
  </si>
  <si>
    <t>1H13</t>
  </si>
  <si>
    <t>2H15</t>
  </si>
  <si>
    <t>n/a</t>
  </si>
  <si>
    <t>M&amp;A, advisory and UW fees</t>
  </si>
  <si>
    <t>Ex ECM</t>
  </si>
  <si>
    <t>ECM (50/50 split Securities and Capital)</t>
  </si>
  <si>
    <t>Expenses</t>
  </si>
  <si>
    <t>Total Revenue</t>
  </si>
  <si>
    <t>2H13</t>
  </si>
  <si>
    <t>FY13</t>
  </si>
  <si>
    <t>Americas</t>
  </si>
  <si>
    <t>Asia</t>
  </si>
  <si>
    <t>Australia</t>
  </si>
  <si>
    <t>ROE</t>
  </si>
  <si>
    <t>Effective Tax Rate</t>
  </si>
  <si>
    <t>Average Equity</t>
  </si>
  <si>
    <t>Underlying Revenue</t>
  </si>
  <si>
    <t>Gains on Sale</t>
  </si>
  <si>
    <t>MACQUARIE CAPITAL</t>
  </si>
  <si>
    <t>Net Interest and Trading Income</t>
  </si>
  <si>
    <t>Total Expenses</t>
  </si>
  <si>
    <t>OEI</t>
  </si>
  <si>
    <t>A$/US$</t>
  </si>
  <si>
    <t>A$/£</t>
  </si>
  <si>
    <t>%</t>
  </si>
  <si>
    <t>£m</t>
  </si>
  <si>
    <t>Annuity</t>
  </si>
  <si>
    <t xml:space="preserve">Total </t>
  </si>
  <si>
    <t>Profit</t>
  </si>
  <si>
    <t>Tax Expense</t>
  </si>
  <si>
    <t>Interest Income</t>
  </si>
  <si>
    <t>Interest Expense</t>
  </si>
  <si>
    <t>Capital Mkts</t>
  </si>
  <si>
    <t>EMEA</t>
  </si>
  <si>
    <t>Current Share Price</t>
  </si>
  <si>
    <t>INCOME STATEMENT (A$m)</t>
  </si>
  <si>
    <t>SHARE RATIOS &amp; VALUATION</t>
  </si>
  <si>
    <t>Year End 31 March</t>
  </si>
  <si>
    <t>2H12E</t>
  </si>
  <si>
    <t>Basic P/E Multiple (x)</t>
  </si>
  <si>
    <t>NTA per Share (A$)</t>
  </si>
  <si>
    <t>Book Value per Share (A$)</t>
  </si>
  <si>
    <t>Price/Book (x)</t>
  </si>
  <si>
    <t>Price / NTA (x)</t>
  </si>
  <si>
    <t>Ordinary Dividend Payout Ratio (%)</t>
  </si>
  <si>
    <t>Ordinary Dividend Yield (%)</t>
  </si>
  <si>
    <t>Issued Shares (m)</t>
  </si>
  <si>
    <t>Weighted Average Shares (m)</t>
  </si>
  <si>
    <t>Fully Diluted Shares (m)</t>
  </si>
  <si>
    <t>PERFORMANCE ANALYSIS</t>
  </si>
  <si>
    <t>Profitability</t>
  </si>
  <si>
    <t>1H15</t>
  </si>
  <si>
    <t>Average AUM over the period</t>
  </si>
  <si>
    <t>Source / Comment</t>
  </si>
  <si>
    <t>Report Note 6: EPS</t>
  </si>
  <si>
    <t>WA Macquarie Convertible Pref Shares</t>
  </si>
  <si>
    <t>Interim Note 5 Dividends: Text</t>
  </si>
  <si>
    <t>Energy, Resources and Commodities</t>
  </si>
  <si>
    <t>Distributions (Paid &amp; Provided For)</t>
  </si>
  <si>
    <t>Including: Impairment Charges</t>
  </si>
  <si>
    <t>Check: Excess Above MCR (8.5% Bank Tier 1)</t>
  </si>
  <si>
    <t xml:space="preserve">Less: Additional Tier 1 </t>
  </si>
  <si>
    <t>Contributed Equity</t>
  </si>
  <si>
    <t>Split</t>
  </si>
  <si>
    <t>Duluted Shares on Issue</t>
  </si>
  <si>
    <t>Book Value per Diluted Share</t>
  </si>
  <si>
    <t>NTA per Diluted Share</t>
  </si>
  <si>
    <t>PRICE TARGET</t>
  </si>
  <si>
    <t>1H16</t>
  </si>
  <si>
    <t>PBT excluding OEI</t>
  </si>
  <si>
    <t>DRP Capital Raised Next Period</t>
  </si>
  <si>
    <t>Dividend Reinvestment Plan (Net of buybacks)</t>
  </si>
  <si>
    <t>TOTAL</t>
  </si>
  <si>
    <t>Sec: Brokerage</t>
  </si>
  <si>
    <t>Sec: Trading Income</t>
  </si>
  <si>
    <t>Sec: ECM</t>
  </si>
  <si>
    <t>Cap: M&amp;A and ECM</t>
  </si>
  <si>
    <t>Other Lumpy Income</t>
  </si>
  <si>
    <t>Total EUM</t>
  </si>
  <si>
    <t>AUM / EUM Ratio: MIRA + MSIS</t>
  </si>
  <si>
    <t>MIRA: EUM / AUM Ratio</t>
  </si>
  <si>
    <t xml:space="preserve">Average EUM </t>
  </si>
  <si>
    <t>FIC</t>
  </si>
  <si>
    <t>2H16</t>
  </si>
  <si>
    <t>FY16</t>
  </si>
  <si>
    <t>Revenue Mix</t>
  </si>
  <si>
    <t>Lumpy items</t>
  </si>
  <si>
    <t>CAF: Net Interest Income</t>
  </si>
  <si>
    <t>BFS: Net Interest Income</t>
  </si>
  <si>
    <t>CFM: Commodities</t>
  </si>
  <si>
    <t>CFM: Credit, Rates and FX</t>
  </si>
  <si>
    <t>Investment and Other Income</t>
  </si>
  <si>
    <t>AWAS</t>
  </si>
  <si>
    <t>1H17</t>
  </si>
  <si>
    <t>12m Price Target</t>
  </si>
  <si>
    <t>Alternatives and Multi-Asset</t>
  </si>
  <si>
    <t>Check (ex brokerage)</t>
  </si>
  <si>
    <t>Equity Investments for Capital Requirements</t>
  </si>
  <si>
    <t>Banking Fee Income</t>
  </si>
  <si>
    <t>Wealth Management Income</t>
  </si>
  <si>
    <t xml:space="preserve">Life Insurance </t>
  </si>
  <si>
    <t>Other Fee and Commission Income</t>
  </si>
  <si>
    <t>Banking, wealth and equity markets related fee revenues</t>
  </si>
  <si>
    <t>Average Loans</t>
  </si>
  <si>
    <t>12-month Fwd Bull Case EPS</t>
  </si>
  <si>
    <t>Diluted EPS</t>
  </si>
  <si>
    <t>Bull Case Valuation</t>
  </si>
  <si>
    <t>Implied TSR</t>
  </si>
  <si>
    <t>FY18E Base Case EPS</t>
  </si>
  <si>
    <t>FY19E Base Case EPS</t>
  </si>
  <si>
    <t>P/E Methodology</t>
  </si>
  <si>
    <t>g</t>
  </si>
  <si>
    <t>Equity Risk Premium</t>
  </si>
  <si>
    <t>CoE</t>
  </si>
  <si>
    <t>Theoretical P/NTA</t>
  </si>
  <si>
    <t>Actual P/NTA</t>
  </si>
  <si>
    <t>Global Peer Group</t>
  </si>
  <si>
    <t>FY18E RoE</t>
  </si>
  <si>
    <t>FY19E ROE</t>
  </si>
  <si>
    <t>12-month Fwd Base Case EPS</t>
  </si>
  <si>
    <t>12-month Fwd Base Case ROE</t>
  </si>
  <si>
    <t>Premium</t>
  </si>
  <si>
    <t>FY18E Book Value per Share</t>
  </si>
  <si>
    <t>Global Peer Methodology</t>
  </si>
  <si>
    <t>2H17</t>
  </si>
  <si>
    <t>FY17</t>
  </si>
  <si>
    <t>FY26E</t>
  </si>
  <si>
    <t>FY27E</t>
  </si>
  <si>
    <t>12-month Fwd Bear Case EPS</t>
  </si>
  <si>
    <t>Bear Case P/E Multiple</t>
  </si>
  <si>
    <t>CGM</t>
  </si>
  <si>
    <t xml:space="preserve"> - CGM</t>
  </si>
  <si>
    <t>OLD MACQUARIE SECURITIES</t>
  </si>
  <si>
    <t>OLD CFM</t>
  </si>
  <si>
    <t xml:space="preserve"> - CGM brokerage</t>
  </si>
  <si>
    <t xml:space="preserve"> - CGM other fee and commission income</t>
  </si>
  <si>
    <t>Commodities &amp; Global Markets</t>
  </si>
  <si>
    <t>Opening EUM</t>
  </si>
  <si>
    <t>Capital Raised</t>
  </si>
  <si>
    <t>Closing EUM</t>
  </si>
  <si>
    <t>FX and Other</t>
  </si>
  <si>
    <t>Capital Raisings</t>
  </si>
  <si>
    <t>Earnings from Dilutive Securities</t>
  </si>
  <si>
    <t>Dilutive EPS</t>
  </si>
  <si>
    <t>Bear Case Valuation</t>
  </si>
  <si>
    <t>Changes</t>
  </si>
  <si>
    <t>1H18</t>
  </si>
  <si>
    <t>Non-controlling interest</t>
  </si>
  <si>
    <t>CET1 of Bank</t>
  </si>
  <si>
    <t xml:space="preserve"> - Real Estate Banking / Other</t>
  </si>
  <si>
    <t>Revenue / Av Equity Investments</t>
  </si>
  <si>
    <t>Avge Equity Investments</t>
  </si>
  <si>
    <t>Avge Managed Funds</t>
  </si>
  <si>
    <t>Avge Other Investments</t>
  </si>
  <si>
    <t>Avg Equity Investments (ex Funds)</t>
  </si>
  <si>
    <t>Gains on sale / Avg Equity Investments</t>
  </si>
  <si>
    <t>Other / Avg Equity Investments</t>
  </si>
  <si>
    <t>Check MIML + BFS</t>
  </si>
  <si>
    <t>Net EUM Flows</t>
  </si>
  <si>
    <t>Base Case P/E Multiple</t>
  </si>
  <si>
    <t>Net Total Payout Ratio</t>
  </si>
  <si>
    <t>Telco, IT, Media etc</t>
  </si>
  <si>
    <t>Industrial, Transport, Infra</t>
  </si>
  <si>
    <t>Investments acquired to seed new MIRA products and mandates</t>
  </si>
  <si>
    <t>Finance, Wealth &amp; Exchanges</t>
  </si>
  <si>
    <t>Total MAM</t>
  </si>
  <si>
    <t>Other Lumpy</t>
  </si>
  <si>
    <t>Brokerage Expense / Revenue</t>
  </si>
  <si>
    <t>Brokerage Expense / Fee Income (ex Perf Fees)</t>
  </si>
  <si>
    <t>Net Operating Income</t>
  </si>
  <si>
    <t>Non-compensation staff expenses</t>
  </si>
  <si>
    <t>Available for sale Reserves</t>
  </si>
  <si>
    <t>2H18</t>
  </si>
  <si>
    <t>FY18</t>
  </si>
  <si>
    <t>Total Footings</t>
  </si>
  <si>
    <t>Av Footing</t>
  </si>
  <si>
    <t>Growth (y-o-y)</t>
  </si>
  <si>
    <t>Funds on Platform</t>
  </si>
  <si>
    <t>Av Funds</t>
  </si>
  <si>
    <t>Commodities and Global Markets</t>
  </si>
  <si>
    <t>Equity to Deploy or Dry Powder</t>
  </si>
  <si>
    <t>Net Invested EUM</t>
  </si>
  <si>
    <t>Total Invested</t>
  </si>
  <si>
    <t>Dry Powder</t>
  </si>
  <si>
    <t>dry powder as % of total EUM</t>
  </si>
  <si>
    <t>1H : 2H split</t>
  </si>
  <si>
    <t>Equities Interest &amp; Trading Income</t>
  </si>
  <si>
    <t xml:space="preserve"> - MIRA on Avg Invested EUM</t>
  </si>
  <si>
    <t xml:space="preserve"> - MIRA on Avg Total EUM</t>
  </si>
  <si>
    <t>MIRA prior</t>
  </si>
  <si>
    <t>Price Movements / Listed Security Change</t>
  </si>
  <si>
    <t xml:space="preserve"> - Macquarie Funds: MIRA on invested EUM</t>
  </si>
  <si>
    <t>Gains on sale of equity, debt and other lumpy income</t>
  </si>
  <si>
    <t xml:space="preserve"> - mortgages</t>
  </si>
  <si>
    <t xml:space="preserve"> - other loans</t>
  </si>
  <si>
    <t xml:space="preserve"> - impairments &amp; credit losses</t>
  </si>
  <si>
    <t>Average Dry Powder</t>
  </si>
  <si>
    <t>P-fees and Gains on Sale</t>
  </si>
  <si>
    <t>Growth in staff numbers h-o-h</t>
  </si>
  <si>
    <t>Bear</t>
  </si>
  <si>
    <t>Bull</t>
  </si>
  <si>
    <t>Net Profit Contribution Split</t>
  </si>
  <si>
    <t>MIML - Traditional Asset Manager A$m</t>
  </si>
  <si>
    <t>MIRA - Alternative Asset Manager (MSIS too) A$m</t>
  </si>
  <si>
    <t>Hamilton Lane and Partners Group</t>
  </si>
  <si>
    <t>Peers</t>
  </si>
  <si>
    <t>Linked!!!</t>
  </si>
  <si>
    <t>CGM Multiple</t>
  </si>
  <si>
    <t>CGM Premium</t>
  </si>
  <si>
    <t>CGM Revenue Mix</t>
  </si>
  <si>
    <t>AUS &amp; UK Traditional Asset Managers</t>
  </si>
  <si>
    <t>Investment Banks &amp; Boutiques</t>
  </si>
  <si>
    <t>Australian Banks &amp; Leasing Companies</t>
  </si>
  <si>
    <t>Australian Banks &amp; Wealth Platforms</t>
  </si>
  <si>
    <t>Credit, interest rates and FX (FIC)</t>
  </si>
  <si>
    <t>Equities &amp; ECM</t>
  </si>
  <si>
    <t>FIC - Credit, interest rates and FX</t>
  </si>
  <si>
    <t>Revenue Mix A$m</t>
  </si>
  <si>
    <t>Revenue Mix %</t>
  </si>
  <si>
    <t>Vs Base Case</t>
  </si>
  <si>
    <t>NOT USED</t>
  </si>
  <si>
    <t>Bull Case: P/E</t>
  </si>
  <si>
    <t>Bear Case: P/E</t>
  </si>
  <si>
    <t>Bull / Base / Bear Scenario weights</t>
  </si>
  <si>
    <t>Base Case Implied P/E Multiple</t>
  </si>
  <si>
    <t>Outside Equity Interests + Pref.</t>
  </si>
  <si>
    <t>Global Peer P/E Methodology</t>
  </si>
  <si>
    <t>CGM Peer Multiple</t>
  </si>
  <si>
    <t>Divisional Split of Operating Profit</t>
  </si>
  <si>
    <t>Investment Banks &amp; Boutiques, plus US Alt Asset Managers</t>
  </si>
  <si>
    <t>Peer PE</t>
  </si>
  <si>
    <t>MQG PE</t>
  </si>
  <si>
    <t>Base Case SOTP Valuation</t>
  </si>
  <si>
    <t>Base Case: SOTP</t>
  </si>
  <si>
    <t>Net Underlying Revenues</t>
  </si>
  <si>
    <t>Net Lumpy Revenues</t>
  </si>
  <si>
    <t>Other Underlying Revenues</t>
  </si>
  <si>
    <t>Net Operating Lease Income</t>
  </si>
  <si>
    <t>OPERATING INCOME BREAKDOWN (A$m)</t>
  </si>
  <si>
    <t>Return on Ordinary Equity (ROE %)</t>
  </si>
  <si>
    <t>Return on Avg Assets (ROA %)</t>
  </si>
  <si>
    <t>Modelware Profit</t>
  </si>
  <si>
    <t>Preference Share and OEI</t>
  </si>
  <si>
    <t xml:space="preserve"> - Asset Finance / Leasing - A$m</t>
  </si>
  <si>
    <t xml:space="preserve"> - Principal Finance - A$m</t>
  </si>
  <si>
    <t xml:space="preserve"> - gain on subs and busn held for sale (Lease Asset Disposal)</t>
  </si>
  <si>
    <t xml:space="preserve"> - Asset Finance / Leasing - %</t>
  </si>
  <si>
    <t xml:space="preserve"> - Principal Finance - %</t>
  </si>
  <si>
    <t>Net Operating Income Split</t>
  </si>
  <si>
    <t>MIS and later issues</t>
  </si>
  <si>
    <t>Weighted Average SOTP Base Case</t>
  </si>
  <si>
    <t>Diluted P/E Multiple (x)</t>
  </si>
  <si>
    <t>Sanity Check - Market Returns - h-o-h</t>
  </si>
  <si>
    <t>Total Market Returns - h-o-h</t>
  </si>
  <si>
    <t>Implied Flows - h-o-h</t>
  </si>
  <si>
    <t>AUM: Group ex MIRA &amp; MSIS h-o-h growth</t>
  </si>
  <si>
    <t xml:space="preserve"> - brokerage and commissions (eg ECM, Futures, Advisory, Structured Products)</t>
  </si>
  <si>
    <t>ECM, futures, advisory, structured products</t>
  </si>
  <si>
    <t>BFS + CGM</t>
  </si>
  <si>
    <t>1H19</t>
  </si>
  <si>
    <t xml:space="preserve"> - Credit and other impairment charges</t>
  </si>
  <si>
    <t xml:space="preserve"> - Credit and Other impairment charges</t>
  </si>
  <si>
    <t xml:space="preserve"> - Credit and Other Impairment charges</t>
  </si>
  <si>
    <t xml:space="preserve"> - credit and other impairment charges</t>
  </si>
  <si>
    <t>Equity Investments: Held for Sale</t>
  </si>
  <si>
    <t>Credit &amp; Other Impairment Charges</t>
  </si>
  <si>
    <t>PRIOR</t>
  </si>
  <si>
    <t>3-year CAGR - Basic EPS - exec incentive is 12% CAGR over 3 to 4 years</t>
  </si>
  <si>
    <t>4-year CAGR - Basic EPS - exec incentive is 12% CAGR over 3 to 4 years</t>
  </si>
  <si>
    <t>3 Year CAGR (%)</t>
  </si>
  <si>
    <t>Total Dividend per Share (cps)</t>
  </si>
  <si>
    <t>Pre tax</t>
  </si>
  <si>
    <t>Other operating income - Ex Leasing Income</t>
  </si>
  <si>
    <t>2H19</t>
  </si>
  <si>
    <t>FY19</t>
  </si>
  <si>
    <t>exact check</t>
  </si>
  <si>
    <t xml:space="preserve">   - leasing</t>
  </si>
  <si>
    <t xml:space="preserve">   - business banking</t>
  </si>
  <si>
    <t xml:space="preserve">     other split into:</t>
  </si>
  <si>
    <t xml:space="preserve">   - other other</t>
  </si>
  <si>
    <t>Financial Investmetns (used to be Other Financial Assets at fair value)</t>
  </si>
  <si>
    <t>Held for sale liabilities (used to be Other Financial Liabilities - at fair value)</t>
  </si>
  <si>
    <t>To Publish In Model</t>
  </si>
  <si>
    <t>SUMMARY</t>
  </si>
  <si>
    <t>P&amp;L</t>
  </si>
  <si>
    <t>DIVISIONS</t>
  </si>
  <si>
    <t>EPS and DPS</t>
  </si>
  <si>
    <t>Bal Sheet</t>
  </si>
  <si>
    <t>Valuation Clean</t>
  </si>
  <si>
    <t>BULL BEAR</t>
  </si>
  <si>
    <t>OLD CAF</t>
  </si>
  <si>
    <t>Net interest &amp; trading income ex SAF</t>
  </si>
  <si>
    <t>1H20</t>
  </si>
  <si>
    <t xml:space="preserve">   - check</t>
  </si>
  <si>
    <t>Infrastructure Equity</t>
  </si>
  <si>
    <t>Infrastructure Debt</t>
  </si>
  <si>
    <t>Agriculture</t>
  </si>
  <si>
    <t>Transport Finance</t>
  </si>
  <si>
    <t>Non Bank (aka co-investment in MQG-managed fund &amp; other equity investments)</t>
  </si>
  <si>
    <t>Asset Divestments only - ie exit price so not the capital returned</t>
  </si>
  <si>
    <t xml:space="preserve">    - check</t>
  </si>
  <si>
    <t xml:space="preserve">    - total (enter actual)</t>
  </si>
  <si>
    <t>but it does have other asset management fees - ie platform fees</t>
  </si>
  <si>
    <t>EARNINGS PER SHARE - Best from Financial Report</t>
  </si>
  <si>
    <t xml:space="preserve">  - Actual To Input</t>
  </si>
  <si>
    <t xml:space="preserve"> - M&amp;A, Advisory and UW fees</t>
  </si>
  <si>
    <t xml:space="preserve"> - fee and commission income - other</t>
  </si>
  <si>
    <t xml:space="preserve"> - fee and commission income - base fees</t>
  </si>
  <si>
    <t xml:space="preserve"> - fee and commission income - Total</t>
  </si>
  <si>
    <t xml:space="preserve"> - Other (Corporate)</t>
  </si>
  <si>
    <t>FY21</t>
  </si>
  <si>
    <t>FY20</t>
  </si>
  <si>
    <t>FY22</t>
  </si>
  <si>
    <t>SOTP P/E</t>
  </si>
  <si>
    <t>Implied P/BV on last reported</t>
  </si>
  <si>
    <t>Commodity Revenues (captured in und. rev.)</t>
  </si>
  <si>
    <t>2H20</t>
  </si>
  <si>
    <t>Last Reported minorities</t>
  </si>
  <si>
    <t>2.2 Fee and commission income</t>
  </si>
  <si>
    <t>1.1 Executive summary MD&amp;A PDF</t>
  </si>
  <si>
    <t>7.1 Assets under Management</t>
  </si>
  <si>
    <t>7.2 Equity under Management</t>
  </si>
  <si>
    <t>Basis of preparation</t>
  </si>
  <si>
    <t>3.1 Basis of preparation</t>
  </si>
  <si>
    <t>BFS 3.3 MD&amp;A</t>
  </si>
  <si>
    <t xml:space="preserve">Fee and commission income </t>
  </si>
  <si>
    <t xml:space="preserve">Performance fees </t>
  </si>
  <si>
    <t>Impairment Charges (Old Metric)</t>
  </si>
  <si>
    <t>5YR AVG</t>
  </si>
  <si>
    <t>10YR AVG</t>
  </si>
  <si>
    <t>GROUP CAPITAL: BASEL II- NOT USED</t>
  </si>
  <si>
    <t>BANKING GROUP CAPITAL- NOT USED</t>
  </si>
  <si>
    <t>NON BANKING GROUP CAPITAL - NOT USED</t>
  </si>
  <si>
    <t xml:space="preserve">CORPORATE &amp; ASSET FINANCE - Not in use </t>
  </si>
  <si>
    <t>OLD PRESENTATION HIDDEN</t>
  </si>
  <si>
    <t>OTHER (incl REAL ESTATE BANKING - Not used</t>
  </si>
  <si>
    <t xml:space="preserve">MACQUARIE SECURITIES - Do ont use </t>
  </si>
  <si>
    <t xml:space="preserve">Reported Profit </t>
  </si>
  <si>
    <t>Lumpy Reconciliation</t>
  </si>
  <si>
    <t>AUM Check</t>
  </si>
  <si>
    <t>1H21</t>
  </si>
  <si>
    <t>6.3 Non-Bank Group Capital</t>
  </si>
  <si>
    <t>6.1 Overview</t>
  </si>
  <si>
    <t>Dividend Reinvestment Plan (net share issue)</t>
  </si>
  <si>
    <t xml:space="preserve"> - CGM - restated from FY21E</t>
  </si>
  <si>
    <t xml:space="preserve"> - Corporate - balance</t>
  </si>
  <si>
    <t xml:space="preserve"> - Macquarie Capital brokerage - special</t>
  </si>
  <si>
    <t>2H21</t>
  </si>
  <si>
    <t>FY23</t>
  </si>
  <si>
    <t>note 23 in half year report and financial position in half year report</t>
  </si>
  <si>
    <t>Profit Margin = NPC / Operating Income</t>
  </si>
  <si>
    <t>Profit AUM Margin = NPC / Average AUM</t>
  </si>
  <si>
    <t>Other Issues (MEREP and ESP)</t>
  </si>
  <si>
    <t xml:space="preserve"> - Adjust for Group vs Divisional Models</t>
  </si>
  <si>
    <t>Other - MIRA</t>
  </si>
  <si>
    <t>GOS</t>
  </si>
  <si>
    <t>Total Green</t>
  </si>
  <si>
    <t>Total Green as %</t>
  </si>
  <si>
    <t>A$'m</t>
  </si>
  <si>
    <t>Gains on sale</t>
  </si>
  <si>
    <t>MacCap</t>
  </si>
  <si>
    <t>Flows % of open AUM - ANNUALISED</t>
  </si>
  <si>
    <t>1H22</t>
  </si>
  <si>
    <t>1H21 restated: external securitisations of home loans which are a source of funding for such assets are no longer netted down on the funded balance sheet</t>
  </si>
  <si>
    <t>Total Equity Investments - DRIVER OF CAPITAL</t>
  </si>
  <si>
    <t>Subsidiaries and other assets held for investment (used to be Other Assets)</t>
  </si>
  <si>
    <t>Associates' Reserves (AFS Reserve)</t>
  </si>
  <si>
    <t>Green Energy</t>
  </si>
  <si>
    <t>Real estate investment, property and funds management</t>
  </si>
  <si>
    <t>redeemed 1H21</t>
  </si>
  <si>
    <t>YoY</t>
  </si>
  <si>
    <t>Net Lumpy Revenues with MIC Dispstn. Fees</t>
  </si>
  <si>
    <t>nm</t>
  </si>
  <si>
    <t>Growth YoY</t>
  </si>
  <si>
    <t>Growth: Trading income inc Commodities</t>
  </si>
  <si>
    <t>2H22</t>
  </si>
  <si>
    <t>Fixed Income - Public Markets</t>
  </si>
  <si>
    <t>Equities - Public Markets</t>
  </si>
  <si>
    <t>Alternatives and Multi-Asset- Public Markets</t>
  </si>
  <si>
    <t>Interest rate risk in banking book - IRRBB</t>
  </si>
  <si>
    <t>Declared Dividend - from Prior Period</t>
  </si>
  <si>
    <t>Issue Price - only if there was a CAP RAISE</t>
  </si>
  <si>
    <t>BFS Total Loans</t>
  </si>
  <si>
    <t>BFS Housing Loans</t>
  </si>
  <si>
    <t>Net interest margin (calc)</t>
  </si>
  <si>
    <t>not a driver</t>
  </si>
  <si>
    <t>Aust Housing Loans via Balance Sheet (h-o-h)</t>
  </si>
  <si>
    <t>Other Home Loans via Balance Sheet (h-o-h)</t>
  </si>
  <si>
    <t>Total Home Loans via Balance Sheet (h-o-h)</t>
  </si>
  <si>
    <t>Other Loans via Balance Sheet (h-o-h)</t>
  </si>
  <si>
    <t>Funded Loans via Balance Sheet (h-o-h)</t>
  </si>
  <si>
    <t>Unfunded Loans via Balance Sheet (h-o-h)</t>
  </si>
  <si>
    <t>Total Loans via Balance Sheet (h-o-h)</t>
  </si>
  <si>
    <t xml:space="preserve">Change </t>
  </si>
  <si>
    <t>Net trading income (y-o-y)</t>
  </si>
  <si>
    <t>Net interest income (h-o-h)</t>
  </si>
  <si>
    <t>No NII</t>
  </si>
  <si>
    <t>Interest Expense/ Av Assets</t>
  </si>
  <si>
    <t>Last Reported</t>
  </si>
  <si>
    <t>FY24</t>
  </si>
  <si>
    <t>Average Staff numbers</t>
  </si>
  <si>
    <t>Bonus employment expense / avg employees</t>
  </si>
  <si>
    <t>Bonus employment expense</t>
  </si>
  <si>
    <t>Base wage employment expense</t>
  </si>
  <si>
    <t>Base wage employment expense / avg employees</t>
  </si>
  <si>
    <t xml:space="preserve"> - Corporate (with Group Bonus Pool)</t>
  </si>
  <si>
    <t xml:space="preserve"> - Corporate  (with Group Bonus Pool)</t>
  </si>
  <si>
    <t xml:space="preserve">   - PM (previously MIRA)</t>
  </si>
  <si>
    <t xml:space="preserve">   - PI (previously MIML)</t>
  </si>
  <si>
    <t xml:space="preserve">CEO: Shemara Wikramanayake </t>
  </si>
  <si>
    <t>CFO: Alex Harvey</t>
  </si>
  <si>
    <t>Risk Management: A Cassady</t>
  </si>
  <si>
    <t>Corporate expense ex Group Executives Pay</t>
  </si>
  <si>
    <t xml:space="preserve"> - Macquarie Asset Management</t>
  </si>
  <si>
    <t>Employment expense / avg employees - As Reported</t>
  </si>
  <si>
    <t xml:space="preserve"> - Base Comp % of Total Comp</t>
  </si>
  <si>
    <t>Base wage comp ratio</t>
  </si>
  <si>
    <t xml:space="preserve"> - Corporate (balancer)</t>
  </si>
  <si>
    <t>Executive pay - Short-term benefits</t>
  </si>
  <si>
    <t>Total group executive pay in corporate- estimated</t>
  </si>
  <si>
    <t xml:space="preserve"> - Corporate  (this ratio will not make sense because this division does not drive material revenues)</t>
  </si>
  <si>
    <t>Bonus employment expense / Total comp</t>
  </si>
  <si>
    <t>Total Comp per avg employee</t>
  </si>
  <si>
    <t>Compensation ratio ex non comp staff costs</t>
  </si>
  <si>
    <t>Compensation ratio with non comp costs</t>
  </si>
  <si>
    <t xml:space="preserve"> - Corporate  (no Group Bonus Pool)</t>
  </si>
  <si>
    <t xml:space="preserve"> - Group with non comp costs</t>
  </si>
  <si>
    <t xml:space="preserve"> - total Performance Fees</t>
  </si>
  <si>
    <t xml:space="preserve">Brokerage &amp; Tech Costs by Division </t>
  </si>
  <si>
    <t>Avg Employees as a % of total (excluding Corporate employees)</t>
  </si>
  <si>
    <t>Employment expense - As Reported</t>
  </si>
  <si>
    <t>Other operating &amp; IT expenses</t>
  </si>
  <si>
    <t>Bonus comp / Lumpy Revenues %</t>
  </si>
  <si>
    <t>Underlying Revenues - Total</t>
  </si>
  <si>
    <t>Lumpy Revenues - Total</t>
  </si>
  <si>
    <t>Underlying Revenues by Division</t>
  </si>
  <si>
    <t>Lumpy Revenues by Division</t>
  </si>
  <si>
    <t>Check - Total</t>
  </si>
  <si>
    <t>Check - Underlying + Lumpy</t>
  </si>
  <si>
    <t xml:space="preserve">Total Comp - Corporate Comp Completely Re-allocated to Divisions </t>
  </si>
  <si>
    <t>Comp Ratio - Bonus comp / Lumpy Revenues %</t>
  </si>
  <si>
    <t>Comp Ratio - Base comp / Underlying Revenues %</t>
  </si>
  <si>
    <t xml:space="preserve">Total Costs - Corporate Comp Completely Re-allocated to Divisions </t>
  </si>
  <si>
    <t>Underlying Revenues by Division - % mix</t>
  </si>
  <si>
    <t>Valuation New</t>
  </si>
  <si>
    <t>SOTP</t>
  </si>
  <si>
    <t>Total Costs by Division  - Underlying View with Comp and Non-Comp allocated to each division, ie re-spreading the Corp overhead recovery &amp; bonus pool</t>
  </si>
  <si>
    <t>Comp Ratio Decomposition</t>
  </si>
  <si>
    <t xml:space="preserve">Total Comp ratio by division - MS Assumption </t>
  </si>
  <si>
    <t xml:space="preserve">Total Income by Division  - Reported </t>
  </si>
  <si>
    <t>Other Non-Comp Costs by Division - Reported</t>
  </si>
  <si>
    <t>Total Cost to Income Decomposition</t>
  </si>
  <si>
    <t>Total Comp Ratio % - Corporate Completely Re-allocated to Divisions</t>
  </si>
  <si>
    <t>Total Costs Ratio % - Corporate Completely Re-allocated to Divisions</t>
  </si>
  <si>
    <t>Cost to Income Ratio</t>
  </si>
  <si>
    <t>Total Cost To Income Ratio  - Reported</t>
  </si>
  <si>
    <t xml:space="preserve"> - Group (ex corporate)</t>
  </si>
  <si>
    <t>Total Cost To Income Ratio  - Reported Expenses / Underlying Revenues</t>
  </si>
  <si>
    <t>Special Scenario</t>
  </si>
  <si>
    <t>Implied Total Comp A$m - MS Assumption</t>
  </si>
  <si>
    <t>Check vs Base Case</t>
  </si>
  <si>
    <t xml:space="preserve"> - Corporate YoY growth forecast</t>
  </si>
  <si>
    <t xml:space="preserve"> - Group - Scenario in FY23-25E</t>
  </si>
  <si>
    <t>Total Cost To Income Ratio by division -  Underlying View with Comp and Non-Comp allocated to each division, ie re-spreading the bonus pool</t>
  </si>
  <si>
    <t>1H23</t>
  </si>
  <si>
    <t xml:space="preserve"> - Public Investments</t>
  </si>
  <si>
    <t xml:space="preserve"> - Private Markets</t>
  </si>
  <si>
    <t>Avg Loans</t>
  </si>
  <si>
    <t>Avg Mortgages</t>
  </si>
  <si>
    <t>Months</t>
  </si>
  <si>
    <t>Excess Above Min Bank Core Equity Tier 1</t>
  </si>
  <si>
    <t>Excess Above Min Bank Tier 1</t>
  </si>
  <si>
    <t>2H23</t>
  </si>
  <si>
    <t>2H26E</t>
  </si>
  <si>
    <t>MAM - Public Markets</t>
  </si>
  <si>
    <t>MAM - Private Markets</t>
  </si>
  <si>
    <t>FY25</t>
  </si>
  <si>
    <t>NO ACTUAL DATA FOR NEXT 8 rows on Divisional Comp Ratios - MS forecast only</t>
  </si>
  <si>
    <t>MIRA restated from FY22 - with equity yet to deploy added</t>
  </si>
  <si>
    <t>Private Markets</t>
  </si>
  <si>
    <t>Public Markets</t>
  </si>
  <si>
    <t>Net Interest &amp; trading income</t>
  </si>
  <si>
    <t>1H24</t>
  </si>
  <si>
    <t>1H27E</t>
  </si>
  <si>
    <t>2H27E</t>
  </si>
  <si>
    <t>Capital Requirement @ 10.5% Bank Tier 1</t>
  </si>
  <si>
    <t>Excess Above MCR @ 10.5% Bank Tier 1</t>
  </si>
  <si>
    <t>Public Markets / MIML - Flows A$m</t>
  </si>
  <si>
    <t>Net trading income - HoH or YoY</t>
  </si>
  <si>
    <t>Commodity Revenues</t>
  </si>
  <si>
    <t>2H24</t>
  </si>
  <si>
    <t>FY26E Bull Case EPS</t>
  </si>
  <si>
    <t>FY26E Weight</t>
  </si>
  <si>
    <t>FY26E Earnings</t>
  </si>
  <si>
    <t>FY26E P/E Multiple</t>
  </si>
  <si>
    <t>FY26E Valuation</t>
  </si>
  <si>
    <t>FY26E Bear Case EPS</t>
  </si>
  <si>
    <t>FY26</t>
  </si>
  <si>
    <t xml:space="preserve"> - Other</t>
  </si>
  <si>
    <t>Net Interest &amp; Trading income - mainly Private Credit Book</t>
  </si>
  <si>
    <t>Private Credit Book Spot EOP A$bn</t>
  </si>
  <si>
    <t>Manova</t>
  </si>
  <si>
    <t>Asset Finance &amp; Specialised (part of Net interest income)</t>
  </si>
  <si>
    <t>Total Asset FInance check</t>
  </si>
  <si>
    <t>3YR total</t>
  </si>
  <si>
    <t>Deals % of open AUM - ANNUALISED</t>
  </si>
  <si>
    <t>MIM - Acquisitons - A$m</t>
  </si>
  <si>
    <t>1H25</t>
  </si>
  <si>
    <t>MS asumption</t>
  </si>
  <si>
    <t>Tax rate - Nominal</t>
  </si>
  <si>
    <t>Cross Check against published</t>
  </si>
  <si>
    <t>Acquisitons / Divestments</t>
  </si>
  <si>
    <t>Total Capital Returned / Divested</t>
  </si>
  <si>
    <t>Manova / GLL Real estate exits 2H25</t>
  </si>
  <si>
    <t>RoNTA (%)</t>
  </si>
  <si>
    <t>Transactions HY #</t>
  </si>
  <si>
    <t>Transactions QTR #</t>
  </si>
  <si>
    <t xml:space="preserve"> - 1Q</t>
  </si>
  <si>
    <t xml:space="preserve"> - 2Q</t>
  </si>
  <si>
    <t xml:space="preserve"> - 3Q</t>
  </si>
  <si>
    <t xml:space="preserve"> - 4Q</t>
  </si>
  <si>
    <t>Transactions QTR Deal Value ($Abn)</t>
  </si>
  <si>
    <t>Investment Related income - MQG definition</t>
  </si>
  <si>
    <t>Total - Investment Related income - MQG definition</t>
  </si>
  <si>
    <t>MAM - decompose OPEX &amp; DEVEX</t>
  </si>
  <si>
    <t xml:space="preserve"> - True Other Income</t>
  </si>
  <si>
    <t>Green Investment Group in MAM from FY22</t>
  </si>
  <si>
    <t xml:space="preserve"> - OPEX &amp; DEVEX - mainly from Renewables in Principal Investments</t>
  </si>
  <si>
    <t>1H28E</t>
  </si>
  <si>
    <t>2H28E</t>
  </si>
  <si>
    <t>FY28E</t>
  </si>
  <si>
    <t>2H25</t>
  </si>
  <si>
    <t>FY27E Bull Case EPS</t>
  </si>
  <si>
    <t>FY27E Weight</t>
  </si>
  <si>
    <t>FY27E Earnings</t>
  </si>
  <si>
    <t>FY27E P/E Multiple</t>
  </si>
  <si>
    <t>FY27E Valuation</t>
  </si>
  <si>
    <t>FY27E Bear Case EPS</t>
  </si>
  <si>
    <t>Implied FY27E P/E Multiple</t>
  </si>
  <si>
    <t>Implied FY27E P/BV Multiple</t>
  </si>
  <si>
    <t>Implied FY27E Dividend Yield</t>
  </si>
  <si>
    <t>FY27</t>
  </si>
  <si>
    <t>Total MacCap</t>
  </si>
  <si>
    <t>Total Other</t>
  </si>
  <si>
    <t>CTI</t>
  </si>
  <si>
    <t>Roll premium years</t>
  </si>
  <si>
    <t>Reported RoTE</t>
  </si>
  <si>
    <t>MIML - Traditional Asset Manager % - Base and P-fees</t>
  </si>
  <si>
    <t>MIML - Traditional Asset Manager % - all operating income</t>
  </si>
  <si>
    <t>MIRA - Alternative Asset Manager (MSIS too) % - Base and P-fees</t>
  </si>
  <si>
    <t>MIRA - Alternative Asset Manager (MSIS too) % - all operating income</t>
  </si>
  <si>
    <t>US Style - FRE</t>
  </si>
  <si>
    <t>MIRA - Fee Related Revenues</t>
  </si>
  <si>
    <t>MIRA - Fee Related Costs ex Bonus</t>
  </si>
  <si>
    <t>MIRA - Fee Related Earnings = FRE</t>
  </si>
  <si>
    <t>MIRA - Fee Related Bonus (ex investment gains bonus)</t>
  </si>
  <si>
    <t>% of total income</t>
  </si>
  <si>
    <t>MIRA - Total Bonus</t>
  </si>
  <si>
    <t>Performance Fees % of (P-fees + Investment Gains)</t>
  </si>
  <si>
    <t>FRE margin</t>
  </si>
  <si>
    <t>Super</t>
  </si>
  <si>
    <t>1H26</t>
  </si>
  <si>
    <t>MAM</t>
  </si>
  <si>
    <t>OPEX</t>
  </si>
  <si>
    <t>Sale to Nomura</t>
  </si>
  <si>
    <t>Total Group - Excess Capital</t>
  </si>
  <si>
    <t>Pre-Provision Profit Growth (y-o-y)</t>
  </si>
  <si>
    <t>Pre-Provision Profit</t>
  </si>
  <si>
    <t>Non-Interest Income Growth (y-o-y)</t>
  </si>
  <si>
    <t>Non-Interest Income</t>
  </si>
  <si>
    <t>Credit and Other impairment charges as % of loans</t>
  </si>
  <si>
    <t xml:space="preserve">1 Austin Road West </t>
  </si>
  <si>
    <t xml:space="preserve">Kowloon </t>
  </si>
  <si>
    <t xml:space="preserve">Hong Kong </t>
  </si>
  <si>
    <t>Tel: +852 2848 5200</t>
  </si>
  <si>
    <t>Authors: Andrei Stadnik</t>
  </si>
  <si>
    <t>Date: 11 Feb 2026</t>
  </si>
  <si>
    <t>Ticker: MQG.AX</t>
  </si>
  <si>
    <t>Stock Rating: Equal-weight</t>
  </si>
  <si>
    <t>Industry: Australia Non-Bank Financials</t>
  </si>
  <si>
    <t>Industry View: In-Line</t>
  </si>
  <si>
    <t>Price as of 11 Feb 2026: 214.50</t>
  </si>
  <si>
    <t>Target Price: 223.00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</si>
  <si>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</si>
  <si>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</si>
  <si>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</si>
  <si>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</si>
  <si>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</si>
  <si>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</si>
  <si>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</si>
  <si>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or are disseminated by Morgan</t>
  </si>
  <si>
    <t>Stanley Asia Limited (which accepts the responsibility for its contents) and/or Morgan Stanley Asia</t>
  </si>
  <si>
    <t>(Singapore) Pte. (Registration number 199206298Z) and/or Morgan Stanley Asia (Singapore) Securities Pte</t>
  </si>
  <si>
    <t>Ltd (Registration number 200008434H), regulated by the Monetary Authority of Singapore (which accepts</t>
  </si>
  <si>
    <t>legal responsibility for its contents and should be contacted with respect to any matters arising from,</t>
  </si>
  <si>
    <t>or in connection with, Morgan Stanley Research), and/or Morgan Stanley Taiwan Limited and/or Morgan</t>
  </si>
  <si>
    <t>Stanley &amp; Co International plc, Seoul Branch, and/or Morgan Stanley Australia Limited (A.B.N. 67 003 734</t>
  </si>
  <si>
    <t>576, holder of Australian financial services license No. 233742, which accepts responsibility for its</t>
  </si>
  <si>
    <t>contents), and/or Morgan Stanley Wealth Management Australia Pty Ltd (A.B.N. 19 009 145 555, holder of</t>
  </si>
  <si>
    <t>Australian financial services license No. 240813, which accepts responsibility for its contents), and/or</t>
  </si>
  <si>
    <t>Morgan Stanley India Company Private Limited having Corporate Identification No (CIN)</t>
  </si>
  <si>
    <t>U22990MH1998PTC115305, regulated by the Securities and Exchange Board of India (“SEBI”) and holder of</t>
  </si>
  <si>
    <t>licenses as a Research Analyst (SEBI Registration No. INH000001105); Stock Broker (SEBI Stock Broker</t>
  </si>
  <si>
    <t>Registration No. INZ000244438), Merchant Banker (SEBI Registration No. INM000011203), and depository</t>
  </si>
  <si>
    <t>participant with National Securities Depository Limited (SEBI Registration No. IN-DP-NSDL-567-2021)</t>
  </si>
  <si>
    <t>having registered office at Altimus, Level 39 &amp; 40, Pandurang Budhkar Marg, Worli, Mumbai 400018, India;</t>
  </si>
  <si>
    <t>Telephone no. +91-22-61181000; Compliance Officer Details: Mr. Tejarshi Hardas, Tel. No.:</t>
  </si>
  <si>
    <t>+91-22-61181000 or Email: tejarshi.hardas@morganstanley.com; Grievance officer details: Mr. Tejarshi</t>
  </si>
  <si>
    <t>Hardas, Tel. No.: +91-22-61181000 or Email: msic-compliance@morganstanley.com which accepts the</t>
  </si>
  <si>
    <t>responsibility for its contents and should be contacted with respect to any matters arising from, or in</t>
  </si>
  <si>
    <t>connection with, Morgan Stanley Research, and their affiliates (collectively, "Morgan Stanley"). Morgan</t>
  </si>
  <si>
    <t>Stanley India Company Private Limited (MSICPL) may use AI tools in providing research services. All</t>
  </si>
  <si>
    <t>recommendations contained herein are made by the duly qualified research analysts.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</si>
  <si>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</si>
  <si>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</si>
  <si>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www.morganstanley.com/eqr/disclosures/webapp/generalresearch, or contact your investment representative</t>
  </si>
  <si>
    <t>or Morgan Stanley 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</si>
  <si>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</si>
  <si>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</si>
  <si>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</si>
  <si>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</si>
  <si>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</si>
  <si>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</si>
  <si>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Analyst Certification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</si>
  <si>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</si>
  <si>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</si>
  <si>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</si>
  <si>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Andrei Stadnik, FIAA.</t>
  </si>
  <si>
    <t>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</si>
  <si>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</si>
  <si>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</si>
  <si>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</si>
  <si>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</si>
  <si>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Important Regulatory Disclosures on Subject Companies</t>
  </si>
  <si>
    <t>Within the last 12 months, Morgan Stanley managed or co-managed a public offering (or 144A offering) of</t>
  </si>
  <si>
    <t>securities of Macquarie Group Limited.</t>
  </si>
  <si>
    <t>Within the last 12 months, Morgan Stanley has received compensation for investment banking services from</t>
  </si>
  <si>
    <t>Macquarie Group Limited.</t>
  </si>
  <si>
    <t>In the next 3 months, Morgan Stanley expects to receive or intends to seek compensation for investment</t>
  </si>
  <si>
    <t>banking services from Macquarie Group Limited.</t>
  </si>
  <si>
    <t>Within the last 12 months, Morgan Stanley has received compensation for products and services other than</t>
  </si>
  <si>
    <t>investment banking services from Macquarie Group Limited.</t>
  </si>
  <si>
    <t>Within the last 12 months, Morgan Stanley has provided or is providing investment banking services to,</t>
  </si>
  <si>
    <t>or has an investment banking client relationship with, the following company: Macquarie Group Limited.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</si>
  <si>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</si>
  <si>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</si>
  <si>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Macquarie Group Limited.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</si>
  <si>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</si>
  <si>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</si>
  <si>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</si>
  <si>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</si>
  <si>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</si>
  <si>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</si>
  <si>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</si>
  <si>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</si>
  <si>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</si>
  <si>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</si>
  <si>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</si>
  <si>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</si>
  <si>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</si>
  <si>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</si>
  <si>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</si>
  <si>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</si>
  <si>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</si>
  <si>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</si>
  <si>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</si>
  <si>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</si>
  <si>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</si>
  <si>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</si>
  <si>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</si>
  <si>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</si>
  <si>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</si>
  <si>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</si>
  <si>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(as of January 31, 2026)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</si>
  <si>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</si>
  <si>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</si>
  <si>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</si>
  <si>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</si>
  <si>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</si>
  <si>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</si>
  <si>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</si>
  <si>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</si>
  <si>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</si>
  <si>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</si>
  <si>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</si>
  <si>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Other Material Investment Services Clients (MISC)</t>
  </si>
  <si>
    <t>Stock Rating Category</t>
  </si>
  <si>
    <t>Count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</si>
  <si>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</si>
  <si>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</si>
  <si>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</si>
  <si>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</si>
  <si>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</si>
  <si>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</si>
  <si>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</si>
  <si>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</si>
  <si>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</si>
  <si>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</si>
  <si>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</si>
  <si>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</si>
  <si>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</si>
  <si>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</si>
  <si>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</si>
  <si>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</si>
  <si>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</si>
  <si>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</si>
  <si>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</si>
  <si>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</si>
  <si>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</si>
  <si>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</si>
  <si>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</si>
  <si>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</si>
  <si>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</si>
  <si>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</si>
  <si>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</si>
  <si>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</si>
  <si>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</si>
  <si>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</si>
  <si>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</si>
  <si>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</si>
  <si>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</si>
  <si>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</si>
  <si>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</si>
  <si>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</si>
  <si>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Stock Price, Price Target and Rating History (See Rating Definitions)</t>
  </si>
  <si>
    <t>Important Disclosures for Morgan Stanley Smith Barney LLC Customers</t>
  </si>
  <si>
    <t>Important disclosures regarding any material conflict of interest that can reasonably be expected to</t>
  </si>
  <si>
    <t>have influenced Morgan Stanley Smith Barney LLC's choice of a third-party research provider or the</t>
  </si>
  <si>
    <t>subject company of a third-party research report, are available on the Morgan Stanley Wealth Management</t>
  </si>
  <si>
    <t>disclosure website at www.morganstanley.com/online/researchdisclosures. For Morgan Stanley specific</t>
  </si>
  <si>
    <t>disclosures, you may refer to https://www.morganstanley.com/eqr/disclosures/webapp/generalresearch.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</si>
  <si>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</si>
  <si>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</si>
  <si>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</si>
  <si>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Other Important Disclosures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</si>
  <si>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</si>
  <si>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</si>
  <si>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</si>
  <si>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</si>
  <si>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</si>
  <si>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</si>
  <si>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</si>
  <si>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</si>
  <si>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</si>
  <si>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</si>
  <si>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</si>
  <si>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</si>
  <si>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</si>
  <si>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</si>
  <si>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</si>
  <si>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</si>
  <si>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</si>
  <si>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</si>
  <si>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</si>
  <si>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</si>
  <si>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</si>
  <si>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</si>
  <si>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</si>
  <si>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</si>
  <si>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</si>
  <si>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</si>
  <si>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</si>
  <si>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</si>
  <si>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</si>
  <si>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</si>
  <si>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</si>
  <si>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</si>
  <si>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 and</t>
  </si>
  <si>
    <t>the following link to review the audit report</t>
  </si>
  <si>
    <t>(https://www.morganstanley.com/assets/pdfs/about-us-global-offices/india/Research_Audit_Report.pdf).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</si>
  <si>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</si>
  <si>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</si>
  <si>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</si>
  <si>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</si>
  <si>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</si>
  <si>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</si>
  <si>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</si>
  <si>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</si>
  <si>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</si>
  <si>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</si>
  <si>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</si>
  <si>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</si>
  <si>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</si>
  <si>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</si>
  <si>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</si>
  <si>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</si>
  <si>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</si>
  <si>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</si>
  <si>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</si>
  <si>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</si>
  <si>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</si>
  <si>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</si>
  <si>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</si>
  <si>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</si>
  <si>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</si>
  <si>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</si>
  <si>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</si>
  <si>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</si>
  <si>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</si>
  <si>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</si>
  <si>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</si>
  <si>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</si>
  <si>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</si>
  <si>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</si>
  <si>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</si>
  <si>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</si>
  <si>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</si>
  <si>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</si>
  <si>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</si>
  <si>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</si>
  <si>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</si>
  <si>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</si>
  <si>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</si>
  <si>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</si>
  <si>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</si>
  <si>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</si>
  <si>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</si>
  <si>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</si>
  <si>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</si>
  <si>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</si>
  <si>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</si>
  <si>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</si>
  <si>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</si>
  <si>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</si>
  <si>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</si>
  <si>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</si>
  <si>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</si>
  <si>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</si>
  <si>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Certain information in Morgan Stanley Research was sourced by employees of the Shanghai Representative</t>
  </si>
  <si>
    <t>Office of Morgan Stanley Asia Limited for the use of Morgan Stanley Asia Limited.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</si>
  <si>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</si>
  <si>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</si>
  <si>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</si>
  <si>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</si>
  <si>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</si>
  <si>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</si>
  <si>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</si>
  <si>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</si>
  <si>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</si>
  <si>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</si>
  <si>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</si>
  <si>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</si>
  <si>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</si>
  <si>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</si>
  <si>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</si>
  <si>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</si>
  <si>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</si>
  <si>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</si>
  <si>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</si>
  <si>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</si>
  <si>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</si>
  <si>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</si>
  <si>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</si>
  <si>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</si>
  <si>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</si>
  <si>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</si>
  <si>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</si>
  <si>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</si>
  <si>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</si>
  <si>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</si>
  <si>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</si>
  <si>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</si>
  <si>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</si>
  <si>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</si>
  <si>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</si>
  <si>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</si>
  <si>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</si>
  <si>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</si>
  <si>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</si>
  <si>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</si>
  <si>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</si>
  <si>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</si>
  <si>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</si>
  <si>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</si>
  <si>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</si>
  <si>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</si>
  <si>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</si>
  <si>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</si>
  <si>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</si>
  <si>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</si>
  <si>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</si>
  <si>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</si>
  <si>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</si>
  <si>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</si>
  <si>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</si>
  <si>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</si>
  <si>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</si>
  <si>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</si>
  <si>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</si>
  <si>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</si>
  <si>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</si>
  <si>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</si>
  <si>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</si>
  <si>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</si>
  <si>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</si>
  <si>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</si>
  <si>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</si>
  <si>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</si>
  <si>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</si>
  <si>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</si>
  <si>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</si>
  <si>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</si>
  <si>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</si>
  <si>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</si>
  <si>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</si>
  <si>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</si>
  <si>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</si>
  <si>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</si>
  <si>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</si>
  <si>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</si>
  <si>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</si>
  <si>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</si>
  <si>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</si>
  <si>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</si>
  <si>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</si>
  <si>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</si>
  <si>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</si>
  <si>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</si>
  <si>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</si>
  <si>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</si>
  <si>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2026 Morgan Stanley</t>
  </si>
  <si>
    <t>MacroVersion</t>
  </si>
  <si>
    <t>6.10</t>
  </si>
  <si>
    <t>PublishDate</t>
  </si>
  <si>
    <t>02/11/26 08:25</t>
  </si>
  <si>
    <t>Discipline</t>
  </si>
  <si>
    <t>Research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</si>
  <si>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</si>
  <si>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</si>
  <si>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</si>
  <si>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</si>
  <si>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</si>
  <si>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</si>
  <si>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</si>
  <si>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</si>
  <si>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</si>
  <si>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Equal-weight / In-Line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</si>
  <si>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</si>
  <si>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</si>
  <si>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</si>
  <si>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</si>
  <si>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</si>
  <si>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</si>
  <si>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</si>
  <si>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</si>
  <si>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</si>
  <si>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</si>
  <si>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MSA13022</t>
  </si>
  <si>
    <t>Tickers</t>
  </si>
  <si>
    <t>CUSIP</t>
  </si>
  <si>
    <t>RIC</t>
  </si>
  <si>
    <t>SEDOL</t>
  </si>
  <si>
    <t>B28YTC2</t>
  </si>
  <si>
    <t>Current Stock Price</t>
  </si>
  <si>
    <t>214.50</t>
  </si>
  <si>
    <t>Currency</t>
  </si>
  <si>
    <t>PathName</t>
  </si>
  <si>
    <t>L:\USERS\Banks\rwiles\Banks New\MQG\Published models\MQG 2026FEB11 RR Update.xlsm</t>
  </si>
  <si>
    <t>Distribution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</si>
  <si>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</si>
  <si>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</si>
  <si>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</si>
  <si>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</si>
  <si>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</si>
  <si>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</si>
  <si>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</si>
  <si>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</si>
  <si>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</si>
  <si>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</si>
  <si>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</si>
  <si>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</si>
  <si>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</si>
  <si>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</si>
  <si>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AsiaPacific</t>
  </si>
  <si>
    <t>ObjectType</t>
  </si>
  <si>
    <t>excel</t>
  </si>
  <si>
    <t>LanguageCode</t>
  </si>
  <si>
    <t>en-US</t>
  </si>
  <si>
    <t>SubmitterUserId</t>
  </si>
  <si>
    <t>bounpras</t>
  </si>
  <si>
    <t>IndustryId</t>
  </si>
  <si>
    <t>1900001084</t>
  </si>
  <si>
    <t>TickerRegion</t>
  </si>
  <si>
    <t>5</t>
  </si>
  <si>
    <t>AdditionalInstructions</t>
  </si>
  <si>
    <t>*Estimated</t>
  </si>
  <si>
    <t>OwnerTeam</t>
  </si>
  <si>
    <t>I888888909</t>
  </si>
  <si>
    <t>[BRO MSA]</t>
  </si>
  <si>
    <t>[DOCDAT 2026-02-11]</t>
  </si>
  <si>
    <t>[DOCTIME 08:25]</t>
  </si>
  <si>
    <t>[PSYM MQG.AX(Reuters) (None)]</t>
  </si>
  <si>
    <t>[COU Australia]</t>
  </si>
  <si>
    <t>[PRODUCT MODEL]</t>
  </si>
  <si>
    <t>[ANA ]</t>
  </si>
  <si>
    <t>[HL MQG.AX Model]</t>
  </si>
  <si>
    <t>[IND Financial Services]</t>
  </si>
  <si>
    <t>[EMAIL_ALERT YES]</t>
  </si>
  <si>
    <t>[PANA  MSA13022]</t>
  </si>
  <si>
    <t>[DISCIPLINE Company]</t>
  </si>
  <si>
    <t>[SUPPRESSED NO]</t>
  </si>
  <si>
    <t>This workbook contains formulas which intentionally use circular reference calculation. These calculations can be resolved as intended by the originating analyst by applying the following settings in the File &gt;&gt; Options &gt;&gt; Formulas:</t>
  </si>
  <si>
    <t>1) Select the Enable iterative calculation check box</t>
  </si>
  <si>
    <t>2) Set Maximum Iterations = 100</t>
  </si>
  <si>
    <t>3) Set Maximum Change = 0.001</t>
  </si>
  <si>
    <t>Failure to apply these settings can result in incorrect calculation or unexpected termination of your Microsoft Excel session.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</si>
</sst>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2">
    <numFmt numFmtId="164" formatCode="&quot;$&quot;#,##0_);[Red]\(&quot;$&quot;#,##0\)"/>
    <numFmt numFmtId="166" formatCode="&quot;$&quot;#,##0.00_);[Red]\(&quot;$&quot;#,##0.00\)"/>
    <numFmt numFmtId="167" formatCode="_(&quot;$&quot;* #,##0.00_);_(&quot;$&quot;* \(#,##0.00\);_(&quot;$&quot;* &quot;-&quot;??_);_(@_)"/>
    <numFmt numFmtId="168" formatCode="_(* #,##0.00_);_(* \(#,##0.00\);_(* &quot;-&quot;??_);_(@_)"/>
    <numFmt numFmtId="169" formatCode="_ * #,##0.00_ ;_ * \-#,##0.00_ ;_ * &quot;-&quot;??_ ;_ @_ "/>
    <numFmt numFmtId="170" formatCode="#,##0.0_);\(#,##0.0\)"/>
    <numFmt numFmtId="171" formatCode="0.0%"/>
    <numFmt numFmtId="172" formatCode="#,##0.0"/>
    <numFmt numFmtId="173" formatCode="0.0"/>
    <numFmt numFmtId="174" formatCode="0.0000"/>
    <numFmt numFmtId="175" formatCode="#0%_);\(#0%\)"/>
    <numFmt numFmtId="176" formatCode="0.000"/>
    <numFmt numFmtId="177" formatCode="#,##0.0000"/>
    <numFmt numFmtId="179" formatCode="#0.0%_);\(#0.0%\)"/>
    <numFmt numFmtId="180" formatCode="[$-C09]dd\-mmm\-yy;@"/>
    <numFmt numFmtId="181" formatCode="0;\(0\)"/>
    <numFmt numFmtId="182" formatCode="#,##0;\(#,##0\)"/>
    <numFmt numFmtId="183" formatCode="[$$-C09]#,##0.00"/>
    <numFmt numFmtId="184" formatCode="0_)"/>
    <numFmt numFmtId="185" formatCode="_(* #,##0_);_(* \(#,##0\);_(* &quot;-&quot;??_);_(@_)"/>
    <numFmt numFmtId="186" formatCode="_(* #,##0.0_);_(* \(#,##0.0\);_(* &quot;-&quot;??_);_(@_)"/>
    <numFmt numFmtId="187" formatCode="#,##0.000000"/>
    <numFmt numFmtId="188" formatCode="0.000%"/>
    <numFmt numFmtId="189" formatCode="#,##0.00000000000000000000000"/>
    <numFmt numFmtId="192" formatCode="&quot;$&quot;#,##0.00"/>
    <numFmt numFmtId="196" formatCode="0.0&quot;x&quot;"/>
    <numFmt numFmtId="197" formatCode="0.00&quot;x&quot;"/>
    <numFmt numFmtId="198" formatCode="&quot;A$&quot;#,##0.00"/>
    <numFmt numFmtId="199" formatCode="&quot;A$&quot;0.00"/>
    <numFmt numFmtId="204" formatCode="0.0&quot;%pt&quot;"/>
    <numFmt numFmtId="205" formatCode="#,##0.00000_);\(#,##0.00000\)"/>
    <numFmt numFmtId="206" formatCode="&quot;$&quot;##.00"/>
    <numFmt numFmtId="207" formatCode="&quot;$&quot;00.00"/>
    <numFmt numFmtId="208" formatCode="#,##0.0;\-#,##0.0"/>
    <numFmt numFmtId="209" formatCode="_-[$€-2]* #,##0.00_-;\-[$€-2]* #,##0.00_-;_-[$€-2]* &quot;-&quot;??_-"/>
    <numFmt numFmtId="210" formatCode="_-* #,##0_-;\-* #,##0_-;_-* &quot;-&quot;??_-;_-@_-"/>
    <numFmt numFmtId="211" formatCode="#.0\x"/>
    <numFmt numFmtId="212" formatCode="#,##0.000"/>
    <numFmt numFmtId="213" formatCode="0.0\x"/>
    <numFmt numFmtId="214" formatCode="#,##0.0;\-#,##0.0;0.0"/>
    <numFmt numFmtId="215" formatCode="#,##0;\-#,##0;0"/>
    <numFmt numFmtId="219" formatCode="#,##0.00_);\(#,##0.00\);#,##0.00_);@_)"/>
  </numFmts>
  <fonts count="20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Narrow"/>
      <family val="2"/>
    </font>
    <font>
      <b/>
      <sz val="10"/>
      <name val="Arial narrow"/>
      <family val="2"/>
    </font>
    <font>
      <sz val="8"/>
      <name val="Arial"/>
      <family val="2"/>
    </font>
    <font>
      <sz val="10"/>
      <color indexed="12"/>
      <name val="Arial Narrow"/>
      <family val="2"/>
    </font>
    <font>
      <sz val="10"/>
      <color indexed="8"/>
      <name val="Arial Narrow"/>
      <family val="2"/>
    </font>
    <font>
      <i/>
      <sz val="10"/>
      <name val="Arial Narrow"/>
      <family val="2"/>
    </font>
    <font>
      <i/>
      <sz val="10"/>
      <color indexed="12"/>
      <name val="Arial Narrow"/>
      <family val="2"/>
    </font>
    <font>
      <i/>
      <sz val="10"/>
      <color indexed="10"/>
      <name val="Arial Narrow"/>
      <family val="2"/>
    </font>
    <font>
      <sz val="10"/>
      <color indexed="10"/>
      <name val="Arial Narrow"/>
      <family val="2"/>
    </font>
    <font>
      <b/>
      <sz val="10"/>
      <color indexed="12"/>
      <name val="Arial Narrow"/>
      <family val="2"/>
    </font>
    <font>
      <b/>
      <i/>
      <sz val="10"/>
      <name val="Arial Narrow"/>
      <family val="2"/>
    </font>
    <font>
      <b/>
      <sz val="10"/>
      <color indexed="9"/>
      <name val="Arial narrow"/>
      <family val="2"/>
    </font>
    <font>
      <sz val="10"/>
      <color indexed="9"/>
      <name val="Arial Narrow"/>
      <family val="2"/>
    </font>
    <font>
      <b/>
      <sz val="10"/>
      <color indexed="8"/>
      <name val="Arial Narrow"/>
      <family val="2"/>
    </font>
    <font>
      <u/>
      <sz val="10"/>
      <color indexed="12"/>
      <name val="Arial"/>
      <family val="2"/>
    </font>
    <font>
      <b/>
      <sz val="10"/>
      <color indexed="10"/>
      <name val="Arial Narrow"/>
      <family val="2"/>
    </font>
    <font>
      <sz val="10"/>
      <color indexed="17"/>
      <name val="Arial Narrow"/>
      <family val="2"/>
    </font>
    <font>
      <i/>
      <sz val="10"/>
      <color indexed="17"/>
      <name val="Arial Narrow"/>
      <family val="2"/>
    </font>
    <font>
      <b/>
      <sz val="10"/>
      <color indexed="17"/>
      <name val="Arial narrow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i/>
      <sz val="10"/>
      <color indexed="12"/>
      <name val="Arial Narrow"/>
      <family val="2"/>
    </font>
    <font>
      <b/>
      <sz val="10"/>
      <name val="Arial"/>
      <family val="2"/>
    </font>
    <font>
      <sz val="8"/>
      <color indexed="22"/>
      <name val="Arial"/>
      <family val="2"/>
    </font>
    <font>
      <sz val="11"/>
      <name val="Arial"/>
      <family val="2"/>
    </font>
    <font>
      <sz val="10"/>
      <name val="Helv"/>
    </font>
    <font>
      <sz val="10"/>
      <name val="Helv"/>
      <charset val="20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0"/>
      <name val="Tahoma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0"/>
      <color indexed="12"/>
      <name val="Arial Narrow"/>
      <family val="2"/>
    </font>
    <font>
      <sz val="10"/>
      <color indexed="17"/>
      <name val="Arial Narrow"/>
      <family val="2"/>
    </font>
    <font>
      <sz val="10"/>
      <color indexed="12"/>
      <name val="Arial Narrow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20"/>
      <name val="Arial narrow"/>
      <family val="2"/>
    </font>
    <font>
      <b/>
      <sz val="10"/>
      <color indexed="20"/>
      <name val="Arial Narrow"/>
      <family val="2"/>
    </font>
    <font>
      <sz val="10"/>
      <name val="Arial"/>
      <family val="2"/>
    </font>
    <font>
      <sz val="10"/>
      <color indexed="8"/>
      <name val="Calibri"/>
      <family val="2"/>
      <scheme val="minor"/>
    </font>
    <font>
      <sz val="10"/>
      <name val="Calibri"/>
      <family val="2"/>
      <scheme val="minor"/>
    </font>
    <font>
      <b/>
      <sz val="16"/>
      <color indexed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indexed="12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9"/>
      <name val="Calibri"/>
      <family val="2"/>
      <scheme val="minor"/>
    </font>
    <font>
      <sz val="9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rgb="FF0000FF"/>
      <name val="Arial Narrow"/>
      <family val="2"/>
    </font>
    <font>
      <sz val="10"/>
      <color rgb="FF0000FF"/>
      <name val="Calibri"/>
      <family val="2"/>
      <scheme val="minor"/>
    </font>
    <font>
      <b/>
      <sz val="10"/>
      <color rgb="FF0000FF"/>
      <name val="Arial Narrow"/>
      <family val="2"/>
    </font>
    <font>
      <b/>
      <i/>
      <sz val="10"/>
      <color rgb="FF0000FF"/>
      <name val="Arial Narrow"/>
      <family val="2"/>
    </font>
    <font>
      <i/>
      <sz val="10"/>
      <color rgb="FF0000FF"/>
      <name val="Calibri"/>
      <family val="2"/>
      <scheme val="minor"/>
    </font>
    <font>
      <b/>
      <sz val="10"/>
      <color indexed="2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indexed="17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20"/>
      <name val="Calibri"/>
      <family val="2"/>
      <scheme val="minor"/>
    </font>
    <font>
      <b/>
      <i/>
      <sz val="10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9900"/>
      <name val="Calibri"/>
      <family val="2"/>
      <scheme val="minor"/>
    </font>
    <font>
      <b/>
      <sz val="10"/>
      <color rgb="FF009900"/>
      <name val="Calibri"/>
      <family val="2"/>
      <scheme val="minor"/>
    </font>
    <font>
      <b/>
      <i/>
      <sz val="10"/>
      <color rgb="FF009900"/>
      <name val="Calibri"/>
      <family val="2"/>
      <scheme val="minor"/>
    </font>
    <font>
      <b/>
      <i/>
      <sz val="10"/>
      <color rgb="FF0000FF"/>
      <name val="Calibri"/>
      <family val="2"/>
      <scheme val="minor"/>
    </font>
    <font>
      <sz val="10"/>
      <color rgb="FF009900"/>
      <name val="Arial Narrow"/>
      <family val="2"/>
    </font>
    <font>
      <b/>
      <sz val="10"/>
      <color indexed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i/>
      <sz val="10"/>
      <color indexed="20"/>
      <name val="Calibri"/>
      <family val="2"/>
      <scheme val="minor"/>
    </font>
    <font>
      <u/>
      <sz val="10"/>
      <color theme="10"/>
      <name val="Arial"/>
      <family val="2"/>
    </font>
    <font>
      <sz val="12"/>
      <name val="바탕체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b/>
      <u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sz val="10"/>
      <color indexed="14"/>
      <name val="Calibri"/>
      <family val="2"/>
      <scheme val="minor"/>
    </font>
    <font>
      <i/>
      <sz val="10"/>
      <color indexed="12"/>
      <name val="Calibri"/>
      <family val="2"/>
      <scheme val="minor"/>
    </font>
    <font>
      <i/>
      <sz val="10"/>
      <color indexed="1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indexed="17"/>
      <name val="Calibri"/>
      <family val="2"/>
      <scheme val="minor"/>
    </font>
    <font>
      <i/>
      <sz val="10"/>
      <color indexed="8"/>
      <name val="Calibri"/>
      <family val="2"/>
      <scheme val="minor"/>
    </font>
    <font>
      <sz val="10"/>
      <color indexed="60"/>
      <name val="Calibri"/>
      <family val="2"/>
      <scheme val="minor"/>
    </font>
    <font>
      <i/>
      <sz val="10"/>
      <color indexed="60"/>
      <name val="Calibri"/>
      <family val="2"/>
      <scheme val="minor"/>
    </font>
    <font>
      <b/>
      <i/>
      <sz val="10"/>
      <color indexed="10"/>
      <name val="Calibri"/>
      <family val="2"/>
      <scheme val="minor"/>
    </font>
    <font>
      <b/>
      <sz val="10"/>
      <color indexed="60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color rgb="FF008000"/>
      <name val="Calibri"/>
      <family val="2"/>
      <scheme val="minor"/>
    </font>
    <font>
      <b/>
      <i/>
      <sz val="10"/>
      <color indexed="8"/>
      <name val="Calibri"/>
      <family val="2"/>
      <scheme val="minor"/>
    </font>
    <font>
      <b/>
      <sz val="14"/>
      <color indexed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0"/>
      <name val="Calibri"/>
      <family val="2"/>
      <scheme val="minor"/>
    </font>
    <font>
      <b/>
      <i/>
      <u/>
      <sz val="10"/>
      <name val="Calibri"/>
      <family val="2"/>
      <scheme val="minor"/>
    </font>
    <font>
      <i/>
      <sz val="10"/>
      <color indexed="2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u/>
      <sz val="12"/>
      <color rgb="FFFF00FF"/>
      <name val="Calibri"/>
      <family val="2"/>
      <scheme val="minor"/>
    </font>
    <font>
      <b/>
      <i/>
      <u/>
      <sz val="12"/>
      <color rgb="FFFF00FF"/>
      <name val="Calibri"/>
      <family val="2"/>
      <scheme val="minor"/>
    </font>
    <font>
      <b/>
      <i/>
      <sz val="10"/>
      <color indexed="17"/>
      <name val="Calibri"/>
      <family val="2"/>
      <scheme val="minor"/>
    </font>
    <font>
      <b/>
      <sz val="11"/>
      <color indexed="12"/>
      <name val="Calibri"/>
      <family val="2"/>
      <scheme val="minor"/>
    </font>
    <font>
      <sz val="10"/>
      <color rgb="FFFF99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0"/>
      <color indexed="9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u/>
      <sz val="10"/>
      <color indexed="9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indexed="10"/>
      <name val="Calibri"/>
      <family val="2"/>
      <scheme val="minor"/>
    </font>
    <font>
      <sz val="12"/>
      <name val="Calibri"/>
      <family val="2"/>
      <scheme val="minor"/>
    </font>
    <font>
      <sz val="10"/>
      <color indexed="1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indexed="57"/>
      <name val="Calibri"/>
      <family val="2"/>
      <scheme val="minor"/>
    </font>
    <font>
      <i/>
      <sz val="10"/>
      <color rgb="FF0070C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b/>
      <u/>
      <sz val="11"/>
      <color indexed="12"/>
      <name val="Calibri"/>
      <family val="2"/>
      <scheme val="minor"/>
    </font>
    <font>
      <sz val="11"/>
      <color indexed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10"/>
      <name val="Calibri"/>
      <family val="2"/>
      <scheme val="minor"/>
    </font>
    <font>
      <b/>
      <i/>
      <sz val="12"/>
      <name val="Calibri"/>
      <family val="2"/>
      <scheme val="minor"/>
    </font>
    <font>
      <sz val="16"/>
      <color indexed="10"/>
      <name val="Calibri"/>
      <family val="2"/>
      <scheme val="minor"/>
    </font>
    <font>
      <sz val="16"/>
      <name val="Calibri"/>
      <family val="2"/>
      <scheme val="minor"/>
    </font>
    <font>
      <b/>
      <i/>
      <sz val="10"/>
      <color indexed="60"/>
      <name val="Calibri"/>
      <family val="2"/>
      <scheme val="minor"/>
    </font>
    <font>
      <i/>
      <sz val="12"/>
      <name val="Calibri"/>
      <family val="2"/>
      <scheme val="minor"/>
    </font>
    <font>
      <i/>
      <sz val="12"/>
      <color indexed="20"/>
      <name val="Calibri"/>
      <family val="2"/>
      <scheme val="minor"/>
    </font>
    <font>
      <b/>
      <sz val="20"/>
      <name val="Calibri"/>
      <family val="2"/>
      <scheme val="minor"/>
    </font>
    <font>
      <sz val="12"/>
      <color indexed="1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i/>
      <sz val="12"/>
      <color indexed="17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9900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i/>
      <sz val="14"/>
      <name val="Calibri"/>
      <family val="2"/>
      <scheme val="minor"/>
    </font>
    <font>
      <sz val="10"/>
      <color rgb="FF7030A0"/>
      <name val="Calibri"/>
      <family val="2"/>
      <scheme val="minor"/>
    </font>
    <font>
      <i/>
      <sz val="10"/>
      <color indexed="20"/>
      <name val="Arial Narrow"/>
      <family val="2"/>
    </font>
    <font>
      <b/>
      <u/>
      <sz val="12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color indexed="10"/>
      <name val="Calibri"/>
      <family val="2"/>
      <scheme val="minor"/>
    </font>
    <font>
      <sz val="10"/>
      <color theme="7" tint="-0.249977111117893"/>
      <name val="Calibri"/>
      <family val="2"/>
      <scheme val="minor"/>
    </font>
    <font>
      <b/>
      <sz val="10"/>
      <color rgb="FF0000FF"/>
      <name val="Calibri"/>
      <family val="2"/>
    </font>
    <font>
      <sz val="10"/>
      <color rgb="FF0000FF"/>
      <name val="Calibri"/>
      <family val="2"/>
    </font>
    <font>
      <b/>
      <i/>
      <sz val="10"/>
      <color rgb="FF0000FF"/>
      <name val="Calibri"/>
      <family val="2"/>
    </font>
    <font>
      <i/>
      <sz val="10"/>
      <color rgb="FF0000FF"/>
      <name val="Calibri"/>
      <family val="2"/>
    </font>
    <font>
      <sz val="10"/>
      <color rgb="FFFF0000"/>
      <name val="Calibri"/>
      <family val="2"/>
    </font>
    <font>
      <b/>
      <sz val="16"/>
      <color indexed="12"/>
      <name val="Calibri"/>
      <family val="2"/>
      <scheme val="minor"/>
    </font>
    <font>
      <b/>
      <sz val="10"/>
      <color indexed="30"/>
      <name val="Calibri"/>
      <family val="2"/>
      <scheme val="minor"/>
    </font>
    <font>
      <sz val="12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12"/>
      <color rgb="FF000080"/>
      <name val="Arial"/>
      <family val="2"/>
    </font>
    <font>
      <sz val="14"/>
      <color rgb="FF000000"/>
      <name val="Arial"/>
      <family val="2"/>
    </font>
    <font>
      <b/>
      <u/>
      <sz val="14"/>
      <color rgb="FFFF0000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8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65"/>
        <bgColor indexed="64"/>
      </patternFill>
    </fill>
  </fills>
  <borders count="4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72">
    <xf numFmtId="0" fontId="0" fillId="0" borderId="0"/>
    <xf numFmtId="0" fontId="60" fillId="0" borderId="0"/>
    <xf numFmtId="0" fontId="26" fillId="0" borderId="0"/>
    <xf numFmtId="0" fontId="6" fillId="0" borderId="0"/>
    <xf numFmtId="0" fontId="36" fillId="0" borderId="0"/>
    <xf numFmtId="0" fontId="37" fillId="0" borderId="0"/>
    <xf numFmtId="0" fontId="6" fillId="0" borderId="0"/>
    <xf numFmtId="0" fontId="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/>
    <xf numFmtId="0" fontId="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/>
    <xf numFmtId="0" fontId="6" fillId="0" borderId="0"/>
    <xf numFmtId="0" fontId="2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27" fillId="0" borderId="0"/>
    <xf numFmtId="0" fontId="65" fillId="0" borderId="0"/>
    <xf numFmtId="0" fontId="27" fillId="0" borderId="0"/>
    <xf numFmtId="0" fontId="65" fillId="0" borderId="0"/>
    <xf numFmtId="0" fontId="38" fillId="2" borderId="0" applyNumberFormat="0" applyBorder="0" applyAlignment="0" applyProtection="0"/>
    <xf numFmtId="0" fontId="38" fillId="3" borderId="0" applyNumberFormat="0" applyBorder="0" applyAlignment="0" applyProtection="0"/>
    <xf numFmtId="0" fontId="38" fillId="4" borderId="0" applyNumberFormat="0" applyBorder="0" applyAlignment="0" applyProtection="0"/>
    <xf numFmtId="0" fontId="38" fillId="2" borderId="0" applyNumberFormat="0" applyBorder="0" applyAlignment="0" applyProtection="0"/>
    <xf numFmtId="0" fontId="38" fillId="5" borderId="0" applyNumberFormat="0" applyBorder="0" applyAlignment="0" applyProtection="0"/>
    <xf numFmtId="0" fontId="38" fillId="4" borderId="0" applyNumberFormat="0" applyBorder="0" applyAlignment="0" applyProtection="0"/>
    <xf numFmtId="0" fontId="38" fillId="6" borderId="0" applyNumberFormat="0" applyBorder="0" applyAlignment="0" applyProtection="0"/>
    <xf numFmtId="0" fontId="38" fillId="3" borderId="0" applyNumberFormat="0" applyBorder="0" applyAlignment="0" applyProtection="0"/>
    <xf numFmtId="0" fontId="38" fillId="4" borderId="0" applyNumberFormat="0" applyBorder="0" applyAlignment="0" applyProtection="0"/>
    <xf numFmtId="0" fontId="38" fillId="6" borderId="0" applyNumberFormat="0" applyBorder="0" applyAlignment="0" applyProtection="0"/>
    <xf numFmtId="0" fontId="38" fillId="7" borderId="0" applyNumberFormat="0" applyBorder="0" applyAlignment="0" applyProtection="0"/>
    <xf numFmtId="0" fontId="38" fillId="4" borderId="0" applyNumberFormat="0" applyBorder="0" applyAlignment="0" applyProtection="0"/>
    <xf numFmtId="0" fontId="39" fillId="8" borderId="0" applyNumberFormat="0" applyBorder="0" applyAlignment="0" applyProtection="0"/>
    <xf numFmtId="0" fontId="39" fillId="3" borderId="0" applyNumberFormat="0" applyBorder="0" applyAlignment="0" applyProtection="0"/>
    <xf numFmtId="0" fontId="39" fillId="9" borderId="0" applyNumberFormat="0" applyBorder="0" applyAlignment="0" applyProtection="0"/>
    <xf numFmtId="0" fontId="39" fillId="6" borderId="0" applyNumberFormat="0" applyBorder="0" applyAlignment="0" applyProtection="0"/>
    <xf numFmtId="0" fontId="39" fillId="8" borderId="0" applyNumberFormat="0" applyBorder="0" applyAlignment="0" applyProtection="0"/>
    <xf numFmtId="0" fontId="39" fillId="4" borderId="0" applyNumberFormat="0" applyBorder="0" applyAlignment="0" applyProtection="0"/>
    <xf numFmtId="0" fontId="39" fillId="8" borderId="0" applyNumberFormat="0" applyBorder="0" applyAlignment="0" applyProtection="0"/>
    <xf numFmtId="0" fontId="39" fillId="3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8" borderId="0" applyNumberFormat="0" applyBorder="0" applyAlignment="0" applyProtection="0"/>
    <xf numFmtId="0" fontId="39" fillId="3" borderId="0" applyNumberFormat="0" applyBorder="0" applyAlignment="0" applyProtection="0"/>
    <xf numFmtId="0" fontId="40" fillId="11" borderId="0" applyNumberFormat="0" applyBorder="0" applyAlignment="0" applyProtection="0"/>
    <xf numFmtId="0" fontId="28" fillId="0" borderId="0"/>
    <xf numFmtId="0" fontId="66" fillId="0" borderId="0"/>
    <xf numFmtId="0" fontId="41" fillId="12" borderId="1" applyNumberFormat="0" applyAlignment="0" applyProtection="0"/>
    <xf numFmtId="0" fontId="42" fillId="13" borderId="2" applyNumberFormat="0" applyAlignment="0" applyProtection="0"/>
    <xf numFmtId="168" fontId="6" fillId="0" borderId="0" applyFont="0" applyFill="0" applyBorder="0" applyAlignment="0" applyProtection="0"/>
    <xf numFmtId="168" fontId="38" fillId="0" borderId="0" applyFont="0" applyFill="0" applyBorder="0" applyAlignment="0" applyProtection="0"/>
    <xf numFmtId="3" fontId="27" fillId="0" borderId="0" applyFont="0" applyFill="0" applyBorder="0" applyAlignment="0" applyProtection="0"/>
    <xf numFmtId="167" fontId="64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73" fillId="0" borderId="0" applyFont="0" applyFill="0" applyBorder="0" applyAlignment="0" applyProtection="0"/>
    <xf numFmtId="209" fontId="6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/>
    <xf numFmtId="0" fontId="45" fillId="14" borderId="0"/>
    <xf numFmtId="0" fontId="46" fillId="15" borderId="0" applyNumberFormat="0" applyBorder="0" applyAlignment="0" applyProtection="0"/>
    <xf numFmtId="0" fontId="47" fillId="0" borderId="3" applyNumberFormat="0" applyFill="0" applyAlignment="0" applyProtection="0"/>
    <xf numFmtId="0" fontId="48" fillId="0" borderId="4" applyNumberFormat="0" applyFill="0" applyAlignment="0" applyProtection="0"/>
    <xf numFmtId="0" fontId="49" fillId="0" borderId="5" applyNumberFormat="0" applyFill="0" applyAlignment="0" applyProtection="0"/>
    <xf numFmtId="0" fontId="49" fillId="0" borderId="0" applyNumberFormat="0" applyFill="0" applyBorder="0" applyAlignment="0" applyProtection="0"/>
    <xf numFmtId="0" fontId="50" fillId="0" borderId="0">
      <alignment wrapText="1"/>
    </xf>
    <xf numFmtId="0" fontId="21" fillId="0" borderId="0" applyNumberFormat="0" applyFill="0" applyBorder="0" applyAlignment="0" applyProtection="0">
      <alignment vertical="top"/>
      <protection locked="0"/>
    </xf>
    <xf numFmtId="0" fontId="51" fillId="4" borderId="1" applyNumberFormat="0" applyAlignment="0" applyProtection="0"/>
    <xf numFmtId="0" fontId="52" fillId="0" borderId="6" applyNumberFormat="0" applyFill="0" applyAlignment="0" applyProtection="0"/>
    <xf numFmtId="0" fontId="45" fillId="0" borderId="0"/>
    <xf numFmtId="0" fontId="53" fillId="0" borderId="0"/>
    <xf numFmtId="0" fontId="54" fillId="0" borderId="0"/>
    <xf numFmtId="0" fontId="55" fillId="4" borderId="0" applyNumberFormat="0" applyBorder="0" applyAlignment="0" applyProtection="0"/>
    <xf numFmtId="0" fontId="26" fillId="0" borderId="0"/>
    <xf numFmtId="0" fontId="6" fillId="0" borderId="0"/>
    <xf numFmtId="0" fontId="34" fillId="0" borderId="0"/>
    <xf numFmtId="2" fontId="29" fillId="0" borderId="7"/>
    <xf numFmtId="2" fontId="29" fillId="0" borderId="7"/>
    <xf numFmtId="0" fontId="27" fillId="0" borderId="0"/>
    <xf numFmtId="0" fontId="6" fillId="0" borderId="0"/>
    <xf numFmtId="0" fontId="6" fillId="4" borderId="8" applyNumberFormat="0" applyFont="0" applyAlignment="0" applyProtection="0"/>
    <xf numFmtId="0" fontId="56" fillId="12" borderId="9" applyNumberFormat="0" applyAlignment="0" applyProtection="0"/>
    <xf numFmtId="0" fontId="29" fillId="0" borderId="0">
      <alignment vertical="center"/>
    </xf>
    <xf numFmtId="0" fontId="54" fillId="0" borderId="0"/>
    <xf numFmtId="9" fontId="6" fillId="0" borderId="0" applyFont="0" applyFill="0" applyBorder="0" applyAlignment="0" applyProtection="0"/>
    <xf numFmtId="9" fontId="27" fillId="0" borderId="7" applyFont="0" applyFill="0" applyAlignment="0" applyProtection="0"/>
    <xf numFmtId="0" fontId="26" fillId="16" borderId="0" applyNumberFormat="0" applyFont="0" applyBorder="0" applyAlignment="0" applyProtection="0"/>
    <xf numFmtId="0" fontId="30" fillId="0" borderId="0"/>
    <xf numFmtId="0" fontId="67" fillId="0" borderId="0"/>
    <xf numFmtId="0" fontId="30" fillId="0" borderId="10">
      <alignment horizontal="centerContinuous"/>
    </xf>
    <xf numFmtId="0" fontId="67" fillId="0" borderId="10">
      <alignment horizontal="centerContinuous"/>
    </xf>
    <xf numFmtId="0" fontId="31" fillId="0" borderId="10"/>
    <xf numFmtId="0" fontId="6" fillId="0" borderId="0">
      <alignment vertical="top"/>
    </xf>
    <xf numFmtId="0" fontId="6" fillId="0" borderId="0">
      <alignment vertical="top"/>
    </xf>
    <xf numFmtId="0" fontId="57" fillId="0" borderId="0" applyNumberFormat="0" applyFill="0" applyBorder="0" applyAlignment="0" applyProtection="0"/>
    <xf numFmtId="0" fontId="58" fillId="0" borderId="11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6" fillId="16" borderId="0" applyNumberFormat="0" applyFont="0" applyBorder="0" applyAlignment="0" applyProtection="0"/>
    <xf numFmtId="167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6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8" fontId="6" fillId="0" borderId="0" applyFont="0" applyFill="0" applyBorder="0" applyAlignment="0" applyProtection="0"/>
    <xf numFmtId="0" fontId="113" fillId="0" borderId="0" applyNumberFormat="0" applyFill="0" applyBorder="0" applyAlignment="0" applyProtection="0"/>
    <xf numFmtId="169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114" fillId="0" borderId="0"/>
    <xf numFmtId="0" fontId="4" fillId="0" borderId="0"/>
    <xf numFmtId="0" fontId="115" fillId="0" borderId="0" applyNumberForma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6" fillId="0" borderId="0"/>
    <xf numFmtId="0" fontId="2" fillId="0" borderId="0"/>
    <xf numFmtId="9" fontId="2" fillId="0" borderId="0" applyFont="0" applyFill="0" applyBorder="0" applyAlignment="0" applyProtection="0"/>
    <xf numFmtId="0" fontId="6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/>
    <xf numFmtId="0" fontId="27" fillId="0" borderId="0"/>
    <xf numFmtId="0" fontId="28" fillId="0" borderId="0"/>
    <xf numFmtId="168" fontId="6" fillId="0" borderId="0" applyFont="0" applyFill="0" applyBorder="0" applyAlignment="0" applyProtection="0"/>
    <xf numFmtId="168" fontId="38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30" fillId="0" borderId="0"/>
    <xf numFmtId="0" fontId="30" fillId="0" borderId="10">
      <alignment horizontal="centerContinuous"/>
    </xf>
    <xf numFmtId="167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7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263">
    <xf numFmtId="0" fontId="0" fillId="0" borderId="0" xfId="0"/>
    <xf numFmtId="0" fontId="7" fillId="0" borderId="0" xfId="1" applyFont="1"/>
    <xf numFmtId="0" fontId="8" fillId="0" borderId="0" xfId="1" applyFont="1"/>
    <xf numFmtId="0" fontId="12" fillId="0" borderId="0" xfId="1" applyFont="1"/>
    <xf numFmtId="0" fontId="7" fillId="0" borderId="0" xfId="1" applyFont="1" applyAlignment="1">
      <alignment horizontal="center"/>
    </xf>
    <xf numFmtId="0" fontId="8" fillId="0" borderId="0" xfId="1" applyFont="1" applyAlignment="1">
      <alignment horizontal="center"/>
    </xf>
    <xf numFmtId="3" fontId="10" fillId="0" borderId="0" xfId="1" applyNumberFormat="1" applyFont="1" applyAlignment="1">
      <alignment horizontal="center"/>
    </xf>
    <xf numFmtId="3" fontId="8" fillId="0" borderId="0" xfId="1" applyNumberFormat="1" applyFont="1" applyAlignment="1">
      <alignment horizontal="center"/>
    </xf>
    <xf numFmtId="3" fontId="7" fillId="0" borderId="0" xfId="1" applyNumberFormat="1" applyFont="1" applyAlignment="1">
      <alignment horizontal="center"/>
    </xf>
    <xf numFmtId="0" fontId="12" fillId="0" borderId="0" xfId="1" applyFont="1" applyAlignment="1">
      <alignment horizontal="center"/>
    </xf>
    <xf numFmtId="171" fontId="12" fillId="0" borderId="0" xfId="97" applyNumberFormat="1" applyFont="1" applyAlignment="1">
      <alignment horizontal="center"/>
    </xf>
    <xf numFmtId="0" fontId="17" fillId="0" borderId="0" xfId="1" applyFont="1"/>
    <xf numFmtId="3" fontId="7" fillId="0" borderId="0" xfId="1" applyNumberFormat="1" applyFont="1"/>
    <xf numFmtId="171" fontId="7" fillId="0" borderId="0" xfId="1" applyNumberFormat="1" applyFont="1" applyAlignment="1">
      <alignment horizontal="center"/>
    </xf>
    <xf numFmtId="0" fontId="7" fillId="0" borderId="13" xfId="1" applyFont="1" applyBorder="1"/>
    <xf numFmtId="0" fontId="17" fillId="0" borderId="0" xfId="1" applyFont="1" applyAlignment="1">
      <alignment horizontal="center"/>
    </xf>
    <xf numFmtId="0" fontId="18" fillId="21" borderId="0" xfId="1" applyFont="1" applyFill="1"/>
    <xf numFmtId="0" fontId="19" fillId="21" borderId="0" xfId="1" applyFont="1" applyFill="1"/>
    <xf numFmtId="0" fontId="19" fillId="21" borderId="0" xfId="1" applyFont="1" applyFill="1" applyAlignment="1">
      <alignment horizontal="center"/>
    </xf>
    <xf numFmtId="9" fontId="12" fillId="0" borderId="0" xfId="1" applyNumberFormat="1" applyFont="1" applyAlignment="1">
      <alignment horizontal="center"/>
    </xf>
    <xf numFmtId="172" fontId="7" fillId="0" borderId="0" xfId="1" applyNumberFormat="1" applyFont="1" applyAlignment="1">
      <alignment horizontal="center"/>
    </xf>
    <xf numFmtId="1" fontId="7" fillId="0" borderId="0" xfId="1" applyNumberFormat="1" applyFont="1" applyAlignment="1">
      <alignment horizontal="center"/>
    </xf>
    <xf numFmtId="172" fontId="8" fillId="0" borderId="0" xfId="1" applyNumberFormat="1" applyFont="1" applyAlignment="1">
      <alignment horizontal="center"/>
    </xf>
    <xf numFmtId="171" fontId="17" fillId="0" borderId="0" xfId="97" applyNumberFormat="1" applyFont="1" applyAlignment="1">
      <alignment horizontal="center"/>
    </xf>
    <xf numFmtId="173" fontId="7" fillId="0" borderId="0" xfId="1" applyNumberFormat="1" applyFont="1" applyAlignment="1">
      <alignment horizontal="center"/>
    </xf>
    <xf numFmtId="174" fontId="8" fillId="18" borderId="13" xfId="1" applyNumberFormat="1" applyFont="1" applyFill="1" applyBorder="1" applyAlignment="1" applyProtection="1">
      <alignment horizontal="left"/>
      <protection locked="0"/>
    </xf>
    <xf numFmtId="174" fontId="8" fillId="18" borderId="13" xfId="1" applyNumberFormat="1" applyFont="1" applyFill="1" applyBorder="1"/>
    <xf numFmtId="174" fontId="8" fillId="18" borderId="13" xfId="1" applyNumberFormat="1" applyFont="1" applyFill="1" applyBorder="1" applyAlignment="1" applyProtection="1">
      <alignment horizontal="center"/>
      <protection locked="0"/>
    </xf>
    <xf numFmtId="1" fontId="8" fillId="18" borderId="13" xfId="1" applyNumberFormat="1" applyFont="1" applyFill="1" applyBorder="1" applyAlignment="1" applyProtection="1">
      <alignment horizontal="center"/>
      <protection locked="0"/>
    </xf>
    <xf numFmtId="174" fontId="8" fillId="18" borderId="13" xfId="1" applyNumberFormat="1" applyFont="1" applyFill="1" applyBorder="1" applyAlignment="1">
      <alignment horizontal="center"/>
    </xf>
    <xf numFmtId="1" fontId="8" fillId="18" borderId="13" xfId="1" applyNumberFormat="1" applyFont="1" applyFill="1" applyBorder="1" applyAlignment="1">
      <alignment horizontal="center"/>
    </xf>
    <xf numFmtId="174" fontId="17" fillId="18" borderId="13" xfId="1" applyNumberFormat="1" applyFont="1" applyFill="1" applyBorder="1" applyAlignment="1">
      <alignment horizontal="center"/>
    </xf>
    <xf numFmtId="174" fontId="8" fillId="0" borderId="13" xfId="1" applyNumberFormat="1" applyFont="1" applyBorder="1" applyAlignment="1">
      <alignment horizontal="center"/>
    </xf>
    <xf numFmtId="174" fontId="17" fillId="0" borderId="13" xfId="1" applyNumberFormat="1" applyFont="1" applyBorder="1" applyAlignment="1">
      <alignment horizontal="center"/>
    </xf>
    <xf numFmtId="0" fontId="7" fillId="0" borderId="16" xfId="1" applyFont="1" applyBorder="1"/>
    <xf numFmtId="0" fontId="7" fillId="0" borderId="16" xfId="1" applyFont="1" applyBorder="1" applyAlignment="1">
      <alignment horizontal="center"/>
    </xf>
    <xf numFmtId="9" fontId="7" fillId="0" borderId="0" xfId="1" applyNumberFormat="1" applyFont="1" applyAlignment="1">
      <alignment horizontal="center"/>
    </xf>
    <xf numFmtId="9" fontId="8" fillId="0" borderId="0" xfId="1" applyNumberFormat="1" applyFont="1" applyAlignment="1">
      <alignment horizontal="center"/>
    </xf>
    <xf numFmtId="3" fontId="23" fillId="0" borderId="0" xfId="1" applyNumberFormat="1" applyFont="1" applyAlignment="1">
      <alignment horizontal="center"/>
    </xf>
    <xf numFmtId="171" fontId="12" fillId="0" borderId="0" xfId="97" applyNumberFormat="1" applyFont="1" applyFill="1" applyAlignment="1">
      <alignment horizontal="center"/>
    </xf>
    <xf numFmtId="171" fontId="17" fillId="0" borderId="0" xfId="97" applyNumberFormat="1" applyFont="1" applyFill="1" applyAlignment="1">
      <alignment horizontal="center"/>
    </xf>
    <xf numFmtId="0" fontId="18" fillId="21" borderId="0" xfId="1" applyFont="1" applyFill="1" applyAlignment="1">
      <alignment horizontal="center"/>
    </xf>
    <xf numFmtId="171" fontId="7" fillId="0" borderId="0" xfId="97" applyNumberFormat="1" applyFont="1" applyAlignment="1">
      <alignment horizontal="center"/>
    </xf>
    <xf numFmtId="171" fontId="8" fillId="0" borderId="0" xfId="97" applyNumberFormat="1" applyFont="1" applyAlignment="1">
      <alignment horizontal="center"/>
    </xf>
    <xf numFmtId="3" fontId="19" fillId="21" borderId="0" xfId="1" applyNumberFormat="1" applyFont="1" applyFill="1" applyAlignment="1">
      <alignment horizontal="center"/>
    </xf>
    <xf numFmtId="171" fontId="19" fillId="21" borderId="0" xfId="1" applyNumberFormat="1" applyFont="1" applyFill="1" applyAlignment="1">
      <alignment horizontal="center"/>
    </xf>
    <xf numFmtId="1" fontId="8" fillId="0" borderId="13" xfId="1" applyNumberFormat="1" applyFont="1" applyBorder="1" applyAlignment="1">
      <alignment horizontal="center"/>
    </xf>
    <xf numFmtId="1" fontId="8" fillId="0" borderId="0" xfId="1" applyNumberFormat="1" applyFont="1" applyAlignment="1">
      <alignment horizontal="center"/>
    </xf>
    <xf numFmtId="0" fontId="7" fillId="18" borderId="0" xfId="1" applyFont="1" applyFill="1" applyAlignment="1">
      <alignment horizontal="center"/>
    </xf>
    <xf numFmtId="0" fontId="18" fillId="24" borderId="0" xfId="1" applyFont="1" applyFill="1"/>
    <xf numFmtId="0" fontId="19" fillId="24" borderId="0" xfId="1" applyFont="1" applyFill="1"/>
    <xf numFmtId="172" fontId="12" fillId="0" borderId="0" xfId="1" applyNumberFormat="1" applyFont="1" applyAlignment="1">
      <alignment horizontal="center"/>
    </xf>
    <xf numFmtId="10" fontId="8" fillId="0" borderId="0" xfId="97" applyNumberFormat="1" applyFont="1" applyAlignment="1">
      <alignment horizontal="center"/>
    </xf>
    <xf numFmtId="171" fontId="12" fillId="0" borderId="23" xfId="97" applyNumberFormat="1" applyFont="1" applyBorder="1" applyAlignment="1">
      <alignment horizontal="center"/>
    </xf>
    <xf numFmtId="3" fontId="7" fillId="0" borderId="23" xfId="1" applyNumberFormat="1" applyFont="1" applyBorder="1" applyAlignment="1">
      <alignment horizontal="center"/>
    </xf>
    <xf numFmtId="0" fontId="19" fillId="24" borderId="0" xfId="1" applyFont="1" applyFill="1" applyAlignment="1">
      <alignment horizontal="center"/>
    </xf>
    <xf numFmtId="3" fontId="19" fillId="24" borderId="0" xfId="1" applyNumberFormat="1" applyFont="1" applyFill="1" applyAlignment="1">
      <alignment horizontal="center"/>
    </xf>
    <xf numFmtId="171" fontId="19" fillId="24" borderId="0" xfId="1" applyNumberFormat="1" applyFont="1" applyFill="1" applyAlignment="1">
      <alignment horizontal="center"/>
    </xf>
    <xf numFmtId="0" fontId="18" fillId="20" borderId="0" xfId="1" applyFont="1" applyFill="1"/>
    <xf numFmtId="0" fontId="19" fillId="20" borderId="0" xfId="1" applyFont="1" applyFill="1"/>
    <xf numFmtId="0" fontId="19" fillId="20" borderId="0" xfId="1" applyFont="1" applyFill="1" applyAlignment="1">
      <alignment horizontal="center"/>
    </xf>
    <xf numFmtId="3" fontId="19" fillId="20" borderId="0" xfId="1" applyNumberFormat="1" applyFont="1" applyFill="1" applyAlignment="1">
      <alignment horizontal="center"/>
    </xf>
    <xf numFmtId="171" fontId="19" fillId="20" borderId="0" xfId="1" applyNumberFormat="1" applyFont="1" applyFill="1" applyAlignment="1">
      <alignment horizontal="center"/>
    </xf>
    <xf numFmtId="172" fontId="24" fillId="0" borderId="0" xfId="1" applyNumberFormat="1" applyFont="1" applyAlignment="1">
      <alignment horizontal="center"/>
    </xf>
    <xf numFmtId="171" fontId="12" fillId="0" borderId="21" xfId="97" applyNumberFormat="1" applyFont="1" applyBorder="1" applyAlignment="1">
      <alignment horizontal="center"/>
    </xf>
    <xf numFmtId="10" fontId="12" fillId="0" borderId="0" xfId="97" applyNumberFormat="1" applyFont="1" applyAlignment="1">
      <alignment horizontal="center"/>
    </xf>
    <xf numFmtId="0" fontId="10" fillId="0" borderId="0" xfId="1" applyFont="1"/>
    <xf numFmtId="172" fontId="23" fillId="0" borderId="28" xfId="1" applyNumberFormat="1" applyFont="1" applyBorder="1" applyAlignment="1">
      <alignment horizontal="center"/>
    </xf>
    <xf numFmtId="171" fontId="12" fillId="0" borderId="23" xfId="97" applyNumberFormat="1" applyFont="1" applyFill="1" applyBorder="1" applyAlignment="1">
      <alignment horizontal="center"/>
    </xf>
    <xf numFmtId="173" fontId="14" fillId="0" borderId="0" xfId="1" applyNumberFormat="1" applyFont="1" applyAlignment="1">
      <alignment horizontal="center"/>
    </xf>
    <xf numFmtId="171" fontId="7" fillId="0" borderId="23" xfId="97" applyNumberFormat="1" applyFont="1" applyBorder="1" applyAlignment="1">
      <alignment horizontal="center"/>
    </xf>
    <xf numFmtId="204" fontId="12" fillId="0" borderId="0" xfId="97" applyNumberFormat="1" applyFont="1" applyAlignment="1">
      <alignment horizontal="center"/>
    </xf>
    <xf numFmtId="0" fontId="8" fillId="17" borderId="27" xfId="1" applyFont="1" applyFill="1" applyBorder="1"/>
    <xf numFmtId="0" fontId="7" fillId="17" borderId="27" xfId="1" applyFont="1" applyFill="1" applyBorder="1"/>
    <xf numFmtId="0" fontId="7" fillId="17" borderId="27" xfId="1" applyFont="1" applyFill="1" applyBorder="1" applyAlignment="1">
      <alignment horizontal="center"/>
    </xf>
    <xf numFmtId="3" fontId="8" fillId="17" borderId="27" xfId="1" applyNumberFormat="1" applyFont="1" applyFill="1" applyBorder="1" applyAlignment="1">
      <alignment horizontal="center"/>
    </xf>
    <xf numFmtId="0" fontId="8" fillId="17" borderId="27" xfId="1" applyFont="1" applyFill="1" applyBorder="1" applyAlignment="1">
      <alignment horizontal="center"/>
    </xf>
    <xf numFmtId="171" fontId="17" fillId="17" borderId="27" xfId="97" applyNumberFormat="1" applyFont="1" applyFill="1" applyBorder="1" applyAlignment="1">
      <alignment horizontal="center"/>
    </xf>
    <xf numFmtId="173" fontId="8" fillId="17" borderId="27" xfId="1" applyNumberFormat="1" applyFont="1" applyFill="1" applyBorder="1" applyAlignment="1">
      <alignment horizontal="center"/>
    </xf>
    <xf numFmtId="171" fontId="8" fillId="17" borderId="27" xfId="97" applyNumberFormat="1" applyFont="1" applyFill="1" applyBorder="1" applyAlignment="1">
      <alignment horizontal="center"/>
    </xf>
    <xf numFmtId="0" fontId="8" fillId="26" borderId="27" xfId="1" applyFont="1" applyFill="1" applyBorder="1"/>
    <xf numFmtId="0" fontId="7" fillId="26" borderId="27" xfId="1" applyFont="1" applyFill="1" applyBorder="1"/>
    <xf numFmtId="0" fontId="7" fillId="26" borderId="27" xfId="1" applyFont="1" applyFill="1" applyBorder="1" applyAlignment="1">
      <alignment horizontal="center"/>
    </xf>
    <xf numFmtId="3" fontId="8" fillId="26" borderId="27" xfId="1" applyNumberFormat="1" applyFont="1" applyFill="1" applyBorder="1" applyAlignment="1">
      <alignment horizontal="center"/>
    </xf>
    <xf numFmtId="171" fontId="17" fillId="26" borderId="27" xfId="97" applyNumberFormat="1" applyFont="1" applyFill="1" applyBorder="1" applyAlignment="1">
      <alignment horizontal="center"/>
    </xf>
    <xf numFmtId="204" fontId="12" fillId="0" borderId="0" xfId="97" applyNumberFormat="1" applyFont="1" applyFill="1" applyAlignment="1">
      <alignment horizontal="center"/>
    </xf>
    <xf numFmtId="171" fontId="13" fillId="22" borderId="23" xfId="97" applyNumberFormat="1" applyFont="1" applyFill="1" applyBorder="1" applyAlignment="1">
      <alignment horizontal="center"/>
    </xf>
    <xf numFmtId="173" fontId="8" fillId="26" borderId="27" xfId="1" applyNumberFormat="1" applyFont="1" applyFill="1" applyBorder="1" applyAlignment="1">
      <alignment horizontal="center"/>
    </xf>
    <xf numFmtId="0" fontId="8" fillId="26" borderId="27" xfId="1" applyFont="1" applyFill="1" applyBorder="1" applyAlignment="1">
      <alignment horizontal="center"/>
    </xf>
    <xf numFmtId="171" fontId="8" fillId="26" borderId="27" xfId="97" applyNumberFormat="1" applyFont="1" applyFill="1" applyBorder="1" applyAlignment="1">
      <alignment horizontal="center"/>
    </xf>
    <xf numFmtId="3" fontId="8" fillId="0" borderId="23" xfId="1" applyNumberFormat="1" applyFont="1" applyBorder="1" applyAlignment="1">
      <alignment horizontal="center"/>
    </xf>
    <xf numFmtId="196" fontId="8" fillId="20" borderId="23" xfId="1" applyNumberFormat="1" applyFont="1" applyFill="1" applyBorder="1" applyAlignment="1">
      <alignment horizontal="center"/>
    </xf>
    <xf numFmtId="0" fontId="19" fillId="0" borderId="0" xfId="1" applyFont="1" applyAlignment="1">
      <alignment horizontal="center"/>
    </xf>
    <xf numFmtId="9" fontId="7" fillId="0" borderId="0" xfId="97" applyFont="1" applyBorder="1" applyAlignment="1">
      <alignment horizontal="center"/>
    </xf>
    <xf numFmtId="0" fontId="8" fillId="18" borderId="0" xfId="1" applyFont="1" applyFill="1"/>
    <xf numFmtId="0" fontId="63" fillId="22" borderId="0" xfId="1" applyFont="1" applyFill="1" applyAlignment="1">
      <alignment horizontal="center"/>
    </xf>
    <xf numFmtId="0" fontId="19" fillId="0" borderId="0" xfId="1" applyFont="1"/>
    <xf numFmtId="0" fontId="22" fillId="0" borderId="0" xfId="1" applyFont="1"/>
    <xf numFmtId="0" fontId="8" fillId="19" borderId="29" xfId="1" applyFont="1" applyFill="1" applyBorder="1"/>
    <xf numFmtId="0" fontId="74" fillId="0" borderId="0" xfId="1" applyFont="1"/>
    <xf numFmtId="0" fontId="75" fillId="0" borderId="0" xfId="0" applyFont="1"/>
    <xf numFmtId="0" fontId="76" fillId="0" borderId="0" xfId="1" applyFont="1"/>
    <xf numFmtId="0" fontId="75" fillId="0" borderId="0" xfId="1" applyFont="1"/>
    <xf numFmtId="0" fontId="75" fillId="0" borderId="0" xfId="1" applyFont="1" applyAlignment="1">
      <alignment horizontal="center"/>
    </xf>
    <xf numFmtId="172" fontId="77" fillId="0" borderId="0" xfId="65" applyNumberFormat="1" applyFont="1" applyFill="1" applyBorder="1" applyAlignment="1">
      <alignment horizontal="right" vertical="center"/>
    </xf>
    <xf numFmtId="172" fontId="77" fillId="0" borderId="0" xfId="65" applyNumberFormat="1" applyFont="1" applyFill="1" applyBorder="1" applyAlignment="1">
      <alignment horizontal="center" vertical="center"/>
    </xf>
    <xf numFmtId="4" fontId="78" fillId="0" borderId="0" xfId="65" applyNumberFormat="1" applyFont="1" applyFill="1" applyBorder="1" applyAlignment="1">
      <alignment horizontal="right" vertical="center"/>
    </xf>
    <xf numFmtId="4" fontId="75" fillId="0" borderId="0" xfId="65" applyNumberFormat="1" applyFont="1" applyFill="1" applyBorder="1" applyAlignment="1">
      <alignment horizontal="center" vertical="center"/>
    </xf>
    <xf numFmtId="4" fontId="78" fillId="0" borderId="0" xfId="65" applyNumberFormat="1" applyFont="1" applyFill="1" applyBorder="1" applyAlignment="1">
      <alignment horizontal="center" vertical="center"/>
    </xf>
    <xf numFmtId="172" fontId="75" fillId="0" borderId="0" xfId="65" applyNumberFormat="1" applyFont="1" applyFill="1" applyBorder="1" applyAlignment="1">
      <alignment horizontal="center" vertical="center"/>
    </xf>
    <xf numFmtId="172" fontId="78" fillId="0" borderId="0" xfId="65" applyNumberFormat="1" applyFont="1" applyFill="1" applyBorder="1" applyAlignment="1">
      <alignment horizontal="right" vertical="center"/>
    </xf>
    <xf numFmtId="172" fontId="78" fillId="0" borderId="0" xfId="65" applyNumberFormat="1" applyFont="1" applyFill="1" applyBorder="1" applyAlignment="1">
      <alignment horizontal="center" vertical="center"/>
    </xf>
    <xf numFmtId="3" fontId="75" fillId="0" borderId="0" xfId="65" applyFont="1" applyFill="1" applyBorder="1" applyAlignment="1">
      <alignment horizontal="center" vertical="center"/>
    </xf>
    <xf numFmtId="172" fontId="79" fillId="0" borderId="0" xfId="65" applyNumberFormat="1" applyFont="1" applyFill="1" applyBorder="1" applyAlignment="1">
      <alignment horizontal="right" vertical="center"/>
    </xf>
    <xf numFmtId="172" fontId="79" fillId="0" borderId="0" xfId="65" applyNumberFormat="1" applyFont="1" applyFill="1" applyBorder="1" applyAlignment="1">
      <alignment horizontal="center" vertical="center"/>
    </xf>
    <xf numFmtId="0" fontId="80" fillId="0" borderId="0" xfId="1" applyFont="1" applyAlignment="1">
      <alignment horizontal="center"/>
    </xf>
    <xf numFmtId="0" fontId="75" fillId="0" borderId="0" xfId="0" applyFont="1" applyAlignment="1">
      <alignment vertical="center"/>
    </xf>
    <xf numFmtId="2" fontId="82" fillId="0" borderId="16" xfId="90" applyFont="1" applyBorder="1" applyAlignment="1">
      <alignment horizontal="right" vertical="center"/>
    </xf>
    <xf numFmtId="2" fontId="78" fillId="0" borderId="0" xfId="1" applyNumberFormat="1" applyFont="1" applyAlignment="1">
      <alignment vertical="center"/>
    </xf>
    <xf numFmtId="0" fontId="75" fillId="0" borderId="0" xfId="1" applyFont="1" applyAlignment="1">
      <alignment vertical="center"/>
    </xf>
    <xf numFmtId="2" fontId="75" fillId="0" borderId="0" xfId="90" applyFont="1" applyBorder="1" applyAlignment="1">
      <alignment vertical="center"/>
    </xf>
    <xf numFmtId="171" fontId="75" fillId="0" borderId="0" xfId="97" applyNumberFormat="1" applyFont="1" applyBorder="1" applyAlignment="1">
      <alignment horizontal="center" vertical="center"/>
    </xf>
    <xf numFmtId="181" fontId="83" fillId="21" borderId="0" xfId="87" applyNumberFormat="1" applyFont="1" applyFill="1" applyAlignment="1">
      <alignment horizontal="left" vertical="center"/>
    </xf>
    <xf numFmtId="181" fontId="77" fillId="21" borderId="0" xfId="87" applyNumberFormat="1" applyFont="1" applyFill="1" applyAlignment="1">
      <alignment horizontal="right" vertical="center"/>
    </xf>
    <xf numFmtId="181" fontId="77" fillId="21" borderId="0" xfId="87" applyNumberFormat="1" applyFont="1" applyFill="1" applyAlignment="1">
      <alignment horizontal="center" vertical="center"/>
    </xf>
    <xf numFmtId="181" fontId="75" fillId="0" borderId="18" xfId="87" applyNumberFormat="1" applyFont="1" applyBorder="1" applyAlignment="1">
      <alignment horizontal="right" vertical="center"/>
    </xf>
    <xf numFmtId="181" fontId="77" fillId="21" borderId="0" xfId="87" applyNumberFormat="1" applyFont="1" applyFill="1" applyAlignment="1">
      <alignment vertical="center"/>
    </xf>
    <xf numFmtId="181" fontId="82" fillId="0" borderId="0" xfId="87" applyNumberFormat="1" applyFont="1" applyAlignment="1">
      <alignment horizontal="left" vertical="center"/>
    </xf>
    <xf numFmtId="181" fontId="84" fillId="0" borderId="12" xfId="87" applyNumberFormat="1" applyFont="1" applyBorder="1" applyAlignment="1">
      <alignment horizontal="left" vertical="center"/>
    </xf>
    <xf numFmtId="181" fontId="85" fillId="0" borderId="12" xfId="87" applyNumberFormat="1" applyFont="1" applyBorder="1" applyAlignment="1">
      <alignment horizontal="center" vertical="center"/>
    </xf>
    <xf numFmtId="181" fontId="85" fillId="0" borderId="15" xfId="87" applyNumberFormat="1" applyFont="1" applyBorder="1" applyAlignment="1">
      <alignment horizontal="center" vertical="center"/>
    </xf>
    <xf numFmtId="182" fontId="77" fillId="0" borderId="14" xfId="65" applyNumberFormat="1" applyFont="1" applyFill="1" applyBorder="1" applyAlignment="1">
      <alignment horizontal="right" vertical="center"/>
    </xf>
    <xf numFmtId="181" fontId="84" fillId="0" borderId="19" xfId="87" applyNumberFormat="1" applyFont="1" applyBorder="1" applyAlignment="1">
      <alignment horizontal="left" vertical="center"/>
    </xf>
    <xf numFmtId="181" fontId="85" fillId="0" borderId="0" xfId="87" applyNumberFormat="1" applyFont="1" applyAlignment="1">
      <alignment horizontal="center" vertical="center"/>
    </xf>
    <xf numFmtId="181" fontId="77" fillId="0" borderId="14" xfId="87" applyNumberFormat="1" applyFont="1" applyBorder="1" applyAlignment="1">
      <alignment horizontal="right" vertical="center"/>
    </xf>
    <xf numFmtId="0" fontId="75" fillId="0" borderId="0" xfId="87" applyFont="1" applyAlignment="1">
      <alignment vertical="center"/>
    </xf>
    <xf numFmtId="0" fontId="77" fillId="0" borderId="0" xfId="87" applyFont="1" applyAlignment="1">
      <alignment vertical="center"/>
    </xf>
    <xf numFmtId="3" fontId="75" fillId="0" borderId="0" xfId="1" applyNumberFormat="1" applyFont="1" applyAlignment="1">
      <alignment vertical="center"/>
    </xf>
    <xf numFmtId="3" fontId="78" fillId="0" borderId="0" xfId="1" applyNumberFormat="1" applyFont="1" applyAlignment="1">
      <alignment vertical="center"/>
    </xf>
    <xf numFmtId="3" fontId="74" fillId="0" borderId="0" xfId="1" applyNumberFormat="1" applyFont="1" applyAlignment="1">
      <alignment horizontal="center" vertical="center"/>
    </xf>
    <xf numFmtId="3" fontId="78" fillId="0" borderId="0" xfId="1" applyNumberFormat="1" applyFont="1" applyAlignment="1">
      <alignment horizontal="center" vertical="center"/>
    </xf>
    <xf numFmtId="3" fontId="74" fillId="0" borderId="14" xfId="1" applyNumberFormat="1" applyFont="1" applyBorder="1" applyAlignment="1">
      <alignment horizontal="center" vertical="center"/>
    </xf>
    <xf numFmtId="181" fontId="75" fillId="0" borderId="14" xfId="87" applyNumberFormat="1" applyFont="1" applyBorder="1" applyAlignment="1">
      <alignment horizontal="right" vertical="center"/>
    </xf>
    <xf numFmtId="181" fontId="77" fillId="0" borderId="0" xfId="87" applyNumberFormat="1" applyFont="1" applyAlignment="1">
      <alignment horizontal="left" vertical="center"/>
    </xf>
    <xf numFmtId="9" fontId="75" fillId="0" borderId="0" xfId="97" applyFont="1" applyAlignment="1">
      <alignment vertical="center"/>
    </xf>
    <xf numFmtId="2" fontId="77" fillId="0" borderId="0" xfId="87" applyNumberFormat="1" applyFont="1" applyAlignment="1">
      <alignment horizontal="center" vertical="center"/>
    </xf>
    <xf numFmtId="181" fontId="78" fillId="0" borderId="14" xfId="87" applyNumberFormat="1" applyFont="1" applyBorder="1" applyAlignment="1">
      <alignment horizontal="right" vertical="center"/>
    </xf>
    <xf numFmtId="3" fontId="77" fillId="0" borderId="0" xfId="1" applyNumberFormat="1" applyFont="1" applyAlignment="1">
      <alignment horizontal="center" vertical="center"/>
    </xf>
    <xf numFmtId="3" fontId="75" fillId="0" borderId="0" xfId="1" applyNumberFormat="1" applyFont="1" applyAlignment="1">
      <alignment horizontal="center" vertical="center"/>
    </xf>
    <xf numFmtId="181" fontId="75" fillId="0" borderId="0" xfId="87" applyNumberFormat="1" applyFont="1" applyAlignment="1">
      <alignment horizontal="left" vertical="center"/>
    </xf>
    <xf numFmtId="172" fontId="75" fillId="0" borderId="0" xfId="1" applyNumberFormat="1" applyFont="1" applyAlignment="1">
      <alignment horizontal="center" vertical="center"/>
    </xf>
    <xf numFmtId="181" fontId="79" fillId="0" borderId="14" xfId="87" applyNumberFormat="1" applyFont="1" applyBorder="1" applyAlignment="1">
      <alignment horizontal="right" vertical="center"/>
    </xf>
    <xf numFmtId="172" fontId="77" fillId="0" borderId="0" xfId="1" applyNumberFormat="1" applyFont="1" applyAlignment="1">
      <alignment horizontal="center" vertical="center"/>
    </xf>
    <xf numFmtId="3" fontId="78" fillId="0" borderId="0" xfId="65" applyFont="1" applyFill="1" applyBorder="1" applyAlignment="1">
      <alignment horizontal="right" vertical="center"/>
    </xf>
    <xf numFmtId="0" fontId="75" fillId="0" borderId="0" xfId="87" applyFont="1" applyAlignment="1">
      <alignment horizontal="left" vertical="center"/>
    </xf>
    <xf numFmtId="3" fontId="78" fillId="0" borderId="0" xfId="65" applyFont="1" applyFill="1" applyBorder="1" applyAlignment="1">
      <alignment horizontal="center" vertical="center"/>
    </xf>
    <xf numFmtId="172" fontId="75" fillId="0" borderId="0" xfId="1" applyNumberFormat="1" applyFont="1" applyAlignment="1">
      <alignment vertical="center"/>
    </xf>
    <xf numFmtId="3" fontId="75" fillId="0" borderId="0" xfId="65" applyFont="1" applyBorder="1" applyAlignment="1">
      <alignment horizontal="right" vertical="center"/>
    </xf>
    <xf numFmtId="3" fontId="78" fillId="0" borderId="0" xfId="65" applyFont="1" applyBorder="1" applyAlignment="1">
      <alignment horizontal="right" vertical="center"/>
    </xf>
    <xf numFmtId="2" fontId="77" fillId="0" borderId="0" xfId="90" applyFont="1" applyBorder="1" applyAlignment="1">
      <alignment vertical="center"/>
    </xf>
    <xf numFmtId="3" fontId="77" fillId="0" borderId="0" xfId="1" applyNumberFormat="1" applyFont="1" applyAlignment="1">
      <alignment vertical="center"/>
    </xf>
    <xf numFmtId="3" fontId="79" fillId="0" borderId="0" xfId="1" applyNumberFormat="1" applyFont="1" applyAlignment="1">
      <alignment vertical="center"/>
    </xf>
    <xf numFmtId="3" fontId="79" fillId="0" borderId="0" xfId="65" applyFont="1" applyFill="1" applyBorder="1" applyAlignment="1">
      <alignment horizontal="right" vertical="center"/>
    </xf>
    <xf numFmtId="3" fontId="85" fillId="0" borderId="0" xfId="1" applyNumberFormat="1" applyFont="1" applyAlignment="1">
      <alignment horizontal="center" vertical="center"/>
    </xf>
    <xf numFmtId="3" fontId="79" fillId="0" borderId="0" xfId="1" applyNumberFormat="1" applyFont="1" applyAlignment="1">
      <alignment horizontal="center" vertical="center"/>
    </xf>
    <xf numFmtId="3" fontId="85" fillId="0" borderId="14" xfId="1" applyNumberFormat="1" applyFont="1" applyBorder="1" applyAlignment="1">
      <alignment horizontal="center" vertical="center"/>
    </xf>
    <xf numFmtId="172" fontId="77" fillId="0" borderId="0" xfId="65" applyNumberFormat="1" applyFont="1" applyBorder="1" applyAlignment="1">
      <alignment horizontal="center" vertical="center"/>
    </xf>
    <xf numFmtId="4" fontId="77" fillId="0" borderId="0" xfId="65" applyNumberFormat="1" applyFont="1" applyFill="1" applyBorder="1" applyAlignment="1">
      <alignment horizontal="center" vertical="center"/>
    </xf>
    <xf numFmtId="3" fontId="77" fillId="0" borderId="0" xfId="65" applyFont="1" applyBorder="1" applyAlignment="1">
      <alignment horizontal="right" vertical="center"/>
    </xf>
    <xf numFmtId="3" fontId="79" fillId="0" borderId="0" xfId="65" applyFont="1" applyBorder="1" applyAlignment="1">
      <alignment horizontal="right" vertical="center"/>
    </xf>
    <xf numFmtId="184" fontId="75" fillId="0" borderId="0" xfId="89" applyNumberFormat="1" applyFont="1" applyBorder="1" applyAlignment="1">
      <alignment horizontal="left" vertical="center"/>
    </xf>
    <xf numFmtId="2" fontId="75" fillId="0" borderId="0" xfId="89" applyFont="1" applyBorder="1" applyAlignment="1">
      <alignment horizontal="left" vertical="center"/>
    </xf>
    <xf numFmtId="2" fontId="75" fillId="0" borderId="0" xfId="1" applyNumberFormat="1" applyFont="1" applyAlignment="1">
      <alignment vertical="center"/>
    </xf>
    <xf numFmtId="181" fontId="78" fillId="0" borderId="14" xfId="87" applyNumberFormat="1" applyFont="1" applyBorder="1" applyAlignment="1">
      <alignment vertical="center"/>
    </xf>
    <xf numFmtId="0" fontId="78" fillId="0" borderId="19" xfId="1" applyFont="1" applyBorder="1" applyAlignment="1">
      <alignment vertical="center"/>
    </xf>
    <xf numFmtId="172" fontId="78" fillId="0" borderId="0" xfId="1" applyNumberFormat="1" applyFont="1" applyAlignment="1">
      <alignment vertical="center"/>
    </xf>
    <xf numFmtId="172" fontId="78" fillId="0" borderId="0" xfId="1" applyNumberFormat="1" applyFont="1" applyAlignment="1">
      <alignment horizontal="center" vertical="center"/>
    </xf>
    <xf numFmtId="172" fontId="86" fillId="21" borderId="0" xfId="65" applyNumberFormat="1" applyFont="1" applyFill="1" applyBorder="1" applyAlignment="1">
      <alignment vertical="center"/>
    </xf>
    <xf numFmtId="172" fontId="86" fillId="21" borderId="0" xfId="65" applyNumberFormat="1" applyFont="1" applyFill="1" applyBorder="1" applyAlignment="1">
      <alignment horizontal="center" vertical="center"/>
    </xf>
    <xf numFmtId="181" fontId="78" fillId="0" borderId="0" xfId="87" applyNumberFormat="1" applyFont="1" applyAlignment="1">
      <alignment vertical="center"/>
    </xf>
    <xf numFmtId="0" fontId="78" fillId="0" borderId="17" xfId="1" applyFont="1" applyBorder="1" applyAlignment="1">
      <alignment vertical="center"/>
    </xf>
    <xf numFmtId="172" fontId="78" fillId="0" borderId="0" xfId="65" applyNumberFormat="1" applyFont="1" applyBorder="1" applyAlignment="1">
      <alignment horizontal="center" vertical="center"/>
    </xf>
    <xf numFmtId="181" fontId="78" fillId="0" borderId="0" xfId="87" applyNumberFormat="1" applyFont="1" applyAlignment="1">
      <alignment horizontal="right" vertical="center"/>
    </xf>
    <xf numFmtId="0" fontId="78" fillId="0" borderId="0" xfId="1" applyFont="1" applyAlignment="1">
      <alignment vertical="center"/>
    </xf>
    <xf numFmtId="0" fontId="78" fillId="0" borderId="0" xfId="1" applyFont="1" applyAlignment="1">
      <alignment horizontal="center" vertical="center"/>
    </xf>
    <xf numFmtId="175" fontId="78" fillId="0" borderId="0" xfId="1" applyNumberFormat="1" applyFont="1" applyAlignment="1">
      <alignment horizontal="center" vertical="center"/>
    </xf>
    <xf numFmtId="171" fontId="78" fillId="0" borderId="0" xfId="1" applyNumberFormat="1" applyFont="1" applyAlignment="1">
      <alignment horizontal="center" vertical="center"/>
    </xf>
    <xf numFmtId="171" fontId="78" fillId="0" borderId="14" xfId="1" applyNumberFormat="1" applyFont="1" applyBorder="1" applyAlignment="1">
      <alignment horizontal="center" vertical="center"/>
    </xf>
    <xf numFmtId="2" fontId="75" fillId="0" borderId="17" xfId="90" applyFont="1" applyBorder="1" applyAlignment="1">
      <alignment vertical="center"/>
    </xf>
    <xf numFmtId="172" fontId="77" fillId="0" borderId="14" xfId="65" applyNumberFormat="1" applyFont="1" applyFill="1" applyBorder="1" applyAlignment="1">
      <alignment horizontal="center" vertical="center"/>
    </xf>
    <xf numFmtId="181" fontId="75" fillId="0" borderId="17" xfId="98" applyNumberFormat="1" applyFont="1" applyBorder="1" applyAlignment="1">
      <alignment horizontal="left" vertical="center"/>
    </xf>
    <xf numFmtId="2" fontId="74" fillId="0" borderId="0" xfId="90" applyFont="1" applyBorder="1" applyAlignment="1">
      <alignment horizontal="left" vertical="center"/>
    </xf>
    <xf numFmtId="172" fontId="75" fillId="0" borderId="14" xfId="65" applyNumberFormat="1" applyFont="1" applyFill="1" applyBorder="1" applyAlignment="1">
      <alignment horizontal="center" vertical="center"/>
    </xf>
    <xf numFmtId="0" fontId="75" fillId="0" borderId="0" xfId="1" applyFont="1" applyAlignment="1">
      <alignment horizontal="center" vertical="center"/>
    </xf>
    <xf numFmtId="171" fontId="87" fillId="0" borderId="0" xfId="97" applyNumberFormat="1" applyFont="1" applyFill="1" applyBorder="1" applyAlignment="1" applyProtection="1">
      <alignment horizontal="right" vertical="center"/>
    </xf>
    <xf numFmtId="0" fontId="77" fillId="0" borderId="0" xfId="87" applyFont="1" applyAlignment="1">
      <alignment horizontal="left" vertical="center"/>
    </xf>
    <xf numFmtId="3" fontId="77" fillId="0" borderId="0" xfId="65" applyFont="1" applyFill="1" applyBorder="1" applyAlignment="1">
      <alignment horizontal="center" vertical="center"/>
    </xf>
    <xf numFmtId="3" fontId="79" fillId="0" borderId="0" xfId="65" applyFont="1" applyFill="1" applyBorder="1" applyAlignment="1">
      <alignment horizontal="center" vertical="center"/>
    </xf>
    <xf numFmtId="3" fontId="77" fillId="0" borderId="14" xfId="65" applyFont="1" applyFill="1" applyBorder="1" applyAlignment="1">
      <alignment horizontal="center" vertical="center"/>
    </xf>
    <xf numFmtId="3" fontId="75" fillId="0" borderId="14" xfId="65" applyFont="1" applyFill="1" applyBorder="1" applyAlignment="1">
      <alignment horizontal="center" vertical="center"/>
    </xf>
    <xf numFmtId="3" fontId="79" fillId="0" borderId="0" xfId="65" applyFont="1" applyBorder="1" applyAlignment="1">
      <alignment horizontal="center" vertical="center"/>
    </xf>
    <xf numFmtId="0" fontId="78" fillId="0" borderId="0" xfId="87" applyFont="1" applyAlignment="1">
      <alignment vertical="center"/>
    </xf>
    <xf numFmtId="181" fontId="77" fillId="0" borderId="17" xfId="98" applyNumberFormat="1" applyFont="1" applyBorder="1" applyAlignment="1">
      <alignment horizontal="left" vertical="center"/>
    </xf>
    <xf numFmtId="181" fontId="79" fillId="21" borderId="0" xfId="87" applyNumberFormat="1" applyFont="1" applyFill="1" applyAlignment="1">
      <alignment horizontal="right" vertical="center"/>
    </xf>
    <xf numFmtId="181" fontId="79" fillId="21" borderId="0" xfId="87" applyNumberFormat="1" applyFont="1" applyFill="1" applyAlignment="1">
      <alignment horizontal="center" vertical="center"/>
    </xf>
    <xf numFmtId="181" fontId="79" fillId="21" borderId="14" xfId="87" applyNumberFormat="1" applyFont="1" applyFill="1" applyBorder="1" applyAlignment="1">
      <alignment horizontal="center" vertical="center"/>
    </xf>
    <xf numFmtId="0" fontId="78" fillId="0" borderId="17" xfId="87" applyFont="1" applyBorder="1" applyAlignment="1">
      <alignment horizontal="left" vertical="center"/>
    </xf>
    <xf numFmtId="172" fontId="78" fillId="0" borderId="0" xfId="65" applyNumberFormat="1" applyFont="1" applyBorder="1" applyAlignment="1">
      <alignment horizontal="right" vertical="center"/>
    </xf>
    <xf numFmtId="181" fontId="83" fillId="21" borderId="17" xfId="87" applyNumberFormat="1" applyFont="1" applyFill="1" applyBorder="1" applyAlignment="1">
      <alignment horizontal="left" vertical="center"/>
    </xf>
    <xf numFmtId="3" fontId="74" fillId="0" borderId="0" xfId="65" applyFont="1" applyBorder="1" applyAlignment="1">
      <alignment horizontal="center" vertical="center"/>
    </xf>
    <xf numFmtId="3" fontId="78" fillId="0" borderId="0" xfId="65" applyFont="1" applyBorder="1" applyAlignment="1">
      <alignment horizontal="center" vertical="center"/>
    </xf>
    <xf numFmtId="3" fontId="74" fillId="0" borderId="14" xfId="65" applyFont="1" applyBorder="1" applyAlignment="1">
      <alignment horizontal="center" vertical="center"/>
    </xf>
    <xf numFmtId="0" fontId="75" fillId="0" borderId="17" xfId="1" applyFont="1" applyBorder="1" applyAlignment="1">
      <alignment vertical="center"/>
    </xf>
    <xf numFmtId="0" fontId="77" fillId="0" borderId="0" xfId="1" applyFont="1" applyAlignment="1">
      <alignment vertical="center"/>
    </xf>
    <xf numFmtId="3" fontId="74" fillId="0" borderId="0" xfId="65" applyFont="1" applyFill="1" applyBorder="1" applyAlignment="1">
      <alignment horizontal="center" vertical="center"/>
    </xf>
    <xf numFmtId="3" fontId="74" fillId="0" borderId="14" xfId="65" applyFont="1" applyFill="1" applyBorder="1" applyAlignment="1">
      <alignment horizontal="center" vertical="center"/>
    </xf>
    <xf numFmtId="171" fontId="75" fillId="0" borderId="0" xfId="97" applyNumberFormat="1" applyFont="1" applyAlignment="1">
      <alignment vertical="center"/>
    </xf>
    <xf numFmtId="9" fontId="75" fillId="0" borderId="0" xfId="97" applyFont="1" applyBorder="1" applyAlignment="1">
      <alignment horizontal="center" vertical="center"/>
    </xf>
    <xf numFmtId="181" fontId="79" fillId="0" borderId="0" xfId="87" applyNumberFormat="1" applyFont="1" applyAlignment="1">
      <alignment horizontal="right" vertical="center"/>
    </xf>
    <xf numFmtId="0" fontId="77" fillId="0" borderId="17" xfId="1" applyFont="1" applyBorder="1" applyAlignment="1">
      <alignment vertical="center"/>
    </xf>
    <xf numFmtId="9" fontId="77" fillId="0" borderId="0" xfId="97" applyFont="1" applyBorder="1" applyAlignment="1">
      <alignment horizontal="center" vertical="center"/>
    </xf>
    <xf numFmtId="0" fontId="77" fillId="0" borderId="0" xfId="1" applyFont="1" applyAlignment="1">
      <alignment horizontal="center" vertical="center"/>
    </xf>
    <xf numFmtId="3" fontId="85" fillId="0" borderId="0" xfId="65" applyFont="1" applyFill="1" applyBorder="1" applyAlignment="1">
      <alignment horizontal="center" vertical="center"/>
    </xf>
    <xf numFmtId="3" fontId="85" fillId="0" borderId="14" xfId="65" applyFont="1" applyFill="1" applyBorder="1" applyAlignment="1">
      <alignment horizontal="center" vertical="center"/>
    </xf>
    <xf numFmtId="0" fontId="74" fillId="0" borderId="0" xfId="1" applyFont="1" applyAlignment="1">
      <alignment horizontal="center" vertical="center"/>
    </xf>
    <xf numFmtId="185" fontId="78" fillId="21" borderId="0" xfId="65" applyNumberFormat="1" applyFont="1" applyFill="1" applyBorder="1" applyAlignment="1">
      <alignment vertical="center"/>
    </xf>
    <xf numFmtId="185" fontId="78" fillId="21" borderId="0" xfId="65" applyNumberFormat="1" applyFont="1" applyFill="1" applyBorder="1" applyAlignment="1">
      <alignment horizontal="center" vertical="center"/>
    </xf>
    <xf numFmtId="168" fontId="78" fillId="0" borderId="0" xfId="65" applyNumberFormat="1" applyFont="1" applyBorder="1" applyAlignment="1">
      <alignment horizontal="right" vertical="center"/>
    </xf>
    <xf numFmtId="168" fontId="78" fillId="0" borderId="0" xfId="65" applyNumberFormat="1" applyFont="1" applyBorder="1" applyAlignment="1">
      <alignment horizontal="center" vertical="center"/>
    </xf>
    <xf numFmtId="3" fontId="78" fillId="0" borderId="0" xfId="65" quotePrefix="1" applyFont="1" applyBorder="1" applyAlignment="1">
      <alignment horizontal="right" vertical="center"/>
    </xf>
    <xf numFmtId="172" fontId="75" fillId="0" borderId="0" xfId="65" quotePrefix="1" applyNumberFormat="1" applyFont="1" applyBorder="1" applyAlignment="1">
      <alignment horizontal="center" vertical="center"/>
    </xf>
    <xf numFmtId="3" fontId="78" fillId="0" borderId="0" xfId="65" quotePrefix="1" applyFont="1" applyBorder="1" applyAlignment="1">
      <alignment horizontal="center" vertical="center"/>
    </xf>
    <xf numFmtId="181" fontId="75" fillId="0" borderId="17" xfId="91" applyNumberFormat="1" applyFont="1" applyBorder="1" applyAlignment="1">
      <alignment horizontal="left" vertical="center"/>
    </xf>
    <xf numFmtId="3" fontId="78" fillId="0" borderId="0" xfId="65" applyFont="1" applyBorder="1" applyAlignment="1">
      <alignment vertical="center"/>
    </xf>
    <xf numFmtId="3" fontId="86" fillId="21" borderId="0" xfId="65" applyFont="1" applyFill="1" applyBorder="1" applyAlignment="1">
      <alignment vertical="center"/>
    </xf>
    <xf numFmtId="3" fontId="78" fillId="21" borderId="0" xfId="65" applyFont="1" applyFill="1" applyBorder="1" applyAlignment="1">
      <alignment vertical="center"/>
    </xf>
    <xf numFmtId="3" fontId="78" fillId="21" borderId="0" xfId="65" applyFont="1" applyFill="1" applyBorder="1" applyAlignment="1">
      <alignment horizontal="center" vertical="center"/>
    </xf>
    <xf numFmtId="3" fontId="78" fillId="21" borderId="14" xfId="65" applyFont="1" applyFill="1" applyBorder="1" applyAlignment="1">
      <alignment horizontal="center" vertical="center"/>
    </xf>
    <xf numFmtId="182" fontId="79" fillId="0" borderId="0" xfId="87" applyNumberFormat="1" applyFont="1" applyAlignment="1">
      <alignment horizontal="right" vertical="center"/>
    </xf>
    <xf numFmtId="181" fontId="75" fillId="0" borderId="0" xfId="91" applyNumberFormat="1" applyFont="1" applyAlignment="1">
      <alignment horizontal="left" vertical="center"/>
    </xf>
    <xf numFmtId="172" fontId="78" fillId="0" borderId="0" xfId="65" applyNumberFormat="1" applyFont="1" applyBorder="1" applyAlignment="1" applyProtection="1">
      <alignment horizontal="right" vertical="center"/>
    </xf>
    <xf numFmtId="171" fontId="75" fillId="0" borderId="0" xfId="97" applyNumberFormat="1" applyFont="1" applyBorder="1" applyAlignment="1" applyProtection="1">
      <alignment horizontal="right" vertical="center"/>
    </xf>
    <xf numFmtId="171" fontId="75" fillId="0" borderId="0" xfId="97" applyNumberFormat="1" applyFont="1" applyBorder="1" applyAlignment="1" applyProtection="1">
      <alignment horizontal="center" vertical="center"/>
    </xf>
    <xf numFmtId="172" fontId="78" fillId="0" borderId="0" xfId="65" applyNumberFormat="1" applyFont="1" applyBorder="1" applyAlignment="1" applyProtection="1">
      <alignment horizontal="center" vertical="center"/>
    </xf>
    <xf numFmtId="173" fontId="75" fillId="0" borderId="0" xfId="97" applyNumberFormat="1" applyFont="1" applyBorder="1" applyAlignment="1" applyProtection="1">
      <alignment horizontal="center" vertical="center"/>
    </xf>
    <xf numFmtId="173" fontId="75" fillId="0" borderId="14" xfId="97" applyNumberFormat="1" applyFont="1" applyBorder="1" applyAlignment="1" applyProtection="1">
      <alignment horizontal="center" vertical="center"/>
    </xf>
    <xf numFmtId="10" fontId="77" fillId="0" borderId="0" xfId="1" applyNumberFormat="1" applyFont="1" applyAlignment="1">
      <alignment vertical="center"/>
    </xf>
    <xf numFmtId="0" fontId="80" fillId="0" borderId="0" xfId="1" applyFont="1" applyAlignment="1">
      <alignment vertical="center"/>
    </xf>
    <xf numFmtId="173" fontId="79" fillId="0" borderId="0" xfId="1" applyNumberFormat="1" applyFont="1" applyAlignment="1">
      <alignment vertical="center"/>
    </xf>
    <xf numFmtId="173" fontId="79" fillId="0" borderId="0" xfId="1" applyNumberFormat="1" applyFont="1" applyAlignment="1">
      <alignment horizontal="center" vertical="center"/>
    </xf>
    <xf numFmtId="171" fontId="77" fillId="0" borderId="0" xfId="97" applyNumberFormat="1" applyFont="1" applyBorder="1" applyAlignment="1">
      <alignment horizontal="center" vertical="center"/>
    </xf>
    <xf numFmtId="0" fontId="83" fillId="21" borderId="17" xfId="87" applyFont="1" applyFill="1" applyBorder="1" applyAlignment="1">
      <alignment horizontal="left" vertical="center"/>
    </xf>
    <xf numFmtId="3" fontId="86" fillId="21" borderId="0" xfId="65" applyFont="1" applyFill="1" applyBorder="1" applyAlignment="1">
      <alignment horizontal="center" vertical="center"/>
    </xf>
    <xf numFmtId="3" fontId="75" fillId="0" borderId="0" xfId="65" applyFont="1" applyFill="1" applyBorder="1" applyAlignment="1">
      <alignment vertical="center"/>
    </xf>
    <xf numFmtId="0" fontId="75" fillId="0" borderId="17" xfId="87" quotePrefix="1" applyFont="1" applyBorder="1" applyAlignment="1">
      <alignment horizontal="left" vertical="center"/>
    </xf>
    <xf numFmtId="3" fontId="75" fillId="0" borderId="0" xfId="65" quotePrefix="1" applyFont="1" applyFill="1" applyBorder="1" applyAlignment="1">
      <alignment horizontal="right" vertical="center"/>
    </xf>
    <xf numFmtId="172" fontId="75" fillId="0" borderId="0" xfId="65" quotePrefix="1" applyNumberFormat="1" applyFont="1" applyFill="1" applyBorder="1" applyAlignment="1">
      <alignment horizontal="center" vertical="center"/>
    </xf>
    <xf numFmtId="3" fontId="75" fillId="0" borderId="0" xfId="65" quotePrefix="1" applyFont="1" applyFill="1" applyBorder="1" applyAlignment="1">
      <alignment horizontal="center" vertical="center"/>
    </xf>
    <xf numFmtId="3" fontId="77" fillId="0" borderId="0" xfId="65" applyFont="1" applyFill="1" applyBorder="1" applyAlignment="1">
      <alignment vertical="center"/>
    </xf>
    <xf numFmtId="0" fontId="75" fillId="0" borderId="17" xfId="87" applyFont="1" applyBorder="1" applyAlignment="1">
      <alignment horizontal="left" vertical="center"/>
    </xf>
    <xf numFmtId="173" fontId="75" fillId="0" borderId="0" xfId="97" applyNumberFormat="1" applyFont="1" applyFill="1" applyBorder="1" applyAlignment="1" applyProtection="1">
      <alignment horizontal="center" vertical="center"/>
    </xf>
    <xf numFmtId="173" fontId="75" fillId="0" borderId="14" xfId="97" applyNumberFormat="1" applyFont="1" applyFill="1" applyBorder="1" applyAlignment="1" applyProtection="1">
      <alignment horizontal="center" vertical="center"/>
    </xf>
    <xf numFmtId="181" fontId="77" fillId="0" borderId="17" xfId="91" applyNumberFormat="1" applyFont="1" applyBorder="1" applyAlignment="1">
      <alignment horizontal="left" vertical="center"/>
    </xf>
    <xf numFmtId="3" fontId="77" fillId="0" borderId="0" xfId="65" quotePrefix="1" applyFont="1" applyFill="1" applyBorder="1" applyAlignment="1">
      <alignment horizontal="right" vertical="center"/>
    </xf>
    <xf numFmtId="172" fontId="77" fillId="0" borderId="0" xfId="65" quotePrefix="1" applyNumberFormat="1" applyFont="1" applyFill="1" applyBorder="1" applyAlignment="1">
      <alignment horizontal="center" vertical="center"/>
    </xf>
    <xf numFmtId="3" fontId="77" fillId="0" borderId="0" xfId="65" quotePrefix="1" applyFont="1" applyFill="1" applyBorder="1" applyAlignment="1">
      <alignment horizontal="center" vertical="center"/>
    </xf>
    <xf numFmtId="3" fontId="79" fillId="0" borderId="0" xfId="65" quotePrefix="1" applyFont="1" applyFill="1" applyBorder="1" applyAlignment="1">
      <alignment horizontal="right" vertical="center"/>
    </xf>
    <xf numFmtId="3" fontId="79" fillId="0" borderId="0" xfId="65" quotePrefix="1" applyFont="1" applyFill="1" applyBorder="1" applyAlignment="1">
      <alignment horizontal="center" vertical="center"/>
    </xf>
    <xf numFmtId="0" fontId="78" fillId="0" borderId="12" xfId="1" applyFont="1" applyBorder="1" applyAlignment="1">
      <alignment vertical="center"/>
    </xf>
    <xf numFmtId="0" fontId="78" fillId="0" borderId="12" xfId="1" applyFont="1" applyBorder="1" applyAlignment="1">
      <alignment horizontal="center" vertical="center"/>
    </xf>
    <xf numFmtId="181" fontId="77" fillId="0" borderId="0" xfId="91" applyNumberFormat="1" applyFont="1" applyAlignment="1">
      <alignment horizontal="left" vertical="center"/>
    </xf>
    <xf numFmtId="172" fontId="79" fillId="0" borderId="0" xfId="65" applyNumberFormat="1" applyFont="1" applyBorder="1" applyAlignment="1" applyProtection="1">
      <alignment horizontal="right" vertical="center"/>
    </xf>
    <xf numFmtId="172" fontId="79" fillId="0" borderId="0" xfId="65" applyNumberFormat="1" applyFont="1" applyBorder="1" applyAlignment="1" applyProtection="1">
      <alignment horizontal="center" vertical="center"/>
    </xf>
    <xf numFmtId="171" fontId="77" fillId="0" borderId="0" xfId="97" applyNumberFormat="1" applyFont="1" applyBorder="1" applyAlignment="1" applyProtection="1">
      <alignment horizontal="center" vertical="center"/>
    </xf>
    <xf numFmtId="173" fontId="77" fillId="0" borderId="0" xfId="97" applyNumberFormat="1" applyFont="1" applyFill="1" applyBorder="1" applyAlignment="1" applyProtection="1">
      <alignment horizontal="center" vertical="center"/>
    </xf>
    <xf numFmtId="173" fontId="77" fillId="0" borderId="14" xfId="97" applyNumberFormat="1" applyFont="1" applyFill="1" applyBorder="1" applyAlignment="1" applyProtection="1">
      <alignment horizontal="center" vertical="center"/>
    </xf>
    <xf numFmtId="0" fontId="79" fillId="0" borderId="0" xfId="1" applyFont="1" applyAlignment="1">
      <alignment vertical="center"/>
    </xf>
    <xf numFmtId="172" fontId="77" fillId="0" borderId="0" xfId="65" applyNumberFormat="1" applyFont="1" applyFill="1" applyBorder="1" applyAlignment="1">
      <alignment vertical="center"/>
    </xf>
    <xf numFmtId="171" fontId="75" fillId="0" borderId="14" xfId="97" applyNumberFormat="1" applyFont="1" applyBorder="1" applyAlignment="1">
      <alignment horizontal="center" vertical="center"/>
    </xf>
    <xf numFmtId="172" fontId="78" fillId="0" borderId="0" xfId="65" applyNumberFormat="1" applyFont="1" applyFill="1" applyBorder="1" applyAlignment="1" applyProtection="1">
      <alignment horizontal="center" vertical="center"/>
    </xf>
    <xf numFmtId="171" fontId="75" fillId="0" borderId="0" xfId="97" applyNumberFormat="1" applyFont="1" applyFill="1" applyBorder="1" applyAlignment="1" applyProtection="1">
      <alignment horizontal="center" vertical="center"/>
    </xf>
    <xf numFmtId="172" fontId="78" fillId="0" borderId="0" xfId="65" applyNumberFormat="1" applyFont="1" applyFill="1" applyBorder="1" applyAlignment="1" applyProtection="1">
      <alignment horizontal="right" vertical="center"/>
    </xf>
    <xf numFmtId="2" fontId="79" fillId="0" borderId="0" xfId="1" applyNumberFormat="1" applyFont="1" applyAlignment="1">
      <alignment vertical="center"/>
    </xf>
    <xf numFmtId="2" fontId="79" fillId="0" borderId="0" xfId="1" applyNumberFormat="1" applyFont="1" applyAlignment="1">
      <alignment horizontal="center" vertical="center"/>
    </xf>
    <xf numFmtId="10" fontId="75" fillId="0" borderId="0" xfId="1" applyNumberFormat="1" applyFont="1" applyAlignment="1">
      <alignment horizontal="center" vertical="center"/>
    </xf>
    <xf numFmtId="0" fontId="75" fillId="0" borderId="16" xfId="1" applyFont="1" applyBorder="1" applyAlignment="1">
      <alignment vertical="center"/>
    </xf>
    <xf numFmtId="0" fontId="80" fillId="0" borderId="0" xfId="1" applyFont="1" applyAlignment="1">
      <alignment horizontal="center" vertical="center"/>
    </xf>
    <xf numFmtId="0" fontId="75" fillId="0" borderId="16" xfId="1" applyFont="1" applyBorder="1" applyAlignment="1">
      <alignment horizontal="center" vertical="center"/>
    </xf>
    <xf numFmtId="0" fontId="75" fillId="0" borderId="16" xfId="0" applyFont="1" applyBorder="1" applyAlignment="1">
      <alignment vertical="center"/>
    </xf>
    <xf numFmtId="0" fontId="77" fillId="0" borderId="0" xfId="1" applyFont="1"/>
    <xf numFmtId="0" fontId="77" fillId="0" borderId="0" xfId="1" applyFont="1" applyAlignment="1">
      <alignment horizontal="center"/>
    </xf>
    <xf numFmtId="0" fontId="75" fillId="0" borderId="16" xfId="1" applyFont="1" applyBorder="1"/>
    <xf numFmtId="0" fontId="88" fillId="21" borderId="0" xfId="1" applyFont="1" applyFill="1"/>
    <xf numFmtId="3" fontId="75" fillId="0" borderId="0" xfId="1" applyNumberFormat="1" applyFont="1" applyAlignment="1">
      <alignment horizontal="center"/>
    </xf>
    <xf numFmtId="9" fontId="80" fillId="0" borderId="0" xfId="1" applyNumberFormat="1" applyFont="1" applyAlignment="1">
      <alignment horizontal="center"/>
    </xf>
    <xf numFmtId="3" fontId="77" fillId="0" borderId="0" xfId="1" applyNumberFormat="1" applyFont="1" applyAlignment="1">
      <alignment horizontal="center"/>
    </xf>
    <xf numFmtId="0" fontId="77" fillId="16" borderId="0" xfId="1" applyFont="1" applyFill="1"/>
    <xf numFmtId="3" fontId="77" fillId="16" borderId="0" xfId="1" applyNumberFormat="1" applyFont="1" applyFill="1" applyAlignment="1">
      <alignment horizontal="center"/>
    </xf>
    <xf numFmtId="0" fontId="77" fillId="16" borderId="0" xfId="1" applyFont="1" applyFill="1" applyAlignment="1">
      <alignment horizontal="center"/>
    </xf>
    <xf numFmtId="9" fontId="80" fillId="16" borderId="0" xfId="1" applyNumberFormat="1" applyFont="1" applyFill="1" applyAlignment="1">
      <alignment horizontal="center"/>
    </xf>
    <xf numFmtId="0" fontId="80" fillId="16" borderId="0" xfId="1" applyFont="1" applyFill="1" applyAlignment="1">
      <alignment horizontal="center"/>
    </xf>
    <xf numFmtId="9" fontId="81" fillId="0" borderId="0" xfId="1" applyNumberFormat="1" applyFont="1" applyAlignment="1">
      <alignment horizontal="center"/>
    </xf>
    <xf numFmtId="0" fontId="75" fillId="16" borderId="0" xfId="1" applyFont="1" applyFill="1"/>
    <xf numFmtId="3" fontId="75" fillId="16" borderId="0" xfId="1" applyNumberFormat="1" applyFont="1" applyFill="1" applyAlignment="1">
      <alignment horizontal="center"/>
    </xf>
    <xf numFmtId="0" fontId="75" fillId="16" borderId="0" xfId="1" applyFont="1" applyFill="1" applyAlignment="1">
      <alignment horizontal="center"/>
    </xf>
    <xf numFmtId="0" fontId="77" fillId="0" borderId="12" xfId="1" applyFont="1" applyBorder="1"/>
    <xf numFmtId="0" fontId="77" fillId="0" borderId="12" xfId="1" applyFont="1" applyBorder="1" applyAlignment="1">
      <alignment horizontal="center"/>
    </xf>
    <xf numFmtId="0" fontId="77" fillId="0" borderId="16" xfId="1" applyFont="1" applyBorder="1" applyAlignment="1">
      <alignment horizontal="center"/>
    </xf>
    <xf numFmtId="0" fontId="75" fillId="0" borderId="12" xfId="1" applyFont="1" applyBorder="1"/>
    <xf numFmtId="173" fontId="75" fillId="0" borderId="0" xfId="1" applyNumberFormat="1" applyFont="1" applyAlignment="1">
      <alignment horizontal="center"/>
    </xf>
    <xf numFmtId="173" fontId="77" fillId="0" borderId="0" xfId="1" applyNumberFormat="1" applyFont="1" applyAlignment="1">
      <alignment horizontal="center"/>
    </xf>
    <xf numFmtId="171" fontId="77" fillId="16" borderId="0" xfId="1" applyNumberFormat="1" applyFont="1" applyFill="1" applyAlignment="1">
      <alignment horizontal="center"/>
    </xf>
    <xf numFmtId="0" fontId="80" fillId="0" borderId="0" xfId="0" applyFont="1" applyAlignment="1">
      <alignment vertical="center"/>
    </xf>
    <xf numFmtId="0" fontId="80" fillId="0" borderId="0" xfId="0" applyFont="1" applyAlignment="1">
      <alignment horizontal="center" vertical="center"/>
    </xf>
    <xf numFmtId="0" fontId="75" fillId="0" borderId="30" xfId="1" applyFont="1" applyBorder="1"/>
    <xf numFmtId="0" fontId="75" fillId="0" borderId="30" xfId="1" applyFont="1" applyBorder="1" applyAlignment="1">
      <alignment horizontal="center"/>
    </xf>
    <xf numFmtId="0" fontId="77" fillId="0" borderId="30" xfId="1" applyFont="1" applyBorder="1" applyAlignment="1">
      <alignment horizontal="center"/>
    </xf>
    <xf numFmtId="0" fontId="75" fillId="0" borderId="12" xfId="1" applyFont="1" applyBorder="1" applyAlignment="1">
      <alignment horizontal="center"/>
    </xf>
    <xf numFmtId="0" fontId="77" fillId="0" borderId="13" xfId="1" applyFont="1" applyBorder="1"/>
    <xf numFmtId="0" fontId="86" fillId="21" borderId="0" xfId="1" applyFont="1" applyFill="1" applyAlignment="1">
      <alignment horizontal="center"/>
    </xf>
    <xf numFmtId="171" fontId="75" fillId="0" borderId="0" xfId="97" applyNumberFormat="1" applyFont="1" applyAlignment="1">
      <alignment horizontal="center"/>
    </xf>
    <xf numFmtId="171" fontId="77" fillId="0" borderId="0" xfId="97" applyNumberFormat="1" applyFont="1" applyFill="1" applyBorder="1" applyAlignment="1">
      <alignment vertical="center"/>
    </xf>
    <xf numFmtId="0" fontId="81" fillId="0" borderId="12" xfId="1" applyFont="1" applyBorder="1"/>
    <xf numFmtId="0" fontId="80" fillId="0" borderId="0" xfId="1" applyFont="1"/>
    <xf numFmtId="9" fontId="80" fillId="0" borderId="0" xfId="97" applyFont="1" applyAlignment="1">
      <alignment horizontal="center"/>
    </xf>
    <xf numFmtId="9" fontId="75" fillId="0" borderId="0" xfId="97" applyFont="1" applyAlignment="1">
      <alignment horizontal="center"/>
    </xf>
    <xf numFmtId="0" fontId="81" fillId="0" borderId="12" xfId="1" applyFont="1" applyBorder="1" applyAlignment="1">
      <alignment horizontal="center"/>
    </xf>
    <xf numFmtId="3" fontId="77" fillId="0" borderId="0" xfId="1" applyNumberFormat="1" applyFont="1"/>
    <xf numFmtId="0" fontId="81" fillId="0" borderId="0" xfId="1" applyFont="1"/>
    <xf numFmtId="0" fontId="77" fillId="32" borderId="12" xfId="1" applyFont="1" applyFill="1" applyBorder="1"/>
    <xf numFmtId="0" fontId="75" fillId="0" borderId="16" xfId="1" applyFont="1" applyBorder="1" applyAlignment="1">
      <alignment horizontal="center"/>
    </xf>
    <xf numFmtId="3" fontId="80" fillId="0" borderId="0" xfId="1" applyNumberFormat="1" applyFont="1" applyAlignment="1">
      <alignment horizontal="center"/>
    </xf>
    <xf numFmtId="3" fontId="75" fillId="0" borderId="0" xfId="1" applyNumberFormat="1" applyFont="1"/>
    <xf numFmtId="171" fontId="75" fillId="0" borderId="0" xfId="97" applyNumberFormat="1" applyFont="1" applyBorder="1" applyAlignment="1">
      <alignment horizontal="center"/>
    </xf>
    <xf numFmtId="0" fontId="77" fillId="31" borderId="0" xfId="1" applyFont="1" applyFill="1"/>
    <xf numFmtId="3" fontId="77" fillId="31" borderId="0" xfId="1" applyNumberFormat="1" applyFont="1" applyFill="1" applyAlignment="1">
      <alignment horizontal="center"/>
    </xf>
    <xf numFmtId="9" fontId="80" fillId="0" borderId="0" xfId="0" applyNumberFormat="1" applyFont="1" applyAlignment="1">
      <alignment horizontal="center" vertical="center"/>
    </xf>
    <xf numFmtId="9" fontId="8" fillId="0" borderId="0" xfId="97" applyFont="1" applyBorder="1" applyAlignment="1">
      <alignment horizontal="center"/>
    </xf>
    <xf numFmtId="0" fontId="7" fillId="18" borderId="0" xfId="1" applyFont="1" applyFill="1"/>
    <xf numFmtId="196" fontId="23" fillId="0" borderId="0" xfId="1" applyNumberFormat="1" applyFont="1" applyAlignment="1">
      <alignment horizontal="center"/>
    </xf>
    <xf numFmtId="196" fontId="10" fillId="0" borderId="0" xfId="1" applyNumberFormat="1" applyFont="1" applyAlignment="1">
      <alignment horizontal="center"/>
    </xf>
    <xf numFmtId="196" fontId="61" fillId="0" borderId="0" xfId="1" applyNumberFormat="1" applyFont="1" applyAlignment="1">
      <alignment horizontal="center"/>
    </xf>
    <xf numFmtId="0" fontId="61" fillId="0" borderId="0" xfId="1" applyFont="1"/>
    <xf numFmtId="9" fontId="23" fillId="0" borderId="0" xfId="97" applyFont="1" applyFill="1" applyBorder="1" applyAlignment="1">
      <alignment horizontal="center"/>
    </xf>
    <xf numFmtId="9" fontId="10" fillId="0" borderId="0" xfId="97" applyFont="1" applyFill="1" applyBorder="1" applyAlignment="1">
      <alignment horizontal="center"/>
    </xf>
    <xf numFmtId="9" fontId="10" fillId="20" borderId="0" xfId="97" applyFont="1" applyFill="1" applyBorder="1" applyAlignment="1">
      <alignment horizontal="center"/>
    </xf>
    <xf numFmtId="9" fontId="10" fillId="22" borderId="0" xfId="97" applyFont="1" applyFill="1" applyBorder="1" applyAlignment="1">
      <alignment horizontal="center"/>
    </xf>
    <xf numFmtId="9" fontId="7" fillId="0" borderId="0" xfId="97" applyFont="1" applyFill="1" applyBorder="1" applyAlignment="1">
      <alignment horizontal="center"/>
    </xf>
    <xf numFmtId="196" fontId="7" fillId="0" borderId="0" xfId="1" applyNumberFormat="1" applyFont="1" applyAlignment="1">
      <alignment horizontal="center"/>
    </xf>
    <xf numFmtId="196" fontId="7" fillId="20" borderId="0" xfId="1" applyNumberFormat="1" applyFont="1" applyFill="1" applyAlignment="1">
      <alignment horizontal="center"/>
    </xf>
    <xf numFmtId="171" fontId="7" fillId="0" borderId="0" xfId="97" applyNumberFormat="1" applyFont="1" applyBorder="1"/>
    <xf numFmtId="199" fontId="8" fillId="0" borderId="0" xfId="1" applyNumberFormat="1" applyFont="1" applyAlignment="1">
      <alignment horizontal="center"/>
    </xf>
    <xf numFmtId="199" fontId="8" fillId="18" borderId="0" xfId="1" applyNumberFormat="1" applyFont="1" applyFill="1" applyAlignment="1">
      <alignment horizontal="center"/>
    </xf>
    <xf numFmtId="0" fontId="7" fillId="22" borderId="0" xfId="1" applyFont="1" applyFill="1"/>
    <xf numFmtId="0" fontId="8" fillId="31" borderId="0" xfId="1" applyFont="1" applyFill="1"/>
    <xf numFmtId="0" fontId="7" fillId="31" borderId="0" xfId="1" applyFont="1" applyFill="1" applyAlignment="1">
      <alignment horizontal="center"/>
    </xf>
    <xf numFmtId="0" fontId="7" fillId="31" borderId="0" xfId="1" applyFont="1" applyFill="1"/>
    <xf numFmtId="3" fontId="7" fillId="31" borderId="0" xfId="1" applyNumberFormat="1" applyFont="1" applyFill="1" applyAlignment="1">
      <alignment horizontal="center"/>
    </xf>
    <xf numFmtId="9" fontId="89" fillId="0" borderId="0" xfId="97" applyFont="1" applyBorder="1" applyAlignment="1">
      <alignment horizontal="center"/>
    </xf>
    <xf numFmtId="9" fontId="91" fillId="0" borderId="0" xfId="97" applyFont="1" applyBorder="1" applyAlignment="1">
      <alignment horizontal="center"/>
    </xf>
    <xf numFmtId="9" fontId="75" fillId="0" borderId="0" xfId="1" applyNumberFormat="1" applyFont="1" applyAlignment="1">
      <alignment horizontal="center"/>
    </xf>
    <xf numFmtId="211" fontId="75" fillId="0" borderId="0" xfId="1" applyNumberFormat="1" applyFont="1" applyAlignment="1">
      <alignment horizontal="center"/>
    </xf>
    <xf numFmtId="207" fontId="75" fillId="0" borderId="0" xfId="1" applyNumberFormat="1" applyFont="1" applyAlignment="1">
      <alignment horizontal="center"/>
    </xf>
    <xf numFmtId="196" fontId="10" fillId="0" borderId="0" xfId="2" applyNumberFormat="1" applyFont="1" applyAlignment="1">
      <alignment horizontal="center"/>
    </xf>
    <xf numFmtId="171" fontId="94" fillId="0" borderId="0" xfId="0" applyNumberFormat="1" applyFont="1" applyAlignment="1">
      <alignment horizontal="center" vertical="center" wrapText="1"/>
    </xf>
    <xf numFmtId="206" fontId="74" fillId="0" borderId="0" xfId="1" applyNumberFormat="1" applyFont="1" applyAlignment="1">
      <alignment horizontal="center"/>
    </xf>
    <xf numFmtId="207" fontId="77" fillId="32" borderId="12" xfId="1" applyNumberFormat="1" applyFont="1" applyFill="1" applyBorder="1" applyAlignment="1">
      <alignment horizontal="center"/>
    </xf>
    <xf numFmtId="0" fontId="95" fillId="37" borderId="0" xfId="1" applyFont="1" applyFill="1"/>
    <xf numFmtId="0" fontId="95" fillId="37" borderId="0" xfId="1" applyFont="1" applyFill="1" applyAlignment="1">
      <alignment horizontal="center"/>
    </xf>
    <xf numFmtId="4" fontId="75" fillId="0" borderId="0" xfId="1" applyNumberFormat="1" applyFont="1" applyAlignment="1">
      <alignment horizontal="center"/>
    </xf>
    <xf numFmtId="208" fontId="96" fillId="0" borderId="0" xfId="1" applyNumberFormat="1" applyFont="1" applyAlignment="1">
      <alignment horizontal="center"/>
    </xf>
    <xf numFmtId="171" fontId="75" fillId="0" borderId="0" xfId="1" applyNumberFormat="1" applyFont="1"/>
    <xf numFmtId="173" fontId="96" fillId="0" borderId="0" xfId="1" applyNumberFormat="1" applyFont="1" applyAlignment="1">
      <alignment horizontal="center"/>
    </xf>
    <xf numFmtId="3" fontId="75" fillId="0" borderId="0" xfId="97" applyNumberFormat="1" applyFont="1" applyBorder="1" applyAlignment="1">
      <alignment horizontal="center"/>
    </xf>
    <xf numFmtId="213" fontId="75" fillId="0" borderId="0" xfId="1" applyNumberFormat="1" applyFont="1" applyAlignment="1">
      <alignment horizontal="center"/>
    </xf>
    <xf numFmtId="4" fontId="75" fillId="36" borderId="0" xfId="1" applyNumberFormat="1" applyFont="1" applyFill="1" applyAlignment="1">
      <alignment horizontal="center"/>
    </xf>
    <xf numFmtId="171" fontId="77" fillId="0" borderId="0" xfId="1" applyNumberFormat="1" applyFont="1" applyAlignment="1">
      <alignment horizontal="center"/>
    </xf>
    <xf numFmtId="207" fontId="77" fillId="0" borderId="0" xfId="1" applyNumberFormat="1" applyFont="1" applyAlignment="1">
      <alignment horizontal="center"/>
    </xf>
    <xf numFmtId="208" fontId="75" fillId="0" borderId="0" xfId="1" applyNumberFormat="1" applyFont="1" applyAlignment="1">
      <alignment horizontal="center"/>
    </xf>
    <xf numFmtId="9" fontId="77" fillId="0" borderId="0" xfId="1" applyNumberFormat="1" applyFont="1" applyAlignment="1">
      <alignment horizontal="center"/>
    </xf>
    <xf numFmtId="206" fontId="77" fillId="0" borderId="0" xfId="1" applyNumberFormat="1" applyFont="1" applyAlignment="1">
      <alignment horizontal="center"/>
    </xf>
    <xf numFmtId="206" fontId="75" fillId="0" borderId="0" xfId="1" applyNumberFormat="1" applyFont="1" applyAlignment="1">
      <alignment horizontal="center"/>
    </xf>
    <xf numFmtId="213" fontId="90" fillId="31" borderId="23" xfId="1" applyNumberFormat="1" applyFont="1" applyFill="1" applyBorder="1" applyAlignment="1">
      <alignment horizontal="center"/>
    </xf>
    <xf numFmtId="9" fontId="90" fillId="31" borderId="23" xfId="1" applyNumberFormat="1" applyFont="1" applyFill="1" applyBorder="1" applyAlignment="1">
      <alignment horizontal="center"/>
    </xf>
    <xf numFmtId="0" fontId="95" fillId="37" borderId="12" xfId="1" applyFont="1" applyFill="1" applyBorder="1"/>
    <xf numFmtId="0" fontId="95" fillId="37" borderId="12" xfId="1" applyFont="1" applyFill="1" applyBorder="1" applyAlignment="1">
      <alignment horizontal="center"/>
    </xf>
    <xf numFmtId="206" fontId="95" fillId="37" borderId="12" xfId="1" applyNumberFormat="1" applyFont="1" applyFill="1" applyBorder="1" applyAlignment="1">
      <alignment horizontal="center"/>
    </xf>
    <xf numFmtId="206" fontId="75" fillId="0" borderId="16" xfId="1" applyNumberFormat="1" applyFont="1" applyBorder="1" applyAlignment="1">
      <alignment horizontal="center"/>
    </xf>
    <xf numFmtId="0" fontId="75" fillId="32" borderId="12" xfId="1" applyFont="1" applyFill="1" applyBorder="1"/>
    <xf numFmtId="171" fontId="81" fillId="0" borderId="12" xfId="97" applyNumberFormat="1" applyFont="1" applyBorder="1" applyAlignment="1">
      <alignment horizontal="center"/>
    </xf>
    <xf numFmtId="171" fontId="90" fillId="0" borderId="0" xfId="0" applyNumberFormat="1" applyFont="1" applyAlignment="1">
      <alignment horizontal="center"/>
    </xf>
    <xf numFmtId="9" fontId="90" fillId="0" borderId="0" xfId="0" applyNumberFormat="1" applyFont="1" applyAlignment="1">
      <alignment horizontal="center"/>
    </xf>
    <xf numFmtId="171" fontId="75" fillId="0" borderId="0" xfId="0" applyNumberFormat="1" applyFont="1" applyAlignment="1">
      <alignment horizontal="center"/>
    </xf>
    <xf numFmtId="0" fontId="98" fillId="0" borderId="0" xfId="0" applyFont="1"/>
    <xf numFmtId="197" fontId="98" fillId="0" borderId="0" xfId="0" applyNumberFormat="1" applyFont="1" applyAlignment="1">
      <alignment horizontal="center"/>
    </xf>
    <xf numFmtId="2" fontId="77" fillId="0" borderId="12" xfId="1" applyNumberFormat="1" applyFont="1" applyBorder="1" applyAlignment="1">
      <alignment horizontal="center"/>
    </xf>
    <xf numFmtId="0" fontId="99" fillId="0" borderId="0" xfId="0" applyFont="1"/>
    <xf numFmtId="0" fontId="95" fillId="38" borderId="0" xfId="1" applyFont="1" applyFill="1"/>
    <xf numFmtId="0" fontId="95" fillId="38" borderId="0" xfId="1" applyFont="1" applyFill="1" applyAlignment="1">
      <alignment horizontal="center"/>
    </xf>
    <xf numFmtId="0" fontId="95" fillId="36" borderId="0" xfId="1" applyFont="1" applyFill="1"/>
    <xf numFmtId="0" fontId="95" fillId="36" borderId="0" xfId="1" applyFont="1" applyFill="1" applyAlignment="1">
      <alignment horizontal="center"/>
    </xf>
    <xf numFmtId="171" fontId="75" fillId="0" borderId="12" xfId="97" applyNumberFormat="1" applyFont="1" applyFill="1" applyBorder="1" applyAlignment="1">
      <alignment horizontal="center"/>
    </xf>
    <xf numFmtId="0" fontId="8" fillId="42" borderId="27" xfId="1" applyFont="1" applyFill="1" applyBorder="1"/>
    <xf numFmtId="0" fontId="7" fillId="42" borderId="27" xfId="1" applyFont="1" applyFill="1" applyBorder="1"/>
    <xf numFmtId="0" fontId="7" fillId="42" borderId="27" xfId="1" applyFont="1" applyFill="1" applyBorder="1" applyAlignment="1">
      <alignment horizontal="center"/>
    </xf>
    <xf numFmtId="173" fontId="8" fillId="42" borderId="27" xfId="1" applyNumberFormat="1" applyFont="1" applyFill="1" applyBorder="1" applyAlignment="1">
      <alignment horizontal="center"/>
    </xf>
    <xf numFmtId="3" fontId="12" fillId="34" borderId="23" xfId="97" applyNumberFormat="1" applyFont="1" applyFill="1" applyBorder="1" applyAlignment="1">
      <alignment horizontal="center"/>
    </xf>
    <xf numFmtId="3" fontId="75" fillId="0" borderId="0" xfId="97" applyNumberFormat="1" applyFont="1" applyFill="1" applyBorder="1" applyAlignment="1">
      <alignment horizontal="center"/>
    </xf>
    <xf numFmtId="213" fontId="90" fillId="0" borderId="0" xfId="1" applyNumberFormat="1" applyFont="1" applyAlignment="1">
      <alignment horizontal="center"/>
    </xf>
    <xf numFmtId="9" fontId="90" fillId="0" borderId="0" xfId="1" applyNumberFormat="1" applyFont="1" applyAlignment="1">
      <alignment horizontal="center"/>
    </xf>
    <xf numFmtId="4" fontId="96" fillId="0" borderId="0" xfId="1" applyNumberFormat="1" applyFont="1" applyAlignment="1">
      <alignment horizontal="center" vertical="center" wrapText="1"/>
    </xf>
    <xf numFmtId="4" fontId="100" fillId="0" borderId="0" xfId="1" applyNumberFormat="1" applyFont="1" applyAlignment="1">
      <alignment horizontal="center" vertical="center" wrapText="1"/>
    </xf>
    <xf numFmtId="0" fontId="101" fillId="0" borderId="0" xfId="1" applyFont="1" applyAlignment="1">
      <alignment horizontal="center"/>
    </xf>
    <xf numFmtId="14" fontId="101" fillId="0" borderId="0" xfId="1" applyNumberFormat="1" applyFont="1" applyAlignment="1">
      <alignment horizontal="center"/>
    </xf>
    <xf numFmtId="0" fontId="8" fillId="34" borderId="24" xfId="1" applyFont="1" applyFill="1" applyBorder="1"/>
    <xf numFmtId="196" fontId="8" fillId="34" borderId="27" xfId="1" applyNumberFormat="1" applyFont="1" applyFill="1" applyBorder="1" applyAlignment="1">
      <alignment horizontal="center"/>
    </xf>
    <xf numFmtId="0" fontId="8" fillId="34" borderId="27" xfId="1" applyFont="1" applyFill="1" applyBorder="1"/>
    <xf numFmtId="0" fontId="77" fillId="0" borderId="0" xfId="1" applyFont="1" applyAlignment="1">
      <alignment horizontal="center" vertical="center" wrapText="1"/>
    </xf>
    <xf numFmtId="0" fontId="75" fillId="0" borderId="31" xfId="1" applyFont="1" applyBorder="1"/>
    <xf numFmtId="171" fontId="81" fillId="0" borderId="31" xfId="97" applyNumberFormat="1" applyFont="1" applyBorder="1" applyAlignment="1">
      <alignment horizontal="center" vertical="center" wrapText="1"/>
    </xf>
    <xf numFmtId="0" fontId="77" fillId="0" borderId="31" xfId="1" applyFont="1" applyBorder="1" applyAlignment="1">
      <alignment horizontal="center" vertical="center" wrapText="1"/>
    </xf>
    <xf numFmtId="172" fontId="102" fillId="33" borderId="0" xfId="1" applyNumberFormat="1" applyFont="1" applyFill="1" applyAlignment="1">
      <alignment horizontal="center" vertical="center" wrapText="1"/>
    </xf>
    <xf numFmtId="0" fontId="18" fillId="43" borderId="0" xfId="1" applyFont="1" applyFill="1"/>
    <xf numFmtId="0" fontId="19" fillId="43" borderId="0" xfId="1" applyFont="1" applyFill="1"/>
    <xf numFmtId="0" fontId="19" fillId="43" borderId="0" xfId="1" applyFont="1" applyFill="1" applyAlignment="1">
      <alignment horizontal="center"/>
    </xf>
    <xf numFmtId="3" fontId="19" fillId="43" borderId="0" xfId="1" applyNumberFormat="1" applyFont="1" applyFill="1" applyAlignment="1">
      <alignment horizontal="center"/>
    </xf>
    <xf numFmtId="171" fontId="19" fillId="43" borderId="0" xfId="1" applyNumberFormat="1" applyFont="1" applyFill="1" applyAlignment="1">
      <alignment horizontal="center"/>
    </xf>
    <xf numFmtId="3" fontId="7" fillId="0" borderId="0" xfId="1" applyNumberFormat="1" applyFont="1" applyAlignment="1">
      <alignment horizontal="center" vertical="center"/>
    </xf>
    <xf numFmtId="3" fontId="90" fillId="0" borderId="23" xfId="97" applyNumberFormat="1" applyFont="1" applyFill="1" applyBorder="1" applyAlignment="1">
      <alignment horizontal="center"/>
    </xf>
    <xf numFmtId="3" fontId="90" fillId="0" borderId="0" xfId="1" applyNumberFormat="1" applyFont="1" applyAlignment="1">
      <alignment horizontal="center" vertical="center"/>
    </xf>
    <xf numFmtId="9" fontId="80" fillId="0" borderId="0" xfId="0" applyNumberFormat="1" applyFont="1"/>
    <xf numFmtId="3" fontId="75" fillId="0" borderId="0" xfId="0" applyNumberFormat="1" applyFont="1"/>
    <xf numFmtId="0" fontId="6" fillId="0" borderId="0" xfId="0" applyFont="1"/>
    <xf numFmtId="171" fontId="12" fillId="0" borderId="0" xfId="1" applyNumberFormat="1" applyFont="1" applyAlignment="1">
      <alignment horizontal="center" vertical="center" wrapText="1"/>
    </xf>
    <xf numFmtId="0" fontId="75" fillId="0" borderId="36" xfId="1" applyFont="1" applyBorder="1" applyAlignment="1">
      <alignment vertical="center"/>
    </xf>
    <xf numFmtId="181" fontId="85" fillId="0" borderId="38" xfId="87" applyNumberFormat="1" applyFont="1" applyBorder="1" applyAlignment="1">
      <alignment horizontal="center" vertical="center"/>
    </xf>
    <xf numFmtId="173" fontId="75" fillId="0" borderId="38" xfId="97" applyNumberFormat="1" applyFont="1" applyFill="1" applyBorder="1" applyAlignment="1" applyProtection="1">
      <alignment horizontal="center" vertical="center"/>
    </xf>
    <xf numFmtId="0" fontId="62" fillId="0" borderId="0" xfId="1" applyFont="1" applyAlignment="1">
      <alignment horizontal="center"/>
    </xf>
    <xf numFmtId="171" fontId="105" fillId="0" borderId="0" xfId="1" applyNumberFormat="1" applyFont="1" applyAlignment="1">
      <alignment horizontal="center"/>
    </xf>
    <xf numFmtId="0" fontId="104" fillId="0" borderId="0" xfId="1" applyFont="1"/>
    <xf numFmtId="0" fontId="104" fillId="0" borderId="0" xfId="1" applyFont="1" applyAlignment="1">
      <alignment horizontal="center"/>
    </xf>
    <xf numFmtId="0" fontId="107" fillId="0" borderId="0" xfId="1" applyFont="1"/>
    <xf numFmtId="0" fontId="92" fillId="0" borderId="0" xfId="1" applyFont="1"/>
    <xf numFmtId="173" fontId="108" fillId="0" borderId="0" xfId="1" applyNumberFormat="1" applyFont="1" applyAlignment="1">
      <alignment horizontal="center"/>
    </xf>
    <xf numFmtId="171" fontId="109" fillId="0" borderId="0" xfId="0" applyNumberFormat="1" applyFont="1" applyAlignment="1">
      <alignment horizontal="center" vertical="center" wrapText="1"/>
    </xf>
    <xf numFmtId="0" fontId="97" fillId="0" borderId="0" xfId="0" applyFont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9" fontId="11" fillId="0" borderId="0" xfId="97" applyFont="1" applyBorder="1" applyAlignment="1">
      <alignment horizontal="center"/>
    </xf>
    <xf numFmtId="1" fontId="8" fillId="18" borderId="0" xfId="1" applyNumberFormat="1" applyFont="1" applyFill="1" applyAlignment="1">
      <alignment horizontal="center"/>
    </xf>
    <xf numFmtId="172" fontId="71" fillId="0" borderId="0" xfId="1" applyNumberFormat="1" applyFont="1" applyAlignment="1">
      <alignment horizontal="center"/>
    </xf>
    <xf numFmtId="172" fontId="71" fillId="0" borderId="29" xfId="1" applyNumberFormat="1" applyFont="1" applyBorder="1" applyAlignment="1">
      <alignment horizontal="center"/>
    </xf>
    <xf numFmtId="0" fontId="72" fillId="0" borderId="0" xfId="1" applyFont="1" applyAlignment="1">
      <alignment horizontal="center"/>
    </xf>
    <xf numFmtId="0" fontId="15" fillId="0" borderId="0" xfId="1" applyFont="1"/>
    <xf numFmtId="196" fontId="15" fillId="0" borderId="0" xfId="1" applyNumberFormat="1" applyFont="1" applyAlignment="1">
      <alignment horizontal="center"/>
    </xf>
    <xf numFmtId="0" fontId="8" fillId="19" borderId="29" xfId="1" applyFont="1" applyFill="1" applyBorder="1" applyAlignment="1">
      <alignment horizontal="center" vertical="center" wrapText="1"/>
    </xf>
    <xf numFmtId="196" fontId="8" fillId="20" borderId="22" xfId="1" applyNumberFormat="1" applyFont="1" applyFill="1" applyBorder="1" applyAlignment="1">
      <alignment horizontal="center"/>
    </xf>
    <xf numFmtId="3" fontId="8" fillId="0" borderId="22" xfId="1" applyNumberFormat="1" applyFont="1" applyBorder="1" applyAlignment="1">
      <alignment horizontal="center"/>
    </xf>
    <xf numFmtId="196" fontId="8" fillId="0" borderId="0" xfId="1" applyNumberFormat="1" applyFont="1" applyAlignment="1">
      <alignment horizontal="center"/>
    </xf>
    <xf numFmtId="9" fontId="17" fillId="0" borderId="0" xfId="97" applyFont="1" applyBorder="1" applyAlignment="1">
      <alignment horizontal="center"/>
    </xf>
    <xf numFmtId="196" fontId="17" fillId="0" borderId="0" xfId="1" applyNumberFormat="1" applyFont="1" applyAlignment="1">
      <alignment horizontal="center"/>
    </xf>
    <xf numFmtId="171" fontId="75" fillId="0" borderId="31" xfId="1" applyNumberFormat="1" applyFont="1" applyBorder="1" applyAlignment="1">
      <alignment horizontal="center" vertical="center" wrapText="1"/>
    </xf>
    <xf numFmtId="9" fontId="75" fillId="0" borderId="31" xfId="1" applyNumberFormat="1" applyFont="1" applyBorder="1" applyAlignment="1">
      <alignment horizontal="center" vertical="center" wrapText="1"/>
    </xf>
    <xf numFmtId="213" fontId="111" fillId="31" borderId="23" xfId="1" applyNumberFormat="1" applyFont="1" applyFill="1" applyBorder="1" applyAlignment="1">
      <alignment horizontal="center"/>
    </xf>
    <xf numFmtId="3" fontId="94" fillId="0" borderId="0" xfId="97" applyNumberFormat="1" applyFont="1" applyBorder="1" applyAlignment="1">
      <alignment horizontal="center"/>
    </xf>
    <xf numFmtId="0" fontId="95" fillId="0" borderId="0" xfId="1" applyFont="1" applyAlignment="1">
      <alignment horizontal="center"/>
    </xf>
    <xf numFmtId="9" fontId="95" fillId="0" borderId="0" xfId="1" applyNumberFormat="1" applyFont="1" applyAlignment="1">
      <alignment horizontal="center"/>
    </xf>
    <xf numFmtId="0" fontId="77" fillId="46" borderId="12" xfId="1" applyFont="1" applyFill="1" applyBorder="1"/>
    <xf numFmtId="0" fontId="77" fillId="46" borderId="12" xfId="1" applyFont="1" applyFill="1" applyBorder="1" applyAlignment="1">
      <alignment horizontal="center"/>
    </xf>
    <xf numFmtId="206" fontId="77" fillId="46" borderId="12" xfId="1" applyNumberFormat="1" applyFont="1" applyFill="1" applyBorder="1" applyAlignment="1">
      <alignment horizontal="center"/>
    </xf>
    <xf numFmtId="0" fontId="81" fillId="46" borderId="0" xfId="1" applyFont="1" applyFill="1"/>
    <xf numFmtId="0" fontId="81" fillId="46" borderId="0" xfId="1" applyFont="1" applyFill="1" applyAlignment="1">
      <alignment horizontal="center"/>
    </xf>
    <xf numFmtId="171" fontId="81" fillId="46" borderId="26" xfId="1" applyNumberFormat="1" applyFont="1" applyFill="1" applyBorder="1" applyAlignment="1">
      <alignment horizontal="center"/>
    </xf>
    <xf numFmtId="0" fontId="81" fillId="46" borderId="12" xfId="1" applyFont="1" applyFill="1" applyBorder="1"/>
    <xf numFmtId="0" fontId="81" fillId="46" borderId="12" xfId="1" applyFont="1" applyFill="1" applyBorder="1" applyAlignment="1">
      <alignment horizontal="center"/>
    </xf>
    <xf numFmtId="171" fontId="81" fillId="46" borderId="12" xfId="97" applyNumberFormat="1" applyFont="1" applyFill="1" applyBorder="1" applyAlignment="1">
      <alignment horizontal="center"/>
    </xf>
    <xf numFmtId="9" fontId="94" fillId="31" borderId="23" xfId="1" applyNumberFormat="1" applyFont="1" applyFill="1" applyBorder="1" applyAlignment="1">
      <alignment horizontal="center"/>
    </xf>
    <xf numFmtId="9" fontId="112" fillId="0" borderId="0" xfId="97" applyFont="1" applyFill="1" applyBorder="1" applyAlignment="1">
      <alignment horizontal="center"/>
    </xf>
    <xf numFmtId="0" fontId="77" fillId="46" borderId="0" xfId="1" applyFont="1" applyFill="1"/>
    <xf numFmtId="0" fontId="77" fillId="46" borderId="0" xfId="1" applyFont="1" applyFill="1" applyAlignment="1">
      <alignment horizontal="center"/>
    </xf>
    <xf numFmtId="206" fontId="77" fillId="46" borderId="0" xfId="1" applyNumberFormat="1" applyFont="1" applyFill="1" applyAlignment="1">
      <alignment horizontal="center"/>
    </xf>
    <xf numFmtId="0" fontId="75" fillId="0" borderId="33" xfId="1" applyFont="1" applyBorder="1"/>
    <xf numFmtId="0" fontId="75" fillId="0" borderId="33" xfId="1" applyFont="1" applyBorder="1" applyAlignment="1">
      <alignment horizontal="center"/>
    </xf>
    <xf numFmtId="3" fontId="75" fillId="0" borderId="33" xfId="1" applyNumberFormat="1" applyFont="1" applyBorder="1" applyAlignment="1">
      <alignment horizontal="center"/>
    </xf>
    <xf numFmtId="0" fontId="77" fillId="0" borderId="33" xfId="1" applyFont="1" applyBorder="1"/>
    <xf numFmtId="0" fontId="77" fillId="0" borderId="33" xfId="1" applyFont="1" applyBorder="1" applyAlignment="1">
      <alignment horizontal="center"/>
    </xf>
    <xf numFmtId="3" fontId="77" fillId="0" borderId="33" xfId="1" applyNumberFormat="1" applyFont="1" applyBorder="1" applyAlignment="1">
      <alignment horizontal="center"/>
    </xf>
    <xf numFmtId="4" fontId="97" fillId="0" borderId="0" xfId="1" applyNumberFormat="1" applyFont="1" applyAlignment="1">
      <alignment horizontal="center"/>
    </xf>
    <xf numFmtId="3" fontId="97" fillId="0" borderId="0" xfId="1" applyNumberFormat="1" applyFont="1" applyAlignment="1">
      <alignment horizontal="center"/>
    </xf>
    <xf numFmtId="3" fontId="102" fillId="33" borderId="0" xfId="1" applyNumberFormat="1" applyFont="1" applyFill="1" applyAlignment="1">
      <alignment horizontal="center" vertical="center"/>
    </xf>
    <xf numFmtId="4" fontId="74" fillId="0" borderId="0" xfId="1" applyNumberFormat="1" applyFont="1" applyAlignment="1">
      <alignment horizontal="center"/>
    </xf>
    <xf numFmtId="213" fontId="74" fillId="0" borderId="0" xfId="1" applyNumberFormat="1" applyFont="1" applyAlignment="1">
      <alignment horizontal="center"/>
    </xf>
    <xf numFmtId="9" fontId="74" fillId="0" borderId="0" xfId="1" applyNumberFormat="1" applyFont="1" applyAlignment="1">
      <alignment horizontal="center"/>
    </xf>
    <xf numFmtId="3" fontId="74" fillId="0" borderId="0" xfId="1" applyNumberFormat="1" applyFont="1" applyAlignment="1">
      <alignment horizontal="center"/>
    </xf>
    <xf numFmtId="211" fontId="74" fillId="0" borderId="0" xfId="1" applyNumberFormat="1" applyFont="1" applyAlignment="1">
      <alignment horizontal="center"/>
    </xf>
    <xf numFmtId="3" fontId="74" fillId="0" borderId="33" xfId="1" applyNumberFormat="1" applyFont="1" applyBorder="1" applyAlignment="1">
      <alignment horizontal="center"/>
    </xf>
    <xf numFmtId="0" fontId="85" fillId="0" borderId="0" xfId="1" applyFont="1"/>
    <xf numFmtId="0" fontId="85" fillId="0" borderId="0" xfId="1" applyFont="1" applyAlignment="1">
      <alignment horizontal="center"/>
    </xf>
    <xf numFmtId="0" fontId="8" fillId="0" borderId="0" xfId="1" applyFont="1" applyAlignment="1">
      <alignment horizontal="right"/>
    </xf>
    <xf numFmtId="0" fontId="7" fillId="0" borderId="0" xfId="1" applyFont="1" applyAlignment="1">
      <alignment horizontal="right"/>
    </xf>
    <xf numFmtId="9" fontId="7" fillId="31" borderId="0" xfId="1" applyNumberFormat="1" applyFont="1" applyFill="1" applyAlignment="1">
      <alignment horizontal="center" vertical="center" wrapText="1"/>
    </xf>
    <xf numFmtId="196" fontId="11" fillId="31" borderId="0" xfId="2" applyNumberFormat="1" applyFont="1" applyFill="1" applyAlignment="1">
      <alignment horizontal="center"/>
    </xf>
    <xf numFmtId="211" fontId="75" fillId="0" borderId="31" xfId="1" applyNumberFormat="1" applyFont="1" applyBorder="1" applyAlignment="1">
      <alignment horizontal="center"/>
    </xf>
    <xf numFmtId="171" fontId="77" fillId="0" borderId="0" xfId="0" applyNumberFormat="1" applyFont="1" applyAlignment="1">
      <alignment horizontal="center" vertical="center" wrapText="1"/>
    </xf>
    <xf numFmtId="3" fontId="79" fillId="0" borderId="0" xfId="0" applyNumberFormat="1" applyFont="1" applyAlignment="1">
      <alignment horizontal="center" vertical="center" wrapText="1"/>
    </xf>
    <xf numFmtId="0" fontId="75" fillId="0" borderId="0" xfId="0" applyFont="1" applyAlignment="1">
      <alignment horizontal="center" vertical="center" wrapText="1"/>
    </xf>
    <xf numFmtId="0" fontId="75" fillId="0" borderId="0" xfId="1" applyFont="1" applyAlignment="1">
      <alignment horizontal="center" vertical="center" wrapText="1"/>
    </xf>
    <xf numFmtId="0" fontId="77" fillId="0" borderId="37" xfId="87" applyFont="1" applyBorder="1" applyAlignment="1">
      <alignment horizontal="left" vertical="center"/>
    </xf>
    <xf numFmtId="3" fontId="79" fillId="0" borderId="37" xfId="65" applyFont="1" applyBorder="1" applyAlignment="1">
      <alignment horizontal="right" vertical="center"/>
    </xf>
    <xf numFmtId="172" fontId="78" fillId="0" borderId="37" xfId="65" applyNumberFormat="1" applyFont="1" applyFill="1" applyBorder="1" applyAlignment="1" applyProtection="1">
      <alignment horizontal="center" vertical="center"/>
    </xf>
    <xf numFmtId="171" fontId="75" fillId="0" borderId="37" xfId="97" applyNumberFormat="1" applyFont="1" applyFill="1" applyBorder="1" applyAlignment="1" applyProtection="1">
      <alignment horizontal="center" vertical="center"/>
    </xf>
    <xf numFmtId="172" fontId="78" fillId="0" borderId="37" xfId="65" applyNumberFormat="1" applyFont="1" applyFill="1" applyBorder="1" applyAlignment="1" applyProtection="1">
      <alignment horizontal="right" vertical="center"/>
    </xf>
    <xf numFmtId="173" fontId="75" fillId="0" borderId="37" xfId="97" applyNumberFormat="1" applyFont="1" applyFill="1" applyBorder="1" applyAlignment="1" applyProtection="1">
      <alignment horizontal="center" vertical="center"/>
    </xf>
    <xf numFmtId="172" fontId="78" fillId="0" borderId="37" xfId="65" applyNumberFormat="1" applyFont="1" applyBorder="1" applyAlignment="1">
      <alignment horizontal="center" vertical="center"/>
    </xf>
    <xf numFmtId="0" fontId="78" fillId="0" borderId="37" xfId="1" applyFont="1" applyBorder="1" applyAlignment="1">
      <alignment vertical="center"/>
    </xf>
    <xf numFmtId="0" fontId="77" fillId="0" borderId="39" xfId="1" applyFont="1" applyBorder="1" applyAlignment="1">
      <alignment vertical="center"/>
    </xf>
    <xf numFmtId="3" fontId="79" fillId="0" borderId="37" xfId="65" applyFont="1" applyFill="1" applyBorder="1" applyAlignment="1">
      <alignment horizontal="right" vertical="center"/>
    </xf>
    <xf numFmtId="3" fontId="79" fillId="0" borderId="37" xfId="1" applyNumberFormat="1" applyFont="1" applyBorder="1" applyAlignment="1">
      <alignment vertical="center"/>
    </xf>
    <xf numFmtId="10" fontId="77" fillId="0" borderId="37" xfId="1" applyNumberFormat="1" applyFont="1" applyBorder="1" applyAlignment="1">
      <alignment horizontal="center" vertical="center"/>
    </xf>
    <xf numFmtId="3" fontId="79" fillId="0" borderId="37" xfId="1" applyNumberFormat="1" applyFont="1" applyBorder="1" applyAlignment="1">
      <alignment horizontal="center" vertical="center"/>
    </xf>
    <xf numFmtId="3" fontId="79" fillId="0" borderId="37" xfId="65" applyFont="1" applyBorder="1" applyAlignment="1">
      <alignment horizontal="center" vertical="center"/>
    </xf>
    <xf numFmtId="173" fontId="77" fillId="0" borderId="38" xfId="97" applyNumberFormat="1" applyFont="1" applyFill="1" applyBorder="1" applyAlignment="1" applyProtection="1">
      <alignment horizontal="center" vertical="center"/>
    </xf>
    <xf numFmtId="173" fontId="77" fillId="0" borderId="37" xfId="97" applyNumberFormat="1" applyFont="1" applyFill="1" applyBorder="1" applyAlignment="1" applyProtection="1">
      <alignment horizontal="center" vertical="center"/>
    </xf>
    <xf numFmtId="181" fontId="77" fillId="46" borderId="0" xfId="91" applyNumberFormat="1" applyFont="1" applyFill="1" applyAlignment="1">
      <alignment horizontal="left" vertical="center"/>
    </xf>
    <xf numFmtId="172" fontId="79" fillId="46" borderId="0" xfId="65" applyNumberFormat="1" applyFont="1" applyFill="1" applyBorder="1" applyAlignment="1" applyProtection="1">
      <alignment horizontal="right" vertical="center"/>
    </xf>
    <xf numFmtId="172" fontId="79" fillId="46" borderId="0" xfId="65" applyNumberFormat="1" applyFont="1" applyFill="1" applyBorder="1" applyAlignment="1" applyProtection="1">
      <alignment horizontal="center" vertical="center"/>
    </xf>
    <xf numFmtId="171" fontId="77" fillId="46" borderId="0" xfId="97" applyNumberFormat="1" applyFont="1" applyFill="1" applyBorder="1" applyAlignment="1" applyProtection="1">
      <alignment horizontal="center" vertical="center"/>
    </xf>
    <xf numFmtId="173" fontId="77" fillId="46" borderId="0" xfId="97" applyNumberFormat="1" applyFont="1" applyFill="1" applyBorder="1" applyAlignment="1" applyProtection="1">
      <alignment horizontal="center" vertical="center"/>
    </xf>
    <xf numFmtId="173" fontId="77" fillId="46" borderId="14" xfId="97" applyNumberFormat="1" applyFont="1" applyFill="1" applyBorder="1" applyAlignment="1" applyProtection="1">
      <alignment horizontal="center" vertical="center"/>
    </xf>
    <xf numFmtId="0" fontId="77" fillId="46" borderId="17" xfId="1" applyFont="1" applyFill="1" applyBorder="1" applyAlignment="1">
      <alignment vertical="center"/>
    </xf>
    <xf numFmtId="3" fontId="79" fillId="46" borderId="0" xfId="65" applyFont="1" applyFill="1" applyBorder="1" applyAlignment="1">
      <alignment horizontal="right" vertical="center"/>
    </xf>
    <xf numFmtId="3" fontId="79" fillId="46" borderId="0" xfId="1" applyNumberFormat="1" applyFont="1" applyFill="1" applyAlignment="1">
      <alignment vertical="center"/>
    </xf>
    <xf numFmtId="172" fontId="77" fillId="46" borderId="0" xfId="1" applyNumberFormat="1" applyFont="1" applyFill="1" applyAlignment="1">
      <alignment horizontal="center" vertical="center"/>
    </xf>
    <xf numFmtId="3" fontId="79" fillId="46" borderId="0" xfId="1" applyNumberFormat="1" applyFont="1" applyFill="1" applyAlignment="1">
      <alignment horizontal="center" vertical="center"/>
    </xf>
    <xf numFmtId="3" fontId="79" fillId="46" borderId="0" xfId="65" applyFont="1" applyFill="1" applyBorder="1" applyAlignment="1">
      <alignment horizontal="center" vertical="center"/>
    </xf>
    <xf numFmtId="181" fontId="77" fillId="46" borderId="17" xfId="98" applyNumberFormat="1" applyFont="1" applyFill="1" applyBorder="1" applyAlignment="1">
      <alignment horizontal="left" vertical="center"/>
    </xf>
    <xf numFmtId="172" fontId="77" fillId="46" borderId="0" xfId="65" applyNumberFormat="1" applyFont="1" applyFill="1" applyBorder="1" applyAlignment="1">
      <alignment horizontal="right" vertical="center"/>
    </xf>
    <xf numFmtId="172" fontId="77" fillId="46" borderId="0" xfId="65" applyNumberFormat="1" applyFont="1" applyFill="1" applyBorder="1" applyAlignment="1">
      <alignment horizontal="center" vertical="center"/>
    </xf>
    <xf numFmtId="0" fontId="77" fillId="46" borderId="17" xfId="87" applyFont="1" applyFill="1" applyBorder="1" applyAlignment="1">
      <alignment vertical="center"/>
    </xf>
    <xf numFmtId="2" fontId="85" fillId="46" borderId="0" xfId="90" applyFont="1" applyFill="1" applyBorder="1" applyAlignment="1">
      <alignment horizontal="left" vertical="center"/>
    </xf>
    <xf numFmtId="172" fontId="79" fillId="46" borderId="0" xfId="65" applyNumberFormat="1" applyFont="1" applyFill="1" applyBorder="1" applyAlignment="1">
      <alignment horizontal="right" vertical="center"/>
    </xf>
    <xf numFmtId="172" fontId="79" fillId="46" borderId="0" xfId="65" applyNumberFormat="1" applyFont="1" applyFill="1" applyBorder="1" applyAlignment="1">
      <alignment horizontal="center" vertical="center"/>
    </xf>
    <xf numFmtId="172" fontId="77" fillId="46" borderId="14" xfId="65" applyNumberFormat="1" applyFont="1" applyFill="1" applyBorder="1" applyAlignment="1">
      <alignment horizontal="center" vertical="center"/>
    </xf>
    <xf numFmtId="2" fontId="77" fillId="46" borderId="0" xfId="90" applyFont="1" applyFill="1" applyBorder="1" applyAlignment="1">
      <alignment vertical="center"/>
    </xf>
    <xf numFmtId="3" fontId="85" fillId="46" borderId="0" xfId="1" applyNumberFormat="1" applyFont="1" applyFill="1" applyAlignment="1">
      <alignment horizontal="center" vertical="center"/>
    </xf>
    <xf numFmtId="3" fontId="85" fillId="46" borderId="14" xfId="1" applyNumberFormat="1" applyFont="1" applyFill="1" applyBorder="1" applyAlignment="1">
      <alignment horizontal="center" vertical="center"/>
    </xf>
    <xf numFmtId="181" fontId="77" fillId="46" borderId="0" xfId="87" applyNumberFormat="1" applyFont="1" applyFill="1" applyAlignment="1">
      <alignment horizontal="left" vertical="center"/>
    </xf>
    <xf numFmtId="0" fontId="77" fillId="46" borderId="0" xfId="87" applyFont="1" applyFill="1" applyAlignment="1" applyProtection="1">
      <alignment horizontal="left" vertical="center"/>
      <protection locked="0"/>
    </xf>
    <xf numFmtId="4" fontId="79" fillId="0" borderId="0" xfId="65" applyNumberFormat="1" applyFont="1" applyFill="1" applyBorder="1" applyAlignment="1">
      <alignment horizontal="right" vertical="center"/>
    </xf>
    <xf numFmtId="4" fontId="79" fillId="0" borderId="0" xfId="65" applyNumberFormat="1" applyFont="1" applyFill="1" applyBorder="1" applyAlignment="1">
      <alignment horizontal="center" vertical="center"/>
    </xf>
    <xf numFmtId="2" fontId="85" fillId="0" borderId="0" xfId="90" applyFont="1" applyBorder="1" applyAlignment="1">
      <alignment horizontal="left" vertical="center"/>
    </xf>
    <xf numFmtId="171" fontId="85" fillId="0" borderId="0" xfId="0" applyNumberFormat="1" applyFont="1" applyAlignment="1">
      <alignment horizontal="center" vertical="center" wrapText="1"/>
    </xf>
    <xf numFmtId="171" fontId="74" fillId="0" borderId="0" xfId="0" applyNumberFormat="1" applyFont="1" applyAlignment="1">
      <alignment horizontal="center" vertical="center" wrapText="1"/>
    </xf>
    <xf numFmtId="0" fontId="77" fillId="0" borderId="41" xfId="1" applyFont="1" applyBorder="1"/>
    <xf numFmtId="0" fontId="95" fillId="0" borderId="41" xfId="1" applyFont="1" applyBorder="1" applyAlignment="1">
      <alignment horizontal="center"/>
    </xf>
    <xf numFmtId="9" fontId="95" fillId="0" borderId="41" xfId="1" applyNumberFormat="1" applyFont="1" applyBorder="1" applyAlignment="1">
      <alignment horizontal="center"/>
    </xf>
    <xf numFmtId="0" fontId="0" fillId="0" borderId="41" xfId="0" applyBorder="1"/>
    <xf numFmtId="9" fontId="85" fillId="0" borderId="41" xfId="1" applyNumberFormat="1" applyFont="1" applyBorder="1" applyAlignment="1">
      <alignment horizontal="center"/>
    </xf>
    <xf numFmtId="0" fontId="77" fillId="46" borderId="34" xfId="1" applyFont="1" applyFill="1" applyBorder="1"/>
    <xf numFmtId="0" fontId="77" fillId="46" borderId="34" xfId="1" applyFont="1" applyFill="1" applyBorder="1" applyAlignment="1">
      <alignment horizontal="center"/>
    </xf>
    <xf numFmtId="206" fontId="85" fillId="46" borderId="34" xfId="1" applyNumberFormat="1" applyFont="1" applyFill="1" applyBorder="1" applyAlignment="1">
      <alignment horizontal="center"/>
    </xf>
    <xf numFmtId="0" fontId="81" fillId="46" borderId="34" xfId="1" applyFont="1" applyFill="1" applyBorder="1"/>
    <xf numFmtId="0" fontId="81" fillId="46" borderId="34" xfId="1" applyFont="1" applyFill="1" applyBorder="1" applyAlignment="1">
      <alignment horizontal="center"/>
    </xf>
    <xf numFmtId="171" fontId="81" fillId="46" borderId="34" xfId="97" applyNumberFormat="1" applyFont="1" applyFill="1" applyBorder="1" applyAlignment="1">
      <alignment horizontal="center"/>
    </xf>
    <xf numFmtId="0" fontId="0" fillId="0" borderId="42" xfId="0" applyBorder="1"/>
    <xf numFmtId="0" fontId="75" fillId="0" borderId="42" xfId="1" applyFont="1" applyBorder="1"/>
    <xf numFmtId="0" fontId="75" fillId="0" borderId="42" xfId="1" applyFont="1" applyBorder="1" applyAlignment="1">
      <alignment horizontal="center"/>
    </xf>
    <xf numFmtId="172" fontId="75" fillId="0" borderId="42" xfId="1" applyNumberFormat="1" applyFont="1" applyBorder="1" applyAlignment="1">
      <alignment horizontal="center"/>
    </xf>
    <xf numFmtId="0" fontId="75" fillId="0" borderId="34" xfId="1" applyFont="1" applyBorder="1"/>
    <xf numFmtId="0" fontId="75" fillId="0" borderId="34" xfId="1" applyFont="1" applyBorder="1" applyAlignment="1">
      <alignment horizontal="center"/>
    </xf>
    <xf numFmtId="171" fontId="75" fillId="0" borderId="34" xfId="97" applyNumberFormat="1" applyFont="1" applyFill="1" applyBorder="1" applyAlignment="1">
      <alignment horizontal="center"/>
    </xf>
    <xf numFmtId="9" fontId="7" fillId="0" borderId="0" xfId="1" applyNumberFormat="1" applyFont="1"/>
    <xf numFmtId="1" fontId="25" fillId="0" borderId="13" xfId="1" applyNumberFormat="1" applyFont="1" applyBorder="1" applyAlignment="1">
      <alignment horizontal="center"/>
    </xf>
    <xf numFmtId="1" fontId="23" fillId="0" borderId="13" xfId="1" applyNumberFormat="1" applyFont="1" applyBorder="1"/>
    <xf numFmtId="1" fontId="23" fillId="0" borderId="0" xfId="1" applyNumberFormat="1" applyFont="1"/>
    <xf numFmtId="197" fontId="25" fillId="34" borderId="27" xfId="1" applyNumberFormat="1" applyFont="1" applyFill="1" applyBorder="1" applyAlignment="1">
      <alignment horizontal="center"/>
    </xf>
    <xf numFmtId="3" fontId="25" fillId="0" borderId="0" xfId="1" applyNumberFormat="1" applyFont="1" applyAlignment="1">
      <alignment horizontal="center"/>
    </xf>
    <xf numFmtId="3" fontId="104" fillId="0" borderId="0" xfId="1" applyNumberFormat="1" applyFont="1" applyAlignment="1">
      <alignment horizontal="center"/>
    </xf>
    <xf numFmtId="3" fontId="105" fillId="0" borderId="0" xfId="1" applyNumberFormat="1" applyFont="1" applyAlignment="1">
      <alignment horizontal="center"/>
    </xf>
    <xf numFmtId="0" fontId="95" fillId="36" borderId="12" xfId="1" applyFont="1" applyFill="1" applyBorder="1"/>
    <xf numFmtId="0" fontId="95" fillId="36" borderId="12" xfId="1" applyFont="1" applyFill="1" applyBorder="1" applyAlignment="1">
      <alignment horizontal="center"/>
    </xf>
    <xf numFmtId="166" fontId="95" fillId="36" borderId="12" xfId="1" applyNumberFormat="1" applyFont="1" applyFill="1" applyBorder="1" applyAlignment="1">
      <alignment horizontal="center"/>
    </xf>
    <xf numFmtId="0" fontId="81" fillId="0" borderId="0" xfId="1" applyFont="1" applyAlignment="1">
      <alignment horizontal="center"/>
    </xf>
    <xf numFmtId="9" fontId="111" fillId="31" borderId="23" xfId="1" applyNumberFormat="1" applyFont="1" applyFill="1" applyBorder="1" applyAlignment="1">
      <alignment horizontal="center"/>
    </xf>
    <xf numFmtId="9" fontId="0" fillId="0" borderId="0" xfId="97" applyFont="1"/>
    <xf numFmtId="171" fontId="80" fillId="0" borderId="0" xfId="65" applyNumberFormat="1" applyFont="1" applyFill="1" applyBorder="1" applyAlignment="1">
      <alignment horizontal="center" vertical="center"/>
    </xf>
    <xf numFmtId="171" fontId="80" fillId="0" borderId="14" xfId="65" applyNumberFormat="1" applyFont="1" applyFill="1" applyBorder="1" applyAlignment="1">
      <alignment horizontal="center" vertical="center"/>
    </xf>
    <xf numFmtId="0" fontId="81" fillId="0" borderId="20" xfId="1" applyFont="1" applyBorder="1" applyAlignment="1">
      <alignment horizontal="center" vertical="center" wrapText="1"/>
    </xf>
    <xf numFmtId="181" fontId="85" fillId="0" borderId="34" xfId="87" applyNumberFormat="1" applyFont="1" applyBorder="1" applyAlignment="1">
      <alignment horizontal="center" vertical="center"/>
    </xf>
    <xf numFmtId="171" fontId="79" fillId="0" borderId="0" xfId="1" applyNumberFormat="1" applyFont="1" applyAlignment="1">
      <alignment horizontal="center"/>
    </xf>
    <xf numFmtId="3" fontId="75" fillId="0" borderId="16" xfId="1" applyNumberFormat="1" applyFont="1" applyBorder="1" applyAlignment="1">
      <alignment vertical="center"/>
    </xf>
    <xf numFmtId="2" fontId="82" fillId="0" borderId="36" xfId="90" applyFont="1" applyBorder="1" applyAlignment="1">
      <alignment horizontal="right" vertical="center"/>
    </xf>
    <xf numFmtId="4" fontId="94" fillId="0" borderId="0" xfId="0" applyNumberFormat="1" applyFont="1" applyAlignment="1">
      <alignment horizontal="center" vertical="center" wrapText="1"/>
    </xf>
    <xf numFmtId="171" fontId="81" fillId="46" borderId="20" xfId="97" applyNumberFormat="1" applyFont="1" applyFill="1" applyBorder="1" applyAlignment="1">
      <alignment horizontal="center" vertical="center" wrapText="1"/>
    </xf>
    <xf numFmtId="171" fontId="81" fillId="46" borderId="26" xfId="97" applyNumberFormat="1" applyFont="1" applyFill="1" applyBorder="1" applyAlignment="1">
      <alignment horizontal="center" vertical="center" wrapText="1"/>
    </xf>
    <xf numFmtId="197" fontId="8" fillId="34" borderId="27" xfId="1" applyNumberFormat="1" applyFont="1" applyFill="1" applyBorder="1" applyAlignment="1">
      <alignment horizontal="center"/>
    </xf>
    <xf numFmtId="9" fontId="75" fillId="0" borderId="14" xfId="65" applyNumberFormat="1" applyFont="1" applyFill="1" applyBorder="1" applyAlignment="1">
      <alignment horizontal="center" vertical="center"/>
    </xf>
    <xf numFmtId="0" fontId="75" fillId="0" borderId="0" xfId="0" applyFont="1" applyAlignment="1">
      <alignment horizontal="right" vertical="center"/>
    </xf>
    <xf numFmtId="9" fontId="16" fillId="0" borderId="0" xfId="1" applyNumberFormat="1" applyFont="1" applyAlignment="1">
      <alignment horizontal="center" vertical="center" wrapText="1"/>
    </xf>
    <xf numFmtId="197" fontId="8" fillId="34" borderId="0" xfId="1" applyNumberFormat="1" applyFont="1" applyFill="1" applyAlignment="1">
      <alignment horizontal="center"/>
    </xf>
    <xf numFmtId="9" fontId="16" fillId="0" borderId="0" xfId="97" applyFont="1" applyFill="1" applyBorder="1" applyAlignment="1">
      <alignment horizontal="center"/>
    </xf>
    <xf numFmtId="0" fontId="77" fillId="46" borderId="42" xfId="1" applyFont="1" applyFill="1" applyBorder="1"/>
    <xf numFmtId="0" fontId="77" fillId="46" borderId="42" xfId="1" applyFont="1" applyFill="1" applyBorder="1" applyAlignment="1">
      <alignment horizontal="center"/>
    </xf>
    <xf numFmtId="206" fontId="77" fillId="46" borderId="42" xfId="1" applyNumberFormat="1" applyFont="1" applyFill="1" applyBorder="1" applyAlignment="1">
      <alignment horizontal="center"/>
    </xf>
    <xf numFmtId="0" fontId="95" fillId="38" borderId="34" xfId="1" applyFont="1" applyFill="1" applyBorder="1"/>
    <xf numFmtId="0" fontId="95" fillId="38" borderId="34" xfId="1" applyFont="1" applyFill="1" applyBorder="1" applyAlignment="1">
      <alignment horizontal="center"/>
    </xf>
    <xf numFmtId="206" fontId="95" fillId="38" borderId="34" xfId="1" applyNumberFormat="1" applyFont="1" applyFill="1" applyBorder="1" applyAlignment="1">
      <alignment horizontal="center"/>
    </xf>
    <xf numFmtId="172" fontId="79" fillId="0" borderId="0" xfId="65" applyNumberFormat="1" applyFont="1" applyFill="1" applyBorder="1" applyAlignment="1" applyProtection="1">
      <alignment horizontal="right" vertical="center"/>
    </xf>
    <xf numFmtId="172" fontId="79" fillId="0" borderId="0" xfId="65" applyNumberFormat="1" applyFont="1" applyFill="1" applyBorder="1" applyAlignment="1" applyProtection="1">
      <alignment horizontal="center" vertical="center"/>
    </xf>
    <xf numFmtId="171" fontId="77" fillId="0" borderId="0" xfId="97" applyNumberFormat="1" applyFont="1" applyFill="1" applyBorder="1" applyAlignment="1" applyProtection="1">
      <alignment horizontal="center" vertical="center"/>
    </xf>
    <xf numFmtId="0" fontId="77" fillId="0" borderId="37" xfId="1" applyFont="1" applyBorder="1" applyAlignment="1">
      <alignment horizontal="center"/>
    </xf>
    <xf numFmtId="172" fontId="77" fillId="0" borderId="37" xfId="1" applyNumberFormat="1" applyFont="1" applyBorder="1" applyAlignment="1">
      <alignment horizontal="center"/>
    </xf>
    <xf numFmtId="9" fontId="0" fillId="0" borderId="0" xfId="0" applyNumberFormat="1"/>
    <xf numFmtId="3" fontId="79" fillId="0" borderId="14" xfId="1" applyNumberFormat="1" applyFont="1" applyBorder="1" applyAlignment="1">
      <alignment horizontal="center" vertical="center"/>
    </xf>
    <xf numFmtId="17" fontId="75" fillId="0" borderId="0" xfId="1" applyNumberFormat="1" applyFont="1" applyAlignment="1">
      <alignment horizontal="center"/>
    </xf>
    <xf numFmtId="174" fontId="77" fillId="0" borderId="13" xfId="1" applyNumberFormat="1" applyFont="1" applyBorder="1" applyAlignment="1">
      <alignment horizontal="center"/>
    </xf>
    <xf numFmtId="174" fontId="81" fillId="0" borderId="13" xfId="1" applyNumberFormat="1" applyFont="1" applyBorder="1" applyAlignment="1">
      <alignment horizontal="center"/>
    </xf>
    <xf numFmtId="174" fontId="75" fillId="0" borderId="12" xfId="1" applyNumberFormat="1" applyFont="1" applyBorder="1"/>
    <xf numFmtId="174" fontId="75" fillId="0" borderId="12" xfId="1" applyNumberFormat="1" applyFont="1" applyBorder="1" applyAlignment="1">
      <alignment horizontal="center"/>
    </xf>
    <xf numFmtId="174" fontId="77" fillId="0" borderId="12" xfId="1" applyNumberFormat="1" applyFont="1" applyBorder="1" applyAlignment="1">
      <alignment horizontal="center"/>
    </xf>
    <xf numFmtId="174" fontId="80" fillId="0" borderId="12" xfId="1" applyNumberFormat="1" applyFont="1" applyBorder="1" applyAlignment="1">
      <alignment horizontal="center"/>
    </xf>
    <xf numFmtId="0" fontId="77" fillId="19" borderId="13" xfId="1" applyFont="1" applyFill="1" applyBorder="1"/>
    <xf numFmtId="0" fontId="75" fillId="19" borderId="13" xfId="1" applyFont="1" applyFill="1" applyBorder="1"/>
    <xf numFmtId="0" fontId="75" fillId="19" borderId="13" xfId="1" applyFont="1" applyFill="1" applyBorder="1" applyAlignment="1">
      <alignment horizontal="center"/>
    </xf>
    <xf numFmtId="3" fontId="78" fillId="19" borderId="13" xfId="1" applyNumberFormat="1" applyFont="1" applyFill="1" applyBorder="1" applyAlignment="1">
      <alignment horizontal="center"/>
    </xf>
    <xf numFmtId="3" fontId="75" fillId="19" borderId="13" xfId="1" applyNumberFormat="1" applyFont="1" applyFill="1" applyBorder="1" applyAlignment="1">
      <alignment horizontal="center"/>
    </xf>
    <xf numFmtId="171" fontId="75" fillId="19" borderId="13" xfId="97" applyNumberFormat="1" applyFont="1" applyFill="1" applyBorder="1" applyAlignment="1">
      <alignment horizontal="center"/>
    </xf>
    <xf numFmtId="3" fontId="78" fillId="0" borderId="0" xfId="1" applyNumberFormat="1" applyFont="1" applyAlignment="1">
      <alignment horizontal="center"/>
    </xf>
    <xf numFmtId="3" fontId="78" fillId="16" borderId="0" xfId="1" applyNumberFormat="1" applyFont="1" applyFill="1" applyAlignment="1">
      <alignment horizontal="center"/>
    </xf>
    <xf numFmtId="171" fontId="75" fillId="16" borderId="0" xfId="97" applyNumberFormat="1" applyFont="1" applyFill="1" applyAlignment="1">
      <alignment horizontal="center"/>
    </xf>
    <xf numFmtId="3" fontId="78" fillId="31" borderId="0" xfId="1" applyNumberFormat="1" applyFont="1" applyFill="1" applyAlignment="1">
      <alignment horizontal="center"/>
    </xf>
    <xf numFmtId="3" fontId="97" fillId="16" borderId="0" xfId="1" applyNumberFormat="1" applyFont="1" applyFill="1" applyAlignment="1">
      <alignment horizontal="center"/>
    </xf>
    <xf numFmtId="171" fontId="77" fillId="16" borderId="0" xfId="97" applyNumberFormat="1" applyFont="1" applyFill="1" applyAlignment="1">
      <alignment horizontal="center"/>
    </xf>
    <xf numFmtId="171" fontId="75" fillId="0" borderId="0" xfId="97" applyNumberFormat="1" applyFont="1" applyFill="1" applyAlignment="1">
      <alignment horizontal="center"/>
    </xf>
    <xf numFmtId="3" fontId="79" fillId="16" borderId="0" xfId="1" applyNumberFormat="1" applyFont="1" applyFill="1" applyAlignment="1">
      <alignment horizontal="center"/>
    </xf>
    <xf numFmtId="0" fontId="78" fillId="16" borderId="0" xfId="1" applyFont="1" applyFill="1" applyAlignment="1">
      <alignment horizontal="center"/>
    </xf>
    <xf numFmtId="171" fontId="78" fillId="16" borderId="0" xfId="97" applyNumberFormat="1" applyFont="1" applyFill="1" applyAlignment="1">
      <alignment horizontal="center"/>
    </xf>
    <xf numFmtId="3" fontId="79" fillId="31" borderId="0" xfId="1" applyNumberFormat="1" applyFont="1" applyFill="1" applyAlignment="1">
      <alignment horizontal="center"/>
    </xf>
    <xf numFmtId="9" fontId="123" fillId="0" borderId="0" xfId="97" applyFont="1" applyFill="1" applyAlignment="1">
      <alignment horizontal="center"/>
    </xf>
    <xf numFmtId="0" fontId="97" fillId="0" borderId="0" xfId="1" applyFont="1" applyAlignment="1">
      <alignment horizontal="center"/>
    </xf>
    <xf numFmtId="9" fontId="124" fillId="0" borderId="0" xfId="97" applyFont="1" applyFill="1" applyAlignment="1">
      <alignment horizontal="center"/>
    </xf>
    <xf numFmtId="3" fontId="109" fillId="0" borderId="0" xfId="1" applyNumberFormat="1" applyFont="1" applyAlignment="1">
      <alignment horizontal="center"/>
    </xf>
    <xf numFmtId="0" fontId="97" fillId="0" borderId="0" xfId="1" applyFont="1"/>
    <xf numFmtId="0" fontId="80" fillId="16" borderId="0" xfId="1" applyFont="1" applyFill="1"/>
    <xf numFmtId="9" fontId="80" fillId="16" borderId="0" xfId="97" applyFont="1" applyFill="1" applyAlignment="1">
      <alignment horizontal="center"/>
    </xf>
    <xf numFmtId="0" fontId="97" fillId="16" borderId="0" xfId="1" applyFont="1" applyFill="1" applyAlignment="1">
      <alignment horizontal="center"/>
    </xf>
    <xf numFmtId="9" fontId="124" fillId="16" borderId="0" xfId="97" applyFont="1" applyFill="1" applyAlignment="1">
      <alignment horizontal="center"/>
    </xf>
    <xf numFmtId="3" fontId="109" fillId="16" borderId="0" xfId="1" applyNumberFormat="1" applyFont="1" applyFill="1" applyAlignment="1">
      <alignment horizontal="center"/>
    </xf>
    <xf numFmtId="0" fontId="97" fillId="16" borderId="0" xfId="1" applyFont="1" applyFill="1"/>
    <xf numFmtId="9" fontId="80" fillId="0" borderId="0" xfId="97" applyFont="1" applyFill="1" applyAlignment="1">
      <alignment horizontal="center"/>
    </xf>
    <xf numFmtId="171" fontId="77" fillId="0" borderId="0" xfId="97" applyNumberFormat="1" applyFont="1" applyAlignment="1">
      <alignment horizontal="center"/>
    </xf>
    <xf numFmtId="9" fontId="81" fillId="0" borderId="0" xfId="97" applyFont="1" applyFill="1" applyAlignment="1">
      <alignment horizontal="center"/>
    </xf>
    <xf numFmtId="0" fontId="77" fillId="19" borderId="13" xfId="1" applyFont="1" applyFill="1" applyBorder="1" applyAlignment="1">
      <alignment horizontal="center"/>
    </xf>
    <xf numFmtId="3" fontId="77" fillId="19" borderId="13" xfId="1" applyNumberFormat="1" applyFont="1" applyFill="1" applyBorder="1" applyAlignment="1">
      <alignment horizontal="center"/>
    </xf>
    <xf numFmtId="171" fontId="77" fillId="19" borderId="13" xfId="97" applyNumberFormat="1" applyFont="1" applyFill="1" applyBorder="1" applyAlignment="1">
      <alignment horizontal="center"/>
    </xf>
    <xf numFmtId="0" fontId="122" fillId="0" borderId="0" xfId="1" applyFont="1" applyAlignment="1">
      <alignment horizontal="center"/>
    </xf>
    <xf numFmtId="3" fontId="79" fillId="0" borderId="0" xfId="1" applyNumberFormat="1" applyFont="1" applyAlignment="1">
      <alignment horizontal="center"/>
    </xf>
    <xf numFmtId="9" fontId="123" fillId="16" borderId="0" xfId="97" applyFont="1" applyFill="1" applyAlignment="1">
      <alignment horizontal="center"/>
    </xf>
    <xf numFmtId="3" fontId="123" fillId="16" borderId="0" xfId="1" applyNumberFormat="1" applyFont="1" applyFill="1" applyAlignment="1">
      <alignment horizontal="center"/>
    </xf>
    <xf numFmtId="3" fontId="123" fillId="0" borderId="0" xfId="1" applyNumberFormat="1" applyFont="1" applyAlignment="1">
      <alignment horizontal="center"/>
    </xf>
    <xf numFmtId="0" fontId="126" fillId="0" borderId="0" xfId="1" applyFont="1"/>
    <xf numFmtId="0" fontId="126" fillId="0" borderId="0" xfId="1" applyFont="1" applyAlignment="1">
      <alignment horizontal="center"/>
    </xf>
    <xf numFmtId="3" fontId="126" fillId="0" borderId="0" xfId="1" applyNumberFormat="1" applyFont="1" applyAlignment="1">
      <alignment horizontal="center"/>
    </xf>
    <xf numFmtId="0" fontId="96" fillId="0" borderId="0" xfId="1" applyFont="1"/>
    <xf numFmtId="0" fontId="77" fillId="26" borderId="13" xfId="1" applyFont="1" applyFill="1" applyBorder="1"/>
    <xf numFmtId="0" fontId="75" fillId="26" borderId="13" xfId="1" applyFont="1" applyFill="1" applyBorder="1"/>
    <xf numFmtId="0" fontId="75" fillId="26" borderId="13" xfId="1" applyFont="1" applyFill="1" applyBorder="1" applyAlignment="1">
      <alignment horizontal="center"/>
    </xf>
    <xf numFmtId="3" fontId="75" fillId="26" borderId="13" xfId="1" applyNumberFormat="1" applyFont="1" applyFill="1" applyBorder="1" applyAlignment="1">
      <alignment horizontal="center"/>
    </xf>
    <xf numFmtId="0" fontId="75" fillId="0" borderId="0" xfId="1" applyFont="1" applyAlignment="1">
      <alignment horizontal="left"/>
    </xf>
    <xf numFmtId="171" fontId="80" fillId="16" borderId="0" xfId="97" applyNumberFormat="1" applyFont="1" applyFill="1" applyAlignment="1">
      <alignment horizontal="center"/>
    </xf>
    <xf numFmtId="171" fontId="124" fillId="16" borderId="0" xfId="97" applyNumberFormat="1" applyFont="1" applyFill="1" applyAlignment="1">
      <alignment horizontal="center"/>
    </xf>
    <xf numFmtId="171" fontId="123" fillId="16" borderId="0" xfId="97" applyNumberFormat="1" applyFont="1" applyFill="1" applyAlignment="1">
      <alignment horizontal="center"/>
    </xf>
    <xf numFmtId="171" fontId="80" fillId="0" borderId="0" xfId="97" applyNumberFormat="1" applyFont="1" applyAlignment="1">
      <alignment horizontal="center"/>
    </xf>
    <xf numFmtId="171" fontId="81" fillId="0" borderId="0" xfId="97" applyNumberFormat="1" applyFont="1" applyAlignment="1">
      <alignment horizontal="center"/>
    </xf>
    <xf numFmtId="3" fontId="74" fillId="16" borderId="0" xfId="1" applyNumberFormat="1" applyFont="1" applyFill="1" applyAlignment="1">
      <alignment horizontal="center"/>
    </xf>
    <xf numFmtId="0" fontId="79" fillId="0" borderId="0" xfId="1" applyFont="1" applyAlignment="1">
      <alignment horizontal="center"/>
    </xf>
    <xf numFmtId="0" fontId="127" fillId="0" borderId="0" xfId="1" applyFont="1" applyAlignment="1">
      <alignment horizontal="center"/>
    </xf>
    <xf numFmtId="9" fontId="127" fillId="0" borderId="0" xfId="97" applyFont="1" applyFill="1" applyAlignment="1">
      <alignment horizontal="center"/>
    </xf>
    <xf numFmtId="0" fontId="74" fillId="0" borderId="0" xfId="1" applyFont="1" applyAlignment="1">
      <alignment horizontal="center"/>
    </xf>
    <xf numFmtId="3" fontId="78" fillId="33" borderId="0" xfId="1" applyNumberFormat="1" applyFont="1" applyFill="1" applyAlignment="1">
      <alignment horizontal="center"/>
    </xf>
    <xf numFmtId="3" fontId="112" fillId="0" borderId="0" xfId="1" applyNumberFormat="1" applyFont="1" applyAlignment="1">
      <alignment horizontal="center"/>
    </xf>
    <xf numFmtId="0" fontId="128" fillId="16" borderId="0" xfId="1" applyFont="1" applyFill="1" applyAlignment="1">
      <alignment horizontal="center"/>
    </xf>
    <xf numFmtId="9" fontId="129" fillId="16" borderId="0" xfId="97" applyFont="1" applyFill="1" applyAlignment="1">
      <alignment horizontal="center"/>
    </xf>
    <xf numFmtId="9" fontId="81" fillId="0" borderId="0" xfId="97" applyFont="1" applyAlignment="1">
      <alignment horizontal="center"/>
    </xf>
    <xf numFmtId="3" fontId="128" fillId="16" borderId="0" xfId="1" applyNumberFormat="1" applyFont="1" applyFill="1" applyAlignment="1">
      <alignment horizontal="center"/>
    </xf>
    <xf numFmtId="171" fontId="80" fillId="0" borderId="0" xfId="97" applyNumberFormat="1" applyFont="1" applyFill="1" applyAlignment="1">
      <alignment horizontal="center"/>
    </xf>
    <xf numFmtId="171" fontId="75" fillId="0" borderId="0" xfId="1" applyNumberFormat="1" applyFont="1" applyAlignment="1">
      <alignment horizontal="center"/>
    </xf>
    <xf numFmtId="171" fontId="75" fillId="16" borderId="0" xfId="1" applyNumberFormat="1" applyFont="1" applyFill="1" applyAlignment="1">
      <alignment horizontal="center"/>
    </xf>
    <xf numFmtId="171" fontId="128" fillId="16" borderId="0" xfId="1" applyNumberFormat="1" applyFont="1" applyFill="1" applyAlignment="1">
      <alignment horizontal="center"/>
    </xf>
    <xf numFmtId="171" fontId="130" fillId="16" borderId="0" xfId="97" applyNumberFormat="1" applyFont="1" applyFill="1" applyAlignment="1">
      <alignment horizontal="center"/>
    </xf>
    <xf numFmtId="0" fontId="131" fillId="16" borderId="0" xfId="1" applyFont="1" applyFill="1" applyAlignment="1">
      <alignment horizontal="center"/>
    </xf>
    <xf numFmtId="9" fontId="75" fillId="16" borderId="0" xfId="97" applyFont="1" applyFill="1" applyAlignment="1">
      <alignment horizontal="center"/>
    </xf>
    <xf numFmtId="9" fontId="128" fillId="16" borderId="0" xfId="97" applyFont="1" applyFill="1" applyAlignment="1">
      <alignment horizontal="center"/>
    </xf>
    <xf numFmtId="0" fontId="77" fillId="17" borderId="13" xfId="1" applyFont="1" applyFill="1" applyBorder="1"/>
    <xf numFmtId="0" fontId="75" fillId="17" borderId="13" xfId="1" applyFont="1" applyFill="1" applyBorder="1"/>
    <xf numFmtId="0" fontId="75" fillId="17" borderId="13" xfId="1" applyFont="1" applyFill="1" applyBorder="1" applyAlignment="1">
      <alignment horizontal="center"/>
    </xf>
    <xf numFmtId="3" fontId="77" fillId="17" borderId="13" xfId="1" applyNumberFormat="1" applyFont="1" applyFill="1" applyBorder="1" applyAlignment="1">
      <alignment horizontal="center"/>
    </xf>
    <xf numFmtId="9" fontId="78" fillId="16" borderId="0" xfId="97" applyFont="1" applyFill="1" applyAlignment="1">
      <alignment horizontal="center"/>
    </xf>
    <xf numFmtId="171" fontId="75" fillId="0" borderId="0" xfId="97" applyNumberFormat="1" applyFont="1"/>
    <xf numFmtId="3" fontId="78" fillId="22" borderId="0" xfId="1" applyNumberFormat="1" applyFont="1" applyFill="1"/>
    <xf numFmtId="0" fontId="75" fillId="19" borderId="0" xfId="1" applyFont="1" applyFill="1"/>
    <xf numFmtId="189" fontId="75" fillId="0" borderId="0" xfId="1" applyNumberFormat="1" applyFont="1" applyAlignment="1">
      <alignment horizontal="center"/>
    </xf>
    <xf numFmtId="3" fontId="79" fillId="0" borderId="0" xfId="1" applyNumberFormat="1" applyFont="1"/>
    <xf numFmtId="3" fontId="75" fillId="0" borderId="0" xfId="97" applyNumberFormat="1" applyFont="1" applyFill="1" applyAlignment="1">
      <alignment horizontal="center"/>
    </xf>
    <xf numFmtId="3" fontId="78" fillId="0" borderId="0" xfId="97" applyNumberFormat="1" applyFont="1" applyAlignment="1">
      <alignment horizontal="center"/>
    </xf>
    <xf numFmtId="3" fontId="75" fillId="0" borderId="0" xfId="97" applyNumberFormat="1" applyFont="1" applyAlignment="1">
      <alignment horizontal="center"/>
    </xf>
    <xf numFmtId="3" fontId="78" fillId="0" borderId="0" xfId="97" applyNumberFormat="1" applyFont="1" applyFill="1" applyAlignment="1">
      <alignment horizontal="center"/>
    </xf>
    <xf numFmtId="3" fontId="74" fillId="0" borderId="0" xfId="97" applyNumberFormat="1" applyFont="1" applyFill="1" applyAlignment="1">
      <alignment horizontal="center"/>
    </xf>
    <xf numFmtId="3" fontId="78" fillId="34" borderId="0" xfId="97" applyNumberFormat="1" applyFont="1" applyFill="1" applyAlignment="1">
      <alignment horizontal="center"/>
    </xf>
    <xf numFmtId="0" fontId="75" fillId="34" borderId="0" xfId="1" applyFont="1" applyFill="1" applyAlignment="1">
      <alignment horizontal="center"/>
    </xf>
    <xf numFmtId="3" fontId="78" fillId="16" borderId="0" xfId="97" applyNumberFormat="1" applyFont="1" applyFill="1" applyAlignment="1">
      <alignment horizontal="center"/>
    </xf>
    <xf numFmtId="172" fontId="78" fillId="0" borderId="0" xfId="1" applyNumberFormat="1" applyFont="1" applyAlignment="1">
      <alignment horizontal="center"/>
    </xf>
    <xf numFmtId="172" fontId="75" fillId="0" borderId="0" xfId="1" applyNumberFormat="1" applyFont="1" applyAlignment="1">
      <alignment horizontal="center"/>
    </xf>
    <xf numFmtId="172" fontId="80" fillId="0" borderId="0" xfId="1" applyNumberFormat="1" applyFont="1" applyAlignment="1">
      <alignment horizontal="center"/>
    </xf>
    <xf numFmtId="212" fontId="75" fillId="0" borderId="0" xfId="1" applyNumberFormat="1" applyFont="1" applyAlignment="1">
      <alignment horizontal="center"/>
    </xf>
    <xf numFmtId="212" fontId="80" fillId="0" borderId="0" xfId="1" applyNumberFormat="1" applyFont="1" applyAlignment="1">
      <alignment horizontal="center"/>
    </xf>
    <xf numFmtId="172" fontId="77" fillId="0" borderId="0" xfId="1" applyNumberFormat="1" applyFont="1" applyAlignment="1">
      <alignment horizontal="center"/>
    </xf>
    <xf numFmtId="172" fontId="79" fillId="0" borderId="0" xfId="1" applyNumberFormat="1" applyFont="1" applyAlignment="1">
      <alignment horizontal="center"/>
    </xf>
    <xf numFmtId="212" fontId="79" fillId="0" borderId="0" xfId="1" applyNumberFormat="1" applyFont="1" applyAlignment="1">
      <alignment horizontal="center"/>
    </xf>
    <xf numFmtId="212" fontId="77" fillId="0" borderId="0" xfId="1" applyNumberFormat="1" applyFont="1" applyAlignment="1">
      <alignment horizontal="center"/>
    </xf>
    <xf numFmtId="172" fontId="79" fillId="16" borderId="0" xfId="1" applyNumberFormat="1" applyFont="1" applyFill="1" applyAlignment="1">
      <alignment horizontal="center"/>
    </xf>
    <xf numFmtId="3" fontId="80" fillId="16" borderId="0" xfId="1" applyNumberFormat="1" applyFont="1" applyFill="1" applyAlignment="1">
      <alignment horizontal="center"/>
    </xf>
    <xf numFmtId="172" fontId="77" fillId="16" borderId="0" xfId="1" applyNumberFormat="1" applyFont="1" applyFill="1" applyAlignment="1">
      <alignment horizontal="center"/>
    </xf>
    <xf numFmtId="172" fontId="79" fillId="31" borderId="0" xfId="1" applyNumberFormat="1" applyFont="1" applyFill="1" applyAlignment="1">
      <alignment horizontal="center"/>
    </xf>
    <xf numFmtId="172" fontId="94" fillId="31" borderId="0" xfId="1" applyNumberFormat="1" applyFont="1" applyFill="1" applyAlignment="1">
      <alignment horizontal="center"/>
    </xf>
    <xf numFmtId="183" fontId="78" fillId="16" borderId="23" xfId="88" applyNumberFormat="1" applyFont="1" applyFill="1" applyBorder="1" applyAlignment="1">
      <alignment horizontal="center"/>
    </xf>
    <xf numFmtId="2" fontId="75" fillId="0" borderId="0" xfId="1" applyNumberFormat="1" applyFont="1" applyAlignment="1">
      <alignment horizontal="center"/>
    </xf>
    <xf numFmtId="2" fontId="78" fillId="0" borderId="0" xfId="1" applyNumberFormat="1" applyFont="1" applyAlignment="1">
      <alignment horizontal="center"/>
    </xf>
    <xf numFmtId="2" fontId="97" fillId="0" borderId="0" xfId="1" applyNumberFormat="1" applyFont="1" applyAlignment="1">
      <alignment horizontal="center"/>
    </xf>
    <xf numFmtId="172" fontId="78" fillId="16" borderId="0" xfId="1" applyNumberFormat="1" applyFont="1" applyFill="1" applyAlignment="1">
      <alignment horizontal="center"/>
    </xf>
    <xf numFmtId="3" fontId="78" fillId="26" borderId="0" xfId="1" applyNumberFormat="1" applyFont="1" applyFill="1" applyAlignment="1">
      <alignment horizontal="center"/>
    </xf>
    <xf numFmtId="0" fontId="78" fillId="0" borderId="0" xfId="1" applyFont="1" applyAlignment="1">
      <alignment horizontal="center"/>
    </xf>
    <xf numFmtId="2" fontId="90" fillId="0" borderId="0" xfId="1" applyNumberFormat="1" applyFont="1" applyAlignment="1">
      <alignment horizontal="center"/>
    </xf>
    <xf numFmtId="2" fontId="111" fillId="0" borderId="0" xfId="1" applyNumberFormat="1" applyFont="1" applyAlignment="1">
      <alignment horizontal="center"/>
    </xf>
    <xf numFmtId="171" fontId="78" fillId="0" borderId="0" xfId="97" applyNumberFormat="1" applyFont="1" applyFill="1" applyAlignment="1">
      <alignment horizontal="center"/>
    </xf>
    <xf numFmtId="171" fontId="79" fillId="0" borderId="0" xfId="97" applyNumberFormat="1" applyFont="1" applyFill="1" applyAlignment="1">
      <alignment horizontal="center"/>
    </xf>
    <xf numFmtId="172" fontId="75" fillId="0" borderId="0" xfId="97" applyNumberFormat="1" applyFont="1" applyFill="1" applyAlignment="1">
      <alignment horizontal="center"/>
    </xf>
    <xf numFmtId="171" fontId="128" fillId="16" borderId="0" xfId="97" applyNumberFormat="1" applyFont="1" applyFill="1" applyAlignment="1">
      <alignment horizontal="center"/>
    </xf>
    <xf numFmtId="171" fontId="78" fillId="0" borderId="0" xfId="97" applyNumberFormat="1" applyFont="1" applyAlignment="1">
      <alignment horizontal="center"/>
    </xf>
    <xf numFmtId="171" fontId="78" fillId="19" borderId="13" xfId="97" applyNumberFormat="1" applyFont="1" applyFill="1" applyBorder="1" applyAlignment="1">
      <alignment horizontal="center"/>
    </xf>
    <xf numFmtId="3" fontId="75" fillId="16" borderId="0" xfId="97" applyNumberFormat="1" applyFont="1" applyFill="1" applyAlignment="1">
      <alignment horizontal="center"/>
    </xf>
    <xf numFmtId="215" fontId="124" fillId="0" borderId="0" xfId="97" applyNumberFormat="1" applyFont="1" applyFill="1" applyAlignment="1">
      <alignment horizontal="center"/>
    </xf>
    <xf numFmtId="172" fontId="78" fillId="0" borderId="0" xfId="97" applyNumberFormat="1" applyFont="1" applyFill="1" applyAlignment="1">
      <alignment horizontal="center"/>
    </xf>
    <xf numFmtId="187" fontId="75" fillId="0" borderId="0" xfId="1" applyNumberFormat="1" applyFont="1" applyAlignment="1">
      <alignment horizontal="center"/>
    </xf>
    <xf numFmtId="172" fontId="74" fillId="0" borderId="0" xfId="97" applyNumberFormat="1" applyFont="1" applyFill="1" applyAlignment="1">
      <alignment horizontal="center"/>
    </xf>
    <xf numFmtId="171" fontId="77" fillId="0" borderId="0" xfId="97" applyNumberFormat="1" applyFont="1" applyFill="1" applyAlignment="1">
      <alignment horizontal="center"/>
    </xf>
    <xf numFmtId="172" fontId="77" fillId="0" borderId="0" xfId="97" applyNumberFormat="1" applyFont="1" applyFill="1" applyAlignment="1">
      <alignment horizontal="center"/>
    </xf>
    <xf numFmtId="187" fontId="77" fillId="0" borderId="0" xfId="1" applyNumberFormat="1" applyFont="1" applyAlignment="1">
      <alignment horizontal="center"/>
    </xf>
    <xf numFmtId="212" fontId="111" fillId="0" borderId="0" xfId="97" applyNumberFormat="1" applyFont="1" applyFill="1" applyAlignment="1">
      <alignment horizontal="center"/>
    </xf>
    <xf numFmtId="212" fontId="85" fillId="0" borderId="0" xfId="97" applyNumberFormat="1" applyFont="1" applyFill="1" applyAlignment="1">
      <alignment horizontal="center"/>
    </xf>
    <xf numFmtId="212" fontId="77" fillId="0" borderId="0" xfId="97" applyNumberFormat="1" applyFont="1" applyFill="1" applyAlignment="1">
      <alignment horizontal="center"/>
    </xf>
    <xf numFmtId="172" fontId="79" fillId="0" borderId="0" xfId="97" applyNumberFormat="1" applyFont="1" applyFill="1" applyAlignment="1">
      <alignment horizontal="center"/>
    </xf>
    <xf numFmtId="4" fontId="77" fillId="0" borderId="0" xfId="97" applyNumberFormat="1" applyFont="1" applyFill="1" applyAlignment="1">
      <alignment horizontal="center"/>
    </xf>
    <xf numFmtId="170" fontId="75" fillId="0" borderId="0" xfId="97" applyNumberFormat="1" applyFont="1" applyFill="1" applyAlignment="1">
      <alignment horizontal="center"/>
    </xf>
    <xf numFmtId="205" fontId="75" fillId="0" borderId="0" xfId="97" applyNumberFormat="1" applyFont="1" applyFill="1" applyAlignment="1">
      <alignment horizontal="center"/>
    </xf>
    <xf numFmtId="187" fontId="77" fillId="0" borderId="0" xfId="97" applyNumberFormat="1" applyFont="1" applyFill="1" applyAlignment="1">
      <alignment horizontal="center"/>
    </xf>
    <xf numFmtId="4" fontId="75" fillId="0" borderId="0" xfId="97" applyNumberFormat="1" applyFont="1" applyFill="1" applyAlignment="1">
      <alignment horizontal="center"/>
    </xf>
    <xf numFmtId="4" fontId="75" fillId="25" borderId="0" xfId="97" applyNumberFormat="1" applyFont="1" applyFill="1" applyAlignment="1">
      <alignment horizontal="center"/>
    </xf>
    <xf numFmtId="4" fontId="78" fillId="0" borderId="0" xfId="97" applyNumberFormat="1" applyFont="1" applyFill="1" applyAlignment="1">
      <alignment horizontal="center"/>
    </xf>
    <xf numFmtId="172" fontId="78" fillId="25" borderId="0" xfId="97" applyNumberFormat="1" applyFont="1" applyFill="1" applyAlignment="1">
      <alignment horizontal="center"/>
    </xf>
    <xf numFmtId="0" fontId="78" fillId="19" borderId="13" xfId="1" applyFont="1" applyFill="1" applyBorder="1"/>
    <xf numFmtId="0" fontId="78" fillId="19" borderId="13" xfId="1" applyFont="1" applyFill="1" applyBorder="1" applyAlignment="1">
      <alignment horizontal="center"/>
    </xf>
    <xf numFmtId="3" fontId="78" fillId="22" borderId="0" xfId="97" applyNumberFormat="1" applyFont="1" applyFill="1" applyAlignment="1">
      <alignment horizontal="center"/>
    </xf>
    <xf numFmtId="3" fontId="78" fillId="22" borderId="0" xfId="1" applyNumberFormat="1" applyFont="1" applyFill="1" applyAlignment="1">
      <alignment horizontal="center"/>
    </xf>
    <xf numFmtId="10" fontId="75" fillId="0" borderId="0" xfId="97" applyNumberFormat="1" applyFont="1" applyAlignment="1">
      <alignment horizontal="center"/>
    </xf>
    <xf numFmtId="10" fontId="75" fillId="0" borderId="0" xfId="97" applyNumberFormat="1" applyFont="1" applyFill="1" applyAlignment="1">
      <alignment horizontal="center"/>
    </xf>
    <xf numFmtId="10" fontId="78" fillId="0" borderId="0" xfId="97" applyNumberFormat="1" applyFont="1" applyAlignment="1">
      <alignment horizontal="center"/>
    </xf>
    <xf numFmtId="10" fontId="78" fillId="0" borderId="0" xfId="97" applyNumberFormat="1" applyFont="1" applyFill="1" applyAlignment="1">
      <alignment horizontal="center"/>
    </xf>
    <xf numFmtId="171" fontId="123" fillId="0" borderId="0" xfId="97" applyNumberFormat="1" applyFont="1" applyAlignment="1">
      <alignment horizontal="center"/>
    </xf>
    <xf numFmtId="0" fontId="123" fillId="0" borderId="0" xfId="1" applyFont="1" applyAlignment="1">
      <alignment horizontal="center"/>
    </xf>
    <xf numFmtId="3" fontId="124" fillId="0" borderId="0" xfId="1" applyNumberFormat="1" applyFont="1" applyAlignment="1">
      <alignment horizontal="center"/>
    </xf>
    <xf numFmtId="172" fontId="124" fillId="0" borderId="0" xfId="1" applyNumberFormat="1" applyFont="1" applyAlignment="1">
      <alignment horizontal="center"/>
    </xf>
    <xf numFmtId="0" fontId="77" fillId="0" borderId="0" xfId="0" applyFont="1"/>
    <xf numFmtId="3" fontId="78" fillId="20" borderId="0" xfId="97" applyNumberFormat="1" applyFont="1" applyFill="1" applyAlignment="1">
      <alignment horizontal="center"/>
    </xf>
    <xf numFmtId="3" fontId="77" fillId="0" borderId="0" xfId="97" applyNumberFormat="1" applyFont="1" applyAlignment="1">
      <alignment horizontal="center"/>
    </xf>
    <xf numFmtId="3" fontId="77" fillId="0" borderId="0" xfId="97" applyNumberFormat="1" applyFont="1" applyFill="1" applyAlignment="1">
      <alignment horizontal="center"/>
    </xf>
    <xf numFmtId="174" fontId="75" fillId="0" borderId="0" xfId="97" applyNumberFormat="1" applyFont="1" applyAlignment="1">
      <alignment horizontal="center"/>
    </xf>
    <xf numFmtId="174" fontId="75" fillId="0" borderId="0" xfId="97" applyNumberFormat="1" applyFont="1" applyFill="1" applyAlignment="1">
      <alignment horizontal="center"/>
    </xf>
    <xf numFmtId="174" fontId="78" fillId="0" borderId="0" xfId="97" applyNumberFormat="1" applyFont="1" applyAlignment="1">
      <alignment horizontal="center"/>
    </xf>
    <xf numFmtId="174" fontId="78" fillId="0" borderId="0" xfId="97" applyNumberFormat="1" applyFont="1" applyFill="1" applyAlignment="1">
      <alignment horizontal="center"/>
    </xf>
    <xf numFmtId="177" fontId="75" fillId="16" borderId="0" xfId="1" applyNumberFormat="1" applyFont="1" applyFill="1" applyAlignment="1">
      <alignment horizontal="center"/>
    </xf>
    <xf numFmtId="177" fontId="97" fillId="16" borderId="0" xfId="1" applyNumberFormat="1" applyFont="1" applyFill="1" applyAlignment="1">
      <alignment horizontal="center"/>
    </xf>
    <xf numFmtId="3" fontId="75" fillId="22" borderId="0" xfId="1" applyNumberFormat="1" applyFont="1" applyFill="1" applyAlignment="1">
      <alignment horizontal="center"/>
    </xf>
    <xf numFmtId="0" fontId="75" fillId="22" borderId="0" xfId="1" applyFont="1" applyFill="1" applyAlignment="1">
      <alignment horizontal="center"/>
    </xf>
    <xf numFmtId="188" fontId="78" fillId="0" borderId="0" xfId="97" applyNumberFormat="1" applyFont="1" applyAlignment="1">
      <alignment horizontal="center"/>
    </xf>
    <xf numFmtId="188" fontId="75" fillId="0" borderId="0" xfId="97" applyNumberFormat="1" applyFont="1" applyAlignment="1">
      <alignment horizontal="center"/>
    </xf>
    <xf numFmtId="188" fontId="75" fillId="0" borderId="0" xfId="97" applyNumberFormat="1" applyFont="1" applyFill="1" applyAlignment="1">
      <alignment horizontal="center"/>
    </xf>
    <xf numFmtId="0" fontId="124" fillId="0" borderId="0" xfId="1" applyFont="1"/>
    <xf numFmtId="0" fontId="124" fillId="0" borderId="0" xfId="1" applyFont="1" applyAlignment="1">
      <alignment horizontal="center"/>
    </xf>
    <xf numFmtId="171" fontId="124" fillId="0" borderId="0" xfId="97" applyNumberFormat="1" applyFont="1" applyAlignment="1">
      <alignment horizontal="center"/>
    </xf>
    <xf numFmtId="3" fontId="75" fillId="36" borderId="0" xfId="97" applyNumberFormat="1" applyFont="1" applyFill="1" applyAlignment="1">
      <alignment horizontal="center"/>
    </xf>
    <xf numFmtId="3" fontId="75" fillId="36" borderId="0" xfId="1" applyNumberFormat="1" applyFont="1" applyFill="1" applyAlignment="1">
      <alignment horizontal="center"/>
    </xf>
    <xf numFmtId="3" fontId="81" fillId="0" borderId="0" xfId="1" applyNumberFormat="1" applyFont="1" applyAlignment="1">
      <alignment horizontal="center"/>
    </xf>
    <xf numFmtId="0" fontId="77" fillId="18" borderId="13" xfId="1" applyFont="1" applyFill="1" applyBorder="1"/>
    <xf numFmtId="0" fontId="75" fillId="18" borderId="13" xfId="1" applyFont="1" applyFill="1" applyBorder="1"/>
    <xf numFmtId="0" fontId="75" fillId="18" borderId="13" xfId="1" applyFont="1" applyFill="1" applyBorder="1" applyAlignment="1">
      <alignment horizontal="center"/>
    </xf>
    <xf numFmtId="171" fontId="80" fillId="16" borderId="0" xfId="1" applyNumberFormat="1" applyFont="1" applyFill="1" applyAlignment="1">
      <alignment horizontal="center"/>
    </xf>
    <xf numFmtId="173" fontId="78" fillId="0" borderId="0" xfId="1" applyNumberFormat="1" applyFont="1" applyAlignment="1">
      <alignment horizontal="center"/>
    </xf>
    <xf numFmtId="172" fontId="77" fillId="0" borderId="0" xfId="1" applyNumberFormat="1" applyFont="1"/>
    <xf numFmtId="172" fontId="85" fillId="0" borderId="0" xfId="1" applyNumberFormat="1" applyFont="1" applyAlignment="1">
      <alignment horizontal="center"/>
    </xf>
    <xf numFmtId="3" fontId="75" fillId="17" borderId="13" xfId="1" applyNumberFormat="1" applyFont="1" applyFill="1" applyBorder="1" applyAlignment="1">
      <alignment horizontal="center"/>
    </xf>
    <xf numFmtId="3" fontId="122" fillId="0" borderId="0" xfId="1" applyNumberFormat="1" applyFont="1" applyAlignment="1">
      <alignment horizontal="center"/>
    </xf>
    <xf numFmtId="4" fontId="77" fillId="0" borderId="0" xfId="1" applyNumberFormat="1" applyFont="1" applyAlignment="1">
      <alignment horizontal="center"/>
    </xf>
    <xf numFmtId="3" fontId="75" fillId="25" borderId="0" xfId="1" applyNumberFormat="1" applyFont="1" applyFill="1" applyAlignment="1">
      <alignment horizontal="center"/>
    </xf>
    <xf numFmtId="3" fontId="78" fillId="27" borderId="0" xfId="1" applyNumberFormat="1" applyFont="1" applyFill="1" applyAlignment="1">
      <alignment horizontal="center"/>
    </xf>
    <xf numFmtId="196" fontId="75" fillId="0" borderId="0" xfId="1" applyNumberFormat="1" applyFont="1" applyAlignment="1">
      <alignment horizontal="center"/>
    </xf>
    <xf numFmtId="171" fontId="75" fillId="17" borderId="13" xfId="1" applyNumberFormat="1" applyFont="1" applyFill="1" applyBorder="1" applyAlignment="1">
      <alignment horizontal="center"/>
    </xf>
    <xf numFmtId="171" fontId="79" fillId="0" borderId="0" xfId="97" applyNumberFormat="1" applyFont="1" applyAlignment="1">
      <alignment horizontal="center"/>
    </xf>
    <xf numFmtId="10" fontId="77" fillId="0" borderId="0" xfId="97" applyNumberFormat="1" applyFont="1" applyAlignment="1">
      <alignment horizontal="center"/>
    </xf>
    <xf numFmtId="10" fontId="77" fillId="0" borderId="0" xfId="97" applyNumberFormat="1" applyFont="1" applyFill="1" applyAlignment="1">
      <alignment horizontal="center"/>
    </xf>
    <xf numFmtId="0" fontId="77" fillId="16" borderId="13" xfId="1" applyFont="1" applyFill="1" applyBorder="1"/>
    <xf numFmtId="3" fontId="75" fillId="34" borderId="0" xfId="1" applyNumberFormat="1" applyFont="1" applyFill="1" applyAlignment="1">
      <alignment horizontal="center"/>
    </xf>
    <xf numFmtId="171" fontId="81" fillId="0" borderId="0" xfId="1" applyNumberFormat="1" applyFont="1" applyAlignment="1">
      <alignment horizontal="center"/>
    </xf>
    <xf numFmtId="10" fontId="75" fillId="0" borderId="0" xfId="1" applyNumberFormat="1" applyFont="1" applyAlignment="1">
      <alignment horizontal="center"/>
    </xf>
    <xf numFmtId="37" fontId="75" fillId="0" borderId="0" xfId="1" applyNumberFormat="1" applyFont="1" applyAlignment="1">
      <alignment horizontal="center"/>
    </xf>
    <xf numFmtId="0" fontId="77" fillId="33" borderId="0" xfId="1" applyFont="1" applyFill="1"/>
    <xf numFmtId="0" fontId="132" fillId="0" borderId="0" xfId="1" applyFont="1"/>
    <xf numFmtId="174" fontId="75" fillId="0" borderId="0" xfId="1" applyNumberFormat="1" applyFont="1" applyAlignment="1">
      <alignment horizontal="center"/>
    </xf>
    <xf numFmtId="171" fontId="80" fillId="0" borderId="0" xfId="1" applyNumberFormat="1" applyFont="1" applyAlignment="1">
      <alignment horizontal="center"/>
    </xf>
    <xf numFmtId="1" fontId="75" fillId="0" borderId="0" xfId="1" applyNumberFormat="1" applyFont="1" applyAlignment="1">
      <alignment horizontal="center"/>
    </xf>
    <xf numFmtId="3" fontId="100" fillId="0" borderId="0" xfId="1" applyNumberFormat="1" applyFont="1" applyAlignment="1">
      <alignment horizontal="center"/>
    </xf>
    <xf numFmtId="3" fontId="85" fillId="0" borderId="0" xfId="1" applyNumberFormat="1" applyFont="1" applyAlignment="1">
      <alignment horizontal="center"/>
    </xf>
    <xf numFmtId="9" fontId="85" fillId="0" borderId="0" xfId="1" applyNumberFormat="1" applyFont="1" applyAlignment="1">
      <alignment horizontal="center"/>
    </xf>
    <xf numFmtId="0" fontId="75" fillId="40" borderId="0" xfId="1" applyFont="1" applyFill="1" applyAlignment="1">
      <alignment horizontal="center"/>
    </xf>
    <xf numFmtId="0" fontId="75" fillId="0" borderId="45" xfId="1" applyFont="1" applyBorder="1"/>
    <xf numFmtId="0" fontId="86" fillId="21" borderId="0" xfId="1" applyFont="1" applyFill="1"/>
    <xf numFmtId="3" fontId="86" fillId="21" borderId="0" xfId="1" applyNumberFormat="1" applyFont="1" applyFill="1" applyAlignment="1">
      <alignment horizontal="center"/>
    </xf>
    <xf numFmtId="171" fontId="86" fillId="21" borderId="0" xfId="1" applyNumberFormat="1" applyFont="1" applyFill="1" applyAlignment="1">
      <alignment horizontal="center"/>
    </xf>
    <xf numFmtId="0" fontId="86" fillId="0" borderId="0" xfId="1" applyFont="1"/>
    <xf numFmtId="3" fontId="75" fillId="0" borderId="0" xfId="1" applyNumberFormat="1" applyFont="1" applyAlignment="1">
      <alignment horizontal="left"/>
    </xf>
    <xf numFmtId="9" fontId="75" fillId="0" borderId="0" xfId="97" applyFont="1" applyFill="1" applyAlignment="1">
      <alignment horizontal="center"/>
    </xf>
    <xf numFmtId="171" fontId="127" fillId="0" borderId="0" xfId="1" applyNumberFormat="1" applyFont="1" applyAlignment="1">
      <alignment horizontal="center"/>
    </xf>
    <xf numFmtId="3" fontId="77" fillId="0" borderId="0" xfId="1" applyNumberFormat="1" applyFont="1" applyAlignment="1">
      <alignment horizontal="left"/>
    </xf>
    <xf numFmtId="0" fontId="77" fillId="18" borderId="0" xfId="1" applyFont="1" applyFill="1"/>
    <xf numFmtId="0" fontId="75" fillId="18" borderId="0" xfId="1" applyFont="1" applyFill="1" applyAlignment="1">
      <alignment horizontal="center"/>
    </xf>
    <xf numFmtId="0" fontId="75" fillId="18" borderId="0" xfId="1" applyFont="1" applyFill="1"/>
    <xf numFmtId="3" fontId="77" fillId="18" borderId="0" xfId="1" applyNumberFormat="1" applyFont="1" applyFill="1" applyAlignment="1">
      <alignment horizontal="center"/>
    </xf>
    <xf numFmtId="3" fontId="97" fillId="16" borderId="0" xfId="1" applyNumberFormat="1" applyFont="1" applyFill="1" applyAlignment="1">
      <alignment horizontal="left"/>
    </xf>
    <xf numFmtId="3" fontId="88" fillId="21" borderId="0" xfId="1" applyNumberFormat="1" applyFont="1" applyFill="1"/>
    <xf numFmtId="3" fontId="86" fillId="21" borderId="0" xfId="1" applyNumberFormat="1" applyFont="1" applyFill="1"/>
    <xf numFmtId="3" fontId="86" fillId="0" borderId="0" xfId="1" applyNumberFormat="1" applyFont="1"/>
    <xf numFmtId="3" fontId="75" fillId="18" borderId="0" xfId="1" applyNumberFormat="1" applyFont="1" applyFill="1" applyAlignment="1">
      <alignment horizontal="center"/>
    </xf>
    <xf numFmtId="3" fontId="96" fillId="0" borderId="0" xfId="1" applyNumberFormat="1" applyFont="1" applyAlignment="1">
      <alignment horizontal="center"/>
    </xf>
    <xf numFmtId="3" fontId="78" fillId="25" borderId="0" xfId="1" applyNumberFormat="1" applyFont="1" applyFill="1" applyAlignment="1">
      <alignment horizontal="center"/>
    </xf>
    <xf numFmtId="3" fontId="98" fillId="0" borderId="0" xfId="1" applyNumberFormat="1" applyFont="1" applyAlignment="1">
      <alignment horizontal="center"/>
    </xf>
    <xf numFmtId="3" fontId="77" fillId="16" borderId="0" xfId="1" applyNumberFormat="1" applyFont="1" applyFill="1"/>
    <xf numFmtId="3" fontId="75" fillId="16" borderId="0" xfId="1" applyNumberFormat="1" applyFont="1" applyFill="1"/>
    <xf numFmtId="10" fontId="75" fillId="16" borderId="0" xfId="97" applyNumberFormat="1" applyFont="1" applyFill="1" applyAlignment="1">
      <alignment horizontal="center"/>
    </xf>
    <xf numFmtId="10" fontId="97" fillId="16" borderId="0" xfId="97" applyNumberFormat="1" applyFont="1" applyFill="1" applyAlignment="1">
      <alignment horizontal="center"/>
    </xf>
    <xf numFmtId="3" fontId="81" fillId="16" borderId="0" xfId="1" applyNumberFormat="1" applyFont="1" applyFill="1"/>
    <xf numFmtId="10" fontId="80" fillId="16" borderId="0" xfId="97" applyNumberFormat="1" applyFont="1" applyFill="1" applyAlignment="1">
      <alignment horizontal="center"/>
    </xf>
    <xf numFmtId="1" fontId="97" fillId="0" borderId="0" xfId="1" applyNumberFormat="1" applyFont="1" applyAlignment="1">
      <alignment horizontal="center"/>
    </xf>
    <xf numFmtId="1" fontId="96" fillId="0" borderId="0" xfId="1" applyNumberFormat="1" applyFont="1" applyAlignment="1">
      <alignment horizontal="center"/>
    </xf>
    <xf numFmtId="0" fontId="82" fillId="18" borderId="0" xfId="1" applyFont="1" applyFill="1"/>
    <xf numFmtId="1" fontId="77" fillId="0" borderId="0" xfId="1" applyNumberFormat="1" applyFont="1" applyAlignment="1">
      <alignment horizontal="center"/>
    </xf>
    <xf numFmtId="1" fontId="75" fillId="0" borderId="0" xfId="1" applyNumberFormat="1" applyFont="1"/>
    <xf numFmtId="1" fontId="77" fillId="0" borderId="0" xfId="1" applyNumberFormat="1" applyFont="1"/>
    <xf numFmtId="0" fontId="81" fillId="16" borderId="0" xfId="1" applyFont="1" applyFill="1"/>
    <xf numFmtId="1" fontId="77" fillId="16" borderId="0" xfId="1" applyNumberFormat="1" applyFont="1" applyFill="1" applyAlignment="1">
      <alignment horizontal="center"/>
    </xf>
    <xf numFmtId="1" fontId="75" fillId="16" borderId="0" xfId="1" applyNumberFormat="1" applyFont="1" applyFill="1"/>
    <xf numFmtId="1" fontId="97" fillId="16" borderId="0" xfId="1" applyNumberFormat="1" applyFont="1" applyFill="1" applyAlignment="1">
      <alignment horizontal="center"/>
    </xf>
    <xf numFmtId="1" fontId="77" fillId="16" borderId="0" xfId="1" applyNumberFormat="1" applyFont="1" applyFill="1"/>
    <xf numFmtId="0" fontId="79" fillId="0" borderId="0" xfId="1" applyFont="1"/>
    <xf numFmtId="1" fontId="81" fillId="0" borderId="0" xfId="1" applyNumberFormat="1" applyFont="1" applyAlignment="1">
      <alignment horizontal="center"/>
    </xf>
    <xf numFmtId="1" fontId="80" fillId="0" borderId="0" xfId="1" applyNumberFormat="1" applyFont="1"/>
    <xf numFmtId="1" fontId="124" fillId="0" borderId="0" xfId="1" applyNumberFormat="1" applyFont="1" applyAlignment="1">
      <alignment horizontal="center"/>
    </xf>
    <xf numFmtId="1" fontId="81" fillId="0" borderId="0" xfId="1" applyNumberFormat="1" applyFont="1"/>
    <xf numFmtId="0" fontId="77" fillId="19" borderId="0" xfId="1" applyFont="1" applyFill="1"/>
    <xf numFmtId="0" fontId="75" fillId="19" borderId="0" xfId="1" applyFont="1" applyFill="1" applyAlignment="1">
      <alignment horizontal="center"/>
    </xf>
    <xf numFmtId="0" fontId="125" fillId="0" borderId="0" xfId="1" applyFont="1" applyAlignment="1">
      <alignment horizontal="center"/>
    </xf>
    <xf numFmtId="171" fontId="124" fillId="0" borderId="0" xfId="1" applyNumberFormat="1" applyFont="1" applyAlignment="1">
      <alignment horizontal="center"/>
    </xf>
    <xf numFmtId="171" fontId="124" fillId="0" borderId="0" xfId="1" applyNumberFormat="1" applyFont="1"/>
    <xf numFmtId="171" fontId="124" fillId="16" borderId="0" xfId="1" applyNumberFormat="1" applyFont="1" applyFill="1" applyAlignment="1">
      <alignment horizontal="center"/>
    </xf>
    <xf numFmtId="171" fontId="124" fillId="16" borderId="0" xfId="1" applyNumberFormat="1" applyFont="1" applyFill="1"/>
    <xf numFmtId="171" fontId="130" fillId="0" borderId="0" xfId="1" applyNumberFormat="1" applyFont="1" applyAlignment="1">
      <alignment horizontal="center"/>
    </xf>
    <xf numFmtId="171" fontId="130" fillId="0" borderId="0" xfId="1" applyNumberFormat="1" applyFont="1"/>
    <xf numFmtId="171" fontId="75" fillId="0" borderId="0" xfId="1" applyNumberFormat="1" applyFont="1" applyAlignment="1">
      <alignment horizontal="left"/>
    </xf>
    <xf numFmtId="171" fontId="97" fillId="0" borderId="0" xfId="1" applyNumberFormat="1" applyFont="1" applyAlignment="1">
      <alignment horizontal="center"/>
    </xf>
    <xf numFmtId="0" fontId="132" fillId="19" borderId="0" xfId="1" applyFont="1" applyFill="1"/>
    <xf numFmtId="3" fontId="75" fillId="19" borderId="0" xfId="1" applyNumberFormat="1" applyFont="1" applyFill="1" applyAlignment="1">
      <alignment horizontal="center"/>
    </xf>
    <xf numFmtId="37" fontId="75" fillId="19" borderId="0" xfId="1" applyNumberFormat="1" applyFont="1" applyFill="1" applyAlignment="1">
      <alignment horizontal="center"/>
    </xf>
    <xf numFmtId="3" fontId="79" fillId="19" borderId="0" xfId="1" applyNumberFormat="1" applyFont="1" applyFill="1" applyAlignment="1">
      <alignment horizontal="center" vertical="center"/>
    </xf>
    <xf numFmtId="172" fontId="102" fillId="31" borderId="0" xfId="1" applyNumberFormat="1" applyFont="1" applyFill="1" applyAlignment="1">
      <alignment horizontal="center"/>
    </xf>
    <xf numFmtId="3" fontId="75" fillId="16" borderId="0" xfId="1" applyNumberFormat="1" applyFont="1" applyFill="1" applyAlignment="1">
      <alignment horizontal="left"/>
    </xf>
    <xf numFmtId="172" fontId="75" fillId="16" borderId="0" xfId="1" applyNumberFormat="1" applyFont="1" applyFill="1" applyAlignment="1">
      <alignment horizontal="center"/>
    </xf>
    <xf numFmtId="172" fontId="97" fillId="16" borderId="0" xfId="1" applyNumberFormat="1" applyFont="1" applyFill="1" applyAlignment="1">
      <alignment horizontal="center"/>
    </xf>
    <xf numFmtId="172" fontId="97" fillId="0" borderId="0" xfId="1" applyNumberFormat="1" applyFont="1" applyAlignment="1">
      <alignment horizontal="center"/>
    </xf>
    <xf numFmtId="0" fontId="75" fillId="31" borderId="0" xfId="1" applyFont="1" applyFill="1"/>
    <xf numFmtId="0" fontId="75" fillId="31" borderId="0" xfId="1" applyFont="1" applyFill="1" applyAlignment="1">
      <alignment horizontal="center"/>
    </xf>
    <xf numFmtId="3" fontId="75" fillId="31" borderId="0" xfId="1" applyNumberFormat="1" applyFont="1" applyFill="1" applyAlignment="1">
      <alignment horizontal="center"/>
    </xf>
    <xf numFmtId="0" fontId="77" fillId="17" borderId="0" xfId="1" applyFont="1" applyFill="1"/>
    <xf numFmtId="0" fontId="75" fillId="17" borderId="0" xfId="1" applyFont="1" applyFill="1" applyAlignment="1">
      <alignment horizontal="center"/>
    </xf>
    <xf numFmtId="0" fontId="75" fillId="17" borderId="0" xfId="1" applyFont="1" applyFill="1"/>
    <xf numFmtId="3" fontId="75" fillId="17" borderId="0" xfId="1" applyNumberFormat="1" applyFont="1" applyFill="1" applyAlignment="1">
      <alignment horizontal="center"/>
    </xf>
    <xf numFmtId="0" fontId="137" fillId="0" borderId="0" xfId="1" applyFont="1"/>
    <xf numFmtId="0" fontId="138" fillId="0" borderId="0" xfId="1" applyFont="1"/>
    <xf numFmtId="2" fontId="80" fillId="0" borderId="0" xfId="1" applyNumberFormat="1" applyFont="1" applyAlignment="1">
      <alignment horizontal="center"/>
    </xf>
    <xf numFmtId="0" fontId="81" fillId="16" borderId="0" xfId="1" applyFont="1" applyFill="1" applyAlignment="1">
      <alignment horizontal="center"/>
    </xf>
    <xf numFmtId="171" fontId="81" fillId="16" borderId="0" xfId="1" applyNumberFormat="1" applyFont="1" applyFill="1" applyAlignment="1">
      <alignment horizontal="center"/>
    </xf>
    <xf numFmtId="171" fontId="130" fillId="16" borderId="0" xfId="1" applyNumberFormat="1" applyFont="1" applyFill="1" applyAlignment="1">
      <alignment horizontal="center"/>
    </xf>
    <xf numFmtId="3" fontId="75" fillId="27" borderId="0" xfId="1" applyNumberFormat="1" applyFont="1" applyFill="1" applyAlignment="1">
      <alignment horizontal="center"/>
    </xf>
    <xf numFmtId="0" fontId="77" fillId="0" borderId="0" xfId="1" applyFont="1" applyAlignment="1">
      <alignment horizontal="left"/>
    </xf>
    <xf numFmtId="3" fontId="79" fillId="16" borderId="0" xfId="2" applyNumberFormat="1" applyFont="1" applyFill="1" applyAlignment="1">
      <alignment horizontal="center"/>
    </xf>
    <xf numFmtId="3" fontId="94" fillId="16" borderId="0" xfId="1" applyNumberFormat="1" applyFont="1" applyFill="1" applyAlignment="1">
      <alignment horizontal="center"/>
    </xf>
    <xf numFmtId="0" fontId="139" fillId="0" borderId="0" xfId="1" applyFont="1"/>
    <xf numFmtId="3" fontId="139" fillId="0" borderId="0" xfId="1" applyNumberFormat="1" applyFont="1" applyAlignment="1">
      <alignment horizontal="center"/>
    </xf>
    <xf numFmtId="171" fontId="81" fillId="0" borderId="0" xfId="97" applyNumberFormat="1" applyFont="1" applyFill="1" applyAlignment="1">
      <alignment horizontal="center"/>
    </xf>
    <xf numFmtId="171" fontId="112" fillId="0" borderId="0" xfId="1" applyNumberFormat="1" applyFont="1" applyAlignment="1">
      <alignment horizontal="center"/>
    </xf>
    <xf numFmtId="171" fontId="77" fillId="0" borderId="0" xfId="1" applyNumberFormat="1" applyFont="1"/>
    <xf numFmtId="4" fontId="78" fillId="0" borderId="0" xfId="1" applyNumberFormat="1" applyFont="1" applyAlignment="1">
      <alignment horizontal="center"/>
    </xf>
    <xf numFmtId="3" fontId="97" fillId="0" borderId="0" xfId="1" applyNumberFormat="1" applyFont="1" applyAlignment="1">
      <alignment horizontal="center" vertical="center"/>
    </xf>
    <xf numFmtId="3" fontId="123" fillId="0" borderId="0" xfId="97" applyNumberFormat="1" applyFont="1" applyAlignment="1">
      <alignment horizontal="center" vertical="center"/>
    </xf>
    <xf numFmtId="0" fontId="77" fillId="31" borderId="0" xfId="1" applyFont="1" applyFill="1" applyAlignment="1">
      <alignment horizontal="center"/>
    </xf>
    <xf numFmtId="171" fontId="81" fillId="31" borderId="0" xfId="97" applyNumberFormat="1" applyFont="1" applyFill="1" applyAlignment="1">
      <alignment horizontal="center"/>
    </xf>
    <xf numFmtId="171" fontId="140" fillId="31" borderId="0" xfId="97" applyNumberFormat="1" applyFont="1" applyFill="1" applyAlignment="1">
      <alignment horizontal="center"/>
    </xf>
    <xf numFmtId="171" fontId="141" fillId="31" borderId="0" xfId="97" applyNumberFormat="1" applyFont="1" applyFill="1" applyAlignment="1">
      <alignment horizontal="center"/>
    </xf>
    <xf numFmtId="3" fontId="74" fillId="31" borderId="0" xfId="1" applyNumberFormat="1" applyFont="1" applyFill="1" applyAlignment="1">
      <alignment horizontal="center"/>
    </xf>
    <xf numFmtId="3" fontId="80" fillId="31" borderId="0" xfId="1" applyNumberFormat="1" applyFont="1" applyFill="1" applyAlignment="1">
      <alignment horizontal="center"/>
    </xf>
    <xf numFmtId="3" fontId="90" fillId="0" borderId="0" xfId="1" applyNumberFormat="1" applyFont="1" applyAlignment="1">
      <alignment horizontal="center"/>
    </xf>
    <xf numFmtId="3" fontId="99" fillId="0" borderId="0" xfId="1" applyNumberFormat="1" applyFont="1" applyAlignment="1">
      <alignment horizontal="center"/>
    </xf>
    <xf numFmtId="0" fontId="81" fillId="31" borderId="0" xfId="1" applyFont="1" applyFill="1"/>
    <xf numFmtId="171" fontId="142" fillId="31" borderId="0" xfId="97" applyNumberFormat="1" applyFont="1" applyFill="1" applyAlignment="1">
      <alignment horizontal="center"/>
    </xf>
    <xf numFmtId="171" fontId="77" fillId="31" borderId="0" xfId="97" applyNumberFormat="1" applyFont="1" applyFill="1" applyAlignment="1">
      <alignment horizontal="center"/>
    </xf>
    <xf numFmtId="0" fontId="136" fillId="31" borderId="0" xfId="1" applyFont="1" applyFill="1" applyAlignment="1">
      <alignment horizontal="center"/>
    </xf>
    <xf numFmtId="0" fontId="94" fillId="0" borderId="0" xfId="1" applyFont="1"/>
    <xf numFmtId="3" fontId="94" fillId="0" borderId="0" xfId="1" applyNumberFormat="1" applyFont="1" applyAlignment="1">
      <alignment horizontal="center"/>
    </xf>
    <xf numFmtId="0" fontId="77" fillId="19" borderId="0" xfId="1" applyFont="1" applyFill="1" applyAlignment="1">
      <alignment horizontal="center"/>
    </xf>
    <xf numFmtId="171" fontId="75" fillId="19" borderId="0" xfId="1" applyNumberFormat="1" applyFont="1" applyFill="1" applyAlignment="1">
      <alignment horizontal="center"/>
    </xf>
    <xf numFmtId="1" fontId="78" fillId="0" borderId="0" xfId="1" applyNumberFormat="1" applyFont="1" applyAlignment="1">
      <alignment horizontal="center"/>
    </xf>
    <xf numFmtId="1" fontId="79" fillId="0" borderId="0" xfId="1" applyNumberFormat="1" applyFont="1" applyAlignment="1">
      <alignment horizontal="center"/>
    </xf>
    <xf numFmtId="1" fontId="75" fillId="16" borderId="0" xfId="1" applyNumberFormat="1" applyFont="1" applyFill="1" applyAlignment="1">
      <alignment horizontal="center"/>
    </xf>
    <xf numFmtId="1" fontId="123" fillId="16" borderId="0" xfId="1" applyNumberFormat="1" applyFont="1" applyFill="1" applyAlignment="1">
      <alignment horizontal="center"/>
    </xf>
    <xf numFmtId="1" fontId="81" fillId="16" borderId="0" xfId="1" applyNumberFormat="1" applyFont="1" applyFill="1" applyAlignment="1">
      <alignment horizontal="center"/>
    </xf>
    <xf numFmtId="1" fontId="101" fillId="16" borderId="0" xfId="1" applyNumberFormat="1" applyFont="1" applyFill="1" applyAlignment="1">
      <alignment horizontal="center"/>
    </xf>
    <xf numFmtId="1" fontId="97" fillId="16" borderId="0" xfId="1" applyNumberFormat="1" applyFont="1" applyFill="1" applyAlignment="1">
      <alignment horizontal="left"/>
    </xf>
    <xf numFmtId="0" fontId="75" fillId="0" borderId="0" xfId="1" quotePrefix="1" applyFont="1"/>
    <xf numFmtId="0" fontId="143" fillId="0" borderId="0" xfId="1" applyFont="1"/>
    <xf numFmtId="210" fontId="97" fillId="0" borderId="0" xfId="63" applyNumberFormat="1" applyFont="1" applyAlignment="1">
      <alignment horizontal="center"/>
    </xf>
    <xf numFmtId="0" fontId="144" fillId="0" borderId="0" xfId="1" applyFont="1"/>
    <xf numFmtId="3" fontId="126" fillId="0" borderId="0" xfId="1" applyNumberFormat="1" applyFont="1"/>
    <xf numFmtId="0" fontId="132" fillId="18" borderId="0" xfId="1" applyFont="1" applyFill="1"/>
    <xf numFmtId="0" fontId="77" fillId="18" borderId="0" xfId="1" applyFont="1" applyFill="1" applyAlignment="1">
      <alignment horizontal="center"/>
    </xf>
    <xf numFmtId="1" fontId="75" fillId="18" borderId="0" xfId="1" applyNumberFormat="1" applyFont="1" applyFill="1" applyAlignment="1">
      <alignment horizontal="center"/>
    </xf>
    <xf numFmtId="1" fontId="77" fillId="18" borderId="0" xfId="1" applyNumberFormat="1" applyFont="1" applyFill="1" applyAlignment="1">
      <alignment horizontal="center"/>
    </xf>
    <xf numFmtId="1" fontId="97" fillId="18" borderId="0" xfId="1" applyNumberFormat="1" applyFont="1" applyFill="1" applyAlignment="1">
      <alignment horizontal="center"/>
    </xf>
    <xf numFmtId="1" fontId="75" fillId="18" borderId="0" xfId="1" applyNumberFormat="1" applyFont="1" applyFill="1"/>
    <xf numFmtId="1" fontId="77" fillId="18" borderId="0" xfId="1" applyNumberFormat="1" applyFont="1" applyFill="1"/>
    <xf numFmtId="9" fontId="97" fillId="0" borderId="0" xfId="1" applyNumberFormat="1" applyFont="1" applyAlignment="1">
      <alignment horizontal="center"/>
    </xf>
    <xf numFmtId="9" fontId="109" fillId="0" borderId="0" xfId="1" applyNumberFormat="1" applyFont="1" applyAlignment="1">
      <alignment horizontal="center"/>
    </xf>
    <xf numFmtId="0" fontId="112" fillId="0" borderId="0" xfId="1" applyFont="1"/>
    <xf numFmtId="1" fontId="112" fillId="0" borderId="0" xfId="1" applyNumberFormat="1" applyFont="1" applyAlignment="1">
      <alignment horizontal="center"/>
    </xf>
    <xf numFmtId="1" fontId="94" fillId="0" borderId="0" xfId="1" applyNumberFormat="1" applyFont="1" applyAlignment="1">
      <alignment horizontal="center"/>
    </xf>
    <xf numFmtId="0" fontId="145" fillId="0" borderId="0" xfId="1" applyFont="1"/>
    <xf numFmtId="0" fontId="102" fillId="0" borderId="0" xfId="1" applyFont="1" applyAlignment="1">
      <alignment horizontal="center"/>
    </xf>
    <xf numFmtId="0" fontId="102" fillId="0" borderId="0" xfId="1" applyFont="1"/>
    <xf numFmtId="3" fontId="102" fillId="0" borderId="0" xfId="1" applyNumberFormat="1" applyFont="1" applyAlignment="1">
      <alignment horizontal="center"/>
    </xf>
    <xf numFmtId="1" fontId="102" fillId="0" borderId="0" xfId="1" applyNumberFormat="1" applyFont="1"/>
    <xf numFmtId="3" fontId="102" fillId="0" borderId="0" xfId="1" applyNumberFormat="1" applyFont="1"/>
    <xf numFmtId="0" fontId="96" fillId="0" borderId="0" xfId="1" applyFont="1" applyAlignment="1">
      <alignment horizontal="center"/>
    </xf>
    <xf numFmtId="1" fontId="96" fillId="0" borderId="0" xfId="1" applyNumberFormat="1" applyFont="1"/>
    <xf numFmtId="3" fontId="96" fillId="0" borderId="0" xfId="1" applyNumberFormat="1" applyFont="1"/>
    <xf numFmtId="0" fontId="134" fillId="34" borderId="0" xfId="1" applyFont="1" applyFill="1"/>
    <xf numFmtId="3" fontId="145" fillId="0" borderId="0" xfId="1" applyNumberFormat="1" applyFont="1" applyAlignment="1">
      <alignment horizontal="center"/>
    </xf>
    <xf numFmtId="171" fontId="134" fillId="0" borderId="0" xfId="1" applyNumberFormat="1" applyFont="1" applyAlignment="1">
      <alignment horizontal="center"/>
    </xf>
    <xf numFmtId="171" fontId="134" fillId="44" borderId="0" xfId="1" applyNumberFormat="1" applyFont="1" applyFill="1" applyAlignment="1">
      <alignment horizontal="center"/>
    </xf>
    <xf numFmtId="0" fontId="127" fillId="0" borderId="0" xfId="1" applyFont="1"/>
    <xf numFmtId="171" fontId="127" fillId="44" borderId="0" xfId="1" applyNumberFormat="1" applyFont="1" applyFill="1" applyAlignment="1">
      <alignment horizontal="center"/>
    </xf>
    <xf numFmtId="3" fontId="75" fillId="33" borderId="0" xfId="1" applyNumberFormat="1" applyFont="1" applyFill="1" applyAlignment="1">
      <alignment horizontal="center"/>
    </xf>
    <xf numFmtId="1" fontId="102" fillId="0" borderId="0" xfId="1" applyNumberFormat="1" applyFont="1" applyAlignment="1">
      <alignment horizontal="center"/>
    </xf>
    <xf numFmtId="1" fontId="77" fillId="19" borderId="0" xfId="1" applyNumberFormat="1" applyFont="1" applyFill="1" applyAlignment="1">
      <alignment horizontal="center"/>
    </xf>
    <xf numFmtId="3" fontId="85" fillId="19" borderId="0" xfId="1" applyNumberFormat="1" applyFont="1" applyFill="1" applyAlignment="1">
      <alignment horizontal="center"/>
    </xf>
    <xf numFmtId="1" fontId="102" fillId="19" borderId="0" xfId="1" applyNumberFormat="1" applyFont="1" applyFill="1" applyAlignment="1">
      <alignment horizontal="center"/>
    </xf>
    <xf numFmtId="1" fontId="77" fillId="19" borderId="0" xfId="1" applyNumberFormat="1" applyFont="1" applyFill="1"/>
    <xf numFmtId="4" fontId="77" fillId="16" borderId="0" xfId="1" applyNumberFormat="1" applyFont="1" applyFill="1" applyAlignment="1">
      <alignment horizontal="center"/>
    </xf>
    <xf numFmtId="1" fontId="78" fillId="16" borderId="0" xfId="1" applyNumberFormat="1" applyFont="1" applyFill="1" applyAlignment="1">
      <alignment horizontal="center"/>
    </xf>
    <xf numFmtId="1" fontId="109" fillId="16" borderId="0" xfId="1" applyNumberFormat="1" applyFont="1" applyFill="1" applyAlignment="1">
      <alignment horizontal="center"/>
    </xf>
    <xf numFmtId="9" fontId="123" fillId="16" borderId="0" xfId="1" applyNumberFormat="1" applyFont="1" applyFill="1" applyAlignment="1">
      <alignment horizontal="center"/>
    </xf>
    <xf numFmtId="3" fontId="85" fillId="16" borderId="0" xfId="1" applyNumberFormat="1" applyFont="1" applyFill="1" applyAlignment="1">
      <alignment horizontal="center"/>
    </xf>
    <xf numFmtId="9" fontId="127" fillId="16" borderId="0" xfId="1" applyNumberFormat="1" applyFont="1" applyFill="1" applyAlignment="1">
      <alignment horizontal="center"/>
    </xf>
    <xf numFmtId="9" fontId="112" fillId="0" borderId="0" xfId="1" applyNumberFormat="1" applyFont="1" applyAlignment="1">
      <alignment horizontal="center"/>
    </xf>
    <xf numFmtId="9" fontId="127" fillId="0" borderId="0" xfId="1" applyNumberFormat="1" applyFont="1" applyAlignment="1">
      <alignment horizontal="center"/>
    </xf>
    <xf numFmtId="1" fontId="79" fillId="16" borderId="0" xfId="1" applyNumberFormat="1" applyFont="1" applyFill="1" applyAlignment="1">
      <alignment horizontal="center"/>
    </xf>
    <xf numFmtId="1" fontId="100" fillId="16" borderId="0" xfId="1" applyNumberFormat="1" applyFont="1" applyFill="1" applyAlignment="1">
      <alignment horizontal="center"/>
    </xf>
    <xf numFmtId="1" fontId="78" fillId="36" borderId="0" xfId="1" applyNumberFormat="1" applyFont="1" applyFill="1" applyAlignment="1">
      <alignment horizontal="center"/>
    </xf>
    <xf numFmtId="1" fontId="75" fillId="36" borderId="0" xfId="1" applyNumberFormat="1" applyFont="1" applyFill="1" applyAlignment="1">
      <alignment horizontal="center"/>
    </xf>
    <xf numFmtId="1" fontId="109" fillId="36" borderId="0" xfId="1" applyNumberFormat="1" applyFont="1" applyFill="1" applyAlignment="1">
      <alignment horizontal="center"/>
    </xf>
    <xf numFmtId="1" fontId="75" fillId="19" borderId="0" xfId="1" applyNumberFormat="1" applyFont="1" applyFill="1" applyAlignment="1">
      <alignment horizontal="center"/>
    </xf>
    <xf numFmtId="1" fontId="77" fillId="16" borderId="0" xfId="1" quotePrefix="1" applyNumberFormat="1" applyFont="1" applyFill="1" applyAlignment="1">
      <alignment horizontal="center"/>
    </xf>
    <xf numFmtId="0" fontId="77" fillId="17" borderId="0" xfId="1" applyFont="1" applyFill="1" applyAlignment="1">
      <alignment horizontal="center"/>
    </xf>
    <xf numFmtId="1" fontId="77" fillId="17" borderId="0" xfId="1" applyNumberFormat="1" applyFont="1" applyFill="1"/>
    <xf numFmtId="1" fontId="77" fillId="17" borderId="0" xfId="1" applyNumberFormat="1" applyFont="1" applyFill="1" applyAlignment="1">
      <alignment horizontal="center"/>
    </xf>
    <xf numFmtId="1" fontId="102" fillId="17" borderId="0" xfId="1" applyNumberFormat="1" applyFont="1" applyFill="1" applyAlignment="1">
      <alignment horizontal="center"/>
    </xf>
    <xf numFmtId="1" fontId="74" fillId="0" borderId="0" xfId="1" applyNumberFormat="1" applyFont="1" applyAlignment="1">
      <alignment horizontal="center"/>
    </xf>
    <xf numFmtId="1" fontId="74" fillId="0" borderId="0" xfId="1" applyNumberFormat="1" applyFont="1" applyAlignment="1">
      <alignment horizontal="left"/>
    </xf>
    <xf numFmtId="0" fontId="79" fillId="47" borderId="0" xfId="1" applyFont="1" applyFill="1"/>
    <xf numFmtId="0" fontId="102" fillId="47" borderId="0" xfId="1" applyFont="1" applyFill="1" applyAlignment="1">
      <alignment horizontal="center"/>
    </xf>
    <xf numFmtId="0" fontId="102" fillId="47" borderId="0" xfId="1" applyFont="1" applyFill="1"/>
    <xf numFmtId="3" fontId="102" fillId="47" borderId="0" xfId="1" applyNumberFormat="1" applyFont="1" applyFill="1" applyAlignment="1">
      <alignment horizontal="center"/>
    </xf>
    <xf numFmtId="3" fontId="79" fillId="47" borderId="0" xfId="1" applyNumberFormat="1" applyFont="1" applyFill="1" applyAlignment="1">
      <alignment horizontal="center"/>
    </xf>
    <xf numFmtId="0" fontId="80" fillId="41" borderId="0" xfId="1" applyFont="1" applyFill="1"/>
    <xf numFmtId="0" fontId="80" fillId="41" borderId="0" xfId="1" applyFont="1" applyFill="1" applyAlignment="1">
      <alignment horizontal="center"/>
    </xf>
    <xf numFmtId="3" fontId="123" fillId="41" borderId="0" xfId="1" applyNumberFormat="1" applyFont="1" applyFill="1" applyAlignment="1">
      <alignment horizontal="center"/>
    </xf>
    <xf numFmtId="0" fontId="123" fillId="41" borderId="0" xfId="1" applyFont="1" applyFill="1" applyAlignment="1">
      <alignment horizontal="center"/>
    </xf>
    <xf numFmtId="171" fontId="80" fillId="41" borderId="0" xfId="1" applyNumberFormat="1" applyFont="1" applyFill="1" applyAlignment="1">
      <alignment horizontal="center"/>
    </xf>
    <xf numFmtId="0" fontId="124" fillId="41" borderId="0" xfId="1" applyFont="1" applyFill="1" applyAlignment="1">
      <alignment horizontal="center"/>
    </xf>
    <xf numFmtId="171" fontId="124" fillId="41" borderId="0" xfId="1" applyNumberFormat="1" applyFont="1" applyFill="1" applyAlignment="1">
      <alignment horizontal="center"/>
    </xf>
    <xf numFmtId="0" fontId="124" fillId="16" borderId="0" xfId="1" applyFont="1" applyFill="1" applyAlignment="1">
      <alignment horizontal="center"/>
    </xf>
    <xf numFmtId="0" fontId="130" fillId="0" borderId="0" xfId="1" applyFont="1" applyAlignment="1">
      <alignment horizontal="center"/>
    </xf>
    <xf numFmtId="3" fontId="101" fillId="0" borderId="0" xfId="1" applyNumberFormat="1" applyFont="1" applyAlignment="1">
      <alignment horizontal="center"/>
    </xf>
    <xf numFmtId="0" fontId="75" fillId="41" borderId="0" xfId="1" applyFont="1" applyFill="1"/>
    <xf numFmtId="0" fontId="75" fillId="41" borderId="0" xfId="1" applyFont="1" applyFill="1" applyAlignment="1">
      <alignment horizontal="center"/>
    </xf>
    <xf numFmtId="3" fontId="75" fillId="41" borderId="0" xfId="1" applyNumberFormat="1" applyFont="1" applyFill="1" applyAlignment="1">
      <alignment horizontal="center"/>
    </xf>
    <xf numFmtId="0" fontId="78" fillId="41" borderId="0" xfId="1" applyFont="1" applyFill="1" applyAlignment="1">
      <alignment horizontal="center"/>
    </xf>
    <xf numFmtId="171" fontId="75" fillId="41" borderId="0" xfId="1" applyNumberFormat="1" applyFont="1" applyFill="1" applyAlignment="1">
      <alignment horizontal="center"/>
    </xf>
    <xf numFmtId="172" fontId="75" fillId="41" borderId="0" xfId="1" applyNumberFormat="1" applyFont="1" applyFill="1" applyAlignment="1">
      <alignment horizontal="center"/>
    </xf>
    <xf numFmtId="171" fontId="109" fillId="0" borderId="0" xfId="1" applyNumberFormat="1" applyFont="1" applyAlignment="1">
      <alignment horizontal="center"/>
    </xf>
    <xf numFmtId="171" fontId="109" fillId="0" borderId="0" xfId="1" applyNumberFormat="1" applyFont="1" applyAlignment="1">
      <alignment horizontal="left"/>
    </xf>
    <xf numFmtId="171" fontId="90" fillId="31" borderId="0" xfId="1" applyNumberFormat="1" applyFont="1" applyFill="1" applyAlignment="1">
      <alignment horizontal="center"/>
    </xf>
    <xf numFmtId="171" fontId="97" fillId="16" borderId="0" xfId="1" applyNumberFormat="1" applyFont="1" applyFill="1" applyAlignment="1">
      <alignment horizontal="center"/>
    </xf>
    <xf numFmtId="9" fontId="75" fillId="16" borderId="0" xfId="1" applyNumberFormat="1" applyFont="1" applyFill="1" applyAlignment="1">
      <alignment horizontal="center"/>
    </xf>
    <xf numFmtId="0" fontId="109" fillId="0" borderId="0" xfId="1" applyFont="1" applyAlignment="1">
      <alignment horizontal="center"/>
    </xf>
    <xf numFmtId="0" fontId="123" fillId="0" borderId="0" xfId="1" applyFont="1"/>
    <xf numFmtId="3" fontId="134" fillId="0" borderId="0" xfId="1" applyNumberFormat="1" applyFont="1" applyAlignment="1">
      <alignment horizontal="center"/>
    </xf>
    <xf numFmtId="3" fontId="96" fillId="19" borderId="0" xfId="1" applyNumberFormat="1" applyFont="1" applyFill="1" applyAlignment="1">
      <alignment horizontal="center"/>
    </xf>
    <xf numFmtId="9" fontId="96" fillId="19" borderId="0" xfId="1" applyNumberFormat="1" applyFont="1" applyFill="1" applyAlignment="1">
      <alignment horizontal="center"/>
    </xf>
    <xf numFmtId="9" fontId="78" fillId="19" borderId="0" xfId="1" applyNumberFormat="1" applyFont="1" applyFill="1" applyAlignment="1">
      <alignment horizontal="center"/>
    </xf>
    <xf numFmtId="9" fontId="78" fillId="30" borderId="0" xfId="1" applyNumberFormat="1" applyFont="1" applyFill="1" applyAlignment="1">
      <alignment horizontal="center"/>
    </xf>
    <xf numFmtId="9" fontId="102" fillId="16" borderId="0" xfId="1" applyNumberFormat="1" applyFont="1" applyFill="1" applyAlignment="1">
      <alignment horizontal="center"/>
    </xf>
    <xf numFmtId="171" fontId="109" fillId="16" borderId="0" xfId="1" applyNumberFormat="1" applyFont="1" applyFill="1" applyAlignment="1">
      <alignment horizontal="center"/>
    </xf>
    <xf numFmtId="0" fontId="110" fillId="34" borderId="0" xfId="1" applyFont="1" applyFill="1"/>
    <xf numFmtId="0" fontId="110" fillId="34" borderId="0" xfId="1" applyFont="1" applyFill="1" applyAlignment="1">
      <alignment horizontal="center"/>
    </xf>
    <xf numFmtId="171" fontId="110" fillId="34" borderId="0" xfId="97" applyNumberFormat="1" applyFont="1" applyFill="1" applyAlignment="1">
      <alignment horizontal="center"/>
    </xf>
    <xf numFmtId="0" fontId="146" fillId="34" borderId="0" xfId="1" applyFont="1" applyFill="1" applyAlignment="1">
      <alignment horizontal="center"/>
    </xf>
    <xf numFmtId="0" fontId="109" fillId="0" borderId="0" xfId="1" applyFont="1"/>
    <xf numFmtId="176" fontId="97" fillId="16" borderId="0" xfId="1" applyNumberFormat="1" applyFont="1" applyFill="1" applyAlignment="1">
      <alignment horizontal="center"/>
    </xf>
    <xf numFmtId="176" fontId="75" fillId="16" borderId="0" xfId="1" applyNumberFormat="1" applyFont="1" applyFill="1" applyAlignment="1">
      <alignment horizontal="center"/>
    </xf>
    <xf numFmtId="176" fontId="75" fillId="16" borderId="0" xfId="1" applyNumberFormat="1" applyFont="1" applyFill="1"/>
    <xf numFmtId="3" fontId="88" fillId="0" borderId="0" xfId="1" applyNumberFormat="1" applyFont="1"/>
    <xf numFmtId="3" fontId="86" fillId="0" borderId="0" xfId="1" applyNumberFormat="1" applyFont="1" applyAlignment="1">
      <alignment horizontal="center"/>
    </xf>
    <xf numFmtId="10" fontId="78" fillId="16" borderId="0" xfId="97" applyNumberFormat="1" applyFont="1" applyFill="1" applyAlignment="1">
      <alignment horizontal="center"/>
    </xf>
    <xf numFmtId="10" fontId="75" fillId="16" borderId="0" xfId="97" applyNumberFormat="1" applyFont="1" applyFill="1"/>
    <xf numFmtId="10" fontId="97" fillId="16" borderId="0" xfId="97" applyNumberFormat="1" applyFont="1" applyFill="1"/>
    <xf numFmtId="10" fontId="78" fillId="31" borderId="0" xfId="97" applyNumberFormat="1" applyFont="1" applyFill="1" applyAlignment="1">
      <alignment horizontal="center"/>
    </xf>
    <xf numFmtId="10" fontId="75" fillId="0" borderId="0" xfId="97" applyNumberFormat="1" applyFont="1"/>
    <xf numFmtId="10" fontId="77" fillId="0" borderId="0" xfId="97" applyNumberFormat="1" applyFont="1"/>
    <xf numFmtId="176" fontId="75" fillId="0" borderId="0" xfId="1" applyNumberFormat="1" applyFont="1" applyAlignment="1">
      <alignment horizontal="center"/>
    </xf>
    <xf numFmtId="0" fontId="75" fillId="21" borderId="0" xfId="1" applyFont="1" applyFill="1" applyAlignment="1">
      <alignment horizontal="center"/>
    </xf>
    <xf numFmtId="0" fontId="75" fillId="21" borderId="0" xfId="1" applyFont="1" applyFill="1"/>
    <xf numFmtId="1" fontId="97" fillId="19" borderId="0" xfId="1" applyNumberFormat="1" applyFont="1" applyFill="1" applyAlignment="1">
      <alignment horizontal="center"/>
    </xf>
    <xf numFmtId="1" fontId="75" fillId="19" borderId="0" xfId="1" applyNumberFormat="1" applyFont="1" applyFill="1"/>
    <xf numFmtId="0" fontId="79" fillId="16" borderId="0" xfId="1" applyFont="1" applyFill="1" applyAlignment="1">
      <alignment horizontal="center"/>
    </xf>
    <xf numFmtId="0" fontId="95" fillId="20" borderId="13" xfId="1" applyFont="1" applyFill="1" applyBorder="1"/>
    <xf numFmtId="0" fontId="75" fillId="20" borderId="13" xfId="1" applyFont="1" applyFill="1" applyBorder="1"/>
    <xf numFmtId="0" fontId="75" fillId="20" borderId="13" xfId="1" applyFont="1" applyFill="1" applyBorder="1" applyAlignment="1">
      <alignment horizontal="center"/>
    </xf>
    <xf numFmtId="0" fontId="80" fillId="20" borderId="13" xfId="1" applyFont="1" applyFill="1" applyBorder="1" applyAlignment="1">
      <alignment horizontal="center"/>
    </xf>
    <xf numFmtId="3" fontId="75" fillId="20" borderId="13" xfId="1" applyNumberFormat="1" applyFont="1" applyFill="1" applyBorder="1" applyAlignment="1">
      <alignment horizontal="center"/>
    </xf>
    <xf numFmtId="0" fontId="75" fillId="20" borderId="0" xfId="1" applyFont="1" applyFill="1"/>
    <xf numFmtId="171" fontId="80" fillId="0" borderId="0" xfId="97" applyNumberFormat="1" applyFont="1" applyFill="1" applyBorder="1" applyAlignment="1">
      <alignment horizontal="center"/>
    </xf>
    <xf numFmtId="171" fontId="81" fillId="0" borderId="0" xfId="97" applyNumberFormat="1" applyFont="1" applyFill="1" applyBorder="1" applyAlignment="1">
      <alignment horizontal="center"/>
    </xf>
    <xf numFmtId="172" fontId="102" fillId="0" borderId="0" xfId="1" applyNumberFormat="1" applyFont="1" applyAlignment="1">
      <alignment horizontal="center"/>
    </xf>
    <xf numFmtId="172" fontId="123" fillId="16" borderId="0" xfId="1" applyNumberFormat="1" applyFont="1" applyFill="1" applyAlignment="1">
      <alignment horizontal="center"/>
    </xf>
    <xf numFmtId="214" fontId="77" fillId="0" borderId="0" xfId="1" applyNumberFormat="1" applyFont="1" applyAlignment="1">
      <alignment horizontal="center"/>
    </xf>
    <xf numFmtId="172" fontId="124" fillId="16" borderId="0" xfId="1" applyNumberFormat="1" applyFont="1" applyFill="1" applyAlignment="1">
      <alignment horizontal="center"/>
    </xf>
    <xf numFmtId="172" fontId="94" fillId="0" borderId="0" xfId="1" applyNumberFormat="1" applyFont="1" applyAlignment="1">
      <alignment horizontal="center"/>
    </xf>
    <xf numFmtId="172" fontId="123" fillId="0" borderId="0" xfId="1" applyNumberFormat="1" applyFont="1" applyAlignment="1">
      <alignment horizontal="center"/>
    </xf>
    <xf numFmtId="0" fontId="77" fillId="20" borderId="13" xfId="1" applyFont="1" applyFill="1" applyBorder="1"/>
    <xf numFmtId="171" fontId="109" fillId="16" borderId="0" xfId="97" applyNumberFormat="1" applyFont="1" applyFill="1" applyAlignment="1">
      <alignment horizontal="center"/>
    </xf>
    <xf numFmtId="171" fontId="97" fillId="16" borderId="0" xfId="97" applyNumberFormat="1" applyFont="1" applyFill="1" applyAlignment="1">
      <alignment horizontal="center"/>
    </xf>
    <xf numFmtId="9" fontId="97" fillId="16" borderId="0" xfId="97" applyFont="1" applyFill="1" applyAlignment="1">
      <alignment horizontal="center"/>
    </xf>
    <xf numFmtId="171" fontId="87" fillId="0" borderId="0" xfId="97" applyNumberFormat="1" applyFont="1"/>
    <xf numFmtId="3" fontId="111" fillId="0" borderId="0" xfId="1" applyNumberFormat="1" applyFont="1" applyAlignment="1">
      <alignment horizontal="center"/>
    </xf>
    <xf numFmtId="3" fontId="77" fillId="46" borderId="0" xfId="1" applyNumberFormat="1" applyFont="1" applyFill="1" applyAlignment="1">
      <alignment horizontal="center"/>
    </xf>
    <xf numFmtId="3" fontId="75" fillId="0" borderId="12" xfId="1" applyNumberFormat="1" applyFont="1" applyBorder="1" applyAlignment="1">
      <alignment horizontal="center"/>
    </xf>
    <xf numFmtId="9" fontId="80" fillId="0" borderId="0" xfId="97" applyFont="1" applyFill="1" applyBorder="1" applyAlignment="1">
      <alignment horizontal="center"/>
    </xf>
    <xf numFmtId="0" fontId="78" fillId="0" borderId="0" xfId="1" applyFont="1"/>
    <xf numFmtId="172" fontId="74" fillId="0" borderId="0" xfId="1" applyNumberFormat="1" applyFont="1" applyAlignment="1">
      <alignment horizontal="center"/>
    </xf>
    <xf numFmtId="172" fontId="90" fillId="0" borderId="0" xfId="1" applyNumberFormat="1" applyFont="1" applyAlignment="1">
      <alignment horizontal="center"/>
    </xf>
    <xf numFmtId="3" fontId="104" fillId="0" borderId="12" xfId="1" applyNumberFormat="1" applyFont="1" applyBorder="1" applyAlignment="1">
      <alignment horizontal="center"/>
    </xf>
    <xf numFmtId="9" fontId="123" fillId="0" borderId="0" xfId="97" applyFont="1" applyFill="1" applyBorder="1" applyAlignment="1">
      <alignment horizontal="center"/>
    </xf>
    <xf numFmtId="9" fontId="81" fillId="0" borderId="0" xfId="97" applyFont="1" applyFill="1" applyBorder="1" applyAlignment="1">
      <alignment horizontal="center"/>
    </xf>
    <xf numFmtId="3" fontId="80" fillId="0" borderId="0" xfId="1" applyNumberFormat="1" applyFont="1"/>
    <xf numFmtId="0" fontId="79" fillId="16" borderId="0" xfId="1" applyFont="1" applyFill="1"/>
    <xf numFmtId="0" fontId="80" fillId="21" borderId="0" xfId="1" applyFont="1" applyFill="1" applyAlignment="1">
      <alignment horizontal="center"/>
    </xf>
    <xf numFmtId="0" fontId="80" fillId="0" borderId="12" xfId="1" applyFont="1" applyBorder="1" applyAlignment="1">
      <alignment horizontal="center"/>
    </xf>
    <xf numFmtId="9" fontId="78" fillId="0" borderId="0" xfId="1" applyNumberFormat="1" applyFont="1" applyAlignment="1">
      <alignment horizontal="center"/>
    </xf>
    <xf numFmtId="0" fontId="101" fillId="0" borderId="0" xfId="1" applyFont="1"/>
    <xf numFmtId="0" fontId="75" fillId="0" borderId="45" xfId="1" applyFont="1" applyBorder="1" applyAlignment="1">
      <alignment horizontal="center"/>
    </xf>
    <xf numFmtId="0" fontId="149" fillId="21" borderId="0" xfId="1" applyFont="1" applyFill="1" applyAlignment="1">
      <alignment horizontal="center"/>
    </xf>
    <xf numFmtId="0" fontId="78" fillId="0" borderId="12" xfId="1" applyFont="1" applyBorder="1" applyAlignment="1">
      <alignment horizontal="center"/>
    </xf>
    <xf numFmtId="3" fontId="90" fillId="36" borderId="0" xfId="1" applyNumberFormat="1" applyFont="1" applyFill="1" applyAlignment="1">
      <alignment horizontal="center"/>
    </xf>
    <xf numFmtId="0" fontId="103" fillId="51" borderId="0" xfId="1" applyFont="1" applyFill="1"/>
    <xf numFmtId="0" fontId="103" fillId="51" borderId="0" xfId="1" applyFont="1" applyFill="1" applyAlignment="1">
      <alignment horizontal="center"/>
    </xf>
    <xf numFmtId="174" fontId="152" fillId="0" borderId="16" xfId="1" applyNumberFormat="1" applyFont="1" applyBorder="1" applyAlignment="1">
      <alignment horizontal="left"/>
    </xf>
    <xf numFmtId="3" fontId="81" fillId="0" borderId="0" xfId="1" applyNumberFormat="1" applyFont="1"/>
    <xf numFmtId="10" fontId="75" fillId="0" borderId="0" xfId="97" applyNumberFormat="1" applyFont="1" applyFill="1"/>
    <xf numFmtId="0" fontId="75" fillId="0" borderId="40" xfId="1" applyFont="1" applyBorder="1"/>
    <xf numFmtId="3" fontId="75" fillId="0" borderId="0" xfId="1" applyNumberFormat="1" applyFont="1" applyAlignment="1">
      <alignment horizontal="center" vertical="center" wrapText="1"/>
    </xf>
    <xf numFmtId="0" fontId="75" fillId="0" borderId="40" xfId="1" applyFont="1" applyBorder="1" applyAlignment="1">
      <alignment vertical="center"/>
    </xf>
    <xf numFmtId="9" fontId="75" fillId="0" borderId="0" xfId="65" applyNumberFormat="1" applyFont="1" applyFill="1" applyBorder="1" applyAlignment="1">
      <alignment horizontal="center" vertical="center"/>
    </xf>
    <xf numFmtId="9" fontId="74" fillId="0" borderId="0" xfId="65" applyNumberFormat="1" applyFont="1" applyFill="1" applyBorder="1" applyAlignment="1">
      <alignment horizontal="center" vertical="center"/>
    </xf>
    <xf numFmtId="181" fontId="85" fillId="0" borderId="35" xfId="87" applyNumberFormat="1" applyFont="1" applyBorder="1" applyAlignment="1">
      <alignment horizontal="center" vertical="center"/>
    </xf>
    <xf numFmtId="173" fontId="77" fillId="0" borderId="35" xfId="97" applyNumberFormat="1" applyFont="1" applyFill="1" applyBorder="1" applyAlignment="1" applyProtection="1">
      <alignment horizontal="center" vertical="center"/>
    </xf>
    <xf numFmtId="0" fontId="74" fillId="0" borderId="0" xfId="1" applyFont="1" applyAlignment="1">
      <alignment horizontal="left"/>
    </xf>
    <xf numFmtId="0" fontId="85" fillId="0" borderId="0" xfId="1" applyFont="1" applyAlignment="1">
      <alignment horizontal="left"/>
    </xf>
    <xf numFmtId="171" fontId="77" fillId="0" borderId="0" xfId="1" applyNumberFormat="1" applyFont="1" applyAlignment="1">
      <alignment horizontal="center" vertical="center" wrapText="1"/>
    </xf>
    <xf numFmtId="0" fontId="75" fillId="32" borderId="0" xfId="1" applyFont="1" applyFill="1"/>
    <xf numFmtId="0" fontId="75" fillId="32" borderId="0" xfId="1" applyFont="1" applyFill="1" applyAlignment="1">
      <alignment horizontal="center"/>
    </xf>
    <xf numFmtId="9" fontId="77" fillId="0" borderId="0" xfId="97" applyFont="1" applyAlignment="1">
      <alignment horizontal="center"/>
    </xf>
    <xf numFmtId="0" fontId="127" fillId="0" borderId="0" xfId="1" applyFont="1" applyAlignment="1">
      <alignment horizontal="left"/>
    </xf>
    <xf numFmtId="3" fontId="85" fillId="0" borderId="0" xfId="97" applyNumberFormat="1" applyFont="1" applyAlignment="1">
      <alignment horizontal="center" vertical="center"/>
    </xf>
    <xf numFmtId="174" fontId="77" fillId="0" borderId="0" xfId="1" applyNumberFormat="1" applyFont="1" applyAlignment="1">
      <alignment horizontal="center"/>
    </xf>
    <xf numFmtId="171" fontId="78" fillId="0" borderId="0" xfId="1" applyNumberFormat="1" applyFont="1" applyAlignment="1">
      <alignment horizontal="center"/>
    </xf>
    <xf numFmtId="171" fontId="85" fillId="0" borderId="0" xfId="1" applyNumberFormat="1" applyFont="1" applyAlignment="1">
      <alignment horizontal="center"/>
    </xf>
    <xf numFmtId="174" fontId="81" fillId="0" borderId="0" xfId="1" applyNumberFormat="1" applyFont="1" applyAlignment="1">
      <alignment horizontal="center"/>
    </xf>
    <xf numFmtId="174" fontId="80" fillId="0" borderId="0" xfId="1" applyNumberFormat="1" applyFont="1" applyAlignment="1">
      <alignment horizontal="center"/>
    </xf>
    <xf numFmtId="9" fontId="124" fillId="0" borderId="0" xfId="97" applyFont="1" applyFill="1" applyBorder="1" applyAlignment="1">
      <alignment horizontal="center"/>
    </xf>
    <xf numFmtId="171" fontId="78" fillId="0" borderId="0" xfId="97" applyNumberFormat="1" applyFont="1" applyFill="1" applyBorder="1" applyAlignment="1">
      <alignment horizontal="center"/>
    </xf>
    <xf numFmtId="172" fontId="75" fillId="0" borderId="0" xfId="97" applyNumberFormat="1" applyFont="1" applyFill="1" applyBorder="1" applyAlignment="1">
      <alignment horizontal="center"/>
    </xf>
    <xf numFmtId="172" fontId="78" fillId="0" borderId="0" xfId="97" applyNumberFormat="1" applyFont="1" applyFill="1" applyBorder="1" applyAlignment="1">
      <alignment horizontal="center"/>
    </xf>
    <xf numFmtId="172" fontId="77" fillId="0" borderId="0" xfId="97" applyNumberFormat="1" applyFont="1" applyFill="1" applyBorder="1" applyAlignment="1">
      <alignment horizontal="center"/>
    </xf>
    <xf numFmtId="4" fontId="78" fillId="0" borderId="0" xfId="97" applyNumberFormat="1" applyFont="1" applyFill="1" applyBorder="1" applyAlignment="1">
      <alignment horizontal="center"/>
    </xf>
    <xf numFmtId="10" fontId="75" fillId="0" borderId="0" xfId="97" applyNumberFormat="1" applyFont="1" applyFill="1" applyBorder="1" applyAlignment="1">
      <alignment horizontal="center"/>
    </xf>
    <xf numFmtId="3" fontId="77" fillId="0" borderId="0" xfId="97" applyNumberFormat="1" applyFont="1" applyFill="1" applyBorder="1" applyAlignment="1">
      <alignment horizontal="center"/>
    </xf>
    <xf numFmtId="3" fontId="78" fillId="0" borderId="0" xfId="97" applyNumberFormat="1" applyFont="1" applyFill="1" applyBorder="1" applyAlignment="1">
      <alignment horizontal="center"/>
    </xf>
    <xf numFmtId="10" fontId="77" fillId="0" borderId="0" xfId="97" applyNumberFormat="1" applyFont="1" applyFill="1" applyBorder="1" applyAlignment="1">
      <alignment horizontal="center"/>
    </xf>
    <xf numFmtId="171" fontId="77" fillId="0" borderId="0" xfId="97" applyNumberFormat="1" applyFont="1" applyFill="1" applyBorder="1" applyAlignment="1">
      <alignment horizontal="center"/>
    </xf>
    <xf numFmtId="171" fontId="75" fillId="0" borderId="0" xfId="97" applyNumberFormat="1" applyFont="1" applyFill="1" applyBorder="1" applyAlignment="1">
      <alignment horizontal="center"/>
    </xf>
    <xf numFmtId="4" fontId="75" fillId="0" borderId="0" xfId="97" applyNumberFormat="1" applyFont="1" applyFill="1" applyBorder="1" applyAlignment="1">
      <alignment horizontal="center"/>
    </xf>
    <xf numFmtId="174" fontId="75" fillId="0" borderId="0" xfId="97" applyNumberFormat="1" applyFont="1" applyFill="1" applyBorder="1" applyAlignment="1">
      <alignment horizontal="center"/>
    </xf>
    <xf numFmtId="174" fontId="78" fillId="0" borderId="0" xfId="97" applyNumberFormat="1" applyFont="1" applyFill="1" applyBorder="1" applyAlignment="1">
      <alignment horizontal="center"/>
    </xf>
    <xf numFmtId="171" fontId="123" fillId="0" borderId="0" xfId="97" applyNumberFormat="1" applyFont="1" applyFill="1" applyBorder="1" applyAlignment="1">
      <alignment horizontal="center"/>
    </xf>
    <xf numFmtId="171" fontId="124" fillId="0" borderId="0" xfId="97" applyNumberFormat="1" applyFont="1" applyFill="1" applyBorder="1" applyAlignment="1">
      <alignment horizontal="center"/>
    </xf>
    <xf numFmtId="0" fontId="128" fillId="0" borderId="0" xfId="1" applyFont="1" applyAlignment="1">
      <alignment horizontal="center"/>
    </xf>
    <xf numFmtId="9" fontId="129" fillId="0" borderId="0" xfId="97" applyFont="1" applyFill="1" applyBorder="1" applyAlignment="1">
      <alignment horizontal="center"/>
    </xf>
    <xf numFmtId="0" fontId="128" fillId="0" borderId="0" xfId="1" applyFont="1"/>
    <xf numFmtId="9" fontId="78" fillId="0" borderId="0" xfId="97" applyFont="1" applyFill="1" applyBorder="1" applyAlignment="1">
      <alignment horizontal="center"/>
    </xf>
    <xf numFmtId="10" fontId="78" fillId="0" borderId="0" xfId="97" applyNumberFormat="1" applyFont="1" applyFill="1" applyBorder="1" applyAlignment="1">
      <alignment horizontal="center"/>
    </xf>
    <xf numFmtId="177" fontId="97" fillId="0" borderId="0" xfId="1" applyNumberFormat="1" applyFont="1" applyAlignment="1">
      <alignment horizontal="center"/>
    </xf>
    <xf numFmtId="177" fontId="75" fillId="0" borderId="0" xfId="1" applyNumberFormat="1" applyFont="1" applyAlignment="1">
      <alignment horizontal="center"/>
    </xf>
    <xf numFmtId="188" fontId="75" fillId="0" borderId="0" xfId="97" applyNumberFormat="1" applyFont="1" applyFill="1" applyBorder="1" applyAlignment="1">
      <alignment horizontal="center"/>
    </xf>
    <xf numFmtId="174" fontId="75" fillId="0" borderId="16" xfId="1" applyNumberFormat="1" applyFont="1" applyBorder="1"/>
    <xf numFmtId="174" fontId="75" fillId="0" borderId="16" xfId="1" applyNumberFormat="1" applyFont="1" applyBorder="1" applyAlignment="1">
      <alignment horizontal="center"/>
    </xf>
    <xf numFmtId="1" fontId="75" fillId="0" borderId="16" xfId="1" applyNumberFormat="1" applyFont="1" applyBorder="1"/>
    <xf numFmtId="174" fontId="78" fillId="0" borderId="16" xfId="1" applyNumberFormat="1" applyFont="1" applyBorder="1"/>
    <xf numFmtId="174" fontId="78" fillId="0" borderId="16" xfId="1" applyNumberFormat="1" applyFont="1" applyBorder="1" applyAlignment="1">
      <alignment horizontal="center"/>
    </xf>
    <xf numFmtId="198" fontId="109" fillId="0" borderId="12" xfId="1" applyNumberFormat="1" applyFont="1" applyBorder="1" applyAlignment="1">
      <alignment horizontal="left"/>
    </xf>
    <xf numFmtId="173" fontId="75" fillId="0" borderId="12" xfId="1" applyNumberFormat="1" applyFont="1" applyBorder="1"/>
    <xf numFmtId="174" fontId="77" fillId="0" borderId="0" xfId="1" applyNumberFormat="1" applyFont="1"/>
    <xf numFmtId="174" fontId="77" fillId="0" borderId="0" xfId="1" applyNumberFormat="1" applyFont="1" applyAlignment="1">
      <alignment horizontal="left"/>
    </xf>
    <xf numFmtId="174" fontId="75" fillId="0" borderId="0" xfId="1" applyNumberFormat="1" applyFont="1"/>
    <xf numFmtId="10" fontId="75" fillId="0" borderId="0" xfId="1" applyNumberFormat="1" applyFont="1"/>
    <xf numFmtId="9" fontId="97" fillId="16" borderId="0" xfId="1" applyNumberFormat="1" applyFont="1" applyFill="1" applyAlignment="1">
      <alignment horizontal="center"/>
    </xf>
    <xf numFmtId="0" fontId="110" fillId="46" borderId="0" xfId="1" applyFont="1" applyFill="1"/>
    <xf numFmtId="0" fontId="110" fillId="46" borderId="0" xfId="1" applyFont="1" applyFill="1" applyAlignment="1">
      <alignment horizontal="center"/>
    </xf>
    <xf numFmtId="10" fontId="110" fillId="46" borderId="0" xfId="97" applyNumberFormat="1" applyFont="1" applyFill="1" applyAlignment="1">
      <alignment horizontal="center"/>
    </xf>
    <xf numFmtId="10" fontId="110" fillId="46" borderId="0" xfId="1" applyNumberFormat="1" applyFont="1" applyFill="1" applyAlignment="1">
      <alignment horizontal="center"/>
    </xf>
    <xf numFmtId="37" fontId="75" fillId="0" borderId="0" xfId="97" applyNumberFormat="1" applyFont="1" applyAlignment="1">
      <alignment horizontal="center"/>
    </xf>
    <xf numFmtId="0" fontId="110" fillId="0" borderId="0" xfId="1" applyFont="1"/>
    <xf numFmtId="0" fontId="116" fillId="0" borderId="0" xfId="1" applyFont="1"/>
    <xf numFmtId="0" fontId="116" fillId="0" borderId="0" xfId="1" applyFont="1" applyAlignment="1">
      <alignment horizontal="center"/>
    </xf>
    <xf numFmtId="3" fontId="110" fillId="0" borderId="0" xfId="1" applyNumberFormat="1" applyFont="1" applyAlignment="1">
      <alignment horizontal="center"/>
    </xf>
    <xf numFmtId="10" fontId="79" fillId="16" borderId="23" xfId="1" applyNumberFormat="1" applyFont="1" applyFill="1" applyBorder="1" applyAlignment="1">
      <alignment horizontal="center"/>
    </xf>
    <xf numFmtId="0" fontId="139" fillId="0" borderId="0" xfId="1" applyFont="1" applyAlignment="1">
      <alignment horizontal="center"/>
    </xf>
    <xf numFmtId="0" fontId="82" fillId="46" borderId="0" xfId="1" applyFont="1" applyFill="1"/>
    <xf numFmtId="0" fontId="154" fillId="46" borderId="0" xfId="1" applyFont="1" applyFill="1"/>
    <xf numFmtId="0" fontId="154" fillId="46" borderId="0" xfId="1" applyFont="1" applyFill="1" applyAlignment="1">
      <alignment horizontal="center"/>
    </xf>
    <xf numFmtId="3" fontId="82" fillId="46" borderId="0" xfId="1" applyNumberFormat="1" applyFont="1" applyFill="1" applyAlignment="1">
      <alignment horizontal="center"/>
    </xf>
    <xf numFmtId="3" fontId="125" fillId="0" borderId="0" xfId="1" applyNumberFormat="1" applyFont="1" applyAlignment="1">
      <alignment horizontal="center"/>
    </xf>
    <xf numFmtId="171" fontId="97" fillId="0" borderId="0" xfId="97" applyNumberFormat="1" applyFont="1" applyAlignment="1">
      <alignment horizontal="center"/>
    </xf>
    <xf numFmtId="37" fontId="77" fillId="0" borderId="0" xfId="97" applyNumberFormat="1" applyFont="1" applyAlignment="1">
      <alignment horizontal="center"/>
    </xf>
    <xf numFmtId="10" fontId="77" fillId="0" borderId="0" xfId="1" applyNumberFormat="1" applyFont="1" applyAlignment="1">
      <alignment horizontal="center"/>
    </xf>
    <xf numFmtId="37" fontId="77" fillId="0" borderId="0" xfId="97" applyNumberFormat="1" applyFont="1" applyFill="1" applyAlignment="1">
      <alignment horizontal="center"/>
    </xf>
    <xf numFmtId="0" fontId="75" fillId="0" borderId="13" xfId="1" applyFont="1" applyBorder="1" applyAlignment="1">
      <alignment horizontal="center"/>
    </xf>
    <xf numFmtId="0" fontId="78" fillId="27" borderId="0" xfId="1" applyFont="1" applyFill="1" applyAlignment="1">
      <alignment horizontal="center"/>
    </xf>
    <xf numFmtId="0" fontId="75" fillId="27" borderId="0" xfId="1" applyFont="1" applyFill="1" applyAlignment="1">
      <alignment horizontal="center"/>
    </xf>
    <xf numFmtId="0" fontId="75" fillId="16" borderId="13" xfId="1" applyFont="1" applyFill="1" applyBorder="1"/>
    <xf numFmtId="0" fontId="75" fillId="16" borderId="13" xfId="1" applyFont="1" applyFill="1" applyBorder="1" applyAlignment="1">
      <alignment horizontal="center"/>
    </xf>
    <xf numFmtId="170" fontId="75" fillId="0" borderId="0" xfId="1" applyNumberFormat="1" applyFont="1" applyAlignment="1">
      <alignment horizontal="center"/>
    </xf>
    <xf numFmtId="9" fontId="78" fillId="16" borderId="0" xfId="1" applyNumberFormat="1" applyFont="1" applyFill="1" applyAlignment="1">
      <alignment horizontal="center"/>
    </xf>
    <xf numFmtId="179" fontId="75" fillId="0" borderId="0" xfId="1" applyNumberFormat="1" applyFont="1" applyAlignment="1">
      <alignment horizontal="center"/>
    </xf>
    <xf numFmtId="179" fontId="75" fillId="16" borderId="0" xfId="1" applyNumberFormat="1" applyFont="1" applyFill="1" applyAlignment="1">
      <alignment horizontal="center"/>
    </xf>
    <xf numFmtId="9" fontId="74" fillId="16" borderId="0" xfId="1" applyNumberFormat="1" applyFont="1" applyFill="1" applyAlignment="1">
      <alignment horizontal="center"/>
    </xf>
    <xf numFmtId="171" fontId="78" fillId="16" borderId="0" xfId="1" applyNumberFormat="1" applyFont="1" applyFill="1" applyAlignment="1">
      <alignment horizontal="center"/>
    </xf>
    <xf numFmtId="0" fontId="154" fillId="0" borderId="0" xfId="1" applyFont="1"/>
    <xf numFmtId="171" fontId="75" fillId="0" borderId="0" xfId="1" applyNumberFormat="1" applyFont="1" applyAlignment="1">
      <alignment horizontal="center" vertical="center"/>
    </xf>
    <xf numFmtId="174" fontId="80" fillId="0" borderId="45" xfId="1" applyNumberFormat="1" applyFont="1" applyBorder="1" applyAlignment="1">
      <alignment horizontal="center"/>
    </xf>
    <xf numFmtId="0" fontId="151" fillId="21" borderId="13" xfId="1" applyFont="1" applyFill="1" applyBorder="1"/>
    <xf numFmtId="0" fontId="86" fillId="21" borderId="13" xfId="1" applyFont="1" applyFill="1" applyBorder="1"/>
    <xf numFmtId="0" fontId="86" fillId="21" borderId="13" xfId="1" applyFont="1" applyFill="1" applyBorder="1" applyAlignment="1">
      <alignment horizontal="center"/>
    </xf>
    <xf numFmtId="3" fontId="86" fillId="21" borderId="13" xfId="1" applyNumberFormat="1" applyFont="1" applyFill="1" applyBorder="1" applyAlignment="1">
      <alignment horizontal="center"/>
    </xf>
    <xf numFmtId="3" fontId="142" fillId="0" borderId="0" xfId="1" applyNumberFormat="1" applyFont="1" applyAlignment="1">
      <alignment horizontal="center"/>
    </xf>
    <xf numFmtId="0" fontId="81" fillId="32" borderId="0" xfId="1" applyFont="1" applyFill="1"/>
    <xf numFmtId="9" fontId="80" fillId="32" borderId="0" xfId="97" applyFont="1" applyFill="1" applyAlignment="1">
      <alignment horizontal="center"/>
    </xf>
    <xf numFmtId="0" fontId="88" fillId="20" borderId="13" xfId="1" applyFont="1" applyFill="1" applyBorder="1"/>
    <xf numFmtId="0" fontId="86" fillId="20" borderId="13" xfId="1" applyFont="1" applyFill="1" applyBorder="1"/>
    <xf numFmtId="0" fontId="86" fillId="20" borderId="13" xfId="1" applyFont="1" applyFill="1" applyBorder="1" applyAlignment="1">
      <alignment horizontal="center"/>
    </xf>
    <xf numFmtId="3" fontId="86" fillId="20" borderId="13" xfId="1" applyNumberFormat="1" applyFont="1" applyFill="1" applyBorder="1" applyAlignment="1">
      <alignment horizontal="center"/>
    </xf>
    <xf numFmtId="0" fontId="74" fillId="20" borderId="13" xfId="1" applyFont="1" applyFill="1" applyBorder="1" applyAlignment="1">
      <alignment horizontal="left"/>
    </xf>
    <xf numFmtId="3" fontId="74" fillId="0" borderId="0" xfId="1" applyNumberFormat="1" applyFont="1" applyAlignment="1">
      <alignment horizontal="left"/>
    </xf>
    <xf numFmtId="3" fontId="96" fillId="0" borderId="0" xfId="1" applyNumberFormat="1" applyFont="1" applyAlignment="1">
      <alignment horizontal="left"/>
    </xf>
    <xf numFmtId="3" fontId="85" fillId="0" borderId="0" xfId="1" applyNumberFormat="1" applyFont="1" applyAlignment="1">
      <alignment horizontal="left"/>
    </xf>
    <xf numFmtId="3" fontId="155" fillId="0" borderId="0" xfId="1" applyNumberFormat="1" applyFont="1" applyAlignment="1">
      <alignment horizontal="center"/>
    </xf>
    <xf numFmtId="3" fontId="127" fillId="0" borderId="0" xfId="1" applyNumberFormat="1" applyFont="1" applyAlignment="1">
      <alignment horizontal="left"/>
    </xf>
    <xf numFmtId="3" fontId="78" fillId="23" borderId="0" xfId="1" applyNumberFormat="1" applyFont="1" applyFill="1" applyAlignment="1">
      <alignment horizontal="center"/>
    </xf>
    <xf numFmtId="3" fontId="77" fillId="17" borderId="13" xfId="1" applyNumberFormat="1" applyFont="1" applyFill="1" applyBorder="1"/>
    <xf numFmtId="3" fontId="97" fillId="17" borderId="13" xfId="1" applyNumberFormat="1" applyFont="1" applyFill="1" applyBorder="1" applyAlignment="1">
      <alignment horizontal="center"/>
    </xf>
    <xf numFmtId="3" fontId="85" fillId="17" borderId="13" xfId="1" applyNumberFormat="1" applyFont="1" applyFill="1" applyBorder="1" applyAlignment="1">
      <alignment horizontal="left"/>
    </xf>
    <xf numFmtId="9" fontId="127" fillId="0" borderId="0" xfId="1" applyNumberFormat="1" applyFont="1" applyAlignment="1">
      <alignment horizontal="left"/>
    </xf>
    <xf numFmtId="3" fontId="132" fillId="0" borderId="0" xfId="1" applyNumberFormat="1" applyFont="1"/>
    <xf numFmtId="3" fontId="74" fillId="16" borderId="0" xfId="1" applyNumberFormat="1" applyFont="1" applyFill="1" applyAlignment="1">
      <alignment horizontal="left"/>
    </xf>
    <xf numFmtId="9" fontId="127" fillId="0" borderId="0" xfId="97" applyFont="1" applyAlignment="1">
      <alignment horizontal="left"/>
    </xf>
    <xf numFmtId="3" fontId="80" fillId="16" borderId="0" xfId="1" applyNumberFormat="1" applyFont="1" applyFill="1"/>
    <xf numFmtId="9" fontId="127" fillId="16" borderId="0" xfId="97" applyFont="1" applyFill="1" applyAlignment="1">
      <alignment horizontal="left"/>
    </xf>
    <xf numFmtId="9" fontId="134" fillId="0" borderId="0" xfId="97" applyFont="1" applyAlignment="1">
      <alignment horizontal="left"/>
    </xf>
    <xf numFmtId="3" fontId="85" fillId="16" borderId="0" xfId="1" applyNumberFormat="1" applyFont="1" applyFill="1" applyAlignment="1">
      <alignment horizontal="left"/>
    </xf>
    <xf numFmtId="9" fontId="127" fillId="0" borderId="0" xfId="97" applyFont="1" applyFill="1" applyAlignment="1">
      <alignment horizontal="left"/>
    </xf>
    <xf numFmtId="0" fontId="127" fillId="16" borderId="0" xfId="1" applyFont="1" applyFill="1" applyAlignment="1">
      <alignment horizontal="left"/>
    </xf>
    <xf numFmtId="0" fontId="151" fillId="20" borderId="13" xfId="1" applyFont="1" applyFill="1" applyBorder="1"/>
    <xf numFmtId="3" fontId="156" fillId="0" borderId="0" xfId="1" applyNumberFormat="1" applyFont="1" applyAlignment="1">
      <alignment horizontal="center"/>
    </xf>
    <xf numFmtId="171" fontId="81" fillId="17" borderId="13" xfId="97" applyNumberFormat="1" applyFont="1" applyFill="1" applyBorder="1" applyAlignment="1">
      <alignment horizontal="center"/>
    </xf>
    <xf numFmtId="3" fontId="90" fillId="33" borderId="0" xfId="1" applyNumberFormat="1" applyFont="1" applyFill="1" applyAlignment="1">
      <alignment horizontal="center"/>
    </xf>
    <xf numFmtId="1" fontId="80" fillId="16" borderId="0" xfId="1" applyNumberFormat="1" applyFont="1" applyFill="1"/>
    <xf numFmtId="1" fontId="80" fillId="16" borderId="0" xfId="1" applyNumberFormat="1" applyFont="1" applyFill="1" applyAlignment="1">
      <alignment horizontal="center"/>
    </xf>
    <xf numFmtId="9" fontId="124" fillId="16" borderId="0" xfId="1" applyNumberFormat="1" applyFont="1" applyFill="1" applyAlignment="1">
      <alignment horizontal="center"/>
    </xf>
    <xf numFmtId="1" fontId="74" fillId="16" borderId="0" xfId="1" applyNumberFormat="1" applyFont="1" applyFill="1" applyAlignment="1">
      <alignment horizontal="left"/>
    </xf>
    <xf numFmtId="0" fontId="74" fillId="16" borderId="0" xfId="1" applyFont="1" applyFill="1" applyAlignment="1">
      <alignment horizontal="left"/>
    </xf>
    <xf numFmtId="0" fontId="151" fillId="36" borderId="13" xfId="1" applyFont="1" applyFill="1" applyBorder="1"/>
    <xf numFmtId="9" fontId="81" fillId="17" borderId="13" xfId="97" applyFont="1" applyFill="1" applyBorder="1" applyAlignment="1">
      <alignment horizontal="center"/>
    </xf>
    <xf numFmtId="9" fontId="81" fillId="0" borderId="16" xfId="97" applyFont="1" applyFill="1" applyBorder="1" applyAlignment="1">
      <alignment horizontal="center"/>
    </xf>
    <xf numFmtId="9" fontId="94" fillId="0" borderId="0" xfId="1" applyNumberFormat="1" applyFont="1" applyAlignment="1">
      <alignment horizontal="center"/>
    </xf>
    <xf numFmtId="1" fontId="109" fillId="0" borderId="0" xfId="1" applyNumberFormat="1" applyFont="1" applyAlignment="1">
      <alignment horizontal="center"/>
    </xf>
    <xf numFmtId="9" fontId="134" fillId="0" borderId="0" xfId="97" applyFont="1" applyFill="1" applyAlignment="1">
      <alignment horizontal="left"/>
    </xf>
    <xf numFmtId="3" fontId="111" fillId="33" borderId="0" xfId="1" applyNumberFormat="1" applyFont="1" applyFill="1" applyAlignment="1">
      <alignment horizontal="center"/>
    </xf>
    <xf numFmtId="3" fontId="102" fillId="0" borderId="0" xfId="1" applyNumberFormat="1" applyFont="1" applyAlignment="1">
      <alignment horizontal="left"/>
    </xf>
    <xf numFmtId="9" fontId="80" fillId="0" borderId="0" xfId="1" applyNumberFormat="1" applyFont="1" applyAlignment="1">
      <alignment horizontal="left"/>
    </xf>
    <xf numFmtId="9" fontId="81" fillId="0" borderId="0" xfId="1" applyNumberFormat="1" applyFont="1" applyAlignment="1">
      <alignment horizontal="left"/>
    </xf>
    <xf numFmtId="3" fontId="81" fillId="0" borderId="0" xfId="1" applyNumberFormat="1" applyFont="1" applyAlignment="1">
      <alignment horizontal="left"/>
    </xf>
    <xf numFmtId="171" fontId="80" fillId="0" borderId="0" xfId="97" applyNumberFormat="1" applyFont="1" applyAlignment="1">
      <alignment horizontal="left"/>
    </xf>
    <xf numFmtId="171" fontId="81" fillId="0" borderId="0" xfId="97" applyNumberFormat="1" applyFont="1" applyAlignment="1">
      <alignment horizontal="left"/>
    </xf>
    <xf numFmtId="3" fontId="157" fillId="0" borderId="0" xfId="1" applyNumberFormat="1" applyFont="1" applyAlignment="1">
      <alignment horizontal="center"/>
    </xf>
    <xf numFmtId="171" fontId="80" fillId="17" borderId="13" xfId="97" applyNumberFormat="1" applyFont="1" applyFill="1" applyBorder="1" applyAlignment="1">
      <alignment horizontal="center"/>
    </xf>
    <xf numFmtId="172" fontId="127" fillId="0" borderId="0" xfId="1" applyNumberFormat="1" applyFont="1" applyAlignment="1">
      <alignment horizontal="center"/>
    </xf>
    <xf numFmtId="172" fontId="139" fillId="0" borderId="0" xfId="1" applyNumberFormat="1" applyFont="1" applyAlignment="1">
      <alignment horizontal="center"/>
    </xf>
    <xf numFmtId="4" fontId="100" fillId="0" borderId="0" xfId="1" applyNumberFormat="1" applyFont="1" applyAlignment="1">
      <alignment horizontal="center"/>
    </xf>
    <xf numFmtId="3" fontId="97" fillId="31" borderId="0" xfId="1" applyNumberFormat="1" applyFont="1" applyFill="1" applyAlignment="1">
      <alignment horizontal="center"/>
    </xf>
    <xf numFmtId="3" fontId="96" fillId="16" borderId="0" xfId="1" applyNumberFormat="1" applyFont="1" applyFill="1" applyAlignment="1">
      <alignment horizontal="center"/>
    </xf>
    <xf numFmtId="3" fontId="96" fillId="16" borderId="0" xfId="1" applyNumberFormat="1" applyFont="1" applyFill="1" applyAlignment="1">
      <alignment horizontal="left"/>
    </xf>
    <xf numFmtId="215" fontId="75" fillId="0" borderId="0" xfId="1" applyNumberFormat="1" applyFont="1" applyAlignment="1">
      <alignment horizontal="center"/>
    </xf>
    <xf numFmtId="3" fontId="96" fillId="0" borderId="0" xfId="1" applyNumberFormat="1" applyFont="1" applyAlignment="1">
      <alignment horizontal="center" vertical="center"/>
    </xf>
    <xf numFmtId="0" fontId="151" fillId="43" borderId="13" xfId="1" applyFont="1" applyFill="1" applyBorder="1"/>
    <xf numFmtId="0" fontId="86" fillId="43" borderId="13" xfId="1" applyFont="1" applyFill="1" applyBorder="1"/>
    <xf numFmtId="0" fontId="86" fillId="43" borderId="13" xfId="1" applyFont="1" applyFill="1" applyBorder="1" applyAlignment="1">
      <alignment horizontal="center"/>
    </xf>
    <xf numFmtId="3" fontId="86" fillId="43" borderId="13" xfId="1" applyNumberFormat="1" applyFont="1" applyFill="1" applyBorder="1" applyAlignment="1">
      <alignment horizontal="center"/>
    </xf>
    <xf numFmtId="0" fontId="74" fillId="43" borderId="13" xfId="1" applyFont="1" applyFill="1" applyBorder="1" applyAlignment="1">
      <alignment horizontal="left"/>
    </xf>
    <xf numFmtId="3" fontId="75" fillId="40" borderId="0" xfId="1" applyNumberFormat="1" applyFont="1" applyFill="1"/>
    <xf numFmtId="3" fontId="78" fillId="40" borderId="0" xfId="1" applyNumberFormat="1" applyFont="1" applyFill="1" applyAlignment="1">
      <alignment horizontal="center"/>
    </xf>
    <xf numFmtId="3" fontId="75" fillId="40" borderId="0" xfId="1" applyNumberFormat="1" applyFont="1" applyFill="1" applyAlignment="1">
      <alignment horizontal="center"/>
    </xf>
    <xf numFmtId="3" fontId="97" fillId="40" borderId="0" xfId="1" applyNumberFormat="1" applyFont="1" applyFill="1" applyAlignment="1">
      <alignment horizontal="center"/>
    </xf>
    <xf numFmtId="1" fontId="97" fillId="40" borderId="0" xfId="1" applyNumberFormat="1" applyFont="1" applyFill="1" applyAlignment="1">
      <alignment horizontal="center"/>
    </xf>
    <xf numFmtId="171" fontId="80" fillId="40" borderId="0" xfId="97" applyNumberFormat="1" applyFont="1" applyFill="1" applyAlignment="1">
      <alignment horizontal="center"/>
    </xf>
    <xf numFmtId="1" fontId="75" fillId="40" borderId="0" xfId="1" applyNumberFormat="1" applyFont="1" applyFill="1" applyAlignment="1">
      <alignment horizontal="center"/>
    </xf>
    <xf numFmtId="1" fontId="74" fillId="40" borderId="0" xfId="1" applyNumberFormat="1" applyFont="1" applyFill="1" applyAlignment="1">
      <alignment horizontal="left"/>
    </xf>
    <xf numFmtId="3" fontId="77" fillId="0" borderId="20" xfId="1" applyNumberFormat="1" applyFont="1" applyBorder="1" applyAlignment="1">
      <alignment horizontal="center"/>
    </xf>
    <xf numFmtId="3" fontId="119" fillId="0" borderId="0" xfId="1" applyNumberFormat="1" applyFont="1" applyAlignment="1">
      <alignment horizontal="center"/>
    </xf>
    <xf numFmtId="171" fontId="158" fillId="0" borderId="0" xfId="97" applyNumberFormat="1" applyFont="1" applyAlignment="1">
      <alignment horizontal="center"/>
    </xf>
    <xf numFmtId="1" fontId="119" fillId="0" borderId="0" xfId="1" applyNumberFormat="1" applyFont="1" applyAlignment="1">
      <alignment horizontal="center"/>
    </xf>
    <xf numFmtId="3" fontId="159" fillId="0" borderId="0" xfId="1" applyNumberFormat="1" applyFont="1" applyAlignment="1">
      <alignment horizontal="center"/>
    </xf>
    <xf numFmtId="171" fontId="160" fillId="0" borderId="0" xfId="97" applyNumberFormat="1" applyFont="1" applyAlignment="1">
      <alignment horizontal="center"/>
    </xf>
    <xf numFmtId="3" fontId="159" fillId="17" borderId="13" xfId="1" applyNumberFormat="1" applyFont="1" applyFill="1" applyBorder="1" applyAlignment="1">
      <alignment horizontal="center"/>
    </xf>
    <xf numFmtId="9" fontId="160" fillId="17" borderId="13" xfId="97" applyFont="1" applyFill="1" applyBorder="1" applyAlignment="1">
      <alignment horizontal="center"/>
    </xf>
    <xf numFmtId="9" fontId="160" fillId="0" borderId="16" xfId="97" applyFont="1" applyFill="1" applyBorder="1" applyAlignment="1">
      <alignment horizontal="center"/>
    </xf>
    <xf numFmtId="9" fontId="158" fillId="0" borderId="0" xfId="1" applyNumberFormat="1" applyFont="1" applyAlignment="1">
      <alignment horizontal="center"/>
    </xf>
    <xf numFmtId="3" fontId="158" fillId="0" borderId="0" xfId="1" applyNumberFormat="1" applyFont="1" applyAlignment="1">
      <alignment horizontal="center"/>
    </xf>
    <xf numFmtId="3" fontId="119" fillId="16" borderId="0" xfId="1" applyNumberFormat="1" applyFont="1" applyFill="1" applyAlignment="1">
      <alignment horizontal="center"/>
    </xf>
    <xf numFmtId="9" fontId="119" fillId="16" borderId="0" xfId="1" applyNumberFormat="1" applyFont="1" applyFill="1" applyAlignment="1">
      <alignment horizontal="center"/>
    </xf>
    <xf numFmtId="171" fontId="119" fillId="0" borderId="0" xfId="1" applyNumberFormat="1" applyFont="1" applyAlignment="1">
      <alignment horizontal="center"/>
    </xf>
    <xf numFmtId="0" fontId="119" fillId="0" borderId="0" xfId="1" applyFont="1" applyAlignment="1">
      <alignment horizontal="center"/>
    </xf>
    <xf numFmtId="0" fontId="158" fillId="0" borderId="0" xfId="1" applyFont="1" applyAlignment="1">
      <alignment horizontal="center"/>
    </xf>
    <xf numFmtId="9" fontId="158" fillId="0" borderId="0" xfId="97" applyFont="1" applyAlignment="1">
      <alignment horizontal="center"/>
    </xf>
    <xf numFmtId="9" fontId="158" fillId="0" borderId="0" xfId="97" applyFont="1" applyFill="1" applyAlignment="1">
      <alignment horizontal="center"/>
    </xf>
    <xf numFmtId="0" fontId="160" fillId="0" borderId="0" xfId="1" applyFont="1" applyAlignment="1">
      <alignment horizontal="center"/>
    </xf>
    <xf numFmtId="9" fontId="160" fillId="0" borderId="0" xfId="97" applyFont="1" applyAlignment="1">
      <alignment horizontal="center"/>
    </xf>
    <xf numFmtId="0" fontId="119" fillId="16" borderId="0" xfId="1" applyFont="1" applyFill="1" applyAlignment="1">
      <alignment horizontal="center"/>
    </xf>
    <xf numFmtId="9" fontId="158" fillId="16" borderId="0" xfId="97" applyFont="1" applyFill="1" applyAlignment="1">
      <alignment horizontal="center"/>
    </xf>
    <xf numFmtId="0" fontId="158" fillId="16" borderId="0" xfId="1" applyFont="1" applyFill="1" applyAlignment="1">
      <alignment horizontal="center"/>
    </xf>
    <xf numFmtId="3" fontId="119" fillId="22" borderId="0" xfId="1" applyNumberFormat="1" applyFont="1" applyFill="1" applyAlignment="1">
      <alignment horizontal="center"/>
    </xf>
    <xf numFmtId="9" fontId="160" fillId="0" borderId="0" xfId="97" applyFont="1" applyFill="1" applyAlignment="1">
      <alignment horizontal="center"/>
    </xf>
    <xf numFmtId="0" fontId="159" fillId="0" borderId="0" xfId="1" applyFont="1" applyAlignment="1">
      <alignment horizontal="center"/>
    </xf>
    <xf numFmtId="171" fontId="158" fillId="16" borderId="0" xfId="97" applyNumberFormat="1" applyFont="1" applyFill="1" applyAlignment="1">
      <alignment horizontal="center"/>
    </xf>
    <xf numFmtId="0" fontId="95" fillId="0" borderId="0" xfId="1" applyFont="1" applyAlignment="1">
      <alignment vertical="center"/>
    </xf>
    <xf numFmtId="0" fontId="103" fillId="0" borderId="0" xfId="1" applyFont="1" applyAlignment="1">
      <alignment vertical="center"/>
    </xf>
    <xf numFmtId="0" fontId="103" fillId="0" borderId="0" xfId="1" applyFont="1" applyAlignment="1">
      <alignment horizontal="center" vertical="center"/>
    </xf>
    <xf numFmtId="0" fontId="103" fillId="0" borderId="0" xfId="0" applyFont="1" applyAlignment="1">
      <alignment vertical="center"/>
    </xf>
    <xf numFmtId="182" fontId="77" fillId="0" borderId="0" xfId="87" applyNumberFormat="1" applyFont="1" applyAlignment="1">
      <alignment horizontal="right" vertical="center"/>
    </xf>
    <xf numFmtId="9" fontId="80" fillId="0" borderId="0" xfId="97" applyFont="1" applyFill="1" applyBorder="1" applyAlignment="1">
      <alignment horizontal="center" vertical="center"/>
    </xf>
    <xf numFmtId="9" fontId="93" fillId="0" borderId="23" xfId="97" applyFont="1" applyFill="1" applyBorder="1" applyAlignment="1">
      <alignment horizontal="center" vertical="center"/>
    </xf>
    <xf numFmtId="172" fontId="80" fillId="0" borderId="0" xfId="65" quotePrefix="1" applyNumberFormat="1" applyFont="1" applyFill="1" applyBorder="1" applyAlignment="1" applyProtection="1">
      <alignment horizontal="right" vertical="center"/>
      <protection locked="0"/>
    </xf>
    <xf numFmtId="172" fontId="80" fillId="0" borderId="0" xfId="65" quotePrefix="1" applyNumberFormat="1" applyFont="1" applyFill="1" applyBorder="1" applyAlignment="1" applyProtection="1">
      <alignment horizontal="center" vertical="center"/>
      <protection locked="0"/>
    </xf>
    <xf numFmtId="9" fontId="93" fillId="0" borderId="0" xfId="0" applyNumberFormat="1" applyFont="1" applyAlignment="1">
      <alignment horizontal="center" vertical="center"/>
    </xf>
    <xf numFmtId="3" fontId="75" fillId="0" borderId="0" xfId="0" applyNumberFormat="1" applyFont="1" applyAlignment="1">
      <alignment horizontal="center" vertical="center"/>
    </xf>
    <xf numFmtId="171" fontId="80" fillId="0" borderId="0" xfId="97" applyNumberFormat="1" applyFont="1" applyFill="1" applyBorder="1" applyAlignment="1">
      <alignment horizontal="center" vertical="center"/>
    </xf>
    <xf numFmtId="15" fontId="90" fillId="0" borderId="0" xfId="1" applyNumberFormat="1" applyFont="1" applyAlignment="1">
      <alignment horizontal="left" vertical="center"/>
    </xf>
    <xf numFmtId="0" fontId="80" fillId="47" borderId="0" xfId="1" applyFont="1" applyFill="1" applyAlignment="1">
      <alignment vertical="center"/>
    </xf>
    <xf numFmtId="0" fontId="80" fillId="47" borderId="0" xfId="1" applyFont="1" applyFill="1" applyAlignment="1">
      <alignment horizontal="center" vertical="center"/>
    </xf>
    <xf numFmtId="0" fontId="80" fillId="47" borderId="0" xfId="0" applyFont="1" applyFill="1" applyAlignment="1">
      <alignment vertical="center"/>
    </xf>
    <xf numFmtId="0" fontId="80" fillId="47" borderId="0" xfId="0" applyFont="1" applyFill="1" applyAlignment="1">
      <alignment horizontal="center" vertical="center"/>
    </xf>
    <xf numFmtId="9" fontId="80" fillId="47" borderId="0" xfId="97" applyFont="1" applyFill="1" applyBorder="1" applyAlignment="1">
      <alignment horizontal="center" vertical="center"/>
    </xf>
    <xf numFmtId="9" fontId="93" fillId="47" borderId="23" xfId="97" applyFont="1" applyFill="1" applyBorder="1" applyAlignment="1">
      <alignment horizontal="center" vertical="center"/>
    </xf>
    <xf numFmtId="172" fontId="80" fillId="47" borderId="0" xfId="65" quotePrefix="1" applyNumberFormat="1" applyFont="1" applyFill="1" applyBorder="1" applyAlignment="1" applyProtection="1">
      <alignment horizontal="right" vertical="center"/>
      <protection locked="0"/>
    </xf>
    <xf numFmtId="172" fontId="80" fillId="47" borderId="0" xfId="65" quotePrefix="1" applyNumberFormat="1" applyFont="1" applyFill="1" applyBorder="1" applyAlignment="1" applyProtection="1">
      <alignment horizontal="center" vertical="center"/>
      <protection locked="0"/>
    </xf>
    <xf numFmtId="9" fontId="93" fillId="47" borderId="0" xfId="0" applyNumberFormat="1" applyFont="1" applyFill="1" applyAlignment="1">
      <alignment horizontal="center" vertical="center"/>
    </xf>
    <xf numFmtId="0" fontId="77" fillId="47" borderId="0" xfId="1" applyFont="1" applyFill="1" applyAlignment="1">
      <alignment vertical="center"/>
    </xf>
    <xf numFmtId="0" fontId="75" fillId="47" borderId="0" xfId="1" applyFont="1" applyFill="1" applyAlignment="1">
      <alignment vertical="center"/>
    </xf>
    <xf numFmtId="0" fontId="75" fillId="47" borderId="0" xfId="1" applyFont="1" applyFill="1" applyAlignment="1">
      <alignment horizontal="center" vertical="center"/>
    </xf>
    <xf numFmtId="3" fontId="75" fillId="47" borderId="0" xfId="1" applyNumberFormat="1" applyFont="1" applyFill="1" applyAlignment="1">
      <alignment horizontal="center" vertical="center"/>
    </xf>
    <xf numFmtId="172" fontId="75" fillId="47" borderId="0" xfId="1" applyNumberFormat="1" applyFont="1" applyFill="1" applyAlignment="1">
      <alignment horizontal="center" vertical="center"/>
    </xf>
    <xf numFmtId="3" fontId="75" fillId="47" borderId="0" xfId="65" quotePrefix="1" applyFont="1" applyFill="1" applyBorder="1" applyAlignment="1" applyProtection="1">
      <alignment horizontal="center" vertical="center"/>
      <protection locked="0"/>
    </xf>
    <xf numFmtId="0" fontId="75" fillId="47" borderId="0" xfId="0" applyFont="1" applyFill="1" applyAlignment="1">
      <alignment vertical="center"/>
    </xf>
    <xf numFmtId="0" fontId="77" fillId="47" borderId="0" xfId="0" applyFont="1" applyFill="1" applyAlignment="1">
      <alignment vertical="center"/>
    </xf>
    <xf numFmtId="172" fontId="75" fillId="47" borderId="0" xfId="0" applyNumberFormat="1" applyFont="1" applyFill="1" applyAlignment="1">
      <alignment horizontal="center" vertical="center" wrapText="1"/>
    </xf>
    <xf numFmtId="0" fontId="75" fillId="33" borderId="0" xfId="1" applyFont="1" applyFill="1"/>
    <xf numFmtId="0" fontId="148" fillId="29" borderId="0" xfId="1" applyFont="1" applyFill="1"/>
    <xf numFmtId="0" fontId="156" fillId="48" borderId="0" xfId="1" applyFont="1" applyFill="1"/>
    <xf numFmtId="9" fontId="20" fillId="50" borderId="0" xfId="2" applyNumberFormat="1" applyFont="1" applyFill="1" applyAlignment="1">
      <alignment horizontal="center"/>
    </xf>
    <xf numFmtId="3" fontId="78" fillId="52" borderId="0" xfId="1" applyNumberFormat="1" applyFont="1" applyFill="1" applyAlignment="1">
      <alignment horizontal="center"/>
    </xf>
    <xf numFmtId="3" fontId="75" fillId="52" borderId="0" xfId="1" applyNumberFormat="1" applyFont="1" applyFill="1" applyAlignment="1">
      <alignment horizontal="center"/>
    </xf>
    <xf numFmtId="3" fontId="74" fillId="52" borderId="0" xfId="1" applyNumberFormat="1" applyFont="1" applyFill="1" applyAlignment="1">
      <alignment horizontal="center"/>
    </xf>
    <xf numFmtId="3" fontId="78" fillId="53" borderId="0" xfId="1" applyNumberFormat="1" applyFont="1" applyFill="1" applyAlignment="1">
      <alignment horizontal="center"/>
    </xf>
    <xf numFmtId="3" fontId="79" fillId="53" borderId="0" xfId="1" applyNumberFormat="1" applyFont="1" applyFill="1" applyAlignment="1">
      <alignment horizontal="center"/>
    </xf>
    <xf numFmtId="3" fontId="75" fillId="53" borderId="0" xfId="1" applyNumberFormat="1" applyFont="1" applyFill="1" applyAlignment="1">
      <alignment horizontal="center"/>
    </xf>
    <xf numFmtId="3" fontId="123" fillId="53" borderId="0" xfId="1" applyNumberFormat="1" applyFont="1" applyFill="1" applyAlignment="1">
      <alignment horizontal="center"/>
    </xf>
    <xf numFmtId="3" fontId="90" fillId="53" borderId="0" xfId="1" applyNumberFormat="1" applyFont="1" applyFill="1" applyAlignment="1">
      <alignment horizontal="center"/>
    </xf>
    <xf numFmtId="9" fontId="78" fillId="53" borderId="0" xfId="1" applyNumberFormat="1" applyFont="1" applyFill="1" applyAlignment="1">
      <alignment horizontal="center"/>
    </xf>
    <xf numFmtId="0" fontId="90" fillId="0" borderId="0" xfId="1" applyFont="1" applyAlignment="1">
      <alignment horizontal="center"/>
    </xf>
    <xf numFmtId="0" fontId="103" fillId="51" borderId="0" xfId="1" applyFont="1" applyFill="1" applyAlignment="1">
      <alignment horizontal="left"/>
    </xf>
    <xf numFmtId="3" fontId="97" fillId="53" borderId="0" xfId="1" applyNumberFormat="1" applyFont="1" applyFill="1" applyAlignment="1">
      <alignment horizontal="center"/>
    </xf>
    <xf numFmtId="3" fontId="93" fillId="53" borderId="0" xfId="1" applyNumberFormat="1" applyFont="1" applyFill="1" applyAlignment="1">
      <alignment horizontal="center"/>
    </xf>
    <xf numFmtId="171" fontId="79" fillId="0" borderId="0" xfId="97" applyNumberFormat="1" applyFont="1" applyFill="1" applyBorder="1" applyAlignment="1">
      <alignment horizontal="center"/>
    </xf>
    <xf numFmtId="171" fontId="79" fillId="0" borderId="26" xfId="97" applyNumberFormat="1" applyFont="1" applyFill="1" applyBorder="1" applyAlignment="1">
      <alignment horizontal="center"/>
    </xf>
    <xf numFmtId="0" fontId="156" fillId="33" borderId="0" xfId="1" applyFont="1" applyFill="1"/>
    <xf numFmtId="0" fontId="156" fillId="0" borderId="0" xfId="1" applyFont="1"/>
    <xf numFmtId="9" fontId="79" fillId="0" borderId="14" xfId="1" applyNumberFormat="1" applyFont="1" applyBorder="1" applyAlignment="1">
      <alignment horizontal="center" vertical="center"/>
    </xf>
    <xf numFmtId="9" fontId="79" fillId="19" borderId="0" xfId="1" applyNumberFormat="1" applyFont="1" applyFill="1" applyAlignment="1">
      <alignment horizontal="center" vertical="center"/>
    </xf>
    <xf numFmtId="171" fontId="101" fillId="0" borderId="0" xfId="97" applyNumberFormat="1" applyFont="1" applyAlignment="1">
      <alignment horizontal="center"/>
    </xf>
    <xf numFmtId="3" fontId="78" fillId="0" borderId="14" xfId="1" applyNumberFormat="1" applyFont="1" applyBorder="1" applyAlignment="1">
      <alignment horizontal="center" vertical="center"/>
    </xf>
    <xf numFmtId="9" fontId="90" fillId="16" borderId="0" xfId="1" applyNumberFormat="1" applyFont="1" applyFill="1" applyAlignment="1">
      <alignment horizontal="center"/>
    </xf>
    <xf numFmtId="0" fontId="75" fillId="0" borderId="0" xfId="0" applyFont="1" applyAlignment="1">
      <alignment horizontal="center"/>
    </xf>
    <xf numFmtId="171" fontId="87" fillId="0" borderId="0" xfId="97" applyNumberFormat="1" applyFont="1" applyAlignment="1">
      <alignment horizontal="center"/>
    </xf>
    <xf numFmtId="2" fontId="152" fillId="0" borderId="16" xfId="90" applyFont="1" applyBorder="1" applyAlignment="1">
      <alignment vertical="center"/>
    </xf>
    <xf numFmtId="0" fontId="120" fillId="0" borderId="16" xfId="79" applyFont="1" applyBorder="1" applyAlignment="1" applyProtection="1">
      <alignment horizontal="center" vertical="center" wrapText="1"/>
    </xf>
    <xf numFmtId="0" fontId="161" fillId="0" borderId="0" xfId="0" applyFont="1" applyAlignment="1">
      <alignment vertical="center"/>
    </xf>
    <xf numFmtId="0" fontId="162" fillId="0" borderId="0" xfId="0" applyFont="1" applyAlignment="1">
      <alignment vertical="center"/>
    </xf>
    <xf numFmtId="3" fontId="77" fillId="0" borderId="45" xfId="1" applyNumberFormat="1" applyFont="1" applyBorder="1" applyAlignment="1">
      <alignment horizontal="center"/>
    </xf>
    <xf numFmtId="172" fontId="109" fillId="0" borderId="0" xfId="1" applyNumberFormat="1" applyFont="1" applyAlignment="1">
      <alignment horizontal="center"/>
    </xf>
    <xf numFmtId="9" fontId="97" fillId="0" borderId="0" xfId="97" applyFont="1" applyFill="1" applyAlignment="1">
      <alignment horizontal="center"/>
    </xf>
    <xf numFmtId="3" fontId="93" fillId="0" borderId="0" xfId="1" applyNumberFormat="1" applyFont="1" applyAlignment="1">
      <alignment horizontal="center"/>
    </xf>
    <xf numFmtId="0" fontId="93" fillId="0" borderId="0" xfId="1" applyFont="1" applyAlignment="1">
      <alignment horizontal="center"/>
    </xf>
    <xf numFmtId="3" fontId="78" fillId="32" borderId="0" xfId="1" applyNumberFormat="1" applyFont="1" applyFill="1" applyAlignment="1">
      <alignment horizontal="center"/>
    </xf>
    <xf numFmtId="3" fontId="75" fillId="32" borderId="0" xfId="1" applyNumberFormat="1" applyFont="1" applyFill="1" applyAlignment="1">
      <alignment horizontal="center"/>
    </xf>
    <xf numFmtId="9" fontId="78" fillId="0" borderId="0" xfId="97" applyFont="1" applyFill="1" applyAlignment="1">
      <alignment horizontal="center"/>
    </xf>
    <xf numFmtId="172" fontId="99" fillId="49" borderId="0" xfId="1" applyNumberFormat="1" applyFont="1" applyFill="1" applyAlignment="1">
      <alignment horizontal="center"/>
    </xf>
    <xf numFmtId="0" fontId="82" fillId="0" borderId="0" xfId="1" applyFont="1"/>
    <xf numFmtId="0" fontId="154" fillId="0" borderId="0" xfId="1" applyFont="1" applyAlignment="1">
      <alignment horizontal="center"/>
    </xf>
    <xf numFmtId="3" fontId="154" fillId="0" borderId="0" xfId="1" applyNumberFormat="1" applyFont="1" applyAlignment="1">
      <alignment horizontal="center"/>
    </xf>
    <xf numFmtId="172" fontId="82" fillId="0" borderId="0" xfId="1" applyNumberFormat="1" applyFont="1" applyAlignment="1">
      <alignment horizontal="center"/>
    </xf>
    <xf numFmtId="172" fontId="154" fillId="0" borderId="0" xfId="1" applyNumberFormat="1" applyFont="1" applyAlignment="1">
      <alignment horizontal="center"/>
    </xf>
    <xf numFmtId="0" fontId="164" fillId="0" borderId="0" xfId="1" applyFont="1" applyAlignment="1">
      <alignment horizontal="center"/>
    </xf>
    <xf numFmtId="172" fontId="165" fillId="31" borderId="0" xfId="1" applyNumberFormat="1" applyFont="1" applyFill="1" applyAlignment="1">
      <alignment horizontal="center"/>
    </xf>
    <xf numFmtId="10" fontId="85" fillId="0" borderId="0" xfId="1" applyNumberFormat="1" applyFont="1" applyAlignment="1">
      <alignment horizontal="center"/>
    </xf>
    <xf numFmtId="10" fontId="94" fillId="0" borderId="0" xfId="1" applyNumberFormat="1" applyFont="1" applyAlignment="1">
      <alignment horizontal="center"/>
    </xf>
    <xf numFmtId="171" fontId="13" fillId="31" borderId="23" xfId="97" applyNumberFormat="1" applyFont="1" applyFill="1" applyBorder="1" applyAlignment="1">
      <alignment horizontal="center"/>
    </xf>
    <xf numFmtId="171" fontId="10" fillId="0" borderId="0" xfId="97" applyNumberFormat="1" applyFont="1" applyFill="1" applyBorder="1" applyAlignment="1">
      <alignment horizontal="center"/>
    </xf>
    <xf numFmtId="171" fontId="16" fillId="0" borderId="0" xfId="97" applyNumberFormat="1" applyFont="1" applyFill="1" applyBorder="1" applyAlignment="1">
      <alignment horizontal="center"/>
    </xf>
    <xf numFmtId="171" fontId="7" fillId="0" borderId="0" xfId="97" applyNumberFormat="1" applyFont="1" applyFill="1" applyBorder="1" applyAlignment="1">
      <alignment horizontal="center"/>
    </xf>
    <xf numFmtId="171" fontId="102" fillId="0" borderId="43" xfId="1" applyNumberFormat="1" applyFont="1" applyBorder="1" applyAlignment="1">
      <alignment horizontal="center"/>
    </xf>
    <xf numFmtId="171" fontId="102" fillId="0" borderId="25" xfId="1" applyNumberFormat="1" applyFont="1" applyBorder="1" applyAlignment="1">
      <alignment horizontal="center"/>
    </xf>
    <xf numFmtId="171" fontId="102" fillId="0" borderId="0" xfId="1" applyNumberFormat="1" applyFont="1" applyAlignment="1">
      <alignment horizontal="center"/>
    </xf>
    <xf numFmtId="171" fontId="102" fillId="0" borderId="44" xfId="1" applyNumberFormat="1" applyFont="1" applyBorder="1" applyAlignment="1">
      <alignment horizontal="center"/>
    </xf>
    <xf numFmtId="3" fontId="77" fillId="0" borderId="33" xfId="1" applyNumberFormat="1" applyFont="1" applyBorder="1" applyAlignment="1">
      <alignment horizontal="center" vertical="center" wrapText="1"/>
    </xf>
    <xf numFmtId="0" fontId="75" fillId="46" borderId="0" xfId="1" applyFont="1" applyFill="1" applyAlignment="1">
      <alignment horizontal="center"/>
    </xf>
    <xf numFmtId="0" fontId="75" fillId="46" borderId="0" xfId="1" applyFont="1" applyFill="1"/>
    <xf numFmtId="171" fontId="81" fillId="46" borderId="0" xfId="97" applyNumberFormat="1" applyFont="1" applyFill="1" applyAlignment="1">
      <alignment horizontal="center"/>
    </xf>
    <xf numFmtId="3" fontId="95" fillId="21" borderId="0" xfId="65" applyFont="1" applyFill="1" applyBorder="1" applyAlignment="1">
      <alignment horizontal="center" vertical="center"/>
    </xf>
    <xf numFmtId="9" fontId="130" fillId="16" borderId="0" xfId="1" applyNumberFormat="1" applyFont="1" applyFill="1" applyAlignment="1">
      <alignment horizontal="center"/>
    </xf>
    <xf numFmtId="9" fontId="16" fillId="0" borderId="0" xfId="1" applyNumberFormat="1" applyFont="1" applyAlignment="1">
      <alignment horizontal="center"/>
    </xf>
    <xf numFmtId="9" fontId="10" fillId="0" borderId="0" xfId="1" applyNumberFormat="1" applyFont="1"/>
    <xf numFmtId="196" fontId="20" fillId="50" borderId="0" xfId="2" applyNumberFormat="1" applyFont="1" applyFill="1" applyAlignment="1">
      <alignment horizontal="center"/>
    </xf>
    <xf numFmtId="9" fontId="75" fillId="0" borderId="0" xfId="1" applyNumberFormat="1" applyFont="1" applyAlignment="1">
      <alignment horizontal="center" vertical="center" wrapText="1"/>
    </xf>
    <xf numFmtId="9" fontId="71" fillId="0" borderId="0" xfId="1" applyNumberFormat="1" applyFont="1" applyAlignment="1">
      <alignment horizontal="center"/>
    </xf>
    <xf numFmtId="3" fontId="78" fillId="41" borderId="0" xfId="1" applyNumberFormat="1" applyFont="1" applyFill="1" applyAlignment="1">
      <alignment horizontal="center"/>
    </xf>
    <xf numFmtId="3" fontId="79" fillId="41" borderId="0" xfId="1" applyNumberFormat="1" applyFont="1" applyFill="1" applyAlignment="1">
      <alignment horizontal="center"/>
    </xf>
    <xf numFmtId="3" fontId="77" fillId="0" borderId="0" xfId="134" applyNumberFormat="1" applyFont="1" applyAlignment="1">
      <alignment horizontal="center"/>
    </xf>
    <xf numFmtId="3" fontId="90" fillId="41" borderId="0" xfId="1" applyNumberFormat="1" applyFont="1" applyFill="1" applyAlignment="1">
      <alignment horizontal="center"/>
    </xf>
    <xf numFmtId="171" fontId="79" fillId="16" borderId="0" xfId="97" applyNumberFormat="1" applyFont="1" applyFill="1" applyAlignment="1">
      <alignment horizontal="center"/>
    </xf>
    <xf numFmtId="3" fontId="134" fillId="19" borderId="0" xfId="1" applyNumberFormat="1" applyFont="1" applyFill="1" applyAlignment="1">
      <alignment horizontal="center" vertical="center"/>
    </xf>
    <xf numFmtId="3" fontId="109" fillId="0" borderId="0" xfId="1" applyNumberFormat="1" applyFont="1" applyAlignment="1">
      <alignment horizontal="center" vertical="center"/>
    </xf>
    <xf numFmtId="0" fontId="81" fillId="0" borderId="0" xfId="87" applyFont="1" applyAlignment="1">
      <alignment horizontal="left" vertical="center"/>
    </xf>
    <xf numFmtId="3" fontId="134" fillId="0" borderId="0" xfId="65" applyFont="1" applyFill="1" applyBorder="1" applyAlignment="1">
      <alignment horizontal="center" vertical="center"/>
    </xf>
    <xf numFmtId="3" fontId="134" fillId="0" borderId="14" xfId="65" applyFont="1" applyFill="1" applyBorder="1" applyAlignment="1">
      <alignment horizontal="center" vertical="center"/>
    </xf>
    <xf numFmtId="171" fontId="112" fillId="0" borderId="0" xfId="97" applyNumberFormat="1" applyFont="1" applyFill="1" applyAlignment="1">
      <alignment horizontal="center"/>
    </xf>
    <xf numFmtId="171" fontId="85" fillId="0" borderId="0" xfId="97" applyNumberFormat="1" applyFont="1" applyFill="1" applyBorder="1" applyAlignment="1">
      <alignment horizontal="center" vertical="center"/>
    </xf>
    <xf numFmtId="171" fontId="127" fillId="16" borderId="0" xfId="97" applyNumberFormat="1" applyFont="1" applyFill="1" applyAlignment="1">
      <alignment horizontal="center"/>
    </xf>
    <xf numFmtId="171" fontId="127" fillId="0" borderId="0" xfId="97" applyNumberFormat="1" applyFont="1" applyFill="1" applyAlignment="1">
      <alignment horizontal="center"/>
    </xf>
    <xf numFmtId="213" fontId="85" fillId="31" borderId="23" xfId="1" applyNumberFormat="1" applyFont="1" applyFill="1" applyBorder="1" applyAlignment="1">
      <alignment horizontal="center"/>
    </xf>
    <xf numFmtId="172" fontId="111" fillId="31" borderId="23" xfId="97" applyNumberFormat="1" applyFont="1" applyFill="1" applyBorder="1" applyAlignment="1">
      <alignment horizontal="center"/>
    </xf>
    <xf numFmtId="172" fontId="77" fillId="0" borderId="0" xfId="97" applyNumberFormat="1" applyFont="1" applyBorder="1" applyAlignment="1">
      <alignment horizontal="center"/>
    </xf>
    <xf numFmtId="0" fontId="82" fillId="17" borderId="0" xfId="1" applyFont="1" applyFill="1"/>
    <xf numFmtId="3" fontId="101" fillId="0" borderId="0" xfId="1" applyNumberFormat="1" applyFont="1" applyAlignment="1">
      <alignment horizontal="center" vertical="center"/>
    </xf>
    <xf numFmtId="0" fontId="75" fillId="0" borderId="0" xfId="134" applyFont="1"/>
    <xf numFmtId="0" fontId="75" fillId="0" borderId="0" xfId="134" applyFont="1" applyAlignment="1">
      <alignment horizontal="center"/>
    </xf>
    <xf numFmtId="1" fontId="75" fillId="0" borderId="0" xfId="134" applyNumberFormat="1" applyFont="1" applyAlignment="1">
      <alignment horizontal="center"/>
    </xf>
    <xf numFmtId="0" fontId="77" fillId="0" borderId="0" xfId="134" applyFont="1"/>
    <xf numFmtId="0" fontId="77" fillId="0" borderId="0" xfId="134" applyFont="1" applyAlignment="1">
      <alignment horizontal="center"/>
    </xf>
    <xf numFmtId="3" fontId="77" fillId="41" borderId="0" xfId="1" applyNumberFormat="1" applyFont="1" applyFill="1" applyAlignment="1">
      <alignment horizontal="center"/>
    </xf>
    <xf numFmtId="3" fontId="155" fillId="41" borderId="0" xfId="1" applyNumberFormat="1" applyFont="1" applyFill="1" applyAlignment="1">
      <alignment horizontal="center"/>
    </xf>
    <xf numFmtId="171" fontId="77" fillId="41" borderId="0" xfId="97" applyNumberFormat="1" applyFont="1" applyFill="1" applyAlignment="1">
      <alignment horizontal="center"/>
    </xf>
    <xf numFmtId="3" fontId="100" fillId="41" borderId="0" xfId="1" applyNumberFormat="1" applyFont="1" applyFill="1" applyAlignment="1">
      <alignment horizontal="center"/>
    </xf>
    <xf numFmtId="9" fontId="80" fillId="41" borderId="0" xfId="97" applyFont="1" applyFill="1" applyAlignment="1">
      <alignment horizontal="center"/>
    </xf>
    <xf numFmtId="171" fontId="80" fillId="41" borderId="0" xfId="97" applyNumberFormat="1" applyFont="1" applyFill="1" applyAlignment="1">
      <alignment horizontal="center"/>
    </xf>
    <xf numFmtId="172" fontId="78" fillId="41" borderId="0" xfId="1" applyNumberFormat="1" applyFont="1" applyFill="1" applyAlignment="1">
      <alignment horizontal="center"/>
    </xf>
    <xf numFmtId="3" fontId="74" fillId="41" borderId="0" xfId="1" applyNumberFormat="1" applyFont="1" applyFill="1" applyAlignment="1">
      <alignment horizontal="center"/>
    </xf>
    <xf numFmtId="171" fontId="81" fillId="41" borderId="0" xfId="97" applyNumberFormat="1" applyFont="1" applyFill="1" applyAlignment="1">
      <alignment horizontal="center"/>
    </xf>
    <xf numFmtId="9" fontId="77" fillId="41" borderId="0" xfId="1" applyNumberFormat="1" applyFont="1" applyFill="1" applyAlignment="1">
      <alignment horizontal="center"/>
    </xf>
    <xf numFmtId="9" fontId="94" fillId="41" borderId="0" xfId="1" applyNumberFormat="1" applyFont="1" applyFill="1" applyAlignment="1">
      <alignment horizontal="center"/>
    </xf>
    <xf numFmtId="9" fontId="75" fillId="41" borderId="0" xfId="1" applyNumberFormat="1" applyFont="1" applyFill="1" applyAlignment="1">
      <alignment horizontal="center"/>
    </xf>
    <xf numFmtId="0" fontId="77" fillId="41" borderId="0" xfId="1" applyFont="1" applyFill="1" applyAlignment="1">
      <alignment horizontal="center"/>
    </xf>
    <xf numFmtId="171" fontId="81" fillId="41" borderId="0" xfId="1" applyNumberFormat="1" applyFont="1" applyFill="1" applyAlignment="1">
      <alignment horizontal="center"/>
    </xf>
    <xf numFmtId="1" fontId="75" fillId="41" borderId="0" xfId="1" applyNumberFormat="1" applyFont="1" applyFill="1" applyAlignment="1">
      <alignment horizontal="center"/>
    </xf>
    <xf numFmtId="3" fontId="97" fillId="41" borderId="0" xfId="1" applyNumberFormat="1" applyFont="1" applyFill="1" applyAlignment="1">
      <alignment horizontal="center"/>
    </xf>
    <xf numFmtId="172" fontId="90" fillId="41" borderId="0" xfId="1" applyNumberFormat="1" applyFont="1" applyFill="1" applyAlignment="1">
      <alignment horizontal="center"/>
    </xf>
    <xf numFmtId="172" fontId="74" fillId="41" borderId="0" xfId="1" applyNumberFormat="1" applyFont="1" applyFill="1" applyAlignment="1">
      <alignment horizontal="center"/>
    </xf>
    <xf numFmtId="0" fontId="81" fillId="41" borderId="0" xfId="1" applyFont="1" applyFill="1" applyAlignment="1">
      <alignment horizontal="center"/>
    </xf>
    <xf numFmtId="172" fontId="123" fillId="41" borderId="0" xfId="1" applyNumberFormat="1" applyFont="1" applyFill="1" applyAlignment="1">
      <alignment horizontal="center"/>
    </xf>
    <xf numFmtId="172" fontId="127" fillId="41" borderId="0" xfId="1" applyNumberFormat="1" applyFont="1" applyFill="1" applyAlignment="1">
      <alignment horizontal="center"/>
    </xf>
    <xf numFmtId="171" fontId="127" fillId="41" borderId="0" xfId="1" applyNumberFormat="1" applyFont="1" applyFill="1" applyAlignment="1">
      <alignment horizontal="center"/>
    </xf>
    <xf numFmtId="172" fontId="77" fillId="41" borderId="0" xfId="1" applyNumberFormat="1" applyFont="1" applyFill="1" applyAlignment="1">
      <alignment horizontal="center"/>
    </xf>
    <xf numFmtId="9" fontId="81" fillId="41" borderId="0" xfId="97" applyFont="1" applyFill="1" applyAlignment="1">
      <alignment horizontal="center"/>
    </xf>
    <xf numFmtId="1" fontId="78" fillId="41" borderId="0" xfId="1" applyNumberFormat="1" applyFont="1" applyFill="1" applyAlignment="1">
      <alignment horizontal="center"/>
    </xf>
    <xf numFmtId="2" fontId="111" fillId="41" borderId="0" xfId="1" applyNumberFormat="1" applyFont="1" applyFill="1" applyAlignment="1">
      <alignment horizontal="center"/>
    </xf>
    <xf numFmtId="2" fontId="75" fillId="41" borderId="0" xfId="1" applyNumberFormat="1" applyFont="1" applyFill="1" applyAlignment="1">
      <alignment horizontal="center"/>
    </xf>
    <xf numFmtId="2" fontId="78" fillId="41" borderId="0" xfId="1" applyNumberFormat="1" applyFont="1" applyFill="1" applyAlignment="1">
      <alignment horizontal="center"/>
    </xf>
    <xf numFmtId="172" fontId="75" fillId="41" borderId="0" xfId="97" applyNumberFormat="1" applyFont="1" applyFill="1" applyAlignment="1">
      <alignment horizontal="center"/>
    </xf>
    <xf numFmtId="172" fontId="78" fillId="41" borderId="0" xfId="97" applyNumberFormat="1" applyFont="1" applyFill="1" applyAlignment="1">
      <alignment horizontal="center"/>
    </xf>
    <xf numFmtId="212" fontId="111" fillId="41" borderId="0" xfId="97" applyNumberFormat="1" applyFont="1" applyFill="1" applyAlignment="1">
      <alignment horizontal="center"/>
    </xf>
    <xf numFmtId="212" fontId="77" fillId="41" borderId="0" xfId="97" applyNumberFormat="1" applyFont="1" applyFill="1" applyAlignment="1">
      <alignment horizontal="center"/>
    </xf>
    <xf numFmtId="172" fontId="77" fillId="41" borderId="0" xfId="97" applyNumberFormat="1" applyFont="1" applyFill="1" applyAlignment="1">
      <alignment horizontal="center"/>
    </xf>
    <xf numFmtId="171" fontId="78" fillId="41" borderId="0" xfId="97" applyNumberFormat="1" applyFont="1" applyFill="1" applyAlignment="1">
      <alignment horizontal="center"/>
    </xf>
    <xf numFmtId="171" fontId="75" fillId="41" borderId="0" xfId="97" applyNumberFormat="1" applyFont="1" applyFill="1" applyAlignment="1">
      <alignment horizontal="center"/>
    </xf>
    <xf numFmtId="170" fontId="75" fillId="41" borderId="0" xfId="97" applyNumberFormat="1" applyFont="1" applyFill="1" applyAlignment="1">
      <alignment horizontal="center"/>
    </xf>
    <xf numFmtId="4" fontId="78" fillId="41" borderId="0" xfId="97" applyNumberFormat="1" applyFont="1" applyFill="1" applyAlignment="1">
      <alignment horizontal="center"/>
    </xf>
    <xf numFmtId="4" fontId="75" fillId="41" borderId="0" xfId="97" applyNumberFormat="1" applyFont="1" applyFill="1" applyAlignment="1">
      <alignment horizontal="center"/>
    </xf>
    <xf numFmtId="3" fontId="78" fillId="41" borderId="0" xfId="97" applyNumberFormat="1" applyFont="1" applyFill="1" applyAlignment="1">
      <alignment horizontal="center"/>
    </xf>
    <xf numFmtId="3" fontId="75" fillId="41" borderId="0" xfId="97" applyNumberFormat="1" applyFont="1" applyFill="1" applyAlignment="1">
      <alignment horizontal="center"/>
    </xf>
    <xf numFmtId="10" fontId="75" fillId="41" borderId="0" xfId="97" applyNumberFormat="1" applyFont="1" applyFill="1" applyAlignment="1">
      <alignment horizontal="center"/>
    </xf>
    <xf numFmtId="10" fontId="78" fillId="41" borderId="0" xfId="97" applyNumberFormat="1" applyFont="1" applyFill="1" applyAlignment="1">
      <alignment horizontal="center"/>
    </xf>
    <xf numFmtId="0" fontId="79" fillId="41" borderId="0" xfId="1" applyFont="1" applyFill="1" applyAlignment="1">
      <alignment horizontal="center"/>
    </xf>
    <xf numFmtId="173" fontId="77" fillId="41" borderId="0" xfId="1" applyNumberFormat="1" applyFont="1" applyFill="1" applyAlignment="1">
      <alignment horizontal="center"/>
    </xf>
    <xf numFmtId="173" fontId="79" fillId="41" borderId="0" xfId="134" applyNumberFormat="1" applyFont="1" applyFill="1" applyAlignment="1">
      <alignment horizontal="center"/>
    </xf>
    <xf numFmtId="0" fontId="79" fillId="41" borderId="0" xfId="134" applyFont="1" applyFill="1" applyAlignment="1">
      <alignment horizontal="center"/>
    </xf>
    <xf numFmtId="173" fontId="75" fillId="41" borderId="0" xfId="1" applyNumberFormat="1" applyFont="1" applyFill="1" applyAlignment="1">
      <alignment horizontal="center"/>
    </xf>
    <xf numFmtId="0" fontId="78" fillId="41" borderId="0" xfId="134" applyFont="1" applyFill="1" applyAlignment="1">
      <alignment horizontal="center"/>
    </xf>
    <xf numFmtId="173" fontId="78" fillId="41" borderId="0" xfId="1" applyNumberFormat="1" applyFont="1" applyFill="1" applyAlignment="1">
      <alignment horizontal="center"/>
    </xf>
    <xf numFmtId="173" fontId="78" fillId="41" borderId="0" xfId="134" applyNumberFormat="1" applyFont="1" applyFill="1" applyAlignment="1">
      <alignment horizontal="center"/>
    </xf>
    <xf numFmtId="171" fontId="79" fillId="41" borderId="0" xfId="97" applyNumberFormat="1" applyFont="1" applyFill="1" applyAlignment="1">
      <alignment horizontal="center"/>
    </xf>
    <xf numFmtId="181" fontId="85" fillId="0" borderId="39" xfId="87" applyNumberFormat="1" applyFont="1" applyBorder="1" applyAlignment="1">
      <alignment horizontal="center" vertical="center"/>
    </xf>
    <xf numFmtId="3" fontId="74" fillId="0" borderId="17" xfId="1" applyNumberFormat="1" applyFont="1" applyBorder="1" applyAlignment="1">
      <alignment horizontal="center" vertical="center"/>
    </xf>
    <xf numFmtId="3" fontId="85" fillId="0" borderId="17" xfId="1" applyNumberFormat="1" applyFont="1" applyBorder="1" applyAlignment="1">
      <alignment horizontal="center" vertical="center"/>
    </xf>
    <xf numFmtId="3" fontId="85" fillId="46" borderId="17" xfId="1" applyNumberFormat="1" applyFont="1" applyFill="1" applyBorder="1" applyAlignment="1">
      <alignment horizontal="center" vertical="center"/>
    </xf>
    <xf numFmtId="3" fontId="79" fillId="0" borderId="17" xfId="1" applyNumberFormat="1" applyFont="1" applyBorder="1" applyAlignment="1">
      <alignment horizontal="center" vertical="center"/>
    </xf>
    <xf numFmtId="172" fontId="77" fillId="0" borderId="17" xfId="65" applyNumberFormat="1" applyFont="1" applyFill="1" applyBorder="1" applyAlignment="1">
      <alignment horizontal="center" vertical="center"/>
    </xf>
    <xf numFmtId="171" fontId="80" fillId="0" borderId="17" xfId="65" applyNumberFormat="1" applyFont="1" applyFill="1" applyBorder="1" applyAlignment="1">
      <alignment horizontal="center" vertical="center"/>
    </xf>
    <xf numFmtId="172" fontId="77" fillId="46" borderId="17" xfId="65" applyNumberFormat="1" applyFont="1" applyFill="1" applyBorder="1" applyAlignment="1">
      <alignment horizontal="center" vertical="center"/>
    </xf>
    <xf numFmtId="172" fontId="75" fillId="0" borderId="17" xfId="65" applyNumberFormat="1" applyFont="1" applyFill="1" applyBorder="1" applyAlignment="1">
      <alignment horizontal="center" vertical="center"/>
    </xf>
    <xf numFmtId="3" fontId="77" fillId="0" borderId="17" xfId="65" applyFont="1" applyFill="1" applyBorder="1" applyAlignment="1">
      <alignment horizontal="center" vertical="center"/>
    </xf>
    <xf numFmtId="9" fontId="75" fillId="0" borderId="17" xfId="65" applyNumberFormat="1" applyFont="1" applyFill="1" applyBorder="1" applyAlignment="1">
      <alignment horizontal="center" vertical="center"/>
    </xf>
    <xf numFmtId="181" fontId="79" fillId="21" borderId="17" xfId="87" applyNumberFormat="1" applyFont="1" applyFill="1" applyBorder="1" applyAlignment="1">
      <alignment horizontal="center" vertical="center"/>
    </xf>
    <xf numFmtId="3" fontId="74" fillId="0" borderId="17" xfId="65" applyFont="1" applyFill="1" applyBorder="1" applyAlignment="1">
      <alignment horizontal="center" vertical="center"/>
    </xf>
    <xf numFmtId="3" fontId="85" fillId="0" borderId="17" xfId="65" applyFont="1" applyFill="1" applyBorder="1" applyAlignment="1">
      <alignment horizontal="center" vertical="center"/>
    </xf>
    <xf numFmtId="9" fontId="74" fillId="0" borderId="17" xfId="65" applyNumberFormat="1" applyFont="1" applyFill="1" applyBorder="1" applyAlignment="1">
      <alignment horizontal="center" vertical="center"/>
    </xf>
    <xf numFmtId="3" fontId="95" fillId="21" borderId="17" xfId="65" applyFont="1" applyFill="1" applyBorder="1" applyAlignment="1">
      <alignment horizontal="center" vertical="center"/>
    </xf>
    <xf numFmtId="173" fontId="75" fillId="0" borderId="17" xfId="97" applyNumberFormat="1" applyFont="1" applyBorder="1" applyAlignment="1" applyProtection="1">
      <alignment horizontal="center" vertical="center"/>
    </xf>
    <xf numFmtId="173" fontId="77" fillId="0" borderId="17" xfId="97" applyNumberFormat="1" applyFont="1" applyFill="1" applyBorder="1" applyAlignment="1" applyProtection="1">
      <alignment horizontal="center" vertical="center"/>
    </xf>
    <xf numFmtId="173" fontId="75" fillId="0" borderId="17" xfId="97" applyNumberFormat="1" applyFont="1" applyFill="1" applyBorder="1" applyAlignment="1" applyProtection="1">
      <alignment horizontal="center" vertical="center"/>
    </xf>
    <xf numFmtId="173" fontId="77" fillId="0" borderId="39" xfId="97" applyNumberFormat="1" applyFont="1" applyFill="1" applyBorder="1" applyAlignment="1" applyProtection="1">
      <alignment horizontal="center" vertical="center"/>
    </xf>
    <xf numFmtId="0" fontId="75" fillId="0" borderId="33" xfId="134" applyFont="1" applyBorder="1"/>
    <xf numFmtId="0" fontId="77" fillId="0" borderId="33" xfId="134" applyFont="1" applyBorder="1"/>
    <xf numFmtId="0" fontId="77" fillId="46" borderId="0" xfId="134" applyFont="1" applyFill="1"/>
    <xf numFmtId="0" fontId="77" fillId="0" borderId="45" xfId="134" applyFont="1" applyBorder="1"/>
    <xf numFmtId="0" fontId="75" fillId="0" borderId="45" xfId="134" applyFont="1" applyBorder="1"/>
    <xf numFmtId="3" fontId="78" fillId="41" borderId="0" xfId="134" applyNumberFormat="1" applyFont="1" applyFill="1" applyAlignment="1">
      <alignment horizontal="center"/>
    </xf>
    <xf numFmtId="3" fontId="79" fillId="41" borderId="0" xfId="134" applyNumberFormat="1" applyFont="1" applyFill="1" applyAlignment="1">
      <alignment horizontal="center"/>
    </xf>
    <xf numFmtId="3" fontId="75" fillId="41" borderId="0" xfId="134" applyNumberFormat="1" applyFont="1" applyFill="1" applyAlignment="1">
      <alignment horizontal="center"/>
    </xf>
    <xf numFmtId="3" fontId="77" fillId="41" borderId="0" xfId="134" applyNumberFormat="1" applyFont="1" applyFill="1" applyAlignment="1">
      <alignment horizontal="center"/>
    </xf>
    <xf numFmtId="3" fontId="111" fillId="41" borderId="0" xfId="1" applyNumberFormat="1" applyFont="1" applyFill="1" applyAlignment="1">
      <alignment horizontal="center"/>
    </xf>
    <xf numFmtId="3" fontId="78" fillId="41" borderId="0" xfId="1" applyNumberFormat="1" applyFont="1" applyFill="1" applyAlignment="1">
      <alignment horizontal="center" vertical="center"/>
    </xf>
    <xf numFmtId="3" fontId="93" fillId="41" borderId="0" xfId="1" applyNumberFormat="1" applyFont="1" applyFill="1" applyAlignment="1">
      <alignment horizontal="center"/>
    </xf>
    <xf numFmtId="3" fontId="75" fillId="0" borderId="0" xfId="134" applyNumberFormat="1" applyFont="1" applyAlignment="1">
      <alignment horizontal="center"/>
    </xf>
    <xf numFmtId="0" fontId="79" fillId="0" borderId="0" xfId="134" applyFont="1" applyAlignment="1">
      <alignment horizontal="center"/>
    </xf>
    <xf numFmtId="3" fontId="78" fillId="0" borderId="0" xfId="134" applyNumberFormat="1" applyFont="1" applyAlignment="1">
      <alignment horizontal="center"/>
    </xf>
    <xf numFmtId="3" fontId="155" fillId="0" borderId="0" xfId="134" applyNumberFormat="1" applyFont="1" applyAlignment="1">
      <alignment horizontal="center"/>
    </xf>
    <xf numFmtId="3" fontId="90" fillId="0" borderId="0" xfId="134" applyNumberFormat="1" applyFont="1" applyAlignment="1">
      <alignment horizontal="center"/>
    </xf>
    <xf numFmtId="9" fontId="124" fillId="16" borderId="0" xfId="134" applyNumberFormat="1" applyFont="1" applyFill="1" applyAlignment="1">
      <alignment horizontal="center"/>
    </xf>
    <xf numFmtId="4" fontId="75" fillId="0" borderId="0" xfId="134" applyNumberFormat="1" applyFont="1" applyAlignment="1">
      <alignment horizontal="center"/>
    </xf>
    <xf numFmtId="172" fontId="78" fillId="0" borderId="0" xfId="134" applyNumberFormat="1" applyFont="1" applyAlignment="1">
      <alignment horizontal="center"/>
    </xf>
    <xf numFmtId="3" fontId="74" fillId="0" borderId="0" xfId="134" applyNumberFormat="1" applyFont="1" applyAlignment="1">
      <alignment horizontal="center"/>
    </xf>
    <xf numFmtId="0" fontId="78" fillId="0" borderId="0" xfId="134" applyFont="1" applyAlignment="1">
      <alignment horizontal="center"/>
    </xf>
    <xf numFmtId="3" fontId="79" fillId="0" borderId="0" xfId="134" applyNumberFormat="1" applyFont="1" applyAlignment="1">
      <alignment horizontal="center"/>
    </xf>
    <xf numFmtId="3" fontId="100" fillId="0" borderId="0" xfId="134" applyNumberFormat="1" applyFont="1" applyAlignment="1">
      <alignment horizontal="center"/>
    </xf>
    <xf numFmtId="172" fontId="123" fillId="0" borderId="0" xfId="134" applyNumberFormat="1" applyFont="1" applyAlignment="1">
      <alignment horizontal="center"/>
    </xf>
    <xf numFmtId="172" fontId="127" fillId="0" borderId="0" xfId="134" applyNumberFormat="1" applyFont="1" applyAlignment="1">
      <alignment horizontal="center"/>
    </xf>
    <xf numFmtId="1" fontId="78" fillId="0" borderId="0" xfId="134" applyNumberFormat="1" applyFont="1" applyAlignment="1">
      <alignment horizontal="center"/>
    </xf>
    <xf numFmtId="0" fontId="77" fillId="41" borderId="0" xfId="1" applyFont="1" applyFill="1"/>
    <xf numFmtId="172" fontId="77" fillId="41" borderId="0" xfId="65" applyNumberFormat="1" applyFont="1" applyFill="1" applyBorder="1" applyAlignment="1">
      <alignment horizontal="center" vertical="center"/>
    </xf>
    <xf numFmtId="2" fontId="166" fillId="0" borderId="0" xfId="1" applyNumberFormat="1" applyFont="1" applyAlignment="1">
      <alignment horizontal="center"/>
    </xf>
    <xf numFmtId="2" fontId="167" fillId="0" borderId="0" xfId="1" applyNumberFormat="1" applyFont="1" applyAlignment="1">
      <alignment horizontal="center"/>
    </xf>
    <xf numFmtId="0" fontId="167" fillId="0" borderId="0" xfId="1" applyFont="1" applyAlignment="1">
      <alignment horizontal="center"/>
    </xf>
    <xf numFmtId="4" fontId="94" fillId="0" borderId="0" xfId="1" applyNumberFormat="1" applyFont="1" applyAlignment="1">
      <alignment horizontal="center"/>
    </xf>
    <xf numFmtId="9" fontId="75" fillId="0" borderId="0" xfId="97" applyFont="1" applyFill="1" applyBorder="1" applyAlignment="1">
      <alignment horizontal="center" vertical="center"/>
    </xf>
    <xf numFmtId="171" fontId="109" fillId="0" borderId="0" xfId="97" applyNumberFormat="1" applyFont="1" applyAlignment="1">
      <alignment horizontal="center"/>
    </xf>
    <xf numFmtId="0" fontId="81" fillId="54" borderId="0" xfId="1" applyFont="1" applyFill="1"/>
    <xf numFmtId="0" fontId="77" fillId="54" borderId="0" xfId="1" applyFont="1" applyFill="1"/>
    <xf numFmtId="0" fontId="77" fillId="54" borderId="0" xfId="1" applyFont="1" applyFill="1" applyAlignment="1">
      <alignment horizontal="center"/>
    </xf>
    <xf numFmtId="9" fontId="81" fillId="54" borderId="0" xfId="97" applyFont="1" applyFill="1" applyAlignment="1">
      <alignment horizontal="center"/>
    </xf>
    <xf numFmtId="0" fontId="131" fillId="54" borderId="0" xfId="1" applyFont="1" applyFill="1" applyAlignment="1">
      <alignment horizontal="center"/>
    </xf>
    <xf numFmtId="9" fontId="168" fillId="54" borderId="0" xfId="97" applyFont="1" applyFill="1" applyAlignment="1">
      <alignment horizontal="center"/>
    </xf>
    <xf numFmtId="9" fontId="168" fillId="54" borderId="0" xfId="97" applyFont="1" applyFill="1" applyBorder="1" applyAlignment="1">
      <alignment horizontal="center"/>
    </xf>
    <xf numFmtId="0" fontId="131" fillId="54" borderId="0" xfId="1" applyFont="1" applyFill="1"/>
    <xf numFmtId="3" fontId="112" fillId="0" borderId="0" xfId="1" applyNumberFormat="1" applyFont="1"/>
    <xf numFmtId="0" fontId="112" fillId="0" borderId="0" xfId="1" applyFont="1" applyAlignment="1">
      <alignment horizontal="center"/>
    </xf>
    <xf numFmtId="9" fontId="112" fillId="0" borderId="0" xfId="97" applyFont="1" applyAlignment="1">
      <alignment horizontal="center"/>
    </xf>
    <xf numFmtId="171" fontId="112" fillId="0" borderId="0" xfId="97" applyNumberFormat="1" applyFont="1" applyAlignment="1">
      <alignment horizontal="center"/>
    </xf>
    <xf numFmtId="9" fontId="112" fillId="0" borderId="0" xfId="97" applyFont="1" applyFill="1" applyAlignment="1">
      <alignment horizontal="center"/>
    </xf>
    <xf numFmtId="3" fontId="81" fillId="39" borderId="0" xfId="1" applyNumberFormat="1" applyFont="1" applyFill="1"/>
    <xf numFmtId="0" fontId="81" fillId="39" borderId="0" xfId="1" applyFont="1" applyFill="1"/>
    <xf numFmtId="0" fontId="81" fillId="39" borderId="0" xfId="1" applyFont="1" applyFill="1" applyAlignment="1">
      <alignment horizontal="center"/>
    </xf>
    <xf numFmtId="9" fontId="81" fillId="39" borderId="0" xfId="97" applyFont="1" applyFill="1" applyAlignment="1">
      <alignment horizontal="center"/>
    </xf>
    <xf numFmtId="10" fontId="81" fillId="39" borderId="0" xfId="97" applyNumberFormat="1" applyFont="1" applyFill="1" applyAlignment="1">
      <alignment horizontal="center"/>
    </xf>
    <xf numFmtId="171" fontId="124" fillId="0" borderId="0" xfId="97" applyNumberFormat="1" applyFont="1" applyFill="1" applyAlignment="1">
      <alignment horizontal="center"/>
    </xf>
    <xf numFmtId="0" fontId="169" fillId="55" borderId="0" xfId="1" applyFont="1" applyFill="1"/>
    <xf numFmtId="0" fontId="154" fillId="55" borderId="0" xfId="1" applyFont="1" applyFill="1" applyAlignment="1">
      <alignment horizontal="center"/>
    </xf>
    <xf numFmtId="0" fontId="154" fillId="55" borderId="0" xfId="1" applyFont="1" applyFill="1"/>
    <xf numFmtId="171" fontId="169" fillId="55" borderId="0" xfId="97" applyNumberFormat="1" applyFont="1" applyFill="1" applyAlignment="1">
      <alignment horizontal="center"/>
    </xf>
    <xf numFmtId="171" fontId="170" fillId="55" borderId="0" xfId="97" applyNumberFormat="1" applyFont="1" applyFill="1" applyAlignment="1">
      <alignment horizontal="center"/>
    </xf>
    <xf numFmtId="0" fontId="81" fillId="31" borderId="0" xfId="1" applyFont="1" applyFill="1" applyAlignment="1">
      <alignment horizontal="center"/>
    </xf>
    <xf numFmtId="9" fontId="81" fillId="31" borderId="0" xfId="97" applyFont="1" applyFill="1" applyAlignment="1">
      <alignment horizontal="center"/>
    </xf>
    <xf numFmtId="10" fontId="81" fillId="31" borderId="0" xfId="97" applyNumberFormat="1" applyFont="1" applyFill="1" applyAlignment="1">
      <alignment horizontal="center"/>
    </xf>
    <xf numFmtId="10" fontId="80" fillId="31" borderId="0" xfId="97" applyNumberFormat="1" applyFont="1" applyFill="1" applyAlignment="1">
      <alignment horizontal="center"/>
    </xf>
    <xf numFmtId="3" fontId="140" fillId="31" borderId="0" xfId="1" applyNumberFormat="1" applyFont="1" applyFill="1"/>
    <xf numFmtId="10" fontId="140" fillId="31" borderId="0" xfId="97" applyNumberFormat="1" applyFont="1" applyFill="1" applyAlignment="1">
      <alignment horizontal="center"/>
    </xf>
    <xf numFmtId="0" fontId="75" fillId="56" borderId="0" xfId="1" applyFont="1" applyFill="1"/>
    <xf numFmtId="0" fontId="75" fillId="56" borderId="0" xfId="1" applyFont="1" applyFill="1" applyAlignment="1">
      <alignment horizontal="center"/>
    </xf>
    <xf numFmtId="0" fontId="136" fillId="56" borderId="0" xfId="1" applyFont="1" applyFill="1" applyAlignment="1">
      <alignment horizontal="center"/>
    </xf>
    <xf numFmtId="3" fontId="75" fillId="39" borderId="0" xfId="1" applyNumberFormat="1" applyFont="1" applyFill="1" applyAlignment="1">
      <alignment horizontal="center"/>
    </xf>
    <xf numFmtId="3" fontId="75" fillId="56" borderId="0" xfId="1" applyNumberFormat="1" applyFont="1" applyFill="1" applyAlignment="1">
      <alignment horizontal="center"/>
    </xf>
    <xf numFmtId="10" fontId="79" fillId="56" borderId="0" xfId="97" applyNumberFormat="1" applyFont="1" applyFill="1" applyAlignment="1">
      <alignment horizontal="center"/>
    </xf>
    <xf numFmtId="10" fontId="75" fillId="56" borderId="0" xfId="97" applyNumberFormat="1" applyFont="1" applyFill="1" applyAlignment="1">
      <alignment horizontal="center"/>
    </xf>
    <xf numFmtId="3" fontId="80" fillId="28" borderId="0" xfId="1" applyNumberFormat="1" applyFont="1" applyFill="1" applyAlignment="1">
      <alignment horizontal="center" vertical="center"/>
    </xf>
    <xf numFmtId="1" fontId="79" fillId="19" borderId="0" xfId="1" applyNumberFormat="1" applyFont="1" applyFill="1" applyAlignment="1">
      <alignment horizontal="center"/>
    </xf>
    <xf numFmtId="211" fontId="94" fillId="31" borderId="0" xfId="1" applyNumberFormat="1" applyFont="1" applyFill="1" applyAlignment="1">
      <alignment horizontal="center"/>
    </xf>
    <xf numFmtId="0" fontId="77" fillId="0" borderId="40" xfId="134" applyFont="1" applyBorder="1"/>
    <xf numFmtId="213" fontId="77" fillId="0" borderId="0" xfId="1" applyNumberFormat="1" applyFont="1" applyAlignment="1">
      <alignment horizontal="center"/>
    </xf>
    <xf numFmtId="172" fontId="81" fillId="0" borderId="0" xfId="1" applyNumberFormat="1" applyFont="1" applyAlignment="1">
      <alignment horizontal="center"/>
    </xf>
    <xf numFmtId="0" fontId="75" fillId="54" borderId="0" xfId="1" applyFont="1" applyFill="1" applyAlignment="1">
      <alignment horizontal="center"/>
    </xf>
    <xf numFmtId="0" fontId="75" fillId="54" borderId="0" xfId="1" applyFont="1" applyFill="1"/>
    <xf numFmtId="171" fontId="77" fillId="46" borderId="0" xfId="1" applyNumberFormat="1" applyFont="1" applyFill="1" applyAlignment="1">
      <alignment horizontal="center"/>
    </xf>
    <xf numFmtId="0" fontId="82" fillId="46" borderId="13" xfId="1" applyFont="1" applyFill="1" applyBorder="1"/>
    <xf numFmtId="0" fontId="154" fillId="46" borderId="13" xfId="1" applyFont="1" applyFill="1" applyBorder="1" applyAlignment="1">
      <alignment horizontal="center"/>
    </xf>
    <xf numFmtId="0" fontId="154" fillId="46" borderId="13" xfId="1" applyFont="1" applyFill="1" applyBorder="1"/>
    <xf numFmtId="3" fontId="154" fillId="46" borderId="13" xfId="1" applyNumberFormat="1" applyFont="1" applyFill="1" applyBorder="1" applyAlignment="1">
      <alignment horizontal="center"/>
    </xf>
    <xf numFmtId="171" fontId="82" fillId="46" borderId="13" xfId="1" applyNumberFormat="1" applyFont="1" applyFill="1" applyBorder="1" applyAlignment="1">
      <alignment horizontal="center"/>
    </xf>
    <xf numFmtId="0" fontId="172" fillId="46" borderId="13" xfId="1" applyFont="1" applyFill="1" applyBorder="1" applyAlignment="1">
      <alignment horizontal="center"/>
    </xf>
    <xf numFmtId="171" fontId="82" fillId="46" borderId="0" xfId="1" applyNumberFormat="1" applyFont="1" applyFill="1" applyAlignment="1">
      <alignment horizontal="center"/>
    </xf>
    <xf numFmtId="174" fontId="77" fillId="46" borderId="13" xfId="1" applyNumberFormat="1" applyFont="1" applyFill="1" applyBorder="1" applyAlignment="1" applyProtection="1">
      <alignment horizontal="left"/>
      <protection locked="0"/>
    </xf>
    <xf numFmtId="174" fontId="77" fillId="46" borderId="13" xfId="1" applyNumberFormat="1" applyFont="1" applyFill="1" applyBorder="1" applyAlignment="1">
      <alignment horizontal="center"/>
    </xf>
    <xf numFmtId="174" fontId="77" fillId="46" borderId="13" xfId="1" applyNumberFormat="1" applyFont="1" applyFill="1" applyBorder="1" applyAlignment="1" applyProtection="1">
      <alignment horizontal="center"/>
      <protection locked="0"/>
    </xf>
    <xf numFmtId="1" fontId="77" fillId="46" borderId="13" xfId="1" applyNumberFormat="1" applyFont="1" applyFill="1" applyBorder="1" applyAlignment="1" applyProtection="1">
      <alignment horizontal="center"/>
      <protection locked="0"/>
    </xf>
    <xf numFmtId="1" fontId="77" fillId="46" borderId="13" xfId="1" applyNumberFormat="1" applyFont="1" applyFill="1" applyBorder="1" applyAlignment="1">
      <alignment horizontal="center"/>
    </xf>
    <xf numFmtId="174" fontId="81" fillId="46" borderId="13" xfId="1" applyNumberFormat="1" applyFont="1" applyFill="1" applyBorder="1" applyAlignment="1">
      <alignment horizontal="center"/>
    </xf>
    <xf numFmtId="1" fontId="77" fillId="46" borderId="0" xfId="1" applyNumberFormat="1" applyFont="1" applyFill="1" applyAlignment="1" applyProtection="1">
      <alignment horizontal="left"/>
      <protection locked="0"/>
    </xf>
    <xf numFmtId="174" fontId="75" fillId="46" borderId="12" xfId="1" applyNumberFormat="1" applyFont="1" applyFill="1" applyBorder="1" applyAlignment="1">
      <alignment horizontal="center"/>
    </xf>
    <xf numFmtId="174" fontId="77" fillId="46" borderId="12" xfId="1" applyNumberFormat="1" applyFont="1" applyFill="1" applyBorder="1" applyAlignment="1">
      <alignment horizontal="center"/>
    </xf>
    <xf numFmtId="174" fontId="80" fillId="46" borderId="12" xfId="1" applyNumberFormat="1" applyFont="1" applyFill="1" applyBorder="1" applyAlignment="1">
      <alignment horizontal="center"/>
    </xf>
    <xf numFmtId="0" fontId="79" fillId="46" borderId="0" xfId="1" applyFont="1" applyFill="1" applyAlignment="1">
      <alignment horizontal="center"/>
    </xf>
    <xf numFmtId="172" fontId="77" fillId="46" borderId="0" xfId="1" applyNumberFormat="1" applyFont="1" applyFill="1" applyAlignment="1">
      <alignment horizontal="center"/>
    </xf>
    <xf numFmtId="171" fontId="81" fillId="46" borderId="0" xfId="1" applyNumberFormat="1" applyFont="1" applyFill="1" applyAlignment="1">
      <alignment horizontal="center"/>
    </xf>
    <xf numFmtId="171" fontId="77" fillId="0" borderId="12" xfId="1" applyNumberFormat="1" applyFont="1" applyBorder="1" applyAlignment="1">
      <alignment horizontal="center"/>
    </xf>
    <xf numFmtId="171" fontId="134" fillId="16" borderId="0" xfId="1" applyNumberFormat="1" applyFont="1" applyFill="1" applyAlignment="1">
      <alignment horizontal="center"/>
    </xf>
    <xf numFmtId="172" fontId="156" fillId="0" borderId="0" xfId="1" applyNumberFormat="1" applyFont="1" applyAlignment="1">
      <alignment horizontal="center"/>
    </xf>
    <xf numFmtId="172" fontId="136" fillId="0" borderId="0" xfId="1" applyNumberFormat="1" applyFont="1" applyAlignment="1">
      <alignment horizontal="center"/>
    </xf>
    <xf numFmtId="173" fontId="90" fillId="0" borderId="0" xfId="1" applyNumberFormat="1" applyFont="1" applyAlignment="1">
      <alignment horizontal="center"/>
    </xf>
    <xf numFmtId="0" fontId="75" fillId="35" borderId="0" xfId="1" applyFont="1" applyFill="1"/>
    <xf numFmtId="0" fontId="75" fillId="35" borderId="0" xfId="1" applyFont="1" applyFill="1" applyAlignment="1">
      <alignment horizontal="center"/>
    </xf>
    <xf numFmtId="171" fontId="75" fillId="35" borderId="0" xfId="1" applyNumberFormat="1" applyFont="1" applyFill="1" applyAlignment="1">
      <alignment horizontal="center"/>
    </xf>
    <xf numFmtId="0" fontId="78" fillId="35" borderId="0" xfId="1" applyFont="1" applyFill="1" applyAlignment="1">
      <alignment horizontal="center"/>
    </xf>
    <xf numFmtId="171" fontId="97" fillId="35" borderId="0" xfId="1" applyNumberFormat="1" applyFont="1" applyFill="1" applyAlignment="1">
      <alignment horizontal="center"/>
    </xf>
    <xf numFmtId="172" fontId="75" fillId="35" borderId="0" xfId="1" applyNumberFormat="1" applyFont="1" applyFill="1" applyAlignment="1">
      <alignment horizontal="center"/>
    </xf>
    <xf numFmtId="172" fontId="97" fillId="35" borderId="0" xfId="1" applyNumberFormat="1" applyFont="1" applyFill="1" applyAlignment="1">
      <alignment horizontal="center"/>
    </xf>
    <xf numFmtId="168" fontId="97" fillId="35" borderId="0" xfId="63" applyFont="1" applyFill="1" applyAlignment="1">
      <alignment horizontal="center"/>
    </xf>
    <xf numFmtId="186" fontId="97" fillId="35" borderId="0" xfId="63" applyNumberFormat="1" applyFont="1" applyFill="1" applyAlignment="1">
      <alignment horizontal="center"/>
    </xf>
    <xf numFmtId="0" fontId="156" fillId="0" borderId="0" xfId="1" applyFont="1" applyAlignment="1">
      <alignment horizontal="center"/>
    </xf>
    <xf numFmtId="171" fontId="156" fillId="0" borderId="0" xfId="1" applyNumberFormat="1" applyFont="1" applyAlignment="1">
      <alignment horizontal="center"/>
    </xf>
    <xf numFmtId="0" fontId="173" fillId="41" borderId="0" xfId="1" applyFont="1" applyFill="1"/>
    <xf numFmtId="0" fontId="173" fillId="41" borderId="0" xfId="1" applyFont="1" applyFill="1" applyAlignment="1">
      <alignment horizontal="center"/>
    </xf>
    <xf numFmtId="171" fontId="173" fillId="41" borderId="0" xfId="1" applyNumberFormat="1" applyFont="1" applyFill="1" applyAlignment="1">
      <alignment horizontal="center"/>
    </xf>
    <xf numFmtId="172" fontId="173" fillId="41" borderId="0" xfId="1" applyNumberFormat="1" applyFont="1" applyFill="1" applyAlignment="1">
      <alignment horizontal="center"/>
    </xf>
    <xf numFmtId="171" fontId="173" fillId="41" borderId="0" xfId="97" applyNumberFormat="1" applyFont="1" applyFill="1" applyAlignment="1">
      <alignment horizontal="center"/>
    </xf>
    <xf numFmtId="17" fontId="80" fillId="0" borderId="0" xfId="1" applyNumberFormat="1" applyFont="1" applyAlignment="1">
      <alignment horizontal="center"/>
    </xf>
    <xf numFmtId="3" fontId="149" fillId="21" borderId="0" xfId="1" applyNumberFormat="1" applyFont="1" applyFill="1" applyAlignment="1">
      <alignment horizontal="center"/>
    </xf>
    <xf numFmtId="0" fontId="80" fillId="18" borderId="0" xfId="1" applyFont="1" applyFill="1" applyAlignment="1">
      <alignment horizontal="center"/>
    </xf>
    <xf numFmtId="0" fontId="80" fillId="19" borderId="0" xfId="1" applyFont="1" applyFill="1" applyAlignment="1">
      <alignment horizontal="center"/>
    </xf>
    <xf numFmtId="172" fontId="145" fillId="0" borderId="0" xfId="1" applyNumberFormat="1" applyFont="1" applyAlignment="1">
      <alignment horizontal="center"/>
    </xf>
    <xf numFmtId="172" fontId="174" fillId="0" borderId="0" xfId="1" applyNumberFormat="1" applyFont="1" applyAlignment="1">
      <alignment horizontal="center"/>
    </xf>
    <xf numFmtId="0" fontId="169" fillId="0" borderId="0" xfId="1" applyFont="1" applyAlignment="1">
      <alignment horizontal="center"/>
    </xf>
    <xf numFmtId="0" fontId="80" fillId="17" borderId="0" xfId="1" applyFont="1" applyFill="1" applyAlignment="1">
      <alignment horizontal="center"/>
    </xf>
    <xf numFmtId="0" fontId="169" fillId="55" borderId="0" xfId="1" applyFont="1" applyFill="1" applyAlignment="1">
      <alignment horizontal="center"/>
    </xf>
    <xf numFmtId="0" fontId="81" fillId="19" borderId="0" xfId="1" applyFont="1" applyFill="1" applyAlignment="1">
      <alignment horizontal="center"/>
    </xf>
    <xf numFmtId="173" fontId="81" fillId="0" borderId="0" xfId="1" applyNumberFormat="1" applyFont="1" applyAlignment="1">
      <alignment horizontal="center"/>
    </xf>
    <xf numFmtId="1" fontId="81" fillId="18" borderId="0" xfId="1" applyNumberFormat="1" applyFont="1" applyFill="1" applyAlignment="1">
      <alignment horizontal="center"/>
    </xf>
    <xf numFmtId="1" fontId="81" fillId="19" borderId="0" xfId="1" applyNumberFormat="1" applyFont="1" applyFill="1" applyAlignment="1">
      <alignment horizontal="center"/>
    </xf>
    <xf numFmtId="1" fontId="130" fillId="16" borderId="0" xfId="1" applyNumberFormat="1" applyFont="1" applyFill="1" applyAlignment="1">
      <alignment horizontal="center"/>
    </xf>
    <xf numFmtId="1" fontId="124" fillId="16" borderId="0" xfId="1" applyNumberFormat="1" applyFont="1" applyFill="1" applyAlignment="1">
      <alignment horizontal="center"/>
    </xf>
    <xf numFmtId="3" fontId="93" fillId="16" borderId="0" xfId="1" applyNumberFormat="1" applyFont="1" applyFill="1" applyAlignment="1">
      <alignment horizontal="center"/>
    </xf>
    <xf numFmtId="1" fontId="81" fillId="17" borderId="0" xfId="1" applyNumberFormat="1" applyFont="1" applyFill="1" applyAlignment="1">
      <alignment horizontal="center"/>
    </xf>
    <xf numFmtId="1" fontId="101" fillId="0" borderId="0" xfId="1" applyNumberFormat="1" applyFont="1" applyAlignment="1">
      <alignment horizontal="center"/>
    </xf>
    <xf numFmtId="0" fontId="80" fillId="54" borderId="0" xfId="1" applyFont="1" applyFill="1" applyAlignment="1">
      <alignment horizontal="center"/>
    </xf>
    <xf numFmtId="0" fontId="145" fillId="47" borderId="0" xfId="1" applyFont="1" applyFill="1" applyAlignment="1">
      <alignment horizontal="center"/>
    </xf>
    <xf numFmtId="10" fontId="80" fillId="0" borderId="0" xfId="1" applyNumberFormat="1" applyFont="1" applyAlignment="1">
      <alignment horizontal="center"/>
    </xf>
    <xf numFmtId="171" fontId="101" fillId="0" borderId="0" xfId="1" applyNumberFormat="1" applyFont="1" applyAlignment="1">
      <alignment horizontal="center"/>
    </xf>
    <xf numFmtId="0" fontId="169" fillId="46" borderId="13" xfId="1" applyFont="1" applyFill="1" applyBorder="1" applyAlignment="1">
      <alignment horizontal="center"/>
    </xf>
    <xf numFmtId="173" fontId="80" fillId="0" borderId="0" xfId="1" applyNumberFormat="1" applyFont="1" applyAlignment="1">
      <alignment horizontal="center"/>
    </xf>
    <xf numFmtId="0" fontId="175" fillId="41" borderId="0" xfId="1" applyFont="1" applyFill="1" applyAlignment="1">
      <alignment horizontal="center"/>
    </xf>
    <xf numFmtId="0" fontId="80" fillId="35" borderId="0" xfId="1" applyFont="1" applyFill="1" applyAlignment="1">
      <alignment horizontal="center"/>
    </xf>
    <xf numFmtId="0" fontId="176" fillId="34" borderId="0" xfId="1" applyFont="1" applyFill="1" applyAlignment="1">
      <alignment horizontal="center"/>
    </xf>
    <xf numFmtId="3" fontId="149" fillId="0" borderId="0" xfId="1" applyNumberFormat="1" applyFont="1" applyAlignment="1">
      <alignment horizontal="center"/>
    </xf>
    <xf numFmtId="10" fontId="80" fillId="0" borderId="0" xfId="97" applyNumberFormat="1" applyFont="1"/>
    <xf numFmtId="10" fontId="81" fillId="0" borderId="0" xfId="97" applyNumberFormat="1" applyFont="1"/>
    <xf numFmtId="0" fontId="101" fillId="19" borderId="0" xfId="1" applyFont="1" applyFill="1" applyAlignment="1">
      <alignment horizontal="center"/>
    </xf>
    <xf numFmtId="172" fontId="169" fillId="0" borderId="0" xfId="1" applyNumberFormat="1" applyFont="1" applyAlignment="1">
      <alignment horizontal="center"/>
    </xf>
    <xf numFmtId="172" fontId="75" fillId="28" borderId="0" xfId="1" applyNumberFormat="1" applyFont="1" applyFill="1" applyAlignment="1">
      <alignment horizontal="center" vertical="center"/>
    </xf>
    <xf numFmtId="0" fontId="123" fillId="0" borderId="0" xfId="1" applyFont="1" applyAlignment="1">
      <alignment horizontal="center" wrapText="1"/>
    </xf>
    <xf numFmtId="0" fontId="132" fillId="54" borderId="0" xfId="1" applyFont="1" applyFill="1"/>
    <xf numFmtId="171" fontId="75" fillId="54" borderId="0" xfId="1" applyNumberFormat="1" applyFont="1" applyFill="1" applyAlignment="1">
      <alignment horizontal="center"/>
    </xf>
    <xf numFmtId="0" fontId="78" fillId="54" borderId="0" xfId="1" applyFont="1" applyFill="1" applyAlignment="1">
      <alignment horizontal="center"/>
    </xf>
    <xf numFmtId="171" fontId="97" fillId="54" borderId="0" xfId="1" applyNumberFormat="1" applyFont="1" applyFill="1" applyAlignment="1">
      <alignment horizontal="center"/>
    </xf>
    <xf numFmtId="172" fontId="75" fillId="54" borderId="0" xfId="1" applyNumberFormat="1" applyFont="1" applyFill="1" applyAlignment="1">
      <alignment horizontal="center"/>
    </xf>
    <xf numFmtId="172" fontId="97" fillId="54" borderId="0" xfId="1" applyNumberFormat="1" applyFont="1" applyFill="1" applyAlignment="1">
      <alignment horizontal="center"/>
    </xf>
    <xf numFmtId="172" fontId="77" fillId="54" borderId="0" xfId="1" applyNumberFormat="1" applyFont="1" applyFill="1" applyAlignment="1">
      <alignment horizontal="center" vertical="center"/>
    </xf>
    <xf numFmtId="171" fontId="77" fillId="54" borderId="0" xfId="1" applyNumberFormat="1" applyFont="1" applyFill="1" applyAlignment="1">
      <alignment horizontal="center"/>
    </xf>
    <xf numFmtId="0" fontId="79" fillId="54" borderId="0" xfId="1" applyFont="1" applyFill="1" applyAlignment="1">
      <alignment horizontal="center"/>
    </xf>
    <xf numFmtId="171" fontId="109" fillId="54" borderId="0" xfId="1" applyNumberFormat="1" applyFont="1" applyFill="1" applyAlignment="1">
      <alignment horizontal="center"/>
    </xf>
    <xf numFmtId="172" fontId="77" fillId="54" borderId="0" xfId="1" applyNumberFormat="1" applyFont="1" applyFill="1" applyAlignment="1">
      <alignment horizontal="center"/>
    </xf>
    <xf numFmtId="172" fontId="109" fillId="54" borderId="0" xfId="1" applyNumberFormat="1" applyFont="1" applyFill="1" applyAlignment="1">
      <alignment horizontal="center"/>
    </xf>
    <xf numFmtId="171" fontId="81" fillId="54" borderId="0" xfId="1" applyNumberFormat="1" applyFont="1" applyFill="1" applyAlignment="1">
      <alignment horizontal="center"/>
    </xf>
    <xf numFmtId="0" fontId="81" fillId="54" borderId="0" xfId="1" applyFont="1" applyFill="1" applyAlignment="1">
      <alignment horizontal="center"/>
    </xf>
    <xf numFmtId="0" fontId="136" fillId="0" borderId="0" xfId="1" applyFont="1" applyAlignment="1">
      <alignment horizontal="center"/>
    </xf>
    <xf numFmtId="171" fontId="82" fillId="0" borderId="0" xfId="1" applyNumberFormat="1" applyFont="1" applyAlignment="1">
      <alignment horizontal="center"/>
    </xf>
    <xf numFmtId="0" fontId="172" fillId="0" borderId="0" xfId="1" applyFont="1" applyAlignment="1">
      <alignment horizontal="center"/>
    </xf>
    <xf numFmtId="0" fontId="82" fillId="0" borderId="13" xfId="1" applyFont="1" applyBorder="1"/>
    <xf numFmtId="171" fontId="75" fillId="28" borderId="0" xfId="1" applyNumberFormat="1" applyFont="1" applyFill="1" applyAlignment="1">
      <alignment horizontal="center"/>
    </xf>
    <xf numFmtId="0" fontId="179" fillId="41" borderId="0" xfId="1" applyFont="1" applyFill="1" applyAlignment="1">
      <alignment vertical="center" wrapText="1"/>
    </xf>
    <xf numFmtId="0" fontId="173" fillId="0" borderId="0" xfId="1" applyFont="1" applyAlignment="1">
      <alignment horizontal="center" vertical="center"/>
    </xf>
    <xf numFmtId="0" fontId="173" fillId="0" borderId="0" xfId="1" applyFont="1" applyAlignment="1">
      <alignment vertical="center"/>
    </xf>
    <xf numFmtId="171" fontId="173" fillId="0" borderId="0" xfId="1" applyNumberFormat="1" applyFont="1" applyAlignment="1">
      <alignment horizontal="center" vertical="center"/>
    </xf>
    <xf numFmtId="172" fontId="173" fillId="0" borderId="0" xfId="1" applyNumberFormat="1" applyFont="1" applyAlignment="1">
      <alignment horizontal="center" vertical="center"/>
    </xf>
    <xf numFmtId="171" fontId="173" fillId="0" borderId="0" xfId="97" applyNumberFormat="1" applyFont="1" applyAlignment="1">
      <alignment horizontal="center" vertical="center"/>
    </xf>
    <xf numFmtId="0" fontId="175" fillId="0" borderId="0" xfId="1" applyFont="1" applyAlignment="1">
      <alignment horizontal="center" vertical="center"/>
    </xf>
    <xf numFmtId="0" fontId="171" fillId="54" borderId="0" xfId="1" applyFont="1" applyFill="1" applyAlignment="1">
      <alignment vertical="center"/>
    </xf>
    <xf numFmtId="0" fontId="152" fillId="0" borderId="0" xfId="1" applyFont="1"/>
    <xf numFmtId="0" fontId="152" fillId="0" borderId="0" xfId="1" applyFont="1" applyAlignment="1">
      <alignment horizontal="center"/>
    </xf>
    <xf numFmtId="1" fontId="152" fillId="0" borderId="0" xfId="1" applyNumberFormat="1" applyFont="1" applyAlignment="1">
      <alignment horizontal="center"/>
    </xf>
    <xf numFmtId="9" fontId="180" fillId="0" borderId="0" xfId="1" applyNumberFormat="1" applyFont="1" applyAlignment="1">
      <alignment horizontal="center"/>
    </xf>
    <xf numFmtId="1" fontId="148" fillId="0" borderId="0" xfId="1" applyNumberFormat="1" applyFont="1" applyAlignment="1">
      <alignment horizontal="center"/>
    </xf>
    <xf numFmtId="9" fontId="152" fillId="0" borderId="0" xfId="1" applyNumberFormat="1" applyFont="1" applyAlignment="1">
      <alignment horizontal="center"/>
    </xf>
    <xf numFmtId="1" fontId="152" fillId="0" borderId="0" xfId="1" applyNumberFormat="1" applyFont="1"/>
    <xf numFmtId="3" fontId="77" fillId="0" borderId="47" xfId="1" applyNumberFormat="1" applyFont="1" applyBorder="1"/>
    <xf numFmtId="3" fontId="79" fillId="0" borderId="47" xfId="1" applyNumberFormat="1" applyFont="1" applyBorder="1" applyAlignment="1">
      <alignment horizontal="center"/>
    </xf>
    <xf numFmtId="3" fontId="77" fillId="0" borderId="47" xfId="1" applyNumberFormat="1" applyFont="1" applyBorder="1" applyAlignment="1">
      <alignment horizontal="center"/>
    </xf>
    <xf numFmtId="171" fontId="81" fillId="0" borderId="47" xfId="97" applyNumberFormat="1" applyFont="1" applyBorder="1" applyAlignment="1">
      <alignment horizontal="center"/>
    </xf>
    <xf numFmtId="3" fontId="79" fillId="41" borderId="47" xfId="1" applyNumberFormat="1" applyFont="1" applyFill="1" applyBorder="1" applyAlignment="1">
      <alignment horizontal="center"/>
    </xf>
    <xf numFmtId="3" fontId="77" fillId="41" borderId="47" xfId="1" applyNumberFormat="1" applyFont="1" applyFill="1" applyBorder="1" applyAlignment="1">
      <alignment horizontal="center"/>
    </xf>
    <xf numFmtId="3" fontId="79" fillId="0" borderId="47" xfId="134" applyNumberFormat="1" applyFont="1" applyBorder="1" applyAlignment="1">
      <alignment horizontal="center"/>
    </xf>
    <xf numFmtId="168" fontId="97" fillId="0" borderId="0" xfId="63" applyFont="1" applyFill="1" applyAlignment="1">
      <alignment horizontal="center"/>
    </xf>
    <xf numFmtId="0" fontId="173" fillId="0" borderId="0" xfId="1" applyFont="1" applyAlignment="1">
      <alignment horizontal="center"/>
    </xf>
    <xf numFmtId="0" fontId="173" fillId="0" borderId="0" xfId="1" applyFont="1"/>
    <xf numFmtId="171" fontId="173" fillId="0" borderId="0" xfId="1" applyNumberFormat="1" applyFont="1" applyAlignment="1">
      <alignment horizontal="center"/>
    </xf>
    <xf numFmtId="172" fontId="173" fillId="0" borderId="0" xfId="1" applyNumberFormat="1" applyFont="1" applyAlignment="1">
      <alignment horizontal="center"/>
    </xf>
    <xf numFmtId="171" fontId="173" fillId="0" borderId="0" xfId="97" applyNumberFormat="1" applyFont="1" applyAlignment="1">
      <alignment horizontal="center"/>
    </xf>
    <xf numFmtId="4" fontId="75" fillId="28" borderId="0" xfId="63" applyNumberFormat="1" applyFont="1" applyFill="1" applyAlignment="1">
      <alignment horizontal="center" vertical="center" wrapText="1"/>
    </xf>
    <xf numFmtId="4" fontId="75" fillId="28" borderId="0" xfId="1" applyNumberFormat="1" applyFont="1" applyFill="1" applyAlignment="1">
      <alignment horizontal="center" vertical="center" wrapText="1"/>
    </xf>
    <xf numFmtId="4" fontId="80" fillId="28" borderId="0" xfId="1" applyNumberFormat="1" applyFont="1" applyFill="1" applyAlignment="1">
      <alignment horizontal="center" vertical="center" wrapText="1"/>
    </xf>
    <xf numFmtId="3" fontId="75" fillId="0" borderId="0" xfId="63" applyNumberFormat="1" applyFont="1" applyFill="1" applyAlignment="1">
      <alignment horizontal="center" vertical="center"/>
    </xf>
    <xf numFmtId="3" fontId="81" fillId="0" borderId="0" xfId="1" applyNumberFormat="1" applyFont="1" applyAlignment="1">
      <alignment horizontal="center" vertical="center"/>
    </xf>
    <xf numFmtId="3" fontId="80" fillId="0" borderId="0" xfId="1" applyNumberFormat="1" applyFont="1" applyAlignment="1">
      <alignment horizontal="center" vertical="center"/>
    </xf>
    <xf numFmtId="171" fontId="75" fillId="28" borderId="0" xfId="63" applyNumberFormat="1" applyFont="1" applyFill="1" applyAlignment="1">
      <alignment horizontal="center"/>
    </xf>
    <xf numFmtId="3" fontId="75" fillId="54" borderId="0" xfId="1" applyNumberFormat="1" applyFont="1" applyFill="1" applyAlignment="1">
      <alignment horizontal="center"/>
    </xf>
    <xf numFmtId="0" fontId="132" fillId="33" borderId="0" xfId="1" applyFont="1" applyFill="1"/>
    <xf numFmtId="3" fontId="181" fillId="0" borderId="0" xfId="1" applyNumberFormat="1" applyFont="1" applyAlignment="1">
      <alignment horizontal="center"/>
    </xf>
    <xf numFmtId="185" fontId="97" fillId="35" borderId="0" xfId="63" applyNumberFormat="1" applyFont="1" applyFill="1" applyAlignment="1">
      <alignment horizontal="center"/>
    </xf>
    <xf numFmtId="185" fontId="109" fillId="35" borderId="0" xfId="63" applyNumberFormat="1" applyFont="1" applyFill="1" applyAlignment="1">
      <alignment horizontal="center" vertical="center" wrapText="1"/>
    </xf>
    <xf numFmtId="185" fontId="75" fillId="35" borderId="0" xfId="1" applyNumberFormat="1" applyFont="1" applyFill="1" applyAlignment="1">
      <alignment horizontal="center"/>
    </xf>
    <xf numFmtId="0" fontId="118" fillId="41" borderId="0" xfId="1" applyFont="1" applyFill="1" applyAlignment="1">
      <alignment vertical="center" wrapText="1"/>
    </xf>
    <xf numFmtId="0" fontId="75" fillId="45" borderId="0" xfId="1" applyFont="1" applyFill="1"/>
    <xf numFmtId="0" fontId="75" fillId="45" borderId="0" xfId="1" applyFont="1" applyFill="1" applyAlignment="1">
      <alignment horizontal="center"/>
    </xf>
    <xf numFmtId="171" fontId="75" fillId="45" borderId="0" xfId="1" applyNumberFormat="1" applyFont="1" applyFill="1" applyAlignment="1">
      <alignment horizontal="center"/>
    </xf>
    <xf numFmtId="0" fontId="78" fillId="45" borderId="0" xfId="1" applyFont="1" applyFill="1" applyAlignment="1">
      <alignment horizontal="center"/>
    </xf>
    <xf numFmtId="171" fontId="97" fillId="45" borderId="0" xfId="1" applyNumberFormat="1" applyFont="1" applyFill="1" applyAlignment="1">
      <alignment horizontal="center"/>
    </xf>
    <xf numFmtId="172" fontId="75" fillId="45" borderId="0" xfId="1" applyNumberFormat="1" applyFont="1" applyFill="1" applyAlignment="1">
      <alignment horizontal="center"/>
    </xf>
    <xf numFmtId="172" fontId="97" fillId="45" borderId="0" xfId="1" applyNumberFormat="1" applyFont="1" applyFill="1" applyAlignment="1">
      <alignment horizontal="center"/>
    </xf>
    <xf numFmtId="0" fontId="80" fillId="45" borderId="0" xfId="1" applyFont="1" applyFill="1" applyAlignment="1">
      <alignment horizontal="center"/>
    </xf>
    <xf numFmtId="0" fontId="95" fillId="45" borderId="0" xfId="1" applyFont="1" applyFill="1"/>
    <xf numFmtId="0" fontId="132" fillId="41" borderId="0" xfId="1" applyFont="1" applyFill="1"/>
    <xf numFmtId="0" fontId="117" fillId="41" borderId="0" xfId="1" applyFont="1" applyFill="1" applyAlignment="1">
      <alignment vertical="center" wrapText="1"/>
    </xf>
    <xf numFmtId="3" fontId="136" fillId="0" borderId="0" xfId="1" applyNumberFormat="1" applyFont="1" applyAlignment="1">
      <alignment horizontal="center"/>
    </xf>
    <xf numFmtId="171" fontId="94" fillId="0" borderId="0" xfId="1" applyNumberFormat="1" applyFont="1" applyAlignment="1">
      <alignment horizontal="center"/>
    </xf>
    <xf numFmtId="171" fontId="173" fillId="0" borderId="0" xfId="97" applyNumberFormat="1" applyFont="1" applyFill="1" applyAlignment="1">
      <alignment horizontal="center"/>
    </xf>
    <xf numFmtId="0" fontId="132" fillId="54" borderId="0" xfId="1" applyFont="1" applyFill="1" applyAlignment="1">
      <alignment horizontal="center" vertical="center" wrapText="1"/>
    </xf>
    <xf numFmtId="3" fontId="74" fillId="41" borderId="0" xfId="1" applyNumberFormat="1" applyFont="1" applyFill="1" applyAlignment="1">
      <alignment horizontal="center" vertical="center"/>
    </xf>
    <xf numFmtId="3" fontId="99" fillId="41" borderId="0" xfId="1" applyNumberFormat="1" applyFont="1" applyFill="1" applyAlignment="1">
      <alignment horizontal="center"/>
    </xf>
    <xf numFmtId="3" fontId="136" fillId="41" borderId="0" xfId="1" applyNumberFormat="1" applyFont="1" applyFill="1" applyAlignment="1">
      <alignment horizontal="center"/>
    </xf>
    <xf numFmtId="3" fontId="80" fillId="41" borderId="0" xfId="1" applyNumberFormat="1" applyFont="1" applyFill="1" applyAlignment="1">
      <alignment horizontal="center"/>
    </xf>
    <xf numFmtId="3" fontId="81" fillId="41" borderId="0" xfId="1" applyNumberFormat="1" applyFont="1" applyFill="1" applyAlignment="1">
      <alignment horizontal="center"/>
    </xf>
    <xf numFmtId="3" fontId="74" fillId="41" borderId="0" xfId="97" applyNumberFormat="1" applyFont="1" applyFill="1" applyAlignment="1">
      <alignment horizontal="center"/>
    </xf>
    <xf numFmtId="212" fontId="75" fillId="41" borderId="0" xfId="1" applyNumberFormat="1" applyFont="1" applyFill="1" applyAlignment="1">
      <alignment horizontal="center"/>
    </xf>
    <xf numFmtId="212" fontId="80" fillId="41" borderId="0" xfId="1" applyNumberFormat="1" applyFont="1" applyFill="1" applyAlignment="1">
      <alignment horizontal="center"/>
    </xf>
    <xf numFmtId="4" fontId="78" fillId="41" borderId="0" xfId="1" applyNumberFormat="1" applyFont="1" applyFill="1" applyAlignment="1">
      <alignment horizontal="center"/>
    </xf>
    <xf numFmtId="4" fontId="78" fillId="41" borderId="0" xfId="134" applyNumberFormat="1" applyFont="1" applyFill="1" applyAlignment="1">
      <alignment horizontal="center"/>
    </xf>
    <xf numFmtId="4" fontId="75" fillId="41" borderId="0" xfId="1" applyNumberFormat="1" applyFont="1" applyFill="1" applyAlignment="1">
      <alignment horizontal="center"/>
    </xf>
    <xf numFmtId="4" fontId="75" fillId="41" borderId="0" xfId="134" applyNumberFormat="1" applyFont="1" applyFill="1" applyAlignment="1">
      <alignment horizontal="center"/>
    </xf>
    <xf numFmtId="212" fontId="77" fillId="41" borderId="0" xfId="1" applyNumberFormat="1" applyFont="1" applyFill="1" applyAlignment="1">
      <alignment horizontal="center"/>
    </xf>
    <xf numFmtId="212" fontId="79" fillId="41" borderId="0" xfId="1" applyNumberFormat="1" applyFont="1" applyFill="1" applyAlignment="1">
      <alignment horizontal="center"/>
    </xf>
    <xf numFmtId="212" fontId="79" fillId="41" borderId="0" xfId="134" applyNumberFormat="1" applyFont="1" applyFill="1" applyAlignment="1">
      <alignment horizontal="center"/>
    </xf>
    <xf numFmtId="3" fontId="75" fillId="0" borderId="0" xfId="134" applyNumberFormat="1" applyFont="1"/>
    <xf numFmtId="3" fontId="156" fillId="41" borderId="0" xfId="1" applyNumberFormat="1" applyFont="1" applyFill="1" applyAlignment="1">
      <alignment horizontal="center"/>
    </xf>
    <xf numFmtId="172" fontId="78" fillId="41" borderId="0" xfId="134" applyNumberFormat="1" applyFont="1" applyFill="1" applyAlignment="1">
      <alignment horizontal="center"/>
    </xf>
    <xf numFmtId="171" fontId="79" fillId="41" borderId="26" xfId="97" applyNumberFormat="1" applyFont="1" applyFill="1" applyBorder="1" applyAlignment="1">
      <alignment horizontal="center"/>
    </xf>
    <xf numFmtId="3" fontId="110" fillId="0" borderId="0" xfId="134" applyNumberFormat="1" applyFont="1" applyAlignment="1">
      <alignment horizontal="center"/>
    </xf>
    <xf numFmtId="2" fontId="78" fillId="41" borderId="0" xfId="134" applyNumberFormat="1" applyFont="1" applyFill="1" applyAlignment="1">
      <alignment horizontal="center"/>
    </xf>
    <xf numFmtId="3" fontId="110" fillId="41" borderId="0" xfId="1" applyNumberFormat="1" applyFont="1" applyFill="1" applyAlignment="1">
      <alignment horizontal="center"/>
    </xf>
    <xf numFmtId="3" fontId="75" fillId="28" borderId="0" xfId="1" applyNumberFormat="1" applyFont="1" applyFill="1" applyAlignment="1">
      <alignment horizontal="center" vertical="center"/>
    </xf>
    <xf numFmtId="172" fontId="101" fillId="0" borderId="0" xfId="1" applyNumberFormat="1" applyFont="1" applyAlignment="1">
      <alignment horizontal="center"/>
    </xf>
    <xf numFmtId="172" fontId="134" fillId="0" borderId="0" xfId="1" applyNumberFormat="1" applyFont="1" applyAlignment="1">
      <alignment horizontal="center"/>
    </xf>
    <xf numFmtId="172" fontId="101" fillId="41" borderId="0" xfId="1" applyNumberFormat="1" applyFont="1" applyFill="1" applyAlignment="1">
      <alignment horizontal="center"/>
    </xf>
    <xf numFmtId="172" fontId="134" fillId="41" borderId="0" xfId="1" applyNumberFormat="1" applyFont="1" applyFill="1" applyAlignment="1">
      <alignment horizontal="center"/>
    </xf>
    <xf numFmtId="172" fontId="101" fillId="0" borderId="0" xfId="134" applyNumberFormat="1" applyFont="1" applyAlignment="1">
      <alignment horizontal="center"/>
    </xf>
    <xf numFmtId="0" fontId="77" fillId="0" borderId="17" xfId="87" applyFont="1" applyBorder="1" applyAlignment="1">
      <alignment vertical="center"/>
    </xf>
    <xf numFmtId="4" fontId="75" fillId="0" borderId="17" xfId="65" applyNumberFormat="1" applyFont="1" applyFill="1" applyBorder="1" applyAlignment="1">
      <alignment horizontal="center" vertical="center"/>
    </xf>
    <xf numFmtId="4" fontId="77" fillId="0" borderId="17" xfId="65" applyNumberFormat="1" applyFont="1" applyFill="1" applyBorder="1" applyAlignment="1">
      <alignment horizontal="center" vertical="center"/>
    </xf>
    <xf numFmtId="3" fontId="75" fillId="0" borderId="17" xfId="65" applyFont="1" applyFill="1" applyBorder="1" applyAlignment="1">
      <alignment horizontal="center" vertical="center"/>
    </xf>
    <xf numFmtId="172" fontId="78" fillId="0" borderId="17" xfId="1" applyNumberFormat="1" applyFont="1" applyBorder="1" applyAlignment="1">
      <alignment horizontal="center" vertical="center"/>
    </xf>
    <xf numFmtId="172" fontId="86" fillId="21" borderId="17" xfId="65" applyNumberFormat="1" applyFont="1" applyFill="1" applyBorder="1" applyAlignment="1">
      <alignment horizontal="center" vertical="center"/>
    </xf>
    <xf numFmtId="172" fontId="78" fillId="0" borderId="17" xfId="65" applyNumberFormat="1" applyFont="1" applyBorder="1" applyAlignment="1">
      <alignment horizontal="center" vertical="center"/>
    </xf>
    <xf numFmtId="0" fontId="75" fillId="0" borderId="17" xfId="1" applyFont="1" applyBorder="1" applyAlignment="1">
      <alignment horizontal="center" vertical="center"/>
    </xf>
    <xf numFmtId="172" fontId="75" fillId="0" borderId="17" xfId="1" applyNumberFormat="1" applyFont="1" applyBorder="1" applyAlignment="1">
      <alignment horizontal="center" vertical="center"/>
    </xf>
    <xf numFmtId="9" fontId="75" fillId="0" borderId="17" xfId="97" applyFont="1" applyBorder="1" applyAlignment="1">
      <alignment horizontal="center" vertical="center"/>
    </xf>
    <xf numFmtId="9" fontId="77" fillId="0" borderId="17" xfId="97" applyFont="1" applyBorder="1" applyAlignment="1">
      <alignment horizontal="center" vertical="center"/>
    </xf>
    <xf numFmtId="185" fontId="78" fillId="21" borderId="17" xfId="65" applyNumberFormat="1" applyFont="1" applyFill="1" applyBorder="1" applyAlignment="1">
      <alignment horizontal="center" vertical="center"/>
    </xf>
    <xf numFmtId="172" fontId="75" fillId="0" borderId="17" xfId="65" quotePrefix="1" applyNumberFormat="1" applyFont="1" applyBorder="1" applyAlignment="1">
      <alignment horizontal="center" vertical="center"/>
    </xf>
    <xf numFmtId="172" fontId="77" fillId="0" borderId="17" xfId="1" applyNumberFormat="1" applyFont="1" applyBorder="1" applyAlignment="1">
      <alignment horizontal="center" vertical="center"/>
    </xf>
    <xf numFmtId="171" fontId="77" fillId="0" borderId="17" xfId="97" applyNumberFormat="1" applyFont="1" applyBorder="1" applyAlignment="1">
      <alignment horizontal="center" vertical="center"/>
    </xf>
    <xf numFmtId="3" fontId="86" fillId="21" borderId="17" xfId="65" applyFont="1" applyFill="1" applyBorder="1" applyAlignment="1">
      <alignment horizontal="center" vertical="center"/>
    </xf>
    <xf numFmtId="172" fontId="75" fillId="0" borderId="17" xfId="65" quotePrefix="1" applyNumberFormat="1" applyFont="1" applyFill="1" applyBorder="1" applyAlignment="1">
      <alignment horizontal="center" vertical="center"/>
    </xf>
    <xf numFmtId="172" fontId="77" fillId="0" borderId="17" xfId="65" quotePrefix="1" applyNumberFormat="1" applyFont="1" applyFill="1" applyBorder="1" applyAlignment="1">
      <alignment horizontal="center" vertical="center"/>
    </xf>
    <xf numFmtId="0" fontId="78" fillId="0" borderId="39" xfId="1" applyFont="1" applyBorder="1" applyAlignment="1">
      <alignment horizontal="center" vertical="center"/>
    </xf>
    <xf numFmtId="3" fontId="78" fillId="0" borderId="17" xfId="1" applyNumberFormat="1" applyFont="1" applyBorder="1" applyAlignment="1">
      <alignment horizontal="center" vertical="center"/>
    </xf>
    <xf numFmtId="172" fontId="77" fillId="46" borderId="17" xfId="1" applyNumberFormat="1" applyFont="1" applyFill="1" applyBorder="1" applyAlignment="1">
      <alignment horizontal="center" vertical="center"/>
    </xf>
    <xf numFmtId="10" fontId="75" fillId="0" borderId="17" xfId="1" applyNumberFormat="1" applyFont="1" applyBorder="1" applyAlignment="1">
      <alignment horizontal="center" vertical="center"/>
    </xf>
    <xf numFmtId="10" fontId="77" fillId="0" borderId="39" xfId="1" applyNumberFormat="1" applyFont="1" applyBorder="1" applyAlignment="1">
      <alignment horizontal="center" vertical="center"/>
    </xf>
    <xf numFmtId="0" fontId="77" fillId="0" borderId="0" xfId="1" quotePrefix="1" applyFont="1" applyAlignment="1">
      <alignment horizontal="center" vertical="center" wrapText="1"/>
    </xf>
    <xf numFmtId="4" fontId="104" fillId="0" borderId="0" xfId="1" applyNumberFormat="1" applyFont="1" applyAlignment="1">
      <alignment horizontal="center"/>
    </xf>
    <xf numFmtId="213" fontId="104" fillId="0" borderId="0" xfId="1" applyNumberFormat="1" applyFont="1" applyAlignment="1">
      <alignment horizontal="center"/>
    </xf>
    <xf numFmtId="206" fontId="105" fillId="0" borderId="12" xfId="1" applyNumberFormat="1" applyFont="1" applyBorder="1" applyAlignment="1">
      <alignment horizontal="center"/>
    </xf>
    <xf numFmtId="9" fontId="105" fillId="0" borderId="0" xfId="1" applyNumberFormat="1" applyFont="1" applyAlignment="1">
      <alignment horizontal="center"/>
    </xf>
    <xf numFmtId="9" fontId="104" fillId="0" borderId="0" xfId="1" applyNumberFormat="1" applyFont="1" applyAlignment="1">
      <alignment horizontal="center"/>
    </xf>
    <xf numFmtId="211" fontId="104" fillId="0" borderId="0" xfId="1" applyNumberFormat="1" applyFont="1" applyAlignment="1">
      <alignment horizontal="center"/>
    </xf>
    <xf numFmtId="206" fontId="105" fillId="0" borderId="0" xfId="1" applyNumberFormat="1" applyFont="1" applyAlignment="1">
      <alignment horizontal="center"/>
    </xf>
    <xf numFmtId="213" fontId="105" fillId="0" borderId="0" xfId="1" applyNumberFormat="1" applyFont="1" applyAlignment="1">
      <alignment horizontal="center"/>
    </xf>
    <xf numFmtId="207" fontId="104" fillId="0" borderId="0" xfId="1" applyNumberFormat="1" applyFont="1" applyAlignment="1">
      <alignment horizontal="center"/>
    </xf>
    <xf numFmtId="171" fontId="106" fillId="0" borderId="26" xfId="1" applyNumberFormat="1" applyFont="1" applyBorder="1" applyAlignment="1">
      <alignment horizontal="center"/>
    </xf>
    <xf numFmtId="206" fontId="104" fillId="0" borderId="0" xfId="1" applyNumberFormat="1" applyFont="1" applyAlignment="1">
      <alignment horizontal="center"/>
    </xf>
    <xf numFmtId="171" fontId="106" fillId="0" borderId="12" xfId="97" applyNumberFormat="1" applyFont="1" applyFill="1" applyBorder="1" applyAlignment="1">
      <alignment horizontal="center"/>
    </xf>
    <xf numFmtId="171" fontId="104" fillId="0" borderId="12" xfId="97" applyNumberFormat="1" applyFont="1" applyFill="1" applyBorder="1" applyAlignment="1">
      <alignment horizontal="center"/>
    </xf>
    <xf numFmtId="1" fontId="94" fillId="16" borderId="0" xfId="1" applyNumberFormat="1" applyFont="1" applyFill="1" applyAlignment="1">
      <alignment horizontal="center"/>
    </xf>
    <xf numFmtId="3" fontId="124" fillId="41" borderId="0" xfId="1" applyNumberFormat="1" applyFont="1" applyFill="1" applyAlignment="1">
      <alignment horizontal="center"/>
    </xf>
    <xf numFmtId="174" fontId="8" fillId="32" borderId="13" xfId="1" applyNumberFormat="1" applyFont="1" applyFill="1" applyBorder="1" applyAlignment="1">
      <alignment horizontal="center"/>
    </xf>
    <xf numFmtId="174" fontId="17" fillId="32" borderId="13" xfId="1" applyNumberFormat="1" applyFont="1" applyFill="1" applyBorder="1" applyAlignment="1">
      <alignment horizontal="center"/>
    </xf>
    <xf numFmtId="9" fontId="20" fillId="0" borderId="0" xfId="1" applyNumberFormat="1" applyFont="1" applyAlignment="1">
      <alignment horizontal="center" vertical="center" wrapText="1"/>
    </xf>
    <xf numFmtId="9" fontId="22" fillId="0" borderId="0" xfId="97" applyFont="1" applyFill="1" applyBorder="1" applyAlignment="1">
      <alignment horizontal="center"/>
    </xf>
    <xf numFmtId="0" fontId="7" fillId="0" borderId="0" xfId="1" applyFont="1" applyAlignment="1">
      <alignment horizontal="center" vertical="center" wrapText="1"/>
    </xf>
    <xf numFmtId="181" fontId="85" fillId="0" borderId="45" xfId="87" applyNumberFormat="1" applyFont="1" applyBorder="1" applyAlignment="1">
      <alignment horizontal="center" vertical="center"/>
    </xf>
    <xf numFmtId="0" fontId="78" fillId="0" borderId="45" xfId="1" applyFont="1" applyBorder="1" applyAlignment="1">
      <alignment horizontal="center" vertical="center"/>
    </xf>
    <xf numFmtId="10" fontId="77" fillId="0" borderId="45" xfId="1" applyNumberFormat="1" applyFont="1" applyBorder="1" applyAlignment="1">
      <alignment horizontal="center" vertical="center"/>
    </xf>
    <xf numFmtId="17" fontId="75" fillId="0" borderId="0" xfId="134" applyNumberFormat="1" applyFont="1" applyAlignment="1">
      <alignment horizontal="center"/>
    </xf>
    <xf numFmtId="0" fontId="75" fillId="19" borderId="13" xfId="134" applyFont="1" applyFill="1" applyBorder="1" applyAlignment="1">
      <alignment horizontal="center"/>
    </xf>
    <xf numFmtId="3" fontId="77" fillId="19" borderId="13" xfId="134" applyNumberFormat="1" applyFont="1" applyFill="1" applyBorder="1" applyAlignment="1">
      <alignment horizontal="center"/>
    </xf>
    <xf numFmtId="3" fontId="126" fillId="0" borderId="0" xfId="134" applyNumberFormat="1" applyFont="1" applyAlignment="1">
      <alignment horizontal="center"/>
    </xf>
    <xf numFmtId="0" fontId="126" fillId="0" borderId="0" xfId="134" applyFont="1"/>
    <xf numFmtId="3" fontId="75" fillId="26" borderId="13" xfId="134" applyNumberFormat="1" applyFont="1" applyFill="1" applyBorder="1" applyAlignment="1">
      <alignment horizontal="center"/>
    </xf>
    <xf numFmtId="173" fontId="75" fillId="0" borderId="0" xfId="134" applyNumberFormat="1" applyFont="1" applyAlignment="1">
      <alignment horizontal="center"/>
    </xf>
    <xf numFmtId="173" fontId="77" fillId="0" borderId="0" xfId="134" applyNumberFormat="1" applyFont="1" applyAlignment="1">
      <alignment horizontal="center"/>
    </xf>
    <xf numFmtId="0" fontId="74" fillId="0" borderId="0" xfId="134" applyFont="1" applyAlignment="1">
      <alignment horizontal="center"/>
    </xf>
    <xf numFmtId="3" fontId="75" fillId="16" borderId="0" xfId="134" applyNumberFormat="1" applyFont="1" applyFill="1" applyAlignment="1">
      <alignment horizontal="center"/>
    </xf>
    <xf numFmtId="0" fontId="75" fillId="17" borderId="13" xfId="134" applyFont="1" applyFill="1" applyBorder="1" applyAlignment="1">
      <alignment horizontal="center"/>
    </xf>
    <xf numFmtId="3" fontId="75" fillId="19" borderId="13" xfId="134" applyNumberFormat="1" applyFont="1" applyFill="1" applyBorder="1" applyAlignment="1">
      <alignment horizontal="center"/>
    </xf>
    <xf numFmtId="0" fontId="75" fillId="41" borderId="0" xfId="134" applyFont="1" applyFill="1" applyAlignment="1">
      <alignment horizontal="center"/>
    </xf>
    <xf numFmtId="212" fontId="75" fillId="41" borderId="0" xfId="134" applyNumberFormat="1" applyFont="1" applyFill="1" applyAlignment="1">
      <alignment horizontal="center"/>
    </xf>
    <xf numFmtId="172" fontId="75" fillId="41" borderId="0" xfId="134" applyNumberFormat="1" applyFont="1" applyFill="1" applyAlignment="1">
      <alignment horizontal="center"/>
    </xf>
    <xf numFmtId="212" fontId="77" fillId="41" borderId="0" xfId="134" applyNumberFormat="1" applyFont="1" applyFill="1" applyAlignment="1">
      <alignment horizontal="center"/>
    </xf>
    <xf numFmtId="172" fontId="77" fillId="16" borderId="0" xfId="134" applyNumberFormat="1" applyFont="1" applyFill="1" applyAlignment="1">
      <alignment horizontal="center"/>
    </xf>
    <xf numFmtId="172" fontId="80" fillId="0" borderId="0" xfId="134" applyNumberFormat="1" applyFont="1" applyAlignment="1">
      <alignment horizontal="center"/>
    </xf>
    <xf numFmtId="4" fontId="94" fillId="0" borderId="0" xfId="134" applyNumberFormat="1" applyFont="1" applyAlignment="1">
      <alignment horizontal="center"/>
    </xf>
    <xf numFmtId="172" fontId="75" fillId="0" borderId="0" xfId="134" applyNumberFormat="1" applyFont="1" applyAlignment="1">
      <alignment horizontal="center"/>
    </xf>
    <xf numFmtId="212" fontId="75" fillId="0" borderId="0" xfId="134" applyNumberFormat="1" applyFont="1" applyAlignment="1">
      <alignment horizontal="center"/>
    </xf>
    <xf numFmtId="2" fontId="75" fillId="0" borderId="0" xfId="134" applyNumberFormat="1" applyFont="1" applyAlignment="1">
      <alignment horizontal="center"/>
    </xf>
    <xf numFmtId="3" fontId="78" fillId="19" borderId="13" xfId="134" applyNumberFormat="1" applyFont="1" applyFill="1" applyBorder="1" applyAlignment="1">
      <alignment horizontal="center"/>
    </xf>
    <xf numFmtId="3" fontId="75" fillId="28" borderId="0" xfId="134" applyNumberFormat="1" applyFont="1" applyFill="1" applyAlignment="1">
      <alignment horizontal="center" vertical="center"/>
    </xf>
    <xf numFmtId="172" fontId="124" fillId="0" borderId="0" xfId="134" applyNumberFormat="1" applyFont="1" applyAlignment="1">
      <alignment horizontal="center"/>
    </xf>
    <xf numFmtId="3" fontId="128" fillId="16" borderId="0" xfId="134" applyNumberFormat="1" applyFont="1" applyFill="1" applyAlignment="1">
      <alignment horizontal="center"/>
    </xf>
    <xf numFmtId="177" fontId="97" fillId="16" borderId="0" xfId="134" applyNumberFormat="1" applyFont="1" applyFill="1" applyAlignment="1">
      <alignment horizontal="center"/>
    </xf>
    <xf numFmtId="3" fontId="124" fillId="0" borderId="0" xfId="134" applyNumberFormat="1" applyFont="1" applyAlignment="1">
      <alignment horizontal="center"/>
    </xf>
    <xf numFmtId="3" fontId="78" fillId="16" borderId="0" xfId="134" applyNumberFormat="1" applyFont="1" applyFill="1" applyAlignment="1">
      <alignment horizontal="center"/>
    </xf>
    <xf numFmtId="0" fontId="75" fillId="18" borderId="13" xfId="134" applyFont="1" applyFill="1" applyBorder="1" applyAlignment="1">
      <alignment horizontal="center"/>
    </xf>
    <xf numFmtId="0" fontId="80" fillId="0" borderId="0" xfId="134" applyFont="1" applyAlignment="1">
      <alignment horizontal="center"/>
    </xf>
    <xf numFmtId="172" fontId="85" fillId="0" borderId="0" xfId="134" applyNumberFormat="1" applyFont="1" applyAlignment="1">
      <alignment horizontal="center"/>
    </xf>
    <xf numFmtId="3" fontId="75" fillId="17" borderId="13" xfId="134" applyNumberFormat="1" applyFont="1" applyFill="1" applyBorder="1" applyAlignment="1">
      <alignment horizontal="center"/>
    </xf>
    <xf numFmtId="4" fontId="77" fillId="0" borderId="0" xfId="134" applyNumberFormat="1" applyFont="1" applyAlignment="1">
      <alignment horizontal="center"/>
    </xf>
    <xf numFmtId="196" fontId="75" fillId="0" borderId="0" xfId="134" applyNumberFormat="1" applyFont="1" applyAlignment="1">
      <alignment horizontal="center"/>
    </xf>
    <xf numFmtId="171" fontId="75" fillId="17" borderId="13" xfId="134" applyNumberFormat="1" applyFont="1" applyFill="1" applyBorder="1" applyAlignment="1">
      <alignment horizontal="center"/>
    </xf>
    <xf numFmtId="9" fontId="75" fillId="0" borderId="0" xfId="134" applyNumberFormat="1" applyFont="1" applyAlignment="1">
      <alignment horizontal="center"/>
    </xf>
    <xf numFmtId="4" fontId="78" fillId="0" borderId="0" xfId="134" applyNumberFormat="1" applyFont="1" applyAlignment="1">
      <alignment horizontal="center"/>
    </xf>
    <xf numFmtId="212" fontId="79" fillId="0" borderId="0" xfId="134" applyNumberFormat="1" applyFont="1" applyAlignment="1">
      <alignment horizontal="center"/>
    </xf>
    <xf numFmtId="173" fontId="79" fillId="0" borderId="0" xfId="134" applyNumberFormat="1" applyFont="1" applyAlignment="1">
      <alignment horizontal="center"/>
    </xf>
    <xf numFmtId="173" fontId="78" fillId="0" borderId="0" xfId="134" applyNumberFormat="1" applyFont="1" applyAlignment="1">
      <alignment horizontal="center"/>
    </xf>
    <xf numFmtId="174" fontId="78" fillId="0" borderId="40" xfId="134" applyNumberFormat="1" applyFont="1" applyBorder="1" applyAlignment="1">
      <alignment horizontal="center"/>
    </xf>
    <xf numFmtId="0" fontId="75" fillId="0" borderId="45" xfId="134" applyFont="1" applyBorder="1" applyAlignment="1">
      <alignment horizontal="center"/>
    </xf>
    <xf numFmtId="174" fontId="75" fillId="0" borderId="0" xfId="134" applyNumberFormat="1" applyFont="1" applyAlignment="1">
      <alignment horizontal="center"/>
    </xf>
    <xf numFmtId="0" fontId="75" fillId="16" borderId="0" xfId="134" applyFont="1" applyFill="1" applyAlignment="1">
      <alignment horizontal="center"/>
    </xf>
    <xf numFmtId="10" fontId="75" fillId="0" borderId="0" xfId="134" applyNumberFormat="1" applyFont="1" applyAlignment="1">
      <alignment horizontal="center"/>
    </xf>
    <xf numFmtId="3" fontId="139" fillId="0" borderId="0" xfId="134" applyNumberFormat="1" applyFont="1" applyAlignment="1">
      <alignment horizontal="center"/>
    </xf>
    <xf numFmtId="3" fontId="82" fillId="46" borderId="0" xfId="134" applyNumberFormat="1" applyFont="1" applyFill="1" applyAlignment="1">
      <alignment horizontal="center"/>
    </xf>
    <xf numFmtId="3" fontId="97" fillId="0" borderId="0" xfId="134" applyNumberFormat="1" applyFont="1" applyAlignment="1">
      <alignment horizontal="center"/>
    </xf>
    <xf numFmtId="3" fontId="93" fillId="41" borderId="0" xfId="134" applyNumberFormat="1" applyFont="1" applyFill="1" applyAlignment="1">
      <alignment horizontal="center"/>
    </xf>
    <xf numFmtId="171" fontId="77" fillId="0" borderId="0" xfId="134" applyNumberFormat="1" applyFont="1" applyAlignment="1">
      <alignment horizontal="center"/>
    </xf>
    <xf numFmtId="3" fontId="80" fillId="0" borderId="0" xfId="134" applyNumberFormat="1" applyFont="1" applyAlignment="1">
      <alignment horizontal="center"/>
    </xf>
    <xf numFmtId="0" fontId="75" fillId="20" borderId="13" xfId="134" applyFont="1" applyFill="1" applyBorder="1" applyAlignment="1">
      <alignment horizontal="center"/>
    </xf>
    <xf numFmtId="171" fontId="78" fillId="0" borderId="0" xfId="134" applyNumberFormat="1" applyFont="1" applyAlignment="1">
      <alignment horizontal="center"/>
    </xf>
    <xf numFmtId="171" fontId="75" fillId="0" borderId="0" xfId="134" applyNumberFormat="1" applyFont="1" applyAlignment="1">
      <alignment horizontal="center"/>
    </xf>
    <xf numFmtId="3" fontId="101" fillId="0" borderId="0" xfId="134" applyNumberFormat="1" applyFont="1" applyAlignment="1">
      <alignment horizontal="center"/>
    </xf>
    <xf numFmtId="0" fontId="75" fillId="0" borderId="13" xfId="134" applyFont="1" applyBorder="1" applyAlignment="1">
      <alignment horizontal="center"/>
    </xf>
    <xf numFmtId="9" fontId="78" fillId="0" borderId="0" xfId="134" applyNumberFormat="1" applyFont="1" applyAlignment="1">
      <alignment horizontal="center"/>
    </xf>
    <xf numFmtId="9" fontId="97" fillId="0" borderId="0" xfId="134" applyNumberFormat="1" applyFont="1" applyAlignment="1">
      <alignment horizontal="center"/>
    </xf>
    <xf numFmtId="3" fontId="93" fillId="0" borderId="0" xfId="134" applyNumberFormat="1" applyFont="1" applyAlignment="1">
      <alignment horizontal="center"/>
    </xf>
    <xf numFmtId="9" fontId="75" fillId="0" borderId="0" xfId="97" applyFont="1" applyFill="1" applyAlignment="1">
      <alignment vertical="center"/>
    </xf>
    <xf numFmtId="172" fontId="72" fillId="0" borderId="0" xfId="1" applyNumberFormat="1" applyFont="1" applyAlignment="1">
      <alignment horizontal="center"/>
    </xf>
    <xf numFmtId="172" fontId="182" fillId="0" borderId="0" xfId="1" applyNumberFormat="1" applyFont="1" applyAlignment="1">
      <alignment horizontal="center"/>
    </xf>
    <xf numFmtId="208" fontId="102" fillId="33" borderId="0" xfId="1" applyNumberFormat="1" applyFont="1" applyFill="1" applyAlignment="1">
      <alignment horizontal="center"/>
    </xf>
    <xf numFmtId="0" fontId="35" fillId="0" borderId="0" xfId="0" applyFont="1"/>
    <xf numFmtId="0" fontId="33" fillId="0" borderId="0" xfId="0" applyFont="1"/>
    <xf numFmtId="3" fontId="78" fillId="0" borderId="0" xfId="87" applyNumberFormat="1" applyFont="1" applyAlignment="1">
      <alignment horizontal="center" vertical="center"/>
    </xf>
    <xf numFmtId="3" fontId="77" fillId="46" borderId="14" xfId="65" applyFont="1" applyFill="1" applyBorder="1" applyAlignment="1">
      <alignment horizontal="center" vertical="center"/>
    </xf>
    <xf numFmtId="3" fontId="77" fillId="46" borderId="0" xfId="65" applyFont="1" applyFill="1" applyBorder="1" applyAlignment="1">
      <alignment horizontal="center" vertical="center"/>
    </xf>
    <xf numFmtId="3" fontId="77" fillId="46" borderId="17" xfId="65" applyFont="1" applyFill="1" applyBorder="1" applyAlignment="1">
      <alignment horizontal="center" vertical="center"/>
    </xf>
    <xf numFmtId="9" fontId="81" fillId="16" borderId="0" xfId="97" applyFont="1" applyFill="1" applyAlignment="1">
      <alignment horizontal="center"/>
    </xf>
    <xf numFmtId="9" fontId="101" fillId="16" borderId="0" xfId="97" applyFont="1" applyFill="1" applyAlignment="1">
      <alignment horizontal="center"/>
    </xf>
    <xf numFmtId="9" fontId="134" fillId="16" borderId="0" xfId="97" applyFont="1" applyFill="1" applyAlignment="1">
      <alignment horizontal="left"/>
    </xf>
    <xf numFmtId="3" fontId="78" fillId="41" borderId="0" xfId="137" applyNumberFormat="1" applyFont="1" applyFill="1" applyAlignment="1">
      <alignment horizontal="center"/>
    </xf>
    <xf numFmtId="3" fontId="90" fillId="41" borderId="0" xfId="137" applyNumberFormat="1" applyFont="1" applyFill="1" applyAlignment="1">
      <alignment horizontal="center"/>
    </xf>
    <xf numFmtId="3" fontId="74" fillId="41" borderId="0" xfId="134" applyNumberFormat="1" applyFont="1" applyFill="1" applyAlignment="1">
      <alignment horizontal="center"/>
    </xf>
    <xf numFmtId="1" fontId="75" fillId="41" borderId="0" xfId="137" applyNumberFormat="1" applyFont="1" applyFill="1" applyAlignment="1">
      <alignment horizontal="center"/>
    </xf>
    <xf numFmtId="3" fontId="77" fillId="41" borderId="0" xfId="137" applyNumberFormat="1" applyFont="1" applyFill="1" applyAlignment="1">
      <alignment horizontal="center"/>
    </xf>
    <xf numFmtId="3" fontId="75" fillId="41" borderId="0" xfId="137" applyNumberFormat="1" applyFont="1" applyFill="1" applyAlignment="1">
      <alignment horizontal="center"/>
    </xf>
    <xf numFmtId="3" fontId="100" fillId="41" borderId="0" xfId="137" applyNumberFormat="1" applyFont="1" applyFill="1" applyAlignment="1">
      <alignment horizontal="center"/>
    </xf>
    <xf numFmtId="3" fontId="100" fillId="41" borderId="0" xfId="134" applyNumberFormat="1" applyFont="1" applyFill="1" applyAlignment="1">
      <alignment horizontal="center"/>
    </xf>
    <xf numFmtId="3" fontId="156" fillId="41" borderId="0" xfId="137" applyNumberFormat="1" applyFont="1" applyFill="1" applyAlignment="1">
      <alignment horizontal="center"/>
    </xf>
    <xf numFmtId="3" fontId="79" fillId="41" borderId="0" xfId="137" applyNumberFormat="1" applyFont="1" applyFill="1" applyAlignment="1">
      <alignment horizontal="center"/>
    </xf>
    <xf numFmtId="0" fontId="78" fillId="41" borderId="0" xfId="137" applyFont="1" applyFill="1" applyAlignment="1">
      <alignment horizontal="center"/>
    </xf>
    <xf numFmtId="3" fontId="79" fillId="41" borderId="47" xfId="137" applyNumberFormat="1" applyFont="1" applyFill="1" applyBorder="1" applyAlignment="1">
      <alignment horizontal="center"/>
    </xf>
    <xf numFmtId="171" fontId="112" fillId="41" borderId="0" xfId="1" applyNumberFormat="1" applyFont="1" applyFill="1" applyAlignment="1">
      <alignment horizontal="center"/>
    </xf>
    <xf numFmtId="171" fontId="112" fillId="41" borderId="0" xfId="137" applyNumberFormat="1" applyFont="1" applyFill="1" applyAlignment="1">
      <alignment horizontal="center"/>
    </xf>
    <xf numFmtId="172" fontId="123" fillId="41" borderId="0" xfId="137" applyNumberFormat="1" applyFont="1" applyFill="1" applyAlignment="1">
      <alignment horizontal="center"/>
    </xf>
    <xf numFmtId="172" fontId="90" fillId="41" borderId="0" xfId="137" applyNumberFormat="1" applyFont="1" applyFill="1" applyAlignment="1">
      <alignment horizontal="center"/>
    </xf>
    <xf numFmtId="172" fontId="101" fillId="41" borderId="0" xfId="134" applyNumberFormat="1" applyFont="1" applyFill="1" applyAlignment="1">
      <alignment horizontal="center"/>
    </xf>
    <xf numFmtId="172" fontId="101" fillId="41" borderId="0" xfId="137" applyNumberFormat="1" applyFont="1" applyFill="1" applyAlignment="1">
      <alignment horizontal="center"/>
    </xf>
    <xf numFmtId="172" fontId="127" fillId="41" borderId="0" xfId="134" applyNumberFormat="1" applyFont="1" applyFill="1" applyAlignment="1">
      <alignment horizontal="center"/>
    </xf>
    <xf numFmtId="172" fontId="123" fillId="41" borderId="0" xfId="134" applyNumberFormat="1" applyFont="1" applyFill="1" applyAlignment="1">
      <alignment horizontal="center"/>
    </xf>
    <xf numFmtId="171" fontId="127" fillId="41" borderId="0" xfId="137" applyNumberFormat="1" applyFont="1" applyFill="1" applyAlignment="1">
      <alignment horizontal="center"/>
    </xf>
    <xf numFmtId="0" fontId="81" fillId="41" borderId="0" xfId="137" applyFont="1" applyFill="1" applyAlignment="1">
      <alignment horizontal="center"/>
    </xf>
    <xf numFmtId="172" fontId="81" fillId="41" borderId="0" xfId="1" applyNumberFormat="1" applyFont="1" applyFill="1" applyAlignment="1">
      <alignment horizontal="center"/>
    </xf>
    <xf numFmtId="172" fontId="78" fillId="41" borderId="0" xfId="137" applyNumberFormat="1" applyFont="1" applyFill="1" applyAlignment="1">
      <alignment horizontal="center"/>
    </xf>
    <xf numFmtId="1" fontId="75" fillId="41" borderId="0" xfId="134" applyNumberFormat="1" applyFont="1" applyFill="1" applyAlignment="1">
      <alignment horizontal="center"/>
    </xf>
    <xf numFmtId="171" fontId="97" fillId="41" borderId="0" xfId="1" applyNumberFormat="1" applyFont="1" applyFill="1" applyAlignment="1">
      <alignment horizontal="center"/>
    </xf>
    <xf numFmtId="1" fontId="78" fillId="41" borderId="0" xfId="137" applyNumberFormat="1" applyFont="1" applyFill="1" applyAlignment="1">
      <alignment horizontal="center"/>
    </xf>
    <xf numFmtId="10" fontId="79" fillId="56" borderId="23" xfId="137" applyNumberFormat="1" applyFont="1" applyFill="1" applyBorder="1" applyAlignment="1">
      <alignment horizontal="center"/>
    </xf>
    <xf numFmtId="3" fontId="110" fillId="41" borderId="0" xfId="134" applyNumberFormat="1" applyFont="1" applyFill="1" applyAlignment="1">
      <alignment horizontal="center"/>
    </xf>
    <xf numFmtId="0" fontId="82" fillId="46" borderId="0" xfId="1" applyFont="1" applyFill="1" applyAlignment="1">
      <alignment horizontal="center"/>
    </xf>
    <xf numFmtId="10" fontId="82" fillId="46" borderId="0" xfId="97" applyNumberFormat="1" applyFont="1" applyFill="1" applyAlignment="1">
      <alignment horizontal="center"/>
    </xf>
    <xf numFmtId="10" fontId="82" fillId="46" borderId="0" xfId="1" applyNumberFormat="1" applyFont="1" applyFill="1" applyAlignment="1">
      <alignment horizontal="center"/>
    </xf>
    <xf numFmtId="172" fontId="79" fillId="0" borderId="0" xfId="65" applyNumberFormat="1" applyFont="1" applyBorder="1" applyAlignment="1">
      <alignment horizontal="right" vertical="center"/>
    </xf>
    <xf numFmtId="172" fontId="79" fillId="0" borderId="0" xfId="65" applyNumberFormat="1" applyFont="1" applyBorder="1" applyAlignment="1">
      <alignment horizontal="center" vertical="center"/>
    </xf>
    <xf numFmtId="4" fontId="79" fillId="0" borderId="26" xfId="1" quotePrefix="1" applyNumberFormat="1" applyFont="1" applyBorder="1" applyAlignment="1">
      <alignment horizontal="center" vertical="center" wrapText="1"/>
    </xf>
    <xf numFmtId="3" fontId="110" fillId="0" borderId="0" xfId="1" applyNumberFormat="1" applyFont="1"/>
    <xf numFmtId="3" fontId="176" fillId="0" borderId="0" xfId="1" applyNumberFormat="1" applyFont="1"/>
    <xf numFmtId="3" fontId="176" fillId="0" borderId="0" xfId="1" applyNumberFormat="1" applyFont="1" applyAlignment="1">
      <alignment horizontal="center"/>
    </xf>
    <xf numFmtId="171" fontId="176" fillId="0" borderId="0" xfId="97" applyNumberFormat="1" applyFont="1" applyAlignment="1">
      <alignment horizontal="center"/>
    </xf>
    <xf numFmtId="3" fontId="110" fillId="0" borderId="0" xfId="97" applyNumberFormat="1" applyFont="1" applyAlignment="1">
      <alignment horizontal="center" vertical="center"/>
    </xf>
    <xf numFmtId="171" fontId="184" fillId="0" borderId="0" xfId="1" applyNumberFormat="1" applyFont="1" applyAlignment="1">
      <alignment horizontal="center"/>
    </xf>
    <xf numFmtId="171" fontId="176" fillId="0" borderId="0" xfId="97" applyNumberFormat="1" applyFont="1" applyAlignment="1">
      <alignment horizontal="left"/>
    </xf>
    <xf numFmtId="181" fontId="79" fillId="0" borderId="39" xfId="87" applyNumberFormat="1" applyFont="1" applyBorder="1" applyAlignment="1">
      <alignment horizontal="center" vertical="center"/>
    </xf>
    <xf numFmtId="3" fontId="79" fillId="0" borderId="17" xfId="65" applyFont="1" applyFill="1" applyBorder="1" applyAlignment="1">
      <alignment horizontal="center" vertical="center"/>
    </xf>
    <xf numFmtId="171" fontId="123" fillId="0" borderId="17" xfId="65" applyNumberFormat="1" applyFont="1" applyFill="1" applyBorder="1" applyAlignment="1">
      <alignment horizontal="center" vertical="center"/>
    </xf>
    <xf numFmtId="3" fontId="78" fillId="0" borderId="17" xfId="65" applyFont="1" applyFill="1" applyBorder="1" applyAlignment="1">
      <alignment horizontal="center" vertical="center"/>
    </xf>
    <xf numFmtId="0" fontId="10" fillId="44" borderId="0" xfId="1" applyFont="1" applyFill="1" applyAlignment="1">
      <alignment horizontal="right"/>
    </xf>
    <xf numFmtId="0" fontId="72" fillId="44" borderId="0" xfId="1" applyFont="1" applyFill="1" applyAlignment="1">
      <alignment horizontal="right"/>
    </xf>
    <xf numFmtId="3" fontId="32" fillId="34" borderId="23" xfId="97" applyNumberFormat="1" applyFont="1" applyFill="1" applyBorder="1" applyAlignment="1">
      <alignment horizontal="center"/>
    </xf>
    <xf numFmtId="3" fontId="78" fillId="33" borderId="0" xfId="134" applyNumberFormat="1" applyFont="1" applyFill="1" applyAlignment="1">
      <alignment horizontal="center"/>
    </xf>
    <xf numFmtId="181" fontId="85" fillId="0" borderId="46" xfId="87" applyNumberFormat="1" applyFont="1" applyBorder="1" applyAlignment="1">
      <alignment horizontal="center" vertical="center"/>
    </xf>
    <xf numFmtId="3" fontId="95" fillId="21" borderId="14" xfId="65" applyFont="1" applyFill="1" applyBorder="1" applyAlignment="1">
      <alignment horizontal="center" vertical="center"/>
    </xf>
    <xf numFmtId="173" fontId="77" fillId="0" borderId="46" xfId="97" applyNumberFormat="1" applyFont="1" applyFill="1" applyBorder="1" applyAlignment="1" applyProtection="1">
      <alignment horizontal="center" vertical="center"/>
    </xf>
    <xf numFmtId="171" fontId="79" fillId="0" borderId="0" xfId="1" applyNumberFormat="1" applyFont="1" applyAlignment="1">
      <alignment horizontal="center" vertical="center"/>
    </xf>
    <xf numFmtId="173" fontId="77" fillId="0" borderId="45" xfId="97" applyNumberFormat="1" applyFont="1" applyFill="1" applyBorder="1" applyAlignment="1" applyProtection="1">
      <alignment horizontal="center" vertical="center"/>
    </xf>
    <xf numFmtId="181" fontId="85" fillId="0" borderId="32" xfId="87" applyNumberFormat="1" applyFont="1" applyBorder="1" applyAlignment="1">
      <alignment horizontal="center" vertical="center"/>
    </xf>
    <xf numFmtId="0" fontId="77" fillId="0" borderId="31" xfId="87" applyFont="1" applyBorder="1" applyAlignment="1">
      <alignment vertical="center"/>
    </xf>
    <xf numFmtId="172" fontId="77" fillId="46" borderId="31" xfId="65" applyNumberFormat="1" applyFont="1" applyFill="1" applyBorder="1" applyAlignment="1">
      <alignment horizontal="center" vertical="center"/>
    </xf>
    <xf numFmtId="172" fontId="77" fillId="0" borderId="31" xfId="65" applyNumberFormat="1" applyFont="1" applyFill="1" applyBorder="1" applyAlignment="1">
      <alignment horizontal="center" vertical="center"/>
    </xf>
    <xf numFmtId="4" fontId="75" fillId="0" borderId="31" xfId="65" applyNumberFormat="1" applyFont="1" applyFill="1" applyBorder="1" applyAlignment="1">
      <alignment horizontal="center" vertical="center"/>
    </xf>
    <xf numFmtId="4" fontId="77" fillId="0" borderId="31" xfId="65" applyNumberFormat="1" applyFont="1" applyFill="1" applyBorder="1" applyAlignment="1">
      <alignment horizontal="center" vertical="center"/>
    </xf>
    <xf numFmtId="3" fontId="75" fillId="0" borderId="31" xfId="65" applyFont="1" applyFill="1" applyBorder="1" applyAlignment="1">
      <alignment horizontal="center" vertical="center"/>
    </xf>
    <xf numFmtId="172" fontId="75" fillId="0" borderId="31" xfId="65" applyNumberFormat="1" applyFont="1" applyFill="1" applyBorder="1" applyAlignment="1">
      <alignment horizontal="center" vertical="center"/>
    </xf>
    <xf numFmtId="172" fontId="78" fillId="0" borderId="31" xfId="1" applyNumberFormat="1" applyFont="1" applyBorder="1" applyAlignment="1">
      <alignment horizontal="center" vertical="center"/>
    </xf>
    <xf numFmtId="172" fontId="86" fillId="21" borderId="31" xfId="65" applyNumberFormat="1" applyFont="1" applyFill="1" applyBorder="1" applyAlignment="1">
      <alignment horizontal="center" vertical="center"/>
    </xf>
    <xf numFmtId="172" fontId="78" fillId="0" borderId="31" xfId="65" applyNumberFormat="1" applyFont="1" applyBorder="1" applyAlignment="1">
      <alignment horizontal="center" vertical="center"/>
    </xf>
    <xf numFmtId="0" fontId="75" fillId="0" borderId="31" xfId="1" applyFont="1" applyBorder="1" applyAlignment="1">
      <alignment horizontal="center" vertical="center"/>
    </xf>
    <xf numFmtId="172" fontId="75" fillId="0" borderId="31" xfId="1" applyNumberFormat="1" applyFont="1" applyBorder="1" applyAlignment="1">
      <alignment horizontal="center" vertical="center"/>
    </xf>
    <xf numFmtId="9" fontId="75" fillId="0" borderId="31" xfId="97" applyFont="1" applyBorder="1" applyAlignment="1">
      <alignment horizontal="center" vertical="center"/>
    </xf>
    <xf numFmtId="9" fontId="77" fillId="0" borderId="31" xfId="97" applyFont="1" applyBorder="1" applyAlignment="1">
      <alignment horizontal="center" vertical="center"/>
    </xf>
    <xf numFmtId="185" fontId="78" fillId="21" borderId="31" xfId="65" applyNumberFormat="1" applyFont="1" applyFill="1" applyBorder="1" applyAlignment="1">
      <alignment horizontal="center" vertical="center"/>
    </xf>
    <xf numFmtId="172" fontId="75" fillId="0" borderId="31" xfId="65" quotePrefix="1" applyNumberFormat="1" applyFont="1" applyBorder="1" applyAlignment="1">
      <alignment horizontal="center" vertical="center"/>
    </xf>
    <xf numFmtId="172" fontId="77" fillId="0" borderId="31" xfId="1" applyNumberFormat="1" applyFont="1" applyBorder="1" applyAlignment="1">
      <alignment horizontal="center" vertical="center"/>
    </xf>
    <xf numFmtId="0" fontId="75" fillId="0" borderId="31" xfId="1" applyFont="1" applyBorder="1" applyAlignment="1">
      <alignment vertical="center"/>
    </xf>
    <xf numFmtId="171" fontId="77" fillId="0" borderId="31" xfId="97" applyNumberFormat="1" applyFont="1" applyBorder="1" applyAlignment="1">
      <alignment horizontal="center" vertical="center"/>
    </xf>
    <xf numFmtId="3" fontId="86" fillId="21" borderId="31" xfId="65" applyFont="1" applyFill="1" applyBorder="1" applyAlignment="1">
      <alignment horizontal="center" vertical="center"/>
    </xf>
    <xf numFmtId="0" fontId="78" fillId="0" borderId="32" xfId="1" applyFont="1" applyBorder="1" applyAlignment="1">
      <alignment horizontal="center" vertical="center"/>
    </xf>
    <xf numFmtId="3" fontId="78" fillId="0" borderId="31" xfId="1" applyNumberFormat="1" applyFont="1" applyBorder="1" applyAlignment="1">
      <alignment horizontal="center" vertical="center"/>
    </xf>
    <xf numFmtId="172" fontId="77" fillId="46" borderId="31" xfId="1" applyNumberFormat="1" applyFont="1" applyFill="1" applyBorder="1" applyAlignment="1">
      <alignment horizontal="center" vertical="center"/>
    </xf>
    <xf numFmtId="10" fontId="75" fillId="0" borderId="31" xfId="1" applyNumberFormat="1" applyFont="1" applyBorder="1" applyAlignment="1">
      <alignment horizontal="center" vertical="center"/>
    </xf>
    <xf numFmtId="10" fontId="77" fillId="0" borderId="32" xfId="1" applyNumberFormat="1" applyFont="1" applyBorder="1" applyAlignment="1">
      <alignment horizontal="center" vertical="center"/>
    </xf>
    <xf numFmtId="0" fontId="75" fillId="44" borderId="0" xfId="1" applyFont="1" applyFill="1"/>
    <xf numFmtId="0" fontId="75" fillId="44" borderId="0" xfId="1" applyFont="1" applyFill="1" applyAlignment="1">
      <alignment horizontal="center"/>
    </xf>
    <xf numFmtId="0" fontId="80" fillId="44" borderId="0" xfId="1" applyFont="1" applyFill="1" applyAlignment="1">
      <alignment horizontal="center"/>
    </xf>
    <xf numFmtId="171" fontId="80" fillId="44" borderId="0" xfId="97" applyNumberFormat="1" applyFont="1" applyFill="1" applyBorder="1" applyAlignment="1">
      <alignment horizontal="center"/>
    </xf>
    <xf numFmtId="172" fontId="75" fillId="44" borderId="0" xfId="1" applyNumberFormat="1" applyFont="1" applyFill="1" applyAlignment="1">
      <alignment horizontal="center"/>
    </xf>
    <xf numFmtId="3" fontId="78" fillId="44" borderId="0" xfId="1" applyNumberFormat="1" applyFont="1" applyFill="1" applyAlignment="1">
      <alignment horizontal="center"/>
    </xf>
    <xf numFmtId="3" fontId="75" fillId="44" borderId="0" xfId="1" applyNumberFormat="1" applyFont="1" applyFill="1" applyAlignment="1">
      <alignment horizontal="center"/>
    </xf>
    <xf numFmtId="0" fontId="124" fillId="44" borderId="0" xfId="1" applyFont="1" applyFill="1" applyAlignment="1">
      <alignment horizontal="center"/>
    </xf>
    <xf numFmtId="3" fontId="124" fillId="44" borderId="0" xfId="1" applyNumberFormat="1" applyFont="1" applyFill="1" applyAlignment="1">
      <alignment horizontal="center"/>
    </xf>
    <xf numFmtId="3" fontId="75" fillId="44" borderId="0" xfId="1" applyNumberFormat="1" applyFont="1" applyFill="1"/>
    <xf numFmtId="3" fontId="78" fillId="44" borderId="0" xfId="134" applyNumberFormat="1" applyFont="1" applyFill="1" applyAlignment="1">
      <alignment horizontal="center"/>
    </xf>
    <xf numFmtId="3" fontId="74" fillId="44" borderId="0" xfId="1" applyNumberFormat="1" applyFont="1" applyFill="1" applyAlignment="1">
      <alignment horizontal="center"/>
    </xf>
    <xf numFmtId="171" fontId="80" fillId="44" borderId="0" xfId="97" applyNumberFormat="1" applyFont="1" applyFill="1" applyAlignment="1">
      <alignment horizontal="center"/>
    </xf>
    <xf numFmtId="171" fontId="124" fillId="44" borderId="0" xfId="97" applyNumberFormat="1" applyFont="1" applyFill="1" applyAlignment="1">
      <alignment horizontal="center"/>
    </xf>
    <xf numFmtId="173" fontId="79" fillId="0" borderId="0" xfId="1" applyNumberFormat="1" applyFont="1" applyAlignment="1">
      <alignment horizontal="center"/>
    </xf>
    <xf numFmtId="9" fontId="129" fillId="0" borderId="0" xfId="97" applyFont="1" applyFill="1" applyAlignment="1">
      <alignment horizontal="center"/>
    </xf>
    <xf numFmtId="3" fontId="128" fillId="0" borderId="0" xfId="97" applyNumberFormat="1" applyFont="1" applyFill="1" applyAlignment="1">
      <alignment horizontal="center"/>
    </xf>
    <xf numFmtId="0" fontId="121" fillId="0" borderId="0" xfId="1" applyFont="1" applyAlignment="1">
      <alignment horizontal="center"/>
    </xf>
    <xf numFmtId="170" fontId="78" fillId="0" borderId="0" xfId="1" applyNumberFormat="1" applyFont="1" applyAlignment="1">
      <alignment horizontal="center"/>
    </xf>
    <xf numFmtId="187" fontId="80" fillId="0" borderId="0" xfId="1" applyNumberFormat="1" applyFont="1" applyAlignment="1">
      <alignment horizontal="center"/>
    </xf>
    <xf numFmtId="172" fontId="79" fillId="0" borderId="0" xfId="1" quotePrefix="1" applyNumberFormat="1" applyFont="1" applyAlignment="1">
      <alignment horizontal="center"/>
    </xf>
    <xf numFmtId="172" fontId="124" fillId="0" borderId="0" xfId="1" applyNumberFormat="1" applyFont="1" applyAlignment="1">
      <alignment horizontal="left"/>
    </xf>
    <xf numFmtId="212" fontId="124" fillId="0" borderId="0" xfId="1" applyNumberFormat="1" applyFont="1" applyAlignment="1">
      <alignment horizontal="center"/>
    </xf>
    <xf numFmtId="171" fontId="97" fillId="0" borderId="0" xfId="97" applyNumberFormat="1" applyFont="1" applyFill="1" applyAlignment="1">
      <alignment horizontal="center"/>
    </xf>
    <xf numFmtId="171" fontId="109" fillId="0" borderId="0" xfId="97" applyNumberFormat="1" applyFont="1" applyFill="1" applyAlignment="1">
      <alignment horizontal="center"/>
    </xf>
    <xf numFmtId="9" fontId="77" fillId="0" borderId="0" xfId="97" applyFont="1" applyFill="1" applyAlignment="1">
      <alignment horizontal="center"/>
    </xf>
    <xf numFmtId="3" fontId="135" fillId="0" borderId="0" xfId="1" applyNumberFormat="1" applyFont="1" applyAlignment="1">
      <alignment horizontal="center" vertical="center"/>
    </xf>
    <xf numFmtId="3" fontId="94" fillId="0" borderId="0" xfId="1" applyNumberFormat="1" applyFont="1" applyAlignment="1">
      <alignment horizontal="center" vertical="center"/>
    </xf>
    <xf numFmtId="172" fontId="163" fillId="0" borderId="0" xfId="1" applyNumberFormat="1" applyFont="1" applyAlignment="1">
      <alignment horizontal="center"/>
    </xf>
    <xf numFmtId="171" fontId="130" fillId="0" borderId="0" xfId="97" applyNumberFormat="1" applyFont="1" applyFill="1" applyAlignment="1">
      <alignment horizontal="center"/>
    </xf>
    <xf numFmtId="3" fontId="112" fillId="0" borderId="0" xfId="1" applyNumberFormat="1" applyFont="1" applyAlignment="1">
      <alignment horizontal="center" vertical="center"/>
    </xf>
    <xf numFmtId="171" fontId="142" fillId="0" borderId="0" xfId="97" applyNumberFormat="1" applyFont="1" applyFill="1" applyAlignment="1">
      <alignment horizontal="center"/>
    </xf>
    <xf numFmtId="171" fontId="125" fillId="0" borderId="0" xfId="97" applyNumberFormat="1" applyFont="1" applyFill="1" applyAlignment="1">
      <alignment horizontal="center"/>
    </xf>
    <xf numFmtId="0" fontId="140" fillId="0" borderId="0" xfId="1" applyFont="1"/>
    <xf numFmtId="1" fontId="123" fillId="0" borderId="0" xfId="1" applyNumberFormat="1" applyFont="1" applyAlignment="1">
      <alignment horizontal="center"/>
    </xf>
    <xf numFmtId="173" fontId="97" fillId="0" borderId="0" xfId="1" applyNumberFormat="1" applyFont="1" applyAlignment="1">
      <alignment horizontal="center"/>
    </xf>
    <xf numFmtId="173" fontId="109" fillId="0" borderId="26" xfId="1" applyNumberFormat="1" applyFont="1" applyBorder="1" applyAlignment="1">
      <alignment horizontal="center"/>
    </xf>
    <xf numFmtId="173" fontId="99" fillId="0" borderId="0" xfId="1" applyNumberFormat="1" applyFont="1" applyAlignment="1">
      <alignment horizontal="center"/>
    </xf>
    <xf numFmtId="173" fontId="98" fillId="0" borderId="0" xfId="1" applyNumberFormat="1" applyFont="1" applyAlignment="1">
      <alignment horizontal="center"/>
    </xf>
    <xf numFmtId="173" fontId="177" fillId="0" borderId="0" xfId="1" applyNumberFormat="1" applyFont="1" applyAlignment="1">
      <alignment horizontal="center"/>
    </xf>
    <xf numFmtId="210" fontId="97" fillId="0" borderId="0" xfId="63" applyNumberFormat="1" applyFont="1" applyFill="1" applyAlignment="1">
      <alignment horizontal="center"/>
    </xf>
    <xf numFmtId="1" fontId="126" fillId="0" borderId="0" xfId="1" applyNumberFormat="1" applyFont="1" applyAlignment="1">
      <alignment horizontal="center"/>
    </xf>
    <xf numFmtId="176" fontId="78" fillId="0" borderId="0" xfId="1" applyNumberFormat="1" applyFont="1" applyAlignment="1">
      <alignment horizontal="center"/>
    </xf>
    <xf numFmtId="176" fontId="111" fillId="0" borderId="0" xfId="1" applyNumberFormat="1" applyFont="1" applyAlignment="1">
      <alignment horizontal="center"/>
    </xf>
    <xf numFmtId="0" fontId="147" fillId="0" borderId="0" xfId="1" applyFont="1"/>
    <xf numFmtId="0" fontId="178" fillId="0" borderId="0" xfId="1" applyFont="1"/>
    <xf numFmtId="176" fontId="105" fillId="0" borderId="0" xfId="1" applyNumberFormat="1" applyFont="1" applyAlignment="1">
      <alignment horizontal="center"/>
    </xf>
    <xf numFmtId="171" fontId="97" fillId="0" borderId="0" xfId="1" applyNumberFormat="1" applyFont="1"/>
    <xf numFmtId="176" fontId="90" fillId="0" borderId="0" xfId="1" applyNumberFormat="1" applyFont="1" applyAlignment="1">
      <alignment horizontal="center"/>
    </xf>
    <xf numFmtId="10" fontId="97" fillId="0" borderId="0" xfId="97" applyNumberFormat="1" applyFont="1" applyFill="1"/>
    <xf numFmtId="10" fontId="124" fillId="0" borderId="0" xfId="97" applyNumberFormat="1" applyFont="1" applyFill="1"/>
    <xf numFmtId="10" fontId="105" fillId="0" borderId="0" xfId="97" applyNumberFormat="1" applyFont="1" applyFill="1" applyAlignment="1">
      <alignment horizontal="center"/>
    </xf>
    <xf numFmtId="171" fontId="124" fillId="0" borderId="0" xfId="1" applyNumberFormat="1" applyFont="1" applyAlignment="1">
      <alignment horizontal="left"/>
    </xf>
    <xf numFmtId="3" fontId="130" fillId="0" borderId="0" xfId="1" applyNumberFormat="1" applyFont="1" applyAlignment="1">
      <alignment horizontal="center"/>
    </xf>
    <xf numFmtId="9" fontId="130" fillId="0" borderId="0" xfId="97" applyFont="1" applyFill="1" applyAlignment="1">
      <alignment horizontal="center"/>
    </xf>
    <xf numFmtId="171" fontId="123" fillId="0" borderId="0" xfId="97" applyNumberFormat="1" applyFont="1" applyFill="1" applyAlignment="1">
      <alignment horizontal="center"/>
    </xf>
    <xf numFmtId="3" fontId="142" fillId="0" borderId="0" xfId="134" applyNumberFormat="1" applyFont="1" applyAlignment="1">
      <alignment horizontal="center"/>
    </xf>
    <xf numFmtId="166" fontId="102" fillId="33" borderId="0" xfId="1" applyNumberFormat="1" applyFont="1" applyFill="1" applyAlignment="1">
      <alignment horizontal="center" vertical="center"/>
    </xf>
    <xf numFmtId="0" fontId="77" fillId="0" borderId="36" xfId="1" applyFont="1" applyBorder="1"/>
    <xf numFmtId="0" fontId="77" fillId="0" borderId="36" xfId="1" applyFont="1" applyBorder="1" applyAlignment="1">
      <alignment horizontal="center"/>
    </xf>
    <xf numFmtId="213" fontId="77" fillId="0" borderId="40" xfId="1" applyNumberFormat="1" applyFont="1" applyBorder="1" applyAlignment="1">
      <alignment horizontal="center"/>
    </xf>
    <xf numFmtId="0" fontId="17" fillId="33" borderId="0" xfId="1" applyFont="1" applyFill="1"/>
    <xf numFmtId="0" fontId="17" fillId="33" borderId="0" xfId="1" applyFont="1" applyFill="1" applyAlignment="1">
      <alignment horizontal="center"/>
    </xf>
    <xf numFmtId="171" fontId="17" fillId="33" borderId="0" xfId="97" applyNumberFormat="1" applyFont="1" applyFill="1" applyAlignment="1">
      <alignment horizontal="center"/>
    </xf>
    <xf numFmtId="0" fontId="8" fillId="0" borderId="27" xfId="1" applyFont="1" applyBorder="1"/>
    <xf numFmtId="0" fontId="7" fillId="0" borderId="27" xfId="1" applyFont="1" applyBorder="1"/>
    <xf numFmtId="0" fontId="7" fillId="0" borderId="27" xfId="1" applyFont="1" applyBorder="1" applyAlignment="1">
      <alignment horizontal="center"/>
    </xf>
    <xf numFmtId="173" fontId="8" fillId="0" borderId="27" xfId="1" applyNumberFormat="1" applyFont="1" applyBorder="1" applyAlignment="1">
      <alignment horizontal="center"/>
    </xf>
    <xf numFmtId="0" fontId="8" fillId="0" borderId="27" xfId="1" applyFont="1" applyBorder="1" applyAlignment="1">
      <alignment horizontal="center"/>
    </xf>
    <xf numFmtId="3" fontId="8" fillId="0" borderId="27" xfId="1" applyNumberFormat="1" applyFont="1" applyBorder="1" applyAlignment="1">
      <alignment horizontal="center"/>
    </xf>
    <xf numFmtId="171" fontId="8" fillId="0" borderId="27" xfId="97" applyNumberFormat="1" applyFont="1" applyFill="1" applyBorder="1" applyAlignment="1">
      <alignment horizontal="center"/>
    </xf>
    <xf numFmtId="171" fontId="17" fillId="0" borderId="27" xfId="97" applyNumberFormat="1" applyFont="1" applyFill="1" applyBorder="1" applyAlignment="1">
      <alignment horizontal="center"/>
    </xf>
    <xf numFmtId="9" fontId="78" fillId="41" borderId="0" xfId="97" applyFont="1" applyFill="1" applyAlignment="1">
      <alignment horizontal="center"/>
    </xf>
    <xf numFmtId="173" fontId="90" fillId="41" borderId="0" xfId="1" applyNumberFormat="1" applyFont="1" applyFill="1" applyAlignment="1">
      <alignment horizontal="center"/>
    </xf>
    <xf numFmtId="3" fontId="75" fillId="0" borderId="0" xfId="137" applyNumberFormat="1" applyFont="1" applyAlignment="1">
      <alignment horizontal="center"/>
    </xf>
    <xf numFmtId="0" fontId="75" fillId="41" borderId="0" xfId="137" applyFont="1" applyFill="1" applyAlignment="1">
      <alignment horizontal="center"/>
    </xf>
    <xf numFmtId="212" fontId="75" fillId="41" borderId="0" xfId="137" applyNumberFormat="1" applyFont="1" applyFill="1" applyAlignment="1">
      <alignment horizontal="center"/>
    </xf>
    <xf numFmtId="9" fontId="79" fillId="41" borderId="0" xfId="97" applyFont="1" applyFill="1" applyAlignment="1">
      <alignment horizontal="center"/>
    </xf>
    <xf numFmtId="1" fontId="78" fillId="41" borderId="0" xfId="134" applyNumberFormat="1" applyFont="1" applyFill="1" applyAlignment="1">
      <alignment horizontal="center"/>
    </xf>
    <xf numFmtId="3" fontId="155" fillId="41" borderId="0" xfId="134" applyNumberFormat="1" applyFont="1" applyFill="1" applyAlignment="1">
      <alignment horizontal="center"/>
    </xf>
    <xf numFmtId="3" fontId="90" fillId="41" borderId="0" xfId="134" applyNumberFormat="1" applyFont="1" applyFill="1" applyAlignment="1">
      <alignment horizontal="center"/>
    </xf>
    <xf numFmtId="3" fontId="79" fillId="41" borderId="47" xfId="134" applyNumberFormat="1" applyFont="1" applyFill="1" applyBorder="1" applyAlignment="1">
      <alignment horizontal="center"/>
    </xf>
    <xf numFmtId="3" fontId="80" fillId="41" borderId="0" xfId="134" applyNumberFormat="1" applyFont="1" applyFill="1" applyAlignment="1">
      <alignment horizontal="center"/>
    </xf>
    <xf numFmtId="3" fontId="110" fillId="41" borderId="0" xfId="97" applyNumberFormat="1" applyFont="1" applyFill="1" applyAlignment="1">
      <alignment horizontal="center" vertical="center"/>
    </xf>
    <xf numFmtId="3" fontId="109" fillId="41" borderId="0" xfId="1" applyNumberFormat="1" applyFont="1" applyFill="1" applyAlignment="1">
      <alignment horizontal="center"/>
    </xf>
    <xf numFmtId="173" fontId="75" fillId="41" borderId="0" xfId="134" applyNumberFormat="1" applyFont="1" applyFill="1" applyAlignment="1">
      <alignment horizontal="center"/>
    </xf>
    <xf numFmtId="10" fontId="77" fillId="41" borderId="0" xfId="97" applyNumberFormat="1" applyFont="1" applyFill="1" applyAlignment="1">
      <alignment horizontal="center"/>
    </xf>
    <xf numFmtId="0" fontId="74" fillId="41" borderId="0" xfId="134" applyFont="1" applyFill="1" applyAlignment="1">
      <alignment horizontal="center"/>
    </xf>
    <xf numFmtId="2" fontId="156" fillId="41" borderId="0" xfId="134" applyNumberFormat="1" applyFont="1" applyFill="1" applyAlignment="1">
      <alignment horizontal="center"/>
    </xf>
    <xf numFmtId="172" fontId="79" fillId="41" borderId="0" xfId="137" applyNumberFormat="1" applyFont="1" applyFill="1" applyAlignment="1">
      <alignment horizontal="center"/>
    </xf>
    <xf numFmtId="172" fontId="94" fillId="41" borderId="0" xfId="1" applyNumberFormat="1" applyFont="1" applyFill="1" applyAlignment="1">
      <alignment horizontal="center"/>
    </xf>
    <xf numFmtId="172" fontId="80" fillId="0" borderId="0" xfId="1" applyNumberFormat="1" applyFont="1" applyAlignment="1">
      <alignment horizontal="center" vertical="center" wrapText="1"/>
    </xf>
    <xf numFmtId="1" fontId="109" fillId="41" borderId="0" xfId="1" applyNumberFormat="1" applyFont="1" applyFill="1" applyAlignment="1">
      <alignment horizontal="center"/>
    </xf>
    <xf numFmtId="1" fontId="85" fillId="0" borderId="0" xfId="1" applyNumberFormat="1" applyFont="1" applyAlignment="1">
      <alignment horizontal="left"/>
    </xf>
    <xf numFmtId="172" fontId="90" fillId="0" borderId="0" xfId="134" applyNumberFormat="1" applyFont="1" applyAlignment="1">
      <alignment horizontal="center"/>
    </xf>
    <xf numFmtId="172" fontId="74" fillId="0" borderId="0" xfId="134" applyNumberFormat="1" applyFont="1" applyAlignment="1">
      <alignment horizontal="center"/>
    </xf>
    <xf numFmtId="9" fontId="85" fillId="0" borderId="14" xfId="65" applyNumberFormat="1" applyFont="1" applyFill="1" applyBorder="1" applyAlignment="1">
      <alignment horizontal="center" vertical="center"/>
    </xf>
    <xf numFmtId="3" fontId="124" fillId="0" borderId="0" xfId="1" applyNumberFormat="1" applyFont="1" applyAlignment="1">
      <alignment horizontal="center" vertical="center"/>
    </xf>
    <xf numFmtId="219" fontId="77" fillId="0" borderId="0" xfId="1" applyNumberFormat="1" applyFont="1" applyAlignment="1">
      <alignment horizontal="center"/>
    </xf>
    <xf numFmtId="3" fontId="109" fillId="0" borderId="0" xfId="0" applyNumberFormat="1" applyFont="1" applyAlignment="1">
      <alignment horizontal="center" vertical="center"/>
    </xf>
    <xf numFmtId="3" fontId="97" fillId="0" borderId="0" xfId="0" applyNumberFormat="1" applyFont="1" applyAlignment="1">
      <alignment vertical="center"/>
    </xf>
    <xf numFmtId="171" fontId="85" fillId="33" borderId="0" xfId="65" applyNumberFormat="1" applyFont="1" applyFill="1" applyBorder="1" applyAlignment="1">
      <alignment horizontal="center" vertical="center"/>
    </xf>
    <xf numFmtId="9" fontId="78" fillId="0" borderId="0" xfId="0" applyNumberFormat="1" applyFont="1" applyAlignment="1">
      <alignment vertical="center"/>
    </xf>
    <xf numFmtId="0" fontId="94" fillId="41" borderId="0" xfId="1" applyFont="1" applyFill="1" applyAlignment="1">
      <alignment horizontal="center"/>
    </xf>
    <xf numFmtId="3" fontId="94" fillId="41" borderId="47" xfId="1" applyNumberFormat="1" applyFont="1" applyFill="1" applyBorder="1" applyAlignment="1">
      <alignment horizontal="center"/>
    </xf>
    <xf numFmtId="3" fontId="94" fillId="41" borderId="0" xfId="137" applyNumberFormat="1" applyFont="1" applyFill="1" applyAlignment="1">
      <alignment horizontal="center"/>
    </xf>
    <xf numFmtId="3" fontId="94" fillId="0" borderId="0" xfId="134" applyNumberFormat="1" applyFont="1" applyAlignment="1">
      <alignment horizontal="center"/>
    </xf>
    <xf numFmtId="1" fontId="75" fillId="33" borderId="0" xfId="1" applyNumberFormat="1" applyFont="1" applyFill="1" applyAlignment="1">
      <alignment horizontal="center"/>
    </xf>
    <xf numFmtId="1" fontId="77" fillId="33" borderId="0" xfId="1" applyNumberFormat="1" applyFont="1" applyFill="1" applyAlignment="1">
      <alignment horizontal="center"/>
    </xf>
    <xf numFmtId="1" fontId="85" fillId="0" borderId="0" xfId="1" applyNumberFormat="1" applyFont="1" applyAlignment="1">
      <alignment horizontal="center"/>
    </xf>
    <xf numFmtId="9" fontId="142" fillId="0" borderId="0" xfId="97" applyFont="1" applyFill="1" applyAlignment="1">
      <alignment horizontal="center"/>
    </xf>
    <xf numFmtId="3" fontId="75" fillId="0" borderId="17" xfId="65" quotePrefix="1" applyFont="1" applyFill="1" applyBorder="1" applyAlignment="1">
      <alignment horizontal="center" vertical="center"/>
    </xf>
    <xf numFmtId="3" fontId="75" fillId="0" borderId="31" xfId="65" quotePrefix="1" applyFont="1" applyFill="1" applyBorder="1" applyAlignment="1">
      <alignment horizontal="center" vertical="center"/>
    </xf>
    <xf numFmtId="3" fontId="75" fillId="0" borderId="17" xfId="1" applyNumberFormat="1" applyFont="1" applyBorder="1" applyAlignment="1">
      <alignment horizontal="center" vertical="center"/>
    </xf>
    <xf numFmtId="3" fontId="75" fillId="0" borderId="31" xfId="1" applyNumberFormat="1" applyFont="1" applyBorder="1" applyAlignment="1">
      <alignment horizontal="center" vertical="center"/>
    </xf>
    <xf numFmtId="3" fontId="77" fillId="0" borderId="17" xfId="65" quotePrefix="1" applyFont="1" applyFill="1" applyBorder="1" applyAlignment="1">
      <alignment horizontal="center" vertical="center"/>
    </xf>
    <xf numFmtId="3" fontId="77" fillId="0" borderId="31" xfId="65" quotePrefix="1" applyFont="1" applyFill="1" applyBorder="1" applyAlignment="1">
      <alignment horizontal="center" vertical="center"/>
    </xf>
    <xf numFmtId="0" fontId="77" fillId="0" borderId="14" xfId="87" applyFont="1" applyBorder="1" applyAlignment="1">
      <alignment vertical="center"/>
    </xf>
    <xf numFmtId="4" fontId="75" fillId="0" borderId="14" xfId="65" applyNumberFormat="1" applyFont="1" applyFill="1" applyBorder="1" applyAlignment="1">
      <alignment horizontal="center" vertical="center"/>
    </xf>
    <xf numFmtId="4" fontId="77" fillId="0" borderId="14" xfId="65" applyNumberFormat="1" applyFont="1" applyFill="1" applyBorder="1" applyAlignment="1">
      <alignment horizontal="center" vertical="center"/>
    </xf>
    <xf numFmtId="172" fontId="78" fillId="0" borderId="14" xfId="1" applyNumberFormat="1" applyFont="1" applyBorder="1" applyAlignment="1">
      <alignment horizontal="center" vertical="center"/>
    </xf>
    <xf numFmtId="172" fontId="86" fillId="21" borderId="14" xfId="65" applyNumberFormat="1" applyFont="1" applyFill="1" applyBorder="1" applyAlignment="1">
      <alignment horizontal="center" vertical="center"/>
    </xf>
    <xf numFmtId="172" fontId="78" fillId="0" borderId="14" xfId="65" applyNumberFormat="1" applyFont="1" applyBorder="1" applyAlignment="1">
      <alignment horizontal="center" vertical="center"/>
    </xf>
    <xf numFmtId="0" fontId="75" fillId="0" borderId="14" xfId="1" applyFont="1" applyBorder="1" applyAlignment="1">
      <alignment horizontal="center" vertical="center"/>
    </xf>
    <xf numFmtId="172" fontId="75" fillId="0" borderId="14" xfId="1" applyNumberFormat="1" applyFont="1" applyBorder="1" applyAlignment="1">
      <alignment horizontal="center" vertical="center"/>
    </xf>
    <xf numFmtId="9" fontId="75" fillId="0" borderId="14" xfId="97" applyFont="1" applyBorder="1" applyAlignment="1">
      <alignment horizontal="center" vertical="center"/>
    </xf>
    <xf numFmtId="9" fontId="77" fillId="0" borderId="14" xfId="97" applyFont="1" applyBorder="1" applyAlignment="1">
      <alignment horizontal="center" vertical="center"/>
    </xf>
    <xf numFmtId="185" fontId="78" fillId="21" borderId="14" xfId="65" applyNumberFormat="1" applyFont="1" applyFill="1" applyBorder="1" applyAlignment="1">
      <alignment horizontal="center" vertical="center"/>
    </xf>
    <xf numFmtId="172" fontId="75" fillId="0" borderId="14" xfId="65" quotePrefix="1" applyNumberFormat="1" applyFont="1" applyBorder="1" applyAlignment="1">
      <alignment horizontal="center" vertical="center"/>
    </xf>
    <xf numFmtId="172" fontId="77" fillId="0" borderId="14" xfId="1" applyNumberFormat="1" applyFont="1" applyBorder="1" applyAlignment="1">
      <alignment horizontal="center" vertical="center"/>
    </xf>
    <xf numFmtId="0" fontId="75" fillId="0" borderId="14" xfId="1" applyFont="1" applyBorder="1" applyAlignment="1">
      <alignment vertical="center"/>
    </xf>
    <xf numFmtId="171" fontId="77" fillId="0" borderId="14" xfId="97" applyNumberFormat="1" applyFont="1" applyBorder="1" applyAlignment="1">
      <alignment horizontal="center" vertical="center"/>
    </xf>
    <xf numFmtId="3" fontId="86" fillId="21" borderId="14" xfId="65" applyFont="1" applyFill="1" applyBorder="1" applyAlignment="1">
      <alignment horizontal="center" vertical="center"/>
    </xf>
    <xf numFmtId="3" fontId="75" fillId="0" borderId="14" xfId="65" quotePrefix="1" applyFont="1" applyFill="1" applyBorder="1" applyAlignment="1">
      <alignment horizontal="center" vertical="center"/>
    </xf>
    <xf numFmtId="3" fontId="75" fillId="0" borderId="14" xfId="1" applyNumberFormat="1" applyFont="1" applyBorder="1" applyAlignment="1">
      <alignment horizontal="center" vertical="center"/>
    </xf>
    <xf numFmtId="3" fontId="77" fillId="0" borderId="14" xfId="65" quotePrefix="1" applyFont="1" applyFill="1" applyBorder="1" applyAlignment="1">
      <alignment horizontal="center" vertical="center"/>
    </xf>
    <xf numFmtId="0" fontId="78" fillId="0" borderId="46" xfId="1" applyFont="1" applyBorder="1" applyAlignment="1">
      <alignment horizontal="center" vertical="center"/>
    </xf>
    <xf numFmtId="172" fontId="77" fillId="46" borderId="14" xfId="1" applyNumberFormat="1" applyFont="1" applyFill="1" applyBorder="1" applyAlignment="1">
      <alignment horizontal="center" vertical="center"/>
    </xf>
    <xf numFmtId="10" fontId="75" fillId="0" borderId="14" xfId="1" applyNumberFormat="1" applyFont="1" applyBorder="1" applyAlignment="1">
      <alignment horizontal="center" vertical="center"/>
    </xf>
    <xf numFmtId="10" fontId="77" fillId="0" borderId="46" xfId="1" applyNumberFormat="1" applyFont="1" applyBorder="1" applyAlignment="1">
      <alignment horizontal="center" vertical="center"/>
    </xf>
    <xf numFmtId="173" fontId="78" fillId="0" borderId="0" xfId="1" applyNumberFormat="1" applyFont="1" applyAlignment="1">
      <alignment vertical="center"/>
    </xf>
    <xf numFmtId="196" fontId="75" fillId="0" borderId="0" xfId="1" applyNumberFormat="1" applyFont="1" applyAlignment="1">
      <alignment horizontal="center" vertical="center"/>
    </xf>
    <xf numFmtId="173" fontId="78" fillId="0" borderId="0" xfId="1" applyNumberFormat="1" applyFont="1" applyAlignment="1">
      <alignment horizontal="center" vertical="center"/>
    </xf>
    <xf numFmtId="196" fontId="75" fillId="0" borderId="17" xfId="1" applyNumberFormat="1" applyFont="1" applyBorder="1" applyAlignment="1">
      <alignment horizontal="center" vertical="center"/>
    </xf>
    <xf numFmtId="196" fontId="75" fillId="0" borderId="31" xfId="1" applyNumberFormat="1" applyFont="1" applyBorder="1" applyAlignment="1">
      <alignment horizontal="center" vertical="center"/>
    </xf>
    <xf numFmtId="196" fontId="75" fillId="0" borderId="14" xfId="1" applyNumberFormat="1" applyFont="1" applyBorder="1" applyAlignment="1">
      <alignment horizontal="center" vertical="center"/>
    </xf>
    <xf numFmtId="171" fontId="77" fillId="0" borderId="0" xfId="97" applyNumberFormat="1" applyFont="1" applyBorder="1" applyAlignment="1" applyProtection="1">
      <alignment horizontal="right" vertical="center"/>
    </xf>
    <xf numFmtId="0" fontId="79" fillId="0" borderId="0" xfId="1" applyFont="1" applyAlignment="1">
      <alignment horizontal="center" vertical="center"/>
    </xf>
    <xf numFmtId="173" fontId="77" fillId="0" borderId="0" xfId="97" applyNumberFormat="1" applyFont="1" applyBorder="1" applyAlignment="1" applyProtection="1">
      <alignment horizontal="center" vertical="center"/>
    </xf>
    <xf numFmtId="173" fontId="77" fillId="0" borderId="14" xfId="97" applyNumberFormat="1" applyFont="1" applyBorder="1" applyAlignment="1" applyProtection="1">
      <alignment horizontal="center" vertical="center"/>
    </xf>
    <xf numFmtId="173" fontId="77" fillId="0" borderId="17" xfId="97" applyNumberFormat="1" applyFont="1" applyBorder="1" applyAlignment="1" applyProtection="1">
      <alignment horizontal="center" vertical="center"/>
    </xf>
    <xf numFmtId="0" fontId="77" fillId="46" borderId="0" xfId="1" applyFont="1" applyFill="1" applyAlignment="1">
      <alignment horizontal="left"/>
    </xf>
    <xf numFmtId="3" fontId="75" fillId="32" borderId="0" xfId="63" applyNumberFormat="1" applyFont="1" applyFill="1" applyAlignment="1">
      <alignment horizontal="center" vertical="center"/>
    </xf>
    <xf numFmtId="176" fontId="79" fillId="0" borderId="0" xfId="1" applyNumberFormat="1" applyFont="1" applyAlignment="1">
      <alignment horizontal="center"/>
    </xf>
    <xf numFmtId="17" fontId="100" fillId="0" borderId="0" xfId="1" applyNumberFormat="1" applyFont="1" applyAlignment="1">
      <alignment horizontal="center"/>
    </xf>
    <xf numFmtId="17" fontId="78" fillId="0" borderId="0" xfId="1" applyNumberFormat="1" applyFont="1" applyAlignment="1">
      <alignment horizontal="left"/>
    </xf>
    <xf numFmtId="0" fontId="94" fillId="0" borderId="0" xfId="137" applyFont="1" applyAlignment="1">
      <alignment horizontal="center"/>
    </xf>
    <xf numFmtId="0" fontId="75" fillId="0" borderId="0" xfId="137" applyFont="1" applyAlignment="1">
      <alignment horizontal="center"/>
    </xf>
    <xf numFmtId="9" fontId="100" fillId="0" borderId="0" xfId="97" applyFont="1" applyFill="1" applyAlignment="1">
      <alignment horizontal="center"/>
    </xf>
    <xf numFmtId="172" fontId="79" fillId="41" borderId="0" xfId="1" applyNumberFormat="1" applyFont="1" applyFill="1" applyAlignment="1">
      <alignment horizontal="center"/>
    </xf>
    <xf numFmtId="172" fontId="79" fillId="0" borderId="0" xfId="134" applyNumberFormat="1" applyFont="1" applyAlignment="1">
      <alignment horizontal="center"/>
    </xf>
    <xf numFmtId="172" fontId="79" fillId="41" borderId="0" xfId="134" applyNumberFormat="1" applyFont="1" applyFill="1" applyAlignment="1">
      <alignment horizontal="center"/>
    </xf>
    <xf numFmtId="3" fontId="156" fillId="0" borderId="0" xfId="137" applyNumberFormat="1" applyFont="1" applyAlignment="1">
      <alignment horizontal="center"/>
    </xf>
    <xf numFmtId="3" fontId="78" fillId="0" borderId="0" xfId="137" applyNumberFormat="1" applyFont="1" applyAlignment="1">
      <alignment horizontal="center"/>
    </xf>
    <xf numFmtId="0" fontId="75" fillId="0" borderId="13" xfId="1" applyFont="1" applyBorder="1"/>
    <xf numFmtId="3" fontId="77" fillId="0" borderId="13" xfId="1" applyNumberFormat="1" applyFont="1" applyBorder="1" applyAlignment="1">
      <alignment horizontal="center"/>
    </xf>
    <xf numFmtId="3" fontId="77" fillId="0" borderId="13" xfId="134" applyNumberFormat="1" applyFont="1" applyBorder="1" applyAlignment="1">
      <alignment horizontal="center"/>
    </xf>
    <xf numFmtId="0" fontId="75" fillId="0" borderId="13" xfId="0" applyFont="1" applyBorder="1"/>
    <xf numFmtId="172" fontId="75" fillId="0" borderId="0" xfId="0" applyNumberFormat="1" applyFont="1" applyAlignment="1">
      <alignment horizontal="center" vertical="center"/>
    </xf>
    <xf numFmtId="0" fontId="183" fillId="0" borderId="0" xfId="1" applyFont="1"/>
    <xf numFmtId="180" fontId="79" fillId="22" borderId="0" xfId="1" applyNumberFormat="1" applyFont="1" applyFill="1" applyAlignment="1">
      <alignment horizontal="center" vertical="center" wrapText="1"/>
    </xf>
    <xf numFmtId="3" fontId="79" fillId="0" borderId="0" xfId="137" applyNumberFormat="1" applyFont="1" applyAlignment="1">
      <alignment horizontal="center"/>
    </xf>
    <xf numFmtId="3" fontId="90" fillId="0" borderId="0" xfId="137" applyNumberFormat="1" applyFont="1" applyAlignment="1">
      <alignment horizontal="center"/>
    </xf>
    <xf numFmtId="0" fontId="78" fillId="0" borderId="0" xfId="137" applyFont="1" applyAlignment="1">
      <alignment horizontal="center"/>
    </xf>
    <xf numFmtId="3" fontId="79" fillId="0" borderId="47" xfId="137" applyNumberFormat="1" applyFont="1" applyBorder="1" applyAlignment="1">
      <alignment horizontal="center"/>
    </xf>
    <xf numFmtId="3" fontId="100" fillId="0" borderId="0" xfId="137" applyNumberFormat="1" applyFont="1" applyAlignment="1">
      <alignment horizontal="center"/>
    </xf>
    <xf numFmtId="1" fontId="75" fillId="0" borderId="0" xfId="137" applyNumberFormat="1" applyFont="1" applyAlignment="1">
      <alignment horizontal="center"/>
    </xf>
    <xf numFmtId="3" fontId="77" fillId="0" borderId="0" xfId="137" applyNumberFormat="1" applyFont="1" applyAlignment="1">
      <alignment horizontal="center"/>
    </xf>
    <xf numFmtId="3" fontId="78" fillId="31" borderId="0" xfId="137" applyNumberFormat="1" applyFont="1" applyFill="1" applyAlignment="1">
      <alignment horizontal="center"/>
    </xf>
    <xf numFmtId="3" fontId="78" fillId="31" borderId="0" xfId="134" applyNumberFormat="1" applyFont="1" applyFill="1" applyAlignment="1">
      <alignment horizontal="center"/>
    </xf>
    <xf numFmtId="171" fontId="133" fillId="0" borderId="47" xfId="97" applyNumberFormat="1" applyFont="1" applyFill="1" applyBorder="1" applyAlignment="1">
      <alignment horizontal="center"/>
    </xf>
    <xf numFmtId="3" fontId="75" fillId="57" borderId="0" xfId="1" applyNumberFormat="1" applyFont="1" applyFill="1" applyAlignment="1">
      <alignment horizontal="center"/>
    </xf>
    <xf numFmtId="172" fontId="75" fillId="57" borderId="0" xfId="1" applyNumberFormat="1" applyFont="1" applyFill="1" applyAlignment="1">
      <alignment horizontal="center"/>
    </xf>
    <xf numFmtId="172" fontId="80" fillId="0" borderId="0" xfId="97" applyNumberFormat="1" applyFont="1" applyAlignment="1">
      <alignment horizontal="center"/>
    </xf>
    <xf numFmtId="172" fontId="75" fillId="36" borderId="0" xfId="1" applyNumberFormat="1" applyFont="1" applyFill="1" applyAlignment="1">
      <alignment horizontal="center"/>
    </xf>
    <xf numFmtId="3" fontId="74" fillId="0" borderId="0" xfId="1" applyNumberFormat="1" applyFont="1" applyAlignment="1">
      <alignment horizontal="center" vertical="center" wrapText="1"/>
    </xf>
    <xf numFmtId="3" fontId="85" fillId="0" borderId="0" xfId="1" applyNumberFormat="1" applyFont="1" applyAlignment="1">
      <alignment horizontal="center" vertical="center" wrapText="1"/>
    </xf>
    <xf numFmtId="1" fontId="153" fillId="46" borderId="0" xfId="1" applyNumberFormat="1" applyFont="1" applyFill="1" applyAlignment="1">
      <alignment horizontal="center"/>
    </xf>
    <xf numFmtId="171" fontId="185" fillId="46" borderId="0" xfId="1" applyNumberFormat="1" applyFont="1" applyFill="1" applyAlignment="1">
      <alignment horizontal="center"/>
    </xf>
    <xf numFmtId="171" fontId="130" fillId="33" borderId="0" xfId="97" applyNumberFormat="1" applyFont="1" applyFill="1" applyAlignment="1">
      <alignment horizontal="center"/>
    </xf>
    <xf numFmtId="1" fontId="77" fillId="0" borderId="0" xfId="1" applyNumberFormat="1" applyFont="1" applyAlignment="1">
      <alignment horizontal="center" vertical="center"/>
    </xf>
    <xf numFmtId="1" fontId="94" fillId="0" borderId="0" xfId="1" applyNumberFormat="1" applyFont="1" applyAlignment="1">
      <alignment horizontal="center" vertical="center" wrapText="1"/>
    </xf>
    <xf numFmtId="1" fontId="81" fillId="0" borderId="0" xfId="1" applyNumberFormat="1" applyFont="1" applyAlignment="1">
      <alignment horizontal="center" vertical="center"/>
    </xf>
    <xf numFmtId="1" fontId="77" fillId="0" borderId="0" xfId="1" applyNumberFormat="1" applyFont="1" applyAlignment="1">
      <alignment vertical="center"/>
    </xf>
    <xf numFmtId="0" fontId="94" fillId="0" borderId="0" xfId="1" applyFont="1" applyAlignment="1">
      <alignment vertical="center"/>
    </xf>
    <xf numFmtId="0" fontId="94" fillId="0" borderId="0" xfId="1" applyFont="1" applyAlignment="1">
      <alignment horizontal="center" vertical="center"/>
    </xf>
    <xf numFmtId="1" fontId="94" fillId="0" borderId="0" xfId="1" applyNumberFormat="1" applyFont="1" applyAlignment="1">
      <alignment horizontal="center" vertical="center"/>
    </xf>
    <xf numFmtId="1" fontId="100" fillId="0" borderId="0" xfId="1" applyNumberFormat="1" applyFont="1" applyAlignment="1">
      <alignment horizontal="center" vertical="center"/>
    </xf>
    <xf numFmtId="1" fontId="112" fillId="0" borderId="0" xfId="1" applyNumberFormat="1" applyFont="1" applyAlignment="1">
      <alignment horizontal="center" vertical="center"/>
    </xf>
    <xf numFmtId="1" fontId="94" fillId="0" borderId="0" xfId="1" applyNumberFormat="1" applyFont="1" applyAlignment="1">
      <alignment vertical="center"/>
    </xf>
    <xf numFmtId="1" fontId="75" fillId="0" borderId="0" xfId="1" applyNumberFormat="1" applyFont="1" applyAlignment="1">
      <alignment horizontal="center" vertical="center"/>
    </xf>
    <xf numFmtId="1" fontId="79" fillId="0" borderId="0" xfId="1" applyNumberFormat="1" applyFont="1" applyAlignment="1">
      <alignment horizontal="center" vertical="center"/>
    </xf>
    <xf numFmtId="171" fontId="124" fillId="33" borderId="0" xfId="97" applyNumberFormat="1" applyFont="1" applyFill="1" applyAlignment="1">
      <alignment horizontal="center"/>
    </xf>
    <xf numFmtId="172" fontId="77" fillId="46" borderId="17" xfId="97" applyNumberFormat="1" applyFont="1" applyFill="1" applyBorder="1" applyAlignment="1" applyProtection="1">
      <alignment horizontal="center" vertical="center"/>
    </xf>
    <xf numFmtId="9" fontId="74" fillId="0" borderId="14" xfId="65" applyNumberFormat="1" applyFont="1" applyFill="1" applyBorder="1" applyAlignment="1">
      <alignment horizontal="center" vertical="center"/>
    </xf>
    <xf numFmtId="3" fontId="156" fillId="0" borderId="0" xfId="134" applyNumberFormat="1" applyFont="1" applyAlignment="1">
      <alignment horizontal="center"/>
    </xf>
    <xf numFmtId="3" fontId="111" fillId="0" borderId="0" xfId="134" applyNumberFormat="1" applyFont="1" applyAlignment="1">
      <alignment horizontal="center"/>
    </xf>
    <xf numFmtId="192" fontId="75" fillId="0" borderId="0" xfId="1" applyNumberFormat="1" applyFont="1"/>
    <xf numFmtId="0" fontId="77" fillId="0" borderId="0" xfId="1" applyFont="1" applyAlignment="1">
      <alignment horizontal="left" indent="1"/>
    </xf>
    <xf numFmtId="0" fontId="77" fillId="0" borderId="45" xfId="1" applyFont="1" applyBorder="1" applyAlignment="1">
      <alignment horizontal="left" indent="1"/>
    </xf>
    <xf numFmtId="3" fontId="77" fillId="0" borderId="45" xfId="134" applyNumberFormat="1" applyFont="1" applyBorder="1" applyAlignment="1">
      <alignment horizontal="center"/>
    </xf>
    <xf numFmtId="0" fontId="75" fillId="0" borderId="45" xfId="0" applyFont="1" applyBorder="1"/>
    <xf numFmtId="3" fontId="111" fillId="0" borderId="45" xfId="134" applyNumberFormat="1" applyFont="1" applyBorder="1" applyAlignment="1">
      <alignment horizontal="center"/>
    </xf>
    <xf numFmtId="2" fontId="77" fillId="0" borderId="17" xfId="90" applyFont="1" applyBorder="1" applyAlignment="1">
      <alignment vertical="center"/>
    </xf>
    <xf numFmtId="0" fontId="16" fillId="0" borderId="0" xfId="1" applyFont="1" applyAlignment="1">
      <alignment horizontal="center" vertical="center" wrapText="1"/>
    </xf>
    <xf numFmtId="166" fontId="77" fillId="0" borderId="0" xfId="1" applyNumberFormat="1" applyFont="1" applyAlignment="1">
      <alignment vertical="center"/>
    </xf>
    <xf numFmtId="166" fontId="75" fillId="0" borderId="0" xfId="1" applyNumberFormat="1" applyFont="1" applyAlignment="1">
      <alignment horizontal="center" vertical="center" wrapText="1"/>
    </xf>
    <xf numFmtId="173" fontId="79" fillId="0" borderId="26" xfId="1" applyNumberFormat="1" applyFont="1" applyBorder="1" applyAlignment="1">
      <alignment horizontal="center"/>
    </xf>
    <xf numFmtId="171" fontId="79" fillId="0" borderId="14" xfId="1" applyNumberFormat="1" applyFont="1" applyBorder="1" applyAlignment="1">
      <alignment horizontal="center" vertical="center"/>
    </xf>
    <xf numFmtId="172" fontId="77" fillId="0" borderId="17" xfId="97" applyNumberFormat="1" applyFont="1" applyFill="1" applyBorder="1" applyAlignment="1" applyProtection="1">
      <alignment horizontal="center" vertical="center"/>
    </xf>
    <xf numFmtId="188" fontId="82" fillId="46" borderId="0" xfId="97" applyNumberFormat="1" applyFont="1" applyFill="1" applyAlignment="1">
      <alignment horizontal="center"/>
    </xf>
    <xf numFmtId="164" fontId="79" fillId="0" borderId="0" xfId="1" applyNumberFormat="1" applyFont="1" applyAlignment="1">
      <alignment horizontal="center"/>
    </xf>
    <xf numFmtId="3" fontId="82" fillId="17" borderId="13" xfId="1" applyNumberFormat="1" applyFont="1" applyFill="1" applyBorder="1"/>
    <xf numFmtId="0" fontId="183" fillId="54" borderId="0" xfId="1" applyFont="1" applyFill="1"/>
    <xf numFmtId="3" fontId="77" fillId="54" borderId="0" xfId="1" applyNumberFormat="1" applyFont="1" applyFill="1" applyAlignment="1">
      <alignment horizontal="center"/>
    </xf>
    <xf numFmtId="3" fontId="77" fillId="54" borderId="0" xfId="1" applyNumberFormat="1" applyFont="1" applyFill="1" applyAlignment="1">
      <alignment horizontal="center" vertical="center"/>
    </xf>
    <xf numFmtId="3" fontId="101" fillId="54" borderId="0" xfId="1" applyNumberFormat="1" applyFont="1" applyFill="1" applyAlignment="1">
      <alignment horizontal="center"/>
    </xf>
    <xf numFmtId="3" fontId="80" fillId="54" borderId="0" xfId="1" applyNumberFormat="1" applyFont="1" applyFill="1" applyAlignment="1">
      <alignment horizontal="center"/>
    </xf>
    <xf numFmtId="3" fontId="186" fillId="0" borderId="0" xfId="1" applyNumberFormat="1" applyFont="1" applyAlignment="1">
      <alignment horizontal="center"/>
    </xf>
    <xf numFmtId="171" fontId="75" fillId="0" borderId="0" xfId="65" applyNumberFormat="1" applyFont="1" applyFill="1" applyBorder="1" applyAlignment="1">
      <alignment horizontal="center" vertical="center"/>
    </xf>
    <xf numFmtId="196" fontId="25" fillId="0" borderId="0" xfId="1" applyNumberFormat="1" applyFont="1" applyAlignment="1">
      <alignment horizontal="center"/>
    </xf>
    <xf numFmtId="3" fontId="187" fillId="58" borderId="0" xfId="79" applyNumberFormat="1" applyFont="1" applyFill="1" applyAlignment="1" applyProtection="1">
      <alignment horizontal="center"/>
    </xf>
    <xf numFmtId="3" fontId="188" fillId="58" borderId="0" xfId="79" applyNumberFormat="1" applyFont="1" applyFill="1" applyAlignment="1" applyProtection="1">
      <alignment horizontal="center"/>
    </xf>
    <xf numFmtId="172" fontId="187" fillId="58" borderId="0" xfId="79" applyNumberFormat="1" applyFont="1" applyFill="1" applyAlignment="1" applyProtection="1">
      <alignment horizontal="center"/>
    </xf>
    <xf numFmtId="0" fontId="188" fillId="58" borderId="0" xfId="79" applyNumberFormat="1" applyFont="1" applyFill="1" applyAlignment="1" applyProtection="1">
      <alignment horizontal="center"/>
    </xf>
    <xf numFmtId="3" fontId="187" fillId="58" borderId="47" xfId="79" applyNumberFormat="1" applyFont="1" applyFill="1" applyBorder="1" applyAlignment="1" applyProtection="1">
      <alignment horizontal="center"/>
    </xf>
    <xf numFmtId="172" fontId="188" fillId="58" borderId="0" xfId="79" applyNumberFormat="1" applyFont="1" applyFill="1" applyAlignment="1" applyProtection="1">
      <alignment horizontal="center"/>
    </xf>
    <xf numFmtId="172" fontId="189" fillId="58" borderId="0" xfId="79" applyNumberFormat="1" applyFont="1" applyFill="1" applyAlignment="1" applyProtection="1">
      <alignment horizontal="center"/>
    </xf>
    <xf numFmtId="172" fontId="190" fillId="58" borderId="0" xfId="79" applyNumberFormat="1" applyFont="1" applyFill="1" applyAlignment="1" applyProtection="1">
      <alignment horizontal="center"/>
    </xf>
    <xf numFmtId="3" fontId="190" fillId="58" borderId="0" xfId="79" applyNumberFormat="1" applyFont="1" applyFill="1" applyAlignment="1" applyProtection="1">
      <alignment horizontal="center"/>
    </xf>
    <xf numFmtId="173" fontId="188" fillId="58" borderId="0" xfId="79" applyNumberFormat="1" applyFont="1" applyFill="1" applyAlignment="1" applyProtection="1">
      <alignment horizontal="center"/>
    </xf>
    <xf numFmtId="173" fontId="187" fillId="58" borderId="0" xfId="79" applyNumberFormat="1" applyFont="1" applyFill="1" applyAlignment="1" applyProtection="1">
      <alignment horizontal="center"/>
    </xf>
    <xf numFmtId="3" fontId="187" fillId="58" borderId="13" xfId="79" applyNumberFormat="1" applyFont="1" applyFill="1" applyBorder="1" applyAlignment="1" applyProtection="1">
      <alignment horizontal="center"/>
    </xf>
    <xf numFmtId="3" fontId="187" fillId="58" borderId="45" xfId="79" applyNumberFormat="1" applyFont="1" applyFill="1" applyBorder="1" applyAlignment="1" applyProtection="1">
      <alignment horizontal="center"/>
    </xf>
    <xf numFmtId="4" fontId="188" fillId="58" borderId="0" xfId="79" applyNumberFormat="1" applyFont="1" applyFill="1" applyAlignment="1" applyProtection="1">
      <alignment horizontal="center"/>
    </xf>
    <xf numFmtId="171" fontId="188" fillId="58" borderId="0" xfId="79" applyNumberFormat="1" applyFont="1" applyFill="1" applyAlignment="1" applyProtection="1">
      <alignment horizontal="center"/>
    </xf>
    <xf numFmtId="3" fontId="189" fillId="58" borderId="0" xfId="79" applyNumberFormat="1" applyFont="1" applyFill="1" applyAlignment="1" applyProtection="1">
      <alignment horizontal="center"/>
    </xf>
    <xf numFmtId="9" fontId="189" fillId="58" borderId="0" xfId="79" applyNumberFormat="1" applyFont="1" applyFill="1" applyAlignment="1" applyProtection="1">
      <alignment horizontal="center"/>
    </xf>
    <xf numFmtId="172" fontId="75" fillId="0" borderId="0" xfId="0" applyNumberFormat="1" applyFont="1" applyAlignment="1">
      <alignment vertical="center"/>
    </xf>
    <xf numFmtId="172" fontId="90" fillId="36" borderId="0" xfId="1" applyNumberFormat="1" applyFont="1" applyFill="1" applyAlignment="1">
      <alignment horizontal="center"/>
    </xf>
    <xf numFmtId="3" fontId="79" fillId="36" borderId="0" xfId="134" applyNumberFormat="1" applyFont="1" applyFill="1" applyAlignment="1">
      <alignment horizontal="center"/>
    </xf>
    <xf numFmtId="172" fontId="79" fillId="36" borderId="0" xfId="134" applyNumberFormat="1" applyFont="1" applyFill="1" applyAlignment="1">
      <alignment horizontal="center"/>
    </xf>
    <xf numFmtId="172" fontId="101" fillId="0" borderId="0" xfId="137" applyNumberFormat="1" applyFont="1" applyAlignment="1">
      <alignment horizontal="center"/>
    </xf>
    <xf numFmtId="3" fontId="187" fillId="36" borderId="0" xfId="79" applyNumberFormat="1" applyFont="1" applyFill="1" applyAlignment="1" applyProtection="1">
      <alignment horizontal="center"/>
    </xf>
    <xf numFmtId="172" fontId="187" fillId="36" borderId="0" xfId="79" applyNumberFormat="1" applyFont="1" applyFill="1" applyAlignment="1" applyProtection="1">
      <alignment horizontal="center"/>
    </xf>
    <xf numFmtId="3" fontId="188" fillId="0" borderId="0" xfId="79" applyNumberFormat="1" applyFont="1" applyFill="1" applyAlignment="1" applyProtection="1">
      <alignment horizontal="center"/>
    </xf>
    <xf numFmtId="3" fontId="133" fillId="0" borderId="0" xfId="1" applyNumberFormat="1" applyFont="1" applyAlignment="1">
      <alignment horizontal="center"/>
    </xf>
    <xf numFmtId="3" fontId="187" fillId="0" borderId="0" xfId="79" applyNumberFormat="1" applyFont="1" applyFill="1" applyAlignment="1" applyProtection="1">
      <alignment horizontal="center"/>
    </xf>
    <xf numFmtId="3" fontId="126" fillId="36" borderId="0" xfId="1" applyNumberFormat="1" applyFont="1" applyFill="1" applyAlignment="1">
      <alignment horizontal="center"/>
    </xf>
    <xf numFmtId="9" fontId="156" fillId="0" borderId="0" xfId="97" applyFont="1" applyFill="1" applyAlignment="1">
      <alignment horizontal="center"/>
    </xf>
    <xf numFmtId="3" fontId="191" fillId="0" borderId="0" xfId="79" applyNumberFormat="1" applyFont="1" applyFill="1" applyAlignment="1" applyProtection="1">
      <alignment horizontal="center"/>
    </xf>
    <xf numFmtId="3" fontId="111" fillId="0" borderId="13" xfId="1" applyNumberFormat="1" applyFont="1" applyBorder="1" applyAlignment="1">
      <alignment horizontal="center"/>
    </xf>
    <xf numFmtId="3" fontId="111" fillId="0" borderId="45" xfId="1" applyNumberFormat="1" applyFont="1" applyBorder="1" applyAlignment="1">
      <alignment horizontal="center"/>
    </xf>
    <xf numFmtId="3" fontId="188" fillId="46" borderId="0" xfId="79" applyNumberFormat="1" applyFont="1" applyFill="1" applyAlignment="1" applyProtection="1">
      <alignment horizontal="center"/>
    </xf>
    <xf numFmtId="3" fontId="79" fillId="46" borderId="0" xfId="137" applyNumberFormat="1" applyFont="1" applyFill="1" applyAlignment="1">
      <alignment horizontal="center"/>
    </xf>
    <xf numFmtId="3" fontId="187" fillId="46" borderId="0" xfId="79" applyNumberFormat="1" applyFont="1" applyFill="1" applyAlignment="1" applyProtection="1">
      <alignment horizontal="center"/>
    </xf>
    <xf numFmtId="3" fontId="78" fillId="46" borderId="0" xfId="137" applyNumberFormat="1" applyFont="1" applyFill="1" applyAlignment="1">
      <alignment horizontal="center"/>
    </xf>
    <xf numFmtId="3" fontId="78" fillId="46" borderId="0" xfId="134" applyNumberFormat="1" applyFont="1" applyFill="1" applyAlignment="1">
      <alignment horizontal="center"/>
    </xf>
    <xf numFmtId="1" fontId="78" fillId="46" borderId="0" xfId="137" applyNumberFormat="1" applyFont="1" applyFill="1" applyAlignment="1">
      <alignment horizontal="center"/>
    </xf>
    <xf numFmtId="1" fontId="188" fillId="46" borderId="0" xfId="79" applyNumberFormat="1" applyFont="1" applyFill="1" applyAlignment="1" applyProtection="1">
      <alignment horizontal="center"/>
    </xf>
    <xf numFmtId="9" fontId="81" fillId="46" borderId="0" xfId="97" applyFont="1" applyFill="1" applyAlignment="1">
      <alignment horizontal="center"/>
    </xf>
    <xf numFmtId="171" fontId="130" fillId="46" borderId="0" xfId="1" applyNumberFormat="1" applyFont="1" applyFill="1" applyAlignment="1">
      <alignment horizontal="center"/>
    </xf>
    <xf numFmtId="1" fontId="109" fillId="0" borderId="0" xfId="1" applyNumberFormat="1" applyFont="1" applyAlignment="1">
      <alignment horizontal="center" vertical="center"/>
    </xf>
    <xf numFmtId="1" fontId="85" fillId="0" borderId="0" xfId="1" applyNumberFormat="1" applyFont="1" applyAlignment="1">
      <alignment horizontal="center" vertical="center"/>
    </xf>
    <xf numFmtId="0" fontId="77" fillId="0" borderId="0" xfId="0" applyFont="1" applyAlignment="1">
      <alignment vertical="center"/>
    </xf>
    <xf numFmtId="2" fontId="192" fillId="0" borderId="0" xfId="1" applyNumberFormat="1" applyFont="1" applyAlignment="1">
      <alignment horizontal="center"/>
    </xf>
    <xf numFmtId="3" fontId="193" fillId="16" borderId="0" xfId="1" applyNumberFormat="1" applyFont="1" applyFill="1" applyAlignment="1">
      <alignment horizontal="center"/>
    </xf>
    <xf numFmtId="3" fontId="193" fillId="30" borderId="0" xfId="1" applyNumberFormat="1" applyFont="1" applyFill="1" applyAlignment="1">
      <alignment horizontal="center"/>
    </xf>
    <xf numFmtId="3" fontId="111" fillId="31" borderId="0" xfId="1" applyNumberFormat="1" applyFont="1" applyFill="1" applyAlignment="1">
      <alignment horizontal="center"/>
    </xf>
    <xf numFmtId="0" fontId="77" fillId="44" borderId="0" xfId="1" applyFont="1" applyFill="1" applyAlignment="1">
      <alignment horizontal="center"/>
    </xf>
    <xf numFmtId="3" fontId="111" fillId="44" borderId="0" xfId="1" applyNumberFormat="1" applyFont="1" applyFill="1" applyAlignment="1">
      <alignment horizontal="center"/>
    </xf>
    <xf numFmtId="3" fontId="111" fillId="44" borderId="0" xfId="134" applyNumberFormat="1" applyFont="1" applyFill="1" applyAlignment="1">
      <alignment horizontal="center"/>
    </xf>
    <xf numFmtId="3" fontId="77" fillId="44" borderId="0" xfId="1" applyNumberFormat="1" applyFont="1" applyFill="1" applyAlignment="1">
      <alignment horizontal="center"/>
    </xf>
    <xf numFmtId="3" fontId="111" fillId="33" borderId="0" xfId="134" applyNumberFormat="1" applyFont="1" applyFill="1" applyAlignment="1">
      <alignment horizontal="center"/>
    </xf>
    <xf numFmtId="3" fontId="136" fillId="33" borderId="0" xfId="1" applyNumberFormat="1" applyFont="1" applyFill="1" applyAlignment="1">
      <alignment horizontal="center"/>
    </xf>
    <xf numFmtId="3" fontId="8" fillId="17" borderId="27" xfId="1" applyNumberFormat="1" applyFont="1" applyFill="1" applyBorder="1" applyAlignment="1">
      <alignment horizontal="center" vertical="center"/>
    </xf>
    <xf numFmtId="1" fontId="25" fillId="0" borderId="0" xfId="1" applyNumberFormat="1" applyFont="1" applyAlignment="1">
      <alignment horizontal="center"/>
    </xf>
    <xf numFmtId="197" fontId="25" fillId="34" borderId="0" xfId="1" applyNumberFormat="1" applyFont="1" applyFill="1" applyAlignment="1">
      <alignment horizontal="center"/>
    </xf>
    <xf numFmtId="1" fontId="25" fillId="0" borderId="0" xfId="1" applyNumberFormat="1" applyFont="1" applyAlignment="1">
      <alignment horizontal="center" vertical="center" wrapText="1"/>
    </xf>
    <xf numFmtId="172" fontId="7" fillId="0" borderId="0" xfId="1" applyNumberFormat="1" applyFont="1"/>
    <xf numFmtId="1" fontId="23" fillId="0" borderId="0" xfId="1" applyNumberFormat="1" applyFont="1" applyAlignment="1">
      <alignment horizontal="center"/>
    </xf>
    <xf numFmtId="3" fontId="150" fillId="33" borderId="0" xfId="1" applyNumberFormat="1" applyFont="1" applyFill="1" applyAlignment="1">
      <alignment horizontal="center"/>
    </xf>
    <xf numFmtId="0" fontId="194" fillId="0" borderId="0" xfId="0" applyFont="1"/>
    <xf numFmtId="3" fontId="116" fillId="0" borderId="0" xfId="1" applyNumberFormat="1" applyFont="1" applyAlignment="1">
      <alignment horizontal="center"/>
    </xf>
    <xf numFmtId="3" fontId="116" fillId="0" borderId="0" xfId="134" applyNumberFormat="1" applyFont="1" applyAlignment="1">
      <alignment horizontal="center"/>
    </xf>
    <xf numFmtId="171" fontId="77" fillId="0" borderId="0" xfId="1" applyNumberFormat="1" applyFont="1" applyAlignment="1">
      <alignment horizontal="center" vertical="center"/>
    </xf>
    <xf numFmtId="10" fontId="81" fillId="31" borderId="0" xfId="1" applyNumberFormat="1" applyFont="1" applyFill="1" applyAlignment="1">
      <alignment horizontal="center"/>
    </xf>
    <xf numFmtId="49" fontId="195" fillId="0" borderId="0" xfId="0" applyNumberFormat="1" applyFont="1"/>
    <xf numFmtId="49" fontId="195" fillId="0" borderId="0" xfId="0" applyNumberFormat="1" applyFont="1" applyAlignment="1"/>
    <xf numFmtId="49" fontId="196" fillId="0" borderId="0" xfId="0" applyNumberFormat="1" applyFont="1" applyAlignment="1"/>
    <xf numFmtId="49" fontId="6" fillId="0" borderId="0" xfId="0" applyNumberFormat="1" applyFont="1" applyAlignment="1"/>
    <xf numFmtId="49" fontId="197" fillId="0" borderId="0" xfId="0" applyNumberFormat="1" applyFont="1" applyAlignment="1"/>
    <xf numFmtId="49" fontId="6" fillId="0" borderId="20" xfId="0" applyNumberFormat="1" applyFont="1" applyBorder="1" applyAlignment="1"/>
    <xf numFmtId="49" fontId="6" fillId="0" borderId="20" xfId="0" applyNumberFormat="1" applyFont="1" applyBorder="1" applyAlignment="1"/>
    <xf numFmtId="49" fontId="6" fillId="0" borderId="0" xfId="0" applyNumberFormat="1" applyFont="1" applyAlignment="1">
      <alignment horizontal="left" vertical="center"/>
    </xf>
    <xf numFmtId="2" fontId="195" fillId="0" borderId="0" xfId="0" applyNumberFormat="1" applyFont="1"/>
    <xf numFmtId="49" fontId="198" fillId="60" borderId="0" xfId="0" applyNumberFormat="1" applyFont="1" applyFill="1" applyAlignment="1">
      <alignment wrapText="1"/>
    </xf>
    <xf numFmtId="0" fontId="0" fillId="60" borderId="0" xfId="0" applyFill="1"/>
    <xf numFmtId="49" fontId="199" fillId="60" borderId="0" xfId="0" applyNumberFormat="1" applyFont="1" applyFill="1" applyAlignment="1">
      <alignment wrapText="1"/>
    </xf>
    <xf numFmtId="3" fontId="90" fillId="58" borderId="0" xfId="137" applyNumberFormat="1" applyFont="1" applyFill="1" applyAlignment="1">
      <alignment horizontal="center"/>
    </xf>
    <xf numFmtId="3" fontId="111" fillId="58" borderId="0" xfId="137" applyNumberFormat="1" applyFont="1" applyFill="1" applyAlignment="1">
      <alignment horizontal="center"/>
    </xf>
    <xf numFmtId="3" fontId="90" fillId="58" borderId="0" xfId="1" applyNumberFormat="1" applyFont="1" applyFill="1" applyAlignment="1">
      <alignment horizontal="center"/>
    </xf>
    <xf numFmtId="3" fontId="111" fillId="58" borderId="0" xfId="1" applyNumberFormat="1" applyFont="1" applyFill="1" applyAlignment="1">
      <alignment horizontal="center"/>
    </xf>
    <xf numFmtId="3" fontId="93" fillId="59" borderId="0" xfId="1" applyNumberFormat="1" applyFont="1" applyFill="1" applyAlignment="1">
      <alignment horizontal="center"/>
    </xf>
    <xf numFmtId="3" fontId="90" fillId="59" borderId="0" xfId="1" applyNumberFormat="1" applyFont="1" applyFill="1" applyAlignment="1">
      <alignment horizontal="center"/>
    </xf>
    <xf numFmtId="3" fontId="90" fillId="58" borderId="0" xfId="134" applyNumberFormat="1" applyFont="1" applyFill="1" applyAlignment="1">
      <alignment horizontal="center"/>
    </xf>
    <xf numFmtId="3" fontId="111" fillId="58" borderId="0" xfId="134" applyNumberFormat="1" applyFont="1" applyFill="1" applyAlignment="1">
      <alignment horizontal="center"/>
    </xf>
    <xf numFmtId="172" fontId="107" fillId="58" borderId="0" xfId="1" applyNumberFormat="1" applyFont="1" applyFill="1" applyAlignment="1">
      <alignment horizontal="center"/>
    </xf>
    <xf numFmtId="172" fontId="111" fillId="58" borderId="0" xfId="1" applyNumberFormat="1" applyFont="1" applyFill="1" applyAlignment="1">
      <alignment horizontal="center"/>
    </xf>
  </cellXfs>
  <cellStyles count="172">
    <cellStyle name="_x000a_bidires=100_x000d_" xfId="1" xr:uid="{00000000-0005-0000-0000-000000000000}"/>
    <cellStyle name="_x000a_bidires=100_x000d_ 2" xfId="2" xr:uid="{00000000-0005-0000-0000-000001000000}"/>
    <cellStyle name="_x000a_bidires=100_x000d_ 2 2" xfId="137" xr:uid="{0B9213E5-407D-4F1A-B97D-6EA9904105A2}"/>
    <cellStyle name="_x000a_bidires=100_x000d_ 3" xfId="134" xr:uid="{00000000-0005-0000-0000-000002000000}"/>
    <cellStyle name="%" xfId="3" xr:uid="{00000000-0005-0000-0000-000003000000}"/>
    <cellStyle name="_3 stage GG model" xfId="117" xr:uid="{00000000-0005-0000-0000-000004000000}"/>
    <cellStyle name="_3 stage GG model 2" xfId="118" xr:uid="{00000000-0005-0000-0000-000005000000}"/>
    <cellStyle name="_MW FDS" xfId="4" xr:uid="{00000000-0005-0000-0000-000006000000}"/>
    <cellStyle name="_MWA RR" xfId="5" xr:uid="{00000000-0005-0000-0000-000007000000}"/>
    <cellStyle name="_MWA RR_1-pager " xfId="119" xr:uid="{00000000-0005-0000-0000-000008000000}"/>
    <cellStyle name="_RRS1" xfId="6" xr:uid="{00000000-0005-0000-0000-000009000000}"/>
    <cellStyle name="_RRS1_1" xfId="7" xr:uid="{00000000-0005-0000-0000-00000A000000}"/>
    <cellStyle name="_RRS1_1_1-pager " xfId="120" xr:uid="{00000000-0005-0000-0000-00000B000000}"/>
    <cellStyle name="_RRS1_CBA NEW MODEL" xfId="8" xr:uid="{00000000-0005-0000-0000-00000C000000}"/>
    <cellStyle name="_RRS1_CBA NEW MODEL 2" xfId="138" xr:uid="{3C08DC05-E6CA-4DA1-B11C-4A9CC963A46A}"/>
    <cellStyle name="_RRS10" xfId="9" xr:uid="{00000000-0005-0000-0000-00000D000000}"/>
    <cellStyle name="_RRS10 2" xfId="139" xr:uid="{99674127-32F4-49C9-AB8F-DFFA9818FA00}"/>
    <cellStyle name="_RRS10_1" xfId="10" xr:uid="{00000000-0005-0000-0000-00000E000000}"/>
    <cellStyle name="_RRS10_1_1-pager " xfId="121" xr:uid="{00000000-0005-0000-0000-00000F000000}"/>
    <cellStyle name="_RRS11" xfId="11" xr:uid="{00000000-0005-0000-0000-000010000000}"/>
    <cellStyle name="_RRS11 2" xfId="140" xr:uid="{8CD51A1E-388D-4386-B4CF-7EA03BD32423}"/>
    <cellStyle name="_RRS12" xfId="12" xr:uid="{00000000-0005-0000-0000-000011000000}"/>
    <cellStyle name="_RRS12 2" xfId="141" xr:uid="{72CA9DCC-4160-4E24-BDAA-6739192378EE}"/>
    <cellStyle name="_RRS12_1" xfId="13" xr:uid="{00000000-0005-0000-0000-000012000000}"/>
    <cellStyle name="_RRS13" xfId="14" xr:uid="{00000000-0005-0000-0000-000013000000}"/>
    <cellStyle name="_RRS14" xfId="15" xr:uid="{00000000-0005-0000-0000-000014000000}"/>
    <cellStyle name="_RRS14 2" xfId="142" xr:uid="{5A19E2C4-55C0-432C-B089-308FBB2144AF}"/>
    <cellStyle name="_RRS16" xfId="16" xr:uid="{00000000-0005-0000-0000-000015000000}"/>
    <cellStyle name="_RRS16 2" xfId="143" xr:uid="{AB543A7F-C801-4733-BBC5-AD751B181E4C}"/>
    <cellStyle name="_RRS17" xfId="17" xr:uid="{00000000-0005-0000-0000-000016000000}"/>
    <cellStyle name="_RRS17 2" xfId="144" xr:uid="{5F6CD82C-5FE7-4B8D-9C1C-593E3EAC47DA}"/>
    <cellStyle name="_RRS21" xfId="18" xr:uid="{00000000-0005-0000-0000-000017000000}"/>
    <cellStyle name="_RRS21 2" xfId="145" xr:uid="{5CA4E692-FEFE-4166-B845-F50FA66D01A0}"/>
    <cellStyle name="_RRS25" xfId="19" xr:uid="{00000000-0005-0000-0000-000018000000}"/>
    <cellStyle name="_RRS25 2" xfId="146" xr:uid="{47FBBED5-41A3-4850-B772-B6D69C2046CA}"/>
    <cellStyle name="_RRS3" xfId="20" xr:uid="{00000000-0005-0000-0000-000019000000}"/>
    <cellStyle name="_RRS33" xfId="21" xr:uid="{00000000-0005-0000-0000-00001A000000}"/>
    <cellStyle name="_RRS33 2" xfId="147" xr:uid="{5207011B-4A80-4EE9-9457-835CFE73BD4B}"/>
    <cellStyle name="_RRS38" xfId="22" xr:uid="{00000000-0005-0000-0000-00001B000000}"/>
    <cellStyle name="_RRS38 2" xfId="148" xr:uid="{5D46A610-75BA-4192-85AB-3CF424A9A566}"/>
    <cellStyle name="_RRS5" xfId="23" xr:uid="{00000000-0005-0000-0000-00001C000000}"/>
    <cellStyle name="_RRS5 2" xfId="149" xr:uid="{80E6EB6E-8054-4B26-B3B7-F6DF751F7671}"/>
    <cellStyle name="_RRS5_1" xfId="24" xr:uid="{00000000-0005-0000-0000-00001D000000}"/>
    <cellStyle name="_RRS6" xfId="25" xr:uid="{00000000-0005-0000-0000-00001E000000}"/>
    <cellStyle name="_RRS7" xfId="26" xr:uid="{00000000-0005-0000-0000-00001F000000}"/>
    <cellStyle name="_RRS7 2" xfId="150" xr:uid="{79FFF701-19A0-4D85-92E5-7CB20F81796E}"/>
    <cellStyle name="_RRS9" xfId="27" xr:uid="{00000000-0005-0000-0000-000020000000}"/>
    <cellStyle name="_SUMMARY " xfId="28" xr:uid="{00000000-0005-0000-0000-000021000000}"/>
    <cellStyle name="_SUMMARY  2" xfId="122" xr:uid="{00000000-0005-0000-0000-000022000000}"/>
    <cellStyle name="_SUMMARY _1-pager " xfId="123" xr:uid="{00000000-0005-0000-0000-000023000000}"/>
    <cellStyle name="=C:\WINNT35\SYSTEM32\COMMAND.COM" xfId="29" xr:uid="{00000000-0005-0000-0000-000024000000}"/>
    <cellStyle name="0_Capex &amp; Depreciation " xfId="30" xr:uid="{00000000-0005-0000-0000-000025000000}"/>
    <cellStyle name="0_Capex &amp; Depreciation _RRST1" xfId="31" xr:uid="{00000000-0005-0000-0000-000026000000}"/>
    <cellStyle name="0_Capex &amp; Depreciation _RRST1 2" xfId="151" xr:uid="{38A8F924-958E-46EF-B1AC-A9EFA8EA4609}"/>
    <cellStyle name="0_Valuing BP " xfId="32" xr:uid="{00000000-0005-0000-0000-000027000000}"/>
    <cellStyle name="0_Valuing BP _RRST1" xfId="33" xr:uid="{00000000-0005-0000-0000-000028000000}"/>
    <cellStyle name="0_Valuing BP _RRST1 2" xfId="152" xr:uid="{570647AA-BC7A-43B8-9137-65C37C0F1885}"/>
    <cellStyle name="20% - Accent1" xfId="34" builtinId="30" customBuiltin="1"/>
    <cellStyle name="20% - Accent2" xfId="35" builtinId="34" customBuiltin="1"/>
    <cellStyle name="20% - Accent3" xfId="36" builtinId="38" customBuiltin="1"/>
    <cellStyle name="20% - Accent4" xfId="37" builtinId="42" customBuiltin="1"/>
    <cellStyle name="20% - Accent5" xfId="38" builtinId="46" customBuiltin="1"/>
    <cellStyle name="20% - Accent6" xfId="39" builtinId="50" customBuiltin="1"/>
    <cellStyle name="40% - Accent1" xfId="40" builtinId="31" customBuiltin="1"/>
    <cellStyle name="40% - Accent2" xfId="41" builtinId="35" customBuiltin="1"/>
    <cellStyle name="40% - Accent3" xfId="42" builtinId="39" customBuiltin="1"/>
    <cellStyle name="40% - Accent4" xfId="43" builtinId="43" customBuiltin="1"/>
    <cellStyle name="40% - Accent5" xfId="44" builtinId="47" customBuiltin="1"/>
    <cellStyle name="40% - Accent6" xfId="45" builtinId="51" customBuiltin="1"/>
    <cellStyle name="60% - Accent1" xfId="46" builtinId="32" customBuiltin="1"/>
    <cellStyle name="60% - Accent2" xfId="47" builtinId="36" customBuiltin="1"/>
    <cellStyle name="60% - Accent3" xfId="48" builtinId="40" customBuiltin="1"/>
    <cellStyle name="60% - Accent4" xfId="49" builtinId="44" customBuiltin="1"/>
    <cellStyle name="60% - Accent5" xfId="50" builtinId="48" customBuiltin="1"/>
    <cellStyle name="60% - Accent6" xfId="51" builtinId="52" customBuiltin="1"/>
    <cellStyle name="Accent1" xfId="52" builtinId="29" customBuiltin="1"/>
    <cellStyle name="Accent2" xfId="53" builtinId="33" customBuiltin="1"/>
    <cellStyle name="Accent3" xfId="54" builtinId="37" customBuiltin="1"/>
    <cellStyle name="Accent4" xfId="55" builtinId="41" customBuiltin="1"/>
    <cellStyle name="Accent5" xfId="56" builtinId="45" customBuiltin="1"/>
    <cellStyle name="Accent6" xfId="57" builtinId="49" customBuiltin="1"/>
    <cellStyle name="Bad" xfId="58" builtinId="27" customBuiltin="1"/>
    <cellStyle name="c_HardInc " xfId="59" xr:uid="{00000000-0005-0000-0000-000042000000}"/>
    <cellStyle name="c_HardInc _RRST1" xfId="60" xr:uid="{00000000-0005-0000-0000-000043000000}"/>
    <cellStyle name="c_HardInc _RRST1 2" xfId="153" xr:uid="{EE5D5268-D1CC-4BA0-86DA-55309A1FF6B4}"/>
    <cellStyle name="Calculation" xfId="61" builtinId="22" customBuiltin="1"/>
    <cellStyle name="Check Cell" xfId="62" builtinId="23" customBuiltin="1"/>
    <cellStyle name="Comma" xfId="63" builtinId="3"/>
    <cellStyle name="Comma 2" xfId="124" xr:uid="{00000000-0005-0000-0000-000047000000}"/>
    <cellStyle name="Comma 2 2" xfId="165" xr:uid="{9309D5DF-85BC-4E08-A740-1E1267EDB1E6}"/>
    <cellStyle name="Comma 3" xfId="154" xr:uid="{DF44D7AF-284F-466E-B242-E7EF01EBF43D}"/>
    <cellStyle name="Comma 5" xfId="64" xr:uid="{00000000-0005-0000-0000-000048000000}"/>
    <cellStyle name="Comma 5 2" xfId="155" xr:uid="{50467C33-4C99-485B-A4BF-5F4963953B81}"/>
    <cellStyle name="Comma_HSB_ACE" xfId="65" xr:uid="{00000000-0005-0000-0000-00004A000000}"/>
    <cellStyle name="Currency 2" xfId="66" xr:uid="{00000000-0005-0000-0000-00004B000000}"/>
    <cellStyle name="Currency 2 2" xfId="156" xr:uid="{585EA678-DA20-46DA-B4D1-D4942586DBCF}"/>
    <cellStyle name="Currency 3" xfId="67" xr:uid="{00000000-0005-0000-0000-00004C000000}"/>
    <cellStyle name="Currency 3 2" xfId="157" xr:uid="{C4779AE7-3103-4856-AF3D-D9B946A64A8B}"/>
    <cellStyle name="Currency 4" xfId="68" xr:uid="{00000000-0005-0000-0000-00004D000000}"/>
    <cellStyle name="Currency 4 2" xfId="158" xr:uid="{C59C0572-2DC8-4288-9A29-BE5807812B39}"/>
    <cellStyle name="Currency 5" xfId="112" xr:uid="{00000000-0005-0000-0000-00004E000000}"/>
    <cellStyle name="Currency 5 2" xfId="161" xr:uid="{1D341E99-EA66-4965-90ED-B9840D9A6500}"/>
    <cellStyle name="Currency 6" xfId="115" xr:uid="{00000000-0005-0000-0000-00004F000000}"/>
    <cellStyle name="Currency 6 2" xfId="164" xr:uid="{A4A3799E-B85E-41F5-8094-F4B0698EF1F6}"/>
    <cellStyle name="Euro" xfId="69" xr:uid="{00000000-0005-0000-0000-000051000000}"/>
    <cellStyle name="Explanatory Text" xfId="70" builtinId="53" customBuiltin="1"/>
    <cellStyle name="Fail" xfId="71" xr:uid="{00000000-0005-0000-0000-000053000000}"/>
    <cellStyle name="FiscalPeriod" xfId="72" xr:uid="{00000000-0005-0000-0000-000054000000}"/>
    <cellStyle name="Good" xfId="73" builtinId="26" customBuiltin="1"/>
    <cellStyle name="Heading 1" xfId="74" builtinId="16" customBuiltin="1"/>
    <cellStyle name="Heading 2" xfId="75" builtinId="17" customBuiltin="1"/>
    <cellStyle name="Heading 3" xfId="76" builtinId="18" customBuiltin="1"/>
    <cellStyle name="Heading 4" xfId="77" builtinId="19" customBuiltin="1"/>
    <cellStyle name="Hidden" xfId="78" xr:uid="{00000000-0005-0000-0000-00005A000000}"/>
    <cellStyle name="Hyperlink" xfId="79" builtinId="8"/>
    <cellStyle name="Hyperlink 2" xfId="125" xr:uid="{00000000-0005-0000-0000-00005C000000}"/>
    <cellStyle name="Hyperlink 3" xfId="130" xr:uid="{00000000-0005-0000-0000-00005D000000}"/>
    <cellStyle name="Input" xfId="80" builtinId="20" customBuiltin="1"/>
    <cellStyle name="Linked Cell" xfId="81" builtinId="24" customBuiltin="1"/>
    <cellStyle name="MetricLabel" xfId="82" xr:uid="{00000000-0005-0000-0000-000060000000}"/>
    <cellStyle name="MetricLabelBlue" xfId="83" xr:uid="{00000000-0005-0000-0000-000061000000}"/>
    <cellStyle name="MetricValue" xfId="84" xr:uid="{00000000-0005-0000-0000-000062000000}"/>
    <cellStyle name="Millares_2AV_M_M " xfId="126" xr:uid="{00000000-0005-0000-0000-000063000000}"/>
    <cellStyle name="Moneda [0]_2AV_M_M " xfId="127" xr:uid="{00000000-0005-0000-0000-000064000000}"/>
    <cellStyle name="Neutral" xfId="85" builtinId="28" customBuiltin="1"/>
    <cellStyle name="Normal" xfId="0" builtinId="0" customBuiltin="1"/>
    <cellStyle name="Normal 2" xfId="86" xr:uid="{00000000-0005-0000-0000-000067000000}"/>
    <cellStyle name="Normal 2 2" xfId="116" xr:uid="{00000000-0005-0000-0000-000068000000}"/>
    <cellStyle name="Normal 3" xfId="110" xr:uid="{00000000-0005-0000-0000-000069000000}"/>
    <cellStyle name="Normal 4" xfId="113" xr:uid="{00000000-0005-0000-0000-00006A000000}"/>
    <cellStyle name="Normal 4 2" xfId="162" xr:uid="{3B4E7D7D-EF11-4806-BE02-17E5E3886373}"/>
    <cellStyle name="Normal 5" xfId="129" xr:uid="{00000000-0005-0000-0000-00006B000000}"/>
    <cellStyle name="Normal 5 2" xfId="166" xr:uid="{5F70F177-CD7A-48F6-AB4F-95482742F7D6}"/>
    <cellStyle name="Normal 6" xfId="132" xr:uid="{00000000-0005-0000-0000-00006C000000}"/>
    <cellStyle name="Normal 6 2" xfId="168" xr:uid="{B09423B3-599E-409F-BA28-F694D5A42440}"/>
    <cellStyle name="Normal 7" xfId="135" xr:uid="{D4EB726E-11DF-4BA8-9D3C-F1A6F0ABFD1B}"/>
    <cellStyle name="Normal 7 2" xfId="170" xr:uid="{B950AEDC-CB7A-40F3-A0BF-56B83E2B4332}"/>
    <cellStyle name="Normal_ACE-OUT" xfId="87" xr:uid="{00000000-0005-0000-0000-00006D000000}"/>
    <cellStyle name="Normal_ASX" xfId="88" xr:uid="{00000000-0005-0000-0000-00006E000000}"/>
    <cellStyle name="Normal_banking template with RtN" xfId="89" xr:uid="{00000000-0005-0000-0000-00006F000000}"/>
    <cellStyle name="Normal_HSB_ACE" xfId="90" xr:uid="{00000000-0005-0000-0000-000070000000}"/>
    <cellStyle name="Normal_SSEML" xfId="91" xr:uid="{00000000-0005-0000-0000-000071000000}"/>
    <cellStyle name="Normalny_Ferrum . Valuation . CA IB . 8" xfId="92" xr:uid="{00000000-0005-0000-0000-000072000000}"/>
    <cellStyle name="Note" xfId="93" builtinId="10" customBuiltin="1"/>
    <cellStyle name="Output" xfId="94" builtinId="21" customBuiltin="1"/>
    <cellStyle name="p " xfId="95" xr:uid="{00000000-0005-0000-0000-000075000000}"/>
    <cellStyle name="Pass" xfId="96" xr:uid="{00000000-0005-0000-0000-000076000000}"/>
    <cellStyle name="Percent" xfId="97" builtinId="5"/>
    <cellStyle name="Percent 2" xfId="114" xr:uid="{00000000-0005-0000-0000-000078000000}"/>
    <cellStyle name="Percent 2 2" xfId="163" xr:uid="{1C56395E-46A4-4398-9E52-C7ACB0D3D7CF}"/>
    <cellStyle name="Percent 3" xfId="131" xr:uid="{00000000-0005-0000-0000-000079000000}"/>
    <cellStyle name="Percent 3 2" xfId="167" xr:uid="{BD268336-A754-49E4-9C09-F5D056F8C42B}"/>
    <cellStyle name="Percent 4" xfId="133" xr:uid="{00000000-0005-0000-0000-00007A000000}"/>
    <cellStyle name="Percent 4 2" xfId="169" xr:uid="{C87E89EB-1BFF-4BB8-A6AB-71B71745D94C}"/>
    <cellStyle name="Percent 5" xfId="136" xr:uid="{D268556A-A320-46CD-BEFB-48AD235C288C}"/>
    <cellStyle name="Percent 5 2" xfId="171" xr:uid="{014A5679-76B2-4B7B-AFA0-8391FA643EAA}"/>
    <cellStyle name="Percent_HSB_ACE" xfId="98" xr:uid="{00000000-0005-0000-0000-00007B000000}"/>
    <cellStyle name="RRSInstruction" xfId="99" xr:uid="{00000000-0005-0000-0000-00007C000000}"/>
    <cellStyle name="RRSInstruction 2" xfId="111" xr:uid="{00000000-0005-0000-0000-00007D000000}"/>
    <cellStyle name="s_HardInc " xfId="100" xr:uid="{00000000-0005-0000-0000-00007E000000}"/>
    <cellStyle name="s_HardInc _RRST1" xfId="101" xr:uid="{00000000-0005-0000-0000-00007F000000}"/>
    <cellStyle name="s_HardInc _RRST1 2" xfId="159" xr:uid="{670C035A-F105-473E-BFAB-92E347E75647}"/>
    <cellStyle name="s_Valuation " xfId="102" xr:uid="{00000000-0005-0000-0000-000080000000}"/>
    <cellStyle name="s_Valuation _RRST1" xfId="103" xr:uid="{00000000-0005-0000-0000-000081000000}"/>
    <cellStyle name="s_Valuation _RRST1 2" xfId="160" xr:uid="{BE04B7F5-386E-49B1-9EC3-0989C5DEE331}"/>
    <cellStyle name="ssp " xfId="104" xr:uid="{00000000-0005-0000-0000-000082000000}"/>
    <cellStyle name="Style 1" xfId="105" xr:uid="{00000000-0005-0000-0000-000083000000}"/>
    <cellStyle name="Style 2" xfId="106" xr:uid="{00000000-0005-0000-0000-000084000000}"/>
    <cellStyle name="Title" xfId="107" builtinId="15" customBuiltin="1"/>
    <cellStyle name="Total" xfId="108" builtinId="25" customBuiltin="1"/>
    <cellStyle name="Warning Text" xfId="109" builtinId="11" customBuiltin="1"/>
    <cellStyle name="표준_0N-HANDLING " xfId="128" xr:uid="{00000000-0005-0000-0000-000088000000}"/>
  </cellStyles>
  <dxfs count="0"/>
  <tableStyles count="0" defaultTableStyle="TableStyleMedium2" defaultPivotStyle="PivotStyleLight16"/>
  <colors>
    <mruColors>
      <color rgb="FFFF66FF"/>
      <color rgb="FFCCFFFF"/>
      <color rgb="FF0000FF"/>
      <color rgb="FFFFFF99"/>
      <color rgb="FFCCFF99"/>
      <color rgb="FFFFFFCC"/>
      <color rgb="FF009900"/>
      <color rgb="FF99FF66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602109258089891"/>
          <c:y val="0.16113902638156127"/>
          <c:w val="0.56271902341186242"/>
          <c:h val="0.787067427791998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1-4FE0-4C7A-ABE5-30A40672D00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3-4FE0-4C7A-ABE5-30A40672D00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4FE0-4C7A-ABE5-30A40672D00A}"/>
              </c:ext>
            </c:extLst>
          </c:dPt>
          <c:dPt>
            <c:idx val="3"/>
            <c:bubble3D val="0"/>
            <c:spPr>
              <a:solidFill>
                <a:srgbClr val="FF99FF"/>
              </a:solidFill>
            </c:spPr>
            <c:extLst>
              <c:ext xmlns:c16="http://schemas.microsoft.com/office/drawing/2014/chart" uri="{C3380CC4-5D6E-409C-BE32-E72D297353CC}">
                <c16:uniqueId val="{00000007-4FE0-4C7A-ABE5-30A40672D00A}"/>
              </c:ext>
            </c:extLst>
          </c:dPt>
          <c:dPt>
            <c:idx val="4"/>
            <c:bubble3D val="0"/>
            <c:spPr>
              <a:solidFill>
                <a:srgbClr val="CCFFFF"/>
              </a:solidFill>
            </c:spPr>
            <c:extLst>
              <c:ext xmlns:c16="http://schemas.microsoft.com/office/drawing/2014/chart" uri="{C3380CC4-5D6E-409C-BE32-E72D297353CC}">
                <c16:uniqueId val="{00000009-4FE0-4C7A-ABE5-30A40672D00A}"/>
              </c:ext>
            </c:extLst>
          </c:dPt>
          <c:dPt>
            <c:idx val="5"/>
            <c:bubble3D val="0"/>
            <c:spPr>
              <a:solidFill>
                <a:srgbClr val="7030A0"/>
              </a:solidFill>
            </c:spPr>
            <c:extLst>
              <c:ext xmlns:c16="http://schemas.microsoft.com/office/drawing/2014/chart" uri="{C3380CC4-5D6E-409C-BE32-E72D297353CC}">
                <c16:uniqueId val="{0000000B-4FE0-4C7A-ABE5-30A40672D00A}"/>
              </c:ext>
            </c:extLst>
          </c:dPt>
          <c:dLbls>
            <c:dLbl>
              <c:idx val="0"/>
              <c:layout>
                <c:manualLayout>
                  <c:x val="8.2373858473977588E-2"/>
                  <c:y val="1.7278327330801948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FE0-4C7A-ABE5-30A40672D00A}"/>
                </c:ext>
              </c:extLst>
            </c:dLbl>
            <c:dLbl>
              <c:idx val="1"/>
              <c:layout>
                <c:manualLayout>
                  <c:x val="5.0050265808565857E-2"/>
                  <c:y val="-8.16724113821771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E0-4C7A-ABE5-30A40672D00A}"/>
                </c:ext>
              </c:extLst>
            </c:dLbl>
            <c:dLbl>
              <c:idx val="2"/>
              <c:layout>
                <c:manualLayout>
                  <c:x val="-2.3498084350458158E-2"/>
                  <c:y val="-1.9054328654576362E-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FE0-4C7A-ABE5-30A40672D00A}"/>
                </c:ext>
              </c:extLst>
            </c:dLbl>
            <c:dLbl>
              <c:idx val="3"/>
              <c:layout>
                <c:manualLayout>
                  <c:x val="-2.2358487413746801E-2"/>
                  <c:y val="4.8341240426074808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E0-4C7A-ABE5-30A40672D00A}"/>
                </c:ext>
              </c:extLst>
            </c:dLbl>
            <c:dLbl>
              <c:idx val="4"/>
              <c:layout>
                <c:manualLayout>
                  <c:x val="-5.3541174867528254E-2"/>
                  <c:y val="9.1912024499726588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157502217205511"/>
                      <c:h val="0.25396893524000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FE0-4C7A-ABE5-30A40672D00A}"/>
                </c:ext>
              </c:extLst>
            </c:dLbl>
            <c:dLbl>
              <c:idx val="5"/>
              <c:layout>
                <c:manualLayout>
                  <c:x val="-4.3174357625729007E-2"/>
                  <c:y val="9.5238095238095247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E0-4C7A-ABE5-30A40672D0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SOTP!$CJ$4:$CJ$8</c:f>
              <c:strCache>
                <c:ptCount val="5"/>
                <c:pt idx="0">
                  <c:v>Macquarie Capital, 16.7x PE</c:v>
                </c:pt>
                <c:pt idx="1">
                  <c:v>Commodities &amp; Global Markets, 12.8x PE</c:v>
                </c:pt>
                <c:pt idx="2">
                  <c:v>MAM - Public Markets, 13.3x PE</c:v>
                </c:pt>
                <c:pt idx="3">
                  <c:v>MAM - Private Markets, 24.2x PE</c:v>
                </c:pt>
                <c:pt idx="4">
                  <c:v>Banking &amp; Financial Services, 18.3x PE</c:v>
                </c:pt>
              </c:strCache>
            </c:strRef>
          </c:cat>
          <c:val>
            <c:numRef>
              <c:f>SOTP!$CK$4:$CK$8</c:f>
              <c:numCache>
                <c:formatCode>0%</c:formatCode>
                <c:ptCount val="5"/>
                <c:pt idx="0">
                  <c:v>0.17782154393357308</c:v>
                </c:pt>
                <c:pt idx="1">
                  <c:v>0.34271608850381019</c:v>
                </c:pt>
                <c:pt idx="2">
                  <c:v>8.6152254848535614E-2</c:v>
                </c:pt>
                <c:pt idx="3">
                  <c:v>0.20917191128907131</c:v>
                </c:pt>
                <c:pt idx="4">
                  <c:v>0.18413820142500975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0-4C7A-ABE5-30A40672D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160678657622481E-2"/>
          <c:y val="3.4985312266430264E-2"/>
          <c:w val="0.90015667272360189"/>
          <c:h val="0.765728042272861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SOTP!$CK$38</c:f>
              <c:strCache>
                <c:ptCount val="1"/>
                <c:pt idx="0">
                  <c:v>Peer PE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SOTP!$CJ$39:$CJ$43</c:f>
              <c:strCache>
                <c:ptCount val="5"/>
                <c:pt idx="0">
                  <c:v>Macquarie Capital at 5% premium</c:v>
                </c:pt>
                <c:pt idx="1">
                  <c:v>Commodities and Global Markets at -10% premium</c:v>
                </c:pt>
                <c:pt idx="2">
                  <c:v>MAM - Public Markets at 0% premium</c:v>
                </c:pt>
                <c:pt idx="3">
                  <c:v>MAM - Private Markets at 10% premium</c:v>
                </c:pt>
                <c:pt idx="4">
                  <c:v>Banking and Financial Services at 10% premium</c:v>
                </c:pt>
              </c:strCache>
            </c:strRef>
          </c:cat>
          <c:val>
            <c:numRef>
              <c:f>SOTP!$CK$39:$CK$43</c:f>
              <c:numCache>
                <c:formatCode>0.0"x"</c:formatCode>
                <c:ptCount val="5"/>
                <c:pt idx="0">
                  <c:v>15.881510175156279</c:v>
                </c:pt>
                <c:pt idx="1">
                  <c:v>14.19257886586014</c:v>
                </c:pt>
                <c:pt idx="2">
                  <c:v>13.298722447456383</c:v>
                </c:pt>
                <c:pt idx="3">
                  <c:v>22.017777064220073</c:v>
                </c:pt>
                <c:pt idx="4">
                  <c:v>16.611860428169937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55-42EE-B515-EFD817DB73A2}"/>
            </c:ext>
          </c:extLst>
        </c:ser>
        <c:ser>
          <c:idx val="1"/>
          <c:order val="1"/>
          <c:tx>
            <c:strRef>
              <c:f>SOTP!$CL$38</c:f>
              <c:strCache>
                <c:ptCount val="1"/>
                <c:pt idx="0">
                  <c:v>MQG PE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SOTP!$CJ$39:$CJ$43</c:f>
              <c:strCache>
                <c:ptCount val="5"/>
                <c:pt idx="0">
                  <c:v>Macquarie Capital at 5% premium</c:v>
                </c:pt>
                <c:pt idx="1">
                  <c:v>Commodities and Global Markets at -10% premium</c:v>
                </c:pt>
                <c:pt idx="2">
                  <c:v>MAM - Public Markets at 0% premium</c:v>
                </c:pt>
                <c:pt idx="3">
                  <c:v>MAM - Private Markets at 10% premium</c:v>
                </c:pt>
                <c:pt idx="4">
                  <c:v>Banking and Financial Services at 10% premium</c:v>
                </c:pt>
              </c:strCache>
            </c:strRef>
          </c:cat>
          <c:val>
            <c:numRef>
              <c:f>SOTP!$CL$39:$CL$43</c:f>
              <c:numCache>
                <c:formatCode>0.0"x"</c:formatCode>
                <c:ptCount val="5"/>
                <c:pt idx="0">
                  <c:v>16.675585683914093</c:v>
                </c:pt>
                <c:pt idx="1">
                  <c:v>12.773320979274127</c:v>
                </c:pt>
                <c:pt idx="2">
                  <c:v>13.298722447456383</c:v>
                </c:pt>
                <c:pt idx="3">
                  <c:v>24.219554770642084</c:v>
                </c:pt>
                <c:pt idx="4">
                  <c:v>18.273046470986934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5-42EE-B515-EFD817DB7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axId val="908503296"/>
        <c:axId val="908509184"/>
      </c:barChart>
      <c:catAx>
        <c:axId val="9085032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900"/>
            </a:pPr>
            <a:endParaRPr lang="en-US"/>
          </a:p>
        </c:txPr>
        <c:crossAx val="908509184"/>
        <c:crosses val="autoZero"/>
        <c:auto val="1"/>
        <c:lblAlgn val="ctr"/>
        <c:lblOffset val="0"/>
        <c:noMultiLvlLbl val="0"/>
      </c:catAx>
      <c:valAx>
        <c:axId val="908509184"/>
        <c:scaling>
          <c:orientation val="minMax"/>
        </c:scaling>
        <c:delete val="0"/>
        <c:axPos val="l"/>
        <c:numFmt formatCode="0&quot;x&quot;" sourceLinked="0"/>
        <c:majorTickMark val="out"/>
        <c:minorTickMark val="none"/>
        <c:tickLblPos val="nextTo"/>
        <c:crossAx val="908503296"/>
        <c:crosses val="autoZero"/>
        <c:crossBetween val="between"/>
      </c:valAx>
      <c:spPr>
        <a:noFill/>
        <a:ln w="12700">
          <a:noFill/>
          <a:prstDash val="solid"/>
          <a:round/>
        </a:ln>
        <a:effectLst/>
        <a:extLst>
          <a:ext uri="{91240B29-F687-4F45-9708-019B960494DF}">
            <a14:hiddenLine xmlns:a14="http://schemas.microsoft.com/office/drawing/2010/main" w="12700">
              <a:solidFill>
                <a:srgbClr val="808080"/>
              </a:solidFill>
              <a:prstDash val="solid"/>
              <a:round/>
            </a14:hiddenLine>
          </a:ext>
        </a:extLst>
      </c:spPr>
    </c:plotArea>
    <c:legend>
      <c:legendPos val="b"/>
      <c:layout>
        <c:manualLayout>
          <c:xMode val="edge"/>
          <c:yMode val="edge"/>
          <c:x val="9.9189783969311537E-2"/>
          <c:y val="4.2769289600389358E-2"/>
          <c:w val="0.22630953847211846"/>
          <c:h val="0.16999356868470911"/>
        </c:manualLayout>
      </c:layout>
      <c:overlay val="0"/>
      <c:spPr>
        <a:ln w="25400">
          <a:noFill/>
        </a:ln>
        <a:effectLst/>
      </c:spPr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12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2</xdr:col>
      <xdr:colOff>406618</xdr:colOff>
      <xdr:row>1</xdr:row>
      <xdr:rowOff>5756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3DF26A4-EDDD-ACA9-A981-D10C56F6B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196</xdr:row>
      <xdr:rowOff>0</xdr:rowOff>
    </xdr:from>
    <xdr:to>
      <xdr:col>10</xdr:col>
      <xdr:colOff>527050</xdr:colOff>
      <xdr:row>221</xdr:row>
      <xdr:rowOff>19050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352BC3-AD7D-CF3A-4B10-E28E1A5AD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33223200"/>
          <a:ext cx="6496050" cy="42100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87</xdr:col>
      <xdr:colOff>507756</xdr:colOff>
      <xdr:row>10</xdr:row>
      <xdr:rowOff>11916</xdr:rowOff>
    </xdr:from>
    <xdr:to>
      <xdr:col>92</xdr:col>
      <xdr:colOff>378135</xdr:colOff>
      <xdr:row>30</xdr:row>
      <xdr:rowOff>158995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86</xdr:col>
      <xdr:colOff>331470</xdr:colOff>
      <xdr:row>49</xdr:row>
      <xdr:rowOff>24765</xdr:rowOff>
    </xdr:from>
    <xdr:to>
      <xdr:col>91</xdr:col>
      <xdr:colOff>325754</xdr:colOff>
      <xdr:row>66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USERS/Banks/rwiles/Banks%20New/MQG/Renewables/MQG%20Renewables%20Insigh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QG Energy Production"/>
      <sheetName val="Vltn Uplift&gt;"/>
      <sheetName val="Green Rev Uplift"/>
      <sheetName val="Note charts"/>
      <sheetName val="Bull Bridge"/>
      <sheetName val="NPAT bridge"/>
      <sheetName val="Price Target Sensitivity"/>
      <sheetName val="Comps&gt;"/>
      <sheetName val="Summary"/>
      <sheetName val="Live"/>
      <sheetName val="Hard"/>
      <sheetName val="Hard - 13 Oct 21"/>
      <sheetName val="Hard - 23 Sep 21"/>
      <sheetName val="MQ"/>
      <sheetName val="FX Rates"/>
      <sheetName val="Sheet2"/>
      <sheetName val="Qualitative Analysis&gt;"/>
      <sheetName val="Qualitative Raw"/>
      <sheetName val="Sheet1"/>
      <sheetName val="Qualitative Presentation"/>
      <sheetName val="Ch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">
          <cell r="A1" t="str">
            <v xml:space="preserve">F11.1  EXCHANGE RATES </v>
          </cell>
          <cell r="B1"/>
          <cell r="C1"/>
          <cell r="D1"/>
          <cell r="E1"/>
          <cell r="F1"/>
          <cell r="G1"/>
          <cell r="H1"/>
          <cell r="I1"/>
          <cell r="J1"/>
          <cell r="K1"/>
          <cell r="L1"/>
          <cell r="M1"/>
          <cell r="N1"/>
          <cell r="O1"/>
          <cell r="P1"/>
          <cell r="Q1"/>
          <cell r="R1"/>
          <cell r="S1"/>
          <cell r="T1"/>
          <cell r="U1"/>
          <cell r="W1"/>
        </row>
        <row r="2">
          <cell r="A2" t="str">
            <v>Title</v>
          </cell>
          <cell r="B2" t="str">
            <v>A$1=USD</v>
          </cell>
          <cell r="C2" t="str">
            <v>Trade-weighted Index May 1970 = 100</v>
          </cell>
          <cell r="D2" t="str">
            <v>A$1=CNY</v>
          </cell>
          <cell r="E2" t="str">
            <v>A$1=JPY</v>
          </cell>
          <cell r="F2" t="str">
            <v>A$1=EUR</v>
          </cell>
          <cell r="G2" t="str">
            <v>A$1=KRW</v>
          </cell>
          <cell r="H2" t="str">
            <v>A$1=GBP</v>
          </cell>
          <cell r="I2" t="str">
            <v>A$1=SGD</v>
          </cell>
          <cell r="J2" t="str">
            <v>A$1=INR</v>
          </cell>
          <cell r="K2" t="str">
            <v>A$1=THB</v>
          </cell>
          <cell r="L2" t="str">
            <v>A$1=NZD</v>
          </cell>
          <cell r="M2" t="str">
            <v>A$1=TWD</v>
          </cell>
          <cell r="N2" t="str">
            <v>A$1=MYR</v>
          </cell>
          <cell r="O2" t="str">
            <v>A$1=IDR</v>
          </cell>
          <cell r="P2" t="str">
            <v>A$1=VND</v>
          </cell>
          <cell r="Q2" t="str">
            <v>A$1=AED</v>
          </cell>
          <cell r="R2" t="str">
            <v>A$1=PGK</v>
          </cell>
          <cell r="S2" t="str">
            <v>A$1=HKD</v>
          </cell>
          <cell r="T2" t="str">
            <v>A$1=CAD</v>
          </cell>
          <cell r="U2" t="str">
            <v>A$1=ZAR</v>
          </cell>
          <cell r="V2" t="str">
            <v>A$1=CHF</v>
          </cell>
          <cell r="W2" t="str">
            <v>A$1=PHP</v>
          </cell>
          <cell r="X2" t="str">
            <v>A$1=SDR</v>
          </cell>
        </row>
        <row r="3">
          <cell r="A3" t="str">
            <v>Description</v>
          </cell>
          <cell r="B3" t="str">
            <v>AUD/USD Exchange Rate; see notes for further detail.</v>
          </cell>
          <cell r="C3" t="str">
            <v>Australian Dollar Trade-weighted Index</v>
          </cell>
          <cell r="D3" t="str">
            <v>AUD/CNY Exchange Rate</v>
          </cell>
          <cell r="E3" t="str">
            <v>AUD/JPY Exchange Rate</v>
          </cell>
          <cell r="F3" t="str">
            <v>AUD/EUR Exchange Rate</v>
          </cell>
          <cell r="G3" t="str">
            <v>AUD/KRW Exchange Rate</v>
          </cell>
          <cell r="H3" t="str">
            <v>AUD/GBP Exchange Rate</v>
          </cell>
          <cell r="I3" t="str">
            <v>AUD/SGD Exchange Rate</v>
          </cell>
          <cell r="J3" t="str">
            <v>AUD/INR Exchange Rate</v>
          </cell>
          <cell r="K3" t="str">
            <v>AUD/THB Exchange Rate</v>
          </cell>
          <cell r="L3" t="str">
            <v>AUD/NZD Exchange Rate</v>
          </cell>
          <cell r="M3" t="str">
            <v>AUD/TWD Exchange Rate</v>
          </cell>
          <cell r="N3" t="str">
            <v>AUD/MYR Exchange Rate</v>
          </cell>
          <cell r="O3" t="str">
            <v>AUD/IDR Exchange Rate</v>
          </cell>
          <cell r="P3" t="str">
            <v>AUD/VND Exchange Rate</v>
          </cell>
          <cell r="Q3" t="str">
            <v>AUD/AED Exchange Rate</v>
          </cell>
          <cell r="R3" t="str">
            <v>AUD/PGK Exchange Rate</v>
          </cell>
          <cell r="S3" t="str">
            <v>AUD/HKD Exchange Rate</v>
          </cell>
          <cell r="T3" t="str">
            <v>AUD/CAD Exchange Rate</v>
          </cell>
          <cell r="U3" t="str">
            <v>AUD/ZAR Exchange Rate</v>
          </cell>
          <cell r="V3" t="str">
            <v>AUD/CHF Exchange Rate</v>
          </cell>
          <cell r="W3" t="str">
            <v>AUD/PHP Exchange Rate</v>
          </cell>
          <cell r="X3" t="str">
            <v>AUD/SDR Exchange Rate</v>
          </cell>
        </row>
        <row r="4">
          <cell r="A4" t="str">
            <v>Frequency</v>
          </cell>
          <cell r="B4" t="str">
            <v>Daily</v>
          </cell>
          <cell r="C4" t="str">
            <v>Daily</v>
          </cell>
          <cell r="D4" t="str">
            <v>Daily</v>
          </cell>
          <cell r="E4" t="str">
            <v>Daily</v>
          </cell>
          <cell r="F4" t="str">
            <v>Daily</v>
          </cell>
          <cell r="G4" t="str">
            <v>Daily</v>
          </cell>
          <cell r="H4" t="str">
            <v>Daily</v>
          </cell>
          <cell r="I4" t="str">
            <v>Daily</v>
          </cell>
          <cell r="J4" t="str">
            <v>Daily</v>
          </cell>
          <cell r="K4" t="str">
            <v>Daily</v>
          </cell>
          <cell r="L4" t="str">
            <v>Daily</v>
          </cell>
          <cell r="M4" t="str">
            <v>Daily</v>
          </cell>
          <cell r="N4" t="str">
            <v>Daily</v>
          </cell>
          <cell r="O4" t="str">
            <v>Daily</v>
          </cell>
          <cell r="P4" t="str">
            <v>Daily</v>
          </cell>
          <cell r="Q4" t="str">
            <v>Daily</v>
          </cell>
          <cell r="R4" t="str">
            <v>Daily</v>
          </cell>
          <cell r="S4" t="str">
            <v>Daily</v>
          </cell>
          <cell r="T4" t="str">
            <v>Daily</v>
          </cell>
          <cell r="U4" t="str">
            <v>Daily</v>
          </cell>
          <cell r="V4" t="str">
            <v>Daily</v>
          </cell>
          <cell r="W4" t="str">
            <v>Daily</v>
          </cell>
          <cell r="X4" t="str">
            <v>Daily</v>
          </cell>
        </row>
        <row r="5">
          <cell r="A5" t="str">
            <v>Type</v>
          </cell>
          <cell r="B5" t="str">
            <v>Indicative</v>
          </cell>
          <cell r="C5" t="str">
            <v>Indicative</v>
          </cell>
          <cell r="D5" t="str">
            <v>Indicative</v>
          </cell>
          <cell r="E5" t="str">
            <v>Indicative</v>
          </cell>
          <cell r="F5" t="str">
            <v>Indicative</v>
          </cell>
          <cell r="G5" t="str">
            <v>Indicative</v>
          </cell>
          <cell r="H5" t="str">
            <v>Indicative</v>
          </cell>
          <cell r="I5" t="str">
            <v>Indicative</v>
          </cell>
          <cell r="J5" t="str">
            <v>Indicative</v>
          </cell>
          <cell r="K5" t="str">
            <v>Indicative</v>
          </cell>
          <cell r="L5" t="str">
            <v>Indicative</v>
          </cell>
          <cell r="M5" t="str">
            <v>Indicative</v>
          </cell>
          <cell r="N5" t="str">
            <v>Indicative</v>
          </cell>
          <cell r="O5" t="str">
            <v>Indicative</v>
          </cell>
          <cell r="P5" t="str">
            <v>Indicative</v>
          </cell>
          <cell r="Q5" t="str">
            <v>Indicative</v>
          </cell>
          <cell r="R5" t="str">
            <v>Indicative</v>
          </cell>
          <cell r="S5" t="str">
            <v>Indicative</v>
          </cell>
          <cell r="T5" t="str">
            <v>Indicative</v>
          </cell>
          <cell r="U5" t="str">
            <v>Indicative</v>
          </cell>
          <cell r="V5" t="str">
            <v>Indicative</v>
          </cell>
          <cell r="W5" t="str">
            <v>Indicative</v>
          </cell>
          <cell r="X5" t="str">
            <v>Indicative</v>
          </cell>
        </row>
        <row r="6">
          <cell r="A6" t="str">
            <v>Units</v>
          </cell>
          <cell r="B6" t="str">
            <v>USD</v>
          </cell>
          <cell r="C6" t="str">
            <v>Index</v>
          </cell>
          <cell r="D6" t="str">
            <v>CNY</v>
          </cell>
          <cell r="E6" t="str">
            <v>JPY</v>
          </cell>
          <cell r="F6" t="str">
            <v>EUR</v>
          </cell>
          <cell r="G6" t="str">
            <v>KRW</v>
          </cell>
          <cell r="H6" t="str">
            <v>GBP</v>
          </cell>
          <cell r="I6" t="str">
            <v>SGD</v>
          </cell>
          <cell r="J6" t="str">
            <v>INR</v>
          </cell>
          <cell r="K6" t="str">
            <v>THB</v>
          </cell>
          <cell r="L6" t="str">
            <v>NZD</v>
          </cell>
          <cell r="M6" t="str">
            <v>TWD</v>
          </cell>
          <cell r="N6" t="str">
            <v>MYR</v>
          </cell>
          <cell r="O6" t="str">
            <v>IDR</v>
          </cell>
          <cell r="P6" t="str">
            <v>VND</v>
          </cell>
          <cell r="Q6" t="str">
            <v>AED</v>
          </cell>
          <cell r="R6" t="str">
            <v>PGK</v>
          </cell>
          <cell r="S6" t="str">
            <v>HKD</v>
          </cell>
          <cell r="T6" t="str">
            <v>CAD</v>
          </cell>
          <cell r="U6" t="str">
            <v>ZAR</v>
          </cell>
          <cell r="V6" t="str">
            <v>CHF</v>
          </cell>
          <cell r="W6" t="str">
            <v>PHP</v>
          </cell>
          <cell r="X6" t="str">
            <v>SDR</v>
          </cell>
        </row>
        <row r="7">
          <cell r="A7"/>
          <cell r="B7"/>
          <cell r="C7"/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</row>
        <row r="8">
          <cell r="A8"/>
          <cell r="B8"/>
          <cell r="C8"/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/>
          <cell r="S8"/>
          <cell r="T8"/>
          <cell r="U8"/>
          <cell r="V8"/>
          <cell r="W8"/>
          <cell r="X8"/>
        </row>
        <row r="9">
          <cell r="A9" t="str">
            <v>Source</v>
          </cell>
          <cell r="B9" t="str">
            <v>WM/Reuters</v>
          </cell>
          <cell r="C9" t="str">
            <v>RBA</v>
          </cell>
          <cell r="D9" t="str">
            <v>RBA</v>
          </cell>
          <cell r="E9" t="str">
            <v>RBA</v>
          </cell>
          <cell r="F9" t="str">
            <v>RBA</v>
          </cell>
          <cell r="G9" t="str">
            <v>RBA</v>
          </cell>
          <cell r="H9" t="str">
            <v>RBA</v>
          </cell>
          <cell r="I9" t="str">
            <v>RBA</v>
          </cell>
          <cell r="J9" t="str">
            <v>RBA</v>
          </cell>
          <cell r="K9" t="str">
            <v>RBA</v>
          </cell>
          <cell r="L9" t="str">
            <v>RBA</v>
          </cell>
          <cell r="M9" t="str">
            <v>RBA</v>
          </cell>
          <cell r="N9" t="str">
            <v>RBA</v>
          </cell>
          <cell r="O9" t="str">
            <v>RBA</v>
          </cell>
          <cell r="P9" t="str">
            <v>RBA</v>
          </cell>
          <cell r="Q9" t="str">
            <v>RBA</v>
          </cell>
          <cell r="R9" t="str">
            <v>RBA</v>
          </cell>
          <cell r="S9" t="str">
            <v>RBA</v>
          </cell>
          <cell r="T9" t="str">
            <v>RBA</v>
          </cell>
          <cell r="U9" t="str">
            <v>RBA</v>
          </cell>
          <cell r="V9" t="str">
            <v>RBA</v>
          </cell>
          <cell r="W9" t="str">
            <v>RBA</v>
          </cell>
          <cell r="X9" t="str">
            <v>IMF</v>
          </cell>
        </row>
        <row r="10">
          <cell r="A10" t="str">
            <v>Publication date</v>
          </cell>
          <cell r="B10">
            <v>44446</v>
          </cell>
          <cell r="C10">
            <v>44446</v>
          </cell>
          <cell r="D10">
            <v>44446</v>
          </cell>
          <cell r="E10">
            <v>44446</v>
          </cell>
          <cell r="F10">
            <v>44446</v>
          </cell>
          <cell r="G10">
            <v>44446</v>
          </cell>
          <cell r="H10">
            <v>44446</v>
          </cell>
          <cell r="I10">
            <v>44446</v>
          </cell>
          <cell r="J10">
            <v>44446</v>
          </cell>
          <cell r="K10">
            <v>44446</v>
          </cell>
          <cell r="L10">
            <v>44446</v>
          </cell>
          <cell r="M10">
            <v>44446</v>
          </cell>
          <cell r="N10">
            <v>44446</v>
          </cell>
          <cell r="O10">
            <v>44446</v>
          </cell>
          <cell r="P10">
            <v>44446</v>
          </cell>
          <cell r="Q10">
            <v>44166</v>
          </cell>
          <cell r="R10">
            <v>44446</v>
          </cell>
          <cell r="S10">
            <v>44446</v>
          </cell>
          <cell r="T10">
            <v>44446</v>
          </cell>
          <cell r="U10">
            <v>41971</v>
          </cell>
          <cell r="V10">
            <v>44446</v>
          </cell>
          <cell r="W10">
            <v>42338</v>
          </cell>
          <cell r="X10">
            <v>44446</v>
          </cell>
        </row>
        <row r="11">
          <cell r="A11" t="str">
            <v>Series ID</v>
          </cell>
        </row>
        <row r="12">
          <cell r="A12">
            <v>43102</v>
          </cell>
        </row>
        <row r="13">
          <cell r="A13">
            <v>43103</v>
          </cell>
        </row>
        <row r="14">
          <cell r="A14">
            <v>43104</v>
          </cell>
        </row>
        <row r="15">
          <cell r="A15">
            <v>43105</v>
          </cell>
        </row>
        <row r="16">
          <cell r="A16">
            <v>43108</v>
          </cell>
        </row>
        <row r="17">
          <cell r="A17">
            <v>43109</v>
          </cell>
        </row>
        <row r="18">
          <cell r="A18">
            <v>43110</v>
          </cell>
        </row>
        <row r="19">
          <cell r="A19">
            <v>43111</v>
          </cell>
        </row>
        <row r="20">
          <cell r="A20">
            <v>43112</v>
          </cell>
        </row>
        <row r="21">
          <cell r="A21">
            <v>43115</v>
          </cell>
        </row>
        <row r="22">
          <cell r="A22">
            <v>43116</v>
          </cell>
        </row>
        <row r="23">
          <cell r="A23">
            <v>43117</v>
          </cell>
        </row>
        <row r="24">
          <cell r="A24">
            <v>43118</v>
          </cell>
        </row>
        <row r="25">
          <cell r="A25">
            <v>43119</v>
          </cell>
        </row>
        <row r="26">
          <cell r="A26">
            <v>43122</v>
          </cell>
        </row>
        <row r="27">
          <cell r="A27">
            <v>43123</v>
          </cell>
        </row>
        <row r="28">
          <cell r="A28">
            <v>43124</v>
          </cell>
        </row>
        <row r="29">
          <cell r="A29">
            <v>43125</v>
          </cell>
        </row>
        <row r="30">
          <cell r="A30">
            <v>43129</v>
          </cell>
        </row>
        <row r="31">
          <cell r="A31">
            <v>43130</v>
          </cell>
        </row>
        <row r="32">
          <cell r="A32">
            <v>43131</v>
          </cell>
        </row>
        <row r="33">
          <cell r="A33">
            <v>43132</v>
          </cell>
        </row>
        <row r="34">
          <cell r="A34">
            <v>43133</v>
          </cell>
        </row>
        <row r="35">
          <cell r="A35">
            <v>43136</v>
          </cell>
        </row>
        <row r="36">
          <cell r="A36">
            <v>43137</v>
          </cell>
        </row>
        <row r="37">
          <cell r="A37">
            <v>43138</v>
          </cell>
        </row>
        <row r="38">
          <cell r="A38">
            <v>43139</v>
          </cell>
        </row>
        <row r="39">
          <cell r="A39">
            <v>43140</v>
          </cell>
        </row>
        <row r="40">
          <cell r="A40">
            <v>43143</v>
          </cell>
        </row>
        <row r="41">
          <cell r="A41">
            <v>43144</v>
          </cell>
        </row>
        <row r="42">
          <cell r="A42">
            <v>43145</v>
          </cell>
        </row>
        <row r="43">
          <cell r="A43">
            <v>43146</v>
          </cell>
        </row>
        <row r="44">
          <cell r="A44">
            <v>43147</v>
          </cell>
        </row>
        <row r="45">
          <cell r="A45">
            <v>43150</v>
          </cell>
        </row>
        <row r="46">
          <cell r="A46">
            <v>43151</v>
          </cell>
        </row>
        <row r="47">
          <cell r="A47">
            <v>43152</v>
          </cell>
        </row>
        <row r="48">
          <cell r="A48">
            <v>43153</v>
          </cell>
        </row>
        <row r="49">
          <cell r="A49">
            <v>43154</v>
          </cell>
        </row>
        <row r="50">
          <cell r="A50">
            <v>43157</v>
          </cell>
        </row>
        <row r="51">
          <cell r="A51">
            <v>43158</v>
          </cell>
        </row>
        <row r="52">
          <cell r="A52">
            <v>43159</v>
          </cell>
        </row>
        <row r="53">
          <cell r="A53">
            <v>43160</v>
          </cell>
        </row>
        <row r="54">
          <cell r="A54">
            <v>43161</v>
          </cell>
        </row>
        <row r="55">
          <cell r="A55">
            <v>43164</v>
          </cell>
        </row>
        <row r="56">
          <cell r="A56">
            <v>43165</v>
          </cell>
        </row>
        <row r="57">
          <cell r="A57">
            <v>43166</v>
          </cell>
        </row>
        <row r="58">
          <cell r="A58">
            <v>43167</v>
          </cell>
        </row>
        <row r="59">
          <cell r="A59">
            <v>43168</v>
          </cell>
        </row>
        <row r="60">
          <cell r="A60">
            <v>43171</v>
          </cell>
        </row>
        <row r="61">
          <cell r="A61">
            <v>43172</v>
          </cell>
        </row>
        <row r="62">
          <cell r="A62">
            <v>43173</v>
          </cell>
        </row>
        <row r="63">
          <cell r="A63">
            <v>43174</v>
          </cell>
        </row>
        <row r="64">
          <cell r="A64">
            <v>43175</v>
          </cell>
        </row>
        <row r="65">
          <cell r="A65">
            <v>43178</v>
          </cell>
        </row>
        <row r="66">
          <cell r="A66">
            <v>43179</v>
          </cell>
        </row>
        <row r="67">
          <cell r="A67">
            <v>43180</v>
          </cell>
        </row>
        <row r="68">
          <cell r="A68">
            <v>43181</v>
          </cell>
        </row>
        <row r="69">
          <cell r="A69">
            <v>43182</v>
          </cell>
        </row>
        <row r="70">
          <cell r="A70">
            <v>43185</v>
          </cell>
        </row>
        <row r="71">
          <cell r="A71">
            <v>43186</v>
          </cell>
        </row>
        <row r="72">
          <cell r="A72">
            <v>43187</v>
          </cell>
        </row>
        <row r="73">
          <cell r="A73">
            <v>43188</v>
          </cell>
        </row>
        <row r="74">
          <cell r="A74">
            <v>43193</v>
          </cell>
        </row>
        <row r="75">
          <cell r="A75">
            <v>43194</v>
          </cell>
        </row>
        <row r="76">
          <cell r="A76">
            <v>43195</v>
          </cell>
        </row>
        <row r="77">
          <cell r="A77">
            <v>43196</v>
          </cell>
        </row>
        <row r="78">
          <cell r="A78">
            <v>43199</v>
          </cell>
        </row>
        <row r="79">
          <cell r="A79">
            <v>43200</v>
          </cell>
        </row>
        <row r="80">
          <cell r="A80">
            <v>43201</v>
          </cell>
        </row>
        <row r="81">
          <cell r="A81">
            <v>43202</v>
          </cell>
        </row>
        <row r="82">
          <cell r="A82">
            <v>43203</v>
          </cell>
        </row>
        <row r="83">
          <cell r="A83">
            <v>43206</v>
          </cell>
        </row>
        <row r="84">
          <cell r="A84">
            <v>43207</v>
          </cell>
        </row>
        <row r="85">
          <cell r="A85">
            <v>43208</v>
          </cell>
        </row>
        <row r="86">
          <cell r="A86">
            <v>43209</v>
          </cell>
        </row>
        <row r="87">
          <cell r="A87">
            <v>43210</v>
          </cell>
        </row>
        <row r="88">
          <cell r="A88">
            <v>43213</v>
          </cell>
        </row>
        <row r="89">
          <cell r="A89">
            <v>43214</v>
          </cell>
        </row>
        <row r="90">
          <cell r="A90">
            <v>43216</v>
          </cell>
        </row>
        <row r="91">
          <cell r="A91">
            <v>43217</v>
          </cell>
        </row>
        <row r="92">
          <cell r="A92">
            <v>43220</v>
          </cell>
        </row>
        <row r="93">
          <cell r="A93">
            <v>43221</v>
          </cell>
        </row>
        <row r="94">
          <cell r="A94">
            <v>43222</v>
          </cell>
        </row>
        <row r="95">
          <cell r="A95">
            <v>43223</v>
          </cell>
        </row>
        <row r="96">
          <cell r="A96">
            <v>43224</v>
          </cell>
        </row>
        <row r="97">
          <cell r="A97">
            <v>43227</v>
          </cell>
        </row>
        <row r="98">
          <cell r="A98">
            <v>43228</v>
          </cell>
        </row>
        <row r="99">
          <cell r="A99">
            <v>43229</v>
          </cell>
        </row>
        <row r="100">
          <cell r="A100">
            <v>43230</v>
          </cell>
        </row>
        <row r="101">
          <cell r="A101">
            <v>43231</v>
          </cell>
        </row>
        <row r="102">
          <cell r="A102">
            <v>43234</v>
          </cell>
        </row>
        <row r="103">
          <cell r="A103">
            <v>43235</v>
          </cell>
        </row>
        <row r="104">
          <cell r="A104">
            <v>43236</v>
          </cell>
        </row>
        <row r="105">
          <cell r="A105">
            <v>43237</v>
          </cell>
        </row>
        <row r="106">
          <cell r="A106">
            <v>43238</v>
          </cell>
        </row>
        <row r="107">
          <cell r="A107">
            <v>43241</v>
          </cell>
        </row>
        <row r="108">
          <cell r="A108">
            <v>43242</v>
          </cell>
        </row>
        <row r="109">
          <cell r="A109">
            <v>43243</v>
          </cell>
        </row>
        <row r="110">
          <cell r="A110">
            <v>43244</v>
          </cell>
        </row>
        <row r="111">
          <cell r="A111">
            <v>43245</v>
          </cell>
        </row>
        <row r="112">
          <cell r="A112">
            <v>43248</v>
          </cell>
        </row>
        <row r="113">
          <cell r="A113">
            <v>43249</v>
          </cell>
        </row>
        <row r="114">
          <cell r="A114">
            <v>43250</v>
          </cell>
        </row>
        <row r="115">
          <cell r="A115">
            <v>43251</v>
          </cell>
        </row>
        <row r="116">
          <cell r="A116">
            <v>43252</v>
          </cell>
        </row>
        <row r="117">
          <cell r="A117">
            <v>43255</v>
          </cell>
        </row>
        <row r="118">
          <cell r="A118">
            <v>43256</v>
          </cell>
        </row>
        <row r="119">
          <cell r="A119">
            <v>43257</v>
          </cell>
        </row>
        <row r="120">
          <cell r="A120">
            <v>43258</v>
          </cell>
        </row>
        <row r="121">
          <cell r="A121">
            <v>43259</v>
          </cell>
        </row>
        <row r="122">
          <cell r="A122">
            <v>43263</v>
          </cell>
        </row>
        <row r="123">
          <cell r="A123">
            <v>43264</v>
          </cell>
        </row>
        <row r="124">
          <cell r="A124">
            <v>43265</v>
          </cell>
        </row>
        <row r="125">
          <cell r="A125">
            <v>43266</v>
          </cell>
        </row>
        <row r="126">
          <cell r="A126">
            <v>43269</v>
          </cell>
        </row>
        <row r="127">
          <cell r="A127">
            <v>43270</v>
          </cell>
        </row>
        <row r="128">
          <cell r="A128">
            <v>43271</v>
          </cell>
        </row>
        <row r="129">
          <cell r="A129">
            <v>43272</v>
          </cell>
        </row>
        <row r="130">
          <cell r="A130">
            <v>43273</v>
          </cell>
        </row>
        <row r="131">
          <cell r="A131">
            <v>43276</v>
          </cell>
        </row>
        <row r="132">
          <cell r="A132">
            <v>43277</v>
          </cell>
        </row>
        <row r="133">
          <cell r="A133">
            <v>43278</v>
          </cell>
        </row>
        <row r="134">
          <cell r="A134">
            <v>43279</v>
          </cell>
        </row>
        <row r="135">
          <cell r="A135">
            <v>43280</v>
          </cell>
        </row>
        <row r="136">
          <cell r="A136">
            <v>43283</v>
          </cell>
        </row>
        <row r="137">
          <cell r="A137">
            <v>43284</v>
          </cell>
        </row>
        <row r="138">
          <cell r="A138">
            <v>43285</v>
          </cell>
        </row>
        <row r="139">
          <cell r="A139">
            <v>43286</v>
          </cell>
        </row>
        <row r="140">
          <cell r="A140">
            <v>43287</v>
          </cell>
        </row>
        <row r="141">
          <cell r="A141">
            <v>43290</v>
          </cell>
        </row>
        <row r="142">
          <cell r="A142">
            <v>43291</v>
          </cell>
        </row>
        <row r="143">
          <cell r="A143">
            <v>43292</v>
          </cell>
        </row>
        <row r="144">
          <cell r="A144">
            <v>43293</v>
          </cell>
        </row>
        <row r="145">
          <cell r="A145">
            <v>43294</v>
          </cell>
        </row>
        <row r="146">
          <cell r="A146">
            <v>43297</v>
          </cell>
        </row>
        <row r="147">
          <cell r="A147">
            <v>43298</v>
          </cell>
        </row>
        <row r="148">
          <cell r="A148">
            <v>43299</v>
          </cell>
        </row>
        <row r="149">
          <cell r="A149">
            <v>43300</v>
          </cell>
        </row>
        <row r="150">
          <cell r="A150">
            <v>43301</v>
          </cell>
        </row>
        <row r="151">
          <cell r="A151">
            <v>43304</v>
          </cell>
        </row>
        <row r="152">
          <cell r="A152">
            <v>43305</v>
          </cell>
        </row>
        <row r="153">
          <cell r="A153">
            <v>43306</v>
          </cell>
        </row>
        <row r="154">
          <cell r="A154">
            <v>43307</v>
          </cell>
        </row>
        <row r="155">
          <cell r="A155">
            <v>43308</v>
          </cell>
        </row>
        <row r="156">
          <cell r="A156">
            <v>43311</v>
          </cell>
        </row>
        <row r="157">
          <cell r="A157">
            <v>43312</v>
          </cell>
        </row>
        <row r="158">
          <cell r="A158">
            <v>43313</v>
          </cell>
        </row>
        <row r="159">
          <cell r="A159">
            <v>43314</v>
          </cell>
        </row>
        <row r="160">
          <cell r="A160">
            <v>43315</v>
          </cell>
        </row>
        <row r="161">
          <cell r="A161">
            <v>43319</v>
          </cell>
        </row>
        <row r="162">
          <cell r="A162">
            <v>43320</v>
          </cell>
        </row>
        <row r="163">
          <cell r="A163">
            <v>43321</v>
          </cell>
        </row>
        <row r="164">
          <cell r="A164">
            <v>43322</v>
          </cell>
        </row>
        <row r="165">
          <cell r="A165">
            <v>43325</v>
          </cell>
        </row>
        <row r="166">
          <cell r="A166">
            <v>43326</v>
          </cell>
        </row>
        <row r="167">
          <cell r="A167">
            <v>43327</v>
          </cell>
        </row>
        <row r="168">
          <cell r="A168">
            <v>43328</v>
          </cell>
        </row>
        <row r="169">
          <cell r="A169">
            <v>43329</v>
          </cell>
        </row>
        <row r="170">
          <cell r="A170">
            <v>43332</v>
          </cell>
        </row>
        <row r="171">
          <cell r="A171">
            <v>43333</v>
          </cell>
        </row>
        <row r="172">
          <cell r="A172">
            <v>43334</v>
          </cell>
        </row>
        <row r="173">
          <cell r="A173">
            <v>43335</v>
          </cell>
        </row>
        <row r="174">
          <cell r="A174">
            <v>43336</v>
          </cell>
        </row>
        <row r="175">
          <cell r="A175">
            <v>43339</v>
          </cell>
        </row>
        <row r="176">
          <cell r="A176">
            <v>43340</v>
          </cell>
        </row>
        <row r="177">
          <cell r="A177">
            <v>43341</v>
          </cell>
        </row>
        <row r="178">
          <cell r="A178">
            <v>43342</v>
          </cell>
        </row>
        <row r="179">
          <cell r="A179">
            <v>43343</v>
          </cell>
        </row>
        <row r="180">
          <cell r="A180">
            <v>43346</v>
          </cell>
        </row>
        <row r="181">
          <cell r="A181">
            <v>43347</v>
          </cell>
        </row>
        <row r="182">
          <cell r="A182">
            <v>43348</v>
          </cell>
        </row>
        <row r="183">
          <cell r="A183">
            <v>43349</v>
          </cell>
        </row>
        <row r="184">
          <cell r="A184">
            <v>43350</v>
          </cell>
        </row>
        <row r="185">
          <cell r="A185">
            <v>43353</v>
          </cell>
        </row>
        <row r="186">
          <cell r="A186">
            <v>43354</v>
          </cell>
        </row>
        <row r="187">
          <cell r="A187">
            <v>43355</v>
          </cell>
        </row>
        <row r="188">
          <cell r="A188">
            <v>43356</v>
          </cell>
        </row>
        <row r="189">
          <cell r="A189">
            <v>43357</v>
          </cell>
        </row>
        <row r="190">
          <cell r="A190">
            <v>43360</v>
          </cell>
        </row>
        <row r="191">
          <cell r="A191">
            <v>43361</v>
          </cell>
        </row>
        <row r="192">
          <cell r="A192">
            <v>43362</v>
          </cell>
        </row>
        <row r="193">
          <cell r="A193">
            <v>43363</v>
          </cell>
        </row>
        <row r="194">
          <cell r="A194">
            <v>43364</v>
          </cell>
        </row>
        <row r="195">
          <cell r="A195">
            <v>43367</v>
          </cell>
        </row>
        <row r="196">
          <cell r="A196">
            <v>43368</v>
          </cell>
        </row>
        <row r="197">
          <cell r="A197">
            <v>43369</v>
          </cell>
        </row>
        <row r="198">
          <cell r="A198">
            <v>43370</v>
          </cell>
        </row>
        <row r="199">
          <cell r="A199">
            <v>43371</v>
          </cell>
        </row>
        <row r="200">
          <cell r="A200">
            <v>43375</v>
          </cell>
        </row>
        <row r="201">
          <cell r="A201">
            <v>43376</v>
          </cell>
        </row>
        <row r="202">
          <cell r="A202">
            <v>43377</v>
          </cell>
        </row>
        <row r="203">
          <cell r="A203">
            <v>43378</v>
          </cell>
        </row>
        <row r="204">
          <cell r="A204">
            <v>43381</v>
          </cell>
        </row>
        <row r="205">
          <cell r="A205">
            <v>43382</v>
          </cell>
        </row>
        <row r="206">
          <cell r="A206">
            <v>43383</v>
          </cell>
        </row>
        <row r="207">
          <cell r="A207">
            <v>43384</v>
          </cell>
        </row>
        <row r="208">
          <cell r="A208">
            <v>43385</v>
          </cell>
        </row>
        <row r="209">
          <cell r="A209">
            <v>43388</v>
          </cell>
        </row>
        <row r="210">
          <cell r="A210">
            <v>43389</v>
          </cell>
        </row>
        <row r="211">
          <cell r="A211">
            <v>43390</v>
          </cell>
        </row>
        <row r="212">
          <cell r="A212">
            <v>43391</v>
          </cell>
        </row>
        <row r="213">
          <cell r="A213">
            <v>43392</v>
          </cell>
        </row>
        <row r="214">
          <cell r="A214">
            <v>43395</v>
          </cell>
        </row>
        <row r="215">
          <cell r="A215">
            <v>43396</v>
          </cell>
        </row>
        <row r="216">
          <cell r="A216">
            <v>43397</v>
          </cell>
        </row>
        <row r="217">
          <cell r="A217">
            <v>43398</v>
          </cell>
        </row>
        <row r="218">
          <cell r="A218">
            <v>43399</v>
          </cell>
        </row>
        <row r="219">
          <cell r="A219">
            <v>43402</v>
          </cell>
        </row>
        <row r="220">
          <cell r="A220">
            <v>43403</v>
          </cell>
        </row>
        <row r="221">
          <cell r="A221">
            <v>43404</v>
          </cell>
        </row>
        <row r="222">
          <cell r="A222">
            <v>43405</v>
          </cell>
        </row>
        <row r="223">
          <cell r="A223">
            <v>43406</v>
          </cell>
        </row>
        <row r="224">
          <cell r="A224">
            <v>43409</v>
          </cell>
        </row>
        <row r="225">
          <cell r="A225">
            <v>43410</v>
          </cell>
        </row>
        <row r="226">
          <cell r="A226">
            <v>43411</v>
          </cell>
        </row>
        <row r="227">
          <cell r="A227">
            <v>43412</v>
          </cell>
        </row>
        <row r="228">
          <cell r="A228">
            <v>43413</v>
          </cell>
        </row>
        <row r="229">
          <cell r="A229">
            <v>43416</v>
          </cell>
        </row>
        <row r="230">
          <cell r="A230">
            <v>43417</v>
          </cell>
        </row>
        <row r="231">
          <cell r="A231">
            <v>43418</v>
          </cell>
        </row>
        <row r="232">
          <cell r="A232">
            <v>43419</v>
          </cell>
        </row>
        <row r="233">
          <cell r="A233">
            <v>43420</v>
          </cell>
        </row>
        <row r="234">
          <cell r="A234">
            <v>43423</v>
          </cell>
        </row>
        <row r="235">
          <cell r="A235">
            <v>43424</v>
          </cell>
        </row>
        <row r="236">
          <cell r="A236">
            <v>43425</v>
          </cell>
        </row>
        <row r="237">
          <cell r="A237">
            <v>43426</v>
          </cell>
        </row>
        <row r="238">
          <cell r="A238">
            <v>43427</v>
          </cell>
        </row>
        <row r="239">
          <cell r="A239">
            <v>43430</v>
          </cell>
        </row>
        <row r="240">
          <cell r="A240">
            <v>43431</v>
          </cell>
        </row>
        <row r="241">
          <cell r="A241">
            <v>43432</v>
          </cell>
        </row>
        <row r="242">
          <cell r="A242">
            <v>43433</v>
          </cell>
        </row>
        <row r="243">
          <cell r="A243">
            <v>43434</v>
          </cell>
        </row>
        <row r="244">
          <cell r="A244">
            <v>43437</v>
          </cell>
        </row>
        <row r="245">
          <cell r="A245">
            <v>43438</v>
          </cell>
        </row>
        <row r="246">
          <cell r="A246">
            <v>43439</v>
          </cell>
        </row>
        <row r="247">
          <cell r="A247">
            <v>43440</v>
          </cell>
        </row>
        <row r="248">
          <cell r="A248">
            <v>43441</v>
          </cell>
        </row>
        <row r="249">
          <cell r="A249">
            <v>43444</v>
          </cell>
        </row>
        <row r="250">
          <cell r="A250">
            <v>43445</v>
          </cell>
        </row>
        <row r="251">
          <cell r="A251">
            <v>43446</v>
          </cell>
        </row>
        <row r="252">
          <cell r="A252">
            <v>43447</v>
          </cell>
        </row>
        <row r="253">
          <cell r="A253">
            <v>43448</v>
          </cell>
        </row>
        <row r="254">
          <cell r="A254">
            <v>43451</v>
          </cell>
        </row>
        <row r="255">
          <cell r="A255">
            <v>43452</v>
          </cell>
        </row>
        <row r="256">
          <cell r="A256">
            <v>43453</v>
          </cell>
        </row>
        <row r="257">
          <cell r="A257">
            <v>43454</v>
          </cell>
        </row>
        <row r="258">
          <cell r="A258">
            <v>43455</v>
          </cell>
        </row>
        <row r="259">
          <cell r="A259">
            <v>43458</v>
          </cell>
        </row>
        <row r="260">
          <cell r="A260">
            <v>43461</v>
          </cell>
        </row>
        <row r="261">
          <cell r="A261">
            <v>43462</v>
          </cell>
        </row>
        <row r="262">
          <cell r="A262">
            <v>43465</v>
          </cell>
        </row>
        <row r="263">
          <cell r="A263">
            <v>43467</v>
          </cell>
        </row>
        <row r="264">
          <cell r="A264">
            <v>43468</v>
          </cell>
        </row>
        <row r="265">
          <cell r="A265">
            <v>43469</v>
          </cell>
        </row>
        <row r="266">
          <cell r="A266">
            <v>43472</v>
          </cell>
        </row>
        <row r="267">
          <cell r="A267">
            <v>43473</v>
          </cell>
        </row>
        <row r="268">
          <cell r="A268">
            <v>43474</v>
          </cell>
        </row>
        <row r="269">
          <cell r="A269">
            <v>43475</v>
          </cell>
        </row>
        <row r="270">
          <cell r="A270">
            <v>43476</v>
          </cell>
        </row>
        <row r="271">
          <cell r="A271">
            <v>43479</v>
          </cell>
        </row>
        <row r="272">
          <cell r="A272">
            <v>43480</v>
          </cell>
        </row>
        <row r="273">
          <cell r="A273">
            <v>43481</v>
          </cell>
        </row>
        <row r="274">
          <cell r="A274">
            <v>43482</v>
          </cell>
        </row>
        <row r="275">
          <cell r="A275">
            <v>43483</v>
          </cell>
        </row>
        <row r="276">
          <cell r="A276">
            <v>43486</v>
          </cell>
        </row>
        <row r="277">
          <cell r="A277">
            <v>43487</v>
          </cell>
        </row>
        <row r="278">
          <cell r="A278">
            <v>43488</v>
          </cell>
        </row>
        <row r="279">
          <cell r="A279">
            <v>43489</v>
          </cell>
        </row>
        <row r="280">
          <cell r="A280">
            <v>43490</v>
          </cell>
        </row>
        <row r="281">
          <cell r="A281">
            <v>43494</v>
          </cell>
        </row>
        <row r="282">
          <cell r="A282">
            <v>43495</v>
          </cell>
        </row>
        <row r="283">
          <cell r="A283">
            <v>43496</v>
          </cell>
        </row>
        <row r="284">
          <cell r="A284">
            <v>43497</v>
          </cell>
        </row>
        <row r="285">
          <cell r="A285">
            <v>43500</v>
          </cell>
        </row>
        <row r="286">
          <cell r="A286">
            <v>43501</v>
          </cell>
        </row>
        <row r="287">
          <cell r="A287">
            <v>43502</v>
          </cell>
        </row>
        <row r="288">
          <cell r="A288">
            <v>43503</v>
          </cell>
        </row>
        <row r="289">
          <cell r="A289">
            <v>43504</v>
          </cell>
        </row>
        <row r="290">
          <cell r="A290">
            <v>43507</v>
          </cell>
        </row>
        <row r="291">
          <cell r="A291">
            <v>43508</v>
          </cell>
        </row>
        <row r="292">
          <cell r="A292">
            <v>43509</v>
          </cell>
        </row>
        <row r="293">
          <cell r="A293">
            <v>43510</v>
          </cell>
        </row>
        <row r="294">
          <cell r="A294">
            <v>43511</v>
          </cell>
        </row>
        <row r="295">
          <cell r="A295">
            <v>43514</v>
          </cell>
        </row>
        <row r="296">
          <cell r="A296">
            <v>43515</v>
          </cell>
        </row>
        <row r="297">
          <cell r="A297">
            <v>43516</v>
          </cell>
        </row>
        <row r="298">
          <cell r="A298">
            <v>43517</v>
          </cell>
        </row>
        <row r="299">
          <cell r="A299">
            <v>43518</v>
          </cell>
        </row>
        <row r="300">
          <cell r="A300">
            <v>43521</v>
          </cell>
        </row>
        <row r="301">
          <cell r="A301">
            <v>43522</v>
          </cell>
        </row>
        <row r="302">
          <cell r="A302">
            <v>43523</v>
          </cell>
        </row>
        <row r="303">
          <cell r="A303">
            <v>43524</v>
          </cell>
        </row>
        <row r="304">
          <cell r="A304">
            <v>43525</v>
          </cell>
        </row>
        <row r="305">
          <cell r="A305">
            <v>43528</v>
          </cell>
        </row>
        <row r="306">
          <cell r="A306">
            <v>43529</v>
          </cell>
        </row>
        <row r="307">
          <cell r="A307">
            <v>43530</v>
          </cell>
        </row>
        <row r="308">
          <cell r="A308">
            <v>43531</v>
          </cell>
        </row>
        <row r="309">
          <cell r="A309">
            <v>43532</v>
          </cell>
        </row>
        <row r="310">
          <cell r="A310">
            <v>43535</v>
          </cell>
        </row>
        <row r="311">
          <cell r="A311">
            <v>43536</v>
          </cell>
        </row>
        <row r="312">
          <cell r="A312">
            <v>43537</v>
          </cell>
        </row>
        <row r="313">
          <cell r="A313">
            <v>43538</v>
          </cell>
        </row>
        <row r="314">
          <cell r="A314">
            <v>43539</v>
          </cell>
        </row>
        <row r="315">
          <cell r="A315">
            <v>43542</v>
          </cell>
        </row>
        <row r="316">
          <cell r="A316">
            <v>43543</v>
          </cell>
        </row>
        <row r="317">
          <cell r="A317">
            <v>43544</v>
          </cell>
        </row>
        <row r="318">
          <cell r="A318">
            <v>43545</v>
          </cell>
        </row>
        <row r="319">
          <cell r="A319">
            <v>43546</v>
          </cell>
        </row>
        <row r="320">
          <cell r="A320">
            <v>43549</v>
          </cell>
        </row>
        <row r="321">
          <cell r="A321">
            <v>43550</v>
          </cell>
        </row>
        <row r="322">
          <cell r="A322">
            <v>43551</v>
          </cell>
        </row>
        <row r="323">
          <cell r="A323">
            <v>43552</v>
          </cell>
        </row>
        <row r="324">
          <cell r="A324">
            <v>43553</v>
          </cell>
        </row>
        <row r="325">
          <cell r="A325">
            <v>43556</v>
          </cell>
        </row>
        <row r="326">
          <cell r="A326">
            <v>43557</v>
          </cell>
        </row>
        <row r="327">
          <cell r="A327">
            <v>43558</v>
          </cell>
        </row>
        <row r="328">
          <cell r="A328">
            <v>43559</v>
          </cell>
        </row>
        <row r="329">
          <cell r="A329">
            <v>43560</v>
          </cell>
        </row>
        <row r="330">
          <cell r="A330">
            <v>43563</v>
          </cell>
        </row>
        <row r="331">
          <cell r="A331">
            <v>43564</v>
          </cell>
        </row>
        <row r="332">
          <cell r="A332">
            <v>43565</v>
          </cell>
        </row>
        <row r="333">
          <cell r="A333">
            <v>43566</v>
          </cell>
        </row>
        <row r="334">
          <cell r="A334">
            <v>43567</v>
          </cell>
        </row>
        <row r="335">
          <cell r="A335">
            <v>43570</v>
          </cell>
        </row>
        <row r="336">
          <cell r="A336">
            <v>43571</v>
          </cell>
        </row>
        <row r="337">
          <cell r="A337">
            <v>43572</v>
          </cell>
        </row>
        <row r="338">
          <cell r="A338">
            <v>43573</v>
          </cell>
        </row>
        <row r="339">
          <cell r="A339">
            <v>43578</v>
          </cell>
        </row>
        <row r="340">
          <cell r="A340">
            <v>43579</v>
          </cell>
        </row>
        <row r="341">
          <cell r="A341">
            <v>43581</v>
          </cell>
        </row>
        <row r="342">
          <cell r="A342">
            <v>43584</v>
          </cell>
        </row>
        <row r="343">
          <cell r="A343">
            <v>43585</v>
          </cell>
        </row>
        <row r="344">
          <cell r="A344">
            <v>43586</v>
          </cell>
        </row>
        <row r="345">
          <cell r="A345">
            <v>43587</v>
          </cell>
        </row>
        <row r="346">
          <cell r="A346">
            <v>43588</v>
          </cell>
        </row>
        <row r="347">
          <cell r="A347">
            <v>43591</v>
          </cell>
        </row>
        <row r="348">
          <cell r="A348">
            <v>43592</v>
          </cell>
        </row>
        <row r="349">
          <cell r="A349">
            <v>43593</v>
          </cell>
        </row>
        <row r="350">
          <cell r="A350">
            <v>43594</v>
          </cell>
        </row>
        <row r="351">
          <cell r="A351">
            <v>43595</v>
          </cell>
        </row>
        <row r="352">
          <cell r="A352">
            <v>43598</v>
          </cell>
        </row>
        <row r="353">
          <cell r="A353">
            <v>43599</v>
          </cell>
        </row>
        <row r="354">
          <cell r="A354">
            <v>43600</v>
          </cell>
        </row>
        <row r="355">
          <cell r="A355">
            <v>43601</v>
          </cell>
        </row>
        <row r="356">
          <cell r="A356">
            <v>43602</v>
          </cell>
        </row>
        <row r="357">
          <cell r="A357">
            <v>43605</v>
          </cell>
        </row>
        <row r="358">
          <cell r="A358">
            <v>43606</v>
          </cell>
        </row>
        <row r="359">
          <cell r="A359">
            <v>43607</v>
          </cell>
        </row>
        <row r="360">
          <cell r="A360">
            <v>43608</v>
          </cell>
        </row>
        <row r="361">
          <cell r="A361">
            <v>43609</v>
          </cell>
        </row>
        <row r="362">
          <cell r="A362">
            <v>43612</v>
          </cell>
        </row>
        <row r="363">
          <cell r="A363">
            <v>43613</v>
          </cell>
        </row>
        <row r="364">
          <cell r="A364">
            <v>43614</v>
          </cell>
        </row>
        <row r="365">
          <cell r="A365">
            <v>43615</v>
          </cell>
        </row>
        <row r="366">
          <cell r="A366">
            <v>43616</v>
          </cell>
        </row>
        <row r="367">
          <cell r="A367">
            <v>43619</v>
          </cell>
        </row>
        <row r="368">
          <cell r="A368">
            <v>43620</v>
          </cell>
        </row>
        <row r="369">
          <cell r="A369">
            <v>43621</v>
          </cell>
        </row>
        <row r="370">
          <cell r="A370">
            <v>43622</v>
          </cell>
        </row>
        <row r="371">
          <cell r="A371">
            <v>43623</v>
          </cell>
        </row>
        <row r="372">
          <cell r="A372">
            <v>43627</v>
          </cell>
        </row>
        <row r="373">
          <cell r="A373">
            <v>43628</v>
          </cell>
        </row>
        <row r="374">
          <cell r="A374">
            <v>43629</v>
          </cell>
        </row>
        <row r="375">
          <cell r="A375">
            <v>43630</v>
          </cell>
        </row>
        <row r="376">
          <cell r="A376">
            <v>43633</v>
          </cell>
        </row>
        <row r="377">
          <cell r="A377">
            <v>43634</v>
          </cell>
        </row>
        <row r="378">
          <cell r="A378">
            <v>43635</v>
          </cell>
        </row>
        <row r="379">
          <cell r="A379">
            <v>43636</v>
          </cell>
        </row>
        <row r="380">
          <cell r="A380">
            <v>43637</v>
          </cell>
        </row>
        <row r="381">
          <cell r="A381">
            <v>43640</v>
          </cell>
        </row>
        <row r="382">
          <cell r="A382">
            <v>43641</v>
          </cell>
        </row>
        <row r="383">
          <cell r="A383">
            <v>43642</v>
          </cell>
        </row>
        <row r="384">
          <cell r="A384">
            <v>43643</v>
          </cell>
        </row>
        <row r="385">
          <cell r="A385">
            <v>43644</v>
          </cell>
        </row>
        <row r="386">
          <cell r="A386">
            <v>43647</v>
          </cell>
        </row>
        <row r="387">
          <cell r="A387">
            <v>43648</v>
          </cell>
        </row>
        <row r="388">
          <cell r="A388">
            <v>43649</v>
          </cell>
        </row>
        <row r="389">
          <cell r="A389">
            <v>43650</v>
          </cell>
        </row>
        <row r="390">
          <cell r="A390">
            <v>43651</v>
          </cell>
        </row>
        <row r="391">
          <cell r="A391">
            <v>43654</v>
          </cell>
        </row>
        <row r="392">
          <cell r="A392">
            <v>43655</v>
          </cell>
        </row>
        <row r="393">
          <cell r="A393">
            <v>43656</v>
          </cell>
        </row>
        <row r="394">
          <cell r="A394">
            <v>43657</v>
          </cell>
        </row>
        <row r="395">
          <cell r="A395">
            <v>43658</v>
          </cell>
        </row>
        <row r="396">
          <cell r="A396">
            <v>43661</v>
          </cell>
        </row>
        <row r="397">
          <cell r="A397">
            <v>43662</v>
          </cell>
        </row>
        <row r="398">
          <cell r="A398">
            <v>43663</v>
          </cell>
        </row>
        <row r="399">
          <cell r="A399">
            <v>43664</v>
          </cell>
        </row>
        <row r="400">
          <cell r="A400">
            <v>43665</v>
          </cell>
        </row>
        <row r="401">
          <cell r="A401">
            <v>43668</v>
          </cell>
        </row>
        <row r="402">
          <cell r="A402">
            <v>43669</v>
          </cell>
        </row>
        <row r="403">
          <cell r="A403">
            <v>43670</v>
          </cell>
        </row>
        <row r="404">
          <cell r="A404">
            <v>43671</v>
          </cell>
        </row>
        <row r="405">
          <cell r="A405">
            <v>43672</v>
          </cell>
        </row>
        <row r="406">
          <cell r="A406">
            <v>43675</v>
          </cell>
        </row>
        <row r="407">
          <cell r="A407">
            <v>43676</v>
          </cell>
        </row>
        <row r="408">
          <cell r="A408">
            <v>43677</v>
          </cell>
        </row>
        <row r="409">
          <cell r="A409">
            <v>43678</v>
          </cell>
        </row>
        <row r="410">
          <cell r="A410">
            <v>43679</v>
          </cell>
        </row>
        <row r="411">
          <cell r="A411">
            <v>43683</v>
          </cell>
        </row>
        <row r="412">
          <cell r="A412">
            <v>43684</v>
          </cell>
        </row>
        <row r="413">
          <cell r="A413">
            <v>43685</v>
          </cell>
        </row>
        <row r="414">
          <cell r="A414">
            <v>43686</v>
          </cell>
        </row>
        <row r="415">
          <cell r="A415">
            <v>43689</v>
          </cell>
        </row>
        <row r="416">
          <cell r="A416">
            <v>43690</v>
          </cell>
        </row>
        <row r="417">
          <cell r="A417">
            <v>43691</v>
          </cell>
        </row>
        <row r="418">
          <cell r="A418">
            <v>43692</v>
          </cell>
        </row>
        <row r="419">
          <cell r="A419">
            <v>43693</v>
          </cell>
        </row>
        <row r="420">
          <cell r="A420">
            <v>43696</v>
          </cell>
        </row>
        <row r="421">
          <cell r="A421">
            <v>43697</v>
          </cell>
        </row>
        <row r="422">
          <cell r="A422">
            <v>43698</v>
          </cell>
        </row>
        <row r="423">
          <cell r="A423">
            <v>43699</v>
          </cell>
        </row>
        <row r="424">
          <cell r="A424">
            <v>43700</v>
          </cell>
        </row>
        <row r="425">
          <cell r="A425">
            <v>43703</v>
          </cell>
        </row>
        <row r="426">
          <cell r="A426">
            <v>43704</v>
          </cell>
        </row>
        <row r="427">
          <cell r="A427">
            <v>43705</v>
          </cell>
        </row>
        <row r="428">
          <cell r="A428">
            <v>43706</v>
          </cell>
        </row>
        <row r="429">
          <cell r="A429">
            <v>43707</v>
          </cell>
        </row>
        <row r="430">
          <cell r="A430">
            <v>43710</v>
          </cell>
        </row>
        <row r="431">
          <cell r="A431">
            <v>43711</v>
          </cell>
        </row>
        <row r="432">
          <cell r="A432">
            <v>43712</v>
          </cell>
        </row>
        <row r="433">
          <cell r="A433">
            <v>43713</v>
          </cell>
        </row>
        <row r="434">
          <cell r="A434">
            <v>43714</v>
          </cell>
        </row>
        <row r="435">
          <cell r="A435">
            <v>43717</v>
          </cell>
        </row>
        <row r="436">
          <cell r="A436">
            <v>43718</v>
          </cell>
        </row>
        <row r="437">
          <cell r="A437">
            <v>43719</v>
          </cell>
        </row>
        <row r="438">
          <cell r="A438">
            <v>43720</v>
          </cell>
        </row>
        <row r="439">
          <cell r="A439">
            <v>43721</v>
          </cell>
        </row>
        <row r="440">
          <cell r="A440">
            <v>43724</v>
          </cell>
        </row>
        <row r="441">
          <cell r="A441">
            <v>43725</v>
          </cell>
        </row>
        <row r="442">
          <cell r="A442">
            <v>43726</v>
          </cell>
        </row>
        <row r="443">
          <cell r="A443">
            <v>43727</v>
          </cell>
        </row>
        <row r="444">
          <cell r="A444">
            <v>43728</v>
          </cell>
        </row>
        <row r="445">
          <cell r="A445">
            <v>43731</v>
          </cell>
        </row>
        <row r="446">
          <cell r="A446">
            <v>43732</v>
          </cell>
        </row>
        <row r="447">
          <cell r="A447">
            <v>43733</v>
          </cell>
        </row>
        <row r="448">
          <cell r="A448">
            <v>43734</v>
          </cell>
        </row>
        <row r="449">
          <cell r="A449">
            <v>43735</v>
          </cell>
        </row>
        <row r="450">
          <cell r="A450">
            <v>43738</v>
          </cell>
        </row>
        <row r="451">
          <cell r="A451">
            <v>43739</v>
          </cell>
        </row>
        <row r="452">
          <cell r="A452">
            <v>43740</v>
          </cell>
        </row>
        <row r="453">
          <cell r="A453">
            <v>43741</v>
          </cell>
        </row>
        <row r="454">
          <cell r="A454">
            <v>43742</v>
          </cell>
        </row>
        <row r="455">
          <cell r="A455">
            <v>43746</v>
          </cell>
        </row>
        <row r="456">
          <cell r="A456">
            <v>43747</v>
          </cell>
        </row>
        <row r="457">
          <cell r="A457">
            <v>43748</v>
          </cell>
        </row>
        <row r="458">
          <cell r="A458">
            <v>43749</v>
          </cell>
        </row>
        <row r="459">
          <cell r="A459">
            <v>43752</v>
          </cell>
        </row>
        <row r="460">
          <cell r="A460">
            <v>43753</v>
          </cell>
        </row>
        <row r="461">
          <cell r="A461">
            <v>43754</v>
          </cell>
        </row>
        <row r="462">
          <cell r="A462">
            <v>43755</v>
          </cell>
        </row>
        <row r="463">
          <cell r="A463">
            <v>43756</v>
          </cell>
        </row>
        <row r="464">
          <cell r="A464">
            <v>43759</v>
          </cell>
        </row>
        <row r="465">
          <cell r="A465">
            <v>43760</v>
          </cell>
        </row>
        <row r="466">
          <cell r="A466">
            <v>43761</v>
          </cell>
        </row>
        <row r="467">
          <cell r="A467">
            <v>43762</v>
          </cell>
        </row>
        <row r="468">
          <cell r="A468">
            <v>43763</v>
          </cell>
        </row>
        <row r="469">
          <cell r="A469">
            <v>43766</v>
          </cell>
        </row>
        <row r="470">
          <cell r="A470">
            <v>43767</v>
          </cell>
        </row>
        <row r="471">
          <cell r="A471">
            <v>43768</v>
          </cell>
        </row>
        <row r="472">
          <cell r="A472">
            <v>43769</v>
          </cell>
        </row>
        <row r="473">
          <cell r="A473">
            <v>43770</v>
          </cell>
        </row>
        <row r="474">
          <cell r="A474">
            <v>43773</v>
          </cell>
        </row>
        <row r="475">
          <cell r="A475">
            <v>43774</v>
          </cell>
        </row>
        <row r="476">
          <cell r="A476">
            <v>43775</v>
          </cell>
        </row>
        <row r="477">
          <cell r="A477">
            <v>43776</v>
          </cell>
        </row>
        <row r="478">
          <cell r="A478">
            <v>43777</v>
          </cell>
        </row>
        <row r="479">
          <cell r="A479">
            <v>43780</v>
          </cell>
        </row>
        <row r="480">
          <cell r="A480">
            <v>43781</v>
          </cell>
        </row>
        <row r="481">
          <cell r="A481">
            <v>43782</v>
          </cell>
        </row>
        <row r="482">
          <cell r="A482">
            <v>43783</v>
          </cell>
        </row>
        <row r="483">
          <cell r="A483">
            <v>43784</v>
          </cell>
        </row>
        <row r="484">
          <cell r="A484">
            <v>43787</v>
          </cell>
        </row>
        <row r="485">
          <cell r="A485">
            <v>43788</v>
          </cell>
        </row>
        <row r="486">
          <cell r="A486">
            <v>43789</v>
          </cell>
        </row>
        <row r="487">
          <cell r="A487">
            <v>43790</v>
          </cell>
        </row>
        <row r="488">
          <cell r="A488">
            <v>43791</v>
          </cell>
        </row>
        <row r="489">
          <cell r="A489">
            <v>43794</v>
          </cell>
        </row>
        <row r="490">
          <cell r="A490">
            <v>43795</v>
          </cell>
        </row>
        <row r="491">
          <cell r="A491">
            <v>43796</v>
          </cell>
        </row>
        <row r="492">
          <cell r="A492">
            <v>43797</v>
          </cell>
        </row>
        <row r="493">
          <cell r="A493">
            <v>43798</v>
          </cell>
        </row>
        <row r="494">
          <cell r="A494">
            <v>43801</v>
          </cell>
        </row>
        <row r="495">
          <cell r="A495">
            <v>43802</v>
          </cell>
        </row>
        <row r="496">
          <cell r="A496">
            <v>43803</v>
          </cell>
        </row>
        <row r="497">
          <cell r="A497">
            <v>43804</v>
          </cell>
        </row>
        <row r="498">
          <cell r="A498">
            <v>43805</v>
          </cell>
        </row>
        <row r="499">
          <cell r="A499">
            <v>43808</v>
          </cell>
        </row>
        <row r="500">
          <cell r="A500">
            <v>43809</v>
          </cell>
        </row>
        <row r="501">
          <cell r="A501">
            <v>43810</v>
          </cell>
        </row>
        <row r="502">
          <cell r="A502">
            <v>43811</v>
          </cell>
        </row>
        <row r="503">
          <cell r="A503">
            <v>43812</v>
          </cell>
        </row>
        <row r="504">
          <cell r="A504">
            <v>43815</v>
          </cell>
        </row>
        <row r="505">
          <cell r="A505">
            <v>43816</v>
          </cell>
        </row>
        <row r="506">
          <cell r="A506">
            <v>43817</v>
          </cell>
        </row>
        <row r="507">
          <cell r="A507">
            <v>43818</v>
          </cell>
        </row>
        <row r="508">
          <cell r="A508">
            <v>43819</v>
          </cell>
        </row>
        <row r="509">
          <cell r="A509">
            <v>43822</v>
          </cell>
        </row>
        <row r="510">
          <cell r="A510">
            <v>43823</v>
          </cell>
        </row>
        <row r="511">
          <cell r="A511">
            <v>43826</v>
          </cell>
        </row>
        <row r="512">
          <cell r="A512">
            <v>43829</v>
          </cell>
        </row>
        <row r="513">
          <cell r="A513">
            <v>43830</v>
          </cell>
        </row>
        <row r="514">
          <cell r="A514">
            <v>43832</v>
          </cell>
        </row>
        <row r="515">
          <cell r="A515">
            <v>43833</v>
          </cell>
        </row>
        <row r="516">
          <cell r="A516">
            <v>43836</v>
          </cell>
        </row>
        <row r="517">
          <cell r="A517">
            <v>43837</v>
          </cell>
        </row>
        <row r="518">
          <cell r="A518">
            <v>43838</v>
          </cell>
        </row>
        <row r="519">
          <cell r="A519">
            <v>43839</v>
          </cell>
        </row>
        <row r="520">
          <cell r="A520">
            <v>43840</v>
          </cell>
        </row>
        <row r="521">
          <cell r="A521">
            <v>43843</v>
          </cell>
        </row>
        <row r="522">
          <cell r="A522">
            <v>43844</v>
          </cell>
        </row>
        <row r="523">
          <cell r="A523">
            <v>43845</v>
          </cell>
        </row>
        <row r="524">
          <cell r="A524">
            <v>43846</v>
          </cell>
        </row>
        <row r="525">
          <cell r="A525">
            <v>43847</v>
          </cell>
        </row>
        <row r="526">
          <cell r="A526">
            <v>43850</v>
          </cell>
        </row>
        <row r="527">
          <cell r="A527">
            <v>43851</v>
          </cell>
        </row>
        <row r="528">
          <cell r="A528">
            <v>43852</v>
          </cell>
        </row>
        <row r="529">
          <cell r="A529">
            <v>43853</v>
          </cell>
        </row>
        <row r="530">
          <cell r="A530">
            <v>43854</v>
          </cell>
        </row>
        <row r="531">
          <cell r="A531">
            <v>43858</v>
          </cell>
        </row>
        <row r="532">
          <cell r="A532">
            <v>43859</v>
          </cell>
        </row>
        <row r="533">
          <cell r="A533">
            <v>43860</v>
          </cell>
        </row>
        <row r="534">
          <cell r="A534">
            <v>43861</v>
          </cell>
        </row>
        <row r="535">
          <cell r="A535">
            <v>43864</v>
          </cell>
        </row>
        <row r="536">
          <cell r="A536">
            <v>43865</v>
          </cell>
        </row>
        <row r="537">
          <cell r="A537">
            <v>43866</v>
          </cell>
        </row>
        <row r="538">
          <cell r="A538">
            <v>43867</v>
          </cell>
        </row>
        <row r="539">
          <cell r="A539">
            <v>43868</v>
          </cell>
        </row>
        <row r="540">
          <cell r="A540">
            <v>43871</v>
          </cell>
        </row>
        <row r="541">
          <cell r="A541">
            <v>43872</v>
          </cell>
        </row>
        <row r="542">
          <cell r="A542">
            <v>43873</v>
          </cell>
        </row>
        <row r="543">
          <cell r="A543">
            <v>43874</v>
          </cell>
        </row>
        <row r="544">
          <cell r="A544">
            <v>43875</v>
          </cell>
        </row>
        <row r="545">
          <cell r="A545">
            <v>43878</v>
          </cell>
        </row>
        <row r="546">
          <cell r="A546">
            <v>43879</v>
          </cell>
        </row>
        <row r="547">
          <cell r="A547">
            <v>43880</v>
          </cell>
        </row>
        <row r="548">
          <cell r="A548">
            <v>43881</v>
          </cell>
        </row>
        <row r="549">
          <cell r="A549">
            <v>43882</v>
          </cell>
        </row>
        <row r="550">
          <cell r="A550">
            <v>43885</v>
          </cell>
        </row>
        <row r="551">
          <cell r="A551">
            <v>43886</v>
          </cell>
        </row>
        <row r="552">
          <cell r="A552">
            <v>43887</v>
          </cell>
        </row>
        <row r="553">
          <cell r="A553">
            <v>43888</v>
          </cell>
        </row>
        <row r="554">
          <cell r="A554">
            <v>43889</v>
          </cell>
        </row>
        <row r="555">
          <cell r="A555">
            <v>43892</v>
          </cell>
        </row>
        <row r="556">
          <cell r="A556">
            <v>43893</v>
          </cell>
        </row>
        <row r="557">
          <cell r="A557">
            <v>43894</v>
          </cell>
        </row>
        <row r="558">
          <cell r="A558">
            <v>43895</v>
          </cell>
        </row>
        <row r="559">
          <cell r="A559">
            <v>43896</v>
          </cell>
        </row>
        <row r="560">
          <cell r="A560">
            <v>43899</v>
          </cell>
        </row>
        <row r="561">
          <cell r="A561">
            <v>43900</v>
          </cell>
        </row>
        <row r="562">
          <cell r="A562">
            <v>43901</v>
          </cell>
        </row>
        <row r="563">
          <cell r="A563">
            <v>43902</v>
          </cell>
        </row>
        <row r="564">
          <cell r="A564">
            <v>43903</v>
          </cell>
        </row>
        <row r="565">
          <cell r="A565">
            <v>43906</v>
          </cell>
        </row>
        <row r="566">
          <cell r="A566">
            <v>43907</v>
          </cell>
        </row>
        <row r="567">
          <cell r="A567">
            <v>43908</v>
          </cell>
        </row>
        <row r="568">
          <cell r="A568">
            <v>43909</v>
          </cell>
        </row>
        <row r="569">
          <cell r="A569">
            <v>43910</v>
          </cell>
        </row>
        <row r="570">
          <cell r="A570">
            <v>43913</v>
          </cell>
        </row>
        <row r="571">
          <cell r="A571">
            <v>43914</v>
          </cell>
        </row>
        <row r="572">
          <cell r="A572">
            <v>43915</v>
          </cell>
        </row>
        <row r="573">
          <cell r="A573">
            <v>43916</v>
          </cell>
        </row>
        <row r="574">
          <cell r="A574">
            <v>43917</v>
          </cell>
        </row>
        <row r="575">
          <cell r="A575">
            <v>43920</v>
          </cell>
        </row>
        <row r="576">
          <cell r="A576">
            <v>43921</v>
          </cell>
        </row>
        <row r="577">
          <cell r="A577">
            <v>43922</v>
          </cell>
        </row>
        <row r="578">
          <cell r="A578">
            <v>43923</v>
          </cell>
        </row>
        <row r="579">
          <cell r="A579">
            <v>43924</v>
          </cell>
        </row>
        <row r="580">
          <cell r="A580">
            <v>43927</v>
          </cell>
        </row>
        <row r="581">
          <cell r="A581">
            <v>43928</v>
          </cell>
        </row>
        <row r="582">
          <cell r="A582">
            <v>43929</v>
          </cell>
        </row>
        <row r="583">
          <cell r="A583">
            <v>43930</v>
          </cell>
        </row>
        <row r="584">
          <cell r="A584">
            <v>43935</v>
          </cell>
        </row>
        <row r="585">
          <cell r="A585">
            <v>43936</v>
          </cell>
        </row>
        <row r="586">
          <cell r="A586">
            <v>43937</v>
          </cell>
        </row>
        <row r="587">
          <cell r="A587">
            <v>43938</v>
          </cell>
        </row>
        <row r="588">
          <cell r="A588">
            <v>43941</v>
          </cell>
        </row>
        <row r="589">
          <cell r="A589">
            <v>43942</v>
          </cell>
        </row>
        <row r="590">
          <cell r="A590">
            <v>43943</v>
          </cell>
        </row>
        <row r="591">
          <cell r="A591">
            <v>43944</v>
          </cell>
        </row>
        <row r="592">
          <cell r="A592">
            <v>43945</v>
          </cell>
        </row>
        <row r="593">
          <cell r="A593">
            <v>43948</v>
          </cell>
        </row>
        <row r="594">
          <cell r="A594">
            <v>43949</v>
          </cell>
        </row>
        <row r="595">
          <cell r="A595">
            <v>43950</v>
          </cell>
        </row>
        <row r="596">
          <cell r="A596">
            <v>43951</v>
          </cell>
        </row>
        <row r="597">
          <cell r="A597">
            <v>43952</v>
          </cell>
        </row>
        <row r="598">
          <cell r="A598">
            <v>43955</v>
          </cell>
        </row>
        <row r="599">
          <cell r="A599">
            <v>43956</v>
          </cell>
        </row>
        <row r="600">
          <cell r="A600">
            <v>43957</v>
          </cell>
        </row>
        <row r="601">
          <cell r="A601">
            <v>43958</v>
          </cell>
        </row>
        <row r="602">
          <cell r="A602">
            <v>43959</v>
          </cell>
        </row>
        <row r="603">
          <cell r="A603">
            <v>43962</v>
          </cell>
        </row>
        <row r="604">
          <cell r="A604">
            <v>43963</v>
          </cell>
        </row>
        <row r="605">
          <cell r="A605">
            <v>43964</v>
          </cell>
        </row>
        <row r="606">
          <cell r="A606">
            <v>43965</v>
          </cell>
        </row>
        <row r="607">
          <cell r="A607">
            <v>43966</v>
          </cell>
        </row>
        <row r="608">
          <cell r="A608">
            <v>43969</v>
          </cell>
        </row>
        <row r="609">
          <cell r="A609">
            <v>43970</v>
          </cell>
        </row>
        <row r="610">
          <cell r="A610">
            <v>43971</v>
          </cell>
        </row>
        <row r="611">
          <cell r="A611">
            <v>43972</v>
          </cell>
        </row>
        <row r="612">
          <cell r="A612">
            <v>43973</v>
          </cell>
        </row>
        <row r="613">
          <cell r="A613">
            <v>43976</v>
          </cell>
        </row>
        <row r="614">
          <cell r="A614">
            <v>43977</v>
          </cell>
        </row>
        <row r="615">
          <cell r="A615">
            <v>43978</v>
          </cell>
        </row>
        <row r="616">
          <cell r="A616">
            <v>43979</v>
          </cell>
        </row>
        <row r="617">
          <cell r="A617">
            <v>43980</v>
          </cell>
        </row>
        <row r="618">
          <cell r="A618">
            <v>43983</v>
          </cell>
        </row>
        <row r="619">
          <cell r="A619">
            <v>43984</v>
          </cell>
        </row>
        <row r="620">
          <cell r="A620">
            <v>43985</v>
          </cell>
        </row>
        <row r="621">
          <cell r="A621">
            <v>43986</v>
          </cell>
        </row>
        <row r="622">
          <cell r="A622">
            <v>43987</v>
          </cell>
        </row>
        <row r="623">
          <cell r="A623">
            <v>43991</v>
          </cell>
        </row>
        <row r="624">
          <cell r="A624">
            <v>43992</v>
          </cell>
        </row>
        <row r="625">
          <cell r="A625">
            <v>43993</v>
          </cell>
        </row>
        <row r="626">
          <cell r="A626">
            <v>43994</v>
          </cell>
        </row>
        <row r="627">
          <cell r="A627">
            <v>43997</v>
          </cell>
        </row>
        <row r="628">
          <cell r="A628">
            <v>43998</v>
          </cell>
        </row>
        <row r="629">
          <cell r="A629">
            <v>43999</v>
          </cell>
        </row>
        <row r="630">
          <cell r="A630">
            <v>44000</v>
          </cell>
        </row>
        <row r="631">
          <cell r="A631">
            <v>44001</v>
          </cell>
        </row>
        <row r="632">
          <cell r="A632">
            <v>44004</v>
          </cell>
        </row>
        <row r="633">
          <cell r="A633">
            <v>44005</v>
          </cell>
        </row>
        <row r="634">
          <cell r="A634">
            <v>44006</v>
          </cell>
        </row>
        <row r="635">
          <cell r="A635">
            <v>44007</v>
          </cell>
        </row>
        <row r="636">
          <cell r="A636">
            <v>44008</v>
          </cell>
        </row>
        <row r="637">
          <cell r="A637">
            <v>44011</v>
          </cell>
        </row>
        <row r="638">
          <cell r="A638">
            <v>44012</v>
          </cell>
        </row>
        <row r="639">
          <cell r="A639">
            <v>44013</v>
          </cell>
        </row>
        <row r="640">
          <cell r="A640">
            <v>44014</v>
          </cell>
        </row>
        <row r="641">
          <cell r="A641">
            <v>44015</v>
          </cell>
        </row>
        <row r="642">
          <cell r="A642">
            <v>44018</v>
          </cell>
        </row>
        <row r="643">
          <cell r="A643">
            <v>44019</v>
          </cell>
        </row>
        <row r="644">
          <cell r="A644">
            <v>44020</v>
          </cell>
        </row>
        <row r="645">
          <cell r="A645">
            <v>44021</v>
          </cell>
        </row>
        <row r="646">
          <cell r="A646">
            <v>44022</v>
          </cell>
        </row>
        <row r="647">
          <cell r="A647">
            <v>44025</v>
          </cell>
        </row>
        <row r="648">
          <cell r="A648">
            <v>44026</v>
          </cell>
        </row>
        <row r="649">
          <cell r="A649">
            <v>44027</v>
          </cell>
        </row>
        <row r="650">
          <cell r="A650">
            <v>44028</v>
          </cell>
        </row>
        <row r="651">
          <cell r="A651">
            <v>44029</v>
          </cell>
        </row>
        <row r="652">
          <cell r="A652">
            <v>44032</v>
          </cell>
        </row>
        <row r="653">
          <cell r="A653">
            <v>44033</v>
          </cell>
        </row>
        <row r="654">
          <cell r="A654">
            <v>44034</v>
          </cell>
        </row>
        <row r="655">
          <cell r="A655">
            <v>44035</v>
          </cell>
        </row>
        <row r="656">
          <cell r="A656">
            <v>44036</v>
          </cell>
        </row>
        <row r="657">
          <cell r="A657">
            <v>44039</v>
          </cell>
        </row>
        <row r="658">
          <cell r="A658">
            <v>44040</v>
          </cell>
        </row>
        <row r="659">
          <cell r="A659">
            <v>44041</v>
          </cell>
        </row>
        <row r="660">
          <cell r="A660">
            <v>44042</v>
          </cell>
        </row>
        <row r="661">
          <cell r="A661">
            <v>44043</v>
          </cell>
        </row>
        <row r="662">
          <cell r="A662">
            <v>44047</v>
          </cell>
        </row>
        <row r="663">
          <cell r="A663">
            <v>44048</v>
          </cell>
        </row>
        <row r="664">
          <cell r="A664">
            <v>44049</v>
          </cell>
        </row>
        <row r="665">
          <cell r="A665">
            <v>44050</v>
          </cell>
        </row>
        <row r="666">
          <cell r="A666">
            <v>44053</v>
          </cell>
        </row>
        <row r="667">
          <cell r="A667">
            <v>44054</v>
          </cell>
        </row>
        <row r="668">
          <cell r="A668">
            <v>44055</v>
          </cell>
        </row>
        <row r="669">
          <cell r="A669">
            <v>44056</v>
          </cell>
        </row>
        <row r="670">
          <cell r="A670">
            <v>44057</v>
          </cell>
        </row>
        <row r="671">
          <cell r="A671">
            <v>44060</v>
          </cell>
        </row>
        <row r="672">
          <cell r="A672">
            <v>44061</v>
          </cell>
        </row>
        <row r="673">
          <cell r="A673">
            <v>44062</v>
          </cell>
        </row>
        <row r="674">
          <cell r="A674">
            <v>44063</v>
          </cell>
        </row>
        <row r="675">
          <cell r="A675">
            <v>44064</v>
          </cell>
        </row>
        <row r="676">
          <cell r="A676">
            <v>44067</v>
          </cell>
        </row>
        <row r="677">
          <cell r="A677">
            <v>44068</v>
          </cell>
        </row>
        <row r="678">
          <cell r="A678">
            <v>44069</v>
          </cell>
        </row>
        <row r="679">
          <cell r="A679">
            <v>44070</v>
          </cell>
        </row>
        <row r="680">
          <cell r="A680">
            <v>44071</v>
          </cell>
        </row>
        <row r="681">
          <cell r="A681">
            <v>44074</v>
          </cell>
        </row>
        <row r="682">
          <cell r="A682">
            <v>44075</v>
          </cell>
        </row>
        <row r="683">
          <cell r="A683">
            <v>44076</v>
          </cell>
        </row>
        <row r="684">
          <cell r="A684">
            <v>44077</v>
          </cell>
        </row>
        <row r="685">
          <cell r="A685">
            <v>44078</v>
          </cell>
        </row>
        <row r="686">
          <cell r="A686">
            <v>44081</v>
          </cell>
        </row>
        <row r="687">
          <cell r="A687">
            <v>44082</v>
          </cell>
        </row>
        <row r="688">
          <cell r="A688">
            <v>44083</v>
          </cell>
        </row>
        <row r="689">
          <cell r="A689">
            <v>44084</v>
          </cell>
        </row>
        <row r="690">
          <cell r="A690">
            <v>44085</v>
          </cell>
        </row>
        <row r="691">
          <cell r="A691">
            <v>44088</v>
          </cell>
        </row>
        <row r="692">
          <cell r="A692">
            <v>44089</v>
          </cell>
        </row>
        <row r="693">
          <cell r="A693">
            <v>44090</v>
          </cell>
        </row>
        <row r="694">
          <cell r="A694">
            <v>44091</v>
          </cell>
        </row>
        <row r="695">
          <cell r="A695">
            <v>44092</v>
          </cell>
        </row>
        <row r="696">
          <cell r="A696">
            <v>44095</v>
          </cell>
        </row>
        <row r="697">
          <cell r="A697">
            <v>44096</v>
          </cell>
        </row>
        <row r="698">
          <cell r="A698">
            <v>44097</v>
          </cell>
        </row>
        <row r="699">
          <cell r="A699">
            <v>44098</v>
          </cell>
        </row>
        <row r="700">
          <cell r="A700">
            <v>44099</v>
          </cell>
        </row>
        <row r="701">
          <cell r="A701">
            <v>44102</v>
          </cell>
        </row>
        <row r="702">
          <cell r="A702">
            <v>44103</v>
          </cell>
        </row>
        <row r="703">
          <cell r="A703">
            <v>44104</v>
          </cell>
        </row>
        <row r="704">
          <cell r="A704">
            <v>44105</v>
          </cell>
        </row>
        <row r="705">
          <cell r="A705">
            <v>44106</v>
          </cell>
        </row>
        <row r="706">
          <cell r="A706">
            <v>44110</v>
          </cell>
        </row>
        <row r="707">
          <cell r="A707">
            <v>44111</v>
          </cell>
        </row>
        <row r="708">
          <cell r="A708">
            <v>44112</v>
          </cell>
        </row>
        <row r="709">
          <cell r="A709">
            <v>44113</v>
          </cell>
        </row>
        <row r="710">
          <cell r="A710">
            <v>44116</v>
          </cell>
        </row>
        <row r="711">
          <cell r="A711">
            <v>44117</v>
          </cell>
        </row>
        <row r="712">
          <cell r="A712">
            <v>44118</v>
          </cell>
        </row>
        <row r="713">
          <cell r="A713">
            <v>44119</v>
          </cell>
        </row>
        <row r="714">
          <cell r="A714">
            <v>44120</v>
          </cell>
        </row>
        <row r="715">
          <cell r="A715">
            <v>44123</v>
          </cell>
        </row>
        <row r="716">
          <cell r="A716">
            <v>44124</v>
          </cell>
        </row>
        <row r="717">
          <cell r="A717">
            <v>44125</v>
          </cell>
        </row>
        <row r="718">
          <cell r="A718">
            <v>44126</v>
          </cell>
        </row>
        <row r="719">
          <cell r="A719">
            <v>44127</v>
          </cell>
        </row>
        <row r="720">
          <cell r="A720">
            <v>44130</v>
          </cell>
        </row>
        <row r="721">
          <cell r="A721">
            <v>44131</v>
          </cell>
        </row>
        <row r="722">
          <cell r="A722">
            <v>44132</v>
          </cell>
        </row>
        <row r="723">
          <cell r="A723">
            <v>44133</v>
          </cell>
        </row>
        <row r="724">
          <cell r="A724">
            <v>44134</v>
          </cell>
        </row>
        <row r="725">
          <cell r="A725">
            <v>44137</v>
          </cell>
        </row>
        <row r="726">
          <cell r="A726">
            <v>44138</v>
          </cell>
        </row>
        <row r="727">
          <cell r="A727">
            <v>44139</v>
          </cell>
        </row>
        <row r="728">
          <cell r="A728">
            <v>44140</v>
          </cell>
        </row>
        <row r="729">
          <cell r="A729">
            <v>44141</v>
          </cell>
        </row>
        <row r="730">
          <cell r="A730">
            <v>44144</v>
          </cell>
        </row>
        <row r="731">
          <cell r="A731">
            <v>44145</v>
          </cell>
        </row>
        <row r="732">
          <cell r="A732">
            <v>44146</v>
          </cell>
        </row>
        <row r="733">
          <cell r="A733">
            <v>44147</v>
          </cell>
        </row>
        <row r="734">
          <cell r="A734">
            <v>44148</v>
          </cell>
        </row>
        <row r="735">
          <cell r="A735">
            <v>44151</v>
          </cell>
        </row>
        <row r="736">
          <cell r="A736">
            <v>44152</v>
          </cell>
        </row>
        <row r="737">
          <cell r="A737">
            <v>44153</v>
          </cell>
        </row>
        <row r="738">
          <cell r="A738">
            <v>44154</v>
          </cell>
        </row>
        <row r="739">
          <cell r="A739">
            <v>44155</v>
          </cell>
        </row>
        <row r="740">
          <cell r="A740">
            <v>44158</v>
          </cell>
        </row>
        <row r="741">
          <cell r="A741">
            <v>44159</v>
          </cell>
        </row>
        <row r="742">
          <cell r="A742">
            <v>44160</v>
          </cell>
        </row>
        <row r="743">
          <cell r="A743">
            <v>44161</v>
          </cell>
        </row>
        <row r="744">
          <cell r="A744">
            <v>44162</v>
          </cell>
        </row>
        <row r="745">
          <cell r="A745">
            <v>44165</v>
          </cell>
        </row>
        <row r="746">
          <cell r="A746">
            <v>44166</v>
          </cell>
        </row>
        <row r="747">
          <cell r="A747">
            <v>44167</v>
          </cell>
        </row>
        <row r="748">
          <cell r="A748">
            <v>44168</v>
          </cell>
        </row>
        <row r="749">
          <cell r="A749">
            <v>44169</v>
          </cell>
        </row>
        <row r="750">
          <cell r="A750">
            <v>44172</v>
          </cell>
        </row>
        <row r="751">
          <cell r="A751">
            <v>44173</v>
          </cell>
        </row>
        <row r="752">
          <cell r="A752">
            <v>44174</v>
          </cell>
        </row>
        <row r="753">
          <cell r="A753">
            <v>44175</v>
          </cell>
        </row>
        <row r="754">
          <cell r="A754">
            <v>44176</v>
          </cell>
        </row>
        <row r="755">
          <cell r="A755">
            <v>44179</v>
          </cell>
        </row>
        <row r="756">
          <cell r="A756">
            <v>44180</v>
          </cell>
        </row>
        <row r="757">
          <cell r="A757">
            <v>44181</v>
          </cell>
        </row>
        <row r="758">
          <cell r="A758">
            <v>44182</v>
          </cell>
        </row>
        <row r="759">
          <cell r="A759">
            <v>44183</v>
          </cell>
        </row>
        <row r="760">
          <cell r="A760">
            <v>44186</v>
          </cell>
        </row>
        <row r="761">
          <cell r="A761">
            <v>44187</v>
          </cell>
        </row>
        <row r="762">
          <cell r="A762">
            <v>44188</v>
          </cell>
        </row>
        <row r="763">
          <cell r="A763">
            <v>44189</v>
          </cell>
        </row>
        <row r="764">
          <cell r="A764">
            <v>44194</v>
          </cell>
        </row>
        <row r="765">
          <cell r="A765">
            <v>44195</v>
          </cell>
        </row>
        <row r="766">
          <cell r="A766">
            <v>44196</v>
          </cell>
        </row>
        <row r="767">
          <cell r="A767">
            <v>44200</v>
          </cell>
        </row>
        <row r="768">
          <cell r="A768">
            <v>44201</v>
          </cell>
        </row>
        <row r="769">
          <cell r="A769">
            <v>44202</v>
          </cell>
        </row>
        <row r="770">
          <cell r="A770">
            <v>44203</v>
          </cell>
        </row>
        <row r="771">
          <cell r="A771">
            <v>44204</v>
          </cell>
        </row>
        <row r="772">
          <cell r="A772">
            <v>44207</v>
          </cell>
        </row>
        <row r="773">
          <cell r="A773">
            <v>44208</v>
          </cell>
        </row>
        <row r="774">
          <cell r="A774">
            <v>44209</v>
          </cell>
        </row>
        <row r="775">
          <cell r="A775">
            <v>44210</v>
          </cell>
        </row>
        <row r="776">
          <cell r="A776">
            <v>44211</v>
          </cell>
        </row>
        <row r="777">
          <cell r="A777">
            <v>44214</v>
          </cell>
        </row>
        <row r="778">
          <cell r="A778">
            <v>44215</v>
          </cell>
        </row>
        <row r="779">
          <cell r="A779">
            <v>44216</v>
          </cell>
        </row>
        <row r="780">
          <cell r="A780">
            <v>44217</v>
          </cell>
        </row>
        <row r="781">
          <cell r="A781">
            <v>44218</v>
          </cell>
        </row>
        <row r="782">
          <cell r="A782">
            <v>44221</v>
          </cell>
        </row>
        <row r="783">
          <cell r="A783">
            <v>44223</v>
          </cell>
        </row>
        <row r="784">
          <cell r="A784">
            <v>44224</v>
          </cell>
        </row>
        <row r="785">
          <cell r="A785">
            <v>44225</v>
          </cell>
        </row>
        <row r="786">
          <cell r="A786">
            <v>44228</v>
          </cell>
        </row>
        <row r="787">
          <cell r="A787">
            <v>44229</v>
          </cell>
        </row>
        <row r="788">
          <cell r="A788">
            <v>44230</v>
          </cell>
        </row>
        <row r="789">
          <cell r="A789">
            <v>44231</v>
          </cell>
        </row>
        <row r="790">
          <cell r="A790">
            <v>44232</v>
          </cell>
        </row>
        <row r="791">
          <cell r="A791">
            <v>44235</v>
          </cell>
        </row>
        <row r="792">
          <cell r="A792">
            <v>44236</v>
          </cell>
        </row>
        <row r="793">
          <cell r="A793">
            <v>44237</v>
          </cell>
        </row>
        <row r="794">
          <cell r="A794">
            <v>44238</v>
          </cell>
        </row>
        <row r="795">
          <cell r="A795">
            <v>44239</v>
          </cell>
        </row>
        <row r="796">
          <cell r="A796">
            <v>44242</v>
          </cell>
        </row>
        <row r="797">
          <cell r="A797">
            <v>44243</v>
          </cell>
        </row>
        <row r="798">
          <cell r="A798">
            <v>44244</v>
          </cell>
        </row>
        <row r="799">
          <cell r="A799">
            <v>44245</v>
          </cell>
        </row>
        <row r="800">
          <cell r="A800">
            <v>44246</v>
          </cell>
        </row>
        <row r="801">
          <cell r="A801">
            <v>44249</v>
          </cell>
        </row>
        <row r="802">
          <cell r="A802">
            <v>44250</v>
          </cell>
        </row>
        <row r="803">
          <cell r="A803">
            <v>44251</v>
          </cell>
        </row>
        <row r="804">
          <cell r="A804">
            <v>44252</v>
          </cell>
        </row>
        <row r="805">
          <cell r="A805">
            <v>44253</v>
          </cell>
        </row>
        <row r="806">
          <cell r="A806">
            <v>44256</v>
          </cell>
        </row>
        <row r="807">
          <cell r="A807">
            <v>44257</v>
          </cell>
        </row>
        <row r="808">
          <cell r="A808">
            <v>44258</v>
          </cell>
        </row>
        <row r="809">
          <cell r="A809">
            <v>44259</v>
          </cell>
        </row>
        <row r="810">
          <cell r="A810">
            <v>44260</v>
          </cell>
        </row>
        <row r="811">
          <cell r="A811">
            <v>44263</v>
          </cell>
        </row>
        <row r="812">
          <cell r="A812">
            <v>44264</v>
          </cell>
        </row>
        <row r="813">
          <cell r="A813">
            <v>44265</v>
          </cell>
        </row>
        <row r="814">
          <cell r="A814">
            <v>44266</v>
          </cell>
        </row>
        <row r="815">
          <cell r="A815">
            <v>44267</v>
          </cell>
        </row>
        <row r="816">
          <cell r="A816">
            <v>44270</v>
          </cell>
        </row>
        <row r="817">
          <cell r="A817">
            <v>44271</v>
          </cell>
        </row>
        <row r="818">
          <cell r="A818">
            <v>44272</v>
          </cell>
        </row>
        <row r="819">
          <cell r="A819">
            <v>44273</v>
          </cell>
        </row>
        <row r="820">
          <cell r="A820">
            <v>44274</v>
          </cell>
        </row>
        <row r="821">
          <cell r="A821">
            <v>44277</v>
          </cell>
        </row>
        <row r="822">
          <cell r="A822">
            <v>44278</v>
          </cell>
        </row>
        <row r="823">
          <cell r="A823">
            <v>44279</v>
          </cell>
        </row>
        <row r="824">
          <cell r="A824">
            <v>44280</v>
          </cell>
        </row>
        <row r="825">
          <cell r="A825">
            <v>44281</v>
          </cell>
        </row>
        <row r="826">
          <cell r="A826">
            <v>44284</v>
          </cell>
        </row>
        <row r="827">
          <cell r="A827">
            <v>44285</v>
          </cell>
        </row>
        <row r="828">
          <cell r="A828">
            <v>44286</v>
          </cell>
        </row>
        <row r="829">
          <cell r="A829">
            <v>44287</v>
          </cell>
        </row>
        <row r="830">
          <cell r="A830">
            <v>44292</v>
          </cell>
        </row>
        <row r="831">
          <cell r="A831">
            <v>44293</v>
          </cell>
        </row>
        <row r="832">
          <cell r="A832">
            <v>44294</v>
          </cell>
        </row>
        <row r="833">
          <cell r="A833">
            <v>44295</v>
          </cell>
        </row>
        <row r="834">
          <cell r="A834">
            <v>44298</v>
          </cell>
        </row>
        <row r="835">
          <cell r="A835">
            <v>44299</v>
          </cell>
        </row>
        <row r="836">
          <cell r="A836">
            <v>44300</v>
          </cell>
        </row>
        <row r="837">
          <cell r="A837">
            <v>44301</v>
          </cell>
        </row>
        <row r="838">
          <cell r="A838">
            <v>44302</v>
          </cell>
        </row>
        <row r="839">
          <cell r="A839">
            <v>44305</v>
          </cell>
        </row>
        <row r="840">
          <cell r="A840">
            <v>44306</v>
          </cell>
        </row>
        <row r="841">
          <cell r="A841">
            <v>44307</v>
          </cell>
        </row>
        <row r="842">
          <cell r="A842">
            <v>44308</v>
          </cell>
        </row>
        <row r="843">
          <cell r="A843">
            <v>44309</v>
          </cell>
        </row>
        <row r="844">
          <cell r="A844">
            <v>44312</v>
          </cell>
        </row>
        <row r="845">
          <cell r="A845">
            <v>44313</v>
          </cell>
        </row>
        <row r="846">
          <cell r="A846">
            <v>44314</v>
          </cell>
        </row>
        <row r="847">
          <cell r="A847">
            <v>44315</v>
          </cell>
        </row>
        <row r="848">
          <cell r="A848">
            <v>44316</v>
          </cell>
        </row>
        <row r="849">
          <cell r="A849">
            <v>44319</v>
          </cell>
        </row>
        <row r="850">
          <cell r="A850">
            <v>44320</v>
          </cell>
        </row>
        <row r="851">
          <cell r="A851">
            <v>44321</v>
          </cell>
        </row>
        <row r="852">
          <cell r="A852">
            <v>44322</v>
          </cell>
        </row>
        <row r="853">
          <cell r="A853">
            <v>44323</v>
          </cell>
        </row>
        <row r="854">
          <cell r="A854">
            <v>44326</v>
          </cell>
        </row>
        <row r="855">
          <cell r="A855">
            <v>44327</v>
          </cell>
        </row>
        <row r="856">
          <cell r="A856">
            <v>44328</v>
          </cell>
        </row>
        <row r="857">
          <cell r="A857">
            <v>44329</v>
          </cell>
        </row>
        <row r="858">
          <cell r="A858">
            <v>44330</v>
          </cell>
        </row>
        <row r="859">
          <cell r="A859">
            <v>44333</v>
          </cell>
        </row>
        <row r="860">
          <cell r="A860">
            <v>44334</v>
          </cell>
        </row>
        <row r="861">
          <cell r="A861">
            <v>44335</v>
          </cell>
        </row>
        <row r="862">
          <cell r="A862">
            <v>44336</v>
          </cell>
        </row>
        <row r="863">
          <cell r="A863">
            <v>44337</v>
          </cell>
        </row>
        <row r="864">
          <cell r="A864">
            <v>44340</v>
          </cell>
        </row>
        <row r="865">
          <cell r="A865">
            <v>44341</v>
          </cell>
        </row>
        <row r="866">
          <cell r="A866">
            <v>44342</v>
          </cell>
        </row>
        <row r="867">
          <cell r="A867">
            <v>44343</v>
          </cell>
        </row>
        <row r="868">
          <cell r="A868">
            <v>44344</v>
          </cell>
        </row>
        <row r="869">
          <cell r="A869">
            <v>44347</v>
          </cell>
        </row>
        <row r="870">
          <cell r="A870">
            <v>44348</v>
          </cell>
        </row>
        <row r="871">
          <cell r="A871">
            <v>44349</v>
          </cell>
        </row>
        <row r="872">
          <cell r="A872">
            <v>44350</v>
          </cell>
        </row>
        <row r="873">
          <cell r="A873">
            <v>44351</v>
          </cell>
        </row>
        <row r="874">
          <cell r="A874">
            <v>44354</v>
          </cell>
        </row>
        <row r="875">
          <cell r="A875">
            <v>44355</v>
          </cell>
        </row>
        <row r="876">
          <cell r="A876">
            <v>44356</v>
          </cell>
        </row>
        <row r="877">
          <cell r="A877">
            <v>44357</v>
          </cell>
        </row>
        <row r="878">
          <cell r="A878">
            <v>44358</v>
          </cell>
        </row>
        <row r="879">
          <cell r="A879">
            <v>44362</v>
          </cell>
        </row>
        <row r="880">
          <cell r="A880">
            <v>44363</v>
          </cell>
        </row>
        <row r="881">
          <cell r="A881">
            <v>44364</v>
          </cell>
        </row>
        <row r="882">
          <cell r="A882">
            <v>44365</v>
          </cell>
        </row>
        <row r="883">
          <cell r="A883">
            <v>44368</v>
          </cell>
        </row>
        <row r="884">
          <cell r="A884">
            <v>44369</v>
          </cell>
        </row>
        <row r="885">
          <cell r="A885">
            <v>44370</v>
          </cell>
        </row>
        <row r="886">
          <cell r="A886">
            <v>44371</v>
          </cell>
        </row>
        <row r="887">
          <cell r="A887">
            <v>44372</v>
          </cell>
        </row>
        <row r="888">
          <cell r="A888">
            <v>44375</v>
          </cell>
        </row>
        <row r="889">
          <cell r="A889">
            <v>44376</v>
          </cell>
        </row>
        <row r="890">
          <cell r="A890">
            <v>44377</v>
          </cell>
        </row>
        <row r="891">
          <cell r="A891">
            <v>44378</v>
          </cell>
        </row>
        <row r="892">
          <cell r="A892">
            <v>44379</v>
          </cell>
        </row>
        <row r="893">
          <cell r="A893">
            <v>44382</v>
          </cell>
        </row>
        <row r="894">
          <cell r="A894">
            <v>44383</v>
          </cell>
        </row>
        <row r="895">
          <cell r="A895">
            <v>44384</v>
          </cell>
        </row>
        <row r="896">
          <cell r="A896">
            <v>44385</v>
          </cell>
        </row>
        <row r="897">
          <cell r="A897">
            <v>44386</v>
          </cell>
        </row>
        <row r="898">
          <cell r="A898">
            <v>44389</v>
          </cell>
        </row>
        <row r="899">
          <cell r="A899">
            <v>44390</v>
          </cell>
        </row>
        <row r="900">
          <cell r="A900">
            <v>44391</v>
          </cell>
        </row>
        <row r="901">
          <cell r="A901">
            <v>44392</v>
          </cell>
        </row>
        <row r="902">
          <cell r="A902">
            <v>44393</v>
          </cell>
        </row>
        <row r="903">
          <cell r="A903">
            <v>44396</v>
          </cell>
        </row>
        <row r="904">
          <cell r="A904">
            <v>44397</v>
          </cell>
        </row>
        <row r="905">
          <cell r="A905">
            <v>44398</v>
          </cell>
        </row>
        <row r="906">
          <cell r="A906">
            <v>44399</v>
          </cell>
        </row>
        <row r="907">
          <cell r="A907">
            <v>44400</v>
          </cell>
        </row>
        <row r="908">
          <cell r="A908">
            <v>44403</v>
          </cell>
        </row>
        <row r="909">
          <cell r="A909">
            <v>44404</v>
          </cell>
        </row>
        <row r="910">
          <cell r="A910">
            <v>44405</v>
          </cell>
        </row>
        <row r="911">
          <cell r="A911">
            <v>44406</v>
          </cell>
        </row>
        <row r="912">
          <cell r="A912">
            <v>44407</v>
          </cell>
        </row>
        <row r="913">
          <cell r="A913">
            <v>44411</v>
          </cell>
        </row>
        <row r="914">
          <cell r="A914">
            <v>44412</v>
          </cell>
        </row>
        <row r="915">
          <cell r="A915">
            <v>44413</v>
          </cell>
        </row>
        <row r="916">
          <cell r="A916">
            <v>44414</v>
          </cell>
        </row>
        <row r="917">
          <cell r="A917">
            <v>44417</v>
          </cell>
        </row>
        <row r="918">
          <cell r="A918">
            <v>44418</v>
          </cell>
        </row>
        <row r="919">
          <cell r="A919">
            <v>44419</v>
          </cell>
        </row>
        <row r="920">
          <cell r="A920">
            <v>44420</v>
          </cell>
        </row>
        <row r="921">
          <cell r="A921">
            <v>44421</v>
          </cell>
        </row>
        <row r="922">
          <cell r="A922">
            <v>44424</v>
          </cell>
        </row>
        <row r="923">
          <cell r="A923">
            <v>44425</v>
          </cell>
        </row>
        <row r="924">
          <cell r="A924">
            <v>44426</v>
          </cell>
        </row>
        <row r="925">
          <cell r="A925">
            <v>44427</v>
          </cell>
        </row>
        <row r="926">
          <cell r="A926">
            <v>44428</v>
          </cell>
        </row>
        <row r="927">
          <cell r="A927">
            <v>44431</v>
          </cell>
        </row>
        <row r="928">
          <cell r="A928">
            <v>44432</v>
          </cell>
        </row>
        <row r="929">
          <cell r="A929">
            <v>44433</v>
          </cell>
        </row>
        <row r="930">
          <cell r="A930">
            <v>44434</v>
          </cell>
        </row>
        <row r="931">
          <cell r="A931">
            <v>44435</v>
          </cell>
        </row>
        <row r="932">
          <cell r="A932">
            <v>44438</v>
          </cell>
        </row>
        <row r="933">
          <cell r="A933">
            <v>44439</v>
          </cell>
        </row>
        <row r="934">
          <cell r="A934">
            <v>44440</v>
          </cell>
        </row>
        <row r="935">
          <cell r="A935">
            <v>44441</v>
          </cell>
        </row>
        <row r="936">
          <cell r="A936">
            <v>44442</v>
          </cell>
        </row>
        <row r="937">
          <cell r="A937">
            <v>44445</v>
          </cell>
        </row>
        <row r="938">
          <cell r="A938">
            <v>44446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Zhou, Sally (Research)" id="{0821EBB9-81CF-4D84-ADE8-46FE28B30EEA}" userId="Zhou, Sally (Research)" providerId="None"/>
  <person displayName="Zhou, Sally (Research)" id="{14581292-90C1-44A2-899B-8721482A2755}" userId="S::Sally.Zhou@morganstanley.com::539d0539-d59c-45f6-a3da-908016b609a6" providerId="AD"/>
  <person displayName="Hall, Charlie (Research)" id="{4D923E79-4FD2-4C60-A2C3-F9FCA4369FEA}" userId="S::Charlie.Hall@morganstanley.com::cce70e9c-f32d-45b6-af95-570e7df03841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R116" dT="2022-08-28T23:43:48.12" personId="{14581292-90C1-44A2-899B-8721482A2755}" id="{D424783E-4C33-4887-B108-80BA62EA71D7}">
    <text>Restated</text>
  </threadedComment>
  <threadedComment ref="CS116" dT="2022-08-28T23:43:52.33" personId="{14581292-90C1-44A2-899B-8721482A2755}" id="{F8F07034-3C3D-48D4-905E-642F1BA83D86}">
    <text>Restated</text>
  </threadedComment>
  <threadedComment ref="CS117" dT="2022-08-29T00:09:37.11" personId="{14581292-90C1-44A2-899B-8721482A2755}" id="{3D435742-DFA8-490C-BD6C-C7715CC8F138}">
    <text>Restated</text>
  </threadedComment>
  <threadedComment ref="CS119" dT="2022-08-29T00:11:40.84" personId="{14581292-90C1-44A2-899B-8721482A2755}" id="{CFAD6380-7978-4CB0-BFB3-8BD9BB0B4415}">
    <text>Restated</text>
  </threadedComment>
  <threadedComment ref="CS122" dT="2022-08-29T00:12:24.53" personId="{14581292-90C1-44A2-899B-8721482A2755}" id="{7A2C6E90-A555-4769-88DD-B66698A49A7D}">
    <text>Restated</text>
  </threadedComment>
  <threadedComment ref="CS123" dT="2022-08-29T00:12:29.81" personId="{14581292-90C1-44A2-899B-8721482A2755}" id="{54559616-827C-4D92-B05D-1AB526FC3FDD}">
    <text>Restated</text>
  </threadedComment>
  <threadedComment ref="CS124" dT="2022-08-29T00:12:34.73" personId="{14581292-90C1-44A2-899B-8721482A2755}" id="{EC7D1B13-8AD0-4F44-B642-2CAC4BED7E00}">
    <text>Restated</text>
  </threadedComment>
  <threadedComment ref="CS127" dT="2022-08-29T00:13:11.98" personId="{14581292-90C1-44A2-899B-8721482A2755}" id="{F3B7D041-8A41-47FC-AE1B-FB9E98F4D33E}">
    <text>Restated</text>
  </threadedComment>
  <threadedComment ref="CR150" dT="2022-08-29T00:09:11.28" personId="{14581292-90C1-44A2-899B-8721482A2755}" id="{8280240B-5FC1-48A6-A93A-73371422888B}">
    <text>Restated</text>
  </threadedComment>
  <threadedComment ref="CS150" dT="2022-08-29T00:09:05.01" personId="{14581292-90C1-44A2-899B-8721482A2755}" id="{834B4AFD-31B3-42FB-A52A-063F771B7A68}">
    <text>Restated</text>
  </threadedComment>
  <threadedComment ref="CS169" dT="2022-08-29T00:10:13.12" personId="{14581292-90C1-44A2-899B-8721482A2755}" id="{D2F3ADEE-3654-4E65-B7AF-6BFAA68E9A5B}">
    <text>Restated</text>
  </threadedComment>
  <threadedComment ref="CS179" dT="2022-08-29T00:10:44.51" personId="{14581292-90C1-44A2-899B-8721482A2755}" id="{624C7DA1-B126-468D-A1D1-26AF61A09FB4}">
    <text>Restated</text>
  </threadedComment>
  <threadedComment ref="CS182" dT="2022-08-29T00:11:19.78" personId="{14581292-90C1-44A2-899B-8721482A2755}" id="{051CAC35-4EFD-40B9-AD13-D6D67922F7EB}">
    <text>Restated</text>
  </threadedComment>
  <threadedComment ref="CR344" dT="2022-08-28T23:42:58.36" personId="{14581292-90C1-44A2-899B-8721482A2755}" id="{82E08F58-A7E6-4CE8-9C05-800F94614117}">
    <text>Restated.</text>
  </threadedComment>
  <threadedComment ref="CS344" dT="2022-08-28T23:43:10.39" personId="{14581292-90C1-44A2-899B-8721482A2755}" id="{383C58BE-3A5E-4632-9856-661EBD049DF0}">
    <text>Restated</text>
  </threadedComment>
  <threadedComment ref="CR345" dT="2022-08-28T23:59:33.82" personId="{14581292-90C1-44A2-899B-8721482A2755}" id="{B75219B6-FC91-44A4-9BE0-F711789EFB87}">
    <text>Restated.</text>
  </threadedComment>
  <threadedComment ref="CS345" dT="2022-08-28T23:59:39.15" personId="{14581292-90C1-44A2-899B-8721482A2755}" id="{746C995C-A699-4493-A969-08CC5A68B236}">
    <text>Restated.</text>
  </threadedComment>
  <threadedComment ref="CR347" dT="2022-08-29T00:03:14.75" personId="{14581292-90C1-44A2-899B-8721482A2755}" id="{07A7B481-ADC8-4AD2-A16C-A1F35F368942}">
    <text>Restated</text>
  </threadedComment>
  <threadedComment ref="CS347" dT="2022-08-29T00:03:18.21" personId="{14581292-90C1-44A2-899B-8721482A2755}" id="{B34B94FA-550D-4850-B486-65BA702EF8FC}">
    <text>Restated</text>
  </threadedComment>
  <threadedComment ref="CR350" dT="2022-08-29T00:04:20.22" personId="{14581292-90C1-44A2-899B-8721482A2755}" id="{06200ECD-F1CA-4F5F-AA0C-AE53BA5FE082}">
    <text>Restated</text>
  </threadedComment>
  <threadedComment ref="CS350" dT="2022-08-29T00:04:23.29" personId="{14581292-90C1-44A2-899B-8721482A2755}" id="{2E805D89-395B-479A-BC52-37AB5B349C9C}">
    <text>Restated</text>
  </threadedComment>
  <threadedComment ref="CR352" dT="2022-08-29T00:04:56.03" personId="{14581292-90C1-44A2-899B-8721482A2755}" id="{9E17FA2D-BA12-41C8-9B0D-1380098EAD3B}">
    <text>Restated</text>
  </threadedComment>
  <threadedComment ref="CS352" dT="2022-08-29T00:05:07.83" personId="{14581292-90C1-44A2-899B-8721482A2755}" id="{58FD3944-BA30-4529-A0BA-4FBB15A18885}">
    <text>Restated</text>
  </threadedComment>
  <threadedComment ref="CS355" dT="2022-08-29T00:05:35.92" personId="{14581292-90C1-44A2-899B-8721482A2755}" id="{41D3240E-5913-44B3-B338-2E54EDB4CF33}">
    <text>Restated</text>
  </threadedComment>
  <threadedComment ref="CR410" dT="2022-08-28T23:58:28.31" personId="{14581292-90C1-44A2-899B-8721482A2755}" id="{69E4AA3F-2554-4A43-B1DE-59352CBCAAFD}">
    <text>Restated.</text>
  </threadedComment>
  <threadedComment ref="CS410" dT="2022-08-28T23:58:32.63" personId="{14581292-90C1-44A2-899B-8721482A2755}" id="{649B7F28-7EB7-4610-B645-06C613416830}">
    <text>Restated.</text>
  </threadedComment>
  <threadedComment ref="CR423" dT="2022-08-29T00:00:42.27" personId="{14581292-90C1-44A2-899B-8721482A2755}" id="{5128420C-9D06-4261-BC98-1699DD637C45}">
    <text>Restated.</text>
  </threadedComment>
  <threadedComment ref="CS423" dT="2022-08-29T00:00:46.88" personId="{14581292-90C1-44A2-899B-8721482A2755}" id="{B916522E-0845-45C9-95EF-E75BC29C6E04}">
    <text>Restated.</text>
  </threadedComment>
  <threadedComment ref="CR433" dT="2022-08-29T00:01:14.99" personId="{14581292-90C1-44A2-899B-8721482A2755}" id="{CEA16071-302F-462F-84CE-4281ACD34CA4}">
    <text>Restated</text>
  </threadedComment>
  <threadedComment ref="CS433" dT="2022-08-29T00:01:21.34" personId="{14581292-90C1-44A2-899B-8721482A2755}" id="{908783C4-6B6B-4777-96D8-45E5C83B1D2A}">
    <text>Restated</text>
  </threadedComment>
  <threadedComment ref="CR436" dT="2022-08-29T00:02:01.15" personId="{14581292-90C1-44A2-899B-8721482A2755}" id="{E11B8F70-73B8-44B0-8066-524A0A33D9BE}">
    <text>Restated</text>
  </threadedComment>
  <threadedComment ref="CS436" dT="2022-08-29T00:02:06.64" personId="{14581292-90C1-44A2-899B-8721482A2755}" id="{71529954-168C-48AA-ACCF-6FA188C77F54}">
    <text>Restated</text>
  </threadedComment>
  <threadedComment ref="CZ581" dT="2023-11-03T02:37:26.96" personId="{0821EBB9-81CF-4D84-ADE8-46FE28B30EEA}" id="{D614B67E-A021-4F52-BE84-A93E7086E361}">
    <text>Car loan portfolio, as per mgmt preso</text>
  </threadedComment>
  <threadedComment ref="DD581" dT="2023-11-03T02:37:26.96" personId="{0821EBB9-81CF-4D84-ADE8-46FE28B30EEA}" id="{6626E5A2-B017-4F83-8797-74E72841902F}">
    <text>Car loan portfolio, as per mgmt preso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W120" dT="2024-05-03T05:04:39.69" personId="{0821EBB9-81CF-4D84-ADE8-46FE28B30EEA}" id="{EC953918-0550-4FC5-89C4-85A8092EE77C}">
    <text xml:space="preserve">FY23 re-stated, but no split by HY. So adjust to get to full year figures.
</text>
  </threadedComment>
  <threadedComment ref="CV188" dT="2022-10-28T01:22:13.43" personId="{14581292-90C1-44A2-899B-8721482A2755}" id="{0CD0B472-68E4-4A08-88C8-D561982B3D27}">
    <text>As per MD&amp;A - Assets Under Management - 84/99.</text>
  </threadedComment>
  <threadedComment ref="CZ188" dT="2022-10-28T01:22:13.43" personId="{14581292-90C1-44A2-899B-8721482A2755}" id="{4C11C308-FAAF-4A11-9A0E-60CFA005D876}">
    <text>As per MD&amp;A - Assets Under Management - 84/99.</text>
  </threadedComment>
  <threadedComment ref="DD188" dT="2022-10-28T01:22:13.43" personId="{14581292-90C1-44A2-899B-8721482A2755}" id="{E36017C6-91C4-4C66-B312-ED34A2672771}">
    <text>As per MD&amp;A - Assets Under Management - 84/99.</text>
  </threadedComment>
  <threadedComment ref="DH188" dT="2022-10-28T01:22:13.43" personId="{14581292-90C1-44A2-899B-8721482A2755}" id="{89B23991-5263-4CB1-AAF8-C7035DD2905D}">
    <text>As per MD&amp;A - Assets Under Management - 84/99.</text>
  </threadedComment>
  <threadedComment ref="CZ255" dT="2023-11-02T23:40:15.02" personId="{0821EBB9-81CF-4D84-ADE8-46FE28B30EEA}" id="{486069AB-1813-4E81-B040-CB853CC316AA}">
    <text>Preso slide 28.
Net flows PI = $5.3bn
Divestments PM = $5.1b
Assets no longer managed $17.1b</text>
  </threadedComment>
  <threadedComment ref="DA255" dT="2024-05-03T01:18:55.40" personId="{0821EBB9-81CF-4D84-ADE8-46FE28B30EEA}" id="{AF6954B8-9876-4C09-AF46-C9B4E709F6E2}">
    <text xml:space="preserve">MAM AUM Movements - Investor preso.
Net flows = A$10.9bn
</text>
  </threadedComment>
  <threadedComment ref="DD255" dT="2023-11-02T23:40:15.02" personId="{0821EBB9-81CF-4D84-ADE8-46FE28B30EEA}" id="{7EF9C7F9-6129-486B-A88B-D07CA3C5285D}">
    <text>Preso slide 28.
Net flows PI = $5.3bn
Divestments PM = $5.1b
Assets no longer managed $17.1b</text>
  </threadedComment>
  <threadedComment ref="DE255" dT="2024-05-03T01:18:55.40" personId="{0821EBB9-81CF-4D84-ADE8-46FE28B30EEA}" id="{67E91060-5C1F-4A77-92DE-22EEA4F8B768}">
    <text xml:space="preserve">MAM AUM Movements - Investor preso.
Net flows = A$10.9bn
</text>
  </threadedComment>
  <threadedComment ref="CX348" dT="2023-05-05T00:33:55.61" personId="{4D923E79-4FD2-4C60-A2C3-F9FCA4369FEA}" id="{3E5EE0AE-2462-4008-A4B8-9B444C64E70E}">
    <text>MAM slide 14 'raised'</text>
  </threadedComment>
  <threadedComment ref="DB348" dT="2024-05-03T01:24:56.61" personId="{0821EBB9-81CF-4D84-ADE8-46FE28B30EEA}" id="{0B5F5FC3-0D8D-444C-9561-07BA5FC2B8AE}">
    <text xml:space="preserve">Raised in new equity
</text>
  </threadedComment>
  <threadedComment ref="DF348" dT="2024-05-03T01:24:56.61" personId="{0821EBB9-81CF-4D84-ADE8-46FE28B30EEA}" id="{D6B60444-783B-41AB-B9FC-C13BBFA99181}">
    <text xml:space="preserve">Raised in new equity
</text>
  </threadedComment>
  <threadedComment ref="CV357" dT="2022-10-28T00:51:49.97" personId="{14581292-90C1-44A2-899B-8721482A2755}" id="{2D6B26ED-3CA2-4418-8165-8411A4A7DE8F}">
    <text>Preso pg 14. Equity returned to clients from divestments.</text>
  </threadedComment>
  <threadedComment ref="CZ357" dT="2022-10-28T00:51:49.97" personId="{14581292-90C1-44A2-899B-8721482A2755}" id="{870F6535-60EE-4D51-9480-1B565CCBF120}">
    <text>Preso pg 14. Equity returned to clients from divestments.</text>
  </threadedComment>
  <threadedComment ref="DD357" dT="2022-10-28T00:51:49.97" personId="{14581292-90C1-44A2-899B-8721482A2755}" id="{6E981724-0823-4E71-BC35-29BFC7A324EF}">
    <text>Preso pg 14. Equity returned to clients from divestments.</text>
  </threadedComment>
  <threadedComment ref="BZ787" dT="2022-08-29T00:59:09.08" personId="{14581292-90C1-44A2-899B-8721482A2755}" id="{11AC9681-3ACD-46C5-A370-0B1232650964}">
    <text>Assumed to be similar to BFS.</text>
  </threadedComment>
  <threadedComment ref="CD787" dT="2022-08-29T00:59:09.08" personId="{14581292-90C1-44A2-899B-8721482A2755}" id="{6EACC280-1CCD-4B91-89FE-57EA94184257}">
    <text>Assumed to be similar to BFS.</text>
  </threadedComment>
  <threadedComment ref="CH787" dT="2022-08-29T00:59:09.08" personId="{14581292-90C1-44A2-899B-8721482A2755}" id="{1894C3EE-FD40-4625-A0C5-0F2F408F10F6}">
    <text>Assumed to be similar to BFS.</text>
  </threadedComment>
  <threadedComment ref="CL787" dT="2022-08-29T00:59:09.08" personId="{14581292-90C1-44A2-899B-8721482A2755}" id="{9CAADEAA-86CF-4B3D-A704-2736B5651C51}">
    <text>Assumed to be similar to BFS.</text>
  </threadedComment>
  <threadedComment ref="CP787" dT="2022-08-29T00:59:09.08" personId="{14581292-90C1-44A2-899B-8721482A2755}" id="{7554213C-6510-4FB1-A508-AF374BDEA704}">
    <text>Assumed to be similar to BFS.</text>
  </threadedComment>
  <threadedComment ref="CT787" dT="2022-08-29T00:59:09.08" personId="{14581292-90C1-44A2-899B-8721482A2755}" id="{297A8F8B-67C6-46C9-AF2E-1183F04B11C2}">
    <text>Assumed to be similar to BFS.</text>
  </threadedComment>
  <threadedComment ref="CX787" dT="2022-08-29T00:59:09.08" personId="{14581292-90C1-44A2-899B-8721482A2755}" id="{DD11C98D-516E-4D1A-B763-ECC0E099F1BD}">
    <text>Assumed to be similar to BFS.</text>
  </threadedComment>
  <threadedComment ref="DB787" dT="2022-08-29T00:59:09.08" personId="{14581292-90C1-44A2-899B-8721482A2755}" id="{962717BE-EC4E-43E8-8156-D287C3C6CD43}">
    <text>Assumed to be similar to BFS.</text>
  </threadedComment>
  <threadedComment ref="DF787" dT="2022-08-29T00:59:09.08" personId="{14581292-90C1-44A2-899B-8721482A2755}" id="{254B96BA-2356-44F6-8092-F218B69E4902}">
    <text>Assumed to be similar to BFS.</text>
  </threadedComment>
  <threadedComment ref="DJ787" dT="2022-08-29T00:59:09.08" personId="{14581292-90C1-44A2-899B-8721482A2755}" id="{89E328BC-1703-4817-BE30-3473B1A7D647}">
    <text>Assumed to be similar to BFS.</text>
  </threadedComment>
  <threadedComment ref="DN787" dT="2022-08-29T00:59:09.08" personId="{14581292-90C1-44A2-899B-8721482A2755}" id="{DC742DAD-CCBB-4DCE-AA3E-9236A39DC96A}">
    <text>Assumed to be similar to BFS.</text>
  </threadedComment>
  <threadedComment ref="DR787" dT="2022-08-29T00:59:09.08" personId="{14581292-90C1-44A2-899B-8721482A2755}" id="{4EBA0350-6E50-4E32-89A8-D1DFD156FA16}">
    <text>Assumed to be similar to BFS.</text>
  </threadedComment>
  <threadedComment ref="CO831" dT="2022-09-05T07:08:31.92" personId="{14581292-90C1-44A2-899B-8721482A2755}" id="{01E38546-5302-4CF4-A88F-4050BA67FBD1}">
    <text>Added other performance fees in here.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Z313" dT="2023-11-03T01:41:13.88" personId="{0821EBB9-81CF-4D84-ADE8-46FE28B30EEA}" id="{EA386C2D-BF15-4D61-B88D-D83F12252E44}">
    <text>No DRP this time. 
So this is share price at reporting date.</text>
  </threadedComment>
  <threadedComment ref="DD313" dT="2023-11-03T01:41:13.88" personId="{0821EBB9-81CF-4D84-ADE8-46FE28B30EEA}" id="{969E294F-4BC9-44B3-91E6-4DEDCDB85DC0}">
    <text>No DRP this time. 
So this is share price at reporting date.</text>
  </threadedComment>
  <threadedComment ref="DH313" dT="2023-11-03T01:41:13.88" personId="{0821EBB9-81CF-4D84-ADE8-46FE28B30EEA}" id="{DCF9113A-1466-4595-806D-2A7140AF576A}">
    <text>No DRP this time. 
So this is share price at reporting date.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CZ12" dT="2023-12-05T05:03:26.07" personId="{0821EBB9-81CF-4D84-ADE8-46FE28B30EEA}" id="{617A77B5-231C-47DD-9A8D-DB7363268B15}">
    <text xml:space="preserve">Smaller due to no interest on convertible subordinated debt.
</text>
  </threadedComment>
  <threadedComment ref="DD12" dT="2023-12-05T05:03:26.07" personId="{0821EBB9-81CF-4D84-ADE8-46FE28B30EEA}" id="{9467BED7-0DDB-4875-A3C2-31797695C16B}">
    <text xml:space="preserve">Smaller due to no interest on convertible subordinated debt.
</text>
  </threadedComment>
  <threadedComment ref="DH12" dT="2023-12-05T05:03:26.07" personId="{0821EBB9-81CF-4D84-ADE8-46FE28B30EEA}" id="{DA5C5667-5196-4EDE-A8EA-4D3D0ED9DCC1}">
    <text xml:space="preserve">Smaller due to no interest on convertible subordinated debt.
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438" row="11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58D58E3-CD37-4284-BE1E-31C205731154}">
  <we:reference id="wa200004907" version="1.0.12.0" store="en-US" storeType="OMEX"/>
  <we:alternateReferences>
    <we:reference id="WA200004907" version="1.0.12.0" store="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95CE1152-83AD-40BA-A0BF-25BC6A8FBCA0}">
  <we:reference id="66cfb7aa-c8b5-4285-ae4a-6140b6c8d0d6" version="1.0.14.0" store="EXCatalog" storeType="EXCatalog"/>
  <we:alternateReferences/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F3188-2B0A-4DDD-B14F-8205E173E52A}">
  <dimension ref="B2:B9"/>
  <sheetViews>
    <sheetView showGridLines="0" showRowColHeaders="0" tabSelected="1" workbookViewId="0">
      <selection activeCell="Z1" sqref="Z1"/>
    </sheetView>
  </sheetViews>
  <sheetFormatPr defaultRowHeight="13.2"/>
  <cols>
    <col min="1" max="1" width="8.88671875" style="2251"/>
    <col min="2" max="2" width="101.109375" style="2251" customWidth="1"/>
    <col min="3" max="16384" width="8.88671875" style="2251"/>
  </cols>
  <sheetData>
    <row r="2" spans="2:2" ht="52.2">
      <c r="B2" s="2250" t="s">
        <v>1894</v>
      </c>
    </row>
    <row r="3" spans="2:2" ht="17.399999999999999">
      <c r="B3" s="2250"/>
    </row>
    <row r="4" spans="2:2" ht="17.399999999999999">
      <c r="B4" s="2250"/>
    </row>
    <row r="5" spans="2:2" ht="17.399999999999999">
      <c r="B5" s="2250" t="s">
        <v>1895</v>
      </c>
    </row>
    <row r="6" spans="2:2" ht="17.399999999999999">
      <c r="B6" s="2250" t="s">
        <v>1896</v>
      </c>
    </row>
    <row r="7" spans="2:2" ht="17.399999999999999">
      <c r="B7" s="2250" t="s">
        <v>1897</v>
      </c>
    </row>
    <row r="8" spans="2:2" ht="17.399999999999999">
      <c r="B8" s="2250"/>
    </row>
    <row r="9" spans="2:2" ht="34.799999999999997">
      <c r="B9" s="2252" t="s">
        <v>1898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1D6FA-2E94-4AED-8C9B-185F8E150E7B}">
  <dimension ref="A1:H450"/>
  <sheetViews>
    <sheetView showGridLines="0" workbookViewId="0">
      <selection activeCell="Z1" sqref="Z1"/>
    </sheetView>
  </sheetViews>
  <sheetFormatPr defaultRowHeight="13.2"/>
  <sheetData>
    <row r="1" spans="1:8" ht="23.25" customHeight="1">
      <c r="A1" s="2248"/>
      <c r="B1" s="2244"/>
      <c r="C1" s="2244"/>
      <c r="D1" s="2244"/>
      <c r="E1" s="2244"/>
      <c r="F1" s="2244"/>
      <c r="G1" s="2244"/>
      <c r="H1" s="2244"/>
    </row>
    <row r="2" spans="1:8">
      <c r="A2" s="2242" t="s">
        <v>1464</v>
      </c>
      <c r="B2" s="2244"/>
      <c r="C2" s="2244"/>
      <c r="D2" s="2244"/>
      <c r="E2" s="2244"/>
      <c r="F2" s="2244"/>
      <c r="G2" s="2244"/>
      <c r="H2" s="2244"/>
    </row>
    <row r="3" spans="1:8">
      <c r="A3" s="2242" t="s">
        <v>1465</v>
      </c>
      <c r="B3" s="2244"/>
      <c r="C3" s="2244"/>
      <c r="D3" s="2244"/>
      <c r="E3" s="2244"/>
      <c r="F3" s="2244"/>
      <c r="G3" s="2244"/>
      <c r="H3" s="2244"/>
    </row>
    <row r="4" spans="1:8">
      <c r="A4" s="2242" t="s">
        <v>1466</v>
      </c>
      <c r="B4" s="2244"/>
      <c r="C4" s="2244"/>
      <c r="D4" s="2244"/>
      <c r="E4" s="2244"/>
      <c r="F4" s="2244"/>
      <c r="G4" s="2244"/>
      <c r="H4" s="2244"/>
    </row>
    <row r="5" spans="1:8">
      <c r="A5" s="2242" t="s">
        <v>1467</v>
      </c>
      <c r="B5" s="2244"/>
      <c r="C5" s="2244"/>
      <c r="D5" s="2244"/>
      <c r="E5" s="2244"/>
      <c r="F5" s="2244"/>
      <c r="G5" s="2244"/>
      <c r="H5" s="2244"/>
    </row>
    <row r="6" spans="1:8">
      <c r="A6" s="2242"/>
      <c r="B6" s="2244"/>
      <c r="C6" s="2244"/>
      <c r="D6" s="2244"/>
      <c r="E6" s="2244"/>
      <c r="F6" s="2244"/>
      <c r="G6" s="2244"/>
      <c r="H6" s="2244"/>
    </row>
    <row r="7" spans="1:8">
      <c r="A7" s="2242" t="s">
        <v>1468</v>
      </c>
      <c r="B7" s="2244"/>
      <c r="C7" s="2244"/>
      <c r="D7" s="2244"/>
      <c r="E7" s="2244"/>
      <c r="F7" s="2244"/>
      <c r="G7" s="2244"/>
      <c r="H7" s="2244"/>
    </row>
    <row r="8" spans="1:8">
      <c r="A8" s="2242" t="s">
        <v>1469</v>
      </c>
      <c r="B8" s="2244"/>
      <c r="C8" s="2244"/>
      <c r="D8" s="2244"/>
      <c r="E8" s="2244"/>
      <c r="F8" s="2244"/>
      <c r="G8" s="2244"/>
      <c r="H8" s="2244"/>
    </row>
    <row r="9" spans="1:8">
      <c r="A9" s="2242"/>
      <c r="B9" s="2244"/>
      <c r="C9" s="2244"/>
      <c r="D9" s="2244"/>
      <c r="E9" s="2244"/>
      <c r="F9" s="2244"/>
      <c r="G9" s="2244"/>
      <c r="H9" s="2244"/>
    </row>
    <row r="10" spans="1:8">
      <c r="A10" s="2242" t="s">
        <v>1470</v>
      </c>
      <c r="B10" s="2244"/>
      <c r="C10" s="2244"/>
      <c r="D10" s="2244"/>
      <c r="E10" s="2244"/>
      <c r="F10" s="2244"/>
      <c r="G10" s="2244"/>
      <c r="H10" s="2244"/>
    </row>
    <row r="11" spans="1:8">
      <c r="A11" s="2242" t="s">
        <v>1471</v>
      </c>
      <c r="B11" s="2244"/>
      <c r="C11" s="2244"/>
      <c r="D11" s="2244"/>
      <c r="E11" s="2244"/>
      <c r="F11" s="2244"/>
      <c r="G11" s="2244"/>
      <c r="H11" s="2244"/>
    </row>
    <row r="12" spans="1:8">
      <c r="A12" s="2242" t="s">
        <v>1472</v>
      </c>
      <c r="B12" s="2244"/>
      <c r="C12" s="2244"/>
      <c r="D12" s="2244"/>
      <c r="E12" s="2244"/>
      <c r="F12" s="2244"/>
      <c r="G12" s="2244"/>
      <c r="H12" s="2244"/>
    </row>
    <row r="13" spans="1:8">
      <c r="A13" s="2242" t="s">
        <v>1473</v>
      </c>
      <c r="B13" s="2244"/>
      <c r="C13" s="2244"/>
      <c r="D13" s="2244"/>
      <c r="E13" s="2244"/>
      <c r="F13" s="2244"/>
      <c r="G13" s="2244"/>
      <c r="H13" s="2244"/>
    </row>
    <row r="14" spans="1:8">
      <c r="A14" s="2242" t="s">
        <v>1474</v>
      </c>
      <c r="B14" s="2244"/>
      <c r="C14" s="2244"/>
      <c r="D14" s="2244"/>
      <c r="E14" s="2244"/>
      <c r="F14" s="2244"/>
      <c r="G14" s="2244"/>
      <c r="H14" s="2244"/>
    </row>
    <row r="15" spans="1:8">
      <c r="A15" s="2242" t="s">
        <v>1475</v>
      </c>
      <c r="B15" s="2244"/>
      <c r="C15" s="2244"/>
      <c r="D15" s="2244"/>
      <c r="E15" s="2244"/>
      <c r="F15" s="2244"/>
      <c r="G15" s="2244"/>
      <c r="H15" s="2244"/>
    </row>
    <row r="16" spans="1:8">
      <c r="A16" s="2242"/>
      <c r="B16" s="2244"/>
      <c r="C16" s="2244"/>
      <c r="D16" s="2244"/>
      <c r="E16" s="2244"/>
      <c r="F16" s="2244"/>
      <c r="G16" s="2244"/>
      <c r="H16" s="2244"/>
    </row>
    <row r="17" spans="1:8">
      <c r="A17" s="2242" t="s">
        <v>1476</v>
      </c>
      <c r="B17" s="2244"/>
      <c r="C17" s="2244"/>
      <c r="D17" s="2244"/>
      <c r="E17" s="2244"/>
      <c r="F17" s="2244"/>
      <c r="G17" s="2244"/>
      <c r="H17" s="2244"/>
    </row>
    <row r="18" spans="1:8">
      <c r="A18" s="2242"/>
      <c r="B18" s="2244"/>
      <c r="C18" s="2244"/>
      <c r="D18" s="2244"/>
      <c r="E18" s="2244"/>
      <c r="F18" s="2244"/>
      <c r="G18" s="2244"/>
      <c r="H18" s="2244"/>
    </row>
    <row r="19" spans="1:8">
      <c r="A19" s="2242" t="s">
        <v>1477</v>
      </c>
      <c r="B19" s="2244"/>
      <c r="C19" s="2244"/>
      <c r="D19" s="2244"/>
      <c r="E19" s="2244"/>
      <c r="F19" s="2244"/>
      <c r="G19" s="2244"/>
      <c r="H19" s="2244"/>
    </row>
    <row r="20" spans="1:8">
      <c r="A20" s="2242"/>
      <c r="B20" s="2244"/>
      <c r="C20" s="2244"/>
      <c r="D20" s="2244"/>
      <c r="E20" s="2244"/>
      <c r="F20" s="2244"/>
      <c r="G20" s="2244"/>
      <c r="H20" s="2244"/>
    </row>
    <row r="21" spans="1:8">
      <c r="A21" s="2243" t="s">
        <v>1478</v>
      </c>
      <c r="B21" s="2244"/>
      <c r="C21" s="2244"/>
      <c r="D21" s="2244"/>
      <c r="E21" s="2244"/>
      <c r="F21" s="2244"/>
      <c r="G21" s="2244"/>
      <c r="H21" s="2244"/>
    </row>
    <row r="22" spans="1:8">
      <c r="A22" s="2244"/>
      <c r="B22" s="2244"/>
      <c r="C22" s="2244"/>
      <c r="D22" s="2244"/>
      <c r="E22" s="2244"/>
      <c r="F22" s="2244"/>
      <c r="G22" s="2244"/>
      <c r="H22" s="2244"/>
    </row>
    <row r="23" spans="1:8">
      <c r="A23" s="2244" t="s">
        <v>1479</v>
      </c>
      <c r="B23" s="2244"/>
      <c r="C23" s="2244"/>
      <c r="D23" s="2244"/>
      <c r="E23" s="2244"/>
      <c r="F23" s="2244"/>
      <c r="G23" s="2244"/>
      <c r="H23" s="2244"/>
    </row>
    <row r="24" spans="1:8">
      <c r="A24" s="2244" t="s">
        <v>1480</v>
      </c>
      <c r="B24" s="2244"/>
      <c r="C24" s="2244"/>
      <c r="D24" s="2244"/>
      <c r="E24" s="2244"/>
      <c r="F24" s="2244"/>
      <c r="G24" s="2244"/>
      <c r="H24" s="2244"/>
    </row>
    <row r="25" spans="1:8">
      <c r="A25" s="2244" t="s">
        <v>1481</v>
      </c>
      <c r="B25" s="2244"/>
      <c r="C25" s="2244"/>
      <c r="D25" s="2244"/>
      <c r="E25" s="2244"/>
      <c r="F25" s="2244"/>
      <c r="G25" s="2244"/>
      <c r="H25" s="2244"/>
    </row>
    <row r="26" spans="1:8">
      <c r="A26" s="2244" t="s">
        <v>1482</v>
      </c>
      <c r="B26" s="2244"/>
      <c r="C26" s="2244"/>
      <c r="D26" s="2244"/>
      <c r="E26" s="2244"/>
      <c r="F26" s="2244"/>
      <c r="G26" s="2244"/>
      <c r="H26" s="2244"/>
    </row>
    <row r="27" spans="1:8">
      <c r="A27" s="2244"/>
      <c r="B27" s="2244"/>
      <c r="C27" s="2244"/>
      <c r="D27" s="2244"/>
      <c r="E27" s="2244"/>
      <c r="F27" s="2244"/>
      <c r="G27" s="2244"/>
      <c r="H27" s="2244"/>
    </row>
    <row r="28" spans="1:8">
      <c r="A28" s="2244" t="s">
        <v>1483</v>
      </c>
      <c r="B28" s="2244"/>
      <c r="C28" s="2244"/>
      <c r="D28" s="2244"/>
      <c r="E28" s="2244"/>
      <c r="F28" s="2244"/>
      <c r="G28" s="2244"/>
      <c r="H28" s="2244"/>
    </row>
    <row r="29" spans="1:8">
      <c r="A29" s="2244" t="s">
        <v>1484</v>
      </c>
      <c r="B29" s="2244"/>
      <c r="C29" s="2244"/>
      <c r="D29" s="2244"/>
      <c r="E29" s="2244"/>
      <c r="F29" s="2244"/>
      <c r="G29" s="2244"/>
      <c r="H29" s="2244"/>
    </row>
    <row r="30" spans="1:8">
      <c r="A30" s="2244" t="s">
        <v>1485</v>
      </c>
      <c r="B30" s="2244"/>
      <c r="C30" s="2244"/>
      <c r="D30" s="2244"/>
      <c r="E30" s="2244"/>
      <c r="F30" s="2244"/>
      <c r="G30" s="2244"/>
      <c r="H30" s="2244"/>
    </row>
    <row r="31" spans="1:8">
      <c r="A31" s="2244" t="s">
        <v>1486</v>
      </c>
      <c r="B31" s="2244"/>
      <c r="C31" s="2244"/>
      <c r="D31" s="2244"/>
      <c r="E31" s="2244"/>
      <c r="F31" s="2244"/>
      <c r="G31" s="2244"/>
      <c r="H31" s="2244"/>
    </row>
    <row r="32" spans="1:8">
      <c r="A32" s="2244" t="s">
        <v>1487</v>
      </c>
      <c r="B32" s="2244"/>
      <c r="C32" s="2244"/>
      <c r="D32" s="2244"/>
      <c r="E32" s="2244"/>
      <c r="F32" s="2244"/>
      <c r="G32" s="2244"/>
      <c r="H32" s="2244"/>
    </row>
    <row r="33" spans="1:8">
      <c r="A33" s="2244" t="s">
        <v>1488</v>
      </c>
      <c r="B33" s="2244"/>
      <c r="C33" s="2244"/>
      <c r="D33" s="2244"/>
      <c r="E33" s="2244"/>
      <c r="F33" s="2244"/>
      <c r="G33" s="2244"/>
      <c r="H33" s="2244"/>
    </row>
    <row r="34" spans="1:8">
      <c r="A34" s="2244" t="s">
        <v>1489</v>
      </c>
      <c r="B34" s="2244"/>
      <c r="C34" s="2244"/>
      <c r="D34" s="2244"/>
      <c r="E34" s="2244"/>
      <c r="F34" s="2244"/>
      <c r="G34" s="2244"/>
      <c r="H34" s="2244"/>
    </row>
    <row r="35" spans="1:8">
      <c r="A35" s="2244" t="s">
        <v>1490</v>
      </c>
      <c r="B35" s="2244"/>
      <c r="C35" s="2244"/>
      <c r="D35" s="2244"/>
      <c r="E35" s="2244"/>
      <c r="F35" s="2244"/>
      <c r="G35" s="2244"/>
      <c r="H35" s="2244"/>
    </row>
    <row r="36" spans="1:8">
      <c r="A36" s="2244" t="s">
        <v>1491</v>
      </c>
      <c r="B36" s="2244"/>
      <c r="C36" s="2244"/>
      <c r="D36" s="2244"/>
      <c r="E36" s="2244"/>
      <c r="F36" s="2244"/>
      <c r="G36" s="2244"/>
      <c r="H36" s="2244"/>
    </row>
    <row r="37" spans="1:8">
      <c r="A37" s="2244" t="s">
        <v>1492</v>
      </c>
      <c r="B37" s="2244"/>
      <c r="C37" s="2244"/>
      <c r="D37" s="2244"/>
      <c r="E37" s="2244"/>
      <c r="F37" s="2244"/>
      <c r="G37" s="2244"/>
      <c r="H37" s="2244"/>
    </row>
    <row r="38" spans="1:8">
      <c r="A38" s="2244" t="s">
        <v>1493</v>
      </c>
      <c r="B38" s="2244"/>
      <c r="C38" s="2244"/>
      <c r="D38" s="2244"/>
      <c r="E38" s="2244"/>
      <c r="F38" s="2244"/>
      <c r="G38" s="2244"/>
      <c r="H38" s="2244"/>
    </row>
    <row r="39" spans="1:8">
      <c r="A39" s="2244" t="s">
        <v>1494</v>
      </c>
      <c r="B39" s="2244"/>
      <c r="C39" s="2244"/>
      <c r="D39" s="2244"/>
      <c r="E39" s="2244"/>
      <c r="F39" s="2244"/>
      <c r="G39" s="2244"/>
      <c r="H39" s="2244"/>
    </row>
    <row r="40" spans="1:8">
      <c r="A40" s="2244" t="s">
        <v>1495</v>
      </c>
      <c r="B40" s="2244"/>
      <c r="C40" s="2244"/>
      <c r="D40" s="2244"/>
      <c r="E40" s="2244"/>
      <c r="F40" s="2244"/>
      <c r="G40" s="2244"/>
      <c r="H40" s="2244"/>
    </row>
    <row r="41" spans="1:8">
      <c r="A41" s="2244" t="s">
        <v>1496</v>
      </c>
      <c r="B41" s="2244"/>
      <c r="C41" s="2244"/>
      <c r="D41" s="2244"/>
      <c r="E41" s="2244"/>
      <c r="F41" s="2244"/>
      <c r="G41" s="2244"/>
      <c r="H41" s="2244"/>
    </row>
    <row r="42" spans="1:8">
      <c r="A42" s="2244" t="s">
        <v>1497</v>
      </c>
      <c r="B42" s="2244"/>
      <c r="C42" s="2244"/>
      <c r="D42" s="2244"/>
      <c r="E42" s="2244"/>
      <c r="F42" s="2244"/>
      <c r="G42" s="2244"/>
      <c r="H42" s="2244"/>
    </row>
    <row r="43" spans="1:8">
      <c r="A43" s="2244" t="s">
        <v>1498</v>
      </c>
      <c r="B43" s="2244"/>
      <c r="C43" s="2244"/>
      <c r="D43" s="2244"/>
      <c r="E43" s="2244"/>
      <c r="F43" s="2244"/>
      <c r="G43" s="2244"/>
      <c r="H43" s="2244"/>
    </row>
    <row r="44" spans="1:8">
      <c r="A44" s="2244" t="s">
        <v>1499</v>
      </c>
      <c r="B44" s="2244"/>
      <c r="C44" s="2244"/>
      <c r="D44" s="2244"/>
      <c r="E44" s="2244"/>
      <c r="F44" s="2244"/>
      <c r="G44" s="2244"/>
      <c r="H44" s="2244"/>
    </row>
    <row r="45" spans="1:8">
      <c r="A45" s="2244" t="s">
        <v>1500</v>
      </c>
      <c r="B45" s="2244"/>
      <c r="C45" s="2244"/>
      <c r="D45" s="2244"/>
      <c r="E45" s="2244"/>
      <c r="F45" s="2244"/>
      <c r="G45" s="2244"/>
      <c r="H45" s="2244"/>
    </row>
    <row r="46" spans="1:8">
      <c r="A46" s="2244" t="s">
        <v>1501</v>
      </c>
      <c r="B46" s="2244"/>
      <c r="C46" s="2244"/>
      <c r="D46" s="2244"/>
      <c r="E46" s="2244"/>
      <c r="F46" s="2244"/>
      <c r="G46" s="2244"/>
      <c r="H46" s="2244"/>
    </row>
    <row r="47" spans="1:8">
      <c r="A47" s="2244" t="s">
        <v>1502</v>
      </c>
      <c r="B47" s="2244"/>
      <c r="C47" s="2244"/>
      <c r="D47" s="2244"/>
      <c r="E47" s="2244"/>
      <c r="F47" s="2244"/>
      <c r="G47" s="2244"/>
      <c r="H47" s="2244"/>
    </row>
    <row r="48" spans="1:8">
      <c r="A48" s="2244" t="s">
        <v>1503</v>
      </c>
      <c r="B48" s="2244"/>
      <c r="C48" s="2244"/>
      <c r="D48" s="2244"/>
      <c r="E48" s="2244"/>
      <c r="F48" s="2244"/>
      <c r="G48" s="2244"/>
      <c r="H48" s="2244"/>
    </row>
    <row r="49" spans="1:8">
      <c r="A49" s="2244" t="s">
        <v>1504</v>
      </c>
      <c r="B49" s="2244"/>
      <c r="C49" s="2244"/>
      <c r="D49" s="2244"/>
      <c r="E49" s="2244"/>
      <c r="F49" s="2244"/>
      <c r="G49" s="2244"/>
      <c r="H49" s="2244"/>
    </row>
    <row r="50" spans="1:8">
      <c r="A50" s="2244" t="s">
        <v>1505</v>
      </c>
      <c r="B50" s="2244"/>
      <c r="C50" s="2244"/>
      <c r="D50" s="2244"/>
      <c r="E50" s="2244"/>
      <c r="F50" s="2244"/>
      <c r="G50" s="2244"/>
      <c r="H50" s="2244"/>
    </row>
    <row r="51" spans="1:8">
      <c r="A51" s="2244"/>
      <c r="B51" s="2244"/>
      <c r="C51" s="2244"/>
      <c r="D51" s="2244"/>
      <c r="E51" s="2244"/>
      <c r="F51" s="2244"/>
      <c r="G51" s="2244"/>
      <c r="H51" s="2244"/>
    </row>
    <row r="52" spans="1:8">
      <c r="A52" s="2244" t="s">
        <v>1506</v>
      </c>
      <c r="B52" s="2244"/>
      <c r="C52" s="2244"/>
      <c r="D52" s="2244"/>
      <c r="E52" s="2244"/>
      <c r="F52" s="2244"/>
      <c r="G52" s="2244"/>
      <c r="H52" s="2244"/>
    </row>
    <row r="53" spans="1:8">
      <c r="A53" s="2244" t="s">
        <v>1507</v>
      </c>
      <c r="B53" s="2244"/>
      <c r="C53" s="2244"/>
      <c r="D53" s="2244"/>
      <c r="E53" s="2244"/>
      <c r="F53" s="2244"/>
      <c r="G53" s="2244"/>
      <c r="H53" s="2244"/>
    </row>
    <row r="54" spans="1:8">
      <c r="A54" s="2244" t="s">
        <v>1508</v>
      </c>
      <c r="B54" s="2244"/>
      <c r="C54" s="2244"/>
      <c r="D54" s="2244"/>
      <c r="E54" s="2244"/>
      <c r="F54" s="2244"/>
      <c r="G54" s="2244"/>
      <c r="H54" s="2244"/>
    </row>
    <row r="55" spans="1:8">
      <c r="A55" s="2244" t="s">
        <v>1509</v>
      </c>
      <c r="B55" s="2244"/>
      <c r="C55" s="2244"/>
      <c r="D55" s="2244"/>
      <c r="E55" s="2244"/>
      <c r="F55" s="2244"/>
      <c r="G55" s="2244"/>
      <c r="H55" s="2244"/>
    </row>
    <row r="56" spans="1:8">
      <c r="A56" s="2244"/>
      <c r="B56" s="2244"/>
      <c r="C56" s="2244"/>
      <c r="D56" s="2244"/>
      <c r="E56" s="2244"/>
      <c r="F56" s="2244"/>
      <c r="G56" s="2244"/>
      <c r="H56" s="2244"/>
    </row>
    <row r="57" spans="1:8">
      <c r="A57" s="2244" t="s">
        <v>1510</v>
      </c>
      <c r="B57" s="2244"/>
      <c r="C57" s="2244"/>
      <c r="D57" s="2244"/>
      <c r="E57" s="2244"/>
      <c r="F57" s="2244"/>
      <c r="G57" s="2244"/>
      <c r="H57" s="2244"/>
    </row>
    <row r="58" spans="1:8">
      <c r="A58" s="2244" t="s">
        <v>1511</v>
      </c>
      <c r="B58" s="2244"/>
      <c r="C58" s="2244"/>
      <c r="D58" s="2244"/>
      <c r="E58" s="2244"/>
      <c r="F58" s="2244"/>
      <c r="G58" s="2244"/>
      <c r="H58" s="2244"/>
    </row>
    <row r="59" spans="1:8">
      <c r="A59" s="2244" t="s">
        <v>1512</v>
      </c>
      <c r="B59" s="2244"/>
      <c r="C59" s="2244"/>
      <c r="D59" s="2244"/>
      <c r="E59" s="2244"/>
      <c r="F59" s="2244"/>
      <c r="G59" s="2244"/>
      <c r="H59" s="2244"/>
    </row>
    <row r="60" spans="1:8">
      <c r="A60" s="2244" t="s">
        <v>1513</v>
      </c>
      <c r="B60" s="2244"/>
      <c r="C60" s="2244"/>
      <c r="D60" s="2244"/>
      <c r="E60" s="2244"/>
      <c r="F60" s="2244"/>
      <c r="G60" s="2244"/>
      <c r="H60" s="2244"/>
    </row>
    <row r="61" spans="1:8">
      <c r="A61" s="2244" t="s">
        <v>1514</v>
      </c>
      <c r="B61" s="2244"/>
      <c r="C61" s="2244"/>
      <c r="D61" s="2244"/>
      <c r="E61" s="2244"/>
      <c r="F61" s="2244"/>
      <c r="G61" s="2244"/>
      <c r="H61" s="2244"/>
    </row>
    <row r="62" spans="1:8">
      <c r="A62" s="2244" t="s">
        <v>1515</v>
      </c>
      <c r="B62" s="2244"/>
      <c r="C62" s="2244"/>
      <c r="D62" s="2244"/>
      <c r="E62" s="2244"/>
      <c r="F62" s="2244"/>
      <c r="G62" s="2244"/>
      <c r="H62" s="2244"/>
    </row>
    <row r="63" spans="1:8">
      <c r="A63" s="2244"/>
      <c r="B63" s="2244"/>
      <c r="C63" s="2244"/>
      <c r="D63" s="2244"/>
      <c r="E63" s="2244"/>
      <c r="F63" s="2244"/>
      <c r="G63" s="2244"/>
      <c r="H63" s="2244"/>
    </row>
    <row r="64" spans="1:8" ht="15.6">
      <c r="A64" s="2245" t="s">
        <v>1516</v>
      </c>
      <c r="B64" s="2244"/>
      <c r="C64" s="2244"/>
      <c r="D64" s="2244"/>
      <c r="E64" s="2244"/>
      <c r="F64" s="2244"/>
      <c r="G64" s="2244"/>
      <c r="H64" s="2244"/>
    </row>
    <row r="65" spans="1:8">
      <c r="A65" s="2244"/>
      <c r="B65" s="2244"/>
      <c r="C65" s="2244"/>
      <c r="D65" s="2244"/>
      <c r="E65" s="2244"/>
      <c r="F65" s="2244"/>
      <c r="G65" s="2244"/>
      <c r="H65" s="2244"/>
    </row>
    <row r="66" spans="1:8">
      <c r="A66" s="2244" t="s">
        <v>1517</v>
      </c>
      <c r="B66" s="2244"/>
      <c r="C66" s="2244"/>
      <c r="D66" s="2244"/>
      <c r="E66" s="2244"/>
      <c r="F66" s="2244"/>
      <c r="G66" s="2244"/>
      <c r="H66" s="2244"/>
    </row>
    <row r="67" spans="1:8">
      <c r="A67" s="2244" t="s">
        <v>1518</v>
      </c>
      <c r="B67" s="2244"/>
      <c r="C67" s="2244"/>
      <c r="D67" s="2244"/>
      <c r="E67" s="2244"/>
      <c r="F67" s="2244"/>
      <c r="G67" s="2244"/>
      <c r="H67" s="2244"/>
    </row>
    <row r="68" spans="1:8">
      <c r="A68" s="2244" t="s">
        <v>1519</v>
      </c>
      <c r="B68" s="2244"/>
      <c r="C68" s="2244"/>
      <c r="D68" s="2244"/>
      <c r="E68" s="2244"/>
      <c r="F68" s="2244"/>
      <c r="G68" s="2244"/>
      <c r="H68" s="2244"/>
    </row>
    <row r="69" spans="1:8">
      <c r="A69" s="2244" t="s">
        <v>1520</v>
      </c>
      <c r="B69" s="2244"/>
      <c r="C69" s="2244"/>
      <c r="D69" s="2244"/>
      <c r="E69" s="2244"/>
      <c r="F69" s="2244"/>
      <c r="G69" s="2244"/>
      <c r="H69" s="2244"/>
    </row>
    <row r="70" spans="1:8">
      <c r="A70" s="2244"/>
      <c r="B70" s="2244"/>
      <c r="C70" s="2244"/>
      <c r="D70" s="2244"/>
      <c r="E70" s="2244"/>
      <c r="F70" s="2244"/>
      <c r="G70" s="2244"/>
      <c r="H70" s="2244"/>
    </row>
    <row r="71" spans="1:8">
      <c r="A71" s="2244" t="s">
        <v>1521</v>
      </c>
      <c r="B71" s="2244"/>
      <c r="C71" s="2244"/>
      <c r="D71" s="2244"/>
      <c r="E71" s="2244"/>
      <c r="F71" s="2244"/>
      <c r="G71" s="2244"/>
      <c r="H71" s="2244"/>
    </row>
    <row r="72" spans="1:8">
      <c r="A72" s="2244"/>
      <c r="B72" s="2244"/>
      <c r="C72" s="2244"/>
      <c r="D72" s="2244"/>
      <c r="E72" s="2244"/>
      <c r="F72" s="2244"/>
      <c r="G72" s="2244"/>
      <c r="H72" s="2244"/>
    </row>
    <row r="73" spans="1:8" ht="15.6">
      <c r="A73" s="2245" t="s">
        <v>1522</v>
      </c>
      <c r="B73" s="2244"/>
      <c r="C73" s="2244"/>
      <c r="D73" s="2244"/>
      <c r="E73" s="2244"/>
      <c r="F73" s="2244"/>
      <c r="G73" s="2244"/>
      <c r="H73" s="2244"/>
    </row>
    <row r="74" spans="1:8">
      <c r="A74" s="2244"/>
      <c r="B74" s="2244"/>
      <c r="C74" s="2244"/>
      <c r="D74" s="2244"/>
      <c r="E74" s="2244"/>
      <c r="F74" s="2244"/>
      <c r="G74" s="2244"/>
      <c r="H74" s="2244"/>
    </row>
    <row r="75" spans="1:8">
      <c r="A75" s="2244" t="s">
        <v>1523</v>
      </c>
      <c r="B75" s="2244"/>
      <c r="C75" s="2244"/>
      <c r="D75" s="2244"/>
      <c r="E75" s="2244"/>
      <c r="F75" s="2244"/>
      <c r="G75" s="2244"/>
      <c r="H75" s="2244"/>
    </row>
    <row r="76" spans="1:8">
      <c r="A76" s="2244" t="s">
        <v>1524</v>
      </c>
      <c r="B76" s="2244"/>
      <c r="C76" s="2244"/>
      <c r="D76" s="2244"/>
      <c r="E76" s="2244"/>
      <c r="F76" s="2244"/>
      <c r="G76" s="2244"/>
      <c r="H76" s="2244"/>
    </row>
    <row r="77" spans="1:8">
      <c r="A77" s="2244" t="s">
        <v>1525</v>
      </c>
      <c r="B77" s="2244"/>
      <c r="C77" s="2244"/>
      <c r="D77" s="2244"/>
      <c r="E77" s="2244"/>
      <c r="F77" s="2244"/>
      <c r="G77" s="2244"/>
      <c r="H77" s="2244"/>
    </row>
    <row r="78" spans="1:8">
      <c r="A78" s="2244"/>
      <c r="B78" s="2244"/>
      <c r="C78" s="2244"/>
      <c r="D78" s="2244"/>
      <c r="E78" s="2244"/>
      <c r="F78" s="2244"/>
      <c r="G78" s="2244"/>
      <c r="H78" s="2244"/>
    </row>
    <row r="79" spans="1:8" ht="15.6">
      <c r="A79" s="2245" t="s">
        <v>1526</v>
      </c>
      <c r="B79" s="2244"/>
      <c r="C79" s="2244"/>
      <c r="D79" s="2244"/>
      <c r="E79" s="2244"/>
      <c r="F79" s="2244"/>
      <c r="G79" s="2244"/>
      <c r="H79" s="2244"/>
    </row>
    <row r="80" spans="1:8">
      <c r="A80" s="2244"/>
      <c r="B80" s="2244"/>
      <c r="C80" s="2244"/>
      <c r="D80" s="2244"/>
      <c r="E80" s="2244"/>
      <c r="F80" s="2244"/>
      <c r="G80" s="2244"/>
      <c r="H80" s="2244"/>
    </row>
    <row r="81" spans="1:8">
      <c r="A81" s="2244" t="s">
        <v>1527</v>
      </c>
      <c r="B81" s="2244"/>
      <c r="C81" s="2244"/>
      <c r="D81" s="2244"/>
      <c r="E81" s="2244"/>
      <c r="F81" s="2244"/>
      <c r="G81" s="2244"/>
      <c r="H81" s="2244"/>
    </row>
    <row r="82" spans="1:8">
      <c r="A82" s="2244" t="s">
        <v>1528</v>
      </c>
      <c r="B82" s="2244"/>
      <c r="C82" s="2244"/>
      <c r="D82" s="2244"/>
      <c r="E82" s="2244"/>
      <c r="F82" s="2244"/>
      <c r="G82" s="2244"/>
      <c r="H82" s="2244"/>
    </row>
    <row r="83" spans="1:8">
      <c r="A83" s="2244"/>
      <c r="B83" s="2244"/>
      <c r="C83" s="2244"/>
      <c r="D83" s="2244"/>
      <c r="E83" s="2244"/>
      <c r="F83" s="2244"/>
      <c r="G83" s="2244"/>
      <c r="H83" s="2244"/>
    </row>
    <row r="84" spans="1:8">
      <c r="A84" s="2244" t="s">
        <v>1529</v>
      </c>
      <c r="B84" s="2244"/>
      <c r="C84" s="2244"/>
      <c r="D84" s="2244"/>
      <c r="E84" s="2244"/>
      <c r="F84" s="2244"/>
      <c r="G84" s="2244"/>
      <c r="H84" s="2244"/>
    </row>
    <row r="85" spans="1:8">
      <c r="A85" s="2244" t="s">
        <v>1530</v>
      </c>
      <c r="B85" s="2244"/>
      <c r="C85" s="2244"/>
      <c r="D85" s="2244"/>
      <c r="E85" s="2244"/>
      <c r="F85" s="2244"/>
      <c r="G85" s="2244"/>
      <c r="H85" s="2244"/>
    </row>
    <row r="86" spans="1:8">
      <c r="A86" s="2244"/>
      <c r="B86" s="2244"/>
      <c r="C86" s="2244"/>
      <c r="D86" s="2244"/>
      <c r="E86" s="2244"/>
      <c r="F86" s="2244"/>
      <c r="G86" s="2244"/>
      <c r="H86" s="2244"/>
    </row>
    <row r="87" spans="1:8">
      <c r="A87" s="2244" t="s">
        <v>1531</v>
      </c>
      <c r="B87" s="2244"/>
      <c r="C87" s="2244"/>
      <c r="D87" s="2244"/>
      <c r="E87" s="2244"/>
      <c r="F87" s="2244"/>
      <c r="G87" s="2244"/>
      <c r="H87" s="2244"/>
    </row>
    <row r="88" spans="1:8">
      <c r="A88" s="2244" t="s">
        <v>1532</v>
      </c>
      <c r="B88" s="2244"/>
      <c r="C88" s="2244"/>
      <c r="D88" s="2244"/>
      <c r="E88" s="2244"/>
      <c r="F88" s="2244"/>
      <c r="G88" s="2244"/>
      <c r="H88" s="2244"/>
    </row>
    <row r="89" spans="1:8">
      <c r="A89" s="2244"/>
      <c r="B89" s="2244"/>
      <c r="C89" s="2244"/>
      <c r="D89" s="2244"/>
      <c r="E89" s="2244"/>
      <c r="F89" s="2244"/>
      <c r="G89" s="2244"/>
      <c r="H89" s="2244"/>
    </row>
    <row r="90" spans="1:8">
      <c r="A90" s="2244" t="s">
        <v>1533</v>
      </c>
      <c r="B90" s="2244"/>
      <c r="C90" s="2244"/>
      <c r="D90" s="2244"/>
      <c r="E90" s="2244"/>
      <c r="F90" s="2244"/>
      <c r="G90" s="2244"/>
      <c r="H90" s="2244"/>
    </row>
    <row r="91" spans="1:8">
      <c r="A91" s="2244" t="s">
        <v>1534</v>
      </c>
      <c r="B91" s="2244"/>
      <c r="C91" s="2244"/>
      <c r="D91" s="2244"/>
      <c r="E91" s="2244"/>
      <c r="F91" s="2244"/>
      <c r="G91" s="2244"/>
      <c r="H91" s="2244"/>
    </row>
    <row r="92" spans="1:8">
      <c r="A92" s="2244"/>
      <c r="B92" s="2244"/>
      <c r="C92" s="2244"/>
      <c r="D92" s="2244"/>
      <c r="E92" s="2244"/>
      <c r="F92" s="2244"/>
      <c r="G92" s="2244"/>
      <c r="H92" s="2244"/>
    </row>
    <row r="93" spans="1:8">
      <c r="A93" s="2244" t="s">
        <v>1535</v>
      </c>
      <c r="B93" s="2244"/>
      <c r="C93" s="2244"/>
      <c r="D93" s="2244"/>
      <c r="E93" s="2244"/>
      <c r="F93" s="2244"/>
      <c r="G93" s="2244"/>
      <c r="H93" s="2244"/>
    </row>
    <row r="94" spans="1:8">
      <c r="A94" s="2244" t="s">
        <v>1536</v>
      </c>
      <c r="B94" s="2244"/>
      <c r="C94" s="2244"/>
      <c r="D94" s="2244"/>
      <c r="E94" s="2244"/>
      <c r="F94" s="2244"/>
      <c r="G94" s="2244"/>
      <c r="H94" s="2244"/>
    </row>
    <row r="95" spans="1:8">
      <c r="A95" s="2244"/>
      <c r="B95" s="2244"/>
      <c r="C95" s="2244"/>
      <c r="D95" s="2244"/>
      <c r="E95" s="2244"/>
      <c r="F95" s="2244"/>
      <c r="G95" s="2244"/>
      <c r="H95" s="2244"/>
    </row>
    <row r="96" spans="1:8">
      <c r="A96" s="2244" t="s">
        <v>1537</v>
      </c>
      <c r="B96" s="2244"/>
      <c r="C96" s="2244"/>
      <c r="D96" s="2244"/>
      <c r="E96" s="2244"/>
      <c r="F96" s="2244"/>
      <c r="G96" s="2244"/>
      <c r="H96" s="2244"/>
    </row>
    <row r="97" spans="1:8">
      <c r="A97" s="2244" t="s">
        <v>1538</v>
      </c>
      <c r="B97" s="2244"/>
      <c r="C97" s="2244"/>
      <c r="D97" s="2244"/>
      <c r="E97" s="2244"/>
      <c r="F97" s="2244"/>
      <c r="G97" s="2244"/>
      <c r="H97" s="2244"/>
    </row>
    <row r="98" spans="1:8">
      <c r="A98" s="2244" t="s">
        <v>1539</v>
      </c>
      <c r="B98" s="2244"/>
      <c r="C98" s="2244"/>
      <c r="D98" s="2244"/>
      <c r="E98" s="2244"/>
      <c r="F98" s="2244"/>
      <c r="G98" s="2244"/>
      <c r="H98" s="2244"/>
    </row>
    <row r="99" spans="1:8">
      <c r="A99" s="2244"/>
      <c r="B99" s="2244"/>
      <c r="C99" s="2244"/>
      <c r="D99" s="2244"/>
      <c r="E99" s="2244"/>
      <c r="F99" s="2244"/>
      <c r="G99" s="2244"/>
      <c r="H99" s="2244"/>
    </row>
    <row r="100" spans="1:8">
      <c r="A100" s="2244" t="s">
        <v>1540</v>
      </c>
      <c r="B100" s="2244"/>
      <c r="C100" s="2244"/>
      <c r="D100" s="2244"/>
      <c r="E100" s="2244"/>
      <c r="F100" s="2244"/>
      <c r="G100" s="2244"/>
      <c r="H100" s="2244"/>
    </row>
    <row r="101" spans="1:8">
      <c r="A101" s="2244" t="s">
        <v>1541</v>
      </c>
      <c r="B101" s="2244"/>
      <c r="C101" s="2244"/>
      <c r="D101" s="2244"/>
      <c r="E101" s="2244"/>
      <c r="F101" s="2244"/>
      <c r="G101" s="2244"/>
      <c r="H101" s="2244"/>
    </row>
    <row r="102" spans="1:8">
      <c r="A102" s="2244" t="s">
        <v>1542</v>
      </c>
      <c r="B102" s="2244"/>
      <c r="C102" s="2244"/>
      <c r="D102" s="2244"/>
      <c r="E102" s="2244"/>
      <c r="F102" s="2244"/>
      <c r="G102" s="2244"/>
      <c r="H102" s="2244"/>
    </row>
    <row r="103" spans="1:8">
      <c r="A103" s="2244" t="s">
        <v>1543</v>
      </c>
      <c r="B103" s="2244"/>
      <c r="C103" s="2244"/>
      <c r="D103" s="2244"/>
      <c r="E103" s="2244"/>
      <c r="F103" s="2244"/>
      <c r="G103" s="2244"/>
      <c r="H103" s="2244"/>
    </row>
    <row r="104" spans="1:8">
      <c r="A104" s="2244" t="s">
        <v>1544</v>
      </c>
      <c r="B104" s="2244"/>
      <c r="C104" s="2244"/>
      <c r="D104" s="2244"/>
      <c r="E104" s="2244"/>
      <c r="F104" s="2244"/>
      <c r="G104" s="2244"/>
      <c r="H104" s="2244"/>
    </row>
    <row r="105" spans="1:8">
      <c r="A105" s="2244" t="s">
        <v>1545</v>
      </c>
      <c r="B105" s="2244"/>
      <c r="C105" s="2244"/>
      <c r="D105" s="2244"/>
      <c r="E105" s="2244"/>
      <c r="F105" s="2244"/>
      <c r="G105" s="2244"/>
      <c r="H105" s="2244"/>
    </row>
    <row r="106" spans="1:8">
      <c r="A106" s="2244"/>
      <c r="B106" s="2244"/>
      <c r="C106" s="2244"/>
      <c r="D106" s="2244"/>
      <c r="E106" s="2244"/>
      <c r="F106" s="2244"/>
      <c r="G106" s="2244"/>
      <c r="H106" s="2244"/>
    </row>
    <row r="107" spans="1:8">
      <c r="A107" s="2244" t="s">
        <v>1546</v>
      </c>
      <c r="B107" s="2244"/>
      <c r="C107" s="2244"/>
      <c r="D107" s="2244"/>
      <c r="E107" s="2244"/>
      <c r="F107" s="2244"/>
      <c r="G107" s="2244"/>
      <c r="H107" s="2244"/>
    </row>
    <row r="108" spans="1:8">
      <c r="A108" s="2244" t="s">
        <v>1547</v>
      </c>
      <c r="B108" s="2244"/>
      <c r="C108" s="2244"/>
      <c r="D108" s="2244"/>
      <c r="E108" s="2244"/>
      <c r="F108" s="2244"/>
      <c r="G108" s="2244"/>
      <c r="H108" s="2244"/>
    </row>
    <row r="109" spans="1:8">
      <c r="A109" s="2244" t="s">
        <v>1548</v>
      </c>
      <c r="B109" s="2244"/>
      <c r="C109" s="2244"/>
      <c r="D109" s="2244"/>
      <c r="E109" s="2244"/>
      <c r="F109" s="2244"/>
      <c r="G109" s="2244"/>
      <c r="H109" s="2244"/>
    </row>
    <row r="110" spans="1:8">
      <c r="A110" s="2244" t="s">
        <v>1549</v>
      </c>
      <c r="B110" s="2244"/>
      <c r="C110" s="2244"/>
      <c r="D110" s="2244"/>
      <c r="E110" s="2244"/>
      <c r="F110" s="2244"/>
      <c r="G110" s="2244"/>
      <c r="H110" s="2244"/>
    </row>
    <row r="111" spans="1:8">
      <c r="A111" s="2244" t="s">
        <v>1550</v>
      </c>
      <c r="B111" s="2244"/>
      <c r="C111" s="2244"/>
      <c r="D111" s="2244"/>
      <c r="E111" s="2244"/>
      <c r="F111" s="2244"/>
      <c r="G111" s="2244"/>
      <c r="H111" s="2244"/>
    </row>
    <row r="112" spans="1:8">
      <c r="A112" s="2244" t="s">
        <v>1551</v>
      </c>
      <c r="B112" s="2244"/>
      <c r="C112" s="2244"/>
      <c r="D112" s="2244"/>
      <c r="E112" s="2244"/>
      <c r="F112" s="2244"/>
      <c r="G112" s="2244"/>
      <c r="H112" s="2244"/>
    </row>
    <row r="113" spans="1:8">
      <c r="A113" s="2244" t="s">
        <v>1552</v>
      </c>
      <c r="B113" s="2244"/>
      <c r="C113" s="2244"/>
      <c r="D113" s="2244"/>
      <c r="E113" s="2244"/>
      <c r="F113" s="2244"/>
      <c r="G113" s="2244"/>
      <c r="H113" s="2244"/>
    </row>
    <row r="114" spans="1:8">
      <c r="A114" s="2244"/>
      <c r="B114" s="2244"/>
      <c r="C114" s="2244"/>
      <c r="D114" s="2244"/>
      <c r="E114" s="2244"/>
      <c r="F114" s="2244"/>
      <c r="G114" s="2244"/>
      <c r="H114" s="2244"/>
    </row>
    <row r="115" spans="1:8">
      <c r="A115" s="2244" t="s">
        <v>1553</v>
      </c>
      <c r="B115" s="2244"/>
      <c r="C115" s="2244"/>
      <c r="D115" s="2244"/>
      <c r="E115" s="2244"/>
      <c r="F115" s="2244"/>
      <c r="G115" s="2244"/>
      <c r="H115" s="2244"/>
    </row>
    <row r="116" spans="1:8">
      <c r="A116" s="2244" t="s">
        <v>1554</v>
      </c>
      <c r="B116" s="2244"/>
      <c r="C116" s="2244"/>
      <c r="D116" s="2244"/>
      <c r="E116" s="2244"/>
      <c r="F116" s="2244"/>
      <c r="G116" s="2244"/>
      <c r="H116" s="2244"/>
    </row>
    <row r="117" spans="1:8">
      <c r="A117" s="2244"/>
      <c r="B117" s="2244"/>
      <c r="C117" s="2244"/>
      <c r="D117" s="2244"/>
      <c r="E117" s="2244"/>
      <c r="F117" s="2244"/>
      <c r="G117" s="2244"/>
      <c r="H117" s="2244"/>
    </row>
    <row r="118" spans="1:8" ht="15.6">
      <c r="A118" s="2245" t="s">
        <v>1555</v>
      </c>
      <c r="B118" s="2244"/>
      <c r="C118" s="2244"/>
      <c r="D118" s="2244"/>
      <c r="E118" s="2244"/>
      <c r="F118" s="2244"/>
      <c r="G118" s="2244"/>
      <c r="H118" s="2244"/>
    </row>
    <row r="119" spans="1:8">
      <c r="A119" s="2244"/>
      <c r="B119" s="2244"/>
      <c r="C119" s="2244"/>
      <c r="D119" s="2244"/>
      <c r="E119" s="2244"/>
      <c r="F119" s="2244"/>
      <c r="G119" s="2244"/>
      <c r="H119" s="2244"/>
    </row>
    <row r="120" spans="1:8">
      <c r="A120" s="2244" t="s">
        <v>1556</v>
      </c>
      <c r="B120" s="2244"/>
      <c r="C120" s="2244"/>
      <c r="D120" s="2244"/>
      <c r="E120" s="2244"/>
      <c r="F120" s="2244"/>
      <c r="G120" s="2244"/>
      <c r="H120" s="2244"/>
    </row>
    <row r="121" spans="1:8">
      <c r="A121" s="2244" t="s">
        <v>1557</v>
      </c>
      <c r="B121" s="2244"/>
      <c r="C121" s="2244"/>
      <c r="D121" s="2244"/>
      <c r="E121" s="2244"/>
      <c r="F121" s="2244"/>
      <c r="G121" s="2244"/>
      <c r="H121" s="2244"/>
    </row>
    <row r="122" spans="1:8">
      <c r="A122" s="2244" t="s">
        <v>1558</v>
      </c>
      <c r="B122" s="2244"/>
      <c r="C122" s="2244"/>
      <c r="D122" s="2244"/>
      <c r="E122" s="2244"/>
      <c r="F122" s="2244"/>
      <c r="G122" s="2244"/>
      <c r="H122" s="2244"/>
    </row>
    <row r="123" spans="1:8">
      <c r="A123" s="2244" t="s">
        <v>1559</v>
      </c>
      <c r="B123" s="2244"/>
      <c r="C123" s="2244"/>
      <c r="D123" s="2244"/>
      <c r="E123" s="2244"/>
      <c r="F123" s="2244"/>
      <c r="G123" s="2244"/>
      <c r="H123" s="2244"/>
    </row>
    <row r="124" spans="1:8">
      <c r="A124" s="2244" t="s">
        <v>1560</v>
      </c>
      <c r="B124" s="2244"/>
      <c r="C124" s="2244"/>
      <c r="D124" s="2244"/>
      <c r="E124" s="2244"/>
      <c r="F124" s="2244"/>
      <c r="G124" s="2244"/>
      <c r="H124" s="2244"/>
    </row>
    <row r="125" spans="1:8">
      <c r="A125" s="2244" t="s">
        <v>1561</v>
      </c>
      <c r="B125" s="2244"/>
      <c r="C125" s="2244"/>
      <c r="D125" s="2244"/>
      <c r="E125" s="2244"/>
      <c r="F125" s="2244"/>
      <c r="G125" s="2244"/>
      <c r="H125" s="2244"/>
    </row>
    <row r="126" spans="1:8">
      <c r="A126" s="2244" t="s">
        <v>1562</v>
      </c>
      <c r="B126" s="2244"/>
      <c r="C126" s="2244"/>
      <c r="D126" s="2244"/>
      <c r="E126" s="2244"/>
      <c r="F126" s="2244"/>
      <c r="G126" s="2244"/>
      <c r="H126" s="2244"/>
    </row>
    <row r="127" spans="1:8">
      <c r="A127" s="2244" t="s">
        <v>1563</v>
      </c>
      <c r="B127" s="2244"/>
      <c r="C127" s="2244"/>
      <c r="D127" s="2244"/>
      <c r="E127" s="2244"/>
      <c r="F127" s="2244"/>
      <c r="G127" s="2244"/>
      <c r="H127" s="2244"/>
    </row>
    <row r="128" spans="1:8">
      <c r="A128" s="2244" t="s">
        <v>1564</v>
      </c>
      <c r="B128" s="2244"/>
      <c r="C128" s="2244"/>
      <c r="D128" s="2244"/>
      <c r="E128" s="2244"/>
      <c r="F128" s="2244"/>
      <c r="G128" s="2244"/>
      <c r="H128" s="2244"/>
    </row>
    <row r="129" spans="1:8">
      <c r="A129" s="2244"/>
      <c r="B129" s="2244"/>
      <c r="C129" s="2244"/>
      <c r="D129" s="2244"/>
      <c r="E129" s="2244"/>
      <c r="F129" s="2244"/>
      <c r="G129" s="2244"/>
      <c r="H129" s="2244"/>
    </row>
    <row r="130" spans="1:8" ht="15.6">
      <c r="A130" s="2245" t="s">
        <v>1565</v>
      </c>
      <c r="B130" s="2244"/>
      <c r="C130" s="2244"/>
      <c r="D130" s="2244"/>
      <c r="E130" s="2244"/>
      <c r="F130" s="2244"/>
      <c r="G130" s="2244"/>
      <c r="H130" s="2244"/>
    </row>
    <row r="131" spans="1:8">
      <c r="A131" s="2244"/>
      <c r="B131" s="2244"/>
      <c r="C131" s="2244"/>
      <c r="D131" s="2244"/>
      <c r="E131" s="2244"/>
      <c r="F131" s="2244"/>
      <c r="G131" s="2244"/>
      <c r="H131" s="2244"/>
    </row>
    <row r="132" spans="1:8">
      <c r="A132" s="2244" t="s">
        <v>1566</v>
      </c>
      <c r="B132" s="2244"/>
      <c r="C132" s="2244"/>
      <c r="D132" s="2244"/>
      <c r="E132" s="2244"/>
      <c r="F132" s="2244"/>
      <c r="G132" s="2244"/>
      <c r="H132" s="2244"/>
    </row>
    <row r="133" spans="1:8">
      <c r="A133" s="2244"/>
      <c r="B133" s="2244"/>
      <c r="C133" s="2244"/>
      <c r="D133" s="2244"/>
      <c r="E133" s="2244"/>
      <c r="F133" s="2244"/>
      <c r="G133" s="2244"/>
      <c r="H133" s="2244"/>
    </row>
    <row r="134" spans="1:8">
      <c r="A134" s="2244" t="s">
        <v>1567</v>
      </c>
      <c r="B134" s="2244"/>
      <c r="C134" s="2244"/>
      <c r="D134" s="2244"/>
      <c r="E134" s="2244"/>
      <c r="F134" s="2244"/>
      <c r="G134" s="2244"/>
      <c r="H134" s="2244"/>
    </row>
    <row r="135" spans="1:8">
      <c r="A135" s="2244" t="s">
        <v>1568</v>
      </c>
      <c r="B135" s="2244"/>
      <c r="C135" s="2244"/>
      <c r="D135" s="2244"/>
      <c r="E135" s="2244"/>
      <c r="F135" s="2244"/>
      <c r="G135" s="2244"/>
      <c r="H135" s="2244"/>
    </row>
    <row r="136" spans="1:8">
      <c r="A136" s="2244"/>
      <c r="B136" s="2244"/>
      <c r="C136" s="2244"/>
      <c r="D136" s="2244"/>
      <c r="E136" s="2244"/>
      <c r="F136" s="2244"/>
      <c r="G136" s="2244"/>
      <c r="H136" s="2244"/>
    </row>
    <row r="137" spans="1:8">
      <c r="A137" s="2244" t="s">
        <v>1569</v>
      </c>
      <c r="B137" s="2244"/>
      <c r="C137" s="2244"/>
      <c r="D137" s="2244"/>
      <c r="E137" s="2244"/>
      <c r="F137" s="2244"/>
      <c r="G137" s="2244"/>
      <c r="H137" s="2244"/>
    </row>
    <row r="138" spans="1:8">
      <c r="A138" s="2244" t="s">
        <v>1570</v>
      </c>
      <c r="B138" s="2244"/>
      <c r="C138" s="2244"/>
      <c r="D138" s="2244"/>
      <c r="E138" s="2244"/>
      <c r="F138" s="2244"/>
      <c r="G138" s="2244"/>
      <c r="H138" s="2244"/>
    </row>
    <row r="139" spans="1:8">
      <c r="A139" s="2244" t="s">
        <v>1571</v>
      </c>
      <c r="B139" s="2244"/>
      <c r="C139" s="2244"/>
      <c r="D139" s="2244"/>
      <c r="E139" s="2244"/>
      <c r="F139" s="2244"/>
      <c r="G139" s="2244"/>
      <c r="H139" s="2244"/>
    </row>
    <row r="140" spans="1:8">
      <c r="A140" s="2244" t="s">
        <v>1572</v>
      </c>
      <c r="B140" s="2244"/>
      <c r="C140" s="2244"/>
      <c r="D140" s="2244"/>
      <c r="E140" s="2244"/>
      <c r="F140" s="2244"/>
      <c r="G140" s="2244"/>
      <c r="H140" s="2244"/>
    </row>
    <row r="141" spans="1:8">
      <c r="A141" s="2244" t="s">
        <v>1573</v>
      </c>
      <c r="B141" s="2244"/>
      <c r="C141" s="2244"/>
      <c r="D141" s="2244"/>
      <c r="E141" s="2244"/>
      <c r="F141" s="2244"/>
      <c r="G141" s="2244"/>
      <c r="H141" s="2244"/>
    </row>
    <row r="142" spans="1:8">
      <c r="A142" s="2244" t="s">
        <v>1574</v>
      </c>
      <c r="B142" s="2244"/>
      <c r="C142" s="2244"/>
      <c r="D142" s="2244"/>
      <c r="E142" s="2244"/>
      <c r="F142" s="2244"/>
      <c r="G142" s="2244"/>
      <c r="H142" s="2244"/>
    </row>
    <row r="143" spans="1:8">
      <c r="A143" s="2244" t="s">
        <v>1575</v>
      </c>
      <c r="B143" s="2244"/>
      <c r="C143" s="2244"/>
      <c r="D143" s="2244"/>
      <c r="E143" s="2244"/>
      <c r="F143" s="2244"/>
      <c r="G143" s="2244"/>
      <c r="H143" s="2244"/>
    </row>
    <row r="144" spans="1:8">
      <c r="A144" s="2244"/>
      <c r="B144" s="2244"/>
      <c r="C144" s="2244"/>
      <c r="D144" s="2244"/>
      <c r="E144" s="2244"/>
      <c r="F144" s="2244"/>
      <c r="G144" s="2244"/>
      <c r="H144" s="2244"/>
    </row>
    <row r="145" spans="1:8">
      <c r="A145" s="2246"/>
      <c r="B145" s="2247" t="s">
        <v>1576</v>
      </c>
      <c r="C145" s="2247"/>
      <c r="D145" s="2247" t="s">
        <v>1577</v>
      </c>
      <c r="E145" s="2247"/>
      <c r="F145" s="2247"/>
      <c r="G145" s="2247" t="s">
        <v>1578</v>
      </c>
      <c r="H145" s="2247"/>
    </row>
    <row r="146" spans="1:8">
      <c r="A146" s="2246" t="s">
        <v>1579</v>
      </c>
      <c r="B146" s="2246" t="s">
        <v>1580</v>
      </c>
      <c r="C146" s="2246" t="s">
        <v>1581</v>
      </c>
      <c r="D146" s="2246" t="s">
        <v>1580</v>
      </c>
      <c r="E146" s="2246" t="s">
        <v>1582</v>
      </c>
      <c r="F146" s="2246" t="s">
        <v>1583</v>
      </c>
      <c r="G146" s="2246" t="s">
        <v>1580</v>
      </c>
      <c r="H146" s="2246" t="s">
        <v>1584</v>
      </c>
    </row>
    <row r="147" spans="1:8">
      <c r="A147" s="2246" t="s">
        <v>1585</v>
      </c>
      <c r="B147" s="2246">
        <v>1520</v>
      </c>
      <c r="C147" s="2246">
        <v>0.41</v>
      </c>
      <c r="D147" s="2246">
        <v>425</v>
      </c>
      <c r="E147" s="2246">
        <v>0.48</v>
      </c>
      <c r="F147" s="2246">
        <v>0.28000000000000003</v>
      </c>
      <c r="G147" s="2246">
        <v>685</v>
      </c>
      <c r="H147" s="2246">
        <v>0.42</v>
      </c>
    </row>
    <row r="148" spans="1:8">
      <c r="A148" s="2246" t="s">
        <v>1586</v>
      </c>
      <c r="B148" s="2246">
        <v>1579</v>
      </c>
      <c r="C148" s="2246">
        <v>0.43</v>
      </c>
      <c r="D148" s="2246">
        <v>375</v>
      </c>
      <c r="E148" s="2246">
        <v>0.42</v>
      </c>
      <c r="F148" s="2246">
        <v>0.24</v>
      </c>
      <c r="G148" s="2246">
        <v>713</v>
      </c>
      <c r="H148" s="2246">
        <v>0.44</v>
      </c>
    </row>
    <row r="149" spans="1:8">
      <c r="A149" s="2246" t="s">
        <v>1587</v>
      </c>
      <c r="B149" s="2246">
        <v>4</v>
      </c>
      <c r="C149" s="2246">
        <v>0</v>
      </c>
      <c r="D149" s="2246">
        <v>1</v>
      </c>
      <c r="E149" s="2246">
        <v>0</v>
      </c>
      <c r="F149" s="2246">
        <v>0.25</v>
      </c>
      <c r="G149" s="2246">
        <v>1</v>
      </c>
      <c r="H149" s="2246">
        <v>0</v>
      </c>
    </row>
    <row r="150" spans="1:8">
      <c r="A150" s="2246" t="s">
        <v>1588</v>
      </c>
      <c r="B150" s="2246">
        <v>592</v>
      </c>
      <c r="C150" s="2246">
        <v>0.16</v>
      </c>
      <c r="D150" s="2246">
        <v>89</v>
      </c>
      <c r="E150" s="2246">
        <v>0.1</v>
      </c>
      <c r="F150" s="2246">
        <v>0.15</v>
      </c>
      <c r="G150" s="2246">
        <v>232</v>
      </c>
      <c r="H150" s="2246">
        <v>0.14000000000000001</v>
      </c>
    </row>
    <row r="151" spans="1:8">
      <c r="A151" s="2246" t="s">
        <v>588</v>
      </c>
      <c r="B151" s="2246">
        <v>3695</v>
      </c>
      <c r="C151" s="2246"/>
      <c r="D151" s="2246">
        <v>890</v>
      </c>
      <c r="E151" s="2246"/>
      <c r="F151" s="2246"/>
      <c r="G151" s="2246">
        <v>1631</v>
      </c>
      <c r="H151" s="2246"/>
    </row>
    <row r="152" spans="1:8">
      <c r="A152" s="2244"/>
      <c r="B152" s="2244"/>
      <c r="C152" s="2244"/>
      <c r="D152" s="2244"/>
      <c r="E152" s="2244"/>
      <c r="F152" s="2244"/>
      <c r="G152" s="2244"/>
      <c r="H152" s="2244"/>
    </row>
    <row r="153" spans="1:8">
      <c r="A153" s="2244" t="s">
        <v>1589</v>
      </c>
      <c r="B153" s="2244"/>
      <c r="C153" s="2244"/>
      <c r="D153" s="2244"/>
      <c r="E153" s="2244"/>
      <c r="F153" s="2244"/>
      <c r="G153" s="2244"/>
      <c r="H153" s="2244"/>
    </row>
    <row r="154" spans="1:8">
      <c r="A154" s="2244" t="s">
        <v>1590</v>
      </c>
      <c r="B154" s="2244"/>
      <c r="C154" s="2244"/>
      <c r="D154" s="2244"/>
      <c r="E154" s="2244"/>
      <c r="F154" s="2244"/>
      <c r="G154" s="2244"/>
      <c r="H154" s="2244"/>
    </row>
    <row r="155" spans="1:8">
      <c r="A155" s="2244" t="s">
        <v>1591</v>
      </c>
      <c r="B155" s="2244"/>
      <c r="C155" s="2244"/>
      <c r="D155" s="2244"/>
      <c r="E155" s="2244"/>
      <c r="F155" s="2244"/>
      <c r="G155" s="2244"/>
      <c r="H155" s="2244"/>
    </row>
    <row r="156" spans="1:8">
      <c r="A156" s="2244" t="s">
        <v>1592</v>
      </c>
      <c r="B156" s="2244"/>
      <c r="C156" s="2244"/>
      <c r="D156" s="2244"/>
      <c r="E156" s="2244"/>
      <c r="F156" s="2244"/>
      <c r="G156" s="2244"/>
      <c r="H156" s="2244"/>
    </row>
    <row r="157" spans="1:8">
      <c r="A157" s="2244"/>
      <c r="B157" s="2244"/>
      <c r="C157" s="2244"/>
      <c r="D157" s="2244"/>
      <c r="E157" s="2244"/>
      <c r="F157" s="2244"/>
      <c r="G157" s="2244"/>
      <c r="H157" s="2244"/>
    </row>
    <row r="158" spans="1:8" ht="15.6">
      <c r="A158" s="2245" t="s">
        <v>1593</v>
      </c>
      <c r="B158" s="2244"/>
      <c r="C158" s="2244"/>
      <c r="D158" s="2244"/>
      <c r="E158" s="2244"/>
      <c r="F158" s="2244"/>
      <c r="G158" s="2244"/>
      <c r="H158" s="2244"/>
    </row>
    <row r="159" spans="1:8">
      <c r="A159" s="2244"/>
      <c r="B159" s="2244"/>
      <c r="C159" s="2244"/>
      <c r="D159" s="2244"/>
      <c r="E159" s="2244"/>
      <c r="F159" s="2244"/>
      <c r="G159" s="2244"/>
      <c r="H159" s="2244"/>
    </row>
    <row r="160" spans="1:8">
      <c r="A160" s="2244" t="s">
        <v>1594</v>
      </c>
      <c r="B160" s="2244"/>
      <c r="C160" s="2244"/>
      <c r="D160" s="2244"/>
      <c r="E160" s="2244"/>
      <c r="F160" s="2244"/>
      <c r="G160" s="2244"/>
      <c r="H160" s="2244"/>
    </row>
    <row r="161" spans="1:8">
      <c r="A161" s="2244" t="s">
        <v>1595</v>
      </c>
      <c r="B161" s="2244"/>
      <c r="C161" s="2244"/>
      <c r="D161" s="2244"/>
      <c r="E161" s="2244"/>
      <c r="F161" s="2244"/>
      <c r="G161" s="2244"/>
      <c r="H161" s="2244"/>
    </row>
    <row r="162" spans="1:8">
      <c r="A162" s="2244"/>
      <c r="B162" s="2244"/>
      <c r="C162" s="2244"/>
      <c r="D162" s="2244"/>
      <c r="E162" s="2244"/>
      <c r="F162" s="2244"/>
      <c r="G162" s="2244"/>
      <c r="H162" s="2244"/>
    </row>
    <row r="163" spans="1:8">
      <c r="A163" s="2244" t="s">
        <v>1596</v>
      </c>
      <c r="B163" s="2244"/>
      <c r="C163" s="2244"/>
      <c r="D163" s="2244"/>
      <c r="E163" s="2244"/>
      <c r="F163" s="2244"/>
      <c r="G163" s="2244"/>
      <c r="H163" s="2244"/>
    </row>
    <row r="164" spans="1:8">
      <c r="A164" s="2244" t="s">
        <v>1597</v>
      </c>
      <c r="B164" s="2244"/>
      <c r="C164" s="2244"/>
      <c r="D164" s="2244"/>
      <c r="E164" s="2244"/>
      <c r="F164" s="2244"/>
      <c r="G164" s="2244"/>
      <c r="H164" s="2244"/>
    </row>
    <row r="165" spans="1:8">
      <c r="A165" s="2244" t="s">
        <v>1598</v>
      </c>
      <c r="B165" s="2244"/>
      <c r="C165" s="2244"/>
      <c r="D165" s="2244"/>
      <c r="E165" s="2244"/>
      <c r="F165" s="2244"/>
      <c r="G165" s="2244"/>
      <c r="H165" s="2244"/>
    </row>
    <row r="166" spans="1:8">
      <c r="A166" s="2244"/>
      <c r="B166" s="2244"/>
      <c r="C166" s="2244"/>
      <c r="D166" s="2244"/>
      <c r="E166" s="2244"/>
      <c r="F166" s="2244"/>
      <c r="G166" s="2244"/>
      <c r="H166" s="2244"/>
    </row>
    <row r="167" spans="1:8">
      <c r="A167" s="2244" t="s">
        <v>1599</v>
      </c>
      <c r="B167" s="2244"/>
      <c r="C167" s="2244"/>
      <c r="D167" s="2244"/>
      <c r="E167" s="2244"/>
      <c r="F167" s="2244"/>
      <c r="G167" s="2244"/>
      <c r="H167" s="2244"/>
    </row>
    <row r="168" spans="1:8">
      <c r="A168" s="2244" t="s">
        <v>1600</v>
      </c>
      <c r="B168" s="2244"/>
      <c r="C168" s="2244"/>
      <c r="D168" s="2244"/>
      <c r="E168" s="2244"/>
      <c r="F168" s="2244"/>
      <c r="G168" s="2244"/>
      <c r="H168" s="2244"/>
    </row>
    <row r="169" spans="1:8">
      <c r="A169" s="2244" t="s">
        <v>1601</v>
      </c>
      <c r="B169" s="2244"/>
      <c r="C169" s="2244"/>
      <c r="D169" s="2244"/>
      <c r="E169" s="2244"/>
      <c r="F169" s="2244"/>
      <c r="G169" s="2244"/>
      <c r="H169" s="2244"/>
    </row>
    <row r="170" spans="1:8">
      <c r="A170" s="2244"/>
      <c r="B170" s="2244"/>
      <c r="C170" s="2244"/>
      <c r="D170" s="2244"/>
      <c r="E170" s="2244"/>
      <c r="F170" s="2244"/>
      <c r="G170" s="2244"/>
      <c r="H170" s="2244"/>
    </row>
    <row r="171" spans="1:8">
      <c r="A171" s="2244" t="s">
        <v>1602</v>
      </c>
      <c r="B171" s="2244"/>
      <c r="C171" s="2244"/>
      <c r="D171" s="2244"/>
      <c r="E171" s="2244"/>
      <c r="F171" s="2244"/>
      <c r="G171" s="2244"/>
      <c r="H171" s="2244"/>
    </row>
    <row r="172" spans="1:8">
      <c r="A172" s="2244" t="s">
        <v>1603</v>
      </c>
      <c r="B172" s="2244"/>
      <c r="C172" s="2244"/>
      <c r="D172" s="2244"/>
      <c r="E172" s="2244"/>
      <c r="F172" s="2244"/>
      <c r="G172" s="2244"/>
      <c r="H172" s="2244"/>
    </row>
    <row r="173" spans="1:8">
      <c r="A173" s="2244" t="s">
        <v>1604</v>
      </c>
      <c r="B173" s="2244"/>
      <c r="C173" s="2244"/>
      <c r="D173" s="2244"/>
      <c r="E173" s="2244"/>
      <c r="F173" s="2244"/>
      <c r="G173" s="2244"/>
      <c r="H173" s="2244"/>
    </row>
    <row r="174" spans="1:8">
      <c r="A174" s="2244"/>
      <c r="B174" s="2244"/>
      <c r="C174" s="2244"/>
      <c r="D174" s="2244"/>
      <c r="E174" s="2244"/>
      <c r="F174" s="2244"/>
      <c r="G174" s="2244"/>
      <c r="H174" s="2244"/>
    </row>
    <row r="175" spans="1:8">
      <c r="A175" s="2244" t="s">
        <v>1605</v>
      </c>
      <c r="B175" s="2244"/>
      <c r="C175" s="2244"/>
      <c r="D175" s="2244"/>
      <c r="E175" s="2244"/>
      <c r="F175" s="2244"/>
      <c r="G175" s="2244"/>
      <c r="H175" s="2244"/>
    </row>
    <row r="176" spans="1:8">
      <c r="A176" s="2244" t="s">
        <v>1606</v>
      </c>
      <c r="B176" s="2244"/>
      <c r="C176" s="2244"/>
      <c r="D176" s="2244"/>
      <c r="E176" s="2244"/>
      <c r="F176" s="2244"/>
      <c r="G176" s="2244"/>
      <c r="H176" s="2244"/>
    </row>
    <row r="177" spans="1:8">
      <c r="A177" s="2244"/>
      <c r="B177" s="2244"/>
      <c r="C177" s="2244"/>
      <c r="D177" s="2244"/>
      <c r="E177" s="2244"/>
      <c r="F177" s="2244"/>
      <c r="G177" s="2244"/>
      <c r="H177" s="2244"/>
    </row>
    <row r="178" spans="1:8" ht="15.6">
      <c r="A178" s="2245" t="s">
        <v>1607</v>
      </c>
      <c r="B178" s="2244"/>
      <c r="C178" s="2244"/>
      <c r="D178" s="2244"/>
      <c r="E178" s="2244"/>
      <c r="F178" s="2244"/>
      <c r="G178" s="2244"/>
      <c r="H178" s="2244"/>
    </row>
    <row r="179" spans="1:8">
      <c r="A179" s="2244"/>
      <c r="B179" s="2244"/>
      <c r="C179" s="2244"/>
      <c r="D179" s="2244"/>
      <c r="E179" s="2244"/>
      <c r="F179" s="2244"/>
      <c r="G179" s="2244"/>
      <c r="H179" s="2244"/>
    </row>
    <row r="180" spans="1:8">
      <c r="A180" s="2244" t="s">
        <v>1608</v>
      </c>
      <c r="B180" s="2244"/>
      <c r="C180" s="2244"/>
      <c r="D180" s="2244"/>
      <c r="E180" s="2244"/>
      <c r="F180" s="2244"/>
      <c r="G180" s="2244"/>
      <c r="H180" s="2244"/>
    </row>
    <row r="181" spans="1:8">
      <c r="A181" s="2244" t="s">
        <v>1609</v>
      </c>
      <c r="B181" s="2244"/>
      <c r="C181" s="2244"/>
      <c r="D181" s="2244"/>
      <c r="E181" s="2244"/>
      <c r="F181" s="2244"/>
      <c r="G181" s="2244"/>
      <c r="H181" s="2244"/>
    </row>
    <row r="182" spans="1:8">
      <c r="A182" s="2244"/>
      <c r="B182" s="2244"/>
      <c r="C182" s="2244"/>
      <c r="D182" s="2244"/>
      <c r="E182" s="2244"/>
      <c r="F182" s="2244"/>
      <c r="G182" s="2244"/>
      <c r="H182" s="2244"/>
    </row>
    <row r="183" spans="1:8">
      <c r="A183" s="2244" t="s">
        <v>1610</v>
      </c>
      <c r="B183" s="2244"/>
      <c r="C183" s="2244"/>
      <c r="D183" s="2244"/>
      <c r="E183" s="2244"/>
      <c r="F183" s="2244"/>
      <c r="G183" s="2244"/>
      <c r="H183" s="2244"/>
    </row>
    <row r="184" spans="1:8">
      <c r="A184" s="2244" t="s">
        <v>1611</v>
      </c>
      <c r="B184" s="2244"/>
      <c r="C184" s="2244"/>
      <c r="D184" s="2244"/>
      <c r="E184" s="2244"/>
      <c r="F184" s="2244"/>
      <c r="G184" s="2244"/>
      <c r="H184" s="2244"/>
    </row>
    <row r="185" spans="1:8">
      <c r="A185" s="2244"/>
      <c r="B185" s="2244"/>
      <c r="C185" s="2244"/>
      <c r="D185" s="2244"/>
      <c r="E185" s="2244"/>
      <c r="F185" s="2244"/>
      <c r="G185" s="2244"/>
      <c r="H185" s="2244"/>
    </row>
    <row r="186" spans="1:8">
      <c r="A186" s="2244" t="s">
        <v>1612</v>
      </c>
      <c r="B186" s="2244"/>
      <c r="C186" s="2244"/>
      <c r="D186" s="2244"/>
      <c r="E186" s="2244"/>
      <c r="F186" s="2244"/>
      <c r="G186" s="2244"/>
      <c r="H186" s="2244"/>
    </row>
    <row r="187" spans="1:8">
      <c r="A187" s="2244" t="s">
        <v>1613</v>
      </c>
      <c r="B187" s="2244"/>
      <c r="C187" s="2244"/>
      <c r="D187" s="2244"/>
      <c r="E187" s="2244"/>
      <c r="F187" s="2244"/>
      <c r="G187" s="2244"/>
      <c r="H187" s="2244"/>
    </row>
    <row r="188" spans="1:8">
      <c r="A188" s="2244"/>
      <c r="B188" s="2244"/>
      <c r="C188" s="2244"/>
      <c r="D188" s="2244"/>
      <c r="E188" s="2244"/>
      <c r="F188" s="2244"/>
      <c r="G188" s="2244"/>
      <c r="H188" s="2244"/>
    </row>
    <row r="189" spans="1:8">
      <c r="A189" s="2244" t="s">
        <v>1614</v>
      </c>
      <c r="B189" s="2244"/>
      <c r="C189" s="2244"/>
      <c r="D189" s="2244"/>
      <c r="E189" s="2244"/>
      <c r="F189" s="2244"/>
      <c r="G189" s="2244"/>
      <c r="H189" s="2244"/>
    </row>
    <row r="190" spans="1:8">
      <c r="A190" s="2244" t="s">
        <v>1615</v>
      </c>
      <c r="B190" s="2244"/>
      <c r="C190" s="2244"/>
      <c r="D190" s="2244"/>
      <c r="E190" s="2244"/>
      <c r="F190" s="2244"/>
      <c r="G190" s="2244"/>
      <c r="H190" s="2244"/>
    </row>
    <row r="191" spans="1:8">
      <c r="A191" s="2244" t="s">
        <v>1616</v>
      </c>
      <c r="B191" s="2244"/>
      <c r="C191" s="2244"/>
      <c r="D191" s="2244"/>
      <c r="E191" s="2244"/>
      <c r="F191" s="2244"/>
      <c r="G191" s="2244"/>
      <c r="H191" s="2244"/>
    </row>
    <row r="192" spans="1:8">
      <c r="A192" s="2244"/>
      <c r="B192" s="2244"/>
      <c r="C192" s="2244"/>
      <c r="D192" s="2244"/>
      <c r="E192" s="2244"/>
      <c r="F192" s="2244"/>
      <c r="G192" s="2244"/>
      <c r="H192" s="2244"/>
    </row>
    <row r="193" spans="1:8">
      <c r="A193" s="2244" t="s">
        <v>1521</v>
      </c>
      <c r="B193" s="2244"/>
      <c r="C193" s="2244"/>
      <c r="D193" s="2244"/>
      <c r="E193" s="2244"/>
      <c r="F193" s="2244"/>
      <c r="G193" s="2244"/>
      <c r="H193" s="2244"/>
    </row>
    <row r="194" spans="1:8">
      <c r="A194" s="2244"/>
      <c r="B194" s="2244"/>
      <c r="C194" s="2244"/>
      <c r="D194" s="2244"/>
      <c r="E194" s="2244"/>
      <c r="F194" s="2244"/>
      <c r="G194" s="2244"/>
      <c r="H194" s="2244"/>
    </row>
    <row r="195" spans="1:8" ht="15.6">
      <c r="A195" s="2245" t="s">
        <v>1617</v>
      </c>
      <c r="B195" s="2244"/>
      <c r="C195" s="2244"/>
      <c r="D195" s="2244"/>
      <c r="E195" s="2244"/>
      <c r="F195" s="2244"/>
      <c r="G195" s="2244"/>
      <c r="H195" s="2244"/>
    </row>
    <row r="196" spans="1:8">
      <c r="A196" s="2244"/>
      <c r="B196" s="2244"/>
      <c r="C196" s="2244"/>
      <c r="D196" s="2244"/>
      <c r="E196" s="2244"/>
      <c r="F196" s="2244"/>
      <c r="G196" s="2244"/>
      <c r="H196" s="2244"/>
    </row>
    <row r="197" spans="1:8">
      <c r="A197" s="2244"/>
      <c r="B197" s="2244"/>
      <c r="C197" s="2244"/>
      <c r="D197" s="2244"/>
      <c r="E197" s="2244"/>
      <c r="F197" s="2244"/>
      <c r="G197" s="2244"/>
      <c r="H197" s="2244"/>
    </row>
    <row r="198" spans="1:8">
      <c r="A198" s="2244"/>
      <c r="B198" s="2244"/>
      <c r="C198" s="2244"/>
      <c r="D198" s="2244"/>
      <c r="E198" s="2244"/>
      <c r="F198" s="2244"/>
      <c r="G198" s="2244"/>
      <c r="H198" s="2244"/>
    </row>
    <row r="199" spans="1:8">
      <c r="A199" s="2244"/>
      <c r="B199" s="2244"/>
      <c r="C199" s="2244"/>
      <c r="D199" s="2244"/>
      <c r="E199" s="2244"/>
      <c r="F199" s="2244"/>
      <c r="G199" s="2244"/>
      <c r="H199" s="2244"/>
    </row>
    <row r="200" spans="1:8">
      <c r="A200" s="2244"/>
      <c r="B200" s="2244"/>
      <c r="C200" s="2244"/>
      <c r="D200" s="2244"/>
      <c r="E200" s="2244"/>
      <c r="F200" s="2244"/>
      <c r="G200" s="2244"/>
      <c r="H200" s="2244"/>
    </row>
    <row r="201" spans="1:8">
      <c r="A201" s="2244"/>
      <c r="B201" s="2244"/>
      <c r="C201" s="2244"/>
      <c r="D201" s="2244"/>
      <c r="E201" s="2244"/>
      <c r="F201" s="2244"/>
      <c r="G201" s="2244"/>
      <c r="H201" s="2244"/>
    </row>
    <row r="202" spans="1:8">
      <c r="A202" s="2244"/>
      <c r="B202" s="2244"/>
      <c r="C202" s="2244"/>
      <c r="D202" s="2244"/>
      <c r="E202" s="2244"/>
      <c r="F202" s="2244"/>
      <c r="G202" s="2244"/>
      <c r="H202" s="2244"/>
    </row>
    <row r="203" spans="1:8">
      <c r="A203" s="2244"/>
      <c r="B203" s="2244"/>
      <c r="C203" s="2244"/>
      <c r="D203" s="2244"/>
      <c r="E203" s="2244"/>
      <c r="F203" s="2244"/>
      <c r="G203" s="2244"/>
      <c r="H203" s="2244"/>
    </row>
    <row r="204" spans="1:8">
      <c r="A204" s="2244"/>
      <c r="B204" s="2244"/>
      <c r="C204" s="2244"/>
      <c r="D204" s="2244"/>
      <c r="E204" s="2244"/>
      <c r="F204" s="2244"/>
      <c r="G204" s="2244"/>
      <c r="H204" s="2244"/>
    </row>
    <row r="205" spans="1:8">
      <c r="A205" s="2244"/>
      <c r="B205" s="2244"/>
      <c r="C205" s="2244"/>
      <c r="D205" s="2244"/>
      <c r="E205" s="2244"/>
      <c r="F205" s="2244"/>
      <c r="G205" s="2244"/>
      <c r="H205" s="2244"/>
    </row>
    <row r="206" spans="1:8">
      <c r="A206" s="2244"/>
      <c r="B206" s="2244"/>
      <c r="C206" s="2244"/>
      <c r="D206" s="2244"/>
      <c r="E206" s="2244"/>
      <c r="F206" s="2244"/>
      <c r="G206" s="2244"/>
      <c r="H206" s="2244"/>
    </row>
    <row r="207" spans="1:8">
      <c r="A207" s="2244"/>
      <c r="B207" s="2244"/>
      <c r="C207" s="2244"/>
      <c r="D207" s="2244"/>
      <c r="E207" s="2244"/>
      <c r="F207" s="2244"/>
      <c r="G207" s="2244"/>
      <c r="H207" s="2244"/>
    </row>
    <row r="208" spans="1:8">
      <c r="A208" s="2244"/>
      <c r="B208" s="2244"/>
      <c r="C208" s="2244"/>
      <c r="D208" s="2244"/>
      <c r="E208" s="2244"/>
      <c r="F208" s="2244"/>
      <c r="G208" s="2244"/>
      <c r="H208" s="2244"/>
    </row>
    <row r="209" spans="1:8">
      <c r="A209" s="2244"/>
      <c r="B209" s="2244"/>
      <c r="C209" s="2244"/>
      <c r="D209" s="2244"/>
      <c r="E209" s="2244"/>
      <c r="F209" s="2244"/>
      <c r="G209" s="2244"/>
      <c r="H209" s="2244"/>
    </row>
    <row r="210" spans="1:8">
      <c r="A210" s="2244"/>
      <c r="B210" s="2244"/>
      <c r="C210" s="2244"/>
      <c r="D210" s="2244"/>
      <c r="E210" s="2244"/>
      <c r="F210" s="2244"/>
      <c r="G210" s="2244"/>
      <c r="H210" s="2244"/>
    </row>
    <row r="211" spans="1:8">
      <c r="A211" s="2244"/>
      <c r="B211" s="2244"/>
      <c r="C211" s="2244"/>
      <c r="D211" s="2244"/>
      <c r="E211" s="2244"/>
      <c r="F211" s="2244"/>
      <c r="G211" s="2244"/>
      <c r="H211" s="2244"/>
    </row>
    <row r="212" spans="1:8">
      <c r="A212" s="2244"/>
      <c r="B212" s="2244"/>
      <c r="C212" s="2244"/>
      <c r="D212" s="2244"/>
      <c r="E212" s="2244"/>
      <c r="F212" s="2244"/>
      <c r="G212" s="2244"/>
      <c r="H212" s="2244"/>
    </row>
    <row r="213" spans="1:8">
      <c r="A213" s="2244"/>
      <c r="B213" s="2244"/>
      <c r="C213" s="2244"/>
      <c r="D213" s="2244"/>
      <c r="E213" s="2244"/>
      <c r="F213" s="2244"/>
      <c r="G213" s="2244"/>
      <c r="H213" s="2244"/>
    </row>
    <row r="214" spans="1:8">
      <c r="A214" s="2244"/>
      <c r="B214" s="2244"/>
      <c r="C214" s="2244"/>
      <c r="D214" s="2244"/>
      <c r="E214" s="2244"/>
      <c r="F214" s="2244"/>
      <c r="G214" s="2244"/>
      <c r="H214" s="2244"/>
    </row>
    <row r="215" spans="1:8">
      <c r="A215" s="2244"/>
      <c r="B215" s="2244"/>
      <c r="C215" s="2244"/>
      <c r="D215" s="2244"/>
      <c r="E215" s="2244"/>
      <c r="F215" s="2244"/>
      <c r="G215" s="2244"/>
      <c r="H215" s="2244"/>
    </row>
    <row r="216" spans="1:8">
      <c r="A216" s="2244"/>
      <c r="B216" s="2244"/>
      <c r="C216" s="2244"/>
      <c r="D216" s="2244"/>
      <c r="E216" s="2244"/>
      <c r="F216" s="2244"/>
      <c r="G216" s="2244"/>
      <c r="H216" s="2244"/>
    </row>
    <row r="217" spans="1:8">
      <c r="A217" s="2244"/>
      <c r="B217" s="2244"/>
      <c r="C217" s="2244"/>
      <c r="D217" s="2244"/>
      <c r="E217" s="2244"/>
      <c r="F217" s="2244"/>
      <c r="G217" s="2244"/>
      <c r="H217" s="2244"/>
    </row>
    <row r="218" spans="1:8">
      <c r="A218" s="2244"/>
      <c r="B218" s="2244"/>
      <c r="C218" s="2244"/>
      <c r="D218" s="2244"/>
      <c r="E218" s="2244"/>
      <c r="F218" s="2244"/>
      <c r="G218" s="2244"/>
      <c r="H218" s="2244"/>
    </row>
    <row r="219" spans="1:8">
      <c r="A219" s="2244"/>
      <c r="B219" s="2244"/>
      <c r="C219" s="2244"/>
      <c r="D219" s="2244"/>
      <c r="E219" s="2244"/>
      <c r="F219" s="2244"/>
      <c r="G219" s="2244"/>
      <c r="H219" s="2244"/>
    </row>
    <row r="220" spans="1:8">
      <c r="A220" s="2244"/>
      <c r="B220" s="2244"/>
      <c r="C220" s="2244"/>
      <c r="D220" s="2244"/>
      <c r="E220" s="2244"/>
      <c r="F220" s="2244"/>
      <c r="G220" s="2244"/>
      <c r="H220" s="2244"/>
    </row>
    <row r="221" spans="1:8">
      <c r="A221" s="2244"/>
      <c r="B221" s="2244"/>
      <c r="C221" s="2244"/>
      <c r="D221" s="2244"/>
      <c r="E221" s="2244"/>
      <c r="F221" s="2244"/>
      <c r="G221" s="2244"/>
      <c r="H221" s="2244"/>
    </row>
    <row r="222" spans="1:8">
      <c r="A222" s="2244"/>
      <c r="B222" s="2244"/>
      <c r="C222" s="2244"/>
      <c r="D222" s="2244"/>
      <c r="E222" s="2244"/>
      <c r="F222" s="2244"/>
      <c r="G222" s="2244"/>
      <c r="H222" s="2244"/>
    </row>
    <row r="223" spans="1:8">
      <c r="A223" s="2244"/>
      <c r="B223" s="2244"/>
      <c r="C223" s="2244"/>
      <c r="D223" s="2244"/>
      <c r="E223" s="2244"/>
      <c r="F223" s="2244"/>
      <c r="G223" s="2244"/>
      <c r="H223" s="2244"/>
    </row>
    <row r="224" spans="1:8" ht="15.6">
      <c r="A224" s="2245" t="s">
        <v>1618</v>
      </c>
      <c r="B224" s="2244"/>
      <c r="C224" s="2244"/>
      <c r="D224" s="2244"/>
      <c r="E224" s="2244"/>
      <c r="F224" s="2244"/>
      <c r="G224" s="2244"/>
      <c r="H224" s="2244"/>
    </row>
    <row r="225" spans="1:8">
      <c r="A225" s="2244"/>
      <c r="B225" s="2244"/>
      <c r="C225" s="2244"/>
      <c r="D225" s="2244"/>
      <c r="E225" s="2244"/>
      <c r="F225" s="2244"/>
      <c r="G225" s="2244"/>
      <c r="H225" s="2244"/>
    </row>
    <row r="226" spans="1:8">
      <c r="A226" s="2244" t="s">
        <v>1619</v>
      </c>
      <c r="B226" s="2244"/>
      <c r="C226" s="2244"/>
      <c r="D226" s="2244"/>
      <c r="E226" s="2244"/>
      <c r="F226" s="2244"/>
      <c r="G226" s="2244"/>
      <c r="H226" s="2244"/>
    </row>
    <row r="227" spans="1:8">
      <c r="A227" s="2244" t="s">
        <v>1620</v>
      </c>
      <c r="B227" s="2244"/>
      <c r="C227" s="2244"/>
      <c r="D227" s="2244"/>
      <c r="E227" s="2244"/>
      <c r="F227" s="2244"/>
      <c r="G227" s="2244"/>
      <c r="H227" s="2244"/>
    </row>
    <row r="228" spans="1:8">
      <c r="A228" s="2244" t="s">
        <v>1621</v>
      </c>
      <c r="B228" s="2244"/>
      <c r="C228" s="2244"/>
      <c r="D228" s="2244"/>
      <c r="E228" s="2244"/>
      <c r="F228" s="2244"/>
      <c r="G228" s="2244"/>
      <c r="H228" s="2244"/>
    </row>
    <row r="229" spans="1:8">
      <c r="A229" s="2244" t="s">
        <v>1622</v>
      </c>
      <c r="B229" s="2244"/>
      <c r="C229" s="2244"/>
      <c r="D229" s="2244"/>
      <c r="E229" s="2244"/>
      <c r="F229" s="2244"/>
      <c r="G229" s="2244"/>
      <c r="H229" s="2244"/>
    </row>
    <row r="230" spans="1:8">
      <c r="A230" s="2244" t="s">
        <v>1623</v>
      </c>
      <c r="B230" s="2244"/>
      <c r="C230" s="2244"/>
      <c r="D230" s="2244"/>
      <c r="E230" s="2244"/>
      <c r="F230" s="2244"/>
      <c r="G230" s="2244"/>
      <c r="H230" s="2244"/>
    </row>
    <row r="231" spans="1:8">
      <c r="A231" s="2244"/>
      <c r="B231" s="2244"/>
      <c r="C231" s="2244"/>
      <c r="D231" s="2244"/>
      <c r="E231" s="2244"/>
      <c r="F231" s="2244"/>
      <c r="G231" s="2244"/>
      <c r="H231" s="2244"/>
    </row>
    <row r="232" spans="1:8">
      <c r="A232" s="2244" t="s">
        <v>1624</v>
      </c>
      <c r="B232" s="2244"/>
      <c r="C232" s="2244"/>
      <c r="D232" s="2244"/>
      <c r="E232" s="2244"/>
      <c r="F232" s="2244"/>
      <c r="G232" s="2244"/>
      <c r="H232" s="2244"/>
    </row>
    <row r="233" spans="1:8">
      <c r="A233" s="2244" t="s">
        <v>1625</v>
      </c>
      <c r="B233" s="2244"/>
      <c r="C233" s="2244"/>
      <c r="D233" s="2244"/>
      <c r="E233" s="2244"/>
      <c r="F233" s="2244"/>
      <c r="G233" s="2244"/>
      <c r="H233" s="2244"/>
    </row>
    <row r="234" spans="1:8">
      <c r="A234" s="2244" t="s">
        <v>1626</v>
      </c>
      <c r="B234" s="2244"/>
      <c r="C234" s="2244"/>
      <c r="D234" s="2244"/>
      <c r="E234" s="2244"/>
      <c r="F234" s="2244"/>
      <c r="G234" s="2244"/>
      <c r="H234" s="2244"/>
    </row>
    <row r="235" spans="1:8">
      <c r="A235" s="2244"/>
      <c r="B235" s="2244"/>
      <c r="C235" s="2244"/>
      <c r="D235" s="2244"/>
      <c r="E235" s="2244"/>
      <c r="F235" s="2244"/>
      <c r="G235" s="2244"/>
      <c r="H235" s="2244"/>
    </row>
    <row r="236" spans="1:8" ht="15.6">
      <c r="A236" s="2245" t="s">
        <v>1627</v>
      </c>
      <c r="B236" s="2244"/>
      <c r="C236" s="2244"/>
      <c r="D236" s="2244"/>
      <c r="E236" s="2244"/>
      <c r="F236" s="2244"/>
      <c r="G236" s="2244"/>
      <c r="H236" s="2244"/>
    </row>
    <row r="237" spans="1:8">
      <c r="A237" s="2244"/>
      <c r="B237" s="2244"/>
      <c r="C237" s="2244"/>
      <c r="D237" s="2244"/>
      <c r="E237" s="2244"/>
      <c r="F237" s="2244"/>
      <c r="G237" s="2244"/>
      <c r="H237" s="2244"/>
    </row>
    <row r="238" spans="1:8">
      <c r="A238" s="2244" t="s">
        <v>1628</v>
      </c>
      <c r="B238" s="2244"/>
      <c r="C238" s="2244"/>
      <c r="D238" s="2244"/>
      <c r="E238" s="2244"/>
      <c r="F238" s="2244"/>
      <c r="G238" s="2244"/>
      <c r="H238" s="2244"/>
    </row>
    <row r="239" spans="1:8">
      <c r="A239" s="2244" t="s">
        <v>1629</v>
      </c>
      <c r="B239" s="2244"/>
      <c r="C239" s="2244"/>
      <c r="D239" s="2244"/>
      <c r="E239" s="2244"/>
      <c r="F239" s="2244"/>
      <c r="G239" s="2244"/>
      <c r="H239" s="2244"/>
    </row>
    <row r="240" spans="1:8">
      <c r="A240" s="2244" t="s">
        <v>1630</v>
      </c>
      <c r="B240" s="2244"/>
      <c r="C240" s="2244"/>
      <c r="D240" s="2244"/>
      <c r="E240" s="2244"/>
      <c r="F240" s="2244"/>
      <c r="G240" s="2244"/>
      <c r="H240" s="2244"/>
    </row>
    <row r="241" spans="1:8">
      <c r="A241" s="2244" t="s">
        <v>1631</v>
      </c>
      <c r="B241" s="2244"/>
      <c r="C241" s="2244"/>
      <c r="D241" s="2244"/>
      <c r="E241" s="2244"/>
      <c r="F241" s="2244"/>
      <c r="G241" s="2244"/>
      <c r="H241" s="2244"/>
    </row>
    <row r="242" spans="1:8">
      <c r="A242" s="2244" t="s">
        <v>1632</v>
      </c>
      <c r="B242" s="2244"/>
      <c r="C242" s="2244"/>
      <c r="D242" s="2244"/>
      <c r="E242" s="2244"/>
      <c r="F242" s="2244"/>
      <c r="G242" s="2244"/>
      <c r="H242" s="2244"/>
    </row>
    <row r="243" spans="1:8">
      <c r="A243" s="2244" t="s">
        <v>1633</v>
      </c>
      <c r="B243" s="2244"/>
      <c r="C243" s="2244"/>
      <c r="D243" s="2244"/>
      <c r="E243" s="2244"/>
      <c r="F243" s="2244"/>
      <c r="G243" s="2244"/>
      <c r="H243" s="2244"/>
    </row>
    <row r="244" spans="1:8">
      <c r="A244" s="2244" t="s">
        <v>1634</v>
      </c>
      <c r="B244" s="2244"/>
      <c r="C244" s="2244"/>
      <c r="D244" s="2244"/>
      <c r="E244" s="2244"/>
      <c r="F244" s="2244"/>
      <c r="G244" s="2244"/>
      <c r="H244" s="2244"/>
    </row>
    <row r="245" spans="1:8">
      <c r="A245" s="2244"/>
      <c r="B245" s="2244"/>
      <c r="C245" s="2244"/>
      <c r="D245" s="2244"/>
      <c r="E245" s="2244"/>
      <c r="F245" s="2244"/>
      <c r="G245" s="2244"/>
      <c r="H245" s="2244"/>
    </row>
    <row r="246" spans="1:8">
      <c r="A246" s="2244" t="s">
        <v>1635</v>
      </c>
      <c r="B246" s="2244"/>
      <c r="C246" s="2244"/>
      <c r="D246" s="2244"/>
      <c r="E246" s="2244"/>
      <c r="F246" s="2244"/>
      <c r="G246" s="2244"/>
      <c r="H246" s="2244"/>
    </row>
    <row r="247" spans="1:8">
      <c r="A247" s="2244" t="s">
        <v>1636</v>
      </c>
      <c r="B247" s="2244"/>
      <c r="C247" s="2244"/>
      <c r="D247" s="2244"/>
      <c r="E247" s="2244"/>
      <c r="F247" s="2244"/>
      <c r="G247" s="2244"/>
      <c r="H247" s="2244"/>
    </row>
    <row r="248" spans="1:8">
      <c r="A248" s="2244" t="s">
        <v>1637</v>
      </c>
      <c r="B248" s="2244"/>
      <c r="C248" s="2244"/>
      <c r="D248" s="2244"/>
      <c r="E248" s="2244"/>
      <c r="F248" s="2244"/>
      <c r="G248" s="2244"/>
      <c r="H248" s="2244"/>
    </row>
    <row r="249" spans="1:8">
      <c r="A249" s="2244"/>
      <c r="B249" s="2244"/>
      <c r="C249" s="2244"/>
      <c r="D249" s="2244"/>
      <c r="E249" s="2244"/>
      <c r="F249" s="2244"/>
      <c r="G249" s="2244"/>
      <c r="H249" s="2244"/>
    </row>
    <row r="250" spans="1:8">
      <c r="A250" s="2244" t="s">
        <v>1638</v>
      </c>
      <c r="B250" s="2244"/>
      <c r="C250" s="2244"/>
      <c r="D250" s="2244"/>
      <c r="E250" s="2244"/>
      <c r="F250" s="2244"/>
      <c r="G250" s="2244"/>
      <c r="H250" s="2244"/>
    </row>
    <row r="251" spans="1:8">
      <c r="A251" s="2244" t="s">
        <v>1639</v>
      </c>
      <c r="B251" s="2244"/>
      <c r="C251" s="2244"/>
      <c r="D251" s="2244"/>
      <c r="E251" s="2244"/>
      <c r="F251" s="2244"/>
      <c r="G251" s="2244"/>
      <c r="H251" s="2244"/>
    </row>
    <row r="252" spans="1:8">
      <c r="A252" s="2244" t="s">
        <v>1640</v>
      </c>
      <c r="B252" s="2244"/>
      <c r="C252" s="2244"/>
      <c r="D252" s="2244"/>
      <c r="E252" s="2244"/>
      <c r="F252" s="2244"/>
      <c r="G252" s="2244"/>
      <c r="H252" s="2244"/>
    </row>
    <row r="253" spans="1:8">
      <c r="A253" s="2244" t="s">
        <v>1641</v>
      </c>
      <c r="B253" s="2244"/>
      <c r="C253" s="2244"/>
      <c r="D253" s="2244"/>
      <c r="E253" s="2244"/>
      <c r="F253" s="2244"/>
      <c r="G253" s="2244"/>
      <c r="H253" s="2244"/>
    </row>
    <row r="254" spans="1:8">
      <c r="A254" s="2244" t="s">
        <v>1642</v>
      </c>
      <c r="B254" s="2244"/>
      <c r="C254" s="2244"/>
      <c r="D254" s="2244"/>
      <c r="E254" s="2244"/>
      <c r="F254" s="2244"/>
      <c r="G254" s="2244"/>
      <c r="H254" s="2244"/>
    </row>
    <row r="255" spans="1:8">
      <c r="A255" s="2244"/>
      <c r="B255" s="2244"/>
      <c r="C255" s="2244"/>
      <c r="D255" s="2244"/>
      <c r="E255" s="2244"/>
      <c r="F255" s="2244"/>
      <c r="G255" s="2244"/>
      <c r="H255" s="2244"/>
    </row>
    <row r="256" spans="1:8">
      <c r="A256" s="2244" t="s">
        <v>1643</v>
      </c>
      <c r="B256" s="2244"/>
      <c r="C256" s="2244"/>
      <c r="D256" s="2244"/>
      <c r="E256" s="2244"/>
      <c r="F256" s="2244"/>
      <c r="G256" s="2244"/>
      <c r="H256" s="2244"/>
    </row>
    <row r="257" spans="1:8">
      <c r="A257" s="2244" t="s">
        <v>1644</v>
      </c>
      <c r="B257" s="2244"/>
      <c r="C257" s="2244"/>
      <c r="D257" s="2244"/>
      <c r="E257" s="2244"/>
      <c r="F257" s="2244"/>
      <c r="G257" s="2244"/>
      <c r="H257" s="2244"/>
    </row>
    <row r="258" spans="1:8">
      <c r="A258" s="2244" t="s">
        <v>1645</v>
      </c>
      <c r="B258" s="2244"/>
      <c r="C258" s="2244"/>
      <c r="D258" s="2244"/>
      <c r="E258" s="2244"/>
      <c r="F258" s="2244"/>
      <c r="G258" s="2244"/>
      <c r="H258" s="2244"/>
    </row>
    <row r="259" spans="1:8">
      <c r="A259" s="2244" t="s">
        <v>1646</v>
      </c>
      <c r="B259" s="2244"/>
      <c r="C259" s="2244"/>
      <c r="D259" s="2244"/>
      <c r="E259" s="2244"/>
      <c r="F259" s="2244"/>
      <c r="G259" s="2244"/>
      <c r="H259" s="2244"/>
    </row>
    <row r="260" spans="1:8">
      <c r="A260" s="2244" t="s">
        <v>1647</v>
      </c>
      <c r="B260" s="2244"/>
      <c r="C260" s="2244"/>
      <c r="D260" s="2244"/>
      <c r="E260" s="2244"/>
      <c r="F260" s="2244"/>
      <c r="G260" s="2244"/>
      <c r="H260" s="2244"/>
    </row>
    <row r="261" spans="1:8">
      <c r="A261" s="2244" t="s">
        <v>1648</v>
      </c>
      <c r="B261" s="2244"/>
      <c r="C261" s="2244"/>
      <c r="D261" s="2244"/>
      <c r="E261" s="2244"/>
      <c r="F261" s="2244"/>
      <c r="G261" s="2244"/>
      <c r="H261" s="2244"/>
    </row>
    <row r="262" spans="1:8">
      <c r="A262" s="2244"/>
      <c r="B262" s="2244"/>
      <c r="C262" s="2244"/>
      <c r="D262" s="2244"/>
      <c r="E262" s="2244"/>
      <c r="F262" s="2244"/>
      <c r="G262" s="2244"/>
      <c r="H262" s="2244"/>
    </row>
    <row r="263" spans="1:8">
      <c r="A263" s="2244" t="s">
        <v>1649</v>
      </c>
      <c r="B263" s="2244"/>
      <c r="C263" s="2244"/>
      <c r="D263" s="2244"/>
      <c r="E263" s="2244"/>
      <c r="F263" s="2244"/>
      <c r="G263" s="2244"/>
      <c r="H263" s="2244"/>
    </row>
    <row r="264" spans="1:8">
      <c r="A264" s="2244" t="s">
        <v>1650</v>
      </c>
      <c r="B264" s="2244"/>
      <c r="C264" s="2244"/>
      <c r="D264" s="2244"/>
      <c r="E264" s="2244"/>
      <c r="F264" s="2244"/>
      <c r="G264" s="2244"/>
      <c r="H264" s="2244"/>
    </row>
    <row r="265" spans="1:8">
      <c r="A265" s="2244" t="s">
        <v>1651</v>
      </c>
      <c r="B265" s="2244"/>
      <c r="C265" s="2244"/>
      <c r="D265" s="2244"/>
      <c r="E265" s="2244"/>
      <c r="F265" s="2244"/>
      <c r="G265" s="2244"/>
      <c r="H265" s="2244"/>
    </row>
    <row r="266" spans="1:8">
      <c r="A266" s="2244" t="s">
        <v>1652</v>
      </c>
      <c r="B266" s="2244"/>
      <c r="C266" s="2244"/>
      <c r="D266" s="2244"/>
      <c r="E266" s="2244"/>
      <c r="F266" s="2244"/>
      <c r="G266" s="2244"/>
      <c r="H266" s="2244"/>
    </row>
    <row r="267" spans="1:8">
      <c r="A267" s="2244" t="s">
        <v>1653</v>
      </c>
      <c r="B267" s="2244"/>
      <c r="C267" s="2244"/>
      <c r="D267" s="2244"/>
      <c r="E267" s="2244"/>
      <c r="F267" s="2244"/>
      <c r="G267" s="2244"/>
      <c r="H267" s="2244"/>
    </row>
    <row r="268" spans="1:8">
      <c r="A268" s="2244" t="s">
        <v>1654</v>
      </c>
      <c r="B268" s="2244"/>
      <c r="C268" s="2244"/>
      <c r="D268" s="2244"/>
      <c r="E268" s="2244"/>
      <c r="F268" s="2244"/>
      <c r="G268" s="2244"/>
      <c r="H268" s="2244"/>
    </row>
    <row r="269" spans="1:8">
      <c r="A269" s="2244" t="s">
        <v>1655</v>
      </c>
      <c r="B269" s="2244"/>
      <c r="C269" s="2244"/>
      <c r="D269" s="2244"/>
      <c r="E269" s="2244"/>
      <c r="F269" s="2244"/>
      <c r="G269" s="2244"/>
      <c r="H269" s="2244"/>
    </row>
    <row r="270" spans="1:8">
      <c r="A270" s="2244" t="s">
        <v>1656</v>
      </c>
      <c r="B270" s="2244"/>
      <c r="C270" s="2244"/>
      <c r="D270" s="2244"/>
      <c r="E270" s="2244"/>
      <c r="F270" s="2244"/>
      <c r="G270" s="2244"/>
      <c r="H270" s="2244"/>
    </row>
    <row r="271" spans="1:8">
      <c r="A271" s="2244" t="s">
        <v>1657</v>
      </c>
      <c r="B271" s="2244"/>
      <c r="C271" s="2244"/>
      <c r="D271" s="2244"/>
      <c r="E271" s="2244"/>
      <c r="F271" s="2244"/>
      <c r="G271" s="2244"/>
      <c r="H271" s="2244"/>
    </row>
    <row r="272" spans="1:8">
      <c r="A272" s="2244" t="s">
        <v>1658</v>
      </c>
      <c r="B272" s="2244"/>
      <c r="C272" s="2244"/>
      <c r="D272" s="2244"/>
      <c r="E272" s="2244"/>
      <c r="F272" s="2244"/>
      <c r="G272" s="2244"/>
      <c r="H272" s="2244"/>
    </row>
    <row r="273" spans="1:8">
      <c r="A273" s="2244" t="s">
        <v>1659</v>
      </c>
      <c r="B273" s="2244"/>
      <c r="C273" s="2244"/>
      <c r="D273" s="2244"/>
      <c r="E273" s="2244"/>
      <c r="F273" s="2244"/>
      <c r="G273" s="2244"/>
      <c r="H273" s="2244"/>
    </row>
    <row r="274" spans="1:8">
      <c r="A274" s="2244" t="s">
        <v>1660</v>
      </c>
      <c r="B274" s="2244"/>
      <c r="C274" s="2244"/>
      <c r="D274" s="2244"/>
      <c r="E274" s="2244"/>
      <c r="F274" s="2244"/>
      <c r="G274" s="2244"/>
      <c r="H274" s="2244"/>
    </row>
    <row r="275" spans="1:8">
      <c r="A275" s="2244" t="s">
        <v>1661</v>
      </c>
      <c r="B275" s="2244"/>
      <c r="C275" s="2244"/>
      <c r="D275" s="2244"/>
      <c r="E275" s="2244"/>
      <c r="F275" s="2244"/>
      <c r="G275" s="2244"/>
      <c r="H275" s="2244"/>
    </row>
    <row r="276" spans="1:8">
      <c r="A276" s="2244" t="s">
        <v>1662</v>
      </c>
      <c r="B276" s="2244"/>
      <c r="C276" s="2244"/>
      <c r="D276" s="2244"/>
      <c r="E276" s="2244"/>
      <c r="F276" s="2244"/>
      <c r="G276" s="2244"/>
      <c r="H276" s="2244"/>
    </row>
    <row r="277" spans="1:8">
      <c r="A277" s="2244"/>
      <c r="B277" s="2244"/>
      <c r="C277" s="2244"/>
      <c r="D277" s="2244"/>
      <c r="E277" s="2244"/>
      <c r="F277" s="2244"/>
      <c r="G277" s="2244"/>
      <c r="H277" s="2244"/>
    </row>
    <row r="278" spans="1:8">
      <c r="A278" s="2244" t="s">
        <v>1663</v>
      </c>
      <c r="B278" s="2244"/>
      <c r="C278" s="2244"/>
      <c r="D278" s="2244"/>
      <c r="E278" s="2244"/>
      <c r="F278" s="2244"/>
      <c r="G278" s="2244"/>
      <c r="H278" s="2244"/>
    </row>
    <row r="279" spans="1:8">
      <c r="A279" s="2244" t="s">
        <v>1664</v>
      </c>
      <c r="B279" s="2244"/>
      <c r="C279" s="2244"/>
      <c r="D279" s="2244"/>
      <c r="E279" s="2244"/>
      <c r="F279" s="2244"/>
      <c r="G279" s="2244"/>
      <c r="H279" s="2244"/>
    </row>
    <row r="280" spans="1:8">
      <c r="A280" s="2244"/>
      <c r="B280" s="2244"/>
      <c r="C280" s="2244"/>
      <c r="D280" s="2244"/>
      <c r="E280" s="2244"/>
      <c r="F280" s="2244"/>
      <c r="G280" s="2244"/>
      <c r="H280" s="2244"/>
    </row>
    <row r="281" spans="1:8">
      <c r="A281" s="2244" t="s">
        <v>1665</v>
      </c>
      <c r="B281" s="2244"/>
      <c r="C281" s="2244"/>
      <c r="D281" s="2244"/>
      <c r="E281" s="2244"/>
      <c r="F281" s="2244"/>
      <c r="G281" s="2244"/>
      <c r="H281" s="2244"/>
    </row>
    <row r="282" spans="1:8">
      <c r="A282" s="2244" t="s">
        <v>1666</v>
      </c>
      <c r="B282" s="2244"/>
      <c r="C282" s="2244"/>
      <c r="D282" s="2244"/>
      <c r="E282" s="2244"/>
      <c r="F282" s="2244"/>
      <c r="G282" s="2244"/>
      <c r="H282" s="2244"/>
    </row>
    <row r="283" spans="1:8">
      <c r="A283" s="2244" t="s">
        <v>1667</v>
      </c>
      <c r="B283" s="2244"/>
      <c r="C283" s="2244"/>
      <c r="D283" s="2244"/>
      <c r="E283" s="2244"/>
      <c r="F283" s="2244"/>
      <c r="G283" s="2244"/>
      <c r="H283" s="2244"/>
    </row>
    <row r="284" spans="1:8">
      <c r="A284" s="2244" t="s">
        <v>1668</v>
      </c>
      <c r="B284" s="2244"/>
      <c r="C284" s="2244"/>
      <c r="D284" s="2244"/>
      <c r="E284" s="2244"/>
      <c r="F284" s="2244"/>
      <c r="G284" s="2244"/>
      <c r="H284" s="2244"/>
    </row>
    <row r="285" spans="1:8">
      <c r="A285" s="2244" t="s">
        <v>1669</v>
      </c>
      <c r="B285" s="2244"/>
      <c r="C285" s="2244"/>
      <c r="D285" s="2244"/>
      <c r="E285" s="2244"/>
      <c r="F285" s="2244"/>
      <c r="G285" s="2244"/>
      <c r="H285" s="2244"/>
    </row>
    <row r="286" spans="1:8">
      <c r="A286" s="2244" t="s">
        <v>1670</v>
      </c>
      <c r="B286" s="2244"/>
      <c r="C286" s="2244"/>
      <c r="D286" s="2244"/>
      <c r="E286" s="2244"/>
      <c r="F286" s="2244"/>
      <c r="G286" s="2244"/>
      <c r="H286" s="2244"/>
    </row>
    <row r="287" spans="1:8">
      <c r="A287" s="2244" t="s">
        <v>1671</v>
      </c>
      <c r="B287" s="2244"/>
      <c r="C287" s="2244"/>
      <c r="D287" s="2244"/>
      <c r="E287" s="2244"/>
      <c r="F287" s="2244"/>
      <c r="G287" s="2244"/>
      <c r="H287" s="2244"/>
    </row>
    <row r="288" spans="1:8">
      <c r="A288" s="2244" t="s">
        <v>1672</v>
      </c>
      <c r="B288" s="2244"/>
      <c r="C288" s="2244"/>
      <c r="D288" s="2244"/>
      <c r="E288" s="2244"/>
      <c r="F288" s="2244"/>
      <c r="G288" s="2244"/>
      <c r="H288" s="2244"/>
    </row>
    <row r="289" spans="1:8">
      <c r="A289" s="2244" t="s">
        <v>1673</v>
      </c>
      <c r="B289" s="2244"/>
      <c r="C289" s="2244"/>
      <c r="D289" s="2244"/>
      <c r="E289" s="2244"/>
      <c r="F289" s="2244"/>
      <c r="G289" s="2244"/>
      <c r="H289" s="2244"/>
    </row>
    <row r="290" spans="1:8">
      <c r="A290" s="2244" t="s">
        <v>1674</v>
      </c>
      <c r="B290" s="2244"/>
      <c r="C290" s="2244"/>
      <c r="D290" s="2244"/>
      <c r="E290" s="2244"/>
      <c r="F290" s="2244"/>
      <c r="G290" s="2244"/>
      <c r="H290" s="2244"/>
    </row>
    <row r="291" spans="1:8">
      <c r="A291" s="2244" t="s">
        <v>1675</v>
      </c>
      <c r="B291" s="2244"/>
      <c r="C291" s="2244"/>
      <c r="D291" s="2244"/>
      <c r="E291" s="2244"/>
      <c r="F291" s="2244"/>
      <c r="G291" s="2244"/>
      <c r="H291" s="2244"/>
    </row>
    <row r="292" spans="1:8">
      <c r="A292" s="2244" t="s">
        <v>1676</v>
      </c>
      <c r="B292" s="2244"/>
      <c r="C292" s="2244"/>
      <c r="D292" s="2244"/>
      <c r="E292" s="2244"/>
      <c r="F292" s="2244"/>
      <c r="G292" s="2244"/>
      <c r="H292" s="2244"/>
    </row>
    <row r="293" spans="1:8">
      <c r="A293" s="2244" t="s">
        <v>1677</v>
      </c>
      <c r="B293" s="2244"/>
      <c r="C293" s="2244"/>
      <c r="D293" s="2244"/>
      <c r="E293" s="2244"/>
      <c r="F293" s="2244"/>
      <c r="G293" s="2244"/>
      <c r="H293" s="2244"/>
    </row>
    <row r="294" spans="1:8">
      <c r="A294" s="2244" t="s">
        <v>1678</v>
      </c>
      <c r="B294" s="2244"/>
      <c r="C294" s="2244"/>
      <c r="D294" s="2244"/>
      <c r="E294" s="2244"/>
      <c r="F294" s="2244"/>
      <c r="G294" s="2244"/>
      <c r="H294" s="2244"/>
    </row>
    <row r="295" spans="1:8">
      <c r="A295" s="2244" t="s">
        <v>1679</v>
      </c>
      <c r="B295" s="2244"/>
      <c r="C295" s="2244"/>
      <c r="D295" s="2244"/>
      <c r="E295" s="2244"/>
      <c r="F295" s="2244"/>
      <c r="G295" s="2244"/>
      <c r="H295" s="2244"/>
    </row>
    <row r="296" spans="1:8">
      <c r="A296" s="2244" t="s">
        <v>1680</v>
      </c>
      <c r="B296" s="2244"/>
      <c r="C296" s="2244"/>
      <c r="D296" s="2244"/>
      <c r="E296" s="2244"/>
      <c r="F296" s="2244"/>
      <c r="G296" s="2244"/>
      <c r="H296" s="2244"/>
    </row>
    <row r="297" spans="1:8">
      <c r="A297" s="2244"/>
      <c r="B297" s="2244"/>
      <c r="C297" s="2244"/>
      <c r="D297" s="2244"/>
      <c r="E297" s="2244"/>
      <c r="F297" s="2244"/>
      <c r="G297" s="2244"/>
      <c r="H297" s="2244"/>
    </row>
    <row r="298" spans="1:8">
      <c r="A298" s="2244" t="s">
        <v>1681</v>
      </c>
      <c r="B298" s="2244"/>
      <c r="C298" s="2244"/>
      <c r="D298" s="2244"/>
      <c r="E298" s="2244"/>
      <c r="F298" s="2244"/>
      <c r="G298" s="2244"/>
      <c r="H298" s="2244"/>
    </row>
    <row r="299" spans="1:8">
      <c r="A299" s="2244" t="s">
        <v>1682</v>
      </c>
      <c r="B299" s="2244"/>
      <c r="C299" s="2244"/>
      <c r="D299" s="2244"/>
      <c r="E299" s="2244"/>
      <c r="F299" s="2244"/>
      <c r="G299" s="2244"/>
      <c r="H299" s="2244"/>
    </row>
    <row r="300" spans="1:8">
      <c r="A300" s="2244" t="s">
        <v>1683</v>
      </c>
      <c r="B300" s="2244"/>
      <c r="C300" s="2244"/>
      <c r="D300" s="2244"/>
      <c r="E300" s="2244"/>
      <c r="F300" s="2244"/>
      <c r="G300" s="2244"/>
      <c r="H300" s="2244"/>
    </row>
    <row r="301" spans="1:8">
      <c r="A301" s="2244" t="s">
        <v>1684</v>
      </c>
      <c r="B301" s="2244"/>
      <c r="C301" s="2244"/>
      <c r="D301" s="2244"/>
      <c r="E301" s="2244"/>
      <c r="F301" s="2244"/>
      <c r="G301" s="2244"/>
      <c r="H301" s="2244"/>
    </row>
    <row r="302" spans="1:8">
      <c r="A302" s="2244" t="s">
        <v>1685</v>
      </c>
      <c r="B302" s="2244"/>
      <c r="C302" s="2244"/>
      <c r="D302" s="2244"/>
      <c r="E302" s="2244"/>
      <c r="F302" s="2244"/>
      <c r="G302" s="2244"/>
      <c r="H302" s="2244"/>
    </row>
    <row r="303" spans="1:8">
      <c r="A303" s="2244" t="s">
        <v>1686</v>
      </c>
      <c r="B303" s="2244"/>
      <c r="C303" s="2244"/>
      <c r="D303" s="2244"/>
      <c r="E303" s="2244"/>
      <c r="F303" s="2244"/>
      <c r="G303" s="2244"/>
      <c r="H303" s="2244"/>
    </row>
    <row r="304" spans="1:8">
      <c r="A304" s="2244" t="s">
        <v>1545</v>
      </c>
      <c r="B304" s="2244"/>
      <c r="C304" s="2244"/>
      <c r="D304" s="2244"/>
      <c r="E304" s="2244"/>
      <c r="F304" s="2244"/>
      <c r="G304" s="2244"/>
      <c r="H304" s="2244"/>
    </row>
    <row r="305" spans="1:8">
      <c r="A305" s="2244"/>
      <c r="B305" s="2244"/>
      <c r="C305" s="2244"/>
      <c r="D305" s="2244"/>
      <c r="E305" s="2244"/>
      <c r="F305" s="2244"/>
      <c r="G305" s="2244"/>
      <c r="H305" s="2244"/>
    </row>
    <row r="306" spans="1:8">
      <c r="A306" s="2244" t="s">
        <v>1687</v>
      </c>
      <c r="B306" s="2244"/>
      <c r="C306" s="2244"/>
      <c r="D306" s="2244"/>
      <c r="E306" s="2244"/>
      <c r="F306" s="2244"/>
      <c r="G306" s="2244"/>
      <c r="H306" s="2244"/>
    </row>
    <row r="307" spans="1:8">
      <c r="A307" s="2244" t="s">
        <v>1688</v>
      </c>
      <c r="B307" s="2244"/>
      <c r="C307" s="2244"/>
      <c r="D307" s="2244"/>
      <c r="E307" s="2244"/>
      <c r="F307" s="2244"/>
      <c r="G307" s="2244"/>
      <c r="H307" s="2244"/>
    </row>
    <row r="308" spans="1:8">
      <c r="A308" s="2244" t="s">
        <v>1689</v>
      </c>
      <c r="B308" s="2244"/>
      <c r="C308" s="2244"/>
      <c r="D308" s="2244"/>
      <c r="E308" s="2244"/>
      <c r="F308" s="2244"/>
      <c r="G308" s="2244"/>
      <c r="H308" s="2244"/>
    </row>
    <row r="309" spans="1:8">
      <c r="A309" s="2244" t="s">
        <v>1690</v>
      </c>
      <c r="B309" s="2244"/>
      <c r="C309" s="2244"/>
      <c r="D309" s="2244"/>
      <c r="E309" s="2244"/>
      <c r="F309" s="2244"/>
      <c r="G309" s="2244"/>
      <c r="H309" s="2244"/>
    </row>
    <row r="310" spans="1:8">
      <c r="A310" s="2244" t="s">
        <v>1691</v>
      </c>
      <c r="B310" s="2244"/>
      <c r="C310" s="2244"/>
      <c r="D310" s="2244"/>
      <c r="E310" s="2244"/>
      <c r="F310" s="2244"/>
      <c r="G310" s="2244"/>
      <c r="H310" s="2244"/>
    </row>
    <row r="311" spans="1:8">
      <c r="A311" s="2244" t="s">
        <v>1692</v>
      </c>
      <c r="B311" s="2244"/>
      <c r="C311" s="2244"/>
      <c r="D311" s="2244"/>
      <c r="E311" s="2244"/>
      <c r="F311" s="2244"/>
      <c r="G311" s="2244"/>
      <c r="H311" s="2244"/>
    </row>
    <row r="312" spans="1:8">
      <c r="A312" s="2244" t="s">
        <v>1693</v>
      </c>
      <c r="B312" s="2244"/>
      <c r="C312" s="2244"/>
      <c r="D312" s="2244"/>
      <c r="E312" s="2244"/>
      <c r="F312" s="2244"/>
      <c r="G312" s="2244"/>
      <c r="H312" s="2244"/>
    </row>
    <row r="313" spans="1:8">
      <c r="A313" s="2244" t="s">
        <v>1694</v>
      </c>
      <c r="B313" s="2244"/>
      <c r="C313" s="2244"/>
      <c r="D313" s="2244"/>
      <c r="E313" s="2244"/>
      <c r="F313" s="2244"/>
      <c r="G313" s="2244"/>
      <c r="H313" s="2244"/>
    </row>
    <row r="314" spans="1:8">
      <c r="A314" s="2244" t="s">
        <v>1695</v>
      </c>
      <c r="B314" s="2244"/>
      <c r="C314" s="2244"/>
      <c r="D314" s="2244"/>
      <c r="E314" s="2244"/>
      <c r="F314" s="2244"/>
      <c r="G314" s="2244"/>
      <c r="H314" s="2244"/>
    </row>
    <row r="315" spans="1:8">
      <c r="A315" s="2244"/>
      <c r="B315" s="2244"/>
      <c r="C315" s="2244"/>
      <c r="D315" s="2244"/>
      <c r="E315" s="2244"/>
      <c r="F315" s="2244"/>
      <c r="G315" s="2244"/>
      <c r="H315" s="2244"/>
    </row>
    <row r="316" spans="1:8">
      <c r="A316" s="2244" t="s">
        <v>1696</v>
      </c>
      <c r="B316" s="2244"/>
      <c r="C316" s="2244"/>
      <c r="D316" s="2244"/>
      <c r="E316" s="2244"/>
      <c r="F316" s="2244"/>
      <c r="G316" s="2244"/>
      <c r="H316" s="2244"/>
    </row>
    <row r="317" spans="1:8">
      <c r="A317" s="2244" t="s">
        <v>1697</v>
      </c>
      <c r="B317" s="2244"/>
      <c r="C317" s="2244"/>
      <c r="D317" s="2244"/>
      <c r="E317" s="2244"/>
      <c r="F317" s="2244"/>
      <c r="G317" s="2244"/>
      <c r="H317" s="2244"/>
    </row>
    <row r="318" spans="1:8">
      <c r="A318" s="2244" t="s">
        <v>1698</v>
      </c>
      <c r="B318" s="2244"/>
      <c r="C318" s="2244"/>
      <c r="D318" s="2244"/>
      <c r="E318" s="2244"/>
      <c r="F318" s="2244"/>
      <c r="G318" s="2244"/>
      <c r="H318" s="2244"/>
    </row>
    <row r="319" spans="1:8">
      <c r="A319" s="2244" t="s">
        <v>1699</v>
      </c>
      <c r="B319" s="2244"/>
      <c r="C319" s="2244"/>
      <c r="D319" s="2244"/>
      <c r="E319" s="2244"/>
      <c r="F319" s="2244"/>
      <c r="G319" s="2244"/>
      <c r="H319" s="2244"/>
    </row>
    <row r="320" spans="1:8">
      <c r="A320" s="2244" t="s">
        <v>1700</v>
      </c>
      <c r="B320" s="2244"/>
      <c r="C320" s="2244"/>
      <c r="D320" s="2244"/>
      <c r="E320" s="2244"/>
      <c r="F320" s="2244"/>
      <c r="G320" s="2244"/>
      <c r="H320" s="2244"/>
    </row>
    <row r="321" spans="1:8">
      <c r="A321" s="2244" t="s">
        <v>1701</v>
      </c>
      <c r="B321" s="2244"/>
      <c r="C321" s="2244"/>
      <c r="D321" s="2244"/>
      <c r="E321" s="2244"/>
      <c r="F321" s="2244"/>
      <c r="G321" s="2244"/>
      <c r="H321" s="2244"/>
    </row>
    <row r="322" spans="1:8">
      <c r="A322" s="2244" t="s">
        <v>1702</v>
      </c>
      <c r="B322" s="2244"/>
      <c r="C322" s="2244"/>
      <c r="D322" s="2244"/>
      <c r="E322" s="2244"/>
      <c r="F322" s="2244"/>
      <c r="G322" s="2244"/>
      <c r="H322" s="2244"/>
    </row>
    <row r="323" spans="1:8">
      <c r="A323" s="2244"/>
      <c r="B323" s="2244"/>
      <c r="C323" s="2244"/>
      <c r="D323" s="2244"/>
      <c r="E323" s="2244"/>
      <c r="F323" s="2244"/>
      <c r="G323" s="2244"/>
      <c r="H323" s="2244"/>
    </row>
    <row r="324" spans="1:8">
      <c r="A324" s="2244" t="s">
        <v>1703</v>
      </c>
      <c r="B324" s="2244"/>
      <c r="C324" s="2244"/>
      <c r="D324" s="2244"/>
      <c r="E324" s="2244"/>
      <c r="F324" s="2244"/>
      <c r="G324" s="2244"/>
      <c r="H324" s="2244"/>
    </row>
    <row r="325" spans="1:8">
      <c r="A325" s="2244" t="s">
        <v>1704</v>
      </c>
      <c r="B325" s="2244"/>
      <c r="C325" s="2244"/>
      <c r="D325" s="2244"/>
      <c r="E325" s="2244"/>
      <c r="F325" s="2244"/>
      <c r="G325" s="2244"/>
      <c r="H325" s="2244"/>
    </row>
    <row r="326" spans="1:8">
      <c r="A326" s="2244" t="s">
        <v>1705</v>
      </c>
      <c r="B326" s="2244"/>
      <c r="C326" s="2244"/>
      <c r="D326" s="2244"/>
      <c r="E326" s="2244"/>
      <c r="F326" s="2244"/>
      <c r="G326" s="2244"/>
      <c r="H326" s="2244"/>
    </row>
    <row r="327" spans="1:8">
      <c r="A327" s="2244"/>
      <c r="B327" s="2244"/>
      <c r="C327" s="2244"/>
      <c r="D327" s="2244"/>
      <c r="E327" s="2244"/>
      <c r="F327" s="2244"/>
      <c r="G327" s="2244"/>
      <c r="H327" s="2244"/>
    </row>
    <row r="328" spans="1:8">
      <c r="A328" s="2244" t="s">
        <v>1706</v>
      </c>
      <c r="B328" s="2244"/>
      <c r="C328" s="2244"/>
      <c r="D328" s="2244"/>
      <c r="E328" s="2244"/>
      <c r="F328" s="2244"/>
      <c r="G328" s="2244"/>
      <c r="H328" s="2244"/>
    </row>
    <row r="329" spans="1:8">
      <c r="A329" s="2244" t="s">
        <v>1707</v>
      </c>
      <c r="B329" s="2244"/>
      <c r="C329" s="2244"/>
      <c r="D329" s="2244"/>
      <c r="E329" s="2244"/>
      <c r="F329" s="2244"/>
      <c r="G329" s="2244"/>
      <c r="H329" s="2244"/>
    </row>
    <row r="330" spans="1:8">
      <c r="A330" s="2244"/>
      <c r="B330" s="2244"/>
      <c r="C330" s="2244"/>
      <c r="D330" s="2244"/>
      <c r="E330" s="2244"/>
      <c r="F330" s="2244"/>
      <c r="G330" s="2244"/>
      <c r="H330" s="2244"/>
    </row>
    <row r="331" spans="1:8">
      <c r="A331" s="2244" t="s">
        <v>1708</v>
      </c>
      <c r="B331" s="2244"/>
      <c r="C331" s="2244"/>
      <c r="D331" s="2244"/>
      <c r="E331" s="2244"/>
      <c r="F331" s="2244"/>
      <c r="G331" s="2244"/>
      <c r="H331" s="2244"/>
    </row>
    <row r="332" spans="1:8">
      <c r="A332" s="2244" t="s">
        <v>1709</v>
      </c>
      <c r="B332" s="2244"/>
      <c r="C332" s="2244"/>
      <c r="D332" s="2244"/>
      <c r="E332" s="2244"/>
      <c r="F332" s="2244"/>
      <c r="G332" s="2244"/>
      <c r="H332" s="2244"/>
    </row>
    <row r="333" spans="1:8">
      <c r="A333" s="2244" t="s">
        <v>1710</v>
      </c>
      <c r="B333" s="2244"/>
      <c r="C333" s="2244"/>
      <c r="D333" s="2244"/>
      <c r="E333" s="2244"/>
      <c r="F333" s="2244"/>
      <c r="G333" s="2244"/>
      <c r="H333" s="2244"/>
    </row>
    <row r="334" spans="1:8">
      <c r="A334" s="2244" t="s">
        <v>1711</v>
      </c>
      <c r="B334" s="2244"/>
      <c r="C334" s="2244"/>
      <c r="D334" s="2244"/>
      <c r="E334" s="2244"/>
      <c r="F334" s="2244"/>
      <c r="G334" s="2244"/>
      <c r="H334" s="2244"/>
    </row>
    <row r="335" spans="1:8">
      <c r="A335" s="2244" t="s">
        <v>1712</v>
      </c>
      <c r="B335" s="2244"/>
      <c r="C335" s="2244"/>
      <c r="D335" s="2244"/>
      <c r="E335" s="2244"/>
      <c r="F335" s="2244"/>
      <c r="G335" s="2244"/>
      <c r="H335" s="2244"/>
    </row>
    <row r="336" spans="1:8">
      <c r="A336" s="2244" t="s">
        <v>1713</v>
      </c>
      <c r="B336" s="2244"/>
      <c r="C336" s="2244"/>
      <c r="D336" s="2244"/>
      <c r="E336" s="2244"/>
      <c r="F336" s="2244"/>
      <c r="G336" s="2244"/>
      <c r="H336" s="2244"/>
    </row>
    <row r="337" spans="1:8">
      <c r="A337" s="2244" t="s">
        <v>1714</v>
      </c>
      <c r="B337" s="2244"/>
      <c r="C337" s="2244"/>
      <c r="D337" s="2244"/>
      <c r="E337" s="2244"/>
      <c r="F337" s="2244"/>
      <c r="G337" s="2244"/>
      <c r="H337" s="2244"/>
    </row>
    <row r="338" spans="1:8">
      <c r="A338" s="2244" t="s">
        <v>1715</v>
      </c>
      <c r="B338" s="2244"/>
      <c r="C338" s="2244"/>
      <c r="D338" s="2244"/>
      <c r="E338" s="2244"/>
      <c r="F338" s="2244"/>
      <c r="G338" s="2244"/>
      <c r="H338" s="2244"/>
    </row>
    <row r="339" spans="1:8">
      <c r="A339" s="2244" t="s">
        <v>1716</v>
      </c>
      <c r="B339" s="2244"/>
      <c r="C339" s="2244"/>
      <c r="D339" s="2244"/>
      <c r="E339" s="2244"/>
      <c r="F339" s="2244"/>
      <c r="G339" s="2244"/>
      <c r="H339" s="2244"/>
    </row>
    <row r="340" spans="1:8">
      <c r="A340" s="2244" t="s">
        <v>1717</v>
      </c>
      <c r="B340" s="2244"/>
      <c r="C340" s="2244"/>
      <c r="D340" s="2244"/>
      <c r="E340" s="2244"/>
      <c r="F340" s="2244"/>
      <c r="G340" s="2244"/>
      <c r="H340" s="2244"/>
    </row>
    <row r="341" spans="1:8">
      <c r="A341" s="2244" t="s">
        <v>1718</v>
      </c>
      <c r="B341" s="2244"/>
      <c r="C341" s="2244"/>
      <c r="D341" s="2244"/>
      <c r="E341" s="2244"/>
      <c r="F341" s="2244"/>
      <c r="G341" s="2244"/>
      <c r="H341" s="2244"/>
    </row>
    <row r="342" spans="1:8">
      <c r="A342" s="2244" t="s">
        <v>1719</v>
      </c>
      <c r="B342" s="2244"/>
      <c r="C342" s="2244"/>
      <c r="D342" s="2244"/>
      <c r="E342" s="2244"/>
      <c r="F342" s="2244"/>
      <c r="G342" s="2244"/>
      <c r="H342" s="2244"/>
    </row>
    <row r="343" spans="1:8">
      <c r="A343" s="2244" t="s">
        <v>1720</v>
      </c>
      <c r="B343" s="2244"/>
      <c r="C343" s="2244"/>
      <c r="D343" s="2244"/>
      <c r="E343" s="2244"/>
      <c r="F343" s="2244"/>
      <c r="G343" s="2244"/>
      <c r="H343" s="2244"/>
    </row>
    <row r="344" spans="1:8">
      <c r="A344" s="2244"/>
      <c r="B344" s="2244"/>
      <c r="C344" s="2244"/>
      <c r="D344" s="2244"/>
      <c r="E344" s="2244"/>
      <c r="F344" s="2244"/>
      <c r="G344" s="2244"/>
      <c r="H344" s="2244"/>
    </row>
    <row r="345" spans="1:8">
      <c r="A345" s="2244" t="s">
        <v>1721</v>
      </c>
      <c r="B345" s="2244"/>
      <c r="C345" s="2244"/>
      <c r="D345" s="2244"/>
      <c r="E345" s="2244"/>
      <c r="F345" s="2244"/>
      <c r="G345" s="2244"/>
      <c r="H345" s="2244"/>
    </row>
    <row r="346" spans="1:8">
      <c r="A346" s="2244" t="s">
        <v>1722</v>
      </c>
      <c r="B346" s="2244"/>
      <c r="C346" s="2244"/>
      <c r="D346" s="2244"/>
      <c r="E346" s="2244"/>
      <c r="F346" s="2244"/>
      <c r="G346" s="2244"/>
      <c r="H346" s="2244"/>
    </row>
    <row r="347" spans="1:8">
      <c r="A347" s="2244"/>
      <c r="B347" s="2244"/>
      <c r="C347" s="2244"/>
      <c r="D347" s="2244"/>
      <c r="E347" s="2244"/>
      <c r="F347" s="2244"/>
      <c r="G347" s="2244"/>
      <c r="H347" s="2244"/>
    </row>
    <row r="348" spans="1:8">
      <c r="A348" s="2244" t="s">
        <v>1723</v>
      </c>
      <c r="B348" s="2244"/>
      <c r="C348" s="2244"/>
      <c r="D348" s="2244"/>
      <c r="E348" s="2244"/>
      <c r="F348" s="2244"/>
      <c r="G348" s="2244"/>
      <c r="H348" s="2244"/>
    </row>
    <row r="349" spans="1:8">
      <c r="A349" s="2244" t="s">
        <v>1724</v>
      </c>
      <c r="B349" s="2244"/>
      <c r="C349" s="2244"/>
      <c r="D349" s="2244"/>
      <c r="E349" s="2244"/>
      <c r="F349" s="2244"/>
      <c r="G349" s="2244"/>
      <c r="H349" s="2244"/>
    </row>
    <row r="350" spans="1:8">
      <c r="A350" s="2244" t="s">
        <v>1725</v>
      </c>
      <c r="B350" s="2244"/>
      <c r="C350" s="2244"/>
      <c r="D350" s="2244"/>
      <c r="E350" s="2244"/>
      <c r="F350" s="2244"/>
      <c r="G350" s="2244"/>
      <c r="H350" s="2244"/>
    </row>
    <row r="351" spans="1:8">
      <c r="A351" s="2244" t="s">
        <v>1726</v>
      </c>
      <c r="B351" s="2244"/>
      <c r="C351" s="2244"/>
      <c r="D351" s="2244"/>
      <c r="E351" s="2244"/>
      <c r="F351" s="2244"/>
      <c r="G351" s="2244"/>
      <c r="H351" s="2244"/>
    </row>
    <row r="352" spans="1:8">
      <c r="A352" s="2244" t="s">
        <v>1727</v>
      </c>
      <c r="B352" s="2244"/>
      <c r="C352" s="2244"/>
      <c r="D352" s="2244"/>
      <c r="E352" s="2244"/>
      <c r="F352" s="2244"/>
      <c r="G352" s="2244"/>
      <c r="H352" s="2244"/>
    </row>
    <row r="353" spans="1:8">
      <c r="A353" s="2244" t="s">
        <v>1728</v>
      </c>
      <c r="B353" s="2244"/>
      <c r="C353" s="2244"/>
      <c r="D353" s="2244"/>
      <c r="E353" s="2244"/>
      <c r="F353" s="2244"/>
      <c r="G353" s="2244"/>
      <c r="H353" s="2244"/>
    </row>
    <row r="354" spans="1:8">
      <c r="A354" s="2244" t="s">
        <v>1729</v>
      </c>
      <c r="B354" s="2244"/>
      <c r="C354" s="2244"/>
      <c r="D354" s="2244"/>
      <c r="E354" s="2244"/>
      <c r="F354" s="2244"/>
      <c r="G354" s="2244"/>
      <c r="H354" s="2244"/>
    </row>
    <row r="355" spans="1:8">
      <c r="A355" s="2244" t="s">
        <v>1730</v>
      </c>
      <c r="B355" s="2244"/>
      <c r="C355" s="2244"/>
      <c r="D355" s="2244"/>
      <c r="E355" s="2244"/>
      <c r="F355" s="2244"/>
      <c r="G355" s="2244"/>
      <c r="H355" s="2244"/>
    </row>
    <row r="356" spans="1:8">
      <c r="A356" s="2244"/>
      <c r="B356" s="2244"/>
      <c r="C356" s="2244"/>
      <c r="D356" s="2244"/>
      <c r="E356" s="2244"/>
      <c r="F356" s="2244"/>
      <c r="G356" s="2244"/>
      <c r="H356" s="2244"/>
    </row>
    <row r="357" spans="1:8">
      <c r="A357" s="2244" t="s">
        <v>1731</v>
      </c>
      <c r="B357" s="2244"/>
      <c r="C357" s="2244"/>
      <c r="D357" s="2244"/>
      <c r="E357" s="2244"/>
      <c r="F357" s="2244"/>
      <c r="G357" s="2244"/>
      <c r="H357" s="2244"/>
    </row>
    <row r="358" spans="1:8">
      <c r="A358" s="2244" t="s">
        <v>1732</v>
      </c>
      <c r="B358" s="2244"/>
      <c r="C358" s="2244"/>
      <c r="D358" s="2244"/>
      <c r="E358" s="2244"/>
      <c r="F358" s="2244"/>
      <c r="G358" s="2244"/>
      <c r="H358" s="2244"/>
    </row>
    <row r="359" spans="1:8">
      <c r="A359" s="2244" t="s">
        <v>1733</v>
      </c>
      <c r="B359" s="2244"/>
      <c r="C359" s="2244"/>
      <c r="D359" s="2244"/>
      <c r="E359" s="2244"/>
      <c r="F359" s="2244"/>
      <c r="G359" s="2244"/>
      <c r="H359" s="2244"/>
    </row>
    <row r="360" spans="1:8">
      <c r="A360" s="2244" t="s">
        <v>1734</v>
      </c>
      <c r="B360" s="2244"/>
      <c r="C360" s="2244"/>
      <c r="D360" s="2244"/>
      <c r="E360" s="2244"/>
      <c r="F360" s="2244"/>
      <c r="G360" s="2244"/>
      <c r="H360" s="2244"/>
    </row>
    <row r="361" spans="1:8">
      <c r="A361" s="2244" t="s">
        <v>1735</v>
      </c>
      <c r="B361" s="2244"/>
      <c r="C361" s="2244"/>
      <c r="D361" s="2244"/>
      <c r="E361" s="2244"/>
      <c r="F361" s="2244"/>
      <c r="G361" s="2244"/>
      <c r="H361" s="2244"/>
    </row>
    <row r="362" spans="1:8">
      <c r="A362" s="2244" t="s">
        <v>1736</v>
      </c>
      <c r="B362" s="2244"/>
      <c r="C362" s="2244"/>
      <c r="D362" s="2244"/>
      <c r="E362" s="2244"/>
      <c r="F362" s="2244"/>
      <c r="G362" s="2244"/>
      <c r="H362" s="2244"/>
    </row>
    <row r="363" spans="1:8">
      <c r="A363" s="2244" t="s">
        <v>1737</v>
      </c>
      <c r="B363" s="2244"/>
      <c r="C363" s="2244"/>
      <c r="D363" s="2244"/>
      <c r="E363" s="2244"/>
      <c r="F363" s="2244"/>
      <c r="G363" s="2244"/>
      <c r="H363" s="2244"/>
    </row>
    <row r="364" spans="1:8">
      <c r="A364" s="2244" t="s">
        <v>1738</v>
      </c>
      <c r="B364" s="2244"/>
      <c r="C364" s="2244"/>
      <c r="D364" s="2244"/>
      <c r="E364" s="2244"/>
      <c r="F364" s="2244"/>
      <c r="G364" s="2244"/>
      <c r="H364" s="2244"/>
    </row>
    <row r="365" spans="1:8">
      <c r="A365" s="2244" t="s">
        <v>1739</v>
      </c>
      <c r="B365" s="2244"/>
      <c r="C365" s="2244"/>
      <c r="D365" s="2244"/>
      <c r="E365" s="2244"/>
      <c r="F365" s="2244"/>
      <c r="G365" s="2244"/>
      <c r="H365" s="2244"/>
    </row>
    <row r="366" spans="1:8">
      <c r="A366" s="2244" t="s">
        <v>1740</v>
      </c>
      <c r="B366" s="2244"/>
      <c r="C366" s="2244"/>
      <c r="D366" s="2244"/>
      <c r="E366" s="2244"/>
      <c r="F366" s="2244"/>
      <c r="G366" s="2244"/>
      <c r="H366" s="2244"/>
    </row>
    <row r="367" spans="1:8">
      <c r="A367" s="2244" t="s">
        <v>1741</v>
      </c>
      <c r="B367" s="2244"/>
      <c r="C367" s="2244"/>
      <c r="D367" s="2244"/>
      <c r="E367" s="2244"/>
      <c r="F367" s="2244"/>
      <c r="G367" s="2244"/>
      <c r="H367" s="2244"/>
    </row>
    <row r="368" spans="1:8">
      <c r="A368" s="2244" t="s">
        <v>1742</v>
      </c>
      <c r="B368" s="2244"/>
      <c r="C368" s="2244"/>
      <c r="D368" s="2244"/>
      <c r="E368" s="2244"/>
      <c r="F368" s="2244"/>
      <c r="G368" s="2244"/>
      <c r="H368" s="2244"/>
    </row>
    <row r="369" spans="1:8">
      <c r="A369" s="2244" t="s">
        <v>1743</v>
      </c>
      <c r="B369" s="2244"/>
      <c r="C369" s="2244"/>
      <c r="D369" s="2244"/>
      <c r="E369" s="2244"/>
      <c r="F369" s="2244"/>
      <c r="G369" s="2244"/>
      <c r="H369" s="2244"/>
    </row>
    <row r="370" spans="1:8">
      <c r="A370" s="2244" t="s">
        <v>1744</v>
      </c>
      <c r="B370" s="2244"/>
      <c r="C370" s="2244"/>
      <c r="D370" s="2244"/>
      <c r="E370" s="2244"/>
      <c r="F370" s="2244"/>
      <c r="G370" s="2244"/>
      <c r="H370" s="2244"/>
    </row>
    <row r="371" spans="1:8">
      <c r="A371" s="2244" t="s">
        <v>1745</v>
      </c>
      <c r="B371" s="2244"/>
      <c r="C371" s="2244"/>
      <c r="D371" s="2244"/>
      <c r="E371" s="2244"/>
      <c r="F371" s="2244"/>
      <c r="G371" s="2244"/>
      <c r="H371" s="2244"/>
    </row>
    <row r="372" spans="1:8">
      <c r="A372" s="2244" t="s">
        <v>1746</v>
      </c>
      <c r="B372" s="2244"/>
      <c r="C372" s="2244"/>
      <c r="D372" s="2244"/>
      <c r="E372" s="2244"/>
      <c r="F372" s="2244"/>
      <c r="G372" s="2244"/>
      <c r="H372" s="2244"/>
    </row>
    <row r="373" spans="1:8">
      <c r="A373" s="2244" t="s">
        <v>1747</v>
      </c>
      <c r="B373" s="2244"/>
      <c r="C373" s="2244"/>
      <c r="D373" s="2244"/>
      <c r="E373" s="2244"/>
      <c r="F373" s="2244"/>
      <c r="G373" s="2244"/>
      <c r="H373" s="2244"/>
    </row>
    <row r="374" spans="1:8">
      <c r="A374" s="2244" t="s">
        <v>1748</v>
      </c>
      <c r="B374" s="2244"/>
      <c r="C374" s="2244"/>
      <c r="D374" s="2244"/>
      <c r="E374" s="2244"/>
      <c r="F374" s="2244"/>
      <c r="G374" s="2244"/>
      <c r="H374" s="2244"/>
    </row>
    <row r="375" spans="1:8">
      <c r="A375" s="2244" t="s">
        <v>1749</v>
      </c>
      <c r="B375" s="2244"/>
      <c r="C375" s="2244"/>
      <c r="D375" s="2244"/>
      <c r="E375" s="2244"/>
      <c r="F375" s="2244"/>
      <c r="G375" s="2244"/>
      <c r="H375" s="2244"/>
    </row>
    <row r="376" spans="1:8">
      <c r="A376" s="2244" t="s">
        <v>1750</v>
      </c>
      <c r="B376" s="2244"/>
      <c r="C376" s="2244"/>
      <c r="D376" s="2244"/>
      <c r="E376" s="2244"/>
      <c r="F376" s="2244"/>
      <c r="G376" s="2244"/>
      <c r="H376" s="2244"/>
    </row>
    <row r="377" spans="1:8">
      <c r="A377" s="2244" t="s">
        <v>1751</v>
      </c>
      <c r="B377" s="2244"/>
      <c r="C377" s="2244"/>
      <c r="D377" s="2244"/>
      <c r="E377" s="2244"/>
      <c r="F377" s="2244"/>
      <c r="G377" s="2244"/>
      <c r="H377" s="2244"/>
    </row>
    <row r="378" spans="1:8">
      <c r="A378" s="2244" t="s">
        <v>1752</v>
      </c>
      <c r="B378" s="2244"/>
      <c r="C378" s="2244"/>
      <c r="D378" s="2244"/>
      <c r="E378" s="2244"/>
      <c r="F378" s="2244"/>
      <c r="G378" s="2244"/>
      <c r="H378" s="2244"/>
    </row>
    <row r="379" spans="1:8">
      <c r="A379" s="2244" t="s">
        <v>1753</v>
      </c>
      <c r="B379" s="2244"/>
      <c r="C379" s="2244"/>
      <c r="D379" s="2244"/>
      <c r="E379" s="2244"/>
      <c r="F379" s="2244"/>
      <c r="G379" s="2244"/>
      <c r="H379" s="2244"/>
    </row>
    <row r="380" spans="1:8">
      <c r="A380" s="2244" t="s">
        <v>1754</v>
      </c>
      <c r="B380" s="2244"/>
      <c r="C380" s="2244"/>
      <c r="D380" s="2244"/>
      <c r="E380" s="2244"/>
      <c r="F380" s="2244"/>
      <c r="G380" s="2244"/>
      <c r="H380" s="2244"/>
    </row>
    <row r="381" spans="1:8">
      <c r="A381" s="2244" t="s">
        <v>1755</v>
      </c>
      <c r="B381" s="2244"/>
      <c r="C381" s="2244"/>
      <c r="D381" s="2244"/>
      <c r="E381" s="2244"/>
      <c r="F381" s="2244"/>
      <c r="G381" s="2244"/>
      <c r="H381" s="2244"/>
    </row>
    <row r="382" spans="1:8">
      <c r="A382" s="2244" t="s">
        <v>1756</v>
      </c>
      <c r="B382" s="2244"/>
      <c r="C382" s="2244"/>
      <c r="D382" s="2244"/>
      <c r="E382" s="2244"/>
      <c r="F382" s="2244"/>
      <c r="G382" s="2244"/>
      <c r="H382" s="2244"/>
    </row>
    <row r="383" spans="1:8">
      <c r="A383" s="2244" t="s">
        <v>1757</v>
      </c>
      <c r="B383" s="2244"/>
      <c r="C383" s="2244"/>
      <c r="D383" s="2244"/>
      <c r="E383" s="2244"/>
      <c r="F383" s="2244"/>
      <c r="G383" s="2244"/>
      <c r="H383" s="2244"/>
    </row>
    <row r="384" spans="1:8">
      <c r="A384" s="2244" t="s">
        <v>1758</v>
      </c>
      <c r="B384" s="2244"/>
      <c r="C384" s="2244"/>
      <c r="D384" s="2244"/>
      <c r="E384" s="2244"/>
      <c r="F384" s="2244"/>
      <c r="G384" s="2244"/>
      <c r="H384" s="2244"/>
    </row>
    <row r="385" spans="1:8">
      <c r="A385" s="2244" t="s">
        <v>1759</v>
      </c>
      <c r="B385" s="2244"/>
      <c r="C385" s="2244"/>
      <c r="D385" s="2244"/>
      <c r="E385" s="2244"/>
      <c r="F385" s="2244"/>
      <c r="G385" s="2244"/>
      <c r="H385" s="2244"/>
    </row>
    <row r="386" spans="1:8">
      <c r="A386" s="2244" t="s">
        <v>1760</v>
      </c>
      <c r="B386" s="2244"/>
      <c r="C386" s="2244"/>
      <c r="D386" s="2244"/>
      <c r="E386" s="2244"/>
      <c r="F386" s="2244"/>
      <c r="G386" s="2244"/>
      <c r="H386" s="2244"/>
    </row>
    <row r="387" spans="1:8">
      <c r="A387" s="2244" t="s">
        <v>1761</v>
      </c>
      <c r="B387" s="2244"/>
      <c r="C387" s="2244"/>
      <c r="D387" s="2244"/>
      <c r="E387" s="2244"/>
      <c r="F387" s="2244"/>
      <c r="G387" s="2244"/>
      <c r="H387" s="2244"/>
    </row>
    <row r="388" spans="1:8">
      <c r="A388" s="2244" t="s">
        <v>1762</v>
      </c>
      <c r="B388" s="2244"/>
      <c r="C388" s="2244"/>
      <c r="D388" s="2244"/>
      <c r="E388" s="2244"/>
      <c r="F388" s="2244"/>
      <c r="G388" s="2244"/>
      <c r="H388" s="2244"/>
    </row>
    <row r="389" spans="1:8">
      <c r="A389" s="2244" t="s">
        <v>1763</v>
      </c>
      <c r="B389" s="2244"/>
      <c r="C389" s="2244"/>
      <c r="D389" s="2244"/>
      <c r="E389" s="2244"/>
      <c r="F389" s="2244"/>
      <c r="G389" s="2244"/>
      <c r="H389" s="2244"/>
    </row>
    <row r="390" spans="1:8">
      <c r="A390" s="2244" t="s">
        <v>1764</v>
      </c>
      <c r="B390" s="2244"/>
      <c r="C390" s="2244"/>
      <c r="D390" s="2244"/>
      <c r="E390" s="2244"/>
      <c r="F390" s="2244"/>
      <c r="G390" s="2244"/>
      <c r="H390" s="2244"/>
    </row>
    <row r="391" spans="1:8">
      <c r="A391" s="2244" t="s">
        <v>1765</v>
      </c>
      <c r="B391" s="2244"/>
      <c r="C391" s="2244"/>
      <c r="D391" s="2244"/>
      <c r="E391" s="2244"/>
      <c r="F391" s="2244"/>
      <c r="G391" s="2244"/>
      <c r="H391" s="2244"/>
    </row>
    <row r="392" spans="1:8">
      <c r="A392" s="2244" t="s">
        <v>1766</v>
      </c>
      <c r="B392" s="2244"/>
      <c r="C392" s="2244"/>
      <c r="D392" s="2244"/>
      <c r="E392" s="2244"/>
      <c r="F392" s="2244"/>
      <c r="G392" s="2244"/>
      <c r="H392" s="2244"/>
    </row>
    <row r="393" spans="1:8">
      <c r="A393" s="2244" t="s">
        <v>1767</v>
      </c>
      <c r="B393" s="2244"/>
      <c r="C393" s="2244"/>
      <c r="D393" s="2244"/>
      <c r="E393" s="2244"/>
      <c r="F393" s="2244"/>
      <c r="G393" s="2244"/>
      <c r="H393" s="2244"/>
    </row>
    <row r="394" spans="1:8">
      <c r="A394" s="2244" t="s">
        <v>1768</v>
      </c>
      <c r="B394" s="2244"/>
      <c r="C394" s="2244"/>
      <c r="D394" s="2244"/>
      <c r="E394" s="2244"/>
      <c r="F394" s="2244"/>
      <c r="G394" s="2244"/>
      <c r="H394" s="2244"/>
    </row>
    <row r="395" spans="1:8">
      <c r="A395" s="2244" t="s">
        <v>1769</v>
      </c>
      <c r="B395" s="2244"/>
      <c r="C395" s="2244"/>
      <c r="D395" s="2244"/>
      <c r="E395" s="2244"/>
      <c r="F395" s="2244"/>
      <c r="G395" s="2244"/>
      <c r="H395" s="2244"/>
    </row>
    <row r="396" spans="1:8">
      <c r="A396" s="2244" t="s">
        <v>1770</v>
      </c>
      <c r="B396" s="2244"/>
      <c r="C396" s="2244"/>
      <c r="D396" s="2244"/>
      <c r="E396" s="2244"/>
      <c r="F396" s="2244"/>
      <c r="G396" s="2244"/>
      <c r="H396" s="2244"/>
    </row>
    <row r="397" spans="1:8">
      <c r="A397" s="2244" t="s">
        <v>1771</v>
      </c>
      <c r="B397" s="2244"/>
      <c r="C397" s="2244"/>
      <c r="D397" s="2244"/>
      <c r="E397" s="2244"/>
      <c r="F397" s="2244"/>
      <c r="G397" s="2244"/>
      <c r="H397" s="2244"/>
    </row>
    <row r="398" spans="1:8">
      <c r="A398" s="2244" t="s">
        <v>1772</v>
      </c>
      <c r="B398" s="2244"/>
      <c r="C398" s="2244"/>
      <c r="D398" s="2244"/>
      <c r="E398" s="2244"/>
      <c r="F398" s="2244"/>
      <c r="G398" s="2244"/>
      <c r="H398" s="2244"/>
    </row>
    <row r="399" spans="1:8">
      <c r="A399" s="2244" t="s">
        <v>1773</v>
      </c>
      <c r="B399" s="2244"/>
      <c r="C399" s="2244"/>
      <c r="D399" s="2244"/>
      <c r="E399" s="2244"/>
      <c r="F399" s="2244"/>
      <c r="G399" s="2244"/>
      <c r="H399" s="2244"/>
    </row>
    <row r="400" spans="1:8">
      <c r="A400" s="2244" t="s">
        <v>1774</v>
      </c>
      <c r="B400" s="2244"/>
      <c r="C400" s="2244"/>
      <c r="D400" s="2244"/>
      <c r="E400" s="2244"/>
      <c r="F400" s="2244"/>
      <c r="G400" s="2244"/>
      <c r="H400" s="2244"/>
    </row>
    <row r="401" spans="1:8">
      <c r="A401" s="2244" t="s">
        <v>1775</v>
      </c>
      <c r="B401" s="2244"/>
      <c r="C401" s="2244"/>
      <c r="D401" s="2244"/>
      <c r="E401" s="2244"/>
      <c r="F401" s="2244"/>
      <c r="G401" s="2244"/>
      <c r="H401" s="2244"/>
    </row>
    <row r="402" spans="1:8">
      <c r="A402" s="2244" t="s">
        <v>1776</v>
      </c>
      <c r="B402" s="2244"/>
      <c r="C402" s="2244"/>
      <c r="D402" s="2244"/>
      <c r="E402" s="2244"/>
      <c r="F402" s="2244"/>
      <c r="G402" s="2244"/>
      <c r="H402" s="2244"/>
    </row>
    <row r="403" spans="1:8">
      <c r="A403" s="2244"/>
      <c r="B403" s="2244"/>
      <c r="C403" s="2244"/>
      <c r="D403" s="2244"/>
      <c r="E403" s="2244"/>
      <c r="F403" s="2244"/>
      <c r="G403" s="2244"/>
      <c r="H403" s="2244"/>
    </row>
    <row r="404" spans="1:8">
      <c r="A404" s="2244" t="s">
        <v>1777</v>
      </c>
      <c r="B404" s="2244"/>
      <c r="C404" s="2244"/>
      <c r="D404" s="2244"/>
      <c r="E404" s="2244"/>
      <c r="F404" s="2244"/>
      <c r="G404" s="2244"/>
      <c r="H404" s="2244"/>
    </row>
    <row r="405" spans="1:8">
      <c r="A405" s="2244" t="s">
        <v>1778</v>
      </c>
      <c r="B405" s="2244"/>
      <c r="C405" s="2244"/>
      <c r="D405" s="2244"/>
      <c r="E405" s="2244"/>
      <c r="F405" s="2244"/>
      <c r="G405" s="2244"/>
      <c r="H405" s="2244"/>
    </row>
    <row r="406" spans="1:8">
      <c r="A406" s="2244" t="s">
        <v>1779</v>
      </c>
      <c r="B406" s="2244"/>
      <c r="C406" s="2244"/>
      <c r="D406" s="2244"/>
      <c r="E406" s="2244"/>
      <c r="F406" s="2244"/>
      <c r="G406" s="2244"/>
      <c r="H406" s="2244"/>
    </row>
    <row r="407" spans="1:8">
      <c r="A407" s="2244" t="s">
        <v>1780</v>
      </c>
      <c r="B407" s="2244"/>
      <c r="C407" s="2244"/>
      <c r="D407" s="2244"/>
      <c r="E407" s="2244"/>
      <c r="F407" s="2244"/>
      <c r="G407" s="2244"/>
      <c r="H407" s="2244"/>
    </row>
    <row r="408" spans="1:8">
      <c r="A408" s="2244" t="s">
        <v>1781</v>
      </c>
      <c r="B408" s="2244"/>
      <c r="C408" s="2244"/>
      <c r="D408" s="2244"/>
      <c r="E408" s="2244"/>
      <c r="F408" s="2244"/>
      <c r="G408" s="2244"/>
      <c r="H408" s="2244"/>
    </row>
    <row r="409" spans="1:8">
      <c r="A409" s="2244" t="s">
        <v>1782</v>
      </c>
      <c r="B409" s="2244"/>
      <c r="C409" s="2244"/>
      <c r="D409" s="2244"/>
      <c r="E409" s="2244"/>
      <c r="F409" s="2244"/>
      <c r="G409" s="2244"/>
      <c r="H409" s="2244"/>
    </row>
    <row r="410" spans="1:8">
      <c r="A410" s="2244" t="s">
        <v>1783</v>
      </c>
      <c r="B410" s="2244"/>
      <c r="C410" s="2244"/>
      <c r="D410" s="2244"/>
      <c r="E410" s="2244"/>
      <c r="F410" s="2244"/>
      <c r="G410" s="2244"/>
      <c r="H410" s="2244"/>
    </row>
    <row r="411" spans="1:8">
      <c r="A411" s="2244" t="s">
        <v>1784</v>
      </c>
      <c r="B411" s="2244"/>
      <c r="C411" s="2244"/>
      <c r="D411" s="2244"/>
      <c r="E411" s="2244"/>
      <c r="F411" s="2244"/>
      <c r="G411" s="2244"/>
      <c r="H411" s="2244"/>
    </row>
    <row r="412" spans="1:8">
      <c r="A412" s="2244"/>
      <c r="B412" s="2244"/>
      <c r="C412" s="2244"/>
      <c r="D412" s="2244"/>
      <c r="E412" s="2244"/>
      <c r="F412" s="2244"/>
      <c r="G412" s="2244"/>
      <c r="H412" s="2244"/>
    </row>
    <row r="413" spans="1:8">
      <c r="A413" s="2244" t="s">
        <v>1777</v>
      </c>
      <c r="B413" s="2244"/>
      <c r="C413" s="2244"/>
      <c r="D413" s="2244"/>
      <c r="E413" s="2244"/>
      <c r="F413" s="2244"/>
      <c r="G413" s="2244"/>
      <c r="H413" s="2244"/>
    </row>
    <row r="414" spans="1:8">
      <c r="A414" s="2244" t="s">
        <v>1785</v>
      </c>
      <c r="B414" s="2244"/>
      <c r="C414" s="2244"/>
      <c r="D414" s="2244"/>
      <c r="E414" s="2244"/>
      <c r="F414" s="2244"/>
      <c r="G414" s="2244"/>
      <c r="H414" s="2244"/>
    </row>
    <row r="415" spans="1:8">
      <c r="A415" s="2244" t="s">
        <v>1786</v>
      </c>
      <c r="B415" s="2244"/>
      <c r="C415" s="2244"/>
      <c r="D415" s="2244"/>
      <c r="E415" s="2244"/>
      <c r="F415" s="2244"/>
      <c r="G415" s="2244"/>
      <c r="H415" s="2244"/>
    </row>
    <row r="416" spans="1:8">
      <c r="A416" s="2244" t="s">
        <v>1787</v>
      </c>
      <c r="B416" s="2244"/>
      <c r="C416" s="2244"/>
      <c r="D416" s="2244"/>
      <c r="E416" s="2244"/>
      <c r="F416" s="2244"/>
      <c r="G416" s="2244"/>
      <c r="H416" s="2244"/>
    </row>
    <row r="417" spans="1:8">
      <c r="A417" s="2244"/>
      <c r="B417" s="2244"/>
      <c r="C417" s="2244"/>
      <c r="D417" s="2244"/>
      <c r="E417" s="2244"/>
      <c r="F417" s="2244"/>
      <c r="G417" s="2244"/>
      <c r="H417" s="2244"/>
    </row>
    <row r="418" spans="1:8">
      <c r="A418" s="2244" t="s">
        <v>1788</v>
      </c>
      <c r="B418" s="2244"/>
      <c r="C418" s="2244"/>
      <c r="D418" s="2244"/>
      <c r="E418" s="2244"/>
      <c r="F418" s="2244"/>
      <c r="G418" s="2244"/>
      <c r="H418" s="2244"/>
    </row>
    <row r="419" spans="1:8">
      <c r="A419" s="2244" t="s">
        <v>1789</v>
      </c>
      <c r="B419" s="2244"/>
      <c r="C419" s="2244"/>
      <c r="D419" s="2244"/>
      <c r="E419" s="2244"/>
      <c r="F419" s="2244"/>
      <c r="G419" s="2244"/>
      <c r="H419" s="2244"/>
    </row>
    <row r="420" spans="1:8">
      <c r="A420" s="2244" t="s">
        <v>1790</v>
      </c>
      <c r="B420" s="2244"/>
      <c r="C420" s="2244"/>
      <c r="D420" s="2244"/>
      <c r="E420" s="2244"/>
      <c r="F420" s="2244"/>
      <c r="G420" s="2244"/>
      <c r="H420" s="2244"/>
    </row>
    <row r="421" spans="1:8">
      <c r="A421" s="2244" t="s">
        <v>1791</v>
      </c>
      <c r="B421" s="2244"/>
      <c r="C421" s="2244"/>
      <c r="D421" s="2244"/>
      <c r="E421" s="2244"/>
      <c r="F421" s="2244"/>
      <c r="G421" s="2244"/>
      <c r="H421" s="2244"/>
    </row>
    <row r="422" spans="1:8">
      <c r="A422" s="2244" t="s">
        <v>1792</v>
      </c>
      <c r="B422" s="2244"/>
      <c r="C422" s="2244"/>
      <c r="D422" s="2244"/>
      <c r="E422" s="2244"/>
      <c r="F422" s="2244"/>
      <c r="G422" s="2244"/>
      <c r="H422" s="2244"/>
    </row>
    <row r="423" spans="1:8">
      <c r="A423" s="2244" t="s">
        <v>1793</v>
      </c>
      <c r="B423" s="2244"/>
      <c r="C423" s="2244"/>
      <c r="D423" s="2244"/>
      <c r="E423" s="2244"/>
      <c r="F423" s="2244"/>
      <c r="G423" s="2244"/>
      <c r="H423" s="2244"/>
    </row>
    <row r="424" spans="1:8">
      <c r="A424" s="2244"/>
      <c r="B424" s="2244"/>
      <c r="C424" s="2244"/>
      <c r="D424" s="2244"/>
      <c r="E424" s="2244"/>
      <c r="F424" s="2244"/>
      <c r="G424" s="2244"/>
      <c r="H424" s="2244"/>
    </row>
    <row r="425" spans="1:8">
      <c r="A425" s="2244" t="s">
        <v>1794</v>
      </c>
      <c r="B425" s="2244"/>
      <c r="C425" s="2244"/>
      <c r="D425" s="2244"/>
      <c r="E425" s="2244"/>
      <c r="F425" s="2244"/>
      <c r="G425" s="2244"/>
      <c r="H425" s="2244"/>
    </row>
    <row r="426" spans="1:8">
      <c r="A426" s="2244" t="s">
        <v>1795</v>
      </c>
      <c r="B426" s="2244"/>
      <c r="C426" s="2244"/>
      <c r="D426" s="2244"/>
      <c r="E426" s="2244"/>
      <c r="F426" s="2244"/>
      <c r="G426" s="2244"/>
      <c r="H426" s="2244"/>
    </row>
    <row r="427" spans="1:8">
      <c r="A427" s="2244" t="s">
        <v>1796</v>
      </c>
      <c r="B427" s="2244"/>
      <c r="C427" s="2244"/>
      <c r="D427" s="2244"/>
      <c r="E427" s="2244"/>
      <c r="F427" s="2244"/>
      <c r="G427" s="2244"/>
      <c r="H427" s="2244"/>
    </row>
    <row r="428" spans="1:8">
      <c r="A428" s="2244" t="s">
        <v>1797</v>
      </c>
      <c r="B428" s="2244"/>
      <c r="C428" s="2244"/>
      <c r="D428" s="2244"/>
      <c r="E428" s="2244"/>
      <c r="F428" s="2244"/>
      <c r="G428" s="2244"/>
      <c r="H428" s="2244"/>
    </row>
    <row r="429" spans="1:8">
      <c r="A429" s="2244" t="s">
        <v>1798</v>
      </c>
      <c r="B429" s="2244"/>
      <c r="C429" s="2244"/>
      <c r="D429" s="2244"/>
      <c r="E429" s="2244"/>
      <c r="F429" s="2244"/>
      <c r="G429" s="2244"/>
      <c r="H429" s="2244"/>
    </row>
    <row r="430" spans="1:8">
      <c r="A430" s="2244"/>
      <c r="B430" s="2244"/>
      <c r="C430" s="2244"/>
      <c r="D430" s="2244"/>
      <c r="E430" s="2244"/>
      <c r="F430" s="2244"/>
      <c r="G430" s="2244"/>
      <c r="H430" s="2244"/>
    </row>
    <row r="431" spans="1:8">
      <c r="A431" s="2244" t="s">
        <v>1799</v>
      </c>
      <c r="B431" s="2244"/>
      <c r="C431" s="2244"/>
      <c r="D431" s="2244"/>
      <c r="E431" s="2244"/>
      <c r="F431" s="2244"/>
      <c r="G431" s="2244"/>
      <c r="H431" s="2244"/>
    </row>
    <row r="432" spans="1:8">
      <c r="A432" s="2244" t="s">
        <v>1800</v>
      </c>
      <c r="B432" s="2244"/>
      <c r="C432" s="2244"/>
      <c r="D432" s="2244"/>
      <c r="E432" s="2244"/>
      <c r="F432" s="2244"/>
      <c r="G432" s="2244"/>
      <c r="H432" s="2244"/>
    </row>
    <row r="433" spans="1:8">
      <c r="A433" s="2244"/>
      <c r="B433" s="2244"/>
      <c r="C433" s="2244"/>
      <c r="D433" s="2244"/>
      <c r="E433" s="2244"/>
      <c r="F433" s="2244"/>
      <c r="G433" s="2244"/>
      <c r="H433" s="2244"/>
    </row>
    <row r="434" spans="1:8">
      <c r="A434" s="2244" t="s">
        <v>1801</v>
      </c>
      <c r="B434" s="2244"/>
      <c r="C434" s="2244"/>
      <c r="D434" s="2244"/>
      <c r="E434" s="2244"/>
      <c r="F434" s="2244"/>
      <c r="G434" s="2244"/>
      <c r="H434" s="2244"/>
    </row>
    <row r="435" spans="1:8">
      <c r="A435" s="2244" t="s">
        <v>1802</v>
      </c>
      <c r="B435" s="2244"/>
      <c r="C435" s="2244"/>
      <c r="D435" s="2244"/>
      <c r="E435" s="2244"/>
      <c r="F435" s="2244"/>
      <c r="G435" s="2244"/>
      <c r="H435" s="2244"/>
    </row>
    <row r="436" spans="1:8">
      <c r="A436" s="2244"/>
      <c r="B436" s="2244"/>
      <c r="C436" s="2244"/>
      <c r="D436" s="2244"/>
      <c r="E436" s="2244"/>
      <c r="F436" s="2244"/>
      <c r="G436" s="2244"/>
      <c r="H436" s="2244"/>
    </row>
    <row r="437" spans="1:8">
      <c r="A437" s="2244" t="s">
        <v>1803</v>
      </c>
      <c r="B437" s="2244"/>
      <c r="C437" s="2244"/>
      <c r="D437" s="2244"/>
      <c r="E437" s="2244"/>
      <c r="F437" s="2244"/>
      <c r="G437" s="2244"/>
      <c r="H437" s="2244"/>
    </row>
    <row r="438" spans="1:8">
      <c r="A438" s="2244" t="s">
        <v>1804</v>
      </c>
      <c r="B438" s="2244"/>
      <c r="C438" s="2244"/>
      <c r="D438" s="2244"/>
      <c r="E438" s="2244"/>
      <c r="F438" s="2244"/>
      <c r="G438" s="2244"/>
      <c r="H438" s="2244"/>
    </row>
    <row r="439" spans="1:8">
      <c r="A439" s="2244" t="s">
        <v>1805</v>
      </c>
      <c r="B439" s="2244"/>
      <c r="C439" s="2244"/>
      <c r="D439" s="2244"/>
      <c r="E439" s="2244"/>
      <c r="F439" s="2244"/>
      <c r="G439" s="2244"/>
      <c r="H439" s="2244"/>
    </row>
    <row r="440" spans="1:8">
      <c r="A440" s="2244" t="s">
        <v>1806</v>
      </c>
      <c r="B440" s="2244"/>
      <c r="C440" s="2244"/>
      <c r="D440" s="2244"/>
      <c r="E440" s="2244"/>
      <c r="F440" s="2244"/>
      <c r="G440" s="2244"/>
      <c r="H440" s="2244"/>
    </row>
    <row r="441" spans="1:8">
      <c r="A441" s="2244"/>
      <c r="B441" s="2244"/>
      <c r="C441" s="2244"/>
      <c r="D441" s="2244"/>
      <c r="E441" s="2244"/>
      <c r="F441" s="2244"/>
      <c r="G441" s="2244"/>
      <c r="H441" s="2244"/>
    </row>
    <row r="442" spans="1:8">
      <c r="A442" s="2244" t="s">
        <v>1807</v>
      </c>
      <c r="B442" s="2244"/>
      <c r="C442" s="2244"/>
      <c r="D442" s="2244"/>
      <c r="E442" s="2244"/>
      <c r="F442" s="2244"/>
      <c r="G442" s="2244"/>
      <c r="H442" s="2244"/>
    </row>
    <row r="443" spans="1:8">
      <c r="A443" s="2244" t="s">
        <v>1808</v>
      </c>
      <c r="B443" s="2244"/>
      <c r="C443" s="2244"/>
      <c r="D443" s="2244"/>
      <c r="E443" s="2244"/>
      <c r="F443" s="2244"/>
      <c r="G443" s="2244"/>
      <c r="H443" s="2244"/>
    </row>
    <row r="444" spans="1:8">
      <c r="A444" s="2244"/>
      <c r="B444" s="2244"/>
      <c r="C444" s="2244"/>
      <c r="D444" s="2244"/>
      <c r="E444" s="2244"/>
      <c r="F444" s="2244"/>
      <c r="G444" s="2244"/>
      <c r="H444" s="2244"/>
    </row>
    <row r="445" spans="1:8">
      <c r="A445" s="2244" t="s">
        <v>1809</v>
      </c>
      <c r="B445" s="2244"/>
      <c r="C445" s="2244"/>
      <c r="D445" s="2244"/>
      <c r="E445" s="2244"/>
      <c r="F445" s="2244"/>
      <c r="G445" s="2244"/>
      <c r="H445" s="2244"/>
    </row>
    <row r="446" spans="1:8">
      <c r="A446" s="2244" t="s">
        <v>1810</v>
      </c>
      <c r="B446" s="2244"/>
      <c r="C446" s="2244"/>
      <c r="D446" s="2244"/>
      <c r="E446" s="2244"/>
      <c r="F446" s="2244"/>
      <c r="G446" s="2244"/>
      <c r="H446" s="2244"/>
    </row>
    <row r="447" spans="1:8">
      <c r="A447" s="2244" t="s">
        <v>1811</v>
      </c>
      <c r="B447" s="2244"/>
      <c r="C447" s="2244"/>
      <c r="D447" s="2244"/>
      <c r="E447" s="2244"/>
      <c r="F447" s="2244"/>
      <c r="G447" s="2244"/>
      <c r="H447" s="2244"/>
    </row>
    <row r="448" spans="1:8">
      <c r="A448" s="2244" t="s">
        <v>1812</v>
      </c>
      <c r="B448" s="2244"/>
      <c r="C448" s="2244"/>
      <c r="D448" s="2244"/>
      <c r="E448" s="2244"/>
      <c r="F448" s="2244"/>
      <c r="G448" s="2244"/>
      <c r="H448" s="2244"/>
    </row>
    <row r="450" spans="1:1">
      <c r="A450" s="432" t="s">
        <v>1813</v>
      </c>
    </row>
  </sheetData>
  <mergeCells count="3">
    <mergeCell ref="B145:C145"/>
    <mergeCell ref="D145:F145"/>
    <mergeCell ref="G145:H14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FF99FF"/>
    <pageSetUpPr fitToPage="1"/>
  </sheetPr>
  <dimension ref="A1:GZ105"/>
  <sheetViews>
    <sheetView showGridLines="0" zoomScale="85" zoomScaleNormal="85" workbookViewId="0">
      <pane xSplit="39" ySplit="5" topLeftCell="BH53" activePane="bottomRight" state="frozen"/>
      <selection activeCell="JH1" sqref="JH1"/>
      <selection pane="topRight" activeCell="JH1" sqref="JH1"/>
      <selection pane="bottomLeft" activeCell="JH1" sqref="JH1"/>
      <selection pane="bottomRight" activeCell="C4" sqref="C4:FC72"/>
    </sheetView>
  </sheetViews>
  <sheetFormatPr defaultColWidth="9.109375" defaultRowHeight="13.8" outlineLevelRow="1" outlineLevelCol="2"/>
  <cols>
    <col min="1" max="1" width="15.44140625" style="100" customWidth="1"/>
    <col min="2" max="2" width="1.5546875" style="100" customWidth="1"/>
    <col min="3" max="3" width="37.33203125" style="102" customWidth="1"/>
    <col min="4" max="4" width="8.44140625" style="102" hidden="1" customWidth="1" outlineLevel="2"/>
    <col min="5" max="5" width="9.33203125" style="102" hidden="1" customWidth="1" outlineLevel="2"/>
    <col min="6" max="6" width="9.33203125" style="103" hidden="1" customWidth="1" outlineLevel="1" collapsed="1"/>
    <col min="7" max="12" width="9.33203125" style="103" hidden="1" customWidth="1" outlineLevel="1"/>
    <col min="13" max="13" width="9.33203125" style="102" hidden="1" customWidth="1" outlineLevel="1"/>
    <col min="14" max="16" width="7.33203125" style="102" hidden="1" customWidth="1" outlineLevel="1"/>
    <col min="17" max="17" width="9.33203125" style="102" hidden="1" customWidth="1" outlineLevel="1"/>
    <col min="18" max="18" width="7.33203125" style="102" hidden="1" customWidth="1" outlineLevel="1"/>
    <col min="19" max="19" width="7.33203125" style="100" hidden="1" customWidth="1" outlineLevel="1"/>
    <col min="20" max="20" width="7.33203125" style="100" hidden="1" customWidth="1" outlineLevel="1" collapsed="1"/>
    <col min="21" max="21" width="9.33203125" style="100" hidden="1" customWidth="1" outlineLevel="2"/>
    <col min="22" max="23" width="7.33203125" style="100" hidden="1" customWidth="1" outlineLevel="2"/>
    <col min="24" max="24" width="7.33203125" style="100" hidden="1" customWidth="1" outlineLevel="1" collapsed="1"/>
    <col min="25" max="25" width="9.33203125" style="100" hidden="1" customWidth="1" outlineLevel="2"/>
    <col min="26" max="27" width="7.33203125" style="100" hidden="1" customWidth="1" outlineLevel="2"/>
    <col min="28" max="28" width="7.33203125" style="100" hidden="1" customWidth="1" outlineLevel="1" collapsed="1"/>
    <col min="29" max="31" width="7.33203125" style="100" hidden="1" customWidth="1" outlineLevel="1"/>
    <col min="32" max="32" width="7.33203125" style="100" hidden="1" customWidth="1" collapsed="1"/>
    <col min="33" max="35" width="7.33203125" style="100" hidden="1" customWidth="1" outlineLevel="1"/>
    <col min="36" max="36" width="7.33203125" style="100" hidden="1" customWidth="1" collapsed="1"/>
    <col min="37" max="39" width="7.33203125" style="100" hidden="1" customWidth="1" outlineLevel="1"/>
    <col min="40" max="40" width="7.33203125" style="100" hidden="1" customWidth="1" collapsed="1"/>
    <col min="41" max="41" width="7.33203125" style="100" hidden="1" customWidth="1"/>
    <col min="42" max="43" width="7.109375" style="100" hidden="1" customWidth="1" outlineLevel="1"/>
    <col min="44" max="44" width="7.33203125" style="100" hidden="1" customWidth="1" outlineLevel="1" collapsed="1"/>
    <col min="45" max="45" width="7.33203125" style="100" hidden="1" customWidth="1" outlineLevel="1"/>
    <col min="46" max="46" width="7.33203125" style="100" hidden="1" customWidth="1" outlineLevel="1" collapsed="1"/>
    <col min="47" max="47" width="7.33203125" style="100" hidden="1" customWidth="1" outlineLevel="1"/>
    <col min="48" max="48" width="7.33203125" style="100" hidden="1" customWidth="1" outlineLevel="1" collapsed="1"/>
    <col min="49" max="49" width="7.33203125" style="100" hidden="1" customWidth="1" outlineLevel="1"/>
    <col min="50" max="50" width="8.88671875" style="100" hidden="1" customWidth="1" outlineLevel="1" collapsed="1"/>
    <col min="51" max="51" width="7.88671875" style="100" hidden="1" customWidth="1" outlineLevel="1"/>
    <col min="52" max="52" width="7.33203125" style="100" hidden="1" customWidth="1" outlineLevel="1" collapsed="1"/>
    <col min="53" max="53" width="4" style="100" hidden="1" customWidth="1" outlineLevel="1"/>
    <col min="54" max="54" width="8" style="100" hidden="1" customWidth="1" outlineLevel="1" collapsed="1"/>
    <col min="55" max="55" width="6.6640625" style="100" hidden="1" customWidth="1" outlineLevel="1"/>
    <col min="56" max="56" width="7.33203125" style="100" hidden="1" customWidth="1" outlineLevel="1" collapsed="1"/>
    <col min="57" max="57" width="7.33203125" style="100" hidden="1" customWidth="1" outlineLevel="1"/>
    <col min="58" max="58" width="7.44140625" style="100" hidden="1" customWidth="1" outlineLevel="1" collapsed="1"/>
    <col min="59" max="59" width="6.6640625" style="100" hidden="1" customWidth="1" outlineLevel="1"/>
    <col min="60" max="60" width="7.33203125" style="100" customWidth="1" collapsed="1"/>
    <col min="61" max="61" width="7.33203125" style="100" hidden="1" customWidth="1" outlineLevel="1"/>
    <col min="62" max="62" width="7.44140625" style="100" customWidth="1" collapsed="1"/>
    <col min="63" max="63" width="6.44140625" style="100" customWidth="1"/>
    <col min="64" max="64" width="7.33203125" style="100" customWidth="1"/>
    <col min="65" max="65" width="7.33203125" style="100" hidden="1" customWidth="1" outlineLevel="1"/>
    <col min="66" max="66" width="8.5546875" style="100" customWidth="1" outlineLevel="1" collapsed="1"/>
    <col min="67" max="67" width="8.109375" style="100" customWidth="1" outlineLevel="1"/>
    <col min="68" max="68" width="7.33203125" style="100" customWidth="1"/>
    <col min="69" max="69" width="7.33203125" style="100" hidden="1" customWidth="1" outlineLevel="1"/>
    <col min="70" max="71" width="8.88671875" style="100" hidden="1" customWidth="1" outlineLevel="1"/>
    <col min="72" max="72" width="7.33203125" style="100" customWidth="1" collapsed="1"/>
    <col min="73" max="73" width="7.33203125" style="100" hidden="1" customWidth="1" outlineLevel="1"/>
    <col min="74" max="75" width="8.88671875" style="100" hidden="1" customWidth="1" outlineLevel="1"/>
    <col min="76" max="76" width="7.33203125" style="100" customWidth="1" collapsed="1"/>
    <col min="77" max="78" width="7.33203125" style="100" hidden="1" customWidth="1" outlineLevel="1"/>
    <col min="79" max="79" width="2.109375" style="100" customWidth="1" collapsed="1"/>
    <col min="80" max="80" width="38.44140625" style="100" customWidth="1"/>
    <col min="81" max="82" width="9.109375" style="100" hidden="1" customWidth="1" outlineLevel="1"/>
    <col min="83" max="84" width="9.33203125" style="100" hidden="1" customWidth="1" outlineLevel="1"/>
    <col min="85" max="86" width="7.6640625" style="100" hidden="1" customWidth="1" outlineLevel="1"/>
    <col min="87" max="98" width="9.33203125" style="100" hidden="1" customWidth="1" outlineLevel="2"/>
    <col min="99" max="99" width="8.109375" style="100" hidden="1" customWidth="1" outlineLevel="2"/>
    <col min="100" max="102" width="9.33203125" style="100" hidden="1" customWidth="1" outlineLevel="2"/>
    <col min="103" max="103" width="8.109375" style="100" hidden="1" customWidth="1" outlineLevel="1" collapsed="1"/>
    <col min="104" max="106" width="9.33203125" style="100" hidden="1" customWidth="1" outlineLevel="2"/>
    <col min="107" max="107" width="7.33203125" style="100" hidden="1" customWidth="1" outlineLevel="1" collapsed="1"/>
    <col min="108" max="110" width="9.33203125" style="100" hidden="1" customWidth="1" outlineLevel="2"/>
    <col min="111" max="111" width="7.33203125" style="100" hidden="1" customWidth="1" outlineLevel="1" collapsed="1"/>
    <col min="112" max="114" width="8.109375" style="100" hidden="1" customWidth="1" outlineLevel="2"/>
    <col min="115" max="115" width="7.33203125" style="100" hidden="1" customWidth="1" outlineLevel="1" collapsed="1"/>
    <col min="116" max="118" width="8.109375" style="100" hidden="1" customWidth="1" outlineLevel="2"/>
    <col min="119" max="119" width="7.33203125" style="100" hidden="1" customWidth="1" outlineLevel="1" collapsed="1"/>
    <col min="120" max="120" width="7.33203125" style="100" hidden="1" customWidth="1" outlineLevel="1"/>
    <col min="121" max="122" width="8.109375" style="100" hidden="1" customWidth="1" outlineLevel="1"/>
    <col min="123" max="123" width="8.5546875" style="100" hidden="1" customWidth="1" collapsed="1"/>
    <col min="124" max="126" width="7.33203125" style="100" hidden="1" customWidth="1" outlineLevel="1"/>
    <col min="127" max="127" width="7.33203125" style="100" hidden="1" customWidth="1" outlineLevel="1" collapsed="1"/>
    <col min="128" max="130" width="7.33203125" style="100" hidden="1" customWidth="1" outlineLevel="1"/>
    <col min="131" max="131" width="7.33203125" style="100" hidden="1" customWidth="1" outlineLevel="1" collapsed="1"/>
    <col min="132" max="132" width="7.33203125" style="100" hidden="1" customWidth="1" outlineLevel="1"/>
    <col min="133" max="133" width="7.33203125" style="100" hidden="1" customWidth="1" outlineLevel="1" collapsed="1"/>
    <col min="134" max="134" width="7.33203125" style="100" hidden="1" customWidth="1" outlineLevel="1"/>
    <col min="135" max="135" width="7.33203125" style="100" hidden="1" customWidth="1" outlineLevel="1" collapsed="1"/>
    <col min="136" max="136" width="7.33203125" style="100" hidden="1" customWidth="1" outlineLevel="1"/>
    <col min="137" max="137" width="7.33203125" style="100" hidden="1" customWidth="1" outlineLevel="1" collapsed="1"/>
    <col min="138" max="138" width="7.33203125" style="100" hidden="1" customWidth="1" outlineLevel="1"/>
    <col min="139" max="139" width="7.33203125" style="100" hidden="1" customWidth="1" outlineLevel="1" collapsed="1"/>
    <col min="140" max="140" width="7.33203125" style="100" hidden="1" customWidth="1" outlineLevel="1"/>
    <col min="141" max="141" width="7.33203125" style="100" hidden="1" customWidth="1" outlineLevel="1" collapsed="1"/>
    <col min="142" max="142" width="7.33203125" style="100" hidden="1" customWidth="1" outlineLevel="1"/>
    <col min="143" max="143" width="7.33203125" style="100" customWidth="1" collapsed="1"/>
    <col min="144" max="144" width="7.33203125" style="100" hidden="1" customWidth="1" outlineLevel="1"/>
    <col min="145" max="146" width="7.33203125" style="100" hidden="1" customWidth="1" outlineLevel="1" collapsed="1"/>
    <col min="147" max="147" width="7.33203125" style="100" customWidth="1" collapsed="1"/>
    <col min="148" max="148" width="7.33203125" style="100" hidden="1" customWidth="1" outlineLevel="1"/>
    <col min="149" max="149" width="7.33203125" style="100" customWidth="1" collapsed="1"/>
    <col min="150" max="151" width="7.33203125" style="100" customWidth="1"/>
    <col min="152" max="154" width="7.33203125" style="100" hidden="1" customWidth="1" outlineLevel="1"/>
    <col min="155" max="155" width="7.33203125" style="100" customWidth="1" collapsed="1"/>
    <col min="156" max="158" width="7.33203125" style="100" hidden="1" customWidth="1" outlineLevel="1"/>
    <col min="159" max="159" width="7.33203125" style="100" customWidth="1" collapsed="1"/>
    <col min="160" max="160" width="2.6640625" style="100" customWidth="1"/>
    <col min="161" max="161" width="4.5546875" style="100" customWidth="1"/>
    <col min="162" max="162" width="6.88671875" style="100" customWidth="1"/>
    <col min="163" max="163" width="10" style="100" customWidth="1"/>
    <col min="164" max="164" width="2.109375" style="100" customWidth="1"/>
    <col min="165" max="165" width="20.44140625" style="100" customWidth="1"/>
    <col min="166" max="166" width="10.6640625" style="100" customWidth="1"/>
    <col min="167" max="167" width="11" style="100" customWidth="1"/>
    <col min="168" max="168" width="8.6640625" style="100" customWidth="1"/>
    <col min="169" max="16384" width="9.109375" style="102"/>
  </cols>
  <sheetData>
    <row r="1" spans="1:179" ht="16.649999999999999" customHeight="1">
      <c r="A1" s="99"/>
      <c r="C1" s="861"/>
      <c r="AL1" s="503"/>
      <c r="AM1" s="102"/>
      <c r="AN1" s="503"/>
      <c r="AO1" s="504"/>
      <c r="AP1" s="364"/>
      <c r="AQ1" s="364"/>
      <c r="AR1" s="503"/>
      <c r="AS1" s="504"/>
      <c r="AT1" s="364"/>
      <c r="AU1" s="364"/>
      <c r="AV1" s="503"/>
      <c r="AW1" s="504"/>
      <c r="AX1" s="364"/>
      <c r="AY1" s="364"/>
      <c r="AZ1" s="503"/>
      <c r="BA1" s="504"/>
      <c r="BB1" s="364"/>
      <c r="BC1" s="364"/>
      <c r="BD1" s="503"/>
      <c r="BE1" s="504"/>
      <c r="BF1" s="364"/>
      <c r="BG1" s="364"/>
      <c r="BH1" s="503"/>
      <c r="BI1" s="503"/>
      <c r="BJ1" s="364"/>
      <c r="BK1" s="364"/>
      <c r="BL1" s="503"/>
      <c r="BM1" s="503"/>
      <c r="BN1" s="364"/>
      <c r="BO1" s="364"/>
      <c r="BP1" s="503"/>
      <c r="BQ1" s="503"/>
      <c r="BR1" s="364"/>
      <c r="BS1" s="364"/>
      <c r="BT1" s="503"/>
      <c r="BU1" s="503"/>
      <c r="BV1" s="364"/>
      <c r="BW1" s="364"/>
      <c r="BX1" s="503"/>
      <c r="BY1" s="503"/>
      <c r="BZ1" s="503"/>
      <c r="CB1" s="591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</row>
    <row r="2" spans="1:179" ht="16.649999999999999" customHeight="1" thickBot="1">
      <c r="A2" s="99"/>
      <c r="C2" s="289"/>
      <c r="AL2" s="550"/>
      <c r="AM2" s="502"/>
      <c r="AN2" s="550"/>
      <c r="AO2" s="551"/>
      <c r="AP2" s="550"/>
      <c r="AQ2" s="550"/>
      <c r="AR2" s="550"/>
      <c r="AS2" s="551"/>
      <c r="AT2" s="550"/>
      <c r="AU2" s="550"/>
      <c r="AV2" s="550"/>
      <c r="AW2" s="551"/>
      <c r="AX2" s="550"/>
      <c r="AY2" s="550"/>
      <c r="AZ2" s="550"/>
      <c r="BA2" s="550"/>
      <c r="BB2" s="550"/>
      <c r="BC2" s="550"/>
      <c r="BD2" s="550"/>
      <c r="BE2" s="551"/>
      <c r="BF2" s="550"/>
      <c r="BG2" s="550"/>
      <c r="BH2" s="550"/>
      <c r="BI2" s="550"/>
      <c r="BJ2" s="550"/>
      <c r="BK2" s="550"/>
      <c r="BL2" s="550"/>
      <c r="BM2" s="550"/>
      <c r="BN2" s="550"/>
      <c r="BO2" s="550"/>
      <c r="BP2" s="550"/>
      <c r="BQ2" s="550"/>
      <c r="BR2" s="550"/>
      <c r="BS2" s="550"/>
      <c r="BT2" s="550"/>
      <c r="BU2" s="550"/>
      <c r="BV2" s="550"/>
      <c r="BW2" s="550"/>
      <c r="BX2" s="550"/>
      <c r="BY2" s="550"/>
      <c r="BZ2" s="550"/>
      <c r="CQ2" s="102"/>
      <c r="CR2" s="102"/>
      <c r="CS2" s="102"/>
      <c r="CT2" s="102"/>
      <c r="CU2" s="102"/>
      <c r="CV2" s="102"/>
      <c r="CW2" s="102"/>
      <c r="CX2" s="102"/>
      <c r="CY2" s="102"/>
      <c r="CZ2" s="102"/>
      <c r="DA2" s="102"/>
      <c r="DB2" s="102"/>
      <c r="DC2" s="102"/>
      <c r="DD2" s="102"/>
      <c r="DE2" s="102"/>
      <c r="DF2" s="102"/>
      <c r="DG2" s="102"/>
      <c r="DH2" s="102"/>
      <c r="DI2" s="102"/>
      <c r="DJ2" s="102"/>
      <c r="DK2" s="102"/>
      <c r="DL2" s="102"/>
      <c r="DM2" s="102"/>
      <c r="DN2" s="102"/>
      <c r="DO2" s="102"/>
      <c r="DP2" s="102"/>
      <c r="DQ2" s="102"/>
      <c r="DR2" s="102"/>
      <c r="DS2" s="102"/>
      <c r="DT2" s="102"/>
      <c r="DU2" s="102"/>
      <c r="DV2" s="102"/>
      <c r="DW2" s="102"/>
      <c r="DX2" s="102"/>
      <c r="DY2" s="102"/>
      <c r="DZ2" s="102"/>
      <c r="EA2" s="102"/>
      <c r="EB2" s="102"/>
      <c r="EC2" s="102"/>
      <c r="ED2" s="102"/>
      <c r="EE2" s="102"/>
      <c r="EF2" s="102"/>
      <c r="EG2" s="102"/>
      <c r="EH2" s="102"/>
      <c r="EI2" s="102"/>
      <c r="EJ2" s="102"/>
      <c r="EK2" s="102"/>
      <c r="EL2" s="102"/>
      <c r="EM2" s="102"/>
      <c r="EN2" s="102"/>
      <c r="EO2" s="102"/>
      <c r="EP2" s="102"/>
      <c r="EQ2" s="102"/>
      <c r="ER2" s="102"/>
      <c r="ES2" s="102"/>
      <c r="ET2" s="102"/>
      <c r="EU2" s="102"/>
      <c r="EV2" s="102"/>
      <c r="EW2" s="102"/>
      <c r="EX2" s="102"/>
      <c r="EY2" s="102"/>
      <c r="EZ2" s="102"/>
      <c r="FA2" s="102"/>
      <c r="FB2" s="102"/>
      <c r="FC2" s="102"/>
    </row>
    <row r="3" spans="1:179" s="119" customFormat="1" ht="26.25" customHeight="1" thickBot="1">
      <c r="A3" s="116"/>
      <c r="B3" s="116"/>
      <c r="C3" s="1347" t="s">
        <v>840</v>
      </c>
      <c r="D3" s="285"/>
      <c r="E3" s="285"/>
      <c r="F3" s="287"/>
      <c r="G3" s="287"/>
      <c r="H3" s="287"/>
      <c r="I3" s="287"/>
      <c r="J3" s="287"/>
      <c r="K3" s="287"/>
      <c r="L3" s="287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5"/>
      <c r="AH3" s="285"/>
      <c r="AI3" s="285"/>
      <c r="AJ3" s="285"/>
      <c r="AK3" s="285"/>
      <c r="AL3" s="285"/>
      <c r="AM3" s="285"/>
      <c r="AN3" s="589"/>
      <c r="AO3" s="285"/>
      <c r="AP3" s="285"/>
      <c r="AQ3" s="285"/>
      <c r="AR3" s="589"/>
      <c r="AS3" s="434"/>
      <c r="AT3" s="285"/>
      <c r="AU3" s="285"/>
      <c r="AV3" s="589"/>
      <c r="AW3" s="434"/>
      <c r="AX3" s="589"/>
      <c r="AY3" s="285"/>
      <c r="AZ3" s="589"/>
      <c r="BA3" s="434"/>
      <c r="BB3" s="285"/>
      <c r="BC3" s="285"/>
      <c r="BD3" s="1096"/>
      <c r="BE3" s="434"/>
      <c r="BF3" s="285"/>
      <c r="BG3" s="285"/>
      <c r="BH3" s="1096"/>
      <c r="BJ3" s="285"/>
      <c r="BK3" s="285"/>
      <c r="BL3" s="1096"/>
      <c r="BN3" s="285"/>
      <c r="BO3" s="285"/>
      <c r="BP3" s="1096"/>
      <c r="BR3" s="285"/>
      <c r="BS3" s="285"/>
      <c r="BT3" s="1096"/>
      <c r="BV3" s="285"/>
      <c r="BW3" s="285"/>
      <c r="BX3" s="1096"/>
      <c r="CA3" s="285"/>
      <c r="CB3" s="1348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117"/>
      <c r="CN3" s="117"/>
      <c r="CO3" s="117"/>
      <c r="CP3" s="117"/>
      <c r="CQ3" s="117"/>
      <c r="CR3" s="117"/>
      <c r="CS3" s="117"/>
      <c r="CT3" s="117"/>
      <c r="CU3" s="117"/>
      <c r="CV3" s="117"/>
      <c r="CW3" s="117"/>
      <c r="CX3" s="117"/>
      <c r="CY3" s="117"/>
      <c r="CZ3" s="117"/>
      <c r="DA3" s="117"/>
      <c r="DB3" s="117"/>
      <c r="DC3" s="117"/>
      <c r="DD3" s="117"/>
      <c r="DE3" s="117"/>
      <c r="DF3" s="117"/>
      <c r="DG3" s="288"/>
      <c r="DH3" s="288"/>
      <c r="DI3" s="288"/>
      <c r="DJ3" s="288"/>
      <c r="DK3" s="117"/>
      <c r="DL3" s="117"/>
      <c r="DM3" s="117"/>
      <c r="DN3" s="117"/>
      <c r="DO3" s="590"/>
      <c r="DP3" s="590"/>
      <c r="DQ3" s="590"/>
      <c r="DR3" s="590"/>
      <c r="DS3" s="590"/>
      <c r="DT3" s="590"/>
      <c r="DU3" s="590"/>
      <c r="DV3" s="590"/>
      <c r="DW3" s="590"/>
      <c r="DX3" s="590"/>
      <c r="DY3" s="590"/>
      <c r="DZ3" s="590"/>
      <c r="EA3" s="590"/>
      <c r="EB3" s="590"/>
      <c r="EC3" s="590"/>
      <c r="ED3" s="590"/>
      <c r="EE3" s="590"/>
      <c r="EF3" s="590"/>
      <c r="EG3" s="590"/>
      <c r="EH3" s="590"/>
      <c r="EI3" s="590"/>
      <c r="EJ3" s="590"/>
      <c r="EK3" s="590"/>
      <c r="EL3" s="590"/>
      <c r="EM3" s="590"/>
      <c r="EN3" s="590"/>
      <c r="EO3" s="590"/>
      <c r="EP3" s="590"/>
      <c r="EQ3" s="590"/>
      <c r="ER3" s="590"/>
      <c r="ES3" s="590"/>
      <c r="ET3" s="590"/>
      <c r="EU3" s="590"/>
      <c r="EV3" s="590"/>
      <c r="EW3" s="590"/>
      <c r="EX3" s="590"/>
      <c r="EY3" s="590"/>
      <c r="EZ3" s="590"/>
      <c r="FA3" s="590"/>
      <c r="FB3" s="590"/>
      <c r="FC3" s="590"/>
      <c r="FD3" s="116"/>
      <c r="FE3" s="116"/>
      <c r="FF3" s="116"/>
      <c r="FG3" s="596" t="s">
        <v>927</v>
      </c>
      <c r="FH3" s="116"/>
      <c r="FI3" s="1897">
        <v>214.5</v>
      </c>
      <c r="FJ3" s="2114">
        <v>46063</v>
      </c>
      <c r="FK3" s="118"/>
      <c r="FL3" s="118"/>
    </row>
    <row r="4" spans="1:179" s="119" customFormat="1" ht="16.649999999999999" customHeight="1">
      <c r="A4" s="116"/>
      <c r="B4" s="116"/>
      <c r="C4" s="122" t="s">
        <v>928</v>
      </c>
      <c r="D4" s="123"/>
      <c r="E4" s="123"/>
      <c r="F4" s="124"/>
      <c r="G4" s="124"/>
      <c r="H4" s="124"/>
      <c r="I4" s="124"/>
      <c r="J4" s="124"/>
      <c r="K4" s="124"/>
      <c r="L4" s="124"/>
      <c r="M4" s="123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4"/>
      <c r="AF4" s="124"/>
      <c r="AG4" s="124"/>
      <c r="AH4" s="124"/>
      <c r="AI4" s="124"/>
      <c r="AJ4" s="124"/>
      <c r="AK4" s="124"/>
      <c r="AL4" s="124"/>
      <c r="AM4" s="124"/>
      <c r="AN4" s="124"/>
      <c r="AO4" s="124"/>
      <c r="AP4" s="124"/>
      <c r="AQ4" s="124"/>
      <c r="AR4" s="124"/>
      <c r="AS4" s="124"/>
      <c r="AT4" s="124"/>
      <c r="AU4" s="124"/>
      <c r="AV4" s="124"/>
      <c r="AW4" s="124"/>
      <c r="AX4" s="124"/>
      <c r="AY4" s="124"/>
      <c r="AZ4" s="124"/>
      <c r="BA4" s="124"/>
      <c r="BB4" s="124"/>
      <c r="BC4" s="124"/>
      <c r="BD4" s="124"/>
      <c r="BE4" s="124"/>
      <c r="BF4" s="124"/>
      <c r="BG4" s="124"/>
      <c r="BH4" s="124"/>
      <c r="BI4" s="124"/>
      <c r="BJ4" s="124"/>
      <c r="BK4" s="124"/>
      <c r="BL4" s="124"/>
      <c r="BM4" s="124"/>
      <c r="BN4" s="124"/>
      <c r="BO4" s="124"/>
      <c r="BP4" s="124"/>
      <c r="BQ4" s="124"/>
      <c r="BR4" s="124"/>
      <c r="BS4" s="124"/>
      <c r="BT4" s="124"/>
      <c r="BU4" s="124"/>
      <c r="BV4" s="124"/>
      <c r="BW4" s="124"/>
      <c r="BX4" s="124"/>
      <c r="BY4" s="124"/>
      <c r="BZ4" s="124"/>
      <c r="CA4" s="125"/>
      <c r="CB4" s="122" t="s">
        <v>929</v>
      </c>
      <c r="CC4" s="126"/>
      <c r="CD4" s="126"/>
      <c r="CE4" s="126"/>
      <c r="CF4" s="126"/>
      <c r="CG4" s="126"/>
      <c r="CH4" s="126"/>
      <c r="CI4" s="126"/>
      <c r="CJ4" s="126"/>
      <c r="CK4" s="126"/>
      <c r="CL4" s="126"/>
      <c r="CM4" s="126"/>
      <c r="CN4" s="126"/>
      <c r="CO4" s="126"/>
      <c r="CP4" s="126"/>
      <c r="CQ4" s="126"/>
      <c r="CR4" s="126"/>
      <c r="CS4" s="126"/>
      <c r="CT4" s="126"/>
      <c r="CU4" s="126"/>
      <c r="CV4" s="126"/>
      <c r="CW4" s="126"/>
      <c r="CX4" s="126"/>
      <c r="CY4" s="126">
        <v>2014</v>
      </c>
      <c r="CZ4" s="126"/>
      <c r="DA4" s="126"/>
      <c r="DB4" s="126"/>
      <c r="DC4" s="126">
        <v>2015</v>
      </c>
      <c r="DD4" s="126"/>
      <c r="DE4" s="126"/>
      <c r="DF4" s="126"/>
      <c r="DG4" s="126">
        <v>2016</v>
      </c>
      <c r="DH4" s="126"/>
      <c r="DI4" s="126"/>
      <c r="DJ4" s="126"/>
      <c r="DK4" s="126"/>
      <c r="DL4" s="126"/>
      <c r="DM4" s="126"/>
      <c r="DN4" s="126"/>
      <c r="DO4" s="126"/>
      <c r="DP4" s="126"/>
      <c r="DQ4" s="126"/>
      <c r="DR4" s="126"/>
      <c r="DS4" s="126"/>
      <c r="DT4" s="126"/>
      <c r="DU4" s="126"/>
      <c r="DV4" s="126"/>
      <c r="DW4" s="126"/>
      <c r="DX4" s="126"/>
      <c r="DY4" s="126"/>
      <c r="DZ4" s="126"/>
      <c r="EA4" s="126"/>
      <c r="EB4" s="126"/>
      <c r="EC4" s="126"/>
      <c r="ED4" s="126"/>
      <c r="EE4" s="126"/>
      <c r="EF4" s="126"/>
      <c r="EG4" s="126"/>
      <c r="EH4" s="126"/>
      <c r="EI4" s="126"/>
      <c r="EJ4" s="126"/>
      <c r="EK4" s="126"/>
      <c r="EL4" s="126"/>
      <c r="EM4" s="126"/>
      <c r="EN4" s="126"/>
      <c r="EO4" s="126"/>
      <c r="EP4" s="126"/>
      <c r="EQ4" s="126"/>
      <c r="ER4" s="126"/>
      <c r="ES4" s="126"/>
      <c r="ET4" s="126"/>
      <c r="EU4" s="126"/>
      <c r="EV4" s="126"/>
      <c r="EW4" s="126"/>
      <c r="EX4" s="126"/>
      <c r="EY4" s="126"/>
      <c r="EZ4" s="126"/>
      <c r="FA4" s="126"/>
      <c r="FB4" s="126"/>
      <c r="FC4" s="126"/>
      <c r="FD4" s="116"/>
      <c r="FE4" s="116"/>
      <c r="FF4" s="116"/>
      <c r="FO4" s="127"/>
    </row>
    <row r="5" spans="1:179" s="119" customFormat="1" ht="16.649999999999999" customHeight="1">
      <c r="A5" s="1905"/>
      <c r="B5" s="116"/>
      <c r="C5" s="128" t="s">
        <v>930</v>
      </c>
      <c r="D5" s="129"/>
      <c r="E5" s="129"/>
      <c r="F5" s="129" t="s">
        <v>603</v>
      </c>
      <c r="G5" s="129" t="s">
        <v>813</v>
      </c>
      <c r="H5" s="129" t="s">
        <v>814</v>
      </c>
      <c r="I5" s="129"/>
      <c r="J5" s="129" t="s">
        <v>826</v>
      </c>
      <c r="K5" s="129" t="s">
        <v>931</v>
      </c>
      <c r="L5" s="129" t="s">
        <v>886</v>
      </c>
      <c r="M5" s="129"/>
      <c r="N5" s="129" t="s">
        <v>893</v>
      </c>
      <c r="O5" s="129" t="s">
        <v>901</v>
      </c>
      <c r="P5" s="129" t="s">
        <v>902</v>
      </c>
      <c r="Q5" s="129"/>
      <c r="R5" s="129" t="s">
        <v>69</v>
      </c>
      <c r="S5" s="129" t="s">
        <v>1</v>
      </c>
      <c r="T5" s="130" t="s">
        <v>2</v>
      </c>
      <c r="U5" s="129"/>
      <c r="V5" s="129" t="s">
        <v>944</v>
      </c>
      <c r="W5" s="129" t="s">
        <v>894</v>
      </c>
      <c r="X5" s="130" t="s">
        <v>501</v>
      </c>
      <c r="Y5" s="129"/>
      <c r="Z5" s="129" t="str">
        <f>'P&amp;L'!BT4</f>
        <v>1H16</v>
      </c>
      <c r="AA5" s="129" t="str">
        <f>'P&amp;L'!BU4</f>
        <v>2H16</v>
      </c>
      <c r="AB5" s="130" t="str">
        <f>'P&amp;L'!BV4</f>
        <v>FY16</v>
      </c>
      <c r="AC5" s="129" t="str">
        <f>'P&amp;L'!BW4</f>
        <v>Ch</v>
      </c>
      <c r="AD5" s="129" t="str">
        <f>'P&amp;L'!BX4</f>
        <v>1H17</v>
      </c>
      <c r="AE5" s="129" t="str">
        <f>'P&amp;L'!BY4</f>
        <v>2H17</v>
      </c>
      <c r="AF5" s="130" t="str">
        <f>'P&amp;L'!BZ4</f>
        <v>FY17</v>
      </c>
      <c r="AG5" s="129" t="str">
        <f>'P&amp;L'!CA4</f>
        <v>Ch</v>
      </c>
      <c r="AH5" s="129" t="str">
        <f>'P&amp;L'!CB4</f>
        <v>1H18</v>
      </c>
      <c r="AI5" s="129" t="str">
        <f>'P&amp;L'!CC4</f>
        <v>2H18</v>
      </c>
      <c r="AJ5" s="130" t="str">
        <f>'P&amp;L'!CD4</f>
        <v>FY18</v>
      </c>
      <c r="AK5" s="129" t="str">
        <f>'P&amp;L'!CE4</f>
        <v>Ch</v>
      </c>
      <c r="AL5" s="129" t="str">
        <f>'P&amp;L'!CF4</f>
        <v>1H19</v>
      </c>
      <c r="AM5" s="129" t="str">
        <f>'P&amp;L'!CG4</f>
        <v>2H19</v>
      </c>
      <c r="AN5" s="435" t="str">
        <f>'P&amp;L'!CH4</f>
        <v>FY19</v>
      </c>
      <c r="AO5" s="129" t="str">
        <f>'P&amp;L'!CI4</f>
        <v>Ch</v>
      </c>
      <c r="AP5" s="129" t="str">
        <f>'P&amp;L'!CJ4</f>
        <v>1H20</v>
      </c>
      <c r="AQ5" s="129" t="str">
        <f>'P&amp;L'!CK4</f>
        <v>2H20</v>
      </c>
      <c r="AR5" s="435" t="str">
        <f>'P&amp;L'!CL4</f>
        <v>FY20</v>
      </c>
      <c r="AS5" s="133"/>
      <c r="AT5" s="129" t="str">
        <f>'P&amp;L'!CN4</f>
        <v>1H21</v>
      </c>
      <c r="AU5" s="129" t="str">
        <f>'P&amp;L'!CO4</f>
        <v>2H21</v>
      </c>
      <c r="AV5" s="435" t="str">
        <f>'P&amp;L'!CP4</f>
        <v>FY21</v>
      </c>
      <c r="AW5" s="133"/>
      <c r="AX5" s="129" t="str">
        <f>'P&amp;L'!CR4</f>
        <v>1H22</v>
      </c>
      <c r="AY5" s="129" t="str">
        <f>'P&amp;L'!CS4</f>
        <v>2H22</v>
      </c>
      <c r="AZ5" s="435" t="str">
        <f>'P&amp;L'!CT4</f>
        <v>FY22</v>
      </c>
      <c r="BA5" s="133"/>
      <c r="BB5" s="129" t="str">
        <f>'P&amp;L'!CV4</f>
        <v>1H23</v>
      </c>
      <c r="BC5" s="129" t="str">
        <f>'P&amp;L'!CW4</f>
        <v>2H23</v>
      </c>
      <c r="BD5" s="1099" t="str">
        <f>'P&amp;L'!CX4</f>
        <v>FY23</v>
      </c>
      <c r="BE5" s="133"/>
      <c r="BF5" s="129" t="str">
        <f>'P&amp;L'!CZ4</f>
        <v>1H24</v>
      </c>
      <c r="BG5" s="129" t="str">
        <f>'P&amp;L'!DA4</f>
        <v>2H24</v>
      </c>
      <c r="BH5" s="1913" t="str">
        <f>'P&amp;L'!DB4</f>
        <v>FY24</v>
      </c>
      <c r="BI5" s="133"/>
      <c r="BJ5" s="129" t="str">
        <f>'P&amp;L'!DD4</f>
        <v>1H25</v>
      </c>
      <c r="BK5" s="1787" t="str">
        <f>'P&amp;L'!DE4</f>
        <v>2H25</v>
      </c>
      <c r="BL5" s="1913" t="str">
        <f>'P&amp;L'!DF4</f>
        <v>FY25</v>
      </c>
      <c r="BM5" s="133"/>
      <c r="BN5" s="1787" t="str">
        <f>'P&amp;L'!DH4</f>
        <v>1H26</v>
      </c>
      <c r="BO5" s="1787" t="str">
        <f>'P&amp;L'!DI4</f>
        <v>2H26E</v>
      </c>
      <c r="BP5" s="1787" t="str">
        <f>'P&amp;L'!DJ4</f>
        <v>FY26E</v>
      </c>
      <c r="BQ5" s="133"/>
      <c r="BR5" s="129" t="str">
        <f>'P&amp;L'!DL4</f>
        <v>1H27E</v>
      </c>
      <c r="BS5" s="129" t="str">
        <f>'P&amp;L'!DM4</f>
        <v>2H27E</v>
      </c>
      <c r="BT5" s="1463" t="str">
        <f>'P&amp;L'!DN4</f>
        <v>FY27E</v>
      </c>
      <c r="BU5" s="133"/>
      <c r="BV5" s="129" t="str">
        <f>'P&amp;L'!DP4</f>
        <v>1H28E</v>
      </c>
      <c r="BW5" s="129" t="str">
        <f>'P&amp;L'!DQ4</f>
        <v>2H28E</v>
      </c>
      <c r="BX5" s="1463" t="str">
        <f>'P&amp;L'!DR4</f>
        <v>FY28E</v>
      </c>
      <c r="BY5" s="133"/>
      <c r="BZ5" s="133"/>
      <c r="CA5" s="131"/>
      <c r="CB5" s="132" t="str">
        <f>C5</f>
        <v>Year End 31 March</v>
      </c>
      <c r="CC5" s="129"/>
      <c r="CD5" s="129"/>
      <c r="CE5" s="129"/>
      <c r="CF5" s="129"/>
      <c r="CG5" s="129"/>
      <c r="CH5" s="129"/>
      <c r="CI5" s="129" t="e">
        <f>#REF!</f>
        <v>#REF!</v>
      </c>
      <c r="CJ5" s="129"/>
      <c r="CK5" s="129"/>
      <c r="CL5" s="129"/>
      <c r="CM5" s="129" t="str">
        <f>H5</f>
        <v>FY11</v>
      </c>
      <c r="CN5" s="129"/>
      <c r="CO5" s="129"/>
      <c r="CP5" s="129"/>
      <c r="CQ5" s="129" t="str">
        <f>L5</f>
        <v>FY12</v>
      </c>
      <c r="CR5" s="129"/>
      <c r="CS5" s="129"/>
      <c r="CT5" s="129"/>
      <c r="CU5" s="129" t="str">
        <f>P5</f>
        <v>FY13</v>
      </c>
      <c r="CV5" s="129"/>
      <c r="CW5" s="129" t="str">
        <f>R5</f>
        <v>1H14</v>
      </c>
      <c r="CX5" s="129" t="str">
        <f>S5</f>
        <v>2H14</v>
      </c>
      <c r="CY5" s="129" t="str">
        <f>T5</f>
        <v>FY14</v>
      </c>
      <c r="CZ5" s="129"/>
      <c r="DA5" s="129" t="str">
        <f>V5</f>
        <v>1H15</v>
      </c>
      <c r="DB5" s="129" t="str">
        <f>W5</f>
        <v>2H15</v>
      </c>
      <c r="DC5" s="129" t="str">
        <f>X5</f>
        <v>FY15</v>
      </c>
      <c r="DD5" s="133"/>
      <c r="DE5" s="129" t="str">
        <f>Z5</f>
        <v>1H16</v>
      </c>
      <c r="DF5" s="129" t="str">
        <f>AA5</f>
        <v>2H16</v>
      </c>
      <c r="DG5" s="129" t="str">
        <f>AB5</f>
        <v>FY16</v>
      </c>
      <c r="DH5" s="133"/>
      <c r="DI5" s="129" t="str">
        <f>AD5</f>
        <v>1H17</v>
      </c>
      <c r="DJ5" s="129" t="str">
        <f>AE5</f>
        <v>2H17</v>
      </c>
      <c r="DK5" s="129" t="str">
        <f>AF5</f>
        <v>FY17</v>
      </c>
      <c r="DL5" s="133"/>
      <c r="DM5" s="129" t="str">
        <f>AH5</f>
        <v>1H18</v>
      </c>
      <c r="DN5" s="129" t="str">
        <f>AI5</f>
        <v>2H18</v>
      </c>
      <c r="DO5" s="129" t="str">
        <f>AJ5</f>
        <v>FY18</v>
      </c>
      <c r="DP5" s="133"/>
      <c r="DQ5" s="129" t="str">
        <f>AL5</f>
        <v>1H19</v>
      </c>
      <c r="DR5" s="129" t="str">
        <f>AM5</f>
        <v>2H19</v>
      </c>
      <c r="DS5" s="129" t="str">
        <f>AN5</f>
        <v>FY19</v>
      </c>
      <c r="DT5" s="129"/>
      <c r="DU5" s="129" t="str">
        <f>AP5</f>
        <v>1H20</v>
      </c>
      <c r="DV5" s="129" t="str">
        <f>AQ5</f>
        <v>2H20</v>
      </c>
      <c r="DW5" s="129" t="str">
        <f>AR5</f>
        <v>FY20</v>
      </c>
      <c r="DX5" s="587"/>
      <c r="DY5" s="587" t="str">
        <f>AT5</f>
        <v>1H21</v>
      </c>
      <c r="DZ5" s="587" t="str">
        <f>AU5</f>
        <v>2H21</v>
      </c>
      <c r="EA5" s="587" t="str">
        <f>AV5</f>
        <v>FY21</v>
      </c>
      <c r="EB5" s="587"/>
      <c r="EC5" s="1463" t="str">
        <f>AX5</f>
        <v>1H22</v>
      </c>
      <c r="ED5" s="129" t="str">
        <f>AY5</f>
        <v>2H22</v>
      </c>
      <c r="EE5" s="129" t="str">
        <f>AZ5</f>
        <v>FY22</v>
      </c>
      <c r="EF5" s="587"/>
      <c r="EG5" s="1463" t="str">
        <f>BB5</f>
        <v>1H23</v>
      </c>
      <c r="EH5" s="129" t="str">
        <f>BC5</f>
        <v>2H23</v>
      </c>
      <c r="EI5" s="1918" t="str">
        <f>BD5</f>
        <v>FY23</v>
      </c>
      <c r="EJ5" s="587"/>
      <c r="EK5" s="1463" t="str">
        <f>BF5</f>
        <v>1H24</v>
      </c>
      <c r="EL5" s="1787" t="str">
        <f>BG5</f>
        <v>2H24</v>
      </c>
      <c r="EM5" s="1913" t="str">
        <f>BH5</f>
        <v>FY24</v>
      </c>
      <c r="EN5" s="587"/>
      <c r="EO5" s="129" t="str">
        <f>BJ5</f>
        <v>1H25</v>
      </c>
      <c r="EP5" s="1787" t="str">
        <f>BK5</f>
        <v>2H25</v>
      </c>
      <c r="EQ5" s="1913" t="str">
        <f>BL5</f>
        <v>FY25</v>
      </c>
      <c r="ER5" s="587"/>
      <c r="ES5" s="129" t="str">
        <f>BN5</f>
        <v>1H26</v>
      </c>
      <c r="ET5" s="1787" t="str">
        <f>BO5</f>
        <v>2H26E</v>
      </c>
      <c r="EU5" s="1787" t="str">
        <f>BP5</f>
        <v>FY26E</v>
      </c>
      <c r="EV5" s="587"/>
      <c r="EW5" s="129" t="str">
        <f>BR5</f>
        <v>1H27E</v>
      </c>
      <c r="EX5" s="129" t="str">
        <f>BS5</f>
        <v>2H27E</v>
      </c>
      <c r="EY5" s="1463" t="str">
        <f>BT5</f>
        <v>FY27E</v>
      </c>
      <c r="EZ5" s="587"/>
      <c r="FA5" s="129" t="str">
        <f>BV5</f>
        <v>1H28E</v>
      </c>
      <c r="FB5" s="129" t="str">
        <f>BW5</f>
        <v>2H28E</v>
      </c>
      <c r="FC5" s="1463" t="str">
        <f>BX5</f>
        <v>FY28E</v>
      </c>
      <c r="FD5" s="116"/>
      <c r="FE5" s="116"/>
      <c r="FF5" s="116"/>
      <c r="FO5" s="127"/>
    </row>
    <row r="6" spans="1:179" s="119" customFormat="1" ht="16.649999999999999" customHeight="1">
      <c r="A6" s="1907"/>
      <c r="B6" s="116"/>
      <c r="C6" s="120" t="s">
        <v>598</v>
      </c>
      <c r="D6" s="138"/>
      <c r="E6" s="138"/>
      <c r="F6" s="139">
        <f>'P&amp;L'!AZ9</f>
        <v>605</v>
      </c>
      <c r="G6" s="139">
        <f>'P&amp;L'!BA9</f>
        <v>670</v>
      </c>
      <c r="H6" s="139">
        <f>'P&amp;L'!BB9</f>
        <v>1275</v>
      </c>
      <c r="I6" s="140"/>
      <c r="J6" s="139">
        <f>'P&amp;L'!BD9</f>
        <v>698</v>
      </c>
      <c r="K6" s="139">
        <f>'P&amp;L'!BE9</f>
        <v>635</v>
      </c>
      <c r="L6" s="139">
        <f>'P&amp;L'!BF9</f>
        <v>1333</v>
      </c>
      <c r="M6" s="138"/>
      <c r="N6" s="139">
        <f>'P&amp;L'!BH9</f>
        <v>644</v>
      </c>
      <c r="O6" s="139">
        <f>'P&amp;L'!BI9</f>
        <v>723</v>
      </c>
      <c r="P6" s="139">
        <f>'P&amp;L'!BJ9</f>
        <v>1367</v>
      </c>
      <c r="Q6" s="140"/>
      <c r="R6" s="139">
        <f>'P&amp;L'!BL9</f>
        <v>860</v>
      </c>
      <c r="S6" s="139">
        <f>'P&amp;L'!BM9</f>
        <v>845</v>
      </c>
      <c r="T6" s="141">
        <f>'P&amp;L'!BN9</f>
        <v>1705</v>
      </c>
      <c r="U6" s="140"/>
      <c r="V6" s="139">
        <f>'P&amp;L'!BP9</f>
        <v>956</v>
      </c>
      <c r="W6" s="139">
        <f>'P&amp;L'!BQ9</f>
        <v>1136</v>
      </c>
      <c r="X6" s="141">
        <f>'P&amp;L'!BR9</f>
        <v>2092</v>
      </c>
      <c r="Y6" s="140"/>
      <c r="Z6" s="139">
        <f>'P&amp;L'!BT9</f>
        <v>1165</v>
      </c>
      <c r="AA6" s="139">
        <f>'P&amp;L'!BU9</f>
        <v>1114</v>
      </c>
      <c r="AB6" s="141">
        <f>'P&amp;L'!BV9</f>
        <v>2279</v>
      </c>
      <c r="AC6" s="139"/>
      <c r="AD6" s="139">
        <f>'P&amp;L'!BX9</f>
        <v>1098</v>
      </c>
      <c r="AE6" s="139">
        <f>'P&amp;L'!BY9</f>
        <v>1087</v>
      </c>
      <c r="AF6" s="141">
        <f>'P&amp;L'!BZ9</f>
        <v>2185</v>
      </c>
      <c r="AG6" s="139"/>
      <c r="AH6" s="139">
        <f>'P&amp;L'!CB9</f>
        <v>1011</v>
      </c>
      <c r="AI6" s="139">
        <f>'P&amp;L'!CC9</f>
        <v>975</v>
      </c>
      <c r="AJ6" s="141">
        <f>'P&amp;L'!CD9</f>
        <v>1986</v>
      </c>
      <c r="AK6" s="139"/>
      <c r="AL6" s="139">
        <f>'P&amp;L'!CF9</f>
        <v>998</v>
      </c>
      <c r="AM6" s="139">
        <f>'P&amp;L'!CG9</f>
        <v>762</v>
      </c>
      <c r="AN6" s="141">
        <f>'P&amp;L'!CH9</f>
        <v>1760</v>
      </c>
      <c r="AO6" s="139"/>
      <c r="AP6" s="139">
        <f>'P&amp;L'!CJ9</f>
        <v>790</v>
      </c>
      <c r="AQ6" s="139">
        <f>'P&amp;L'!CK9</f>
        <v>1069</v>
      </c>
      <c r="AR6" s="141">
        <f>'P&amp;L'!CL9</f>
        <v>1859</v>
      </c>
      <c r="AS6" s="139"/>
      <c r="AT6" s="139">
        <f>'P&amp;L'!CN9</f>
        <v>1033</v>
      </c>
      <c r="AU6" s="139">
        <f>'P&amp;L'!CO9</f>
        <v>1162</v>
      </c>
      <c r="AV6" s="141">
        <f>'P&amp;L'!CP9</f>
        <v>2195</v>
      </c>
      <c r="AW6" s="139"/>
      <c r="AX6" s="139">
        <f>'P&amp;L'!CR9</f>
        <v>1373</v>
      </c>
      <c r="AY6" s="139">
        <f>'P&amp;L'!CS9</f>
        <v>1487</v>
      </c>
      <c r="AZ6" s="141">
        <f>'P&amp;L'!CT9</f>
        <v>2860</v>
      </c>
      <c r="BA6" s="139"/>
      <c r="BB6" s="139">
        <f>'P&amp;L'!CV9</f>
        <v>1431</v>
      </c>
      <c r="BC6" s="139">
        <f>'P&amp;L'!CW9</f>
        <v>1597</v>
      </c>
      <c r="BD6" s="141">
        <f>'P&amp;L'!CX9</f>
        <v>3028</v>
      </c>
      <c r="BE6" s="139"/>
      <c r="BF6" s="139">
        <f>'P&amp;L'!CZ9</f>
        <v>1633</v>
      </c>
      <c r="BG6" s="139">
        <f>'P&amp;L'!DA9</f>
        <v>1826</v>
      </c>
      <c r="BH6" s="141">
        <f>'P&amp;L'!DB9</f>
        <v>3459</v>
      </c>
      <c r="BI6" s="139"/>
      <c r="BJ6" s="139">
        <f>'P&amp;L'!DD9</f>
        <v>1669</v>
      </c>
      <c r="BK6" s="139">
        <f>'P&amp;L'!DE9</f>
        <v>1838</v>
      </c>
      <c r="BL6" s="141">
        <f>'P&amp;L'!DF9</f>
        <v>3507</v>
      </c>
      <c r="BM6" s="139"/>
      <c r="BN6" s="139">
        <f>'P&amp;L'!DH9</f>
        <v>2066</v>
      </c>
      <c r="BO6" s="139">
        <f>'P&amp;L'!DI9</f>
        <v>1961.8562328900316</v>
      </c>
      <c r="BP6" s="139">
        <f>'P&amp;L'!DJ9</f>
        <v>4027.8562328900316</v>
      </c>
      <c r="BQ6" s="139"/>
      <c r="BR6" s="139">
        <f>'P&amp;L'!DL9</f>
        <v>2105.8243482422477</v>
      </c>
      <c r="BS6" s="139">
        <f>'P&amp;L'!DM9</f>
        <v>2193.0643408970232</v>
      </c>
      <c r="BT6" s="1464">
        <f>'P&amp;L'!DN9</f>
        <v>4298.8886891392704</v>
      </c>
      <c r="BU6" s="139"/>
      <c r="BV6" s="139">
        <f>'P&amp;L'!DP9</f>
        <v>2269.6231916062784</v>
      </c>
      <c r="BW6" s="139">
        <f>'P&amp;L'!DQ9</f>
        <v>2350.5513257509156</v>
      </c>
      <c r="BX6" s="1464">
        <f>'P&amp;L'!DR9</f>
        <v>4620.1745173571944</v>
      </c>
      <c r="BY6" s="139"/>
      <c r="BZ6" s="139"/>
      <c r="CA6" s="134"/>
      <c r="CB6" s="135"/>
      <c r="CC6" s="136"/>
      <c r="CD6" s="136"/>
      <c r="CE6" s="136"/>
      <c r="CF6" s="136"/>
      <c r="CG6" s="136"/>
      <c r="CH6" s="136"/>
      <c r="CI6" s="136"/>
      <c r="CJ6" s="136"/>
      <c r="CK6" s="136"/>
      <c r="CL6" s="136"/>
      <c r="CM6" s="136"/>
      <c r="CN6" s="136"/>
      <c r="CO6" s="136"/>
      <c r="CP6" s="136"/>
      <c r="CQ6" s="136"/>
      <c r="CR6" s="136"/>
      <c r="CS6" s="136"/>
      <c r="CT6" s="136"/>
      <c r="CU6" s="136"/>
      <c r="CV6" s="136"/>
      <c r="CW6" s="136"/>
      <c r="CX6" s="136"/>
      <c r="CY6" s="136"/>
      <c r="CZ6" s="136"/>
      <c r="DA6" s="136"/>
      <c r="DB6" s="136"/>
      <c r="DC6" s="136"/>
      <c r="DD6" s="136"/>
      <c r="DE6" s="136"/>
      <c r="DF6" s="136"/>
      <c r="DG6" s="136"/>
      <c r="DH6" s="136"/>
      <c r="DI6" s="136"/>
      <c r="DJ6" s="136"/>
      <c r="DK6" s="136"/>
      <c r="DL6" s="136"/>
      <c r="DM6" s="136"/>
      <c r="DN6" s="136"/>
      <c r="DO6" s="136"/>
      <c r="DP6" s="136"/>
      <c r="DQ6" s="136"/>
      <c r="DR6" s="136"/>
      <c r="DS6" s="136"/>
      <c r="DT6" s="136"/>
      <c r="DU6" s="136"/>
      <c r="DV6" s="136"/>
      <c r="DW6" s="136"/>
      <c r="DX6" s="136"/>
      <c r="DY6" s="136"/>
      <c r="DZ6" s="136"/>
      <c r="EA6" s="136"/>
      <c r="EB6" s="136"/>
      <c r="EC6" s="1743"/>
      <c r="ED6" s="136"/>
      <c r="EE6" s="136"/>
      <c r="EF6" s="136"/>
      <c r="EG6" s="1743"/>
      <c r="EH6" s="136"/>
      <c r="EI6" s="1919"/>
      <c r="EJ6" s="136"/>
      <c r="EK6" s="1743"/>
      <c r="EL6" s="136"/>
      <c r="EM6" s="2061"/>
      <c r="EN6" s="136"/>
      <c r="EO6" s="136"/>
      <c r="EP6" s="136"/>
      <c r="EQ6" s="2061"/>
      <c r="ER6" s="136"/>
      <c r="ES6" s="136"/>
      <c r="ET6" s="136"/>
      <c r="EU6" s="136"/>
      <c r="EV6" s="136"/>
      <c r="EW6" s="136"/>
      <c r="EX6" s="136"/>
      <c r="EY6" s="1743"/>
      <c r="EZ6" s="136"/>
      <c r="FA6" s="136"/>
      <c r="FB6" s="136"/>
      <c r="FC6" s="1743"/>
      <c r="FD6" s="116"/>
      <c r="FE6" s="116"/>
      <c r="FF6" s="116"/>
      <c r="FO6" s="133"/>
      <c r="FR6" s="133"/>
      <c r="FS6" s="133"/>
      <c r="FU6" s="133"/>
      <c r="FV6" s="133"/>
      <c r="FW6" s="133"/>
    </row>
    <row r="7" spans="1:179" s="119" customFormat="1" ht="16.649999999999999" customHeight="1">
      <c r="A7" s="1907"/>
      <c r="B7" s="116"/>
      <c r="C7" s="120" t="s">
        <v>761</v>
      </c>
      <c r="D7" s="138"/>
      <c r="E7" s="138"/>
      <c r="F7" s="139">
        <f>'P&amp;L'!AZ10</f>
        <v>1995</v>
      </c>
      <c r="G7" s="139">
        <f>'P&amp;L'!BA10</f>
        <v>1896</v>
      </c>
      <c r="H7" s="139">
        <f>'P&amp;L'!BB10</f>
        <v>3891</v>
      </c>
      <c r="I7" s="140"/>
      <c r="J7" s="139">
        <f>'P&amp;L'!BD10</f>
        <v>1765.663</v>
      </c>
      <c r="K7" s="139">
        <f>'P&amp;L'!BE10</f>
        <v>1598</v>
      </c>
      <c r="L7" s="139">
        <f>'P&amp;L'!BF10</f>
        <v>3363.663</v>
      </c>
      <c r="M7" s="138"/>
      <c r="N7" s="139">
        <f>'P&amp;L'!BH10</f>
        <v>1636</v>
      </c>
      <c r="O7" s="139">
        <f>'P&amp;L'!BI10</f>
        <v>1743</v>
      </c>
      <c r="P7" s="139">
        <f>'P&amp;L'!BJ10</f>
        <v>3379</v>
      </c>
      <c r="Q7" s="140"/>
      <c r="R7" s="139">
        <f>'P&amp;L'!BL10</f>
        <v>1838</v>
      </c>
      <c r="S7" s="139">
        <f>'P&amp;L'!BM10</f>
        <v>2017</v>
      </c>
      <c r="T7" s="141">
        <f>'P&amp;L'!BN10</f>
        <v>3855</v>
      </c>
      <c r="U7" s="140"/>
      <c r="V7" s="139">
        <f>'P&amp;L'!BP10</f>
        <v>2167</v>
      </c>
      <c r="W7" s="139">
        <f>'P&amp;L'!BQ10</f>
        <v>2572</v>
      </c>
      <c r="X7" s="141">
        <f>'P&amp;L'!BR10</f>
        <v>4739</v>
      </c>
      <c r="Y7" s="140"/>
      <c r="Z7" s="139">
        <f>'P&amp;L'!BT10</f>
        <v>2794</v>
      </c>
      <c r="AA7" s="139">
        <f>'P&amp;L'!BU10</f>
        <v>2068</v>
      </c>
      <c r="AB7" s="141">
        <f>'P&amp;L'!BV10</f>
        <v>4862</v>
      </c>
      <c r="AC7" s="139"/>
      <c r="AD7" s="139">
        <f>'P&amp;L'!BX10</f>
        <v>2203</v>
      </c>
      <c r="AE7" s="139">
        <f>'P&amp;L'!BY10</f>
        <v>2128</v>
      </c>
      <c r="AF7" s="141">
        <f>'P&amp;L'!BZ10</f>
        <v>4331</v>
      </c>
      <c r="AG7" s="139"/>
      <c r="AH7" s="139">
        <f>'P&amp;L'!CB10</f>
        <v>2568</v>
      </c>
      <c r="AI7" s="139">
        <f>'P&amp;L'!CC10</f>
        <v>2102</v>
      </c>
      <c r="AJ7" s="141">
        <f>'P&amp;L'!CD10</f>
        <v>4670</v>
      </c>
      <c r="AK7" s="139"/>
      <c r="AL7" s="139">
        <f>'P&amp;L'!CF10</f>
        <v>2661</v>
      </c>
      <c r="AM7" s="139">
        <f>'P&amp;L'!CG10</f>
        <v>2865</v>
      </c>
      <c r="AN7" s="141">
        <f>'P&amp;L'!CH10</f>
        <v>5526</v>
      </c>
      <c r="AO7" s="139"/>
      <c r="AP7" s="139">
        <f>'P&amp;L'!CJ10</f>
        <v>2874</v>
      </c>
      <c r="AQ7" s="139">
        <f>'P&amp;L'!CK10</f>
        <v>2963</v>
      </c>
      <c r="AR7" s="141">
        <f>'P&amp;L'!CL10</f>
        <v>5837</v>
      </c>
      <c r="AS7" s="139"/>
      <c r="AT7" s="139">
        <f>'P&amp;L'!CN10</f>
        <v>2613</v>
      </c>
      <c r="AU7" s="139">
        <f>'P&amp;L'!CO10</f>
        <v>2563</v>
      </c>
      <c r="AV7" s="141">
        <f>'P&amp;L'!CP10</f>
        <v>5176</v>
      </c>
      <c r="AW7" s="139"/>
      <c r="AX7" s="139">
        <f>'P&amp;L'!CR10</f>
        <v>3452</v>
      </c>
      <c r="AY7" s="139">
        <f>'P&amp;L'!CS10</f>
        <v>3435</v>
      </c>
      <c r="AZ7" s="141">
        <f>'P&amp;L'!CT10</f>
        <v>6887</v>
      </c>
      <c r="BA7" s="139"/>
      <c r="BB7" s="139">
        <f>'P&amp;L'!CV10</f>
        <v>3055</v>
      </c>
      <c r="BC7" s="139">
        <f>'P&amp;L'!CW10</f>
        <v>3345</v>
      </c>
      <c r="BD7" s="141">
        <f>'P&amp;L'!CX10</f>
        <v>6400</v>
      </c>
      <c r="BE7" s="139"/>
      <c r="BF7" s="139">
        <f>'P&amp;L'!CZ10</f>
        <v>3023</v>
      </c>
      <c r="BG7" s="139">
        <f>'P&amp;L'!DA10</f>
        <v>3226</v>
      </c>
      <c r="BH7" s="141">
        <f>'P&amp;L'!DB10</f>
        <v>6249</v>
      </c>
      <c r="BI7" s="139"/>
      <c r="BJ7" s="139">
        <f>'P&amp;L'!DD10</f>
        <v>3300</v>
      </c>
      <c r="BK7" s="139">
        <f ca="1">'P&amp;L'!DE10</f>
        <v>3490</v>
      </c>
      <c r="BL7" s="141">
        <f ca="1">'P&amp;L'!DF10</f>
        <v>6790</v>
      </c>
      <c r="BM7" s="139"/>
      <c r="BN7" s="139">
        <f>'P&amp;L'!DH10</f>
        <v>3901</v>
      </c>
      <c r="BO7" s="139">
        <f>'P&amp;L'!DI10</f>
        <v>3615.0750669774479</v>
      </c>
      <c r="BP7" s="139">
        <f>'P&amp;L'!DJ10</f>
        <v>7516.0750669774479</v>
      </c>
      <c r="BQ7" s="139"/>
      <c r="BR7" s="139">
        <f>'P&amp;L'!DL10</f>
        <v>3486.4374788938881</v>
      </c>
      <c r="BS7" s="139">
        <f>'P&amp;L'!DM10</f>
        <v>3535.1484407541348</v>
      </c>
      <c r="BT7" s="1464">
        <f>'P&amp;L'!DN10</f>
        <v>7021.5859196480233</v>
      </c>
      <c r="BU7" s="139"/>
      <c r="BV7" s="139">
        <f>'P&amp;L'!DP10</f>
        <v>3657.478527223222</v>
      </c>
      <c r="BW7" s="139">
        <f>'P&amp;L'!DQ10</f>
        <v>3710.7117919172324</v>
      </c>
      <c r="BX7" s="1464">
        <f>'P&amp;L'!DR10</f>
        <v>7368.1903191404544</v>
      </c>
      <c r="BY7" s="139"/>
      <c r="BZ7" s="139"/>
      <c r="CA7" s="142"/>
      <c r="CB7" s="545" t="s">
        <v>1144</v>
      </c>
      <c r="CC7" s="535"/>
      <c r="CD7" s="535"/>
      <c r="CE7" s="535"/>
      <c r="CF7" s="535"/>
      <c r="CG7" s="535"/>
      <c r="CH7" s="535"/>
      <c r="CI7" s="536" t="e">
        <f>$FI$3/#REF!*100</f>
        <v>#REF!</v>
      </c>
      <c r="CJ7" s="535"/>
      <c r="CK7" s="535"/>
      <c r="CL7" s="535"/>
      <c r="CM7" s="536">
        <f>$FI$3/H27*100</f>
        <v>77.70637479572656</v>
      </c>
      <c r="CN7" s="535"/>
      <c r="CO7" s="535"/>
      <c r="CP7" s="535"/>
      <c r="CQ7" s="536">
        <f>$FI$3/L27*100</f>
        <v>105.9109206143219</v>
      </c>
      <c r="CR7" s="535"/>
      <c r="CS7" s="535"/>
      <c r="CT7" s="535"/>
      <c r="CU7" s="536">
        <f>$FI$3/P27*100</f>
        <v>87.158659461076496</v>
      </c>
      <c r="CV7" s="536"/>
      <c r="CW7" s="536"/>
      <c r="CX7" s="536"/>
      <c r="CY7" s="536">
        <f>$FI$3/T27*100</f>
        <v>58.001572340151156</v>
      </c>
      <c r="CZ7" s="536"/>
      <c r="DA7" s="536"/>
      <c r="DB7" s="536"/>
      <c r="DC7" s="536">
        <f>$FI$3/X27*100</f>
        <v>44.292356737537972</v>
      </c>
      <c r="DD7" s="536"/>
      <c r="DE7" s="536"/>
      <c r="DF7" s="536"/>
      <c r="DG7" s="536">
        <f>$FI$3/AB27*100</f>
        <v>35.736927969080078</v>
      </c>
      <c r="DH7" s="536"/>
      <c r="DI7" s="536"/>
      <c r="DJ7" s="536"/>
      <c r="DK7" s="536">
        <f>$FI$3/AF27*100</f>
        <v>33.272307910394375</v>
      </c>
      <c r="DL7" s="536"/>
      <c r="DM7" s="536"/>
      <c r="DN7" s="536"/>
      <c r="DO7" s="536">
        <f>$FI$3/AJ27*100</f>
        <v>28.845800083700762</v>
      </c>
      <c r="DP7" s="536"/>
      <c r="DQ7" s="536"/>
      <c r="DR7" s="536"/>
      <c r="DS7" s="536">
        <f>$FI$3/AN27*100</f>
        <v>24.705101878346873</v>
      </c>
      <c r="DT7" s="536"/>
      <c r="DU7" s="536">
        <f>$FI$3/AP27*100</f>
        <v>51.128943333774835</v>
      </c>
      <c r="DV7" s="536">
        <f>$FI$3/AQ27*100</f>
        <v>61.780227148675095</v>
      </c>
      <c r="DW7" s="536">
        <f>$FI$3/AR27*100</f>
        <v>28.052016640785745</v>
      </c>
      <c r="DX7" s="536"/>
      <c r="DY7" s="536">
        <f>$FI$3/AT27*100</f>
        <v>78.60056675787402</v>
      </c>
      <c r="DZ7" s="536">
        <f>$FI$3/AU27*100</f>
        <v>39.033702891626504</v>
      </c>
      <c r="EA7" s="536">
        <f>$FI$3/AV27*100</f>
        <v>26.008061442956386</v>
      </c>
      <c r="EB7" s="536"/>
      <c r="EC7" s="1470"/>
      <c r="ED7" s="536">
        <f>$FI$3/AY27*100</f>
        <v>31.415654508055844</v>
      </c>
      <c r="EE7" s="536">
        <f>$FI$3/AZ27*100</f>
        <v>17.428346179074662</v>
      </c>
      <c r="EF7" s="536"/>
      <c r="EG7" s="1470"/>
      <c r="EH7" s="536">
        <f>$FI$3/BC27*100</f>
        <v>30.135095751665531</v>
      </c>
      <c r="EI7" s="1920">
        <f>$FI$3/BD27*100</f>
        <v>16.294084023510553</v>
      </c>
      <c r="EJ7" s="536"/>
      <c r="EK7" s="1470"/>
      <c r="EL7" s="536"/>
      <c r="EM7" s="541">
        <f>$FI$3/BH27*100</f>
        <v>23.531759134195514</v>
      </c>
      <c r="EN7" s="536"/>
      <c r="EO7" s="536"/>
      <c r="EP7" s="536"/>
      <c r="EQ7" s="541">
        <f ca="1">$FI$3/BL27*100</f>
        <v>21.985906179779871</v>
      </c>
      <c r="ER7" s="536"/>
      <c r="ES7" s="536"/>
      <c r="ET7" s="536"/>
      <c r="EU7" s="536">
        <f>$FI$3/BP27*100</f>
        <v>19.659161461832195</v>
      </c>
      <c r="EV7" s="536"/>
      <c r="EW7" s="536">
        <f>$FI$3/BR27*100</f>
        <v>42.88303263085016</v>
      </c>
      <c r="EX7" s="536">
        <f>$FI$3/BS27*100</f>
        <v>31.15884386042746</v>
      </c>
      <c r="EY7" s="1470">
        <f>$FI$3/BT27*100</f>
        <v>18.04287438087329</v>
      </c>
      <c r="EZ7" s="536"/>
      <c r="FA7" s="536">
        <f>$FI$3/BV27*100</f>
        <v>39.651538578005777</v>
      </c>
      <c r="FB7" s="536">
        <f>$FI$3/BW27*100</f>
        <v>29.342389552962047</v>
      </c>
      <c r="FC7" s="1470">
        <f>$FI$3/BX27*100</f>
        <v>16.860314567828755</v>
      </c>
      <c r="FD7" s="116"/>
      <c r="FE7" s="116"/>
      <c r="FF7" s="144"/>
      <c r="FO7" s="145"/>
      <c r="FR7" s="145"/>
      <c r="FS7" s="145"/>
      <c r="FU7" s="145"/>
      <c r="FV7" s="145"/>
      <c r="FW7" s="145"/>
    </row>
    <row r="8" spans="1:179" s="119" customFormat="1" ht="16.649999999999999" customHeight="1">
      <c r="A8" s="1907"/>
      <c r="B8" s="116"/>
      <c r="C8" s="120" t="s">
        <v>592</v>
      </c>
      <c r="D8" s="138"/>
      <c r="E8" s="138"/>
      <c r="F8" s="139">
        <f>'P&amp;L'!AZ16</f>
        <v>606</v>
      </c>
      <c r="G8" s="139">
        <f>'P&amp;L'!BA16</f>
        <v>762</v>
      </c>
      <c r="H8" s="139">
        <f>'P&amp;L'!BB16</f>
        <v>1368</v>
      </c>
      <c r="I8" s="140"/>
      <c r="J8" s="139">
        <f>'P&amp;L'!BD16</f>
        <v>374</v>
      </c>
      <c r="K8" s="139">
        <f>'P&amp;L'!BE16</f>
        <v>661</v>
      </c>
      <c r="L8" s="139">
        <f>'P&amp;L'!BF16</f>
        <v>1035</v>
      </c>
      <c r="M8" s="138"/>
      <c r="N8" s="139">
        <f>'P&amp;L'!BH16</f>
        <v>555</v>
      </c>
      <c r="O8" s="139">
        <f>'P&amp;L'!BI16</f>
        <v>679</v>
      </c>
      <c r="P8" s="139">
        <f>'P&amp;L'!BJ16</f>
        <v>1234</v>
      </c>
      <c r="Q8" s="140"/>
      <c r="R8" s="139">
        <f>'P&amp;L'!BL16</f>
        <v>591</v>
      </c>
      <c r="S8" s="139">
        <f>'P&amp;L'!BM16</f>
        <v>979</v>
      </c>
      <c r="T8" s="141">
        <f>'P&amp;L'!BN16</f>
        <v>1570</v>
      </c>
      <c r="U8" s="140"/>
      <c r="V8" s="139">
        <f>'P&amp;L'!BP16</f>
        <v>687</v>
      </c>
      <c r="W8" s="139">
        <f>'P&amp;L'!BQ16</f>
        <v>1040</v>
      </c>
      <c r="X8" s="141">
        <f>'P&amp;L'!BR16</f>
        <v>1727</v>
      </c>
      <c r="Y8" s="140"/>
      <c r="Z8" s="139">
        <f>'P&amp;L'!BT16</f>
        <v>1108</v>
      </c>
      <c r="AA8" s="139">
        <f>'P&amp;L'!BU16</f>
        <v>959</v>
      </c>
      <c r="AB8" s="141">
        <f>'P&amp;L'!BV16</f>
        <v>2067</v>
      </c>
      <c r="AC8" s="139"/>
      <c r="AD8" s="139">
        <f>'P&amp;L'!BX16</f>
        <v>776</v>
      </c>
      <c r="AE8" s="139">
        <f>'P&amp;L'!BY16</f>
        <v>982</v>
      </c>
      <c r="AF8" s="141">
        <f>'P&amp;L'!BZ16</f>
        <v>1758</v>
      </c>
      <c r="AG8" s="139"/>
      <c r="AH8" s="139">
        <f>'P&amp;L'!CB16</f>
        <v>881</v>
      </c>
      <c r="AI8" s="139">
        <f>'P&amp;L'!CC16</f>
        <v>1076</v>
      </c>
      <c r="AJ8" s="141">
        <f>'P&amp;L'!CD16</f>
        <v>1957</v>
      </c>
      <c r="AK8" s="139"/>
      <c r="AL8" s="139">
        <f>'P&amp;L'!CF16</f>
        <v>1231</v>
      </c>
      <c r="AM8" s="139">
        <f>'P&amp;L'!CG16</f>
        <v>1560</v>
      </c>
      <c r="AN8" s="141">
        <f>'P&amp;L'!CH16</f>
        <v>2791</v>
      </c>
      <c r="AO8" s="139"/>
      <c r="AP8" s="139">
        <f>'P&amp;L'!CJ16</f>
        <v>1627</v>
      </c>
      <c r="AQ8" s="139">
        <f>'P&amp;L'!CK16</f>
        <v>1234</v>
      </c>
      <c r="AR8" s="141">
        <f>'P&amp;L'!CL16</f>
        <v>2861</v>
      </c>
      <c r="AS8" s="139"/>
      <c r="AT8" s="139">
        <f>'P&amp;L'!CN16</f>
        <v>1487</v>
      </c>
      <c r="AU8" s="139">
        <f>'P&amp;L'!CO16</f>
        <v>1995</v>
      </c>
      <c r="AV8" s="141">
        <f>'P&amp;L'!CP16</f>
        <v>3482</v>
      </c>
      <c r="AW8" s="139"/>
      <c r="AX8" s="139">
        <f>'P&amp;L'!CR16</f>
        <v>1659</v>
      </c>
      <c r="AY8" s="139">
        <f>'P&amp;L'!CS16</f>
        <v>2337</v>
      </c>
      <c r="AZ8" s="141">
        <f>'P&amp;L'!CT16</f>
        <v>3996</v>
      </c>
      <c r="BA8" s="139"/>
      <c r="BB8" s="139">
        <f>'P&amp;L'!CV16</f>
        <v>2817</v>
      </c>
      <c r="BC8" s="139">
        <f>'P&amp;L'!CW16</f>
        <v>4756</v>
      </c>
      <c r="BD8" s="141">
        <f>'P&amp;L'!CX16</f>
        <v>7573</v>
      </c>
      <c r="BE8" s="139"/>
      <c r="BF8" s="139">
        <f>'P&amp;L'!CZ16</f>
        <v>2612</v>
      </c>
      <c r="BG8" s="139">
        <f>'P&amp;L'!DA16</f>
        <v>2836</v>
      </c>
      <c r="BH8" s="141">
        <f>'P&amp;L'!DB16</f>
        <v>5448</v>
      </c>
      <c r="BI8" s="139"/>
      <c r="BJ8" s="139">
        <f>'P&amp;L'!DD16</f>
        <v>2460</v>
      </c>
      <c r="BK8" s="139">
        <f>'P&amp;L'!DE16</f>
        <v>2910</v>
      </c>
      <c r="BL8" s="141">
        <f>'P&amp;L'!DF16</f>
        <v>5370</v>
      </c>
      <c r="BM8" s="139"/>
      <c r="BN8" s="139">
        <f>'P&amp;L'!DH16</f>
        <v>2445</v>
      </c>
      <c r="BO8" s="139">
        <f>'P&amp;L'!DI16</f>
        <v>3280.9700000000003</v>
      </c>
      <c r="BP8" s="139">
        <f>'P&amp;L'!DJ16</f>
        <v>5725.97</v>
      </c>
      <c r="BQ8" s="139"/>
      <c r="BR8" s="139">
        <f>'P&amp;L'!DL16</f>
        <v>2623.5912999999996</v>
      </c>
      <c r="BS8" s="139">
        <f>'P&amp;L'!DM16</f>
        <v>3347.8119890000003</v>
      </c>
      <c r="BT8" s="1464">
        <f>'P&amp;L'!DN16</f>
        <v>5971.4032889999999</v>
      </c>
      <c r="BU8" s="139"/>
      <c r="BV8" s="139">
        <f>'P&amp;L'!DP16</f>
        <v>2678.5929496700001</v>
      </c>
      <c r="BW8" s="139">
        <f>'P&amp;L'!DQ16</f>
        <v>3425.7311526600997</v>
      </c>
      <c r="BX8" s="1464">
        <f>'P&amp;L'!DR16</f>
        <v>6104.3241023300998</v>
      </c>
      <c r="BY8" s="139"/>
      <c r="BZ8" s="139"/>
      <c r="CA8" s="146"/>
      <c r="CB8" s="143" t="s">
        <v>932</v>
      </c>
      <c r="CC8" s="104"/>
      <c r="CD8" s="104"/>
      <c r="CE8" s="104"/>
      <c r="CF8" s="104"/>
      <c r="CG8" s="104"/>
      <c r="CH8" s="104"/>
      <c r="CI8" s="105" t="e">
        <f>$FI$3/#REF!*100</f>
        <v>#REF!</v>
      </c>
      <c r="CJ8" s="104"/>
      <c r="CK8" s="104"/>
      <c r="CL8" s="104"/>
      <c r="CM8" s="105">
        <f>$FI$3/H24*100</f>
        <v>75.86556284727142</v>
      </c>
      <c r="CN8" s="104"/>
      <c r="CO8" s="104"/>
      <c r="CP8" s="104"/>
      <c r="CQ8" s="105">
        <f>$FI$3/L24*100</f>
        <v>102.00578425761819</v>
      </c>
      <c r="CR8" s="104"/>
      <c r="CS8" s="104"/>
      <c r="CT8" s="104"/>
      <c r="CU8" s="105">
        <f>$FI$3/P24*100</f>
        <v>85.399157788839844</v>
      </c>
      <c r="CV8" s="105"/>
      <c r="CW8" s="105"/>
      <c r="CX8" s="105"/>
      <c r="CY8" s="105">
        <f>$FI$3/T24*100</f>
        <v>55.820914692432581</v>
      </c>
      <c r="CZ8" s="105"/>
      <c r="DA8" s="105"/>
      <c r="DB8" s="105"/>
      <c r="DC8" s="105">
        <f>$FI$3/X24*100</f>
        <v>42.701119428510367</v>
      </c>
      <c r="DD8" s="105"/>
      <c r="DE8" s="105"/>
      <c r="DF8" s="105"/>
      <c r="DG8" s="105">
        <f>$FI$3/AB24*100</f>
        <v>34.632053758922673</v>
      </c>
      <c r="DH8" s="105"/>
      <c r="DI8" s="105"/>
      <c r="DJ8" s="105"/>
      <c r="DK8" s="105">
        <f>$FI$3/AF24*100</f>
        <v>32.608942915706116</v>
      </c>
      <c r="DL8" s="105"/>
      <c r="DM8" s="105"/>
      <c r="DN8" s="105"/>
      <c r="DO8" s="105">
        <f>$FI$3/AJ24*100</f>
        <v>28.288871163815521</v>
      </c>
      <c r="DP8" s="105"/>
      <c r="DQ8" s="105"/>
      <c r="DR8" s="105"/>
      <c r="DS8" s="105">
        <f>$FI$3/AN24*100</f>
        <v>24.284710817227616</v>
      </c>
      <c r="DT8" s="105"/>
      <c r="DU8" s="105">
        <f>$FI$3/AP24*100</f>
        <v>49.872685347222223</v>
      </c>
      <c r="DV8" s="105">
        <f>$FI$3/AQ24*100</f>
        <v>59.112769431886228</v>
      </c>
      <c r="DW8" s="105">
        <f>$FI$3/AR24*100</f>
        <v>27.118193998636446</v>
      </c>
      <c r="DX8" s="105"/>
      <c r="DY8" s="105">
        <f>$FI$3/AT24*100</f>
        <v>77.522697088142706</v>
      </c>
      <c r="DZ8" s="105">
        <f>$FI$3/AU24*100</f>
        <v>37.950928694705972</v>
      </c>
      <c r="EA8" s="105">
        <f>$FI$3/AV24*100</f>
        <v>25.449050239504125</v>
      </c>
      <c r="EB8" s="105"/>
      <c r="EC8" s="1468"/>
      <c r="ED8" s="105">
        <f>$FI$3/AY24*100</f>
        <v>30.363937471834333</v>
      </c>
      <c r="EE8" s="105">
        <f>$FI$3/AZ24*100</f>
        <v>16.865349696347621</v>
      </c>
      <c r="EF8" s="105"/>
      <c r="EG8" s="1468"/>
      <c r="EH8" s="105">
        <f>$FI$3/BC24*100</f>
        <v>29.4099378897685</v>
      </c>
      <c r="EI8" s="1921">
        <f>$FI$3/BD24*100</f>
        <v>15.845401887826483</v>
      </c>
      <c r="EJ8" s="105"/>
      <c r="EK8" s="1468"/>
      <c r="EL8" s="105"/>
      <c r="EM8" s="189">
        <f>$FI$3/BH24*100</f>
        <v>23.401851737736383</v>
      </c>
      <c r="EN8" s="105"/>
      <c r="EO8" s="105"/>
      <c r="EP8" s="105"/>
      <c r="EQ8" s="189">
        <f ca="1">$FI$3/BL24*100</f>
        <v>21.901367685789694</v>
      </c>
      <c r="ER8" s="105"/>
      <c r="ES8" s="105"/>
      <c r="ET8" s="105"/>
      <c r="EU8" s="105">
        <f>$FI$3/BP24*100</f>
        <v>19.494249007811739</v>
      </c>
      <c r="EV8" s="105"/>
      <c r="EW8" s="105">
        <f>$FI$3/BR24*100</f>
        <v>42.591172995976898</v>
      </c>
      <c r="EX8" s="105">
        <f>$FI$3/BS24*100</f>
        <v>30.788731064455543</v>
      </c>
      <c r="EY8" s="1468">
        <f>$FI$3/BT24*100</f>
        <v>17.866811451312905</v>
      </c>
      <c r="EZ8" s="105"/>
      <c r="FA8" s="105">
        <f>$FI$3/BV24*100</f>
        <v>39.327317882956081</v>
      </c>
      <c r="FB8" s="105">
        <f>$FI$3/BW24*100</f>
        <v>28.972681517689143</v>
      </c>
      <c r="FC8" s="1468">
        <f>$FI$3/BX24*100</f>
        <v>16.6793887149257</v>
      </c>
      <c r="FD8" s="116"/>
      <c r="FE8" s="116"/>
      <c r="FF8" s="116"/>
      <c r="FI8" s="1349" t="s">
        <v>1175</v>
      </c>
      <c r="FO8" s="147"/>
      <c r="FR8" s="147"/>
      <c r="FS8" s="147"/>
      <c r="FU8" s="147"/>
      <c r="FV8" s="147"/>
      <c r="FW8" s="147"/>
    </row>
    <row r="9" spans="1:179" s="119" customFormat="1" ht="16.649999999999999" customHeight="1">
      <c r="A9" s="1907"/>
      <c r="B9" s="116"/>
      <c r="C9" s="120" t="s">
        <v>762</v>
      </c>
      <c r="D9" s="138"/>
      <c r="E9" s="138"/>
      <c r="F9" s="139">
        <f>'P&amp;L'!AZ17</f>
        <v>85</v>
      </c>
      <c r="G9" s="139">
        <f>'P&amp;L'!BA17</f>
        <v>94</v>
      </c>
      <c r="H9" s="139">
        <f>'P&amp;L'!BB17</f>
        <v>179</v>
      </c>
      <c r="I9" s="140"/>
      <c r="J9" s="139">
        <f>'P&amp;L'!BD17</f>
        <v>49</v>
      </c>
      <c r="K9" s="139">
        <f>'P&amp;L'!BE17</f>
        <v>59</v>
      </c>
      <c r="L9" s="139">
        <f>'P&amp;L'!BF17</f>
        <v>108</v>
      </c>
      <c r="M9" s="138"/>
      <c r="N9" s="139">
        <f>'P&amp;L'!BH17</f>
        <v>75</v>
      </c>
      <c r="O9" s="139">
        <f>'P&amp;L'!BI17</f>
        <v>17</v>
      </c>
      <c r="P9" s="139">
        <f>'P&amp;L'!BJ17</f>
        <v>92</v>
      </c>
      <c r="Q9" s="140"/>
      <c r="R9" s="139">
        <f>'P&amp;L'!BL17</f>
        <v>70</v>
      </c>
      <c r="S9" s="139">
        <f>'P&amp;L'!BM17</f>
        <v>79</v>
      </c>
      <c r="T9" s="141">
        <f>'P&amp;L'!BN17</f>
        <v>149</v>
      </c>
      <c r="U9" s="140"/>
      <c r="V9" s="139">
        <f>'P&amp;L'!BP17</f>
        <v>19</v>
      </c>
      <c r="W9" s="139">
        <f>'P&amp;L'!BQ17</f>
        <v>-14</v>
      </c>
      <c r="X9" s="141">
        <f>'P&amp;L'!BR17</f>
        <v>5</v>
      </c>
      <c r="Y9" s="140"/>
      <c r="Z9" s="139">
        <f>'P&amp;L'!BT17</f>
        <v>-63</v>
      </c>
      <c r="AA9" s="139">
        <f>'P&amp;L'!BU17</f>
        <v>67</v>
      </c>
      <c r="AB9" s="141">
        <f>'P&amp;L'!BV17</f>
        <v>4</v>
      </c>
      <c r="AC9" s="139"/>
      <c r="AD9" s="139">
        <f>'P&amp;L'!BX17</f>
        <v>-8</v>
      </c>
      <c r="AE9" s="139">
        <f>'P&amp;L'!BY17</f>
        <v>59</v>
      </c>
      <c r="AF9" s="141">
        <f>'P&amp;L'!BZ17</f>
        <v>51</v>
      </c>
      <c r="AG9" s="139"/>
      <c r="AH9" s="139">
        <f>'P&amp;L'!CB17</f>
        <v>103</v>
      </c>
      <c r="AI9" s="139">
        <f>'P&amp;L'!CC17</f>
        <v>138</v>
      </c>
      <c r="AJ9" s="141">
        <f>'P&amp;L'!CD17</f>
        <v>241</v>
      </c>
      <c r="AK9" s="139"/>
      <c r="AL9" s="139">
        <f>'P&amp;L'!CF17</f>
        <v>7</v>
      </c>
      <c r="AM9" s="139">
        <f>'P&amp;L'!CG17</f>
        <v>-63</v>
      </c>
      <c r="AN9" s="141">
        <f>'P&amp;L'!CH17</f>
        <v>-56</v>
      </c>
      <c r="AO9" s="139"/>
      <c r="AP9" s="139">
        <f>'P&amp;L'!CJ17</f>
        <v>-49</v>
      </c>
      <c r="AQ9" s="139">
        <f>'P&amp;L'!CK17</f>
        <v>144</v>
      </c>
      <c r="AR9" s="141">
        <f>'P&amp;L'!CL17</f>
        <v>95</v>
      </c>
      <c r="AS9" s="139"/>
      <c r="AT9" s="139">
        <f>'P&amp;L'!CN17</f>
        <v>-54</v>
      </c>
      <c r="AU9" s="139">
        <f>'P&amp;L'!CO17</f>
        <v>51</v>
      </c>
      <c r="AV9" s="141">
        <f>'P&amp;L'!CP17</f>
        <v>-3</v>
      </c>
      <c r="AW9" s="139"/>
      <c r="AX9" s="139">
        <f>'P&amp;L'!CR17</f>
        <v>242</v>
      </c>
      <c r="AY9" s="139">
        <f>'P&amp;L'!CS17</f>
        <v>-2</v>
      </c>
      <c r="AZ9" s="141">
        <f>'P&amp;L'!CT17</f>
        <v>240</v>
      </c>
      <c r="BA9" s="139"/>
      <c r="BB9" s="139">
        <f>'P&amp;L'!CV17</f>
        <v>-61</v>
      </c>
      <c r="BC9" s="139">
        <f>'P&amp;L'!CW17</f>
        <v>-52</v>
      </c>
      <c r="BD9" s="141">
        <f>'P&amp;L'!CX17</f>
        <v>-113</v>
      </c>
      <c r="BE9" s="139"/>
      <c r="BF9" s="139">
        <f>'P&amp;L'!CZ17</f>
        <v>-5</v>
      </c>
      <c r="BG9" s="139">
        <f>'P&amp;L'!DA17</f>
        <v>-44</v>
      </c>
      <c r="BH9" s="141">
        <f>'P&amp;L'!DB17</f>
        <v>-49</v>
      </c>
      <c r="BI9" s="139"/>
      <c r="BJ9" s="139">
        <f>'P&amp;L'!DD17</f>
        <v>1</v>
      </c>
      <c r="BK9" s="139">
        <f>'P&amp;L'!DE17</f>
        <v>166</v>
      </c>
      <c r="BL9" s="141">
        <f>'P&amp;L'!DF17</f>
        <v>167</v>
      </c>
      <c r="BM9" s="139"/>
      <c r="BN9" s="139">
        <f>'P&amp;L'!DH17</f>
        <v>-50</v>
      </c>
      <c r="BO9" s="139">
        <f>'P&amp;L'!DI17</f>
        <v>7.98</v>
      </c>
      <c r="BP9" s="139">
        <f>'P&amp;L'!DJ17</f>
        <v>-42.019999999999996</v>
      </c>
      <c r="BQ9" s="139"/>
      <c r="BR9" s="139">
        <f>'P&amp;L'!DL17</f>
        <v>1.9400000000000972E-2</v>
      </c>
      <c r="BS9" s="139">
        <f>'P&amp;L'!DM17</f>
        <v>2.1199820000000003</v>
      </c>
      <c r="BT9" s="1464">
        <f>'P&amp;L'!DN17</f>
        <v>2.1393820000000012</v>
      </c>
      <c r="BU9" s="139"/>
      <c r="BV9" s="139">
        <f>'P&amp;L'!DP17</f>
        <v>2.2835814599999971</v>
      </c>
      <c r="BW9" s="139">
        <f>'P&amp;L'!DQ17</f>
        <v>4.5120889037999952</v>
      </c>
      <c r="BX9" s="1464">
        <f>'P&amp;L'!DR17</f>
        <v>6.7956703637999922</v>
      </c>
      <c r="BY9" s="139"/>
      <c r="BZ9" s="139"/>
      <c r="CA9" s="146"/>
      <c r="CB9" s="149" t="s">
        <v>933</v>
      </c>
      <c r="CC9" s="106"/>
      <c r="CD9" s="106"/>
      <c r="CE9" s="106"/>
      <c r="CF9" s="106"/>
      <c r="CG9" s="106"/>
      <c r="CH9" s="106"/>
      <c r="CI9" s="107">
        <f>'Bal Sheet'!AX516</f>
        <v>25.815970659973594</v>
      </c>
      <c r="CJ9" s="106"/>
      <c r="CK9" s="106"/>
      <c r="CL9" s="106"/>
      <c r="CM9" s="107">
        <f>'Bal Sheet'!BB516</f>
        <v>26.322393860050347</v>
      </c>
      <c r="CN9" s="106"/>
      <c r="CO9" s="106"/>
      <c r="CP9" s="106"/>
      <c r="CQ9" s="107">
        <f>'Bal Sheet'!BF516</f>
        <v>25.844531308219853</v>
      </c>
      <c r="CR9" s="106"/>
      <c r="CS9" s="106"/>
      <c r="CT9" s="106"/>
      <c r="CU9" s="107">
        <f>'Bal Sheet'!BJ516</f>
        <v>28.02302110329067</v>
      </c>
      <c r="CV9" s="108"/>
      <c r="CW9" s="108"/>
      <c r="CX9" s="108"/>
      <c r="CY9" s="107">
        <f>'Bal Sheet'!BN516</f>
        <v>31.326038562671155</v>
      </c>
      <c r="CZ9" s="108"/>
      <c r="DA9" s="108"/>
      <c r="DB9" s="108"/>
      <c r="DC9" s="107">
        <f>'Bal Sheet'!BR516</f>
        <v>37.237098236878126</v>
      </c>
      <c r="DD9" s="108"/>
      <c r="DE9" s="108"/>
      <c r="DF9" s="108"/>
      <c r="DG9" s="107">
        <f>'Bal Sheet'!BV516</f>
        <v>40.34940818473067</v>
      </c>
      <c r="DH9" s="108"/>
      <c r="DI9" s="108"/>
      <c r="DJ9" s="108"/>
      <c r="DK9" s="107">
        <f>'Bal Sheet'!BZ516</f>
        <v>42.711696976796048</v>
      </c>
      <c r="DL9" s="108"/>
      <c r="DM9" s="108"/>
      <c r="DN9" s="108"/>
      <c r="DO9" s="107">
        <f>'Bal Sheet'!CD516</f>
        <v>45.430664661524062</v>
      </c>
      <c r="DP9" s="107"/>
      <c r="DQ9" s="108"/>
      <c r="DR9" s="108"/>
      <c r="DS9" s="107">
        <f>'Bal Sheet'!CH516</f>
        <v>44.432335461147851</v>
      </c>
      <c r="DT9" s="107"/>
      <c r="DU9" s="107">
        <f>'Bal Sheet'!CJ516</f>
        <v>45.626618880423571</v>
      </c>
      <c r="DV9" s="107">
        <f>'Bal Sheet'!CK516</f>
        <v>47.093329921867571</v>
      </c>
      <c r="DW9" s="107">
        <f>'Bal Sheet'!CL516</f>
        <v>47.093329921867571</v>
      </c>
      <c r="DX9" s="107"/>
      <c r="DY9" s="107">
        <f>'Bal Sheet'!CN516</f>
        <v>45.991239805735063</v>
      </c>
      <c r="DZ9" s="107">
        <f>'Bal Sheet'!CO516</f>
        <v>50.403323737281561</v>
      </c>
      <c r="EA9" s="107">
        <f>'Bal Sheet'!CP516</f>
        <v>50.403323737281561</v>
      </c>
      <c r="EB9" s="107"/>
      <c r="EC9" s="1744">
        <f>'Bal Sheet'!CR516</f>
        <v>52.805793228244831</v>
      </c>
      <c r="ED9" s="107">
        <f>'Bal Sheet'!CS516</f>
        <v>61.110763468614827</v>
      </c>
      <c r="EE9" s="107">
        <f>'Bal Sheet'!CT516</f>
        <v>61.110763468614827</v>
      </c>
      <c r="EF9" s="107"/>
      <c r="EG9" s="1744">
        <f>'Bal Sheet'!CV516</f>
        <v>67.204559475264062</v>
      </c>
      <c r="EH9" s="107">
        <f>'Bal Sheet'!CW516</f>
        <v>71.742995440289789</v>
      </c>
      <c r="EI9" s="1922">
        <f>'Bal Sheet'!CX516</f>
        <v>71.742995440289789</v>
      </c>
      <c r="EJ9" s="107"/>
      <c r="EK9" s="1744">
        <f>'Bal Sheet'!CZ516</f>
        <v>70.009385351026822</v>
      </c>
      <c r="EL9" s="107">
        <f>'Bal Sheet'!DA516</f>
        <v>71.894761569273413</v>
      </c>
      <c r="EM9" s="2062">
        <f>'Bal Sheet'!DB516</f>
        <v>71.894761569273413</v>
      </c>
      <c r="EN9" s="107"/>
      <c r="EO9" s="107">
        <f>'Bal Sheet'!DD516</f>
        <v>71.837418959723593</v>
      </c>
      <c r="EP9" s="107">
        <f>'Bal Sheet'!DE516</f>
        <v>83.623163516592783</v>
      </c>
      <c r="EQ9" s="2062">
        <f>'Bal Sheet'!DF516</f>
        <v>83.623163516592783</v>
      </c>
      <c r="ER9" s="107"/>
      <c r="ES9" s="107">
        <f>'Bal Sheet'!DH516</f>
        <v>82.250958618275192</v>
      </c>
      <c r="ET9" s="107">
        <f ca="1">'Bal Sheet'!DI516</f>
        <v>85.773803947277017</v>
      </c>
      <c r="EU9" s="107">
        <f ca="1">'Bal Sheet'!DJ516</f>
        <v>85.773803947277017</v>
      </c>
      <c r="EV9" s="107"/>
      <c r="EW9" s="107">
        <f ca="1">'Bal Sheet'!DL516</f>
        <v>86.470340615652503</v>
      </c>
      <c r="EX9" s="107">
        <f ca="1">'Bal Sheet'!DM516</f>
        <v>93.389253979767048</v>
      </c>
      <c r="EY9" s="1744">
        <f ca="1">'Bal Sheet'!DN516</f>
        <v>93.389253979767048</v>
      </c>
      <c r="EZ9" s="107"/>
      <c r="FA9" s="107">
        <f ca="1">'Bal Sheet'!DP516</f>
        <v>94.31857579256139</v>
      </c>
      <c r="FB9" s="107">
        <f ca="1">'Bal Sheet'!DQ516</f>
        <v>101.69002260500207</v>
      </c>
      <c r="FC9" s="1744">
        <f ca="1">'Bal Sheet'!DR516</f>
        <v>101.69002260500207</v>
      </c>
      <c r="FD9" s="116"/>
      <c r="FE9" s="116"/>
      <c r="FF9" s="116"/>
      <c r="FI9" s="1350" t="s">
        <v>1176</v>
      </c>
      <c r="FO9" s="148"/>
      <c r="FR9" s="148"/>
      <c r="FS9" s="148"/>
      <c r="FU9" s="148"/>
      <c r="FV9" s="148"/>
      <c r="FW9" s="148"/>
    </row>
    <row r="10" spans="1:179" s="119" customFormat="1" ht="16.649999999999999" customHeight="1">
      <c r="A10" s="1907"/>
      <c r="B10" s="116"/>
      <c r="C10" s="120" t="s">
        <v>763</v>
      </c>
      <c r="D10" s="138"/>
      <c r="E10" s="138"/>
      <c r="F10" s="139">
        <f>'P&amp;L'!AZ18</f>
        <v>370</v>
      </c>
      <c r="G10" s="139">
        <f>'P&amp;L'!BA18</f>
        <v>561</v>
      </c>
      <c r="H10" s="139">
        <f>'P&amp;L'!BB18</f>
        <v>931</v>
      </c>
      <c r="I10" s="140"/>
      <c r="J10" s="139">
        <f>'P&amp;L'!BD18</f>
        <v>356</v>
      </c>
      <c r="K10" s="139">
        <f>'P&amp;L'!BE18</f>
        <v>767</v>
      </c>
      <c r="L10" s="139">
        <f>'P&amp;L'!BF18</f>
        <v>1123</v>
      </c>
      <c r="M10" s="138"/>
      <c r="N10" s="139">
        <f>'P&amp;L'!BH18</f>
        <v>144</v>
      </c>
      <c r="O10" s="139">
        <f>'P&amp;L'!BI18</f>
        <v>441</v>
      </c>
      <c r="P10" s="139">
        <f>'P&amp;L'!BJ18</f>
        <v>585</v>
      </c>
      <c r="Q10" s="140"/>
      <c r="R10" s="139">
        <f>'P&amp;L'!BL18</f>
        <v>320</v>
      </c>
      <c r="S10" s="139">
        <f>'P&amp;L'!BM18</f>
        <v>535</v>
      </c>
      <c r="T10" s="141">
        <f>'P&amp;L'!BN18</f>
        <v>855</v>
      </c>
      <c r="U10" s="140"/>
      <c r="V10" s="139">
        <f>'P&amp;L'!BP18</f>
        <v>455</v>
      </c>
      <c r="W10" s="139">
        <f>'P&amp;L'!BQ18</f>
        <v>244</v>
      </c>
      <c r="X10" s="141">
        <f>'P&amp;L'!BR18</f>
        <v>699</v>
      </c>
      <c r="Y10" s="140"/>
      <c r="Z10" s="139">
        <f>'P&amp;L'!BT18</f>
        <v>314</v>
      </c>
      <c r="AA10" s="139">
        <f>'P&amp;L'!BU18</f>
        <v>632</v>
      </c>
      <c r="AB10" s="141">
        <f>'P&amp;L'!BV18</f>
        <v>946</v>
      </c>
      <c r="AC10" s="139"/>
      <c r="AD10" s="139">
        <f>'P&amp;L'!BX18</f>
        <v>1149</v>
      </c>
      <c r="AE10" s="139">
        <f>'P&amp;L'!BY18</f>
        <v>890</v>
      </c>
      <c r="AF10" s="141">
        <f>'P&amp;L'!BZ18</f>
        <v>2039</v>
      </c>
      <c r="AG10" s="139"/>
      <c r="AH10" s="139">
        <f>'P&amp;L'!CB18</f>
        <v>834</v>
      </c>
      <c r="AI10" s="139">
        <f>'P&amp;L'!CC18</f>
        <v>1232</v>
      </c>
      <c r="AJ10" s="141">
        <f>'P&amp;L'!CD18</f>
        <v>2066</v>
      </c>
      <c r="AK10" s="139"/>
      <c r="AL10" s="139">
        <f>'P&amp;L'!CF18</f>
        <v>933</v>
      </c>
      <c r="AM10" s="139">
        <f>'P&amp;L'!CG18</f>
        <v>1800</v>
      </c>
      <c r="AN10" s="141">
        <f>'P&amp;L'!CH18</f>
        <v>2733</v>
      </c>
      <c r="AO10" s="139"/>
      <c r="AP10" s="139">
        <f>'P&amp;L'!CJ18</f>
        <v>1078</v>
      </c>
      <c r="AQ10" s="139">
        <f>'P&amp;L'!CK18</f>
        <v>595</v>
      </c>
      <c r="AR10" s="141">
        <f>'P&amp;L'!CL18</f>
        <v>1673</v>
      </c>
      <c r="AS10" s="139"/>
      <c r="AT10" s="139">
        <f>'P&amp;L'!CN18</f>
        <v>440</v>
      </c>
      <c r="AU10" s="139">
        <f>'P&amp;L'!CO18</f>
        <v>1484</v>
      </c>
      <c r="AV10" s="141">
        <f>'P&amp;L'!CP18</f>
        <v>1924</v>
      </c>
      <c r="AW10" s="139"/>
      <c r="AX10" s="139">
        <f>'P&amp;L'!CR18</f>
        <v>1078</v>
      </c>
      <c r="AY10" s="139">
        <f>'P&amp;L'!CS18</f>
        <v>2263</v>
      </c>
      <c r="AZ10" s="141">
        <f>'P&amp;L'!CT18</f>
        <v>3341</v>
      </c>
      <c r="BA10" s="139"/>
      <c r="BB10" s="139">
        <f>'P&amp;L'!CV18</f>
        <v>1460</v>
      </c>
      <c r="BC10" s="139">
        <f>'P&amp;L'!CW18</f>
        <v>774</v>
      </c>
      <c r="BD10" s="141">
        <f>'P&amp;L'!CX18</f>
        <v>2234</v>
      </c>
      <c r="BE10" s="139"/>
      <c r="BF10" s="139">
        <f>'P&amp;L'!CZ18</f>
        <v>647</v>
      </c>
      <c r="BG10" s="139">
        <f>'P&amp;L'!DA18</f>
        <v>1133</v>
      </c>
      <c r="BH10" s="141">
        <f>'P&amp;L'!DB18</f>
        <v>1780</v>
      </c>
      <c r="BI10" s="139"/>
      <c r="BJ10" s="139">
        <f>'P&amp;L'!DD18</f>
        <v>786</v>
      </c>
      <c r="BK10" s="139">
        <f>'P&amp;L'!DE18</f>
        <v>588</v>
      </c>
      <c r="BL10" s="141">
        <f>'P&amp;L'!DF18</f>
        <v>1374</v>
      </c>
      <c r="BM10" s="139"/>
      <c r="BN10" s="139">
        <f>'P&amp;L'!DH18</f>
        <v>329</v>
      </c>
      <c r="BO10" s="139">
        <f>'P&amp;L'!DI18</f>
        <v>1100.3424</v>
      </c>
      <c r="BP10" s="139">
        <f>'P&amp;L'!DJ18</f>
        <v>1429.3424</v>
      </c>
      <c r="BQ10" s="139"/>
      <c r="BR10" s="139">
        <f>'P&amp;L'!DL18</f>
        <v>694.38060000000007</v>
      </c>
      <c r="BS10" s="139">
        <f>'P&amp;L'!DM18</f>
        <v>935.69831799999997</v>
      </c>
      <c r="BT10" s="1464">
        <f>'P&amp;L'!DN18</f>
        <v>1630.0789180000002</v>
      </c>
      <c r="BU10" s="139"/>
      <c r="BV10" s="139">
        <f>'P&amp;L'!DP18</f>
        <v>804.34669154000005</v>
      </c>
      <c r="BW10" s="139">
        <f>'P&amp;L'!DQ18</f>
        <v>1059.7373032861999</v>
      </c>
      <c r="BX10" s="1464">
        <f>'P&amp;L'!DR18</f>
        <v>1864.0839948262001</v>
      </c>
      <c r="BY10" s="139"/>
      <c r="BZ10" s="139"/>
      <c r="CA10" s="146"/>
      <c r="CB10" s="149" t="s">
        <v>934</v>
      </c>
      <c r="CC10" s="106"/>
      <c r="CD10" s="106"/>
      <c r="CE10" s="106"/>
      <c r="CF10" s="106"/>
      <c r="CG10" s="106"/>
      <c r="CH10" s="106"/>
      <c r="CI10" s="107">
        <f>'Bal Sheet'!AX515</f>
        <v>32.627993974662253</v>
      </c>
      <c r="CJ10" s="106"/>
      <c r="CK10" s="106"/>
      <c r="CL10" s="106"/>
      <c r="CM10" s="107">
        <f>'Bal Sheet'!BB515</f>
        <v>32.882087805894855</v>
      </c>
      <c r="CN10" s="106"/>
      <c r="CO10" s="106"/>
      <c r="CP10" s="106"/>
      <c r="CQ10" s="107">
        <f>'Bal Sheet'!BF515</f>
        <v>32.138559689864245</v>
      </c>
      <c r="CR10" s="106"/>
      <c r="CS10" s="106"/>
      <c r="CT10" s="106"/>
      <c r="CU10" s="107">
        <f>'Bal Sheet'!BJ515</f>
        <v>33.763705161553602</v>
      </c>
      <c r="CV10" s="108"/>
      <c r="CW10" s="108"/>
      <c r="CX10" s="108"/>
      <c r="CY10" s="107">
        <f>'Bal Sheet'!BN515</f>
        <v>35.798517323458171</v>
      </c>
      <c r="CZ10" s="108"/>
      <c r="DA10" s="107">
        <f>'Bal Sheet'!BP515</f>
        <v>36.637267459592856</v>
      </c>
      <c r="DB10" s="107">
        <f>'Bal Sheet'!BQ515</f>
        <v>41.957336025784166</v>
      </c>
      <c r="DC10" s="107">
        <f>'Bal Sheet'!BR515</f>
        <v>41.957336025784159</v>
      </c>
      <c r="DD10" s="108"/>
      <c r="DE10" s="108"/>
      <c r="DF10" s="108"/>
      <c r="DG10" s="107">
        <f>'Bal Sheet'!BV515</f>
        <v>44.419317902584574</v>
      </c>
      <c r="DH10" s="108"/>
      <c r="DI10" s="108"/>
      <c r="DJ10" s="108"/>
      <c r="DK10" s="107">
        <f>'Bal Sheet'!BZ515</f>
        <v>45.726225496999163</v>
      </c>
      <c r="DL10" s="108"/>
      <c r="DM10" s="108"/>
      <c r="DN10" s="108"/>
      <c r="DO10" s="107">
        <f>'Bal Sheet'!CD515</f>
        <v>48.057258091479603</v>
      </c>
      <c r="DP10" s="107"/>
      <c r="DQ10" s="108"/>
      <c r="DR10" s="108"/>
      <c r="DS10" s="107">
        <f>'Bal Sheet'!CH515</f>
        <v>52.179496834531015</v>
      </c>
      <c r="DT10" s="107"/>
      <c r="DU10" s="107">
        <f>'Bal Sheet'!CJ515</f>
        <v>55.356384598754971</v>
      </c>
      <c r="DV10" s="107">
        <f>'Bal Sheet'!CK515</f>
        <v>59.435964296500487</v>
      </c>
      <c r="DW10" s="107">
        <f>'Bal Sheet'!CL515</f>
        <v>59.435964296500487</v>
      </c>
      <c r="DX10" s="107"/>
      <c r="DY10" s="107">
        <f>'Bal Sheet'!CN515</f>
        <v>56.7297212760745</v>
      </c>
      <c r="DZ10" s="107">
        <f>'Bal Sheet'!CO515</f>
        <v>60.936145295804344</v>
      </c>
      <c r="EA10" s="107">
        <f>'Bal Sheet'!CP515</f>
        <v>60.936145295804344</v>
      </c>
      <c r="EB10" s="107"/>
      <c r="EC10" s="1744">
        <f>'Bal Sheet'!CR515</f>
        <v>65.245358813128135</v>
      </c>
      <c r="ED10" s="107">
        <f>'Bal Sheet'!CS515</f>
        <v>74.44591663156784</v>
      </c>
      <c r="EE10" s="107">
        <f>'Bal Sheet'!CT515</f>
        <v>74.44591663156784</v>
      </c>
      <c r="EF10" s="107"/>
      <c r="EG10" s="1744">
        <f>'Bal Sheet'!CV515</f>
        <v>81.083790100348438</v>
      </c>
      <c r="EH10" s="107">
        <f>'Bal Sheet'!CW515</f>
        <v>85.787824641064958</v>
      </c>
      <c r="EI10" s="1922">
        <f>'Bal Sheet'!CX515</f>
        <v>85.787824641064958</v>
      </c>
      <c r="EJ10" s="107"/>
      <c r="EK10" s="1744">
        <f>'Bal Sheet'!CZ515</f>
        <v>84.48373585749998</v>
      </c>
      <c r="EL10" s="107">
        <f>'Bal Sheet'!DA515</f>
        <v>87.426307053384775</v>
      </c>
      <c r="EM10" s="2062">
        <f>'Bal Sheet'!DB515</f>
        <v>87.426307053384775</v>
      </c>
      <c r="EN10" s="107"/>
      <c r="EO10" s="107">
        <f>'Bal Sheet'!DD515</f>
        <v>84.74349141636641</v>
      </c>
      <c r="EP10" s="107">
        <f>'Bal Sheet'!DE515</f>
        <v>92.764199588750458</v>
      </c>
      <c r="EQ10" s="2062">
        <f>'Bal Sheet'!DF515</f>
        <v>92.764199588750458</v>
      </c>
      <c r="ER10" s="107"/>
      <c r="ES10" s="107">
        <f>'Bal Sheet'!DH515</f>
        <v>90.678343194558337</v>
      </c>
      <c r="ET10" s="107">
        <f ca="1">'Bal Sheet'!DI515</f>
        <v>94.292135382448365</v>
      </c>
      <c r="EU10" s="107">
        <f ca="1">'Bal Sheet'!DJ515</f>
        <v>94.292135382448365</v>
      </c>
      <c r="EV10" s="107"/>
      <c r="EW10" s="107">
        <f ca="1">'Bal Sheet'!DL515</f>
        <v>95.082463407784118</v>
      </c>
      <c r="EX10" s="107">
        <f ca="1">'Bal Sheet'!DM515</f>
        <v>102.09808978349537</v>
      </c>
      <c r="EY10" s="1744">
        <f ca="1">'Bal Sheet'!DN515</f>
        <v>102.09808978349537</v>
      </c>
      <c r="EZ10" s="107"/>
      <c r="FA10" s="107">
        <f ca="1">'Bal Sheet'!DP515</f>
        <v>103.12712553777628</v>
      </c>
      <c r="FB10" s="107">
        <f ca="1">'Bal Sheet'!DQ515</f>
        <v>110.60136867364891</v>
      </c>
      <c r="FC10" s="1744">
        <f ca="1">'Bal Sheet'!DR515</f>
        <v>110.60136867364891</v>
      </c>
      <c r="FD10" s="116"/>
      <c r="FE10" s="116"/>
      <c r="FF10" s="116"/>
      <c r="FI10" s="1350" t="s">
        <v>1177</v>
      </c>
      <c r="FO10" s="150"/>
      <c r="FR10" s="150"/>
      <c r="FS10" s="150"/>
      <c r="FU10" s="150"/>
      <c r="FV10" s="150"/>
      <c r="FW10" s="150"/>
    </row>
    <row r="11" spans="1:179" s="119" customFormat="1" ht="16.649999999999999" customHeight="1">
      <c r="A11" s="1907"/>
      <c r="B11" s="116"/>
      <c r="C11" s="159" t="s">
        <v>1062</v>
      </c>
      <c r="D11" s="161"/>
      <c r="E11" s="161"/>
      <c r="F11" s="163">
        <f>'P&amp;L'!AZ20</f>
        <v>3661</v>
      </c>
      <c r="G11" s="163">
        <f>'P&amp;L'!BA20</f>
        <v>3983</v>
      </c>
      <c r="H11" s="163">
        <f>'P&amp;L'!BB20</f>
        <v>7644</v>
      </c>
      <c r="I11" s="164"/>
      <c r="J11" s="163">
        <f>'P&amp;L'!BD20</f>
        <v>3242.663</v>
      </c>
      <c r="K11" s="163">
        <f>'P&amp;L'!BE20</f>
        <v>3720</v>
      </c>
      <c r="L11" s="163">
        <f>'P&amp;L'!BF20</f>
        <v>6962.6630000000005</v>
      </c>
      <c r="M11" s="161"/>
      <c r="N11" s="163">
        <f>'P&amp;L'!BH20</f>
        <v>3054</v>
      </c>
      <c r="O11" s="163">
        <f>'P&amp;L'!BI20</f>
        <v>3603</v>
      </c>
      <c r="P11" s="163">
        <f>'P&amp;L'!BJ20</f>
        <v>6657</v>
      </c>
      <c r="Q11" s="164"/>
      <c r="R11" s="163">
        <f>'P&amp;L'!BL20</f>
        <v>3679</v>
      </c>
      <c r="S11" s="163">
        <f>'P&amp;L'!BM20</f>
        <v>4455</v>
      </c>
      <c r="T11" s="165">
        <f>'P&amp;L'!BN20</f>
        <v>8134</v>
      </c>
      <c r="U11" s="164"/>
      <c r="V11" s="163">
        <f>'P&amp;L'!BP20</f>
        <v>4284</v>
      </c>
      <c r="W11" s="163">
        <f>'P&amp;L'!BQ20</f>
        <v>4978</v>
      </c>
      <c r="X11" s="165">
        <f>'P&amp;L'!BR20</f>
        <v>9262</v>
      </c>
      <c r="Y11" s="164"/>
      <c r="Z11" s="163">
        <f>'P&amp;L'!BT20</f>
        <v>5318</v>
      </c>
      <c r="AA11" s="163">
        <f>'P&amp;L'!BU20</f>
        <v>4840</v>
      </c>
      <c r="AB11" s="165">
        <f>'P&amp;L'!BV20</f>
        <v>10158</v>
      </c>
      <c r="AC11" s="163"/>
      <c r="AD11" s="163">
        <f>'P&amp;L'!BX20</f>
        <v>5218</v>
      </c>
      <c r="AE11" s="163">
        <f>'P&amp;L'!BY20</f>
        <v>5146</v>
      </c>
      <c r="AF11" s="165">
        <f>'P&amp;L'!BZ20</f>
        <v>10364</v>
      </c>
      <c r="AG11" s="163"/>
      <c r="AH11" s="163">
        <f>'P&amp;L'!CB20</f>
        <v>5397</v>
      </c>
      <c r="AI11" s="163">
        <f>'P&amp;L'!CC20</f>
        <v>5523</v>
      </c>
      <c r="AJ11" s="165">
        <f>'P&amp;L'!CD20</f>
        <v>10920</v>
      </c>
      <c r="AK11" s="163"/>
      <c r="AL11" s="163">
        <f>'P&amp;L'!CF20</f>
        <v>5830</v>
      </c>
      <c r="AM11" s="163">
        <f>'P&amp;L'!CG20</f>
        <v>6924</v>
      </c>
      <c r="AN11" s="165">
        <f>'P&amp;L'!CH20</f>
        <v>12754</v>
      </c>
      <c r="AO11" s="163"/>
      <c r="AP11" s="163">
        <f>'P&amp;L'!CJ20</f>
        <v>6320</v>
      </c>
      <c r="AQ11" s="163">
        <f>'P&amp;L'!CK20</f>
        <v>6005</v>
      </c>
      <c r="AR11" s="165">
        <f>'P&amp;L'!CL20</f>
        <v>12325</v>
      </c>
      <c r="AS11" s="163"/>
      <c r="AT11" s="163">
        <f>'P&amp;L'!CN20</f>
        <v>5519</v>
      </c>
      <c r="AU11" s="163">
        <f>'P&amp;L'!CO20</f>
        <v>7255</v>
      </c>
      <c r="AV11" s="165">
        <f>'P&amp;L'!CP20</f>
        <v>12774</v>
      </c>
      <c r="AW11" s="163"/>
      <c r="AX11" s="163">
        <f>'P&amp;L'!CR20</f>
        <v>7804</v>
      </c>
      <c r="AY11" s="163">
        <f>'P&amp;L'!CS20</f>
        <v>9520</v>
      </c>
      <c r="AZ11" s="165">
        <f>'P&amp;L'!CT20</f>
        <v>17324</v>
      </c>
      <c r="BA11" s="163"/>
      <c r="BB11" s="163">
        <f>'P&amp;L'!CV20</f>
        <v>8702</v>
      </c>
      <c r="BC11" s="163">
        <f>'P&amp;L'!CW20</f>
        <v>10420</v>
      </c>
      <c r="BD11" s="165">
        <f>'P&amp;L'!CX20</f>
        <v>19122</v>
      </c>
      <c r="BE11" s="163"/>
      <c r="BF11" s="163">
        <f>'P&amp;L'!CZ20</f>
        <v>7910</v>
      </c>
      <c r="BG11" s="163">
        <f>'P&amp;L'!DA20</f>
        <v>8977</v>
      </c>
      <c r="BH11" s="165">
        <f>'P&amp;L'!DB20</f>
        <v>16887</v>
      </c>
      <c r="BI11" s="163"/>
      <c r="BJ11" s="163">
        <f>'P&amp;L'!DD20</f>
        <v>8216</v>
      </c>
      <c r="BK11" s="163">
        <f ca="1">'P&amp;L'!DE20</f>
        <v>8992</v>
      </c>
      <c r="BL11" s="165">
        <f ca="1">'P&amp;L'!DF20</f>
        <v>17208</v>
      </c>
      <c r="BM11" s="163"/>
      <c r="BN11" s="163">
        <f>'P&amp;L'!DH20</f>
        <v>8691</v>
      </c>
      <c r="BO11" s="163">
        <f>'P&amp;L'!DI20</f>
        <v>9966.2236998674798</v>
      </c>
      <c r="BP11" s="163">
        <f>'P&amp;L'!DJ20</f>
        <v>18657.223699867478</v>
      </c>
      <c r="BQ11" s="163"/>
      <c r="BR11" s="163">
        <f>'P&amp;L'!DL20</f>
        <v>8910.2531271361349</v>
      </c>
      <c r="BS11" s="163">
        <f>'P&amp;L'!DM20</f>
        <v>10013.843070651159</v>
      </c>
      <c r="BT11" s="1465">
        <f>'P&amp;L'!DN20</f>
        <v>18924.096197787294</v>
      </c>
      <c r="BU11" s="163"/>
      <c r="BV11" s="163">
        <f>'P&amp;L'!DP20</f>
        <v>9412.3249414995025</v>
      </c>
      <c r="BW11" s="163">
        <f>'P&amp;L'!DQ20</f>
        <v>10551.243662518247</v>
      </c>
      <c r="BX11" s="1465">
        <f>'P&amp;L'!DR20</f>
        <v>19963.56860401775</v>
      </c>
      <c r="BY11" s="163"/>
      <c r="BZ11" s="163"/>
      <c r="CA11" s="151"/>
      <c r="CB11" s="159" t="s">
        <v>935</v>
      </c>
      <c r="CC11" s="547"/>
      <c r="CD11" s="547"/>
      <c r="CE11" s="547"/>
      <c r="CF11" s="547"/>
      <c r="CG11" s="547"/>
      <c r="CH11" s="547"/>
      <c r="CI11" s="167">
        <f>$FI$3/CI10</f>
        <v>6.5741093420138892</v>
      </c>
      <c r="CJ11" s="547"/>
      <c r="CK11" s="547"/>
      <c r="CL11" s="547"/>
      <c r="CM11" s="167">
        <f>$FI$3/CM10</f>
        <v>6.5233084123553144</v>
      </c>
      <c r="CN11" s="547"/>
      <c r="CO11" s="547"/>
      <c r="CP11" s="547"/>
      <c r="CQ11" s="167">
        <f>$FI$3/CQ10</f>
        <v>6.674225667544408</v>
      </c>
      <c r="CR11" s="547"/>
      <c r="CS11" s="547"/>
      <c r="CT11" s="547"/>
      <c r="CU11" s="167">
        <f>$FI$3/CU10</f>
        <v>6.3529757464014649</v>
      </c>
      <c r="CV11" s="548"/>
      <c r="CW11" s="548"/>
      <c r="CX11" s="548"/>
      <c r="CY11" s="167">
        <f>$FI$3/CY10</f>
        <v>5.9918682682269004</v>
      </c>
      <c r="CZ11" s="548"/>
      <c r="DA11" s="548"/>
      <c r="DB11" s="548"/>
      <c r="DC11" s="167">
        <f>$FI$3/DC10</f>
        <v>5.112336013615896</v>
      </c>
      <c r="DD11" s="548"/>
      <c r="DE11" s="548"/>
      <c r="DF11" s="548"/>
      <c r="DG11" s="167">
        <f>$FI$3/DG10</f>
        <v>4.8289800503109293</v>
      </c>
      <c r="DH11" s="548"/>
      <c r="DI11" s="548"/>
      <c r="DJ11" s="548"/>
      <c r="DK11" s="167">
        <f>$FI$3/DK10</f>
        <v>4.6909623015806723</v>
      </c>
      <c r="DL11" s="548"/>
      <c r="DM11" s="548"/>
      <c r="DN11" s="548"/>
      <c r="DO11" s="167">
        <f>$FI$3/DO10</f>
        <v>4.4634256825823808</v>
      </c>
      <c r="DP11" s="167"/>
      <c r="DQ11" s="548"/>
      <c r="DR11" s="548"/>
      <c r="DS11" s="167">
        <f>$FI$3/DS10</f>
        <v>4.1108100501660942</v>
      </c>
      <c r="DT11" s="167"/>
      <c r="DU11" s="167">
        <f>$FI$3/DU10</f>
        <v>3.8748917862823062</v>
      </c>
      <c r="DV11" s="167">
        <f>$FI$3/DV10</f>
        <v>3.6089260524141857</v>
      </c>
      <c r="DW11" s="167">
        <f>$FI$3/DW10</f>
        <v>3.6089260524141857</v>
      </c>
      <c r="DX11" s="167"/>
      <c r="DY11" s="167">
        <f>$FI$3/DY10</f>
        <v>3.7810867949824458</v>
      </c>
      <c r="DZ11" s="167">
        <f>$FI$3/DZ10</f>
        <v>3.5200782550117924</v>
      </c>
      <c r="EA11" s="167">
        <f>$FI$3/EA10</f>
        <v>3.5200782550117924</v>
      </c>
      <c r="EB11" s="167"/>
      <c r="EC11" s="1745">
        <f>$FI$3/EC10</f>
        <v>3.287590165828624</v>
      </c>
      <c r="ED11" s="167">
        <f>$FI$3/ED10</f>
        <v>2.8812863042785617</v>
      </c>
      <c r="EE11" s="167">
        <f>$FI$3/EE10</f>
        <v>2.8812863042785617</v>
      </c>
      <c r="EF11" s="167"/>
      <c r="EG11" s="1745">
        <f>$FI$3/EG10</f>
        <v>2.6454116135239496</v>
      </c>
      <c r="EH11" s="167">
        <f>$FI$3/EH10</f>
        <v>2.5003548102247022</v>
      </c>
      <c r="EI11" s="1923">
        <f>$FI$3/EI10</f>
        <v>2.5003548102247022</v>
      </c>
      <c r="EJ11" s="167"/>
      <c r="EK11" s="1745">
        <f>$FI$3/EK10</f>
        <v>2.5389502230559553</v>
      </c>
      <c r="EL11" s="167">
        <f>$FI$3/EL10</f>
        <v>2.4534949173710463</v>
      </c>
      <c r="EM11" s="2063">
        <f>$FI$3/EM10</f>
        <v>2.4534949173710463</v>
      </c>
      <c r="EN11" s="167"/>
      <c r="EO11" s="167">
        <f>$FI$3/EO10</f>
        <v>2.5311678385553735</v>
      </c>
      <c r="EP11" s="167">
        <f>$FI$3/EP10</f>
        <v>2.312314459144134</v>
      </c>
      <c r="EQ11" s="2063">
        <f>$FI$3/EQ10</f>
        <v>2.312314459144134</v>
      </c>
      <c r="ER11" s="167"/>
      <c r="ES11" s="167">
        <f>$FI$3/ES10</f>
        <v>2.3655041815196318</v>
      </c>
      <c r="ET11" s="167">
        <f ca="1">$FI$3/ET10</f>
        <v>2.2748450772695858</v>
      </c>
      <c r="EU11" s="167">
        <f ca="1">$FI$3/EU10</f>
        <v>2.2748450772695858</v>
      </c>
      <c r="EV11" s="167"/>
      <c r="EW11" s="167">
        <f ca="1">$FI$3/EW10</f>
        <v>2.2559365030338445</v>
      </c>
      <c r="EX11" s="167">
        <f ca="1">$FI$3/EX10</f>
        <v>2.1009207954317177</v>
      </c>
      <c r="EY11" s="1745">
        <f ca="1">$FI$3/EY10</f>
        <v>2.1009207954317177</v>
      </c>
      <c r="EZ11" s="167"/>
      <c r="FA11" s="167">
        <f ca="1">$FI$3/FA10</f>
        <v>2.0799571294307717</v>
      </c>
      <c r="FB11" s="167">
        <f ca="1">$FI$3/FB10</f>
        <v>1.9393973381371477</v>
      </c>
      <c r="FC11" s="1745">
        <f ca="1">$FI$3/FC10</f>
        <v>1.9393973381371477</v>
      </c>
      <c r="FD11" s="116"/>
      <c r="FE11" s="116"/>
      <c r="FF11" s="116"/>
      <c r="FI11" s="1350" t="s">
        <v>1178</v>
      </c>
      <c r="FO11" s="152"/>
      <c r="FR11" s="152"/>
      <c r="FS11" s="152"/>
      <c r="FU11" s="152"/>
      <c r="FV11" s="152"/>
      <c r="FW11" s="152"/>
    </row>
    <row r="12" spans="1:179" s="119" customFormat="1" ht="16.649999999999999" customHeight="1">
      <c r="A12" s="1907"/>
      <c r="B12" s="116"/>
      <c r="C12" s="120" t="s">
        <v>607</v>
      </c>
      <c r="D12" s="138"/>
      <c r="E12" s="138"/>
      <c r="F12" s="139">
        <f>'P&amp;L'!AZ21</f>
        <v>-1895.6662999999999</v>
      </c>
      <c r="G12" s="139">
        <f>'P&amp;L'!BA21</f>
        <v>-1993.6666300000002</v>
      </c>
      <c r="H12" s="139">
        <f>'P&amp;L'!BB21</f>
        <v>-3889.33293</v>
      </c>
      <c r="I12" s="140"/>
      <c r="J12" s="139">
        <f>'P&amp;L'!BD21</f>
        <v>-1652.3334399999999</v>
      </c>
      <c r="K12" s="139">
        <f>'P&amp;L'!BE21</f>
        <v>-1907.4994999999999</v>
      </c>
      <c r="L12" s="139">
        <f>'P&amp;L'!BF21</f>
        <v>-3559.8329399999998</v>
      </c>
      <c r="M12" s="138"/>
      <c r="N12" s="139">
        <f>'P&amp;L'!BH21</f>
        <v>-1538</v>
      </c>
      <c r="O12" s="139">
        <f>'P&amp;L'!BI21</f>
        <v>-1735</v>
      </c>
      <c r="P12" s="139">
        <f>'P&amp;L'!BJ21</f>
        <v>-3273</v>
      </c>
      <c r="Q12" s="140"/>
      <c r="R12" s="139">
        <f>'P&amp;L'!BL21</f>
        <v>-1730</v>
      </c>
      <c r="S12" s="139">
        <f>'P&amp;L'!BM21</f>
        <v>-2006</v>
      </c>
      <c r="T12" s="141">
        <f>'P&amp;L'!BN21</f>
        <v>-3736</v>
      </c>
      <c r="U12" s="140"/>
      <c r="V12" s="139">
        <f>'P&amp;L'!BP21</f>
        <v>-1944</v>
      </c>
      <c r="W12" s="139">
        <f>'P&amp;L'!BQ21</f>
        <v>-2199</v>
      </c>
      <c r="X12" s="141">
        <f>'P&amp;L'!BR21</f>
        <v>-4143</v>
      </c>
      <c r="Y12" s="140"/>
      <c r="Z12" s="139">
        <f>'P&amp;L'!BT21</f>
        <v>-2263</v>
      </c>
      <c r="AA12" s="139">
        <f>'P&amp;L'!BU21</f>
        <v>-1981</v>
      </c>
      <c r="AB12" s="141">
        <f>'P&amp;L'!BV21</f>
        <v>-4244</v>
      </c>
      <c r="AC12" s="139"/>
      <c r="AD12" s="139">
        <f>'P&amp;L'!BX21</f>
        <v>-2290</v>
      </c>
      <c r="AE12" s="139">
        <f>'P&amp;L'!BY21</f>
        <v>-2089</v>
      </c>
      <c r="AF12" s="141">
        <f>'P&amp;L'!BZ21</f>
        <v>-4379</v>
      </c>
      <c r="AG12" s="139"/>
      <c r="AH12" s="139">
        <f>'P&amp;L'!CB21</f>
        <v>-2261</v>
      </c>
      <c r="AI12" s="139">
        <f>'P&amp;L'!CC21</f>
        <v>-2232</v>
      </c>
      <c r="AJ12" s="141">
        <f>'P&amp;L'!CD21</f>
        <v>-4493</v>
      </c>
      <c r="AK12" s="139"/>
      <c r="AL12" s="139">
        <f>'P&amp;L'!CF21</f>
        <v>-2454</v>
      </c>
      <c r="AM12" s="139">
        <f>'P&amp;L'!CG21</f>
        <v>-2763</v>
      </c>
      <c r="AN12" s="141">
        <f>'P&amp;L'!CH21</f>
        <v>-5217</v>
      </c>
      <c r="AO12" s="139"/>
      <c r="AP12" s="139">
        <f>'P&amp;L'!CJ21</f>
        <v>-2776</v>
      </c>
      <c r="AQ12" s="139">
        <f>'P&amp;L'!CK21</f>
        <v>-2547</v>
      </c>
      <c r="AR12" s="141">
        <f>'P&amp;L'!CL21</f>
        <v>-5323</v>
      </c>
      <c r="AS12" s="139"/>
      <c r="AT12" s="139">
        <f>'P&amp;L'!CN21</f>
        <v>-2615</v>
      </c>
      <c r="AU12" s="139">
        <f>'P&amp;L'!CO21</f>
        <v>-2902</v>
      </c>
      <c r="AV12" s="141">
        <f>'P&amp;L'!CP21</f>
        <v>-5517</v>
      </c>
      <c r="AW12" s="139"/>
      <c r="AX12" s="139">
        <f>'P&amp;L'!CR21</f>
        <v>-3164</v>
      </c>
      <c r="AY12" s="139">
        <f>'P&amp;L'!CS21</f>
        <v>-3561</v>
      </c>
      <c r="AZ12" s="141">
        <f>'P&amp;L'!CT21</f>
        <v>-6725</v>
      </c>
      <c r="BA12" s="139"/>
      <c r="BB12" s="139">
        <f>'P&amp;L'!CV21</f>
        <v>-3613</v>
      </c>
      <c r="BC12" s="139">
        <f>'P&amp;L'!CW21</f>
        <v>-4090</v>
      </c>
      <c r="BD12" s="141">
        <f>'P&amp;L'!CX21</f>
        <v>-7703</v>
      </c>
      <c r="BE12" s="139"/>
      <c r="BF12" s="139">
        <f>'P&amp;L'!CZ21</f>
        <v>-3734</v>
      </c>
      <c r="BG12" s="139">
        <f>'P&amp;L'!DA21</f>
        <v>-3989</v>
      </c>
      <c r="BH12" s="141">
        <f>'P&amp;L'!DB21</f>
        <v>-7723</v>
      </c>
      <c r="BI12" s="139"/>
      <c r="BJ12" s="139">
        <f>'P&amp;L'!DD21</f>
        <v>-3756</v>
      </c>
      <c r="BK12" s="139">
        <f>'P&amp;L'!DE21</f>
        <v>-3904</v>
      </c>
      <c r="BL12" s="141">
        <f>'P&amp;L'!DF21</f>
        <v>-7660</v>
      </c>
      <c r="BM12" s="139"/>
      <c r="BN12" s="139">
        <f>'P&amp;L'!DH21</f>
        <v>-3956</v>
      </c>
      <c r="BO12" s="139">
        <f>'P&amp;L'!DI21</f>
        <v>-4113.2852697586586</v>
      </c>
      <c r="BP12" s="139">
        <f>'P&amp;L'!DJ21</f>
        <v>-8069.2852697586586</v>
      </c>
      <c r="BQ12" s="139"/>
      <c r="BR12" s="139">
        <f>'P&amp;L'!DL21</f>
        <v>-4067.0201175485381</v>
      </c>
      <c r="BS12" s="139">
        <f>'P&amp;L'!DM21</f>
        <v>-4196.8683706362663</v>
      </c>
      <c r="BT12" s="1464">
        <f>'P&amp;L'!DN21</f>
        <v>-8263.8884881848044</v>
      </c>
      <c r="BU12" s="139"/>
      <c r="BV12" s="139">
        <f>'P&amp;L'!DP21</f>
        <v>-4268.4366146201601</v>
      </c>
      <c r="BW12" s="139">
        <f>'P&amp;L'!DQ21</f>
        <v>-4424.6462020054969</v>
      </c>
      <c r="BX12" s="1464">
        <f>'P&amp;L'!DR21</f>
        <v>-8693.0828166256579</v>
      </c>
      <c r="BY12" s="139"/>
      <c r="BZ12" s="139"/>
      <c r="CA12" s="146"/>
      <c r="CB12" s="159" t="s">
        <v>936</v>
      </c>
      <c r="CC12" s="547"/>
      <c r="CD12" s="547"/>
      <c r="CE12" s="547"/>
      <c r="CF12" s="547"/>
      <c r="CG12" s="547"/>
      <c r="CH12" s="547"/>
      <c r="CI12" s="167">
        <f>$FI$3/CI9</f>
        <v>8.3088101867334316</v>
      </c>
      <c r="CJ12" s="547"/>
      <c r="CK12" s="547"/>
      <c r="CL12" s="547"/>
      <c r="CM12" s="167">
        <f>$FI$3/CM9</f>
        <v>8.1489548838317436</v>
      </c>
      <c r="CN12" s="547"/>
      <c r="CO12" s="547"/>
      <c r="CP12" s="547"/>
      <c r="CQ12" s="167">
        <f>$FI$3/CQ9</f>
        <v>8.2996281666666665</v>
      </c>
      <c r="CR12" s="547"/>
      <c r="CS12" s="547"/>
      <c r="CT12" s="547"/>
      <c r="CU12" s="167">
        <f>$FI$3/CU9</f>
        <v>7.6544209565902879</v>
      </c>
      <c r="CV12" s="548"/>
      <c r="CW12" s="548"/>
      <c r="CX12" s="548"/>
      <c r="CY12" s="167">
        <f>$FI$3/CY9</f>
        <v>6.8473388223304834</v>
      </c>
      <c r="CZ12" s="548"/>
      <c r="DA12" s="548"/>
      <c r="DB12" s="548"/>
      <c r="DC12" s="167">
        <f>$FI$3/DC9</f>
        <v>5.7603844057743423</v>
      </c>
      <c r="DD12" s="548"/>
      <c r="DE12" s="548"/>
      <c r="DF12" s="548"/>
      <c r="DG12" s="167">
        <f>$FI$3/DG9</f>
        <v>5.316063101048722</v>
      </c>
      <c r="DH12" s="548"/>
      <c r="DI12" s="548"/>
      <c r="DJ12" s="548"/>
      <c r="DK12" s="167">
        <f>$FI$3/DK9</f>
        <v>5.0220434958725999</v>
      </c>
      <c r="DL12" s="548"/>
      <c r="DM12" s="548"/>
      <c r="DN12" s="548"/>
      <c r="DO12" s="167">
        <f>$FI$3/DO9</f>
        <v>4.7214805593998586</v>
      </c>
      <c r="DP12" s="167"/>
      <c r="DQ12" s="548"/>
      <c r="DR12" s="548"/>
      <c r="DS12" s="167">
        <f>$FI$3/DS9</f>
        <v>4.8275652804152349</v>
      </c>
      <c r="DT12" s="167"/>
      <c r="DU12" s="167">
        <f>$FI$3/DU9</f>
        <v>4.7012030534665099</v>
      </c>
      <c r="DV12" s="167">
        <f>$FI$3/DV9</f>
        <v>4.5547851544130866</v>
      </c>
      <c r="DW12" s="167">
        <f>$FI$3/DW9</f>
        <v>4.5547851544130866</v>
      </c>
      <c r="DX12" s="167"/>
      <c r="DY12" s="167">
        <f>$FI$3/DY9</f>
        <v>4.6639316727715627</v>
      </c>
      <c r="DZ12" s="167">
        <f>$FI$3/DZ9</f>
        <v>4.2556717314525416</v>
      </c>
      <c r="EA12" s="167">
        <f>$FI$3/EA9</f>
        <v>4.2556717314525416</v>
      </c>
      <c r="EB12" s="167"/>
      <c r="EC12" s="1745">
        <f>$FI$3/EC9</f>
        <v>4.0620543104590263</v>
      </c>
      <c r="ED12" s="167">
        <f>$FI$3/ED9</f>
        <v>3.5100199674344208</v>
      </c>
      <c r="EE12" s="167">
        <f>$FI$3/EE9</f>
        <v>3.5100199674344208</v>
      </c>
      <c r="EF12" s="167"/>
      <c r="EG12" s="1745">
        <f>$FI$3/EG9</f>
        <v>3.1917477277557467</v>
      </c>
      <c r="EH12" s="167">
        <f>$FI$3/EH9</f>
        <v>2.9898389199336388</v>
      </c>
      <c r="EI12" s="1923">
        <f>$FI$3/EI9</f>
        <v>2.9898389199336388</v>
      </c>
      <c r="EJ12" s="167"/>
      <c r="EK12" s="1745">
        <f>$FI$3/EK9</f>
        <v>3.0638749208337956</v>
      </c>
      <c r="EL12" s="167">
        <f>$FI$3/EL9</f>
        <v>2.9835275243707549</v>
      </c>
      <c r="EM12" s="2063">
        <f>$FI$3/EM9</f>
        <v>2.9835275243707549</v>
      </c>
      <c r="EN12" s="167"/>
      <c r="EO12" s="167">
        <f>$FI$3/EO9</f>
        <v>2.9859090583455079</v>
      </c>
      <c r="EP12" s="167">
        <f>$FI$3/EP9</f>
        <v>2.5650787530591117</v>
      </c>
      <c r="EQ12" s="2063">
        <f>$FI$3/EQ9</f>
        <v>2.5650787530591117</v>
      </c>
      <c r="ER12" s="167"/>
      <c r="ES12" s="167">
        <f>$FI$3/ES9</f>
        <v>2.6078723409837639</v>
      </c>
      <c r="ET12" s="167">
        <f ca="1">$FI$3/ET9</f>
        <v>2.5007635213642585</v>
      </c>
      <c r="EU12" s="167">
        <f ca="1">$FI$3/EU9</f>
        <v>2.5007635213642585</v>
      </c>
      <c r="EV12" s="167"/>
      <c r="EW12" s="167">
        <f ca="1">$FI$3/EW9</f>
        <v>2.4806193484702441</v>
      </c>
      <c r="EX12" s="167">
        <f ca="1">$FI$3/EX9</f>
        <v>2.2968381356432275</v>
      </c>
      <c r="EY12" s="1745">
        <f ca="1">$FI$3/EY9</f>
        <v>2.2968381356432275</v>
      </c>
      <c r="EZ12" s="167"/>
      <c r="FA12" s="167">
        <f ca="1">$FI$3/FA9</f>
        <v>2.274207367928863</v>
      </c>
      <c r="FB12" s="167">
        <f ca="1">$FI$3/FB9</f>
        <v>2.1093514831163866</v>
      </c>
      <c r="FC12" s="1745">
        <f ca="1">$FI$3/FC9</f>
        <v>2.1093514831163866</v>
      </c>
      <c r="FD12" s="116"/>
      <c r="FE12" s="116"/>
      <c r="FF12" s="116"/>
      <c r="FI12" s="1350" t="s">
        <v>1179</v>
      </c>
      <c r="FO12" s="150"/>
      <c r="FR12" s="150"/>
      <c r="FS12" s="150"/>
      <c r="FU12" s="150"/>
      <c r="FV12" s="150"/>
      <c r="FW12" s="150"/>
    </row>
    <row r="13" spans="1:179" s="119" customFormat="1" ht="16.649999999999999" customHeight="1">
      <c r="A13" s="1907"/>
      <c r="B13" s="116"/>
      <c r="C13" s="120" t="s">
        <v>764</v>
      </c>
      <c r="D13" s="138"/>
      <c r="E13" s="138"/>
      <c r="F13" s="139">
        <f>'P&amp;L'!AZ22</f>
        <v>-441</v>
      </c>
      <c r="G13" s="139">
        <f>'P&amp;L'!BA22</f>
        <v>-344</v>
      </c>
      <c r="H13" s="139">
        <f>'P&amp;L'!BB22</f>
        <v>-785</v>
      </c>
      <c r="I13" s="140"/>
      <c r="J13" s="139">
        <f>'P&amp;L'!BD22</f>
        <v>-386</v>
      </c>
      <c r="K13" s="139">
        <f>'P&amp;L'!BE22</f>
        <v>-337.66629999999998</v>
      </c>
      <c r="L13" s="139">
        <f>'P&amp;L'!BF22</f>
        <v>-723.66629999999998</v>
      </c>
      <c r="M13" s="138"/>
      <c r="N13" s="139">
        <f>'P&amp;L'!BH22</f>
        <v>-320</v>
      </c>
      <c r="O13" s="139">
        <f>'P&amp;L'!BI22</f>
        <v>-284</v>
      </c>
      <c r="P13" s="139">
        <f>'P&amp;L'!BJ22</f>
        <v>-604</v>
      </c>
      <c r="Q13" s="140"/>
      <c r="R13" s="139">
        <f>'P&amp;L'!BL22</f>
        <v>-379</v>
      </c>
      <c r="S13" s="139">
        <f>'P&amp;L'!BM22</f>
        <v>-400</v>
      </c>
      <c r="T13" s="141">
        <f>'P&amp;L'!BN22</f>
        <v>-779</v>
      </c>
      <c r="U13" s="140"/>
      <c r="V13" s="139">
        <f>'P&amp;L'!BP22</f>
        <v>-387</v>
      </c>
      <c r="W13" s="139">
        <f>'P&amp;L'!BQ22</f>
        <v>-437</v>
      </c>
      <c r="X13" s="141">
        <f>'P&amp;L'!BR22</f>
        <v>-824</v>
      </c>
      <c r="Y13" s="140"/>
      <c r="Z13" s="139">
        <f>'P&amp;L'!BT22</f>
        <v>-444</v>
      </c>
      <c r="AA13" s="139">
        <f>'P&amp;L'!BU22</f>
        <v>-448</v>
      </c>
      <c r="AB13" s="141">
        <f>'P&amp;L'!BV22</f>
        <v>-892</v>
      </c>
      <c r="AC13" s="139"/>
      <c r="AD13" s="139">
        <f>'P&amp;L'!BX22</f>
        <v>-418</v>
      </c>
      <c r="AE13" s="139">
        <f>'P&amp;L'!BY22</f>
        <v>-434</v>
      </c>
      <c r="AF13" s="141">
        <f>'P&amp;L'!BZ22</f>
        <v>-852</v>
      </c>
      <c r="AG13" s="139"/>
      <c r="AH13" s="139">
        <f>'P&amp;L'!CB22</f>
        <v>-422</v>
      </c>
      <c r="AI13" s="139">
        <f>'P&amp;L'!CC22</f>
        <v>-408</v>
      </c>
      <c r="AJ13" s="141">
        <f>'P&amp;L'!CD22</f>
        <v>-830</v>
      </c>
      <c r="AK13" s="139"/>
      <c r="AL13" s="139">
        <f>'P&amp;L'!CF22</f>
        <v>-579</v>
      </c>
      <c r="AM13" s="139">
        <f>'P&amp;L'!CG22</f>
        <v>-561</v>
      </c>
      <c r="AN13" s="141">
        <f>'P&amp;L'!CH22</f>
        <v>-1140</v>
      </c>
      <c r="AO13" s="139"/>
      <c r="AP13" s="139">
        <f>'P&amp;L'!CJ22</f>
        <v>-482</v>
      </c>
      <c r="AQ13" s="139">
        <f>'P&amp;L'!CK22</f>
        <v>-482</v>
      </c>
      <c r="AR13" s="141">
        <f>'P&amp;L'!CL22</f>
        <v>-964</v>
      </c>
      <c r="AS13" s="139"/>
      <c r="AT13" s="139">
        <f>'P&amp;L'!CN22</f>
        <v>-471</v>
      </c>
      <c r="AU13" s="139">
        <f>'P&amp;L'!CO22</f>
        <v>-408</v>
      </c>
      <c r="AV13" s="141">
        <f>'P&amp;L'!CP22</f>
        <v>-879</v>
      </c>
      <c r="AW13" s="139"/>
      <c r="AX13" s="139">
        <f>'P&amp;L'!CR22</f>
        <v>-498</v>
      </c>
      <c r="AY13" s="139">
        <f>'P&amp;L'!CS22</f>
        <v>-531</v>
      </c>
      <c r="AZ13" s="141">
        <f>'P&amp;L'!CT22</f>
        <v>-1029</v>
      </c>
      <c r="BA13" s="139"/>
      <c r="BB13" s="139">
        <f>'P&amp;L'!CV22</f>
        <v>-500</v>
      </c>
      <c r="BC13" s="139">
        <f>'P&amp;L'!CW22</f>
        <v>-528</v>
      </c>
      <c r="BD13" s="141">
        <f>'P&amp;L'!CX22</f>
        <v>-1028</v>
      </c>
      <c r="BE13" s="139"/>
      <c r="BF13" s="139">
        <f>'P&amp;L'!CZ22</f>
        <v>-529</v>
      </c>
      <c r="BG13" s="139">
        <f>'P&amp;L'!DA22</f>
        <v>-542</v>
      </c>
      <c r="BH13" s="141">
        <f>'P&amp;L'!DB22</f>
        <v>-1071</v>
      </c>
      <c r="BI13" s="139"/>
      <c r="BJ13" s="139">
        <f>'P&amp;L'!DD22</f>
        <v>-580</v>
      </c>
      <c r="BK13" s="139">
        <f>'P&amp;L'!DE22</f>
        <v>-626</v>
      </c>
      <c r="BL13" s="141">
        <f>'P&amp;L'!DF22</f>
        <v>-1206</v>
      </c>
      <c r="BM13" s="139"/>
      <c r="BN13" s="139">
        <f>'P&amp;L'!DH22</f>
        <v>-628</v>
      </c>
      <c r="BO13" s="139">
        <f>'P&amp;L'!DI22</f>
        <v>-561.50916065666809</v>
      </c>
      <c r="BP13" s="139">
        <f>'P&amp;L'!DJ22</f>
        <v>-1189.509160656668</v>
      </c>
      <c r="BQ13" s="139"/>
      <c r="BR13" s="139">
        <f>'P&amp;L'!DL22</f>
        <v>-549.01522593116874</v>
      </c>
      <c r="BS13" s="139">
        <f>'P&amp;L'!DM22</f>
        <v>-571.74769568802799</v>
      </c>
      <c r="BT13" s="1464">
        <f>'P&amp;L'!DN22</f>
        <v>-1120.7629216191967</v>
      </c>
      <c r="BU13" s="139"/>
      <c r="BV13" s="139">
        <f>'P&amp;L'!DP22</f>
        <v>-571.69703948997517</v>
      </c>
      <c r="BW13" s="139">
        <f>'P&amp;L'!DQ22</f>
        <v>-595.42322325910618</v>
      </c>
      <c r="BX13" s="1464">
        <f>'P&amp;L'!DR22</f>
        <v>-1167.1202627490813</v>
      </c>
      <c r="BY13" s="139"/>
      <c r="BZ13" s="139"/>
      <c r="CA13" s="146"/>
      <c r="CB13" s="154" t="s">
        <v>779</v>
      </c>
      <c r="CC13" s="110"/>
      <c r="CD13" s="110"/>
      <c r="CE13" s="110"/>
      <c r="CF13" s="110"/>
      <c r="CG13" s="110"/>
      <c r="CH13" s="110"/>
      <c r="CI13" s="112">
        <f>'EPS and DPS'!AX40</f>
        <v>186</v>
      </c>
      <c r="CJ13" s="110"/>
      <c r="CK13" s="110"/>
      <c r="CL13" s="110"/>
      <c r="CM13" s="112">
        <f>'EPS and DPS'!BB40</f>
        <v>186</v>
      </c>
      <c r="CN13" s="110"/>
      <c r="CO13" s="110"/>
      <c r="CP13" s="110"/>
      <c r="CQ13" s="112">
        <f>'EPS and DPS'!BF40</f>
        <v>140</v>
      </c>
      <c r="CR13" s="110"/>
      <c r="CS13" s="110"/>
      <c r="CT13" s="110"/>
      <c r="CU13" s="112">
        <f>'EPS and DPS'!BJ40</f>
        <v>200</v>
      </c>
      <c r="CV13" s="155"/>
      <c r="CW13" s="155"/>
      <c r="CX13" s="155"/>
      <c r="CY13" s="112">
        <f>'EPS and DPS'!BN40</f>
        <v>260</v>
      </c>
      <c r="CZ13" s="155"/>
      <c r="DA13" s="155"/>
      <c r="DB13" s="155"/>
      <c r="DC13" s="112">
        <f>'EPS and DPS'!BR40</f>
        <v>330</v>
      </c>
      <c r="DD13" s="155"/>
      <c r="DE13" s="155"/>
      <c r="DF13" s="155"/>
      <c r="DG13" s="112">
        <f>'EPS and DPS'!BV40</f>
        <v>400</v>
      </c>
      <c r="DH13" s="155"/>
      <c r="DI13" s="155"/>
      <c r="DJ13" s="155"/>
      <c r="DK13" s="112">
        <f>'EPS and DPS'!BZ40</f>
        <v>470</v>
      </c>
      <c r="DL13" s="155"/>
      <c r="DM13" s="155"/>
      <c r="DN13" s="155"/>
      <c r="DO13" s="112">
        <f>'EPS and DPS'!CD40</f>
        <v>525</v>
      </c>
      <c r="DP13" s="112"/>
      <c r="DQ13" s="155"/>
      <c r="DR13" s="155"/>
      <c r="DS13" s="112">
        <f>'EPS and DPS'!CH40</f>
        <v>575</v>
      </c>
      <c r="DT13" s="112"/>
      <c r="DU13" s="112">
        <f>'EPS and DPS'!CJ40</f>
        <v>250</v>
      </c>
      <c r="DV13" s="112">
        <f>'EPS and DPS'!CK40</f>
        <v>180</v>
      </c>
      <c r="DW13" s="112">
        <f>'EPS and DPS'!CL40</f>
        <v>430</v>
      </c>
      <c r="DX13" s="112"/>
      <c r="DY13" s="112">
        <f>'EPS and DPS'!CN40</f>
        <v>135</v>
      </c>
      <c r="DZ13" s="112">
        <f>'EPS and DPS'!CO40</f>
        <v>335</v>
      </c>
      <c r="EA13" s="112">
        <f>'EPS and DPS'!CP40</f>
        <v>470</v>
      </c>
      <c r="EB13" s="112"/>
      <c r="EC13" s="1746">
        <f>'EPS and DPS'!CR40</f>
        <v>272</v>
      </c>
      <c r="ED13" s="112">
        <f>'EPS and DPS'!CS40</f>
        <v>350</v>
      </c>
      <c r="EE13" s="112">
        <f>'EPS and DPS'!CT40</f>
        <v>622</v>
      </c>
      <c r="EF13" s="112"/>
      <c r="EG13" s="1746">
        <f>'EPS and DPS'!CV40</f>
        <v>300</v>
      </c>
      <c r="EH13" s="112">
        <f>'EPS and DPS'!CW40</f>
        <v>450</v>
      </c>
      <c r="EI13" s="1924">
        <f>'EPS and DPS'!CX40</f>
        <v>750</v>
      </c>
      <c r="EJ13" s="112"/>
      <c r="EK13" s="1746">
        <f>'EPS and DPS'!CZ40</f>
        <v>255</v>
      </c>
      <c r="EL13" s="112">
        <f>'EPS and DPS'!DA40</f>
        <v>385</v>
      </c>
      <c r="EM13" s="199">
        <f>'EPS and DPS'!DB40</f>
        <v>640</v>
      </c>
      <c r="EN13" s="112"/>
      <c r="EO13" s="112">
        <f>'EPS and DPS'!DD40</f>
        <v>260</v>
      </c>
      <c r="EP13" s="112">
        <f>'EPS and DPS'!DE40</f>
        <v>390</v>
      </c>
      <c r="EQ13" s="199">
        <f>'EPS and DPS'!DF40</f>
        <v>650</v>
      </c>
      <c r="ER13" s="112"/>
      <c r="ES13" s="112">
        <f>'EPS and DPS'!DH40</f>
        <v>280</v>
      </c>
      <c r="ET13" s="112">
        <f>'EPS and DPS'!DI40</f>
        <v>430</v>
      </c>
      <c r="EU13" s="112">
        <f>'EPS and DPS'!DJ40</f>
        <v>710</v>
      </c>
      <c r="EV13" s="112"/>
      <c r="EW13" s="112">
        <f>'EPS and DPS'!DL40</f>
        <v>325</v>
      </c>
      <c r="EX13" s="112">
        <f>'EPS and DPS'!DM40</f>
        <v>450</v>
      </c>
      <c r="EY13" s="1746">
        <f>'EPS and DPS'!DN40</f>
        <v>775</v>
      </c>
      <c r="EZ13" s="112"/>
      <c r="FA13" s="112">
        <f>'EPS and DPS'!DP40</f>
        <v>350</v>
      </c>
      <c r="FB13" s="112">
        <f>'EPS and DPS'!DQ40</f>
        <v>480</v>
      </c>
      <c r="FC13" s="1746">
        <f>'EPS and DPS'!DR40</f>
        <v>830</v>
      </c>
      <c r="FD13" s="116"/>
      <c r="FE13" s="116"/>
      <c r="FF13" s="116"/>
      <c r="FI13" s="1350" t="s">
        <v>1180</v>
      </c>
      <c r="FK13" s="137"/>
      <c r="FO13" s="150"/>
      <c r="FR13" s="109"/>
      <c r="FS13" s="109"/>
      <c r="FU13" s="109"/>
      <c r="FV13" s="109"/>
      <c r="FW13" s="109"/>
    </row>
    <row r="14" spans="1:179" s="119" customFormat="1" ht="16.649999999999999" customHeight="1">
      <c r="A14" s="1907"/>
      <c r="B14" s="116"/>
      <c r="C14" s="120" t="s">
        <v>608</v>
      </c>
      <c r="D14" s="138"/>
      <c r="E14" s="138"/>
      <c r="F14" s="139">
        <f>'P&amp;L'!AZ23</f>
        <v>-828</v>
      </c>
      <c r="G14" s="139">
        <f>'P&amp;L'!BA23</f>
        <v>-870</v>
      </c>
      <c r="H14" s="139">
        <f>'P&amp;L'!BB23</f>
        <v>-1698</v>
      </c>
      <c r="I14" s="140"/>
      <c r="J14" s="139">
        <f>'P&amp;L'!BD23</f>
        <v>-790</v>
      </c>
      <c r="K14" s="139">
        <f>'P&amp;L'!BE23</f>
        <v>-840</v>
      </c>
      <c r="L14" s="139">
        <f>'P&amp;L'!BF23</f>
        <v>-1630</v>
      </c>
      <c r="M14" s="138"/>
      <c r="N14" s="139">
        <f>'P&amp;L'!BH23</f>
        <v>-679</v>
      </c>
      <c r="O14" s="139">
        <f>'P&amp;L'!BI23</f>
        <v>-696</v>
      </c>
      <c r="P14" s="139">
        <f>'P&amp;L'!BJ23</f>
        <v>-1375</v>
      </c>
      <c r="Q14" s="140"/>
      <c r="R14" s="139">
        <f>'P&amp;L'!BL23</f>
        <v>-760</v>
      </c>
      <c r="S14" s="139">
        <f>'P&amp;L'!BM23</f>
        <v>-751</v>
      </c>
      <c r="T14" s="141">
        <f>'P&amp;L'!BN23</f>
        <v>-1511</v>
      </c>
      <c r="U14" s="140"/>
      <c r="V14" s="139">
        <f>'P&amp;L'!BP23</f>
        <v>-832</v>
      </c>
      <c r="W14" s="139">
        <f>'P&amp;L'!BQ23</f>
        <v>-941</v>
      </c>
      <c r="X14" s="141">
        <f>'P&amp;L'!BR23</f>
        <v>-1773</v>
      </c>
      <c r="Y14" s="140"/>
      <c r="Z14" s="139">
        <f>'P&amp;L'!BT23</f>
        <v>-992</v>
      </c>
      <c r="AA14" s="139">
        <f>'P&amp;L'!BU23</f>
        <v>-1015</v>
      </c>
      <c r="AB14" s="141">
        <f>'P&amp;L'!BV23</f>
        <v>-2007</v>
      </c>
      <c r="AC14" s="139"/>
      <c r="AD14" s="139">
        <f>'P&amp;L'!BX23</f>
        <v>-1025</v>
      </c>
      <c r="AE14" s="139">
        <f>'P&amp;L'!BY23</f>
        <v>-1004</v>
      </c>
      <c r="AF14" s="141">
        <f>'P&amp;L'!BZ23</f>
        <v>-2029</v>
      </c>
      <c r="AG14" s="139"/>
      <c r="AH14" s="139">
        <f>'P&amp;L'!CB23</f>
        <v>-1010</v>
      </c>
      <c r="AI14" s="139">
        <f>'P&amp;L'!CC23</f>
        <v>-1123</v>
      </c>
      <c r="AJ14" s="141">
        <f>'P&amp;L'!CD23</f>
        <v>-2133</v>
      </c>
      <c r="AK14" s="139"/>
      <c r="AL14" s="139">
        <f>'P&amp;L'!CF23</f>
        <v>-1092</v>
      </c>
      <c r="AM14" s="139">
        <f>'P&amp;L'!CG23</f>
        <v>-1438</v>
      </c>
      <c r="AN14" s="141">
        <f>'P&amp;L'!CH23</f>
        <v>-2530</v>
      </c>
      <c r="AO14" s="139"/>
      <c r="AP14" s="139">
        <f>'P&amp;L'!CJ23</f>
        <v>-1222</v>
      </c>
      <c r="AQ14" s="139">
        <f>'P&amp;L'!CK23</f>
        <v>-1362</v>
      </c>
      <c r="AR14" s="141">
        <f>'P&amp;L'!CL23</f>
        <v>-2584</v>
      </c>
      <c r="AS14" s="139"/>
      <c r="AT14" s="139">
        <f>'P&amp;L'!CN23</f>
        <v>-1180</v>
      </c>
      <c r="AU14" s="139">
        <f>'P&amp;L'!CO23</f>
        <v>-1291</v>
      </c>
      <c r="AV14" s="141">
        <f>'P&amp;L'!CP23</f>
        <v>-2471</v>
      </c>
      <c r="AW14" s="139"/>
      <c r="AX14" s="139">
        <f>'P&amp;L'!CR23</f>
        <v>-1407</v>
      </c>
      <c r="AY14" s="139">
        <f>'P&amp;L'!CS23</f>
        <v>-1624</v>
      </c>
      <c r="AZ14" s="141">
        <f>'P&amp;L'!CT23</f>
        <v>-3031</v>
      </c>
      <c r="BA14" s="139"/>
      <c r="BB14" s="139">
        <f>'P&amp;L'!CV23</f>
        <v>-1483</v>
      </c>
      <c r="BC14" s="139">
        <f>'P&amp;L'!CW23</f>
        <v>-1916</v>
      </c>
      <c r="BD14" s="141">
        <f>'P&amp;L'!CX23</f>
        <v>-3399</v>
      </c>
      <c r="BE14" s="139"/>
      <c r="BF14" s="139">
        <f>'P&amp;L'!CZ23</f>
        <v>-1656</v>
      </c>
      <c r="BG14" s="139">
        <f>'P&amp;L'!DA23</f>
        <v>-1611</v>
      </c>
      <c r="BH14" s="141">
        <f>'P&amp;L'!DB23</f>
        <v>-3267</v>
      </c>
      <c r="BI14" s="139"/>
      <c r="BJ14" s="139">
        <f>'P&amp;L'!DD23</f>
        <v>-1583</v>
      </c>
      <c r="BK14" s="139">
        <f>'P&amp;L'!DE23</f>
        <v>-1691</v>
      </c>
      <c r="BL14" s="141">
        <f>'P&amp;L'!DF23</f>
        <v>-3274</v>
      </c>
      <c r="BM14" s="139"/>
      <c r="BN14" s="139">
        <f>'P&amp;L'!DH23</f>
        <v>-1655</v>
      </c>
      <c r="BO14" s="139">
        <f>'P&amp;L'!DI23</f>
        <v>-1718.4049999999997</v>
      </c>
      <c r="BP14" s="139">
        <f>'P&amp;L'!DJ23</f>
        <v>-3373.4049999999997</v>
      </c>
      <c r="BQ14" s="139"/>
      <c r="BR14" s="139">
        <f>'P&amp;L'!DL23</f>
        <v>-1616.1849999999997</v>
      </c>
      <c r="BS14" s="139">
        <f>'P&amp;L'!DM23</f>
        <v>-1663.9884</v>
      </c>
      <c r="BT14" s="1464">
        <f>'P&amp;L'!DN23</f>
        <v>-3280.1733999999997</v>
      </c>
      <c r="BU14" s="139"/>
      <c r="BV14" s="139">
        <f>'P&amp;L'!DP23</f>
        <v>-1657.4045499999997</v>
      </c>
      <c r="BW14" s="139">
        <f>'P&amp;L'!DQ23</f>
        <v>-1706.1287712000001</v>
      </c>
      <c r="BX14" s="1464">
        <f>'P&amp;L'!DR23</f>
        <v>-3363.5333211999996</v>
      </c>
      <c r="BY14" s="139"/>
      <c r="BZ14" s="139"/>
      <c r="CA14" s="146"/>
      <c r="CB14" s="195" t="s">
        <v>937</v>
      </c>
      <c r="CC14" s="113"/>
      <c r="CD14" s="113"/>
      <c r="CE14" s="113"/>
      <c r="CF14" s="113"/>
      <c r="CG14" s="113"/>
      <c r="CH14" s="113"/>
      <c r="CI14" s="105">
        <f>'EPS and DPS'!AX48*100</f>
        <v>60.811587775238095</v>
      </c>
      <c r="CJ14" s="113"/>
      <c r="CK14" s="113"/>
      <c r="CL14" s="113"/>
      <c r="CM14" s="105">
        <f>'EPS and DPS'!BB48*100</f>
        <v>67.320398083734602</v>
      </c>
      <c r="CN14" s="113"/>
      <c r="CO14" s="113"/>
      <c r="CP14" s="113"/>
      <c r="CQ14" s="105">
        <f>'EPS and DPS'!BF48*100</f>
        <v>66.765352449565128</v>
      </c>
      <c r="CR14" s="113"/>
      <c r="CS14" s="113"/>
      <c r="CT14" s="113"/>
      <c r="CU14" s="105">
        <f>'EPS and DPS'!BJ48*100</f>
        <v>79.700296627088989</v>
      </c>
      <c r="CV14" s="114"/>
      <c r="CW14" s="114"/>
      <c r="CX14" s="114"/>
      <c r="CY14" s="105">
        <f>'EPS and DPS'!BN48*100</f>
        <v>67.346301430386035</v>
      </c>
      <c r="CZ14" s="114"/>
      <c r="DA14" s="114"/>
      <c r="DB14" s="114"/>
      <c r="DC14" s="105">
        <f>'EPS and DPS'!BR48*100</f>
        <v>67.590290135806399</v>
      </c>
      <c r="DD14" s="114"/>
      <c r="DE14" s="114"/>
      <c r="DF14" s="114"/>
      <c r="DG14" s="105">
        <f>'EPS and DPS'!BV48*100</f>
        <v>65.441406045098375</v>
      </c>
      <c r="DH14" s="114"/>
      <c r="DI14" s="114"/>
      <c r="DJ14" s="114"/>
      <c r="DK14" s="105">
        <f>'EPS and DPS'!BZ48*100</f>
        <v>72.136873104275551</v>
      </c>
      <c r="DL14" s="114"/>
      <c r="DM14" s="114"/>
      <c r="DN14" s="114"/>
      <c r="DO14" s="105">
        <f>'EPS and DPS'!CD48*100</f>
        <v>69.869329895718082</v>
      </c>
      <c r="DP14" s="105"/>
      <c r="DQ14" s="114"/>
      <c r="DR14" s="114"/>
      <c r="DS14" s="105">
        <f>'EPS and DPS'!CH48*100</f>
        <v>65.623044620434612</v>
      </c>
      <c r="DT14" s="105"/>
      <c r="DU14" s="105">
        <f>'EPS and DPS'!CJ48*100</f>
        <v>60.805845401509949</v>
      </c>
      <c r="DV14" s="105">
        <f>'EPS and DPS'!CK48*100</f>
        <v>50.050334863357108</v>
      </c>
      <c r="DW14" s="105">
        <f>'EPS and DPS'!CL48*100</f>
        <v>55.787415670568073</v>
      </c>
      <c r="DX14" s="105"/>
      <c r="DY14" s="105">
        <f>'EPS and DPS'!CN48*100</f>
        <v>49.546182380710661</v>
      </c>
      <c r="DZ14" s="105">
        <f>'EPS and DPS'!CO48*100</f>
        <v>59.695029916424112</v>
      </c>
      <c r="EA14" s="105">
        <f>'EPS and DPS'!CP48*100</f>
        <v>56.379941880092453</v>
      </c>
      <c r="EB14" s="105"/>
      <c r="EC14" s="1468">
        <f>'EPS and DPS'!CR48*100</f>
        <v>49.104210459128737</v>
      </c>
      <c r="ED14" s="105">
        <f>'EPS and DPS'!CS48*100</f>
        <v>50.413807804797464</v>
      </c>
      <c r="EE14" s="105">
        <f>'EPS and DPS'!CT48*100</f>
        <v>49.845335891078065</v>
      </c>
      <c r="EF14" s="105"/>
      <c r="EG14" s="1468">
        <f>'EPS and DPS'!CV48*100</f>
        <v>48.654228367603864</v>
      </c>
      <c r="EH14" s="105">
        <f>'EPS and DPS'!CW48*100</f>
        <v>62.123650843546507</v>
      </c>
      <c r="EI14" s="1921">
        <f>'EPS and DPS'!CX48*100</f>
        <v>55.930173623103954</v>
      </c>
      <c r="EJ14" s="109"/>
      <c r="EK14" s="1468">
        <f>'EPS and DPS'!CZ48*100</f>
        <v>69.647754254416967</v>
      </c>
      <c r="EL14" s="105">
        <f>'EPS and DPS'!DA48*100</f>
        <v>69.960272743880168</v>
      </c>
      <c r="EM14" s="189">
        <f>'EPS and DPS'!DB48*100</f>
        <v>69.834732667800338</v>
      </c>
      <c r="EN14" s="109"/>
      <c r="EO14" s="105">
        <f>'EPS and DPS'!DD48*100</f>
        <v>61.473937903225817</v>
      </c>
      <c r="EP14" s="105">
        <f ca="1">'EPS and DPS'!DE48*100</f>
        <v>70.665409319749557</v>
      </c>
      <c r="EQ14" s="189">
        <f ca="1">'EPS and DPS'!DF48*100</f>
        <v>66.677603694263752</v>
      </c>
      <c r="ER14" s="105"/>
      <c r="ES14" s="105">
        <f>'EPS and DPS'!DH48*100</f>
        <v>64.482632145015103</v>
      </c>
      <c r="ET14" s="105">
        <f>'EPS and DPS'!DI48*100</f>
        <v>65</v>
      </c>
      <c r="EU14" s="105">
        <f>'EPS and DPS'!DJ48*100</f>
        <v>64.950424207955621</v>
      </c>
      <c r="EV14" s="105"/>
      <c r="EW14" s="105">
        <f>'EPS and DPS'!DL48*100</f>
        <v>65</v>
      </c>
      <c r="EX14" s="105">
        <f>'EPS and DPS'!DM48*100</f>
        <v>65</v>
      </c>
      <c r="EY14" s="1468">
        <f>'EPS and DPS'!DN48*100</f>
        <v>65.014387033065816</v>
      </c>
      <c r="EZ14" s="105"/>
      <c r="FA14" s="105">
        <f>'EPS and DPS'!DP48*100</f>
        <v>65</v>
      </c>
      <c r="FB14" s="105">
        <f>'EPS and DPS'!DQ48*100</f>
        <v>65</v>
      </c>
      <c r="FC14" s="1468">
        <f>'EPS and DPS'!DR48*100</f>
        <v>65.000456955317773</v>
      </c>
      <c r="FD14" s="2218"/>
      <c r="FE14" s="116"/>
      <c r="FF14" s="116"/>
      <c r="FI14" s="1350" t="s">
        <v>890</v>
      </c>
      <c r="FK14" s="156"/>
      <c r="FO14" s="150"/>
      <c r="FR14" s="105"/>
      <c r="FS14" s="105"/>
      <c r="FU14" s="105"/>
      <c r="FV14" s="105"/>
      <c r="FW14" s="105"/>
    </row>
    <row r="15" spans="1:179" s="119" customFormat="1" ht="16.649999999999999" customHeight="1">
      <c r="A15" s="1907"/>
      <c r="B15" s="116"/>
      <c r="C15" s="159" t="s">
        <v>765</v>
      </c>
      <c r="D15" s="161"/>
      <c r="E15" s="161"/>
      <c r="F15" s="163">
        <f>'P&amp;L'!AZ24</f>
        <v>-3164.6662999999999</v>
      </c>
      <c r="G15" s="163">
        <f>'P&amp;L'!BA24</f>
        <v>-3207.6666300000002</v>
      </c>
      <c r="H15" s="163">
        <f>'P&amp;L'!BB24</f>
        <v>-6372.3329300000005</v>
      </c>
      <c r="I15" s="164"/>
      <c r="J15" s="163">
        <f>'P&amp;L'!BD24</f>
        <v>-2828.3334399999999</v>
      </c>
      <c r="K15" s="163">
        <f>'P&amp;L'!BE24</f>
        <v>-3085.1657999999998</v>
      </c>
      <c r="L15" s="163">
        <f>'P&amp;L'!BF24</f>
        <v>-5913.4992399999992</v>
      </c>
      <c r="M15" s="161"/>
      <c r="N15" s="163">
        <f>'P&amp;L'!BH24</f>
        <v>-2537</v>
      </c>
      <c r="O15" s="163">
        <f>'P&amp;L'!BI24</f>
        <v>-2715</v>
      </c>
      <c r="P15" s="163">
        <f>'P&amp;L'!BJ24</f>
        <v>-5252</v>
      </c>
      <c r="Q15" s="164"/>
      <c r="R15" s="163">
        <f>'P&amp;L'!BL24</f>
        <v>-2869</v>
      </c>
      <c r="S15" s="163">
        <f>'P&amp;L'!BM24</f>
        <v>-3157</v>
      </c>
      <c r="T15" s="165">
        <f>'P&amp;L'!BN24</f>
        <v>-6026</v>
      </c>
      <c r="U15" s="164"/>
      <c r="V15" s="163">
        <f>'P&amp;L'!BP24</f>
        <v>-3163</v>
      </c>
      <c r="W15" s="163">
        <f>'P&amp;L'!BQ24</f>
        <v>-3577</v>
      </c>
      <c r="X15" s="165">
        <f>'P&amp;L'!BR24</f>
        <v>-6740</v>
      </c>
      <c r="Y15" s="164"/>
      <c r="Z15" s="163">
        <f>'P&amp;L'!BT24</f>
        <v>-3699</v>
      </c>
      <c r="AA15" s="163">
        <f>'P&amp;L'!BU24</f>
        <v>-3444</v>
      </c>
      <c r="AB15" s="165">
        <f>'P&amp;L'!BV24</f>
        <v>-7143</v>
      </c>
      <c r="AC15" s="163"/>
      <c r="AD15" s="163">
        <f>'P&amp;L'!BX24</f>
        <v>-3733</v>
      </c>
      <c r="AE15" s="163">
        <f>'P&amp;L'!BY24</f>
        <v>-3527</v>
      </c>
      <c r="AF15" s="165">
        <f>'P&amp;L'!BZ24</f>
        <v>-7260</v>
      </c>
      <c r="AG15" s="163"/>
      <c r="AH15" s="163">
        <f>'P&amp;L'!CB24</f>
        <v>-3693</v>
      </c>
      <c r="AI15" s="163">
        <f>'P&amp;L'!CC24</f>
        <v>-3763</v>
      </c>
      <c r="AJ15" s="165">
        <f>'P&amp;L'!CD24</f>
        <v>-7456</v>
      </c>
      <c r="AK15" s="163"/>
      <c r="AL15" s="163">
        <f>'P&amp;L'!CF24</f>
        <v>-4125</v>
      </c>
      <c r="AM15" s="163">
        <f>'P&amp;L'!CG24</f>
        <v>-4762</v>
      </c>
      <c r="AN15" s="165">
        <f>'P&amp;L'!CH24</f>
        <v>-8887</v>
      </c>
      <c r="AO15" s="163"/>
      <c r="AP15" s="163">
        <f>'P&amp;L'!CJ24</f>
        <v>-4480</v>
      </c>
      <c r="AQ15" s="163">
        <f>'P&amp;L'!CK24</f>
        <v>-4391</v>
      </c>
      <c r="AR15" s="165">
        <f>'P&amp;L'!CL24</f>
        <v>-8871</v>
      </c>
      <c r="AS15" s="163"/>
      <c r="AT15" s="163">
        <f>'P&amp;L'!CN24</f>
        <v>-4266</v>
      </c>
      <c r="AU15" s="163">
        <f>'P&amp;L'!CO24</f>
        <v>-4601</v>
      </c>
      <c r="AV15" s="165">
        <f>'P&amp;L'!CP24</f>
        <v>-8867</v>
      </c>
      <c r="AW15" s="163"/>
      <c r="AX15" s="163">
        <f>'P&amp;L'!CR24</f>
        <v>-5069</v>
      </c>
      <c r="AY15" s="163">
        <f>'P&amp;L'!CS24</f>
        <v>-5716</v>
      </c>
      <c r="AZ15" s="165">
        <f>'P&amp;L'!CT24</f>
        <v>-10785</v>
      </c>
      <c r="BA15" s="163"/>
      <c r="BB15" s="163">
        <f>'P&amp;L'!CV24</f>
        <v>-5596</v>
      </c>
      <c r="BC15" s="163">
        <f>'P&amp;L'!CW24</f>
        <v>-6534</v>
      </c>
      <c r="BD15" s="165">
        <f>'P&amp;L'!CX24</f>
        <v>-12130</v>
      </c>
      <c r="BE15" s="163"/>
      <c r="BF15" s="163">
        <f>'P&amp;L'!CZ24</f>
        <v>-5919</v>
      </c>
      <c r="BG15" s="163">
        <f>'P&amp;L'!DA24</f>
        <v>-6142</v>
      </c>
      <c r="BH15" s="165">
        <f>'P&amp;L'!DB24</f>
        <v>-12061</v>
      </c>
      <c r="BI15" s="163"/>
      <c r="BJ15" s="163">
        <f>'P&amp;L'!DD24</f>
        <v>-5919</v>
      </c>
      <c r="BK15" s="163">
        <f>'P&amp;L'!DE24</f>
        <v>-6221</v>
      </c>
      <c r="BL15" s="165">
        <f>'P&amp;L'!DF24</f>
        <v>-12140</v>
      </c>
      <c r="BM15" s="163"/>
      <c r="BN15" s="163">
        <f>'P&amp;L'!DH24</f>
        <v>-6239</v>
      </c>
      <c r="BO15" s="163">
        <f>'P&amp;L'!DI24</f>
        <v>-6393.1994304153268</v>
      </c>
      <c r="BP15" s="163">
        <f>'P&amp;L'!DJ24</f>
        <v>-12632.199430415327</v>
      </c>
      <c r="BQ15" s="163"/>
      <c r="BR15" s="163">
        <f>'P&amp;L'!DL24</f>
        <v>-6232.2203434797066</v>
      </c>
      <c r="BS15" s="163">
        <f>'P&amp;L'!DM24</f>
        <v>-6432.6044663242947</v>
      </c>
      <c r="BT15" s="1465">
        <f>'P&amp;L'!DN24</f>
        <v>-12664.824809804002</v>
      </c>
      <c r="BU15" s="163"/>
      <c r="BV15" s="163">
        <f>'P&amp;L'!DP24</f>
        <v>-6497.5382041101348</v>
      </c>
      <c r="BW15" s="163">
        <f>'P&amp;L'!DQ24</f>
        <v>-6726.1981964646029</v>
      </c>
      <c r="BX15" s="1465">
        <f>'P&amp;L'!DR24</f>
        <v>-13223.736400574737</v>
      </c>
      <c r="BY15" s="163"/>
      <c r="BZ15" s="163"/>
      <c r="CA15" s="146"/>
      <c r="CB15" s="546" t="s">
        <v>938</v>
      </c>
      <c r="CC15" s="539"/>
      <c r="CD15" s="539"/>
      <c r="CE15" s="539"/>
      <c r="CF15" s="539"/>
      <c r="CG15" s="539"/>
      <c r="CH15" s="539"/>
      <c r="CI15" s="536">
        <f>+CI13/$FI$3</f>
        <v>0.86713286713286708</v>
      </c>
      <c r="CJ15" s="535"/>
      <c r="CK15" s="535"/>
      <c r="CL15" s="535"/>
      <c r="CM15" s="536">
        <f>+CM13/$FI$3</f>
        <v>0.86713286713286708</v>
      </c>
      <c r="CN15" s="535"/>
      <c r="CO15" s="535"/>
      <c r="CP15" s="535"/>
      <c r="CQ15" s="536">
        <f>+CQ13/$FI$3</f>
        <v>0.65268065268065267</v>
      </c>
      <c r="CR15" s="535"/>
      <c r="CS15" s="535"/>
      <c r="CT15" s="535"/>
      <c r="CU15" s="536">
        <f>+CU13/$FI$3</f>
        <v>0.93240093240093236</v>
      </c>
      <c r="CV15" s="536"/>
      <c r="CW15" s="536"/>
      <c r="CX15" s="536"/>
      <c r="CY15" s="536">
        <f>+CY13/$FI$3</f>
        <v>1.2121212121212122</v>
      </c>
      <c r="CZ15" s="536"/>
      <c r="DA15" s="536"/>
      <c r="DB15" s="536"/>
      <c r="DC15" s="536">
        <f>+DC13/$FI$3</f>
        <v>1.5384615384615385</v>
      </c>
      <c r="DD15" s="536"/>
      <c r="DE15" s="536"/>
      <c r="DF15" s="536"/>
      <c r="DG15" s="536">
        <f>+DG13/$FI$3</f>
        <v>1.8648018648018647</v>
      </c>
      <c r="DH15" s="536"/>
      <c r="DI15" s="536"/>
      <c r="DJ15" s="536"/>
      <c r="DK15" s="536">
        <f>+DK13/$FI$3</f>
        <v>2.1911421911421911</v>
      </c>
      <c r="DL15" s="536"/>
      <c r="DM15" s="536"/>
      <c r="DN15" s="536"/>
      <c r="DO15" s="536">
        <f>+DO13/$FI$3</f>
        <v>2.4475524475524475</v>
      </c>
      <c r="DP15" s="536"/>
      <c r="DQ15" s="536"/>
      <c r="DR15" s="536"/>
      <c r="DS15" s="536">
        <f>+DS13/$FI$3</f>
        <v>2.6806526806526807</v>
      </c>
      <c r="DT15" s="536"/>
      <c r="DU15" s="536">
        <f>+DU13/$FI$3</f>
        <v>1.1655011655011656</v>
      </c>
      <c r="DV15" s="536">
        <f>+DV13/$FI$3</f>
        <v>0.83916083916083917</v>
      </c>
      <c r="DW15" s="536">
        <f>+DW13/$FI$3</f>
        <v>2.0046620046620047</v>
      </c>
      <c r="DX15" s="536"/>
      <c r="DY15" s="536">
        <f>+DY13/$FI$3</f>
        <v>0.62937062937062938</v>
      </c>
      <c r="DZ15" s="536">
        <f>+DZ13/$FI$3</f>
        <v>1.5617715617715617</v>
      </c>
      <c r="EA15" s="536">
        <f>+EA13/$FI$3</f>
        <v>2.1911421911421911</v>
      </c>
      <c r="EB15" s="536"/>
      <c r="EC15" s="1470"/>
      <c r="ED15" s="536">
        <f>+ED13/$FI$3</f>
        <v>1.6317016317016317</v>
      </c>
      <c r="EE15" s="536">
        <f>+EE13/$FI$3</f>
        <v>2.8997668997668997</v>
      </c>
      <c r="EF15" s="536"/>
      <c r="EG15" s="1470"/>
      <c r="EH15" s="536">
        <f>+EH13/$FI$3</f>
        <v>2.0979020979020979</v>
      </c>
      <c r="EI15" s="1920">
        <f>+EI13/$FI$3</f>
        <v>3.4965034965034967</v>
      </c>
      <c r="EJ15" s="536"/>
      <c r="EK15" s="1470"/>
      <c r="EL15" s="536"/>
      <c r="EM15" s="541">
        <f>+EM13/$FI$3</f>
        <v>2.9836829836829839</v>
      </c>
      <c r="EN15" s="536"/>
      <c r="EO15" s="536"/>
      <c r="EP15" s="536"/>
      <c r="EQ15" s="541">
        <f>+EQ13/$FI$3</f>
        <v>3.0303030303030303</v>
      </c>
      <c r="ER15" s="536"/>
      <c r="ES15" s="536"/>
      <c r="ET15" s="536"/>
      <c r="EU15" s="536">
        <f>+EU13/$FI$3</f>
        <v>3.3100233100233099</v>
      </c>
      <c r="EV15" s="536"/>
      <c r="EW15" s="536">
        <f>+EW13/$FI$3</f>
        <v>1.5151515151515151</v>
      </c>
      <c r="EX15" s="536">
        <f>+EX13/$FI$3</f>
        <v>2.0979020979020979</v>
      </c>
      <c r="EY15" s="1470">
        <f>+EY13/$FI$3</f>
        <v>3.6130536130536131</v>
      </c>
      <c r="EZ15" s="536"/>
      <c r="FA15" s="536">
        <f>+FA13/$FI$3</f>
        <v>1.6317016317016317</v>
      </c>
      <c r="FB15" s="536">
        <f>+FB13/$FI$3</f>
        <v>2.2377622377622379</v>
      </c>
      <c r="FC15" s="1470">
        <f>+FC13/$FI$3</f>
        <v>3.8694638694638694</v>
      </c>
      <c r="FD15" s="116"/>
      <c r="FE15" s="116"/>
      <c r="FF15" s="116"/>
      <c r="FI15" s="1350" t="s">
        <v>1181</v>
      </c>
      <c r="FO15" s="150"/>
      <c r="FR15" s="107"/>
      <c r="FS15" s="107"/>
      <c r="FU15" s="107"/>
      <c r="FV15" s="107"/>
      <c r="FW15" s="107"/>
    </row>
    <row r="16" spans="1:179" s="119" customFormat="1" ht="16.649999999999999" customHeight="1">
      <c r="A16" s="1907"/>
      <c r="B16" s="116"/>
      <c r="C16" s="159" t="s">
        <v>602</v>
      </c>
      <c r="D16" s="161"/>
      <c r="E16" s="161"/>
      <c r="F16" s="163">
        <f>'P&amp;L'!AZ25</f>
        <v>496.33370000000014</v>
      </c>
      <c r="G16" s="163">
        <f>'P&amp;L'!BA25</f>
        <v>775.33336999999983</v>
      </c>
      <c r="H16" s="163">
        <f>'P&amp;L'!BB25</f>
        <v>1271.66707</v>
      </c>
      <c r="I16" s="164"/>
      <c r="J16" s="163">
        <f>'P&amp;L'!BD25</f>
        <v>414.32956000000013</v>
      </c>
      <c r="K16" s="163">
        <f>'P&amp;L'!BE25</f>
        <v>634.83420000000024</v>
      </c>
      <c r="L16" s="163">
        <f>'P&amp;L'!BF25</f>
        <v>1049.1637600000004</v>
      </c>
      <c r="M16" s="161"/>
      <c r="N16" s="163">
        <f>'P&amp;L'!BH25</f>
        <v>517</v>
      </c>
      <c r="O16" s="163">
        <f>'P&amp;L'!BI25</f>
        <v>888</v>
      </c>
      <c r="P16" s="163">
        <f>'P&amp;L'!BJ25</f>
        <v>1405</v>
      </c>
      <c r="Q16" s="164"/>
      <c r="R16" s="163">
        <f>'P&amp;L'!BL25</f>
        <v>810</v>
      </c>
      <c r="S16" s="163">
        <f>'P&amp;L'!BM25</f>
        <v>1298</v>
      </c>
      <c r="T16" s="165">
        <f>'P&amp;L'!BN25</f>
        <v>2108</v>
      </c>
      <c r="U16" s="164"/>
      <c r="V16" s="163">
        <f>'P&amp;L'!BP25</f>
        <v>1121</v>
      </c>
      <c r="W16" s="163">
        <f>'P&amp;L'!BQ25</f>
        <v>1401</v>
      </c>
      <c r="X16" s="165">
        <f>'P&amp;L'!BR25</f>
        <v>2522</v>
      </c>
      <c r="Y16" s="164"/>
      <c r="Z16" s="163">
        <f>'P&amp;L'!BT25</f>
        <v>1619</v>
      </c>
      <c r="AA16" s="163">
        <f>'P&amp;L'!BU25</f>
        <v>1396</v>
      </c>
      <c r="AB16" s="165">
        <f>'P&amp;L'!BV25</f>
        <v>3015</v>
      </c>
      <c r="AC16" s="163"/>
      <c r="AD16" s="163">
        <f>'P&amp;L'!BX25</f>
        <v>1485</v>
      </c>
      <c r="AE16" s="163">
        <f>'P&amp;L'!BY25</f>
        <v>1619</v>
      </c>
      <c r="AF16" s="165">
        <f>'P&amp;L'!BZ25</f>
        <v>3104</v>
      </c>
      <c r="AG16" s="163"/>
      <c r="AH16" s="163">
        <f>'P&amp;L'!CB25</f>
        <v>1704</v>
      </c>
      <c r="AI16" s="163">
        <f>'P&amp;L'!CC25</f>
        <v>1760</v>
      </c>
      <c r="AJ16" s="165">
        <f>'P&amp;L'!CD25</f>
        <v>3464</v>
      </c>
      <c r="AK16" s="163"/>
      <c r="AL16" s="163">
        <f>'P&amp;L'!CF25</f>
        <v>1705</v>
      </c>
      <c r="AM16" s="163">
        <f>'P&amp;L'!CG25</f>
        <v>2162</v>
      </c>
      <c r="AN16" s="165">
        <f>'P&amp;L'!CH25</f>
        <v>3867</v>
      </c>
      <c r="AO16" s="163"/>
      <c r="AP16" s="163">
        <f>'P&amp;L'!CJ25</f>
        <v>1840</v>
      </c>
      <c r="AQ16" s="163">
        <f>'P&amp;L'!CK25</f>
        <v>1614</v>
      </c>
      <c r="AR16" s="165">
        <f>'P&amp;L'!CL25</f>
        <v>3454</v>
      </c>
      <c r="AS16" s="163"/>
      <c r="AT16" s="163">
        <f>'P&amp;L'!CN25</f>
        <v>1253</v>
      </c>
      <c r="AU16" s="163">
        <f>'P&amp;L'!CO25</f>
        <v>2654</v>
      </c>
      <c r="AV16" s="165">
        <f>'P&amp;L'!CP25</f>
        <v>3907</v>
      </c>
      <c r="AW16" s="163"/>
      <c r="AX16" s="163">
        <f>'P&amp;L'!CR25</f>
        <v>2735</v>
      </c>
      <c r="AY16" s="163">
        <f>'P&amp;L'!CS25</f>
        <v>3804</v>
      </c>
      <c r="AZ16" s="165">
        <f>'P&amp;L'!CT25</f>
        <v>6539</v>
      </c>
      <c r="BA16" s="163"/>
      <c r="BB16" s="163">
        <f>'P&amp;L'!CV25</f>
        <v>3106</v>
      </c>
      <c r="BC16" s="163">
        <f>'P&amp;L'!CW25</f>
        <v>3886</v>
      </c>
      <c r="BD16" s="165">
        <f>'P&amp;L'!CX25</f>
        <v>6992</v>
      </c>
      <c r="BE16" s="163"/>
      <c r="BF16" s="163">
        <f>'P&amp;L'!CZ25</f>
        <v>1991</v>
      </c>
      <c r="BG16" s="163">
        <f>'P&amp;L'!DA25</f>
        <v>2835</v>
      </c>
      <c r="BH16" s="165">
        <f>'P&amp;L'!DB25</f>
        <v>4826</v>
      </c>
      <c r="BI16" s="163"/>
      <c r="BJ16" s="163">
        <f>'P&amp;L'!DD25</f>
        <v>2297</v>
      </c>
      <c r="BK16" s="163">
        <f ca="1">'P&amp;L'!DE25</f>
        <v>2771</v>
      </c>
      <c r="BL16" s="165">
        <f ca="1">'P&amp;L'!DF25</f>
        <v>5068</v>
      </c>
      <c r="BM16" s="163"/>
      <c r="BN16" s="163">
        <f>'P&amp;L'!DH25</f>
        <v>2452</v>
      </c>
      <c r="BO16" s="163">
        <f>'P&amp;L'!DI25</f>
        <v>3573.024269452153</v>
      </c>
      <c r="BP16" s="163">
        <f>'P&amp;L'!DJ25</f>
        <v>6025.024269452153</v>
      </c>
      <c r="BQ16" s="163"/>
      <c r="BR16" s="163">
        <f>'P&amp;L'!DL25</f>
        <v>2678.0327836564284</v>
      </c>
      <c r="BS16" s="163">
        <f>'P&amp;L'!DM25</f>
        <v>3581.2386043268643</v>
      </c>
      <c r="BT16" s="1465">
        <f>'P&amp;L'!DN25</f>
        <v>6259.2713879832927</v>
      </c>
      <c r="BU16" s="163"/>
      <c r="BV16" s="163">
        <f>'P&amp;L'!DP25</f>
        <v>2914.7867373893678</v>
      </c>
      <c r="BW16" s="163">
        <f>'P&amp;L'!DQ25</f>
        <v>3825.0454660536443</v>
      </c>
      <c r="BX16" s="1465">
        <f>'P&amp;L'!DR25</f>
        <v>6739.8322034430121</v>
      </c>
      <c r="BY16" s="163"/>
      <c r="BZ16" s="163"/>
      <c r="CA16" s="146"/>
      <c r="CB16" s="170" t="s">
        <v>939</v>
      </c>
      <c r="CC16" s="110"/>
      <c r="CD16" s="110"/>
      <c r="CE16" s="110"/>
      <c r="CF16" s="110"/>
      <c r="CG16" s="110"/>
      <c r="CH16" s="110"/>
      <c r="CI16" s="109">
        <f>'EPS and DPS'!AX43</f>
        <v>344.24427100000003</v>
      </c>
      <c r="CJ16" s="110"/>
      <c r="CK16" s="110"/>
      <c r="CL16" s="110"/>
      <c r="CM16" s="109">
        <f>'EPS and DPS'!BB43</f>
        <v>346.81496099999998</v>
      </c>
      <c r="CN16" s="110"/>
      <c r="CO16" s="110"/>
      <c r="CP16" s="110"/>
      <c r="CQ16" s="109">
        <f>'EPS and DPS'!BF43</f>
        <v>348.584383</v>
      </c>
      <c r="CR16" s="110"/>
      <c r="CS16" s="110"/>
      <c r="CT16" s="110"/>
      <c r="CU16" s="109">
        <f>'EPS and DPS'!BJ43</f>
        <v>339.50657799999999</v>
      </c>
      <c r="CV16" s="111"/>
      <c r="CW16" s="111"/>
      <c r="CX16" s="111"/>
      <c r="CY16" s="109">
        <f>'EPS and DPS'!BN43</f>
        <v>321.07474999999999</v>
      </c>
      <c r="CZ16" s="111"/>
      <c r="DA16" s="111"/>
      <c r="DB16" s="111"/>
      <c r="DC16" s="109">
        <f>'EPS and DPS'!BR43</f>
        <v>333.45777700000002</v>
      </c>
      <c r="DD16" s="111"/>
      <c r="DE16" s="111"/>
      <c r="DF16" s="111"/>
      <c r="DG16" s="109">
        <f>'EPS and DPS'!BV43</f>
        <v>340.30238900000001</v>
      </c>
      <c r="DH16" s="111"/>
      <c r="DI16" s="111"/>
      <c r="DJ16" s="111"/>
      <c r="DK16" s="109">
        <f>'EPS and DPS'!BZ43</f>
        <v>340.35173099999997</v>
      </c>
      <c r="DL16" s="111"/>
      <c r="DM16" s="111"/>
      <c r="DN16" s="111"/>
      <c r="DO16" s="109">
        <f>'EPS and DPS'!CD43</f>
        <v>340.36482000000001</v>
      </c>
      <c r="DP16" s="109"/>
      <c r="DQ16" s="111"/>
      <c r="DR16" s="111"/>
      <c r="DS16" s="109">
        <f>'EPS and DPS'!CH43</f>
        <v>340.38273800000002</v>
      </c>
      <c r="DT16" s="109"/>
      <c r="DU16" s="109">
        <f>'EPS and DPS'!CJ43</f>
        <v>354.37646699999999</v>
      </c>
      <c r="DV16" s="109">
        <f>'EPS and DPS'!CK43</f>
        <v>354.381396</v>
      </c>
      <c r="DW16" s="109">
        <f>'EPS and DPS'!CL43</f>
        <v>354.381396</v>
      </c>
      <c r="DX16" s="109"/>
      <c r="DY16" s="109">
        <f>'EPS and DPS'!CN43</f>
        <v>361.50362699999999</v>
      </c>
      <c r="DZ16" s="109">
        <f>'EPS and DPS'!CO43</f>
        <v>361.82137699999998</v>
      </c>
      <c r="EA16" s="109">
        <f>'EPS and DPS'!CP43</f>
        <v>361.82137699999998</v>
      </c>
      <c r="EB16" s="109"/>
      <c r="EC16" s="1471">
        <f>'EPS and DPS'!CR43</f>
        <v>368.82316900000001</v>
      </c>
      <c r="ED16" s="109">
        <f>'EPS and DPS'!CS43</f>
        <v>383.64763699999997</v>
      </c>
      <c r="EE16" s="109">
        <f>'EPS and DPS'!CT43</f>
        <v>383.64763699999997</v>
      </c>
      <c r="EF16" s="109"/>
      <c r="EG16" s="1471">
        <f>'EPS and DPS'!CV43</f>
        <v>386.47675400000003</v>
      </c>
      <c r="EH16" s="109">
        <f>'EPS and DPS'!CW43</f>
        <v>386.47675400000003</v>
      </c>
      <c r="EI16" s="1925">
        <f>'EPS and DPS'!CX43</f>
        <v>386.47675400000003</v>
      </c>
      <c r="EJ16" s="109"/>
      <c r="EK16" s="1471">
        <f>'EPS and DPS'!CZ43</f>
        <v>386.47675400000003</v>
      </c>
      <c r="EL16" s="109">
        <f>'EPS and DPS'!DA43</f>
        <v>382.96253300000001</v>
      </c>
      <c r="EM16" s="192">
        <f>'EPS and DPS'!DB43</f>
        <v>382.96253300000001</v>
      </c>
      <c r="EN16" s="109"/>
      <c r="EO16" s="109">
        <f>'EPS and DPS'!DD43</f>
        <v>381.13841500000001</v>
      </c>
      <c r="EP16" s="109">
        <f>'EPS and DPS'!DE43</f>
        <v>381.13841500000001</v>
      </c>
      <c r="EQ16" s="192">
        <f>'EPS and DPS'!DF43</f>
        <v>381.13841500000001</v>
      </c>
      <c r="ER16" s="109"/>
      <c r="ES16" s="109">
        <f>'EPS and DPS'!DH43</f>
        <v>381.13841500000001</v>
      </c>
      <c r="ET16" s="109">
        <f>'EPS and DPS'!DI43</f>
        <v>382.09126103750003</v>
      </c>
      <c r="EU16" s="109">
        <f>'EPS and DPS'!DJ43</f>
        <v>382.09126103750003</v>
      </c>
      <c r="EV16" s="109"/>
      <c r="EW16" s="109">
        <f>'EPS and DPS'!DL43</f>
        <v>383.04648919009378</v>
      </c>
      <c r="EX16" s="109">
        <f>'EPS and DPS'!DM43</f>
        <v>384.004105413069</v>
      </c>
      <c r="EY16" s="1471">
        <f>'EPS and DPS'!DN43</f>
        <v>384.004105413069</v>
      </c>
      <c r="EZ16" s="109"/>
      <c r="FA16" s="109">
        <f>'EPS and DPS'!DP43</f>
        <v>384.96411567660169</v>
      </c>
      <c r="FB16" s="109">
        <f>'EPS and DPS'!DQ43</f>
        <v>385.92652596579319</v>
      </c>
      <c r="FC16" s="1471">
        <f>'EPS and DPS'!DR43</f>
        <v>385.92652596579319</v>
      </c>
      <c r="FD16" s="116"/>
      <c r="FE16" s="116"/>
      <c r="FF16" s="116"/>
      <c r="FI16" s="1350" t="s">
        <v>1337</v>
      </c>
      <c r="FO16" s="150"/>
      <c r="FR16" s="167"/>
      <c r="FS16" s="167"/>
      <c r="FU16" s="167"/>
      <c r="FV16" s="167"/>
      <c r="FW16" s="167"/>
    </row>
    <row r="17" spans="1:179" s="119" customFormat="1" ht="16.649999999999999" customHeight="1">
      <c r="A17" s="1907"/>
      <c r="B17" s="116"/>
      <c r="C17" s="120" t="s">
        <v>766</v>
      </c>
      <c r="D17" s="138"/>
      <c r="E17" s="138"/>
      <c r="F17" s="139">
        <f>'P&amp;L'!AZ27</f>
        <v>-85</v>
      </c>
      <c r="G17" s="139">
        <f>'P&amp;L'!BA27</f>
        <v>-197</v>
      </c>
      <c r="H17" s="139">
        <f>'P&amp;L'!BB27</f>
        <v>-282</v>
      </c>
      <c r="I17" s="140"/>
      <c r="J17" s="139">
        <f>'P&amp;L'!BD27</f>
        <v>-107</v>
      </c>
      <c r="K17" s="139">
        <f>'P&amp;L'!BE27</f>
        <v>-180</v>
      </c>
      <c r="L17" s="139">
        <f>'P&amp;L'!BF27</f>
        <v>-287</v>
      </c>
      <c r="M17" s="138"/>
      <c r="N17" s="139">
        <f>'P&amp;L'!BH27</f>
        <v>-156</v>
      </c>
      <c r="O17" s="139">
        <f>'P&amp;L'!BI27</f>
        <v>-377</v>
      </c>
      <c r="P17" s="139">
        <f>'P&amp;L'!BJ27</f>
        <v>-533</v>
      </c>
      <c r="Q17" s="140"/>
      <c r="R17" s="139">
        <f>'P&amp;L'!BL27</f>
        <v>-307</v>
      </c>
      <c r="S17" s="139">
        <f>'P&amp;L'!BM27</f>
        <v>-520</v>
      </c>
      <c r="T17" s="141">
        <f>'P&amp;L'!BN27</f>
        <v>-827</v>
      </c>
      <c r="U17" s="140"/>
      <c r="V17" s="139">
        <f>'P&amp;L'!BP27</f>
        <v>-432</v>
      </c>
      <c r="W17" s="139">
        <f>'P&amp;L'!BQ27</f>
        <v>-467</v>
      </c>
      <c r="X17" s="141">
        <f>'P&amp;L'!BR27</f>
        <v>-899</v>
      </c>
      <c r="Y17" s="140"/>
      <c r="Z17" s="139">
        <f>'P&amp;L'!BT27</f>
        <v>-530</v>
      </c>
      <c r="AA17" s="139">
        <f>'P&amp;L'!BU27</f>
        <v>-397</v>
      </c>
      <c r="AB17" s="141">
        <f>'P&amp;L'!BV27</f>
        <v>-927</v>
      </c>
      <c r="AC17" s="139"/>
      <c r="AD17" s="139">
        <f>'P&amp;L'!BX27</f>
        <v>-438</v>
      </c>
      <c r="AE17" s="139">
        <f>'P&amp;L'!BY27</f>
        <v>-430</v>
      </c>
      <c r="AF17" s="141">
        <f>'P&amp;L'!BZ27</f>
        <v>-868</v>
      </c>
      <c r="AG17" s="139"/>
      <c r="AH17" s="139">
        <f>'P&amp;L'!CB27</f>
        <v>-448</v>
      </c>
      <c r="AI17" s="139">
        <f>'P&amp;L'!CC27</f>
        <v>-435</v>
      </c>
      <c r="AJ17" s="141">
        <f>'P&amp;L'!CD27</f>
        <v>-883</v>
      </c>
      <c r="AK17" s="139"/>
      <c r="AL17" s="139">
        <f>'P&amp;L'!CF27</f>
        <v>-374</v>
      </c>
      <c r="AM17" s="139">
        <f>'P&amp;L'!CG27</f>
        <v>-505</v>
      </c>
      <c r="AN17" s="141">
        <f>'P&amp;L'!CH27</f>
        <v>-879</v>
      </c>
      <c r="AO17" s="139"/>
      <c r="AP17" s="139">
        <f>'P&amp;L'!CJ27</f>
        <v>-376</v>
      </c>
      <c r="AQ17" s="139">
        <f>'P&amp;L'!CK27</f>
        <v>-352</v>
      </c>
      <c r="AR17" s="141">
        <f>'P&amp;L'!CL27</f>
        <v>-728</v>
      </c>
      <c r="AS17" s="139"/>
      <c r="AT17" s="139">
        <f>'P&amp;L'!CN27</f>
        <v>-275</v>
      </c>
      <c r="AU17" s="139">
        <f>'P&amp;L'!CO27</f>
        <v>-624</v>
      </c>
      <c r="AV17" s="141">
        <f>'P&amp;L'!CP27</f>
        <v>-899</v>
      </c>
      <c r="AW17" s="139"/>
      <c r="AX17" s="139">
        <f>'P&amp;L'!CR27</f>
        <v>-603</v>
      </c>
      <c r="AY17" s="139">
        <f>'P&amp;L'!CS27</f>
        <v>-983</v>
      </c>
      <c r="AZ17" s="141">
        <f>'P&amp;L'!CT27</f>
        <v>-1586</v>
      </c>
      <c r="BA17" s="139"/>
      <c r="BB17" s="139">
        <f>'P&amp;L'!CV27</f>
        <v>-735</v>
      </c>
      <c r="BC17" s="139">
        <f>'P&amp;L'!CW27</f>
        <v>-1089</v>
      </c>
      <c r="BD17" s="141">
        <f>'P&amp;L'!CX27</f>
        <v>-1824</v>
      </c>
      <c r="BE17" s="139"/>
      <c r="BF17" s="139">
        <f>'P&amp;L'!CZ27</f>
        <v>-587</v>
      </c>
      <c r="BG17" s="139">
        <f>'P&amp;L'!DA27</f>
        <v>-704</v>
      </c>
      <c r="BH17" s="141">
        <f>'P&amp;L'!DB27</f>
        <v>-1291</v>
      </c>
      <c r="BI17" s="139"/>
      <c r="BJ17" s="139">
        <f>'P&amp;L'!DD27</f>
        <v>-686</v>
      </c>
      <c r="BK17" s="139">
        <f>'P&amp;L'!DE27</f>
        <v>-640</v>
      </c>
      <c r="BL17" s="141">
        <f>'P&amp;L'!DF27</f>
        <v>-1326</v>
      </c>
      <c r="BM17" s="139"/>
      <c r="BN17" s="139">
        <f>'P&amp;L'!DH27</f>
        <v>-771</v>
      </c>
      <c r="BO17" s="139">
        <f>'P&amp;L'!DI27</f>
        <v>-1053.334071488385</v>
      </c>
      <c r="BP17" s="139">
        <f>'P&amp;L'!DJ27</f>
        <v>-1824.334071488385</v>
      </c>
      <c r="BQ17" s="139"/>
      <c r="BR17" s="139">
        <f>'P&amp;L'!DL27</f>
        <v>-760.19554334208203</v>
      </c>
      <c r="BS17" s="139">
        <f>'P&amp;L'!DM27</f>
        <v>-922.36555712498478</v>
      </c>
      <c r="BT17" s="1464">
        <f>'P&amp;L'!DN27</f>
        <v>-1682.5611004670668</v>
      </c>
      <c r="BU17" s="139"/>
      <c r="BV17" s="139">
        <f>'P&amp;L'!DP27</f>
        <v>-827.56306815596963</v>
      </c>
      <c r="BW17" s="139">
        <f>'P&amp;L'!DQ27</f>
        <v>-985.50108197394763</v>
      </c>
      <c r="BX17" s="1464">
        <f>'P&amp;L'!DR27</f>
        <v>-1813.0641501299174</v>
      </c>
      <c r="BY17" s="139"/>
      <c r="BZ17" s="139"/>
      <c r="CA17" s="146"/>
      <c r="CB17" s="171" t="s">
        <v>940</v>
      </c>
      <c r="CC17" s="110"/>
      <c r="CD17" s="110"/>
      <c r="CE17" s="110"/>
      <c r="CF17" s="110"/>
      <c r="CG17" s="110"/>
      <c r="CH17" s="110"/>
      <c r="CI17" s="109">
        <f>'EPS and DPS'!AX21</f>
        <v>327.90810399999998</v>
      </c>
      <c r="CJ17" s="110"/>
      <c r="CK17" s="110"/>
      <c r="CL17" s="110"/>
      <c r="CM17" s="109">
        <f>'EPS and DPS'!BB21</f>
        <v>338.359374</v>
      </c>
      <c r="CN17" s="110"/>
      <c r="CO17" s="110"/>
      <c r="CP17" s="110"/>
      <c r="CQ17" s="109">
        <f>'EPS and DPS'!BF21</f>
        <v>327.01473700000003</v>
      </c>
      <c r="CR17" s="110"/>
      <c r="CS17" s="110"/>
      <c r="CT17" s="110"/>
      <c r="CU17" s="109">
        <f>'EPS and DPS'!BJ21</f>
        <v>314.71878900000002</v>
      </c>
      <c r="CV17" s="111"/>
      <c r="CW17" s="111"/>
      <c r="CX17" s="111"/>
      <c r="CY17" s="109">
        <f>'EPS and DPS'!BN21</f>
        <v>306.16665699999999</v>
      </c>
      <c r="CZ17" s="111"/>
      <c r="DA17" s="111"/>
      <c r="DB17" s="111"/>
      <c r="DC17" s="109">
        <f>'EPS and DPS'!BR21</f>
        <v>298.109554</v>
      </c>
      <c r="DD17" s="111"/>
      <c r="DE17" s="111"/>
      <c r="DF17" s="111"/>
      <c r="DG17" s="109">
        <f>'EPS and DPS'!BV21</f>
        <v>315.07742000000002</v>
      </c>
      <c r="DH17" s="111"/>
      <c r="DI17" s="111"/>
      <c r="DJ17" s="111"/>
      <c r="DK17" s="109">
        <f>'EPS and DPS'!BZ21</f>
        <v>321.14715999999999</v>
      </c>
      <c r="DL17" s="111"/>
      <c r="DM17" s="111"/>
      <c r="DN17" s="111"/>
      <c r="DO17" s="109">
        <f>'EPS and DPS'!CD21</f>
        <v>322.47566</v>
      </c>
      <c r="DP17" s="109"/>
      <c r="DQ17" s="111"/>
      <c r="DR17" s="111"/>
      <c r="DS17" s="109">
        <f>'EPS and DPS'!CH21</f>
        <v>324.00468599999999</v>
      </c>
      <c r="DT17" s="109"/>
      <c r="DU17" s="109">
        <f>'EPS and DPS'!CJ21</f>
        <v>326.43939499999999</v>
      </c>
      <c r="DV17" s="109">
        <f>'EPS and DPS'!CK21</f>
        <v>340.029359</v>
      </c>
      <c r="DW17" s="109">
        <f>'EPS and DPS'!CL21</f>
        <v>333.23437699999999</v>
      </c>
      <c r="DX17" s="109"/>
      <c r="DY17" s="109">
        <f>'EPS and DPS'!CN21</f>
        <v>344.42484999999999</v>
      </c>
      <c r="DZ17" s="109">
        <f>'EPS and DPS'!CO21</f>
        <v>347.45666800000004</v>
      </c>
      <c r="EA17" s="109">
        <f>'EPS and DPS'!CP21</f>
        <v>345.94075900000001</v>
      </c>
      <c r="EB17" s="109"/>
      <c r="EC17" s="1471">
        <f>'EPS and DPS'!CR21</f>
        <v>351.66793000000001</v>
      </c>
      <c r="ED17" s="109">
        <f>'EPS and DPS'!CS21</f>
        <v>365.32408200000003</v>
      </c>
      <c r="EE17" s="109">
        <f>'EPS and DPS'!CT21</f>
        <v>358.49600600000002</v>
      </c>
      <c r="EF17" s="109"/>
      <c r="EG17" s="1471">
        <f>'EPS and DPS'!CV21</f>
        <v>370.13653099999999</v>
      </c>
      <c r="EH17" s="109">
        <f>'EPS and DPS'!CW21</f>
        <v>370.81064300000003</v>
      </c>
      <c r="EI17" s="1925">
        <f>'EPS and DPS'!CX21</f>
        <v>370.47358700000001</v>
      </c>
      <c r="EJ17" s="109"/>
      <c r="EK17" s="1471">
        <f>'EPS and DPS'!CZ21</f>
        <v>370.28655600000002</v>
      </c>
      <c r="EL17" s="109">
        <f>'EPS and DPS'!DA21</f>
        <v>368.34367599999996</v>
      </c>
      <c r="EM17" s="192">
        <f>'EPS and DPS'!DB21</f>
        <v>369.31511599999999</v>
      </c>
      <c r="EN17" s="109"/>
      <c r="EO17" s="109">
        <f>'EPS and DPS'!DD21</f>
        <v>366.18581399999999</v>
      </c>
      <c r="EP17" s="109">
        <f>'EPS and DPS'!DE21</f>
        <v>365.51879600000001</v>
      </c>
      <c r="EQ17" s="192">
        <f>'EPS and DPS'!DF21</f>
        <v>365.852305</v>
      </c>
      <c r="ER17" s="109"/>
      <c r="ES17" s="109">
        <f>'EPS and DPS'!DH21</f>
        <v>366.62100099999998</v>
      </c>
      <c r="ET17" s="109">
        <f>'EPS and DPS'!DI21</f>
        <v>367.07927725124995</v>
      </c>
      <c r="EU17" s="109">
        <f>'EPS and DPS'!DJ21</f>
        <v>366.85013912562499</v>
      </c>
      <c r="EV17" s="109"/>
      <c r="EW17" s="109">
        <f>'EPS and DPS'!DL21</f>
        <v>367.99697544437811</v>
      </c>
      <c r="EX17" s="109">
        <f>'EPS and DPS'!DM21</f>
        <v>368.91696788298901</v>
      </c>
      <c r="EY17" s="1471">
        <f>'EPS and DPS'!DN21</f>
        <v>368.45697166368359</v>
      </c>
      <c r="EZ17" s="109"/>
      <c r="FA17" s="109">
        <f>'EPS and DPS'!DP21</f>
        <v>369.83926030269646</v>
      </c>
      <c r="FB17" s="109">
        <f>'EPS and DPS'!DQ21</f>
        <v>370.76385845345322</v>
      </c>
      <c r="FC17" s="1471">
        <f>'EPS and DPS'!DR21</f>
        <v>370.30155937807484</v>
      </c>
      <c r="FD17" s="116"/>
      <c r="FE17" s="116"/>
      <c r="FF17" s="116"/>
      <c r="FI17" s="1350" t="s">
        <v>1338</v>
      </c>
      <c r="FO17" s="150"/>
      <c r="FR17" s="112"/>
      <c r="FS17" s="112"/>
      <c r="FU17" s="112"/>
      <c r="FV17" s="112"/>
      <c r="FW17" s="112"/>
    </row>
    <row r="18" spans="1:179" s="119" customFormat="1" ht="16.649999999999999" customHeight="1">
      <c r="A18" s="1907"/>
      <c r="B18" s="116"/>
      <c r="C18" s="159" t="s">
        <v>767</v>
      </c>
      <c r="D18" s="161"/>
      <c r="E18" s="161"/>
      <c r="F18" s="163">
        <f>+F16+F17</f>
        <v>411.33370000000014</v>
      </c>
      <c r="G18" s="163">
        <f>+G16+G17</f>
        <v>578.33336999999983</v>
      </c>
      <c r="H18" s="163">
        <f>+H16+H17</f>
        <v>989.66706999999997</v>
      </c>
      <c r="I18" s="164"/>
      <c r="J18" s="163">
        <f>+J16+J17</f>
        <v>307.32956000000013</v>
      </c>
      <c r="K18" s="163">
        <f>+K16+K17</f>
        <v>454.83420000000024</v>
      </c>
      <c r="L18" s="163">
        <f>+L16+L17</f>
        <v>762.16376000000037</v>
      </c>
      <c r="M18" s="161"/>
      <c r="N18" s="163">
        <f>+N16+N17</f>
        <v>361</v>
      </c>
      <c r="O18" s="163">
        <f>+O16+O17</f>
        <v>511</v>
      </c>
      <c r="P18" s="163">
        <f>+P16+P17</f>
        <v>872</v>
      </c>
      <c r="Q18" s="164"/>
      <c r="R18" s="163">
        <f>+R16+R17</f>
        <v>503</v>
      </c>
      <c r="S18" s="163">
        <f>+S16+S17</f>
        <v>778</v>
      </c>
      <c r="T18" s="165">
        <f>+T16+T17</f>
        <v>1281</v>
      </c>
      <c r="U18" s="164"/>
      <c r="V18" s="163">
        <f>+V16+V17</f>
        <v>689</v>
      </c>
      <c r="W18" s="163">
        <f>+W16+W17</f>
        <v>934</v>
      </c>
      <c r="X18" s="165">
        <f>+X16+X17</f>
        <v>1623</v>
      </c>
      <c r="Y18" s="164"/>
      <c r="Z18" s="163">
        <f>+Z16+Z17</f>
        <v>1089</v>
      </c>
      <c r="AA18" s="163">
        <f>+AA16+AA17</f>
        <v>999</v>
      </c>
      <c r="AB18" s="165">
        <f>+AB16+AB17</f>
        <v>2088</v>
      </c>
      <c r="AC18" s="163"/>
      <c r="AD18" s="163">
        <f>+AD16+AD17</f>
        <v>1047</v>
      </c>
      <c r="AE18" s="163">
        <f>+AE16+AE17</f>
        <v>1189</v>
      </c>
      <c r="AF18" s="165">
        <f>+AF16+AF17</f>
        <v>2236</v>
      </c>
      <c r="AG18" s="163"/>
      <c r="AH18" s="163">
        <f>+AH16+AH17</f>
        <v>1256</v>
      </c>
      <c r="AI18" s="163">
        <f>+AI16+AI17</f>
        <v>1325</v>
      </c>
      <c r="AJ18" s="165">
        <f>+AJ16+AJ17</f>
        <v>2581</v>
      </c>
      <c r="AK18" s="163"/>
      <c r="AL18" s="163">
        <f>+AL16+AL17</f>
        <v>1331</v>
      </c>
      <c r="AM18" s="163">
        <f>+AM16+AM17</f>
        <v>1657</v>
      </c>
      <c r="AN18" s="165">
        <f>+AN16+AN17</f>
        <v>2988</v>
      </c>
      <c r="AO18" s="163"/>
      <c r="AP18" s="163">
        <f>+AP16+AP17</f>
        <v>1464</v>
      </c>
      <c r="AQ18" s="163">
        <f>+AQ16+AQ17</f>
        <v>1262</v>
      </c>
      <c r="AR18" s="165">
        <f>+AR16+AR17</f>
        <v>2726</v>
      </c>
      <c r="AS18" s="163"/>
      <c r="AT18" s="163">
        <f>+AT16+AT17</f>
        <v>978</v>
      </c>
      <c r="AU18" s="163">
        <f>+AU16+AU17</f>
        <v>2030</v>
      </c>
      <c r="AV18" s="165">
        <f>+AV16+AV17</f>
        <v>3008</v>
      </c>
      <c r="AW18" s="163"/>
      <c r="AX18" s="163">
        <f>+AX16+AX17</f>
        <v>2132</v>
      </c>
      <c r="AY18" s="163">
        <f>+AY16+AY17</f>
        <v>2821</v>
      </c>
      <c r="AZ18" s="165">
        <f>+AZ16+AZ17</f>
        <v>4953</v>
      </c>
      <c r="BA18" s="163"/>
      <c r="BB18" s="163">
        <f>+BB16+BB17</f>
        <v>2371</v>
      </c>
      <c r="BC18" s="163">
        <f>+BC16+BC17</f>
        <v>2797</v>
      </c>
      <c r="BD18" s="165">
        <f>+BD16+BD17</f>
        <v>5168</v>
      </c>
      <c r="BE18" s="163"/>
      <c r="BF18" s="163">
        <f>+BF16+BF17</f>
        <v>1404</v>
      </c>
      <c r="BG18" s="163">
        <f>+BG16+BG17</f>
        <v>2131</v>
      </c>
      <c r="BH18" s="165">
        <f>+BH16+BH17</f>
        <v>3535</v>
      </c>
      <c r="BI18" s="163"/>
      <c r="BJ18" s="163">
        <f>+BJ16+BJ17</f>
        <v>1611</v>
      </c>
      <c r="BK18" s="163">
        <f ca="1">+BK16+BK17</f>
        <v>2131</v>
      </c>
      <c r="BL18" s="165">
        <f ca="1">+BL16+BL17</f>
        <v>3742</v>
      </c>
      <c r="BM18" s="163"/>
      <c r="BN18" s="163">
        <f>+BN16+BN17</f>
        <v>1681</v>
      </c>
      <c r="BO18" s="163">
        <f>+BO16+BO17</f>
        <v>2519.6901979637678</v>
      </c>
      <c r="BP18" s="163">
        <f>+BP16+BP17</f>
        <v>4200.6901979637678</v>
      </c>
      <c r="BQ18" s="163"/>
      <c r="BR18" s="163">
        <f>+BR16+BR17</f>
        <v>1917.8372403143462</v>
      </c>
      <c r="BS18" s="163">
        <f>+BS16+BS17</f>
        <v>2658.8730472018797</v>
      </c>
      <c r="BT18" s="1465">
        <f>+BT16+BT17</f>
        <v>4576.7102875162254</v>
      </c>
      <c r="BU18" s="163"/>
      <c r="BV18" s="163">
        <f>+BV16+BV17</f>
        <v>2087.2236692333981</v>
      </c>
      <c r="BW18" s="163">
        <f>+BW16+BW17</f>
        <v>2839.5443840796966</v>
      </c>
      <c r="BX18" s="1465">
        <f>+BX16+BX17</f>
        <v>4926.7680533130952</v>
      </c>
      <c r="BY18" s="163"/>
      <c r="BZ18" s="163"/>
      <c r="CA18" s="146"/>
      <c r="CB18" s="171" t="s">
        <v>941</v>
      </c>
      <c r="CC18" s="110"/>
      <c r="CD18" s="110"/>
      <c r="CE18" s="110"/>
      <c r="CF18" s="110"/>
      <c r="CG18" s="110"/>
      <c r="CH18" s="110"/>
      <c r="CI18" s="109">
        <f>'EPS and DPS'!AX27</f>
        <v>340.84329199999996</v>
      </c>
      <c r="CJ18" s="110"/>
      <c r="CK18" s="110"/>
      <c r="CL18" s="110"/>
      <c r="CM18" s="109">
        <f>'EPS and DPS'!BB27</f>
        <v>359.24873199999996</v>
      </c>
      <c r="CN18" s="110"/>
      <c r="CO18" s="110"/>
      <c r="CP18" s="110"/>
      <c r="CQ18" s="109">
        <f>'EPS and DPS'!BF27</f>
        <v>339.53399899999999</v>
      </c>
      <c r="CR18" s="110"/>
      <c r="CS18" s="110"/>
      <c r="CT18" s="110"/>
      <c r="CU18" s="109">
        <f>'EPS and DPS'!BJ27</f>
        <v>356.55408900000003</v>
      </c>
      <c r="CV18" s="111"/>
      <c r="CW18" s="111"/>
      <c r="CX18" s="111"/>
      <c r="CY18" s="109">
        <f>'EPS and DPS'!BN27</f>
        <v>345.978703</v>
      </c>
      <c r="CZ18" s="111"/>
      <c r="DA18" s="111"/>
      <c r="DB18" s="111"/>
      <c r="DC18" s="109">
        <f>'EPS and DPS'!BR27</f>
        <v>332.34547900000001</v>
      </c>
      <c r="DD18" s="111"/>
      <c r="DE18" s="111"/>
      <c r="DF18" s="111"/>
      <c r="DG18" s="109">
        <f>'EPS and DPS'!BV27</f>
        <v>354.11880200000002</v>
      </c>
      <c r="DH18" s="111"/>
      <c r="DI18" s="111"/>
      <c r="DJ18" s="111"/>
      <c r="DK18" s="109">
        <f>'EPS and DPS'!BZ27</f>
        <v>355.60108700000001</v>
      </c>
      <c r="DL18" s="111"/>
      <c r="DM18" s="111"/>
      <c r="DN18" s="111"/>
      <c r="DO18" s="109">
        <f>'EPS and DPS'!CD27</f>
        <v>351.05674900000002</v>
      </c>
      <c r="DP18" s="109"/>
      <c r="DQ18" s="111"/>
      <c r="DR18" s="111"/>
      <c r="DS18" s="109">
        <f>'EPS and DPS'!CH27</f>
        <v>351.22592600000002</v>
      </c>
      <c r="DT18" s="109"/>
      <c r="DU18" s="109">
        <f>'EPS and DPS'!CJ27</f>
        <v>359.92869200000001</v>
      </c>
      <c r="DV18" s="109">
        <f>'EPS and DPS'!CK27</f>
        <v>381.19120199999998</v>
      </c>
      <c r="DW18" s="109">
        <f>'EPS and DPS'!CL27</f>
        <v>370.55994699999997</v>
      </c>
      <c r="DX18" s="109"/>
      <c r="DY18" s="109">
        <f>'EPS and DPS'!CN27</f>
        <v>372.29918800000002</v>
      </c>
      <c r="DZ18" s="109">
        <f>'EPS and DPS'!CO27</f>
        <v>378.59780200000006</v>
      </c>
      <c r="EA18" s="109">
        <f>'EPS and DPS'!CP27</f>
        <v>375.44849500000004</v>
      </c>
      <c r="EB18" s="109"/>
      <c r="EC18" s="1471">
        <f>'EPS and DPS'!CR27</f>
        <v>381.40612400000003</v>
      </c>
      <c r="ED18" s="109">
        <f>'EPS and DPS'!CS27</f>
        <v>396.24587000000002</v>
      </c>
      <c r="EE18" s="109">
        <f>'EPS and DPS'!CT27</f>
        <v>388.82599700000003</v>
      </c>
      <c r="EF18" s="109"/>
      <c r="EG18" s="1471">
        <f>'EPS and DPS'!CV27</f>
        <v>405.55321500000002</v>
      </c>
      <c r="EH18" s="109">
        <f>'EPS and DPS'!CW27</f>
        <v>407.63020500000005</v>
      </c>
      <c r="EI18" s="1925">
        <f>'EPS and DPS'!CX27</f>
        <v>406.59171000000003</v>
      </c>
      <c r="EJ18" s="109"/>
      <c r="EK18" s="1471">
        <f>'EPS and DPS'!CZ27</f>
        <v>380.99517400000002</v>
      </c>
      <c r="EL18" s="109">
        <f>'EPS and DPS'!DA27</f>
        <v>380.24681199999998</v>
      </c>
      <c r="EM18" s="192">
        <f>'EPS and DPS'!DB27</f>
        <v>380.620993</v>
      </c>
      <c r="EN18" s="109"/>
      <c r="EO18" s="109">
        <f>'EPS and DPS'!DD27</f>
        <v>376.37583599999999</v>
      </c>
      <c r="EP18" s="109">
        <f>'EPS and DPS'!DE27</f>
        <v>376.26784400000003</v>
      </c>
      <c r="EQ18" s="192">
        <f>'EPS and DPS'!DF27</f>
        <v>376.32184000000001</v>
      </c>
      <c r="ER18" s="109"/>
      <c r="ES18" s="109">
        <f>'EPS and DPS'!DH27</f>
        <v>376.13996299999997</v>
      </c>
      <c r="ET18" s="109">
        <f>'EPS and DPS'!DI27</f>
        <v>376.59823925124994</v>
      </c>
      <c r="EU18" s="109">
        <f>'EPS and DPS'!DJ27</f>
        <v>376.36910112562498</v>
      </c>
      <c r="EV18" s="109"/>
      <c r="EW18" s="109">
        <f>'EPS and DPS'!DL27</f>
        <v>377.5159374443781</v>
      </c>
      <c r="EX18" s="109">
        <f>'EPS and DPS'!DM27</f>
        <v>378.435929882989</v>
      </c>
      <c r="EY18" s="1471">
        <f>'EPS and DPS'!DN27</f>
        <v>377.97593366368358</v>
      </c>
      <c r="EZ18" s="109"/>
      <c r="FA18" s="109">
        <f>'EPS and DPS'!DP27</f>
        <v>379.35822230269645</v>
      </c>
      <c r="FB18" s="109">
        <f>'EPS and DPS'!DQ27</f>
        <v>380.28282045345321</v>
      </c>
      <c r="FC18" s="1471">
        <f>'EPS and DPS'!DR27</f>
        <v>379.82052137807483</v>
      </c>
      <c r="FD18" s="116"/>
      <c r="FE18" s="116"/>
      <c r="FF18" s="116"/>
      <c r="FI18" s="1350" t="s">
        <v>1182</v>
      </c>
      <c r="FL18" s="172"/>
      <c r="FO18" s="109"/>
      <c r="FR18" s="109"/>
      <c r="FS18" s="109"/>
      <c r="FU18" s="109"/>
      <c r="FV18" s="109"/>
      <c r="FW18" s="109"/>
    </row>
    <row r="19" spans="1:179" s="119" customFormat="1" ht="16.649999999999999" customHeight="1">
      <c r="A19" s="1907"/>
      <c r="B19" s="116"/>
      <c r="C19" s="120" t="s">
        <v>1135</v>
      </c>
      <c r="D19" s="138"/>
      <c r="E19" s="138"/>
      <c r="F19" s="139">
        <f>'P&amp;L'!AZ28+'P&amp;L'!AZ29+'P&amp;L'!AZ26</f>
        <v>-8</v>
      </c>
      <c r="G19" s="139">
        <f>'P&amp;L'!BA28+'P&amp;L'!BA29+'P&amp;L'!BA26</f>
        <v>-25</v>
      </c>
      <c r="H19" s="139">
        <f>'P&amp;L'!BB28+'P&amp;L'!BB29+'P&amp;L'!BB26</f>
        <v>-33</v>
      </c>
      <c r="I19" s="140"/>
      <c r="J19" s="139">
        <f>'P&amp;L'!BD28+'P&amp;L'!BD29+'P&amp;L'!BD26</f>
        <v>-3</v>
      </c>
      <c r="K19" s="139">
        <f>'P&amp;L'!BE28+'P&amp;L'!BE29+'P&amp;L'!BE26</f>
        <v>-29</v>
      </c>
      <c r="L19" s="139">
        <f>'P&amp;L'!BF28+'P&amp;L'!BF29+'P&amp;L'!BF26</f>
        <v>-32</v>
      </c>
      <c r="M19" s="138"/>
      <c r="N19" s="139">
        <f>'P&amp;L'!BH28+'P&amp;L'!BH29+'P&amp;L'!BH26</f>
        <v>0</v>
      </c>
      <c r="O19" s="139">
        <f>'P&amp;L'!BI28+'P&amp;L'!BI29+'P&amp;L'!BI26</f>
        <v>-21</v>
      </c>
      <c r="P19" s="139">
        <f>'P&amp;L'!BJ28+'P&amp;L'!BJ29+'P&amp;L'!BJ26</f>
        <v>-21</v>
      </c>
      <c r="Q19" s="140"/>
      <c r="R19" s="139">
        <f>'P&amp;L'!BL28+'P&amp;L'!BL29+'P&amp;L'!BL26</f>
        <v>-2</v>
      </c>
      <c r="S19" s="139">
        <f>'P&amp;L'!BM28+'P&amp;L'!BM29+'P&amp;L'!BM26</f>
        <v>-12</v>
      </c>
      <c r="T19" s="141">
        <f>'P&amp;L'!BN28+'P&amp;L'!BN29+'P&amp;L'!BN26</f>
        <v>-14</v>
      </c>
      <c r="U19" s="140"/>
      <c r="V19" s="139">
        <f>'P&amp;L'!BP28+'P&amp;L'!BP29+'P&amp;L'!BP26</f>
        <v>-11</v>
      </c>
      <c r="W19" s="139">
        <f>'P&amp;L'!BQ28+'P&amp;L'!BQ29+'P&amp;L'!BQ26</f>
        <v>-8</v>
      </c>
      <c r="X19" s="141">
        <f>'P&amp;L'!BR28+'P&amp;L'!BR29+'P&amp;L'!BR26</f>
        <v>-19</v>
      </c>
      <c r="Y19" s="140"/>
      <c r="Z19" s="139">
        <f>'P&amp;L'!BT28+'P&amp;L'!BT29+'P&amp;L'!BT26</f>
        <v>-19</v>
      </c>
      <c r="AA19" s="139">
        <f>'P&amp;L'!BU28+'P&amp;L'!BU29+'P&amp;L'!BU26</f>
        <v>-6</v>
      </c>
      <c r="AB19" s="141">
        <f>'P&amp;L'!BV28+'P&amp;L'!BV29+'P&amp;L'!BV26</f>
        <v>-25</v>
      </c>
      <c r="AC19" s="139"/>
      <c r="AD19" s="139">
        <f>'P&amp;L'!BX28+'P&amp;L'!BX29+'P&amp;L'!BX26</f>
        <v>3</v>
      </c>
      <c r="AE19" s="139">
        <f>'P&amp;L'!BY28+'P&amp;L'!BY29+'P&amp;L'!BY26</f>
        <v>-22</v>
      </c>
      <c r="AF19" s="141">
        <f>'P&amp;L'!BZ28+'P&amp;L'!BZ29+'P&amp;L'!BZ26</f>
        <v>-19</v>
      </c>
      <c r="AG19" s="139"/>
      <c r="AH19" s="139">
        <f>'P&amp;L'!CB28+'P&amp;L'!CB29+'P&amp;L'!CB26</f>
        <v>-8</v>
      </c>
      <c r="AI19" s="139">
        <f>'P&amp;L'!CC28+'P&amp;L'!CC29+'P&amp;L'!CC26</f>
        <v>-16</v>
      </c>
      <c r="AJ19" s="141">
        <f>'P&amp;L'!CD28+'P&amp;L'!CD29+'P&amp;L'!CD26</f>
        <v>-24</v>
      </c>
      <c r="AK19" s="139"/>
      <c r="AL19" s="139">
        <f>'P&amp;L'!CF28+'P&amp;L'!CF29+'P&amp;L'!CF26</f>
        <v>-21</v>
      </c>
      <c r="AM19" s="139">
        <f>'P&amp;L'!CG28+'P&amp;L'!CG29+'P&amp;L'!CG26</f>
        <v>15</v>
      </c>
      <c r="AN19" s="141">
        <f>'P&amp;L'!CH28+'P&amp;L'!CH29+'P&amp;L'!CH26</f>
        <v>-6</v>
      </c>
      <c r="AO19" s="139"/>
      <c r="AP19" s="139">
        <f>'P&amp;L'!CJ28+'P&amp;L'!CJ29+'P&amp;L'!CJ26</f>
        <v>-7</v>
      </c>
      <c r="AQ19" s="139">
        <f>'P&amp;L'!CK28+'P&amp;L'!CK29+'P&amp;L'!CK26</f>
        <v>12</v>
      </c>
      <c r="AR19" s="141">
        <f>'P&amp;L'!CL28+'P&amp;L'!CL29+'P&amp;L'!CL26</f>
        <v>5</v>
      </c>
      <c r="AS19" s="139"/>
      <c r="AT19" s="139">
        <f>'P&amp;L'!CN28+'P&amp;L'!CN29+'P&amp;L'!CN26</f>
        <v>7</v>
      </c>
      <c r="AU19" s="139">
        <f>'P&amp;L'!CO28+'P&amp;L'!CO29+'P&amp;L'!CO26</f>
        <v>0</v>
      </c>
      <c r="AV19" s="141">
        <f>'P&amp;L'!CP28+'P&amp;L'!CP29+'P&amp;L'!CP26</f>
        <v>7</v>
      </c>
      <c r="AW19" s="139"/>
      <c r="AX19" s="139">
        <f>'P&amp;L'!CR28+'P&amp;L'!CR29+'P&amp;L'!CR26</f>
        <v>-89</v>
      </c>
      <c r="AY19" s="139">
        <f>'P&amp;L'!CS28+'P&amp;L'!CS29+'P&amp;L'!CS26</f>
        <v>-158</v>
      </c>
      <c r="AZ19" s="141">
        <f>'P&amp;L'!CT28+'P&amp;L'!CT29+'P&amp;L'!CT26</f>
        <v>-247</v>
      </c>
      <c r="BA19" s="139"/>
      <c r="BB19" s="139">
        <f>'P&amp;L'!CV28+'P&amp;L'!CV29+'P&amp;L'!CV26</f>
        <v>12</v>
      </c>
      <c r="BC19" s="139">
        <f>'P&amp;L'!CW28+'P&amp;L'!CW29+'P&amp;L'!CW26</f>
        <v>2</v>
      </c>
      <c r="BD19" s="141">
        <f>'P&amp;L'!CX28+'P&amp;L'!CX29+'P&amp;L'!CX26</f>
        <v>14</v>
      </c>
      <c r="BE19" s="139"/>
      <c r="BF19" s="139">
        <f>'P&amp;L'!CZ28+'P&amp;L'!CZ29+'P&amp;L'!CZ26</f>
        <v>11</v>
      </c>
      <c r="BG19" s="139">
        <f>'P&amp;L'!DA28+'P&amp;L'!DA29+'P&amp;L'!DA26</f>
        <v>-24</v>
      </c>
      <c r="BH19" s="141">
        <f>'P&amp;L'!DB28+'P&amp;L'!DB29+'P&amp;L'!DB26</f>
        <v>-13</v>
      </c>
      <c r="BI19" s="139"/>
      <c r="BJ19" s="139">
        <f>'P&amp;L'!DD28+'P&amp;L'!DD29+'P&amp;L'!DD26</f>
        <v>1</v>
      </c>
      <c r="BK19" s="139">
        <f>'P&amp;L'!DE28+'P&amp;L'!DE29+'P&amp;L'!DE26</f>
        <v>-28</v>
      </c>
      <c r="BL19" s="141">
        <f>'P&amp;L'!DF28+'P&amp;L'!DF29+'P&amp;L'!DF26</f>
        <v>-27</v>
      </c>
      <c r="BM19" s="139"/>
      <c r="BN19" s="139">
        <f>'P&amp;L'!DH28+'P&amp;L'!DH29+'P&amp;L'!DH26</f>
        <v>-26</v>
      </c>
      <c r="BO19" s="139">
        <f>'P&amp;L'!DI28+'P&amp;L'!DI29+'P&amp;L'!DI26</f>
        <v>-2</v>
      </c>
      <c r="BP19" s="139">
        <f>'P&amp;L'!DJ28+'P&amp;L'!DJ29+'P&amp;L'!DJ26</f>
        <v>-28</v>
      </c>
      <c r="BQ19" s="139"/>
      <c r="BR19" s="139">
        <f>'P&amp;L'!DL28+'P&amp;L'!DL29+'P&amp;L'!DL26</f>
        <v>-2</v>
      </c>
      <c r="BS19" s="139">
        <f>'P&amp;L'!DM28+'P&amp;L'!DM29+'P&amp;L'!DM26</f>
        <v>-2</v>
      </c>
      <c r="BT19" s="1464">
        <f>'P&amp;L'!DN28+'P&amp;L'!DN29+'P&amp;L'!DN26</f>
        <v>-4</v>
      </c>
      <c r="BU19" s="139"/>
      <c r="BV19" s="139">
        <f>'P&amp;L'!DP28+'P&amp;L'!DP29+'P&amp;L'!DP26</f>
        <v>-2</v>
      </c>
      <c r="BW19" s="139">
        <f>'P&amp;L'!DQ28+'P&amp;L'!DQ29+'P&amp;L'!DQ26</f>
        <v>-2</v>
      </c>
      <c r="BX19" s="1464">
        <f>'P&amp;L'!DR28+'P&amp;L'!DR29+'P&amp;L'!DR26</f>
        <v>-4</v>
      </c>
      <c r="BY19" s="139"/>
      <c r="BZ19" s="139"/>
      <c r="CA19" s="146"/>
      <c r="EE19" s="176"/>
      <c r="EF19" s="176"/>
      <c r="EG19" s="1747"/>
      <c r="EH19" s="176"/>
      <c r="EI19" s="1926"/>
      <c r="EJ19" s="176"/>
      <c r="EK19" s="1747"/>
      <c r="EL19" s="176"/>
      <c r="EM19" s="2064"/>
      <c r="EN19" s="176"/>
      <c r="EO19" s="176"/>
      <c r="EP19" s="176"/>
      <c r="EQ19" s="2064"/>
      <c r="ER19" s="176"/>
      <c r="ES19" s="176"/>
      <c r="ET19" s="176"/>
      <c r="EU19" s="176"/>
      <c r="EV19" s="176"/>
      <c r="EW19" s="176"/>
      <c r="EX19" s="176"/>
      <c r="EY19" s="1747"/>
      <c r="EZ19" s="176"/>
      <c r="FA19" s="176"/>
      <c r="FB19" s="176"/>
      <c r="FC19" s="1747"/>
      <c r="FF19" s="116"/>
      <c r="FL19" s="172"/>
      <c r="FO19" s="109"/>
      <c r="FR19" s="166"/>
      <c r="FS19" s="166"/>
      <c r="FU19" s="166"/>
      <c r="FV19" s="166"/>
      <c r="FW19" s="166"/>
    </row>
    <row r="20" spans="1:179" s="119" customFormat="1" ht="16.649999999999999" customHeight="1">
      <c r="A20" s="1907"/>
      <c r="B20" s="116"/>
      <c r="C20" s="542" t="s">
        <v>769</v>
      </c>
      <c r="D20" s="530"/>
      <c r="E20" s="530"/>
      <c r="F20" s="543">
        <f>'P&amp;L'!AZ30</f>
        <v>403.33370000000014</v>
      </c>
      <c r="G20" s="543">
        <f>'P&amp;L'!BA30</f>
        <v>553.33336999999983</v>
      </c>
      <c r="H20" s="543">
        <f>'P&amp;L'!BB30</f>
        <v>956.66706999999997</v>
      </c>
      <c r="I20" s="532"/>
      <c r="J20" s="543">
        <f>'P&amp;L'!BD30</f>
        <v>304.32956000000013</v>
      </c>
      <c r="K20" s="543">
        <f>'P&amp;L'!BE30</f>
        <v>426.32420000000025</v>
      </c>
      <c r="L20" s="543">
        <f>'P&amp;L'!BF30</f>
        <v>730.65376000000037</v>
      </c>
      <c r="M20" s="530"/>
      <c r="N20" s="543">
        <f>'P&amp;L'!BH30</f>
        <v>361</v>
      </c>
      <c r="O20" s="543">
        <f>'P&amp;L'!BI30</f>
        <v>490.49</v>
      </c>
      <c r="P20" s="543">
        <f>'P&amp;L'!BJ30</f>
        <v>851.49</v>
      </c>
      <c r="Q20" s="532"/>
      <c r="R20" s="543">
        <f>'P&amp;L'!BL30</f>
        <v>501</v>
      </c>
      <c r="S20" s="543">
        <f>'P&amp;L'!BM30</f>
        <v>766.49</v>
      </c>
      <c r="T20" s="544">
        <f>'P&amp;L'!BN30</f>
        <v>1267.49</v>
      </c>
      <c r="U20" s="532"/>
      <c r="V20" s="543">
        <f>'P&amp;L'!BP30</f>
        <v>678</v>
      </c>
      <c r="W20" s="543">
        <f>'P&amp;L'!BQ30</f>
        <v>926.49</v>
      </c>
      <c r="X20" s="544">
        <f>'P&amp;L'!BR30</f>
        <v>1604.49</v>
      </c>
      <c r="Y20" s="532"/>
      <c r="Z20" s="543">
        <f>'P&amp;L'!BT30</f>
        <v>1070</v>
      </c>
      <c r="AA20" s="543">
        <f>'P&amp;L'!BU30</f>
        <v>993.49</v>
      </c>
      <c r="AB20" s="544">
        <f>'P&amp;L'!BV30</f>
        <v>2063.4899999999998</v>
      </c>
      <c r="AC20" s="543"/>
      <c r="AD20" s="543">
        <f>'P&amp;L'!BX30</f>
        <v>1050</v>
      </c>
      <c r="AE20" s="543">
        <f>'P&amp;L'!BY30</f>
        <v>1167.49</v>
      </c>
      <c r="AF20" s="544">
        <f>'P&amp;L'!BZ30</f>
        <v>2217.4899999999998</v>
      </c>
      <c r="AG20" s="543"/>
      <c r="AH20" s="543">
        <f>'P&amp;L'!CB30</f>
        <v>1248</v>
      </c>
      <c r="AI20" s="543">
        <f>'P&amp;L'!CC30</f>
        <v>1309.49</v>
      </c>
      <c r="AJ20" s="544">
        <f>'P&amp;L'!CD30</f>
        <v>2557.4899999999998</v>
      </c>
      <c r="AK20" s="543"/>
      <c r="AL20" s="543">
        <f>'P&amp;L'!CF30</f>
        <v>1310</v>
      </c>
      <c r="AM20" s="543">
        <f>'P&amp;L'!CG30</f>
        <v>1672.49</v>
      </c>
      <c r="AN20" s="544">
        <f>'P&amp;L'!CH30</f>
        <v>2982.49</v>
      </c>
      <c r="AO20" s="543"/>
      <c r="AP20" s="543">
        <f>'P&amp;L'!CJ30</f>
        <v>1457</v>
      </c>
      <c r="AQ20" s="543">
        <f>'P&amp;L'!CK30</f>
        <v>1274.49</v>
      </c>
      <c r="AR20" s="544">
        <f>'P&amp;L'!CL30</f>
        <v>2731.49</v>
      </c>
      <c r="AS20" s="543"/>
      <c r="AT20" s="543">
        <f>'P&amp;L'!CN30</f>
        <v>985</v>
      </c>
      <c r="AU20" s="543">
        <f>'P&amp;L'!CO30</f>
        <v>2030.49</v>
      </c>
      <c r="AV20" s="544">
        <f>'P&amp;L'!CP30</f>
        <v>3015.49</v>
      </c>
      <c r="AW20" s="543"/>
      <c r="AX20" s="543">
        <f>'P&amp;L'!CR30</f>
        <v>2043</v>
      </c>
      <c r="AY20" s="543">
        <f>'P&amp;L'!CS30</f>
        <v>2663.49</v>
      </c>
      <c r="AZ20" s="544">
        <f>'P&amp;L'!CT30</f>
        <v>4706.49</v>
      </c>
      <c r="BA20" s="543"/>
      <c r="BB20" s="543">
        <f>'P&amp;L'!CV30</f>
        <v>2383</v>
      </c>
      <c r="BC20" s="543">
        <f>'P&amp;L'!CW30</f>
        <v>2799.49</v>
      </c>
      <c r="BD20" s="544">
        <f>'P&amp;L'!CX30</f>
        <v>5182.49</v>
      </c>
      <c r="BE20" s="543"/>
      <c r="BF20" s="543">
        <f>'P&amp;L'!CZ30</f>
        <v>1415</v>
      </c>
      <c r="BG20" s="543">
        <f>'P&amp;L'!DA30</f>
        <v>2107.4899999999998</v>
      </c>
      <c r="BH20" s="544">
        <f>'P&amp;L'!DB30</f>
        <v>3522.49</v>
      </c>
      <c r="BI20" s="543"/>
      <c r="BJ20" s="543">
        <f>'P&amp;L'!DD30</f>
        <v>1612</v>
      </c>
      <c r="BK20" s="543">
        <f ca="1">'P&amp;L'!DE30</f>
        <v>2103.4899999999998</v>
      </c>
      <c r="BL20" s="544">
        <f ca="1">'P&amp;L'!DF30</f>
        <v>3715.49</v>
      </c>
      <c r="BM20" s="543"/>
      <c r="BN20" s="543">
        <f>'P&amp;L'!DH30</f>
        <v>1655</v>
      </c>
      <c r="BO20" s="543">
        <f>'P&amp;L'!DI30</f>
        <v>2517.6901979637678</v>
      </c>
      <c r="BP20" s="543">
        <f>'P&amp;L'!DJ30</f>
        <v>4172.6901979637678</v>
      </c>
      <c r="BQ20" s="543"/>
      <c r="BR20" s="543">
        <f>'P&amp;L'!DL30</f>
        <v>1915.8372403143462</v>
      </c>
      <c r="BS20" s="543">
        <f>'P&amp;L'!DM30</f>
        <v>2656.8730472018797</v>
      </c>
      <c r="BT20" s="1466">
        <f>'P&amp;L'!DN30</f>
        <v>4572.7102875162254</v>
      </c>
      <c r="BU20" s="543"/>
      <c r="BV20" s="543">
        <f>'P&amp;L'!DP30</f>
        <v>2085.2236692333981</v>
      </c>
      <c r="BW20" s="543">
        <f>'P&amp;L'!DQ30</f>
        <v>2837.5443840796966</v>
      </c>
      <c r="BX20" s="1466">
        <f>'P&amp;L'!DR30</f>
        <v>4922.7680533130952</v>
      </c>
      <c r="BY20" s="543"/>
      <c r="BZ20" s="543"/>
      <c r="CA20" s="173"/>
      <c r="CB20" s="122" t="s">
        <v>942</v>
      </c>
      <c r="CC20" s="177"/>
      <c r="CD20" s="177"/>
      <c r="CE20" s="177"/>
      <c r="CF20" s="177"/>
      <c r="CG20" s="177"/>
      <c r="CH20" s="177"/>
      <c r="CI20" s="178"/>
      <c r="CJ20" s="177"/>
      <c r="CK20" s="177"/>
      <c r="CL20" s="177"/>
      <c r="CM20" s="178"/>
      <c r="CN20" s="177"/>
      <c r="CO20" s="177"/>
      <c r="CP20" s="177"/>
      <c r="CQ20" s="178"/>
      <c r="CR20" s="177"/>
      <c r="CS20" s="177"/>
      <c r="CT20" s="177"/>
      <c r="CU20" s="178"/>
      <c r="CV20" s="178"/>
      <c r="CW20" s="178"/>
      <c r="CX20" s="178"/>
      <c r="CY20" s="178"/>
      <c r="CZ20" s="178"/>
      <c r="DA20" s="178"/>
      <c r="DB20" s="178"/>
      <c r="DC20" s="178"/>
      <c r="DD20" s="178"/>
      <c r="DE20" s="178"/>
      <c r="DF20" s="178"/>
      <c r="DG20" s="178"/>
      <c r="DH20" s="178"/>
      <c r="DI20" s="178"/>
      <c r="DJ20" s="178"/>
      <c r="DK20" s="178"/>
      <c r="DL20" s="178"/>
      <c r="DM20" s="178"/>
      <c r="DN20" s="178"/>
      <c r="DO20" s="178"/>
      <c r="DP20" s="178"/>
      <c r="DQ20" s="178"/>
      <c r="DR20" s="178"/>
      <c r="DS20" s="178"/>
      <c r="DT20" s="178"/>
      <c r="DU20" s="178"/>
      <c r="DV20" s="178"/>
      <c r="DW20" s="178"/>
      <c r="DX20" s="178"/>
      <c r="DY20" s="178"/>
      <c r="DZ20" s="178"/>
      <c r="EA20" s="178"/>
      <c r="EB20" s="178"/>
      <c r="EC20" s="1748"/>
      <c r="ED20" s="178"/>
      <c r="EE20" s="178"/>
      <c r="EF20" s="178"/>
      <c r="EG20" s="1748"/>
      <c r="EH20" s="178"/>
      <c r="EI20" s="1927"/>
      <c r="EJ20" s="178"/>
      <c r="EK20" s="1748"/>
      <c r="EL20" s="178"/>
      <c r="EM20" s="2065"/>
      <c r="EN20" s="178"/>
      <c r="EO20" s="178"/>
      <c r="EP20" s="178"/>
      <c r="EQ20" s="2065"/>
      <c r="ER20" s="178"/>
      <c r="ES20" s="178"/>
      <c r="ET20" s="178"/>
      <c r="EU20" s="178"/>
      <c r="EV20" s="178"/>
      <c r="EW20" s="178"/>
      <c r="EX20" s="178"/>
      <c r="EY20" s="1748"/>
      <c r="EZ20" s="178"/>
      <c r="FA20" s="178"/>
      <c r="FB20" s="178"/>
      <c r="FC20" s="1748"/>
      <c r="FD20" s="116"/>
      <c r="FE20" s="116"/>
      <c r="FF20" s="116"/>
      <c r="FG20" s="1103"/>
      <c r="FL20" s="172"/>
      <c r="FO20" s="109"/>
    </row>
    <row r="21" spans="1:179" s="119" customFormat="1" ht="16.649999999999999" customHeight="1">
      <c r="A21" s="1907"/>
      <c r="B21" s="116"/>
      <c r="C21" s="120" t="s">
        <v>770</v>
      </c>
      <c r="D21" s="138"/>
      <c r="E21" s="138"/>
      <c r="F21" s="139">
        <f>'P&amp;L'!AZ31</f>
        <v>0</v>
      </c>
      <c r="G21" s="139">
        <f>'P&amp;L'!BA31</f>
        <v>0</v>
      </c>
      <c r="H21" s="139">
        <f>'P&amp;L'!BB31</f>
        <v>0</v>
      </c>
      <c r="I21" s="140"/>
      <c r="J21" s="139">
        <f>'P&amp;L'!BD31</f>
        <v>0</v>
      </c>
      <c r="K21" s="139">
        <f>'P&amp;L'!BE31</f>
        <v>0</v>
      </c>
      <c r="L21" s="139">
        <f>'P&amp;L'!BF31</f>
        <v>0</v>
      </c>
      <c r="M21" s="138"/>
      <c r="N21" s="139">
        <f>'P&amp;L'!BH31</f>
        <v>0</v>
      </c>
      <c r="O21" s="139">
        <f>'P&amp;L'!BI31</f>
        <v>0</v>
      </c>
      <c r="P21" s="139">
        <f>'P&amp;L'!BJ31</f>
        <v>0</v>
      </c>
      <c r="Q21" s="140"/>
      <c r="R21" s="139">
        <f>'P&amp;L'!BL31</f>
        <v>0</v>
      </c>
      <c r="S21" s="139">
        <f>'P&amp;L'!BM31</f>
        <v>0</v>
      </c>
      <c r="T21" s="141">
        <f>'P&amp;L'!BN31</f>
        <v>0</v>
      </c>
      <c r="U21" s="140"/>
      <c r="V21" s="139">
        <f>'P&amp;L'!BP31</f>
        <v>0</v>
      </c>
      <c r="W21" s="139">
        <f>'P&amp;L'!BQ31</f>
        <v>0</v>
      </c>
      <c r="X21" s="141">
        <f>'P&amp;L'!BR31</f>
        <v>0</v>
      </c>
      <c r="Y21" s="140"/>
      <c r="Z21" s="139">
        <f>'P&amp;L'!BT31</f>
        <v>0</v>
      </c>
      <c r="AA21" s="139">
        <f>'P&amp;L'!BU31</f>
        <v>0</v>
      </c>
      <c r="AB21" s="141">
        <f>'P&amp;L'!BV31</f>
        <v>0</v>
      </c>
      <c r="AC21" s="139"/>
      <c r="AD21" s="139">
        <f>'P&amp;L'!BX31</f>
        <v>0</v>
      </c>
      <c r="AE21" s="139">
        <f>'P&amp;L'!BY31</f>
        <v>0</v>
      </c>
      <c r="AF21" s="141">
        <f>'P&amp;L'!BZ31</f>
        <v>0</v>
      </c>
      <c r="AG21" s="139"/>
      <c r="AH21" s="139">
        <f>'P&amp;L'!CB31</f>
        <v>0</v>
      </c>
      <c r="AI21" s="139">
        <f>'P&amp;L'!CC31</f>
        <v>0</v>
      </c>
      <c r="AJ21" s="141">
        <f>'P&amp;L'!CD31</f>
        <v>0</v>
      </c>
      <c r="AK21" s="139"/>
      <c r="AL21" s="139">
        <f>'P&amp;L'!CF31</f>
        <v>0</v>
      </c>
      <c r="AM21" s="139">
        <f>'P&amp;L'!CG31</f>
        <v>0</v>
      </c>
      <c r="AN21" s="141">
        <f>'P&amp;L'!CH31</f>
        <v>0</v>
      </c>
      <c r="AO21" s="139"/>
      <c r="AP21" s="139">
        <f>'P&amp;L'!CJ31</f>
        <v>0</v>
      </c>
      <c r="AQ21" s="139">
        <f>'P&amp;L'!CK31</f>
        <v>0</v>
      </c>
      <c r="AR21" s="141">
        <f>'P&amp;L'!CL31</f>
        <v>0</v>
      </c>
      <c r="AS21" s="139"/>
      <c r="AT21" s="139">
        <f>'P&amp;L'!CN31</f>
        <v>0</v>
      </c>
      <c r="AU21" s="139">
        <f>'P&amp;L'!CO31</f>
        <v>0</v>
      </c>
      <c r="AV21" s="141">
        <f>'P&amp;L'!CP31</f>
        <v>0</v>
      </c>
      <c r="AW21" s="139"/>
      <c r="AX21" s="139">
        <f>'P&amp;L'!CR31</f>
        <v>0</v>
      </c>
      <c r="AY21" s="139">
        <f>'P&amp;L'!CS31</f>
        <v>0</v>
      </c>
      <c r="AZ21" s="141">
        <f>'P&amp;L'!CT31</f>
        <v>0</v>
      </c>
      <c r="BA21" s="139"/>
      <c r="BB21" s="139">
        <f>'P&amp;L'!CV31</f>
        <v>0</v>
      </c>
      <c r="BC21" s="139">
        <f>'P&amp;L'!CW31</f>
        <v>0</v>
      </c>
      <c r="BD21" s="141">
        <f>'P&amp;L'!CX31</f>
        <v>0</v>
      </c>
      <c r="BE21" s="139"/>
      <c r="BF21" s="139">
        <f>'P&amp;L'!CZ31</f>
        <v>0</v>
      </c>
      <c r="BG21" s="139">
        <f>'P&amp;L'!DA31</f>
        <v>0</v>
      </c>
      <c r="BH21" s="141">
        <f>'P&amp;L'!DB31</f>
        <v>0</v>
      </c>
      <c r="BI21" s="139"/>
      <c r="BJ21" s="139">
        <f>'P&amp;L'!DD31</f>
        <v>0</v>
      </c>
      <c r="BK21" s="139">
        <f>'P&amp;L'!DE31</f>
        <v>0</v>
      </c>
      <c r="BL21" s="141">
        <f>'P&amp;L'!DF31</f>
        <v>0</v>
      </c>
      <c r="BM21" s="139"/>
      <c r="BN21" s="139">
        <f>'P&amp;L'!DH31</f>
        <v>0</v>
      </c>
      <c r="BO21" s="139">
        <f>'P&amp;L'!DI31</f>
        <v>0</v>
      </c>
      <c r="BP21" s="139">
        <f>'P&amp;L'!DJ31</f>
        <v>0</v>
      </c>
      <c r="BQ21" s="139"/>
      <c r="BR21" s="139">
        <f>'P&amp;L'!DL31</f>
        <v>0</v>
      </c>
      <c r="BS21" s="139">
        <f>'P&amp;L'!DM31</f>
        <v>0</v>
      </c>
      <c r="BT21" s="1464">
        <f>'P&amp;L'!DN31</f>
        <v>0</v>
      </c>
      <c r="BU21" s="139"/>
      <c r="BV21" s="139">
        <f>'P&amp;L'!DP31</f>
        <v>0</v>
      </c>
      <c r="BW21" s="139">
        <f>'P&amp;L'!DQ31</f>
        <v>0</v>
      </c>
      <c r="BX21" s="1464">
        <f>'P&amp;L'!DR31</f>
        <v>0</v>
      </c>
      <c r="BY21" s="139"/>
      <c r="BZ21" s="139"/>
      <c r="CA21" s="173"/>
      <c r="CB21" s="537" t="s">
        <v>1132</v>
      </c>
      <c r="CC21" s="535"/>
      <c r="CD21" s="535"/>
      <c r="CE21" s="535"/>
      <c r="CF21" s="535"/>
      <c r="CG21" s="535"/>
      <c r="CH21" s="535"/>
      <c r="CI21" s="536">
        <f>'Bal Sheet'!AX544*100</f>
        <v>10</v>
      </c>
      <c r="CJ21" s="535"/>
      <c r="CK21" s="535"/>
      <c r="CL21" s="535"/>
      <c r="CM21" s="536">
        <f>'Bal Sheet'!BB544*100</f>
        <v>8.7999999999999989</v>
      </c>
      <c r="CN21" s="535"/>
      <c r="CO21" s="535"/>
      <c r="CP21" s="535"/>
      <c r="CQ21" s="536">
        <f>'Bal Sheet'!BF544*100</f>
        <v>6.8000000000000007</v>
      </c>
      <c r="CR21" s="535"/>
      <c r="CS21" s="535"/>
      <c r="CT21" s="535"/>
      <c r="CU21" s="536">
        <f>'Bal Sheet'!BJ544*100</f>
        <v>7.8</v>
      </c>
      <c r="CV21" s="536"/>
      <c r="CW21" s="536"/>
      <c r="CX21" s="536"/>
      <c r="CY21" s="536">
        <f>'Bal Sheet'!BN544*100</f>
        <v>11.1</v>
      </c>
      <c r="CZ21" s="536"/>
      <c r="DA21" s="536"/>
      <c r="DB21" s="536"/>
      <c r="DC21" s="536">
        <f>'Bal Sheet'!BR544*100</f>
        <v>14.000000000000002</v>
      </c>
      <c r="DD21" s="536"/>
      <c r="DE21" s="536"/>
      <c r="DF21" s="536"/>
      <c r="DG21" s="536">
        <f>'Bal Sheet'!BV544*100</f>
        <v>14.7</v>
      </c>
      <c r="DH21" s="536"/>
      <c r="DI21" s="536"/>
      <c r="DJ21" s="536"/>
      <c r="DK21" s="536">
        <f>'Bal Sheet'!BZ544*100</f>
        <v>15.2</v>
      </c>
      <c r="DL21" s="536"/>
      <c r="DM21" s="536"/>
      <c r="DN21" s="536"/>
      <c r="DO21" s="536">
        <f>'Bal Sheet'!CD544*100</f>
        <v>16.8</v>
      </c>
      <c r="DP21" s="536"/>
      <c r="DQ21" s="536"/>
      <c r="DR21" s="536"/>
      <c r="DS21" s="536">
        <f>'Bal Sheet'!CH544*100</f>
        <v>18</v>
      </c>
      <c r="DT21" s="536"/>
      <c r="DU21" s="536">
        <f>'Bal Sheet'!CJ544*100</f>
        <v>16.400000000000002</v>
      </c>
      <c r="DV21" s="536">
        <f>'Bal Sheet'!CK544*100</f>
        <v>12.7</v>
      </c>
      <c r="DW21" s="536">
        <f>'Bal Sheet'!CL544*100</f>
        <v>14.499999999999998</v>
      </c>
      <c r="DX21" s="536"/>
      <c r="DY21" s="536">
        <f>'Bal Sheet'!CN544*100</f>
        <v>9.5</v>
      </c>
      <c r="DZ21" s="536">
        <f>'Bal Sheet'!CO544*100</f>
        <v>19</v>
      </c>
      <c r="EA21" s="536">
        <f>'Bal Sheet'!CP544*100</f>
        <v>14.299999999999999</v>
      </c>
      <c r="EB21" s="536"/>
      <c r="EC21" s="1470">
        <f>'Bal Sheet'!CR544*100</f>
        <v>17.8</v>
      </c>
      <c r="ED21" s="536">
        <f>'Bal Sheet'!CS544*100</f>
        <v>19.600000000000001</v>
      </c>
      <c r="EE21" s="536">
        <f>'Bal Sheet'!CT544*100</f>
        <v>18.7</v>
      </c>
      <c r="EF21" s="536"/>
      <c r="EG21" s="1470">
        <f>'Bal Sheet'!CV544*100</f>
        <v>15.6</v>
      </c>
      <c r="EH21" s="536">
        <f>'Bal Sheet'!CW544*100</f>
        <v>18.099999999999998</v>
      </c>
      <c r="EI21" s="1920">
        <f>'Bal Sheet'!CX544*100</f>
        <v>16.900000000000002</v>
      </c>
      <c r="EJ21" s="536"/>
      <c r="EK21" s="1470">
        <f>'Bal Sheet'!CZ544*100</f>
        <v>8.6999999999999993</v>
      </c>
      <c r="EL21" s="536">
        <f>'Bal Sheet'!DA544*100</f>
        <v>12.9</v>
      </c>
      <c r="EM21" s="541">
        <f>'Bal Sheet'!DB544*100</f>
        <v>10.8</v>
      </c>
      <c r="EN21" s="536"/>
      <c r="EO21" s="536">
        <f>'Bal Sheet'!DD544*100</f>
        <v>9.9</v>
      </c>
      <c r="EP21" s="536">
        <f>'Bal Sheet'!DE544*100</f>
        <v>12.5</v>
      </c>
      <c r="EQ21" s="541">
        <f>'Bal Sheet'!DF544*100</f>
        <v>11.200000000000001</v>
      </c>
      <c r="ER21" s="536"/>
      <c r="ES21" s="536">
        <f>'Bal Sheet'!DH544*100</f>
        <v>9.6</v>
      </c>
      <c r="ET21" s="536">
        <f ca="1">'Bal Sheet'!DI544*100</f>
        <v>14.463138766182976</v>
      </c>
      <c r="EU21" s="536">
        <f ca="1">'Bal Sheet'!DJ544*100</f>
        <v>12.043363282491795</v>
      </c>
      <c r="EV21" s="536"/>
      <c r="EW21" s="536">
        <f ca="1">'Bal Sheet'!DL544*100</f>
        <v>10.719389126755265</v>
      </c>
      <c r="EX21" s="536">
        <f ca="1">'Bal Sheet'!DM544*100</f>
        <v>14.232913722316304</v>
      </c>
      <c r="EY21" s="1470">
        <f ca="1">'Bal Sheet'!DN544*100</f>
        <v>12.514348111403093</v>
      </c>
      <c r="EZ21" s="536"/>
      <c r="FA21" s="536">
        <f ca="1">'Bal Sheet'!DP544*100</f>
        <v>10.700634888050168</v>
      </c>
      <c r="FB21" s="536">
        <f ca="1">'Bal Sheet'!DQ544*100</f>
        <v>13.939326947930516</v>
      </c>
      <c r="FC21" s="1470">
        <f ca="1">'Bal Sheet'!DR544*100</f>
        <v>12.355319033990178</v>
      </c>
      <c r="FD21" s="116"/>
      <c r="FE21" s="116"/>
      <c r="FF21" s="116"/>
      <c r="FL21" s="172"/>
      <c r="FO21" s="109"/>
    </row>
    <row r="22" spans="1:179" s="119" customFormat="1" ht="16.649999999999999" customHeight="1">
      <c r="A22" s="1907"/>
      <c r="B22" s="116"/>
      <c r="C22" s="159" t="s">
        <v>1134</v>
      </c>
      <c r="D22" s="161"/>
      <c r="E22" s="161"/>
      <c r="F22" s="163">
        <f>'P&amp;L'!AZ32</f>
        <v>403.33370000000014</v>
      </c>
      <c r="G22" s="163">
        <f>'P&amp;L'!BA32</f>
        <v>553.33336999999983</v>
      </c>
      <c r="H22" s="163">
        <f>'P&amp;L'!BB32</f>
        <v>956.66706999999997</v>
      </c>
      <c r="I22" s="164"/>
      <c r="J22" s="163">
        <f>'P&amp;L'!BD32</f>
        <v>304.32956000000013</v>
      </c>
      <c r="K22" s="163">
        <f>'P&amp;L'!BE32</f>
        <v>426.32420000000025</v>
      </c>
      <c r="L22" s="163">
        <f>'P&amp;L'!BF32</f>
        <v>730.65376000000037</v>
      </c>
      <c r="M22" s="161"/>
      <c r="N22" s="163">
        <f>'P&amp;L'!BH32</f>
        <v>361</v>
      </c>
      <c r="O22" s="163">
        <f>'P&amp;L'!BI32</f>
        <v>490.49</v>
      </c>
      <c r="P22" s="163">
        <f>'P&amp;L'!BJ32</f>
        <v>851.49</v>
      </c>
      <c r="Q22" s="164"/>
      <c r="R22" s="163">
        <f>'P&amp;L'!BL32</f>
        <v>501</v>
      </c>
      <c r="S22" s="163">
        <f>'P&amp;L'!BM32</f>
        <v>766.49</v>
      </c>
      <c r="T22" s="165">
        <f>'P&amp;L'!BN32</f>
        <v>1267.49</v>
      </c>
      <c r="U22" s="164"/>
      <c r="V22" s="163">
        <f>'P&amp;L'!BP32</f>
        <v>678</v>
      </c>
      <c r="W22" s="163">
        <f>'P&amp;L'!BQ32</f>
        <v>926.49</v>
      </c>
      <c r="X22" s="165">
        <f>'P&amp;L'!BR32</f>
        <v>1604.49</v>
      </c>
      <c r="Y22" s="164"/>
      <c r="Z22" s="163">
        <f>'P&amp;L'!BT32</f>
        <v>1070</v>
      </c>
      <c r="AA22" s="163">
        <f>'P&amp;L'!BU32</f>
        <v>993.49</v>
      </c>
      <c r="AB22" s="165">
        <f>'P&amp;L'!BV32</f>
        <v>2063.4899999999998</v>
      </c>
      <c r="AC22" s="163"/>
      <c r="AD22" s="163">
        <f>'P&amp;L'!BX32</f>
        <v>1050</v>
      </c>
      <c r="AE22" s="163">
        <f>'P&amp;L'!BY32</f>
        <v>1167.49</v>
      </c>
      <c r="AF22" s="165">
        <f>'P&amp;L'!BZ32</f>
        <v>2217.4899999999998</v>
      </c>
      <c r="AG22" s="163"/>
      <c r="AH22" s="163">
        <f>'P&amp;L'!CB32</f>
        <v>1248</v>
      </c>
      <c r="AI22" s="163">
        <f>'P&amp;L'!CC32</f>
        <v>1309.49</v>
      </c>
      <c r="AJ22" s="165">
        <f>'P&amp;L'!CD32</f>
        <v>2557.4899999999998</v>
      </c>
      <c r="AK22" s="163"/>
      <c r="AL22" s="163">
        <f>'P&amp;L'!CF32</f>
        <v>1310</v>
      </c>
      <c r="AM22" s="163">
        <f>'P&amp;L'!CG32</f>
        <v>1672.49</v>
      </c>
      <c r="AN22" s="165">
        <f>'P&amp;L'!CH32</f>
        <v>2982.49</v>
      </c>
      <c r="AO22" s="163"/>
      <c r="AP22" s="163">
        <f>'P&amp;L'!CJ32</f>
        <v>1457</v>
      </c>
      <c r="AQ22" s="163">
        <f>'P&amp;L'!CK32</f>
        <v>1274.49</v>
      </c>
      <c r="AR22" s="165">
        <f>'P&amp;L'!CL32</f>
        <v>2731.49</v>
      </c>
      <c r="AS22" s="163"/>
      <c r="AT22" s="163">
        <f>'P&amp;L'!CN32</f>
        <v>985</v>
      </c>
      <c r="AU22" s="163">
        <f>'P&amp;L'!CO32</f>
        <v>2030.49</v>
      </c>
      <c r="AV22" s="165">
        <f>'P&amp;L'!CP32</f>
        <v>3015.49</v>
      </c>
      <c r="AW22" s="163"/>
      <c r="AX22" s="163">
        <f>'P&amp;L'!CR32</f>
        <v>2043</v>
      </c>
      <c r="AY22" s="163">
        <f>'P&amp;L'!CS32</f>
        <v>2663.49</v>
      </c>
      <c r="AZ22" s="165">
        <f>'P&amp;L'!CT32</f>
        <v>4706.49</v>
      </c>
      <c r="BA22" s="163"/>
      <c r="BB22" s="163">
        <f>'P&amp;L'!CV32</f>
        <v>2383</v>
      </c>
      <c r="BC22" s="163">
        <f>'P&amp;L'!CW32</f>
        <v>2799.49</v>
      </c>
      <c r="BD22" s="165">
        <f>'P&amp;L'!CX32</f>
        <v>5182.49</v>
      </c>
      <c r="BE22" s="163"/>
      <c r="BF22" s="163">
        <f>'P&amp;L'!CZ32</f>
        <v>1415</v>
      </c>
      <c r="BG22" s="163">
        <f>'P&amp;L'!DA32</f>
        <v>2107.4899999999998</v>
      </c>
      <c r="BH22" s="165">
        <f>'P&amp;L'!DB32</f>
        <v>3522.49</v>
      </c>
      <c r="BI22" s="163"/>
      <c r="BJ22" s="163">
        <f>'P&amp;L'!DD32</f>
        <v>1612</v>
      </c>
      <c r="BK22" s="163">
        <f ca="1">'P&amp;L'!DE32</f>
        <v>2103.4899999999998</v>
      </c>
      <c r="BL22" s="165">
        <f ca="1">'P&amp;L'!DF32</f>
        <v>3715.49</v>
      </c>
      <c r="BM22" s="163"/>
      <c r="BN22" s="163">
        <f>'P&amp;L'!DH32</f>
        <v>1655</v>
      </c>
      <c r="BO22" s="163">
        <f>'P&amp;L'!DI32</f>
        <v>2517.6901979637678</v>
      </c>
      <c r="BP22" s="163">
        <f>'P&amp;L'!DJ32</f>
        <v>4172.6901979637678</v>
      </c>
      <c r="BQ22" s="163"/>
      <c r="BR22" s="163">
        <f>'P&amp;L'!DL32</f>
        <v>1915.8372403143462</v>
      </c>
      <c r="BS22" s="163">
        <f>'P&amp;L'!DM32</f>
        <v>2656.8730472018797</v>
      </c>
      <c r="BT22" s="1465">
        <f>'P&amp;L'!DN32</f>
        <v>4572.7102875162254</v>
      </c>
      <c r="BU22" s="163"/>
      <c r="BV22" s="163">
        <f>'P&amp;L'!DP32</f>
        <v>2085.2236692333981</v>
      </c>
      <c r="BW22" s="163">
        <f>'P&amp;L'!DQ32</f>
        <v>2837.5443840796966</v>
      </c>
      <c r="BX22" s="1465">
        <f>'P&amp;L'!DR32</f>
        <v>4922.7680533130952</v>
      </c>
      <c r="BY22" s="163"/>
      <c r="BZ22" s="163"/>
      <c r="CA22" s="179"/>
      <c r="CB22" s="2157" t="s">
        <v>1407</v>
      </c>
      <c r="CC22" s="106"/>
      <c r="CD22" s="106"/>
      <c r="CE22" s="106"/>
      <c r="CF22" s="106"/>
      <c r="CG22" s="106"/>
      <c r="CH22" s="106"/>
      <c r="CI22" s="107">
        <f>'Bal Sheet'!AX555*100</f>
        <v>12.388649637189546</v>
      </c>
      <c r="CJ22" s="106"/>
      <c r="CK22" s="106"/>
      <c r="CL22" s="106"/>
      <c r="CM22" s="107">
        <f>'Bal Sheet'!BB555*100</f>
        <v>11.156835881153611</v>
      </c>
      <c r="CN22" s="106"/>
      <c r="CO22" s="106"/>
      <c r="CP22" s="106"/>
      <c r="CQ22" s="107">
        <f>'Bal Sheet'!BF555*100</f>
        <v>8.6150233226330286</v>
      </c>
      <c r="CR22" s="106"/>
      <c r="CS22" s="106"/>
      <c r="CT22" s="106"/>
      <c r="CU22" s="107">
        <f>'Bal Sheet'!BJ555*100</f>
        <v>9.6085570502568292</v>
      </c>
      <c r="CV22" s="108"/>
      <c r="CW22" s="108"/>
      <c r="CX22" s="108"/>
      <c r="CY22" s="107">
        <f>'Bal Sheet'!BN555*100</f>
        <v>12.982482495760481</v>
      </c>
      <c r="CZ22" s="108"/>
      <c r="DA22" s="108"/>
      <c r="DB22" s="108"/>
      <c r="DC22" s="107">
        <f>'Bal Sheet'!BR555*100</f>
        <v>15.979952905690444</v>
      </c>
      <c r="DD22" s="108"/>
      <c r="DE22" s="108"/>
      <c r="DF22" s="108"/>
      <c r="DG22" s="107">
        <f>'Bal Sheet'!BV555*100</f>
        <v>16.474184903811253</v>
      </c>
      <c r="DH22" s="108"/>
      <c r="DI22" s="108"/>
      <c r="DJ22" s="108"/>
      <c r="DK22" s="107">
        <f>'Bal Sheet'!BZ555*100</f>
        <v>16.57564658394379</v>
      </c>
      <c r="DL22" s="108"/>
      <c r="DM22" s="108"/>
      <c r="DN22" s="108"/>
      <c r="DO22" s="107">
        <f>'Bal Sheet'!CD555*100</f>
        <v>17.914417731198462</v>
      </c>
      <c r="DP22" s="107"/>
      <c r="DQ22" s="108"/>
      <c r="DR22" s="108"/>
      <c r="DS22" s="107">
        <f>'Bal Sheet'!CH555*100</f>
        <v>20.217339481845382</v>
      </c>
      <c r="DT22" s="107"/>
      <c r="DU22" s="107">
        <f>'Bal Sheet'!CJ555*100</f>
        <v>19.788408425568214</v>
      </c>
      <c r="DV22" s="107">
        <f>'Bal Sheet'!CK555*100</f>
        <v>15.77367546288694</v>
      </c>
      <c r="DW22" s="107">
        <f>'Bal Sheet'!CL555*100</f>
        <v>17.78185060910079</v>
      </c>
      <c r="DX22" s="107"/>
      <c r="DY22" s="107">
        <f>'Bal Sheet'!CN555*100</f>
        <v>11.861151954570806</v>
      </c>
      <c r="DZ22" s="107">
        <f>'Bal Sheet'!CO555*100</f>
        <v>23.169747863831759</v>
      </c>
      <c r="EA22" s="107">
        <f>'Bal Sheet'!CP555*100</f>
        <v>17.634348891701297</v>
      </c>
      <c r="EB22" s="107"/>
      <c r="EC22" s="1744">
        <f>'Bal Sheet'!CR555*100</f>
        <v>21.785544298633301</v>
      </c>
      <c r="ED22" s="107">
        <f>'Bal Sheet'!CS555*100</f>
        <v>23.859482247209087</v>
      </c>
      <c r="EE22" s="105">
        <f>'Bal Sheet'!CT555*100</f>
        <v>22.799839048737365</v>
      </c>
      <c r="EF22" s="105"/>
      <c r="EG22" s="1468">
        <f>'Bal Sheet'!CV555*100</f>
        <v>18.829547987114289</v>
      </c>
      <c r="EH22" s="105">
        <f>'Bal Sheet'!CW555*100</f>
        <v>21.924464076789409</v>
      </c>
      <c r="EI22" s="1921">
        <f>'Bal Sheet'!CX556*100</f>
        <v>19.400000000000002</v>
      </c>
      <c r="EJ22" s="105"/>
      <c r="EK22" s="1468">
        <f>'Bal Sheet'!CZ556*100</f>
        <v>0</v>
      </c>
      <c r="EL22" s="105">
        <f>'Bal Sheet'!DA556*100</f>
        <v>0</v>
      </c>
      <c r="EM22" s="189">
        <f>'Bal Sheet'!DB556*100</f>
        <v>12.4</v>
      </c>
      <c r="EN22" s="105"/>
      <c r="EO22" s="105">
        <f>'Bal Sheet'!DD556*100</f>
        <v>11.4</v>
      </c>
      <c r="EP22" s="105">
        <f>'Bal Sheet'!DE556*100</f>
        <v>13.900000000000002</v>
      </c>
      <c r="EQ22" s="189">
        <f>'Bal Sheet'!DF556*100</f>
        <v>12.7</v>
      </c>
      <c r="ER22" s="105"/>
      <c r="ES22" s="105">
        <f>'Bal Sheet'!DH556*100</f>
        <v>10.199999999999999</v>
      </c>
      <c r="ET22" s="105">
        <f ca="1">'Bal Sheet'!DI556*100</f>
        <v>15.943892049843782</v>
      </c>
      <c r="EU22" s="105">
        <f ca="1">'Bal Sheet'!DJ556*100</f>
        <v>13.307248207909032</v>
      </c>
      <c r="EV22" s="105"/>
      <c r="EW22" s="105">
        <f ca="1">'Bal Sheet'!DL556*100</f>
        <v>11.80122123727185</v>
      </c>
      <c r="EX22" s="105">
        <f ca="1">'Bal Sheet'!DM556*100</f>
        <v>15.62284072994794</v>
      </c>
      <c r="EY22" s="1468">
        <f ca="1">'Bal Sheet'!DN556*100</f>
        <v>13.75641510737829</v>
      </c>
      <c r="EZ22" s="105"/>
      <c r="FA22" s="105">
        <f ca="1">'Bal Sheet'!DP556*100</f>
        <v>11.712690424166802</v>
      </c>
      <c r="FB22" s="105">
        <f ca="1">'Bal Sheet'!DQ556*100</f>
        <v>15.215637597352583</v>
      </c>
      <c r="FC22" s="1468">
        <f ca="1">'Bal Sheet'!DR556*100</f>
        <v>13.504801514871072</v>
      </c>
      <c r="FD22" s="2112"/>
      <c r="FE22" s="116"/>
      <c r="FF22" s="116"/>
      <c r="FL22" s="172"/>
      <c r="FO22" s="109"/>
    </row>
    <row r="23" spans="1:179" s="119" customFormat="1" ht="16.649999999999999" customHeight="1">
      <c r="A23" s="1907"/>
      <c r="B23" s="116"/>
      <c r="D23" s="183"/>
      <c r="E23" s="183"/>
      <c r="F23" s="185"/>
      <c r="G23" s="185"/>
      <c r="H23" s="186"/>
      <c r="I23" s="184"/>
      <c r="J23" s="185"/>
      <c r="K23" s="185"/>
      <c r="L23" s="186"/>
      <c r="M23" s="183"/>
      <c r="N23" s="184"/>
      <c r="O23" s="184"/>
      <c r="P23" s="186"/>
      <c r="Q23" s="186"/>
      <c r="R23" s="186"/>
      <c r="S23" s="186"/>
      <c r="T23" s="165"/>
      <c r="U23" s="186"/>
      <c r="V23" s="186"/>
      <c r="W23" s="186"/>
      <c r="X23" s="187"/>
      <c r="Y23" s="186"/>
      <c r="Z23" s="186"/>
      <c r="AA23" s="186"/>
      <c r="AB23" s="187"/>
      <c r="AC23" s="186"/>
      <c r="AD23" s="186"/>
      <c r="AE23" s="186"/>
      <c r="AF23" s="187"/>
      <c r="AG23" s="186"/>
      <c r="AH23" s="186"/>
      <c r="AI23" s="186"/>
      <c r="AJ23" s="187"/>
      <c r="AK23" s="186"/>
      <c r="AL23" s="186"/>
      <c r="AM23" s="186"/>
      <c r="AN23" s="187"/>
      <c r="AO23" s="186"/>
      <c r="AP23" s="186"/>
      <c r="AQ23" s="186"/>
      <c r="AR23" s="1343"/>
      <c r="AS23" s="186"/>
      <c r="AT23" s="164"/>
      <c r="AU23" s="164"/>
      <c r="AV23" s="1340"/>
      <c r="AW23" s="164"/>
      <c r="AX23" s="164"/>
      <c r="AY23" s="164"/>
      <c r="AZ23" s="1340"/>
      <c r="BA23" s="164"/>
      <c r="BB23" s="164"/>
      <c r="BC23" s="164"/>
      <c r="BD23" s="612"/>
      <c r="BE23" s="164"/>
      <c r="BF23" s="164"/>
      <c r="BG23" s="164"/>
      <c r="BH23" s="1340"/>
      <c r="BI23" s="164"/>
      <c r="BJ23" s="164"/>
      <c r="BK23" s="1916"/>
      <c r="BL23" s="2162"/>
      <c r="BM23" s="164"/>
      <c r="BN23" s="164"/>
      <c r="BO23" s="164"/>
      <c r="BP23" s="164"/>
      <c r="BQ23" s="164"/>
      <c r="BR23" s="164"/>
      <c r="BS23" s="164"/>
      <c r="BT23" s="1467"/>
      <c r="BU23" s="164"/>
      <c r="BV23" s="164"/>
      <c r="BW23" s="164"/>
      <c r="BX23" s="1467"/>
      <c r="BY23" s="164"/>
      <c r="BZ23" s="164"/>
      <c r="CA23" s="182"/>
      <c r="CB23" s="188" t="s">
        <v>1133</v>
      </c>
      <c r="CC23" s="106"/>
      <c r="CD23" s="106"/>
      <c r="CE23" s="106"/>
      <c r="CF23" s="106"/>
      <c r="CG23" s="106"/>
      <c r="CH23" s="106"/>
      <c r="CI23" s="107">
        <f>'Bal Sheet'!AX546*100</f>
        <v>0.71313838620179104</v>
      </c>
      <c r="CJ23" s="106"/>
      <c r="CK23" s="106"/>
      <c r="CL23" s="106"/>
      <c r="CM23" s="107">
        <f>'Bal Sheet'!BB546*100</f>
        <v>0.61757510635413504</v>
      </c>
      <c r="CN23" s="106"/>
      <c r="CO23" s="106"/>
      <c r="CP23" s="106"/>
      <c r="CQ23" s="107">
        <f>'Bal Sheet'!BF546*100</f>
        <v>0.44243835475422766</v>
      </c>
      <c r="CR23" s="106"/>
      <c r="CS23" s="106"/>
      <c r="CT23" s="106"/>
      <c r="CU23" s="107">
        <f>'Bal Sheet'!BJ546*100</f>
        <v>0.56508509558113529</v>
      </c>
      <c r="CV23" s="108"/>
      <c r="CW23" s="108"/>
      <c r="CX23" s="108"/>
      <c r="CY23" s="107">
        <f>'Bal Sheet'!BN546*100</f>
        <v>0.83407803215256349</v>
      </c>
      <c r="CZ23" s="108"/>
      <c r="DA23" s="108"/>
      <c r="DB23" s="108"/>
      <c r="DC23" s="107">
        <f>'Bal Sheet'!BR546*100</f>
        <v>0.96287116829496622</v>
      </c>
      <c r="DD23" s="108"/>
      <c r="DE23" s="108"/>
      <c r="DF23" s="108"/>
      <c r="DG23" s="107">
        <f>'Bal Sheet'!BV546*100</f>
        <v>1.0280043491744413</v>
      </c>
      <c r="DH23" s="108"/>
      <c r="DI23" s="108"/>
      <c r="DJ23" s="108"/>
      <c r="DK23" s="107">
        <f>'Bal Sheet'!BZ546*100</f>
        <v>1.1582334183840022</v>
      </c>
      <c r="DL23" s="108"/>
      <c r="DM23" s="108"/>
      <c r="DN23" s="108"/>
      <c r="DO23" s="107">
        <f>'Bal Sheet'!CD546*100</f>
        <v>1.3572590424586253</v>
      </c>
      <c r="DP23" s="107"/>
      <c r="DQ23" s="108"/>
      <c r="DR23" s="108"/>
      <c r="DS23" s="107">
        <f>'Bal Sheet'!CH546*100</f>
        <v>1.480689534481068</v>
      </c>
      <c r="DT23" s="107"/>
      <c r="DU23" s="107">
        <f>'Bal Sheet'!CJ546*100</f>
        <v>1.3788306437303188</v>
      </c>
      <c r="DV23" s="107">
        <f>'Bal Sheet'!CK546*100</f>
        <v>1.0725840895271799</v>
      </c>
      <c r="DW23" s="107">
        <f>'Bal Sheet'!CL546*100</f>
        <v>1.2167345602433921</v>
      </c>
      <c r="DX23" s="107"/>
      <c r="DY23" s="107">
        <f>'Bal Sheet'!CN546*100</f>
        <v>0.80980480415672396</v>
      </c>
      <c r="DZ23" s="107">
        <f>'Bal Sheet'!CO546*100</f>
        <v>1.7049044056525353</v>
      </c>
      <c r="EA23" s="107">
        <f>'Bal Sheet'!CP546*100</f>
        <v>1.2526375366721187</v>
      </c>
      <c r="EB23" s="107"/>
      <c r="EC23" s="1744">
        <f>'Bal Sheet'!CR546*100</f>
        <v>1.3752482245632931</v>
      </c>
      <c r="ED23" s="107">
        <f>'Bal Sheet'!CS546*100</f>
        <v>1.424815745516842</v>
      </c>
      <c r="EE23" s="107">
        <f>'Bal Sheet'!CT546*100</f>
        <v>1.4028672921682639</v>
      </c>
      <c r="EF23" s="107"/>
      <c r="EG23" s="1744">
        <f>'Bal Sheet'!CV546*100</f>
        <v>1.0761501552356758</v>
      </c>
      <c r="EH23" s="107">
        <f>'Bal Sheet'!CW546*100</f>
        <v>1.2805776457322693</v>
      </c>
      <c r="EI23" s="1922">
        <f>'Bal Sheet'!CX546*100</f>
        <v>1.177707482575804</v>
      </c>
      <c r="EJ23" s="107"/>
      <c r="EK23" s="1744">
        <f>'Bal Sheet'!CZ546*100</f>
        <v>0.72335411378896974</v>
      </c>
      <c r="EL23" s="107">
        <f>'Bal Sheet'!DA546*100</f>
        <v>1.0563886125027881</v>
      </c>
      <c r="EM23" s="2062">
        <f>'Bal Sheet'!DB546*100</f>
        <v>0.89150781036455107</v>
      </c>
      <c r="EN23" s="107"/>
      <c r="EO23" s="107">
        <f>'Bal Sheet'!DD546*100</f>
        <v>0.78853493681814901</v>
      </c>
      <c r="EP23" s="107">
        <f ca="1">'Bal Sheet'!DE546*100</f>
        <v>0.97889559017888716</v>
      </c>
      <c r="EQ23" s="2062">
        <f ca="1">'Bal Sheet'!DF546*100</f>
        <v>0.88608828114985494</v>
      </c>
      <c r="ER23" s="107"/>
      <c r="ES23" s="107">
        <f>'Bal Sheet'!DH546*100</f>
        <v>0.71225914182456695</v>
      </c>
      <c r="ET23" s="107">
        <f>'Bal Sheet'!DI546*100</f>
        <v>1.0035436711911943</v>
      </c>
      <c r="EU23" s="107">
        <f>'Bal Sheet'!DJ546*100</f>
        <v>0.86348332411966178</v>
      </c>
      <c r="EV23" s="107"/>
      <c r="EW23" s="107">
        <f>'Bal Sheet'!DL546*100</f>
        <v>0.71920867596791405</v>
      </c>
      <c r="EX23" s="107">
        <f>'Bal Sheet'!DM546*100</f>
        <v>0.95299968929051659</v>
      </c>
      <c r="EY23" s="1744">
        <f>'Bal Sheet'!DN546*100</f>
        <v>0.8387649734039262</v>
      </c>
      <c r="EZ23" s="107"/>
      <c r="FA23" s="107">
        <f>'Bal Sheet'!DP546*100</f>
        <v>0.71800619557764667</v>
      </c>
      <c r="FB23" s="107">
        <f>'Bal Sheet'!DQ546*100</f>
        <v>0.93773077847718911</v>
      </c>
      <c r="FC23" s="1744">
        <f>'Bal Sheet'!DR546*100</f>
        <v>0.83012464272328268</v>
      </c>
      <c r="FD23" s="116"/>
      <c r="FE23" s="116"/>
      <c r="FF23" s="116"/>
      <c r="FL23" s="172"/>
      <c r="FO23" s="109"/>
    </row>
    <row r="24" spans="1:179" s="119" customFormat="1" ht="16.649999999999999" customHeight="1">
      <c r="A24" s="1907"/>
      <c r="B24" s="116"/>
      <c r="C24" s="549" t="s">
        <v>772</v>
      </c>
      <c r="D24" s="113"/>
      <c r="E24" s="113"/>
      <c r="F24" s="105">
        <f>'EPS and DPS'!AZ30</f>
        <v>119.32737597966015</v>
      </c>
      <c r="G24" s="105">
        <f>'EPS and DPS'!BA30</f>
        <v>163.36361307224519</v>
      </c>
      <c r="H24" s="105">
        <f>'EPS and DPS'!BB30</f>
        <v>282.73697834657889</v>
      </c>
      <c r="I24" s="114"/>
      <c r="J24" s="105">
        <f>'EPS and DPS'!BD30</f>
        <v>86.371829593654653</v>
      </c>
      <c r="K24" s="105">
        <f>'EPS and DPS'!BE30</f>
        <v>124.00243626434685</v>
      </c>
      <c r="L24" s="105">
        <f>'EPS and DPS'!BF30</f>
        <v>210.2821928786654</v>
      </c>
      <c r="M24" s="113"/>
      <c r="N24" s="105">
        <f>'EPS and DPS'!BH30</f>
        <v>105.48210161594645</v>
      </c>
      <c r="O24" s="105">
        <f>'EPS and DPS'!BI30</f>
        <v>146.1113352977608</v>
      </c>
      <c r="P24" s="105">
        <f>'EPS and DPS'!BJ30</f>
        <v>251.1734372490865</v>
      </c>
      <c r="Q24" s="114"/>
      <c r="R24" s="105">
        <f>'EPS and DPS'!BL30</f>
        <v>149.72510873390738</v>
      </c>
      <c r="S24" s="105">
        <f>'EPS and DPS'!BM30</f>
        <v>235.70408446374108</v>
      </c>
      <c r="T24" s="189">
        <f>'EPS and DPS'!BN30</f>
        <v>384.26457391798874</v>
      </c>
      <c r="U24" s="114"/>
      <c r="V24" s="105">
        <f>'EPS and DPS'!BP30</f>
        <v>213.29975864218164</v>
      </c>
      <c r="W24" s="105">
        <f>'EPS and DPS'!BQ30</f>
        <v>288.21332744554064</v>
      </c>
      <c r="X24" s="189">
        <f>'EPS and DPS'!BR30</f>
        <v>502.32875126169222</v>
      </c>
      <c r="Y24" s="114"/>
      <c r="Z24" s="105">
        <f>'EPS and DPS'!BT30</f>
        <v>324.52880357488823</v>
      </c>
      <c r="AA24" s="105">
        <f>'EPS and DPS'!BU30</f>
        <v>295.25521037166095</v>
      </c>
      <c r="AB24" s="189">
        <f>'EPS and DPS'!BV30</f>
        <v>619.36840792970816</v>
      </c>
      <c r="AC24" s="105"/>
      <c r="AD24" s="105">
        <f>'EPS and DPS'!BX30</f>
        <v>311.79944897468209</v>
      </c>
      <c r="AE24" s="105">
        <f>'EPS and DPS'!BY30</f>
        <v>345.98412396397407</v>
      </c>
      <c r="AF24" s="189">
        <f>'EPS and DPS'!BZ30</f>
        <v>657.79501210597653</v>
      </c>
      <c r="AG24" s="105"/>
      <c r="AH24" s="105">
        <f>'EPS and DPS'!CB30</f>
        <v>370.35398837780133</v>
      </c>
      <c r="AI24" s="105">
        <f>'EPS and DPS'!CC30</f>
        <v>387.52551650191225</v>
      </c>
      <c r="AJ24" s="189">
        <f>'EPS and DPS'!CD30</f>
        <v>758.24870762028979</v>
      </c>
      <c r="AK24" s="105"/>
      <c r="AL24" s="105">
        <f>'EPS and DPS'!CF30</f>
        <v>388.30189778737486</v>
      </c>
      <c r="AM24" s="105">
        <f>'EPS and DPS'!CG30</f>
        <v>495.47515105667986</v>
      </c>
      <c r="AN24" s="189">
        <f>'EPS and DPS'!CH30</f>
        <v>883.27179028145281</v>
      </c>
      <c r="AO24" s="105"/>
      <c r="AP24" s="105">
        <f>'EPS and DPS'!CJ30</f>
        <v>430.09514828931719</v>
      </c>
      <c r="AQ24" s="105">
        <f>'EPS and DPS'!CK30</f>
        <v>362.86575990516155</v>
      </c>
      <c r="AR24" s="189">
        <f>'EPS and DPS'!CL30</f>
        <v>790.98187737275373</v>
      </c>
      <c r="AS24" s="105"/>
      <c r="AT24" s="105">
        <f>'EPS and DPS'!CN30</f>
        <v>276.69315962538707</v>
      </c>
      <c r="AU24" s="105">
        <f>'EPS and DPS'!CO30</f>
        <v>565.20355990635358</v>
      </c>
      <c r="AV24" s="189">
        <f>'EPS and DPS'!CP30</f>
        <v>842.86053106624513</v>
      </c>
      <c r="AW24" s="105"/>
      <c r="AX24" s="105">
        <f>'EPS and DPS'!CR30</f>
        <v>562.46243437665748</v>
      </c>
      <c r="AY24" s="1511">
        <f>'EPS and DPS'!CS30</f>
        <v>706.43012026674978</v>
      </c>
      <c r="AZ24" s="198">
        <f>'EPS and DPS'!CT30</f>
        <v>1271.8384371623931</v>
      </c>
      <c r="BA24" s="196"/>
      <c r="BB24" s="196">
        <f>'EPS and DPS'!CV30</f>
        <v>624.36420251639527</v>
      </c>
      <c r="BC24" s="196">
        <f>'EPS and DPS'!CW30</f>
        <v>729.34530091144109</v>
      </c>
      <c r="BD24" s="198">
        <f>'EPS and DPS'!CX30</f>
        <v>1353.7050149847794</v>
      </c>
      <c r="BE24" s="196"/>
      <c r="BF24" s="196">
        <f>'EPS and DPS'!CZ30</f>
        <v>369.17354352989253</v>
      </c>
      <c r="BG24" s="196">
        <f>'EPS and DPS'!DA30</f>
        <v>547.99094745419222</v>
      </c>
      <c r="BH24" s="198">
        <f>'EPS and DPS'!DB30</f>
        <v>916.5941328228763</v>
      </c>
      <c r="BI24" s="196"/>
      <c r="BJ24" s="196">
        <f>'EPS and DPS'!DD30</f>
        <v>424.64779916351432</v>
      </c>
      <c r="BK24" s="196">
        <f ca="1">'EPS and DPS'!DE30</f>
        <v>554.96188491494149</v>
      </c>
      <c r="BL24" s="198">
        <f ca="1">'EPS and DPS'!DF30</f>
        <v>979.39089045646426</v>
      </c>
      <c r="BM24" s="196"/>
      <c r="BN24" s="196">
        <f>'EPS and DPS'!DH30</f>
        <v>436.69075029338001</v>
      </c>
      <c r="BO24" s="196">
        <f>'EPS and DPS'!DI30</f>
        <v>663.49209805271278</v>
      </c>
      <c r="BP24" s="196">
        <f>'EPS and DPS'!DJ30</f>
        <v>1100.3245106495026</v>
      </c>
      <c r="BQ24" s="196"/>
      <c r="BR24" s="196">
        <f>'EPS and DPS'!DL30</f>
        <v>503.62548131806875</v>
      </c>
      <c r="BS24" s="196">
        <f>'EPS and DPS'!DM30</f>
        <v>696.68347016624</v>
      </c>
      <c r="BT24" s="1472">
        <f>'EPS and DPS'!DN30</f>
        <v>1200.5499726938569</v>
      </c>
      <c r="BU24" s="196"/>
      <c r="BV24" s="196">
        <f>'EPS and DPS'!DP30</f>
        <v>545.42239732285771</v>
      </c>
      <c r="BW24" s="196">
        <f>'EPS and DPS'!DQ30</f>
        <v>740.35259687315443</v>
      </c>
      <c r="BX24" s="1472">
        <f>'EPS and DPS'!DR30</f>
        <v>1286.0183527472609</v>
      </c>
      <c r="BY24" s="196"/>
      <c r="BZ24" s="196"/>
      <c r="CA24" s="1856"/>
      <c r="CB24" s="188" t="s">
        <v>3</v>
      </c>
      <c r="CC24" s="110"/>
      <c r="CD24" s="110"/>
      <c r="CE24" s="110"/>
      <c r="CF24" s="110"/>
      <c r="CG24" s="110"/>
      <c r="CH24" s="110"/>
      <c r="CI24" s="112"/>
      <c r="CJ24" s="110"/>
      <c r="CK24" s="110"/>
      <c r="CL24" s="110"/>
      <c r="CM24" s="112">
        <f>'P&amp;L'!BB1193</f>
        <v>498.96375593596503</v>
      </c>
      <c r="CN24" s="110"/>
      <c r="CO24" s="110"/>
      <c r="CP24" s="110"/>
      <c r="CQ24" s="112">
        <f>'P&amp;L'!BF1193</f>
        <v>464.68869089331599</v>
      </c>
      <c r="CR24" s="110"/>
      <c r="CS24" s="110"/>
      <c r="CT24" s="110"/>
      <c r="CU24" s="112">
        <f>'P&amp;L'!BJ1193</f>
        <v>485.9922250004563</v>
      </c>
      <c r="CV24" s="111"/>
      <c r="CW24" s="111"/>
      <c r="CX24" s="111"/>
      <c r="CY24" s="112">
        <f>'P&amp;L'!BN1193</f>
        <v>587.52573224023979</v>
      </c>
      <c r="CZ24" s="111"/>
      <c r="DA24" s="111"/>
      <c r="DB24" s="111"/>
      <c r="DC24" s="112">
        <f>'P&amp;L'!BR1193</f>
        <v>658.35021501936956</v>
      </c>
      <c r="DD24" s="111"/>
      <c r="DE24" s="111"/>
      <c r="DF24" s="111"/>
      <c r="DG24" s="112">
        <f>'P&amp;L'!BV1193</f>
        <v>730.51545279660559</v>
      </c>
      <c r="DH24" s="111"/>
      <c r="DI24" s="111"/>
      <c r="DJ24" s="111"/>
      <c r="DK24" s="112">
        <f>'P&amp;L'!BZ1193</f>
        <v>745.59810075358359</v>
      </c>
      <c r="DL24" s="111"/>
      <c r="DM24" s="111"/>
      <c r="DN24" s="111"/>
      <c r="DO24" s="112">
        <f>'P&amp;L'!CD1193</f>
        <v>780.02785813779064</v>
      </c>
      <c r="DP24" s="112"/>
      <c r="DQ24" s="111"/>
      <c r="DR24" s="111"/>
      <c r="DS24" s="112">
        <f>'P&amp;L'!CH1193</f>
        <v>843.05851635185832</v>
      </c>
      <c r="DT24" s="112"/>
      <c r="DU24" s="112">
        <f>'P&amp;L'!CJ1193</f>
        <v>807.51293681722359</v>
      </c>
      <c r="DV24" s="112">
        <f>'P&amp;L'!CK1193</f>
        <v>761.25883434221782</v>
      </c>
      <c r="DW24" s="112">
        <f>'P&amp;L'!CL1193</f>
        <v>784.29500946562939</v>
      </c>
      <c r="DX24" s="112"/>
      <c r="DY24" s="112">
        <f>'P&amp;L'!CN1193</f>
        <v>685.48362055581435</v>
      </c>
      <c r="DZ24" s="112">
        <f>'P&amp;L'!CO1193</f>
        <v>884.35166844430898</v>
      </c>
      <c r="EA24" s="112">
        <f>'P&amp;L'!CP1193</f>
        <v>785.85050753614269</v>
      </c>
      <c r="EB24" s="112"/>
      <c r="EC24" s="1746">
        <f>'P&amp;L'!CR1193</f>
        <v>927.17120114054887</v>
      </c>
      <c r="ED24" s="112">
        <f>'P&amp;L'!CS1193</f>
        <v>1077.4715635787447</v>
      </c>
      <c r="EE24" s="112">
        <f>'P&amp;L'!CT1193</f>
        <v>1004.1443269091436</v>
      </c>
      <c r="EF24" s="112"/>
      <c r="EG24" s="1746">
        <f>'P&amp;L'!CV1193</f>
        <v>930.72007272921735</v>
      </c>
      <c r="EH24" s="112">
        <f>'P&amp;L'!CW1193</f>
        <v>1047.8944060339409</v>
      </c>
      <c r="EI24" s="1924">
        <f>'P&amp;L'!CX1193</f>
        <v>991.11099593127221</v>
      </c>
      <c r="EJ24" s="112"/>
      <c r="EK24" s="1746">
        <f>'P&amp;L'!CZ1193</f>
        <v>757.31826994423034</v>
      </c>
      <c r="EL24" s="112">
        <f>'P&amp;L'!DA1193</f>
        <v>856.25715375810762</v>
      </c>
      <c r="EM24" s="199">
        <f>'P&amp;L'!DB1193</f>
        <v>806.88048736785527</v>
      </c>
      <c r="EN24" s="112"/>
      <c r="EO24" s="112">
        <f>'P&amp;L'!DD1193</f>
        <v>807.0925120950908</v>
      </c>
      <c r="EP24" s="112">
        <f ca="1">'P&amp;L'!DE1193</f>
        <v>903.99115311149092</v>
      </c>
      <c r="EQ24" s="199">
        <f ca="1">'P&amp;L'!DF1193</f>
        <v>854.98155439899631</v>
      </c>
      <c r="ER24" s="112"/>
      <c r="ES24" s="112">
        <f>'P&amp;L'!DH1193</f>
        <v>878.8552937607443</v>
      </c>
      <c r="ET24" s="112">
        <f>'P&amp;L'!DI1193</f>
        <v>995.66603276227977</v>
      </c>
      <c r="EU24" s="112">
        <f>'P&amp;L'!DJ1193</f>
        <v>937.61465690019372</v>
      </c>
      <c r="EV24" s="112"/>
      <c r="EW24" s="112">
        <f>'P&amp;L'!DL1193</f>
        <v>872.71598444753965</v>
      </c>
      <c r="EX24" s="112">
        <f>'P&amp;L'!DM1193</f>
        <v>961.57574047389676</v>
      </c>
      <c r="EY24" s="1746">
        <f>'P&amp;L'!DN1193</f>
        <v>917.58576224302692</v>
      </c>
      <c r="EZ24" s="112"/>
      <c r="FA24" s="112">
        <f>'P&amp;L'!DP1193</f>
        <v>886.09330861599301</v>
      </c>
      <c r="FB24" s="112">
        <f>'P&amp;L'!DQ1193</f>
        <v>973.83644974089668</v>
      </c>
      <c r="FC24" s="1746">
        <f>'P&amp;L'!DR1193</f>
        <v>930.39925116421159</v>
      </c>
      <c r="FD24" s="116"/>
      <c r="FE24" s="116"/>
      <c r="FF24" s="116"/>
      <c r="FI24" s="2160"/>
      <c r="FL24" s="172"/>
      <c r="FO24" s="109"/>
    </row>
    <row r="25" spans="1:179" s="119" customFormat="1" ht="16.649999999999999" customHeight="1">
      <c r="A25" s="1907"/>
      <c r="B25" s="116"/>
      <c r="C25" s="247" t="s">
        <v>1162</v>
      </c>
      <c r="AD25" s="584">
        <f>'EPS and DPS'!BX35</f>
        <v>0.27700785521590698</v>
      </c>
      <c r="AE25" s="584">
        <f>'EPS and DPS'!BY35</f>
        <v>0.13648320178519757</v>
      </c>
      <c r="AF25" s="585">
        <f>'EPS and DPS'!BZ35</f>
        <v>0.19624483610385357</v>
      </c>
      <c r="AG25" s="584"/>
      <c r="AH25" s="584">
        <f>'EPS and DPS'!CB35</f>
        <v>0.20191997804718698</v>
      </c>
      <c r="AI25" s="584">
        <f>'EPS and DPS'!CC35</f>
        <v>0.10372805421692144</v>
      </c>
      <c r="AJ25" s="585">
        <f>'EPS and DPS'!CD35</f>
        <v>0.14711743562687474</v>
      </c>
      <c r="AK25" s="584"/>
      <c r="AL25" s="584">
        <f>'EPS and DPS'!CF35</f>
        <v>6.1627324837302488E-2</v>
      </c>
      <c r="AM25" s="584">
        <f>'EPS and DPS'!CG35</f>
        <v>0.18834197074383141</v>
      </c>
      <c r="AN25" s="585">
        <f>'EPS and DPS'!CH35</f>
        <v>0.12559400211535632</v>
      </c>
      <c r="AO25" s="584"/>
      <c r="AP25" s="584">
        <f>'EPS and DPS'!CJ35</f>
        <v>0.11317403228203426</v>
      </c>
      <c r="AQ25" s="584">
        <f>'EPS and DPS'!CK35</f>
        <v>1.6006780626706574E-2</v>
      </c>
      <c r="AR25" s="585">
        <f>'EPS and DPS'!CL35</f>
        <v>6.3388564673435122E-2</v>
      </c>
      <c r="AS25" s="584"/>
      <c r="AT25" s="584">
        <f>'EPS and DPS'!CN35</f>
        <v>-9.2610396668513006E-2</v>
      </c>
      <c r="AU25" s="584">
        <f>'EPS and DPS'!CO35</f>
        <v>0.13405694248053091</v>
      </c>
      <c r="AV25" s="585">
        <f>'EPS and DPS'!CP35</f>
        <v>3.5892478133242367E-2</v>
      </c>
      <c r="AW25" s="584"/>
      <c r="AX25" s="584">
        <f>'EPS and DPS'!CR35</f>
        <v>0.13146555241889235</v>
      </c>
      <c r="AY25" s="584">
        <f>'EPS and DPS'!CS35</f>
        <v>0.125509356738019</v>
      </c>
      <c r="AZ25" s="585">
        <f>'EPS and DPS'!CT35</f>
        <v>0.12922164784718371</v>
      </c>
      <c r="BA25" s="584"/>
      <c r="BB25" s="584">
        <f>'EPS and DPS'!CV35</f>
        <v>0.13229037914116737</v>
      </c>
      <c r="BC25" s="584">
        <f>'EPS and DPS'!CW35</f>
        <v>0.2620088478560505</v>
      </c>
      <c r="BD25" s="585">
        <f>'EPS and DPS'!CX35</f>
        <v>0.19615052398939636</v>
      </c>
      <c r="BE25" s="584"/>
      <c r="BF25" s="584">
        <f>'EPS and DPS'!CZ35</f>
        <v>0.10089031015819128</v>
      </c>
      <c r="BG25" s="584">
        <f>'EPS and DPS'!DA35</f>
        <v>-1.0256104338566496E-2</v>
      </c>
      <c r="BH25" s="585">
        <f>'EPS and DPS'!DB35</f>
        <v>2.8348814742513495E-2</v>
      </c>
      <c r="BI25" s="584"/>
      <c r="BJ25" s="584">
        <f>'EPS and DPS'!DD35</f>
        <v>-8.9433255344927742E-2</v>
      </c>
      <c r="BK25" s="584">
        <f ca="1">'EPS and DPS'!DE35</f>
        <v>-7.7291227768774284E-2</v>
      </c>
      <c r="BL25" s="585">
        <f ca="1">'EPS and DPS'!DF35</f>
        <v>-8.3410865380571297E-2</v>
      </c>
      <c r="BM25" s="584"/>
      <c r="BN25" s="584">
        <f>'EPS and DPS'!DH35</f>
        <v>-0.11234269258316099</v>
      </c>
      <c r="BO25" s="584">
        <f>'EPS and DPS'!DI35</f>
        <v>-3.1051141883358779E-2</v>
      </c>
      <c r="BP25" s="584">
        <f>'EPS and DPS'!DJ35</f>
        <v>-6.6748027515424191E-2</v>
      </c>
      <c r="BQ25" s="584"/>
      <c r="BR25" s="584">
        <f>'EPS and DPS'!DL35</f>
        <v>0.10907021410833084</v>
      </c>
      <c r="BS25" s="584">
        <f>'EPS and DPS'!DM35</f>
        <v>8.3313214311272032E-2</v>
      </c>
      <c r="BT25" s="1469">
        <f>'EPS and DPS'!DN35</f>
        <v>9.4126969105299718E-2</v>
      </c>
      <c r="BU25" s="584"/>
      <c r="BV25" s="584">
        <f>'EPS and DPS'!DP35</f>
        <v>8.7012896791834438E-2</v>
      </c>
      <c r="BW25" s="584">
        <f ca="1">'EPS and DPS'!DQ35</f>
        <v>0.10084240173468051</v>
      </c>
      <c r="BX25" s="1469">
        <f ca="1">'EPS and DPS'!DR35</f>
        <v>9.5040971286541431E-2</v>
      </c>
      <c r="BY25" s="584"/>
      <c r="BZ25" s="584"/>
      <c r="CB25" s="190" t="s">
        <v>6</v>
      </c>
      <c r="CC25" s="110"/>
      <c r="CD25" s="110"/>
      <c r="CE25" s="110"/>
      <c r="CF25" s="110"/>
      <c r="CG25" s="110"/>
      <c r="CH25" s="110"/>
      <c r="CI25" s="112"/>
      <c r="CJ25" s="110"/>
      <c r="CK25" s="110"/>
      <c r="CL25" s="110"/>
      <c r="CM25" s="112">
        <f>'P&amp;L'!BB1188</f>
        <v>415.95541245777514</v>
      </c>
      <c r="CN25" s="110"/>
      <c r="CO25" s="110"/>
      <c r="CP25" s="110"/>
      <c r="CQ25" s="112">
        <f>'P&amp;L'!BF1188</f>
        <v>394.66741682517431</v>
      </c>
      <c r="CR25" s="110"/>
      <c r="CS25" s="110"/>
      <c r="CT25" s="110"/>
      <c r="CU25" s="112">
        <f>'P&amp;L'!BJ1188</f>
        <v>383.42063477578432</v>
      </c>
      <c r="CV25" s="111"/>
      <c r="CW25" s="111"/>
      <c r="CX25" s="111"/>
      <c r="CY25" s="112">
        <f>'P&amp;L'!BN1188</f>
        <v>435.26310087038172</v>
      </c>
      <c r="CZ25" s="111"/>
      <c r="DA25" s="111"/>
      <c r="DB25" s="111"/>
      <c r="DC25" s="112">
        <f>'P&amp;L'!BR1188</f>
        <v>479.08447951096423</v>
      </c>
      <c r="DD25" s="111"/>
      <c r="DE25" s="111"/>
      <c r="DF25" s="111"/>
      <c r="DG25" s="112">
        <f>'P&amp;L'!BV1188</f>
        <v>513.69087215260424</v>
      </c>
      <c r="DH25" s="111"/>
      <c r="DI25" s="111"/>
      <c r="DJ25" s="111"/>
      <c r="DK25" s="112">
        <f>'P&amp;L'!BZ1188</f>
        <v>522.29276451862381</v>
      </c>
      <c r="DL25" s="111"/>
      <c r="DM25" s="111"/>
      <c r="DN25" s="111"/>
      <c r="DO25" s="112">
        <f>'P&amp;L'!CD1188</f>
        <v>532.59044965891644</v>
      </c>
      <c r="DP25" s="112"/>
      <c r="DQ25" s="111"/>
      <c r="DR25" s="111"/>
      <c r="DS25" s="112">
        <f>'P&amp;L'!CH1188</f>
        <v>587.44402029316018</v>
      </c>
      <c r="DT25" s="112"/>
      <c r="DU25" s="112">
        <f>'P&amp;L'!CJ1188</f>
        <v>572.41423369322172</v>
      </c>
      <c r="DV25" s="112">
        <f>'P&amp;L'!CK1188</f>
        <v>556.65071467055429</v>
      </c>
      <c r="DW25" s="112">
        <f>'P&amp;L'!CL1188</f>
        <v>564.50150336467334</v>
      </c>
      <c r="DX25" s="112"/>
      <c r="DY25" s="112">
        <f>'P&amp;L'!CN1188</f>
        <v>529.85561248253373</v>
      </c>
      <c r="DZ25" s="112">
        <f>'P&amp;L'!CO1188</f>
        <v>560.84107877495046</v>
      </c>
      <c r="EA25" s="112">
        <f>'P&amp;L'!CP1188</f>
        <v>545.49369424792371</v>
      </c>
      <c r="EB25" s="112"/>
      <c r="EC25" s="1746">
        <f>'P&amp;L'!CR1188</f>
        <v>602.23357490792444</v>
      </c>
      <c r="ED25" s="112">
        <f>'P&amp;L'!CS1188</f>
        <v>646.93565729160775</v>
      </c>
      <c r="EE25" s="112">
        <f>'P&amp;L'!CT1188</f>
        <v>625.12679321837413</v>
      </c>
      <c r="EF25" s="112"/>
      <c r="EG25" s="1746">
        <f>'P&amp;L'!CV1188</f>
        <v>598.51867696997249</v>
      </c>
      <c r="EH25" s="112">
        <f>'P&amp;L'!CW1188</f>
        <v>657.09616593337523</v>
      </c>
      <c r="EI25" s="1924">
        <f>'P&amp;L'!CX1188</f>
        <v>628.70915075025266</v>
      </c>
      <c r="EJ25" s="112"/>
      <c r="EK25" s="1746">
        <f>'P&amp;L'!CZ1188</f>
        <v>566.69618707963332</v>
      </c>
      <c r="EL25" s="112">
        <f>'P&amp;L'!DA1188</f>
        <v>585.84509729111028</v>
      </c>
      <c r="EM25" s="199">
        <f>'P&amp;L'!DB1188</f>
        <v>576.2885982201517</v>
      </c>
      <c r="EN25" s="112"/>
      <c r="EO25" s="112">
        <f>'P&amp;L'!DD1188</f>
        <v>581.44846386207917</v>
      </c>
      <c r="EP25" s="112">
        <f>'P&amp;L'!DE1188</f>
        <v>625.41469789886401</v>
      </c>
      <c r="EQ25" s="199">
        <f>'P&amp;L'!DF1188</f>
        <v>603.17736345907804</v>
      </c>
      <c r="ER25" s="112"/>
      <c r="ES25" s="112">
        <f>'P&amp;L'!DH1188</f>
        <v>630.90302356153302</v>
      </c>
      <c r="ET25" s="112">
        <f>'P&amp;L'!DI1188</f>
        <v>638.70646548143782</v>
      </c>
      <c r="EU25" s="112">
        <f>'P&amp;L'!DJ1188</f>
        <v>634.82839276498669</v>
      </c>
      <c r="EV25" s="112"/>
      <c r="EW25" s="112">
        <f>'P&amp;L'!DL1188</f>
        <v>610.4156901883689</v>
      </c>
      <c r="EX25" s="112">
        <f>'P&amp;L'!DM1188</f>
        <v>617.68856963715791</v>
      </c>
      <c r="EY25" s="1746">
        <f>'P&amp;L'!DN1188</f>
        <v>614.08813426647032</v>
      </c>
      <c r="EZ25" s="112"/>
      <c r="FA25" s="112">
        <f>'P&amp;L'!DP1188</f>
        <v>611.69000867723287</v>
      </c>
      <c r="FB25" s="112">
        <f>'P&amp;L'!DQ1188</f>
        <v>620.80046498853972</v>
      </c>
      <c r="FC25" s="1746">
        <f>'P&amp;L'!DR1188</f>
        <v>616.29033810175406</v>
      </c>
      <c r="FD25" s="116"/>
      <c r="FE25" s="116"/>
      <c r="FF25" s="116"/>
      <c r="FI25" s="505"/>
      <c r="FL25" s="172"/>
      <c r="FO25" s="109"/>
    </row>
    <row r="26" spans="1:179" s="119" customFormat="1" ht="16.649999999999999" customHeight="1">
      <c r="A26" s="1906"/>
      <c r="B26" s="116"/>
      <c r="C26" s="538" t="s">
        <v>883</v>
      </c>
      <c r="D26" s="539"/>
      <c r="E26" s="539"/>
      <c r="F26" s="536">
        <f>'EPS and DPS'!AZ32</f>
        <v>117.22523416884849</v>
      </c>
      <c r="G26" s="536">
        <f>'EPS and DPS'!BA32</f>
        <v>158.63723828377493</v>
      </c>
      <c r="H26" s="536">
        <f>'EPS and DPS'!BB32</f>
        <v>276.039128789465</v>
      </c>
      <c r="I26" s="540"/>
      <c r="J26" s="536">
        <f>'EPS and DPS'!BD32</f>
        <v>85.097230953189268</v>
      </c>
      <c r="K26" s="536">
        <f>'EPS and DPS'!BE32</f>
        <v>119.47323429475843</v>
      </c>
      <c r="L26" s="536">
        <f>'EPS and DPS'!BF32</f>
        <v>202.52868991773644</v>
      </c>
      <c r="M26" s="539"/>
      <c r="N26" s="536">
        <f>'EPS and DPS'!BH32</f>
        <v>99.721516114929727</v>
      </c>
      <c r="O26" s="536">
        <f>'EPS and DPS'!BI32</f>
        <v>151.41623286612602</v>
      </c>
      <c r="P26" s="536">
        <f>'EPS and DPS'!BJ32</f>
        <v>246.10291315436291</v>
      </c>
      <c r="Q26" s="540"/>
      <c r="R26" s="536">
        <f>'EPS and DPS'!BL32</f>
        <v>144.6328961294524</v>
      </c>
      <c r="S26" s="536">
        <f>'EPS and DPS'!BM32</f>
        <v>225.43193471960566</v>
      </c>
      <c r="T26" s="541">
        <f>'EPS and DPS'!BN32</f>
        <v>369.81756070690864</v>
      </c>
      <c r="U26" s="540"/>
      <c r="V26" s="536">
        <f>'EPS and DPS'!BP32</f>
        <v>204.89980097520214</v>
      </c>
      <c r="W26" s="536">
        <f>'EPS and DPS'!BQ32</f>
        <v>275.76102073728259</v>
      </c>
      <c r="X26" s="541">
        <f>'EPS and DPS'!BR32</f>
        <v>484.28220081188471</v>
      </c>
      <c r="Y26" s="540"/>
      <c r="Z26" s="536">
        <f>'EPS and DPS'!BT32</f>
        <v>309.99386275533385</v>
      </c>
      <c r="AA26" s="536">
        <f>'EPS and DPS'!BU32</f>
        <v>290.609613621547</v>
      </c>
      <c r="AB26" s="541">
        <f>'EPS and DPS'!BV32</f>
        <v>600.21947097855582</v>
      </c>
      <c r="AC26" s="536"/>
      <c r="AD26" s="536">
        <f>'EPS and DPS'!BX32</f>
        <v>304.7898199236472</v>
      </c>
      <c r="AE26" s="536">
        <f>'EPS and DPS'!BY32</f>
        <v>337.22581298666103</v>
      </c>
      <c r="AF26" s="541">
        <f>'EPS and DPS'!BZ32</f>
        <v>644.68025655950817</v>
      </c>
      <c r="AG26" s="536"/>
      <c r="AH26" s="536">
        <f>'EPS and DPS'!CB32</f>
        <v>360.18636742699408</v>
      </c>
      <c r="AI26" s="536">
        <f>'EPS and DPS'!CC32</f>
        <v>379.93679772846218</v>
      </c>
      <c r="AJ26" s="541">
        <f>'EPS and DPS'!CD32</f>
        <v>743.50911944752261</v>
      </c>
      <c r="AK26" s="536"/>
      <c r="AL26" s="536">
        <f>'EPS and DPS'!CF32</f>
        <v>383.07567289255468</v>
      </c>
      <c r="AM26" s="536">
        <f>'EPS and DPS'!CG32</f>
        <v>483.88421858293862</v>
      </c>
      <c r="AN26" s="541">
        <f>'EPS and DPS'!CH32</f>
        <v>868.14171402426587</v>
      </c>
      <c r="AO26" s="536"/>
      <c r="AP26" s="536">
        <f>'EPS and DPS'!CJ32</f>
        <v>419.52754352798303</v>
      </c>
      <c r="AQ26" s="536">
        <f>'EPS and DPS'!CK32</f>
        <v>347.29846445983821</v>
      </c>
      <c r="AR26" s="541">
        <f>'EPS and DPS'!CL32</f>
        <v>764.55090815656877</v>
      </c>
      <c r="AS26" s="536"/>
      <c r="AT26" s="536">
        <f>'EPS and DPS'!CN32</f>
        <v>272.89879557835616</v>
      </c>
      <c r="AU26" s="536">
        <f>'EPS and DPS'!CO32</f>
        <v>546.02511319651012</v>
      </c>
      <c r="AV26" s="541">
        <f>'EPS and DPS'!CP32</f>
        <v>824.64428350019068</v>
      </c>
      <c r="AW26" s="536"/>
      <c r="AX26" s="536">
        <f>'EPS and DPS'!CR32</f>
        <v>545.35044644432605</v>
      </c>
      <c r="AY26" s="536">
        <f>'EPS and DPS'!CS32</f>
        <v>680.68061800366513</v>
      </c>
      <c r="AZ26" s="1857">
        <f>'EPS and DPS'!CT32</f>
        <v>1230.7536113641083</v>
      </c>
      <c r="BA26" s="1858"/>
      <c r="BB26" s="1858">
        <f>'EPS and DPS'!CV32</f>
        <v>604.35965228385624</v>
      </c>
      <c r="BC26" s="1858">
        <f>'EPS and DPS'!CW32</f>
        <v>711.69465221425367</v>
      </c>
      <c r="BD26" s="1857">
        <f>'EPS and DPS'!CX32</f>
        <v>1316.3287092818493</v>
      </c>
      <c r="BE26" s="1858"/>
      <c r="BF26" s="1858">
        <f>'EPS and DPS'!CZ32</f>
        <v>366.24637013748634</v>
      </c>
      <c r="BG26" s="1858">
        <f>'EPS and DPS'!DA32</f>
        <v>545.46407431497414</v>
      </c>
      <c r="BH26" s="1857">
        <f>'EPS and DPS'!DB32</f>
        <v>911.43406244200514</v>
      </c>
      <c r="BI26" s="1858"/>
      <c r="BJ26" s="1858">
        <f>'EPS and DPS'!DD32</f>
        <v>423.08145835270892</v>
      </c>
      <c r="BK26" s="1858">
        <f ca="1">'EPS and DPS'!DE32</f>
        <v>552.56216158508607</v>
      </c>
      <c r="BL26" s="1857">
        <f ca="1">'EPS and DPS'!DF32</f>
        <v>975.52501288790461</v>
      </c>
      <c r="BM26" s="1858"/>
      <c r="BN26" s="1858">
        <f>'EPS and DPS'!DH32</f>
        <v>435.04447836695306</v>
      </c>
      <c r="BO26" s="1858">
        <f>'EPS and DPS'!DI32</f>
        <v>656.015281182134</v>
      </c>
      <c r="BP26" s="1858">
        <f>'EPS and DPS'!DJ32</f>
        <v>1091.0943501656811</v>
      </c>
      <c r="BQ26" s="1858"/>
      <c r="BR26" s="1858">
        <f>'EPS and DPS'!DL32</f>
        <v>500.19783313013215</v>
      </c>
      <c r="BS26" s="1858">
        <f>'EPS and DPS'!DM32</f>
        <v>688.40808394826411</v>
      </c>
      <c r="BT26" s="1859">
        <f>'EPS and DPS'!DN32</f>
        <v>1188.8349687086722</v>
      </c>
      <c r="BU26" s="1858"/>
      <c r="BV26" s="1858">
        <f>'EPS and DPS'!DP32</f>
        <v>540.96261505216989</v>
      </c>
      <c r="BW26" s="1858">
        <f>'EPS and DPS'!DQ32</f>
        <v>731.02430738585406</v>
      </c>
      <c r="BX26" s="1859">
        <f>'EPS and DPS'!DR32</f>
        <v>1272.21825629095</v>
      </c>
      <c r="BY26" s="1858"/>
      <c r="BZ26" s="1858"/>
      <c r="CA26" s="1856"/>
      <c r="CB26" s="190" t="s">
        <v>56</v>
      </c>
      <c r="CI26" s="112"/>
      <c r="CM26" s="112">
        <f>'P&amp;L'!BB1194</f>
        <v>83.008343478189886</v>
      </c>
      <c r="CQ26" s="112">
        <f>'P&amp;L'!BF1194</f>
        <v>70.021274068141679</v>
      </c>
      <c r="CU26" s="112">
        <f>'P&amp;L'!BJ1194</f>
        <v>102.57159022467198</v>
      </c>
      <c r="CV26" s="193"/>
      <c r="CW26" s="193"/>
      <c r="CX26" s="193"/>
      <c r="CY26" s="112">
        <f>'P&amp;L'!BN1194</f>
        <v>152.26263136985807</v>
      </c>
      <c r="CZ26" s="193"/>
      <c r="DA26" s="193"/>
      <c r="DB26" s="193"/>
      <c r="DC26" s="112">
        <f>'P&amp;L'!BR1194</f>
        <v>179.26573550840533</v>
      </c>
      <c r="DD26" s="193"/>
      <c r="DE26" s="193"/>
      <c r="DF26" s="193"/>
      <c r="DG26" s="112">
        <f>'P&amp;L'!BV1194</f>
        <v>216.82458064400134</v>
      </c>
      <c r="DH26" s="193"/>
      <c r="DI26" s="193"/>
      <c r="DJ26" s="193"/>
      <c r="DK26" s="112">
        <f>'P&amp;L'!BZ1194</f>
        <v>223.30533623495978</v>
      </c>
      <c r="DL26" s="193"/>
      <c r="DM26" s="193"/>
      <c r="DN26" s="193"/>
      <c r="DO26" s="112">
        <f>'P&amp;L'!CD1194</f>
        <v>247.4374084788742</v>
      </c>
      <c r="DP26" s="112"/>
      <c r="DQ26" s="193"/>
      <c r="DR26" s="193"/>
      <c r="DS26" s="112">
        <f>'P&amp;L'!CH1194</f>
        <v>255.61449605869814</v>
      </c>
      <c r="DT26" s="112"/>
      <c r="DU26" s="112">
        <f>'P&amp;L'!CJ1194</f>
        <v>235.09870312400187</v>
      </c>
      <c r="DV26" s="112">
        <f>'P&amp;L'!CK1194</f>
        <v>204.60811967166353</v>
      </c>
      <c r="DW26" s="112">
        <f>'P&amp;L'!CL1194</f>
        <v>219.79350610095605</v>
      </c>
      <c r="DX26" s="112"/>
      <c r="DY26" s="112">
        <f>'P&amp;L'!CN1194</f>
        <v>155.62800807328063</v>
      </c>
      <c r="DZ26" s="112">
        <f>'P&amp;L'!CO1194</f>
        <v>323.51058966935852</v>
      </c>
      <c r="EA26" s="112">
        <f>'P&amp;L'!CP1194</f>
        <v>240.35681328821897</v>
      </c>
      <c r="EB26" s="112"/>
      <c r="EC26" s="1746">
        <f>'P&amp;L'!CR1194</f>
        <v>324.93762623262444</v>
      </c>
      <c r="ED26" s="112">
        <f>'P&amp;L'!CS1194</f>
        <v>430.53590628713698</v>
      </c>
      <c r="EE26" s="112">
        <f>'P&amp;L'!CT1194</f>
        <v>379.01753369076948</v>
      </c>
      <c r="EF26" s="112"/>
      <c r="EG26" s="1746">
        <f>'P&amp;L'!CV1194</f>
        <v>332.20139575924486</v>
      </c>
      <c r="EH26" s="112">
        <f>'P&amp;L'!CW1194</f>
        <v>390.79824010056564</v>
      </c>
      <c r="EI26" s="1924">
        <f>'P&amp;L'!CX1194</f>
        <v>362.40184518101955</v>
      </c>
      <c r="EJ26" s="112"/>
      <c r="EK26" s="1746">
        <f>'P&amp;L'!CZ1194</f>
        <v>190.62208286459702</v>
      </c>
      <c r="EL26" s="112">
        <f>'P&amp;L'!DA1194</f>
        <v>270.41205646699734</v>
      </c>
      <c r="EM26" s="199">
        <f>'P&amp;L'!DB1194</f>
        <v>230.59188914770357</v>
      </c>
      <c r="EN26" s="112"/>
      <c r="EO26" s="112">
        <f>'P&amp;L'!DD1194</f>
        <v>225.64404823301163</v>
      </c>
      <c r="EP26" s="112">
        <f ca="1">'P&amp;L'!DE1194</f>
        <v>278.57645521262691</v>
      </c>
      <c r="EQ26" s="199">
        <f ca="1">'P&amp;L'!DF1194</f>
        <v>251.80419093991827</v>
      </c>
      <c r="ER26" s="112"/>
      <c r="ES26" s="112">
        <f>'P&amp;L'!DH1194</f>
        <v>247.95227019921128</v>
      </c>
      <c r="ET26" s="112">
        <f>'P&amp;L'!DI1194</f>
        <v>356.95956728084195</v>
      </c>
      <c r="EU26" s="112">
        <f>'P&amp;L'!DJ1194</f>
        <v>302.78626413520703</v>
      </c>
      <c r="EV26" s="112"/>
      <c r="EW26" s="112">
        <f>'P&amp;L'!DL1194</f>
        <v>262.30029425917076</v>
      </c>
      <c r="EX26" s="112">
        <f>'P&amp;L'!DM1194</f>
        <v>343.88717083673885</v>
      </c>
      <c r="EY26" s="1746">
        <f>'P&amp;L'!DN1194</f>
        <v>303.4976279765566</v>
      </c>
      <c r="EZ26" s="112"/>
      <c r="FA26" s="112">
        <f>'P&amp;L'!DP1194</f>
        <v>274.40329993876014</v>
      </c>
      <c r="FB26" s="112">
        <f>'P&amp;L'!DQ1194</f>
        <v>353.03598475235697</v>
      </c>
      <c r="FC26" s="1746">
        <f>'P&amp;L'!DR1194</f>
        <v>314.10891306245753</v>
      </c>
      <c r="FD26" s="194"/>
      <c r="FE26" s="116"/>
      <c r="FF26" s="116"/>
      <c r="FI26" s="505"/>
      <c r="FL26" s="172"/>
      <c r="FO26" s="109"/>
    </row>
    <row r="27" spans="1:179" s="119" customFormat="1" ht="16.649999999999999" customHeight="1">
      <c r="A27" s="1908"/>
      <c r="B27" s="116"/>
      <c r="C27" s="191" t="s">
        <v>778</v>
      </c>
      <c r="D27" s="110"/>
      <c r="E27" s="110"/>
      <c r="F27" s="109">
        <f>'EPS and DPS'!AZ34</f>
        <v>117.22523416884849</v>
      </c>
      <c r="G27" s="109">
        <f>'EPS and DPS'!BA34</f>
        <v>158.63723828377493</v>
      </c>
      <c r="H27" s="109">
        <f>'EPS and DPS'!BB34</f>
        <v>276.039128789465</v>
      </c>
      <c r="I27" s="111"/>
      <c r="J27" s="109">
        <f>'EPS and DPS'!BD34</f>
        <v>85.097230953189268</v>
      </c>
      <c r="K27" s="109">
        <f>'EPS and DPS'!BE34</f>
        <v>119.47323429475843</v>
      </c>
      <c r="L27" s="109">
        <f>'EPS and DPS'!BF34</f>
        <v>202.52868991773644</v>
      </c>
      <c r="M27" s="110"/>
      <c r="N27" s="109">
        <f>'EPS and DPS'!BH34</f>
        <v>99.721516114929727</v>
      </c>
      <c r="O27" s="109">
        <f>'EPS and DPS'!BI34</f>
        <v>151.41623286612602</v>
      </c>
      <c r="P27" s="109">
        <f>'EPS and DPS'!BJ34</f>
        <v>246.10291315436291</v>
      </c>
      <c r="Q27" s="111"/>
      <c r="R27" s="109">
        <f>'EPS and DPS'!BL34</f>
        <v>144.6328961294524</v>
      </c>
      <c r="S27" s="109">
        <f>'EPS and DPS'!BM34</f>
        <v>225.43193471960566</v>
      </c>
      <c r="T27" s="192">
        <f>'EPS and DPS'!BN34</f>
        <v>369.81756070690864</v>
      </c>
      <c r="U27" s="111"/>
      <c r="V27" s="109">
        <f>'EPS and DPS'!BP34</f>
        <v>204.89980097520214</v>
      </c>
      <c r="W27" s="109">
        <f>'EPS and DPS'!BQ34</f>
        <v>275.76102073728259</v>
      </c>
      <c r="X27" s="192">
        <f>'EPS and DPS'!BR34</f>
        <v>484.28220081188471</v>
      </c>
      <c r="Y27" s="111"/>
      <c r="Z27" s="109">
        <f>'EPS and DPS'!BT34</f>
        <v>309.99386275533385</v>
      </c>
      <c r="AA27" s="109">
        <f>'EPS and DPS'!BU34</f>
        <v>290.609613621547</v>
      </c>
      <c r="AB27" s="192">
        <f>'EPS and DPS'!BV34</f>
        <v>600.21947097855582</v>
      </c>
      <c r="AC27" s="109"/>
      <c r="AD27" s="109">
        <f>'EPS and DPS'!BX34</f>
        <v>304.7898199236472</v>
      </c>
      <c r="AE27" s="109">
        <f>'EPS and DPS'!BY34</f>
        <v>340.02581298666104</v>
      </c>
      <c r="AF27" s="192">
        <f>'EPS and DPS'!BZ34</f>
        <v>644.68025655950817</v>
      </c>
      <c r="AG27" s="109"/>
      <c r="AH27" s="109">
        <f>'EPS and DPS'!CB34</f>
        <v>360.18636742699408</v>
      </c>
      <c r="AI27" s="109">
        <f>'EPS and DPS'!CC34</f>
        <v>383.63679772846217</v>
      </c>
      <c r="AJ27" s="192">
        <f>'EPS and DPS'!CD34</f>
        <v>743.60911944752263</v>
      </c>
      <c r="AK27" s="109"/>
      <c r="AL27" s="109">
        <f>'EPS and DPS'!CF34</f>
        <v>383.07567289255468</v>
      </c>
      <c r="AM27" s="109">
        <f>'EPS and DPS'!CG34</f>
        <v>483.78421858293859</v>
      </c>
      <c r="AN27" s="192">
        <f>'EPS and DPS'!CH34</f>
        <v>868.24171402426589</v>
      </c>
      <c r="AO27" s="109"/>
      <c r="AP27" s="109">
        <f>'EPS and DPS'!CJ34</f>
        <v>419.52754352798303</v>
      </c>
      <c r="AQ27" s="109">
        <f>'EPS and DPS'!CK34</f>
        <v>347.19846445983819</v>
      </c>
      <c r="AR27" s="192">
        <f>'EPS and DPS'!CL34</f>
        <v>764.65090815656879</v>
      </c>
      <c r="AS27" s="109"/>
      <c r="AT27" s="109">
        <f>'EPS and DPS'!CN34</f>
        <v>272.89879557835616</v>
      </c>
      <c r="AU27" s="109">
        <f>'EPS and DPS'!CO34</f>
        <v>549.52511319651012</v>
      </c>
      <c r="AV27" s="192">
        <f>'EPS and DPS'!CP34</f>
        <v>824.7442835001907</v>
      </c>
      <c r="AW27" s="109"/>
      <c r="AX27" s="109">
        <f>'EPS and DPS'!CR34</f>
        <v>545.35044644432605</v>
      </c>
      <c r="AY27" s="109">
        <f>'EPS and DPS'!CS34</f>
        <v>682.78061800366515</v>
      </c>
      <c r="AZ27" s="199">
        <f>'EPS and DPS'!CT34</f>
        <v>1230.7536113641083</v>
      </c>
      <c r="BA27" s="112"/>
      <c r="BB27" s="112">
        <f>'EPS and DPS'!CV34</f>
        <v>604.35965228385624</v>
      </c>
      <c r="BC27" s="112">
        <f>'EPS and DPS'!CW34</f>
        <v>711.79465221425369</v>
      </c>
      <c r="BD27" s="199">
        <f>'EPS and DPS'!CX34</f>
        <v>1316.4287092818493</v>
      </c>
      <c r="BE27" s="112"/>
      <c r="BF27" s="112">
        <f>'EPS and DPS'!CZ34</f>
        <v>366.14637013748631</v>
      </c>
      <c r="BG27" s="112">
        <f>'EPS and DPS'!DA34</f>
        <v>545.56407431497416</v>
      </c>
      <c r="BH27" s="199">
        <f>'EPS and DPS'!DB34</f>
        <v>911.53406244200517</v>
      </c>
      <c r="BI27" s="112"/>
      <c r="BJ27" s="112">
        <f>'EPS and DPS'!DD34</f>
        <v>422.9814583527089</v>
      </c>
      <c r="BK27" s="112">
        <f ca="1">'EPS and DPS'!DE34</f>
        <v>552.6621615850861</v>
      </c>
      <c r="BL27" s="199">
        <f ca="1">'EPS and DPS'!DF34</f>
        <v>975.62501288790463</v>
      </c>
      <c r="BM27" s="112"/>
      <c r="BN27" s="112">
        <f>'EPS and DPS'!DH34</f>
        <v>434.94447836695304</v>
      </c>
      <c r="BO27" s="112">
        <f>'EPS and DPS'!DI34</f>
        <v>656.015281182134</v>
      </c>
      <c r="BP27" s="112">
        <f>'EPS and DPS'!DJ34</f>
        <v>1091.0943501656811</v>
      </c>
      <c r="BQ27" s="112"/>
      <c r="BR27" s="112">
        <f>'EPS and DPS'!DL34</f>
        <v>500.19783313013215</v>
      </c>
      <c r="BS27" s="112">
        <f>'EPS and DPS'!DM34</f>
        <v>688.40808394826411</v>
      </c>
      <c r="BT27" s="1746">
        <f>'EPS and DPS'!DN34</f>
        <v>1188.8349687086722</v>
      </c>
      <c r="BU27" s="112"/>
      <c r="BV27" s="112">
        <f>'EPS and DPS'!DP34</f>
        <v>540.96261505216989</v>
      </c>
      <c r="BW27" s="112">
        <f>'EPS and DPS'!DQ34</f>
        <v>731.02430738585406</v>
      </c>
      <c r="BX27" s="1746">
        <f>'EPS and DPS'!DR34</f>
        <v>1272.21825629095</v>
      </c>
      <c r="BY27" s="112"/>
      <c r="BZ27" s="112"/>
      <c r="CA27" s="182"/>
      <c r="CB27" s="190" t="s">
        <v>4</v>
      </c>
      <c r="CC27" s="110"/>
      <c r="CD27" s="110"/>
      <c r="CE27" s="110"/>
      <c r="CF27" s="110"/>
      <c r="CG27" s="110"/>
      <c r="CH27" s="110"/>
      <c r="CI27" s="109"/>
      <c r="CJ27" s="110"/>
      <c r="CK27" s="110"/>
      <c r="CL27" s="110"/>
      <c r="CM27" s="109">
        <f>'P&amp;L'!BB1186*100</f>
        <v>83.363853087388804</v>
      </c>
      <c r="CN27" s="110"/>
      <c r="CO27" s="110"/>
      <c r="CP27" s="110"/>
      <c r="CQ27" s="109">
        <f>'P&amp;L'!BF1186*100</f>
        <v>84.931573451134994</v>
      </c>
      <c r="CR27" s="110"/>
      <c r="CS27" s="110"/>
      <c r="CT27" s="110"/>
      <c r="CU27" s="109">
        <f>'P&amp;L'!BJ1186*100</f>
        <v>78.894396875469425</v>
      </c>
      <c r="CV27" s="111"/>
      <c r="CW27" s="111"/>
      <c r="CX27" s="111"/>
      <c r="CY27" s="109">
        <f>'P&amp;L'!BN1186*100</f>
        <v>74.084091467912458</v>
      </c>
      <c r="CZ27" s="111"/>
      <c r="DA27" s="111"/>
      <c r="DB27" s="111"/>
      <c r="DC27" s="109">
        <f>'P&amp;L'!BR1186*100</f>
        <v>72.770459943856608</v>
      </c>
      <c r="DD27" s="111"/>
      <c r="DE27" s="111"/>
      <c r="DF27" s="111"/>
      <c r="DG27" s="109">
        <f>'P&amp;L'!BV1186*100</f>
        <v>70.318960425280565</v>
      </c>
      <c r="DH27" s="111"/>
      <c r="DI27" s="111"/>
      <c r="DJ27" s="111"/>
      <c r="DK27" s="109">
        <f>'P&amp;L'!BZ1186*100</f>
        <v>70.05017367811655</v>
      </c>
      <c r="DL27" s="111"/>
      <c r="DM27" s="111"/>
      <c r="DN27" s="111"/>
      <c r="DO27" s="109">
        <f>'P&amp;L'!CD1186*100</f>
        <v>68.278388278388277</v>
      </c>
      <c r="DP27" s="109"/>
      <c r="DQ27" s="111"/>
      <c r="DR27" s="111"/>
      <c r="DS27" s="109">
        <f>'P&amp;L'!CH1186*100</f>
        <v>69.680100360671162</v>
      </c>
      <c r="DT27" s="109"/>
      <c r="DU27" s="109">
        <f>'P&amp;L'!CJ1186*100</f>
        <v>70.886075949367083</v>
      </c>
      <c r="DV27" s="109">
        <f>'P&amp;L'!CK1186*100</f>
        <v>73.122398001665275</v>
      </c>
      <c r="DW27" s="109">
        <f>'P&amp;L'!CL1186*100</f>
        <v>71.975659229208915</v>
      </c>
      <c r="DX27" s="109"/>
      <c r="DY27" s="109">
        <f>'P&amp;L'!CN1186*100</f>
        <v>77.296611705019018</v>
      </c>
      <c r="DZ27" s="109">
        <f>'P&amp;L'!CO1186*100</f>
        <v>63.418332184700212</v>
      </c>
      <c r="EA27" s="109">
        <f>'P&amp;L'!CP1186*100</f>
        <v>69.414435572256153</v>
      </c>
      <c r="EB27" s="109"/>
      <c r="EC27" s="1471">
        <f>'P&amp;L'!CR1186*100</f>
        <v>64.953869810353666</v>
      </c>
      <c r="ED27" s="109">
        <f>'P&amp;L'!CS1186*100</f>
        <v>60.042016806722685</v>
      </c>
      <c r="EE27" s="109">
        <f>'P&amp;L'!CT1186*100</f>
        <v>62.25467559455091</v>
      </c>
      <c r="EF27" s="109"/>
      <c r="EG27" s="1471">
        <f>'P&amp;L'!CV1186*100</f>
        <v>64.307055849230068</v>
      </c>
      <c r="EH27" s="109">
        <f>'P&amp;L'!CW1186*100</f>
        <v>62.706333973128601</v>
      </c>
      <c r="EI27" s="1925">
        <f>'P&amp;L'!CX1186*100</f>
        <v>63.434787156155217</v>
      </c>
      <c r="EJ27" s="109"/>
      <c r="EK27" s="1471">
        <f>'P&amp;L'!CZ1186*100</f>
        <v>74.829329962073317</v>
      </c>
      <c r="EL27" s="109">
        <f>'P&amp;L'!DA1186*100</f>
        <v>68.419293750696227</v>
      </c>
      <c r="EM27" s="192">
        <f>'P&amp;L'!DB1186*100</f>
        <v>71.421803754367261</v>
      </c>
      <c r="EN27" s="109"/>
      <c r="EO27" s="109">
        <f>'P&amp;L'!DD1186*100</f>
        <v>72.042356377799408</v>
      </c>
      <c r="EP27" s="109">
        <f ca="1">'P&amp;L'!DE1186*100</f>
        <v>69.183718861209968</v>
      </c>
      <c r="EQ27" s="192">
        <f ca="1">'P&amp;L'!DF1186*100</f>
        <v>70.548582054858215</v>
      </c>
      <c r="ER27" s="109"/>
      <c r="ES27" s="109">
        <f>'P&amp;L'!DH1186*100</f>
        <v>71.786905994707169</v>
      </c>
      <c r="ET27" s="109">
        <f>'P&amp;L'!DI1186*100</f>
        <v>64.148664759555189</v>
      </c>
      <c r="EU27" s="109">
        <f>'P&amp;L'!DJ1186*100</f>
        <v>67.706747979363371</v>
      </c>
      <c r="EV27" s="109"/>
      <c r="EW27" s="109">
        <f>'P&amp;L'!DL1186*100</f>
        <v>69.944369195298265</v>
      </c>
      <c r="EX27" s="109">
        <f>'P&amp;L'!DM1186*100</f>
        <v>64.237120763127848</v>
      </c>
      <c r="EY27" s="1471">
        <f>'P&amp;L'!DN1186*100</f>
        <v>66.924331167185898</v>
      </c>
      <c r="EZ27" s="109"/>
      <c r="FA27" s="109">
        <f>'P&amp;L'!DP1186*100</f>
        <v>69.032234272555769</v>
      </c>
      <c r="FB27" s="109">
        <f>'P&amp;L'!DQ1186*100</f>
        <v>63.747918364907449</v>
      </c>
      <c r="FC27" s="1471">
        <f>'P&amp;L'!DR1186*100</f>
        <v>66.239341587021698</v>
      </c>
      <c r="FD27" s="116"/>
      <c r="FE27" s="116"/>
      <c r="FF27" s="116"/>
      <c r="FI27" s="505"/>
      <c r="FL27" s="172"/>
      <c r="FO27" s="109"/>
    </row>
    <row r="28" spans="1:179" s="119" customFormat="1" ht="16.649999999999999" customHeight="1">
      <c r="A28" s="1906"/>
      <c r="B28" s="116"/>
      <c r="C28" s="195" t="s">
        <v>1163</v>
      </c>
      <c r="D28" s="162"/>
      <c r="E28" s="162"/>
      <c r="F28" s="196">
        <f>'EPS and DPS'!AZ42</f>
        <v>86</v>
      </c>
      <c r="G28" s="196">
        <f>'EPS and DPS'!BA42</f>
        <v>100</v>
      </c>
      <c r="H28" s="196">
        <f>'EPS and DPS'!BB42</f>
        <v>186</v>
      </c>
      <c r="I28" s="197"/>
      <c r="J28" s="196">
        <f>'EPS and DPS'!BD42</f>
        <v>65</v>
      </c>
      <c r="K28" s="196">
        <f>'EPS and DPS'!BE42</f>
        <v>75</v>
      </c>
      <c r="L28" s="196">
        <f>'EPS and DPS'!BF42</f>
        <v>140</v>
      </c>
      <c r="M28" s="162"/>
      <c r="N28" s="196">
        <f>'EPS and DPS'!BH42</f>
        <v>75</v>
      </c>
      <c r="O28" s="196">
        <f>'EPS and DPS'!BI42</f>
        <v>125</v>
      </c>
      <c r="P28" s="196">
        <f>'EPS and DPS'!BJ42</f>
        <v>200</v>
      </c>
      <c r="Q28" s="197"/>
      <c r="R28" s="196">
        <f>'EPS and DPS'!BL42</f>
        <v>100</v>
      </c>
      <c r="S28" s="196">
        <f>'EPS and DPS'!BM42</f>
        <v>160</v>
      </c>
      <c r="T28" s="198">
        <f>'EPS and DPS'!BN42</f>
        <v>260</v>
      </c>
      <c r="U28" s="197"/>
      <c r="V28" s="196">
        <f>'EPS and DPS'!BP42</f>
        <v>130</v>
      </c>
      <c r="W28" s="196">
        <f>'EPS and DPS'!BQ42</f>
        <v>200</v>
      </c>
      <c r="X28" s="198">
        <f>'EPS and DPS'!BR42</f>
        <v>330</v>
      </c>
      <c r="Y28" s="197"/>
      <c r="Z28" s="196">
        <f>'EPS and DPS'!BT42</f>
        <v>160</v>
      </c>
      <c r="AA28" s="196">
        <f>'EPS and DPS'!BU42</f>
        <v>240</v>
      </c>
      <c r="AB28" s="198">
        <f>'EPS and DPS'!BV42</f>
        <v>400</v>
      </c>
      <c r="AC28" s="196"/>
      <c r="AD28" s="196">
        <f>'EPS and DPS'!BX42</f>
        <v>190</v>
      </c>
      <c r="AE28" s="196">
        <f>'EPS and DPS'!BY42</f>
        <v>280</v>
      </c>
      <c r="AF28" s="198">
        <f>'EPS and DPS'!BZ42</f>
        <v>470</v>
      </c>
      <c r="AG28" s="196"/>
      <c r="AH28" s="196">
        <f>'EPS and DPS'!CB42</f>
        <v>205</v>
      </c>
      <c r="AI28" s="196">
        <f>'EPS and DPS'!CC42</f>
        <v>320</v>
      </c>
      <c r="AJ28" s="198">
        <f>'EPS and DPS'!CD42</f>
        <v>525</v>
      </c>
      <c r="AK28" s="196"/>
      <c r="AL28" s="196">
        <f>'EPS and DPS'!CF42</f>
        <v>215</v>
      </c>
      <c r="AM28" s="196">
        <f>'EPS and DPS'!CG42</f>
        <v>360</v>
      </c>
      <c r="AN28" s="198">
        <f>'EPS and DPS'!CH42</f>
        <v>575</v>
      </c>
      <c r="AO28" s="196"/>
      <c r="AP28" s="196">
        <f>'EPS and DPS'!CJ42</f>
        <v>250</v>
      </c>
      <c r="AQ28" s="196">
        <f>'EPS and DPS'!CK42</f>
        <v>180</v>
      </c>
      <c r="AR28" s="198">
        <f>'EPS and DPS'!CL42</f>
        <v>430</v>
      </c>
      <c r="AS28" s="196"/>
      <c r="AT28" s="196">
        <f>'EPS and DPS'!CN42</f>
        <v>135</v>
      </c>
      <c r="AU28" s="196">
        <f>'EPS and DPS'!CO42</f>
        <v>335</v>
      </c>
      <c r="AV28" s="198">
        <f>'EPS and DPS'!CP42</f>
        <v>470</v>
      </c>
      <c r="AW28" s="196"/>
      <c r="AX28" s="196">
        <f>'EPS and DPS'!CR42</f>
        <v>272</v>
      </c>
      <c r="AY28" s="196">
        <f>'EPS and DPS'!CS42</f>
        <v>350</v>
      </c>
      <c r="AZ28" s="198">
        <f>'EPS and DPS'!CT42</f>
        <v>622</v>
      </c>
      <c r="BA28" s="196"/>
      <c r="BB28" s="196">
        <f>'EPS and DPS'!CV42</f>
        <v>300</v>
      </c>
      <c r="BC28" s="196">
        <f>'EPS and DPS'!CW42</f>
        <v>450</v>
      </c>
      <c r="BD28" s="198">
        <f>'EPS and DPS'!CX42</f>
        <v>750</v>
      </c>
      <c r="BE28" s="196"/>
      <c r="BF28" s="196">
        <f>'EPS and DPS'!CZ42</f>
        <v>255</v>
      </c>
      <c r="BG28" s="196">
        <f>'EPS and DPS'!DA42</f>
        <v>385</v>
      </c>
      <c r="BH28" s="198">
        <f>'EPS and DPS'!DB42</f>
        <v>640</v>
      </c>
      <c r="BI28" s="196"/>
      <c r="BJ28" s="196">
        <f>'EPS and DPS'!DD42</f>
        <v>260</v>
      </c>
      <c r="BK28" s="196">
        <f>'EPS and DPS'!DE42</f>
        <v>390</v>
      </c>
      <c r="BL28" s="198">
        <f>'EPS and DPS'!DF42</f>
        <v>650</v>
      </c>
      <c r="BM28" s="196"/>
      <c r="BN28" s="196">
        <f>'EPS and DPS'!DH42</f>
        <v>280</v>
      </c>
      <c r="BO28" s="196">
        <f>'EPS and DPS'!DI42</f>
        <v>430</v>
      </c>
      <c r="BP28" s="196">
        <f>'EPS and DPS'!DJ42</f>
        <v>710</v>
      </c>
      <c r="BQ28" s="196"/>
      <c r="BR28" s="196">
        <f>'EPS and DPS'!DL42</f>
        <v>325</v>
      </c>
      <c r="BS28" s="196">
        <f>'EPS and DPS'!DM42</f>
        <v>450</v>
      </c>
      <c r="BT28" s="1472">
        <f>'EPS and DPS'!DN42</f>
        <v>775</v>
      </c>
      <c r="BU28" s="196"/>
      <c r="BV28" s="196">
        <f>'EPS and DPS'!DP42</f>
        <v>350</v>
      </c>
      <c r="BW28" s="196">
        <f>'EPS and DPS'!DQ42</f>
        <v>480</v>
      </c>
      <c r="BX28" s="1472">
        <f>'EPS and DPS'!DR42</f>
        <v>830</v>
      </c>
      <c r="BY28" s="196"/>
      <c r="BZ28" s="196"/>
      <c r="CA28" s="182"/>
      <c r="CB28" s="206"/>
      <c r="CC28" s="207"/>
      <c r="CD28" s="207"/>
      <c r="CE28" s="207"/>
      <c r="CF28" s="207"/>
      <c r="CG28" s="207"/>
      <c r="CH28" s="207"/>
      <c r="CI28" s="181"/>
      <c r="CJ28" s="207"/>
      <c r="CK28" s="207"/>
      <c r="CL28" s="207"/>
      <c r="CM28" s="181"/>
      <c r="CN28" s="207"/>
      <c r="CO28" s="207"/>
      <c r="CP28" s="207"/>
      <c r="CQ28" s="181"/>
      <c r="CR28" s="207"/>
      <c r="CS28" s="207"/>
      <c r="CT28" s="207"/>
      <c r="CU28" s="181"/>
      <c r="CV28" s="181"/>
      <c r="CW28" s="181"/>
      <c r="CX28" s="181"/>
      <c r="CY28" s="181"/>
      <c r="CZ28" s="181"/>
      <c r="DA28" s="181"/>
      <c r="DB28" s="181"/>
      <c r="DC28" s="181"/>
      <c r="DD28" s="181"/>
      <c r="DE28" s="181"/>
      <c r="DF28" s="181"/>
      <c r="DG28" s="181"/>
      <c r="DH28" s="181"/>
      <c r="DI28" s="181"/>
      <c r="DJ28" s="181"/>
      <c r="DK28" s="181"/>
      <c r="DL28" s="181"/>
      <c r="DM28" s="181"/>
      <c r="DN28" s="181"/>
      <c r="DO28" s="181"/>
      <c r="DP28" s="181"/>
      <c r="DQ28" s="181"/>
      <c r="DR28" s="181"/>
      <c r="DS28" s="181"/>
      <c r="DT28" s="181"/>
      <c r="DU28" s="181"/>
      <c r="DV28" s="181"/>
      <c r="DW28" s="181"/>
      <c r="DX28" s="181"/>
      <c r="DY28" s="181"/>
      <c r="DZ28" s="181"/>
      <c r="EA28" s="181"/>
      <c r="EB28" s="181"/>
      <c r="EC28" s="1749"/>
      <c r="ED28" s="181"/>
      <c r="EE28" s="181"/>
      <c r="EF28" s="181"/>
      <c r="EG28" s="1749"/>
      <c r="EH28" s="181"/>
      <c r="EI28" s="1928"/>
      <c r="EJ28" s="181"/>
      <c r="EK28" s="1749"/>
      <c r="EL28" s="181"/>
      <c r="EM28" s="2066"/>
      <c r="EN28" s="181"/>
      <c r="EO28" s="181"/>
      <c r="EP28" s="181"/>
      <c r="EQ28" s="2066"/>
      <c r="ER28" s="181"/>
      <c r="ES28" s="181"/>
      <c r="ET28" s="181"/>
      <c r="EU28" s="181"/>
      <c r="EV28" s="181"/>
      <c r="EW28" s="181"/>
      <c r="EX28" s="181"/>
      <c r="EY28" s="1749"/>
      <c r="EZ28" s="181"/>
      <c r="FA28" s="181"/>
      <c r="FB28" s="181"/>
      <c r="FC28" s="1749"/>
      <c r="FE28" s="116"/>
      <c r="FF28" s="116"/>
      <c r="FI28" s="505"/>
      <c r="FL28" s="172"/>
      <c r="FO28" s="109"/>
    </row>
    <row r="29" spans="1:179" s="119" customFormat="1" ht="16.649999999999999" customHeight="1">
      <c r="A29" s="116"/>
      <c r="B29" s="116"/>
      <c r="C29" s="154"/>
      <c r="D29" s="153"/>
      <c r="E29" s="153"/>
      <c r="F29" s="112"/>
      <c r="G29" s="112"/>
      <c r="H29" s="112"/>
      <c r="I29" s="155"/>
      <c r="J29" s="112"/>
      <c r="K29" s="112"/>
      <c r="L29" s="112"/>
      <c r="M29" s="153"/>
      <c r="N29" s="112"/>
      <c r="O29" s="112"/>
      <c r="P29" s="112"/>
      <c r="Q29" s="155"/>
      <c r="R29" s="112"/>
      <c r="S29" s="112"/>
      <c r="T29" s="199"/>
      <c r="U29" s="155"/>
      <c r="V29" s="112"/>
      <c r="W29" s="112"/>
      <c r="X29" s="199"/>
      <c r="Y29" s="155"/>
      <c r="Z29" s="112"/>
      <c r="AA29" s="112"/>
      <c r="AB29" s="199"/>
      <c r="AC29" s="112"/>
      <c r="AD29" s="112"/>
      <c r="AE29" s="112"/>
      <c r="AF29" s="199"/>
      <c r="AG29" s="112"/>
      <c r="AH29" s="112"/>
      <c r="AI29" s="112"/>
      <c r="AJ29" s="199"/>
      <c r="AK29" s="112"/>
      <c r="AL29" s="112"/>
      <c r="AM29" s="112"/>
      <c r="AN29" s="199"/>
      <c r="AO29" s="112"/>
      <c r="AP29" s="112"/>
      <c r="AQ29" s="112"/>
      <c r="AR29" s="595"/>
      <c r="AS29" s="112"/>
      <c r="AT29" s="112"/>
      <c r="AU29" s="112"/>
      <c r="AV29" s="595"/>
      <c r="AW29" s="112"/>
      <c r="AX29" s="112"/>
      <c r="AY29" s="584"/>
      <c r="AZ29" s="595"/>
      <c r="BA29" s="112"/>
      <c r="BB29" s="112"/>
      <c r="BC29" s="112"/>
      <c r="BD29" s="595"/>
      <c r="BE29" s="112"/>
      <c r="BF29" s="112"/>
      <c r="BG29" s="1097"/>
      <c r="BH29" s="199"/>
      <c r="BI29" s="1097"/>
      <c r="BJ29" s="112"/>
      <c r="BK29" s="112"/>
      <c r="BL29" s="595"/>
      <c r="BM29" s="1097"/>
      <c r="BN29" s="2173"/>
      <c r="BO29" s="112"/>
      <c r="BP29" s="2173"/>
      <c r="BQ29" s="1097"/>
      <c r="BR29" s="112"/>
      <c r="BS29" s="112"/>
      <c r="BT29" s="1473"/>
      <c r="BU29" s="1097"/>
      <c r="BV29" s="112"/>
      <c r="BW29" s="112"/>
      <c r="BX29" s="1473"/>
      <c r="BY29" s="1097"/>
      <c r="BZ29" s="1097"/>
      <c r="CA29" s="182"/>
      <c r="CB29" s="534" t="s">
        <v>5</v>
      </c>
      <c r="CC29" s="535"/>
      <c r="CD29" s="535"/>
      <c r="CE29" s="535"/>
      <c r="CF29" s="535"/>
      <c r="CG29" s="535"/>
      <c r="CH29" s="535"/>
      <c r="CI29" s="536"/>
      <c r="CJ29" s="535"/>
      <c r="CK29" s="535"/>
      <c r="CL29" s="535"/>
      <c r="CM29" s="536">
        <f>'P&amp;L'!BB1187*100</f>
        <v>47.244020538984827</v>
      </c>
      <c r="CN29" s="535"/>
      <c r="CO29" s="535"/>
      <c r="CP29" s="535"/>
      <c r="CQ29" s="536">
        <f>'P&amp;L'!BF1187*100</f>
        <v>47.895940676720954</v>
      </c>
      <c r="CR29" s="535"/>
      <c r="CS29" s="535"/>
      <c r="CT29" s="535"/>
      <c r="CU29" s="536">
        <f>'P&amp;L'!BJ1187*100</f>
        <v>46.146913023884636</v>
      </c>
      <c r="CV29" s="536"/>
      <c r="CW29" s="536"/>
      <c r="CX29" s="536"/>
      <c r="CY29" s="536">
        <f>'P&amp;L'!BN1187*100</f>
        <v>43.090730268010816</v>
      </c>
      <c r="CZ29" s="536"/>
      <c r="DA29" s="536"/>
      <c r="DB29" s="536"/>
      <c r="DC29" s="536">
        <f>'P&amp;L'!BR1187*100</f>
        <v>42.010364931980135</v>
      </c>
      <c r="DD29" s="536"/>
      <c r="DE29" s="536"/>
      <c r="DF29" s="536"/>
      <c r="DG29" s="536">
        <f>'P&amp;L'!BV1187*100</f>
        <v>38.954518606024806</v>
      </c>
      <c r="DH29" s="536"/>
      <c r="DI29" s="536"/>
      <c r="DJ29" s="536"/>
      <c r="DK29" s="536">
        <f>'P&amp;L'!BZ1187*100</f>
        <v>39.762639907371671</v>
      </c>
      <c r="DL29" s="536"/>
      <c r="DM29" s="536"/>
      <c r="DN29" s="536"/>
      <c r="DO29" s="536">
        <f>'P&amp;L'!CD1187*100</f>
        <v>38.653846153846153</v>
      </c>
      <c r="DP29" s="536"/>
      <c r="DQ29" s="536"/>
      <c r="DR29" s="536"/>
      <c r="DS29" s="536">
        <f>'P&amp;L'!CH1187*100</f>
        <v>38.348753332287913</v>
      </c>
      <c r="DT29" s="536"/>
      <c r="DU29" s="536">
        <f>'P&amp;L'!CJ1187*100</f>
        <v>41.170886075949362</v>
      </c>
      <c r="DV29" s="536">
        <f>'P&amp;L'!CK1187*100</f>
        <v>39.950041631973356</v>
      </c>
      <c r="DW29" s="536">
        <f>'P&amp;L'!CL1187*100</f>
        <v>40.57606490872211</v>
      </c>
      <c r="DX29" s="536"/>
      <c r="DY29" s="536">
        <f>'P&amp;L'!CN1187*100</f>
        <v>44.047834752672586</v>
      </c>
      <c r="DZ29" s="536">
        <f>'P&amp;L'!CO1187*100</f>
        <v>38.0289455547898</v>
      </c>
      <c r="EA29" s="536">
        <f>'P&amp;L'!CP1187*100</f>
        <v>40.629403475810236</v>
      </c>
      <c r="EB29" s="536"/>
      <c r="EC29" s="1470">
        <f>'P&amp;L'!CR1187*100</f>
        <v>38.454638646847769</v>
      </c>
      <c r="ED29" s="536">
        <f>'P&amp;L'!CS1187*100</f>
        <v>35.325630252100844</v>
      </c>
      <c r="EE29" s="536">
        <f>'P&amp;L'!CT1187*100</f>
        <v>36.735165088894014</v>
      </c>
      <c r="EF29" s="536"/>
      <c r="EG29" s="1470">
        <f>'P&amp;L'!CV1187*100</f>
        <v>39.462192599402435</v>
      </c>
      <c r="EH29" s="536">
        <f>'P&amp;L'!CW1187*100</f>
        <v>36.890595009596929</v>
      </c>
      <c r="EI29" s="1920">
        <f>'P&amp;L'!CX1187*100</f>
        <v>38.060872293693123</v>
      </c>
      <c r="EJ29" s="536"/>
      <c r="EK29" s="1470">
        <f>'P&amp;L'!CZ1187*100</f>
        <v>44.323640960809101</v>
      </c>
      <c r="EL29" s="536">
        <f>'P&amp;L'!DA1187*100</f>
        <v>41.962793806394117</v>
      </c>
      <c r="EM29" s="541">
        <f>'P&amp;L'!DB1187*100</f>
        <v>43.068632676022979</v>
      </c>
      <c r="EN29" s="536"/>
      <c r="EO29" s="536">
        <f>'P&amp;L'!DD1187*100</f>
        <v>43.098831548198632</v>
      </c>
      <c r="EP29" s="536">
        <f ca="1">'P&amp;L'!DE1187*100</f>
        <v>41.303380782918147</v>
      </c>
      <c r="EQ29" s="541">
        <f ca="1">'P&amp;L'!DF1187*100</f>
        <v>42.160622966062292</v>
      </c>
      <c r="ER29" s="536"/>
      <c r="ES29" s="536">
        <f>'P&amp;L'!DH1187*100</f>
        <v>42.963985732366815</v>
      </c>
      <c r="ET29" s="536">
        <f>'P&amp;L'!DI1187*100</f>
        <v>38.99</v>
      </c>
      <c r="EU29" s="536">
        <f>'P&amp;L'!DJ1187*100</f>
        <v>40.841181641791934</v>
      </c>
      <c r="EV29" s="536"/>
      <c r="EW29" s="536">
        <f>'P&amp;L'!DL1187*100</f>
        <v>43</v>
      </c>
      <c r="EX29" s="536">
        <f>'P&amp;L'!DM1187*100</f>
        <v>39.5</v>
      </c>
      <c r="EY29" s="1470">
        <f>'P&amp;L'!DN1187*100</f>
        <v>41.147945857970377</v>
      </c>
      <c r="EZ29" s="536"/>
      <c r="FA29" s="536">
        <f>'P&amp;L'!DP1187*100</f>
        <v>42.699999999999996</v>
      </c>
      <c r="FB29" s="536">
        <f>'P&amp;L'!DQ1187*100</f>
        <v>39.5</v>
      </c>
      <c r="FC29" s="1470">
        <f>'P&amp;L'!DR1187*100</f>
        <v>41.008720229845927</v>
      </c>
      <c r="FD29" s="116"/>
      <c r="FE29" s="116"/>
      <c r="FF29" s="116"/>
      <c r="FI29" s="417"/>
      <c r="FK29" s="2159"/>
      <c r="FL29" s="172"/>
      <c r="FO29" s="109"/>
    </row>
    <row r="30" spans="1:179" s="119" customFormat="1" ht="16.649999999999999" customHeight="1">
      <c r="A30" s="116"/>
      <c r="B30" s="116"/>
      <c r="C30" s="122" t="s">
        <v>1131</v>
      </c>
      <c r="D30" s="203"/>
      <c r="E30" s="203"/>
      <c r="F30" s="204"/>
      <c r="G30" s="204"/>
      <c r="H30" s="204"/>
      <c r="I30" s="204"/>
      <c r="J30" s="204"/>
      <c r="K30" s="204"/>
      <c r="L30" s="204"/>
      <c r="M30" s="203"/>
      <c r="N30" s="204"/>
      <c r="O30" s="204"/>
      <c r="P30" s="204"/>
      <c r="Q30" s="204"/>
      <c r="R30" s="204"/>
      <c r="S30" s="204"/>
      <c r="T30" s="205"/>
      <c r="U30" s="204"/>
      <c r="V30" s="204"/>
      <c r="W30" s="204"/>
      <c r="X30" s="205"/>
      <c r="Y30" s="204"/>
      <c r="Z30" s="204"/>
      <c r="AA30" s="204"/>
      <c r="AB30" s="205"/>
      <c r="AC30" s="204"/>
      <c r="AD30" s="204"/>
      <c r="AE30" s="204"/>
      <c r="AF30" s="205"/>
      <c r="AG30" s="204"/>
      <c r="AH30" s="204"/>
      <c r="AI30" s="204"/>
      <c r="AJ30" s="205"/>
      <c r="AK30" s="204"/>
      <c r="AL30" s="204"/>
      <c r="AM30" s="204"/>
      <c r="AN30" s="205"/>
      <c r="AO30" s="204"/>
      <c r="AP30" s="204"/>
      <c r="AQ30" s="204"/>
      <c r="AR30" s="205"/>
      <c r="AS30" s="204"/>
      <c r="AT30" s="204"/>
      <c r="AU30" s="204"/>
      <c r="AV30" s="205"/>
      <c r="AW30" s="204"/>
      <c r="AX30" s="204"/>
      <c r="AY30" s="204"/>
      <c r="AZ30" s="205"/>
      <c r="BA30" s="204"/>
      <c r="BB30" s="204"/>
      <c r="BC30" s="204"/>
      <c r="BD30" s="205"/>
      <c r="BE30" s="204"/>
      <c r="BF30" s="204"/>
      <c r="BG30" s="204"/>
      <c r="BH30" s="205"/>
      <c r="BI30" s="204"/>
      <c r="BJ30" s="204"/>
      <c r="BK30" s="204"/>
      <c r="BL30" s="205"/>
      <c r="BM30" s="204"/>
      <c r="BN30" s="204"/>
      <c r="BO30" s="204"/>
      <c r="BP30" s="204"/>
      <c r="BQ30" s="204"/>
      <c r="BR30" s="204"/>
      <c r="BS30" s="204"/>
      <c r="BT30" s="1474"/>
      <c r="BU30" s="204"/>
      <c r="BV30" s="204"/>
      <c r="BW30" s="204"/>
      <c r="BX30" s="1474"/>
      <c r="BY30" s="204"/>
      <c r="BZ30" s="204"/>
      <c r="CA30" s="201"/>
      <c r="CB30" s="190" t="s">
        <v>4</v>
      </c>
      <c r="DW30" s="109">
        <f>'P&amp;L'!CL1186*100</f>
        <v>71.975659229208915</v>
      </c>
      <c r="EA30" s="109">
        <f>'P&amp;L'!CP1186*100</f>
        <v>69.414435572256153</v>
      </c>
      <c r="EE30" s="109">
        <f>'P&amp;L'!CT1186*100</f>
        <v>62.25467559455091</v>
      </c>
      <c r="EF30" s="109">
        <f>'P&amp;L'!CU1186*100</f>
        <v>0</v>
      </c>
      <c r="EG30" s="1471">
        <f>'P&amp;L'!CV1186*100</f>
        <v>64.307055849230068</v>
      </c>
      <c r="EH30" s="109">
        <f>'P&amp;L'!CW1186*100</f>
        <v>62.706333973128601</v>
      </c>
      <c r="EI30" s="1925">
        <f>'P&amp;L'!CX1186*100</f>
        <v>63.434787156155217</v>
      </c>
      <c r="EJ30" s="109">
        <f>'P&amp;L'!CY1186*100</f>
        <v>0</v>
      </c>
      <c r="EK30" s="1471">
        <f>'P&amp;L'!CZ1186*100</f>
        <v>74.829329962073317</v>
      </c>
      <c r="EL30" s="109">
        <f>'P&amp;L'!DA1186*100</f>
        <v>68.419293750696227</v>
      </c>
      <c r="EM30" s="192">
        <f>'P&amp;L'!DB1186*100</f>
        <v>71.421803754367261</v>
      </c>
      <c r="EN30" s="109">
        <f>'P&amp;L'!DC1186*100</f>
        <v>0</v>
      </c>
      <c r="EO30" s="109">
        <f>'P&amp;L'!DD1186*100</f>
        <v>72.042356377799408</v>
      </c>
      <c r="EP30" s="109">
        <f ca="1">'P&amp;L'!DE1186*100</f>
        <v>69.183718861209968</v>
      </c>
      <c r="EQ30" s="192">
        <f ca="1">'P&amp;L'!DF1186*100</f>
        <v>70.548582054858215</v>
      </c>
      <c r="ER30" s="109">
        <f>'P&amp;L'!DG1186*100</f>
        <v>0</v>
      </c>
      <c r="ES30" s="109">
        <f>'P&amp;L'!DH1186*100</f>
        <v>71.786905994707169</v>
      </c>
      <c r="ET30" s="109">
        <f>'P&amp;L'!DI1186*100</f>
        <v>64.148664759555189</v>
      </c>
      <c r="EU30" s="109">
        <f>'P&amp;L'!DJ1186*100</f>
        <v>67.706747979363371</v>
      </c>
      <c r="EV30" s="109">
        <f>'P&amp;L'!DK1186*100</f>
        <v>0</v>
      </c>
      <c r="EW30" s="109">
        <f>'P&amp;L'!DL1186*100</f>
        <v>69.944369195298265</v>
      </c>
      <c r="EX30" s="109">
        <f>'P&amp;L'!DM1186*100</f>
        <v>64.237120763127848</v>
      </c>
      <c r="EY30" s="1471">
        <f>'P&amp;L'!DN1186*100</f>
        <v>66.924331167185898</v>
      </c>
      <c r="EZ30" s="109">
        <f>'P&amp;L'!DO1186*100</f>
        <v>0</v>
      </c>
      <c r="FA30" s="109">
        <f>'P&amp;L'!DP1186*100</f>
        <v>69.032234272555769</v>
      </c>
      <c r="FB30" s="109">
        <f>'P&amp;L'!DQ1186*100</f>
        <v>63.747918364907449</v>
      </c>
      <c r="FC30" s="1471">
        <f>'P&amp;L'!DR1186*100</f>
        <v>66.239341587021698</v>
      </c>
      <c r="FD30" s="116"/>
      <c r="FE30" s="116"/>
      <c r="FF30" s="116"/>
      <c r="FL30" s="172"/>
      <c r="FO30" s="109"/>
    </row>
    <row r="31" spans="1:179" s="119" customFormat="1" ht="16.649999999999999" customHeight="1">
      <c r="A31" s="116"/>
      <c r="B31" s="116"/>
      <c r="C31" s="154" t="s">
        <v>586</v>
      </c>
      <c r="D31" s="158"/>
      <c r="E31" s="158"/>
      <c r="F31" s="209">
        <f>'P&amp;L'!AZ11</f>
        <v>496</v>
      </c>
      <c r="G31" s="209">
        <f>'P&amp;L'!BA11</f>
        <v>454</v>
      </c>
      <c r="H31" s="211">
        <f>'P&amp;L'!BB11</f>
        <v>950</v>
      </c>
      <c r="I31" s="155"/>
      <c r="J31" s="209">
        <f>'P&amp;L'!BD11</f>
        <v>462.66300000000001</v>
      </c>
      <c r="K31" s="209">
        <f>'P&amp;L'!BE11</f>
        <v>476</v>
      </c>
      <c r="L31" s="211">
        <f>'P&amp;L'!BF11</f>
        <v>938.66300000000001</v>
      </c>
      <c r="M31" s="153"/>
      <c r="N31" s="209">
        <f>'P&amp;L'!BH11</f>
        <v>499</v>
      </c>
      <c r="O31" s="209">
        <f>'P&amp;L'!BI11</f>
        <v>518</v>
      </c>
      <c r="P31" s="211">
        <f>'P&amp;L'!BJ11</f>
        <v>1017</v>
      </c>
      <c r="Q31" s="210"/>
      <c r="R31" s="209">
        <f>'P&amp;L'!BL11</f>
        <v>628</v>
      </c>
      <c r="S31" s="209">
        <f>'P&amp;L'!BM11</f>
        <v>660</v>
      </c>
      <c r="T31" s="211">
        <f>'P&amp;L'!BN11</f>
        <v>1288</v>
      </c>
      <c r="U31" s="209"/>
      <c r="V31" s="209">
        <f>'P&amp;L'!BP11</f>
        <v>650</v>
      </c>
      <c r="W31" s="209">
        <f>'P&amp;L'!BQ11</f>
        <v>738</v>
      </c>
      <c r="X31" s="211">
        <f>'P&amp;L'!BR11</f>
        <v>1388</v>
      </c>
      <c r="Y31" s="209"/>
      <c r="Z31" s="209">
        <f>'P&amp;L'!BT11</f>
        <v>791</v>
      </c>
      <c r="AA31" s="209">
        <f>'P&amp;L'!BU11</f>
        <v>791</v>
      </c>
      <c r="AB31" s="211">
        <f>'P&amp;L'!BV11</f>
        <v>1582</v>
      </c>
      <c r="AC31" s="209"/>
      <c r="AD31" s="209">
        <f>'P&amp;L'!BX11</f>
        <v>794</v>
      </c>
      <c r="AE31" s="209">
        <f>'P&amp;L'!BY11</f>
        <v>786</v>
      </c>
      <c r="AF31" s="211">
        <f>'P&amp;L'!BZ11</f>
        <v>1580</v>
      </c>
      <c r="AG31" s="209"/>
      <c r="AH31" s="209">
        <f>'P&amp;L'!CB11</f>
        <v>804</v>
      </c>
      <c r="AI31" s="209">
        <f>'P&amp;L'!CC11</f>
        <v>786</v>
      </c>
      <c r="AJ31" s="211">
        <f>'P&amp;L'!CD11</f>
        <v>1590</v>
      </c>
      <c r="AK31" s="209"/>
      <c r="AL31" s="209">
        <f>'P&amp;L'!CF11</f>
        <v>899</v>
      </c>
      <c r="AM31" s="209">
        <f>'P&amp;L'!CG11</f>
        <v>916</v>
      </c>
      <c r="AN31" s="211">
        <f>'P&amp;L'!CH11</f>
        <v>1815</v>
      </c>
      <c r="AO31" s="209"/>
      <c r="AP31" s="209">
        <f>'P&amp;L'!CJ11</f>
        <v>967</v>
      </c>
      <c r="AQ31" s="209">
        <f>'P&amp;L'!CK11</f>
        <v>1086</v>
      </c>
      <c r="AR31" s="211">
        <f>'P&amp;L'!CL11</f>
        <v>2053</v>
      </c>
      <c r="AS31" s="209"/>
      <c r="AT31" s="209">
        <f>'P&amp;L'!CN11</f>
        <v>985</v>
      </c>
      <c r="AU31" s="209">
        <f>'P&amp;L'!CO11</f>
        <v>1026</v>
      </c>
      <c r="AV31" s="211">
        <f>'P&amp;L'!CP11</f>
        <v>2011</v>
      </c>
      <c r="AW31" s="209"/>
      <c r="AX31" s="209">
        <f>'P&amp;L'!CR11</f>
        <v>1374</v>
      </c>
      <c r="AY31" s="209">
        <f>'P&amp;L'!CS11</f>
        <v>1422</v>
      </c>
      <c r="AZ31" s="211">
        <f>'P&amp;L'!CT11</f>
        <v>2796</v>
      </c>
      <c r="BA31" s="209"/>
      <c r="BB31" s="209">
        <f>'P&amp;L'!CV11</f>
        <v>1389</v>
      </c>
      <c r="BC31" s="209">
        <f>'P&amp;L'!CW11</f>
        <v>1415</v>
      </c>
      <c r="BD31" s="211">
        <f>'P&amp;L'!CX11</f>
        <v>2804</v>
      </c>
      <c r="BE31" s="209"/>
      <c r="BF31" s="209">
        <f>'P&amp;L'!CZ11</f>
        <v>1417</v>
      </c>
      <c r="BG31" s="214">
        <f>'P&amp;L'!DA11</f>
        <v>1478</v>
      </c>
      <c r="BH31" s="215">
        <f>'P&amp;L'!DB11</f>
        <v>2895</v>
      </c>
      <c r="BI31" s="214"/>
      <c r="BJ31" s="214">
        <f>'P&amp;L'!DD11</f>
        <v>1448</v>
      </c>
      <c r="BK31" s="214">
        <f ca="1">'P&amp;L'!DE11</f>
        <v>1500</v>
      </c>
      <c r="BL31" s="215">
        <f ca="1">'P&amp;L'!DF11</f>
        <v>2948</v>
      </c>
      <c r="BM31" s="214"/>
      <c r="BN31" s="214">
        <f>'P&amp;L'!DH11</f>
        <v>1477</v>
      </c>
      <c r="BO31" s="214">
        <f>'P&amp;L'!DI11</f>
        <v>1264.8718317971143</v>
      </c>
      <c r="BP31" s="214">
        <f>'P&amp;L'!DJ11</f>
        <v>2741.8718317971143</v>
      </c>
      <c r="BQ31" s="214"/>
      <c r="BR31" s="214">
        <f>'P&amp;L'!DL11</f>
        <v>1188.7122515753802</v>
      </c>
      <c r="BS31" s="214">
        <f>'P&amp;L'!DM11</f>
        <v>1202.9413318089396</v>
      </c>
      <c r="BT31" s="1475">
        <f>'P&amp;L'!DN11</f>
        <v>2391.65358338432</v>
      </c>
      <c r="BU31" s="214"/>
      <c r="BV31" s="214">
        <f>'P&amp;L'!DP11</f>
        <v>1231.5552775971755</v>
      </c>
      <c r="BW31" s="214">
        <f>'P&amp;L'!DQ11</f>
        <v>1257.3738747826887</v>
      </c>
      <c r="BX31" s="1475">
        <f>'P&amp;L'!DR11</f>
        <v>2488.9291523798643</v>
      </c>
      <c r="BY31" s="209"/>
      <c r="BZ31" s="209"/>
      <c r="CA31" s="182"/>
      <c r="CB31" s="202" t="s">
        <v>7</v>
      </c>
      <c r="CC31" s="113"/>
      <c r="CD31" s="113"/>
      <c r="CE31" s="113"/>
      <c r="CF31" s="113"/>
      <c r="CG31" s="113"/>
      <c r="CH31" s="113"/>
      <c r="CI31" s="105"/>
      <c r="CJ31" s="113"/>
      <c r="CK31" s="113"/>
      <c r="CL31" s="113"/>
      <c r="CM31" s="105">
        <f>'P&amp;L'!BB1227*100</f>
        <v>22.766408087364429</v>
      </c>
      <c r="CN31" s="113"/>
      <c r="CO31" s="113"/>
      <c r="CP31" s="113"/>
      <c r="CQ31" s="105">
        <f>'P&amp;L'!BF1227*100</f>
        <v>28.215712286092447</v>
      </c>
      <c r="CR31" s="113"/>
      <c r="CS31" s="113"/>
      <c r="CT31" s="113"/>
      <c r="CU31" s="105">
        <f>'P&amp;L'!BJ1227*100</f>
        <v>38.51156069364162</v>
      </c>
      <c r="CV31" s="114"/>
      <c r="CW31" s="114"/>
      <c r="CX31" s="114"/>
      <c r="CY31" s="105">
        <f>'P&amp;L'!BN1227*100</f>
        <v>39.493791786055397</v>
      </c>
      <c r="CZ31" s="114"/>
      <c r="DA31" s="114"/>
      <c r="DB31" s="114"/>
      <c r="DC31" s="105">
        <f>'P&amp;L'!BR1227*100</f>
        <v>35.9168997203356</v>
      </c>
      <c r="DD31" s="114"/>
      <c r="DE31" s="114"/>
      <c r="DF31" s="114"/>
      <c r="DG31" s="105">
        <f>'P&amp;L'!BV1227*100</f>
        <v>31.00334448160535</v>
      </c>
      <c r="DH31" s="114"/>
      <c r="DI31" s="114"/>
      <c r="DJ31" s="114"/>
      <c r="DK31" s="105">
        <f>'P&amp;L'!BZ1227*100</f>
        <v>28.136142625607778</v>
      </c>
      <c r="DL31" s="114"/>
      <c r="DM31" s="114"/>
      <c r="DN31" s="114"/>
      <c r="DO31" s="105">
        <f>'P&amp;L'!CD1227*100</f>
        <v>25.668604651162791</v>
      </c>
      <c r="DP31" s="105"/>
      <c r="DQ31" s="114"/>
      <c r="DR31" s="114"/>
      <c r="DS31" s="105">
        <f>'P&amp;L'!CH1227*100</f>
        <v>22.766122766122766</v>
      </c>
      <c r="DT31" s="105"/>
      <c r="DU31" s="105">
        <f>'P&amp;L'!CJ1227*100</f>
        <v>20.512820512820511</v>
      </c>
      <c r="DV31" s="105">
        <f>'P&amp;L'!CK1227*100</f>
        <v>21.648216482164823</v>
      </c>
      <c r="DW31" s="105">
        <f>'P&amp;L'!CL1227*100</f>
        <v>21.046545244290257</v>
      </c>
      <c r="DX31" s="105"/>
      <c r="DY31" s="105">
        <f>'P&amp;L'!CN1227*100</f>
        <v>21.825396825396826</v>
      </c>
      <c r="DZ31" s="105">
        <f>'P&amp;L'!CO1227*100</f>
        <v>23.511680482290881</v>
      </c>
      <c r="EA31" s="105">
        <f>'P&amp;L'!CP1227*100</f>
        <v>22.968829841594278</v>
      </c>
      <c r="EB31" s="105"/>
      <c r="EC31" s="1468">
        <f>'P&amp;L'!CR1227*100</f>
        <v>22.789115646258505</v>
      </c>
      <c r="ED31" s="105">
        <f>'P&amp;L'!CS1227*100</f>
        <v>26.961053208996162</v>
      </c>
      <c r="EE31" s="105">
        <f>'P&amp;L'!CT1227*100</f>
        <v>25.206611570247933</v>
      </c>
      <c r="EF31" s="105"/>
      <c r="EG31" s="1468">
        <f>'P&amp;L'!CV1227*100</f>
        <v>23.57280307889673</v>
      </c>
      <c r="EH31" s="105">
        <f>'P&amp;L'!CW1227*100</f>
        <v>28.009259259259263</v>
      </c>
      <c r="EI31" s="1921">
        <f>'P&amp;L'!CX1227*100</f>
        <v>26.034827290893521</v>
      </c>
      <c r="EJ31" s="105"/>
      <c r="EK31" s="1468">
        <f>'P&amp;L'!CZ1227*100</f>
        <v>29.320679320679321</v>
      </c>
      <c r="EL31" s="105">
        <f>'P&amp;L'!DA1227*100</f>
        <v>25.044468160796868</v>
      </c>
      <c r="EM31" s="189">
        <f>'P&amp;L'!DB1227*100</f>
        <v>26.823187201329734</v>
      </c>
      <c r="EN31" s="105"/>
      <c r="EO31" s="105">
        <f>'P&amp;L'!DD1227*100</f>
        <v>29.852045256744997</v>
      </c>
      <c r="EP31" s="105">
        <f ca="1">'P&amp;L'!DE1227*100</f>
        <v>23.332118118847976</v>
      </c>
      <c r="EQ31" s="189">
        <f ca="1">'P&amp;L'!DF1227*100</f>
        <v>26.304304701448128</v>
      </c>
      <c r="ER31" s="105"/>
      <c r="ES31" s="105">
        <f>'P&amp;L'!DH1227*100</f>
        <v>31.780708985985161</v>
      </c>
      <c r="ET31" s="105">
        <f>'P&amp;L'!DI1227*100</f>
        <v>29.496693161650839</v>
      </c>
      <c r="EU31" s="105">
        <f>'P&amp;L'!DJ1227*100</f>
        <v>30.420655136935832</v>
      </c>
      <c r="EV31" s="105"/>
      <c r="EW31" s="105">
        <f>'P&amp;L'!DL1227*100</f>
        <v>28.407557186327892</v>
      </c>
      <c r="EX31" s="105">
        <f>'P&amp;L'!DM1227*100</f>
        <v>25.769881784633103</v>
      </c>
      <c r="EY31" s="1468">
        <f>'P&amp;L'!DN1227*100</f>
        <v>26.898290995005521</v>
      </c>
      <c r="EZ31" s="105"/>
      <c r="FA31" s="105">
        <f>'P&amp;L'!DP1227*100</f>
        <v>28.411385479518025</v>
      </c>
      <c r="FB31" s="105">
        <f>'P&amp;L'!DQ1227*100</f>
        <v>25.777906402751615</v>
      </c>
      <c r="FC31" s="1468">
        <f>'P&amp;L'!DR1227*100</f>
        <v>26.916705989249142</v>
      </c>
      <c r="FD31" s="116"/>
      <c r="FE31" s="116"/>
      <c r="FF31" s="116"/>
      <c r="FL31" s="172"/>
      <c r="FO31" s="109"/>
    </row>
    <row r="32" spans="1:179" s="119" customFormat="1" ht="16.649999999999999" customHeight="1">
      <c r="A32" s="116"/>
      <c r="B32" s="116"/>
      <c r="C32" s="154" t="s">
        <v>1130</v>
      </c>
      <c r="D32" s="183"/>
      <c r="E32" s="183"/>
      <c r="F32" s="139">
        <f>'P&amp;L'!AZ464</f>
        <v>71</v>
      </c>
      <c r="G32" s="139">
        <f>'P&amp;L'!BA464</f>
        <v>172</v>
      </c>
      <c r="H32" s="141">
        <f>'P&amp;L'!BB464</f>
        <v>243</v>
      </c>
      <c r="I32" s="184"/>
      <c r="J32" s="139">
        <f>'P&amp;L'!BD464</f>
        <v>183</v>
      </c>
      <c r="K32" s="139">
        <f>'P&amp;L'!BE464</f>
        <v>198</v>
      </c>
      <c r="L32" s="141">
        <f>'P&amp;L'!BF464</f>
        <v>381</v>
      </c>
      <c r="M32" s="183"/>
      <c r="N32" s="139">
        <f>'P&amp;L'!BH464</f>
        <v>203</v>
      </c>
      <c r="O32" s="139">
        <f>'P&amp;L'!BI464</f>
        <v>212</v>
      </c>
      <c r="P32" s="141">
        <f>'P&amp;L'!BJ464</f>
        <v>415</v>
      </c>
      <c r="Q32" s="184"/>
      <c r="R32" s="139">
        <f>'P&amp;L'!BL464</f>
        <v>255</v>
      </c>
      <c r="S32" s="139">
        <f>'P&amp;L'!BM464</f>
        <v>265</v>
      </c>
      <c r="T32" s="141">
        <f>'P&amp;L'!BN464</f>
        <v>520</v>
      </c>
      <c r="U32" s="224"/>
      <c r="V32" s="139">
        <f>'P&amp;L'!BP464</f>
        <v>265</v>
      </c>
      <c r="W32" s="139">
        <f>'P&amp;L'!BQ464</f>
        <v>296</v>
      </c>
      <c r="X32" s="141">
        <f>'P&amp;L'!BR464</f>
        <v>561</v>
      </c>
      <c r="Y32" s="224"/>
      <c r="Z32" s="139">
        <f>'P&amp;L'!BT464</f>
        <v>397</v>
      </c>
      <c r="AA32" s="139">
        <f>'P&amp;L'!BU464</f>
        <v>483</v>
      </c>
      <c r="AB32" s="141">
        <f>'P&amp;L'!BV464</f>
        <v>880</v>
      </c>
      <c r="AC32" s="139"/>
      <c r="AD32" s="139">
        <f>'P&amp;L'!BX464</f>
        <v>476</v>
      </c>
      <c r="AE32" s="139">
        <f>'P&amp;L'!BY464</f>
        <v>445</v>
      </c>
      <c r="AF32" s="141">
        <f>'P&amp;L'!BZ464</f>
        <v>921</v>
      </c>
      <c r="AG32" s="139"/>
      <c r="AH32" s="139">
        <f>'P&amp;L'!CB464</f>
        <v>469</v>
      </c>
      <c r="AI32" s="139">
        <f>'P&amp;L'!CC464</f>
        <v>466</v>
      </c>
      <c r="AJ32" s="141">
        <f>'P&amp;L'!CD464</f>
        <v>935</v>
      </c>
      <c r="AK32" s="139"/>
      <c r="AL32" s="139">
        <f>'P&amp;L'!CF464</f>
        <v>461</v>
      </c>
      <c r="AM32" s="139">
        <f>'P&amp;L'!CG464</f>
        <v>489</v>
      </c>
      <c r="AN32" s="141">
        <f>'P&amp;L'!CH464</f>
        <v>950</v>
      </c>
      <c r="AO32" s="139"/>
      <c r="AP32" s="139">
        <f>'P&amp;L'!CJ464</f>
        <v>461</v>
      </c>
      <c r="AQ32" s="139">
        <f>'P&amp;L'!CK464</f>
        <v>284</v>
      </c>
      <c r="AR32" s="141">
        <f>'P&amp;L'!CL464</f>
        <v>745</v>
      </c>
      <c r="AS32" s="139"/>
      <c r="AT32" s="139">
        <f>'P&amp;L'!CN464</f>
        <v>245</v>
      </c>
      <c r="AU32" s="139">
        <f>'P&amp;L'!CO464</f>
        <v>221</v>
      </c>
      <c r="AV32" s="141">
        <f>'P&amp;L'!CP464</f>
        <v>466</v>
      </c>
      <c r="AW32" s="139"/>
      <c r="AX32" s="139">
        <f>'P&amp;L'!CR464</f>
        <v>186</v>
      </c>
      <c r="AY32" s="139">
        <f>'P&amp;L'!CS464</f>
        <v>216</v>
      </c>
      <c r="AZ32" s="141">
        <f>'P&amp;L'!CT464</f>
        <v>402</v>
      </c>
      <c r="BA32" s="139"/>
      <c r="BB32" s="139">
        <f>'P&amp;L'!CV464</f>
        <v>174</v>
      </c>
      <c r="BC32" s="139">
        <f>'P&amp;L'!CW464</f>
        <v>203</v>
      </c>
      <c r="BD32" s="141">
        <f>'P&amp;L'!CX464</f>
        <v>377</v>
      </c>
      <c r="BE32" s="139"/>
      <c r="BF32" s="139">
        <f>'P&amp;L'!CZ464</f>
        <v>213</v>
      </c>
      <c r="BG32" s="139">
        <f>'P&amp;L'!DA464</f>
        <v>218</v>
      </c>
      <c r="BH32" s="141">
        <f>'P&amp;L'!DB464</f>
        <v>431</v>
      </c>
      <c r="BI32" s="139"/>
      <c r="BJ32" s="139">
        <f>'P&amp;L'!DD464</f>
        <v>211</v>
      </c>
      <c r="BK32" s="139">
        <f>'P&amp;L'!DE464</f>
        <v>207</v>
      </c>
      <c r="BL32" s="141">
        <f>'P&amp;L'!DF464</f>
        <v>418</v>
      </c>
      <c r="BM32" s="139"/>
      <c r="BN32" s="139">
        <f>'P&amp;L'!DH464</f>
        <v>216</v>
      </c>
      <c r="BO32" s="139">
        <f>'P&amp;L'!DI464</f>
        <v>240.11999999999998</v>
      </c>
      <c r="BP32" s="139">
        <f>'P&amp;L'!DJ464</f>
        <v>456.12</v>
      </c>
      <c r="BQ32" s="139"/>
      <c r="BR32" s="139">
        <f>'P&amp;L'!DL464</f>
        <v>252.71999999999997</v>
      </c>
      <c r="BS32" s="139">
        <f>'P&amp;L'!DM464</f>
        <v>268.93439999999998</v>
      </c>
      <c r="BT32" s="1464">
        <f>'P&amp;L'!DN464</f>
        <v>521.6543999999999</v>
      </c>
      <c r="BU32" s="139"/>
      <c r="BV32" s="139">
        <f>'P&amp;L'!DP464</f>
        <v>283.04640000000001</v>
      </c>
      <c r="BW32" s="139">
        <f>'P&amp;L'!DQ464</f>
        <v>301.20652799999999</v>
      </c>
      <c r="BX32" s="1464">
        <f>'P&amp;L'!DR464</f>
        <v>584.252928</v>
      </c>
      <c r="BY32" s="139"/>
      <c r="BZ32" s="139"/>
      <c r="CA32" s="182"/>
      <c r="CB32" s="206"/>
      <c r="CC32" s="207"/>
      <c r="CD32" s="207"/>
      <c r="CE32" s="207"/>
      <c r="CF32" s="207"/>
      <c r="CG32" s="207"/>
      <c r="CH32" s="207"/>
      <c r="CI32" s="181"/>
      <c r="CJ32" s="207"/>
      <c r="CK32" s="207"/>
      <c r="CL32" s="207"/>
      <c r="CM32" s="181"/>
      <c r="CN32" s="207"/>
      <c r="CO32" s="207"/>
      <c r="CP32" s="207"/>
      <c r="CQ32" s="181"/>
      <c r="CR32" s="207"/>
      <c r="CS32" s="207"/>
      <c r="CT32" s="207"/>
      <c r="CU32" s="181"/>
      <c r="CV32" s="181"/>
      <c r="CW32" s="181"/>
      <c r="CX32" s="181"/>
      <c r="CY32" s="181"/>
      <c r="CZ32" s="181"/>
      <c r="DA32" s="181"/>
      <c r="DB32" s="181"/>
      <c r="DC32" s="181"/>
      <c r="DD32" s="181"/>
      <c r="DE32" s="181"/>
      <c r="DF32" s="181"/>
      <c r="DG32" s="181"/>
      <c r="DH32" s="181"/>
      <c r="DI32" s="181"/>
      <c r="DJ32" s="181"/>
      <c r="DK32" s="181"/>
      <c r="DL32" s="181"/>
      <c r="DM32" s="181"/>
      <c r="DN32" s="181"/>
      <c r="DO32" s="181"/>
      <c r="DP32" s="181"/>
      <c r="DQ32" s="181"/>
      <c r="DR32" s="181"/>
      <c r="DS32" s="181"/>
      <c r="DT32" s="181"/>
      <c r="DU32" s="181"/>
      <c r="DV32" s="181"/>
      <c r="DW32" s="181"/>
      <c r="DX32" s="181"/>
      <c r="DY32" s="181"/>
      <c r="DZ32" s="181"/>
      <c r="EA32" s="181"/>
      <c r="EB32" s="181"/>
      <c r="EC32" s="1749"/>
      <c r="ED32" s="181"/>
      <c r="EE32" s="181"/>
      <c r="EF32" s="181"/>
      <c r="EG32" s="1749"/>
      <c r="EH32" s="181"/>
      <c r="EI32" s="1928"/>
      <c r="EJ32" s="181"/>
      <c r="EK32" s="1749"/>
      <c r="EL32" s="181"/>
      <c r="EM32" s="2066"/>
      <c r="EN32" s="181"/>
      <c r="EO32" s="181"/>
      <c r="EP32" s="181"/>
      <c r="EQ32" s="2066"/>
      <c r="ER32" s="181"/>
      <c r="ES32" s="181"/>
      <c r="ET32" s="181"/>
      <c r="EU32" s="181"/>
      <c r="EV32" s="181"/>
      <c r="EW32" s="181"/>
      <c r="EX32" s="181"/>
      <c r="EY32" s="1749"/>
      <c r="EZ32" s="181"/>
      <c r="FA32" s="181"/>
      <c r="FB32" s="181"/>
      <c r="FC32" s="1749"/>
      <c r="FD32" s="116"/>
      <c r="FE32" s="116"/>
      <c r="FF32" s="116"/>
      <c r="FL32" s="172"/>
      <c r="FO32" s="109"/>
    </row>
    <row r="33" spans="1:208" s="119" customFormat="1" ht="16.649999999999999" customHeight="1">
      <c r="A33" s="116"/>
      <c r="B33" s="116"/>
      <c r="C33" s="154" t="s">
        <v>780</v>
      </c>
      <c r="D33" s="153"/>
      <c r="E33" s="153"/>
      <c r="F33" s="214">
        <f>'P&amp;L'!AZ13</f>
        <v>402</v>
      </c>
      <c r="G33" s="214">
        <f>'P&amp;L'!BA13</f>
        <v>529</v>
      </c>
      <c r="H33" s="215">
        <f>'P&amp;L'!BB13</f>
        <v>931</v>
      </c>
      <c r="I33" s="155"/>
      <c r="J33" s="214">
        <f>'P&amp;L'!BD13</f>
        <v>339</v>
      </c>
      <c r="K33" s="214">
        <f>'P&amp;L'!BE13</f>
        <v>343</v>
      </c>
      <c r="L33" s="215">
        <f>'P&amp;L'!BF13</f>
        <v>682</v>
      </c>
      <c r="M33" s="153"/>
      <c r="N33" s="214">
        <f>'P&amp;L'!BH13</f>
        <v>327</v>
      </c>
      <c r="O33" s="214">
        <f>'P&amp;L'!BI13</f>
        <v>327</v>
      </c>
      <c r="P33" s="215">
        <f>'P&amp;L'!BJ13</f>
        <v>654</v>
      </c>
      <c r="Q33" s="155"/>
      <c r="R33" s="214">
        <f>'P&amp;L'!BL13</f>
        <v>357</v>
      </c>
      <c r="S33" s="214">
        <f>'P&amp;L'!BM13</f>
        <v>452</v>
      </c>
      <c r="T33" s="215">
        <f>'P&amp;L'!BN13</f>
        <v>809</v>
      </c>
      <c r="U33" s="214"/>
      <c r="V33" s="214">
        <f>'P&amp;L'!BP13</f>
        <v>429</v>
      </c>
      <c r="W33" s="214">
        <f>'P&amp;L'!BQ13</f>
        <v>544</v>
      </c>
      <c r="X33" s="215">
        <f>'P&amp;L'!BR13</f>
        <v>973</v>
      </c>
      <c r="Y33" s="214"/>
      <c r="Z33" s="214">
        <f>'P&amp;L'!BT13</f>
        <v>537</v>
      </c>
      <c r="AA33" s="214">
        <f>'P&amp;L'!BU13</f>
        <v>425</v>
      </c>
      <c r="AB33" s="215">
        <f>'P&amp;L'!BV13</f>
        <v>962</v>
      </c>
      <c r="AC33" s="214"/>
      <c r="AD33" s="214">
        <f>'P&amp;L'!BX13</f>
        <v>471</v>
      </c>
      <c r="AE33" s="214">
        <f>'P&amp;L'!BY13</f>
        <v>492</v>
      </c>
      <c r="AF33" s="215">
        <f>'P&amp;L'!BZ13</f>
        <v>963</v>
      </c>
      <c r="AG33" s="214"/>
      <c r="AH33" s="214">
        <f>'P&amp;L'!CB13</f>
        <v>458</v>
      </c>
      <c r="AI33" s="214">
        <f>'P&amp;L'!CC13</f>
        <v>462</v>
      </c>
      <c r="AJ33" s="215">
        <f>'P&amp;L'!CD13</f>
        <v>920</v>
      </c>
      <c r="AK33" s="214"/>
      <c r="AL33" s="214">
        <f>'P&amp;L'!CF13</f>
        <v>573</v>
      </c>
      <c r="AM33" s="214">
        <f>'P&amp;L'!CG13</f>
        <v>433</v>
      </c>
      <c r="AN33" s="215">
        <f>'P&amp;L'!CH13</f>
        <v>1006</v>
      </c>
      <c r="AO33" s="214"/>
      <c r="AP33" s="214">
        <f>'P&amp;L'!CJ13</f>
        <v>482</v>
      </c>
      <c r="AQ33" s="214">
        <f>'P&amp;L'!CK13</f>
        <v>578</v>
      </c>
      <c r="AR33" s="215">
        <f>'P&amp;L'!CL13</f>
        <v>1060</v>
      </c>
      <c r="AS33" s="214"/>
      <c r="AT33" s="214">
        <f>'P&amp;L'!CN13</f>
        <v>413</v>
      </c>
      <c r="AU33" s="214">
        <f>'P&amp;L'!CO13</f>
        <v>445</v>
      </c>
      <c r="AV33" s="215">
        <f>'P&amp;L'!CP13</f>
        <v>858</v>
      </c>
      <c r="AW33" s="214"/>
      <c r="AX33" s="214">
        <f>'P&amp;L'!CR13</f>
        <v>618</v>
      </c>
      <c r="AY33" s="214">
        <f>'P&amp;L'!CS13</f>
        <v>755</v>
      </c>
      <c r="AZ33" s="215">
        <f>'P&amp;L'!CT13</f>
        <v>1373</v>
      </c>
      <c r="BA33" s="214"/>
      <c r="BB33" s="214">
        <f>'P&amp;L'!CV13</f>
        <v>438</v>
      </c>
      <c r="BC33" s="214">
        <f>'P&amp;L'!CW13</f>
        <v>553</v>
      </c>
      <c r="BD33" s="215">
        <f>'P&amp;L'!CX13</f>
        <v>991</v>
      </c>
      <c r="BE33" s="214"/>
      <c r="BF33" s="214">
        <f>'P&amp;L'!CZ13</f>
        <v>408</v>
      </c>
      <c r="BG33" s="214">
        <f>'P&amp;L'!DA13</f>
        <v>335</v>
      </c>
      <c r="BH33" s="215">
        <f>'P&amp;L'!DB13</f>
        <v>743</v>
      </c>
      <c r="BI33" s="214"/>
      <c r="BJ33" s="214">
        <f>'P&amp;L'!DD13</f>
        <v>413</v>
      </c>
      <c r="BK33" s="214">
        <f ca="1">'P&amp;L'!DE13</f>
        <v>503</v>
      </c>
      <c r="BL33" s="215">
        <f ca="1">'P&amp;L'!DF13</f>
        <v>916</v>
      </c>
      <c r="BM33" s="214"/>
      <c r="BN33" s="214">
        <f>'P&amp;L'!DH13</f>
        <v>558</v>
      </c>
      <c r="BO33" s="214">
        <f>'P&amp;L'!DI13</f>
        <v>581.6</v>
      </c>
      <c r="BP33" s="214">
        <f>'P&amp;L'!DJ13</f>
        <v>1139.5999999999999</v>
      </c>
      <c r="BQ33" s="214"/>
      <c r="BR33" s="214">
        <f>'P&amp;L'!DL13</f>
        <v>606.04500000000007</v>
      </c>
      <c r="BS33" s="214">
        <f>'P&amp;L'!DM13</f>
        <v>637.48024999999996</v>
      </c>
      <c r="BT33" s="1475">
        <f>'P&amp;L'!DN13</f>
        <v>1243.5252500000001</v>
      </c>
      <c r="BU33" s="214"/>
      <c r="BV33" s="214">
        <f>'P&amp;L'!DP13</f>
        <v>647.04715499999998</v>
      </c>
      <c r="BW33" s="214">
        <f>'P&amp;L'!DQ13</f>
        <v>662.68278410000005</v>
      </c>
      <c r="BX33" s="1475">
        <f>'P&amp;L'!DR13</f>
        <v>1309.7299391000001</v>
      </c>
      <c r="BY33" s="214"/>
      <c r="BZ33" s="214"/>
      <c r="CA33" s="182"/>
      <c r="CB33" s="208" t="s">
        <v>543</v>
      </c>
      <c r="CC33" s="177"/>
      <c r="CD33" s="177"/>
      <c r="CE33" s="177"/>
      <c r="CF33" s="177"/>
      <c r="CG33" s="177"/>
      <c r="CH33" s="177"/>
      <c r="CI33" s="178"/>
      <c r="CJ33" s="177"/>
      <c r="CK33" s="177"/>
      <c r="CL33" s="177"/>
      <c r="CM33" s="178"/>
      <c r="CN33" s="177"/>
      <c r="CO33" s="177"/>
      <c r="CP33" s="177"/>
      <c r="CQ33" s="178"/>
      <c r="CR33" s="177"/>
      <c r="CS33" s="177"/>
      <c r="CT33" s="177"/>
      <c r="CU33" s="178"/>
      <c r="CV33" s="178"/>
      <c r="CW33" s="178"/>
      <c r="CX33" s="178"/>
      <c r="CY33" s="178"/>
      <c r="CZ33" s="178"/>
      <c r="DA33" s="178"/>
      <c r="DB33" s="178"/>
      <c r="DC33" s="178"/>
      <c r="DD33" s="178"/>
      <c r="DE33" s="178"/>
      <c r="DF33" s="178"/>
      <c r="DG33" s="178"/>
      <c r="DH33" s="178"/>
      <c r="DI33" s="178"/>
      <c r="DJ33" s="178"/>
      <c r="DK33" s="178"/>
      <c r="DL33" s="178"/>
      <c r="DM33" s="178"/>
      <c r="DN33" s="178"/>
      <c r="DO33" s="178"/>
      <c r="DP33" s="178"/>
      <c r="DQ33" s="178"/>
      <c r="DR33" s="178"/>
      <c r="DS33" s="178"/>
      <c r="DT33" s="178"/>
      <c r="DU33" s="178"/>
      <c r="DV33" s="178"/>
      <c r="DW33" s="178"/>
      <c r="DX33" s="178"/>
      <c r="DY33" s="178"/>
      <c r="DZ33" s="178"/>
      <c r="EA33" s="178"/>
      <c r="EB33" s="178"/>
      <c r="EC33" s="1748"/>
      <c r="ED33" s="178"/>
      <c r="EE33" s="178"/>
      <c r="EF33" s="178"/>
      <c r="EG33" s="1748"/>
      <c r="EH33" s="178"/>
      <c r="EI33" s="1927"/>
      <c r="EJ33" s="178"/>
      <c r="EK33" s="1748"/>
      <c r="EL33" s="178"/>
      <c r="EM33" s="2065"/>
      <c r="EN33" s="178"/>
      <c r="EO33" s="178"/>
      <c r="EP33" s="178"/>
      <c r="EQ33" s="2065"/>
      <c r="ER33" s="178"/>
      <c r="ES33" s="178"/>
      <c r="ET33" s="178"/>
      <c r="EU33" s="178"/>
      <c r="EV33" s="178"/>
      <c r="EW33" s="178"/>
      <c r="EX33" s="178"/>
      <c r="EY33" s="1748"/>
      <c r="EZ33" s="178"/>
      <c r="FA33" s="178"/>
      <c r="FB33" s="178"/>
      <c r="FC33" s="1748"/>
      <c r="FD33" s="116"/>
      <c r="FE33" s="116"/>
      <c r="FF33" s="116"/>
      <c r="FL33" s="172"/>
      <c r="FO33" s="109"/>
    </row>
    <row r="34" spans="1:208" s="119" customFormat="1" ht="16.649999999999999" customHeight="1">
      <c r="A34" s="116" t="s">
        <v>1150</v>
      </c>
      <c r="B34" s="116"/>
      <c r="C34" s="154" t="s">
        <v>585</v>
      </c>
      <c r="D34" s="153"/>
      <c r="E34" s="153"/>
      <c r="F34" s="214">
        <f>'P&amp;L'!AZ14</f>
        <v>582</v>
      </c>
      <c r="G34" s="214">
        <f>'P&amp;L'!BA14</f>
        <v>555</v>
      </c>
      <c r="H34" s="215">
        <f>'P&amp;L'!BB14</f>
        <v>1137</v>
      </c>
      <c r="I34" s="155"/>
      <c r="J34" s="214">
        <f>'P&amp;L'!BD14</f>
        <v>486.5</v>
      </c>
      <c r="K34" s="214">
        <f>'P&amp;L'!BE14</f>
        <v>420</v>
      </c>
      <c r="L34" s="215">
        <f>'P&amp;L'!BF14</f>
        <v>906.5</v>
      </c>
      <c r="M34" s="153"/>
      <c r="N34" s="214">
        <f>'P&amp;L'!BH14</f>
        <v>394</v>
      </c>
      <c r="O34" s="214">
        <f>'P&amp;L'!BI14</f>
        <v>417</v>
      </c>
      <c r="P34" s="215">
        <f>'P&amp;L'!BJ14</f>
        <v>811</v>
      </c>
      <c r="Q34" s="155"/>
      <c r="R34" s="214">
        <f>'P&amp;L'!BL14</f>
        <v>469</v>
      </c>
      <c r="S34" s="214">
        <f>'P&amp;L'!BM14</f>
        <v>438</v>
      </c>
      <c r="T34" s="215">
        <f>'P&amp;L'!BN14</f>
        <v>907</v>
      </c>
      <c r="U34" s="214"/>
      <c r="V34" s="214">
        <f>'P&amp;L'!BP14</f>
        <v>396</v>
      </c>
      <c r="W34" s="214">
        <f>'P&amp;L'!BQ14</f>
        <v>440</v>
      </c>
      <c r="X34" s="215">
        <f>'P&amp;L'!BR14</f>
        <v>836</v>
      </c>
      <c r="Y34" s="214"/>
      <c r="Z34" s="214">
        <f>'P&amp;L'!BT14</f>
        <v>461</v>
      </c>
      <c r="AA34" s="214">
        <f>'P&amp;L'!BU14</f>
        <v>427</v>
      </c>
      <c r="AB34" s="215">
        <f>'P&amp;L'!BV14</f>
        <v>888</v>
      </c>
      <c r="AC34" s="214"/>
      <c r="AD34" s="214">
        <f>'P&amp;L'!BX14</f>
        <v>419</v>
      </c>
      <c r="AE34" s="214">
        <f>'P&amp;L'!BY14</f>
        <v>394</v>
      </c>
      <c r="AF34" s="215">
        <f>'P&amp;L'!BZ14</f>
        <v>813</v>
      </c>
      <c r="AG34" s="214"/>
      <c r="AH34" s="214">
        <f>'P&amp;L'!CB14</f>
        <v>386</v>
      </c>
      <c r="AI34" s="214">
        <f>'P&amp;L'!CC14</f>
        <v>388</v>
      </c>
      <c r="AJ34" s="215">
        <f>'P&amp;L'!CD14</f>
        <v>774</v>
      </c>
      <c r="AK34" s="214"/>
      <c r="AL34" s="214">
        <f>'P&amp;L'!CF14</f>
        <v>473</v>
      </c>
      <c r="AM34" s="214">
        <f>'P&amp;L'!CG14</f>
        <v>459</v>
      </c>
      <c r="AN34" s="215">
        <f>'P&amp;L'!CH14</f>
        <v>932</v>
      </c>
      <c r="AO34" s="214"/>
      <c r="AP34" s="214">
        <f>'P&amp;L'!CJ14</f>
        <v>412</v>
      </c>
      <c r="AQ34" s="214">
        <f>'P&amp;L'!CK14</f>
        <v>458</v>
      </c>
      <c r="AR34" s="215">
        <f>'P&amp;L'!CL14</f>
        <v>870</v>
      </c>
      <c r="AS34" s="214"/>
      <c r="AT34" s="214">
        <f>'P&amp;L'!CN14</f>
        <v>401</v>
      </c>
      <c r="AU34" s="214">
        <f>'P&amp;L'!CO14</f>
        <v>415</v>
      </c>
      <c r="AV34" s="215">
        <f>'P&amp;L'!CP14</f>
        <v>816</v>
      </c>
      <c r="AW34" s="214"/>
      <c r="AX34" s="214">
        <f>'P&amp;L'!CR14</f>
        <v>381</v>
      </c>
      <c r="AY34" s="214">
        <f>'P&amp;L'!CS14</f>
        <v>420</v>
      </c>
      <c r="AZ34" s="215">
        <f>'P&amp;L'!CT14</f>
        <v>801</v>
      </c>
      <c r="BA34" s="214"/>
      <c r="BB34" s="214">
        <f>'P&amp;L'!CV14</f>
        <v>358</v>
      </c>
      <c r="BC34" s="214">
        <f>'P&amp;L'!CW14</f>
        <v>357</v>
      </c>
      <c r="BD34" s="215">
        <f>'P&amp;L'!CX14</f>
        <v>715</v>
      </c>
      <c r="BE34" s="214"/>
      <c r="BF34" s="214">
        <f>'P&amp;L'!CZ14</f>
        <v>377</v>
      </c>
      <c r="BG34" s="214">
        <f>'P&amp;L'!DA14</f>
        <v>414</v>
      </c>
      <c r="BH34" s="215">
        <f>'P&amp;L'!DB14</f>
        <v>791</v>
      </c>
      <c r="BI34" s="214"/>
      <c r="BJ34" s="214">
        <f>'P&amp;L'!DD14</f>
        <v>429</v>
      </c>
      <c r="BK34" s="214">
        <f ca="1">'P&amp;L'!DE14</f>
        <v>434</v>
      </c>
      <c r="BL34" s="215">
        <f ca="1">'P&amp;L'!DF14</f>
        <v>863</v>
      </c>
      <c r="BM34" s="214"/>
      <c r="BN34" s="214">
        <f>'P&amp;L'!DH14</f>
        <v>484</v>
      </c>
      <c r="BO34" s="214">
        <f>'P&amp;L'!DI14</f>
        <v>426.65500564971751</v>
      </c>
      <c r="BP34" s="214">
        <f>'P&amp;L'!DJ14</f>
        <v>910.65500564971751</v>
      </c>
      <c r="BQ34" s="214"/>
      <c r="BR34" s="214">
        <f>'P&amp;L'!DL14</f>
        <v>456.36391480225984</v>
      </c>
      <c r="BS34" s="214">
        <f>'P&amp;L'!DM14</f>
        <v>438.90054957514121</v>
      </c>
      <c r="BT34" s="1475">
        <f>'P&amp;L'!DN14</f>
        <v>895.26446437740105</v>
      </c>
      <c r="BU34" s="214"/>
      <c r="BV34" s="214">
        <f>'P&amp;L'!DP14</f>
        <v>468.89483732775136</v>
      </c>
      <c r="BW34" s="214">
        <f>'P&amp;L'!DQ14</f>
        <v>452.10594870617103</v>
      </c>
      <c r="BX34" s="1475">
        <f>'P&amp;L'!DR14</f>
        <v>921.0007860339224</v>
      </c>
      <c r="BY34" s="214"/>
      <c r="BZ34" s="214"/>
      <c r="CA34" s="182"/>
      <c r="CB34" s="212"/>
      <c r="CI34" s="193"/>
      <c r="CM34" s="193"/>
      <c r="CQ34" s="193"/>
      <c r="CU34" s="193"/>
      <c r="CV34" s="193"/>
      <c r="CW34" s="193"/>
      <c r="CX34" s="193"/>
      <c r="CY34" s="193"/>
      <c r="CZ34" s="193"/>
      <c r="DA34" s="193"/>
      <c r="DB34" s="193"/>
      <c r="DC34" s="193"/>
      <c r="DD34" s="193"/>
      <c r="DE34" s="193"/>
      <c r="DF34" s="193"/>
      <c r="DG34" s="193"/>
      <c r="DH34" s="193"/>
      <c r="DI34" s="193"/>
      <c r="DJ34" s="193"/>
      <c r="DK34" s="193"/>
      <c r="DL34" s="193"/>
      <c r="DM34" s="193"/>
      <c r="DN34" s="193"/>
      <c r="DO34" s="193"/>
      <c r="DP34" s="193"/>
      <c r="DQ34" s="193"/>
      <c r="DR34" s="193"/>
      <c r="DS34" s="193"/>
      <c r="DT34" s="193"/>
      <c r="DU34" s="193"/>
      <c r="DV34" s="193"/>
      <c r="DW34" s="193"/>
      <c r="DX34" s="193"/>
      <c r="DY34" s="193"/>
      <c r="DZ34" s="193"/>
      <c r="EA34" s="193"/>
      <c r="EB34" s="193"/>
      <c r="EC34" s="1750"/>
      <c r="ED34" s="193"/>
      <c r="EE34" s="193"/>
      <c r="EF34" s="193"/>
      <c r="EG34" s="1750"/>
      <c r="EH34" s="193"/>
      <c r="EI34" s="1929"/>
      <c r="EJ34" s="193"/>
      <c r="EK34" s="1750"/>
      <c r="EL34" s="193"/>
      <c r="EM34" s="2067"/>
      <c r="EN34" s="193"/>
      <c r="EO34" s="193"/>
      <c r="EP34" s="193"/>
      <c r="EQ34" s="2067"/>
      <c r="ER34" s="193"/>
      <c r="ES34" s="193"/>
      <c r="ET34" s="193"/>
      <c r="EU34" s="193"/>
      <c r="EV34" s="193"/>
      <c r="EW34" s="193"/>
      <c r="EX34" s="193"/>
      <c r="EY34" s="1750"/>
      <c r="EZ34" s="193"/>
      <c r="FA34" s="193"/>
      <c r="FB34" s="193"/>
      <c r="FC34" s="1750"/>
      <c r="FD34" s="1850"/>
      <c r="FE34" s="116"/>
      <c r="FF34" s="116"/>
      <c r="FL34" s="172"/>
      <c r="FO34" s="109"/>
    </row>
    <row r="35" spans="1:208" s="119" customFormat="1" ht="16.649999999999999" customHeight="1">
      <c r="A35" s="116" t="s">
        <v>1151</v>
      </c>
      <c r="B35" s="116"/>
      <c r="C35" s="154" t="s">
        <v>781</v>
      </c>
      <c r="D35" s="153"/>
      <c r="E35" s="153"/>
      <c r="F35" s="214">
        <f>'P&amp;L'!AZ15</f>
        <v>500</v>
      </c>
      <c r="G35" s="214">
        <f>'P&amp;L'!BA15</f>
        <v>337</v>
      </c>
      <c r="H35" s="215">
        <f>'P&amp;L'!BB15</f>
        <v>837</v>
      </c>
      <c r="I35" s="155"/>
      <c r="J35" s="214">
        <f>'P&amp;L'!BD15</f>
        <v>388.5</v>
      </c>
      <c r="K35" s="214">
        <f>'P&amp;L'!BE15</f>
        <v>318</v>
      </c>
      <c r="L35" s="215">
        <f>'P&amp;L'!BF15</f>
        <v>706.5</v>
      </c>
      <c r="M35" s="153"/>
      <c r="N35" s="214">
        <f>'P&amp;L'!BH15</f>
        <v>340</v>
      </c>
      <c r="O35" s="214">
        <f>'P&amp;L'!BI15</f>
        <v>393</v>
      </c>
      <c r="P35" s="215">
        <f>'P&amp;L'!BJ15</f>
        <v>733</v>
      </c>
      <c r="Q35" s="155"/>
      <c r="R35" s="214">
        <f>'P&amp;L'!BL15</f>
        <v>308</v>
      </c>
      <c r="S35" s="214">
        <f>'P&amp;L'!BM15</f>
        <v>325</v>
      </c>
      <c r="T35" s="215">
        <f>'P&amp;L'!BN15</f>
        <v>633</v>
      </c>
      <c r="U35" s="214"/>
      <c r="V35" s="214">
        <f>'P&amp;L'!BP15</f>
        <v>319</v>
      </c>
      <c r="W35" s="214">
        <f>'P&amp;L'!BQ15</f>
        <v>556</v>
      </c>
      <c r="X35" s="215">
        <f>'P&amp;L'!BR15</f>
        <v>875</v>
      </c>
      <c r="Y35" s="214"/>
      <c r="Z35" s="214">
        <f>'P&amp;L'!BT15</f>
        <v>376</v>
      </c>
      <c r="AA35" s="214">
        <f>'P&amp;L'!BU15</f>
        <v>340</v>
      </c>
      <c r="AB35" s="215">
        <f>'P&amp;L'!BV15</f>
        <v>716</v>
      </c>
      <c r="AC35" s="214"/>
      <c r="AD35" s="214">
        <f>'P&amp;L'!BX15</f>
        <v>349</v>
      </c>
      <c r="AE35" s="214">
        <f>'P&amp;L'!BY15</f>
        <v>362</v>
      </c>
      <c r="AF35" s="215">
        <f>'P&amp;L'!BZ15</f>
        <v>711</v>
      </c>
      <c r="AG35" s="214"/>
      <c r="AH35" s="214">
        <f>'P&amp;L'!CB15</f>
        <v>383</v>
      </c>
      <c r="AI35" s="214">
        <f>'P&amp;L'!CC15</f>
        <v>408</v>
      </c>
      <c r="AJ35" s="215">
        <f>'P&amp;L'!CD15</f>
        <v>791</v>
      </c>
      <c r="AK35" s="214"/>
      <c r="AL35" s="214">
        <f>'P&amp;L'!CF15</f>
        <v>434</v>
      </c>
      <c r="AM35" s="214">
        <f>'P&amp;L'!CG15</f>
        <v>480</v>
      </c>
      <c r="AN35" s="215">
        <f>'P&amp;L'!CH15</f>
        <v>914</v>
      </c>
      <c r="AO35" s="214"/>
      <c r="AP35" s="214">
        <f>'P&amp;L'!CJ15</f>
        <v>467</v>
      </c>
      <c r="AQ35" s="214">
        <f>'P&amp;L'!CK15</f>
        <v>566</v>
      </c>
      <c r="AR35" s="215">
        <f>'P&amp;L'!CL15</f>
        <v>1033</v>
      </c>
      <c r="AS35" s="214"/>
      <c r="AT35" s="214">
        <f>'P&amp;L'!CN15</f>
        <v>401</v>
      </c>
      <c r="AU35" s="214">
        <f>'P&amp;L'!CO15</f>
        <v>430</v>
      </c>
      <c r="AV35" s="215">
        <f>'P&amp;L'!CP15</f>
        <v>831</v>
      </c>
      <c r="AW35" s="214"/>
      <c r="AX35" s="214">
        <f>'P&amp;L'!CR15</f>
        <v>902</v>
      </c>
      <c r="AY35" s="214">
        <f>'P&amp;L'!CS15</f>
        <v>620</v>
      </c>
      <c r="AZ35" s="215">
        <f>'P&amp;L'!CT15</f>
        <v>1522</v>
      </c>
      <c r="BA35" s="214"/>
      <c r="BB35" s="214">
        <f>'P&amp;L'!CV15</f>
        <v>633</v>
      </c>
      <c r="BC35" s="214">
        <f>'P&amp;L'!CW15</f>
        <v>565</v>
      </c>
      <c r="BD35" s="215">
        <f>'P&amp;L'!CX15</f>
        <v>1198</v>
      </c>
      <c r="BE35" s="214"/>
      <c r="BF35" s="214">
        <f>'P&amp;L'!CZ15</f>
        <v>585</v>
      </c>
      <c r="BG35" s="214">
        <f>'P&amp;L'!DA15</f>
        <v>603</v>
      </c>
      <c r="BH35" s="215">
        <f>'P&amp;L'!DB15</f>
        <v>1188</v>
      </c>
      <c r="BI35" s="214"/>
      <c r="BJ35" s="214">
        <f>'P&amp;L'!DD15</f>
        <v>607</v>
      </c>
      <c r="BK35" s="214">
        <f ca="1">'P&amp;L'!DE15</f>
        <v>619</v>
      </c>
      <c r="BL35" s="215">
        <f ca="1">'P&amp;L'!DF15</f>
        <v>1226</v>
      </c>
      <c r="BM35" s="214"/>
      <c r="BN35" s="214">
        <f>'P&amp;L'!DH15</f>
        <v>626</v>
      </c>
      <c r="BO35" s="214">
        <f>'P&amp;L'!DI15</f>
        <v>654.02499435028244</v>
      </c>
      <c r="BP35" s="214">
        <f>'P&amp;L'!DJ15</f>
        <v>1280.0249943502824</v>
      </c>
      <c r="BQ35" s="214"/>
      <c r="BR35" s="214">
        <f>'P&amp;L'!DL15</f>
        <v>683.77548519774018</v>
      </c>
      <c r="BS35" s="214">
        <f>'P&amp;L'!DM15</f>
        <v>691.16623642485877</v>
      </c>
      <c r="BT35" s="1475">
        <f>'P&amp;L'!DN15</f>
        <v>1374.9417216225988</v>
      </c>
      <c r="BU35" s="214"/>
      <c r="BV35" s="214">
        <f>'P&amp;L'!DP15</f>
        <v>722.4475960122486</v>
      </c>
      <c r="BW35" s="214">
        <f>'P&amp;L'!DQ15</f>
        <v>730.47655932842895</v>
      </c>
      <c r="BX35" s="1475">
        <f>'P&amp;L'!DR15</f>
        <v>1452.9241553406775</v>
      </c>
      <c r="BY35" s="214"/>
      <c r="BZ35" s="214"/>
      <c r="CA35" s="182"/>
      <c r="CB35" s="212" t="s">
        <v>365</v>
      </c>
      <c r="CI35" s="150"/>
      <c r="CM35" s="150"/>
      <c r="CQ35" s="150"/>
      <c r="CU35" s="150">
        <f ca="1">'Bal Sheet'!BJ464</f>
        <v>42.9</v>
      </c>
      <c r="CV35" s="193"/>
      <c r="CW35" s="193"/>
      <c r="CX35" s="193"/>
      <c r="CY35" s="150">
        <f>'Bal Sheet'!BN464</f>
        <v>47.2</v>
      </c>
      <c r="CZ35" s="193"/>
      <c r="DA35" s="193"/>
      <c r="DB35" s="193"/>
      <c r="DC35" s="150">
        <f>'Bal Sheet'!BR464</f>
        <v>55.2</v>
      </c>
      <c r="DD35" s="193"/>
      <c r="DE35" s="193"/>
      <c r="DF35" s="193"/>
      <c r="DG35" s="150">
        <f>'Bal Sheet'!BV464</f>
        <v>69.099999999999994</v>
      </c>
      <c r="DH35" s="193"/>
      <c r="DI35" s="193"/>
      <c r="DJ35" s="193"/>
      <c r="DK35" s="150">
        <f>'Bal Sheet'!BZ464</f>
        <v>67.5</v>
      </c>
      <c r="DL35" s="193"/>
      <c r="DM35" s="193"/>
      <c r="DN35" s="193"/>
      <c r="DO35" s="150">
        <f>'Bal Sheet'!CD464</f>
        <v>75.3</v>
      </c>
      <c r="DP35" s="150"/>
      <c r="DQ35" s="193"/>
      <c r="DR35" s="193"/>
      <c r="DS35" s="150">
        <f>'Bal Sheet'!CH464</f>
        <v>83</v>
      </c>
      <c r="DT35" s="150"/>
      <c r="DU35" s="150">
        <f>'Bal Sheet'!CJ464</f>
        <v>81.2</v>
      </c>
      <c r="DV35" s="150">
        <f>'Bal Sheet'!CK464</f>
        <v>86.5</v>
      </c>
      <c r="DW35" s="150">
        <f>'Bal Sheet'!CL464</f>
        <v>86.5</v>
      </c>
      <c r="DX35" s="150"/>
      <c r="DY35" s="150">
        <f>'Bal Sheet'!CN464</f>
        <v>96.3</v>
      </c>
      <c r="DZ35" s="150">
        <f>'Bal Sheet'!CO464</f>
        <v>107.4</v>
      </c>
      <c r="EA35" s="150">
        <f>'Bal Sheet'!CP464</f>
        <v>107.4</v>
      </c>
      <c r="EB35" s="150"/>
      <c r="EC35" s="1751">
        <f>'Bal Sheet'!CR464</f>
        <v>122.1</v>
      </c>
      <c r="ED35" s="150">
        <f>'Bal Sheet'!CS464</f>
        <v>138.6</v>
      </c>
      <c r="EE35" s="150">
        <f>'Bal Sheet'!CT464</f>
        <v>138.6</v>
      </c>
      <c r="EF35" s="150"/>
      <c r="EG35" s="1751">
        <f>'Bal Sheet'!CV464</f>
        <v>153.1</v>
      </c>
      <c r="EH35" s="150">
        <f>'Bal Sheet'!CW464</f>
        <v>163.5</v>
      </c>
      <c r="EI35" s="1930">
        <f>'Bal Sheet'!CX464</f>
        <v>163.5</v>
      </c>
      <c r="EJ35" s="150"/>
      <c r="EK35" s="1751">
        <f>'Bal Sheet'!CZ464</f>
        <v>172.6</v>
      </c>
      <c r="EL35" s="150">
        <f>'Bal Sheet'!DA464</f>
        <v>181.5</v>
      </c>
      <c r="EM35" s="2068">
        <f>'Bal Sheet'!DB464</f>
        <v>181.5</v>
      </c>
      <c r="EN35" s="150"/>
      <c r="EO35" s="150">
        <f>'Bal Sheet'!DD464</f>
        <v>191.9</v>
      </c>
      <c r="EP35" s="150">
        <f>'Bal Sheet'!DE464</f>
        <v>205.6</v>
      </c>
      <c r="EQ35" s="2068">
        <f>'Bal Sheet'!DF464</f>
        <v>205.6</v>
      </c>
      <c r="ER35" s="150"/>
      <c r="ES35" s="150">
        <f>'Bal Sheet'!DH464</f>
        <v>224</v>
      </c>
      <c r="ET35" s="150">
        <f>'Bal Sheet'!DI464</f>
        <v>249.75300000000001</v>
      </c>
      <c r="EU35" s="150">
        <f>'Bal Sheet'!DJ464</f>
        <v>249.75300000000001</v>
      </c>
      <c r="EV35" s="150"/>
      <c r="EW35" s="150">
        <f>'Bal Sheet'!DL464</f>
        <v>268.96002000000004</v>
      </c>
      <c r="EX35" s="150">
        <f>'Bal Sheet'!DM464</f>
        <v>283.73698920000004</v>
      </c>
      <c r="EY35" s="1751">
        <f>'Bal Sheet'!DN464</f>
        <v>283.73698920000004</v>
      </c>
      <c r="EZ35" s="150"/>
      <c r="FA35" s="150">
        <f>'Bal Sheet'!DP464</f>
        <v>299.34615127200004</v>
      </c>
      <c r="FB35" s="150">
        <f>'Bal Sheet'!DQ464</f>
        <v>315.83526077712008</v>
      </c>
      <c r="FC35" s="1751">
        <f>'Bal Sheet'!DR464</f>
        <v>315.83526077712008</v>
      </c>
      <c r="FD35" s="216"/>
      <c r="FE35" s="116"/>
      <c r="FF35" s="2192"/>
      <c r="FL35" s="172"/>
      <c r="FO35" s="109"/>
    </row>
    <row r="36" spans="1:208" s="119" customFormat="1" ht="16.649999999999999" customHeight="1">
      <c r="A36" s="116" t="s">
        <v>1151</v>
      </c>
      <c r="B36" s="116"/>
      <c r="C36" s="120" t="s">
        <v>598</v>
      </c>
      <c r="F36" s="505">
        <f>'P&amp;L'!AZ9</f>
        <v>605</v>
      </c>
      <c r="G36" s="505">
        <f>'P&amp;L'!BA9</f>
        <v>670</v>
      </c>
      <c r="H36" s="141">
        <f>'P&amp;L'!BB9</f>
        <v>1275</v>
      </c>
      <c r="J36" s="505">
        <f>'P&amp;L'!BD9</f>
        <v>698</v>
      </c>
      <c r="K36" s="505">
        <f>'P&amp;L'!BE9</f>
        <v>635</v>
      </c>
      <c r="L36" s="141">
        <f>'P&amp;L'!BF9</f>
        <v>1333</v>
      </c>
      <c r="N36" s="505">
        <f>'P&amp;L'!BH9</f>
        <v>644</v>
      </c>
      <c r="O36" s="505">
        <f>'P&amp;L'!BI9</f>
        <v>723</v>
      </c>
      <c r="P36" s="141">
        <f>'P&amp;L'!BJ9</f>
        <v>1367</v>
      </c>
      <c r="R36" s="505">
        <f>'P&amp;L'!BL9</f>
        <v>860</v>
      </c>
      <c r="S36" s="505">
        <f>'P&amp;L'!BM9</f>
        <v>845</v>
      </c>
      <c r="T36" s="141">
        <f>'P&amp;L'!BN9</f>
        <v>1705</v>
      </c>
      <c r="V36" s="505">
        <f>'P&amp;L'!BP9</f>
        <v>956</v>
      </c>
      <c r="W36" s="505">
        <f>'P&amp;L'!BQ9</f>
        <v>1136</v>
      </c>
      <c r="X36" s="141">
        <f>'P&amp;L'!BR9</f>
        <v>2092</v>
      </c>
      <c r="Z36" s="505">
        <f>'P&amp;L'!BT9</f>
        <v>1165</v>
      </c>
      <c r="AA36" s="505">
        <f>'P&amp;L'!BU9</f>
        <v>1114</v>
      </c>
      <c r="AB36" s="141">
        <f>'P&amp;L'!BV9</f>
        <v>2279</v>
      </c>
      <c r="AD36" s="505">
        <f>'P&amp;L'!BX9</f>
        <v>1098</v>
      </c>
      <c r="AE36" s="505">
        <f>'P&amp;L'!BY9</f>
        <v>1087</v>
      </c>
      <c r="AF36" s="141">
        <f>'P&amp;L'!BZ9</f>
        <v>2185</v>
      </c>
      <c r="AG36" s="139"/>
      <c r="AH36" s="139">
        <f>'P&amp;L'!CB9</f>
        <v>1011</v>
      </c>
      <c r="AI36" s="139">
        <f>'P&amp;L'!CC9</f>
        <v>975</v>
      </c>
      <c r="AJ36" s="141">
        <f>'P&amp;L'!CD9</f>
        <v>1986</v>
      </c>
      <c r="AK36" s="139">
        <f>'P&amp;L'!CE9</f>
        <v>0</v>
      </c>
      <c r="AL36" s="139">
        <f>'P&amp;L'!CF9</f>
        <v>998</v>
      </c>
      <c r="AM36" s="139">
        <f>'P&amp;L'!CG9</f>
        <v>762</v>
      </c>
      <c r="AN36" s="141">
        <f>'P&amp;L'!CH9</f>
        <v>1760</v>
      </c>
      <c r="AO36" s="139">
        <f>'P&amp;L'!CI9</f>
        <v>0</v>
      </c>
      <c r="AP36" s="139">
        <f>'P&amp;L'!CJ9</f>
        <v>790</v>
      </c>
      <c r="AQ36" s="139">
        <f>'P&amp;L'!CK9</f>
        <v>1069</v>
      </c>
      <c r="AR36" s="141">
        <f>'P&amp;L'!CL9</f>
        <v>1859</v>
      </c>
      <c r="AS36" s="139">
        <f>'P&amp;L'!CM9</f>
        <v>0</v>
      </c>
      <c r="AT36" s="139">
        <f>'P&amp;L'!CN9</f>
        <v>1033</v>
      </c>
      <c r="AU36" s="139">
        <f>'P&amp;L'!CO9</f>
        <v>1162</v>
      </c>
      <c r="AV36" s="141">
        <f>'P&amp;L'!CP9</f>
        <v>2195</v>
      </c>
      <c r="AW36" s="139">
        <f>'P&amp;L'!CQ9</f>
        <v>0</v>
      </c>
      <c r="AX36" s="139">
        <f>'P&amp;L'!CR9</f>
        <v>1373</v>
      </c>
      <c r="AY36" s="139">
        <f>'P&amp;L'!CS9</f>
        <v>1487</v>
      </c>
      <c r="AZ36" s="141">
        <f>'P&amp;L'!CT9</f>
        <v>2860</v>
      </c>
      <c r="BA36" s="139"/>
      <c r="BB36" s="139">
        <f>'P&amp;L'!CV9</f>
        <v>1431</v>
      </c>
      <c r="BC36" s="139">
        <f>'P&amp;L'!CW9</f>
        <v>1597</v>
      </c>
      <c r="BD36" s="141">
        <f>'P&amp;L'!CX9</f>
        <v>3028</v>
      </c>
      <c r="BE36" s="139"/>
      <c r="BF36" s="139">
        <f>'P&amp;L'!CZ9</f>
        <v>1633</v>
      </c>
      <c r="BG36" s="139">
        <f>'P&amp;L'!DA9</f>
        <v>1826</v>
      </c>
      <c r="BH36" s="141">
        <f>'P&amp;L'!DB9</f>
        <v>3459</v>
      </c>
      <c r="BI36" s="139"/>
      <c r="BJ36" s="139">
        <f>'P&amp;L'!DD9</f>
        <v>1669</v>
      </c>
      <c r="BK36" s="139">
        <f>'P&amp;L'!DE9</f>
        <v>1838</v>
      </c>
      <c r="BL36" s="141">
        <f>'P&amp;L'!DF9</f>
        <v>3507</v>
      </c>
      <c r="BM36" s="139"/>
      <c r="BN36" s="139">
        <f>'P&amp;L'!DH9</f>
        <v>2066</v>
      </c>
      <c r="BO36" s="139">
        <f>'P&amp;L'!DI9</f>
        <v>1961.8562328900316</v>
      </c>
      <c r="BP36" s="139">
        <f>'P&amp;L'!DJ9</f>
        <v>4027.8562328900316</v>
      </c>
      <c r="BQ36" s="139"/>
      <c r="BR36" s="139">
        <f>'P&amp;L'!DL9</f>
        <v>2105.8243482422477</v>
      </c>
      <c r="BS36" s="139">
        <f>'P&amp;L'!DM9</f>
        <v>2193.0643408970232</v>
      </c>
      <c r="BT36" s="1464">
        <f>'P&amp;L'!DN9</f>
        <v>4298.8886891392704</v>
      </c>
      <c r="BU36" s="139"/>
      <c r="BV36" s="139">
        <f>'P&amp;L'!DP9</f>
        <v>2269.6231916062784</v>
      </c>
      <c r="BW36" s="139">
        <f>'P&amp;L'!DQ9</f>
        <v>2350.5513257509156</v>
      </c>
      <c r="BX36" s="1464">
        <f>'P&amp;L'!DR9</f>
        <v>4620.1745173571944</v>
      </c>
      <c r="BY36" s="139"/>
      <c r="BZ36" s="139"/>
      <c r="CA36" s="182"/>
      <c r="CB36" s="212" t="s">
        <v>10</v>
      </c>
      <c r="CI36" s="150"/>
      <c r="CM36" s="150"/>
      <c r="CQ36" s="150"/>
      <c r="CU36" s="150">
        <f>'Bal Sheet'!BJ456</f>
        <v>87.6</v>
      </c>
      <c r="CV36" s="193"/>
      <c r="CW36" s="193"/>
      <c r="CX36" s="193"/>
      <c r="CY36" s="150">
        <f>'Bal Sheet'!BN456</f>
        <v>92.6</v>
      </c>
      <c r="CZ36" s="193"/>
      <c r="DA36" s="193"/>
      <c r="DB36" s="193"/>
      <c r="DC36" s="150">
        <f>'Bal Sheet'!BR456</f>
        <v>112.8</v>
      </c>
      <c r="DD36" s="193"/>
      <c r="DE36" s="193"/>
      <c r="DF36" s="193"/>
      <c r="DG36" s="150">
        <f>'Bal Sheet'!BV456</f>
        <v>131</v>
      </c>
      <c r="DH36" s="193"/>
      <c r="DI36" s="193"/>
      <c r="DJ36" s="193"/>
      <c r="DK36" s="150">
        <f>'Bal Sheet'!BZ456</f>
        <v>120.8</v>
      </c>
      <c r="DL36" s="193"/>
      <c r="DM36" s="193"/>
      <c r="DN36" s="193"/>
      <c r="DO36" s="150">
        <f>'Bal Sheet'!CD456</f>
        <v>128.80000000000001</v>
      </c>
      <c r="DP36" s="150"/>
      <c r="DQ36" s="193"/>
      <c r="DR36" s="193"/>
      <c r="DS36" s="150">
        <f>'Bal Sheet'!CH456</f>
        <v>140.5</v>
      </c>
      <c r="DT36" s="150"/>
      <c r="DU36" s="150">
        <f>'Bal Sheet'!CJ456</f>
        <v>146.4</v>
      </c>
      <c r="DV36" s="150">
        <f>'Bal Sheet'!CK456</f>
        <v>161.6</v>
      </c>
      <c r="DW36" s="150">
        <f>'Bal Sheet'!CL456</f>
        <v>161.6</v>
      </c>
      <c r="DX36" s="150"/>
      <c r="DY36" s="150">
        <f>'Bal Sheet'!CN456</f>
        <v>172.5</v>
      </c>
      <c r="DZ36" s="150">
        <f>'Bal Sheet'!CO456</f>
        <v>186.4</v>
      </c>
      <c r="EA36" s="150">
        <f>'Bal Sheet'!CP456</f>
        <v>186.4</v>
      </c>
      <c r="EB36" s="150"/>
      <c r="EC36" s="1751">
        <f>'Bal Sheet'!CR456</f>
        <v>224.9</v>
      </c>
      <c r="ED36" s="150">
        <f>'Bal Sheet'!CS456</f>
        <v>265.89999999999998</v>
      </c>
      <c r="EE36" s="150">
        <f>'Bal Sheet'!CT456</f>
        <v>265.89999999999998</v>
      </c>
      <c r="EF36" s="150"/>
      <c r="EG36" s="1751">
        <f>'Bal Sheet'!CV456</f>
        <v>306.5</v>
      </c>
      <c r="EH36" s="150">
        <f>'Bal Sheet'!CW456</f>
        <v>309</v>
      </c>
      <c r="EI36" s="1930">
        <f>'Bal Sheet'!CX456</f>
        <v>309</v>
      </c>
      <c r="EJ36" s="150"/>
      <c r="EK36" s="1751">
        <f>'Bal Sheet'!CZ456</f>
        <v>317</v>
      </c>
      <c r="EL36" s="150">
        <f>'Bal Sheet'!DA456</f>
        <v>330.1</v>
      </c>
      <c r="EM36" s="2068">
        <f>'Bal Sheet'!DB456</f>
        <v>330.1</v>
      </c>
      <c r="EN36" s="150"/>
      <c r="EO36" s="150">
        <f>'Bal Sheet'!DD456</f>
        <v>340.8</v>
      </c>
      <c r="EP36" s="150">
        <f>'Bal Sheet'!DE456</f>
        <v>368.1</v>
      </c>
      <c r="EQ36" s="2068">
        <f>'Bal Sheet'!DF456</f>
        <v>368.1</v>
      </c>
      <c r="ER36" s="150"/>
      <c r="ES36" s="150">
        <f>'Bal Sheet'!DH456</f>
        <v>401.3</v>
      </c>
      <c r="ET36" s="150">
        <f>'Bal Sheet'!DI456</f>
        <v>430.37955977576468</v>
      </c>
      <c r="EU36" s="150">
        <f>'Bal Sheet'!DJ456</f>
        <v>430.37955977576468</v>
      </c>
      <c r="EV36" s="150"/>
      <c r="EW36" s="150">
        <f>'Bal Sheet'!DL456</f>
        <v>452.68754764581467</v>
      </c>
      <c r="EX36" s="150">
        <f>'Bal Sheet'!DM456</f>
        <v>471.51691096786072</v>
      </c>
      <c r="EY36" s="1751">
        <f>'Bal Sheet'!DN456</f>
        <v>471.51691096786072</v>
      </c>
      <c r="EZ36" s="150"/>
      <c r="FA36" s="150">
        <f>'Bal Sheet'!DP456</f>
        <v>491.23517769453315</v>
      </c>
      <c r="FB36" s="150">
        <f>'Bal Sheet'!DQ456</f>
        <v>511.88856065722155</v>
      </c>
      <c r="FC36" s="1751">
        <f>'Bal Sheet'!DR456</f>
        <v>511.88856065722155</v>
      </c>
      <c r="FD36" s="144"/>
      <c r="FE36" s="116"/>
      <c r="FF36" s="2192"/>
      <c r="FL36" s="172"/>
      <c r="FO36" s="109"/>
    </row>
    <row r="37" spans="1:208" s="119" customFormat="1" ht="16.649999999999999" customHeight="1">
      <c r="A37" s="116" t="s">
        <v>591</v>
      </c>
      <c r="B37" s="116"/>
      <c r="C37" s="120" t="s">
        <v>592</v>
      </c>
      <c r="F37" s="139">
        <f>'P&amp;L'!AZ16</f>
        <v>606</v>
      </c>
      <c r="G37" s="139">
        <f>'P&amp;L'!BA16</f>
        <v>762</v>
      </c>
      <c r="H37" s="141">
        <f>'P&amp;L'!BB16</f>
        <v>1368</v>
      </c>
      <c r="J37" s="139">
        <f>'P&amp;L'!BD16</f>
        <v>374</v>
      </c>
      <c r="K37" s="139">
        <f>'P&amp;L'!BE16</f>
        <v>661</v>
      </c>
      <c r="L37" s="141">
        <f>'P&amp;L'!BF16</f>
        <v>1035</v>
      </c>
      <c r="N37" s="139">
        <f>'P&amp;L'!BH16</f>
        <v>555</v>
      </c>
      <c r="O37" s="139">
        <f>'P&amp;L'!BI16</f>
        <v>679</v>
      </c>
      <c r="P37" s="141">
        <f>'P&amp;L'!BJ16</f>
        <v>1234</v>
      </c>
      <c r="R37" s="139">
        <f>'P&amp;L'!BL16</f>
        <v>591</v>
      </c>
      <c r="S37" s="139">
        <f>'P&amp;L'!BM16</f>
        <v>979</v>
      </c>
      <c r="T37" s="141">
        <f>'P&amp;L'!BN16</f>
        <v>1570</v>
      </c>
      <c r="V37" s="139">
        <f>'P&amp;L'!BP16</f>
        <v>687</v>
      </c>
      <c r="W37" s="139">
        <f>'P&amp;L'!BQ16</f>
        <v>1040</v>
      </c>
      <c r="X37" s="141">
        <f>'P&amp;L'!BR16</f>
        <v>1727</v>
      </c>
      <c r="Z37" s="139">
        <f>'P&amp;L'!BT16</f>
        <v>1108</v>
      </c>
      <c r="AA37" s="139">
        <f>'P&amp;L'!BU16</f>
        <v>959</v>
      </c>
      <c r="AB37" s="141">
        <f>'P&amp;L'!BV16</f>
        <v>2067</v>
      </c>
      <c r="AD37" s="139">
        <f>'P&amp;L'!BX16</f>
        <v>776</v>
      </c>
      <c r="AE37" s="139">
        <f>'P&amp;L'!BY16</f>
        <v>982</v>
      </c>
      <c r="AF37" s="141">
        <f>'P&amp;L'!BZ16</f>
        <v>1758</v>
      </c>
      <c r="AG37" s="139"/>
      <c r="AH37" s="139">
        <f>'P&amp;L'!CB16</f>
        <v>881</v>
      </c>
      <c r="AI37" s="139">
        <f>'P&amp;L'!CC16</f>
        <v>1076</v>
      </c>
      <c r="AJ37" s="141">
        <f>'P&amp;L'!CD16</f>
        <v>1957</v>
      </c>
      <c r="AK37" s="139">
        <f>'P&amp;L'!CE16</f>
        <v>0</v>
      </c>
      <c r="AL37" s="139">
        <f>'P&amp;L'!CF16</f>
        <v>1231</v>
      </c>
      <c r="AM37" s="139">
        <f>'P&amp;L'!CG16</f>
        <v>1560</v>
      </c>
      <c r="AN37" s="141">
        <f>'P&amp;L'!CH16</f>
        <v>2791</v>
      </c>
      <c r="AO37" s="139">
        <f>'P&amp;L'!CI16</f>
        <v>0</v>
      </c>
      <c r="AP37" s="139">
        <f>'P&amp;L'!CJ16</f>
        <v>1627</v>
      </c>
      <c r="AQ37" s="139">
        <f>'P&amp;L'!CK16</f>
        <v>1234</v>
      </c>
      <c r="AR37" s="141">
        <f>'P&amp;L'!CL16</f>
        <v>2861</v>
      </c>
      <c r="AS37" s="139">
        <f>'P&amp;L'!CM16</f>
        <v>0</v>
      </c>
      <c r="AT37" s="139">
        <f>'P&amp;L'!CN16</f>
        <v>1487</v>
      </c>
      <c r="AU37" s="139">
        <f>'P&amp;L'!CO16</f>
        <v>1995</v>
      </c>
      <c r="AV37" s="141">
        <f>'P&amp;L'!CP16</f>
        <v>3482</v>
      </c>
      <c r="AW37" s="139">
        <f>'P&amp;L'!CQ16</f>
        <v>0</v>
      </c>
      <c r="AX37" s="139">
        <f>'P&amp;L'!CR16</f>
        <v>1659</v>
      </c>
      <c r="AY37" s="139">
        <f>'P&amp;L'!CS16</f>
        <v>2337</v>
      </c>
      <c r="AZ37" s="141">
        <f>'P&amp;L'!CT16</f>
        <v>3996</v>
      </c>
      <c r="BA37" s="139"/>
      <c r="BB37" s="139">
        <f>'P&amp;L'!CV16</f>
        <v>2817</v>
      </c>
      <c r="BC37" s="139">
        <f>'P&amp;L'!CW16</f>
        <v>4756</v>
      </c>
      <c r="BD37" s="141">
        <f>'P&amp;L'!CX16</f>
        <v>7573</v>
      </c>
      <c r="BE37" s="139"/>
      <c r="BF37" s="139">
        <f>'P&amp;L'!CZ16</f>
        <v>2612</v>
      </c>
      <c r="BG37" s="139">
        <f>'P&amp;L'!DA16</f>
        <v>2836</v>
      </c>
      <c r="BH37" s="141">
        <f>'P&amp;L'!DB16</f>
        <v>5448</v>
      </c>
      <c r="BI37" s="139"/>
      <c r="BJ37" s="139">
        <f>'P&amp;L'!DD16</f>
        <v>2460</v>
      </c>
      <c r="BK37" s="139">
        <f>'P&amp;L'!DE16</f>
        <v>2910</v>
      </c>
      <c r="BL37" s="141">
        <f>'P&amp;L'!DF16</f>
        <v>5370</v>
      </c>
      <c r="BM37" s="139"/>
      <c r="BN37" s="139">
        <f>'P&amp;L'!DH16</f>
        <v>2445</v>
      </c>
      <c r="BO37" s="139">
        <f>'P&amp;L'!DI16</f>
        <v>3280.9700000000003</v>
      </c>
      <c r="BP37" s="139">
        <f>'P&amp;L'!DJ16</f>
        <v>5725.97</v>
      </c>
      <c r="BQ37" s="139"/>
      <c r="BR37" s="139">
        <f>'P&amp;L'!DL16</f>
        <v>2623.5912999999996</v>
      </c>
      <c r="BS37" s="139">
        <f>'P&amp;L'!DM16</f>
        <v>3347.8119890000003</v>
      </c>
      <c r="BT37" s="1464">
        <f>'P&amp;L'!DN16</f>
        <v>5971.4032889999999</v>
      </c>
      <c r="BU37" s="139"/>
      <c r="BV37" s="139">
        <f>'P&amp;L'!DP16</f>
        <v>2678.5929496700001</v>
      </c>
      <c r="BW37" s="139">
        <f>'P&amp;L'!DQ16</f>
        <v>3425.7311526600997</v>
      </c>
      <c r="BX37" s="1464">
        <f>'P&amp;L'!DR16</f>
        <v>6104.3241023300998</v>
      </c>
      <c r="BY37" s="139"/>
      <c r="BZ37" s="139"/>
      <c r="CA37" s="218"/>
      <c r="CB37" s="212" t="s">
        <v>547</v>
      </c>
      <c r="CI37" s="217"/>
      <c r="CM37" s="217"/>
      <c r="CQ37" s="217"/>
      <c r="CU37" s="217">
        <f>'Bal Sheet'!BJ488</f>
        <v>0.13647260273972603</v>
      </c>
      <c r="CV37" s="193"/>
      <c r="CW37" s="193"/>
      <c r="CX37" s="193"/>
      <c r="CY37" s="217">
        <f>'Bal Sheet'!BN488</f>
        <v>0.12866090712742981</v>
      </c>
      <c r="CZ37" s="193"/>
      <c r="DA37" s="193"/>
      <c r="DB37" s="193"/>
      <c r="DC37" s="217">
        <f>'Bal Sheet'!BR488</f>
        <v>0.12762411347517733</v>
      </c>
      <c r="DD37" s="193"/>
      <c r="DE37" s="193"/>
      <c r="DF37" s="193"/>
      <c r="DG37" s="217">
        <f>'Bal Sheet'!BV488</f>
        <v>0.11957251908396946</v>
      </c>
      <c r="DH37" s="193"/>
      <c r="DI37" s="193"/>
      <c r="DJ37" s="193"/>
      <c r="DK37" s="217">
        <f>'Bal Sheet'!BZ488</f>
        <v>0.1429635761589404</v>
      </c>
      <c r="DL37" s="193"/>
      <c r="DM37" s="193"/>
      <c r="DN37" s="193"/>
      <c r="DO37" s="217">
        <f>'Bal Sheet'!CD488</f>
        <v>0.14114906832298135</v>
      </c>
      <c r="DP37" s="217"/>
      <c r="DQ37" s="193"/>
      <c r="DR37" s="193"/>
      <c r="DS37" s="217">
        <f>'Bal Sheet'!CH488</f>
        <v>0.13070462633451957</v>
      </c>
      <c r="DT37" s="217"/>
      <c r="DU37" s="217">
        <f>'Bal Sheet'!CJ488</f>
        <v>0.1387431693989071</v>
      </c>
      <c r="DV37" s="217">
        <f>'Bal Sheet'!CK488</f>
        <v>0.13480198019801981</v>
      </c>
      <c r="DW37" s="217">
        <f>'Bal Sheet'!CL488</f>
        <v>0.13480198019801981</v>
      </c>
      <c r="DX37" s="217"/>
      <c r="DY37" s="217">
        <f>'Bal Sheet'!CN488</f>
        <v>0.12051594202898551</v>
      </c>
      <c r="DZ37" s="217">
        <f>'Bal Sheet'!CO488</f>
        <v>0.1199087982832618</v>
      </c>
      <c r="EA37" s="217">
        <f>'Bal Sheet'!CP488</f>
        <v>0.1199087982832618</v>
      </c>
      <c r="EB37" s="217"/>
      <c r="EC37" s="1752">
        <f>'Bal Sheet'!CR488</f>
        <v>0.10855491329479769</v>
      </c>
      <c r="ED37" s="217">
        <f>'Bal Sheet'!CS488</f>
        <v>0.10833396013538926</v>
      </c>
      <c r="EE37" s="217">
        <f>'Bal Sheet'!CT488</f>
        <v>0.10833396013538926</v>
      </c>
      <c r="EF37" s="217"/>
      <c r="EG37" s="1752">
        <f>'Bal Sheet'!CV488</f>
        <v>0.10338336052202285</v>
      </c>
      <c r="EH37" s="217">
        <f>'Bal Sheet'!CW488</f>
        <v>0.11037540453074435</v>
      </c>
      <c r="EI37" s="1931">
        <f>'Bal Sheet'!CX488</f>
        <v>0.11037540453074435</v>
      </c>
      <c r="EJ37" s="217"/>
      <c r="EK37" s="1752">
        <f>'Bal Sheet'!CZ488</f>
        <v>0.10453627760252365</v>
      </c>
      <c r="EL37" s="217">
        <f>'Bal Sheet'!DA488</f>
        <v>0.10298697364435019</v>
      </c>
      <c r="EM37" s="2069">
        <f>'Bal Sheet'!DB488</f>
        <v>0.10298697364435019</v>
      </c>
      <c r="EN37" s="217"/>
      <c r="EO37" s="217">
        <f>'Bal Sheet'!DD488</f>
        <v>9.6343896713615026E-2</v>
      </c>
      <c r="EP37" s="217">
        <f>'Bal Sheet'!DE488</f>
        <v>9.722629720184732E-2</v>
      </c>
      <c r="EQ37" s="2069">
        <f>'Bal Sheet'!DF488</f>
        <v>9.722629720184732E-2</v>
      </c>
      <c r="ER37" s="217"/>
      <c r="ES37" s="217">
        <f>'Bal Sheet'!DH488</f>
        <v>8.76999750809868E-2</v>
      </c>
      <c r="ET37" s="217">
        <f ca="1">'Bal Sheet'!DI488</f>
        <v>8.5183415618761041E-2</v>
      </c>
      <c r="EU37" s="217">
        <f ca="1">'Bal Sheet'!DJ488</f>
        <v>8.5183415618761041E-2</v>
      </c>
      <c r="EV37" s="217"/>
      <c r="EW37" s="217">
        <f ca="1">'Bal Sheet'!DL488</f>
        <v>8.1853375434326123E-2</v>
      </c>
      <c r="EX37" s="217">
        <f ca="1">'Bal Sheet'!DM488</f>
        <v>8.4491318773527141E-2</v>
      </c>
      <c r="EY37" s="1752">
        <f ca="1">'Bal Sheet'!DN488</f>
        <v>8.4491318773527141E-2</v>
      </c>
      <c r="EZ37" s="217"/>
      <c r="FA37" s="217">
        <f ca="1">'Bal Sheet'!DP488</f>
        <v>8.2105770344485629E-2</v>
      </c>
      <c r="FB37" s="217">
        <f ca="1">'Bal Sheet'!DQ488</f>
        <v>8.4621937875829598E-2</v>
      </c>
      <c r="FC37" s="1752">
        <f ca="1">'Bal Sheet'!DR488</f>
        <v>8.4621937875829598E-2</v>
      </c>
      <c r="FD37" s="144"/>
      <c r="FE37" s="116"/>
      <c r="FF37" s="2192"/>
      <c r="FL37" s="172"/>
      <c r="FO37" s="109"/>
    </row>
    <row r="38" spans="1:208" s="119" customFormat="1" ht="16.649999999999999" customHeight="1">
      <c r="A38" s="116"/>
      <c r="B38" s="116"/>
      <c r="C38" s="154" t="s">
        <v>1129</v>
      </c>
      <c r="D38" s="153"/>
      <c r="E38" s="153"/>
      <c r="F38" s="139">
        <f>F11-F46-SUM(F31:F37)</f>
        <v>133</v>
      </c>
      <c r="G38" s="139">
        <f>G11-G46-SUM(G31:G37)</f>
        <v>129</v>
      </c>
      <c r="H38" s="141">
        <f>H11-H46-SUM(H31:H37)</f>
        <v>262</v>
      </c>
      <c r="I38" s="155"/>
      <c r="J38" s="139">
        <f>J11-J46-SUM(J31:J37)</f>
        <v>114</v>
      </c>
      <c r="K38" s="139">
        <f>K11-K46-SUM(K31:K37)</f>
        <v>396</v>
      </c>
      <c r="L38" s="141">
        <f>L11-L46-SUM(L31:L37)</f>
        <v>510</v>
      </c>
      <c r="M38" s="153"/>
      <c r="N38" s="139">
        <f>N11-N46-SUM(N31:N37)</f>
        <v>117</v>
      </c>
      <c r="O38" s="139">
        <f>O11-O46-SUM(O31:O37)</f>
        <v>56</v>
      </c>
      <c r="P38" s="141">
        <f>P11-P46-SUM(P31:P37)</f>
        <v>173</v>
      </c>
      <c r="Q38" s="155"/>
      <c r="R38" s="139">
        <f>R11-R46-SUM(R31:R37)</f>
        <v>122</v>
      </c>
      <c r="S38" s="139">
        <f>S11-S46-SUM(S31:S37)</f>
        <v>115</v>
      </c>
      <c r="T38" s="141">
        <f>T11-T46-SUM(T31:T37)</f>
        <v>237</v>
      </c>
      <c r="U38" s="214"/>
      <c r="V38" s="139">
        <f>V11-V46-SUM(V31:V37)</f>
        <v>21</v>
      </c>
      <c r="W38" s="139">
        <f>W11-W46-SUM(W31:W37)</f>
        <v>-14</v>
      </c>
      <c r="X38" s="141">
        <f>X11-X46-SUM(X31:X37)</f>
        <v>7</v>
      </c>
      <c r="Y38" s="214"/>
      <c r="Z38" s="139">
        <f>Z11-Z46-SUM(Z31:Z37)</f>
        <v>-63</v>
      </c>
      <c r="AA38" s="139">
        <f>AA11-AA46-SUM(AA31:AA37)</f>
        <v>67</v>
      </c>
      <c r="AB38" s="141">
        <f>AB11-AB46-SUM(AB31:AB37)</f>
        <v>4</v>
      </c>
      <c r="AC38" s="139"/>
      <c r="AD38" s="139">
        <f>AD11-AD46-SUM(AD31:AD37)</f>
        <v>-8</v>
      </c>
      <c r="AE38" s="139">
        <f>AE11-AE46-SUM(AE31:AE37)</f>
        <v>59</v>
      </c>
      <c r="AF38" s="141">
        <f>AF11-AF46-SUM(AF31:AF37)</f>
        <v>51</v>
      </c>
      <c r="AG38" s="139"/>
      <c r="AH38" s="139">
        <f t="shared" ref="AH38:AZ38" si="0">AH11-AH46-SUM(AH31:AH37)</f>
        <v>103</v>
      </c>
      <c r="AI38" s="139">
        <f t="shared" si="0"/>
        <v>138</v>
      </c>
      <c r="AJ38" s="141">
        <f t="shared" si="0"/>
        <v>241</v>
      </c>
      <c r="AK38" s="139">
        <f t="shared" si="0"/>
        <v>0</v>
      </c>
      <c r="AL38" s="139">
        <f t="shared" si="0"/>
        <v>7</v>
      </c>
      <c r="AM38" s="139">
        <f t="shared" si="0"/>
        <v>-63</v>
      </c>
      <c r="AN38" s="141">
        <f t="shared" si="0"/>
        <v>-56</v>
      </c>
      <c r="AO38" s="139">
        <f t="shared" si="0"/>
        <v>0</v>
      </c>
      <c r="AP38" s="139">
        <f t="shared" si="0"/>
        <v>-49</v>
      </c>
      <c r="AQ38" s="139">
        <f t="shared" si="0"/>
        <v>144</v>
      </c>
      <c r="AR38" s="141">
        <f t="shared" si="0"/>
        <v>95</v>
      </c>
      <c r="AS38" s="139">
        <f t="shared" si="0"/>
        <v>0</v>
      </c>
      <c r="AT38" s="139">
        <f t="shared" si="0"/>
        <v>-54</v>
      </c>
      <c r="AU38" s="139">
        <f t="shared" si="0"/>
        <v>51</v>
      </c>
      <c r="AV38" s="141">
        <f t="shared" si="0"/>
        <v>-3</v>
      </c>
      <c r="AW38" s="139">
        <f t="shared" si="0"/>
        <v>0</v>
      </c>
      <c r="AX38" s="139">
        <f t="shared" si="0"/>
        <v>242</v>
      </c>
      <c r="AY38" s="139">
        <f t="shared" si="0"/>
        <v>-2</v>
      </c>
      <c r="AZ38" s="141">
        <f t="shared" si="0"/>
        <v>240</v>
      </c>
      <c r="BA38" s="139"/>
      <c r="BB38" s="139">
        <f t="shared" ref="BB38:BD38" si="1">BB11-BB46-SUM(BB31:BB37)</f>
        <v>-61</v>
      </c>
      <c r="BC38" s="139">
        <f t="shared" si="1"/>
        <v>-52</v>
      </c>
      <c r="BD38" s="141">
        <f t="shared" si="1"/>
        <v>-113</v>
      </c>
      <c r="BE38" s="139"/>
      <c r="BF38" s="139">
        <f t="shared" ref="BF38:BH38" si="2">BF11-BF46-SUM(BF31:BF37)</f>
        <v>-5</v>
      </c>
      <c r="BG38" s="139">
        <f t="shared" si="2"/>
        <v>-44</v>
      </c>
      <c r="BH38" s="141">
        <f t="shared" si="2"/>
        <v>-49</v>
      </c>
      <c r="BI38" s="139"/>
      <c r="BJ38" s="139">
        <f t="shared" ref="BJ38:BL38" si="3">BJ11-BJ46-SUM(BJ31:BJ37)</f>
        <v>1</v>
      </c>
      <c r="BK38" s="139">
        <f t="shared" ca="1" si="3"/>
        <v>166</v>
      </c>
      <c r="BL38" s="141">
        <f t="shared" ca="1" si="3"/>
        <v>167</v>
      </c>
      <c r="BM38" s="139"/>
      <c r="BN38" s="139">
        <f t="shared" ref="BN38:BP38" si="4">BN11-BN46-SUM(BN31:BN37)</f>
        <v>-50</v>
      </c>
      <c r="BO38" s="139">
        <f t="shared" si="4"/>
        <v>7.9799999999995634</v>
      </c>
      <c r="BP38" s="139">
        <f t="shared" si="4"/>
        <v>-42.020000000002256</v>
      </c>
      <c r="BQ38" s="139"/>
      <c r="BR38" s="139">
        <f t="shared" ref="BR38:BT38" si="5">BR11-BR46-SUM(BR31:BR37)</f>
        <v>1.9400000000132422E-2</v>
      </c>
      <c r="BS38" s="139">
        <f t="shared" si="5"/>
        <v>2.1199820000001637</v>
      </c>
      <c r="BT38" s="1464">
        <f t="shared" si="5"/>
        <v>2.1393820000012056</v>
      </c>
      <c r="BU38" s="139"/>
      <c r="BV38" s="139">
        <f t="shared" ref="BV38:BX38" si="6">BV11-BV46-SUM(BV31:BV37)</f>
        <v>2.2835814600020967</v>
      </c>
      <c r="BW38" s="139">
        <f t="shared" si="6"/>
        <v>4.512088903800759</v>
      </c>
      <c r="BX38" s="1464">
        <f t="shared" si="6"/>
        <v>6.7956703638010367</v>
      </c>
      <c r="BY38" s="139"/>
      <c r="BZ38" s="139"/>
      <c r="CA38" s="218"/>
      <c r="CB38" s="219" t="s">
        <v>546</v>
      </c>
      <c r="CC38" s="213"/>
      <c r="CD38" s="213"/>
      <c r="CE38" s="213"/>
      <c r="CF38" s="213"/>
      <c r="CG38" s="213"/>
      <c r="CH38" s="213"/>
      <c r="CI38" s="220"/>
      <c r="CJ38" s="213"/>
      <c r="CK38" s="213"/>
      <c r="CL38" s="213"/>
      <c r="CM38" s="220"/>
      <c r="CN38" s="213"/>
      <c r="CO38" s="213"/>
      <c r="CP38" s="213"/>
      <c r="CQ38" s="220"/>
      <c r="CR38" s="213"/>
      <c r="CS38" s="213"/>
      <c r="CT38" s="213"/>
      <c r="CU38" s="220">
        <f>'Bal Sheet'!BJ489</f>
        <v>0.41324200913242015</v>
      </c>
      <c r="CV38" s="221"/>
      <c r="CW38" s="221"/>
      <c r="CX38" s="221"/>
      <c r="CY38" s="220">
        <f>'Bal Sheet'!BN489</f>
        <v>0.39848812095032399</v>
      </c>
      <c r="CZ38" s="221"/>
      <c r="DA38" s="221"/>
      <c r="DB38" s="221"/>
      <c r="DC38" s="220">
        <f>'Bal Sheet'!BR489</f>
        <v>0.35195035460992907</v>
      </c>
      <c r="DD38" s="221"/>
      <c r="DE38" s="221"/>
      <c r="DF38" s="221"/>
      <c r="DG38" s="220">
        <f>'Bal Sheet'!BV489</f>
        <v>0.33282442748091606</v>
      </c>
      <c r="DH38" s="221"/>
      <c r="DI38" s="221"/>
      <c r="DJ38" s="221"/>
      <c r="DK38" s="220">
        <f>'Bal Sheet'!BZ489</f>
        <v>0.39569536423841056</v>
      </c>
      <c r="DL38" s="221"/>
      <c r="DM38" s="221"/>
      <c r="DN38" s="221"/>
      <c r="DO38" s="220">
        <f>'Bal Sheet'!CD489</f>
        <v>0.37344720496894407</v>
      </c>
      <c r="DP38" s="220"/>
      <c r="DQ38" s="221"/>
      <c r="DR38" s="221"/>
      <c r="DS38" s="220">
        <f>'Bal Sheet'!CH489</f>
        <v>0.39857651245551601</v>
      </c>
      <c r="DT38" s="220"/>
      <c r="DU38" s="220">
        <f>'Bal Sheet'!CJ489</f>
        <v>0.40163934426229503</v>
      </c>
      <c r="DV38" s="220">
        <f>'Bal Sheet'!CK489</f>
        <v>0.4152227722772277</v>
      </c>
      <c r="DW38" s="220">
        <f>'Bal Sheet'!CL489</f>
        <v>0.4152227722772277</v>
      </c>
      <c r="DX38" s="220"/>
      <c r="DY38" s="220">
        <f>'Bal Sheet'!CN489</f>
        <v>0.44695652173913042</v>
      </c>
      <c r="DZ38" s="220">
        <f>'Bal Sheet'!CO489</f>
        <v>0.45064377682403434</v>
      </c>
      <c r="EA38" s="220">
        <f>'Bal Sheet'!CP489</f>
        <v>0.45064377682403434</v>
      </c>
      <c r="EB38" s="220"/>
      <c r="EC38" s="1753">
        <f>'Bal Sheet'!CR489</f>
        <v>0.40684748777234325</v>
      </c>
      <c r="ED38" s="220">
        <f>'Bal Sheet'!CS489</f>
        <v>0.38172245204964278</v>
      </c>
      <c r="EE38" s="220">
        <f>'Bal Sheet'!CT489</f>
        <v>0.38172245204964278</v>
      </c>
      <c r="EF38" s="220"/>
      <c r="EG38" s="1753">
        <f>'Bal Sheet'!CV489</f>
        <v>0.39804241435562804</v>
      </c>
      <c r="EH38" s="220">
        <f>'Bal Sheet'!CW489</f>
        <v>0.43527508090614886</v>
      </c>
      <c r="EI38" s="1932">
        <f>'Bal Sheet'!CX489</f>
        <v>0.43527508090614886</v>
      </c>
      <c r="EJ38" s="220"/>
      <c r="EK38" s="1753">
        <f>'Bal Sheet'!CZ489</f>
        <v>0.42839116719242903</v>
      </c>
      <c r="EL38" s="220">
        <f>'Bal Sheet'!DA489</f>
        <v>0.4492578006664647</v>
      </c>
      <c r="EM38" s="2070">
        <f>'Bal Sheet'!DB489</f>
        <v>0.4492578006664647</v>
      </c>
      <c r="EN38" s="220"/>
      <c r="EO38" s="220">
        <f>'Bal Sheet'!DD489</f>
        <v>0.46449530516431925</v>
      </c>
      <c r="EP38" s="220">
        <f>'Bal Sheet'!DE489</f>
        <v>0.48274925292040199</v>
      </c>
      <c r="EQ38" s="2070">
        <f>'Bal Sheet'!DF489</f>
        <v>0.48274925292040199</v>
      </c>
      <c r="ER38" s="220"/>
      <c r="ES38" s="220">
        <f>'Bal Sheet'!DH489</f>
        <v>0.49538998255669076</v>
      </c>
      <c r="ET38" s="220">
        <f>'Bal Sheet'!DI489</f>
        <v>0.485013740217489</v>
      </c>
      <c r="EU38" s="220">
        <f>'Bal Sheet'!DJ489</f>
        <v>0.485013740217489</v>
      </c>
      <c r="EV38" s="220"/>
      <c r="EW38" s="220">
        <f>'Bal Sheet'!DL489</f>
        <v>0.48416838753312774</v>
      </c>
      <c r="EX38" s="220">
        <f>'Bal Sheet'!DM489</f>
        <v>0.48807549559062668</v>
      </c>
      <c r="EY38" s="1753">
        <f>'Bal Sheet'!DN489</f>
        <v>0.48807549559062668</v>
      </c>
      <c r="EZ38" s="220"/>
      <c r="FA38" s="220">
        <f>'Bal Sheet'!DP489</f>
        <v>0.49190826201429266</v>
      </c>
      <c r="FB38" s="220">
        <f>'Bal Sheet'!DQ489</f>
        <v>0.49566408418902536</v>
      </c>
      <c r="FC38" s="1753">
        <f>'Bal Sheet'!DR489</f>
        <v>0.49566408418902536</v>
      </c>
      <c r="FD38" s="144"/>
      <c r="FE38" s="116"/>
      <c r="FF38" s="2192"/>
      <c r="FL38" s="172"/>
      <c r="FO38" s="109"/>
    </row>
    <row r="39" spans="1:208" s="119" customFormat="1" ht="16.649999999999999" customHeight="1">
      <c r="C39" s="195" t="s">
        <v>1127</v>
      </c>
      <c r="D39" s="162"/>
      <c r="E39" s="162"/>
      <c r="F39" s="222">
        <f>SUM(F31:F38)</f>
        <v>3395</v>
      </c>
      <c r="G39" s="222">
        <f t="shared" ref="G39" si="7">SUM(G31:G38)</f>
        <v>3608</v>
      </c>
      <c r="H39" s="223">
        <f t="shared" ref="H39" si="8">SUM(H31:H38)</f>
        <v>7003</v>
      </c>
      <c r="I39" s="197"/>
      <c r="J39" s="222">
        <f>SUM(J31:J38)</f>
        <v>3045.663</v>
      </c>
      <c r="K39" s="222">
        <f t="shared" ref="K39" si="9">SUM(K31:K38)</f>
        <v>3447</v>
      </c>
      <c r="L39" s="223">
        <f t="shared" ref="L39" si="10">SUM(L31:L38)</f>
        <v>6492.6630000000005</v>
      </c>
      <c r="M39" s="162"/>
      <c r="N39" s="222">
        <f>SUM(N31:N38)</f>
        <v>3079</v>
      </c>
      <c r="O39" s="222">
        <f t="shared" ref="O39" si="11">SUM(O31:O38)</f>
        <v>3325</v>
      </c>
      <c r="P39" s="223">
        <f t="shared" ref="P39" si="12">SUM(P31:P38)</f>
        <v>6404</v>
      </c>
      <c r="Q39" s="197"/>
      <c r="R39" s="222">
        <f>SUM(R31:R38)</f>
        <v>3590</v>
      </c>
      <c r="S39" s="222">
        <f t="shared" ref="S39" si="13">SUM(S31:S38)</f>
        <v>4079</v>
      </c>
      <c r="T39" s="223">
        <f t="shared" ref="T39" si="14">SUM(T31:T38)</f>
        <v>7669</v>
      </c>
      <c r="U39" s="222"/>
      <c r="V39" s="222">
        <f>SUM(V31:V38)</f>
        <v>3723</v>
      </c>
      <c r="W39" s="222">
        <f t="shared" ref="W39" si="15">SUM(W31:W38)</f>
        <v>4736</v>
      </c>
      <c r="X39" s="223">
        <f t="shared" ref="X39" si="16">SUM(X31:X38)</f>
        <v>8459</v>
      </c>
      <c r="Y39" s="222"/>
      <c r="Z39" s="222">
        <f>SUM(Z31:Z38)</f>
        <v>4772</v>
      </c>
      <c r="AA39" s="222">
        <f t="shared" ref="AA39" si="17">SUM(AA31:AA38)</f>
        <v>4606</v>
      </c>
      <c r="AB39" s="223">
        <f t="shared" ref="AB39" si="18">SUM(AB31:AB38)</f>
        <v>9378</v>
      </c>
      <c r="AC39" s="222"/>
      <c r="AD39" s="222">
        <f>SUM(AD31:AD38)</f>
        <v>4375</v>
      </c>
      <c r="AE39" s="222">
        <f t="shared" ref="AE39:AV39" si="19">SUM(AE31:AE38)</f>
        <v>4607</v>
      </c>
      <c r="AF39" s="223">
        <f t="shared" si="19"/>
        <v>8982</v>
      </c>
      <c r="AG39" s="222"/>
      <c r="AH39" s="222">
        <f t="shared" si="19"/>
        <v>4495</v>
      </c>
      <c r="AI39" s="222">
        <f t="shared" si="19"/>
        <v>4699</v>
      </c>
      <c r="AJ39" s="223">
        <f t="shared" si="19"/>
        <v>9194</v>
      </c>
      <c r="AK39" s="222">
        <f t="shared" si="19"/>
        <v>0</v>
      </c>
      <c r="AL39" s="222">
        <f t="shared" si="19"/>
        <v>5076</v>
      </c>
      <c r="AM39" s="222">
        <f t="shared" si="19"/>
        <v>5036</v>
      </c>
      <c r="AN39" s="223">
        <f t="shared" si="19"/>
        <v>10112</v>
      </c>
      <c r="AO39" s="222">
        <f t="shared" si="19"/>
        <v>0</v>
      </c>
      <c r="AP39" s="222">
        <f t="shared" si="19"/>
        <v>5157</v>
      </c>
      <c r="AQ39" s="222">
        <f t="shared" si="19"/>
        <v>5419</v>
      </c>
      <c r="AR39" s="223">
        <f t="shared" si="19"/>
        <v>10576</v>
      </c>
      <c r="AS39" s="222">
        <f t="shared" si="19"/>
        <v>0</v>
      </c>
      <c r="AT39" s="222">
        <f t="shared" si="19"/>
        <v>4911</v>
      </c>
      <c r="AU39" s="222">
        <f t="shared" si="19"/>
        <v>5745</v>
      </c>
      <c r="AV39" s="223">
        <f t="shared" si="19"/>
        <v>10656</v>
      </c>
      <c r="AW39" s="222">
        <f t="shared" ref="AW39:AZ39" si="20">SUM(AW31:AW38)</f>
        <v>0</v>
      </c>
      <c r="AX39" s="222">
        <f t="shared" si="20"/>
        <v>6735</v>
      </c>
      <c r="AY39" s="222">
        <f t="shared" si="20"/>
        <v>7255</v>
      </c>
      <c r="AZ39" s="223">
        <f t="shared" si="20"/>
        <v>13990</v>
      </c>
      <c r="BA39" s="222"/>
      <c r="BB39" s="222">
        <f t="shared" ref="BB39:BD39" si="21">SUM(BB31:BB38)</f>
        <v>7179</v>
      </c>
      <c r="BC39" s="222">
        <f t="shared" si="21"/>
        <v>9394</v>
      </c>
      <c r="BD39" s="223">
        <f t="shared" si="21"/>
        <v>16573</v>
      </c>
      <c r="BE39" s="222"/>
      <c r="BF39" s="222">
        <f t="shared" ref="BF39:BH39" si="22">SUM(BF31:BF38)</f>
        <v>7240</v>
      </c>
      <c r="BG39" s="222">
        <f t="shared" si="22"/>
        <v>7666</v>
      </c>
      <c r="BH39" s="223">
        <f t="shared" si="22"/>
        <v>14906</v>
      </c>
      <c r="BI39" s="222"/>
      <c r="BJ39" s="222">
        <f t="shared" ref="BJ39:BL39" si="23">SUM(BJ31:BJ38)</f>
        <v>7238</v>
      </c>
      <c r="BK39" s="222">
        <f t="shared" ca="1" si="23"/>
        <v>8177</v>
      </c>
      <c r="BL39" s="223">
        <f t="shared" ca="1" si="23"/>
        <v>15415</v>
      </c>
      <c r="BM39" s="222"/>
      <c r="BN39" s="222">
        <f t="shared" ref="BN39:BP39" si="24">SUM(BN31:BN38)</f>
        <v>7822</v>
      </c>
      <c r="BO39" s="222">
        <f t="shared" si="24"/>
        <v>8418.0780646871463</v>
      </c>
      <c r="BP39" s="222">
        <f t="shared" si="24"/>
        <v>16240.078064687144</v>
      </c>
      <c r="BQ39" s="222"/>
      <c r="BR39" s="222">
        <f t="shared" ref="BR39:BT39" si="25">SUM(BR31:BR38)</f>
        <v>7917.0516998176272</v>
      </c>
      <c r="BS39" s="222">
        <f t="shared" si="25"/>
        <v>8782.4190797059637</v>
      </c>
      <c r="BT39" s="1476">
        <f t="shared" si="25"/>
        <v>16699.470779523592</v>
      </c>
      <c r="BU39" s="222"/>
      <c r="BV39" s="222">
        <f t="shared" ref="BV39:BX39" si="26">SUM(BV31:BV38)</f>
        <v>8303.4909886734549</v>
      </c>
      <c r="BW39" s="222">
        <f t="shared" si="26"/>
        <v>9184.6402622321039</v>
      </c>
      <c r="BX39" s="1476">
        <f t="shared" si="26"/>
        <v>17488.131250905561</v>
      </c>
      <c r="BY39" s="222"/>
      <c r="BZ39" s="222"/>
      <c r="CA39" s="218"/>
      <c r="CB39" s="212" t="s">
        <v>544</v>
      </c>
      <c r="CI39" s="217"/>
      <c r="CM39" s="217"/>
      <c r="CQ39" s="217"/>
      <c r="CU39" s="217">
        <f>'Bal Sheet'!BJ490</f>
        <v>0.45028538812785385</v>
      </c>
      <c r="CV39" s="193"/>
      <c r="CW39" s="193"/>
      <c r="CX39" s="193"/>
      <c r="CY39" s="217">
        <f>'Bal Sheet'!BN490</f>
        <v>0.47285097192224618</v>
      </c>
      <c r="CZ39" s="193"/>
      <c r="DA39" s="193"/>
      <c r="DB39" s="193"/>
      <c r="DC39" s="217">
        <f>'Bal Sheet'!BR490</f>
        <v>0.5204255319148936</v>
      </c>
      <c r="DD39" s="193"/>
      <c r="DE39" s="193"/>
      <c r="DF39" s="193"/>
      <c r="DG39" s="217">
        <f>'Bal Sheet'!BV490</f>
        <v>0.5476030534351144</v>
      </c>
      <c r="DH39" s="193"/>
      <c r="DI39" s="193"/>
      <c r="DJ39" s="193"/>
      <c r="DK39" s="217">
        <f>'Bal Sheet'!BZ490</f>
        <v>0.46134105960264904</v>
      </c>
      <c r="DL39" s="193"/>
      <c r="DM39" s="193"/>
      <c r="DN39" s="193"/>
      <c r="DO39" s="217">
        <f>'Bal Sheet'!CD490</f>
        <v>0.48540372670807452</v>
      </c>
      <c r="DP39" s="217"/>
      <c r="DQ39" s="193"/>
      <c r="DR39" s="193"/>
      <c r="DS39" s="217">
        <f>'Bal Sheet'!CH490</f>
        <v>0.47071886120996437</v>
      </c>
      <c r="DT39" s="217"/>
      <c r="DU39" s="217">
        <f>'Bal Sheet'!CJ490</f>
        <v>0.4596174863387979</v>
      </c>
      <c r="DV39" s="217">
        <f>'Bal Sheet'!CK490</f>
        <v>0.44997524752475254</v>
      </c>
      <c r="DW39" s="217">
        <f>'Bal Sheet'!CL490</f>
        <v>0.44997524752475254</v>
      </c>
      <c r="DX39" s="217"/>
      <c r="DY39" s="217">
        <f>'Bal Sheet'!CN490</f>
        <v>0.43252753623188417</v>
      </c>
      <c r="DZ39" s="217">
        <f>'Bal Sheet'!CO490</f>
        <v>0.42944742489270388</v>
      </c>
      <c r="EA39" s="217">
        <f>'Bal Sheet'!CP490</f>
        <v>0.42944742489270388</v>
      </c>
      <c r="EB39" s="217"/>
      <c r="EC39" s="1752">
        <f>'Bal Sheet'!CR490</f>
        <v>0.48459759893285898</v>
      </c>
      <c r="ED39" s="217">
        <f>'Bal Sheet'!CS490</f>
        <v>0.50994358781496796</v>
      </c>
      <c r="EE39" s="217">
        <f>'Bal Sheet'!CT490</f>
        <v>0.50994358781496796</v>
      </c>
      <c r="EF39" s="217"/>
      <c r="EG39" s="1752">
        <f>'Bal Sheet'!CV490</f>
        <v>0.49857422512234906</v>
      </c>
      <c r="EH39" s="217">
        <f>'Bal Sheet'!CW490</f>
        <v>0.45434951456310679</v>
      </c>
      <c r="EI39" s="1931">
        <f>'Bal Sheet'!CX490</f>
        <v>0.45434951456310679</v>
      </c>
      <c r="EJ39" s="217"/>
      <c r="EK39" s="1752">
        <f>'Bal Sheet'!CZ490</f>
        <v>0.46707255520504737</v>
      </c>
      <c r="EL39" s="217">
        <f>'Bal Sheet'!DA490</f>
        <v>0.44775522568918513</v>
      </c>
      <c r="EM39" s="2069">
        <f>'Bal Sheet'!DB490</f>
        <v>0.44775522568918513</v>
      </c>
      <c r="EN39" s="217"/>
      <c r="EO39" s="217">
        <f>'Bal Sheet'!DD490</f>
        <v>0.43916079812206571</v>
      </c>
      <c r="EP39" s="217">
        <f>'Bal Sheet'!DE490</f>
        <v>0.42002444987775073</v>
      </c>
      <c r="EQ39" s="2069">
        <f>'Bal Sheet'!DF490</f>
        <v>0.42002444987775073</v>
      </c>
      <c r="ER39" s="217"/>
      <c r="ES39" s="217">
        <f>'Bal Sheet'!DH490</f>
        <v>0.41691004236232238</v>
      </c>
      <c r="ET39" s="217">
        <f ca="1">'Bal Sheet'!DI490</f>
        <v>0.42980284416374992</v>
      </c>
      <c r="EU39" s="217">
        <f ca="1">'Bal Sheet'!DJ490</f>
        <v>0.42980284416374992</v>
      </c>
      <c r="EV39" s="217"/>
      <c r="EW39" s="217">
        <f ca="1">'Bal Sheet'!DL490</f>
        <v>0.43397823703254612</v>
      </c>
      <c r="EX39" s="217">
        <f ca="1">'Bal Sheet'!DM490</f>
        <v>0.42743318563584615</v>
      </c>
      <c r="EY39" s="1752">
        <f ca="1">'Bal Sheet'!DN490</f>
        <v>0.42743318563584615</v>
      </c>
      <c r="EZ39" s="217"/>
      <c r="FA39" s="217">
        <f ca="1">'Bal Sheet'!DP490</f>
        <v>0.42598596764122171</v>
      </c>
      <c r="FB39" s="217">
        <f ca="1">'Bal Sheet'!DQ490</f>
        <v>0.41971397793514503</v>
      </c>
      <c r="FC39" s="1752">
        <f ca="1">'Bal Sheet'!DR490</f>
        <v>0.41971397793514503</v>
      </c>
      <c r="FD39" s="144"/>
      <c r="FE39" s="116"/>
      <c r="FF39" s="2192"/>
      <c r="FL39" s="172"/>
      <c r="FO39" s="109"/>
    </row>
    <row r="40" spans="1:208" s="119" customFormat="1" ht="16.649999999999999" customHeight="1">
      <c r="B40" s="213"/>
      <c r="AN40" s="215"/>
      <c r="AO40" s="214"/>
      <c r="AP40" s="214"/>
      <c r="AQ40" s="214"/>
      <c r="AR40" s="215"/>
      <c r="AS40" s="214"/>
      <c r="AT40" s="214"/>
      <c r="AU40" s="214"/>
      <c r="AV40" s="215"/>
      <c r="AW40" s="214"/>
      <c r="AX40" s="214"/>
      <c r="AY40" s="214"/>
      <c r="AZ40" s="215"/>
      <c r="BA40" s="214"/>
      <c r="BB40" s="214"/>
      <c r="BC40" s="214"/>
      <c r="BD40" s="215"/>
      <c r="BE40" s="214"/>
      <c r="BF40" s="214"/>
      <c r="BG40" s="214"/>
      <c r="BH40" s="1340"/>
      <c r="BI40" s="214"/>
      <c r="BJ40" s="214"/>
      <c r="BK40" s="214"/>
      <c r="BL40" s="215"/>
      <c r="BM40" s="214"/>
      <c r="BN40" s="214"/>
      <c r="BO40" s="214"/>
      <c r="BP40" s="214"/>
      <c r="BQ40" s="214"/>
      <c r="BR40" s="214"/>
      <c r="BS40" s="214"/>
      <c r="BT40" s="1475"/>
      <c r="BU40" s="214"/>
      <c r="BV40" s="214"/>
      <c r="BW40" s="214"/>
      <c r="BX40" s="1475"/>
      <c r="BY40" s="214"/>
      <c r="BZ40" s="214"/>
      <c r="CA40" s="179"/>
      <c r="CB40" s="219" t="s">
        <v>548</v>
      </c>
      <c r="CC40" s="213"/>
      <c r="CD40" s="213"/>
      <c r="CE40" s="213"/>
      <c r="CF40" s="213"/>
      <c r="CG40" s="213"/>
      <c r="CH40" s="213"/>
      <c r="CI40" s="220"/>
      <c r="CJ40" s="213"/>
      <c r="CK40" s="213"/>
      <c r="CL40" s="213"/>
      <c r="CM40" s="220"/>
      <c r="CN40" s="213"/>
      <c r="CO40" s="213"/>
      <c r="CP40" s="213"/>
      <c r="CQ40" s="220"/>
      <c r="CR40" s="213"/>
      <c r="CS40" s="213"/>
      <c r="CT40" s="213"/>
      <c r="CU40" s="220">
        <f ca="1">'Bal Sheet'!BJ491</f>
        <v>1.1850828729281766</v>
      </c>
      <c r="CV40" s="221"/>
      <c r="CW40" s="221"/>
      <c r="CX40" s="221"/>
      <c r="CY40" s="220">
        <f>'Bal Sheet'!BN491</f>
        <v>1.2791327913279134</v>
      </c>
      <c r="CZ40" s="221"/>
      <c r="DA40" s="221"/>
      <c r="DB40" s="221"/>
      <c r="DC40" s="220">
        <f>'Bal Sheet'!BR491</f>
        <v>1.390428211586902</v>
      </c>
      <c r="DD40" s="221"/>
      <c r="DE40" s="221"/>
      <c r="DF40" s="221"/>
      <c r="DG40" s="220">
        <f>'Bal Sheet'!BV491</f>
        <v>1.5848623853211008</v>
      </c>
      <c r="DH40" s="221"/>
      <c r="DI40" s="221"/>
      <c r="DJ40" s="221"/>
      <c r="DK40" s="220">
        <f>'Bal Sheet'!BZ491</f>
        <v>1.4121338912133892</v>
      </c>
      <c r="DL40" s="221"/>
      <c r="DM40" s="221"/>
      <c r="DN40" s="221"/>
      <c r="DO40" s="220">
        <f>'Bal Sheet'!CD491</f>
        <v>1.5654885654885653</v>
      </c>
      <c r="DP40" s="220"/>
      <c r="DQ40" s="221"/>
      <c r="DR40" s="221"/>
      <c r="DS40" s="220">
        <f>'Bal Sheet'!CH491</f>
        <v>1.4821428571428572</v>
      </c>
      <c r="DT40" s="220"/>
      <c r="DU40" s="220">
        <f>'Bal Sheet'!CJ491</f>
        <v>1.3809523809523812</v>
      </c>
      <c r="DV40" s="220">
        <f>'Bal Sheet'!CK491</f>
        <v>1.2891207153502238</v>
      </c>
      <c r="DW40" s="220">
        <f>'Bal Sheet'!CL491</f>
        <v>1.2891207153502238</v>
      </c>
      <c r="DX40" s="220"/>
      <c r="DY40" s="220">
        <f>'Bal Sheet'!CN491</f>
        <v>1.2490272373540856</v>
      </c>
      <c r="DZ40" s="220">
        <f>'Bal Sheet'!CO491</f>
        <v>1.2785714285714287</v>
      </c>
      <c r="EA40" s="220">
        <f>'Bal Sheet'!CP491</f>
        <v>1.2785714285714287</v>
      </c>
      <c r="EB40" s="220"/>
      <c r="EC40" s="1753">
        <f>'Bal Sheet'!CR491</f>
        <v>1.3344262295081966</v>
      </c>
      <c r="ED40" s="220">
        <f>'Bal Sheet'!CS491</f>
        <v>1.3655172413793102</v>
      </c>
      <c r="EE40" s="220">
        <f>'Bal Sheet'!CT491</f>
        <v>1.3655172413793102</v>
      </c>
      <c r="EF40" s="220"/>
      <c r="EG40" s="1753">
        <f>'Bal Sheet'!CV491</f>
        <v>1.2549180327868852</v>
      </c>
      <c r="EH40" s="220">
        <f>'Bal Sheet'!CW491</f>
        <v>1.2156133828996283</v>
      </c>
      <c r="EI40" s="1932">
        <f>'Bal Sheet'!CX491</f>
        <v>1.2156133828996283</v>
      </c>
      <c r="EJ40" s="220"/>
      <c r="EK40" s="1753">
        <f>'Bal Sheet'!CZ491</f>
        <v>1.2709867452135493</v>
      </c>
      <c r="EL40" s="220">
        <f>'Bal Sheet'!DA491</f>
        <v>1.2238705327039783</v>
      </c>
      <c r="EM40" s="2070">
        <f>'Bal Sheet'!DB491</f>
        <v>1.2238705327039783</v>
      </c>
      <c r="EN40" s="220"/>
      <c r="EO40" s="220">
        <f>'Bal Sheet'!DD491</f>
        <v>1.2122552116234997</v>
      </c>
      <c r="EP40" s="220">
        <f>'Bal Sheet'!DE491</f>
        <v>1.157006190208216</v>
      </c>
      <c r="EQ40" s="2070">
        <f>'Bal Sheet'!DF491</f>
        <v>1.157006190208216</v>
      </c>
      <c r="ER40" s="220"/>
      <c r="ES40" s="220">
        <f>'Bal Sheet'!DH491</f>
        <v>1.1267605633802815</v>
      </c>
      <c r="ET40" s="220">
        <f>'Bal Sheet'!DI491</f>
        <v>1.1964788732394367</v>
      </c>
      <c r="EU40" s="220">
        <f>'Bal Sheet'!DJ491</f>
        <v>1.1964788732394367</v>
      </c>
      <c r="EV40" s="220"/>
      <c r="EW40" s="220">
        <f>'Bal Sheet'!DL491</f>
        <v>1.2271361502347418</v>
      </c>
      <c r="EX40" s="220">
        <f>'Bal Sheet'!DM491</f>
        <v>1.2329108619973812</v>
      </c>
      <c r="EY40" s="1753">
        <f>'Bal Sheet'!DN491</f>
        <v>1.2329108619973812</v>
      </c>
      <c r="EZ40" s="220"/>
      <c r="FA40" s="220">
        <f>'Bal Sheet'!DP491</f>
        <v>1.2387968786262549</v>
      </c>
      <c r="FB40" s="220">
        <f>'Bal Sheet'!DQ491</f>
        <v>1.244794723904743</v>
      </c>
      <c r="FC40" s="1753">
        <f>'Bal Sheet'!DR491</f>
        <v>1.244794723904743</v>
      </c>
      <c r="FD40" s="144"/>
      <c r="FE40" s="116"/>
      <c r="FF40" s="2192"/>
      <c r="FL40" s="172"/>
      <c r="FO40" s="109"/>
    </row>
    <row r="41" spans="1:208" s="119" customFormat="1" ht="16.649999999999999" customHeight="1">
      <c r="B41" s="116"/>
      <c r="C41" s="154" t="s">
        <v>587</v>
      </c>
      <c r="D41" s="153"/>
      <c r="E41" s="153"/>
      <c r="F41" s="214">
        <f>'P&amp;L'!AZ12</f>
        <v>15</v>
      </c>
      <c r="G41" s="214">
        <f>'P&amp;L'!BA12</f>
        <v>21</v>
      </c>
      <c r="H41" s="215">
        <f>'P&amp;L'!BB12</f>
        <v>36</v>
      </c>
      <c r="I41" s="155"/>
      <c r="J41" s="214">
        <f>'P&amp;L'!BD12</f>
        <v>89</v>
      </c>
      <c r="K41" s="214">
        <f>'P&amp;L'!BE12</f>
        <v>41</v>
      </c>
      <c r="L41" s="215">
        <f>'P&amp;L'!BF12</f>
        <v>130</v>
      </c>
      <c r="M41" s="153"/>
      <c r="N41" s="214">
        <f>'P&amp;L'!BH12</f>
        <v>76</v>
      </c>
      <c r="O41" s="214">
        <f>'P&amp;L'!BI12</f>
        <v>88</v>
      </c>
      <c r="P41" s="215">
        <f>'P&amp;L'!BJ12</f>
        <v>164</v>
      </c>
      <c r="Q41" s="155"/>
      <c r="R41" s="214">
        <f>'P&amp;L'!BL12</f>
        <v>76</v>
      </c>
      <c r="S41" s="214">
        <f>'P&amp;L'!BM12</f>
        <v>142</v>
      </c>
      <c r="T41" s="215">
        <f>'P&amp;L'!BN12</f>
        <v>218</v>
      </c>
      <c r="U41" s="214"/>
      <c r="V41" s="214">
        <f>'P&amp;L'!BP12</f>
        <v>373</v>
      </c>
      <c r="W41" s="214">
        <f>'P&amp;L'!BQ12</f>
        <v>294</v>
      </c>
      <c r="X41" s="215">
        <f>'P&amp;L'!BR12</f>
        <v>667</v>
      </c>
      <c r="Y41" s="214"/>
      <c r="Z41" s="214">
        <f>'P&amp;L'!BT12</f>
        <v>629</v>
      </c>
      <c r="AA41" s="214">
        <f>'P&amp;L'!BU12</f>
        <v>85</v>
      </c>
      <c r="AB41" s="215">
        <f>'P&amp;L'!BV12</f>
        <v>714</v>
      </c>
      <c r="AC41" s="214"/>
      <c r="AD41" s="214">
        <f>'P&amp;L'!BX12</f>
        <v>170</v>
      </c>
      <c r="AE41" s="214">
        <f>'P&amp;L'!BY12</f>
        <v>94</v>
      </c>
      <c r="AF41" s="215">
        <f>'P&amp;L'!BZ12</f>
        <v>264</v>
      </c>
      <c r="AG41" s="214"/>
      <c r="AH41" s="214">
        <f>'P&amp;L'!CB12</f>
        <v>537</v>
      </c>
      <c r="AI41" s="214">
        <f>'P&amp;L'!CC12</f>
        <v>58</v>
      </c>
      <c r="AJ41" s="215">
        <f>'P&amp;L'!CD12</f>
        <v>595</v>
      </c>
      <c r="AK41" s="214"/>
      <c r="AL41" s="214">
        <f>'P&amp;L'!CF12</f>
        <v>282</v>
      </c>
      <c r="AM41" s="214">
        <f>'P&amp;L'!CG12</f>
        <v>577</v>
      </c>
      <c r="AN41" s="215">
        <f>'P&amp;L'!CH12</f>
        <v>859</v>
      </c>
      <c r="AO41" s="214"/>
      <c r="AP41" s="214">
        <f>'P&amp;L'!CJ12</f>
        <v>546</v>
      </c>
      <c r="AQ41" s="214">
        <f>'P&amp;L'!CK12</f>
        <v>275</v>
      </c>
      <c r="AR41" s="215">
        <f>'P&amp;L'!CL12</f>
        <v>821</v>
      </c>
      <c r="AS41" s="214"/>
      <c r="AT41" s="214">
        <f>'P&amp;L'!CN12</f>
        <v>413</v>
      </c>
      <c r="AU41" s="214">
        <f>'P&amp;L'!CO12</f>
        <v>247</v>
      </c>
      <c r="AV41" s="215">
        <f>'P&amp;L'!CP12</f>
        <v>660</v>
      </c>
      <c r="AW41" s="214"/>
      <c r="AX41" s="214">
        <f>'P&amp;L'!CR12</f>
        <v>177</v>
      </c>
      <c r="AY41" s="214">
        <f>'P&amp;L'!CS12</f>
        <v>218</v>
      </c>
      <c r="AZ41" s="215">
        <f>'P&amp;L'!CT12</f>
        <v>395</v>
      </c>
      <c r="BA41" s="214"/>
      <c r="BB41" s="214">
        <f>'P&amp;L'!CV12</f>
        <v>237</v>
      </c>
      <c r="BC41" s="214">
        <f>'P&amp;L'!CW12</f>
        <v>455</v>
      </c>
      <c r="BD41" s="215">
        <f>'P&amp;L'!CX12</f>
        <v>692</v>
      </c>
      <c r="BE41" s="214"/>
      <c r="BF41" s="214">
        <f>'P&amp;L'!CZ12</f>
        <v>236</v>
      </c>
      <c r="BG41" s="214">
        <f>'P&amp;L'!DA12</f>
        <v>396</v>
      </c>
      <c r="BH41" s="215">
        <f>'P&amp;L'!DB12</f>
        <v>632</v>
      </c>
      <c r="BI41" s="214"/>
      <c r="BJ41" s="214">
        <f>'P&amp;L'!DD12</f>
        <v>403</v>
      </c>
      <c r="BK41" s="214">
        <f ca="1">'P&amp;L'!DE12</f>
        <v>434</v>
      </c>
      <c r="BL41" s="215">
        <f ca="1">'P&amp;L'!DF12</f>
        <v>837</v>
      </c>
      <c r="BM41" s="214"/>
      <c r="BN41" s="214">
        <f>'P&amp;L'!DH12</f>
        <v>756</v>
      </c>
      <c r="BO41" s="214">
        <f>'P&amp;L'!DI12</f>
        <v>687.9232351803339</v>
      </c>
      <c r="BP41" s="214">
        <f>'P&amp;L'!DJ12</f>
        <v>1443.9232351803339</v>
      </c>
      <c r="BQ41" s="214"/>
      <c r="BR41" s="214">
        <f>'P&amp;L'!DL12</f>
        <v>551.54082731850792</v>
      </c>
      <c r="BS41" s="214">
        <f>'P&amp;L'!DM12</f>
        <v>564.66007294519545</v>
      </c>
      <c r="BT41" s="1475">
        <f>'P&amp;L'!DN12</f>
        <v>1116.2009002637033</v>
      </c>
      <c r="BU41" s="214"/>
      <c r="BV41" s="214">
        <f>'P&amp;L'!DP12</f>
        <v>587.53366128604671</v>
      </c>
      <c r="BW41" s="214">
        <f>'P&amp;L'!DQ12</f>
        <v>608.07262499994374</v>
      </c>
      <c r="BX41" s="1475">
        <f>'P&amp;L'!DR12</f>
        <v>1195.6062862859903</v>
      </c>
      <c r="BY41" s="214"/>
      <c r="BZ41" s="214"/>
      <c r="CA41" s="179"/>
      <c r="CB41" s="212"/>
      <c r="CI41" s="193"/>
      <c r="CM41" s="193"/>
      <c r="CQ41" s="193"/>
      <c r="CU41" s="193"/>
      <c r="CV41" s="193"/>
      <c r="CW41" s="193"/>
      <c r="CX41" s="193"/>
      <c r="CY41" s="193"/>
      <c r="CZ41" s="193"/>
      <c r="DA41" s="193"/>
      <c r="DB41" s="193"/>
      <c r="DC41" s="193"/>
      <c r="DD41" s="193"/>
      <c r="DE41" s="193"/>
      <c r="DF41" s="193"/>
      <c r="DG41" s="193"/>
      <c r="DH41" s="193"/>
      <c r="DI41" s="193"/>
      <c r="DJ41" s="193"/>
      <c r="DK41" s="193"/>
      <c r="DL41" s="193"/>
      <c r="DM41" s="193"/>
      <c r="DN41" s="193"/>
      <c r="DO41" s="193"/>
      <c r="DP41" s="193"/>
      <c r="DQ41" s="193"/>
      <c r="DR41" s="193"/>
      <c r="DS41" s="193"/>
      <c r="DT41" s="193"/>
      <c r="DU41" s="193"/>
      <c r="DV41" s="193"/>
      <c r="DW41" s="193"/>
      <c r="DX41" s="193"/>
      <c r="DY41" s="193"/>
      <c r="DZ41" s="193"/>
      <c r="EA41" s="193"/>
      <c r="EB41" s="193"/>
      <c r="EC41" s="1750"/>
      <c r="ED41" s="193"/>
      <c r="EE41" s="193"/>
      <c r="EF41" s="193"/>
      <c r="EG41" s="1750"/>
      <c r="EH41" s="193"/>
      <c r="EI41" s="1929"/>
      <c r="EJ41" s="193"/>
      <c r="EK41" s="1750"/>
      <c r="EL41" s="193"/>
      <c r="EM41" s="2067"/>
      <c r="EN41" s="193"/>
      <c r="EO41" s="193"/>
      <c r="EP41" s="193"/>
      <c r="EQ41" s="2067"/>
      <c r="ER41" s="193"/>
      <c r="ES41" s="193"/>
      <c r="ET41" s="193"/>
      <c r="EU41" s="193"/>
      <c r="EV41" s="193"/>
      <c r="EW41" s="193"/>
      <c r="EX41" s="193"/>
      <c r="EY41" s="1750"/>
      <c r="EZ41" s="193"/>
      <c r="FA41" s="193"/>
      <c r="FB41" s="193"/>
      <c r="FC41" s="1750"/>
      <c r="FD41" s="144"/>
      <c r="FE41" s="116"/>
      <c r="FF41" s="2192"/>
      <c r="FL41" s="172"/>
      <c r="FO41" s="109"/>
    </row>
    <row r="42" spans="1:208" s="119" customFormat="1" ht="16.649999999999999" customHeight="1">
      <c r="B42" s="116"/>
      <c r="C42" s="154" t="s">
        <v>910</v>
      </c>
      <c r="D42" s="153"/>
      <c r="E42" s="153"/>
      <c r="F42" s="139">
        <f>'P&amp;L'!AZ466</f>
        <v>144</v>
      </c>
      <c r="G42" s="139">
        <f>'P&amp;L'!BA466</f>
        <v>209</v>
      </c>
      <c r="H42" s="141">
        <f>'P&amp;L'!BB466</f>
        <v>353</v>
      </c>
      <c r="I42" s="155"/>
      <c r="J42" s="139">
        <f>'P&amp;L'!BD466</f>
        <v>91</v>
      </c>
      <c r="K42" s="139">
        <f>'P&amp;L'!BE466</f>
        <v>333</v>
      </c>
      <c r="L42" s="141">
        <f>'P&amp;L'!BF466</f>
        <v>424</v>
      </c>
      <c r="M42" s="153"/>
      <c r="N42" s="139">
        <f>'P&amp;L'!BH466</f>
        <v>84</v>
      </c>
      <c r="O42" s="139">
        <f>'P&amp;L'!BI466</f>
        <v>331</v>
      </c>
      <c r="P42" s="141">
        <f>'P&amp;L'!BJ466</f>
        <v>415</v>
      </c>
      <c r="Q42" s="155"/>
      <c r="R42" s="139">
        <f>'P&amp;L'!BL466</f>
        <v>99</v>
      </c>
      <c r="S42" s="139">
        <f>'P&amp;L'!BM466</f>
        <v>387</v>
      </c>
      <c r="T42" s="141">
        <f>'P&amp;L'!BN466</f>
        <v>486</v>
      </c>
      <c r="U42" s="214"/>
      <c r="V42" s="139">
        <f>'P&amp;L'!BP466</f>
        <v>193</v>
      </c>
      <c r="W42" s="139">
        <f>'P&amp;L'!BQ466</f>
        <v>301</v>
      </c>
      <c r="X42" s="141">
        <f>'P&amp;L'!BR466</f>
        <v>494</v>
      </c>
      <c r="Y42" s="214"/>
      <c r="Z42" s="139">
        <f>'P&amp;L'!BT466</f>
        <v>245</v>
      </c>
      <c r="AA42" s="139">
        <f>'P&amp;L'!BU466</f>
        <v>348</v>
      </c>
      <c r="AB42" s="141">
        <f>'P&amp;L'!BV466</f>
        <v>593</v>
      </c>
      <c r="AC42" s="139"/>
      <c r="AD42" s="139">
        <f>'P&amp;L'!BX466</f>
        <v>841</v>
      </c>
      <c r="AE42" s="139">
        <f>'P&amp;L'!BY466</f>
        <v>503</v>
      </c>
      <c r="AF42" s="141">
        <f>'P&amp;L'!BZ466</f>
        <v>1344</v>
      </c>
      <c r="AG42" s="139"/>
      <c r="AH42" s="139">
        <f>'P&amp;L'!CB466</f>
        <v>452</v>
      </c>
      <c r="AI42" s="139">
        <f>'P&amp;L'!CC466</f>
        <v>830</v>
      </c>
      <c r="AJ42" s="141">
        <f>'P&amp;L'!CD466</f>
        <v>1282</v>
      </c>
      <c r="AK42" s="139"/>
      <c r="AL42" s="139">
        <f>'P&amp;L'!CF466</f>
        <v>473</v>
      </c>
      <c r="AM42" s="139">
        <f>'P&amp;L'!CG466</f>
        <v>1601</v>
      </c>
      <c r="AN42" s="141">
        <f>'P&amp;L'!CH466</f>
        <v>2074</v>
      </c>
      <c r="AO42" s="139"/>
      <c r="AP42" s="139">
        <f>'P&amp;L'!CJ466</f>
        <v>651</v>
      </c>
      <c r="AQ42" s="139">
        <f>'P&amp;L'!CK466</f>
        <v>1010</v>
      </c>
      <c r="AR42" s="141">
        <f>'P&amp;L'!CL466</f>
        <v>1661</v>
      </c>
      <c r="AS42" s="139"/>
      <c r="AT42" s="139">
        <f>'P&amp;L'!CN466</f>
        <v>603</v>
      </c>
      <c r="AU42" s="139">
        <f>'P&amp;L'!CO466</f>
        <v>1311</v>
      </c>
      <c r="AV42" s="141">
        <f>'P&amp;L'!CP466</f>
        <v>1914</v>
      </c>
      <c r="AW42" s="139"/>
      <c r="AX42" s="139">
        <f>'P&amp;L'!CR466</f>
        <v>985</v>
      </c>
      <c r="AY42" s="139">
        <f>'P&amp;L'!CS466</f>
        <v>2251</v>
      </c>
      <c r="AZ42" s="141">
        <f>'P&amp;L'!CT466</f>
        <v>3236</v>
      </c>
      <c r="BA42" s="139"/>
      <c r="BB42" s="139">
        <f>'P&amp;L'!CV466</f>
        <v>1542</v>
      </c>
      <c r="BC42" s="139">
        <f>'P&amp;L'!CW466</f>
        <v>562</v>
      </c>
      <c r="BD42" s="141">
        <f>'P&amp;L'!CX466</f>
        <v>2104</v>
      </c>
      <c r="BE42" s="139"/>
      <c r="BF42" s="139">
        <f>'P&amp;L'!CZ466</f>
        <v>346</v>
      </c>
      <c r="BG42" s="139">
        <f>'P&amp;L'!DA466</f>
        <v>710</v>
      </c>
      <c r="BH42" s="141">
        <f>'P&amp;L'!DB466</f>
        <v>1056</v>
      </c>
      <c r="BI42" s="139"/>
      <c r="BJ42" s="139">
        <f>'P&amp;L'!DD466</f>
        <v>526</v>
      </c>
      <c r="BK42" s="139">
        <f>'P&amp;L'!DE466</f>
        <v>796</v>
      </c>
      <c r="BL42" s="141">
        <f>'P&amp;L'!DF466</f>
        <v>1322</v>
      </c>
      <c r="BM42" s="139"/>
      <c r="BN42" s="139">
        <f>'P&amp;L'!DH466</f>
        <v>326</v>
      </c>
      <c r="BO42" s="139">
        <f>'P&amp;L'!DI466</f>
        <v>993.82</v>
      </c>
      <c r="BP42" s="139">
        <f>'P&amp;L'!DJ466</f>
        <v>1319.8200000000002</v>
      </c>
      <c r="BQ42" s="139"/>
      <c r="BR42" s="139">
        <f>'P&amp;L'!DL466</f>
        <v>618.08000000000004</v>
      </c>
      <c r="BS42" s="139">
        <f>'P&amp;L'!DM466</f>
        <v>841.91679999999997</v>
      </c>
      <c r="BT42" s="1464">
        <f>'P&amp;L'!DN466</f>
        <v>1459.9967999999999</v>
      </c>
      <c r="BU42" s="139"/>
      <c r="BV42" s="139">
        <f>'P&amp;L'!DP466</f>
        <v>644.20320000000004</v>
      </c>
      <c r="BW42" s="139">
        <f>'P&amp;L'!DQ466</f>
        <v>888.993472</v>
      </c>
      <c r="BX42" s="1464">
        <f>'P&amp;L'!DR466</f>
        <v>1533.196672</v>
      </c>
      <c r="BY42" s="139"/>
      <c r="BZ42" s="139"/>
      <c r="CA42" s="179"/>
      <c r="CB42" s="208" t="s">
        <v>488</v>
      </c>
      <c r="CC42" s="225"/>
      <c r="CD42" s="225"/>
      <c r="CE42" s="225"/>
      <c r="CF42" s="225"/>
      <c r="CG42" s="225"/>
      <c r="CH42" s="225"/>
      <c r="CI42" s="226"/>
      <c r="CJ42" s="225"/>
      <c r="CK42" s="225"/>
      <c r="CL42" s="225"/>
      <c r="CM42" s="226"/>
      <c r="CN42" s="225"/>
      <c r="CO42" s="225"/>
      <c r="CP42" s="225"/>
      <c r="CQ42" s="226"/>
      <c r="CR42" s="225"/>
      <c r="CS42" s="225"/>
      <c r="CT42" s="225"/>
      <c r="CU42" s="226"/>
      <c r="CV42" s="226"/>
      <c r="CW42" s="226"/>
      <c r="CX42" s="226"/>
      <c r="CY42" s="226"/>
      <c r="CZ42" s="226"/>
      <c r="DA42" s="226"/>
      <c r="DB42" s="226"/>
      <c r="DC42" s="226"/>
      <c r="DD42" s="226"/>
      <c r="DE42" s="226"/>
      <c r="DF42" s="226"/>
      <c r="DG42" s="226"/>
      <c r="DH42" s="226"/>
      <c r="DI42" s="226"/>
      <c r="DJ42" s="226"/>
      <c r="DK42" s="226"/>
      <c r="DL42" s="226"/>
      <c r="DM42" s="226"/>
      <c r="DN42" s="226"/>
      <c r="DO42" s="226"/>
      <c r="DP42" s="226"/>
      <c r="DQ42" s="226"/>
      <c r="DR42" s="226"/>
      <c r="DS42" s="226"/>
      <c r="DT42" s="226"/>
      <c r="DU42" s="226"/>
      <c r="DV42" s="226"/>
      <c r="DW42" s="226"/>
      <c r="DX42" s="226"/>
      <c r="DY42" s="226"/>
      <c r="DZ42" s="226"/>
      <c r="EA42" s="226"/>
      <c r="EB42" s="226"/>
      <c r="EC42" s="1754"/>
      <c r="ED42" s="226"/>
      <c r="EE42" s="226"/>
      <c r="EF42" s="226"/>
      <c r="EG42" s="1754"/>
      <c r="EH42" s="226"/>
      <c r="EI42" s="1933"/>
      <c r="EJ42" s="226"/>
      <c r="EK42" s="1754"/>
      <c r="EL42" s="226"/>
      <c r="EM42" s="2071"/>
      <c r="EN42" s="226"/>
      <c r="EO42" s="226"/>
      <c r="EP42" s="226"/>
      <c r="EQ42" s="2071"/>
      <c r="ER42" s="226"/>
      <c r="ES42" s="226"/>
      <c r="ET42" s="226"/>
      <c r="EU42" s="226"/>
      <c r="EV42" s="226"/>
      <c r="EW42" s="226"/>
      <c r="EX42" s="226"/>
      <c r="EY42" s="1754"/>
      <c r="EZ42" s="226"/>
      <c r="FA42" s="226"/>
      <c r="FB42" s="226"/>
      <c r="FC42" s="1754"/>
      <c r="FD42" s="144"/>
      <c r="FE42" s="116"/>
      <c r="FF42" s="2192"/>
      <c r="FL42" s="172"/>
      <c r="FO42" s="109"/>
    </row>
    <row r="43" spans="1:208" s="119" customFormat="1" ht="16.649999999999999" customHeight="1">
      <c r="B43" s="116"/>
      <c r="C43" s="154" t="s">
        <v>1158</v>
      </c>
      <c r="D43" s="183"/>
      <c r="E43" s="183"/>
      <c r="F43" s="214">
        <f>'P&amp;L'!AZ463</f>
        <v>-76</v>
      </c>
      <c r="G43" s="214">
        <f>'P&amp;L'!BA463</f>
        <v>-56</v>
      </c>
      <c r="H43" s="215">
        <f>'P&amp;L'!BB463</f>
        <v>-132</v>
      </c>
      <c r="I43" s="155"/>
      <c r="J43" s="214">
        <f>'P&amp;L'!BD463</f>
        <v>-65</v>
      </c>
      <c r="K43" s="214">
        <f>'P&amp;L'!BE463</f>
        <v>-112</v>
      </c>
      <c r="L43" s="215">
        <f>'P&amp;L'!BF463</f>
        <v>-177</v>
      </c>
      <c r="M43" s="153"/>
      <c r="N43" s="214">
        <f>'P&amp;L'!BH463</f>
        <v>-89</v>
      </c>
      <c r="O43" s="214">
        <f>'P&amp;L'!BI463</f>
        <v>-99</v>
      </c>
      <c r="P43" s="215">
        <f>'P&amp;L'!BJ463</f>
        <v>-188</v>
      </c>
      <c r="Q43" s="155"/>
      <c r="R43" s="214">
        <f>'P&amp;L'!BL463</f>
        <v>-90</v>
      </c>
      <c r="S43" s="214">
        <f>'P&amp;L'!BM463</f>
        <v>-142</v>
      </c>
      <c r="T43" s="215">
        <f>'P&amp;L'!BN463</f>
        <v>-232</v>
      </c>
      <c r="U43" s="214"/>
      <c r="V43" s="214">
        <f>'P&amp;L'!BP463</f>
        <v>-99</v>
      </c>
      <c r="W43" s="214">
        <f>'P&amp;L'!BQ463</f>
        <v>-351</v>
      </c>
      <c r="X43" s="215">
        <f>'P&amp;L'!BR463</f>
        <v>-450</v>
      </c>
      <c r="Y43" s="214"/>
      <c r="Z43" s="214">
        <f>'P&amp;L'!BT463</f>
        <v>-258</v>
      </c>
      <c r="AA43" s="214">
        <f>'P&amp;L'!BU463</f>
        <v>-261</v>
      </c>
      <c r="AB43" s="215">
        <f>'P&amp;L'!BV463</f>
        <v>-519</v>
      </c>
      <c r="AC43" s="214"/>
      <c r="AD43" s="214">
        <f>'P&amp;L'!BX463</f>
        <v>-172</v>
      </c>
      <c r="AE43" s="214">
        <f>'P&amp;L'!BY463</f>
        <v>-130</v>
      </c>
      <c r="AF43" s="215">
        <f>'P&amp;L'!BZ463</f>
        <v>-302</v>
      </c>
      <c r="AG43" s="214"/>
      <c r="AH43" s="214">
        <f>'P&amp;L'!CB463</f>
        <v>-142</v>
      </c>
      <c r="AI43" s="214">
        <f>'P&amp;L'!CC463</f>
        <v>-216</v>
      </c>
      <c r="AJ43" s="215">
        <f>'P&amp;L'!CD463</f>
        <v>-358</v>
      </c>
      <c r="AK43" s="214"/>
      <c r="AL43" s="214">
        <f>'P&amp;L'!CF463</f>
        <v>-76</v>
      </c>
      <c r="AM43" s="214">
        <f>'P&amp;L'!CG463</f>
        <v>-461</v>
      </c>
      <c r="AN43" s="215">
        <f>'P&amp;L'!CH463</f>
        <v>-537</v>
      </c>
      <c r="AO43" s="214"/>
      <c r="AP43" s="214">
        <f>'P&amp;L'!CJ463</f>
        <v>-139</v>
      </c>
      <c r="AQ43" s="214">
        <f>'P&amp;L'!CK463</f>
        <v>-901</v>
      </c>
      <c r="AR43" s="215">
        <f>'P&amp;L'!CL463</f>
        <v>-1040</v>
      </c>
      <c r="AS43" s="214"/>
      <c r="AT43" s="214">
        <f>'P&amp;L'!CN463</f>
        <v>-447</v>
      </c>
      <c r="AU43" s="214">
        <f>'P&amp;L'!CO463</f>
        <v>-77</v>
      </c>
      <c r="AV43" s="215">
        <f>'P&amp;L'!CP463</f>
        <v>-524</v>
      </c>
      <c r="AW43" s="214"/>
      <c r="AX43" s="214">
        <f>'P&amp;L'!CR463</f>
        <v>-230</v>
      </c>
      <c r="AY43" s="214">
        <f>'P&amp;L'!CS463</f>
        <v>-279</v>
      </c>
      <c r="AZ43" s="215">
        <f>'P&amp;L'!CT463</f>
        <v>-509</v>
      </c>
      <c r="BA43" s="214"/>
      <c r="BB43" s="214">
        <f>'P&amp;L'!CV463</f>
        <v>-286</v>
      </c>
      <c r="BC43" s="214">
        <f>'P&amp;L'!CW463</f>
        <v>-168</v>
      </c>
      <c r="BD43" s="215">
        <f>'P&amp;L'!CX463</f>
        <v>-454</v>
      </c>
      <c r="BE43" s="214"/>
      <c r="BF43" s="214">
        <f>'P&amp;L'!CZ463</f>
        <v>117</v>
      </c>
      <c r="BG43" s="214">
        <f>'P&amp;L'!DA463</f>
        <v>252</v>
      </c>
      <c r="BH43" s="215">
        <f>'P&amp;L'!DB463</f>
        <v>369</v>
      </c>
      <c r="BI43" s="214"/>
      <c r="BJ43" s="214">
        <f>'P&amp;L'!DD463</f>
        <v>-75</v>
      </c>
      <c r="BK43" s="214">
        <f>'P&amp;L'!DE463</f>
        <v>-286</v>
      </c>
      <c r="BL43" s="215">
        <f>'P&amp;L'!DF463</f>
        <v>-361</v>
      </c>
      <c r="BM43" s="214"/>
      <c r="BN43" s="214">
        <f>'P&amp;L'!DH463</f>
        <v>-29</v>
      </c>
      <c r="BO43" s="214">
        <f>'P&amp;L'!DI463</f>
        <v>-141.61760000000001</v>
      </c>
      <c r="BP43" s="214">
        <f>'P&amp;L'!DJ463</f>
        <v>-170.61760000000001</v>
      </c>
      <c r="BQ43" s="214"/>
      <c r="BR43" s="214">
        <f>'P&amp;L'!DL463</f>
        <v>-202.92000000000002</v>
      </c>
      <c r="BS43" s="214">
        <f>'P&amp;L'!DM463</f>
        <v>-218.91200000000001</v>
      </c>
      <c r="BT43" s="1475">
        <f>'P&amp;L'!DN463</f>
        <v>-421.83199999999999</v>
      </c>
      <c r="BU43" s="214"/>
      <c r="BV43" s="214">
        <f>'P&amp;L'!DP463</f>
        <v>-210.07679999999999</v>
      </c>
      <c r="BW43" s="214">
        <f>'P&amp;L'!DQ463</f>
        <v>-225.26848000000001</v>
      </c>
      <c r="BX43" s="1475">
        <f>'P&amp;L'!DR463</f>
        <v>-435.34528</v>
      </c>
      <c r="BY43" s="214"/>
      <c r="BZ43" s="214"/>
      <c r="CA43" s="179"/>
      <c r="CB43" s="212" t="s">
        <v>8</v>
      </c>
      <c r="CC43" s="227"/>
      <c r="CD43" s="227"/>
      <c r="CE43" s="138"/>
      <c r="CF43" s="227"/>
      <c r="CG43" s="227"/>
      <c r="CH43" s="227"/>
      <c r="CI43" s="150">
        <f>'Bal Sheet'!AX16/1000</f>
        <v>44.267000000000003</v>
      </c>
      <c r="CJ43" s="227"/>
      <c r="CK43" s="227"/>
      <c r="CL43" s="227"/>
      <c r="CM43" s="150">
        <f>'Bal Sheet'!BB16/1000</f>
        <v>46.015999999999998</v>
      </c>
      <c r="CN43" s="227"/>
      <c r="CO43" s="227"/>
      <c r="CP43" s="227"/>
      <c r="CQ43" s="150">
        <f>'Bal Sheet'!BF16/1000</f>
        <v>45.218000000000004</v>
      </c>
      <c r="CR43" s="227"/>
      <c r="CS43" s="227"/>
      <c r="CT43" s="227"/>
      <c r="CU43" s="150">
        <f>'Bal Sheet'!BJ16/1000</f>
        <v>50.792999999999999</v>
      </c>
      <c r="CV43" s="140"/>
      <c r="CW43" s="228"/>
      <c r="CX43" s="228"/>
      <c r="CY43" s="150">
        <f>'Bal Sheet'!BN16/1000</f>
        <v>58.712000000000003</v>
      </c>
      <c r="CZ43" s="140"/>
      <c r="DA43" s="228"/>
      <c r="DB43" s="228"/>
      <c r="DC43" s="150">
        <f>'Bal Sheet'!BR16/1000</f>
        <v>72.762</v>
      </c>
      <c r="DD43" s="140"/>
      <c r="DE43" s="228"/>
      <c r="DF43" s="228"/>
      <c r="DG43" s="150">
        <f>'Bal Sheet'!BV16/1000</f>
        <v>80.366</v>
      </c>
      <c r="DH43" s="140"/>
      <c r="DI43" s="228"/>
      <c r="DJ43" s="228"/>
      <c r="DK43" s="150">
        <f>'Bal Sheet'!BZ16/1000</f>
        <v>76.662999999999997</v>
      </c>
      <c r="DL43" s="140"/>
      <c r="DM43" s="228"/>
      <c r="DN43" s="228"/>
      <c r="DO43" s="150">
        <f>'Bal Sheet'!CD16/1000</f>
        <v>73.509</v>
      </c>
      <c r="DP43" s="150"/>
      <c r="DQ43" s="228"/>
      <c r="DR43" s="228"/>
      <c r="DS43" s="150">
        <f>'Bal Sheet'!CH16/1000</f>
        <v>78.474000000000004</v>
      </c>
      <c r="DT43" s="150"/>
      <c r="DU43" s="150">
        <f>'Bal Sheet'!CJ16/1000</f>
        <v>85.066000000000003</v>
      </c>
      <c r="DV43" s="150">
        <f>'Bal Sheet'!CK16/1000</f>
        <v>94.117000000000004</v>
      </c>
      <c r="DW43" s="150">
        <f>'Bal Sheet'!CL16/1000</f>
        <v>94.117000000000004</v>
      </c>
      <c r="DX43" s="150"/>
      <c r="DY43" s="150">
        <f>'Bal Sheet'!CN16/1000</f>
        <v>93.414000000000001</v>
      </c>
      <c r="DZ43" s="150">
        <f>'Bal Sheet'!CO16/1000</f>
        <v>105.026</v>
      </c>
      <c r="EA43" s="150">
        <f>'Bal Sheet'!CP16/1000</f>
        <v>105.026</v>
      </c>
      <c r="EB43" s="150"/>
      <c r="EC43" s="1751">
        <f>'Bal Sheet'!CR16/1000</f>
        <v>118.35899999999999</v>
      </c>
      <c r="ED43" s="150">
        <f>'Bal Sheet'!CS16/1000</f>
        <v>134.744</v>
      </c>
      <c r="EE43" s="150">
        <f>'Bal Sheet'!CT16/1000</f>
        <v>134.744</v>
      </c>
      <c r="EF43" s="150"/>
      <c r="EG43" s="1751">
        <f>'Bal Sheet'!CV16/1000</f>
        <v>148.874</v>
      </c>
      <c r="EH43" s="150">
        <f>'Bal Sheet'!CW16/1000</f>
        <v>158.572</v>
      </c>
      <c r="EI43" s="1930">
        <f>'Bal Sheet'!CX16/1000</f>
        <v>158.572</v>
      </c>
      <c r="EJ43" s="150"/>
      <c r="EK43" s="1751">
        <f>'Bal Sheet'!CZ16/1000</f>
        <v>167.495</v>
      </c>
      <c r="EL43" s="150">
        <f>'Bal Sheet'!DA16/1000</f>
        <v>176.37100000000001</v>
      </c>
      <c r="EM43" s="2068">
        <f>'Bal Sheet'!DB16/1000</f>
        <v>176.37100000000001</v>
      </c>
      <c r="EN43" s="150"/>
      <c r="EO43" s="150">
        <f>'Bal Sheet'!DD16/1000</f>
        <v>187.06399999999999</v>
      </c>
      <c r="EP43" s="150">
        <f>'Bal Sheet'!DE16/1000</f>
        <v>205.648</v>
      </c>
      <c r="EQ43" s="2068">
        <f>'Bal Sheet'!DF16/1000</f>
        <v>205.648</v>
      </c>
      <c r="ER43" s="150"/>
      <c r="ES43" s="150">
        <f>'Bal Sheet'!DH16/1000</f>
        <v>224.042</v>
      </c>
      <c r="ET43" s="150">
        <f>'Bal Sheet'!DI16/1000</f>
        <v>249.79542000000001</v>
      </c>
      <c r="EU43" s="150">
        <f>'Bal Sheet'!DJ16/1000</f>
        <v>249.79542000000001</v>
      </c>
      <c r="EV43" s="150"/>
      <c r="EW43" s="150">
        <f>'Bal Sheet'!DL16/1000</f>
        <v>269.00286420000003</v>
      </c>
      <c r="EX43" s="150">
        <f>'Bal Sheet'!DM16/1000</f>
        <v>283.78026184200002</v>
      </c>
      <c r="EY43" s="1751">
        <f>'Bal Sheet'!DN16/1000</f>
        <v>283.78026184200002</v>
      </c>
      <c r="EZ43" s="150"/>
      <c r="FA43" s="150">
        <f>'Bal Sheet'!DP16/1000</f>
        <v>299.38985664042002</v>
      </c>
      <c r="FB43" s="150">
        <f>'Bal Sheet'!DQ16/1000</f>
        <v>315.87940319922427</v>
      </c>
      <c r="FC43" s="1751">
        <f>'Bal Sheet'!DR16/1000</f>
        <v>315.87940319922427</v>
      </c>
      <c r="FD43" s="144"/>
      <c r="FE43" s="116"/>
      <c r="FF43" s="2192"/>
      <c r="FL43" s="172"/>
      <c r="FO43" s="109"/>
    </row>
    <row r="44" spans="1:208" s="119" customFormat="1" ht="16.649999999999999" hidden="1" customHeight="1" outlineLevel="1">
      <c r="B44" s="116"/>
      <c r="C44" s="154" t="s">
        <v>1220</v>
      </c>
      <c r="D44" s="153"/>
      <c r="E44" s="153"/>
      <c r="F44" s="139">
        <f>'P&amp;L'!AZ467</f>
        <v>-51</v>
      </c>
      <c r="G44" s="139">
        <f>'P&amp;L'!BA467</f>
        <v>-77</v>
      </c>
      <c r="H44" s="141">
        <f>'P&amp;L'!BB467</f>
        <v>-128</v>
      </c>
      <c r="I44" s="155"/>
      <c r="J44" s="139">
        <f>'P&amp;L'!BD467</f>
        <v>-31</v>
      </c>
      <c r="K44" s="139">
        <f>'P&amp;L'!BE467</f>
        <v>-224</v>
      </c>
      <c r="L44" s="141">
        <f>'P&amp;L'!BF467</f>
        <v>-255</v>
      </c>
      <c r="M44" s="153"/>
      <c r="N44" s="139">
        <f>'P&amp;L'!BH467</f>
        <v>-223</v>
      </c>
      <c r="O44" s="139">
        <f>'P&amp;L'!BI467</f>
        <v>-187</v>
      </c>
      <c r="P44" s="141">
        <f>'P&amp;L'!BJ467</f>
        <v>-410</v>
      </c>
      <c r="Q44" s="155"/>
      <c r="R44" s="139">
        <f>'P&amp;L'!BL467</f>
        <v>-104</v>
      </c>
      <c r="S44" s="139">
        <f>'P&amp;L'!BM467</f>
        <v>-163</v>
      </c>
      <c r="T44" s="141">
        <f>'P&amp;L'!BN467</f>
        <v>-267</v>
      </c>
      <c r="U44" s="214"/>
      <c r="V44" s="139">
        <f>'P&amp;L'!BP467</f>
        <v>-64</v>
      </c>
      <c r="W44" s="139">
        <f>'P&amp;L'!BQ467</f>
        <v>-267</v>
      </c>
      <c r="X44" s="141">
        <f>'P&amp;L'!BR467</f>
        <v>-331</v>
      </c>
      <c r="Y44" s="214"/>
      <c r="Z44" s="139">
        <f>'P&amp;L'!BT467</f>
        <v>-170</v>
      </c>
      <c r="AA44" s="139">
        <f>'P&amp;L'!BU467</f>
        <v>-79</v>
      </c>
      <c r="AB44" s="141">
        <f>'P&amp;L'!BV467</f>
        <v>-249</v>
      </c>
      <c r="AC44" s="139"/>
      <c r="AD44" s="139">
        <f>'P&amp;L'!BX467</f>
        <v>-122</v>
      </c>
      <c r="AE44" s="139">
        <f>'P&amp;L'!BY467</f>
        <v>-34</v>
      </c>
      <c r="AF44" s="141">
        <f>'P&amp;L'!BZ467</f>
        <v>-156</v>
      </c>
      <c r="AG44" s="139"/>
      <c r="AH44" s="139">
        <f>'P&amp;L'!CB467</f>
        <v>0</v>
      </c>
      <c r="AI44" s="139">
        <f>'P&amp;L'!CC467</f>
        <v>0</v>
      </c>
      <c r="AJ44" s="141">
        <f>'P&amp;L'!CD467</f>
        <v>0</v>
      </c>
      <c r="AK44" s="139"/>
      <c r="AL44" s="139">
        <f>'P&amp;L'!CF467</f>
        <v>0</v>
      </c>
      <c r="AM44" s="139">
        <f>'P&amp;L'!CG467</f>
        <v>-15</v>
      </c>
      <c r="AN44" s="141">
        <f>'P&amp;L'!CH467</f>
        <v>-15</v>
      </c>
      <c r="AO44" s="139"/>
      <c r="AP44" s="139">
        <f>'P&amp;L'!CJ467</f>
        <v>0</v>
      </c>
      <c r="AQ44" s="139">
        <f>'P&amp;L'!CK467</f>
        <v>0</v>
      </c>
      <c r="AR44" s="141">
        <f>'P&amp;L'!CL467</f>
        <v>0</v>
      </c>
      <c r="AS44" s="139"/>
      <c r="AT44" s="139">
        <f>'P&amp;L'!CN467</f>
        <v>0</v>
      </c>
      <c r="AU44" s="139">
        <f>'P&amp;L'!CO467</f>
        <v>0</v>
      </c>
      <c r="AV44" s="141">
        <f>'P&amp;L'!CP467</f>
        <v>0</v>
      </c>
      <c r="AW44" s="139"/>
      <c r="AX44" s="139">
        <f>'P&amp;L'!CR467</f>
        <v>0</v>
      </c>
      <c r="AY44" s="139">
        <f>'P&amp;L'!CS467</f>
        <v>0</v>
      </c>
      <c r="AZ44" s="141">
        <f>'P&amp;L'!CT467</f>
        <v>0</v>
      </c>
      <c r="BA44" s="139"/>
      <c r="BB44" s="139">
        <f>'P&amp;L'!CV467</f>
        <v>0</v>
      </c>
      <c r="BC44" s="139">
        <f>'P&amp;L'!CW467</f>
        <v>0</v>
      </c>
      <c r="BD44" s="141">
        <f>'P&amp;L'!CX467</f>
        <v>0</v>
      </c>
      <c r="BE44" s="139"/>
      <c r="BF44" s="139">
        <f>'P&amp;L'!CZ467</f>
        <v>0</v>
      </c>
      <c r="BG44" s="139">
        <f>'P&amp;L'!DA467</f>
        <v>0</v>
      </c>
      <c r="BH44" s="141">
        <f>'P&amp;L'!DB467</f>
        <v>0</v>
      </c>
      <c r="BI44" s="139"/>
      <c r="BJ44" s="139">
        <f>'P&amp;L'!DD467</f>
        <v>0</v>
      </c>
      <c r="BK44" s="139">
        <f>'P&amp;L'!DE467</f>
        <v>0</v>
      </c>
      <c r="BL44" s="141">
        <f>'P&amp;L'!DF467</f>
        <v>0</v>
      </c>
      <c r="BM44" s="139"/>
      <c r="BN44" s="139">
        <f>'P&amp;L'!DH467</f>
        <v>0</v>
      </c>
      <c r="BO44" s="139">
        <f>'P&amp;L'!DI467</f>
        <v>0</v>
      </c>
      <c r="BP44" s="139">
        <f>'P&amp;L'!DJ467</f>
        <v>0</v>
      </c>
      <c r="BQ44" s="139"/>
      <c r="BR44" s="139">
        <f>'P&amp;L'!DL467</f>
        <v>0</v>
      </c>
      <c r="BS44" s="139">
        <f>'P&amp;L'!DM467</f>
        <v>0</v>
      </c>
      <c r="BT44" s="1464">
        <f>'P&amp;L'!DN467</f>
        <v>0</v>
      </c>
      <c r="BU44" s="139"/>
      <c r="BV44" s="139">
        <f>'P&amp;L'!DP467</f>
        <v>0</v>
      </c>
      <c r="BW44" s="139">
        <f>'P&amp;L'!DQ467</f>
        <v>0</v>
      </c>
      <c r="BX44" s="1464">
        <f>'P&amp;L'!DR467</f>
        <v>0</v>
      </c>
      <c r="BY44" s="139"/>
      <c r="BZ44" s="139"/>
      <c r="CA44" s="179"/>
      <c r="CB44" s="212" t="s">
        <v>295</v>
      </c>
      <c r="CI44" s="150">
        <f>'Bal Sheet'!AX14/1000</f>
        <v>12.138</v>
      </c>
      <c r="CM44" s="150">
        <f>'Bal Sheet'!BB14/1000</f>
        <v>14.898</v>
      </c>
      <c r="CQ44" s="150">
        <f>'Bal Sheet'!BF14/1000</f>
        <v>12.689</v>
      </c>
      <c r="CU44" s="150">
        <f>'Bal Sheet'!BJ14/1000</f>
        <v>19.776</v>
      </c>
      <c r="CV44" s="193"/>
      <c r="CW44" s="193"/>
      <c r="CX44" s="193"/>
      <c r="CY44" s="150">
        <f>'Bal Sheet'!BN14/1000</f>
        <v>22.462</v>
      </c>
      <c r="CZ44" s="193"/>
      <c r="DA44" s="193"/>
      <c r="DB44" s="193"/>
      <c r="DC44" s="150">
        <f>'Bal Sheet'!BR14/1000</f>
        <v>30.405999999999999</v>
      </c>
      <c r="DD44" s="193"/>
      <c r="DE44" s="193"/>
      <c r="DF44" s="193"/>
      <c r="DG44" s="150">
        <f>'Bal Sheet'!BV14/1000</f>
        <v>23.536999999999999</v>
      </c>
      <c r="DH44" s="193"/>
      <c r="DI44" s="193"/>
      <c r="DJ44" s="193"/>
      <c r="DK44" s="150">
        <f>'Bal Sheet'!BZ14/1000</f>
        <v>26.933</v>
      </c>
      <c r="DL44" s="193"/>
      <c r="DM44" s="193"/>
      <c r="DN44" s="193"/>
      <c r="DO44" s="150">
        <f>'Bal Sheet'!CD14/1000</f>
        <v>15.340999999999999</v>
      </c>
      <c r="DP44" s="150"/>
      <c r="DQ44" s="193"/>
      <c r="DR44" s="193"/>
      <c r="DS44" s="150">
        <f>'Bal Sheet'!CH14/1000</f>
        <v>18.670000000000002</v>
      </c>
      <c r="DT44" s="150"/>
      <c r="DU44" s="150">
        <f>'Bal Sheet'!CJ14/1000</f>
        <v>24.32</v>
      </c>
      <c r="DV44" s="150">
        <f>'Bal Sheet'!CK14/1000</f>
        <v>16.855</v>
      </c>
      <c r="DW44" s="150">
        <f>'Bal Sheet'!CL14/1000</f>
        <v>16.855</v>
      </c>
      <c r="DX44" s="150"/>
      <c r="DY44" s="150">
        <f>'Bal Sheet'!CN14/1000</f>
        <v>19.251999999999999</v>
      </c>
      <c r="DZ44" s="150">
        <f>'Bal Sheet'!CO14/1000</f>
        <v>21.745999999999999</v>
      </c>
      <c r="EA44" s="150">
        <f>'Bal Sheet'!CP14/1000</f>
        <v>21.745999999999999</v>
      </c>
      <c r="EB44" s="150"/>
      <c r="EC44" s="1751">
        <f>'Bal Sheet'!CR14/1000</f>
        <v>21.783000000000001</v>
      </c>
      <c r="ED44" s="150">
        <f>'Bal Sheet'!CS14/1000</f>
        <v>13.577999999999999</v>
      </c>
      <c r="EE44" s="150">
        <f>'Bal Sheet'!CT17/1000</f>
        <v>12.127000000000001</v>
      </c>
      <c r="EF44" s="150"/>
      <c r="EG44" s="1751">
        <f>'Bal Sheet'!CV17/1000</f>
        <v>25.045999999999999</v>
      </c>
      <c r="EH44" s="150">
        <f>'Bal Sheet'!CW17/1000</f>
        <v>21.873999999999999</v>
      </c>
      <c r="EI44" s="1930">
        <f>'Bal Sheet'!CX17/1000</f>
        <v>21.873999999999999</v>
      </c>
      <c r="EJ44" s="150"/>
      <c r="EK44" s="1751">
        <f>'Bal Sheet'!CZ17/1000</f>
        <v>22.861999999999998</v>
      </c>
      <c r="EL44" s="150">
        <f>'Bal Sheet'!DA17/1000</f>
        <v>24.378</v>
      </c>
      <c r="EM44" s="2068">
        <f>'Bal Sheet'!DB17/1000</f>
        <v>24.378</v>
      </c>
      <c r="EN44" s="150"/>
      <c r="EO44" s="150">
        <f>'Bal Sheet'!DD17/1000</f>
        <v>18.887</v>
      </c>
      <c r="EP44" s="150">
        <f>'Bal Sheet'!DE17/1000</f>
        <v>21.454999999999998</v>
      </c>
      <c r="EQ44" s="2068">
        <f>'Bal Sheet'!DF17/1000</f>
        <v>21.454999999999998</v>
      </c>
      <c r="ER44" s="150"/>
      <c r="ES44" s="150">
        <f>'Bal Sheet'!DH17/1000</f>
        <v>26.241</v>
      </c>
      <c r="ET44" s="150">
        <f>'Bal Sheet'!DI17/1000</f>
        <v>27.389707772867283</v>
      </c>
      <c r="EU44" s="150">
        <f>'Bal Sheet'!DJ17/1000</f>
        <v>27.389707772867283</v>
      </c>
      <c r="EV44" s="150"/>
      <c r="EW44" s="150">
        <f>'Bal Sheet'!DL17/1000</f>
        <v>27.975473108182669</v>
      </c>
      <c r="EX44" s="150">
        <f>'Bal Sheet'!DM17/1000</f>
        <v>28.576013107375921</v>
      </c>
      <c r="EY44" s="1751">
        <f>'Bal Sheet'!DN17/1000</f>
        <v>28.576013107375921</v>
      </c>
      <c r="EZ44" s="150"/>
      <c r="FA44" s="150">
        <f>'Bal Sheet'!DP17/1000</f>
        <v>29.191884136765974</v>
      </c>
      <c r="FB44" s="150">
        <f>'Bal Sheet'!DQ17/1000</f>
        <v>29.823677524168495</v>
      </c>
      <c r="FC44" s="1751">
        <f>'Bal Sheet'!DR17/1000</f>
        <v>29.823677524168495</v>
      </c>
      <c r="FD44" s="144"/>
      <c r="FE44" s="116"/>
      <c r="FF44" s="2192"/>
      <c r="FL44" s="172"/>
      <c r="FO44" s="109"/>
    </row>
    <row r="45" spans="1:208" s="119" customFormat="1" ht="16.649999999999999" customHeight="1" collapsed="1">
      <c r="B45" s="116"/>
      <c r="C45" s="119" t="s">
        <v>970</v>
      </c>
      <c r="D45" s="138"/>
      <c r="E45" s="138"/>
      <c r="F45" s="139">
        <f>'P&amp;L'!AZ468</f>
        <v>234</v>
      </c>
      <c r="G45" s="139">
        <f>'P&amp;L'!BA468</f>
        <v>278</v>
      </c>
      <c r="H45" s="141">
        <f>'P&amp;L'!BB468</f>
        <v>512</v>
      </c>
      <c r="I45" s="140"/>
      <c r="J45" s="139">
        <f>'P&amp;L'!BD468</f>
        <v>113</v>
      </c>
      <c r="K45" s="139">
        <f>'P&amp;L'!BE468</f>
        <v>235</v>
      </c>
      <c r="L45" s="141">
        <f>'P&amp;L'!BF468</f>
        <v>348</v>
      </c>
      <c r="M45" s="138"/>
      <c r="N45" s="139">
        <f>'P&amp;L'!BH468</f>
        <v>127</v>
      </c>
      <c r="O45" s="139">
        <f>'P&amp;L'!BI468</f>
        <v>145</v>
      </c>
      <c r="P45" s="141">
        <f>'P&amp;L'!BJ468</f>
        <v>272</v>
      </c>
      <c r="Q45" s="140"/>
      <c r="R45" s="139">
        <f>'P&amp;L'!BL468</f>
        <v>108</v>
      </c>
      <c r="S45" s="139">
        <f>'P&amp;L'!BM468</f>
        <v>152</v>
      </c>
      <c r="T45" s="141">
        <f>'P&amp;L'!BN468</f>
        <v>260</v>
      </c>
      <c r="U45" s="139">
        <f>U46-SUM(U43:U43)</f>
        <v>0</v>
      </c>
      <c r="V45" s="139">
        <f>'P&amp;L'!BP468</f>
        <v>158</v>
      </c>
      <c r="W45" s="139">
        <f>'P&amp;L'!BQ468</f>
        <v>265</v>
      </c>
      <c r="X45" s="141">
        <f>'P&amp;L'!BR468</f>
        <v>423</v>
      </c>
      <c r="Y45" s="139"/>
      <c r="Z45" s="139">
        <f>'P&amp;L'!BT468</f>
        <v>100</v>
      </c>
      <c r="AA45" s="139">
        <f>'P&amp;L'!BU468</f>
        <v>141</v>
      </c>
      <c r="AB45" s="141">
        <f>'P&amp;L'!BV468</f>
        <v>241</v>
      </c>
      <c r="AC45" s="139"/>
      <c r="AD45" s="139">
        <f>'P&amp;L'!BX468</f>
        <v>126</v>
      </c>
      <c r="AE45" s="139">
        <f>'P&amp;L'!BY468</f>
        <v>106</v>
      </c>
      <c r="AF45" s="141">
        <f>'P&amp;L'!BZ468</f>
        <v>232</v>
      </c>
      <c r="AG45" s="139"/>
      <c r="AH45" s="139">
        <f>'P&amp;L'!CB468</f>
        <v>55</v>
      </c>
      <c r="AI45" s="139">
        <f>'P&amp;L'!CC468</f>
        <v>152</v>
      </c>
      <c r="AJ45" s="141">
        <f>'P&amp;L'!CD468</f>
        <v>207</v>
      </c>
      <c r="AK45" s="139"/>
      <c r="AL45" s="139">
        <f>'P&amp;L'!CF468</f>
        <v>75</v>
      </c>
      <c r="AM45" s="139">
        <f>'P&amp;L'!CG468</f>
        <v>186</v>
      </c>
      <c r="AN45" s="141">
        <f>'P&amp;L'!CH468</f>
        <v>261</v>
      </c>
      <c r="AO45" s="139"/>
      <c r="AP45" s="139">
        <f>'P&amp;L'!CJ468</f>
        <v>105</v>
      </c>
      <c r="AQ45" s="139">
        <f>'P&amp;L'!CK468</f>
        <v>202</v>
      </c>
      <c r="AR45" s="141">
        <f>'P&amp;L'!CL468</f>
        <v>307</v>
      </c>
      <c r="AS45" s="139"/>
      <c r="AT45" s="139">
        <f>'P&amp;L'!CN468</f>
        <v>39</v>
      </c>
      <c r="AU45" s="139">
        <f>'P&amp;L'!CO468</f>
        <v>29</v>
      </c>
      <c r="AV45" s="141">
        <f>'P&amp;L'!CP468</f>
        <v>68</v>
      </c>
      <c r="AW45" s="139"/>
      <c r="AX45" s="139">
        <f>'P&amp;L'!CR468</f>
        <v>137</v>
      </c>
      <c r="AY45" s="139">
        <f>'P&amp;L'!CS468</f>
        <v>75</v>
      </c>
      <c r="AZ45" s="141">
        <f>'P&amp;L'!CT468</f>
        <v>212</v>
      </c>
      <c r="BA45" s="139"/>
      <c r="BB45" s="139">
        <f>'P&amp;L'!CV468</f>
        <v>30</v>
      </c>
      <c r="BC45" s="139">
        <f>'P&amp;L'!CW468</f>
        <v>177</v>
      </c>
      <c r="BD45" s="141">
        <f>'P&amp;L'!CX468</f>
        <v>207</v>
      </c>
      <c r="BE45" s="139"/>
      <c r="BF45" s="139">
        <f>'P&amp;L'!CZ468</f>
        <v>-29</v>
      </c>
      <c r="BG45" s="139">
        <f>'P&amp;L'!DA468</f>
        <v>-47</v>
      </c>
      <c r="BH45" s="141">
        <f>'P&amp;L'!DB468</f>
        <v>-76</v>
      </c>
      <c r="BI45" s="139"/>
      <c r="BJ45" s="139">
        <f>'P&amp;L'!DD468</f>
        <v>124</v>
      </c>
      <c r="BK45" s="139">
        <f>'P&amp;L'!DE468</f>
        <v>-129</v>
      </c>
      <c r="BL45" s="141">
        <f>'P&amp;L'!DF468</f>
        <v>-5</v>
      </c>
      <c r="BM45" s="139"/>
      <c r="BN45" s="139">
        <f>'P&amp;L'!DH468</f>
        <v>-184</v>
      </c>
      <c r="BO45" s="139">
        <f>'P&amp;L'!DI468</f>
        <v>8.0200000000000102</v>
      </c>
      <c r="BP45" s="139">
        <f>'P&amp;L'!DJ468</f>
        <v>-175.98</v>
      </c>
      <c r="BQ45" s="139"/>
      <c r="BR45" s="139">
        <f>'P&amp;L'!DL468</f>
        <v>26.500599999999991</v>
      </c>
      <c r="BS45" s="139">
        <f>'P&amp;L'!DM468</f>
        <v>43.759118000000015</v>
      </c>
      <c r="BT45" s="1464">
        <f>'P&amp;L'!DN468</f>
        <v>70.259718000000007</v>
      </c>
      <c r="BU45" s="139"/>
      <c r="BV45" s="139">
        <f>'P&amp;L'!DP468</f>
        <v>87.173891540000014</v>
      </c>
      <c r="BW45" s="139">
        <f>'P&amp;L'!DQ468</f>
        <v>94.805783286200025</v>
      </c>
      <c r="BX45" s="1464">
        <f>'P&amp;L'!DR468</f>
        <v>181.97967482620004</v>
      </c>
      <c r="BY45" s="139"/>
      <c r="BZ45" s="139"/>
      <c r="CA45" s="179"/>
      <c r="CB45" s="212" t="s">
        <v>295</v>
      </c>
      <c r="EE45" s="150">
        <f>'Bal Sheet'!CT14/1000</f>
        <v>13.577999999999999</v>
      </c>
      <c r="EF45" s="150"/>
      <c r="EG45" s="1751">
        <f>'Bal Sheet'!CV14/1000</f>
        <v>13.31</v>
      </c>
      <c r="EH45" s="150">
        <f>'Bal Sheet'!CW14/1000</f>
        <v>16.881</v>
      </c>
      <c r="EI45" s="1930">
        <f>'Bal Sheet'!CX14/1000</f>
        <v>16.881</v>
      </c>
      <c r="EJ45" s="150"/>
      <c r="EK45" s="1751">
        <f>'Bal Sheet'!CZ14/1000</f>
        <v>20.224</v>
      </c>
      <c r="EL45" s="150">
        <f>'Bal Sheet'!DA14/1000</f>
        <v>27.923999999999999</v>
      </c>
      <c r="EM45" s="2068">
        <f>'Bal Sheet'!DB14/1000</f>
        <v>27.923999999999999</v>
      </c>
      <c r="EN45" s="150"/>
      <c r="EO45" s="150">
        <f>'Bal Sheet'!DD14/1000</f>
        <v>35.302999999999997</v>
      </c>
      <c r="EP45" s="150">
        <f>'Bal Sheet'!DE14/1000</f>
        <v>35.036000000000001</v>
      </c>
      <c r="EQ45" s="2068">
        <f>'Bal Sheet'!DF14/1000</f>
        <v>35.036000000000001</v>
      </c>
      <c r="ER45" s="150"/>
      <c r="ES45" s="150">
        <f>'Bal Sheet'!DH14/1000</f>
        <v>46.997999999999998</v>
      </c>
      <c r="ET45" s="150">
        <f>'Bal Sheet'!DI14/1000</f>
        <v>48.407940000000004</v>
      </c>
      <c r="EU45" s="150">
        <f>'Bal Sheet'!DJ14/1000</f>
        <v>48.407940000000004</v>
      </c>
      <c r="EV45" s="150"/>
      <c r="EW45" s="150">
        <f>'Bal Sheet'!DL14/1000</f>
        <v>49.8601782</v>
      </c>
      <c r="EX45" s="150">
        <f>'Bal Sheet'!DM14/1000</f>
        <v>51.355983546000004</v>
      </c>
      <c r="EY45" s="1751">
        <f>'Bal Sheet'!DN14/1000</f>
        <v>51.355983546000004</v>
      </c>
      <c r="EZ45" s="150"/>
      <c r="FA45" s="150">
        <f>'Bal Sheet'!DP14/1000</f>
        <v>52.896663052380006</v>
      </c>
      <c r="FB45" s="150">
        <f>'Bal Sheet'!DQ14/1000</f>
        <v>54.483562943951412</v>
      </c>
      <c r="FC45" s="1751">
        <f>'Bal Sheet'!DR14/1000</f>
        <v>54.483562943951412</v>
      </c>
      <c r="FD45" s="144"/>
      <c r="FE45" s="116"/>
      <c r="FF45" s="2192"/>
      <c r="FL45" s="172"/>
      <c r="FO45" s="109"/>
    </row>
    <row r="46" spans="1:208" s="119" customFormat="1" ht="16.649999999999999" customHeight="1">
      <c r="B46" s="116"/>
      <c r="C46" s="195" t="s">
        <v>1128</v>
      </c>
      <c r="D46" s="162"/>
      <c r="E46" s="162"/>
      <c r="F46" s="222">
        <f>SUM(F41:F45)</f>
        <v>266</v>
      </c>
      <c r="G46" s="222">
        <f>SUM(G41:G45)</f>
        <v>375</v>
      </c>
      <c r="H46" s="223">
        <f>SUM(H41:H45)</f>
        <v>641</v>
      </c>
      <c r="I46" s="197"/>
      <c r="J46" s="222">
        <f>SUM(J41:J45)</f>
        <v>197</v>
      </c>
      <c r="K46" s="222">
        <f>SUM(K41:K45)</f>
        <v>273</v>
      </c>
      <c r="L46" s="223">
        <f>SUM(L41:L45)</f>
        <v>470</v>
      </c>
      <c r="M46" s="162"/>
      <c r="N46" s="222">
        <f>SUM(N41:N45)</f>
        <v>-25</v>
      </c>
      <c r="O46" s="222">
        <f>SUM(O41:O45)</f>
        <v>278</v>
      </c>
      <c r="P46" s="223">
        <f>SUM(P41:P45)</f>
        <v>253</v>
      </c>
      <c r="Q46" s="197"/>
      <c r="R46" s="222">
        <f>SUM(R41:R45)</f>
        <v>89</v>
      </c>
      <c r="S46" s="222">
        <f>SUM(S41:S45)</f>
        <v>376</v>
      </c>
      <c r="T46" s="223">
        <f>SUM(T41:T45)</f>
        <v>465</v>
      </c>
      <c r="U46" s="222"/>
      <c r="V46" s="222">
        <f>SUM(V41:V45)</f>
        <v>561</v>
      </c>
      <c r="W46" s="222">
        <f>SUM(W41:W45)</f>
        <v>242</v>
      </c>
      <c r="X46" s="223">
        <f>SUM(X41:X45)</f>
        <v>803</v>
      </c>
      <c r="Y46" s="222"/>
      <c r="Z46" s="222">
        <f>SUM(Z41:Z45)</f>
        <v>546</v>
      </c>
      <c r="AA46" s="222">
        <f>SUM(AA41:AA45)</f>
        <v>234</v>
      </c>
      <c r="AB46" s="223">
        <f>SUM(AB41:AB45)</f>
        <v>780</v>
      </c>
      <c r="AC46" s="222"/>
      <c r="AD46" s="222">
        <f>SUM(AD41:AD45)</f>
        <v>843</v>
      </c>
      <c r="AE46" s="222">
        <f>SUM(AE41:AE45)</f>
        <v>539</v>
      </c>
      <c r="AF46" s="223">
        <f>SUM(AF41:AF45)</f>
        <v>1382</v>
      </c>
      <c r="AG46" s="222"/>
      <c r="AH46" s="222">
        <f>SUM(AH41:AH45)</f>
        <v>902</v>
      </c>
      <c r="AI46" s="222">
        <f>SUM(AI41:AI45)</f>
        <v>824</v>
      </c>
      <c r="AJ46" s="223">
        <f>SUM(AJ41:AJ45)</f>
        <v>1726</v>
      </c>
      <c r="AK46" s="222"/>
      <c r="AL46" s="222">
        <f>SUM(AL41:AL45)</f>
        <v>754</v>
      </c>
      <c r="AM46" s="222">
        <f>SUM(AM41:AM45)</f>
        <v>1888</v>
      </c>
      <c r="AN46" s="223">
        <f>SUM(AN41:AN45)</f>
        <v>2642</v>
      </c>
      <c r="AO46" s="222"/>
      <c r="AP46" s="222">
        <f>SUM(AP41:AP45)</f>
        <v>1163</v>
      </c>
      <c r="AQ46" s="222">
        <f>SUM(AQ41:AQ45)</f>
        <v>586</v>
      </c>
      <c r="AR46" s="223">
        <f>SUM(AR41:AR45)</f>
        <v>1749</v>
      </c>
      <c r="AS46" s="222"/>
      <c r="AT46" s="222">
        <f>SUM(AT41:AT45)</f>
        <v>608</v>
      </c>
      <c r="AU46" s="222">
        <f>SUM(AU41:AU45)</f>
        <v>1510</v>
      </c>
      <c r="AV46" s="223">
        <f>SUM(AV41:AV45)</f>
        <v>2118</v>
      </c>
      <c r="AW46" s="222"/>
      <c r="AX46" s="222">
        <f>SUM(AX41:AX45)</f>
        <v>1069</v>
      </c>
      <c r="AY46" s="222">
        <f>SUM(AY41:AY45)</f>
        <v>2265</v>
      </c>
      <c r="AZ46" s="223">
        <f>SUM(AZ41:AZ45)</f>
        <v>3334</v>
      </c>
      <c r="BA46" s="222"/>
      <c r="BB46" s="222">
        <f>SUM(BB41:BB45)</f>
        <v>1523</v>
      </c>
      <c r="BC46" s="222">
        <f>SUM(BC41:BC45)</f>
        <v>1026</v>
      </c>
      <c r="BD46" s="223">
        <f>SUM(BD41:BD45)</f>
        <v>2549</v>
      </c>
      <c r="BE46" s="222"/>
      <c r="BF46" s="222">
        <f>SUM(BF41:BF45)</f>
        <v>670</v>
      </c>
      <c r="BG46" s="222">
        <f>SUM(BG41:BG45)</f>
        <v>1311</v>
      </c>
      <c r="BH46" s="223">
        <f>SUM(BH41:BH45)</f>
        <v>1981</v>
      </c>
      <c r="BI46" s="222"/>
      <c r="BJ46" s="222">
        <f>SUM(BJ41:BJ45)</f>
        <v>978</v>
      </c>
      <c r="BK46" s="222">
        <f ca="1">SUM(BK41:BK45)</f>
        <v>815</v>
      </c>
      <c r="BL46" s="223">
        <f ca="1">SUM(BL41:BL45)</f>
        <v>1793</v>
      </c>
      <c r="BM46" s="222"/>
      <c r="BN46" s="222">
        <f>SUM(BN41:BN45)</f>
        <v>869</v>
      </c>
      <c r="BO46" s="222">
        <f>SUM(BO41:BO45)</f>
        <v>1548.145635180334</v>
      </c>
      <c r="BP46" s="222">
        <f>SUM(BP41:BP45)</f>
        <v>2417.145635180334</v>
      </c>
      <c r="BQ46" s="222"/>
      <c r="BR46" s="222">
        <f>SUM(BR41:BR45)</f>
        <v>993.20142731850785</v>
      </c>
      <c r="BS46" s="222">
        <f>SUM(BS41:BS45)</f>
        <v>1231.4239909451953</v>
      </c>
      <c r="BT46" s="1476">
        <f>SUM(BT41:BT45)</f>
        <v>2224.6254182637031</v>
      </c>
      <c r="BU46" s="222"/>
      <c r="BV46" s="222">
        <f>SUM(BV41:BV45)</f>
        <v>1108.8339528260469</v>
      </c>
      <c r="BW46" s="222">
        <f>SUM(BW41:BW45)</f>
        <v>1366.6034002861438</v>
      </c>
      <c r="BX46" s="1476">
        <f>SUM(BX41:BX45)</f>
        <v>2475.4373531121905</v>
      </c>
      <c r="BY46" s="222"/>
      <c r="BZ46" s="222"/>
      <c r="CA46" s="179"/>
      <c r="CB46" s="212" t="s">
        <v>12</v>
      </c>
      <c r="CC46" s="158"/>
      <c r="CD46" s="158"/>
      <c r="CE46" s="229"/>
      <c r="CF46" s="138"/>
      <c r="CG46" s="158"/>
      <c r="CH46" s="158"/>
      <c r="CI46" s="230"/>
      <c r="CJ46" s="138"/>
      <c r="CK46" s="158"/>
      <c r="CL46" s="158"/>
      <c r="CM46" s="230"/>
      <c r="CN46" s="138"/>
      <c r="CO46" s="158"/>
      <c r="CP46" s="158"/>
      <c r="CQ46" s="230"/>
      <c r="CR46" s="138"/>
      <c r="CS46" s="158"/>
      <c r="CT46" s="158"/>
      <c r="CU46" s="230">
        <f>'Bal Sheet'!BJ163/1000</f>
        <v>1.46</v>
      </c>
      <c r="CV46" s="231"/>
      <c r="CW46" s="210"/>
      <c r="CX46" s="210"/>
      <c r="CY46" s="230">
        <f>'Bal Sheet'!BN163/1000</f>
        <v>1.9419999999999999</v>
      </c>
      <c r="CZ46" s="231"/>
      <c r="DA46" s="210"/>
      <c r="DB46" s="210"/>
      <c r="DC46" s="230">
        <f>'Bal Sheet'!BR163/1000</f>
        <v>2.0329999999999999</v>
      </c>
      <c r="DD46" s="231"/>
      <c r="DE46" s="210"/>
      <c r="DF46" s="210"/>
      <c r="DG46" s="230">
        <f>'Bal Sheet'!BV163/1000</f>
        <v>2.2999999999999998</v>
      </c>
      <c r="DH46" s="231"/>
      <c r="DI46" s="210"/>
      <c r="DJ46" s="210"/>
      <c r="DK46" s="230">
        <f>'Bal Sheet'!BZ163/1000</f>
        <v>2.1</v>
      </c>
      <c r="DL46" s="231"/>
      <c r="DM46" s="210"/>
      <c r="DN46" s="210"/>
      <c r="DO46" s="230">
        <f>'Bal Sheet'!CD163/1000</f>
        <v>1.9</v>
      </c>
      <c r="DP46" s="230"/>
      <c r="DQ46" s="210"/>
      <c r="DR46" s="210"/>
      <c r="DS46" s="230">
        <f>'Bal Sheet'!CH163/1000</f>
        <v>2.2000000000000002</v>
      </c>
      <c r="DT46" s="230"/>
      <c r="DU46" s="230">
        <f>'Bal Sheet'!CJ163/1000</f>
        <v>2.2000000000000002</v>
      </c>
      <c r="DV46" s="230">
        <f>'Bal Sheet'!CK163/1000</f>
        <v>2.1</v>
      </c>
      <c r="DW46" s="230">
        <f>'Bal Sheet'!CL163/1000</f>
        <v>2.1</v>
      </c>
      <c r="DX46" s="230"/>
      <c r="DY46" s="230">
        <f>'Bal Sheet'!CN163/1000</f>
        <v>2</v>
      </c>
      <c r="DZ46" s="230">
        <f>'Bal Sheet'!CO163/1000</f>
        <v>1.8</v>
      </c>
      <c r="EA46" s="230">
        <f>'Bal Sheet'!CP163/1000</f>
        <v>1.8</v>
      </c>
      <c r="EB46" s="230"/>
      <c r="EC46" s="1755">
        <f>'Bal Sheet'!CR163/1000</f>
        <v>2.2000000000000002</v>
      </c>
      <c r="ED46" s="230">
        <f>'Bal Sheet'!CS163/1000</f>
        <v>1.8</v>
      </c>
      <c r="EE46" s="230">
        <f>'Bal Sheet'!CT163/1000</f>
        <v>1.8</v>
      </c>
      <c r="EF46" s="230"/>
      <c r="EG46" s="1755">
        <f>'Bal Sheet'!CV163/1000</f>
        <v>2.1</v>
      </c>
      <c r="EH46" s="230">
        <f>'Bal Sheet'!CW163/1000</f>
        <v>2.2999999999999998</v>
      </c>
      <c r="EI46" s="1934">
        <f>'Bal Sheet'!CX163/1000</f>
        <v>2.2999999999999998</v>
      </c>
      <c r="EJ46" s="230"/>
      <c r="EK46" s="1755">
        <f>'Bal Sheet'!CZ163/1000</f>
        <v>2.2999999999999998</v>
      </c>
      <c r="EL46" s="230">
        <f>'Bal Sheet'!DA163/1000</f>
        <v>2.5</v>
      </c>
      <c r="EM46" s="2072">
        <f>'Bal Sheet'!DB163/1000</f>
        <v>2.5</v>
      </c>
      <c r="EN46" s="230"/>
      <c r="EO46" s="230">
        <f>'Bal Sheet'!DD163/1000</f>
        <v>2.6</v>
      </c>
      <c r="EP46" s="230">
        <f>'Bal Sheet'!DE163/1000</f>
        <v>3</v>
      </c>
      <c r="EQ46" s="2072">
        <f>'Bal Sheet'!DF163/1000</f>
        <v>3</v>
      </c>
      <c r="ER46" s="230"/>
      <c r="ES46" s="230">
        <f>'Bal Sheet'!DH163/1000</f>
        <v>3.2</v>
      </c>
      <c r="ET46" s="230">
        <f>'Bal Sheet'!DI163/1000</f>
        <v>3.34</v>
      </c>
      <c r="EU46" s="230">
        <f>'Bal Sheet'!DJ163/1000</f>
        <v>3.34</v>
      </c>
      <c r="EV46" s="230"/>
      <c r="EW46" s="230">
        <f>'Bal Sheet'!DL163/1000</f>
        <v>3.4870000000000001</v>
      </c>
      <c r="EX46" s="230">
        <f>'Bal Sheet'!DM163/1000</f>
        <v>3.6413500000000005</v>
      </c>
      <c r="EY46" s="1755">
        <f>'Bal Sheet'!DN163/1000</f>
        <v>3.6413500000000005</v>
      </c>
      <c r="EZ46" s="230"/>
      <c r="FA46" s="230">
        <f>'Bal Sheet'!DP163/1000</f>
        <v>3.8034175000000006</v>
      </c>
      <c r="FB46" s="230">
        <f>'Bal Sheet'!DQ163/1000</f>
        <v>3.9735883750000007</v>
      </c>
      <c r="FC46" s="1755">
        <f>'Bal Sheet'!DR163/1000</f>
        <v>3.9735883750000007</v>
      </c>
      <c r="FD46" s="144"/>
      <c r="FE46" s="116"/>
      <c r="FF46" s="2192"/>
      <c r="FL46" s="172"/>
      <c r="FO46" s="109"/>
      <c r="GN46" s="137"/>
      <c r="GO46" s="157"/>
      <c r="GP46" s="157"/>
      <c r="GQ46" s="157"/>
      <c r="GR46" s="137"/>
      <c r="GS46" s="137"/>
      <c r="GT46" s="157"/>
      <c r="GU46" s="157"/>
      <c r="GV46" s="137"/>
      <c r="GW46" s="137"/>
      <c r="GX46" s="157"/>
      <c r="GY46" s="157"/>
      <c r="GZ46" s="137"/>
    </row>
    <row r="47" spans="1:208" s="119" customFormat="1" ht="16.649999999999999" customHeight="1">
      <c r="A47" s="116"/>
      <c r="B47" s="116"/>
      <c r="C47" s="1395" t="s">
        <v>1264</v>
      </c>
      <c r="AJ47" s="215"/>
      <c r="AK47" s="214"/>
      <c r="AL47" s="214"/>
      <c r="AM47" s="214"/>
      <c r="AN47" s="215"/>
      <c r="AO47" s="214"/>
      <c r="AP47" s="214"/>
      <c r="AQ47" s="214"/>
      <c r="AR47" s="223"/>
      <c r="AS47" s="222"/>
      <c r="AT47" s="222"/>
      <c r="AU47" s="222"/>
      <c r="AV47" s="223"/>
      <c r="AW47" s="222"/>
      <c r="AX47" s="1396">
        <f>+AX46+570</f>
        <v>1639</v>
      </c>
      <c r="AY47" s="1396">
        <f>+AY46</f>
        <v>2265</v>
      </c>
      <c r="AZ47" s="1397">
        <f>+AY47+AX47</f>
        <v>3904</v>
      </c>
      <c r="BA47" s="222"/>
      <c r="BB47" s="222"/>
      <c r="BC47" s="222"/>
      <c r="BD47" s="223"/>
      <c r="BE47" s="222"/>
      <c r="BF47" s="222"/>
      <c r="BG47" s="222"/>
      <c r="BH47" s="223"/>
      <c r="BI47" s="1098"/>
      <c r="BJ47" s="214"/>
      <c r="BK47" s="214"/>
      <c r="BL47" s="2148"/>
      <c r="BM47" s="1098"/>
      <c r="BN47" s="214"/>
      <c r="BO47" s="214"/>
      <c r="BP47" s="1098"/>
      <c r="BQ47" s="1098"/>
      <c r="BR47" s="214"/>
      <c r="BS47" s="214"/>
      <c r="BT47" s="1477"/>
      <c r="BU47" s="1098"/>
      <c r="BV47" s="214"/>
      <c r="BW47" s="214"/>
      <c r="BX47" s="1477"/>
      <c r="BY47" s="1098"/>
      <c r="BZ47" s="1098"/>
      <c r="CB47" s="212" t="s">
        <v>381</v>
      </c>
      <c r="CC47" s="158"/>
      <c r="CD47" s="158"/>
      <c r="CE47" s="138"/>
      <c r="CF47" s="138"/>
      <c r="CG47" s="158"/>
      <c r="CH47" s="158"/>
      <c r="CI47" s="150"/>
      <c r="CJ47" s="138"/>
      <c r="CK47" s="158"/>
      <c r="CL47" s="158"/>
      <c r="CM47" s="150"/>
      <c r="CN47" s="138"/>
      <c r="CO47" s="158"/>
      <c r="CP47" s="158"/>
      <c r="CQ47" s="150"/>
      <c r="CR47" s="138"/>
      <c r="CS47" s="158"/>
      <c r="CT47" s="158"/>
      <c r="CU47" s="150">
        <f>'Bal Sheet'!BJ171/1000</f>
        <v>3.1440000000000001</v>
      </c>
      <c r="CV47" s="140"/>
      <c r="CW47" s="210"/>
      <c r="CX47" s="210"/>
      <c r="CY47" s="150">
        <f>'Bal Sheet'!BN171/1000</f>
        <v>1.849</v>
      </c>
      <c r="CZ47" s="140"/>
      <c r="DA47" s="210"/>
      <c r="DB47" s="210"/>
      <c r="DC47" s="150">
        <f>'Bal Sheet'!BR171/1000</f>
        <v>2.0489999999999999</v>
      </c>
      <c r="DD47" s="140"/>
      <c r="DE47" s="210"/>
      <c r="DF47" s="210"/>
      <c r="DG47" s="150">
        <f>'Bal Sheet'!BV171/1000</f>
        <v>2.6</v>
      </c>
      <c r="DH47" s="140"/>
      <c r="DI47" s="210"/>
      <c r="DJ47" s="210"/>
      <c r="DK47" s="150">
        <f>'Bal Sheet'!BZ171/1000</f>
        <v>2.8</v>
      </c>
      <c r="DL47" s="140"/>
      <c r="DM47" s="210"/>
      <c r="DN47" s="210"/>
      <c r="DO47" s="150">
        <f>'Bal Sheet'!CD171/1000</f>
        <v>4.5999999999999996</v>
      </c>
      <c r="DP47" s="150"/>
      <c r="DQ47" s="210"/>
      <c r="DR47" s="210"/>
      <c r="DS47" s="150">
        <f>'Bal Sheet'!CH171/1000</f>
        <v>3</v>
      </c>
      <c r="DT47" s="150"/>
      <c r="DU47" s="150">
        <f>'Bal Sheet'!CJ171/1000</f>
        <v>5.3</v>
      </c>
      <c r="DV47" s="150">
        <f>'Bal Sheet'!CK171/1000</f>
        <v>4.4000000000000004</v>
      </c>
      <c r="DW47" s="150">
        <f>'Bal Sheet'!CL171/1000</f>
        <v>4.4000000000000004</v>
      </c>
      <c r="DX47" s="150"/>
      <c r="DY47" s="150">
        <f>'Bal Sheet'!CN171/1000</f>
        <v>3.8</v>
      </c>
      <c r="DZ47" s="150">
        <f>'Bal Sheet'!CO171/1000</f>
        <v>5.9</v>
      </c>
      <c r="EA47" s="150">
        <f>'Bal Sheet'!CP171/1000</f>
        <v>5.9</v>
      </c>
      <c r="EB47" s="150"/>
      <c r="EC47" s="1751">
        <f>'Bal Sheet'!CR171/1000</f>
        <v>6.6</v>
      </c>
      <c r="ED47" s="150">
        <f>'Bal Sheet'!CS171/1000</f>
        <v>6.5</v>
      </c>
      <c r="EE47" s="150">
        <f>'Bal Sheet'!CT171/1000</f>
        <v>6.5</v>
      </c>
      <c r="EF47" s="150"/>
      <c r="EG47" s="1751">
        <f>'Bal Sheet'!CV171/1000</f>
        <v>7.2</v>
      </c>
      <c r="EH47" s="150">
        <f>'Bal Sheet'!CW171/1000</f>
        <v>7.3</v>
      </c>
      <c r="EI47" s="1930">
        <f>'Bal Sheet'!CX171/1000</f>
        <v>7.3</v>
      </c>
      <c r="EJ47" s="150"/>
      <c r="EK47" s="1751">
        <f>'Bal Sheet'!CZ171/1000</f>
        <v>9.1</v>
      </c>
      <c r="EL47" s="150">
        <f>'Bal Sheet'!DA171/1000</f>
        <v>10.7</v>
      </c>
      <c r="EM47" s="2068">
        <f>'Bal Sheet'!DB171/1000</f>
        <v>10.7</v>
      </c>
      <c r="EN47" s="150"/>
      <c r="EO47" s="150">
        <f>'Bal Sheet'!DD171/1000</f>
        <v>9.6999999999999993</v>
      </c>
      <c r="EP47" s="150">
        <f>'Bal Sheet'!DE171/1000</f>
        <v>10.4</v>
      </c>
      <c r="EQ47" s="2068">
        <f>'Bal Sheet'!DF171/1000</f>
        <v>10.4</v>
      </c>
      <c r="ER47" s="150"/>
      <c r="ES47" s="150">
        <f>'Bal Sheet'!DH171/1000</f>
        <v>9.9</v>
      </c>
      <c r="ET47" s="150">
        <f>'Bal Sheet'!DI171/1000</f>
        <v>10.194000000000001</v>
      </c>
      <c r="EU47" s="150">
        <f>'Bal Sheet'!DJ171/1000</f>
        <v>10.194000000000001</v>
      </c>
      <c r="EV47" s="150"/>
      <c r="EW47" s="150">
        <f>'Bal Sheet'!DL171/1000</f>
        <v>10.503480000000001</v>
      </c>
      <c r="EX47" s="150">
        <f>'Bal Sheet'!DM171/1000</f>
        <v>10.829709599999999</v>
      </c>
      <c r="EY47" s="1751">
        <f>'Bal Sheet'!DN171/1000</f>
        <v>10.829709599999999</v>
      </c>
      <c r="EZ47" s="150"/>
      <c r="FA47" s="150">
        <f>'Bal Sheet'!DP171/1000</f>
        <v>11.174079792000001</v>
      </c>
      <c r="FB47" s="150">
        <f>'Bal Sheet'!DQ171/1000</f>
        <v>11.538114987840002</v>
      </c>
      <c r="FC47" s="1751">
        <f>'Bal Sheet'!DR171/1000</f>
        <v>11.538114987840002</v>
      </c>
      <c r="FD47" s="144"/>
      <c r="FE47" s="116"/>
      <c r="FF47" s="2192"/>
      <c r="FL47" s="172"/>
      <c r="FO47" s="109"/>
      <c r="GN47" s="137"/>
      <c r="GO47" s="157"/>
      <c r="GP47" s="157"/>
      <c r="GQ47" s="157"/>
      <c r="GR47" s="137"/>
      <c r="GS47" s="137"/>
      <c r="GT47" s="157"/>
      <c r="GU47" s="157"/>
      <c r="GV47" s="137"/>
      <c r="GW47" s="137"/>
      <c r="GX47" s="157"/>
      <c r="GY47" s="157"/>
      <c r="GZ47" s="137"/>
    </row>
    <row r="48" spans="1:208" s="119" customFormat="1" ht="16.649999999999999" customHeight="1">
      <c r="A48" s="116"/>
      <c r="B48" s="116"/>
      <c r="C48" s="195"/>
      <c r="AJ48" s="215"/>
      <c r="AK48" s="214"/>
      <c r="AL48" s="214"/>
      <c r="AM48" s="214"/>
      <c r="AN48" s="215"/>
      <c r="AO48" s="214"/>
      <c r="AP48" s="214"/>
      <c r="AQ48" s="214"/>
      <c r="AR48" s="223"/>
      <c r="AS48" s="222"/>
      <c r="AT48" s="222"/>
      <c r="AU48" s="222"/>
      <c r="AV48" s="223"/>
      <c r="AW48" s="222"/>
      <c r="AX48" s="222"/>
      <c r="AY48" s="1399"/>
      <c r="AZ48" s="223"/>
      <c r="BA48" s="222"/>
      <c r="BB48" s="222"/>
      <c r="BC48" s="222"/>
      <c r="BD48" s="223"/>
      <c r="BE48" s="222"/>
      <c r="BF48" s="222"/>
      <c r="BG48" s="222"/>
      <c r="BH48" s="2040"/>
      <c r="BI48" s="1098"/>
      <c r="BJ48" s="214"/>
      <c r="BK48" s="214"/>
      <c r="BL48" s="223"/>
      <c r="BM48" s="1098"/>
      <c r="BN48" s="214"/>
      <c r="BO48" s="214"/>
      <c r="BP48" s="1098"/>
      <c r="BQ48" s="1098"/>
      <c r="BR48" s="214"/>
      <c r="BS48" s="214"/>
      <c r="BT48" s="1477"/>
      <c r="BU48" s="1098"/>
      <c r="BV48" s="214"/>
      <c r="BW48" s="214"/>
      <c r="BX48" s="1477"/>
      <c r="BY48" s="1098"/>
      <c r="BZ48" s="1098"/>
      <c r="CB48" s="232" t="s">
        <v>14</v>
      </c>
      <c r="CC48" s="233"/>
      <c r="CD48" s="233"/>
      <c r="CE48" s="229"/>
      <c r="CF48" s="229"/>
      <c r="CG48" s="233"/>
      <c r="CH48" s="233"/>
      <c r="CI48" s="150"/>
      <c r="CJ48" s="229"/>
      <c r="CK48" s="233"/>
      <c r="CL48" s="233"/>
      <c r="CM48" s="150"/>
      <c r="CN48" s="229"/>
      <c r="CO48" s="233"/>
      <c r="CP48" s="233"/>
      <c r="CQ48" s="150"/>
      <c r="CR48" s="229"/>
      <c r="CS48" s="233"/>
      <c r="CT48" s="233"/>
      <c r="CU48" s="150">
        <f>'Bal Sheet'!BJ172/1000</f>
        <v>4.6040000000000001</v>
      </c>
      <c r="CV48" s="231"/>
      <c r="CW48" s="210"/>
      <c r="CX48" s="210"/>
      <c r="CY48" s="150">
        <f>'Bal Sheet'!BN172/1000</f>
        <v>3.7909999999999999</v>
      </c>
      <c r="CZ48" s="231"/>
      <c r="DA48" s="210"/>
      <c r="DB48" s="210"/>
      <c r="DC48" s="150">
        <f>'Bal Sheet'!BR172/1000</f>
        <v>4.0819999999999999</v>
      </c>
      <c r="DD48" s="231"/>
      <c r="DE48" s="210"/>
      <c r="DF48" s="210"/>
      <c r="DG48" s="150">
        <f>'Bal Sheet'!BV172/1000</f>
        <v>4.9000000000000004</v>
      </c>
      <c r="DH48" s="231"/>
      <c r="DI48" s="210"/>
      <c r="DJ48" s="210"/>
      <c r="DK48" s="150">
        <f>'Bal Sheet'!BZ172/1000</f>
        <v>4.9000000000000004</v>
      </c>
      <c r="DL48" s="231"/>
      <c r="DM48" s="210"/>
      <c r="DN48" s="210"/>
      <c r="DO48" s="150">
        <f>'Bal Sheet'!CD172/1000</f>
        <v>6.5</v>
      </c>
      <c r="DP48" s="150"/>
      <c r="DQ48" s="210"/>
      <c r="DR48" s="210"/>
      <c r="DS48" s="150">
        <f>'Bal Sheet'!CH172/1000</f>
        <v>5.2</v>
      </c>
      <c r="DT48" s="150"/>
      <c r="DU48" s="150">
        <f>'Bal Sheet'!CJ172/1000</f>
        <v>7.5</v>
      </c>
      <c r="DV48" s="150">
        <f>'Bal Sheet'!CK172/1000</f>
        <v>6.5</v>
      </c>
      <c r="DW48" s="150">
        <f>'Bal Sheet'!CL172/1000</f>
        <v>6.5</v>
      </c>
      <c r="DX48" s="150"/>
      <c r="DY48" s="150">
        <f>'Bal Sheet'!CN172/1000</f>
        <v>5.8</v>
      </c>
      <c r="DZ48" s="150">
        <f>'Bal Sheet'!CO172/1000</f>
        <v>7.7</v>
      </c>
      <c r="EA48" s="150">
        <f>'Bal Sheet'!CP172/1000</f>
        <v>7.7</v>
      </c>
      <c r="EB48" s="150"/>
      <c r="EC48" s="1751">
        <f>'Bal Sheet'!CR172/1000</f>
        <v>8.8000000000000007</v>
      </c>
      <c r="ED48" s="150">
        <f>'Bal Sheet'!CS172/1000</f>
        <v>8.3000000000000007</v>
      </c>
      <c r="EE48" s="150">
        <f>'Bal Sheet'!CT172/1000</f>
        <v>8.3000000000000007</v>
      </c>
      <c r="EF48" s="150"/>
      <c r="EG48" s="1751">
        <f>'Bal Sheet'!CV172/1000</f>
        <v>9.3000000000000007</v>
      </c>
      <c r="EH48" s="150">
        <f>'Bal Sheet'!CW172/1000</f>
        <v>9.6</v>
      </c>
      <c r="EI48" s="1930">
        <f>'Bal Sheet'!CX172/1000</f>
        <v>9.6</v>
      </c>
      <c r="EJ48" s="150"/>
      <c r="EK48" s="1751">
        <f>'Bal Sheet'!CZ172/1000</f>
        <v>11.4</v>
      </c>
      <c r="EL48" s="150">
        <f>'Bal Sheet'!DA172/1000</f>
        <v>13.2</v>
      </c>
      <c r="EM48" s="2068">
        <f>'Bal Sheet'!DB172/1000</f>
        <v>13.2</v>
      </c>
      <c r="EN48" s="150"/>
      <c r="EO48" s="150">
        <f>'Bal Sheet'!DD172/1000</f>
        <v>12.3</v>
      </c>
      <c r="EP48" s="150">
        <f>'Bal Sheet'!DE172/1000</f>
        <v>13.4</v>
      </c>
      <c r="EQ48" s="2068">
        <f>'Bal Sheet'!DF172/1000</f>
        <v>13.4</v>
      </c>
      <c r="ER48" s="150"/>
      <c r="ES48" s="150">
        <f>'Bal Sheet'!DH172/1000</f>
        <v>13.1</v>
      </c>
      <c r="ET48" s="150">
        <f>'Bal Sheet'!DI172/1000</f>
        <v>13.534000000000001</v>
      </c>
      <c r="EU48" s="150">
        <f>'Bal Sheet'!DJ172/1000</f>
        <v>13.534000000000001</v>
      </c>
      <c r="EV48" s="150"/>
      <c r="EW48" s="150">
        <f>'Bal Sheet'!DL172/1000</f>
        <v>13.990480000000002</v>
      </c>
      <c r="EX48" s="150">
        <f>'Bal Sheet'!DM172/1000</f>
        <v>14.4710596</v>
      </c>
      <c r="EY48" s="1751">
        <f>'Bal Sheet'!DN172/1000</f>
        <v>14.4710596</v>
      </c>
      <c r="EZ48" s="150"/>
      <c r="FA48" s="150">
        <f>'Bal Sheet'!DP172/1000</f>
        <v>14.977497292000001</v>
      </c>
      <c r="FB48" s="150">
        <f>'Bal Sheet'!DQ172/1000</f>
        <v>15.511703362840004</v>
      </c>
      <c r="FC48" s="1751">
        <f>'Bal Sheet'!DR172/1000</f>
        <v>15.511703362840004</v>
      </c>
      <c r="FD48" s="144"/>
      <c r="FE48" s="116"/>
      <c r="FF48" s="2192"/>
      <c r="FL48" s="172"/>
      <c r="FO48" s="109"/>
      <c r="GN48" s="137"/>
      <c r="GO48" s="157"/>
      <c r="GP48" s="157"/>
      <c r="GQ48" s="157"/>
      <c r="GR48" s="137"/>
      <c r="GS48" s="137"/>
      <c r="GT48" s="157"/>
      <c r="GU48" s="157"/>
      <c r="GV48" s="137"/>
      <c r="GW48" s="137"/>
      <c r="GX48" s="157"/>
      <c r="GY48" s="157"/>
      <c r="GZ48" s="137"/>
    </row>
    <row r="49" spans="1:208" s="119" customFormat="1" ht="16.649999999999999" customHeight="1">
      <c r="A49" s="116"/>
      <c r="B49" s="116"/>
      <c r="C49" s="213" t="s">
        <v>1208</v>
      </c>
      <c r="D49" s="213"/>
      <c r="E49" s="213"/>
      <c r="F49" s="222"/>
      <c r="G49" s="222"/>
      <c r="H49" s="223"/>
      <c r="I49" s="213"/>
      <c r="J49" s="222"/>
      <c r="K49" s="222"/>
      <c r="L49" s="223"/>
      <c r="M49" s="213"/>
      <c r="N49" s="222"/>
      <c r="O49" s="222"/>
      <c r="P49" s="223"/>
      <c r="Q49" s="213"/>
      <c r="R49" s="222"/>
      <c r="S49" s="222"/>
      <c r="T49" s="223"/>
      <c r="U49" s="213"/>
      <c r="V49" s="222"/>
      <c r="W49" s="222"/>
      <c r="X49" s="223"/>
      <c r="Y49" s="213"/>
      <c r="Z49" s="222"/>
      <c r="AA49" s="222"/>
      <c r="AB49" s="223"/>
      <c r="AC49" s="213"/>
      <c r="AD49" s="222"/>
      <c r="AE49" s="222"/>
      <c r="AF49" s="223"/>
      <c r="AG49" s="222"/>
      <c r="AH49" s="222">
        <f>DIVISIONS!CB284</f>
        <v>435</v>
      </c>
      <c r="AI49" s="222">
        <f>DIVISIONS!CC284</f>
        <v>658</v>
      </c>
      <c r="AJ49" s="165">
        <f>DIVISIONS!CD284</f>
        <v>1093</v>
      </c>
      <c r="AK49" s="163">
        <f>DIVISIONS!CE284</f>
        <v>-3.4452296819788009E-2</v>
      </c>
      <c r="AL49" s="163">
        <f>DIVISIONS!CF284</f>
        <v>806</v>
      </c>
      <c r="AM49" s="163">
        <f>DIVISIONS!CG284</f>
        <v>1177</v>
      </c>
      <c r="AN49" s="165">
        <f>DIVISIONS!CH284</f>
        <v>1983</v>
      </c>
      <c r="AO49" s="163">
        <f>DIVISIONS!CI284</f>
        <v>0.81427264409881062</v>
      </c>
      <c r="AP49" s="163">
        <f>DIVISIONS!CJ284</f>
        <v>1049</v>
      </c>
      <c r="AQ49" s="163">
        <f>DIVISIONS!CK284</f>
        <v>689</v>
      </c>
      <c r="AR49" s="165">
        <f>DIVISIONS!CL284</f>
        <v>1738</v>
      </c>
      <c r="AS49" s="163">
        <f>DIVISIONS!CM284</f>
        <v>-0.12355017650025213</v>
      </c>
      <c r="AT49" s="163">
        <f>DIVISIONS!CN284</f>
        <v>1112</v>
      </c>
      <c r="AU49" s="163">
        <f>DIVISIONS!CO284</f>
        <v>1559</v>
      </c>
      <c r="AV49" s="165">
        <f>DIVISIONS!CP284</f>
        <v>2671</v>
      </c>
      <c r="AW49" s="163">
        <f>DIVISIONS!CQ284</f>
        <v>0.53682393555811281</v>
      </c>
      <c r="AX49" s="163">
        <f>DIVISIONS!CR284</f>
        <v>1254</v>
      </c>
      <c r="AY49" s="163">
        <f>DIVISIONS!CS284</f>
        <v>2070</v>
      </c>
      <c r="AZ49" s="165">
        <f>DIVISIONS!CT284</f>
        <v>3324</v>
      </c>
      <c r="BA49" s="163"/>
      <c r="BB49" s="163">
        <f>DIVISIONS!CV284</f>
        <v>1967</v>
      </c>
      <c r="BC49" s="163">
        <f>DIVISIONS!CW284</f>
        <v>4154</v>
      </c>
      <c r="BD49" s="165">
        <f>DIVISIONS!CX284</f>
        <v>6121</v>
      </c>
      <c r="BE49" s="163"/>
      <c r="BF49" s="163">
        <f>DIVISIONS!CZ284</f>
        <v>1534</v>
      </c>
      <c r="BG49" s="163">
        <f>DIVISIONS!DA284</f>
        <v>1982</v>
      </c>
      <c r="BH49" s="165">
        <f>DIVISIONS!DB284</f>
        <v>3516</v>
      </c>
      <c r="BI49" s="139"/>
      <c r="BJ49" s="163">
        <f>DIVISIONS!DD284</f>
        <v>1406</v>
      </c>
      <c r="BK49" s="163">
        <f>DIVISIONS!DE284</f>
        <v>1614</v>
      </c>
      <c r="BL49" s="165">
        <f>DIVISIONS!DF284</f>
        <v>3020</v>
      </c>
      <c r="BM49" s="139"/>
      <c r="BN49" s="163">
        <f>DIVISIONS!DH284</f>
        <v>1380</v>
      </c>
      <c r="BO49" s="163">
        <f>DIVISIONS!DI284</f>
        <v>2004.1000000000001</v>
      </c>
      <c r="BP49" s="163">
        <f>DIVISIONS!DJ284</f>
        <v>3384.1000000000004</v>
      </c>
      <c r="BQ49" s="139"/>
      <c r="BR49" s="139">
        <f>DIVISIONS!DL284</f>
        <v>1427.2949999999998</v>
      </c>
      <c r="BS49" s="139">
        <f>DIVISIONS!DM284</f>
        <v>2064.0515</v>
      </c>
      <c r="BT49" s="1465">
        <f>DIVISIONS!DN284</f>
        <v>3491.3464999999997</v>
      </c>
      <c r="BU49" s="139"/>
      <c r="BV49" s="139">
        <f>DIVISIONS!DP284</f>
        <v>1474.92605</v>
      </c>
      <c r="BW49" s="139">
        <f>DIVISIONS!DQ284</f>
        <v>2132.8016849999999</v>
      </c>
      <c r="BX49" s="1465">
        <f>DIVISIONS!DR284</f>
        <v>3607.7277349999995</v>
      </c>
      <c r="BY49" s="139"/>
      <c r="BZ49" s="139"/>
      <c r="CB49" s="219" t="s">
        <v>9</v>
      </c>
      <c r="CC49" s="213"/>
      <c r="CD49" s="213"/>
      <c r="CE49" s="213"/>
      <c r="CF49" s="213"/>
      <c r="CG49" s="213"/>
      <c r="CH49" s="213"/>
      <c r="CI49" s="152">
        <f>'Bal Sheet'!AX27/1000</f>
        <v>145.94</v>
      </c>
      <c r="CJ49" s="213"/>
      <c r="CK49" s="213"/>
      <c r="CL49" s="213"/>
      <c r="CM49" s="152">
        <f>'Bal Sheet'!BB27/1000</f>
        <v>157.56800000000001</v>
      </c>
      <c r="CN49" s="213"/>
      <c r="CO49" s="213"/>
      <c r="CP49" s="213"/>
      <c r="CQ49" s="152">
        <f>'Bal Sheet'!BF27/1000</f>
        <v>153.626</v>
      </c>
      <c r="CR49" s="213"/>
      <c r="CS49" s="213"/>
      <c r="CT49" s="213"/>
      <c r="CU49" s="152">
        <f>'Bal Sheet'!BJ27/1000</f>
        <v>144.74799999999999</v>
      </c>
      <c r="CV49" s="221"/>
      <c r="CW49" s="221"/>
      <c r="CX49" s="221"/>
      <c r="CY49" s="152">
        <f>'Bal Sheet'!BN27/1000</f>
        <v>153.904</v>
      </c>
      <c r="CZ49" s="221"/>
      <c r="DA49" s="221"/>
      <c r="DB49" s="221"/>
      <c r="DC49" s="152">
        <f>'Bal Sheet'!BR27/1000</f>
        <v>187.976</v>
      </c>
      <c r="DD49" s="221"/>
      <c r="DE49" s="221"/>
      <c r="DF49" s="221"/>
      <c r="DG49" s="152">
        <f>'Bal Sheet'!BV27/1000</f>
        <v>196.755</v>
      </c>
      <c r="DH49" s="221"/>
      <c r="DI49" s="221"/>
      <c r="DJ49" s="221"/>
      <c r="DK49" s="152">
        <f>'Bal Sheet'!BZ27/1000</f>
        <v>182.87700000000001</v>
      </c>
      <c r="DL49" s="221"/>
      <c r="DM49" s="221"/>
      <c r="DN49" s="221"/>
      <c r="DO49" s="152">
        <f>'Bal Sheet'!CD27/1000</f>
        <v>191.32499999999999</v>
      </c>
      <c r="DP49" s="152"/>
      <c r="DQ49" s="221"/>
      <c r="DR49" s="221"/>
      <c r="DS49" s="152">
        <f>'Bal Sheet'!CH27/1000</f>
        <v>203.18199999999999</v>
      </c>
      <c r="DT49" s="152"/>
      <c r="DU49" s="152">
        <f>'Bal Sheet'!CJ27/1000</f>
        <v>219.495</v>
      </c>
      <c r="DV49" s="152">
        <f>'Bal Sheet'!CK27/1000</f>
        <v>255.80199999999999</v>
      </c>
      <c r="DW49" s="152">
        <f>'Bal Sheet'!CL27/1000</f>
        <v>255.80199999999999</v>
      </c>
      <c r="DX49" s="152"/>
      <c r="DY49" s="152">
        <f>'Bal Sheet'!CN27/1000</f>
        <v>230.73500000000001</v>
      </c>
      <c r="DZ49" s="152">
        <f>'Bal Sheet'!CO27/1000</f>
        <v>245.65299999999999</v>
      </c>
      <c r="EA49" s="152">
        <f>'Bal Sheet'!CP27/1000</f>
        <v>245.65299999999999</v>
      </c>
      <c r="EB49" s="152"/>
      <c r="EC49" s="1756">
        <f>'Bal Sheet'!CR27/1000</f>
        <v>348.56700000000001</v>
      </c>
      <c r="ED49" s="152">
        <f>'Bal Sheet'!CS27/1000</f>
        <v>399.17599999999999</v>
      </c>
      <c r="EE49" s="152">
        <f>'Bal Sheet'!CT27/1000</f>
        <v>399.17599999999999</v>
      </c>
      <c r="EF49" s="152"/>
      <c r="EG49" s="1756">
        <f>'Bal Sheet'!CV27/1000</f>
        <v>486.57400000000001</v>
      </c>
      <c r="EH49" s="152">
        <f>'Bal Sheet'!CW27/1000</f>
        <v>387.87200000000001</v>
      </c>
      <c r="EI49" s="1935">
        <f>'Bal Sheet'!CX27/1000</f>
        <v>387.87200000000001</v>
      </c>
      <c r="EJ49" s="152"/>
      <c r="EK49" s="1756">
        <f>'Bal Sheet'!CZ27/1000</f>
        <v>394.59399999999999</v>
      </c>
      <c r="EL49" s="152">
        <f>'Bal Sheet'!DA27/1000</f>
        <v>403.404</v>
      </c>
      <c r="EM49" s="2073">
        <f>'Bal Sheet'!DB27/1000</f>
        <v>403.404</v>
      </c>
      <c r="EN49" s="152"/>
      <c r="EO49" s="152">
        <f>'Bal Sheet'!DD27/1000</f>
        <v>414.315</v>
      </c>
      <c r="EP49" s="152">
        <f>'Bal Sheet'!DE27/1000</f>
        <v>445.221</v>
      </c>
      <c r="EQ49" s="2073">
        <f>'Bal Sheet'!DF27/1000</f>
        <v>445.221</v>
      </c>
      <c r="ER49" s="152"/>
      <c r="ES49" s="152">
        <f>'Bal Sheet'!DH27/1000</f>
        <v>484.21600000000001</v>
      </c>
      <c r="ET49" s="152">
        <f>'Bal Sheet'!DI27/1000</f>
        <v>519.30393450381678</v>
      </c>
      <c r="EU49" s="152">
        <f>'Bal Sheet'!DJ27/1000</f>
        <v>519.30393450381678</v>
      </c>
      <c r="EV49" s="152"/>
      <c r="EW49" s="152">
        <f>'Bal Sheet'!DL27/1000</f>
        <v>546.22116514045797</v>
      </c>
      <c r="EX49" s="152">
        <f>'Bal Sheet'!DM27/1000</f>
        <v>568.94102307803053</v>
      </c>
      <c r="EY49" s="1756">
        <f>'Bal Sheet'!DN27/1000</f>
        <v>568.94102307803053</v>
      </c>
      <c r="EZ49" s="152"/>
      <c r="FA49" s="152">
        <f>'Bal Sheet'!DP27/1000</f>
        <v>592.73344829936718</v>
      </c>
      <c r="FB49" s="152">
        <f>'Bal Sheet'!DQ27/1000</f>
        <v>617.65420206129374</v>
      </c>
      <c r="FC49" s="1756">
        <f>'Bal Sheet'!DR27/1000</f>
        <v>617.65420206129374</v>
      </c>
      <c r="FD49" s="144"/>
      <c r="FE49" s="116"/>
      <c r="FF49" s="2192"/>
      <c r="FL49" s="172"/>
      <c r="FO49" s="109"/>
      <c r="GN49" s="137"/>
      <c r="GO49" s="157"/>
      <c r="GP49" s="157"/>
      <c r="GQ49" s="157"/>
      <c r="GR49" s="137"/>
      <c r="GS49" s="137"/>
      <c r="GT49" s="157"/>
      <c r="GU49" s="157"/>
      <c r="GV49" s="137"/>
      <c r="GW49" s="137"/>
      <c r="GX49" s="157"/>
      <c r="GY49" s="157"/>
      <c r="GZ49" s="137"/>
    </row>
    <row r="50" spans="1:208" s="119" customFormat="1" ht="16.649999999999999" customHeight="1">
      <c r="A50" s="116"/>
      <c r="B50" s="116"/>
      <c r="C50" s="122" t="s">
        <v>16</v>
      </c>
      <c r="D50" s="235"/>
      <c r="E50" s="235"/>
      <c r="F50" s="236"/>
      <c r="G50" s="236"/>
      <c r="H50" s="236"/>
      <c r="I50" s="236"/>
      <c r="J50" s="236"/>
      <c r="K50" s="236"/>
      <c r="L50" s="236"/>
      <c r="M50" s="235"/>
      <c r="N50" s="236"/>
      <c r="O50" s="236"/>
      <c r="P50" s="236"/>
      <c r="Q50" s="236"/>
      <c r="R50" s="236"/>
      <c r="S50" s="236"/>
      <c r="T50" s="237"/>
      <c r="U50" s="236"/>
      <c r="V50" s="236"/>
      <c r="W50" s="236"/>
      <c r="X50" s="237"/>
      <c r="Y50" s="236"/>
      <c r="Z50" s="236"/>
      <c r="AA50" s="236"/>
      <c r="AB50" s="237"/>
      <c r="AC50" s="236"/>
      <c r="AD50" s="236"/>
      <c r="AE50" s="236"/>
      <c r="AF50" s="237"/>
      <c r="AG50" s="236"/>
      <c r="AH50" s="236"/>
      <c r="AI50" s="236"/>
      <c r="AJ50" s="237"/>
      <c r="AK50" s="236"/>
      <c r="AL50" s="236"/>
      <c r="AM50" s="236"/>
      <c r="AN50" s="237"/>
      <c r="AO50" s="236"/>
      <c r="AP50" s="1381" t="str">
        <f>+AP5</f>
        <v>1H20</v>
      </c>
      <c r="AQ50" s="1381" t="str">
        <f t="shared" ref="AQ50:BK50" si="27">+AQ5</f>
        <v>2H20</v>
      </c>
      <c r="AR50" s="1381" t="str">
        <f t="shared" si="27"/>
        <v>FY20</v>
      </c>
      <c r="AS50" s="1381">
        <f t="shared" si="27"/>
        <v>0</v>
      </c>
      <c r="AT50" s="1381" t="str">
        <f t="shared" si="27"/>
        <v>1H21</v>
      </c>
      <c r="AU50" s="1381" t="str">
        <f t="shared" si="27"/>
        <v>2H21</v>
      </c>
      <c r="AV50" s="1381" t="str">
        <f t="shared" si="27"/>
        <v>FY21</v>
      </c>
      <c r="AW50" s="1381">
        <f t="shared" si="27"/>
        <v>0</v>
      </c>
      <c r="AX50" s="1381" t="str">
        <f t="shared" si="27"/>
        <v>1H22</v>
      </c>
      <c r="AY50" s="1381" t="str">
        <f t="shared" si="27"/>
        <v>2H22</v>
      </c>
      <c r="AZ50" s="1381" t="str">
        <f t="shared" si="27"/>
        <v>FY22</v>
      </c>
      <c r="BA50" s="1381">
        <f t="shared" si="27"/>
        <v>0</v>
      </c>
      <c r="BB50" s="1381" t="str">
        <f t="shared" si="27"/>
        <v>1H23</v>
      </c>
      <c r="BC50" s="1381" t="str">
        <f t="shared" si="27"/>
        <v>2H23</v>
      </c>
      <c r="BD50" s="1381" t="str">
        <f t="shared" si="27"/>
        <v>FY23</v>
      </c>
      <c r="BE50" s="1381">
        <f t="shared" si="27"/>
        <v>0</v>
      </c>
      <c r="BF50" s="1381" t="str">
        <f t="shared" si="27"/>
        <v>1H24</v>
      </c>
      <c r="BG50" s="1381" t="str">
        <f t="shared" si="27"/>
        <v>2H24</v>
      </c>
      <c r="BH50" s="1914" t="str">
        <f t="shared" si="27"/>
        <v>FY24</v>
      </c>
      <c r="BI50" s="236"/>
      <c r="BJ50" s="1381" t="str">
        <f t="shared" si="27"/>
        <v>1H25</v>
      </c>
      <c r="BK50" s="1381" t="str">
        <f t="shared" si="27"/>
        <v>2H25</v>
      </c>
      <c r="BL50" s="1914" t="str">
        <f t="shared" ref="BL50:BO50" si="28">+BL5</f>
        <v>FY25</v>
      </c>
      <c r="BM50" s="236"/>
      <c r="BN50" s="1381" t="str">
        <f t="shared" si="28"/>
        <v>1H26</v>
      </c>
      <c r="BO50" s="1381" t="str">
        <f t="shared" si="28"/>
        <v>2H26E</v>
      </c>
      <c r="BP50" s="1381" t="str">
        <f t="shared" ref="BP50" si="29">+BP5</f>
        <v>FY26E</v>
      </c>
      <c r="BQ50" s="236"/>
      <c r="BR50" s="236"/>
      <c r="BS50" s="236"/>
      <c r="BT50" s="1478" t="str">
        <f t="shared" ref="BT50" si="30">+BT5</f>
        <v>FY27E</v>
      </c>
      <c r="BU50" s="236"/>
      <c r="BV50" s="236"/>
      <c r="BW50" s="236"/>
      <c r="BX50" s="1478" t="str">
        <f t="shared" ref="BX50" si="31">+BX5</f>
        <v>FY28E</v>
      </c>
      <c r="BY50" s="236"/>
      <c r="BZ50" s="236"/>
      <c r="CA50" s="182"/>
      <c r="CB50" s="219"/>
      <c r="EC50" s="212"/>
      <c r="EG50" s="212"/>
      <c r="EI50" s="1936"/>
      <c r="EK50" s="212"/>
      <c r="EM50" s="2074"/>
      <c r="EQ50" s="2074"/>
      <c r="EY50" s="212"/>
      <c r="FC50" s="212"/>
      <c r="FE50" s="116"/>
      <c r="FF50" s="2192"/>
      <c r="FL50" s="172"/>
      <c r="FO50" s="109"/>
      <c r="GN50" s="137"/>
      <c r="GO50" s="157"/>
      <c r="GP50" s="157"/>
      <c r="GQ50" s="157"/>
      <c r="GR50" s="137"/>
      <c r="GS50" s="137"/>
      <c r="GT50" s="157"/>
      <c r="GU50" s="157"/>
      <c r="GV50" s="137"/>
      <c r="GW50" s="137"/>
      <c r="GX50" s="157"/>
      <c r="GY50" s="157"/>
      <c r="GZ50" s="137"/>
    </row>
    <row r="51" spans="1:208" s="119" customFormat="1" ht="16.649999999999999" customHeight="1">
      <c r="A51" s="116"/>
      <c r="B51" s="116"/>
      <c r="C51" s="239" t="str">
        <f>+C6</f>
        <v>Net Interest Income</v>
      </c>
      <c r="D51" s="241"/>
      <c r="E51" s="241"/>
      <c r="F51" s="242" t="e">
        <f>F6/#REF!-1</f>
        <v>#REF!</v>
      </c>
      <c r="G51" s="242" t="e">
        <f>G6/#REF!-1</f>
        <v>#REF!</v>
      </c>
      <c r="H51" s="242" t="e">
        <f>H6/#REF!-1</f>
        <v>#REF!</v>
      </c>
      <c r="I51" s="243"/>
      <c r="J51" s="242">
        <f>J6/F6-1</f>
        <v>0.15371900826446283</v>
      </c>
      <c r="K51" s="242">
        <f>K6/G6-1</f>
        <v>-5.2238805970149294E-2</v>
      </c>
      <c r="L51" s="242">
        <f>L6/H6-1</f>
        <v>4.54901960784313E-2</v>
      </c>
      <c r="M51" s="240"/>
      <c r="N51" s="244">
        <f>(N6/J6-1)*100</f>
        <v>-7.7363896848137497</v>
      </c>
      <c r="O51" s="244">
        <f>(O6/K6-1)*100</f>
        <v>13.858267716535444</v>
      </c>
      <c r="P51" s="244">
        <f>(P6/L6-1)*100</f>
        <v>2.5506376594148561</v>
      </c>
      <c r="Q51" s="243"/>
      <c r="R51" s="244">
        <f>(R6/N6-1)*100</f>
        <v>33.54037267080745</v>
      </c>
      <c r="S51" s="244">
        <f>(S6/O6-1)*100</f>
        <v>16.874135546334724</v>
      </c>
      <c r="T51" s="245">
        <f>(T6/P6-1)*100</f>
        <v>24.725676664228246</v>
      </c>
      <c r="U51" s="243"/>
      <c r="V51" s="244">
        <f>(V6/R6-1)*100</f>
        <v>11.16279069767443</v>
      </c>
      <c r="W51" s="244">
        <f>(W6/S6-1)*100</f>
        <v>34.437869822485197</v>
      </c>
      <c r="X51" s="245">
        <f>(X6/T6-1)*100</f>
        <v>22.697947214076251</v>
      </c>
      <c r="Y51" s="243"/>
      <c r="Z51" s="244">
        <f>(Z6/V6-1)*100</f>
        <v>21.861924686192459</v>
      </c>
      <c r="AA51" s="244">
        <f>(AA6/W6-1)*100</f>
        <v>-1.9366197183098621</v>
      </c>
      <c r="AB51" s="245">
        <f>(AB6/X6-1)*100</f>
        <v>8.9388145315487666</v>
      </c>
      <c r="AC51" s="244"/>
      <c r="AD51" s="244">
        <f>(AD6/Z6-1)*100</f>
        <v>-5.751072961373394</v>
      </c>
      <c r="AE51" s="244">
        <f>(AE6/AA6-1)*100</f>
        <v>-2.4236983842010784</v>
      </c>
      <c r="AF51" s="245">
        <f>(AF6/AB6-1)*100</f>
        <v>-4.1246160596753008</v>
      </c>
      <c r="AG51" s="244"/>
      <c r="AH51" s="244">
        <f>(AH6/AD6-1)*100</f>
        <v>-7.9234972677595605</v>
      </c>
      <c r="AI51" s="244">
        <f>(AI6/AE6-1)*100</f>
        <v>-10.303587856485741</v>
      </c>
      <c r="AJ51" s="245">
        <f>(AJ6/AF6-1)*100</f>
        <v>-9.1075514874141899</v>
      </c>
      <c r="AK51" s="244"/>
      <c r="AL51" s="244">
        <f>(AL6/AH6-1)*100</f>
        <v>-1.285855588526208</v>
      </c>
      <c r="AM51" s="244">
        <f>(AM6/AI6-1)*100</f>
        <v>-21.846153846153847</v>
      </c>
      <c r="AN51" s="245">
        <f>(AN6/AJ6-1)*100</f>
        <v>-11.37965760322256</v>
      </c>
      <c r="AO51" s="244"/>
      <c r="AP51" s="244">
        <f>(AP6/AL6-1)*100</f>
        <v>-20.841683366733466</v>
      </c>
      <c r="AQ51" s="244">
        <f>(AQ6/AM6-1)*100</f>
        <v>40.288713910761167</v>
      </c>
      <c r="AR51" s="245">
        <f>(AR6/AN6-1)*100</f>
        <v>5.6249999999999911</v>
      </c>
      <c r="AS51" s="244"/>
      <c r="AT51" s="244">
        <f>(AT6/AP6-1)*100</f>
        <v>30.759493670886084</v>
      </c>
      <c r="AU51" s="244">
        <f>(AU6/AQ6-1)*100</f>
        <v>8.6997193638914894</v>
      </c>
      <c r="AV51" s="245">
        <f>(AV6/AR6-1)*100</f>
        <v>18.074233458848845</v>
      </c>
      <c r="AW51" s="244"/>
      <c r="AX51" s="244">
        <f>(AX6/AT6-1)*100</f>
        <v>32.913843175217814</v>
      </c>
      <c r="AY51" s="244">
        <f>(AY6/AU6-1)*100</f>
        <v>27.969018932874356</v>
      </c>
      <c r="AZ51" s="245">
        <f>(AZ6/AV6-1)*100</f>
        <v>30.296127562642372</v>
      </c>
      <c r="BA51" s="244"/>
      <c r="BB51" s="244">
        <f>(BB6/AX6-1)*100</f>
        <v>4.2243262927895042</v>
      </c>
      <c r="BC51" s="244">
        <f>(BC6/AY6-1)*100</f>
        <v>7.3974445191661076</v>
      </c>
      <c r="BD51" s="245">
        <f>(BD6/AZ6-1)*100</f>
        <v>5.8741258741258795</v>
      </c>
      <c r="BE51" s="244"/>
      <c r="BF51" s="244">
        <f>(BF6/BB6-1)*100</f>
        <v>14.116002795248072</v>
      </c>
      <c r="BG51" s="244">
        <f>(BG6/BC6-1)*100</f>
        <v>14.339386349405125</v>
      </c>
      <c r="BH51" s="245">
        <f>(BH6/BD6-1)*100</f>
        <v>14.233817701453111</v>
      </c>
      <c r="BI51" s="244"/>
      <c r="BJ51" s="244">
        <f>(BJ6/BF6-1)*100</f>
        <v>2.204531537048382</v>
      </c>
      <c r="BK51" s="244">
        <f>(BK6/BG6-1)*100</f>
        <v>0.65717415115005284</v>
      </c>
      <c r="BL51" s="245">
        <f>(BL6/BH6-1)*100</f>
        <v>1.3876843018213458</v>
      </c>
      <c r="BM51" s="244"/>
      <c r="BN51" s="244">
        <f>(BN6/BJ6-1)*100</f>
        <v>23.786698621929304</v>
      </c>
      <c r="BO51" s="244">
        <f>(BO6/BK6-1)*100</f>
        <v>6.7386416153444761</v>
      </c>
      <c r="BP51" s="244">
        <f>(BP6/BL6-1)*100</f>
        <v>14.851902848304288</v>
      </c>
      <c r="BQ51" s="244"/>
      <c r="BR51" s="244">
        <f>(BR6/BN6-1)*100</f>
        <v>1.9276064008832305</v>
      </c>
      <c r="BS51" s="244">
        <f>(BS6/BO6-1)*100</f>
        <v>11.785170805630152</v>
      </c>
      <c r="BT51" s="1479">
        <f>(BT6/BP6-1)*100</f>
        <v>6.7289506024590606</v>
      </c>
      <c r="BU51" s="244"/>
      <c r="BV51" s="244">
        <f>(BV6/BR6-1)*100</f>
        <v>7.778371614933377</v>
      </c>
      <c r="BW51" s="244">
        <f>(BW6/BS6-1)*100</f>
        <v>7.1811383695872699</v>
      </c>
      <c r="BX51" s="1479">
        <f>(BX6/BT6-1)*100</f>
        <v>7.4736949814407039</v>
      </c>
      <c r="BY51" s="244"/>
      <c r="BZ51" s="244"/>
      <c r="CA51" s="182"/>
      <c r="CB51" s="219" t="s">
        <v>11</v>
      </c>
      <c r="CC51" s="169"/>
      <c r="CD51" s="169"/>
      <c r="CE51" s="161"/>
      <c r="CF51" s="161"/>
      <c r="CG51" s="169"/>
      <c r="CH51" s="169"/>
      <c r="CI51" s="152">
        <f>'Bal Sheet'!AX99/1000</f>
        <v>11.231999999999999</v>
      </c>
      <c r="CJ51" s="161"/>
      <c r="CK51" s="169"/>
      <c r="CL51" s="169"/>
      <c r="CM51" s="152">
        <f>'Bal Sheet'!BB99/1000</f>
        <v>11.404</v>
      </c>
      <c r="CN51" s="161"/>
      <c r="CO51" s="169"/>
      <c r="CP51" s="169"/>
      <c r="CQ51" s="152">
        <f>'Bal Sheet'!BF99/1000</f>
        <v>11.202999999999999</v>
      </c>
      <c r="CR51" s="161"/>
      <c r="CS51" s="169"/>
      <c r="CT51" s="169"/>
      <c r="CU51" s="152">
        <f>'Bal Sheet'!BJ99/1000</f>
        <v>11.403</v>
      </c>
      <c r="CV51" s="164"/>
      <c r="CW51" s="200"/>
      <c r="CX51" s="200"/>
      <c r="CY51" s="152">
        <f>'Bal Sheet'!BN99/1000</f>
        <v>11.417999999999999</v>
      </c>
      <c r="CZ51" s="164"/>
      <c r="DA51" s="200"/>
      <c r="DB51" s="200"/>
      <c r="DC51" s="152">
        <f>'Bal Sheet'!BR99/1000</f>
        <v>13.909000000000001</v>
      </c>
      <c r="DD51" s="164"/>
      <c r="DE51" s="200"/>
      <c r="DF51" s="200"/>
      <c r="DG51" s="152">
        <f>'Bal Sheet'!BV99/1000</f>
        <v>15.116</v>
      </c>
      <c r="DH51" s="164"/>
      <c r="DI51" s="200"/>
      <c r="DJ51" s="200"/>
      <c r="DK51" s="152">
        <f>'Bal Sheet'!BZ99/1000</f>
        <v>15.563000000000001</v>
      </c>
      <c r="DL51" s="164"/>
      <c r="DM51" s="200"/>
      <c r="DN51" s="200"/>
      <c r="DO51" s="152">
        <f>'Bal Sheet'!CD99/1000</f>
        <v>16.356999999999999</v>
      </c>
      <c r="DP51" s="152"/>
      <c r="DQ51" s="200"/>
      <c r="DR51" s="200"/>
      <c r="DS51" s="152">
        <f>'Bal Sheet'!CH99/1000</f>
        <v>17.760999999999999</v>
      </c>
      <c r="DT51" s="152"/>
      <c r="DU51" s="152">
        <f>'Bal Sheet'!CJ99/1000</f>
        <v>19.617000000000001</v>
      </c>
      <c r="DV51" s="152">
        <f>'Bal Sheet'!CK99/1000</f>
        <v>21.062999999999999</v>
      </c>
      <c r="DW51" s="152">
        <f>'Bal Sheet'!CL99/1000</f>
        <v>21.062999999999999</v>
      </c>
      <c r="DX51" s="152"/>
      <c r="DY51" s="152">
        <f>'Bal Sheet'!CN99/1000</f>
        <v>20.507999999999999</v>
      </c>
      <c r="DZ51" s="152">
        <f>'Bal Sheet'!CO99/1000</f>
        <v>22.047999999999998</v>
      </c>
      <c r="EA51" s="152">
        <f>'Bal Sheet'!CP99/1000</f>
        <v>22.047999999999998</v>
      </c>
      <c r="EB51" s="152"/>
      <c r="EC51" s="1756">
        <f>'Bal Sheet'!CR99/1000</f>
        <v>24.064</v>
      </c>
      <c r="ED51" s="152">
        <f>'Bal Sheet'!CS99/1000</f>
        <v>28.561</v>
      </c>
      <c r="EE51" s="152">
        <f>'Bal Sheet'!CT99/1000</f>
        <v>28.561</v>
      </c>
      <c r="EF51" s="152"/>
      <c r="EG51" s="1756">
        <f>'Bal Sheet'!CV99/1000</f>
        <v>31.337</v>
      </c>
      <c r="EH51" s="152">
        <f>'Bal Sheet'!CW99/1000</f>
        <v>33.155000000000001</v>
      </c>
      <c r="EI51" s="1935">
        <f>'Bal Sheet'!CX99/1000</f>
        <v>33.155000000000001</v>
      </c>
      <c r="EJ51" s="152"/>
      <c r="EK51" s="1756">
        <f>'Bal Sheet'!CZ99/1000</f>
        <v>32.651000000000003</v>
      </c>
      <c r="EL51" s="152">
        <f>'Bal Sheet'!DA99/1000</f>
        <v>33.481000000000002</v>
      </c>
      <c r="EM51" s="2073">
        <f>'Bal Sheet'!DB99/1000</f>
        <v>33.481000000000002</v>
      </c>
      <c r="EN51" s="152"/>
      <c r="EO51" s="152">
        <f>'Bal Sheet'!DD99/1000</f>
        <v>32.298999999999999</v>
      </c>
      <c r="EP51" s="152">
        <f>'Bal Sheet'!DE99/1000</f>
        <v>35.356000000000002</v>
      </c>
      <c r="EQ51" s="2073">
        <f>'Bal Sheet'!DF99/1000</f>
        <v>35.356000000000002</v>
      </c>
      <c r="ER51" s="152"/>
      <c r="ES51" s="152">
        <f>'Bal Sheet'!DH99/1000</f>
        <v>34.561</v>
      </c>
      <c r="ET51" s="152">
        <f ca="1">'Bal Sheet'!DI99/1000</f>
        <v>36.028200914198372</v>
      </c>
      <c r="EU51" s="152">
        <f ca="1">'Bal Sheet'!DJ99/1000</f>
        <v>36.028200914198372</v>
      </c>
      <c r="EV51" s="152"/>
      <c r="EW51" s="152">
        <f ca="1">'Bal Sheet'!DL99/1000</f>
        <v>36.421003791897263</v>
      </c>
      <c r="EX51" s="152">
        <f ca="1">'Bal Sheet'!DM99/1000</f>
        <v>39.206085631694336</v>
      </c>
      <c r="EY51" s="1756">
        <f ca="1">'Bal Sheet'!DN99/1000</f>
        <v>39.206085631694336</v>
      </c>
      <c r="EZ51" s="152"/>
      <c r="FA51" s="152">
        <f ca="1">'Bal Sheet'!DP99/1000</f>
        <v>39.700242684919935</v>
      </c>
      <c r="FB51" s="152">
        <f ca="1">'Bal Sheet'!DQ99/1000</f>
        <v>42.684001979283231</v>
      </c>
      <c r="FC51" s="1756">
        <f ca="1">'Bal Sheet'!DR99/1000</f>
        <v>42.684001979283231</v>
      </c>
      <c r="FD51" s="144"/>
      <c r="FE51" s="116"/>
      <c r="FF51" s="2192"/>
      <c r="FL51" s="172"/>
      <c r="FO51" s="109"/>
      <c r="GB51" s="213"/>
      <c r="GC51" s="213"/>
      <c r="GD51" s="213"/>
      <c r="GE51" s="213"/>
      <c r="GF51" s="213"/>
      <c r="GG51" s="213"/>
      <c r="GH51" s="213"/>
      <c r="GI51" s="213"/>
      <c r="GJ51" s="213"/>
      <c r="GK51" s="213"/>
      <c r="GL51" s="213"/>
      <c r="GM51" s="213"/>
      <c r="GN51" s="160"/>
      <c r="GO51" s="168"/>
      <c r="GP51" s="168"/>
      <c r="GQ51" s="168"/>
      <c r="GR51" s="160"/>
      <c r="GS51" s="160"/>
      <c r="GT51" s="168"/>
      <c r="GU51" s="168"/>
      <c r="GV51" s="160"/>
      <c r="GW51" s="160"/>
      <c r="GX51" s="168"/>
      <c r="GY51" s="168"/>
      <c r="GZ51" s="160"/>
    </row>
    <row r="52" spans="1:208" s="119" customFormat="1" ht="16.649999999999999" customHeight="1">
      <c r="A52" s="116"/>
      <c r="B52" s="116"/>
      <c r="C52" s="213" t="str">
        <f>C31</f>
        <v>Base Fees</v>
      </c>
      <c r="D52" s="2090"/>
      <c r="E52" s="2090"/>
      <c r="F52" s="273" t="e">
        <f>F31/#REF!-1</f>
        <v>#REF!</v>
      </c>
      <c r="G52" s="273" t="e">
        <f>G31/#REF!-1</f>
        <v>#REF!</v>
      </c>
      <c r="H52" s="273" t="e">
        <f>H31/#REF!-1</f>
        <v>#REF!</v>
      </c>
      <c r="I52" s="2091"/>
      <c r="J52" s="273">
        <f>J31/F31-1</f>
        <v>-6.7211693548387075E-2</v>
      </c>
      <c r="K52" s="273">
        <f>K31/G31-1</f>
        <v>4.8458149779735615E-2</v>
      </c>
      <c r="L52" s="273">
        <f>L31/H31-1</f>
        <v>-1.1933684210526319E-2</v>
      </c>
      <c r="M52" s="276"/>
      <c r="N52" s="2092">
        <f>(N31/J31-1)*100</f>
        <v>7.8538806863743149</v>
      </c>
      <c r="O52" s="2092">
        <f>(O31/K31-1)*100</f>
        <v>8.8235294117646959</v>
      </c>
      <c r="P52" s="2092">
        <f>(P31/L31-1)*100</f>
        <v>8.3455936795207677</v>
      </c>
      <c r="Q52" s="2091"/>
      <c r="R52" s="2092">
        <f>(R31/N31-1)*100</f>
        <v>25.85170340681362</v>
      </c>
      <c r="S52" s="2092">
        <f>(S31/O31-1)*100</f>
        <v>27.413127413127402</v>
      </c>
      <c r="T52" s="2093">
        <f>(T31/P31-1)*100</f>
        <v>26.647000983284165</v>
      </c>
      <c r="U52" s="2091"/>
      <c r="V52" s="2092">
        <f>(V31/R31-1)*100</f>
        <v>3.5031847133758065</v>
      </c>
      <c r="W52" s="2092">
        <f>(W31/S31-1)*100</f>
        <v>11.818181818181817</v>
      </c>
      <c r="X52" s="2093">
        <f>(X31/T31-1)*100</f>
        <v>7.7639751552795122</v>
      </c>
      <c r="Y52" s="2091"/>
      <c r="Z52" s="2092">
        <f>(Z31/V31-1)*100</f>
        <v>21.692307692307701</v>
      </c>
      <c r="AA52" s="2092">
        <f>(AA31/W31-1)*100</f>
        <v>7.1815718157181463</v>
      </c>
      <c r="AB52" s="2093">
        <f>(AB31/X31-1)*100</f>
        <v>13.976945244956763</v>
      </c>
      <c r="AC52" s="2092"/>
      <c r="AD52" s="2092">
        <f>(AD31/Z31-1)*100</f>
        <v>0.37926675094817064</v>
      </c>
      <c r="AE52" s="2092">
        <f>(AE31/AA31-1)*100</f>
        <v>-0.6321112515802807</v>
      </c>
      <c r="AF52" s="2093">
        <f>(AF31/AB31-1)*100</f>
        <v>-0.12642225031606058</v>
      </c>
      <c r="AG52" s="2092"/>
      <c r="AH52" s="2092">
        <f>(AH31/AD31-1)*100</f>
        <v>1.2594458438287104</v>
      </c>
      <c r="AI52" s="2092">
        <f>(AI31/AE31-1)*100</f>
        <v>0</v>
      </c>
      <c r="AJ52" s="2093">
        <f>(AJ31/AF31-1)*100</f>
        <v>0.63291139240506666</v>
      </c>
      <c r="AK52" s="2092"/>
      <c r="AL52" s="2092">
        <f>(AL31/AH31-1)*100</f>
        <v>11.815920398009961</v>
      </c>
      <c r="AM52" s="2092">
        <f>(AM31/AI31-1)*100</f>
        <v>16.53944020356235</v>
      </c>
      <c r="AN52" s="2093">
        <f>(AN31/AJ31-1)*100</f>
        <v>14.150943396226424</v>
      </c>
      <c r="AO52" s="2092"/>
      <c r="AP52" s="2092">
        <f>(AP31/AL31-1)*100</f>
        <v>7.5639599555061166</v>
      </c>
      <c r="AQ52" s="2092">
        <f>(AQ31/AM31-1)*100</f>
        <v>18.558951965065496</v>
      </c>
      <c r="AR52" s="2093">
        <f>(AR31/AN31-1)*100</f>
        <v>13.112947658402208</v>
      </c>
      <c r="AS52" s="2092"/>
      <c r="AT52" s="2092">
        <f>(AT31/AP31-1)*100</f>
        <v>1.8614270941054833</v>
      </c>
      <c r="AU52" s="2092">
        <f>(AU31/AQ31-1)*100</f>
        <v>-5.5248618784530361</v>
      </c>
      <c r="AV52" s="2093">
        <f>(AV31/AR31-1)*100</f>
        <v>-2.0457866536775504</v>
      </c>
      <c r="AW52" s="2092"/>
      <c r="AX52" s="2092">
        <f>(AX31/AT31-1)*100</f>
        <v>39.492385786802032</v>
      </c>
      <c r="AY52" s="2092">
        <f>(AY31/AU31-1)*100</f>
        <v>38.596491228070185</v>
      </c>
      <c r="AZ52" s="2093">
        <f>(AZ31/AV31-1)*100</f>
        <v>39.035305818000985</v>
      </c>
      <c r="BA52" s="2092"/>
      <c r="BB52" s="2092">
        <f>(BB31/AX31-1)*100</f>
        <v>1.0917030567685559</v>
      </c>
      <c r="BC52" s="2092">
        <f>(BC31/AY31-1)*100</f>
        <v>-0.49226441631504692</v>
      </c>
      <c r="BD52" s="2093">
        <f>(BD31/AZ31-1)*100</f>
        <v>0.28612303290413976</v>
      </c>
      <c r="BE52" s="2092"/>
      <c r="BF52" s="2092">
        <f>(BF31/BB31-1)*100</f>
        <v>2.0158387329013649</v>
      </c>
      <c r="BG52" s="2092">
        <f>(BG31/BC31-1)*100</f>
        <v>4.452296819787982</v>
      </c>
      <c r="BH52" s="2093">
        <f>(BH31/BD31-1)*100</f>
        <v>3.2453637660484924</v>
      </c>
      <c r="BI52" s="2092"/>
      <c r="BJ52" s="2092">
        <f>(BJ31/BF31-1)*100</f>
        <v>2.1877205363443952</v>
      </c>
      <c r="BK52" s="2092">
        <f ca="1">(BK31/BG31-1)*100</f>
        <v>1.4884979702300516</v>
      </c>
      <c r="BL52" s="275">
        <f ca="1">(BL31/BH31-1)*100</f>
        <v>1.8307426597581999</v>
      </c>
      <c r="BM52" s="2092"/>
      <c r="BN52" s="2092">
        <f>(BN31/BJ31-1)*100</f>
        <v>2.00276243093922</v>
      </c>
      <c r="BO52" s="2092">
        <f ca="1">(BO31/BK31-1)*100</f>
        <v>-15.675211213525719</v>
      </c>
      <c r="BP52" s="2092">
        <f ca="1">(BP31/BL31-1)*100</f>
        <v>-6.992135963462875</v>
      </c>
      <c r="BQ52" s="2092"/>
      <c r="BR52" s="2092">
        <f>(BR31/BN31-1)*100</f>
        <v>-19.51846637945971</v>
      </c>
      <c r="BS52" s="2092">
        <f>(BS31/BO31-1)*100</f>
        <v>-4.8961877742335851</v>
      </c>
      <c r="BT52" s="2094">
        <f>(BT31/BP31-1)*100</f>
        <v>-12.77296204553987</v>
      </c>
      <c r="BU52" s="2092"/>
      <c r="BV52" s="2092">
        <f>(BV31/BR31-1)*100</f>
        <v>3.6041544928149039</v>
      </c>
      <c r="BW52" s="2092">
        <f>(BW31/BS31-1)*100</f>
        <v>4.5249540883174566</v>
      </c>
      <c r="BX52" s="2094">
        <f>(BX31/BT31-1)*100</f>
        <v>4.0672934270812755</v>
      </c>
      <c r="BY52" s="244"/>
      <c r="BZ52" s="244"/>
      <c r="CA52" s="238"/>
      <c r="CB52" s="212" t="s">
        <v>298</v>
      </c>
      <c r="CI52" s="217">
        <f>+CI43/CI49</f>
        <v>0.30332328354118132</v>
      </c>
      <c r="CM52" s="217">
        <f>+CM43/CM49</f>
        <v>0.29203899268887079</v>
      </c>
      <c r="CQ52" s="217">
        <f>+CQ43/CQ49</f>
        <v>0.29433819796128263</v>
      </c>
      <c r="CU52" s="217">
        <f>+CU43/CU49</f>
        <v>0.35090640285185287</v>
      </c>
      <c r="CV52" s="193"/>
      <c r="CW52" s="193"/>
      <c r="CX52" s="193"/>
      <c r="CY52" s="217">
        <f>+CY43/CY49</f>
        <v>0.38148456180476142</v>
      </c>
      <c r="CZ52" s="193"/>
      <c r="DA52" s="193"/>
      <c r="DB52" s="193"/>
      <c r="DC52" s="217">
        <f>+DC43/DC49</f>
        <v>0.38708132953142954</v>
      </c>
      <c r="DD52" s="193"/>
      <c r="DE52" s="193"/>
      <c r="DF52" s="193"/>
      <c r="DG52" s="217">
        <f>+DG43/DG49</f>
        <v>0.40845721836802112</v>
      </c>
      <c r="DH52" s="193"/>
      <c r="DI52" s="193"/>
      <c r="DJ52" s="193"/>
      <c r="DK52" s="217">
        <f>+DK43/DK49</f>
        <v>0.41920525817899457</v>
      </c>
      <c r="DL52" s="193"/>
      <c r="DM52" s="193"/>
      <c r="DN52" s="193"/>
      <c r="DO52" s="217">
        <f>+DO43/DO49</f>
        <v>0.38421011368090946</v>
      </c>
      <c r="DP52" s="217"/>
      <c r="DQ52" s="193"/>
      <c r="DR52" s="193"/>
      <c r="DS52" s="217">
        <f>+DS43/DS49</f>
        <v>0.38622515774035104</v>
      </c>
      <c r="DT52" s="217"/>
      <c r="DU52" s="217">
        <f>+DU43/DU49</f>
        <v>0.38755324722658829</v>
      </c>
      <c r="DV52" s="217">
        <f>+DV43/DV49</f>
        <v>0.36792910141437518</v>
      </c>
      <c r="DW52" s="217">
        <f>+DW43/DW49</f>
        <v>0.36792910141437518</v>
      </c>
      <c r="DX52" s="217"/>
      <c r="DY52" s="217">
        <f>+DY43/DY49</f>
        <v>0.40485405335124708</v>
      </c>
      <c r="DZ52" s="217">
        <f>+DZ43/DZ49</f>
        <v>0.42753803128803636</v>
      </c>
      <c r="EA52" s="217">
        <f>+EA43/EA49</f>
        <v>0.42753803128803636</v>
      </c>
      <c r="EB52" s="217"/>
      <c r="EC52" s="1752">
        <f>+EC43/EC49</f>
        <v>0.33955882226372547</v>
      </c>
      <c r="ED52" s="217">
        <f>+ED43/ED49</f>
        <v>0.33755536404994291</v>
      </c>
      <c r="EE52" s="1516">
        <f>+EE43/EE49</f>
        <v>0.33755536404994291</v>
      </c>
      <c r="EF52" s="217"/>
      <c r="EG52" s="1752">
        <f>+EG43/EG49</f>
        <v>0.30596373830085455</v>
      </c>
      <c r="EH52" s="217">
        <f>+EH43/EH49</f>
        <v>0.40882559194785906</v>
      </c>
      <c r="EI52" s="1931">
        <f>+EI43/EI49</f>
        <v>0.40882559194785906</v>
      </c>
      <c r="EJ52" s="217"/>
      <c r="EK52" s="1752">
        <f>+EK43/EK49</f>
        <v>0.42447426975574898</v>
      </c>
      <c r="EL52" s="217">
        <f>+EL43/EL49</f>
        <v>0.43720686954021282</v>
      </c>
      <c r="EM52" s="2069">
        <f>+EM43/EM49</f>
        <v>0.43720686954021282</v>
      </c>
      <c r="EN52" s="217"/>
      <c r="EO52" s="217">
        <f>+EO43/EO49</f>
        <v>0.45150187659148233</v>
      </c>
      <c r="EP52" s="217">
        <f>+EP43/EP49</f>
        <v>0.46190094357633621</v>
      </c>
      <c r="EQ52" s="2069">
        <f>+EQ43/EQ49</f>
        <v>0.46190094357633621</v>
      </c>
      <c r="ER52" s="217"/>
      <c r="ES52" s="217">
        <f>+ES43/ES49</f>
        <v>0.46269020437160274</v>
      </c>
      <c r="ET52" s="217">
        <f>+ET43/ET49</f>
        <v>0.48101969463927502</v>
      </c>
      <c r="EU52" s="217">
        <f>+EU43/EU49</f>
        <v>0.48101969463927502</v>
      </c>
      <c r="EV52" s="217"/>
      <c r="EW52" s="217">
        <f>+EW43/EW49</f>
        <v>0.49247975246588499</v>
      </c>
      <c r="EX52" s="217">
        <f>+EX43/EX49</f>
        <v>0.49878678163637957</v>
      </c>
      <c r="EY52" s="1752">
        <f>+EY43/EY49</f>
        <v>0.49878678163637957</v>
      </c>
      <c r="EZ52" s="217"/>
      <c r="FA52" s="217">
        <f>+FA43/FA49</f>
        <v>0.50510032376173508</v>
      </c>
      <c r="FB52" s="217">
        <f>+FB43/FB49</f>
        <v>0.51141788098428176</v>
      </c>
      <c r="FC52" s="1752">
        <f>+FC43/FC49</f>
        <v>0.51141788098428176</v>
      </c>
      <c r="FD52" s="144"/>
      <c r="FE52" s="116"/>
      <c r="FF52" s="2192"/>
      <c r="FL52" s="172"/>
      <c r="FO52" s="109"/>
      <c r="GB52" s="213"/>
      <c r="GC52" s="213"/>
      <c r="GD52" s="213"/>
      <c r="GE52" s="213"/>
      <c r="GF52" s="213"/>
      <c r="GG52" s="213"/>
      <c r="GH52" s="213"/>
      <c r="GI52" s="213"/>
      <c r="GJ52" s="213"/>
      <c r="GK52" s="213"/>
      <c r="GL52" s="213"/>
      <c r="GM52" s="213"/>
      <c r="GN52" s="246"/>
      <c r="GO52" s="168"/>
      <c r="GP52" s="168"/>
      <c r="GQ52" s="168"/>
      <c r="GR52" s="246"/>
      <c r="GS52" s="160"/>
      <c r="GT52" s="168"/>
      <c r="GU52" s="168"/>
      <c r="GV52" s="246"/>
      <c r="GW52" s="160"/>
      <c r="GX52" s="168"/>
      <c r="GY52" s="168"/>
      <c r="GZ52" s="246"/>
    </row>
    <row r="53" spans="1:208" s="119" customFormat="1" ht="16.649999999999999" customHeight="1">
      <c r="A53" s="116"/>
      <c r="B53" s="116"/>
      <c r="C53" s="119" t="str">
        <f>C33</f>
        <v>M&amp;A, Advisory and Underwriting</v>
      </c>
      <c r="D53" s="241"/>
      <c r="E53" s="241"/>
      <c r="F53" s="242" t="e">
        <f>+F33/#REF!-1</f>
        <v>#REF!</v>
      </c>
      <c r="G53" s="242" t="e">
        <f>+G33/#REF!-1</f>
        <v>#REF!</v>
      </c>
      <c r="H53" s="242" t="e">
        <f>+H33/#REF!-1</f>
        <v>#REF!</v>
      </c>
      <c r="I53" s="184"/>
      <c r="J53" s="242">
        <f t="shared" ref="J53:L55" si="32">+J33/F33-1</f>
        <v>-0.15671641791044777</v>
      </c>
      <c r="K53" s="242">
        <f t="shared" si="32"/>
        <v>-0.3516068052930057</v>
      </c>
      <c r="L53" s="242">
        <f t="shared" si="32"/>
        <v>-0.26745435016111707</v>
      </c>
      <c r="M53" s="183"/>
      <c r="N53" s="244">
        <f t="shared" ref="N53:P55" si="33">(N33/J33-1)*100</f>
        <v>-3.539823008849563</v>
      </c>
      <c r="O53" s="244">
        <f t="shared" si="33"/>
        <v>-4.6647230320699729</v>
      </c>
      <c r="P53" s="244">
        <f t="shared" si="33"/>
        <v>-4.1055718475073277</v>
      </c>
      <c r="Q53" s="184"/>
      <c r="R53" s="244">
        <f t="shared" ref="R53:T55" si="34">(R33/N33-1)*100</f>
        <v>9.174311926605494</v>
      </c>
      <c r="S53" s="244">
        <f t="shared" si="34"/>
        <v>38.226299694189606</v>
      </c>
      <c r="T53" s="245">
        <f t="shared" si="34"/>
        <v>23.700305810397548</v>
      </c>
      <c r="U53" s="184"/>
      <c r="V53" s="244">
        <f t="shared" ref="V53:X55" si="35">(V33/R33-1)*100</f>
        <v>20.168067226890752</v>
      </c>
      <c r="W53" s="244">
        <f t="shared" si="35"/>
        <v>20.353982300884965</v>
      </c>
      <c r="X53" s="245">
        <f t="shared" si="35"/>
        <v>20.271940667490739</v>
      </c>
      <c r="Y53" s="184"/>
      <c r="Z53" s="244">
        <f t="shared" ref="Z53:AB55" si="36">(Z33/V33-1)*100</f>
        <v>25.174825174825166</v>
      </c>
      <c r="AA53" s="244">
        <f t="shared" si="36"/>
        <v>-21.875</v>
      </c>
      <c r="AB53" s="245">
        <f t="shared" si="36"/>
        <v>-1.1305241521068821</v>
      </c>
      <c r="AC53" s="244"/>
      <c r="AD53" s="244">
        <f t="shared" ref="AD53:AF55" si="37">(AD33/Z33-1)*100</f>
        <v>-12.290502793296088</v>
      </c>
      <c r="AE53" s="244">
        <f t="shared" si="37"/>
        <v>15.764705882352947</v>
      </c>
      <c r="AF53" s="245">
        <f t="shared" si="37"/>
        <v>0.10395010395010118</v>
      </c>
      <c r="AG53" s="244"/>
      <c r="AH53" s="244">
        <f t="shared" ref="AH53:AJ55" si="38">(AH33/AD33-1)*100</f>
        <v>-2.7600849256900206</v>
      </c>
      <c r="AI53" s="244">
        <f t="shared" si="38"/>
        <v>-6.0975609756097615</v>
      </c>
      <c r="AJ53" s="245">
        <f t="shared" si="38"/>
        <v>-4.4652128764278265</v>
      </c>
      <c r="AK53" s="244"/>
      <c r="AL53" s="244">
        <f t="shared" ref="AL53:AN55" si="39">(AL33/AH33-1)*100</f>
        <v>25.109170305676855</v>
      </c>
      <c r="AM53" s="244">
        <f t="shared" si="39"/>
        <v>-6.277056277056281</v>
      </c>
      <c r="AN53" s="245">
        <f t="shared" si="39"/>
        <v>9.3478260869565233</v>
      </c>
      <c r="AO53" s="244"/>
      <c r="AP53" s="244">
        <f t="shared" ref="AP53:AR55" si="40">(AP33/AL33-1)*100</f>
        <v>-15.881326352530545</v>
      </c>
      <c r="AQ53" s="244">
        <f t="shared" si="40"/>
        <v>33.487297921478067</v>
      </c>
      <c r="AR53" s="245">
        <f t="shared" si="40"/>
        <v>5.3677932405566509</v>
      </c>
      <c r="AS53" s="244"/>
      <c r="AT53" s="244">
        <f t="shared" ref="AT53:AV55" si="41">(AT33/AP33-1)*100</f>
        <v>-14.31535269709544</v>
      </c>
      <c r="AU53" s="244">
        <f t="shared" si="41"/>
        <v>-23.010380622837367</v>
      </c>
      <c r="AV53" s="245">
        <f t="shared" si="41"/>
        <v>-19.0566037735849</v>
      </c>
      <c r="AW53" s="244"/>
      <c r="AX53" s="244">
        <f t="shared" ref="AX53:AZ55" si="42">(AX33/AT33-1)*100</f>
        <v>49.636803874092017</v>
      </c>
      <c r="AY53" s="244">
        <f t="shared" si="42"/>
        <v>69.662921348314597</v>
      </c>
      <c r="AZ53" s="245">
        <f t="shared" si="42"/>
        <v>60.023310023310032</v>
      </c>
      <c r="BA53" s="244"/>
      <c r="BB53" s="244">
        <f t="shared" ref="BB53:BD55" si="43">(BB33/AX33-1)*100</f>
        <v>-29.126213592233007</v>
      </c>
      <c r="BC53" s="244">
        <f t="shared" si="43"/>
        <v>-26.754966887417218</v>
      </c>
      <c r="BD53" s="245">
        <f t="shared" si="43"/>
        <v>-27.82228696285506</v>
      </c>
      <c r="BE53" s="244"/>
      <c r="BF53" s="244">
        <f t="shared" ref="BF53:BH55" si="44">(BF33/BB33-1)*100</f>
        <v>-6.8493150684931559</v>
      </c>
      <c r="BG53" s="244">
        <f t="shared" si="44"/>
        <v>-39.421338155515372</v>
      </c>
      <c r="BH53" s="245">
        <f t="shared" si="44"/>
        <v>-25.025227043390519</v>
      </c>
      <c r="BI53" s="244"/>
      <c r="BJ53" s="244">
        <f t="shared" ref="BJ53:BL55" si="45">(BJ33/BF33-1)*100</f>
        <v>1.225490196078427</v>
      </c>
      <c r="BK53" s="244">
        <f t="shared" ca="1" si="45"/>
        <v>50.149253731343293</v>
      </c>
      <c r="BL53" s="245">
        <f t="shared" ca="1" si="45"/>
        <v>23.283983849259759</v>
      </c>
      <c r="BM53" s="244"/>
      <c r="BN53" s="244">
        <f t="shared" ref="BN53:BN55" si="46">(BN33/BJ33-1)*100</f>
        <v>35.108958837772384</v>
      </c>
      <c r="BO53" s="244">
        <f t="shared" ref="BO53:BO55" ca="1" si="47">(BO33/BK33-1)*100</f>
        <v>15.626242544731618</v>
      </c>
      <c r="BP53" s="244">
        <f t="shared" ref="BP53:BP55" ca="1" si="48">(BP33/BL33-1)*100</f>
        <v>24.410480349344965</v>
      </c>
      <c r="BQ53" s="244"/>
      <c r="BR53" s="244">
        <f t="shared" ref="BR53:BR55" si="49">(BR33/BN33-1)*100</f>
        <v>8.6102150537634472</v>
      </c>
      <c r="BS53" s="244">
        <f t="shared" ref="BS53:BS55" si="50">(BS33/BO33-1)*100</f>
        <v>9.608020976616217</v>
      </c>
      <c r="BT53" s="1479">
        <f t="shared" ref="BT53:BT55" si="51">(BT33/BP33-1)*100</f>
        <v>9.1194498069498309</v>
      </c>
      <c r="BU53" s="244"/>
      <c r="BV53" s="244">
        <f t="shared" ref="BV53:BV55" si="52">(BV33/BR33-1)*100</f>
        <v>6.7655297873919995</v>
      </c>
      <c r="BW53" s="244">
        <f t="shared" ref="BW53:BW55" si="53">(BW33/BS33-1)*100</f>
        <v>3.9534611621301341</v>
      </c>
      <c r="BX53" s="1479">
        <f t="shared" ref="BX53:BX55" si="54">(BX33/BT33-1)*100</f>
        <v>5.3239521352702823</v>
      </c>
      <c r="BY53" s="244"/>
      <c r="BZ53" s="244"/>
      <c r="CA53" s="238"/>
      <c r="CB53" s="212" t="s">
        <v>299</v>
      </c>
      <c r="CI53" s="217">
        <f>+CI44/CI49</f>
        <v>8.3171166232698365E-2</v>
      </c>
      <c r="CM53" s="217">
        <f>+CM44/CM49</f>
        <v>9.4549654752233953E-2</v>
      </c>
      <c r="CQ53" s="217">
        <f>+CQ44/CQ49</f>
        <v>8.2596695871792539E-2</v>
      </c>
      <c r="CU53" s="217">
        <f>+CU44/CU49</f>
        <v>0.13662364937684804</v>
      </c>
      <c r="CV53" s="193"/>
      <c r="CW53" s="193"/>
      <c r="CX53" s="193"/>
      <c r="CY53" s="217">
        <f>+CY44/CY49</f>
        <v>0.14594812350556191</v>
      </c>
      <c r="CZ53" s="193"/>
      <c r="DA53" s="193"/>
      <c r="DB53" s="193"/>
      <c r="DC53" s="217">
        <f>+DC44/DC49</f>
        <v>0.16175469208835169</v>
      </c>
      <c r="DD53" s="193"/>
      <c r="DE53" s="193"/>
      <c r="DF53" s="193"/>
      <c r="DG53" s="217">
        <f>+DG44/DG49</f>
        <v>0.11962593072602984</v>
      </c>
      <c r="DH53" s="193"/>
      <c r="DI53" s="193"/>
      <c r="DJ53" s="193"/>
      <c r="DK53" s="217">
        <f>+DK44/DK49</f>
        <v>0.14727385073027224</v>
      </c>
      <c r="DL53" s="193"/>
      <c r="DM53" s="193"/>
      <c r="DN53" s="193"/>
      <c r="DO53" s="217">
        <f>+DO44/DO49</f>
        <v>8.0182934796811711E-2</v>
      </c>
      <c r="DP53" s="217"/>
      <c r="DQ53" s="193"/>
      <c r="DR53" s="193"/>
      <c r="DS53" s="217">
        <f>+DS44/DS49</f>
        <v>9.1888060950281042E-2</v>
      </c>
      <c r="DT53" s="217"/>
      <c r="DU53" s="217">
        <f>+DU44/DU49</f>
        <v>0.11079979042802797</v>
      </c>
      <c r="DV53" s="217">
        <f>+DV44/DV49</f>
        <v>6.5890806170397415E-2</v>
      </c>
      <c r="DW53" s="217">
        <f>+DW44/DW49</f>
        <v>6.5890806170397415E-2</v>
      </c>
      <c r="DX53" s="217"/>
      <c r="DY53" s="217">
        <f>+DY44/DY49</f>
        <v>8.3437709926972498E-2</v>
      </c>
      <c r="DZ53" s="217">
        <f>+DZ44/DZ49</f>
        <v>8.852324213422999E-2</v>
      </c>
      <c r="EA53" s="217">
        <f>+EA44/EA49</f>
        <v>8.852324213422999E-2</v>
      </c>
      <c r="EB53" s="217"/>
      <c r="EC53" s="1752">
        <f>+EC44/EC49</f>
        <v>6.2493007083286714E-2</v>
      </c>
      <c r="ED53" s="217">
        <f>+ED44/ED49</f>
        <v>3.401507104635549E-2</v>
      </c>
      <c r="EE53" s="1516">
        <f>+EE44/EE49</f>
        <v>3.0380082970920097E-2</v>
      </c>
      <c r="EF53" s="217"/>
      <c r="EG53" s="1752">
        <f>+EG44/EG49</f>
        <v>5.1474184810532411E-2</v>
      </c>
      <c r="EH53" s="217">
        <f>+EH44/EH49</f>
        <v>5.6394893160630309E-2</v>
      </c>
      <c r="EI53" s="1931">
        <f>+EI44/EI49</f>
        <v>5.6394893160630309E-2</v>
      </c>
      <c r="EJ53" s="217"/>
      <c r="EK53" s="1752">
        <f>+EK44/EK49</f>
        <v>5.7938032509364051E-2</v>
      </c>
      <c r="EL53" s="217">
        <f>+EL44/EL49</f>
        <v>6.0430734449831928E-2</v>
      </c>
      <c r="EM53" s="2069">
        <f>+EM44/EM49</f>
        <v>6.0430734449831928E-2</v>
      </c>
      <c r="EN53" s="217"/>
      <c r="EO53" s="217">
        <f>+EO44/EO49</f>
        <v>4.5586087879994693E-2</v>
      </c>
      <c r="EP53" s="217">
        <f>+EP44/EP49</f>
        <v>4.818955080735185E-2</v>
      </c>
      <c r="EQ53" s="2069">
        <f>+EQ44/EQ49</f>
        <v>4.818955080735185E-2</v>
      </c>
      <c r="ER53" s="217"/>
      <c r="ES53" s="217">
        <f>+ES44/ES49</f>
        <v>5.4192756951443155E-2</v>
      </c>
      <c r="ET53" s="217">
        <f>+ET44/ET49</f>
        <v>5.2743116223522422E-2</v>
      </c>
      <c r="EU53" s="217">
        <f>+EU44/EU49</f>
        <v>5.2743116223522422E-2</v>
      </c>
      <c r="EV53" s="217"/>
      <c r="EW53" s="217">
        <f>+EW44/EW49</f>
        <v>5.1216384302847216E-2</v>
      </c>
      <c r="EX53" s="217">
        <f>+EX44/EX49</f>
        <v>5.022667016130547E-2</v>
      </c>
      <c r="EY53" s="1752">
        <f>+EY44/EY49</f>
        <v>5.022667016130547E-2</v>
      </c>
      <c r="EZ53" s="217"/>
      <c r="FA53" s="217">
        <f>+FA44/FA49</f>
        <v>4.9249598146555516E-2</v>
      </c>
      <c r="FB53" s="217">
        <f>+FB44/FB49</f>
        <v>4.8285395654458614E-2</v>
      </c>
      <c r="FC53" s="1752">
        <f>+FC44/FC49</f>
        <v>4.8285395654458614E-2</v>
      </c>
      <c r="FD53" s="144"/>
      <c r="FE53" s="116"/>
      <c r="FF53" s="2192"/>
      <c r="FG53" s="116"/>
      <c r="FH53" s="213"/>
      <c r="FI53" s="213"/>
      <c r="FJ53" s="213"/>
      <c r="FK53" s="213"/>
      <c r="FL53" s="213"/>
      <c r="FM53" s="213"/>
      <c r="GB53" s="213"/>
      <c r="GC53" s="213"/>
      <c r="GD53" s="213"/>
      <c r="GE53" s="213"/>
      <c r="GF53" s="213"/>
      <c r="GG53" s="213"/>
      <c r="GH53" s="213"/>
      <c r="GI53" s="213"/>
      <c r="GJ53" s="213"/>
      <c r="GK53" s="213"/>
      <c r="GL53" s="213"/>
      <c r="GM53" s="213"/>
      <c r="GN53" s="246"/>
      <c r="GO53" s="168"/>
      <c r="GP53" s="168"/>
      <c r="GQ53" s="168"/>
      <c r="GR53" s="246"/>
      <c r="GS53" s="160"/>
      <c r="GT53" s="168"/>
      <c r="GU53" s="168"/>
      <c r="GV53" s="246"/>
      <c r="GW53" s="160"/>
      <c r="GX53" s="168"/>
      <c r="GY53" s="168"/>
      <c r="GZ53" s="246"/>
    </row>
    <row r="54" spans="1:208" s="119" customFormat="1" ht="16.649999999999999" customHeight="1">
      <c r="A54" s="116"/>
      <c r="B54" s="116"/>
      <c r="C54" s="119" t="str">
        <f>C34</f>
        <v>Brokerage and Commissions</v>
      </c>
      <c r="D54" s="241"/>
      <c r="E54" s="241"/>
      <c r="F54" s="242" t="e">
        <f>+F34/#REF!-1</f>
        <v>#REF!</v>
      </c>
      <c r="G54" s="242" t="e">
        <f>+G34/#REF!-1</f>
        <v>#REF!</v>
      </c>
      <c r="H54" s="242" t="e">
        <f>+H34/#REF!-1</f>
        <v>#REF!</v>
      </c>
      <c r="I54" s="184"/>
      <c r="J54" s="242">
        <f t="shared" si="32"/>
        <v>-0.16408934707903777</v>
      </c>
      <c r="K54" s="242">
        <f t="shared" si="32"/>
        <v>-0.2432432432432432</v>
      </c>
      <c r="L54" s="242">
        <f t="shared" si="32"/>
        <v>-0.20272647317502202</v>
      </c>
      <c r="M54" s="183"/>
      <c r="N54" s="244">
        <f t="shared" si="33"/>
        <v>-19.013360739979447</v>
      </c>
      <c r="O54" s="244">
        <f t="shared" si="33"/>
        <v>-0.71428571428571175</v>
      </c>
      <c r="P54" s="244">
        <f t="shared" si="33"/>
        <v>-10.535024820739103</v>
      </c>
      <c r="Q54" s="184"/>
      <c r="R54" s="244">
        <f t="shared" si="34"/>
        <v>19.035532994923866</v>
      </c>
      <c r="S54" s="244">
        <f t="shared" si="34"/>
        <v>5.0359712230215736</v>
      </c>
      <c r="T54" s="245">
        <f t="shared" si="34"/>
        <v>11.837237977805181</v>
      </c>
      <c r="U54" s="184"/>
      <c r="V54" s="244">
        <f t="shared" si="35"/>
        <v>-15.565031982942434</v>
      </c>
      <c r="W54" s="244">
        <f t="shared" si="35"/>
        <v>0.45662100456620447</v>
      </c>
      <c r="X54" s="245">
        <f t="shared" si="35"/>
        <v>-7.8280044101433299</v>
      </c>
      <c r="Y54" s="184"/>
      <c r="Z54" s="244">
        <f t="shared" si="36"/>
        <v>16.414141414141415</v>
      </c>
      <c r="AA54" s="244">
        <f t="shared" si="36"/>
        <v>-2.9545454545454541</v>
      </c>
      <c r="AB54" s="245">
        <f t="shared" si="36"/>
        <v>6.2200956937799035</v>
      </c>
      <c r="AC54" s="244"/>
      <c r="AD54" s="244">
        <f t="shared" si="37"/>
        <v>-9.1106290672451244</v>
      </c>
      <c r="AE54" s="244">
        <f t="shared" si="37"/>
        <v>-7.7283372365339549</v>
      </c>
      <c r="AF54" s="245">
        <f t="shared" si="37"/>
        <v>-8.4459459459459438</v>
      </c>
      <c r="AG54" s="244"/>
      <c r="AH54" s="244">
        <f t="shared" si="38"/>
        <v>-7.8758949880668228</v>
      </c>
      <c r="AI54" s="244">
        <f t="shared" si="38"/>
        <v>-1.5228426395939132</v>
      </c>
      <c r="AJ54" s="245">
        <f t="shared" si="38"/>
        <v>-4.7970479704797064</v>
      </c>
      <c r="AK54" s="244"/>
      <c r="AL54" s="244">
        <f t="shared" si="39"/>
        <v>22.538860103626934</v>
      </c>
      <c r="AM54" s="244">
        <f t="shared" si="39"/>
        <v>18.298969072164951</v>
      </c>
      <c r="AN54" s="245">
        <f t="shared" si="39"/>
        <v>20.413436692506458</v>
      </c>
      <c r="AO54" s="244"/>
      <c r="AP54" s="244">
        <f t="shared" si="40"/>
        <v>-12.896405919661735</v>
      </c>
      <c r="AQ54" s="244">
        <f t="shared" si="40"/>
        <v>-0.21786492374727962</v>
      </c>
      <c r="AR54" s="245">
        <f t="shared" si="40"/>
        <v>-6.65236051502146</v>
      </c>
      <c r="AS54" s="244"/>
      <c r="AT54" s="244">
        <f t="shared" si="41"/>
        <v>-2.669902912621358</v>
      </c>
      <c r="AU54" s="244">
        <f t="shared" si="41"/>
        <v>-9.3886462882096122</v>
      </c>
      <c r="AV54" s="245">
        <f t="shared" si="41"/>
        <v>-6.2068965517241388</v>
      </c>
      <c r="AW54" s="244"/>
      <c r="AX54" s="244">
        <f t="shared" si="42"/>
        <v>-4.9875311720698257</v>
      </c>
      <c r="AY54" s="244">
        <f t="shared" si="42"/>
        <v>1.2048192771084265</v>
      </c>
      <c r="AZ54" s="245">
        <f t="shared" si="42"/>
        <v>-1.8382352941176516</v>
      </c>
      <c r="BA54" s="244"/>
      <c r="BB54" s="244">
        <f t="shared" si="43"/>
        <v>-6.0367454068241511</v>
      </c>
      <c r="BC54" s="244">
        <f t="shared" si="43"/>
        <v>-15.000000000000002</v>
      </c>
      <c r="BD54" s="245">
        <f t="shared" si="43"/>
        <v>-10.736579275905122</v>
      </c>
      <c r="BE54" s="244"/>
      <c r="BF54" s="244">
        <f t="shared" si="44"/>
        <v>5.307262569832405</v>
      </c>
      <c r="BG54" s="244">
        <f t="shared" si="44"/>
        <v>15.96638655462186</v>
      </c>
      <c r="BH54" s="245">
        <f t="shared" si="44"/>
        <v>10.629370629370637</v>
      </c>
      <c r="BI54" s="244"/>
      <c r="BJ54" s="244">
        <f t="shared" si="45"/>
        <v>13.793103448275868</v>
      </c>
      <c r="BK54" s="244">
        <f t="shared" ca="1" si="45"/>
        <v>4.8309178743961345</v>
      </c>
      <c r="BL54" s="245">
        <f t="shared" ca="1" si="45"/>
        <v>9.1024020227560065</v>
      </c>
      <c r="BM54" s="244"/>
      <c r="BN54" s="244">
        <f t="shared" si="46"/>
        <v>12.820512820512819</v>
      </c>
      <c r="BO54" s="244">
        <f t="shared" ca="1" si="47"/>
        <v>-1.6923950115858233</v>
      </c>
      <c r="BP54" s="244">
        <f t="shared" ca="1" si="48"/>
        <v>5.5220168771399125</v>
      </c>
      <c r="BQ54" s="244"/>
      <c r="BR54" s="244">
        <f t="shared" si="49"/>
        <v>-5.7099349582107717</v>
      </c>
      <c r="BS54" s="244">
        <f t="shared" si="50"/>
        <v>2.870127799573341</v>
      </c>
      <c r="BT54" s="1479">
        <f t="shared" si="51"/>
        <v>-1.690051795337788</v>
      </c>
      <c r="BU54" s="244"/>
      <c r="BV54" s="244">
        <f t="shared" si="52"/>
        <v>2.7458180016097788</v>
      </c>
      <c r="BW54" s="244">
        <f t="shared" si="53"/>
        <v>3.0087451801581899</v>
      </c>
      <c r="BX54" s="1479">
        <f t="shared" si="54"/>
        <v>2.8747172126863507</v>
      </c>
      <c r="BY54" s="244"/>
      <c r="BZ54" s="244"/>
      <c r="CA54" s="238"/>
      <c r="CB54" s="212" t="s">
        <v>15</v>
      </c>
      <c r="CC54" s="158"/>
      <c r="CD54" s="158"/>
      <c r="CE54" s="175"/>
      <c r="CF54" s="138"/>
      <c r="CG54" s="158"/>
      <c r="CH54" s="158"/>
      <c r="CI54" s="217"/>
      <c r="CJ54" s="138"/>
      <c r="CK54" s="158"/>
      <c r="CL54" s="158"/>
      <c r="CM54" s="217"/>
      <c r="CN54" s="138"/>
      <c r="CO54" s="158"/>
      <c r="CP54" s="158"/>
      <c r="CQ54" s="217"/>
      <c r="CR54" s="138"/>
      <c r="CS54" s="158"/>
      <c r="CT54" s="158"/>
      <c r="CU54" s="217">
        <f>+CU48/CU51</f>
        <v>0.40375339822853634</v>
      </c>
      <c r="CV54" s="176"/>
      <c r="CW54" s="210"/>
      <c r="CX54" s="210"/>
      <c r="CY54" s="217">
        <f>+CY48/CY51</f>
        <v>0.33201961814678577</v>
      </c>
      <c r="CZ54" s="176"/>
      <c r="DA54" s="210"/>
      <c r="DB54" s="210"/>
      <c r="DC54" s="217">
        <f>+DC48/DC51</f>
        <v>0.29347904234668198</v>
      </c>
      <c r="DD54" s="176"/>
      <c r="DE54" s="210"/>
      <c r="DF54" s="210"/>
      <c r="DG54" s="217">
        <f>+DG48/DG51</f>
        <v>0.32415983064302728</v>
      </c>
      <c r="DH54" s="176"/>
      <c r="DI54" s="210"/>
      <c r="DJ54" s="210"/>
      <c r="DK54" s="217">
        <f>+DK48/DK51</f>
        <v>0.314849322110133</v>
      </c>
      <c r="DL54" s="176"/>
      <c r="DM54" s="210"/>
      <c r="DN54" s="210"/>
      <c r="DO54" s="217">
        <f>+DO48/DO51</f>
        <v>0.39738338326098921</v>
      </c>
      <c r="DP54" s="217"/>
      <c r="DQ54" s="210"/>
      <c r="DR54" s="210"/>
      <c r="DS54" s="217">
        <f>+DS48/DS51</f>
        <v>0.29277630764033558</v>
      </c>
      <c r="DT54" s="217"/>
      <c r="DU54" s="217">
        <f>+DU48/DU51</f>
        <v>0.38232145588010397</v>
      </c>
      <c r="DV54" s="217">
        <f>+DV48/DV51</f>
        <v>0.30859801547737742</v>
      </c>
      <c r="DW54" s="217">
        <f>+DW48/DW51</f>
        <v>0.30859801547737742</v>
      </c>
      <c r="DX54" s="217"/>
      <c r="DY54" s="217">
        <f>+DY48/DY51</f>
        <v>0.28281646186853909</v>
      </c>
      <c r="DZ54" s="217">
        <f>+DZ48/DZ51</f>
        <v>0.34923802612481863</v>
      </c>
      <c r="EA54" s="217">
        <f>+EA48/EA51</f>
        <v>0.34923802612481863</v>
      </c>
      <c r="EB54" s="217"/>
      <c r="EC54" s="1752">
        <f>+EC48/EC51</f>
        <v>0.36569148936170215</v>
      </c>
      <c r="ED54" s="217">
        <f>+ED48/ED51</f>
        <v>0.29060607121599386</v>
      </c>
      <c r="EE54" s="1516">
        <f>+EE48/EE51</f>
        <v>0.29060607121599386</v>
      </c>
      <c r="EF54" s="217"/>
      <c r="EG54" s="1752">
        <f>+EG48/EG51</f>
        <v>0.2967737817914925</v>
      </c>
      <c r="EH54" s="217">
        <f>+EH48/EH51</f>
        <v>0.28954908761876036</v>
      </c>
      <c r="EI54" s="1931">
        <f>+EI48/EI51</f>
        <v>0.28954908761876036</v>
      </c>
      <c r="EJ54" s="217"/>
      <c r="EK54" s="1752">
        <f>+EK48/EK51</f>
        <v>0.34914703990689411</v>
      </c>
      <c r="EL54" s="217">
        <f>+EL48/EL51</f>
        <v>0.39425345718467186</v>
      </c>
      <c r="EM54" s="2069">
        <f>+EM48/EM51</f>
        <v>0.39425345718467186</v>
      </c>
      <c r="EN54" s="217"/>
      <c r="EO54" s="217">
        <f>+EO48/EO51</f>
        <v>0.380816743552432</v>
      </c>
      <c r="EP54" s="217">
        <f>+EP48/EP51</f>
        <v>0.37900214956443035</v>
      </c>
      <c r="EQ54" s="2069">
        <f>+EQ48/EQ51</f>
        <v>0.37900214956443035</v>
      </c>
      <c r="ER54" s="217"/>
      <c r="ES54" s="217">
        <f>+ES48/ES51</f>
        <v>0.37903995833453891</v>
      </c>
      <c r="ET54" s="217">
        <f ca="1">+ET48/ET51</f>
        <v>0.37565017560081332</v>
      </c>
      <c r="EU54" s="217">
        <f ca="1">+EU48/EU51</f>
        <v>0.37565017560081332</v>
      </c>
      <c r="EV54" s="217"/>
      <c r="EW54" s="217">
        <f ca="1">+EW48/EW51</f>
        <v>0.38413219141182825</v>
      </c>
      <c r="EX54" s="217">
        <f ca="1">+EX48/EX51</f>
        <v>0.36910238211339175</v>
      </c>
      <c r="EY54" s="1752">
        <f ca="1">+EY48/EY51</f>
        <v>0.36910238211339175</v>
      </c>
      <c r="EZ54" s="217"/>
      <c r="FA54" s="217">
        <f ca="1">+FA48/FA51</f>
        <v>0.37726462809984723</v>
      </c>
      <c r="FB54" s="217">
        <f ca="1">+FB48/FB51</f>
        <v>0.36340789625041819</v>
      </c>
      <c r="FC54" s="1752">
        <f ca="1">+FC48/FC51</f>
        <v>0.36340789625041819</v>
      </c>
      <c r="FD54" s="144"/>
      <c r="FE54" s="116"/>
      <c r="FF54" s="2192"/>
      <c r="FG54" s="116"/>
      <c r="FH54" s="116"/>
      <c r="FI54" s="116"/>
      <c r="FJ54" s="116"/>
      <c r="FK54" s="116"/>
      <c r="FL54" s="116"/>
      <c r="GN54" s="137"/>
      <c r="GO54" s="157"/>
      <c r="GP54" s="157"/>
      <c r="GQ54" s="157"/>
      <c r="GR54" s="137"/>
      <c r="GS54" s="137"/>
      <c r="GT54" s="157"/>
      <c r="GU54" s="157"/>
      <c r="GV54" s="137"/>
      <c r="GW54" s="137"/>
      <c r="GX54" s="157"/>
      <c r="GY54" s="157"/>
      <c r="GZ54" s="137"/>
    </row>
    <row r="55" spans="1:208" s="119" customFormat="1" ht="16.649999999999999" customHeight="1">
      <c r="A55" s="116"/>
      <c r="B55" s="116"/>
      <c r="C55" s="119" t="s">
        <v>57</v>
      </c>
      <c r="D55" s="241"/>
      <c r="E55" s="241"/>
      <c r="F55" s="242" t="e">
        <f>+F35/#REF!-1</f>
        <v>#REF!</v>
      </c>
      <c r="G55" s="242" t="e">
        <f>+G35/#REF!-1</f>
        <v>#REF!</v>
      </c>
      <c r="H55" s="242" t="e">
        <f>+H35/#REF!-1</f>
        <v>#REF!</v>
      </c>
      <c r="I55" s="184"/>
      <c r="J55" s="242">
        <f t="shared" si="32"/>
        <v>-0.22299999999999998</v>
      </c>
      <c r="K55" s="242">
        <f t="shared" si="32"/>
        <v>-5.6379821958456922E-2</v>
      </c>
      <c r="L55" s="242">
        <f t="shared" si="32"/>
        <v>-0.15591397849462363</v>
      </c>
      <c r="M55" s="183"/>
      <c r="N55" s="244">
        <f t="shared" si="33"/>
        <v>-12.483912483912485</v>
      </c>
      <c r="O55" s="244">
        <f t="shared" si="33"/>
        <v>23.584905660377366</v>
      </c>
      <c r="P55" s="244">
        <f t="shared" si="33"/>
        <v>3.7508846426043796</v>
      </c>
      <c r="Q55" s="184"/>
      <c r="R55" s="244">
        <f t="shared" si="34"/>
        <v>-9.4117647058823533</v>
      </c>
      <c r="S55" s="244">
        <f t="shared" si="34"/>
        <v>-17.302798982188293</v>
      </c>
      <c r="T55" s="245">
        <f t="shared" si="34"/>
        <v>-13.642564802182811</v>
      </c>
      <c r="U55" s="184"/>
      <c r="V55" s="244">
        <f t="shared" si="35"/>
        <v>3.5714285714285809</v>
      </c>
      <c r="W55" s="244">
        <f t="shared" si="35"/>
        <v>71.07692307692308</v>
      </c>
      <c r="X55" s="245">
        <f t="shared" si="35"/>
        <v>38.230647709320699</v>
      </c>
      <c r="Y55" s="184"/>
      <c r="Z55" s="244">
        <f t="shared" si="36"/>
        <v>17.868338557993724</v>
      </c>
      <c r="AA55" s="244">
        <f t="shared" si="36"/>
        <v>-38.848920863309353</v>
      </c>
      <c r="AB55" s="245">
        <f t="shared" si="36"/>
        <v>-18.171428571428571</v>
      </c>
      <c r="AC55" s="244"/>
      <c r="AD55" s="244">
        <f t="shared" si="37"/>
        <v>-7.1808510638297847</v>
      </c>
      <c r="AE55" s="244">
        <f t="shared" si="37"/>
        <v>6.4705882352941169</v>
      </c>
      <c r="AF55" s="245">
        <f t="shared" si="37"/>
        <v>-0.69832402234636382</v>
      </c>
      <c r="AG55" s="244"/>
      <c r="AH55" s="244">
        <f t="shared" si="38"/>
        <v>9.7421203438395452</v>
      </c>
      <c r="AI55" s="244">
        <f t="shared" si="38"/>
        <v>12.707182320441991</v>
      </c>
      <c r="AJ55" s="245">
        <f t="shared" si="38"/>
        <v>11.251758087201136</v>
      </c>
      <c r="AK55" s="244"/>
      <c r="AL55" s="244">
        <f t="shared" si="39"/>
        <v>13.315926892950403</v>
      </c>
      <c r="AM55" s="244">
        <f t="shared" si="39"/>
        <v>17.647058823529417</v>
      </c>
      <c r="AN55" s="245">
        <f t="shared" si="39"/>
        <v>15.549936788874842</v>
      </c>
      <c r="AO55" s="244"/>
      <c r="AP55" s="244">
        <f t="shared" si="40"/>
        <v>7.6036866359447064</v>
      </c>
      <c r="AQ55" s="244">
        <f t="shared" si="40"/>
        <v>17.916666666666671</v>
      </c>
      <c r="AR55" s="245">
        <f t="shared" si="40"/>
        <v>13.019693654266963</v>
      </c>
      <c r="AS55" s="244"/>
      <c r="AT55" s="244">
        <f t="shared" si="41"/>
        <v>-14.13276231263383</v>
      </c>
      <c r="AU55" s="244">
        <f t="shared" si="41"/>
        <v>-24.028268551236753</v>
      </c>
      <c r="AV55" s="245">
        <f t="shared" si="41"/>
        <v>-19.554695062923521</v>
      </c>
      <c r="AW55" s="244"/>
      <c r="AX55" s="244">
        <f t="shared" si="42"/>
        <v>124.93765586034912</v>
      </c>
      <c r="AY55" s="244">
        <f t="shared" si="42"/>
        <v>44.186046511627893</v>
      </c>
      <c r="AZ55" s="245">
        <f t="shared" si="42"/>
        <v>83.152827918170871</v>
      </c>
      <c r="BA55" s="244"/>
      <c r="BB55" s="244">
        <f t="shared" si="43"/>
        <v>-29.82261640798226</v>
      </c>
      <c r="BC55" s="244">
        <f t="shared" si="43"/>
        <v>-8.8709677419354875</v>
      </c>
      <c r="BD55" s="245">
        <f t="shared" si="43"/>
        <v>-21.287779237844941</v>
      </c>
      <c r="BE55" s="244"/>
      <c r="BF55" s="244">
        <f t="shared" si="44"/>
        <v>-7.5829383886255926</v>
      </c>
      <c r="BG55" s="244">
        <f t="shared" si="44"/>
        <v>6.7256637168141564</v>
      </c>
      <c r="BH55" s="245">
        <f t="shared" si="44"/>
        <v>-0.83472454090149917</v>
      </c>
      <c r="BI55" s="244"/>
      <c r="BJ55" s="244">
        <f t="shared" si="45"/>
        <v>3.7606837606837695</v>
      </c>
      <c r="BK55" s="244">
        <f t="shared" ca="1" si="45"/>
        <v>2.6533996683250516</v>
      </c>
      <c r="BL55" s="245">
        <f t="shared" ca="1" si="45"/>
        <v>3.1986531986532007</v>
      </c>
      <c r="BM55" s="244"/>
      <c r="BN55" s="244">
        <f t="shared" si="46"/>
        <v>3.13014827018121</v>
      </c>
      <c r="BO55" s="244">
        <f t="shared" ca="1" si="47"/>
        <v>5.6583189580424076</v>
      </c>
      <c r="BP55" s="244">
        <f t="shared" ca="1" si="48"/>
        <v>4.406606390724499</v>
      </c>
      <c r="BQ55" s="244"/>
      <c r="BR55" s="244">
        <f t="shared" si="49"/>
        <v>9.2293107344632919</v>
      </c>
      <c r="BS55" s="244">
        <f t="shared" si="50"/>
        <v>5.6788719690251233</v>
      </c>
      <c r="BT55" s="1479">
        <f t="shared" si="51"/>
        <v>7.4152245222753876</v>
      </c>
      <c r="BU55" s="244"/>
      <c r="BV55" s="244">
        <f t="shared" si="52"/>
        <v>5.6556737776764399</v>
      </c>
      <c r="BW55" s="244">
        <f t="shared" si="53"/>
        <v>5.6875351879032143</v>
      </c>
      <c r="BX55" s="1479">
        <f t="shared" si="54"/>
        <v>5.671690115421768</v>
      </c>
      <c r="BY55" s="244"/>
      <c r="BZ55" s="244"/>
      <c r="CA55" s="238"/>
      <c r="CB55" s="212" t="s">
        <v>296</v>
      </c>
      <c r="CC55" s="158"/>
      <c r="CD55" s="158"/>
      <c r="CE55" s="2084"/>
      <c r="CF55" s="138"/>
      <c r="CG55" s="158"/>
      <c r="CH55" s="158"/>
      <c r="CI55" s="2085">
        <f>CI49/CI51</f>
        <v>12.993233618233619</v>
      </c>
      <c r="CJ55" s="138"/>
      <c r="CK55" s="158"/>
      <c r="CL55" s="158"/>
      <c r="CM55" s="2085">
        <f>CM49/CM51</f>
        <v>13.816906348649598</v>
      </c>
      <c r="CN55" s="2084"/>
      <c r="CO55" s="158"/>
      <c r="CP55" s="158"/>
      <c r="CQ55" s="2085">
        <f>CQ49/CQ51</f>
        <v>13.712934035526199</v>
      </c>
      <c r="CR55" s="2084"/>
      <c r="CS55" s="158"/>
      <c r="CT55" s="158"/>
      <c r="CU55" s="2085">
        <f>CU49/CU51</f>
        <v>12.693852494957467</v>
      </c>
      <c r="CV55" s="2086"/>
      <c r="CW55" s="210"/>
      <c r="CX55" s="210"/>
      <c r="CY55" s="2085">
        <f>CY49/CY51</f>
        <v>13.479068138027676</v>
      </c>
      <c r="CZ55" s="2086"/>
      <c r="DA55" s="210"/>
      <c r="DB55" s="210"/>
      <c r="DC55" s="2085">
        <f>DC49/DC51</f>
        <v>13.51470271047523</v>
      </c>
      <c r="DD55" s="2086"/>
      <c r="DE55" s="210"/>
      <c r="DF55" s="210"/>
      <c r="DG55" s="2085">
        <f>DG49/DG51</f>
        <v>13.016340301667107</v>
      </c>
      <c r="DH55" s="2086"/>
      <c r="DI55" s="210"/>
      <c r="DJ55" s="210"/>
      <c r="DK55" s="2085">
        <f>DK49/DK51</f>
        <v>11.750754995823428</v>
      </c>
      <c r="DL55" s="2086"/>
      <c r="DM55" s="210"/>
      <c r="DN55" s="210"/>
      <c r="DO55" s="2085">
        <f>DO49/DO51</f>
        <v>11.696827046524424</v>
      </c>
      <c r="DP55" s="2085"/>
      <c r="DQ55" s="210"/>
      <c r="DR55" s="210"/>
      <c r="DS55" s="2085">
        <f>DS49/DS51</f>
        <v>11.439783795957435</v>
      </c>
      <c r="DT55" s="2085"/>
      <c r="DU55" s="2085">
        <f>DU49/DU51</f>
        <v>11.189019727787123</v>
      </c>
      <c r="DV55" s="2085">
        <f>DV49/DV51</f>
        <v>12.144613777714476</v>
      </c>
      <c r="DW55" s="2085">
        <f>DW49/DW51</f>
        <v>12.144613777714476</v>
      </c>
      <c r="DX55" s="2085"/>
      <c r="DY55" s="2085">
        <f>DY49/DY51</f>
        <v>11.250975229178858</v>
      </c>
      <c r="DZ55" s="2085">
        <f>DZ49/DZ51</f>
        <v>11.141736211901307</v>
      </c>
      <c r="EA55" s="2085">
        <f>EA49/EA51</f>
        <v>11.141736211901307</v>
      </c>
      <c r="EB55" s="2085"/>
      <c r="EC55" s="2087">
        <f>EC49/EC51</f>
        <v>14.484998337765958</v>
      </c>
      <c r="ED55" s="2085">
        <f>ED49/ED51</f>
        <v>13.976261335387417</v>
      </c>
      <c r="EE55" s="2085">
        <f>EE49/EE51</f>
        <v>13.976261335387417</v>
      </c>
      <c r="EF55" s="2085"/>
      <c r="EG55" s="2087">
        <f>EG49/EG51</f>
        <v>15.527140441012223</v>
      </c>
      <c r="EH55" s="2085">
        <f>EH49/EH51</f>
        <v>11.698748303423315</v>
      </c>
      <c r="EI55" s="2088">
        <f>EI49/EI51</f>
        <v>11.698748303423315</v>
      </c>
      <c r="EJ55" s="2085"/>
      <c r="EK55" s="2087">
        <f>EK49/EK51</f>
        <v>12.085204128510611</v>
      </c>
      <c r="EL55" s="2085">
        <f>EL49/EL51</f>
        <v>12.048744063797377</v>
      </c>
      <c r="EM55" s="2089">
        <f>EM49/EM51</f>
        <v>12.048744063797377</v>
      </c>
      <c r="EN55" s="2085"/>
      <c r="EO55" s="2085">
        <f>EO49/EO51</f>
        <v>12.827486919099663</v>
      </c>
      <c r="EP55" s="2085">
        <f>EP49/EP51</f>
        <v>12.592516121733228</v>
      </c>
      <c r="EQ55" s="2089">
        <f>EQ49/EQ51</f>
        <v>12.592516121733228</v>
      </c>
      <c r="ER55" s="2085"/>
      <c r="ES55" s="2085">
        <f>ES49/ES51</f>
        <v>14.010474233963137</v>
      </c>
      <c r="ET55" s="2085">
        <f ca="1">ET49/ET51</f>
        <v>14.41381810156288</v>
      </c>
      <c r="EU55" s="2085">
        <f ca="1">EU49/EU51</f>
        <v>14.41381810156288</v>
      </c>
      <c r="EV55" s="2085"/>
      <c r="EW55" s="2085">
        <f ca="1">EW49/EW51</f>
        <v>14.997422044199071</v>
      </c>
      <c r="EX55" s="2085">
        <f ca="1">EX49/EX51</f>
        <v>14.511548753494958</v>
      </c>
      <c r="EY55" s="2087">
        <f ca="1">EY49/EY51</f>
        <v>14.511548753494958</v>
      </c>
      <c r="EZ55" s="2085"/>
      <c r="FA55" s="2085">
        <f ca="1">FA49/FA51</f>
        <v>14.930222291172942</v>
      </c>
      <c r="FB55" s="2085">
        <f ca="1">FB49/FB51</f>
        <v>14.470391093156483</v>
      </c>
      <c r="FC55" s="2087">
        <f ca="1">FC49/FC51</f>
        <v>14.470391093156483</v>
      </c>
      <c r="FD55" s="144"/>
      <c r="FE55" s="116"/>
      <c r="FF55" s="2192"/>
      <c r="FG55" s="116"/>
      <c r="FH55" s="116"/>
      <c r="FI55" s="116"/>
      <c r="FJ55" s="116"/>
      <c r="FK55" s="116"/>
      <c r="FL55" s="116"/>
      <c r="GN55" s="137"/>
      <c r="GO55" s="157"/>
      <c r="GP55" s="157"/>
      <c r="GQ55" s="157"/>
      <c r="GR55" s="137"/>
      <c r="GS55" s="137"/>
      <c r="GT55" s="157"/>
      <c r="GU55" s="157"/>
      <c r="GV55" s="137"/>
      <c r="GW55" s="137"/>
      <c r="GX55" s="157"/>
      <c r="GY55" s="157"/>
      <c r="GZ55" s="137"/>
    </row>
    <row r="56" spans="1:208" s="119" customFormat="1" ht="16.649999999999999" customHeight="1">
      <c r="A56" s="116"/>
      <c r="B56" s="116"/>
      <c r="C56" s="239" t="str">
        <f>+C7</f>
        <v>Fee and Commission Income</v>
      </c>
      <c r="D56" s="241"/>
      <c r="E56" s="241"/>
      <c r="F56" s="242" t="e">
        <f>F7/#REF!-1</f>
        <v>#REF!</v>
      </c>
      <c r="G56" s="242" t="e">
        <f>G7/#REF!-1</f>
        <v>#REF!</v>
      </c>
      <c r="H56" s="242" t="e">
        <f>H7/#REF!-1</f>
        <v>#REF!</v>
      </c>
      <c r="I56" s="243"/>
      <c r="J56" s="242">
        <f t="shared" ref="J56:L57" si="55">J7/F7-1</f>
        <v>-0.11495588972431081</v>
      </c>
      <c r="K56" s="242">
        <f t="shared" si="55"/>
        <v>-0.15717299578059074</v>
      </c>
      <c r="L56" s="242">
        <f t="shared" si="55"/>
        <v>-0.13552737085582112</v>
      </c>
      <c r="M56" s="240"/>
      <c r="N56" s="244">
        <f t="shared" ref="N56:P57" si="56">(N7/J7-1)*100</f>
        <v>-7.343587083152336</v>
      </c>
      <c r="O56" s="244">
        <f t="shared" si="56"/>
        <v>9.0738423028785995</v>
      </c>
      <c r="P56" s="244">
        <f t="shared" si="56"/>
        <v>0.4559612541446656</v>
      </c>
      <c r="Q56" s="243"/>
      <c r="R56" s="244">
        <f t="shared" ref="R56:T57" si="57">(R7/N7-1)*100</f>
        <v>12.347188264058673</v>
      </c>
      <c r="S56" s="244">
        <f t="shared" si="57"/>
        <v>15.720022948938617</v>
      </c>
      <c r="T56" s="245">
        <f t="shared" si="57"/>
        <v>14.087007990529731</v>
      </c>
      <c r="U56" s="243"/>
      <c r="V56" s="244">
        <f t="shared" ref="V56:X57" si="58">(V7/R7-1)*100</f>
        <v>17.899891186071827</v>
      </c>
      <c r="W56" s="244">
        <f t="shared" si="58"/>
        <v>27.516113039167077</v>
      </c>
      <c r="X56" s="245">
        <f t="shared" si="58"/>
        <v>22.93125810635539</v>
      </c>
      <c r="Y56" s="243"/>
      <c r="Z56" s="244">
        <f t="shared" ref="Z56:AB57" si="59">(Z7/V7-1)*100</f>
        <v>28.934010152284273</v>
      </c>
      <c r="AA56" s="244">
        <f t="shared" si="59"/>
        <v>-19.595645412130636</v>
      </c>
      <c r="AB56" s="245">
        <f t="shared" si="59"/>
        <v>2.5954842793838306</v>
      </c>
      <c r="AC56" s="244"/>
      <c r="AD56" s="244">
        <f t="shared" ref="AD56:AF57" si="60">(AD7/Z7-1)*100</f>
        <v>-21.152469577666434</v>
      </c>
      <c r="AE56" s="244">
        <f t="shared" si="60"/>
        <v>2.9013539651837617</v>
      </c>
      <c r="AF56" s="245">
        <f t="shared" si="60"/>
        <v>-10.921431509666801</v>
      </c>
      <c r="AG56" s="244"/>
      <c r="AH56" s="244">
        <f t="shared" ref="AH56:AJ57" si="61">(AH7/AD7-1)*100</f>
        <v>16.568315932818891</v>
      </c>
      <c r="AI56" s="244">
        <f t="shared" si="61"/>
        <v>-1.2218045112781906</v>
      </c>
      <c r="AJ56" s="245">
        <f t="shared" si="61"/>
        <v>7.8272916185638364</v>
      </c>
      <c r="AK56" s="244"/>
      <c r="AL56" s="244">
        <f t="shared" ref="AL56:AN57" si="62">(AL7/AH7-1)*100</f>
        <v>3.6214953271028083</v>
      </c>
      <c r="AM56" s="244">
        <f t="shared" si="62"/>
        <v>36.298763082778308</v>
      </c>
      <c r="AN56" s="245">
        <f t="shared" si="62"/>
        <v>18.329764453961459</v>
      </c>
      <c r="AO56" s="244"/>
      <c r="AP56" s="244">
        <f t="shared" ref="AP56:AR57" si="63">(AP7/AL7-1)*100</f>
        <v>8.0045095828635837</v>
      </c>
      <c r="AQ56" s="244">
        <f t="shared" si="63"/>
        <v>3.4205933682373457</v>
      </c>
      <c r="AR56" s="245">
        <f t="shared" si="63"/>
        <v>5.6279406442272917</v>
      </c>
      <c r="AS56" s="244"/>
      <c r="AT56" s="244">
        <f t="shared" ref="AT56:AV57" si="64">(AT7/AP7-1)*100</f>
        <v>-9.0814196242171246</v>
      </c>
      <c r="AU56" s="244">
        <f t="shared" si="64"/>
        <v>-13.499831252109351</v>
      </c>
      <c r="AV56" s="245">
        <f t="shared" si="64"/>
        <v>-11.324310433441841</v>
      </c>
      <c r="AW56" s="244"/>
      <c r="AX56" s="244">
        <f t="shared" ref="AX56:AZ57" si="65">(AX7/AT7-1)*100</f>
        <v>32.108687332567932</v>
      </c>
      <c r="AY56" s="244">
        <f t="shared" si="65"/>
        <v>34.022629730784224</v>
      </c>
      <c r="AZ56" s="245">
        <f t="shared" si="65"/>
        <v>33.056414219474497</v>
      </c>
      <c r="BA56" s="244"/>
      <c r="BB56" s="244">
        <f t="shared" ref="BB56:BD57" si="66">(BB7/AX7-1)*100</f>
        <v>-11.500579374275777</v>
      </c>
      <c r="BC56" s="244">
        <f t="shared" si="66"/>
        <v>-2.6200873362445365</v>
      </c>
      <c r="BD56" s="245">
        <f t="shared" si="66"/>
        <v>-7.0712937418324406</v>
      </c>
      <c r="BE56" s="244"/>
      <c r="BF56" s="244">
        <f t="shared" ref="BF56:BH57" si="67">(BF7/BB7-1)*100</f>
        <v>-1.0474631751227537</v>
      </c>
      <c r="BG56" s="244">
        <f t="shared" si="67"/>
        <v>-3.5575485799701045</v>
      </c>
      <c r="BH56" s="245">
        <f t="shared" si="67"/>
        <v>-2.3593749999999969</v>
      </c>
      <c r="BI56" s="244"/>
      <c r="BJ56" s="244">
        <f t="shared" ref="BJ56:BL57" si="68">(BJ7/BF7-1)*100</f>
        <v>9.1630830301025377</v>
      </c>
      <c r="BK56" s="244">
        <f t="shared" ca="1" si="68"/>
        <v>8.1835089894606305</v>
      </c>
      <c r="BL56" s="245">
        <f t="shared" ca="1" si="68"/>
        <v>8.6573851816290635</v>
      </c>
      <c r="BM56" s="244"/>
      <c r="BN56" s="244">
        <f t="shared" ref="BN56:BN57" si="69">(BN7/BJ7-1)*100</f>
        <v>18.212121212121211</v>
      </c>
      <c r="BO56" s="244">
        <f t="shared" ref="BO56:BO57" ca="1" si="70">(BO7/BK7-1)*100</f>
        <v>3.5838128073767406</v>
      </c>
      <c r="BP56" s="244">
        <f t="shared" ref="BP56:BP57" ca="1" si="71">(BP7/BL7-1)*100</f>
        <v>10.693299955485248</v>
      </c>
      <c r="BQ56" s="244"/>
      <c r="BR56" s="244">
        <f t="shared" ref="BR56:BR57" si="72">(BR7/BN7-1)*100</f>
        <v>-10.627083340325861</v>
      </c>
      <c r="BS56" s="244">
        <f t="shared" ref="BS56:BS57" si="73">(BS7/BO7-1)*100</f>
        <v>-2.210925768967209</v>
      </c>
      <c r="BT56" s="1479">
        <f t="shared" ref="BT56:BT57" si="74">(BT7/BP7-1)*100</f>
        <v>-6.5790873949890027</v>
      </c>
      <c r="BU56" s="244"/>
      <c r="BV56" s="244">
        <f t="shared" ref="BV56:BV57" si="75">(BV7/BR7-1)*100</f>
        <v>4.9058974774329966</v>
      </c>
      <c r="BW56" s="244">
        <f t="shared" ref="BW56:BW57" si="76">(BW7/BS7-1)*100</f>
        <v>4.9662228929104213</v>
      </c>
      <c r="BX56" s="1479">
        <f t="shared" ref="BX56:BX57" si="77">(BX7/BT7-1)*100</f>
        <v>4.9362694334132096</v>
      </c>
      <c r="BY56" s="244"/>
      <c r="BZ56" s="244"/>
      <c r="CA56" s="238"/>
      <c r="CB56" s="219" t="s">
        <v>297</v>
      </c>
      <c r="CC56" s="169"/>
      <c r="CD56" s="169"/>
      <c r="CE56" s="248"/>
      <c r="CF56" s="161"/>
      <c r="CG56" s="169"/>
      <c r="CH56" s="169"/>
      <c r="CI56" s="250">
        <f>+CI51/CI49</f>
        <v>7.6963135535151425E-2</v>
      </c>
      <c r="CJ56" s="161"/>
      <c r="CK56" s="169"/>
      <c r="CL56" s="169"/>
      <c r="CM56" s="250">
        <f>+CM51/CM49</f>
        <v>7.2375101543460593E-2</v>
      </c>
      <c r="CN56" s="248"/>
      <c r="CO56" s="169"/>
      <c r="CP56" s="169"/>
      <c r="CQ56" s="250">
        <f>+CQ51/CQ49</f>
        <v>7.2923854035124261E-2</v>
      </c>
      <c r="CR56" s="248"/>
      <c r="CS56" s="169"/>
      <c r="CT56" s="169"/>
      <c r="CU56" s="250">
        <f>+CU51/CU49</f>
        <v>7.8778290546328802E-2</v>
      </c>
      <c r="CV56" s="249"/>
      <c r="CW56" s="200"/>
      <c r="CX56" s="200"/>
      <c r="CY56" s="250">
        <f>+CY51/CY49</f>
        <v>7.4189104896558888E-2</v>
      </c>
      <c r="CZ56" s="249"/>
      <c r="DA56" s="200"/>
      <c r="DB56" s="200"/>
      <c r="DC56" s="250">
        <f>+DC51/DC49</f>
        <v>7.3993488530450693E-2</v>
      </c>
      <c r="DD56" s="249"/>
      <c r="DE56" s="200"/>
      <c r="DF56" s="200"/>
      <c r="DG56" s="250">
        <f>+DG51/DG49</f>
        <v>7.6826510126807454E-2</v>
      </c>
      <c r="DH56" s="249"/>
      <c r="DI56" s="200"/>
      <c r="DJ56" s="200"/>
      <c r="DK56" s="250">
        <f>+DK51/DK49</f>
        <v>8.5100914822530987E-2</v>
      </c>
      <c r="DL56" s="249"/>
      <c r="DM56" s="200"/>
      <c r="DN56" s="200"/>
      <c r="DO56" s="250">
        <f>+DO51/DO49</f>
        <v>8.5493270612831573E-2</v>
      </c>
      <c r="DP56" s="250"/>
      <c r="DQ56" s="200"/>
      <c r="DR56" s="200"/>
      <c r="DS56" s="250">
        <f>+DS51/DS49</f>
        <v>8.7414239450345016E-2</v>
      </c>
      <c r="DT56" s="250"/>
      <c r="DU56" s="250">
        <f>+DU51/DU49</f>
        <v>8.9373334244515823E-2</v>
      </c>
      <c r="DV56" s="250">
        <f>+DV51/DV49</f>
        <v>8.234102938991876E-2</v>
      </c>
      <c r="DW56" s="250">
        <f>+DW51/DW49</f>
        <v>8.234102938991876E-2</v>
      </c>
      <c r="DX56" s="250"/>
      <c r="DY56" s="250">
        <f>+DY51/DY49</f>
        <v>8.8881184042299596E-2</v>
      </c>
      <c r="DZ56" s="250">
        <f>+DZ51/DZ49</f>
        <v>8.975261853101732E-2</v>
      </c>
      <c r="EA56" s="250">
        <f>+EA51/EA49</f>
        <v>8.975261853101732E-2</v>
      </c>
      <c r="EB56" s="250"/>
      <c r="EC56" s="1757">
        <f>+EC51/EC49</f>
        <v>6.9036942682468502E-2</v>
      </c>
      <c r="ED56" s="250">
        <f>+ED51/ED49</f>
        <v>7.1549892779125004E-2</v>
      </c>
      <c r="EE56" s="250">
        <f>+EE51/EE49</f>
        <v>7.1549892779125004E-2</v>
      </c>
      <c r="EF56" s="250"/>
      <c r="EG56" s="1757">
        <f>+EG51/EG49</f>
        <v>6.4403358995753987E-2</v>
      </c>
      <c r="EH56" s="250">
        <f>+EH51/EH49</f>
        <v>8.5479230261529579E-2</v>
      </c>
      <c r="EI56" s="1937">
        <f>+EI51/EI49</f>
        <v>8.5479230261529579E-2</v>
      </c>
      <c r="EJ56" s="250"/>
      <c r="EK56" s="1757">
        <f>+EK51/EK49</f>
        <v>8.2745809616973406E-2</v>
      </c>
      <c r="EL56" s="250">
        <f>+EL51/EL49</f>
        <v>8.2996202318271511E-2</v>
      </c>
      <c r="EM56" s="2075">
        <f>+EM51/EM49</f>
        <v>8.2996202318271511E-2</v>
      </c>
      <c r="EN56" s="250"/>
      <c r="EO56" s="250">
        <f>+EO51/EO49</f>
        <v>7.7957592652933158E-2</v>
      </c>
      <c r="EP56" s="250">
        <f>+EP51/EP49</f>
        <v>7.9412246951513971E-2</v>
      </c>
      <c r="EQ56" s="2075">
        <f>+EQ51/EQ49</f>
        <v>7.9412246951513971E-2</v>
      </c>
      <c r="ER56" s="250"/>
      <c r="ES56" s="250">
        <f>+ES51/ES49</f>
        <v>7.1375171411105789E-2</v>
      </c>
      <c r="ET56" s="250">
        <f ca="1">+ET51/ET49</f>
        <v>6.9377870107266773E-2</v>
      </c>
      <c r="EU56" s="250">
        <f ca="1">+EU51/EU49</f>
        <v>6.9377870107266773E-2</v>
      </c>
      <c r="EV56" s="250"/>
      <c r="EW56" s="250">
        <f ca="1">+EW51/EW49</f>
        <v>6.6678126217485159E-2</v>
      </c>
      <c r="EX56" s="250">
        <f ca="1">+EX51/EX49</f>
        <v>6.8910632282385448E-2</v>
      </c>
      <c r="EY56" s="1757">
        <f ca="1">+EY51/EY49</f>
        <v>6.8910632282385448E-2</v>
      </c>
      <c r="EZ56" s="250"/>
      <c r="FA56" s="250">
        <f ca="1">+FA51/FA49</f>
        <v>6.6978239204865744E-2</v>
      </c>
      <c r="FB56" s="250">
        <f ca="1">+FB51/FB49</f>
        <v>6.9106632541046695E-2</v>
      </c>
      <c r="FC56" s="1757">
        <f ca="1">+FC51/FC49</f>
        <v>6.9106632541046695E-2</v>
      </c>
      <c r="FD56" s="144"/>
      <c r="FE56" s="116"/>
      <c r="FF56" s="2192"/>
      <c r="FG56" s="116"/>
      <c r="FH56" s="213"/>
      <c r="FI56" s="213"/>
      <c r="FJ56" s="213"/>
      <c r="FK56" s="213"/>
      <c r="FL56" s="213"/>
      <c r="FM56" s="213"/>
      <c r="GB56" s="213"/>
      <c r="GC56" s="213"/>
      <c r="GD56" s="213"/>
      <c r="GE56" s="213"/>
      <c r="GF56" s="213"/>
      <c r="GG56" s="213"/>
      <c r="GH56" s="213"/>
      <c r="GI56" s="213"/>
      <c r="GJ56" s="213"/>
      <c r="GK56" s="213"/>
      <c r="GL56" s="213"/>
      <c r="GM56" s="213"/>
      <c r="GN56" s="160"/>
      <c r="GO56" s="168"/>
      <c r="GP56" s="168"/>
      <c r="GQ56" s="168"/>
      <c r="GR56" s="160"/>
      <c r="GS56" s="160"/>
      <c r="GT56" s="168"/>
      <c r="GU56" s="168"/>
      <c r="GV56" s="160"/>
      <c r="GW56" s="160"/>
      <c r="GX56" s="168"/>
      <c r="GY56" s="168"/>
      <c r="GZ56" s="160"/>
    </row>
    <row r="57" spans="1:208" s="119" customFormat="1" ht="16.649999999999999" customHeight="1">
      <c r="A57" s="116"/>
      <c r="B57" s="116"/>
      <c r="C57" s="239" t="str">
        <f>+C8</f>
        <v>Net Trading Income</v>
      </c>
      <c r="D57" s="241"/>
      <c r="E57" s="241"/>
      <c r="F57" s="242" t="e">
        <f>F8/#REF!-1</f>
        <v>#REF!</v>
      </c>
      <c r="G57" s="242" t="e">
        <f>G8/#REF!-1</f>
        <v>#REF!</v>
      </c>
      <c r="H57" s="242" t="e">
        <f>H8/#REF!-1</f>
        <v>#REF!</v>
      </c>
      <c r="I57" s="243"/>
      <c r="J57" s="242">
        <f t="shared" si="55"/>
        <v>-0.38283828382838281</v>
      </c>
      <c r="K57" s="242">
        <f t="shared" si="55"/>
        <v>-0.13254593175853013</v>
      </c>
      <c r="L57" s="242">
        <f t="shared" si="55"/>
        <v>-0.24342105263157898</v>
      </c>
      <c r="M57" s="240"/>
      <c r="N57" s="244">
        <f t="shared" si="56"/>
        <v>48.395721925133685</v>
      </c>
      <c r="O57" s="244">
        <f t="shared" si="56"/>
        <v>2.7231467473525006</v>
      </c>
      <c r="P57" s="244">
        <f t="shared" si="56"/>
        <v>19.227053140096629</v>
      </c>
      <c r="Q57" s="243"/>
      <c r="R57" s="244">
        <f t="shared" si="57"/>
        <v>6.4864864864864868</v>
      </c>
      <c r="S57" s="244">
        <f t="shared" si="57"/>
        <v>44.18262150220913</v>
      </c>
      <c r="T57" s="245">
        <f t="shared" si="57"/>
        <v>27.228525121555911</v>
      </c>
      <c r="U57" s="243"/>
      <c r="V57" s="244">
        <f t="shared" si="58"/>
        <v>16.243654822335031</v>
      </c>
      <c r="W57" s="244">
        <f t="shared" si="58"/>
        <v>6.2308478038815007</v>
      </c>
      <c r="X57" s="245">
        <f t="shared" si="58"/>
        <v>10.000000000000009</v>
      </c>
      <c r="Y57" s="243"/>
      <c r="Z57" s="244">
        <f t="shared" si="59"/>
        <v>61.280931586608432</v>
      </c>
      <c r="AA57" s="244">
        <f t="shared" si="59"/>
        <v>-7.788461538461533</v>
      </c>
      <c r="AB57" s="245">
        <f t="shared" si="59"/>
        <v>19.687319050376374</v>
      </c>
      <c r="AC57" s="244"/>
      <c r="AD57" s="244">
        <f t="shared" si="60"/>
        <v>-29.963898916967512</v>
      </c>
      <c r="AE57" s="244">
        <f t="shared" si="60"/>
        <v>2.3983315954118956</v>
      </c>
      <c r="AF57" s="245">
        <f t="shared" si="60"/>
        <v>-14.949201741654573</v>
      </c>
      <c r="AG57" s="244"/>
      <c r="AH57" s="244">
        <f t="shared" si="61"/>
        <v>13.530927835051543</v>
      </c>
      <c r="AI57" s="244">
        <f t="shared" si="61"/>
        <v>9.572301425661923</v>
      </c>
      <c r="AJ57" s="245">
        <f t="shared" si="61"/>
        <v>11.319681456200236</v>
      </c>
      <c r="AK57" s="244"/>
      <c r="AL57" s="244">
        <f t="shared" si="62"/>
        <v>39.727582292849029</v>
      </c>
      <c r="AM57" s="244">
        <f t="shared" si="62"/>
        <v>44.981412639405207</v>
      </c>
      <c r="AN57" s="245">
        <f t="shared" si="62"/>
        <v>42.616249361267244</v>
      </c>
      <c r="AO57" s="244"/>
      <c r="AP57" s="244">
        <f t="shared" si="63"/>
        <v>32.168968318440292</v>
      </c>
      <c r="AQ57" s="244">
        <f t="shared" si="63"/>
        <v>-20.897435897435901</v>
      </c>
      <c r="AR57" s="245">
        <f t="shared" si="63"/>
        <v>2.5080616266571099</v>
      </c>
      <c r="AS57" s="244"/>
      <c r="AT57" s="244">
        <f t="shared" si="64"/>
        <v>-8.6047940995697569</v>
      </c>
      <c r="AU57" s="244">
        <f t="shared" si="64"/>
        <v>61.669367909238247</v>
      </c>
      <c r="AV57" s="245">
        <f t="shared" si="64"/>
        <v>21.705697308633344</v>
      </c>
      <c r="AW57" s="244"/>
      <c r="AX57" s="244">
        <f t="shared" si="65"/>
        <v>11.566913248150644</v>
      </c>
      <c r="AY57" s="244">
        <f t="shared" si="65"/>
        <v>17.142857142857149</v>
      </c>
      <c r="AZ57" s="245">
        <f t="shared" si="65"/>
        <v>14.761631246410101</v>
      </c>
      <c r="BA57" s="244"/>
      <c r="BB57" s="244">
        <f t="shared" si="66"/>
        <v>69.801084990958401</v>
      </c>
      <c r="BC57" s="244">
        <f t="shared" si="66"/>
        <v>103.50877192982458</v>
      </c>
      <c r="BD57" s="245">
        <f t="shared" si="66"/>
        <v>89.514514514514502</v>
      </c>
      <c r="BE57" s="244"/>
      <c r="BF57" s="244">
        <f t="shared" si="67"/>
        <v>-7.277245296414625</v>
      </c>
      <c r="BG57" s="244">
        <f t="shared" si="67"/>
        <v>-40.37005887300252</v>
      </c>
      <c r="BH57" s="245">
        <f t="shared" si="67"/>
        <v>-28.060213917866108</v>
      </c>
      <c r="BI57" s="244"/>
      <c r="BJ57" s="244">
        <f t="shared" si="68"/>
        <v>-5.8192955589586486</v>
      </c>
      <c r="BK57" s="244">
        <f t="shared" si="68"/>
        <v>2.609308885754591</v>
      </c>
      <c r="BL57" s="245">
        <f t="shared" si="68"/>
        <v>-1.4317180616740033</v>
      </c>
      <c r="BM57" s="244"/>
      <c r="BN57" s="244">
        <f t="shared" si="69"/>
        <v>-0.60975609756097615</v>
      </c>
      <c r="BO57" s="244">
        <f t="shared" si="70"/>
        <v>12.748109965635756</v>
      </c>
      <c r="BP57" s="244">
        <f t="shared" si="71"/>
        <v>6.6288640595903114</v>
      </c>
      <c r="BQ57" s="244"/>
      <c r="BR57" s="244">
        <f t="shared" si="72"/>
        <v>7.3043476482617331</v>
      </c>
      <c r="BS57" s="244">
        <f t="shared" si="73"/>
        <v>2.0372630350170784</v>
      </c>
      <c r="BT57" s="1479">
        <f t="shared" si="74"/>
        <v>4.2863181085475377</v>
      </c>
      <c r="BU57" s="244"/>
      <c r="BV57" s="244">
        <f t="shared" si="75"/>
        <v>2.0964259818212039</v>
      </c>
      <c r="BW57" s="244">
        <f t="shared" si="76"/>
        <v>2.3274653390369826</v>
      </c>
      <c r="BX57" s="1479">
        <f t="shared" si="77"/>
        <v>2.2259560591888938</v>
      </c>
      <c r="BY57" s="244"/>
      <c r="BZ57" s="244"/>
      <c r="CA57" s="238"/>
      <c r="CB57" s="212"/>
      <c r="CI57" s="193"/>
      <c r="CM57" s="193"/>
      <c r="CQ57" s="193"/>
      <c r="CU57" s="193"/>
      <c r="CV57" s="193"/>
      <c r="CW57" s="193"/>
      <c r="CX57" s="193"/>
      <c r="CY57" s="193"/>
      <c r="CZ57" s="193"/>
      <c r="DA57" s="193"/>
      <c r="DB57" s="193"/>
      <c r="DC57" s="193"/>
      <c r="DD57" s="193"/>
      <c r="DE57" s="193"/>
      <c r="DF57" s="193"/>
      <c r="DG57" s="193"/>
      <c r="DH57" s="193"/>
      <c r="DI57" s="193"/>
      <c r="DJ57" s="193"/>
      <c r="DK57" s="193"/>
      <c r="DL57" s="193"/>
      <c r="DM57" s="193"/>
      <c r="DN57" s="193"/>
      <c r="DO57" s="193"/>
      <c r="DP57" s="193"/>
      <c r="DQ57" s="193"/>
      <c r="DR57" s="193"/>
      <c r="DS57" s="193"/>
      <c r="DT57" s="193"/>
      <c r="DU57" s="193"/>
      <c r="DV57" s="193"/>
      <c r="DW57" s="193"/>
      <c r="DX57" s="193"/>
      <c r="DY57" s="193"/>
      <c r="DZ57" s="193"/>
      <c r="EA57" s="193"/>
      <c r="EB57" s="193"/>
      <c r="EC57" s="1750"/>
      <c r="ED57" s="193"/>
      <c r="EE57" s="193"/>
      <c r="EF57" s="193"/>
      <c r="EG57" s="1750"/>
      <c r="EH57" s="193"/>
      <c r="EI57" s="1929"/>
      <c r="EJ57" s="193"/>
      <c r="EK57" s="1750"/>
      <c r="EL57" s="193"/>
      <c r="EM57" s="2067"/>
      <c r="EN57" s="193"/>
      <c r="EO57" s="193"/>
      <c r="EP57" s="193"/>
      <c r="EQ57" s="2067"/>
      <c r="ER57" s="193"/>
      <c r="ES57" s="193"/>
      <c r="ET57" s="193"/>
      <c r="EU57" s="193"/>
      <c r="EV57" s="193"/>
      <c r="EW57" s="193"/>
      <c r="EX57" s="193"/>
      <c r="EY57" s="1750"/>
      <c r="EZ57" s="193"/>
      <c r="FA57" s="193"/>
      <c r="FB57" s="193"/>
      <c r="FC57" s="1750"/>
      <c r="FD57" s="144"/>
      <c r="FE57" s="116"/>
      <c r="FF57" s="2192"/>
      <c r="FI57" s="253"/>
      <c r="FJ57" s="253"/>
      <c r="FK57" s="253"/>
      <c r="FL57" s="253"/>
      <c r="FM57" s="253"/>
    </row>
    <row r="58" spans="1:208" s="119" customFormat="1" ht="16.649999999999999" customHeight="1">
      <c r="A58" s="116"/>
      <c r="B58" s="116"/>
      <c r="C58" s="239" t="str">
        <f>+C10</f>
        <v>Other Operating Income &amp; Charges</v>
      </c>
      <c r="D58" s="241"/>
      <c r="E58" s="241"/>
      <c r="F58" s="242" t="e">
        <f>F10/#REF!-1</f>
        <v>#REF!</v>
      </c>
      <c r="G58" s="242" t="e">
        <f>G10/#REF!-1</f>
        <v>#REF!</v>
      </c>
      <c r="H58" s="242" t="e">
        <f>H10/#REF!-1</f>
        <v>#REF!</v>
      </c>
      <c r="I58" s="243"/>
      <c r="J58" s="242">
        <f>J10/F10-1</f>
        <v>-3.7837837837837784E-2</v>
      </c>
      <c r="K58" s="242">
        <f>K10/G10-1</f>
        <v>0.36720142602495542</v>
      </c>
      <c r="L58" s="242">
        <f>L10/H10-1</f>
        <v>0.20622986036519864</v>
      </c>
      <c r="M58" s="240"/>
      <c r="N58" s="244">
        <f t="shared" ref="N58:P64" si="78">(N10/J10-1)*100</f>
        <v>-59.550561797752813</v>
      </c>
      <c r="O58" s="244">
        <f t="shared" si="78"/>
        <v>-42.503259452411989</v>
      </c>
      <c r="P58" s="244">
        <f t="shared" si="78"/>
        <v>-47.907390917186113</v>
      </c>
      <c r="Q58" s="243"/>
      <c r="R58" s="244">
        <f t="shared" ref="R58:T64" si="79">(R10/N10-1)*100</f>
        <v>122.22222222222223</v>
      </c>
      <c r="S58" s="244">
        <f t="shared" si="79"/>
        <v>21.315192743764165</v>
      </c>
      <c r="T58" s="245">
        <f t="shared" si="79"/>
        <v>46.153846153846146</v>
      </c>
      <c r="U58" s="243"/>
      <c r="V58" s="244">
        <f t="shared" ref="V58:X64" si="80">(V10/R10-1)*100</f>
        <v>42.1875</v>
      </c>
      <c r="W58" s="244">
        <f t="shared" si="80"/>
        <v>-54.392523364485989</v>
      </c>
      <c r="X58" s="245">
        <f t="shared" si="80"/>
        <v>-18.245614035087719</v>
      </c>
      <c r="Y58" s="243"/>
      <c r="Z58" s="244">
        <f t="shared" ref="Z58:AB64" si="81">(Z10/V10-1)*100</f>
        <v>-30.989010989010989</v>
      </c>
      <c r="AA58" s="244">
        <f t="shared" si="81"/>
        <v>159.01639344262298</v>
      </c>
      <c r="AB58" s="245">
        <f t="shared" si="81"/>
        <v>35.336194563662374</v>
      </c>
      <c r="AC58" s="244"/>
      <c r="AD58" s="244">
        <f t="shared" ref="AD58:AF64" si="82">(AD10/Z10-1)*100</f>
        <v>265.92356687898092</v>
      </c>
      <c r="AE58" s="244">
        <f t="shared" si="82"/>
        <v>40.822784810126578</v>
      </c>
      <c r="AF58" s="245">
        <f t="shared" si="82"/>
        <v>115.53911205073994</v>
      </c>
      <c r="AG58" s="244"/>
      <c r="AH58" s="244">
        <f t="shared" ref="AH58:AJ64" si="83">(AH10/AD10-1)*100</f>
        <v>-27.415143603133163</v>
      </c>
      <c r="AI58" s="244">
        <f t="shared" si="83"/>
        <v>38.426966292134821</v>
      </c>
      <c r="AJ58" s="245">
        <f t="shared" si="83"/>
        <v>1.3241785188818023</v>
      </c>
      <c r="AK58" s="244"/>
      <c r="AL58" s="244">
        <f t="shared" ref="AL58:AN64" si="84">(AL10/AH10-1)*100</f>
        <v>11.870503597122294</v>
      </c>
      <c r="AM58" s="244">
        <f t="shared" si="84"/>
        <v>46.103896103896112</v>
      </c>
      <c r="AN58" s="245">
        <f t="shared" si="84"/>
        <v>32.28460793804453</v>
      </c>
      <c r="AO58" s="244"/>
      <c r="AP58" s="244">
        <f t="shared" ref="AP58:AR64" si="85">(AP10/AL10-1)*100</f>
        <v>15.541264737406223</v>
      </c>
      <c r="AQ58" s="244">
        <f t="shared" si="85"/>
        <v>-66.944444444444457</v>
      </c>
      <c r="AR58" s="245">
        <f t="shared" si="85"/>
        <v>-38.785217709476761</v>
      </c>
      <c r="AS58" s="244"/>
      <c r="AT58" s="244">
        <f t="shared" ref="AT58:AV64" si="86">(AT10/AP10-1)*100</f>
        <v>-59.183673469387756</v>
      </c>
      <c r="AU58" s="244">
        <f t="shared" si="86"/>
        <v>149.41176470588235</v>
      </c>
      <c r="AV58" s="245">
        <f t="shared" si="86"/>
        <v>15.002988643156012</v>
      </c>
      <c r="AW58" s="244"/>
      <c r="AX58" s="244">
        <f t="shared" ref="AX58:AZ64" si="87">(AX10/AT10-1)*100</f>
        <v>145.00000000000003</v>
      </c>
      <c r="AY58" s="244">
        <f t="shared" si="87"/>
        <v>52.493261455525598</v>
      </c>
      <c r="AZ58" s="245">
        <f t="shared" si="87"/>
        <v>73.648648648648646</v>
      </c>
      <c r="BA58" s="244"/>
      <c r="BB58" s="244">
        <f t="shared" ref="BB58:BD64" si="88">(BB10/AX10-1)*100</f>
        <v>35.435992578849728</v>
      </c>
      <c r="BC58" s="244">
        <f t="shared" si="88"/>
        <v>-65.797613787008387</v>
      </c>
      <c r="BD58" s="245">
        <f t="shared" si="88"/>
        <v>-33.133792277761152</v>
      </c>
      <c r="BE58" s="244"/>
      <c r="BF58" s="244">
        <f t="shared" ref="BF58:BH64" si="89">(BF10/BB10-1)*100</f>
        <v>-55.684931506849324</v>
      </c>
      <c r="BG58" s="244">
        <f t="shared" si="89"/>
        <v>46.382428940568474</v>
      </c>
      <c r="BH58" s="245">
        <f t="shared" si="89"/>
        <v>-20.322291853178154</v>
      </c>
      <c r="BI58" s="244"/>
      <c r="BJ58" s="244">
        <f t="shared" ref="BJ58:BL64" si="90">(BJ10/BF10-1)*100</f>
        <v>21.483771251931994</v>
      </c>
      <c r="BK58" s="244">
        <f t="shared" si="90"/>
        <v>-48.102383053839361</v>
      </c>
      <c r="BL58" s="245">
        <f t="shared" si="90"/>
        <v>-22.808988764044948</v>
      </c>
      <c r="BM58" s="244"/>
      <c r="BN58" s="244">
        <f t="shared" ref="BN58:BN64" si="91">(BN10/BJ10-1)*100</f>
        <v>-58.142493638676854</v>
      </c>
      <c r="BO58" s="244">
        <f t="shared" ref="BO58:BO64" si="92">(BO10/BK10-1)*100</f>
        <v>87.133061224489808</v>
      </c>
      <c r="BP58" s="244">
        <f t="shared" ref="BP58:BP64" si="93">(BP10/BL10-1)*100</f>
        <v>4.027831149927219</v>
      </c>
      <c r="BQ58" s="244"/>
      <c r="BR58" s="244">
        <f t="shared" ref="BR58:BR64" si="94">(BR10/BN10-1)*100</f>
        <v>111.05793313069911</v>
      </c>
      <c r="BS58" s="244">
        <f t="shared" ref="BS58:BS64" si="95">(BS10/BO10-1)*100</f>
        <v>-14.962986248644061</v>
      </c>
      <c r="BT58" s="1479">
        <f t="shared" ref="BT58:BT64" si="96">(BT10/BP10-1)*100</f>
        <v>14.04397700648914</v>
      </c>
      <c r="BU58" s="244"/>
      <c r="BV58" s="244">
        <f t="shared" ref="BV58:BV64" si="97">(BV10/BR10-1)*100</f>
        <v>15.836573132947551</v>
      </c>
      <c r="BW58" s="244">
        <f t="shared" ref="BW58:BW64" si="98">(BW10/BS10-1)*100</f>
        <v>13.256300978645118</v>
      </c>
      <c r="BX58" s="1479">
        <f t="shared" ref="BX58:BX64" si="99">(BX10/BT10-1)*100</f>
        <v>14.355444650085335</v>
      </c>
      <c r="BY58" s="244"/>
      <c r="BZ58" s="244"/>
      <c r="CA58" s="238"/>
      <c r="CB58" s="251" t="s">
        <v>487</v>
      </c>
      <c r="CC58" s="234"/>
      <c r="CD58" s="234"/>
      <c r="CE58" s="234"/>
      <c r="CF58" s="234"/>
      <c r="CG58" s="234"/>
      <c r="CH58" s="234"/>
      <c r="CI58" s="252"/>
      <c r="CJ58" s="234"/>
      <c r="CK58" s="234"/>
      <c r="CL58" s="234"/>
      <c r="CM58" s="252"/>
      <c r="CN58" s="234"/>
      <c r="CO58" s="234"/>
      <c r="CP58" s="234"/>
      <c r="CQ58" s="252"/>
      <c r="CR58" s="234"/>
      <c r="CS58" s="234"/>
      <c r="CT58" s="234"/>
      <c r="CU58" s="252"/>
      <c r="CV58" s="252"/>
      <c r="CW58" s="252"/>
      <c r="CX58" s="252"/>
      <c r="CY58" s="252"/>
      <c r="CZ58" s="252"/>
      <c r="DA58" s="252"/>
      <c r="DB58" s="252"/>
      <c r="DC58" s="252"/>
      <c r="DD58" s="252"/>
      <c r="DE58" s="252"/>
      <c r="DF58" s="252"/>
      <c r="DG58" s="252"/>
      <c r="DH58" s="252"/>
      <c r="DI58" s="252"/>
      <c r="DJ58" s="252"/>
      <c r="DK58" s="252"/>
      <c r="DL58" s="252"/>
      <c r="DM58" s="252"/>
      <c r="DN58" s="252"/>
      <c r="DO58" s="252"/>
      <c r="DP58" s="252"/>
      <c r="DQ58" s="252"/>
      <c r="DR58" s="252"/>
      <c r="DS58" s="252"/>
      <c r="DT58" s="252"/>
      <c r="DU58" s="252"/>
      <c r="DV58" s="252"/>
      <c r="DW58" s="252"/>
      <c r="DX58" s="252"/>
      <c r="DY58" s="252"/>
      <c r="DZ58" s="252"/>
      <c r="EA58" s="252"/>
      <c r="EB58" s="252"/>
      <c r="EC58" s="1758"/>
      <c r="ED58" s="252"/>
      <c r="EE58" s="252"/>
      <c r="EF58" s="252"/>
      <c r="EG58" s="1758"/>
      <c r="EH58" s="252"/>
      <c r="EI58" s="1938"/>
      <c r="EJ58" s="252"/>
      <c r="EK58" s="1758"/>
      <c r="EL58" s="252"/>
      <c r="EM58" s="2076"/>
      <c r="EN58" s="252"/>
      <c r="EO58" s="252"/>
      <c r="EP58" s="252"/>
      <c r="EQ58" s="2076"/>
      <c r="ER58" s="252"/>
      <c r="ES58" s="252"/>
      <c r="ET58" s="252"/>
      <c r="EU58" s="252"/>
      <c r="EV58" s="252"/>
      <c r="EW58" s="252"/>
      <c r="EX58" s="252"/>
      <c r="EY58" s="1758"/>
      <c r="EZ58" s="252"/>
      <c r="FA58" s="252"/>
      <c r="FB58" s="252"/>
      <c r="FC58" s="1758"/>
      <c r="FD58" s="120"/>
      <c r="FE58" s="116"/>
      <c r="FF58" s="2192"/>
      <c r="FG58" s="120"/>
      <c r="FH58" s="120"/>
      <c r="FI58" s="253"/>
      <c r="FJ58" s="253"/>
      <c r="FK58" s="253"/>
      <c r="FL58" s="253"/>
      <c r="FM58" s="253"/>
    </row>
    <row r="59" spans="1:208" s="119" customFormat="1" ht="16.649999999999999" customHeight="1">
      <c r="A59" s="116"/>
      <c r="B59" s="116"/>
      <c r="C59" s="270" t="str">
        <f>+C11</f>
        <v>Net Operating Income</v>
      </c>
      <c r="D59" s="606"/>
      <c r="E59" s="606"/>
      <c r="F59" s="608" t="e">
        <f>+F11/#REF!-1</f>
        <v>#REF!</v>
      </c>
      <c r="G59" s="608" t="e">
        <f>+G11/#REF!-1</f>
        <v>#REF!</v>
      </c>
      <c r="H59" s="608" t="e">
        <f>+H11/#REF!-1</f>
        <v>#REF!</v>
      </c>
      <c r="I59" s="607"/>
      <c r="J59" s="608">
        <f>+J11/F11-1</f>
        <v>-0.11426850587271242</v>
      </c>
      <c r="K59" s="608">
        <f>+K11/G11-1</f>
        <v>-6.603063017825761E-2</v>
      </c>
      <c r="L59" s="608">
        <f>+L11/H11-1</f>
        <v>-8.9133568812140185E-2</v>
      </c>
      <c r="M59" s="606"/>
      <c r="N59" s="274">
        <f t="shared" si="78"/>
        <v>-5.8181500822009564</v>
      </c>
      <c r="O59" s="274">
        <f t="shared" si="78"/>
        <v>-3.1451612903225845</v>
      </c>
      <c r="P59" s="274">
        <f t="shared" si="78"/>
        <v>-4.3900300790085662</v>
      </c>
      <c r="Q59" s="607"/>
      <c r="R59" s="274">
        <f t="shared" si="79"/>
        <v>20.464963981663399</v>
      </c>
      <c r="S59" s="274">
        <f t="shared" si="79"/>
        <v>23.646960865945044</v>
      </c>
      <c r="T59" s="275">
        <f t="shared" si="79"/>
        <v>22.187171398527859</v>
      </c>
      <c r="U59" s="607"/>
      <c r="V59" s="274">
        <f t="shared" si="80"/>
        <v>16.444686055993472</v>
      </c>
      <c r="W59" s="274">
        <f t="shared" si="80"/>
        <v>11.739618406285079</v>
      </c>
      <c r="X59" s="275">
        <f t="shared" si="80"/>
        <v>13.867715761003186</v>
      </c>
      <c r="Y59" s="607"/>
      <c r="Z59" s="274">
        <f t="shared" si="81"/>
        <v>24.136321195144728</v>
      </c>
      <c r="AA59" s="274">
        <f t="shared" si="81"/>
        <v>-2.7721976697468897</v>
      </c>
      <c r="AB59" s="275">
        <f t="shared" si="81"/>
        <v>9.6739365147916256</v>
      </c>
      <c r="AC59" s="274"/>
      <c r="AD59" s="274">
        <f t="shared" si="82"/>
        <v>-1.8804061677322292</v>
      </c>
      <c r="AE59" s="274">
        <f t="shared" si="82"/>
        <v>6.3223140495867858</v>
      </c>
      <c r="AF59" s="275">
        <f t="shared" si="82"/>
        <v>2.0279582594999068</v>
      </c>
      <c r="AG59" s="274"/>
      <c r="AH59" s="274">
        <f t="shared" si="83"/>
        <v>3.4304331161364443</v>
      </c>
      <c r="AI59" s="274">
        <f t="shared" si="83"/>
        <v>7.3260785075786927</v>
      </c>
      <c r="AJ59" s="275">
        <f t="shared" si="83"/>
        <v>5.3647240447703526</v>
      </c>
      <c r="AK59" s="274"/>
      <c r="AL59" s="274">
        <f t="shared" si="84"/>
        <v>8.0229757272558757</v>
      </c>
      <c r="AM59" s="274">
        <f t="shared" si="84"/>
        <v>25.366648560564919</v>
      </c>
      <c r="AN59" s="275">
        <f t="shared" si="84"/>
        <v>16.794871794871803</v>
      </c>
      <c r="AO59" s="274"/>
      <c r="AP59" s="274">
        <f t="shared" si="85"/>
        <v>8.404802744425389</v>
      </c>
      <c r="AQ59" s="274">
        <f t="shared" si="85"/>
        <v>-13.272674754477176</v>
      </c>
      <c r="AR59" s="275">
        <f t="shared" si="85"/>
        <v>-3.3636506194135163</v>
      </c>
      <c r="AS59" s="274"/>
      <c r="AT59" s="274">
        <f t="shared" si="86"/>
        <v>-12.674050632911394</v>
      </c>
      <c r="AU59" s="274">
        <f t="shared" si="86"/>
        <v>20.815986677768517</v>
      </c>
      <c r="AV59" s="275">
        <f t="shared" si="86"/>
        <v>3.6430020283975573</v>
      </c>
      <c r="AW59" s="274"/>
      <c r="AX59" s="274">
        <f t="shared" si="87"/>
        <v>41.40242797608262</v>
      </c>
      <c r="AY59" s="274">
        <f t="shared" si="87"/>
        <v>31.219848380427283</v>
      </c>
      <c r="AZ59" s="275">
        <f t="shared" si="87"/>
        <v>35.619226553937679</v>
      </c>
      <c r="BA59" s="274"/>
      <c r="BB59" s="274">
        <f t="shared" si="88"/>
        <v>11.506919528446957</v>
      </c>
      <c r="BC59" s="274">
        <f t="shared" si="88"/>
        <v>9.4537815126050528</v>
      </c>
      <c r="BD59" s="275">
        <f t="shared" si="88"/>
        <v>10.378665435234357</v>
      </c>
      <c r="BE59" s="274"/>
      <c r="BF59" s="274">
        <f t="shared" si="89"/>
        <v>-9.1013560101126156</v>
      </c>
      <c r="BG59" s="274">
        <f t="shared" si="89"/>
        <v>-13.84836852207294</v>
      </c>
      <c r="BH59" s="275">
        <f t="shared" si="89"/>
        <v>-11.688107938500158</v>
      </c>
      <c r="BI59" s="274"/>
      <c r="BJ59" s="274">
        <f t="shared" si="90"/>
        <v>3.8685208596713094</v>
      </c>
      <c r="BK59" s="274">
        <f t="shared" ca="1" si="90"/>
        <v>0.16709368385874335</v>
      </c>
      <c r="BL59" s="275">
        <f t="shared" ca="1" si="90"/>
        <v>1.9008704920945085</v>
      </c>
      <c r="BM59" s="274"/>
      <c r="BN59" s="274">
        <f t="shared" si="91"/>
        <v>5.7814021421616291</v>
      </c>
      <c r="BO59" s="274">
        <f t="shared" ca="1" si="92"/>
        <v>10.834338299237988</v>
      </c>
      <c r="BP59" s="274">
        <f t="shared" ca="1" si="93"/>
        <v>8.4218020680350882</v>
      </c>
      <c r="BQ59" s="274"/>
      <c r="BR59" s="274">
        <f t="shared" si="94"/>
        <v>2.5227606390074264</v>
      </c>
      <c r="BS59" s="274">
        <f t="shared" si="95"/>
        <v>0.47780756500892529</v>
      </c>
      <c r="BT59" s="1480">
        <f t="shared" si="96"/>
        <v>1.430397695889285</v>
      </c>
      <c r="BU59" s="274"/>
      <c r="BV59" s="274">
        <f t="shared" si="97"/>
        <v>5.6347648848977139</v>
      </c>
      <c r="BW59" s="274">
        <f t="shared" si="98"/>
        <v>5.3665769283135267</v>
      </c>
      <c r="BX59" s="1480">
        <f t="shared" si="99"/>
        <v>5.4928509946593707</v>
      </c>
      <c r="BY59" s="274"/>
      <c r="BZ59" s="274"/>
      <c r="CA59" s="238"/>
      <c r="CB59" s="254" t="s">
        <v>58</v>
      </c>
      <c r="CC59" s="255"/>
      <c r="CD59" s="255"/>
      <c r="CE59" s="255"/>
      <c r="CF59" s="255"/>
      <c r="CG59" s="255"/>
      <c r="CH59" s="255"/>
      <c r="CI59" s="256"/>
      <c r="CJ59" s="255"/>
      <c r="CK59" s="255"/>
      <c r="CL59" s="255"/>
      <c r="CM59" s="256"/>
      <c r="CN59" s="255"/>
      <c r="CO59" s="255"/>
      <c r="CP59" s="255"/>
      <c r="CQ59" s="256"/>
      <c r="CR59" s="255"/>
      <c r="CS59" s="255"/>
      <c r="CT59" s="255"/>
      <c r="CU59" s="256">
        <f>'P&amp;L'!BJ182/1000</f>
        <v>239.3</v>
      </c>
      <c r="CV59" s="257"/>
      <c r="CW59" s="257"/>
      <c r="CX59" s="257"/>
      <c r="CY59" s="256">
        <f>'P&amp;L'!BN182/1000</f>
        <v>310.5</v>
      </c>
      <c r="CZ59" s="257"/>
      <c r="DA59" s="257"/>
      <c r="DB59" s="257"/>
      <c r="DC59" s="256">
        <f>'P&amp;L'!BR182/1000</f>
        <v>348</v>
      </c>
      <c r="DD59" s="257"/>
      <c r="DE59" s="257"/>
      <c r="DF59" s="257"/>
      <c r="DG59" s="256">
        <f>'P&amp;L'!BV182/1000</f>
        <v>337.1</v>
      </c>
      <c r="DH59" s="257"/>
      <c r="DI59" s="257"/>
      <c r="DJ59" s="257"/>
      <c r="DK59" s="256">
        <f>'P&amp;L'!BZ182/1000</f>
        <v>320.3</v>
      </c>
      <c r="DL59" s="257"/>
      <c r="DM59" s="257"/>
      <c r="DN59" s="257"/>
      <c r="DO59" s="256">
        <f>'P&amp;L'!CD182/1000</f>
        <v>333.5</v>
      </c>
      <c r="DP59" s="256"/>
      <c r="DQ59" s="257"/>
      <c r="DR59" s="257"/>
      <c r="DS59" s="256">
        <f>'P&amp;L'!CH182/1000</f>
        <v>361</v>
      </c>
      <c r="DT59" s="256"/>
      <c r="DU59" s="256">
        <f>'P&amp;L'!CJ182/1000</f>
        <v>361.1</v>
      </c>
      <c r="DV59" s="256">
        <f>'P&amp;L'!CK182/1000</f>
        <v>382.6</v>
      </c>
      <c r="DW59" s="256">
        <f>'P&amp;L'!CL182/1000</f>
        <v>382.6</v>
      </c>
      <c r="DX59" s="256"/>
      <c r="DY59" s="256">
        <f>'P&amp;L'!CN182/1000</f>
        <v>350.9</v>
      </c>
      <c r="DZ59" s="256">
        <f>'P&amp;L'!CO182/1000</f>
        <v>367.1</v>
      </c>
      <c r="EA59" s="256">
        <f>'P&amp;L'!CP182/1000</f>
        <v>367.1</v>
      </c>
      <c r="EB59" s="256"/>
      <c r="EC59" s="1759">
        <f>'P&amp;L'!CR182/1000</f>
        <v>514.6</v>
      </c>
      <c r="ED59" s="256">
        <f>'P&amp;L'!CS182/1000</f>
        <v>535.1</v>
      </c>
      <c r="EE59" s="257">
        <f>'P&amp;L'!CT182/1000</f>
        <v>535.1</v>
      </c>
      <c r="EF59" s="257"/>
      <c r="EG59" s="2055">
        <f>'P&amp;L'!CV182/1000</f>
        <v>520.70000000000005</v>
      </c>
      <c r="EH59" s="257">
        <f>'P&amp;L'!CW182/1000</f>
        <v>534.5</v>
      </c>
      <c r="EI59" s="2056">
        <f>'P&amp;L'!CX182/1000</f>
        <v>534.5</v>
      </c>
      <c r="EJ59" s="257"/>
      <c r="EK59" s="2055">
        <f>'P&amp;L'!CZ182/1000</f>
        <v>546.9</v>
      </c>
      <c r="EL59" s="257">
        <f>'P&amp;L'!DA182/1000</f>
        <v>567.4</v>
      </c>
      <c r="EM59" s="2077">
        <f>'P&amp;L'!DB182/1000</f>
        <v>567.4</v>
      </c>
      <c r="EN59" s="257"/>
      <c r="EO59" s="257">
        <f>'P&amp;L'!DD182/1000</f>
        <v>543.20000000000005</v>
      </c>
      <c r="EP59" s="257">
        <f>'P&amp;L'!DE182/1000</f>
        <v>552</v>
      </c>
      <c r="EQ59" s="2077">
        <f>'P&amp;L'!DF182/1000</f>
        <v>552</v>
      </c>
      <c r="ER59" s="257"/>
      <c r="ES59" s="257">
        <f>'P&amp;L'!DH182/1000</f>
        <v>542.5</v>
      </c>
      <c r="ET59" s="257">
        <f>'P&amp;L'!DI182/1000</f>
        <v>298.39600000000002</v>
      </c>
      <c r="EU59" s="257">
        <f>'P&amp;L'!DJ182/1000</f>
        <v>298.39600000000002</v>
      </c>
      <c r="EV59" s="257"/>
      <c r="EW59" s="257">
        <f>'P&amp;L'!DL182/1000</f>
        <v>307.89774</v>
      </c>
      <c r="EX59" s="257">
        <f>'P&amp;L'!DM182/1000</f>
        <v>317.72881449999994</v>
      </c>
      <c r="EY59" s="2055">
        <f>'P&amp;L'!DN182/1000</f>
        <v>317.72881449999994</v>
      </c>
      <c r="EZ59" s="257"/>
      <c r="FA59" s="257">
        <f>'P&amp;L'!DP182/1000</f>
        <v>327.90158378549989</v>
      </c>
      <c r="FB59" s="257">
        <f>'P&amp;L'!DQ182/1000</f>
        <v>338.42890271379241</v>
      </c>
      <c r="FC59" s="2055">
        <f>'P&amp;L'!DR182/1000</f>
        <v>338.42890271379241</v>
      </c>
      <c r="FD59" s="147"/>
      <c r="FE59" s="116"/>
      <c r="FF59" s="2192"/>
      <c r="FI59" s="253"/>
      <c r="FJ59" s="253"/>
      <c r="FK59" s="253"/>
      <c r="FL59" s="253"/>
      <c r="FM59" s="253"/>
    </row>
    <row r="60" spans="1:208" s="119" customFormat="1" ht="16.649999999999999" customHeight="1">
      <c r="A60" s="116"/>
      <c r="B60" s="116"/>
      <c r="C60" s="120" t="s">
        <v>607</v>
      </c>
      <c r="D60" s="183"/>
      <c r="E60" s="183"/>
      <c r="F60" s="242" t="e">
        <f>(F12/#REF!-1)</f>
        <v>#REF!</v>
      </c>
      <c r="G60" s="242" t="e">
        <f>(G12/#REF!-1)</f>
        <v>#REF!</v>
      </c>
      <c r="H60" s="242" t="e">
        <f>(H12/#REF!-1)</f>
        <v>#REF!</v>
      </c>
      <c r="I60" s="243"/>
      <c r="J60" s="242">
        <f t="shared" ref="J60:L64" si="100">(J12/F12-1)</f>
        <v>-0.12836270814119555</v>
      </c>
      <c r="K60" s="242">
        <f t="shared" si="100"/>
        <v>-4.322043048892299E-2</v>
      </c>
      <c r="L60" s="242">
        <f t="shared" si="100"/>
        <v>-8.4718895484218737E-2</v>
      </c>
      <c r="M60" s="240"/>
      <c r="N60" s="260">
        <f t="shared" si="78"/>
        <v>-6.9195137756214553</v>
      </c>
      <c r="O60" s="260">
        <f t="shared" si="78"/>
        <v>-9.0432264857736477</v>
      </c>
      <c r="P60" s="260">
        <f t="shared" si="78"/>
        <v>-8.0574831694208644</v>
      </c>
      <c r="Q60" s="243"/>
      <c r="R60" s="260">
        <f t="shared" si="79"/>
        <v>12.483745123537071</v>
      </c>
      <c r="S60" s="260">
        <f t="shared" si="79"/>
        <v>15.619596541786752</v>
      </c>
      <c r="T60" s="261">
        <f t="shared" si="79"/>
        <v>14.146043385273455</v>
      </c>
      <c r="U60" s="243"/>
      <c r="V60" s="260">
        <f t="shared" si="80"/>
        <v>12.369942196531802</v>
      </c>
      <c r="W60" s="260">
        <f t="shared" si="80"/>
        <v>9.6211365902293178</v>
      </c>
      <c r="X60" s="261">
        <f t="shared" si="80"/>
        <v>10.894004282655256</v>
      </c>
      <c r="Y60" s="243"/>
      <c r="Z60" s="260">
        <f t="shared" si="81"/>
        <v>16.409465020576143</v>
      </c>
      <c r="AA60" s="260">
        <f t="shared" si="81"/>
        <v>-9.9135970895861796</v>
      </c>
      <c r="AB60" s="261">
        <f t="shared" si="81"/>
        <v>2.4378469707940997</v>
      </c>
      <c r="AC60" s="260"/>
      <c r="AD60" s="260">
        <f t="shared" si="82"/>
        <v>1.1931064958020432</v>
      </c>
      <c r="AE60" s="260">
        <f t="shared" si="82"/>
        <v>5.4517920242301843</v>
      </c>
      <c r="AF60" s="261">
        <f t="shared" si="82"/>
        <v>3.1809613572101769</v>
      </c>
      <c r="AG60" s="260"/>
      <c r="AH60" s="260">
        <f t="shared" si="83"/>
        <v>-1.266375545851528</v>
      </c>
      <c r="AI60" s="260">
        <f t="shared" si="83"/>
        <v>6.8453805648635679</v>
      </c>
      <c r="AJ60" s="261">
        <f t="shared" si="83"/>
        <v>2.6033340945421424</v>
      </c>
      <c r="AK60" s="260"/>
      <c r="AL60" s="260">
        <f t="shared" si="84"/>
        <v>8.5360459973462977</v>
      </c>
      <c r="AM60" s="260">
        <f t="shared" si="84"/>
        <v>23.790322580645153</v>
      </c>
      <c r="AN60" s="261">
        <f t="shared" si="84"/>
        <v>16.113955041175167</v>
      </c>
      <c r="AO60" s="260"/>
      <c r="AP60" s="260">
        <f t="shared" si="85"/>
        <v>13.121434392828046</v>
      </c>
      <c r="AQ60" s="260">
        <f t="shared" si="85"/>
        <v>-7.8175895765472347</v>
      </c>
      <c r="AR60" s="261">
        <f t="shared" si="85"/>
        <v>2.0318190530956404</v>
      </c>
      <c r="AS60" s="260"/>
      <c r="AT60" s="260">
        <f t="shared" si="86"/>
        <v>-5.7997118155619587</v>
      </c>
      <c r="AU60" s="260">
        <f t="shared" si="86"/>
        <v>13.937966234786025</v>
      </c>
      <c r="AV60" s="261">
        <f t="shared" si="86"/>
        <v>3.6445613375915897</v>
      </c>
      <c r="AW60" s="260"/>
      <c r="AX60" s="260">
        <f t="shared" si="87"/>
        <v>20.994263862332694</v>
      </c>
      <c r="AY60" s="260">
        <f t="shared" si="87"/>
        <v>22.708476912474151</v>
      </c>
      <c r="AZ60" s="261">
        <f t="shared" si="87"/>
        <v>21.895957948160238</v>
      </c>
      <c r="BA60" s="260"/>
      <c r="BB60" s="260">
        <f t="shared" si="88"/>
        <v>14.190897597977248</v>
      </c>
      <c r="BC60" s="260">
        <f t="shared" si="88"/>
        <v>14.855377702892447</v>
      </c>
      <c r="BD60" s="261">
        <f t="shared" si="88"/>
        <v>14.542750929368031</v>
      </c>
      <c r="BE60" s="260"/>
      <c r="BF60" s="260">
        <f t="shared" si="89"/>
        <v>3.3490174370329306</v>
      </c>
      <c r="BG60" s="260">
        <f t="shared" si="89"/>
        <v>-2.4694376528117346</v>
      </c>
      <c r="BH60" s="261">
        <f t="shared" si="89"/>
        <v>0.25963910164870097</v>
      </c>
      <c r="BI60" s="260"/>
      <c r="BJ60" s="260">
        <f t="shared" si="90"/>
        <v>0.5891805034815123</v>
      </c>
      <c r="BK60" s="260">
        <f t="shared" si="90"/>
        <v>-2.130859864627721</v>
      </c>
      <c r="BL60" s="261">
        <f t="shared" si="90"/>
        <v>-0.81574517674478653</v>
      </c>
      <c r="BM60" s="260"/>
      <c r="BN60" s="260">
        <f t="shared" si="91"/>
        <v>5.3248136315229067</v>
      </c>
      <c r="BO60" s="260">
        <f t="shared" si="92"/>
        <v>5.3607907212771089</v>
      </c>
      <c r="BP60" s="260">
        <f t="shared" si="93"/>
        <v>5.3431497357527169</v>
      </c>
      <c r="BQ60" s="260"/>
      <c r="BR60" s="260">
        <f t="shared" si="94"/>
        <v>2.8063730421774125</v>
      </c>
      <c r="BS60" s="260">
        <f t="shared" si="95"/>
        <v>2.0320278170862682</v>
      </c>
      <c r="BT60" s="1481">
        <f t="shared" si="96"/>
        <v>2.4116537205031374</v>
      </c>
      <c r="BU60" s="260"/>
      <c r="BV60" s="260">
        <f t="shared" si="97"/>
        <v>4.95243424546985</v>
      </c>
      <c r="BW60" s="260">
        <f t="shared" si="98"/>
        <v>5.4273284566868307</v>
      </c>
      <c r="BX60" s="1481">
        <f t="shared" si="99"/>
        <v>5.1936122934679974</v>
      </c>
      <c r="BY60" s="260"/>
      <c r="BZ60" s="260"/>
      <c r="CA60" s="238"/>
      <c r="CB60" s="212" t="s">
        <v>59</v>
      </c>
      <c r="CI60" s="256"/>
      <c r="CJ60" s="137"/>
      <c r="CK60" s="137"/>
      <c r="CL60" s="137"/>
      <c r="CM60" s="256"/>
      <c r="CN60" s="137"/>
      <c r="CO60" s="137"/>
      <c r="CP60" s="137"/>
      <c r="CQ60" s="256"/>
      <c r="CR60" s="137"/>
      <c r="CS60" s="137"/>
      <c r="CT60" s="137"/>
      <c r="CU60" s="256">
        <f>'P&amp;L'!BJ183/1000</f>
        <v>102.3</v>
      </c>
      <c r="CV60" s="148"/>
      <c r="CW60" s="148"/>
      <c r="CX60" s="148"/>
      <c r="CY60" s="256">
        <f>'P&amp;L'!BN183/1000</f>
        <v>112.8</v>
      </c>
      <c r="CZ60" s="148"/>
      <c r="DA60" s="148"/>
      <c r="DB60" s="148"/>
      <c r="DC60" s="256">
        <f>'P&amp;L'!BR183/1000</f>
        <v>133.69999999999999</v>
      </c>
      <c r="DD60" s="148"/>
      <c r="DE60" s="148"/>
      <c r="DF60" s="148"/>
      <c r="DG60" s="256">
        <f>'P&amp;L'!BV183/1000</f>
        <v>136.19999999999999</v>
      </c>
      <c r="DH60" s="148"/>
      <c r="DI60" s="148"/>
      <c r="DJ60" s="148"/>
      <c r="DK60" s="256">
        <f>'P&amp;L'!BZ183/1000</f>
        <v>154.19999999999999</v>
      </c>
      <c r="DL60" s="148"/>
      <c r="DM60" s="148"/>
      <c r="DN60" s="148"/>
      <c r="DO60" s="256">
        <f>'P&amp;L'!CD183/1000</f>
        <v>155.19999999999999</v>
      </c>
      <c r="DP60" s="256"/>
      <c r="DQ60" s="148"/>
      <c r="DR60" s="148"/>
      <c r="DS60" s="256">
        <f>'P&amp;L'!CH183/1000</f>
        <v>189</v>
      </c>
      <c r="DT60" s="256"/>
      <c r="DU60" s="256">
        <f>'P&amp;L'!CJ183/1000</f>
        <v>200.9</v>
      </c>
      <c r="DV60" s="256">
        <f>'P&amp;L'!CK183/1000</f>
        <v>223.1</v>
      </c>
      <c r="DW60" s="256">
        <f>'P&amp;L'!CL183/1000</f>
        <v>223.1</v>
      </c>
      <c r="DX60" s="256"/>
      <c r="DY60" s="256">
        <f>'P&amp;L'!CN183/1000</f>
        <v>204</v>
      </c>
      <c r="DZ60" s="256">
        <f>'P&amp;L'!CO183/1000</f>
        <v>195.1</v>
      </c>
      <c r="EA60" s="256">
        <f>'P&amp;L'!CP183/1000</f>
        <v>195.1</v>
      </c>
      <c r="EB60" s="256"/>
      <c r="EC60" s="1759">
        <f>'P&amp;L'!CR183/1000</f>
        <v>220.9</v>
      </c>
      <c r="ED60" s="256">
        <f>'P&amp;L'!CS183/1000</f>
        <v>257.89999999999998</v>
      </c>
      <c r="EE60" s="257">
        <f>'P&amp;L'!CT183/1000</f>
        <v>257.89999999999998</v>
      </c>
      <c r="EF60" s="257"/>
      <c r="EG60" s="2055">
        <f>'P&amp;L'!CV183/1000</f>
        <v>312.2</v>
      </c>
      <c r="EH60" s="257">
        <f>'P&amp;L'!CW183/1000</f>
        <v>344.1</v>
      </c>
      <c r="EI60" s="2056">
        <f>'P&amp;L'!CX183/1000</f>
        <v>344.1</v>
      </c>
      <c r="EJ60" s="257"/>
      <c r="EK60" s="2055">
        <f>'P&amp;L'!CZ183/1000</f>
        <v>345.1</v>
      </c>
      <c r="EL60" s="257">
        <f>'P&amp;L'!DA183/1000</f>
        <v>370.9</v>
      </c>
      <c r="EM60" s="2077">
        <f>'P&amp;L'!DB183/1000</f>
        <v>370.9</v>
      </c>
      <c r="EN60" s="257"/>
      <c r="EO60" s="257">
        <f>'P&amp;L'!DD183/1000</f>
        <v>373.6</v>
      </c>
      <c r="EP60" s="257">
        <f>'P&amp;L'!DE183/1000</f>
        <v>389</v>
      </c>
      <c r="EQ60" s="2077">
        <f>'P&amp;L'!DF183/1000</f>
        <v>389</v>
      </c>
      <c r="ER60" s="257"/>
      <c r="ES60" s="257">
        <f>'P&amp;L'!DH183/1000</f>
        <v>416.6</v>
      </c>
      <c r="ET60" s="257">
        <f>'P&amp;L'!DI183/1000</f>
        <v>436.38850000000002</v>
      </c>
      <c r="EU60" s="257">
        <f>'P&amp;L'!DJ183/1000</f>
        <v>436.38850000000002</v>
      </c>
      <c r="EV60" s="257"/>
      <c r="EW60" s="257">
        <f>'P&amp;L'!DL183/1000</f>
        <v>450.57112625000002</v>
      </c>
      <c r="EX60" s="257">
        <f>'P&amp;L'!DM183/1000</f>
        <v>467.46754348437514</v>
      </c>
      <c r="EY60" s="2055">
        <f>'P&amp;L'!DN183/1000</f>
        <v>467.46754348437514</v>
      </c>
      <c r="EZ60" s="257"/>
      <c r="FA60" s="257">
        <f>'P&amp;L'!DP183/1000</f>
        <v>482.66023864761729</v>
      </c>
      <c r="FB60" s="257">
        <f>'P&amp;L'!DQ183/1000</f>
        <v>500.75999759690291</v>
      </c>
      <c r="FC60" s="2055">
        <f>'P&amp;L'!DR183/1000</f>
        <v>500.75999759690291</v>
      </c>
      <c r="FD60" s="148"/>
      <c r="FE60" s="116"/>
      <c r="FF60" s="2192"/>
      <c r="FG60" s="213"/>
      <c r="FH60" s="213"/>
      <c r="FI60" s="258"/>
      <c r="FJ60" s="258"/>
      <c r="FK60" s="258"/>
      <c r="FL60" s="258"/>
      <c r="FM60" s="258"/>
    </row>
    <row r="61" spans="1:208" s="119" customFormat="1" ht="16.649999999999999" customHeight="1">
      <c r="A61" s="116"/>
      <c r="B61" s="116"/>
      <c r="C61" s="120" t="s">
        <v>764</v>
      </c>
      <c r="D61" s="183"/>
      <c r="E61" s="183"/>
      <c r="F61" s="242" t="e">
        <f>(F13/#REF!-1)</f>
        <v>#REF!</v>
      </c>
      <c r="G61" s="242" t="e">
        <f>(G13/#REF!-1)</f>
        <v>#REF!</v>
      </c>
      <c r="H61" s="242" t="e">
        <f>(H13/#REF!-1)</f>
        <v>#REF!</v>
      </c>
      <c r="I61" s="184"/>
      <c r="J61" s="242">
        <f t="shared" si="100"/>
        <v>-0.12471655328798181</v>
      </c>
      <c r="K61" s="242">
        <f t="shared" si="100"/>
        <v>-1.841191860465119E-2</v>
      </c>
      <c r="L61" s="242">
        <f t="shared" si="100"/>
        <v>-7.8132101910828089E-2</v>
      </c>
      <c r="M61" s="183"/>
      <c r="N61" s="260">
        <f t="shared" si="78"/>
        <v>-17.098445595854926</v>
      </c>
      <c r="O61" s="260">
        <f t="shared" si="78"/>
        <v>-15.893294652146206</v>
      </c>
      <c r="P61" s="260">
        <f t="shared" si="78"/>
        <v>-16.536116162933101</v>
      </c>
      <c r="Q61" s="243"/>
      <c r="R61" s="260">
        <f t="shared" si="79"/>
        <v>18.437499999999996</v>
      </c>
      <c r="S61" s="260">
        <f t="shared" si="79"/>
        <v>40.845070422535201</v>
      </c>
      <c r="T61" s="261">
        <f t="shared" si="79"/>
        <v>28.973509933774832</v>
      </c>
      <c r="U61" s="243"/>
      <c r="V61" s="260">
        <f t="shared" si="80"/>
        <v>2.1108179419525142</v>
      </c>
      <c r="W61" s="260">
        <f t="shared" si="80"/>
        <v>9.2500000000000036</v>
      </c>
      <c r="X61" s="261">
        <f t="shared" si="80"/>
        <v>5.7766367137355612</v>
      </c>
      <c r="Y61" s="243"/>
      <c r="Z61" s="260">
        <f t="shared" si="81"/>
        <v>14.728682170542641</v>
      </c>
      <c r="AA61" s="260">
        <f t="shared" si="81"/>
        <v>2.517162471395884</v>
      </c>
      <c r="AB61" s="261">
        <f t="shared" si="81"/>
        <v>8.2524271844660149</v>
      </c>
      <c r="AC61" s="260"/>
      <c r="AD61" s="260">
        <f t="shared" si="82"/>
        <v>-5.855855855855852</v>
      </c>
      <c r="AE61" s="260">
        <f t="shared" si="82"/>
        <v>-3.125</v>
      </c>
      <c r="AF61" s="261">
        <f t="shared" si="82"/>
        <v>-4.4843049327354283</v>
      </c>
      <c r="AG61" s="260"/>
      <c r="AH61" s="260">
        <f t="shared" si="83"/>
        <v>0.95693779904306719</v>
      </c>
      <c r="AI61" s="260">
        <f t="shared" si="83"/>
        <v>-5.9907834101382456</v>
      </c>
      <c r="AJ61" s="261">
        <f t="shared" si="83"/>
        <v>-2.5821596244131495</v>
      </c>
      <c r="AK61" s="260"/>
      <c r="AL61" s="260">
        <f t="shared" si="84"/>
        <v>37.2037914691943</v>
      </c>
      <c r="AM61" s="260">
        <f t="shared" si="84"/>
        <v>37.5</v>
      </c>
      <c r="AN61" s="261">
        <f t="shared" si="84"/>
        <v>37.349397590361441</v>
      </c>
      <c r="AO61" s="260"/>
      <c r="AP61" s="260">
        <f t="shared" si="85"/>
        <v>-16.753022452504318</v>
      </c>
      <c r="AQ61" s="260">
        <f t="shared" si="85"/>
        <v>-14.081996434937615</v>
      </c>
      <c r="AR61" s="261">
        <f t="shared" si="85"/>
        <v>-15.438596491228074</v>
      </c>
      <c r="AS61" s="260"/>
      <c r="AT61" s="260">
        <f t="shared" si="86"/>
        <v>-2.2821576763485507</v>
      </c>
      <c r="AU61" s="260">
        <f t="shared" si="86"/>
        <v>-15.352697095435685</v>
      </c>
      <c r="AV61" s="261">
        <f t="shared" si="86"/>
        <v>-8.8174273858921186</v>
      </c>
      <c r="AW61" s="260"/>
      <c r="AX61" s="260">
        <f t="shared" si="87"/>
        <v>5.7324840764331197</v>
      </c>
      <c r="AY61" s="260">
        <f t="shared" si="87"/>
        <v>30.147058823529417</v>
      </c>
      <c r="AZ61" s="261">
        <f t="shared" si="87"/>
        <v>17.064846416382263</v>
      </c>
      <c r="BA61" s="260"/>
      <c r="BB61" s="260">
        <f t="shared" si="88"/>
        <v>0.40160642570281624</v>
      </c>
      <c r="BC61" s="260">
        <f t="shared" si="88"/>
        <v>-0.56497175141242417</v>
      </c>
      <c r="BD61" s="261">
        <f t="shared" si="88"/>
        <v>-9.7181729834794339E-2</v>
      </c>
      <c r="BE61" s="260"/>
      <c r="BF61" s="260">
        <f t="shared" si="89"/>
        <v>5.8000000000000052</v>
      </c>
      <c r="BG61" s="260">
        <f t="shared" si="89"/>
        <v>2.6515151515151603</v>
      </c>
      <c r="BH61" s="261">
        <f t="shared" si="89"/>
        <v>4.182879377431914</v>
      </c>
      <c r="BI61" s="260"/>
      <c r="BJ61" s="260">
        <f t="shared" si="90"/>
        <v>9.6408317580340288</v>
      </c>
      <c r="BK61" s="260">
        <f t="shared" si="90"/>
        <v>15.498154981549806</v>
      </c>
      <c r="BL61" s="261">
        <f t="shared" si="90"/>
        <v>12.605042016806722</v>
      </c>
      <c r="BM61" s="260"/>
      <c r="BN61" s="260">
        <f t="shared" si="91"/>
        <v>8.2758620689655125</v>
      </c>
      <c r="BO61" s="260">
        <f t="shared" si="92"/>
        <v>-10.302051013311807</v>
      </c>
      <c r="BP61" s="260">
        <f t="shared" si="93"/>
        <v>-1.3673996138749644</v>
      </c>
      <c r="BQ61" s="260"/>
      <c r="BR61" s="260">
        <f t="shared" si="94"/>
        <v>-12.577193323062296</v>
      </c>
      <c r="BS61" s="260">
        <f t="shared" si="95"/>
        <v>1.8233959031739078</v>
      </c>
      <c r="BT61" s="1481">
        <f t="shared" si="96"/>
        <v>-5.7793786976402917</v>
      </c>
      <c r="BU61" s="260"/>
      <c r="BV61" s="260">
        <f t="shared" si="97"/>
        <v>4.1313633005963579</v>
      </c>
      <c r="BW61" s="260">
        <f t="shared" si="98"/>
        <v>4.1409047643974572</v>
      </c>
      <c r="BX61" s="1481">
        <f t="shared" si="99"/>
        <v>4.1362307974027956</v>
      </c>
      <c r="BY61" s="260"/>
      <c r="BZ61" s="260"/>
      <c r="CA61" s="238"/>
      <c r="CB61" s="259" t="s">
        <v>599</v>
      </c>
      <c r="CC61" s="255"/>
      <c r="CD61" s="255"/>
      <c r="CE61" s="255"/>
      <c r="CF61" s="255"/>
      <c r="CG61" s="255"/>
      <c r="CH61" s="255"/>
      <c r="CI61" s="150"/>
      <c r="CJ61" s="137"/>
      <c r="CK61" s="137"/>
      <c r="CL61" s="137"/>
      <c r="CM61" s="150"/>
      <c r="CN61" s="137"/>
      <c r="CO61" s="137"/>
      <c r="CP61" s="137"/>
      <c r="CQ61" s="150"/>
      <c r="CR61" s="137"/>
      <c r="CS61" s="137"/>
      <c r="CT61" s="137"/>
      <c r="CU61" s="150">
        <f>+CU62-CU59-CU60</f>
        <v>5.7999999999999687</v>
      </c>
      <c r="CV61" s="148"/>
      <c r="CW61" s="148"/>
      <c r="CX61" s="148"/>
      <c r="CY61" s="150">
        <f>+CY62-CY59-CY60</f>
        <v>3.5999999999999801</v>
      </c>
      <c r="CZ61" s="148"/>
      <c r="DA61" s="148"/>
      <c r="DB61" s="148"/>
      <c r="DC61" s="150">
        <f>+DC62-DC59-DC60</f>
        <v>4.6000000000000227</v>
      </c>
      <c r="DD61" s="148"/>
      <c r="DE61" s="148"/>
      <c r="DF61" s="148"/>
      <c r="DG61" s="150">
        <f>+DG62-DG59-DG60</f>
        <v>5.3000000000000114</v>
      </c>
      <c r="DH61" s="148"/>
      <c r="DI61" s="148"/>
      <c r="DJ61" s="148"/>
      <c r="DK61" s="150">
        <f>+DK62-DK59-DK60</f>
        <v>7.1999999999999886</v>
      </c>
      <c r="DL61" s="148"/>
      <c r="DM61" s="148"/>
      <c r="DN61" s="148"/>
      <c r="DO61" s="150">
        <f>+DO62-DO59-DO60</f>
        <v>8</v>
      </c>
      <c r="DP61" s="150"/>
      <c r="DQ61" s="148"/>
      <c r="DR61" s="148"/>
      <c r="DS61" s="150">
        <f>+DS62-DS59-DS60</f>
        <v>1.2999999999999545</v>
      </c>
      <c r="DT61" s="150"/>
      <c r="DU61" s="150">
        <f>+DU62-DU59-DU60</f>
        <v>1.3999999999999488</v>
      </c>
      <c r="DV61" s="150">
        <f>+DV62-DV59-DV60</f>
        <v>-6.8000000000000398</v>
      </c>
      <c r="DW61" s="150">
        <f>+DW62-DW59-DW60</f>
        <v>-6.8000000000000398</v>
      </c>
      <c r="DX61" s="150"/>
      <c r="DY61" s="150">
        <f>+DY62-DY59-DY60</f>
        <v>1.3999999999999773</v>
      </c>
      <c r="DZ61" s="150">
        <f>+DZ62-DZ59-DZ60</f>
        <v>1.2999999999999829</v>
      </c>
      <c r="EA61" s="150">
        <f>+EA62-EA59-EA60</f>
        <v>1.2999999999999829</v>
      </c>
      <c r="EB61" s="150"/>
      <c r="EC61" s="1751">
        <f>+EC62-EC59-EC60</f>
        <v>1.4999999999999716</v>
      </c>
      <c r="ED61" s="150">
        <f>+ED62-ED59-ED60</f>
        <v>0</v>
      </c>
      <c r="EE61" s="148">
        <f>+EE62-EE59-EE60</f>
        <v>0</v>
      </c>
      <c r="EF61" s="148"/>
      <c r="EG61" s="2057">
        <f>+EG62-EG59-EG60</f>
        <v>0</v>
      </c>
      <c r="EH61" s="148">
        <f>+EH62-EH59-EH60</f>
        <v>0</v>
      </c>
      <c r="EI61" s="2058">
        <f>+EI62-EI59-EI60</f>
        <v>0</v>
      </c>
      <c r="EJ61" s="148"/>
      <c r="EK61" s="2057">
        <f>+EK62-EK59-EK60</f>
        <v>0</v>
      </c>
      <c r="EL61" s="148">
        <f>+EL62-EL59-EL60</f>
        <v>0</v>
      </c>
      <c r="EM61" s="2078">
        <f>+EM62-EM59-EM60</f>
        <v>0</v>
      </c>
      <c r="EN61" s="148"/>
      <c r="EO61" s="148">
        <f>+EO62-EO59-EO60</f>
        <v>0</v>
      </c>
      <c r="EP61" s="148">
        <f>+EP62-EP59-EP60</f>
        <v>0</v>
      </c>
      <c r="EQ61" s="2078">
        <f>+EQ62-EQ59-EQ60</f>
        <v>0</v>
      </c>
      <c r="ER61" s="148"/>
      <c r="ES61" s="148">
        <f>+ES62-ES59-ES60</f>
        <v>0</v>
      </c>
      <c r="ET61" s="148">
        <f>+ET62-ET59-ET60</f>
        <v>0</v>
      </c>
      <c r="EU61" s="148">
        <f>+EU62-EU59-EU60</f>
        <v>0</v>
      </c>
      <c r="EV61" s="148"/>
      <c r="EW61" s="148">
        <f>+EW62-EW59-EW60</f>
        <v>0</v>
      </c>
      <c r="EX61" s="148">
        <f>+EX62-EX59-EX60</f>
        <v>0</v>
      </c>
      <c r="EY61" s="2057">
        <f>+EY62-EY59-EY60</f>
        <v>0</v>
      </c>
      <c r="EZ61" s="148"/>
      <c r="FA61" s="148">
        <f>+FA62-FA59-FA60</f>
        <v>0</v>
      </c>
      <c r="FB61" s="148">
        <f>+FB62-FB59-FB60</f>
        <v>0</v>
      </c>
      <c r="FC61" s="2057">
        <f>+FC62-FC59-FC60</f>
        <v>0</v>
      </c>
      <c r="FD61" s="148"/>
      <c r="FE61" s="116"/>
      <c r="FF61" s="2192"/>
      <c r="FI61" s="258"/>
      <c r="FJ61" s="253"/>
      <c r="FK61" s="253"/>
      <c r="FL61" s="253"/>
      <c r="FM61" s="253"/>
    </row>
    <row r="62" spans="1:208" s="119" customFormat="1" ht="16.649999999999999" customHeight="1">
      <c r="A62" s="116"/>
      <c r="B62" s="116"/>
      <c r="C62" s="120" t="s">
        <v>608</v>
      </c>
      <c r="D62" s="183"/>
      <c r="E62" s="183"/>
      <c r="F62" s="242" t="e">
        <f>(F14/#REF!-1)</f>
        <v>#REF!</v>
      </c>
      <c r="G62" s="242" t="e">
        <f>(G14/#REF!-1)</f>
        <v>#REF!</v>
      </c>
      <c r="H62" s="242" t="e">
        <f>(H14/#REF!-1)</f>
        <v>#REF!</v>
      </c>
      <c r="I62" s="184"/>
      <c r="J62" s="242">
        <f t="shared" si="100"/>
        <v>-4.5893719806763267E-2</v>
      </c>
      <c r="K62" s="242">
        <f t="shared" si="100"/>
        <v>-3.4482758620689613E-2</v>
      </c>
      <c r="L62" s="242">
        <f t="shared" si="100"/>
        <v>-4.00471142520612E-2</v>
      </c>
      <c r="M62" s="183"/>
      <c r="N62" s="260">
        <f t="shared" si="78"/>
        <v>-14.050632911392402</v>
      </c>
      <c r="O62" s="260">
        <f t="shared" si="78"/>
        <v>-17.142857142857139</v>
      </c>
      <c r="P62" s="260">
        <f t="shared" si="78"/>
        <v>-15.644171779141104</v>
      </c>
      <c r="Q62" s="243"/>
      <c r="R62" s="260">
        <f t="shared" si="79"/>
        <v>11.929307805596467</v>
      </c>
      <c r="S62" s="260">
        <f t="shared" si="79"/>
        <v>7.9022988505747183</v>
      </c>
      <c r="T62" s="261">
        <f t="shared" si="79"/>
        <v>9.8909090909090835</v>
      </c>
      <c r="U62" s="243"/>
      <c r="V62" s="260">
        <f t="shared" si="80"/>
        <v>9.4736842105263221</v>
      </c>
      <c r="W62" s="260">
        <f t="shared" si="80"/>
        <v>25.299600532623167</v>
      </c>
      <c r="X62" s="261">
        <f t="shared" si="80"/>
        <v>17.339510258107204</v>
      </c>
      <c r="Y62" s="243"/>
      <c r="Z62" s="260">
        <f t="shared" si="81"/>
        <v>19.23076923076923</v>
      </c>
      <c r="AA62" s="260">
        <f t="shared" si="81"/>
        <v>7.8639744952178514</v>
      </c>
      <c r="AB62" s="261">
        <f t="shared" si="81"/>
        <v>13.197969543147202</v>
      </c>
      <c r="AC62" s="260"/>
      <c r="AD62" s="260">
        <f t="shared" si="82"/>
        <v>3.3266129032258007</v>
      </c>
      <c r="AE62" s="260">
        <f t="shared" si="82"/>
        <v>-1.0837438423645374</v>
      </c>
      <c r="AF62" s="261">
        <f t="shared" si="82"/>
        <v>1.0961634280019839</v>
      </c>
      <c r="AG62" s="260"/>
      <c r="AH62" s="260">
        <f t="shared" si="83"/>
        <v>-1.4634146341463428</v>
      </c>
      <c r="AI62" s="260">
        <f t="shared" si="83"/>
        <v>11.852589641434253</v>
      </c>
      <c r="AJ62" s="261">
        <f t="shared" si="83"/>
        <v>5.1256776737309107</v>
      </c>
      <c r="AK62" s="260"/>
      <c r="AL62" s="260">
        <f t="shared" si="84"/>
        <v>8.118811881188126</v>
      </c>
      <c r="AM62" s="260">
        <f t="shared" si="84"/>
        <v>28.049866429207484</v>
      </c>
      <c r="AN62" s="261">
        <f t="shared" si="84"/>
        <v>18.612283169245192</v>
      </c>
      <c r="AO62" s="260"/>
      <c r="AP62" s="260">
        <f t="shared" si="85"/>
        <v>11.904761904761907</v>
      </c>
      <c r="AQ62" s="260">
        <f t="shared" si="85"/>
        <v>-5.285118219749652</v>
      </c>
      <c r="AR62" s="261">
        <f t="shared" si="85"/>
        <v>2.134387351778666</v>
      </c>
      <c r="AS62" s="260"/>
      <c r="AT62" s="260">
        <f t="shared" si="86"/>
        <v>-3.4369885433715219</v>
      </c>
      <c r="AU62" s="260">
        <f t="shared" si="86"/>
        <v>-5.2129221732745918</v>
      </c>
      <c r="AV62" s="261">
        <f t="shared" si="86"/>
        <v>-4.3730650154798711</v>
      </c>
      <c r="AW62" s="260"/>
      <c r="AX62" s="260">
        <f t="shared" si="87"/>
        <v>19.237288135593221</v>
      </c>
      <c r="AY62" s="260">
        <f t="shared" si="87"/>
        <v>25.79395817195973</v>
      </c>
      <c r="AZ62" s="261">
        <f t="shared" si="87"/>
        <v>22.6628895184136</v>
      </c>
      <c r="BA62" s="260"/>
      <c r="BB62" s="260">
        <f t="shared" si="88"/>
        <v>5.4015636105188447</v>
      </c>
      <c r="BC62" s="260">
        <f t="shared" si="88"/>
        <v>17.98029556650247</v>
      </c>
      <c r="BD62" s="261">
        <f t="shared" si="88"/>
        <v>12.14120752226988</v>
      </c>
      <c r="BE62" s="260"/>
      <c r="BF62" s="260">
        <f t="shared" si="89"/>
        <v>11.66554281861092</v>
      </c>
      <c r="BG62" s="260">
        <f t="shared" si="89"/>
        <v>-15.918580375782875</v>
      </c>
      <c r="BH62" s="261">
        <f t="shared" si="89"/>
        <v>-3.8834951456310662</v>
      </c>
      <c r="BI62" s="260"/>
      <c r="BJ62" s="260">
        <f t="shared" si="90"/>
        <v>-4.4082125603864704</v>
      </c>
      <c r="BK62" s="260">
        <f t="shared" si="90"/>
        <v>4.9658597144630612</v>
      </c>
      <c r="BL62" s="261">
        <f t="shared" si="90"/>
        <v>0.21426385062748299</v>
      </c>
      <c r="BM62" s="260"/>
      <c r="BN62" s="260">
        <f t="shared" si="91"/>
        <v>4.5483259633606998</v>
      </c>
      <c r="BO62" s="260">
        <f t="shared" si="92"/>
        <v>1.6206386753400137</v>
      </c>
      <c r="BP62" s="260">
        <f t="shared" si="93"/>
        <v>3.0361942577886269</v>
      </c>
      <c r="BQ62" s="260"/>
      <c r="BR62" s="260">
        <f t="shared" si="94"/>
        <v>-2.3453172205438189</v>
      </c>
      <c r="BS62" s="260">
        <f t="shared" si="95"/>
        <v>-3.1666923687954651</v>
      </c>
      <c r="BT62" s="1481">
        <f t="shared" si="96"/>
        <v>-2.7637238932176844</v>
      </c>
      <c r="BU62" s="260"/>
      <c r="BV62" s="260">
        <f t="shared" si="97"/>
        <v>2.5504227548207581</v>
      </c>
      <c r="BW62" s="260">
        <f t="shared" si="98"/>
        <v>2.5324918851597822</v>
      </c>
      <c r="BX62" s="1481">
        <f t="shared" si="99"/>
        <v>2.5413266627916764</v>
      </c>
      <c r="BY62" s="260"/>
      <c r="BZ62" s="260"/>
      <c r="CA62" s="238"/>
      <c r="CB62" s="262" t="s">
        <v>758</v>
      </c>
      <c r="CC62" s="263"/>
      <c r="CD62" s="263"/>
      <c r="CE62" s="263"/>
      <c r="CF62" s="263"/>
      <c r="CG62" s="263"/>
      <c r="CH62" s="263"/>
      <c r="CI62" s="264"/>
      <c r="CJ62" s="263"/>
      <c r="CK62" s="263"/>
      <c r="CL62" s="263"/>
      <c r="CM62" s="264"/>
      <c r="CN62" s="263"/>
      <c r="CO62" s="263"/>
      <c r="CP62" s="263"/>
      <c r="CQ62" s="264"/>
      <c r="CR62" s="263"/>
      <c r="CS62" s="263"/>
      <c r="CT62" s="263"/>
      <c r="CU62" s="264">
        <f>+'P&amp;L'!BJ189/1000</f>
        <v>347.4</v>
      </c>
      <c r="CV62" s="265"/>
      <c r="CW62" s="265"/>
      <c r="CX62" s="265"/>
      <c r="CY62" s="264">
        <f>+'P&amp;L'!BN189/1000</f>
        <v>426.9</v>
      </c>
      <c r="CZ62" s="265"/>
      <c r="DA62" s="265"/>
      <c r="DB62" s="265"/>
      <c r="DC62" s="264">
        <f>+'P&amp;L'!BR189/1000</f>
        <v>486.3</v>
      </c>
      <c r="DD62" s="265"/>
      <c r="DE62" s="265"/>
      <c r="DF62" s="265"/>
      <c r="DG62" s="264">
        <f>+'P&amp;L'!BV189/1000</f>
        <v>478.6</v>
      </c>
      <c r="DH62" s="265"/>
      <c r="DI62" s="265"/>
      <c r="DJ62" s="265"/>
      <c r="DK62" s="264">
        <f>+'P&amp;L'!BZ189/1000</f>
        <v>481.7</v>
      </c>
      <c r="DL62" s="265"/>
      <c r="DM62" s="265"/>
      <c r="DN62" s="265"/>
      <c r="DO62" s="264">
        <f>+'P&amp;L'!CD189/1000</f>
        <v>496.7</v>
      </c>
      <c r="DP62" s="264"/>
      <c r="DQ62" s="265"/>
      <c r="DR62" s="265"/>
      <c r="DS62" s="264">
        <f>+'P&amp;L'!CH189/1000</f>
        <v>551.29999999999995</v>
      </c>
      <c r="DT62" s="264"/>
      <c r="DU62" s="264">
        <f>+'P&amp;L'!CJ189/1000</f>
        <v>563.4</v>
      </c>
      <c r="DV62" s="264">
        <f>+'P&amp;L'!CK189/1000</f>
        <v>598.9</v>
      </c>
      <c r="DW62" s="264">
        <f>+'P&amp;L'!CL189/1000</f>
        <v>598.9</v>
      </c>
      <c r="DX62" s="264"/>
      <c r="DY62" s="264">
        <f>+'P&amp;L'!CN189/1000</f>
        <v>556.29999999999995</v>
      </c>
      <c r="DZ62" s="264">
        <f>+'P&amp;L'!CO189/1000</f>
        <v>563.5</v>
      </c>
      <c r="EA62" s="264">
        <f>+'P&amp;L'!CP189/1000</f>
        <v>563.5</v>
      </c>
      <c r="EB62" s="264"/>
      <c r="EC62" s="1760">
        <f>+'P&amp;L'!CR189/1000</f>
        <v>737</v>
      </c>
      <c r="ED62" s="264">
        <f>+'P&amp;L'!CS189/1000</f>
        <v>793</v>
      </c>
      <c r="EE62" s="265">
        <f>+'P&amp;L'!CT189/1000</f>
        <v>793</v>
      </c>
      <c r="EF62" s="265"/>
      <c r="EG62" s="2059">
        <f>+'P&amp;L'!CV189/1000</f>
        <v>832.9</v>
      </c>
      <c r="EH62" s="265">
        <f>+'P&amp;L'!CW189/1000</f>
        <v>878.6</v>
      </c>
      <c r="EI62" s="2060">
        <f>+'P&amp;L'!CX189/1000</f>
        <v>878.6</v>
      </c>
      <c r="EJ62" s="265"/>
      <c r="EK62" s="2059">
        <f>+'P&amp;L'!CZ189/1000</f>
        <v>892</v>
      </c>
      <c r="EL62" s="265">
        <f>+'P&amp;L'!DA189/1000</f>
        <v>938.3</v>
      </c>
      <c r="EM62" s="2079">
        <f>+'P&amp;L'!DB189/1000</f>
        <v>938.3</v>
      </c>
      <c r="EN62" s="265"/>
      <c r="EO62" s="265">
        <f>+'P&amp;L'!DD189/1000</f>
        <v>916.8</v>
      </c>
      <c r="EP62" s="265">
        <f>+'P&amp;L'!DE189/1000</f>
        <v>941</v>
      </c>
      <c r="EQ62" s="2079">
        <f>+'P&amp;L'!DF189/1000</f>
        <v>941</v>
      </c>
      <c r="ER62" s="265"/>
      <c r="ES62" s="265">
        <f>+'P&amp;L'!DH189/1000</f>
        <v>959.1</v>
      </c>
      <c r="ET62" s="265">
        <f>+'P&amp;L'!DI189/1000</f>
        <v>734.78449999999998</v>
      </c>
      <c r="EU62" s="265">
        <f>+'P&amp;L'!DJ189/1000</f>
        <v>734.78449999999998</v>
      </c>
      <c r="EV62" s="265"/>
      <c r="EW62" s="265">
        <f>+'P&amp;L'!DL189/1000</f>
        <v>758.46886625000002</v>
      </c>
      <c r="EX62" s="265">
        <f>+'P&amp;L'!DM189/1000</f>
        <v>785.19635798437503</v>
      </c>
      <c r="EY62" s="2059">
        <f>+'P&amp;L'!DN189/1000</f>
        <v>785.19635798437503</v>
      </c>
      <c r="EZ62" s="265"/>
      <c r="FA62" s="265">
        <f>+'P&amp;L'!DP189/1000</f>
        <v>810.56182243311719</v>
      </c>
      <c r="FB62" s="265">
        <f>+'P&amp;L'!DQ189/1000</f>
        <v>839.18890031069532</v>
      </c>
      <c r="FC62" s="2059">
        <f>+'P&amp;L'!DR189/1000</f>
        <v>839.18890031069532</v>
      </c>
      <c r="FD62" s="148"/>
      <c r="FE62" s="116"/>
      <c r="FF62" s="2192"/>
      <c r="FI62" s="258"/>
      <c r="FJ62" s="253"/>
      <c r="FK62" s="253"/>
      <c r="FL62" s="253"/>
      <c r="FM62" s="253"/>
    </row>
    <row r="63" spans="1:208" s="119" customFormat="1" ht="16.649999999999999" customHeight="1">
      <c r="A63" s="116"/>
      <c r="B63" s="116"/>
      <c r="C63" s="270" t="str">
        <f>+C15</f>
        <v>Total Operating Expenses</v>
      </c>
      <c r="D63" s="271"/>
      <c r="E63" s="271"/>
      <c r="F63" s="273" t="e">
        <f>(F15/#REF!-1)</f>
        <v>#REF!</v>
      </c>
      <c r="G63" s="273" t="e">
        <f>(G15/#REF!-1)</f>
        <v>#REF!</v>
      </c>
      <c r="H63" s="273" t="e">
        <f>(H15/#REF!-1)</f>
        <v>#REF!</v>
      </c>
      <c r="I63" s="272"/>
      <c r="J63" s="273">
        <f t="shared" si="100"/>
        <v>-0.10627751178694578</v>
      </c>
      <c r="K63" s="273">
        <f t="shared" si="100"/>
        <v>-3.8190012906671789E-2</v>
      </c>
      <c r="L63" s="273">
        <f t="shared" si="100"/>
        <v>-7.2004036047752629E-2</v>
      </c>
      <c r="M63" s="271"/>
      <c r="N63" s="260">
        <f t="shared" si="78"/>
        <v>-10.300533730563256</v>
      </c>
      <c r="O63" s="260">
        <f t="shared" si="78"/>
        <v>-11.998246577217985</v>
      </c>
      <c r="P63" s="260">
        <f t="shared" si="78"/>
        <v>-11.186257292898528</v>
      </c>
      <c r="Q63" s="272"/>
      <c r="R63" s="260">
        <f t="shared" si="79"/>
        <v>13.086322428064644</v>
      </c>
      <c r="S63" s="260">
        <f t="shared" si="79"/>
        <v>16.279926335174942</v>
      </c>
      <c r="T63" s="261">
        <f t="shared" si="79"/>
        <v>14.737242955064733</v>
      </c>
      <c r="U63" s="272"/>
      <c r="V63" s="260">
        <f t="shared" si="80"/>
        <v>10.247472987103512</v>
      </c>
      <c r="W63" s="260">
        <f t="shared" si="80"/>
        <v>13.303769401330378</v>
      </c>
      <c r="X63" s="261">
        <f t="shared" si="80"/>
        <v>11.84865582475938</v>
      </c>
      <c r="Y63" s="272"/>
      <c r="Z63" s="260">
        <f t="shared" si="81"/>
        <v>16.945937401201384</v>
      </c>
      <c r="AA63" s="260">
        <f t="shared" si="81"/>
        <v>-3.7181996086105729</v>
      </c>
      <c r="AB63" s="261">
        <f t="shared" si="81"/>
        <v>5.9792284866468925</v>
      </c>
      <c r="AC63" s="260"/>
      <c r="AD63" s="260">
        <f t="shared" si="82"/>
        <v>0.91916734252499577</v>
      </c>
      <c r="AE63" s="260">
        <f t="shared" si="82"/>
        <v>2.4099883855981385</v>
      </c>
      <c r="AF63" s="275">
        <f t="shared" si="82"/>
        <v>1.6379672406551915</v>
      </c>
      <c r="AG63" s="274"/>
      <c r="AH63" s="274">
        <f t="shared" si="83"/>
        <v>-1.0715242432359995</v>
      </c>
      <c r="AI63" s="274">
        <f t="shared" si="83"/>
        <v>6.6912390133257782</v>
      </c>
      <c r="AJ63" s="275">
        <f t="shared" si="83"/>
        <v>2.6997245179063434</v>
      </c>
      <c r="AK63" s="274"/>
      <c r="AL63" s="274">
        <f t="shared" si="84"/>
        <v>11.69780666125102</v>
      </c>
      <c r="AM63" s="274">
        <f t="shared" si="84"/>
        <v>26.547967047568434</v>
      </c>
      <c r="AN63" s="275">
        <f t="shared" si="84"/>
        <v>19.192596566523612</v>
      </c>
      <c r="AO63" s="274"/>
      <c r="AP63" s="274">
        <f t="shared" si="85"/>
        <v>8.6060606060606162</v>
      </c>
      <c r="AQ63" s="274">
        <f t="shared" si="85"/>
        <v>-7.7908441831163415</v>
      </c>
      <c r="AR63" s="275">
        <f t="shared" si="85"/>
        <v>-0.18003825812985541</v>
      </c>
      <c r="AS63" s="274"/>
      <c r="AT63" s="274">
        <f t="shared" si="86"/>
        <v>-4.7767857142857135</v>
      </c>
      <c r="AU63" s="274">
        <f t="shared" si="86"/>
        <v>4.7825096788886468</v>
      </c>
      <c r="AV63" s="275">
        <f t="shared" si="86"/>
        <v>-4.5090745124565235E-2</v>
      </c>
      <c r="AW63" s="274"/>
      <c r="AX63" s="274">
        <f t="shared" si="87"/>
        <v>18.823253633380222</v>
      </c>
      <c r="AY63" s="274">
        <f t="shared" si="87"/>
        <v>24.233862203868718</v>
      </c>
      <c r="AZ63" s="275">
        <f t="shared" si="87"/>
        <v>21.630765760685698</v>
      </c>
      <c r="BA63" s="274"/>
      <c r="BB63" s="274">
        <f t="shared" si="88"/>
        <v>10.396527914776099</v>
      </c>
      <c r="BC63" s="274">
        <f t="shared" si="88"/>
        <v>14.3107067879636</v>
      </c>
      <c r="BD63" s="275">
        <f t="shared" si="88"/>
        <v>12.471024571163646</v>
      </c>
      <c r="BE63" s="274"/>
      <c r="BF63" s="274">
        <f t="shared" si="89"/>
        <v>5.7719799857040677</v>
      </c>
      <c r="BG63" s="274">
        <f t="shared" si="89"/>
        <v>-5.9993878175696347</v>
      </c>
      <c r="BH63" s="275">
        <f t="shared" si="89"/>
        <v>-0.5688375927452638</v>
      </c>
      <c r="BI63" s="274"/>
      <c r="BJ63" s="274">
        <f t="shared" si="90"/>
        <v>0</v>
      </c>
      <c r="BK63" s="274">
        <f t="shared" si="90"/>
        <v>1.2862259850211721</v>
      </c>
      <c r="BL63" s="275">
        <f t="shared" si="90"/>
        <v>0.65500373103390963</v>
      </c>
      <c r="BM63" s="274"/>
      <c r="BN63" s="274">
        <f t="shared" si="91"/>
        <v>5.40631863490455</v>
      </c>
      <c r="BO63" s="274">
        <f t="shared" si="92"/>
        <v>2.7680345670362705</v>
      </c>
      <c r="BP63" s="274">
        <f t="shared" si="93"/>
        <v>4.0543610413124043</v>
      </c>
      <c r="BQ63" s="274"/>
      <c r="BR63" s="274">
        <f t="shared" si="94"/>
        <v>-0.10866575605534834</v>
      </c>
      <c r="BS63" s="274">
        <f t="shared" si="95"/>
        <v>0.61635862196791624</v>
      </c>
      <c r="BT63" s="1480">
        <f t="shared" si="96"/>
        <v>0.25827156678766006</v>
      </c>
      <c r="BU63" s="274"/>
      <c r="BV63" s="274">
        <f t="shared" si="97"/>
        <v>4.2571964084679781</v>
      </c>
      <c r="BW63" s="274">
        <f t="shared" si="98"/>
        <v>4.564150208167117</v>
      </c>
      <c r="BX63" s="1480">
        <f t="shared" si="99"/>
        <v>4.4131016351530938</v>
      </c>
      <c r="BY63" s="274"/>
      <c r="BZ63" s="274"/>
      <c r="CA63" s="238"/>
      <c r="CB63" s="262" t="s">
        <v>490</v>
      </c>
      <c r="CC63" s="266"/>
      <c r="CD63" s="266"/>
      <c r="CE63" s="266"/>
      <c r="CF63" s="266"/>
      <c r="CG63" s="266"/>
      <c r="CH63" s="266"/>
      <c r="CI63" s="264"/>
      <c r="CJ63" s="266"/>
      <c r="CK63" s="266"/>
      <c r="CL63" s="266"/>
      <c r="CM63" s="264"/>
      <c r="CN63" s="266"/>
      <c r="CO63" s="266"/>
      <c r="CP63" s="266"/>
      <c r="CQ63" s="264"/>
      <c r="CR63" s="266"/>
      <c r="CS63" s="266"/>
      <c r="CT63" s="266"/>
      <c r="CU63" s="264">
        <f>'P&amp;L'!BJ208/1000</f>
        <v>338.83674999999999</v>
      </c>
      <c r="CV63" s="267"/>
      <c r="CW63" s="267"/>
      <c r="CX63" s="267"/>
      <c r="CY63" s="264">
        <f>'P&amp;L'!BN208/1000</f>
        <v>385.97500000000002</v>
      </c>
      <c r="CZ63" s="267"/>
      <c r="DA63" s="267"/>
      <c r="DB63" s="267"/>
      <c r="DC63" s="264">
        <f>'P&amp;L'!BR208/1000</f>
        <v>441</v>
      </c>
      <c r="DD63" s="267"/>
      <c r="DE63" s="267"/>
      <c r="DF63" s="267"/>
      <c r="DG63" s="264">
        <f>'P&amp;L'!BV208/1000</f>
        <v>493.375</v>
      </c>
      <c r="DH63" s="267"/>
      <c r="DI63" s="267"/>
      <c r="DJ63" s="267"/>
      <c r="DK63" s="264">
        <f>'P&amp;L'!BZ208/1000</f>
        <v>486.625</v>
      </c>
      <c r="DL63" s="267"/>
      <c r="DM63" s="267"/>
      <c r="DN63" s="267"/>
      <c r="DO63" s="264">
        <f>'P&amp;L'!CD208/1000</f>
        <v>481.4</v>
      </c>
      <c r="DP63" s="264"/>
      <c r="DQ63" s="267"/>
      <c r="DR63" s="267"/>
      <c r="DS63" s="264">
        <f>'P&amp;L'!CH208/1000</f>
        <v>537.5</v>
      </c>
      <c r="DT63" s="264"/>
      <c r="DU63" s="264">
        <f>'P&amp;L'!CJ208/1000</f>
        <v>557.35</v>
      </c>
      <c r="DV63" s="264">
        <f>'P&amp;L'!CK208/1000</f>
        <v>581.15</v>
      </c>
      <c r="DW63" s="264">
        <f>'P&amp;L'!CL208/1000</f>
        <v>569.25</v>
      </c>
      <c r="DX63" s="264"/>
      <c r="DY63" s="264">
        <f>'P&amp;L'!CN208/1000</f>
        <v>577.6</v>
      </c>
      <c r="DZ63" s="264">
        <f>'P&amp;L'!CO208/1000</f>
        <v>559.9</v>
      </c>
      <c r="EA63" s="264">
        <f>'P&amp;L'!CP208/1000</f>
        <v>568.75</v>
      </c>
      <c r="EB63" s="264"/>
      <c r="EC63" s="1760">
        <f>'P&amp;L'!CR208/1000</f>
        <v>650.25</v>
      </c>
      <c r="ED63" s="264">
        <f>'P&amp;L'!CS208/1000</f>
        <v>765</v>
      </c>
      <c r="EE63" s="265">
        <f>'P&amp;L'!CT208/1000</f>
        <v>707.625</v>
      </c>
      <c r="EF63" s="265"/>
      <c r="EG63" s="2059">
        <f>'P&amp;L'!CV208/1000</f>
        <v>812.95</v>
      </c>
      <c r="EH63" s="265">
        <f>'P&amp;L'!CW208/1000</f>
        <v>855.75</v>
      </c>
      <c r="EI63" s="2060">
        <f>'P&amp;L'!CX208/1000</f>
        <v>834.35</v>
      </c>
      <c r="EJ63" s="265"/>
      <c r="EK63" s="2059">
        <f>'P&amp;L'!CZ208/1000</f>
        <v>885.3</v>
      </c>
      <c r="EL63" s="265">
        <f>'P&amp;L'!DA208/1000</f>
        <v>915.15</v>
      </c>
      <c r="EM63" s="2079">
        <f>'P&amp;L'!DB208/1000</f>
        <v>900.22500000000002</v>
      </c>
      <c r="EN63" s="265"/>
      <c r="EO63" s="265">
        <f>'P&amp;L'!DD208/1000</f>
        <v>927.55</v>
      </c>
      <c r="EP63" s="265">
        <f>'P&amp;L'!DE208/1000</f>
        <v>928.9</v>
      </c>
      <c r="EQ63" s="2079">
        <f>'P&amp;L'!DF208/1000</f>
        <v>928.22500000000002</v>
      </c>
      <c r="ER63" s="265"/>
      <c r="ES63" s="265">
        <f>'P&amp;L'!DH208/1000</f>
        <v>950.05</v>
      </c>
      <c r="ET63" s="265">
        <f>'P&amp;L'!DI208/1000</f>
        <v>846.94224999999994</v>
      </c>
      <c r="EU63" s="265">
        <f>'P&amp;L'!DJ208/1000</f>
        <v>898.49612500000001</v>
      </c>
      <c r="EV63" s="265"/>
      <c r="EW63" s="265">
        <f>'P&amp;L'!DL208/1000</f>
        <v>746.626683125</v>
      </c>
      <c r="EX63" s="265">
        <f>'P&amp;L'!DM208/1000</f>
        <v>771.83261211718752</v>
      </c>
      <c r="EY63" s="2059">
        <f>'P&amp;L'!DN208/1000</f>
        <v>759.22964762109382</v>
      </c>
      <c r="EZ63" s="265"/>
      <c r="FA63" s="265">
        <f>'P&amp;L'!DP208/1000</f>
        <v>797.87909020874599</v>
      </c>
      <c r="FB63" s="265">
        <f>'P&amp;L'!DQ208/1000</f>
        <v>824.87536137190625</v>
      </c>
      <c r="FC63" s="2059">
        <f>'P&amp;L'!DR208/1000</f>
        <v>811.37722579032618</v>
      </c>
      <c r="FD63" s="148"/>
      <c r="FE63" s="116"/>
      <c r="FF63" s="2192"/>
      <c r="FI63" s="321"/>
      <c r="FJ63" s="321"/>
      <c r="FK63" s="253"/>
      <c r="FL63" s="253"/>
      <c r="FM63" s="253"/>
    </row>
    <row r="64" spans="1:208" s="119" customFormat="1" ht="16.649999999999999" customHeight="1">
      <c r="A64" s="116"/>
      <c r="B64" s="116"/>
      <c r="C64" s="239" t="str">
        <f>+C16</f>
        <v>Profit Before Tax</v>
      </c>
      <c r="D64" s="240"/>
      <c r="E64" s="240"/>
      <c r="F64" s="242" t="e">
        <f>(F16/#REF!-1)</f>
        <v>#REF!</v>
      </c>
      <c r="G64" s="242" t="e">
        <f>(G16/#REF!-1)</f>
        <v>#REF!</v>
      </c>
      <c r="H64" s="242" t="e">
        <f>(H16/#REF!-1)</f>
        <v>#REF!</v>
      </c>
      <c r="I64" s="243"/>
      <c r="J64" s="242">
        <f t="shared" si="100"/>
        <v>-0.1652197704890882</v>
      </c>
      <c r="K64" s="242">
        <f t="shared" si="100"/>
        <v>-0.18121130269421992</v>
      </c>
      <c r="L64" s="242">
        <f t="shared" si="100"/>
        <v>-0.17496978198861401</v>
      </c>
      <c r="M64" s="240"/>
      <c r="N64" s="260">
        <f t="shared" si="78"/>
        <v>24.779897432372387</v>
      </c>
      <c r="O64" s="260">
        <f t="shared" si="78"/>
        <v>39.879042433441626</v>
      </c>
      <c r="P64" s="260">
        <f t="shared" si="78"/>
        <v>33.916177203833222</v>
      </c>
      <c r="Q64" s="243"/>
      <c r="R64" s="260">
        <f t="shared" si="79"/>
        <v>56.673114119922644</v>
      </c>
      <c r="S64" s="260">
        <f t="shared" si="79"/>
        <v>46.171171171171174</v>
      </c>
      <c r="T64" s="261">
        <f t="shared" si="79"/>
        <v>50.035587188612098</v>
      </c>
      <c r="U64" s="243"/>
      <c r="V64" s="260">
        <f t="shared" si="80"/>
        <v>38.395061728395063</v>
      </c>
      <c r="W64" s="260">
        <f t="shared" si="80"/>
        <v>7.9352850539291309</v>
      </c>
      <c r="X64" s="261">
        <f t="shared" si="80"/>
        <v>19.639468690702078</v>
      </c>
      <c r="Y64" s="243"/>
      <c r="Z64" s="260">
        <f t="shared" si="81"/>
        <v>44.424620874219457</v>
      </c>
      <c r="AA64" s="260">
        <f t="shared" si="81"/>
        <v>-0.35688793718772205</v>
      </c>
      <c r="AB64" s="261">
        <f t="shared" si="81"/>
        <v>19.547977795400474</v>
      </c>
      <c r="AC64" s="260"/>
      <c r="AD64" s="260">
        <f t="shared" si="82"/>
        <v>-8.27671402100062</v>
      </c>
      <c r="AE64" s="260">
        <f t="shared" si="82"/>
        <v>15.97421203438396</v>
      </c>
      <c r="AF64" s="261">
        <f t="shared" si="82"/>
        <v>2.9519071310116107</v>
      </c>
      <c r="AG64" s="260"/>
      <c r="AH64" s="260">
        <f t="shared" si="83"/>
        <v>14.747474747474755</v>
      </c>
      <c r="AI64" s="260">
        <f t="shared" si="83"/>
        <v>8.7090796788140921</v>
      </c>
      <c r="AJ64" s="261">
        <f t="shared" si="83"/>
        <v>11.5979381443299</v>
      </c>
      <c r="AK64" s="260"/>
      <c r="AL64" s="260">
        <f t="shared" si="84"/>
        <v>5.8685446009398845E-2</v>
      </c>
      <c r="AM64" s="260">
        <f t="shared" si="84"/>
        <v>22.840909090909101</v>
      </c>
      <c r="AN64" s="261">
        <f t="shared" si="84"/>
        <v>11.633949191685922</v>
      </c>
      <c r="AO64" s="260"/>
      <c r="AP64" s="260">
        <f t="shared" si="85"/>
        <v>7.9178885630498463</v>
      </c>
      <c r="AQ64" s="260">
        <f t="shared" si="85"/>
        <v>-25.346901017576318</v>
      </c>
      <c r="AR64" s="261">
        <f t="shared" si="85"/>
        <v>-10.680113783294543</v>
      </c>
      <c r="AS64" s="260"/>
      <c r="AT64" s="260">
        <f t="shared" si="86"/>
        <v>-31.902173913043473</v>
      </c>
      <c r="AU64" s="260">
        <f t="shared" si="86"/>
        <v>64.436183395291209</v>
      </c>
      <c r="AV64" s="261">
        <f t="shared" si="86"/>
        <v>13.115228720324268</v>
      </c>
      <c r="AW64" s="260"/>
      <c r="AX64" s="260">
        <f t="shared" si="87"/>
        <v>118.27613727055066</v>
      </c>
      <c r="AY64" s="260">
        <f t="shared" si="87"/>
        <v>43.330821401657872</v>
      </c>
      <c r="AZ64" s="261">
        <f t="shared" si="87"/>
        <v>67.366265676990025</v>
      </c>
      <c r="BA64" s="260"/>
      <c r="BB64" s="260">
        <f t="shared" si="88"/>
        <v>13.564899451553924</v>
      </c>
      <c r="BC64" s="260">
        <f t="shared" si="88"/>
        <v>2.1556256572029531</v>
      </c>
      <c r="BD64" s="261">
        <f t="shared" si="88"/>
        <v>6.9276647805474934</v>
      </c>
      <c r="BE64" s="260"/>
      <c r="BF64" s="260">
        <f t="shared" si="89"/>
        <v>-35.898261429491306</v>
      </c>
      <c r="BG64" s="260">
        <f t="shared" si="89"/>
        <v>-27.045805455481219</v>
      </c>
      <c r="BH64" s="261">
        <f t="shared" si="89"/>
        <v>-30.978260869565222</v>
      </c>
      <c r="BI64" s="260"/>
      <c r="BJ64" s="260">
        <f t="shared" si="90"/>
        <v>15.369161225514816</v>
      </c>
      <c r="BK64" s="260">
        <f t="shared" ca="1" si="90"/>
        <v>-2.2574955908289285</v>
      </c>
      <c r="BL64" s="261">
        <f t="shared" ca="1" si="90"/>
        <v>5.0145047658516351</v>
      </c>
      <c r="BM64" s="260"/>
      <c r="BN64" s="260">
        <f t="shared" si="91"/>
        <v>6.7479320853286895</v>
      </c>
      <c r="BO64" s="260">
        <f t="shared" ca="1" si="92"/>
        <v>28.943495830102961</v>
      </c>
      <c r="BP64" s="260">
        <f t="shared" ca="1" si="93"/>
        <v>18.883667510894895</v>
      </c>
      <c r="BQ64" s="260"/>
      <c r="BR64" s="260">
        <f t="shared" si="94"/>
        <v>9.2183027592344313</v>
      </c>
      <c r="BS64" s="260">
        <f t="shared" si="95"/>
        <v>0.229898658817973</v>
      </c>
      <c r="BT64" s="1481">
        <f t="shared" si="96"/>
        <v>3.8879033188100154</v>
      </c>
      <c r="BU64" s="260"/>
      <c r="BV64" s="260">
        <f t="shared" si="97"/>
        <v>8.8405920636150483</v>
      </c>
      <c r="BW64" s="260">
        <f t="shared" si="98"/>
        <v>6.8078921474880705</v>
      </c>
      <c r="BX64" s="1481">
        <f t="shared" si="99"/>
        <v>7.6775839498238074</v>
      </c>
      <c r="BY64" s="260"/>
      <c r="BZ64" s="260"/>
      <c r="CA64" s="238"/>
      <c r="CB64" s="174"/>
      <c r="CC64" s="268"/>
      <c r="CD64" s="268"/>
      <c r="CE64" s="268"/>
      <c r="CF64" s="268"/>
      <c r="CG64" s="268"/>
      <c r="CH64" s="268"/>
      <c r="CI64" s="269"/>
      <c r="CJ64" s="268"/>
      <c r="CK64" s="268"/>
      <c r="CL64" s="268"/>
      <c r="CM64" s="269"/>
      <c r="CN64" s="268"/>
      <c r="CO64" s="268"/>
      <c r="CP64" s="268"/>
      <c r="CQ64" s="269"/>
      <c r="CR64" s="268"/>
      <c r="CS64" s="268"/>
      <c r="CT64" s="268"/>
      <c r="CU64" s="269"/>
      <c r="CV64" s="269"/>
      <c r="CW64" s="269"/>
      <c r="CX64" s="269"/>
      <c r="CY64" s="269"/>
      <c r="CZ64" s="269"/>
      <c r="DA64" s="269"/>
      <c r="DB64" s="269"/>
      <c r="DC64" s="269"/>
      <c r="DD64" s="269"/>
      <c r="DE64" s="269"/>
      <c r="DF64" s="269"/>
      <c r="DG64" s="269"/>
      <c r="DH64" s="269"/>
      <c r="DI64" s="269"/>
      <c r="DJ64" s="269"/>
      <c r="DK64" s="269"/>
      <c r="DL64" s="269"/>
      <c r="DM64" s="269"/>
      <c r="DN64" s="269"/>
      <c r="DO64" s="269"/>
      <c r="DP64" s="184"/>
      <c r="DQ64" s="269"/>
      <c r="DR64" s="269"/>
      <c r="DS64" s="269"/>
      <c r="DT64" s="184"/>
      <c r="DU64" s="269"/>
      <c r="DV64" s="269"/>
      <c r="DW64" s="269"/>
      <c r="DX64" s="184"/>
      <c r="DY64" s="269"/>
      <c r="DZ64" s="269"/>
      <c r="EA64" s="269"/>
      <c r="EB64" s="184"/>
      <c r="EC64" s="1761"/>
      <c r="ED64" s="269"/>
      <c r="EE64" s="269"/>
      <c r="EF64" s="184"/>
      <c r="EG64" s="1761"/>
      <c r="EH64" s="269"/>
      <c r="EI64" s="1939"/>
      <c r="EJ64" s="184"/>
      <c r="EK64" s="1761"/>
      <c r="EL64" s="1788"/>
      <c r="EM64" s="2080"/>
      <c r="EN64" s="184"/>
      <c r="EO64" s="269"/>
      <c r="EP64" s="1788"/>
      <c r="EQ64" s="2080"/>
      <c r="ER64" s="184"/>
      <c r="ES64" s="269"/>
      <c r="ET64" s="1788"/>
      <c r="EU64" s="1788"/>
      <c r="EV64" s="184"/>
      <c r="EW64" s="269"/>
      <c r="EX64" s="269"/>
      <c r="EY64" s="1761"/>
      <c r="EZ64" s="184"/>
      <c r="FA64" s="269"/>
      <c r="FB64" s="269"/>
      <c r="FC64" s="1761"/>
      <c r="FE64" s="116"/>
      <c r="FF64" s="2192"/>
      <c r="FI64" s="253"/>
      <c r="FJ64" s="253"/>
      <c r="FK64" s="253"/>
      <c r="FL64" s="253"/>
      <c r="FM64" s="253"/>
    </row>
    <row r="65" spans="1:169" s="119" customFormat="1" ht="16.649999999999999" customHeight="1">
      <c r="A65" s="116"/>
      <c r="B65" s="116"/>
      <c r="C65" s="522" t="str">
        <f>+C20</f>
        <v>Reported Profit</v>
      </c>
      <c r="D65" s="523"/>
      <c r="E65" s="523"/>
      <c r="F65" s="525" t="e">
        <f>(F20/#REF!-1)</f>
        <v>#REF!</v>
      </c>
      <c r="G65" s="525" t="e">
        <f>(G20/#REF!-1)</f>
        <v>#REF!</v>
      </c>
      <c r="H65" s="525" t="e">
        <f>(H20/#REF!-1)</f>
        <v>#REF!</v>
      </c>
      <c r="I65" s="524"/>
      <c r="J65" s="525">
        <f>(J20/F20-1)</f>
        <v>-0.24546458676773097</v>
      </c>
      <c r="K65" s="525">
        <f>(K20/G20-1)</f>
        <v>-0.22953462936818658</v>
      </c>
      <c r="L65" s="525">
        <f>(L20/H20-1)</f>
        <v>-0.23625074708592153</v>
      </c>
      <c r="M65" s="523"/>
      <c r="N65" s="526">
        <f>(N20/J20-1)*100</f>
        <v>18.621405032097393</v>
      </c>
      <c r="O65" s="526">
        <f>(O20/K20-1)*100</f>
        <v>15.050940106144516</v>
      </c>
      <c r="P65" s="526">
        <f>(P20/L20-1)*100</f>
        <v>16.538098702181394</v>
      </c>
      <c r="Q65" s="524"/>
      <c r="R65" s="526">
        <f>(R20/N20-1)*100</f>
        <v>38.781163434903057</v>
      </c>
      <c r="S65" s="526">
        <f>(S20/O20-1)*100</f>
        <v>56.270260351893</v>
      </c>
      <c r="T65" s="527">
        <f>(T20/P20-1)*100</f>
        <v>48.855535590553025</v>
      </c>
      <c r="U65" s="524"/>
      <c r="V65" s="526">
        <f>(V20/R20-1)*100</f>
        <v>35.32934131736527</v>
      </c>
      <c r="W65" s="526">
        <f>(W20/S20-1)*100</f>
        <v>20.874375399548594</v>
      </c>
      <c r="X65" s="527">
        <f>(X20/T20-1)*100</f>
        <v>26.58798097026407</v>
      </c>
      <c r="Y65" s="524"/>
      <c r="Z65" s="526">
        <f>(Z20/V20-1)*100</f>
        <v>57.817109144542769</v>
      </c>
      <c r="AA65" s="526">
        <f>(AA20/W20-1)*100</f>
        <v>7.2315945126229186</v>
      </c>
      <c r="AB65" s="527">
        <f>(AB20/X20-1)*100</f>
        <v>28.607220986107727</v>
      </c>
      <c r="AC65" s="526"/>
      <c r="AD65" s="526">
        <f>(AD20/Z20-1)*100</f>
        <v>-1.8691588785046731</v>
      </c>
      <c r="AE65" s="526">
        <f>(AE20/AA20-1)*100</f>
        <v>17.514016245759901</v>
      </c>
      <c r="AF65" s="527">
        <f>(AF20/AB20-1)*100</f>
        <v>7.4630843861613005</v>
      </c>
      <c r="AG65" s="526"/>
      <c r="AH65" s="526">
        <f>(AH20/AD20-1)*100</f>
        <v>18.857142857142861</v>
      </c>
      <c r="AI65" s="526">
        <f>(AI20/AE20-1)*100</f>
        <v>12.162845077902173</v>
      </c>
      <c r="AJ65" s="527">
        <f>(AJ20/AF20-1)*100</f>
        <v>15.332650880049069</v>
      </c>
      <c r="AK65" s="526"/>
      <c r="AL65" s="526">
        <f>(AL20/AH20-1)*100</f>
        <v>4.9679487179487225</v>
      </c>
      <c r="AM65" s="526">
        <f>(AM20/AI20-1)*100</f>
        <v>27.720715698478028</v>
      </c>
      <c r="AN65" s="527">
        <f>(AN20/AJ20-1)*100</f>
        <v>16.617855788292424</v>
      </c>
      <c r="AO65" s="526"/>
      <c r="AP65" s="526">
        <f>(AP20/AL20-1)*100</f>
        <v>11.221374045801525</v>
      </c>
      <c r="AQ65" s="526">
        <f>(AQ20/AM20-1)*100</f>
        <v>-23.796853792847795</v>
      </c>
      <c r="AR65" s="527">
        <f>(AR20/AN20-1)*100</f>
        <v>-8.4157868090085852</v>
      </c>
      <c r="AS65" s="526"/>
      <c r="AT65" s="526">
        <f>(AT20/AP20-1)*100</f>
        <v>-32.395332875772134</v>
      </c>
      <c r="AU65" s="526">
        <f>(AU20/AQ20-1)*100</f>
        <v>59.31784478497282</v>
      </c>
      <c r="AV65" s="527">
        <f>(AV20/AR20-1)*100</f>
        <v>10.397255710253383</v>
      </c>
      <c r="AW65" s="526"/>
      <c r="AX65" s="526">
        <f>(AX20/AT20-1)*100</f>
        <v>107.41116751269035</v>
      </c>
      <c r="AY65" s="526">
        <f>(AY20/AU20-1)*100</f>
        <v>31.174741072351985</v>
      </c>
      <c r="AZ65" s="527">
        <f>(AZ20/AV20-1)*100</f>
        <v>56.077121794467914</v>
      </c>
      <c r="BA65" s="526"/>
      <c r="BB65" s="526">
        <f>(BB20/AX20-1)*100</f>
        <v>16.642192853646609</v>
      </c>
      <c r="BC65" s="526">
        <f>(BC20/AY20-1)*100</f>
        <v>5.106082620922181</v>
      </c>
      <c r="BD65" s="527">
        <f>(BD20/AZ20-1)*100</f>
        <v>10.113694069253309</v>
      </c>
      <c r="BE65" s="526"/>
      <c r="BF65" s="526">
        <f>(BF20/BB20-1)*100</f>
        <v>-40.621065883340322</v>
      </c>
      <c r="BG65" s="526">
        <f>(BG20/BC20-1)*100</f>
        <v>-24.718788064968976</v>
      </c>
      <c r="BH65" s="527">
        <f>(BH20/BD20-1)*100</f>
        <v>-32.030934936681021</v>
      </c>
      <c r="BI65" s="526"/>
      <c r="BJ65" s="526">
        <f>(BJ20/BF20-1)*100</f>
        <v>13.922261484098941</v>
      </c>
      <c r="BK65" s="526">
        <f ca="1">(BK20/BG20-1)*100</f>
        <v>-0.18979923985404934</v>
      </c>
      <c r="BL65" s="527">
        <f ca="1">(BL20/BH20-1)*100</f>
        <v>5.4790787198828017</v>
      </c>
      <c r="BM65" s="526"/>
      <c r="BN65" s="526">
        <f>(BN20/BJ20-1)*100</f>
        <v>2.6674937965260437</v>
      </c>
      <c r="BO65" s="526">
        <f ca="1">(BO20/BK20-1)*100</f>
        <v>19.691094227392014</v>
      </c>
      <c r="BP65" s="526">
        <f ca="1">(BP20/BL20-1)*100</f>
        <v>12.305246359531807</v>
      </c>
      <c r="BQ65" s="526"/>
      <c r="BR65" s="526">
        <f>(BR20/BN20-1)*100</f>
        <v>15.76055832715082</v>
      </c>
      <c r="BS65" s="526">
        <f>(BS20/BO20-1)*100</f>
        <v>5.5281960167568922</v>
      </c>
      <c r="BT65" s="2147">
        <f>(BT20/BP20-1)*100</f>
        <v>9.5866232711851787</v>
      </c>
      <c r="BU65" s="526"/>
      <c r="BV65" s="526">
        <f>(BV20/BR20-1)*100</f>
        <v>8.8413788684501995</v>
      </c>
      <c r="BW65" s="526">
        <f>(BW20/BS20-1)*100</f>
        <v>6.800149411282308</v>
      </c>
      <c r="BX65" s="2147">
        <f>(BX20/BT20-1)*100</f>
        <v>7.6553672501961989</v>
      </c>
      <c r="BY65" s="526"/>
      <c r="BZ65" s="526"/>
      <c r="CA65" s="238"/>
      <c r="CB65" s="208" t="s">
        <v>489</v>
      </c>
      <c r="CC65" s="225"/>
      <c r="CD65" s="225"/>
      <c r="CE65" s="225"/>
      <c r="CF65" s="225"/>
      <c r="CG65" s="225"/>
      <c r="CH65" s="225"/>
      <c r="CI65" s="226"/>
      <c r="CJ65" s="225"/>
      <c r="CK65" s="225"/>
      <c r="CL65" s="225"/>
      <c r="CM65" s="226"/>
      <c r="CN65" s="225"/>
      <c r="CO65" s="225"/>
      <c r="CP65" s="225"/>
      <c r="CQ65" s="226"/>
      <c r="CR65" s="225"/>
      <c r="CS65" s="225"/>
      <c r="CT65" s="225"/>
      <c r="CU65" s="226"/>
      <c r="CV65" s="226"/>
      <c r="CW65" s="226"/>
      <c r="CX65" s="226"/>
      <c r="CY65" s="226"/>
      <c r="CZ65" s="226"/>
      <c r="DA65" s="226"/>
      <c r="DB65" s="226"/>
      <c r="DC65" s="226"/>
      <c r="DD65" s="226"/>
      <c r="DE65" s="226"/>
      <c r="DF65" s="226"/>
      <c r="DG65" s="226"/>
      <c r="DH65" s="226"/>
      <c r="DI65" s="226"/>
      <c r="DJ65" s="226"/>
      <c r="DK65" s="226"/>
      <c r="DL65" s="226"/>
      <c r="DM65" s="226"/>
      <c r="DN65" s="226"/>
      <c r="DO65" s="226"/>
      <c r="DP65" s="226"/>
      <c r="DQ65" s="226"/>
      <c r="DR65" s="226"/>
      <c r="DS65" s="226"/>
      <c r="DT65" s="226"/>
      <c r="DU65" s="226"/>
      <c r="DV65" s="226"/>
      <c r="DW65" s="226"/>
      <c r="DX65" s="226"/>
      <c r="DY65" s="226"/>
      <c r="DZ65" s="226"/>
      <c r="EA65" s="226"/>
      <c r="EB65" s="226"/>
      <c r="EC65" s="1754"/>
      <c r="ED65" s="226"/>
      <c r="EE65" s="226"/>
      <c r="EF65" s="226"/>
      <c r="EG65" s="1754"/>
      <c r="EH65" s="226"/>
      <c r="EI65" s="1933"/>
      <c r="EJ65" s="226"/>
      <c r="EK65" s="1754"/>
      <c r="EL65" s="226"/>
      <c r="EM65" s="2071"/>
      <c r="EN65" s="226"/>
      <c r="EO65" s="226"/>
      <c r="EP65" s="226"/>
      <c r="EQ65" s="2071"/>
      <c r="ER65" s="226"/>
      <c r="ES65" s="226"/>
      <c r="ET65" s="226"/>
      <c r="EU65" s="226"/>
      <c r="EV65" s="226"/>
      <c r="EW65" s="226"/>
      <c r="EX65" s="226"/>
      <c r="EY65" s="1754"/>
      <c r="EZ65" s="226"/>
      <c r="FA65" s="226"/>
      <c r="FB65" s="226"/>
      <c r="FC65" s="1754"/>
      <c r="FE65" s="116"/>
      <c r="FF65" s="2192"/>
      <c r="FI65" s="253"/>
      <c r="FJ65" s="253"/>
      <c r="FK65" s="253"/>
      <c r="FL65" s="253"/>
      <c r="FM65" s="253"/>
    </row>
    <row r="66" spans="1:169" s="119" customFormat="1" ht="16.649999999999999" customHeight="1">
      <c r="A66" s="116"/>
      <c r="B66" s="116"/>
      <c r="C66" s="270" t="str">
        <f>+C22</f>
        <v>Modelware Profit</v>
      </c>
      <c r="D66" s="606"/>
      <c r="E66" s="606"/>
      <c r="F66" s="608" t="e">
        <f>(F22/#REF!-1)</f>
        <v>#REF!</v>
      </c>
      <c r="G66" s="608" t="e">
        <f>(G22/#REF!-1)</f>
        <v>#REF!</v>
      </c>
      <c r="H66" s="608" t="e">
        <f>(H22/#REF!-1)</f>
        <v>#REF!</v>
      </c>
      <c r="I66" s="607"/>
      <c r="J66" s="608">
        <f>(J22/F22-1)</f>
        <v>-0.24546458676773097</v>
      </c>
      <c r="K66" s="608">
        <f>(K22/G22-1)</f>
        <v>-0.22953462936818658</v>
      </c>
      <c r="L66" s="608">
        <f>(L22/H22-1)</f>
        <v>-0.23625074708592153</v>
      </c>
      <c r="M66" s="606"/>
      <c r="N66" s="274">
        <f>(N22/J22-1)*100</f>
        <v>18.621405032097393</v>
      </c>
      <c r="O66" s="274">
        <f>(O22/K22-1)*100</f>
        <v>15.050940106144516</v>
      </c>
      <c r="P66" s="274">
        <f>(P22/L22-1)*100</f>
        <v>16.538098702181394</v>
      </c>
      <c r="Q66" s="607"/>
      <c r="R66" s="274">
        <f>(R22/N22-1)*100</f>
        <v>38.781163434903057</v>
      </c>
      <c r="S66" s="274">
        <f>(S22/O22-1)*100</f>
        <v>56.270260351893</v>
      </c>
      <c r="T66" s="275">
        <f>(T22/P22-1)*100</f>
        <v>48.855535590553025</v>
      </c>
      <c r="U66" s="607"/>
      <c r="V66" s="274">
        <f>(V22/R22-1)*100</f>
        <v>35.32934131736527</v>
      </c>
      <c r="W66" s="274">
        <f>(W22/S22-1)*100</f>
        <v>20.874375399548594</v>
      </c>
      <c r="X66" s="275">
        <f>(X22/T22-1)*100</f>
        <v>26.58798097026407</v>
      </c>
      <c r="Y66" s="607"/>
      <c r="Z66" s="274">
        <f>(Z22/V22-1)*100</f>
        <v>57.817109144542769</v>
      </c>
      <c r="AA66" s="274">
        <f>(AA22/W22-1)*100</f>
        <v>7.2315945126229186</v>
      </c>
      <c r="AB66" s="275">
        <f>(AB22/X22-1)*100</f>
        <v>28.607220986107727</v>
      </c>
      <c r="AC66" s="274"/>
      <c r="AD66" s="274">
        <f>(AD22/Z22-1)*100</f>
        <v>-1.8691588785046731</v>
      </c>
      <c r="AE66" s="274">
        <f>(AE22/AA22-1)*100</f>
        <v>17.514016245759901</v>
      </c>
      <c r="AF66" s="275">
        <f>(AF22/AB22-1)*100</f>
        <v>7.4630843861613005</v>
      </c>
      <c r="AG66" s="274"/>
      <c r="AH66" s="274">
        <f>(AH22/AD22-1)*100</f>
        <v>18.857142857142861</v>
      </c>
      <c r="AI66" s="274">
        <f>(AI22/AE22-1)*100</f>
        <v>12.162845077902173</v>
      </c>
      <c r="AJ66" s="275">
        <f>(AJ22/AF22-1)*100</f>
        <v>15.332650880049069</v>
      </c>
      <c r="AK66" s="274"/>
      <c r="AL66" s="274">
        <f>(AL22/AH22-1)*100</f>
        <v>4.9679487179487225</v>
      </c>
      <c r="AM66" s="274">
        <f>(AM22/AI22-1)*100</f>
        <v>27.720715698478028</v>
      </c>
      <c r="AN66" s="275">
        <f>(AN22/AJ22-1)*100</f>
        <v>16.617855788292424</v>
      </c>
      <c r="AO66" s="274"/>
      <c r="AP66" s="274">
        <f>(AP22/AL22-1)*100</f>
        <v>11.221374045801525</v>
      </c>
      <c r="AQ66" s="274">
        <f>(AQ22/AM22-1)*100</f>
        <v>-23.796853792847795</v>
      </c>
      <c r="AR66" s="275">
        <f>(AR22/AN22-1)*100</f>
        <v>-8.4157868090085852</v>
      </c>
      <c r="AS66" s="274"/>
      <c r="AT66" s="274">
        <f>(AT22/AP22-1)*100</f>
        <v>-32.395332875772134</v>
      </c>
      <c r="AU66" s="274">
        <f>(AU22/AQ22-1)*100</f>
        <v>59.31784478497282</v>
      </c>
      <c r="AV66" s="275">
        <f>(AV22/AR22-1)*100</f>
        <v>10.397255710253383</v>
      </c>
      <c r="AW66" s="274"/>
      <c r="AX66" s="274">
        <f>(AX22/AT22-1)*100</f>
        <v>107.41116751269035</v>
      </c>
      <c r="AY66" s="274">
        <f>(AY22/AU22-1)*100</f>
        <v>31.174741072351985</v>
      </c>
      <c r="AZ66" s="275">
        <f>(AZ22/AV22-1)*100</f>
        <v>56.077121794467914</v>
      </c>
      <c r="BA66" s="274"/>
      <c r="BB66" s="274">
        <f>(BB22/AX22-1)*100</f>
        <v>16.642192853646609</v>
      </c>
      <c r="BC66" s="274">
        <f>(BC22/AY22-1)*100</f>
        <v>5.106082620922181</v>
      </c>
      <c r="BD66" s="275">
        <f>(BD22/AZ22-1)*100</f>
        <v>10.113694069253309</v>
      </c>
      <c r="BE66" s="274"/>
      <c r="BF66" s="274">
        <f>(BF22/BB22-1)*100</f>
        <v>-40.621065883340322</v>
      </c>
      <c r="BG66" s="274">
        <f>(BG22/BC22-1)*100</f>
        <v>-24.718788064968976</v>
      </c>
      <c r="BH66" s="275">
        <f>(BH22/BD22-1)*100</f>
        <v>-32.030934936681021</v>
      </c>
      <c r="BI66" s="274"/>
      <c r="BJ66" s="274">
        <f>(BJ22/BF22-1)*100</f>
        <v>13.922261484098941</v>
      </c>
      <c r="BK66" s="274">
        <f ca="1">(BK22/BG22-1)*100</f>
        <v>-0.18979923985404934</v>
      </c>
      <c r="BL66" s="275">
        <f ca="1">(BL22/BH22-1)*100</f>
        <v>5.4790787198828017</v>
      </c>
      <c r="BM66" s="274"/>
      <c r="BN66" s="274">
        <f>(BN22/BJ22-1)*100</f>
        <v>2.6674937965260437</v>
      </c>
      <c r="BO66" s="274">
        <f ca="1">(BO22/BK22-1)*100</f>
        <v>19.691094227392014</v>
      </c>
      <c r="BP66" s="274">
        <f ca="1">(BP22/BL22-1)*100</f>
        <v>12.305246359531807</v>
      </c>
      <c r="BQ66" s="274"/>
      <c r="BR66" s="274">
        <f>(BR22/BN22-1)*100</f>
        <v>15.76055832715082</v>
      </c>
      <c r="BS66" s="274">
        <f>(BS22/BO22-1)*100</f>
        <v>5.5281960167568922</v>
      </c>
      <c r="BT66" s="2163">
        <f>(BT22/BP22-1)*100</f>
        <v>9.5866232711851787</v>
      </c>
      <c r="BU66" s="274"/>
      <c r="BV66" s="274">
        <f>(BV22/BR22-1)*100</f>
        <v>8.8413788684501995</v>
      </c>
      <c r="BW66" s="274">
        <f>(BW22/BS22-1)*100</f>
        <v>6.800149411282308</v>
      </c>
      <c r="BX66" s="2163">
        <f>(BX22/BT22-1)*100</f>
        <v>7.6553672501961989</v>
      </c>
      <c r="BY66" s="526"/>
      <c r="BZ66" s="526"/>
      <c r="CA66" s="238"/>
      <c r="CB66" s="180"/>
      <c r="CC66" s="158"/>
      <c r="CD66" s="158"/>
      <c r="CE66" s="138"/>
      <c r="CF66" s="138"/>
      <c r="CG66" s="158"/>
      <c r="CH66" s="158"/>
      <c r="CI66" s="148"/>
      <c r="CJ66" s="138"/>
      <c r="CK66" s="158"/>
      <c r="CL66" s="158"/>
      <c r="CM66" s="148"/>
      <c r="CN66" s="138"/>
      <c r="CO66" s="158"/>
      <c r="CP66" s="158"/>
      <c r="CQ66" s="148"/>
      <c r="CR66" s="138"/>
      <c r="CS66" s="158"/>
      <c r="CT66" s="158"/>
      <c r="CU66" s="148"/>
      <c r="CV66" s="140"/>
      <c r="CW66" s="210"/>
      <c r="CX66" s="210"/>
      <c r="CY66" s="140"/>
      <c r="CZ66" s="140"/>
      <c r="DA66" s="210"/>
      <c r="DB66" s="210"/>
      <c r="DC66" s="140"/>
      <c r="DD66" s="140"/>
      <c r="DE66" s="210"/>
      <c r="DF66" s="210"/>
      <c r="DG66" s="140"/>
      <c r="DH66" s="140"/>
      <c r="DI66" s="210"/>
      <c r="DJ66" s="210"/>
      <c r="DK66" s="140"/>
      <c r="DL66" s="140"/>
      <c r="DM66" s="210"/>
      <c r="DN66" s="210"/>
      <c r="DO66" s="140"/>
      <c r="DP66" s="140"/>
      <c r="DQ66" s="210"/>
      <c r="DR66" s="210"/>
      <c r="DS66" s="140"/>
      <c r="DT66" s="140"/>
      <c r="DU66" s="140"/>
      <c r="DV66" s="140"/>
      <c r="DW66" s="140"/>
      <c r="DX66" s="140"/>
      <c r="DY66" s="140"/>
      <c r="DZ66" s="140"/>
      <c r="EA66" s="140"/>
      <c r="EB66" s="140"/>
      <c r="EC66" s="1762"/>
      <c r="ED66" s="140"/>
      <c r="EE66" s="140"/>
      <c r="EF66" s="140"/>
      <c r="EG66" s="1762"/>
      <c r="EH66" s="140"/>
      <c r="EI66" s="1940"/>
      <c r="EJ66" s="140"/>
      <c r="EK66" s="1762"/>
      <c r="EL66" s="140"/>
      <c r="EM66" s="1343"/>
      <c r="EN66" s="140"/>
      <c r="EO66" s="140"/>
      <c r="EP66" s="140"/>
      <c r="EQ66" s="1343"/>
      <c r="ER66" s="140"/>
      <c r="ES66" s="140"/>
      <c r="ET66" s="140"/>
      <c r="EU66" s="140"/>
      <c r="EV66" s="140"/>
      <c r="EW66" s="140"/>
      <c r="EX66" s="140"/>
      <c r="EY66" s="1762"/>
      <c r="EZ66" s="140"/>
      <c r="FA66" s="140"/>
      <c r="FB66" s="140"/>
      <c r="FC66" s="1762"/>
      <c r="FE66" s="116"/>
      <c r="FF66" s="2192"/>
      <c r="FG66" s="253"/>
      <c r="FI66" s="253"/>
      <c r="FJ66" s="253"/>
      <c r="FK66" s="253"/>
      <c r="FL66" s="253"/>
      <c r="FM66" s="253"/>
    </row>
    <row r="67" spans="1:169" s="119" customFormat="1" ht="16.649999999999999" customHeight="1">
      <c r="A67" s="116"/>
      <c r="B67" s="116"/>
      <c r="C67" s="119" t="s">
        <v>1382</v>
      </c>
      <c r="AF67" s="278"/>
      <c r="AG67" s="121"/>
      <c r="AH67" s="121"/>
      <c r="AI67" s="121"/>
      <c r="AJ67" s="278"/>
      <c r="AK67" s="121"/>
      <c r="AL67" s="121"/>
      <c r="AM67" s="121"/>
      <c r="AN67" s="278"/>
      <c r="AO67" s="121"/>
      <c r="AP67" s="121"/>
      <c r="AQ67" s="121"/>
      <c r="AR67" s="278"/>
      <c r="AT67" s="121"/>
      <c r="AU67" s="121"/>
      <c r="AV67" s="278"/>
      <c r="AX67" s="121"/>
      <c r="AY67" s="121"/>
      <c r="AZ67" s="278"/>
      <c r="BB67" s="121"/>
      <c r="BC67" s="121"/>
      <c r="BD67" s="278"/>
      <c r="BF67" s="121"/>
      <c r="BG67" s="121"/>
      <c r="BH67" s="261">
        <f>(BH49/BD49-1)*100</f>
        <v>-42.558405489299133</v>
      </c>
      <c r="BI67" s="260"/>
      <c r="BJ67" s="260">
        <f>(BJ49/BF49-1)*100</f>
        <v>-8.3441981747066514</v>
      </c>
      <c r="BK67" s="260">
        <f>(BK49/BG49-1)*100</f>
        <v>-18.567103935418771</v>
      </c>
      <c r="BL67" s="261">
        <f>(BL49/BH49-1)*100</f>
        <v>-14.106939704209331</v>
      </c>
      <c r="BM67" s="260"/>
      <c r="BN67" s="260">
        <f>(BN49/BJ49-1)*100</f>
        <v>-1.849217638691325</v>
      </c>
      <c r="BO67" s="260">
        <f>(BO49/BK49-1)*100</f>
        <v>24.169764560099139</v>
      </c>
      <c r="BP67" s="260">
        <f>(BP49/BL49-1)*100</f>
        <v>12.056291390728479</v>
      </c>
      <c r="BQ67" s="260"/>
      <c r="BR67" s="260">
        <f>(BR49/BN49-1)*100</f>
        <v>3.4271739130434575</v>
      </c>
      <c r="BS67" s="260">
        <f>(BS49/BO49-1)*100</f>
        <v>2.9914425427872704</v>
      </c>
      <c r="BT67" s="1481">
        <f>(BT49/BP49-1)*100</f>
        <v>3.1691291628497709</v>
      </c>
      <c r="BU67" s="260"/>
      <c r="BV67" s="260">
        <f>(BV49/BR49-1)*100</f>
        <v>3.3371552482142963</v>
      </c>
      <c r="BW67" s="260">
        <f>(BW49/BS49-1)*100</f>
        <v>3.3308367063515476</v>
      </c>
      <c r="BX67" s="1481">
        <f>(BX49/BT49-1)*100</f>
        <v>3.3334197851745628</v>
      </c>
      <c r="BY67" s="260"/>
      <c r="BZ67" s="260"/>
      <c r="CA67" s="238"/>
      <c r="CB67" s="219" t="s">
        <v>257</v>
      </c>
      <c r="CC67" s="169"/>
      <c r="CD67" s="169"/>
      <c r="CE67" s="161"/>
      <c r="CF67" s="161"/>
      <c r="CG67" s="169"/>
      <c r="CH67" s="169"/>
      <c r="CI67" s="150"/>
      <c r="CJ67" s="161"/>
      <c r="CK67" s="169"/>
      <c r="CL67" s="169"/>
      <c r="CM67" s="150"/>
      <c r="CN67" s="161"/>
      <c r="CO67" s="169"/>
      <c r="CP67" s="169"/>
      <c r="CQ67" s="150"/>
      <c r="CR67" s="161"/>
      <c r="CS67" s="169"/>
      <c r="CT67" s="169"/>
      <c r="CU67" s="150">
        <f>Capital!BJ80/1000</f>
        <v>12.948</v>
      </c>
      <c r="CV67" s="164"/>
      <c r="CW67" s="200"/>
      <c r="CX67" s="200"/>
      <c r="CY67" s="150">
        <f>Capital!BN80/1000</f>
        <v>12.879</v>
      </c>
      <c r="CZ67" s="164"/>
      <c r="DA67" s="200"/>
      <c r="DB67" s="200"/>
      <c r="DC67" s="150">
        <f>Capital!BR80/1000</f>
        <v>16.077000000000002</v>
      </c>
      <c r="DD67" s="164"/>
      <c r="DE67" s="200"/>
      <c r="DF67" s="200"/>
      <c r="DG67" s="150">
        <f>Capital!BV80/1000</f>
        <v>17.248000000000001</v>
      </c>
      <c r="DH67" s="164"/>
      <c r="DI67" s="200"/>
      <c r="DJ67" s="200"/>
      <c r="DK67" s="150">
        <f>Capital!BZ80/1000</f>
        <v>18.670000000000002</v>
      </c>
      <c r="DL67" s="164"/>
      <c r="DM67" s="200"/>
      <c r="DN67" s="200"/>
      <c r="DO67" s="150">
        <f>Capital!CD80/1000</f>
        <v>19.079999999999998</v>
      </c>
      <c r="DP67" s="150"/>
      <c r="DQ67" s="200"/>
      <c r="DR67" s="200"/>
      <c r="DS67" s="150">
        <f>Capital!CH80/1000</f>
        <v>21.858000000000001</v>
      </c>
      <c r="DT67" s="150"/>
      <c r="DU67" s="150">
        <f>Capital!CJ80/1000</f>
        <v>23.776</v>
      </c>
      <c r="DV67" s="150">
        <f>Capital!CK80/1000</f>
        <v>24.751999999999999</v>
      </c>
      <c r="DW67" s="150">
        <f>Capital!CL80/1000</f>
        <v>24.751999999999999</v>
      </c>
      <c r="DX67" s="150"/>
      <c r="DY67" s="150">
        <f>Capital!CN80/1000</f>
        <v>24.61</v>
      </c>
      <c r="DZ67" s="150">
        <f>Capital!CO80/1000</f>
        <v>26.295000000000002</v>
      </c>
      <c r="EA67" s="150">
        <f>Capital!CP80/1000</f>
        <v>26.295000000000002</v>
      </c>
      <c r="EB67" s="150"/>
      <c r="EC67" s="1751">
        <f>Capital!CR80/1000</f>
        <v>29.105</v>
      </c>
      <c r="ED67" s="150">
        <f>Capital!CS80/1000</f>
        <v>33.57</v>
      </c>
      <c r="EE67" s="150">
        <f>Capital!CT80/1000</f>
        <v>33.57</v>
      </c>
      <c r="EF67" s="150"/>
      <c r="EG67" s="1751">
        <f>Capital!CV80/1000</f>
        <v>37.22</v>
      </c>
      <c r="EH67" s="150">
        <f>Capital!CW80/1000</f>
        <v>39.073999999999998</v>
      </c>
      <c r="EI67" s="1930">
        <f>Capital!CX80/1000</f>
        <v>39.073999999999998</v>
      </c>
      <c r="EJ67" s="150">
        <f>Capital!CY80/1000</f>
        <v>0</v>
      </c>
      <c r="EK67" s="1751">
        <f>Capital!CZ80/1000</f>
        <v>38.610999999999997</v>
      </c>
      <c r="EL67" s="150">
        <f>Capital!DA80/1000</f>
        <v>39.341000000000001</v>
      </c>
      <c r="EM67" s="2068">
        <f>Capital!DB80/1000</f>
        <v>39.341000000000001</v>
      </c>
      <c r="EN67" s="150"/>
      <c r="EO67" s="150">
        <f>Capital!DD80/1000</f>
        <v>38.862000000000002</v>
      </c>
      <c r="EP67" s="150">
        <f>Capital!DE80/1000</f>
        <v>41.848999999999997</v>
      </c>
      <c r="EQ67" s="2068">
        <f>Capital!DF80/1000</f>
        <v>41.848999999999997</v>
      </c>
      <c r="ER67" s="150">
        <f>Capital!DG80/1000</f>
        <v>0</v>
      </c>
      <c r="ES67" s="150">
        <f>Capital!DH80/1000</f>
        <v>40.997999999999998</v>
      </c>
      <c r="ET67" s="150">
        <f ca="1">Capital!DI80/1000</f>
        <v>43.44071091419837</v>
      </c>
      <c r="EU67" s="150">
        <f ca="1">Capital!DJ80/1000</f>
        <v>43.44071091419837</v>
      </c>
      <c r="EV67" s="150"/>
      <c r="EW67" s="150">
        <f ca="1">Capital!DL80/1000</f>
        <v>44.030627341897272</v>
      </c>
      <c r="EX67" s="150">
        <f ca="1">Capital!DM80/1000</f>
        <v>47.018178844444336</v>
      </c>
      <c r="EY67" s="1751">
        <f ca="1">Capital!DN80/1000</f>
        <v>47.018178844444336</v>
      </c>
      <c r="EZ67" s="150"/>
      <c r="FA67" s="150">
        <f ca="1">Capital!DP80/1000</f>
        <v>47.720308424208675</v>
      </c>
      <c r="FB67" s="150">
        <f ca="1">Capital!DQ80/1000</f>
        <v>50.9176939141608</v>
      </c>
      <c r="FC67" s="1751">
        <f ca="1">Capital!DR80/1000</f>
        <v>50.9176939141608</v>
      </c>
      <c r="FE67" s="116"/>
      <c r="FF67" s="2192"/>
      <c r="FG67" s="253"/>
      <c r="FI67" s="253"/>
      <c r="FJ67" s="253"/>
      <c r="FK67" s="253"/>
      <c r="FL67" s="253"/>
      <c r="FM67" s="253"/>
    </row>
    <row r="68" spans="1:169" s="119" customFormat="1" ht="16.649999999999999" customHeight="1">
      <c r="A68" s="116"/>
      <c r="B68" s="116"/>
      <c r="C68" s="191" t="s">
        <v>1127</v>
      </c>
      <c r="D68" s="207"/>
      <c r="E68" s="207"/>
      <c r="F68" s="280" t="e">
        <f>(F29/#REF!-1)</f>
        <v>#REF!</v>
      </c>
      <c r="G68" s="280" t="e">
        <f>(G29/#REF!-1)</f>
        <v>#REF!</v>
      </c>
      <c r="H68" s="280" t="e">
        <f>(H29/#REF!-1)</f>
        <v>#REF!</v>
      </c>
      <c r="I68" s="279"/>
      <c r="J68" s="280" t="e">
        <f t="shared" ref="J68:L69" si="101">(J29/F29-1)</f>
        <v>#DIV/0!</v>
      </c>
      <c r="K68" s="280" t="e">
        <f t="shared" si="101"/>
        <v>#DIV/0!</v>
      </c>
      <c r="L68" s="280" t="e">
        <f t="shared" si="101"/>
        <v>#DIV/0!</v>
      </c>
      <c r="M68" s="281"/>
      <c r="N68" s="260" t="e">
        <f t="shared" ref="N68:P69" si="102">(N29/J29-1)*100</f>
        <v>#DIV/0!</v>
      </c>
      <c r="O68" s="260" t="e">
        <f t="shared" si="102"/>
        <v>#DIV/0!</v>
      </c>
      <c r="P68" s="260" t="e">
        <f t="shared" si="102"/>
        <v>#DIV/0!</v>
      </c>
      <c r="Q68" s="279"/>
      <c r="R68" s="260" t="e">
        <f t="shared" ref="R68:T69" si="103">(R29/N29-1)*100</f>
        <v>#DIV/0!</v>
      </c>
      <c r="S68" s="260" t="e">
        <f t="shared" si="103"/>
        <v>#DIV/0!</v>
      </c>
      <c r="T68" s="261" t="e">
        <f t="shared" si="103"/>
        <v>#DIV/0!</v>
      </c>
      <c r="U68" s="181"/>
      <c r="V68" s="260" t="e">
        <f t="shared" ref="V68:X69" si="104">(V29/R29-1)*100</f>
        <v>#DIV/0!</v>
      </c>
      <c r="W68" s="260" t="e">
        <f t="shared" si="104"/>
        <v>#DIV/0!</v>
      </c>
      <c r="X68" s="261" t="e">
        <f t="shared" si="104"/>
        <v>#DIV/0!</v>
      </c>
      <c r="Y68" s="181"/>
      <c r="Z68" s="260" t="e">
        <f t="shared" ref="Z68:AB69" si="105">(Z29/V29-1)*100</f>
        <v>#DIV/0!</v>
      </c>
      <c r="AA68" s="260" t="e">
        <f t="shared" si="105"/>
        <v>#DIV/0!</v>
      </c>
      <c r="AB68" s="261" t="e">
        <f t="shared" si="105"/>
        <v>#DIV/0!</v>
      </c>
      <c r="AC68" s="260"/>
      <c r="AD68" s="260" t="e">
        <f>(AD29/Z29-1)*100</f>
        <v>#DIV/0!</v>
      </c>
      <c r="AE68" s="260" t="e">
        <f>(AE29/AA29-1)*100</f>
        <v>#DIV/0!</v>
      </c>
      <c r="AF68" s="261">
        <f t="shared" ref="AF68:AZ68" si="106">(AF39/AB39-1)*100</f>
        <v>-4.2226487523992269</v>
      </c>
      <c r="AG68" s="260" t="e">
        <f t="shared" si="106"/>
        <v>#DIV/0!</v>
      </c>
      <c r="AH68" s="260">
        <f t="shared" si="106"/>
        <v>2.7428571428571358</v>
      </c>
      <c r="AI68" s="260">
        <f t="shared" si="106"/>
        <v>1.9969611460820547</v>
      </c>
      <c r="AJ68" s="261">
        <f t="shared" si="106"/>
        <v>2.3602761077710976</v>
      </c>
      <c r="AK68" s="260" t="e">
        <f t="shared" si="106"/>
        <v>#DIV/0!</v>
      </c>
      <c r="AL68" s="260">
        <f t="shared" si="106"/>
        <v>12.925472747497224</v>
      </c>
      <c r="AM68" s="260">
        <f t="shared" si="106"/>
        <v>7.1717386678016526</v>
      </c>
      <c r="AN68" s="261">
        <f t="shared" si="106"/>
        <v>9.9847726778333765</v>
      </c>
      <c r="AO68" s="260" t="e">
        <f t="shared" si="106"/>
        <v>#DIV/0!</v>
      </c>
      <c r="AP68" s="260">
        <f t="shared" si="106"/>
        <v>1.5957446808510634</v>
      </c>
      <c r="AQ68" s="260">
        <f t="shared" si="106"/>
        <v>7.6052422557585375</v>
      </c>
      <c r="AR68" s="261">
        <f t="shared" si="106"/>
        <v>4.5886075949367111</v>
      </c>
      <c r="AS68" s="260" t="e">
        <f t="shared" si="106"/>
        <v>#DIV/0!</v>
      </c>
      <c r="AT68" s="260">
        <f t="shared" si="106"/>
        <v>-4.7702152414194288</v>
      </c>
      <c r="AU68" s="260">
        <f t="shared" si="106"/>
        <v>6.0158700867318782</v>
      </c>
      <c r="AV68" s="261">
        <f t="shared" si="106"/>
        <v>0.75642965204236745</v>
      </c>
      <c r="AW68" s="260" t="e">
        <f t="shared" si="106"/>
        <v>#DIV/0!</v>
      </c>
      <c r="AX68" s="260">
        <f t="shared" si="106"/>
        <v>37.141111789859508</v>
      </c>
      <c r="AY68" s="260">
        <f t="shared" si="106"/>
        <v>26.283724978241942</v>
      </c>
      <c r="AZ68" s="261">
        <f t="shared" si="106"/>
        <v>31.287537537537546</v>
      </c>
      <c r="BA68" s="260"/>
      <c r="BB68" s="260">
        <f t="shared" ref="BB68" si="107">(BB39/AX39-1)*100</f>
        <v>6.5924276169265106</v>
      </c>
      <c r="BC68" s="260">
        <f t="shared" ref="BC68" si="108">(BC39/AY39-1)*100</f>
        <v>29.483115093039292</v>
      </c>
      <c r="BD68" s="261">
        <f t="shared" ref="BD68" si="109">(BD39/AZ39-1)*100</f>
        <v>18.463187991422437</v>
      </c>
      <c r="BE68" s="260"/>
      <c r="BF68" s="260">
        <f t="shared" ref="BF68" si="110">(BF39/BB39-1)*100</f>
        <v>0.84970051539212665</v>
      </c>
      <c r="BG68" s="260">
        <f t="shared" ref="BG68" si="111">(BG39/BC39-1)*100</f>
        <v>-18.394720034064292</v>
      </c>
      <c r="BH68" s="261">
        <f t="shared" ref="BH68" si="112">(BH39/BD39-1)*100</f>
        <v>-10.058528932601218</v>
      </c>
      <c r="BI68" s="260"/>
      <c r="BJ68" s="260">
        <f t="shared" ref="BJ68" si="113">(BJ39/BF39-1)*100</f>
        <v>-2.7624309392260127E-2</v>
      </c>
      <c r="BK68" s="260">
        <f t="shared" ref="BK68:BL68" ca="1" si="114">(BK39/BG39-1)*100</f>
        <v>6.6657970258283239</v>
      </c>
      <c r="BL68" s="261">
        <f t="shared" ca="1" si="114"/>
        <v>3.41473232255467</v>
      </c>
      <c r="BM68" s="260"/>
      <c r="BN68" s="260">
        <f t="shared" ref="BN68" si="115">(BN39/BJ39-1)*100</f>
        <v>8.0685272174633837</v>
      </c>
      <c r="BO68" s="260">
        <f t="shared" ref="BO68" ca="1" si="116">(BO39/BK39-1)*100</f>
        <v>2.9482458687433821</v>
      </c>
      <c r="BP68" s="260">
        <f t="shared" ref="BP68" ca="1" si="117">(BP39/BL39-1)*100</f>
        <v>5.352436358658097</v>
      </c>
      <c r="BQ68" s="260"/>
      <c r="BR68" s="260">
        <f t="shared" ref="BR68" si="118">(BR39/BN39-1)*100</f>
        <v>1.2151840938075642</v>
      </c>
      <c r="BS68" s="260">
        <f t="shared" ref="BS68" si="119">(BS39/BO39-1)*100</f>
        <v>4.3280783596814754</v>
      </c>
      <c r="BT68" s="1481">
        <f t="shared" ref="BT68" si="120">(BT39/BP39-1)*100</f>
        <v>2.828759276935755</v>
      </c>
      <c r="BU68" s="260"/>
      <c r="BV68" s="260">
        <f t="shared" ref="BV68" si="121">(BV39/BR39-1)*100</f>
        <v>4.8811009894596191</v>
      </c>
      <c r="BW68" s="260">
        <f t="shared" ref="BW68" si="122">(BW39/BS39-1)*100</f>
        <v>4.5798450162276572</v>
      </c>
      <c r="BX68" s="1481">
        <f t="shared" ref="BX68" si="123">(BX39/BT39-1)*100</f>
        <v>4.7226674533243473</v>
      </c>
      <c r="BY68" s="260"/>
      <c r="BZ68" s="260"/>
      <c r="CA68" s="238"/>
      <c r="CB68" s="212" t="s">
        <v>465</v>
      </c>
      <c r="CC68" s="158"/>
      <c r="CD68" s="158"/>
      <c r="CE68" s="161"/>
      <c r="CF68" s="161"/>
      <c r="CG68" s="169"/>
      <c r="CH68" s="169"/>
      <c r="CI68" s="150"/>
      <c r="CJ68" s="161"/>
      <c r="CK68" s="169"/>
      <c r="CL68" s="169"/>
      <c r="CM68" s="150"/>
      <c r="CN68" s="161"/>
      <c r="CO68" s="169"/>
      <c r="CP68" s="169"/>
      <c r="CQ68" s="150"/>
      <c r="CR68" s="161"/>
      <c r="CS68" s="169"/>
      <c r="CT68" s="169"/>
      <c r="CU68" s="150">
        <f>Capital!BJ67/1000</f>
        <v>97.548000000000002</v>
      </c>
      <c r="CV68" s="164"/>
      <c r="CW68" s="200"/>
      <c r="CX68" s="200"/>
      <c r="CY68" s="150">
        <f>Capital!BN67/1000</f>
        <v>100.9855</v>
      </c>
      <c r="CZ68" s="164"/>
      <c r="DA68" s="200"/>
      <c r="DB68" s="200"/>
      <c r="DC68" s="150">
        <f>Capital!BR67/1000</f>
        <v>126.65900000000001</v>
      </c>
      <c r="DD68" s="164"/>
      <c r="DE68" s="200"/>
      <c r="DF68" s="200"/>
      <c r="DG68" s="150">
        <f>Capital!BV67/1000</f>
        <v>131.22800000000001</v>
      </c>
      <c r="DH68" s="164"/>
      <c r="DI68" s="200"/>
      <c r="DJ68" s="200"/>
      <c r="DK68" s="150">
        <f>Capital!BZ67/1000</f>
        <v>130.8305</v>
      </c>
      <c r="DL68" s="164"/>
      <c r="DM68" s="200"/>
      <c r="DN68" s="200"/>
      <c r="DO68" s="150">
        <f>Capital!CD67/1000</f>
        <v>148.364</v>
      </c>
      <c r="DP68" s="150"/>
      <c r="DQ68" s="200"/>
      <c r="DR68" s="200"/>
      <c r="DS68" s="150">
        <f>Capital!CH67/1000</f>
        <v>166.59450000000001</v>
      </c>
      <c r="DT68" s="150"/>
      <c r="DU68" s="150">
        <f>Capital!CJ67/1000</f>
        <v>184.45099999999999</v>
      </c>
      <c r="DV68" s="150">
        <f>Capital!CK67/1000</f>
        <v>187.86349999999999</v>
      </c>
      <c r="DW68" s="150">
        <f>Capital!CL67/1000</f>
        <v>187.86349999999999</v>
      </c>
      <c r="DX68" s="150"/>
      <c r="DY68" s="150">
        <f>Capital!CN67/1000</f>
        <v>161.92099999999999</v>
      </c>
      <c r="DZ68" s="150">
        <f>Capital!CO67/1000</f>
        <v>184.81</v>
      </c>
      <c r="EA68" s="150">
        <f>Capital!CP67/1000</f>
        <v>184.81</v>
      </c>
      <c r="EB68" s="150"/>
      <c r="EC68" s="1751">
        <f>Capital!CR67/1000</f>
        <v>220.44649999999999</v>
      </c>
      <c r="ED68" s="150">
        <f>Capital!CS67/1000</f>
        <v>240.8955</v>
      </c>
      <c r="EE68" s="150">
        <f>Capital!CT67/1000</f>
        <v>240.8955</v>
      </c>
      <c r="EF68" s="150"/>
      <c r="EG68" s="1751">
        <f>Capital!CV67/1000</f>
        <v>263.892</v>
      </c>
      <c r="EH68" s="150">
        <f>Capital!CW67/1000</f>
        <v>254.23</v>
      </c>
      <c r="EI68" s="1930">
        <f>Capital!CX67/1000</f>
        <v>254.23</v>
      </c>
      <c r="EJ68" s="150">
        <f>Capital!CY67/1000</f>
        <v>5.5353877511203021E-5</v>
      </c>
      <c r="EK68" s="1751">
        <f>Capital!CZ67/1000</f>
        <v>269.40800000000002</v>
      </c>
      <c r="EL68" s="150">
        <f>Capital!DA67/1000</f>
        <v>272.58800000000002</v>
      </c>
      <c r="EM68" s="2068">
        <f>Capital!DB67/1000</f>
        <v>272.58800000000002</v>
      </c>
      <c r="EN68" s="150"/>
      <c r="EO68" s="150">
        <f>Capital!DD67/1000</f>
        <v>278.43799999999999</v>
      </c>
      <c r="EP68" s="150">
        <f>Capital!DE67/1000</f>
        <v>309.56200000000001</v>
      </c>
      <c r="EQ68" s="2068">
        <f>Capital!DF67/1000</f>
        <v>309.56200000000001</v>
      </c>
      <c r="ER68" s="150">
        <f>Capital!DG67/1000</f>
        <v>1.356406004666384E-4</v>
      </c>
      <c r="ES68" s="150">
        <f>Capital!DH67/1000</f>
        <v>322.9085</v>
      </c>
      <c r="ET68" s="150">
        <f>Capital!DI67/1000</f>
        <v>338.76647981602906</v>
      </c>
      <c r="EU68" s="150">
        <f>Capital!DJ67/1000</f>
        <v>338.76647981602906</v>
      </c>
      <c r="EV68" s="150"/>
      <c r="EW68" s="150">
        <f>Capital!DL67/1000</f>
        <v>347.58287169317902</v>
      </c>
      <c r="EX68" s="150">
        <f>Capital!DM67/1000</f>
        <v>358.38353229353993</v>
      </c>
      <c r="EY68" s="1751">
        <f>Capital!DN67/1000</f>
        <v>358.38353229353993</v>
      </c>
      <c r="EZ68" s="150"/>
      <c r="FA68" s="150">
        <f>Capital!DP67/1000</f>
        <v>369.57726441974251</v>
      </c>
      <c r="FB68" s="150">
        <f>Capital!DQ67/1000</f>
        <v>381.17980909249314</v>
      </c>
      <c r="FC68" s="1751">
        <f>Capital!DR67/1000</f>
        <v>381.17980909249314</v>
      </c>
      <c r="FE68" s="116"/>
      <c r="FF68" s="2192"/>
      <c r="FG68" s="253"/>
      <c r="FI68" s="253"/>
      <c r="FJ68" s="253"/>
      <c r="FK68" s="253"/>
      <c r="FL68" s="253"/>
      <c r="FM68" s="253"/>
    </row>
    <row r="69" spans="1:169" s="119" customFormat="1" ht="16.649999999999999" customHeight="1">
      <c r="A69" s="116"/>
      <c r="B69" s="116"/>
      <c r="C69" s="191" t="s">
        <v>1128</v>
      </c>
      <c r="D69" s="207"/>
      <c r="E69" s="207"/>
      <c r="F69" s="280" t="e">
        <f>(F30/#REF!-1)</f>
        <v>#REF!</v>
      </c>
      <c r="G69" s="280" t="e">
        <f>(G30/#REF!-1)</f>
        <v>#REF!</v>
      </c>
      <c r="H69" s="280" t="e">
        <f>(H30/#REF!-1)</f>
        <v>#REF!</v>
      </c>
      <c r="I69" s="279"/>
      <c r="J69" s="280" t="e">
        <f t="shared" si="101"/>
        <v>#DIV/0!</v>
      </c>
      <c r="K69" s="280" t="e">
        <f t="shared" si="101"/>
        <v>#DIV/0!</v>
      </c>
      <c r="L69" s="280" t="e">
        <f t="shared" si="101"/>
        <v>#DIV/0!</v>
      </c>
      <c r="M69" s="281"/>
      <c r="N69" s="260" t="e">
        <f t="shared" si="102"/>
        <v>#DIV/0!</v>
      </c>
      <c r="O69" s="260" t="e">
        <f t="shared" si="102"/>
        <v>#DIV/0!</v>
      </c>
      <c r="P69" s="260" t="e">
        <f t="shared" si="102"/>
        <v>#DIV/0!</v>
      </c>
      <c r="Q69" s="279"/>
      <c r="R69" s="260" t="e">
        <f t="shared" si="103"/>
        <v>#DIV/0!</v>
      </c>
      <c r="S69" s="260" t="e">
        <f t="shared" si="103"/>
        <v>#DIV/0!</v>
      </c>
      <c r="T69" s="261" t="e">
        <f t="shared" si="103"/>
        <v>#DIV/0!</v>
      </c>
      <c r="U69" s="181"/>
      <c r="V69" s="260" t="e">
        <f t="shared" si="104"/>
        <v>#DIV/0!</v>
      </c>
      <c r="W69" s="260" t="e">
        <f t="shared" si="104"/>
        <v>#DIV/0!</v>
      </c>
      <c r="X69" s="261" t="e">
        <f t="shared" si="104"/>
        <v>#DIV/0!</v>
      </c>
      <c r="Y69" s="181"/>
      <c r="Z69" s="260" t="e">
        <f t="shared" si="105"/>
        <v>#DIV/0!</v>
      </c>
      <c r="AA69" s="260" t="e">
        <f t="shared" si="105"/>
        <v>#DIV/0!</v>
      </c>
      <c r="AB69" s="261" t="e">
        <f t="shared" si="105"/>
        <v>#DIV/0!</v>
      </c>
      <c r="AC69" s="260"/>
      <c r="AD69" s="260" t="e">
        <f>(AD30/Z30-1)*100</f>
        <v>#DIV/0!</v>
      </c>
      <c r="AE69" s="260" t="e">
        <f>(AE30/AA30-1)*100</f>
        <v>#DIV/0!</v>
      </c>
      <c r="AF69" s="261">
        <f t="shared" ref="AF69:AZ69" si="124">(AF46/AB46-1)*100</f>
        <v>77.179487179487168</v>
      </c>
      <c r="AG69" s="260" t="e">
        <f t="shared" si="124"/>
        <v>#DIV/0!</v>
      </c>
      <c r="AH69" s="260">
        <f t="shared" si="124"/>
        <v>6.9988137603796075</v>
      </c>
      <c r="AI69" s="260">
        <f t="shared" si="124"/>
        <v>52.875695732838594</v>
      </c>
      <c r="AJ69" s="261">
        <f t="shared" si="124"/>
        <v>24.891461649782933</v>
      </c>
      <c r="AK69" s="260" t="e">
        <f t="shared" si="124"/>
        <v>#DIV/0!</v>
      </c>
      <c r="AL69" s="260">
        <f t="shared" si="124"/>
        <v>-16.407982261640797</v>
      </c>
      <c r="AM69" s="260">
        <f t="shared" si="124"/>
        <v>129.126213592233</v>
      </c>
      <c r="AN69" s="261">
        <f t="shared" si="124"/>
        <v>53.070683661645425</v>
      </c>
      <c r="AO69" s="260" t="e">
        <f t="shared" si="124"/>
        <v>#DIV/0!</v>
      </c>
      <c r="AP69" s="260">
        <f t="shared" si="124"/>
        <v>54.24403183023874</v>
      </c>
      <c r="AQ69" s="260">
        <f t="shared" si="124"/>
        <v>-68.961864406779654</v>
      </c>
      <c r="AR69" s="261">
        <f t="shared" si="124"/>
        <v>-33.800151400454205</v>
      </c>
      <c r="AS69" s="260" t="e">
        <f t="shared" si="124"/>
        <v>#DIV/0!</v>
      </c>
      <c r="AT69" s="260">
        <f t="shared" si="124"/>
        <v>-47.721410146173696</v>
      </c>
      <c r="AU69" s="260">
        <f t="shared" si="124"/>
        <v>157.67918088737201</v>
      </c>
      <c r="AV69" s="261">
        <f t="shared" si="124"/>
        <v>21.097770154373929</v>
      </c>
      <c r="AW69" s="260" t="e">
        <f t="shared" si="124"/>
        <v>#DIV/0!</v>
      </c>
      <c r="AX69" s="260">
        <f t="shared" si="124"/>
        <v>75.82236842105263</v>
      </c>
      <c r="AY69" s="260">
        <f t="shared" si="124"/>
        <v>50</v>
      </c>
      <c r="AZ69" s="261">
        <f t="shared" si="124"/>
        <v>57.412653446647788</v>
      </c>
      <c r="BA69" s="260"/>
      <c r="BB69" s="260">
        <f t="shared" ref="BB69" si="125">(BB46/AX46-1)*100</f>
        <v>42.469597754911128</v>
      </c>
      <c r="BC69" s="260">
        <f t="shared" ref="BC69" si="126">(BC46/AY46-1)*100</f>
        <v>-54.701986754966889</v>
      </c>
      <c r="BD69" s="261">
        <f t="shared" ref="BD69" si="127">(BD46/AZ46-1)*100</f>
        <v>-23.545290941811636</v>
      </c>
      <c r="BE69" s="260"/>
      <c r="BF69" s="260">
        <f t="shared" ref="BF69" si="128">(BF46/BB46-1)*100</f>
        <v>-56.007879185817465</v>
      </c>
      <c r="BG69" s="260">
        <f t="shared" ref="BG69" si="129">(BG46/BC46-1)*100</f>
        <v>27.777777777777768</v>
      </c>
      <c r="BH69" s="261">
        <f t="shared" ref="BH69" si="130">(BH46/BD46-1)*100</f>
        <v>-22.283248332679484</v>
      </c>
      <c r="BI69" s="260"/>
      <c r="BJ69" s="260">
        <f t="shared" ref="BJ69" si="131">(BJ46/BF46-1)*100</f>
        <v>45.97014925373135</v>
      </c>
      <c r="BK69" s="260">
        <f t="shared" ref="BK69:BL69" ca="1" si="132">(BK46/BG46-1)*100</f>
        <v>-37.833714721586574</v>
      </c>
      <c r="BL69" s="261">
        <f t="shared" ca="1" si="132"/>
        <v>-9.4901564866229133</v>
      </c>
      <c r="BM69" s="260"/>
      <c r="BN69" s="260">
        <f t="shared" ref="BN69" si="133">(BN46/BJ46-1)*100</f>
        <v>-11.145194274028626</v>
      </c>
      <c r="BO69" s="260">
        <f t="shared" ref="BO69" ca="1" si="134">(BO46/BK46-1)*100</f>
        <v>89.95651965402871</v>
      </c>
      <c r="BP69" s="260">
        <f t="shared" ref="BP69" ca="1" si="135">(BP46/BL46-1)*100</f>
        <v>34.810130238724703</v>
      </c>
      <c r="BQ69" s="260"/>
      <c r="BR69" s="260">
        <f t="shared" ref="BR69" si="136">(BR46/BN46-1)*100</f>
        <v>14.292454236882367</v>
      </c>
      <c r="BS69" s="260">
        <f t="shared" ref="BS69" si="137">(BS46/BO46-1)*100</f>
        <v>-20.458129845015883</v>
      </c>
      <c r="BT69" s="1481">
        <f t="shared" ref="BT69" si="138">(BT46/BP46-1)*100</f>
        <v>-7.964775233837651</v>
      </c>
      <c r="BU69" s="260"/>
      <c r="BV69" s="260">
        <f t="shared" ref="BV69" si="139">(BV46/BR46-1)*100</f>
        <v>11.642404282455487</v>
      </c>
      <c r="BW69" s="260">
        <f t="shared" ref="BW69" si="140">(BW46/BS46-1)*100</f>
        <v>10.977487066594316</v>
      </c>
      <c r="BX69" s="1481">
        <f t="shared" ref="BX69" si="141">(BX46/BT46-1)*100</f>
        <v>11.274344561083161</v>
      </c>
      <c r="BY69" s="260"/>
      <c r="BZ69" s="260"/>
      <c r="CA69" s="238"/>
      <c r="CB69" s="219" t="s">
        <v>1378</v>
      </c>
      <c r="CD69" s="276"/>
      <c r="CE69" s="282"/>
      <c r="CF69" s="161"/>
      <c r="CG69" s="162"/>
      <c r="CH69" s="162"/>
      <c r="CI69" s="150"/>
      <c r="CJ69" s="161"/>
      <c r="CK69" s="162"/>
      <c r="CL69" s="162"/>
      <c r="CM69" s="150"/>
      <c r="CN69" s="161"/>
      <c r="CO69" s="162"/>
      <c r="CP69" s="162"/>
      <c r="CQ69" s="150"/>
      <c r="CR69" s="161"/>
      <c r="CS69" s="162"/>
      <c r="CT69" s="162"/>
      <c r="CU69" s="150">
        <f>Capital!BJ113/1000</f>
        <v>11.899165</v>
      </c>
      <c r="CV69" s="283"/>
      <c r="CW69" s="197"/>
      <c r="CX69" s="197"/>
      <c r="CY69" s="150">
        <f>Capital!BN113/1000</f>
        <v>12.442290000000002</v>
      </c>
      <c r="CZ69" s="283"/>
      <c r="DA69" s="197"/>
      <c r="DB69" s="197"/>
      <c r="DC69" s="150">
        <f>Capital!BR113/1000</f>
        <v>15.092195</v>
      </c>
      <c r="DD69" s="283"/>
      <c r="DE69" s="197"/>
      <c r="DF69" s="197"/>
      <c r="DG69" s="150">
        <f>Capital!BV113/1000</f>
        <v>15.190440000000001</v>
      </c>
      <c r="DH69" s="283"/>
      <c r="DI69" s="197"/>
      <c r="DJ69" s="197"/>
      <c r="DK69" s="150">
        <f>Capital!BZ113/1000</f>
        <v>14.96664</v>
      </c>
      <c r="DL69" s="283"/>
      <c r="DM69" s="197"/>
      <c r="DN69" s="197"/>
      <c r="DO69" s="150">
        <f>Capital!CD113/1000</f>
        <v>16.692220000000002</v>
      </c>
      <c r="DP69" s="150"/>
      <c r="DQ69" s="197"/>
      <c r="DR69" s="197"/>
      <c r="DS69" s="152">
        <f>Capital!CH113/1000</f>
        <v>17.292110000000001</v>
      </c>
      <c r="DT69" s="152"/>
      <c r="DU69" s="152">
        <f>Capital!CJ113/1000</f>
        <v>18.86598</v>
      </c>
      <c r="DV69" s="152">
        <f>Capital!CK113/1000</f>
        <v>19.598479999999999</v>
      </c>
      <c r="DW69" s="152">
        <f>Capital!CL113/1000</f>
        <v>19.598479999999999</v>
      </c>
      <c r="DX69" s="152"/>
      <c r="DY69" s="152">
        <f>Capital!CN113/1000</f>
        <v>16.985205000000001</v>
      </c>
      <c r="DZ69" s="152">
        <f>Capital!CO113/1000</f>
        <v>19.357174999999998</v>
      </c>
      <c r="EA69" s="152">
        <f>Capital!CP113/1000</f>
        <v>19.357174999999998</v>
      </c>
      <c r="EB69" s="152"/>
      <c r="EC69" s="1756">
        <f>Capital!CR113/1000</f>
        <v>22.990945</v>
      </c>
      <c r="ED69" s="152">
        <f>Capital!CS113/1000</f>
        <v>25.500464999999998</v>
      </c>
      <c r="EE69" s="152">
        <f>Capital!CT113/1000</f>
        <v>25.500464999999998</v>
      </c>
      <c r="EF69" s="152"/>
      <c r="EG69" s="1756">
        <f>Capital!CV113/1000</f>
        <v>27.741785</v>
      </c>
      <c r="EH69" s="152">
        <f>Capital!CW113/1000</f>
        <v>26.73715</v>
      </c>
      <c r="EI69" s="1935">
        <f>Capital!CX113/1000</f>
        <v>26.73715</v>
      </c>
      <c r="EJ69" s="152">
        <f>Capital!CY113/1000</f>
        <v>0</v>
      </c>
      <c r="EK69" s="1756">
        <f>Capital!CZ113/1000</f>
        <v>28.122589999999999</v>
      </c>
      <c r="EL69" s="152">
        <f>Capital!DA113/1000</f>
        <v>28.675489999999996</v>
      </c>
      <c r="EM69" s="2073">
        <f>Capital!DB113/1000</f>
        <v>28.675489999999996</v>
      </c>
      <c r="EN69" s="152"/>
      <c r="EO69" s="152">
        <f>Capital!DD113/1000</f>
        <v>29.060489999999998</v>
      </c>
      <c r="EP69" s="152">
        <f>Capital!DE113/1000</f>
        <v>32.302010000000003</v>
      </c>
      <c r="EQ69" s="2073">
        <f>Capital!DF113/1000</f>
        <v>32.302010000000003</v>
      </c>
      <c r="ER69" s="152">
        <f>Capital!DG113/1000</f>
        <v>0</v>
      </c>
      <c r="ES69" s="152">
        <f>Capital!DH113/1000</f>
        <v>33.411954999999999</v>
      </c>
      <c r="ET69" s="152">
        <f>Capital!DI113/1000</f>
        <v>35.104412078411677</v>
      </c>
      <c r="EU69" s="152">
        <f>Capital!DJ113/1000</f>
        <v>35.104412078411677</v>
      </c>
      <c r="EV69" s="152"/>
      <c r="EW69" s="152">
        <f>Capital!DL113/1000</f>
        <v>36.063972258146009</v>
      </c>
      <c r="EX69" s="152">
        <f>Capital!DM113/1000</f>
        <v>37.255183209443132</v>
      </c>
      <c r="EY69" s="1756">
        <f>Capital!DN113/1000</f>
        <v>37.255183209443132</v>
      </c>
      <c r="EZ69" s="152"/>
      <c r="FA69" s="152">
        <f>Capital!DP113/1000</f>
        <v>38.495633225564447</v>
      </c>
      <c r="FB69" s="152">
        <f>Capital!DQ113/1000</f>
        <v>39.787733280761572</v>
      </c>
      <c r="FC69" s="1756">
        <f>Capital!DR113/1000</f>
        <v>39.787733280761572</v>
      </c>
      <c r="FD69" s="213"/>
      <c r="FE69" s="116"/>
      <c r="FF69" s="2192"/>
      <c r="FG69" s="253"/>
      <c r="FI69" s="253"/>
      <c r="FJ69" s="253"/>
      <c r="FK69" s="253"/>
      <c r="FL69" s="253"/>
      <c r="FM69" s="253"/>
    </row>
    <row r="70" spans="1:169" s="119" customFormat="1" ht="16.649999999999999" customHeight="1">
      <c r="A70" s="116"/>
      <c r="B70" s="116"/>
      <c r="C70" s="549" t="s">
        <v>772</v>
      </c>
      <c r="D70" s="1895"/>
      <c r="E70" s="1895"/>
      <c r="F70" s="608" t="e">
        <f>(F24/#REF!-1)</f>
        <v>#REF!</v>
      </c>
      <c r="G70" s="608" t="e">
        <f>(G24/#REF!-1)</f>
        <v>#REF!</v>
      </c>
      <c r="H70" s="608" t="e">
        <f>(H24/#REF!-1)</f>
        <v>#REF!</v>
      </c>
      <c r="I70" s="607"/>
      <c r="J70" s="608">
        <f>(J24/F24-1)</f>
        <v>-0.276177583856557</v>
      </c>
      <c r="K70" s="608">
        <f>(K24/G24-1)</f>
        <v>-0.24094212944770887</v>
      </c>
      <c r="L70" s="608">
        <f>(L24/H24-1)</f>
        <v>-0.25626214827513094</v>
      </c>
      <c r="M70" s="606"/>
      <c r="N70" s="274">
        <f>(N24/J24-1)*100</f>
        <v>22.125584362630811</v>
      </c>
      <c r="O70" s="274">
        <f>(O24/K24-1)*100</f>
        <v>17.829406985426054</v>
      </c>
      <c r="P70" s="274">
        <f>(P24/L24-1)*100</f>
        <v>19.445890215732952</v>
      </c>
      <c r="Q70" s="607"/>
      <c r="R70" s="274">
        <f>(R24/N24-1)*100</f>
        <v>41.943615495116759</v>
      </c>
      <c r="S70" s="274">
        <f>(S24/O24-1)*100</f>
        <v>61.318137284420061</v>
      </c>
      <c r="T70" s="275">
        <f>(T24/P24-1)*100</f>
        <v>52.987743499690573</v>
      </c>
      <c r="U70" s="1896"/>
      <c r="V70" s="274">
        <f>(V24/R24-1)*100</f>
        <v>42.460914168551135</v>
      </c>
      <c r="W70" s="274">
        <f>(W24/S24-1)*100</f>
        <v>22.277612668980783</v>
      </c>
      <c r="X70" s="275">
        <f>(X24/T24-1)*100</f>
        <v>30.724710357739404</v>
      </c>
      <c r="Y70" s="1896"/>
      <c r="Z70" s="274">
        <f>(Z24/V24-1)*100</f>
        <v>52.146821750181857</v>
      </c>
      <c r="AA70" s="274">
        <f>(AA24/W24-1)*100</f>
        <v>2.4432884448936099</v>
      </c>
      <c r="AB70" s="275">
        <f>(AB24/X24-1)*100</f>
        <v>23.299414252926809</v>
      </c>
      <c r="AC70" s="274"/>
      <c r="AD70" s="274">
        <f>(AD24/Z24-1)*100</f>
        <v>-3.9224113422242746</v>
      </c>
      <c r="AE70" s="274">
        <f>(AE24/AA24-1)*100</f>
        <v>17.181377943663257</v>
      </c>
      <c r="AF70" s="275">
        <f>(AF24/AB24-1)*100</f>
        <v>6.2041595412837713</v>
      </c>
      <c r="AG70" s="274"/>
      <c r="AH70" s="274">
        <f>(AH24/AD24-1)*100</f>
        <v>18.779551918923953</v>
      </c>
      <c r="AI70" s="274">
        <f>(AI24/AE24-1)*100</f>
        <v>12.006733737373377</v>
      </c>
      <c r="AJ70" s="275">
        <f>(AJ24/AF24-1)*100</f>
        <v>15.271276562694469</v>
      </c>
      <c r="AK70" s="274"/>
      <c r="AL70" s="274">
        <f>(AL24/AH24-1)*100</f>
        <v>4.8461498924819768</v>
      </c>
      <c r="AM70" s="274">
        <f>(AM24/AI24-1)*100</f>
        <v>27.856135907952506</v>
      </c>
      <c r="AN70" s="275">
        <f>(AN24/AJ24-1)*100</f>
        <v>16.488400363192056</v>
      </c>
      <c r="AO70" s="274"/>
      <c r="AP70" s="274">
        <f>(AP24/AL24-1)*100</f>
        <v>10.763081700112465</v>
      </c>
      <c r="AQ70" s="274">
        <f>(AQ24/AM24-1)*100</f>
        <v>-26.764085114804971</v>
      </c>
      <c r="AR70" s="275">
        <f>(AR24/AN24-1)*100</f>
        <v>-10.448642640255844</v>
      </c>
      <c r="AS70" s="274"/>
      <c r="AT70" s="274">
        <f>(AT24/AP24-1)*100</f>
        <v>-35.666988868411828</v>
      </c>
      <c r="AU70" s="274">
        <f>(AU24/AQ24-1)*100</f>
        <v>55.76106162622645</v>
      </c>
      <c r="AV70" s="275">
        <f>(AV24/AR24-1)*100</f>
        <v>6.5587664114134192</v>
      </c>
      <c r="AW70" s="274"/>
      <c r="AX70" s="274">
        <f>(AX24/AT24-1)*100</f>
        <v>103.28020943422361</v>
      </c>
      <c r="AY70" s="274">
        <f>(AY24/AU24-1)*100</f>
        <v>24.986849053780812</v>
      </c>
      <c r="AZ70" s="275">
        <f>(AZ24/AV24-1)*100</f>
        <v>50.895479178919125</v>
      </c>
      <c r="BA70" s="274"/>
      <c r="BB70" s="274">
        <f>(BB24/AX24-1)*100</f>
        <v>11.005493763923923</v>
      </c>
      <c r="BC70" s="274">
        <f>(BC24/AY24-1)*100</f>
        <v>3.2438000571151315</v>
      </c>
      <c r="BD70" s="275">
        <f>(BD24/AZ24-1)*100</f>
        <v>6.4368692933230776</v>
      </c>
      <c r="BE70" s="274"/>
      <c r="BF70" s="274">
        <f>(BF24/BB24-1)*100</f>
        <v>-40.872083626511511</v>
      </c>
      <c r="BG70" s="274">
        <f>(BG24/BC24-1)*100</f>
        <v>-24.86536256977535</v>
      </c>
      <c r="BH70" s="275">
        <f>(BH24/BD24-1)*100</f>
        <v>-32.289965489033655</v>
      </c>
      <c r="BI70" s="274"/>
      <c r="BJ70" s="274">
        <f>(BJ24/BF24-1)*100</f>
        <v>15.026606485177329</v>
      </c>
      <c r="BK70" s="274">
        <f ca="1">(BK24/BG24-1)*100</f>
        <v>1.2720898936623426</v>
      </c>
      <c r="BL70" s="275">
        <f ca="1">(BL24/BH24-1)*100</f>
        <v>6.8510974906843325</v>
      </c>
      <c r="BM70" s="274"/>
      <c r="BN70" s="274">
        <f>(BN24/BJ24-1)*100</f>
        <v>2.8359857636347741</v>
      </c>
      <c r="BO70" s="274">
        <f ca="1">(BO24/BK24-1)*100</f>
        <v>19.556336405770569</v>
      </c>
      <c r="BP70" s="274">
        <f ca="1">(BP24/BL24-1)*100</f>
        <v>12.347840006626454</v>
      </c>
      <c r="BQ70" s="260"/>
      <c r="BR70" s="260">
        <f>(BR24/BN24-1)*100</f>
        <v>15.32771898184706</v>
      </c>
      <c r="BS70" s="260">
        <f>(BS24/BO24-1)*100</f>
        <v>5.0025271153855133</v>
      </c>
      <c r="BT70" s="1480">
        <f>(BT24/BP24-1)*100</f>
        <v>9.1087184802593377</v>
      </c>
      <c r="BU70" s="260"/>
      <c r="BV70" s="260">
        <f>(BV24/BR24-1)*100</f>
        <v>8.2992059685700781</v>
      </c>
      <c r="BW70" s="260">
        <f>(BW24/BS24-1)*100</f>
        <v>6.2681445128150104</v>
      </c>
      <c r="BX70" s="1480">
        <f>(BX24/BT24-1)*100</f>
        <v>7.1191022445842522</v>
      </c>
      <c r="BY70" s="274"/>
      <c r="BZ70" s="274"/>
      <c r="CA70" s="276"/>
      <c r="CB70" s="528" t="s">
        <v>1379</v>
      </c>
      <c r="CC70" s="529"/>
      <c r="CD70" s="529"/>
      <c r="CE70" s="530"/>
      <c r="CF70" s="530"/>
      <c r="CG70" s="529"/>
      <c r="CH70" s="529"/>
      <c r="CI70" s="531"/>
      <c r="CJ70" s="530"/>
      <c r="CK70" s="529"/>
      <c r="CL70" s="529"/>
      <c r="CM70" s="531"/>
      <c r="CN70" s="530"/>
      <c r="CO70" s="529"/>
      <c r="CP70" s="529"/>
      <c r="CQ70" s="531"/>
      <c r="CR70" s="530"/>
      <c r="CS70" s="529"/>
      <c r="CT70" s="529"/>
      <c r="CU70" s="531">
        <f>Capital!BJ115/1000</f>
        <v>1.0488349999999991</v>
      </c>
      <c r="CV70" s="532"/>
      <c r="CW70" s="533"/>
      <c r="CX70" s="533"/>
      <c r="CY70" s="531">
        <f>Capital!BN115/1000</f>
        <v>0.43670999999999915</v>
      </c>
      <c r="CZ70" s="532"/>
      <c r="DA70" s="533"/>
      <c r="DB70" s="533"/>
      <c r="DC70" s="531">
        <f>Capital!BR115/1000</f>
        <v>0.98480500000000026</v>
      </c>
      <c r="DD70" s="532"/>
      <c r="DE70" s="533"/>
      <c r="DF70" s="533"/>
      <c r="DG70" s="531">
        <f>Capital!BV115/1000</f>
        <v>2.0575599999999996</v>
      </c>
      <c r="DH70" s="532"/>
      <c r="DI70" s="533"/>
      <c r="DJ70" s="533"/>
      <c r="DK70" s="531">
        <f>Capital!BZ115/1000</f>
        <v>3.7033600000000004</v>
      </c>
      <c r="DL70" s="532"/>
      <c r="DM70" s="533"/>
      <c r="DN70" s="533"/>
      <c r="DO70" s="531">
        <f>Capital!CD115/1000</f>
        <v>2.3877800000000007</v>
      </c>
      <c r="DP70" s="531"/>
      <c r="DQ70" s="533"/>
      <c r="DR70" s="533"/>
      <c r="DS70" s="531">
        <f>Capital!CH115/1000</f>
        <v>4.5658899999999996</v>
      </c>
      <c r="DT70" s="531"/>
      <c r="DU70" s="531">
        <f>Capital!CJ115/1000</f>
        <v>4.9100200000000003</v>
      </c>
      <c r="DV70" s="531">
        <f>Capital!CK115/1000</f>
        <v>5.1535200000000003</v>
      </c>
      <c r="DW70" s="531">
        <f>Capital!CL115/1000</f>
        <v>5.1535200000000003</v>
      </c>
      <c r="DX70" s="531"/>
      <c r="DY70" s="531">
        <f>Capital!CN115/1000</f>
        <v>7.6247949999999998</v>
      </c>
      <c r="DZ70" s="531">
        <f>Capital!CO115/1000</f>
        <v>6.937825000000001</v>
      </c>
      <c r="EA70" s="531">
        <f>Capital!CP115/1000</f>
        <v>6.937825000000001</v>
      </c>
      <c r="EB70" s="531"/>
      <c r="EC70" s="1763">
        <f>Capital!CR115/1000</f>
        <v>6.1140550000000005</v>
      </c>
      <c r="ED70" s="531">
        <f>Capital!CS115/1000</f>
        <v>8.0695350000000001</v>
      </c>
      <c r="EE70" s="531">
        <f>Capital!CT115/1000</f>
        <v>8.0695350000000001</v>
      </c>
      <c r="EF70" s="531"/>
      <c r="EG70" s="1763">
        <f>Capital!CV115/1000</f>
        <v>9.4782150000000005</v>
      </c>
      <c r="EH70" s="531">
        <f>Capital!CW115/1000</f>
        <v>12.33685</v>
      </c>
      <c r="EI70" s="1941">
        <f>Capital!CX115/1000</f>
        <v>12.33685</v>
      </c>
      <c r="EJ70" s="531">
        <f>Capital!CY115/1000</f>
        <v>0</v>
      </c>
      <c r="EK70" s="1763">
        <f>Capital!CZ115/1000</f>
        <v>10.48841</v>
      </c>
      <c r="EL70" s="531">
        <f>Capital!DA115/1000</f>
        <v>10.665510000000001</v>
      </c>
      <c r="EM70" s="2081">
        <f>Capital!DB115/1000</f>
        <v>10.665510000000001</v>
      </c>
      <c r="EN70" s="531"/>
      <c r="EO70" s="531">
        <f>Capital!DD115/1000</f>
        <v>9.8015100000000022</v>
      </c>
      <c r="EP70" s="531">
        <f>Capital!DE115/1000</f>
        <v>9.5469899999999974</v>
      </c>
      <c r="EQ70" s="2081">
        <f>Capital!DF115/1000</f>
        <v>9.5469899999999974</v>
      </c>
      <c r="ER70" s="531">
        <f>Capital!DG115/1000</f>
        <v>0</v>
      </c>
      <c r="ES70" s="531">
        <f>Capital!DH115/1000</f>
        <v>7.5860449999999986</v>
      </c>
      <c r="ET70" s="531">
        <f ca="1">Capital!DI115/1000</f>
        <v>8.3362988357866943</v>
      </c>
      <c r="EU70" s="531">
        <f ca="1">Capital!DJ115/1000</f>
        <v>8.3362988357866943</v>
      </c>
      <c r="EV70" s="531"/>
      <c r="EW70" s="531">
        <f ca="1">Capital!DL115/1000</f>
        <v>7.9666550837512657</v>
      </c>
      <c r="EX70" s="531">
        <f ca="1">Capital!DM115/1000</f>
        <v>9.7629956350012073</v>
      </c>
      <c r="EY70" s="1763">
        <f ca="1">Capital!DN115/1000</f>
        <v>9.7629956350012073</v>
      </c>
      <c r="EZ70" s="531"/>
      <c r="FA70" s="531">
        <f ca="1">Capital!DP115/1000</f>
        <v>9.2246751986442366</v>
      </c>
      <c r="FB70" s="531">
        <f ca="1">Capital!DQ115/1000</f>
        <v>11.12996063339923</v>
      </c>
      <c r="FC70" s="1763">
        <f ca="1">Capital!DR115/1000</f>
        <v>11.12996063339923</v>
      </c>
      <c r="FE70" s="116"/>
      <c r="FF70" s="2192"/>
      <c r="FG70" s="253"/>
      <c r="FH70" s="213"/>
      <c r="FI70" s="258"/>
      <c r="FJ70" s="258"/>
      <c r="FK70" s="258"/>
      <c r="FL70" s="258"/>
      <c r="FM70" s="258"/>
    </row>
    <row r="71" spans="1:169" s="119" customFormat="1" ht="16.649999999999999" customHeight="1">
      <c r="A71" s="116"/>
      <c r="B71" s="116"/>
      <c r="C71" s="191" t="s">
        <v>778</v>
      </c>
      <c r="D71" s="207"/>
      <c r="E71" s="207"/>
      <c r="F71" s="280" t="e">
        <f>(F27/#REF!-1)</f>
        <v>#REF!</v>
      </c>
      <c r="G71" s="280" t="e">
        <f>(G27/#REF!-1)</f>
        <v>#REF!</v>
      </c>
      <c r="H71" s="280" t="e">
        <f>(H27/#REF!-1)</f>
        <v>#REF!</v>
      </c>
      <c r="I71" s="279"/>
      <c r="J71" s="280">
        <f t="shared" ref="J71:L72" si="142">(J27/F27-1)</f>
        <v>-0.27407071048698262</v>
      </c>
      <c r="K71" s="280">
        <f t="shared" si="142"/>
        <v>-0.2468777470707022</v>
      </c>
      <c r="L71" s="280">
        <f t="shared" si="142"/>
        <v>-0.26630441558810658</v>
      </c>
      <c r="M71" s="281"/>
      <c r="N71" s="260">
        <f t="shared" ref="N71:P72" si="143">(N27/J27-1)*100</f>
        <v>17.185383117560036</v>
      </c>
      <c r="O71" s="260">
        <f t="shared" si="143"/>
        <v>26.736531207114901</v>
      </c>
      <c r="P71" s="260">
        <f t="shared" si="143"/>
        <v>21.515086704172901</v>
      </c>
      <c r="Q71" s="279"/>
      <c r="R71" s="260">
        <f t="shared" ref="R71:T72" si="144">(R27/N27-1)*100</f>
        <v>45.036800245557849</v>
      </c>
      <c r="S71" s="260">
        <f t="shared" si="144"/>
        <v>48.882276657166798</v>
      </c>
      <c r="T71" s="261">
        <f t="shared" si="144"/>
        <v>50.269477092678017</v>
      </c>
      <c r="U71" s="181"/>
      <c r="V71" s="260">
        <f t="shared" ref="V71:X72" si="145">(V27/R27-1)*100</f>
        <v>41.668877868426549</v>
      </c>
      <c r="W71" s="260">
        <f t="shared" si="145"/>
        <v>22.325623953978258</v>
      </c>
      <c r="X71" s="261">
        <f t="shared" si="145"/>
        <v>30.95165083187943</v>
      </c>
      <c r="Y71" s="181"/>
      <c r="Z71" s="260">
        <f t="shared" ref="Z71:AB72" si="146">(Z27/V27-1)*100</f>
        <v>51.290465525074211</v>
      </c>
      <c r="AA71" s="260">
        <f t="shared" si="146"/>
        <v>5.3845872939419781</v>
      </c>
      <c r="AB71" s="261">
        <f t="shared" si="146"/>
        <v>23.940022980878851</v>
      </c>
      <c r="AC71" s="260"/>
      <c r="AD71" s="260">
        <f t="shared" ref="AD71:AF72" si="147">(AD27/Z27-1)*100</f>
        <v>-1.6787567293853112</v>
      </c>
      <c r="AE71" s="260">
        <f t="shared" si="147"/>
        <v>17.004323686781888</v>
      </c>
      <c r="AF71" s="261">
        <f t="shared" si="147"/>
        <v>7.407421406784187</v>
      </c>
      <c r="AG71" s="260"/>
      <c r="AH71" s="260">
        <f t="shared" ref="AH71:AJ72" si="148">(AH27/AD27-1)*100</f>
        <v>18.175327350901771</v>
      </c>
      <c r="AI71" s="260">
        <f t="shared" si="148"/>
        <v>12.82578647742605</v>
      </c>
      <c r="AJ71" s="261">
        <f t="shared" si="148"/>
        <v>15.345415325105849</v>
      </c>
      <c r="AK71" s="260"/>
      <c r="AL71" s="260">
        <f t="shared" ref="AL71:AN72" si="149">(AL27/AH27-1)*100</f>
        <v>6.3548505816783951</v>
      </c>
      <c r="AM71" s="260">
        <f t="shared" si="149"/>
        <v>26.104748409812515</v>
      </c>
      <c r="AN71" s="261">
        <f t="shared" si="149"/>
        <v>16.760498401275825</v>
      </c>
      <c r="AO71" s="260"/>
      <c r="AP71" s="260">
        <f t="shared" ref="AP71:AR72" si="150">(AP27/AL27-1)*100</f>
        <v>9.5155796138619344</v>
      </c>
      <c r="AQ71" s="260">
        <f t="shared" si="150"/>
        <v>-28.232784137352862</v>
      </c>
      <c r="AR71" s="261">
        <f t="shared" si="150"/>
        <v>-11.931102156743634</v>
      </c>
      <c r="AS71" s="260"/>
      <c r="AT71" s="260">
        <f t="shared" ref="AT71:AV72" si="151">(AT27/AP27-1)*100</f>
        <v>-34.950922820600582</v>
      </c>
      <c r="AU71" s="260">
        <f t="shared" si="151"/>
        <v>58.274062084763578</v>
      </c>
      <c r="AV71" s="261">
        <f t="shared" si="151"/>
        <v>7.8589294412133581</v>
      </c>
      <c r="AW71" s="260"/>
      <c r="AX71" s="260">
        <f t="shared" ref="AX71:AZ72" si="152">(AX27/AT27-1)*100</f>
        <v>99.836149986870183</v>
      </c>
      <c r="AY71" s="260">
        <f t="shared" si="152"/>
        <v>24.249211111031222</v>
      </c>
      <c r="AZ71" s="261">
        <f t="shared" si="152"/>
        <v>49.228510701623286</v>
      </c>
      <c r="BA71" s="260"/>
      <c r="BB71" s="260">
        <f t="shared" ref="BB71:BD72" si="153">(BB27/AX27-1)*100</f>
        <v>10.820419461333364</v>
      </c>
      <c r="BC71" s="260">
        <f t="shared" si="153"/>
        <v>4.2493933549872409</v>
      </c>
      <c r="BD71" s="261">
        <f t="shared" si="153"/>
        <v>6.9611900486550526</v>
      </c>
      <c r="BE71" s="260"/>
      <c r="BF71" s="260">
        <f t="shared" ref="BF71:BH72" si="154">(BF27/BB27-1)*100</f>
        <v>-39.415814944986707</v>
      </c>
      <c r="BG71" s="260">
        <f t="shared" si="154"/>
        <v>-23.35372672190902</v>
      </c>
      <c r="BH71" s="261">
        <f t="shared" si="154"/>
        <v>-30.757050798499076</v>
      </c>
      <c r="BI71" s="260"/>
      <c r="BJ71" s="260">
        <f t="shared" ref="BJ71:BL72" si="155">(BJ27/BF27-1)*100</f>
        <v>15.522504891658828</v>
      </c>
      <c r="BK71" s="260">
        <f t="shared" ca="1" si="155"/>
        <v>1.3010547439408437</v>
      </c>
      <c r="BL71" s="261">
        <f t="shared" ca="1" si="155"/>
        <v>7.0311086646833054</v>
      </c>
      <c r="BM71" s="260"/>
      <c r="BN71" s="260">
        <f t="shared" ref="BN71:BN72" si="156">(BN27/BJ27-1)*100</f>
        <v>2.8282610923026752</v>
      </c>
      <c r="BO71" s="260">
        <f t="shared" ref="BO71:BO72" ca="1" si="157">(BO27/BK27-1)*100</f>
        <v>18.700958158709756</v>
      </c>
      <c r="BP71" s="260">
        <f t="shared" ref="BP71:BP72" ca="1" si="158">(BP27/BL27-1)*100</f>
        <v>11.835421986156414</v>
      </c>
      <c r="BQ71" s="260"/>
      <c r="BR71" s="260">
        <f t="shared" ref="BR71:BR72" si="159">(BR27/BN27-1)*100</f>
        <v>15.00268609183868</v>
      </c>
      <c r="BS71" s="260">
        <f t="shared" ref="BS71:BS72" si="160">(BS27/BO27-1)*100</f>
        <v>4.9378122271418023</v>
      </c>
      <c r="BT71" s="1481">
        <f t="shared" ref="BT71:BT72" si="161">(BT27/BP27-1)*100</f>
        <v>8.9580354373706825</v>
      </c>
      <c r="BU71" s="260"/>
      <c r="BV71" s="260">
        <f t="shared" ref="BV71:BV72" si="162">(BV27/BR27-1)*100</f>
        <v>8.1497318104999383</v>
      </c>
      <c r="BW71" s="260">
        <f t="shared" ref="BW71:BW72" si="163">(BW27/BS27-1)*100</f>
        <v>6.1905466294310152</v>
      </c>
      <c r="BX71" s="1481">
        <f t="shared" ref="BX71:BX72" si="164">(BX27/BT27-1)*100</f>
        <v>7.013865656462781</v>
      </c>
      <c r="BY71" s="260"/>
      <c r="BZ71" s="260"/>
      <c r="CA71" s="183"/>
      <c r="CB71" s="212" t="s">
        <v>273</v>
      </c>
      <c r="CC71" s="153"/>
      <c r="CD71" s="153"/>
      <c r="CE71" s="138"/>
      <c r="CF71" s="138"/>
      <c r="CG71" s="158"/>
      <c r="CH71" s="158"/>
      <c r="CI71" s="284"/>
      <c r="CJ71" s="138"/>
      <c r="CK71" s="158"/>
      <c r="CL71" s="158"/>
      <c r="CM71" s="284"/>
      <c r="CN71" s="138"/>
      <c r="CO71" s="158"/>
      <c r="CP71" s="158"/>
      <c r="CQ71" s="284"/>
      <c r="CR71" s="138"/>
      <c r="CS71" s="158"/>
      <c r="CT71" s="158"/>
      <c r="CU71" s="284">
        <f>Capital!BJ71</f>
        <v>0.10571205970394063</v>
      </c>
      <c r="CV71" s="140"/>
      <c r="CW71" s="210"/>
      <c r="CX71" s="210"/>
      <c r="CY71" s="284">
        <f>Capital!BN71</f>
        <v>0.10058869837748984</v>
      </c>
      <c r="CZ71" s="140"/>
      <c r="DA71" s="210"/>
      <c r="DB71" s="210"/>
      <c r="DC71" s="284">
        <f>Capital!BR71</f>
        <v>0.10484055613892419</v>
      </c>
      <c r="DD71" s="140"/>
      <c r="DE71" s="210"/>
      <c r="DF71" s="210"/>
      <c r="DG71" s="284">
        <f>Capital!BV71</f>
        <v>0.11349711951717621</v>
      </c>
      <c r="DH71" s="140"/>
      <c r="DI71" s="210"/>
      <c r="DJ71" s="210"/>
      <c r="DK71" s="284">
        <f>Capital!BZ71</f>
        <v>0.12542182442167538</v>
      </c>
      <c r="DL71" s="140"/>
      <c r="DM71" s="210"/>
      <c r="DN71" s="210"/>
      <c r="DO71" s="284">
        <f>Capital!CD71</f>
        <v>0.11152301097301232</v>
      </c>
      <c r="DP71" s="284"/>
      <c r="DQ71" s="210"/>
      <c r="DR71" s="210"/>
      <c r="DS71" s="284">
        <f>Capital!CH71</f>
        <v>0.11898952246322658</v>
      </c>
      <c r="DT71" s="284"/>
      <c r="DU71" s="284">
        <f>Capital!CJ71</f>
        <v>0.11842169465061182</v>
      </c>
      <c r="DV71" s="284">
        <f>Capital!CK71</f>
        <v>0.12007122192442918</v>
      </c>
      <c r="DW71" s="284">
        <f>Capital!CL71</f>
        <v>0.12007122192442918</v>
      </c>
      <c r="DX71" s="284"/>
      <c r="DY71" s="284">
        <f>Capital!CN71</f>
        <v>0.14064883492567362</v>
      </c>
      <c r="DZ71" s="284">
        <f>Capital!CO71</f>
        <v>0.13016611655213461</v>
      </c>
      <c r="EA71" s="284">
        <f>Capital!CP71</f>
        <v>0.13016611655213461</v>
      </c>
      <c r="EB71" s="284"/>
      <c r="EC71" s="1764">
        <f>Capital!CR71</f>
        <v>0.12077760363625642</v>
      </c>
      <c r="ED71" s="284">
        <f>Capital!CS71</f>
        <v>0.12697206880161729</v>
      </c>
      <c r="EE71" s="284">
        <f>Capital!CT71</f>
        <v>0.12697206880161729</v>
      </c>
      <c r="EF71" s="284"/>
      <c r="EG71" s="1764">
        <f>Capital!CV71</f>
        <v>0.12874585057523533</v>
      </c>
      <c r="EH71" s="284">
        <f>Capital!CW71</f>
        <v>0.1407426346221925</v>
      </c>
      <c r="EI71" s="1942">
        <f>Capital!CX71</f>
        <v>0.1407426346221925</v>
      </c>
      <c r="EJ71" s="284">
        <f>Capital!CY71</f>
        <v>0</v>
      </c>
      <c r="EK71" s="1764">
        <f>Capital!CZ71</f>
        <v>0.13056405155006534</v>
      </c>
      <c r="EL71" s="284">
        <f>Capital!DA71</f>
        <v>0.13095220625999676</v>
      </c>
      <c r="EM71" s="2082">
        <f>Capital!DB71</f>
        <v>0.13095220625999676</v>
      </c>
      <c r="EN71" s="284"/>
      <c r="EO71" s="284">
        <f>Capital!DD71</f>
        <v>0.12749696521308154</v>
      </c>
      <c r="EP71" s="284">
        <f>Capital!DE71</f>
        <v>0.12290268185371589</v>
      </c>
      <c r="EQ71" s="2082">
        <f>Capital!DF71</f>
        <v>0.12290268185371589</v>
      </c>
      <c r="ER71" s="284">
        <f>Capital!DG71</f>
        <v>0</v>
      </c>
      <c r="ES71" s="284">
        <f>Capital!DH71</f>
        <v>0.11532059391437513</v>
      </c>
      <c r="ET71" s="284">
        <f ca="1">Capital!DI71</f>
        <v>0.1167118954021735</v>
      </c>
      <c r="EU71" s="284">
        <f ca="1">Capital!DJ71</f>
        <v>0.1167118954021735</v>
      </c>
      <c r="EV71" s="284"/>
      <c r="EW71" s="284">
        <f ca="1">Capital!DL71</f>
        <v>0.1150126943063873</v>
      </c>
      <c r="EX71" s="284">
        <f ca="1">Capital!DM71</f>
        <v>0.11943310347111555</v>
      </c>
      <c r="EY71" s="1764">
        <f ca="1">Capital!DN71</f>
        <v>0.11943310347111555</v>
      </c>
      <c r="EZ71" s="284"/>
      <c r="FA71" s="284">
        <f ca="1">Capital!DP71</f>
        <v>0.11725164726163242</v>
      </c>
      <c r="FB71" s="284">
        <f ca="1">Capital!DQ71</f>
        <v>0.12159193956542097</v>
      </c>
      <c r="FC71" s="1764">
        <f ca="1">Capital!DR71</f>
        <v>0.12159193956542097</v>
      </c>
      <c r="FE71" s="116"/>
      <c r="FF71" s="2192"/>
      <c r="FG71" s="253"/>
      <c r="FI71" s="277"/>
      <c r="FJ71" s="277"/>
      <c r="FK71" s="277"/>
      <c r="FL71" s="277"/>
      <c r="FM71" s="277"/>
    </row>
    <row r="72" spans="1:169" s="119" customFormat="1" ht="16.649999999999999" customHeight="1">
      <c r="A72" s="116"/>
      <c r="B72" s="116"/>
      <c r="C72" s="506" t="s">
        <v>1163</v>
      </c>
      <c r="D72" s="507"/>
      <c r="E72" s="507"/>
      <c r="F72" s="509" t="e">
        <f>(F28/#REF!-1)</f>
        <v>#REF!</v>
      </c>
      <c r="G72" s="509" t="e">
        <f>(G28/#REF!-1)</f>
        <v>#REF!</v>
      </c>
      <c r="H72" s="509" t="e">
        <f>(H28/#REF!-1)</f>
        <v>#REF!</v>
      </c>
      <c r="I72" s="508"/>
      <c r="J72" s="509">
        <f t="shared" si="142"/>
        <v>-0.2441860465116279</v>
      </c>
      <c r="K72" s="509">
        <f t="shared" si="142"/>
        <v>-0.25</v>
      </c>
      <c r="L72" s="509">
        <f t="shared" si="142"/>
        <v>-0.24731182795698925</v>
      </c>
      <c r="M72" s="510"/>
      <c r="N72" s="511">
        <f t="shared" si="143"/>
        <v>15.384615384615374</v>
      </c>
      <c r="O72" s="511">
        <f t="shared" si="143"/>
        <v>66.666666666666671</v>
      </c>
      <c r="P72" s="511">
        <f t="shared" si="143"/>
        <v>42.857142857142861</v>
      </c>
      <c r="Q72" s="508"/>
      <c r="R72" s="511">
        <f t="shared" si="144"/>
        <v>33.333333333333329</v>
      </c>
      <c r="S72" s="511">
        <f t="shared" si="144"/>
        <v>28.000000000000004</v>
      </c>
      <c r="T72" s="436">
        <f t="shared" si="144"/>
        <v>30.000000000000004</v>
      </c>
      <c r="U72" s="512"/>
      <c r="V72" s="511">
        <f t="shared" si="145"/>
        <v>30.000000000000004</v>
      </c>
      <c r="W72" s="511">
        <f t="shared" si="145"/>
        <v>25</v>
      </c>
      <c r="X72" s="436">
        <f t="shared" si="145"/>
        <v>26.923076923076916</v>
      </c>
      <c r="Y72" s="512"/>
      <c r="Z72" s="511">
        <f t="shared" si="146"/>
        <v>23.076923076923084</v>
      </c>
      <c r="AA72" s="511">
        <f t="shared" si="146"/>
        <v>19.999999999999996</v>
      </c>
      <c r="AB72" s="436">
        <f t="shared" si="146"/>
        <v>21.212121212121215</v>
      </c>
      <c r="AC72" s="511"/>
      <c r="AD72" s="511">
        <f t="shared" si="147"/>
        <v>18.75</v>
      </c>
      <c r="AE72" s="511">
        <f t="shared" si="147"/>
        <v>16.666666666666675</v>
      </c>
      <c r="AF72" s="520">
        <f t="shared" si="147"/>
        <v>17.500000000000004</v>
      </c>
      <c r="AG72" s="521"/>
      <c r="AH72" s="521">
        <f t="shared" si="148"/>
        <v>7.8947368421052655</v>
      </c>
      <c r="AI72" s="521">
        <f t="shared" si="148"/>
        <v>14.285714285714279</v>
      </c>
      <c r="AJ72" s="520">
        <f t="shared" si="148"/>
        <v>11.702127659574458</v>
      </c>
      <c r="AK72" s="521"/>
      <c r="AL72" s="521">
        <f t="shared" si="149"/>
        <v>4.8780487804878092</v>
      </c>
      <c r="AM72" s="521">
        <f t="shared" si="149"/>
        <v>12.5</v>
      </c>
      <c r="AN72" s="520">
        <f t="shared" si="149"/>
        <v>9.5238095238095344</v>
      </c>
      <c r="AO72" s="521"/>
      <c r="AP72" s="521">
        <f t="shared" si="150"/>
        <v>16.279069767441868</v>
      </c>
      <c r="AQ72" s="521">
        <f t="shared" si="150"/>
        <v>-50</v>
      </c>
      <c r="AR72" s="520">
        <f t="shared" si="150"/>
        <v>-25.217391304347824</v>
      </c>
      <c r="AS72" s="521"/>
      <c r="AT72" s="521">
        <f t="shared" si="151"/>
        <v>-46</v>
      </c>
      <c r="AU72" s="521">
        <f t="shared" si="151"/>
        <v>86.111111111111114</v>
      </c>
      <c r="AV72" s="520">
        <f t="shared" si="151"/>
        <v>9.302325581395344</v>
      </c>
      <c r="AW72" s="521"/>
      <c r="AX72" s="521">
        <f t="shared" si="152"/>
        <v>101.48148148148147</v>
      </c>
      <c r="AY72" s="521">
        <f t="shared" si="152"/>
        <v>4.4776119402984982</v>
      </c>
      <c r="AZ72" s="520">
        <f t="shared" si="152"/>
        <v>32.340425531914896</v>
      </c>
      <c r="BA72" s="521"/>
      <c r="BB72" s="521">
        <f t="shared" si="153"/>
        <v>10.294117647058831</v>
      </c>
      <c r="BC72" s="521">
        <f t="shared" si="153"/>
        <v>28.57142857142858</v>
      </c>
      <c r="BD72" s="1100">
        <f t="shared" si="153"/>
        <v>20.578778135048225</v>
      </c>
      <c r="BE72" s="521"/>
      <c r="BF72" s="521">
        <f t="shared" si="154"/>
        <v>-15.000000000000002</v>
      </c>
      <c r="BG72" s="521">
        <f t="shared" si="154"/>
        <v>-14.444444444444448</v>
      </c>
      <c r="BH72" s="1915">
        <f t="shared" si="154"/>
        <v>-14.666666666666661</v>
      </c>
      <c r="BI72" s="274"/>
      <c r="BJ72" s="521">
        <f t="shared" si="155"/>
        <v>1.9607843137254832</v>
      </c>
      <c r="BK72" s="1917">
        <f t="shared" si="155"/>
        <v>1.298701298701288</v>
      </c>
      <c r="BL72" s="1915">
        <f t="shared" si="155"/>
        <v>1.5625</v>
      </c>
      <c r="BM72" s="274"/>
      <c r="BN72" s="1917">
        <f t="shared" si="156"/>
        <v>7.6923076923076872</v>
      </c>
      <c r="BO72" s="1917">
        <f t="shared" si="157"/>
        <v>10.256410256410264</v>
      </c>
      <c r="BP72" s="1917">
        <f t="shared" si="158"/>
        <v>9.2307692307692193</v>
      </c>
      <c r="BQ72" s="274"/>
      <c r="BR72" s="521">
        <f t="shared" si="159"/>
        <v>16.07142857142858</v>
      </c>
      <c r="BS72" s="521">
        <f t="shared" si="160"/>
        <v>4.6511627906976827</v>
      </c>
      <c r="BT72" s="1482">
        <f t="shared" si="161"/>
        <v>9.1549295774647987</v>
      </c>
      <c r="BU72" s="274"/>
      <c r="BV72" s="521">
        <f t="shared" si="162"/>
        <v>7.6923076923076872</v>
      </c>
      <c r="BW72" s="521">
        <f t="shared" si="163"/>
        <v>6.6666666666666652</v>
      </c>
      <c r="BX72" s="1482">
        <f t="shared" si="164"/>
        <v>7.0967741935483941</v>
      </c>
      <c r="BY72" s="274"/>
      <c r="BZ72" s="274"/>
      <c r="CA72" s="513"/>
      <c r="CB72" s="514" t="s">
        <v>466</v>
      </c>
      <c r="CC72" s="515"/>
      <c r="CD72" s="515"/>
      <c r="CE72" s="516"/>
      <c r="CF72" s="516"/>
      <c r="CG72" s="507"/>
      <c r="CH72" s="507"/>
      <c r="CI72" s="517"/>
      <c r="CJ72" s="516"/>
      <c r="CK72" s="507"/>
      <c r="CL72" s="507"/>
      <c r="CM72" s="517"/>
      <c r="CN72" s="516"/>
      <c r="CO72" s="507"/>
      <c r="CP72" s="507"/>
      <c r="CQ72" s="517"/>
      <c r="CR72" s="516"/>
      <c r="CS72" s="507"/>
      <c r="CT72" s="507"/>
      <c r="CU72" s="517">
        <f>Capital!BJ73</f>
        <v>9.9079427563865993E-2</v>
      </c>
      <c r="CV72" s="518"/>
      <c r="CW72" s="519"/>
      <c r="CX72" s="519"/>
      <c r="CY72" s="517">
        <f>Capital!BN73</f>
        <v>9.4221447633571154E-2</v>
      </c>
      <c r="CZ72" s="518"/>
      <c r="DA72" s="519"/>
      <c r="DB72" s="519"/>
      <c r="DC72" s="517">
        <f>Capital!BR73</f>
        <v>9.6282143392889569E-2</v>
      </c>
      <c r="DD72" s="518"/>
      <c r="DE72" s="519"/>
      <c r="DF72" s="519"/>
      <c r="DG72" s="517">
        <f>Capital!BV73</f>
        <v>0.10561008321394824</v>
      </c>
      <c r="DH72" s="518"/>
      <c r="DI72" s="519"/>
      <c r="DJ72" s="519"/>
      <c r="DK72" s="517">
        <f>Capital!BZ73</f>
        <v>0.11036417349165523</v>
      </c>
      <c r="DL72" s="518"/>
      <c r="DM72" s="519"/>
      <c r="DN72" s="519"/>
      <c r="DO72" s="517">
        <f>Capital!CD73</f>
        <v>0.10079264511606589</v>
      </c>
      <c r="DP72" s="517"/>
      <c r="DQ72" s="519"/>
      <c r="DR72" s="519"/>
      <c r="DS72" s="517">
        <f>Capital!CH73</f>
        <v>0.10922929628529153</v>
      </c>
      <c r="DT72" s="517"/>
      <c r="DU72" s="517">
        <f>Capital!CJ73</f>
        <v>0.10930816314359912</v>
      </c>
      <c r="DV72" s="517">
        <f>Capital!CK73</f>
        <v>0.11307145879854257</v>
      </c>
      <c r="DW72" s="517">
        <f>Capital!CL73</f>
        <v>0.11307145879854257</v>
      </c>
      <c r="DX72" s="517"/>
      <c r="DY72" s="517">
        <f>Capital!CN73</f>
        <v>0.13022399812254123</v>
      </c>
      <c r="DZ72" s="517">
        <f>Capital!CO73</f>
        <v>0.12135706942265029</v>
      </c>
      <c r="EA72" s="517">
        <f>Capital!CP73</f>
        <v>0.12135706942265029</v>
      </c>
      <c r="EB72" s="517"/>
      <c r="EC72" s="1765">
        <f>Capital!CR73</f>
        <v>0.11019453699650482</v>
      </c>
      <c r="ED72" s="517">
        <f>Capital!CS73</f>
        <v>0.11743681388817973</v>
      </c>
      <c r="EE72" s="517">
        <f>Capital!CT73</f>
        <v>0.11743681388817973</v>
      </c>
      <c r="EF72" s="517"/>
      <c r="EG72" s="1765">
        <f>Capital!CV73</f>
        <v>0.11939353978142574</v>
      </c>
      <c r="EH72" s="517">
        <f>Capital!CW73</f>
        <v>0.13123156197144317</v>
      </c>
      <c r="EI72" s="1943">
        <f>Capital!CX73</f>
        <v>0.13123156197144317</v>
      </c>
      <c r="EJ72" s="517">
        <f>Capital!CY73</f>
        <v>0</v>
      </c>
      <c r="EK72" s="1765">
        <f>Capital!CZ73</f>
        <v>0.12142178405986459</v>
      </c>
      <c r="EL72" s="1789">
        <f>Capital!DA73</f>
        <v>0.12197895725417113</v>
      </c>
      <c r="EM72" s="2083">
        <f>Capital!DB73</f>
        <v>0.12197895725417113</v>
      </c>
      <c r="EN72" s="517"/>
      <c r="EO72" s="517">
        <f>Capital!DD73</f>
        <v>0.11894568988428304</v>
      </c>
      <c r="EP72" s="1789">
        <f>Capital!DE73</f>
        <v>0.11483967670450508</v>
      </c>
      <c r="EQ72" s="2083">
        <f>Capital!DF73</f>
        <v>0.11483967670450508</v>
      </c>
      <c r="ER72" s="517">
        <f>Capital!DG73</f>
        <v>0</v>
      </c>
      <c r="ES72" s="517">
        <f>Capital!DH73</f>
        <v>0.10779524230548282</v>
      </c>
      <c r="ET72" s="1789">
        <f ca="1">Capital!DI73</f>
        <v>0.10953881263046704</v>
      </c>
      <c r="EU72" s="1789">
        <f ca="1">Capital!DJ73</f>
        <v>0.10953881263046704</v>
      </c>
      <c r="EV72" s="517"/>
      <c r="EW72" s="517">
        <f ca="1">Capital!DL73</f>
        <v>0.10802155579555463</v>
      </c>
      <c r="EX72" s="517">
        <f ca="1">Capital!DM73</f>
        <v>0.11265265799570885</v>
      </c>
      <c r="EY72" s="1765">
        <f ca="1">Capital!DN73</f>
        <v>0.11265265799570885</v>
      </c>
      <c r="EZ72" s="517"/>
      <c r="FA72" s="517">
        <f ca="1">Capital!DP73</f>
        <v>0.11067656747739506</v>
      </c>
      <c r="FB72" s="517">
        <f ca="1">Capital!DQ73</f>
        <v>0.11521699539987006</v>
      </c>
      <c r="FC72" s="1765">
        <f ca="1">Capital!DR73</f>
        <v>0.11521699539987006</v>
      </c>
      <c r="FE72" s="116"/>
      <c r="FF72" s="2192"/>
      <c r="FG72" s="253"/>
      <c r="FI72" s="253"/>
      <c r="FJ72" s="253"/>
      <c r="FK72" s="253"/>
      <c r="FL72" s="253"/>
      <c r="FM72" s="253"/>
    </row>
    <row r="73" spans="1:169" s="119" customFormat="1" ht="21">
      <c r="A73" s="116"/>
      <c r="B73" s="116"/>
      <c r="C73" s="101" t="s">
        <v>1078</v>
      </c>
      <c r="D73" s="102"/>
      <c r="E73" s="102"/>
      <c r="F73" s="103"/>
      <c r="G73" s="103"/>
      <c r="H73" s="103"/>
      <c r="I73" s="103"/>
      <c r="J73" s="103"/>
      <c r="K73" s="103"/>
      <c r="L73" s="103"/>
      <c r="M73" s="102"/>
      <c r="N73" s="102"/>
      <c r="O73" s="102"/>
      <c r="P73" s="102"/>
      <c r="Q73" s="102"/>
      <c r="R73" s="102"/>
      <c r="S73" s="100"/>
      <c r="T73" s="100"/>
      <c r="U73" s="100"/>
      <c r="V73" s="100"/>
      <c r="W73" s="100"/>
      <c r="X73" s="100"/>
      <c r="Y73" s="100"/>
      <c r="Z73" s="364">
        <f>Z22/AB22</f>
        <v>0.5185389800774417</v>
      </c>
      <c r="AA73" s="364">
        <f>AA22/AB22</f>
        <v>0.48146101992255846</v>
      </c>
      <c r="AB73" s="100"/>
      <c r="AC73" s="100"/>
      <c r="AD73" s="364">
        <f>AD22/AF22</f>
        <v>0.47350833600151526</v>
      </c>
      <c r="AE73" s="364">
        <f>AE22/AF22</f>
        <v>0.52649166399848479</v>
      </c>
      <c r="AF73" s="100"/>
      <c r="AG73" s="100"/>
      <c r="AH73" s="444">
        <f>AH22/AJ22</f>
        <v>0.48797844761856357</v>
      </c>
      <c r="AI73" s="444">
        <f>AI22/AJ22</f>
        <v>0.51202155238143654</v>
      </c>
      <c r="AJ73" s="445"/>
      <c r="AK73" s="445"/>
      <c r="AL73" s="444">
        <f>AL22/AN22</f>
        <v>0.43923030756180242</v>
      </c>
      <c r="AM73" s="444">
        <f>AM22/AN22</f>
        <v>0.56076969243819763</v>
      </c>
      <c r="AN73" s="260"/>
      <c r="AO73" s="260"/>
      <c r="AP73" s="444">
        <f>AP22/AR22</f>
        <v>0.53340850598025258</v>
      </c>
      <c r="AQ73" s="444">
        <f>AQ22/AR22</f>
        <v>0.46659149401974748</v>
      </c>
      <c r="AR73" s="260"/>
      <c r="AS73" s="260"/>
      <c r="AT73" s="444">
        <f>AT22/AV22</f>
        <v>0.3266467472948012</v>
      </c>
      <c r="AU73" s="444">
        <f>AU22/AV22</f>
        <v>0.67335325270519886</v>
      </c>
      <c r="AV73" s="260"/>
      <c r="AW73" s="260"/>
      <c r="AX73" s="444">
        <f>AX22/AZ22</f>
        <v>0.43408144923286784</v>
      </c>
      <c r="AY73" s="444">
        <f>AY22/AZ22</f>
        <v>0.56591855076713216</v>
      </c>
      <c r="AZ73" s="260"/>
      <c r="BA73" s="260"/>
      <c r="BB73" s="444">
        <f>BB22/BD22</f>
        <v>0.45981757803681245</v>
      </c>
      <c r="BC73" s="444">
        <f>BC22/BD22</f>
        <v>0.54018242196318755</v>
      </c>
      <c r="BD73" s="260"/>
      <c r="BE73" s="260"/>
      <c r="BF73" s="444">
        <f>BF22/BH22</f>
        <v>0.40170447609503507</v>
      </c>
      <c r="BG73" s="444">
        <f>BG22/BH22</f>
        <v>0.59829552390496488</v>
      </c>
      <c r="BJ73" s="444">
        <f ca="1">BJ22/BL22</f>
        <v>0.43385932945587258</v>
      </c>
      <c r="BK73" s="444">
        <f ca="1">BK22/BL22</f>
        <v>0.56614067054412742</v>
      </c>
      <c r="BL73" s="260"/>
      <c r="BM73" s="260"/>
      <c r="BN73" s="444">
        <f>BN22/BP22</f>
        <v>0.39662661771718011</v>
      </c>
      <c r="BO73" s="444">
        <f>BO22/BP22</f>
        <v>0.60337338228281989</v>
      </c>
      <c r="BP73" s="260"/>
      <c r="BQ73" s="260"/>
      <c r="BR73" s="444"/>
      <c r="BS73" s="444"/>
      <c r="BT73" s="260"/>
      <c r="BU73" s="260"/>
      <c r="BV73" s="444"/>
      <c r="BW73" s="444"/>
      <c r="BX73" s="260"/>
      <c r="BY73" s="260"/>
      <c r="BZ73" s="260"/>
      <c r="FG73" s="253"/>
    </row>
    <row r="74" spans="1:169" s="119" customFormat="1">
      <c r="A74" s="116"/>
      <c r="B74" s="116"/>
      <c r="BY74" s="1291"/>
      <c r="BZ74" s="1291"/>
      <c r="CA74" s="116"/>
      <c r="CB74" s="116"/>
      <c r="CC74" s="116"/>
      <c r="CD74" s="116"/>
      <c r="CE74" s="116"/>
      <c r="CF74" s="116"/>
      <c r="CG74" s="116"/>
      <c r="CH74" s="116"/>
      <c r="CI74" s="116"/>
      <c r="CJ74" s="116"/>
      <c r="CK74" s="116"/>
      <c r="CL74" s="116"/>
      <c r="CM74" s="116"/>
      <c r="CN74" s="116"/>
      <c r="CO74" s="116"/>
      <c r="CP74" s="116"/>
      <c r="CQ74" s="116"/>
      <c r="CR74" s="116"/>
      <c r="CS74" s="116"/>
      <c r="CT74" s="116"/>
      <c r="CU74" s="116"/>
      <c r="CV74" s="116"/>
      <c r="CW74" s="116"/>
      <c r="CX74" s="116"/>
      <c r="CY74" s="116"/>
      <c r="CZ74" s="116"/>
      <c r="DA74" s="116"/>
      <c r="DB74" s="116"/>
      <c r="DC74" s="116"/>
      <c r="DD74" s="116"/>
      <c r="DE74" s="116"/>
      <c r="DF74" s="116"/>
      <c r="DG74" s="116"/>
      <c r="DH74" s="116"/>
      <c r="DI74" s="116"/>
      <c r="DJ74" s="116"/>
      <c r="DK74" s="116"/>
      <c r="DL74" s="116"/>
      <c r="DM74" s="116"/>
      <c r="DN74" s="116"/>
      <c r="DO74" s="116"/>
      <c r="DP74" s="116"/>
      <c r="DQ74" s="116"/>
      <c r="DR74" s="116"/>
      <c r="DS74" s="116"/>
      <c r="DT74" s="116"/>
      <c r="DU74" s="116"/>
      <c r="DV74" s="116"/>
      <c r="DW74" s="116"/>
      <c r="DX74" s="116"/>
      <c r="DY74" s="116"/>
      <c r="DZ74" s="116"/>
      <c r="EA74" s="116"/>
      <c r="EB74" s="116"/>
      <c r="EC74" s="116"/>
      <c r="ED74" s="116"/>
      <c r="EE74" s="116"/>
      <c r="EF74" s="116"/>
      <c r="EG74" s="116"/>
      <c r="EH74" s="116"/>
      <c r="EI74" s="116"/>
      <c r="EJ74" s="116"/>
      <c r="EK74" s="116"/>
      <c r="EL74" s="116"/>
      <c r="EM74" s="116"/>
      <c r="EN74" s="116"/>
      <c r="EO74" s="116"/>
      <c r="EP74" s="116"/>
      <c r="EQ74" s="116"/>
      <c r="ER74" s="116"/>
      <c r="ES74" s="116"/>
      <c r="ET74" s="116"/>
      <c r="EU74" s="116"/>
      <c r="EV74" s="116"/>
      <c r="EW74" s="116"/>
      <c r="EX74" s="116"/>
      <c r="EY74" s="116"/>
      <c r="EZ74" s="116"/>
      <c r="FA74" s="116"/>
      <c r="FB74" s="116"/>
      <c r="FC74" s="116"/>
    </row>
    <row r="75" spans="1:169" s="119" customFormat="1">
      <c r="A75" s="116"/>
      <c r="B75" s="116"/>
      <c r="C75" s="119" t="s">
        <v>1462</v>
      </c>
      <c r="D75" s="1289"/>
      <c r="E75" s="1289"/>
      <c r="F75" s="1290"/>
      <c r="G75" s="1290"/>
      <c r="H75" s="1290"/>
      <c r="I75" s="1290"/>
      <c r="J75" s="1290"/>
      <c r="K75" s="1290"/>
      <c r="L75" s="1290"/>
      <c r="M75" s="1289"/>
      <c r="N75" s="1289"/>
      <c r="O75" s="1289"/>
      <c r="P75" s="1289"/>
      <c r="Q75" s="1289"/>
      <c r="R75" s="1289"/>
      <c r="S75" s="1291"/>
      <c r="T75" s="1291"/>
      <c r="U75" s="1291"/>
      <c r="V75" s="1291"/>
      <c r="W75" s="1291"/>
      <c r="X75" s="1291"/>
      <c r="Y75" s="1291"/>
      <c r="Z75" s="1291"/>
      <c r="AA75" s="1291"/>
      <c r="AB75" s="1291"/>
      <c r="AC75" s="1291"/>
      <c r="AD75" s="1291"/>
      <c r="AE75" s="1291"/>
      <c r="AF75" s="1291"/>
      <c r="AG75" s="1291"/>
      <c r="AH75" s="1291"/>
      <c r="AI75" s="1291"/>
      <c r="AJ75" s="1291"/>
      <c r="AK75" s="1291"/>
      <c r="AL75" s="1291"/>
      <c r="AM75" s="1291"/>
      <c r="AN75" s="1291"/>
      <c r="AO75" s="1291"/>
      <c r="AP75" s="1291"/>
      <c r="AQ75" s="1291"/>
      <c r="AR75" s="1291"/>
      <c r="AS75" s="1291"/>
      <c r="AT75" s="1291"/>
      <c r="AU75" s="1291"/>
      <c r="AV75" s="1291"/>
      <c r="AW75" s="1291"/>
      <c r="AX75" s="1291"/>
      <c r="AY75" s="1291"/>
      <c r="AZ75" s="1291"/>
      <c r="BA75" s="1291"/>
      <c r="BB75" s="1095">
        <f t="shared" ref="BB75:BC75" si="165">+BB11-BB6</f>
        <v>7271</v>
      </c>
      <c r="BC75" s="1095">
        <f t="shared" si="165"/>
        <v>8823</v>
      </c>
      <c r="BD75" s="1095">
        <f t="shared" ref="BD75:BG75" si="166">+BD11-BD6</f>
        <v>16094</v>
      </c>
      <c r="BE75" s="1095"/>
      <c r="BF75" s="1095">
        <f t="shared" si="166"/>
        <v>6277</v>
      </c>
      <c r="BG75" s="1095">
        <f t="shared" si="166"/>
        <v>7151</v>
      </c>
      <c r="BH75" s="1095">
        <f>+BH11-BH6</f>
        <v>13428</v>
      </c>
      <c r="BI75" s="1095">
        <f t="shared" ref="BI75:BX75" si="167">+BI11-BI6</f>
        <v>0</v>
      </c>
      <c r="BJ75" s="1095">
        <f t="shared" si="167"/>
        <v>6547</v>
      </c>
      <c r="BK75" s="1095">
        <f t="shared" ca="1" si="167"/>
        <v>7154</v>
      </c>
      <c r="BL75" s="1095">
        <f t="shared" ca="1" si="167"/>
        <v>13701</v>
      </c>
      <c r="BM75" s="1095">
        <f t="shared" si="167"/>
        <v>0</v>
      </c>
      <c r="BN75" s="1095">
        <f t="shared" si="167"/>
        <v>6625</v>
      </c>
      <c r="BO75" s="1095">
        <f t="shared" si="167"/>
        <v>8004.3674669774482</v>
      </c>
      <c r="BP75" s="1095">
        <f t="shared" si="167"/>
        <v>14629.367466977446</v>
      </c>
      <c r="BQ75" s="1095">
        <f t="shared" si="167"/>
        <v>0</v>
      </c>
      <c r="BR75" s="1095">
        <f t="shared" si="167"/>
        <v>6804.4287788938873</v>
      </c>
      <c r="BS75" s="1095">
        <f t="shared" si="167"/>
        <v>7820.7787297541363</v>
      </c>
      <c r="BT75" s="1095">
        <f t="shared" si="167"/>
        <v>14625.207508648024</v>
      </c>
      <c r="BU75" s="1095">
        <f t="shared" si="167"/>
        <v>0</v>
      </c>
      <c r="BV75" s="1095">
        <f t="shared" si="167"/>
        <v>7142.7017498932237</v>
      </c>
      <c r="BW75" s="1095">
        <f t="shared" si="167"/>
        <v>8200.6923367673317</v>
      </c>
      <c r="BX75" s="1095">
        <f t="shared" si="167"/>
        <v>15343.394086660555</v>
      </c>
      <c r="BY75" s="1291"/>
      <c r="BZ75" s="1291"/>
      <c r="CA75" s="116"/>
      <c r="CB75" s="116"/>
      <c r="CC75" s="116"/>
      <c r="CD75" s="116"/>
      <c r="CE75" s="116"/>
      <c r="CF75" s="116"/>
      <c r="CG75" s="116"/>
      <c r="CH75" s="116"/>
      <c r="CI75" s="116"/>
      <c r="CJ75" s="116"/>
      <c r="CK75" s="116"/>
      <c r="CL75" s="116"/>
      <c r="CM75" s="116"/>
      <c r="CN75" s="116"/>
      <c r="CO75" s="116"/>
      <c r="CP75" s="116"/>
      <c r="CQ75" s="116"/>
      <c r="CR75" s="116"/>
      <c r="CS75" s="116"/>
      <c r="CT75" s="116"/>
      <c r="CU75" s="116"/>
      <c r="CV75" s="116"/>
      <c r="CW75" s="116"/>
      <c r="CX75" s="116"/>
      <c r="CY75" s="116"/>
      <c r="CZ75" s="116"/>
      <c r="DA75" s="116"/>
      <c r="DB75" s="116"/>
      <c r="DC75" s="116"/>
      <c r="DD75" s="116"/>
      <c r="DE75" s="116"/>
      <c r="DF75" s="116"/>
      <c r="DG75" s="116"/>
      <c r="DH75" s="116"/>
      <c r="DI75" s="116"/>
      <c r="DJ75" s="116"/>
      <c r="DK75" s="116"/>
      <c r="DL75" s="116"/>
      <c r="DM75" s="116"/>
      <c r="DN75" s="116"/>
      <c r="DO75" s="116"/>
      <c r="DP75" s="116"/>
      <c r="DQ75" s="116"/>
      <c r="DR75" s="116"/>
      <c r="DS75" s="116"/>
      <c r="DT75" s="116"/>
      <c r="DU75" s="116"/>
      <c r="DV75" s="116"/>
      <c r="DW75" s="116"/>
      <c r="DX75" s="116"/>
      <c r="DY75" s="116"/>
      <c r="DZ75" s="116"/>
      <c r="EA75" s="116"/>
      <c r="EB75" s="116"/>
      <c r="EC75" s="116"/>
      <c r="ED75" s="116"/>
      <c r="EE75" s="116"/>
      <c r="EF75" s="116"/>
      <c r="EG75" s="116"/>
      <c r="EH75" s="116"/>
      <c r="EI75" s="116"/>
      <c r="EJ75" s="116"/>
      <c r="EK75" s="116"/>
      <c r="EL75" s="116"/>
      <c r="EM75" s="116"/>
      <c r="EN75" s="116"/>
      <c r="EO75" s="116"/>
      <c r="EP75" s="116"/>
      <c r="EQ75" s="116"/>
      <c r="ER75" s="116"/>
      <c r="ES75" s="116"/>
      <c r="ET75" s="116"/>
      <c r="EU75" s="116"/>
      <c r="EV75" s="116"/>
      <c r="EW75" s="116"/>
      <c r="EX75" s="116"/>
      <c r="EY75" s="116"/>
      <c r="EZ75" s="116"/>
      <c r="FA75" s="116"/>
      <c r="FB75" s="116"/>
      <c r="FC75" s="116"/>
    </row>
    <row r="76" spans="1:169" s="119" customFormat="1">
      <c r="A76" s="116"/>
      <c r="B76" s="116"/>
      <c r="C76" s="119" t="s">
        <v>1461</v>
      </c>
      <c r="D76" s="1289"/>
      <c r="E76" s="1289"/>
      <c r="F76" s="1290"/>
      <c r="G76" s="1290"/>
      <c r="H76" s="1290"/>
      <c r="I76" s="1290"/>
      <c r="J76" s="1290"/>
      <c r="K76" s="1290"/>
      <c r="L76" s="1290"/>
      <c r="M76" s="1289"/>
      <c r="N76" s="1289"/>
      <c r="O76" s="1289"/>
      <c r="P76" s="1289"/>
      <c r="Q76" s="1289"/>
      <c r="R76" s="1289"/>
      <c r="S76" s="1291"/>
      <c r="T76" s="1291"/>
      <c r="U76" s="1291"/>
      <c r="V76" s="1291"/>
      <c r="W76" s="1291"/>
      <c r="X76" s="1291"/>
      <c r="Y76" s="1291"/>
      <c r="Z76" s="1291"/>
      <c r="AA76" s="1291"/>
      <c r="AB76" s="1291"/>
      <c r="AC76" s="1291"/>
      <c r="AD76" s="1291"/>
      <c r="AE76" s="1291"/>
      <c r="AF76" s="1291"/>
      <c r="AG76" s="1291"/>
      <c r="AH76" s="1291"/>
      <c r="AI76" s="1291"/>
      <c r="AJ76" s="1291"/>
      <c r="AK76" s="1291"/>
      <c r="AL76" s="1291"/>
      <c r="AM76" s="1291"/>
      <c r="AN76" s="1291"/>
      <c r="AO76" s="1291"/>
      <c r="AP76" s="1291"/>
      <c r="AQ76" s="1291"/>
      <c r="AR76" s="1291"/>
      <c r="AS76" s="1291"/>
      <c r="AT76" s="1291"/>
      <c r="AU76" s="1291"/>
      <c r="AV76" s="1291"/>
      <c r="AW76" s="1291"/>
      <c r="AX76" s="1291"/>
      <c r="AY76" s="1291"/>
      <c r="AZ76" s="1291"/>
      <c r="BA76" s="1291"/>
      <c r="BB76" s="1095"/>
      <c r="BC76" s="1095"/>
      <c r="BD76" s="1095"/>
      <c r="BE76" s="1095"/>
      <c r="BF76" s="1095"/>
      <c r="BG76" s="1095"/>
      <c r="BH76" s="1183">
        <f t="shared" ref="BH76:BX76" si="168">+BH75/BD75-1</f>
        <v>-0.16565179570026101</v>
      </c>
      <c r="BI76" s="1183" t="e">
        <f t="shared" si="168"/>
        <v>#DIV/0!</v>
      </c>
      <c r="BJ76" s="1183">
        <f t="shared" si="168"/>
        <v>4.3014178747809551E-2</v>
      </c>
      <c r="BK76" s="1183">
        <f t="shared" ca="1" si="168"/>
        <v>4.195217452105382E-4</v>
      </c>
      <c r="BL76" s="1183">
        <f t="shared" ca="1" si="168"/>
        <v>2.0330652368185875E-2</v>
      </c>
      <c r="BM76" s="1183" t="e">
        <f t="shared" si="168"/>
        <v>#DIV/0!</v>
      </c>
      <c r="BN76" s="1183">
        <f t="shared" si="168"/>
        <v>1.1913853673438224E-2</v>
      </c>
      <c r="BO76" s="1183">
        <f t="shared" ca="1" si="168"/>
        <v>0.1188660143943876</v>
      </c>
      <c r="BP76" s="1183">
        <f t="shared" ca="1" si="168"/>
        <v>6.7759102764575418E-2</v>
      </c>
      <c r="BQ76" s="1183" t="e">
        <f t="shared" si="168"/>
        <v>#DIV/0!</v>
      </c>
      <c r="BR76" s="1183">
        <f t="shared" si="168"/>
        <v>2.7083589267001829E-2</v>
      </c>
      <c r="BS76" s="1183">
        <f t="shared" si="168"/>
        <v>-2.2936070586554114E-2</v>
      </c>
      <c r="BT76" s="1183">
        <f t="shared" si="168"/>
        <v>-2.8435667767678918E-4</v>
      </c>
      <c r="BU76" s="1183" t="e">
        <f t="shared" si="168"/>
        <v>#DIV/0!</v>
      </c>
      <c r="BV76" s="1183">
        <f t="shared" si="168"/>
        <v>4.9713647095344538E-2</v>
      </c>
      <c r="BW76" s="1183">
        <f t="shared" si="168"/>
        <v>4.8577465255194463E-2</v>
      </c>
      <c r="BX76" s="1183">
        <f t="shared" si="168"/>
        <v>4.9106077817211213E-2</v>
      </c>
      <c r="BY76" s="1291"/>
      <c r="BZ76" s="1291"/>
      <c r="CA76" s="116"/>
      <c r="CB76" s="116"/>
      <c r="CC76" s="116"/>
      <c r="CD76" s="116"/>
      <c r="CE76" s="116"/>
      <c r="CF76" s="116"/>
      <c r="CG76" s="116"/>
      <c r="CH76" s="116"/>
      <c r="CI76" s="116"/>
      <c r="CJ76" s="116"/>
      <c r="CK76" s="116"/>
      <c r="CL76" s="116"/>
      <c r="CM76" s="116"/>
      <c r="CN76" s="116"/>
      <c r="CO76" s="116"/>
      <c r="CP76" s="116"/>
      <c r="CQ76" s="116"/>
      <c r="CR76" s="116"/>
      <c r="CS76" s="116"/>
      <c r="CT76" s="116"/>
      <c r="CU76" s="116"/>
      <c r="CV76" s="116"/>
      <c r="CW76" s="116"/>
      <c r="CX76" s="116"/>
      <c r="CY76" s="116"/>
      <c r="CZ76" s="116"/>
      <c r="DA76" s="116"/>
      <c r="DB76" s="116"/>
      <c r="DC76" s="116"/>
      <c r="DD76" s="116"/>
      <c r="DE76" s="116"/>
      <c r="DF76" s="116"/>
      <c r="DG76" s="116"/>
      <c r="DH76" s="116"/>
      <c r="DI76" s="116"/>
      <c r="DJ76" s="116"/>
      <c r="DK76" s="116"/>
      <c r="DL76" s="116"/>
      <c r="DM76" s="116"/>
      <c r="DN76" s="116"/>
      <c r="DO76" s="116"/>
      <c r="DP76" s="116"/>
      <c r="DQ76" s="116"/>
      <c r="DR76" s="116"/>
      <c r="DS76" s="116"/>
      <c r="DT76" s="116"/>
      <c r="DU76" s="116"/>
      <c r="DV76" s="116"/>
      <c r="DW76" s="116"/>
      <c r="DX76" s="116"/>
      <c r="DY76" s="116"/>
      <c r="DZ76" s="116"/>
      <c r="EA76" s="116"/>
      <c r="EB76" s="116"/>
      <c r="EC76" s="116"/>
      <c r="ED76" s="116"/>
      <c r="EE76" s="116"/>
      <c r="EF76" s="116"/>
      <c r="EG76" s="116"/>
      <c r="EH76" s="116"/>
      <c r="EI76" s="116"/>
      <c r="EJ76" s="116"/>
      <c r="EK76" s="116"/>
      <c r="EL76" s="116"/>
      <c r="EM76" s="116"/>
      <c r="EN76" s="116"/>
      <c r="EO76" s="116"/>
      <c r="EP76" s="116"/>
      <c r="EQ76" s="116"/>
      <c r="ER76" s="116"/>
      <c r="ES76" s="116"/>
      <c r="ET76" s="116"/>
      <c r="EU76" s="116"/>
      <c r="EV76" s="116"/>
      <c r="EW76" s="116"/>
      <c r="EX76" s="116"/>
      <c r="EY76" s="116"/>
      <c r="EZ76" s="116"/>
      <c r="FA76" s="116"/>
      <c r="FB76" s="116"/>
      <c r="FC76" s="116"/>
    </row>
    <row r="77" spans="1:169" s="119" customFormat="1">
      <c r="A77" s="116"/>
      <c r="B77" s="116"/>
      <c r="C77" s="119" t="s">
        <v>1460</v>
      </c>
      <c r="D77" s="1289"/>
      <c r="E77" s="1289"/>
      <c r="F77" s="1290"/>
      <c r="G77" s="1290"/>
      <c r="H77" s="1290"/>
      <c r="I77" s="1290"/>
      <c r="J77" s="1290"/>
      <c r="K77" s="1290"/>
      <c r="L77" s="1290"/>
      <c r="M77" s="1289"/>
      <c r="N77" s="1289"/>
      <c r="O77" s="1289"/>
      <c r="P77" s="1289"/>
      <c r="Q77" s="1289"/>
      <c r="R77" s="1289"/>
      <c r="S77" s="1291"/>
      <c r="T77" s="1291"/>
      <c r="U77" s="1291"/>
      <c r="V77" s="1291"/>
      <c r="W77" s="1291"/>
      <c r="X77" s="1291"/>
      <c r="Y77" s="1291"/>
      <c r="Z77" s="1291"/>
      <c r="AA77" s="1291"/>
      <c r="AB77" s="1291"/>
      <c r="AC77" s="1291"/>
      <c r="AD77" s="1291"/>
      <c r="AE77" s="1291"/>
      <c r="AF77" s="1291"/>
      <c r="AG77" s="1291"/>
      <c r="AH77" s="1291"/>
      <c r="AI77" s="1291"/>
      <c r="AJ77" s="1291"/>
      <c r="AK77" s="1291"/>
      <c r="AL77" s="1291"/>
      <c r="AM77" s="1291"/>
      <c r="AN77" s="1291"/>
      <c r="AO77" s="1291"/>
      <c r="AP77" s="1291"/>
      <c r="AQ77" s="1291"/>
      <c r="AR77" s="1291"/>
      <c r="AS77" s="1291"/>
      <c r="AT77" s="1291"/>
      <c r="AU77" s="1291"/>
      <c r="AV77" s="1291"/>
      <c r="AW77" s="1291"/>
      <c r="AX77" s="1291"/>
      <c r="AY77" s="1291"/>
      <c r="AZ77" s="1291"/>
      <c r="BA77" s="1291"/>
      <c r="BB77" s="1095">
        <f>+BB16-BB43</f>
        <v>3392</v>
      </c>
      <c r="BC77" s="1095">
        <f>+BC16-BC43</f>
        <v>4054</v>
      </c>
      <c r="BD77" s="1095">
        <f>+BD16-BD43</f>
        <v>7446</v>
      </c>
      <c r="BE77" s="1095"/>
      <c r="BF77" s="1095">
        <f t="shared" ref="BF77:BX77" si="169">+BF16-BF43</f>
        <v>1874</v>
      </c>
      <c r="BG77" s="1095">
        <f t="shared" si="169"/>
        <v>2583</v>
      </c>
      <c r="BH77" s="1095">
        <f t="shared" si="169"/>
        <v>4457</v>
      </c>
      <c r="BI77" s="1095">
        <f t="shared" si="169"/>
        <v>0</v>
      </c>
      <c r="BJ77" s="1095">
        <f t="shared" si="169"/>
        <v>2372</v>
      </c>
      <c r="BK77" s="1095">
        <f t="shared" ca="1" si="169"/>
        <v>3057</v>
      </c>
      <c r="BL77" s="1095">
        <f t="shared" ca="1" si="169"/>
        <v>5429</v>
      </c>
      <c r="BM77" s="1095">
        <f t="shared" si="169"/>
        <v>0</v>
      </c>
      <c r="BN77" s="1095">
        <f t="shared" si="169"/>
        <v>2481</v>
      </c>
      <c r="BO77" s="1095">
        <f t="shared" si="169"/>
        <v>3714.6418694521531</v>
      </c>
      <c r="BP77" s="1095">
        <f t="shared" si="169"/>
        <v>6195.6418694521526</v>
      </c>
      <c r="BQ77" s="1095">
        <f t="shared" si="169"/>
        <v>0</v>
      </c>
      <c r="BR77" s="1095">
        <f t="shared" si="169"/>
        <v>2880.9527836564284</v>
      </c>
      <c r="BS77" s="1095">
        <f t="shared" si="169"/>
        <v>3800.1506043268641</v>
      </c>
      <c r="BT77" s="1095">
        <f t="shared" si="169"/>
        <v>6681.103387983293</v>
      </c>
      <c r="BU77" s="1095">
        <f t="shared" si="169"/>
        <v>0</v>
      </c>
      <c r="BV77" s="1095">
        <f t="shared" si="169"/>
        <v>3124.8635373893676</v>
      </c>
      <c r="BW77" s="1095">
        <f t="shared" si="169"/>
        <v>4050.3139460536445</v>
      </c>
      <c r="BX77" s="1095">
        <f t="shared" si="169"/>
        <v>7175.1774834430125</v>
      </c>
      <c r="BY77" s="1291"/>
      <c r="BZ77" s="1291"/>
      <c r="CA77" s="116"/>
      <c r="CB77" s="116"/>
      <c r="CC77" s="116"/>
      <c r="CD77" s="116"/>
      <c r="CE77" s="116"/>
      <c r="CF77" s="116"/>
      <c r="CG77" s="116"/>
      <c r="CH77" s="116"/>
      <c r="CI77" s="116"/>
      <c r="CJ77" s="116"/>
      <c r="CK77" s="116"/>
      <c r="CL77" s="116"/>
      <c r="CM77" s="116"/>
      <c r="CN77" s="116"/>
      <c r="CO77" s="116"/>
      <c r="CP77" s="116"/>
      <c r="CQ77" s="116"/>
      <c r="CR77" s="116"/>
      <c r="CS77" s="116"/>
      <c r="CT77" s="116"/>
      <c r="CU77" s="116"/>
      <c r="CV77" s="116"/>
      <c r="CW77" s="116"/>
      <c r="CX77" s="116"/>
      <c r="CY77" s="116"/>
      <c r="CZ77" s="116"/>
      <c r="DA77" s="116"/>
      <c r="DB77" s="116"/>
      <c r="DC77" s="116"/>
      <c r="DD77" s="116"/>
      <c r="DE77" s="116"/>
      <c r="DF77" s="116"/>
      <c r="DG77" s="116"/>
      <c r="DH77" s="116"/>
      <c r="DI77" s="116"/>
      <c r="DJ77" s="116"/>
      <c r="DK77" s="116"/>
      <c r="DL77" s="116"/>
      <c r="DM77" s="116"/>
      <c r="DN77" s="116"/>
      <c r="DO77" s="116"/>
      <c r="DP77" s="116"/>
      <c r="DQ77" s="116"/>
      <c r="DR77" s="116"/>
      <c r="DS77" s="116"/>
      <c r="DT77" s="116"/>
      <c r="DU77" s="116"/>
      <c r="DV77" s="116"/>
      <c r="DW77" s="116"/>
      <c r="DX77" s="116"/>
      <c r="DY77" s="116"/>
      <c r="DZ77" s="116"/>
      <c r="EA77" s="116"/>
      <c r="EB77" s="116"/>
      <c r="EC77" s="116"/>
      <c r="ED77" s="116"/>
      <c r="EE77" s="116"/>
      <c r="EF77" s="116"/>
      <c r="EG77" s="116"/>
      <c r="EH77" s="116"/>
      <c r="EI77" s="116"/>
      <c r="EJ77" s="116"/>
      <c r="EK77" s="116"/>
      <c r="EL77" s="116"/>
      <c r="EM77" s="116"/>
      <c r="EN77" s="116"/>
      <c r="EO77" s="116"/>
      <c r="EP77" s="116"/>
      <c r="EQ77" s="116"/>
      <c r="ER77" s="116"/>
      <c r="ES77" s="116"/>
      <c r="ET77" s="116"/>
      <c r="EU77" s="116"/>
      <c r="EV77" s="116"/>
      <c r="EW77" s="116"/>
      <c r="EX77" s="116"/>
      <c r="EY77" s="116"/>
      <c r="EZ77" s="116"/>
      <c r="FA77" s="116"/>
      <c r="FB77" s="116"/>
      <c r="FC77" s="116"/>
    </row>
    <row r="78" spans="1:169" s="119" customFormat="1">
      <c r="A78" s="116"/>
      <c r="B78" s="116"/>
      <c r="C78" s="213" t="s">
        <v>1459</v>
      </c>
      <c r="D78" s="213"/>
      <c r="E78" s="213"/>
      <c r="F78" s="221"/>
      <c r="G78" s="221"/>
      <c r="H78" s="221"/>
      <c r="I78" s="221"/>
      <c r="J78" s="221"/>
      <c r="K78" s="221"/>
      <c r="L78" s="221"/>
      <c r="M78" s="213"/>
      <c r="N78" s="213"/>
      <c r="O78" s="213"/>
      <c r="P78" s="213"/>
      <c r="Q78" s="213"/>
      <c r="R78" s="213"/>
      <c r="S78" s="213"/>
      <c r="T78" s="213"/>
      <c r="U78" s="213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2239">
        <f t="shared" ref="BH78:BX78" si="170">+BH77/BD77-1</f>
        <v>-0.40142358313188287</v>
      </c>
      <c r="BI78" s="2239" t="e">
        <f t="shared" si="170"/>
        <v>#DIV/0!</v>
      </c>
      <c r="BJ78" s="2239">
        <f t="shared" si="170"/>
        <v>0.2657417289220918</v>
      </c>
      <c r="BK78" s="2239">
        <f t="shared" ca="1" si="170"/>
        <v>0.18350754936120794</v>
      </c>
      <c r="BL78" s="2239">
        <f t="shared" ca="1" si="170"/>
        <v>0.21808391294592777</v>
      </c>
      <c r="BM78" s="2239" t="e">
        <f t="shared" si="170"/>
        <v>#DIV/0!</v>
      </c>
      <c r="BN78" s="2239">
        <f t="shared" si="170"/>
        <v>4.5952782462057362E-2</v>
      </c>
      <c r="BO78" s="2239">
        <f t="shared" ca="1" si="170"/>
        <v>0.21512655199612474</v>
      </c>
      <c r="BP78" s="2239">
        <f t="shared" ca="1" si="170"/>
        <v>0.14121235392377107</v>
      </c>
      <c r="BQ78" s="2239" t="e">
        <f t="shared" si="170"/>
        <v>#DIV/0!</v>
      </c>
      <c r="BR78" s="2239">
        <f t="shared" si="170"/>
        <v>0.16120628119968905</v>
      </c>
      <c r="BS78" s="2239">
        <f t="shared" si="170"/>
        <v>2.3019375186045021E-2</v>
      </c>
      <c r="BT78" s="2239">
        <f t="shared" si="170"/>
        <v>7.8355322783378867E-2</v>
      </c>
      <c r="BU78" s="2239" t="e">
        <f t="shared" si="170"/>
        <v>#DIV/0!</v>
      </c>
      <c r="BV78" s="2239">
        <f t="shared" si="170"/>
        <v>8.4663224998562603E-2</v>
      </c>
      <c r="BW78" s="2239">
        <f t="shared" si="170"/>
        <v>6.5829849333324697E-2</v>
      </c>
      <c r="BX78" s="2239">
        <f t="shared" si="170"/>
        <v>7.3950972880971522E-2</v>
      </c>
      <c r="BY78" s="148"/>
      <c r="BZ78" s="148"/>
      <c r="CA78" s="1292"/>
      <c r="CB78" s="116"/>
      <c r="CC78" s="116"/>
      <c r="CD78" s="116"/>
      <c r="CE78" s="116"/>
      <c r="CF78" s="116"/>
      <c r="CG78" s="116"/>
      <c r="CH78" s="116"/>
      <c r="CI78" s="116"/>
      <c r="CJ78" s="116"/>
      <c r="CK78" s="116"/>
      <c r="CL78" s="116"/>
      <c r="CM78" s="116"/>
      <c r="CN78" s="116"/>
      <c r="CO78" s="116"/>
      <c r="CP78" s="116"/>
      <c r="CQ78" s="116"/>
      <c r="CR78" s="116"/>
      <c r="CS78" s="116"/>
      <c r="CT78" s="116"/>
      <c r="CU78" s="116"/>
      <c r="CV78" s="116"/>
      <c r="CW78" s="116"/>
      <c r="CX78" s="116"/>
      <c r="CY78" s="116"/>
      <c r="CZ78" s="116"/>
      <c r="DA78" s="116"/>
      <c r="DB78" s="116"/>
      <c r="DC78" s="116"/>
      <c r="DD78" s="116"/>
      <c r="DE78" s="116"/>
      <c r="DF78" s="116"/>
      <c r="DG78" s="116"/>
      <c r="DH78" s="116"/>
      <c r="DI78" s="116"/>
      <c r="DJ78" s="116"/>
      <c r="DK78" s="116"/>
      <c r="DL78" s="116"/>
      <c r="DM78" s="116"/>
      <c r="DN78" s="116"/>
      <c r="DO78" s="116"/>
      <c r="DP78" s="116"/>
      <c r="DQ78" s="116"/>
      <c r="DR78" s="116"/>
      <c r="DS78" s="116"/>
      <c r="DT78" s="116"/>
      <c r="DU78" s="116"/>
      <c r="DV78" s="116"/>
      <c r="DW78" s="116"/>
      <c r="DX78" s="116"/>
      <c r="DY78" s="116"/>
      <c r="DZ78" s="116"/>
      <c r="EA78" s="116"/>
      <c r="EB78" s="116"/>
      <c r="EC78" s="116"/>
      <c r="ED78" s="116"/>
      <c r="EE78" s="116"/>
      <c r="EF78" s="116"/>
      <c r="EG78" s="116"/>
      <c r="EH78" s="116"/>
      <c r="EI78" s="116"/>
      <c r="EJ78" s="116"/>
      <c r="EK78" s="116"/>
      <c r="EL78" s="116"/>
      <c r="EM78" s="116"/>
      <c r="EN78" s="116"/>
      <c r="EO78" s="116"/>
      <c r="EP78" s="116"/>
      <c r="EQ78" s="116"/>
      <c r="ER78" s="116"/>
      <c r="ES78" s="116"/>
      <c r="ET78" s="116"/>
      <c r="EU78" s="116"/>
      <c r="EV78" s="116"/>
      <c r="EW78" s="116"/>
      <c r="EX78" s="116"/>
      <c r="EY78" s="116"/>
      <c r="EZ78" s="116"/>
      <c r="FA78" s="116"/>
      <c r="FB78" s="116"/>
      <c r="FC78" s="116"/>
      <c r="FD78" s="116"/>
      <c r="FE78" s="116"/>
      <c r="FF78" s="116"/>
    </row>
    <row r="79" spans="1:169" s="119" customFormat="1" ht="14.4" thickBot="1">
      <c r="A79" s="116"/>
      <c r="B79" s="116"/>
      <c r="C79" s="213"/>
      <c r="F79" s="193"/>
      <c r="G79" s="193"/>
      <c r="H79" s="193"/>
      <c r="I79" s="193"/>
      <c r="J79" s="193"/>
      <c r="K79" s="193"/>
      <c r="L79" s="193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  <c r="BH79" s="148"/>
      <c r="BI79" s="148"/>
      <c r="BN79" s="148"/>
      <c r="BO79" s="148"/>
      <c r="BP79" s="148"/>
      <c r="BQ79" s="148"/>
      <c r="BR79" s="148"/>
      <c r="BS79" s="148"/>
      <c r="BT79" s="148"/>
      <c r="BU79" s="148"/>
      <c r="BV79" s="148"/>
      <c r="BW79" s="148"/>
      <c r="BX79" s="148"/>
      <c r="BY79" s="148"/>
      <c r="BZ79" s="148"/>
      <c r="CA79" s="1292"/>
      <c r="CB79" s="116"/>
      <c r="CC79" s="116"/>
      <c r="CD79" s="116"/>
      <c r="CE79" s="116"/>
      <c r="CF79" s="116"/>
      <c r="CG79" s="116"/>
      <c r="CH79" s="116"/>
      <c r="CI79" s="116"/>
      <c r="CJ79" s="116"/>
      <c r="CK79" s="116"/>
      <c r="CL79" s="116"/>
      <c r="CM79" s="116"/>
      <c r="CN79" s="116"/>
      <c r="CO79" s="116"/>
      <c r="CP79" s="116"/>
      <c r="CQ79" s="116"/>
      <c r="CR79" s="116"/>
      <c r="CS79" s="116"/>
      <c r="CT79" s="116"/>
      <c r="CU79" s="116"/>
      <c r="CV79" s="116"/>
      <c r="CW79" s="116"/>
      <c r="CX79" s="116"/>
      <c r="CY79" s="116"/>
      <c r="CZ79" s="116"/>
      <c r="DA79" s="116"/>
      <c r="DB79" s="116"/>
      <c r="DC79" s="116"/>
      <c r="DD79" s="116"/>
      <c r="DE79" s="116"/>
      <c r="DF79" s="116"/>
      <c r="DG79" s="116"/>
      <c r="DH79" s="116"/>
      <c r="DI79" s="116"/>
      <c r="DJ79" s="116"/>
      <c r="DK79" s="116"/>
      <c r="DL79" s="116"/>
      <c r="DM79" s="116"/>
      <c r="DN79" s="116"/>
      <c r="DO79" s="116"/>
      <c r="DP79" s="116"/>
      <c r="DQ79" s="116"/>
      <c r="DR79" s="116"/>
      <c r="DS79" s="116"/>
      <c r="DT79" s="116"/>
      <c r="DU79" s="116"/>
      <c r="DV79" s="116"/>
      <c r="DW79" s="116"/>
      <c r="DX79" s="116"/>
      <c r="DY79" s="116"/>
      <c r="DZ79" s="116"/>
      <c r="EA79" s="116"/>
      <c r="EB79" s="116"/>
      <c r="EC79" s="116"/>
      <c r="ED79" s="116"/>
      <c r="EE79" s="116"/>
      <c r="EF79" s="116"/>
      <c r="EG79" s="116"/>
      <c r="EH79" s="116"/>
      <c r="EI79" s="116"/>
      <c r="EJ79" s="116"/>
      <c r="EK79" s="116"/>
      <c r="EL79" s="116"/>
      <c r="EM79" s="116"/>
      <c r="EN79" s="116"/>
      <c r="EO79" s="116"/>
      <c r="EP79" s="116"/>
      <c r="EQ79" s="116"/>
      <c r="ER79" s="116"/>
      <c r="ES79" s="116"/>
      <c r="ET79" s="116"/>
      <c r="EU79" s="116"/>
      <c r="EV79" s="116"/>
      <c r="EW79" s="116"/>
      <c r="EX79" s="116"/>
      <c r="EY79" s="116"/>
      <c r="EZ79" s="116"/>
      <c r="FA79" s="116"/>
      <c r="FB79" s="116"/>
      <c r="FC79" s="116"/>
      <c r="FD79" s="116"/>
      <c r="FE79" s="116"/>
      <c r="FF79" s="116"/>
    </row>
    <row r="80" spans="1:169" s="119" customFormat="1" ht="14.4" thickBot="1">
      <c r="A80" s="116"/>
      <c r="B80" s="116"/>
      <c r="C80" s="1310" t="s">
        <v>580</v>
      </c>
      <c r="D80" s="1301"/>
      <c r="E80" s="1301"/>
      <c r="F80" s="1302"/>
      <c r="G80" s="1302"/>
      <c r="H80" s="1302"/>
      <c r="I80" s="1302"/>
      <c r="J80" s="1302"/>
      <c r="K80" s="1302"/>
      <c r="L80" s="1302"/>
      <c r="M80" s="1301"/>
      <c r="N80" s="1301"/>
      <c r="O80" s="1301"/>
      <c r="P80" s="1301"/>
      <c r="Q80" s="1301"/>
      <c r="R80" s="1301"/>
      <c r="S80" s="1303"/>
      <c r="T80" s="1303"/>
      <c r="U80" s="1303"/>
      <c r="V80" s="1304"/>
      <c r="W80" s="1304"/>
      <c r="X80" s="1304"/>
      <c r="Y80" s="1304"/>
      <c r="Z80" s="1304"/>
      <c r="AA80" s="1305"/>
      <c r="AB80" s="1305"/>
      <c r="AC80" s="1304"/>
      <c r="AD80" s="1304"/>
      <c r="AE80" s="1305"/>
      <c r="AF80" s="1305"/>
      <c r="AG80" s="1304"/>
      <c r="AH80" s="1304"/>
      <c r="AI80" s="1304"/>
      <c r="AJ80" s="1306"/>
      <c r="AK80" s="1304"/>
      <c r="AL80" s="1304"/>
      <c r="AM80" s="1304"/>
      <c r="AN80" s="313"/>
      <c r="AO80" s="313"/>
      <c r="AP80" s="313"/>
      <c r="AQ80" s="313"/>
      <c r="AR80" s="313"/>
      <c r="AS80" s="313"/>
      <c r="AT80" s="313"/>
      <c r="AU80" s="313"/>
      <c r="AV80" s="313"/>
      <c r="AW80" s="313"/>
      <c r="AX80" s="313"/>
      <c r="AY80" s="313"/>
      <c r="AZ80" s="313"/>
      <c r="BA80" s="313"/>
      <c r="BB80" s="313"/>
      <c r="BC80" s="313"/>
      <c r="BD80" s="313"/>
      <c r="BE80" s="313"/>
      <c r="BF80" s="313"/>
      <c r="BG80" s="313"/>
      <c r="BH80" s="313"/>
      <c r="BI80" s="313"/>
      <c r="BJ80" s="260"/>
      <c r="BK80" s="260"/>
      <c r="BL80" s="2043"/>
      <c r="BM80" s="444">
        <f>+BL80/BF20-1</f>
        <v>-1</v>
      </c>
      <c r="BN80" s="313"/>
      <c r="BO80" s="313"/>
      <c r="BP80" s="313"/>
      <c r="BQ80" s="313"/>
      <c r="BR80" s="313"/>
      <c r="BS80" s="313"/>
      <c r="BT80" s="313"/>
      <c r="BU80" s="313"/>
      <c r="BV80" s="313"/>
      <c r="BW80" s="313"/>
      <c r="BX80" s="313"/>
      <c r="BY80" s="313"/>
      <c r="BZ80" s="313"/>
      <c r="CA80" s="1292"/>
      <c r="CB80" s="1317" t="s">
        <v>580</v>
      </c>
      <c r="CC80" s="1316"/>
      <c r="CD80" s="1316"/>
      <c r="CE80" s="1316"/>
      <c r="CF80" s="1316"/>
      <c r="CG80" s="1316"/>
      <c r="CH80" s="1316"/>
      <c r="CI80" s="1316"/>
      <c r="CJ80" s="1316"/>
      <c r="CK80" s="1316"/>
      <c r="CL80" s="1316"/>
      <c r="CM80" s="1316"/>
      <c r="CN80" s="1316"/>
      <c r="CO80" s="1316"/>
      <c r="CP80" s="1316"/>
      <c r="CQ80" s="1316"/>
      <c r="CR80" s="1316"/>
      <c r="CS80" s="1316"/>
      <c r="CT80" s="1316"/>
      <c r="CU80" s="1316"/>
      <c r="CV80" s="1316"/>
      <c r="CW80" s="1316"/>
      <c r="CX80" s="1316"/>
      <c r="CY80" s="1316"/>
      <c r="CZ80" s="1316"/>
      <c r="DA80" s="1316"/>
      <c r="DB80" s="1316"/>
      <c r="DC80" s="1316"/>
      <c r="DD80" s="1316"/>
      <c r="DE80" s="1316"/>
      <c r="DF80" s="1316"/>
      <c r="DG80" s="1316"/>
      <c r="DH80" s="1316"/>
      <c r="DI80" s="1316"/>
      <c r="DJ80" s="1316"/>
      <c r="DK80" s="1316"/>
      <c r="DL80" s="1316"/>
      <c r="DM80" s="1316"/>
      <c r="DN80" s="1316"/>
      <c r="DO80" s="1316"/>
      <c r="DP80" s="1316"/>
      <c r="DQ80" s="1316"/>
      <c r="DR80" s="1316"/>
      <c r="DS80" s="116"/>
      <c r="DT80" s="1316"/>
      <c r="DU80" s="1316"/>
      <c r="DV80" s="1316"/>
      <c r="DW80" s="116"/>
      <c r="DX80" s="116"/>
      <c r="DY80" s="116"/>
      <c r="DZ80" s="116"/>
      <c r="EA80" s="116"/>
      <c r="EB80" s="116"/>
      <c r="EC80" s="116"/>
      <c r="ED80" s="116"/>
      <c r="EE80" s="116"/>
      <c r="EF80" s="116"/>
      <c r="EG80" s="116"/>
      <c r="EH80" s="116"/>
      <c r="EI80" s="116"/>
      <c r="EJ80" s="116"/>
      <c r="EK80" s="116"/>
      <c r="EL80" s="116"/>
      <c r="EM80" s="116"/>
      <c r="EN80" s="116"/>
      <c r="EO80" s="116"/>
      <c r="EP80" s="116"/>
      <c r="EQ80" s="116"/>
      <c r="ER80" s="116"/>
      <c r="ES80" s="116"/>
      <c r="ET80" s="116"/>
      <c r="EU80" s="116"/>
      <c r="EV80" s="116"/>
      <c r="EW80" s="116"/>
      <c r="EX80" s="116"/>
      <c r="EY80" s="116"/>
      <c r="EZ80" s="116"/>
      <c r="FA80" s="116"/>
      <c r="FB80" s="116"/>
      <c r="FC80" s="116"/>
      <c r="FD80" s="116"/>
      <c r="FE80" s="116"/>
      <c r="FF80" s="116"/>
    </row>
    <row r="81" spans="1:168" s="119" customFormat="1">
      <c r="A81" s="116"/>
      <c r="B81" s="116"/>
      <c r="C81" s="1310" t="s">
        <v>1230</v>
      </c>
      <c r="D81" s="1307"/>
      <c r="E81" s="1307"/>
      <c r="F81" s="1308"/>
      <c r="G81" s="1308"/>
      <c r="H81" s="1308"/>
      <c r="I81" s="1308"/>
      <c r="J81" s="1308"/>
      <c r="K81" s="1308"/>
      <c r="L81" s="1308"/>
      <c r="M81" s="1307"/>
      <c r="N81" s="1307"/>
      <c r="O81" s="1307"/>
      <c r="P81" s="1307"/>
      <c r="Q81" s="1307"/>
      <c r="R81" s="1307"/>
      <c r="S81" s="1307"/>
      <c r="T81" s="1307"/>
      <c r="U81" s="1307"/>
      <c r="V81" s="1308"/>
      <c r="W81" s="1308"/>
      <c r="X81" s="1308"/>
      <c r="Y81" s="1308"/>
      <c r="Z81" s="1308"/>
      <c r="AA81" s="1309"/>
      <c r="AB81" s="1308"/>
      <c r="AC81" s="1308"/>
      <c r="AD81" s="1308"/>
      <c r="AE81" s="1309"/>
      <c r="AF81" s="1308"/>
      <c r="AG81" s="1308"/>
      <c r="AH81" s="1308"/>
      <c r="AI81" s="1308"/>
      <c r="AJ81" s="1308"/>
      <c r="AK81" s="1308"/>
      <c r="AL81" s="1308"/>
      <c r="AM81" s="1308"/>
      <c r="AN81" s="1315">
        <f t="shared" ref="AN81:BX81" si="171">+SUM(AN6:AN10)+SUM(AN12:AN14)+AN17+AN19-AN21-AN22</f>
        <v>-0.48999999999978172</v>
      </c>
      <c r="AO81" s="1315">
        <f t="shared" si="171"/>
        <v>0</v>
      </c>
      <c r="AP81" s="1315">
        <f t="shared" si="171"/>
        <v>0</v>
      </c>
      <c r="AQ81" s="1315">
        <f t="shared" si="171"/>
        <v>-0.49000000000000909</v>
      </c>
      <c r="AR81" s="1315">
        <f t="shared" si="171"/>
        <v>-0.48999999999978172</v>
      </c>
      <c r="AS81" s="1315">
        <f t="shared" si="171"/>
        <v>0</v>
      </c>
      <c r="AT81" s="1315">
        <f t="shared" si="171"/>
        <v>0</v>
      </c>
      <c r="AU81" s="1315">
        <f t="shared" si="171"/>
        <v>-0.49000000000000909</v>
      </c>
      <c r="AV81" s="1315">
        <f t="shared" si="171"/>
        <v>-0.48999999999978172</v>
      </c>
      <c r="AW81" s="1315">
        <f t="shared" si="171"/>
        <v>0</v>
      </c>
      <c r="AX81" s="1315">
        <f t="shared" si="171"/>
        <v>0</v>
      </c>
      <c r="AY81" s="1315">
        <f t="shared" si="171"/>
        <v>-0.48999999999978172</v>
      </c>
      <c r="AZ81" s="1315">
        <f t="shared" si="171"/>
        <v>-0.48999999999978172</v>
      </c>
      <c r="BA81" s="1315">
        <f t="shared" si="171"/>
        <v>0</v>
      </c>
      <c r="BB81" s="1315">
        <f t="shared" si="171"/>
        <v>0</v>
      </c>
      <c r="BC81" s="1315">
        <f t="shared" si="171"/>
        <v>-0.48999999999978172</v>
      </c>
      <c r="BD81" s="1315">
        <f t="shared" si="171"/>
        <v>-0.48999999999978172</v>
      </c>
      <c r="BE81" s="1315">
        <f t="shared" si="171"/>
        <v>0</v>
      </c>
      <c r="BF81" s="1315">
        <f t="shared" si="171"/>
        <v>0</v>
      </c>
      <c r="BG81" s="1315">
        <f t="shared" si="171"/>
        <v>-0.48999999999978172</v>
      </c>
      <c r="BH81" s="1315">
        <f t="shared" si="171"/>
        <v>-0.48999999999978172</v>
      </c>
      <c r="BI81" s="1315">
        <f t="shared" si="171"/>
        <v>0</v>
      </c>
      <c r="BJ81" s="1315">
        <f t="shared" si="171"/>
        <v>0</v>
      </c>
      <c r="BK81" s="1315">
        <f t="shared" ca="1" si="171"/>
        <v>-0.48999999999978172</v>
      </c>
      <c r="BL81" s="1315">
        <f t="shared" ca="1" si="171"/>
        <v>-0.48999999999978172</v>
      </c>
      <c r="BM81" s="1315">
        <f t="shared" si="171"/>
        <v>0</v>
      </c>
      <c r="BN81" s="1315">
        <f t="shared" si="171"/>
        <v>0</v>
      </c>
      <c r="BO81" s="1315">
        <f t="shared" si="171"/>
        <v>0</v>
      </c>
      <c r="BP81" s="1315">
        <f t="shared" si="171"/>
        <v>0</v>
      </c>
      <c r="BQ81" s="1315">
        <f t="shared" si="171"/>
        <v>0</v>
      </c>
      <c r="BR81" s="1315">
        <f t="shared" si="171"/>
        <v>0</v>
      </c>
      <c r="BS81" s="1315">
        <f t="shared" si="171"/>
        <v>0</v>
      </c>
      <c r="BT81" s="1315">
        <f t="shared" si="171"/>
        <v>0</v>
      </c>
      <c r="BU81" s="1315">
        <f t="shared" si="171"/>
        <v>0</v>
      </c>
      <c r="BV81" s="1315">
        <f t="shared" si="171"/>
        <v>0</v>
      </c>
      <c r="BW81" s="1315">
        <f t="shared" si="171"/>
        <v>0</v>
      </c>
      <c r="BX81" s="1315">
        <f t="shared" si="171"/>
        <v>0</v>
      </c>
      <c r="BY81" s="1296"/>
      <c r="BZ81" s="1296"/>
      <c r="CA81" s="1292"/>
      <c r="CB81" s="1316" t="s">
        <v>1232</v>
      </c>
      <c r="CC81" s="1316"/>
      <c r="CD81" s="1316"/>
      <c r="CE81" s="1316"/>
      <c r="CF81" s="1316"/>
      <c r="CG81" s="1316"/>
      <c r="CH81" s="1316"/>
      <c r="CI81" s="1316"/>
      <c r="CJ81" s="1316"/>
      <c r="CK81" s="1316"/>
      <c r="CL81" s="1316"/>
      <c r="CM81" s="1316"/>
      <c r="CN81" s="1316"/>
      <c r="CO81" s="1316"/>
      <c r="CP81" s="1316"/>
      <c r="CQ81" s="1316"/>
      <c r="CR81" s="1316"/>
      <c r="CS81" s="1316"/>
      <c r="CT81" s="1316"/>
      <c r="CU81" s="1316"/>
      <c r="CV81" s="1316"/>
      <c r="CW81" s="1316"/>
      <c r="CX81" s="1316"/>
      <c r="CY81" s="1316"/>
      <c r="CZ81" s="1316"/>
      <c r="DA81" s="1316"/>
      <c r="DB81" s="1316"/>
      <c r="DC81" s="1316"/>
      <c r="DD81" s="1316"/>
      <c r="DE81" s="1316"/>
      <c r="DF81" s="1316"/>
      <c r="DG81" s="1316"/>
      <c r="DH81" s="1316"/>
      <c r="DI81" s="1316"/>
      <c r="DJ81" s="1316"/>
      <c r="DK81" s="1316"/>
      <c r="DL81" s="1316"/>
      <c r="DM81" s="1316"/>
      <c r="DN81" s="1316"/>
      <c r="DO81" s="1316"/>
      <c r="DP81" s="1316"/>
      <c r="DQ81" s="1316"/>
      <c r="DR81" s="1316"/>
      <c r="DS81" s="1318">
        <f t="shared" ref="DS81:FC81" si="172">+SUM(DS59:DS61)-DS62</f>
        <v>0</v>
      </c>
      <c r="DT81" s="1318">
        <f t="shared" si="172"/>
        <v>0</v>
      </c>
      <c r="DU81" s="1318">
        <f t="shared" si="172"/>
        <v>0</v>
      </c>
      <c r="DV81" s="1318">
        <f t="shared" si="172"/>
        <v>0</v>
      </c>
      <c r="DW81" s="1318">
        <f t="shared" si="172"/>
        <v>0</v>
      </c>
      <c r="DX81" s="1318">
        <f t="shared" si="172"/>
        <v>0</v>
      </c>
      <c r="DY81" s="1318">
        <f t="shared" si="172"/>
        <v>0</v>
      </c>
      <c r="DZ81" s="1318">
        <f t="shared" si="172"/>
        <v>0</v>
      </c>
      <c r="EA81" s="1318">
        <f t="shared" si="172"/>
        <v>0</v>
      </c>
      <c r="EB81" s="1318">
        <f t="shared" si="172"/>
        <v>0</v>
      </c>
      <c r="EC81" s="1318">
        <f t="shared" si="172"/>
        <v>0</v>
      </c>
      <c r="ED81" s="1318">
        <f t="shared" si="172"/>
        <v>0</v>
      </c>
      <c r="EE81" s="1318">
        <f t="shared" si="172"/>
        <v>0</v>
      </c>
      <c r="EF81" s="1318">
        <f t="shared" si="172"/>
        <v>0</v>
      </c>
      <c r="EG81" s="1318">
        <f t="shared" si="172"/>
        <v>0</v>
      </c>
      <c r="EH81" s="1318">
        <f t="shared" si="172"/>
        <v>0</v>
      </c>
      <c r="EI81" s="1318">
        <f t="shared" si="172"/>
        <v>0</v>
      </c>
      <c r="EJ81" s="1318">
        <f t="shared" si="172"/>
        <v>0</v>
      </c>
      <c r="EK81" s="1318">
        <f t="shared" si="172"/>
        <v>0</v>
      </c>
      <c r="EL81" s="1318">
        <f t="shared" si="172"/>
        <v>0</v>
      </c>
      <c r="EM81" s="1318">
        <f t="shared" si="172"/>
        <v>0</v>
      </c>
      <c r="EN81" s="1318">
        <f t="shared" si="172"/>
        <v>0</v>
      </c>
      <c r="EO81" s="1318">
        <f t="shared" si="172"/>
        <v>0</v>
      </c>
      <c r="EP81" s="1318">
        <f t="shared" si="172"/>
        <v>0</v>
      </c>
      <c r="EQ81" s="1318">
        <f t="shared" si="172"/>
        <v>0</v>
      </c>
      <c r="ER81" s="1318">
        <f t="shared" si="172"/>
        <v>0</v>
      </c>
      <c r="ES81" s="1318">
        <f t="shared" si="172"/>
        <v>0</v>
      </c>
      <c r="ET81" s="1318">
        <f t="shared" si="172"/>
        <v>0</v>
      </c>
      <c r="EU81" s="1318">
        <f t="shared" si="172"/>
        <v>0</v>
      </c>
      <c r="EV81" s="1318">
        <f t="shared" si="172"/>
        <v>0</v>
      </c>
      <c r="EW81" s="1318">
        <f t="shared" si="172"/>
        <v>0</v>
      </c>
      <c r="EX81" s="1318">
        <f t="shared" si="172"/>
        <v>0</v>
      </c>
      <c r="EY81" s="1318">
        <f t="shared" si="172"/>
        <v>0</v>
      </c>
      <c r="EZ81" s="1318">
        <f t="shared" si="172"/>
        <v>0</v>
      </c>
      <c r="FA81" s="1318">
        <f t="shared" si="172"/>
        <v>0</v>
      </c>
      <c r="FB81" s="1318">
        <f t="shared" si="172"/>
        <v>0</v>
      </c>
      <c r="FC81" s="1318">
        <f t="shared" si="172"/>
        <v>0</v>
      </c>
      <c r="FD81" s="116"/>
      <c r="FE81" s="116"/>
      <c r="FF81" s="116"/>
    </row>
    <row r="82" spans="1:168" s="119" customFormat="1" ht="14.4" thickBot="1">
      <c r="A82" s="116"/>
      <c r="B82" s="116"/>
      <c r="C82" s="1310" t="s">
        <v>1231</v>
      </c>
      <c r="D82" s="1311"/>
      <c r="E82" s="1311"/>
      <c r="F82" s="1312"/>
      <c r="G82" s="1312"/>
      <c r="H82" s="1312"/>
      <c r="I82" s="1312"/>
      <c r="J82" s="1312"/>
      <c r="K82" s="1312"/>
      <c r="L82" s="1312"/>
      <c r="M82" s="1311"/>
      <c r="N82" s="1311"/>
      <c r="O82" s="1311"/>
      <c r="P82" s="1311"/>
      <c r="Q82" s="1311"/>
      <c r="R82" s="1311"/>
      <c r="S82" s="1311"/>
      <c r="T82" s="1311"/>
      <c r="U82" s="1311"/>
      <c r="V82" s="1313"/>
      <c r="W82" s="1313"/>
      <c r="X82" s="1313"/>
      <c r="Y82" s="1313"/>
      <c r="Z82" s="1313"/>
      <c r="AA82" s="1313"/>
      <c r="AB82" s="1313"/>
      <c r="AC82" s="1314"/>
      <c r="AD82" s="1313"/>
      <c r="AE82" s="1313"/>
      <c r="AF82" s="1313"/>
      <c r="AG82" s="1314"/>
      <c r="AH82" s="1314"/>
      <c r="AI82" s="1314"/>
      <c r="AJ82" s="1313"/>
      <c r="AK82" s="1314"/>
      <c r="AL82" s="1314"/>
      <c r="AM82" s="1314"/>
      <c r="AN82" s="1313">
        <f t="shared" ref="AN82:BX82" si="173">+AN39+AN46-AN11</f>
        <v>0</v>
      </c>
      <c r="AO82" s="1313">
        <f t="shared" si="173"/>
        <v>0</v>
      </c>
      <c r="AP82" s="1313">
        <f t="shared" si="173"/>
        <v>0</v>
      </c>
      <c r="AQ82" s="1313">
        <f t="shared" si="173"/>
        <v>0</v>
      </c>
      <c r="AR82" s="1313">
        <f t="shared" si="173"/>
        <v>0</v>
      </c>
      <c r="AS82" s="1313">
        <f t="shared" si="173"/>
        <v>0</v>
      </c>
      <c r="AT82" s="1313">
        <f t="shared" si="173"/>
        <v>0</v>
      </c>
      <c r="AU82" s="1313">
        <f t="shared" si="173"/>
        <v>0</v>
      </c>
      <c r="AV82" s="1313">
        <f t="shared" si="173"/>
        <v>0</v>
      </c>
      <c r="AW82" s="1313">
        <f t="shared" si="173"/>
        <v>0</v>
      </c>
      <c r="AX82" s="1313">
        <f t="shared" si="173"/>
        <v>0</v>
      </c>
      <c r="AY82" s="1313">
        <f t="shared" si="173"/>
        <v>0</v>
      </c>
      <c r="AZ82" s="1313">
        <f t="shared" si="173"/>
        <v>0</v>
      </c>
      <c r="BA82" s="1313">
        <f t="shared" si="173"/>
        <v>0</v>
      </c>
      <c r="BB82" s="1313">
        <f t="shared" si="173"/>
        <v>0</v>
      </c>
      <c r="BC82" s="1313">
        <f t="shared" si="173"/>
        <v>0</v>
      </c>
      <c r="BD82" s="1313">
        <f t="shared" si="173"/>
        <v>0</v>
      </c>
      <c r="BE82" s="1313">
        <f t="shared" si="173"/>
        <v>0</v>
      </c>
      <c r="BF82" s="1313">
        <f t="shared" si="173"/>
        <v>0</v>
      </c>
      <c r="BG82" s="1313">
        <f t="shared" si="173"/>
        <v>0</v>
      </c>
      <c r="BH82" s="1313">
        <f t="shared" si="173"/>
        <v>0</v>
      </c>
      <c r="BI82" s="1313">
        <f t="shared" si="173"/>
        <v>0</v>
      </c>
      <c r="BJ82" s="1313">
        <f t="shared" si="173"/>
        <v>0</v>
      </c>
      <c r="BK82" s="1313">
        <f t="shared" ca="1" si="173"/>
        <v>0</v>
      </c>
      <c r="BL82" s="1313">
        <f t="shared" ca="1" si="173"/>
        <v>0</v>
      </c>
      <c r="BM82" s="1313">
        <f t="shared" si="173"/>
        <v>0</v>
      </c>
      <c r="BN82" s="1313">
        <f t="shared" si="173"/>
        <v>0</v>
      </c>
      <c r="BO82" s="1313">
        <f t="shared" si="173"/>
        <v>0</v>
      </c>
      <c r="BP82" s="1313">
        <f t="shared" si="173"/>
        <v>0</v>
      </c>
      <c r="BQ82" s="1313">
        <f t="shared" si="173"/>
        <v>0</v>
      </c>
      <c r="BR82" s="1313">
        <f t="shared" si="173"/>
        <v>0</v>
      </c>
      <c r="BS82" s="1313">
        <f t="shared" si="173"/>
        <v>0</v>
      </c>
      <c r="BT82" s="1313">
        <f t="shared" si="173"/>
        <v>0</v>
      </c>
      <c r="BU82" s="1313">
        <f t="shared" si="173"/>
        <v>0</v>
      </c>
      <c r="BV82" s="1313">
        <f t="shared" si="173"/>
        <v>0</v>
      </c>
      <c r="BW82" s="1313">
        <f t="shared" si="173"/>
        <v>0</v>
      </c>
      <c r="BX82" s="1313">
        <f t="shared" si="173"/>
        <v>0</v>
      </c>
      <c r="BY82" s="150"/>
      <c r="BZ82" s="150"/>
      <c r="CA82" s="135"/>
      <c r="CB82" s="116"/>
      <c r="CC82" s="116"/>
      <c r="CD82" s="116"/>
      <c r="CE82" s="116"/>
      <c r="CF82" s="116"/>
      <c r="CG82" s="116"/>
      <c r="CH82" s="116"/>
      <c r="CI82" s="116"/>
      <c r="CJ82" s="116"/>
      <c r="CK82" s="116"/>
      <c r="CL82" s="116"/>
      <c r="CM82" s="116"/>
      <c r="CN82" s="116"/>
      <c r="CO82" s="116"/>
      <c r="CP82" s="116"/>
      <c r="CQ82" s="116"/>
      <c r="CR82" s="116"/>
      <c r="CS82" s="116"/>
      <c r="CT82" s="116"/>
      <c r="CU82" s="116"/>
      <c r="CV82" s="116"/>
      <c r="CW82" s="116"/>
      <c r="CX82" s="116"/>
      <c r="CY82" s="116"/>
      <c r="CZ82" s="116"/>
      <c r="DA82" s="116"/>
      <c r="DB82" s="116"/>
      <c r="DC82" s="116"/>
      <c r="DD82" s="116"/>
      <c r="DE82" s="116"/>
      <c r="DF82" s="116"/>
      <c r="DG82" s="116"/>
      <c r="DH82" s="116"/>
      <c r="DI82" s="116"/>
      <c r="DJ82" s="116"/>
      <c r="DK82" s="116"/>
      <c r="DL82" s="116"/>
      <c r="DM82" s="116"/>
      <c r="DN82" s="116"/>
      <c r="DO82" s="116"/>
      <c r="DP82" s="116"/>
      <c r="DQ82" s="116"/>
      <c r="DR82" s="116"/>
      <c r="DS82" s="116"/>
      <c r="DT82" s="116"/>
      <c r="DU82" s="116"/>
      <c r="DV82" s="116"/>
      <c r="DW82" s="116"/>
      <c r="DX82" s="116"/>
      <c r="DY82" s="116"/>
      <c r="DZ82" s="116"/>
      <c r="EA82" s="116"/>
      <c r="EB82" s="116"/>
      <c r="EC82" s="116"/>
      <c r="ED82" s="116"/>
      <c r="EE82" s="116"/>
      <c r="EF82" s="116"/>
      <c r="EG82" s="116"/>
      <c r="EH82" s="116"/>
      <c r="EI82" s="116"/>
      <c r="EJ82" s="116"/>
      <c r="EK82" s="116"/>
      <c r="EL82" s="116"/>
      <c r="EM82" s="116"/>
      <c r="EN82" s="116"/>
      <c r="EO82" s="116"/>
      <c r="EP82" s="116"/>
      <c r="EQ82" s="116"/>
      <c r="ER82" s="116"/>
      <c r="ES82" s="116"/>
      <c r="ET82" s="116"/>
      <c r="EU82" s="116"/>
      <c r="EV82" s="116"/>
      <c r="EW82" s="116"/>
      <c r="EX82" s="116"/>
      <c r="EY82" s="116"/>
      <c r="EZ82" s="116"/>
      <c r="FA82" s="116"/>
      <c r="FB82" s="116"/>
      <c r="FC82" s="116"/>
      <c r="FD82" s="116"/>
      <c r="FE82" s="116"/>
      <c r="FF82" s="116"/>
    </row>
    <row r="83" spans="1:168" s="119" customFormat="1" ht="14.4" thickBot="1">
      <c r="A83" s="116"/>
      <c r="B83" s="116"/>
      <c r="C83" s="247"/>
      <c r="D83" s="247"/>
      <c r="E83" s="247"/>
      <c r="F83" s="286"/>
      <c r="G83" s="286"/>
      <c r="H83" s="286"/>
      <c r="I83" s="286"/>
      <c r="J83" s="286"/>
      <c r="K83" s="286"/>
      <c r="L83" s="286"/>
      <c r="M83" s="247"/>
      <c r="N83" s="247"/>
      <c r="O83" s="247"/>
      <c r="P83" s="247"/>
      <c r="Q83" s="247"/>
      <c r="R83" s="247"/>
      <c r="S83" s="312"/>
      <c r="T83" s="312"/>
      <c r="U83" s="312"/>
      <c r="V83" s="313"/>
      <c r="W83" s="313"/>
      <c r="X83" s="313"/>
      <c r="Y83" s="313"/>
      <c r="Z83" s="313"/>
      <c r="AA83" s="1297"/>
      <c r="AB83" s="1293"/>
      <c r="AC83" s="193"/>
      <c r="AD83" s="313"/>
      <c r="AE83" s="1297"/>
      <c r="AF83" s="1293"/>
      <c r="AG83" s="193"/>
      <c r="AH83" s="193"/>
      <c r="AI83" s="193"/>
      <c r="AJ83" s="1294"/>
      <c r="AK83" s="193"/>
      <c r="AL83" s="193"/>
      <c r="AM83" s="193"/>
      <c r="AN83" s="193"/>
      <c r="AO83" s="193"/>
      <c r="AP83" s="193"/>
      <c r="AQ83" s="193"/>
      <c r="AR83" s="193"/>
      <c r="AS83" s="193"/>
      <c r="AT83" s="193"/>
      <c r="AU83" s="193"/>
      <c r="AV83" s="193"/>
      <c r="AW83" s="193"/>
      <c r="AX83" s="193"/>
      <c r="AY83" s="193"/>
      <c r="AZ83" s="193"/>
      <c r="BA83" s="193"/>
      <c r="BB83" s="193"/>
      <c r="BC83" s="193"/>
      <c r="BD83" s="193"/>
      <c r="BE83" s="193"/>
      <c r="BF83" s="193"/>
      <c r="BG83" s="193"/>
      <c r="BH83" s="193"/>
      <c r="BI83" s="193"/>
      <c r="BJ83" s="2046"/>
      <c r="BK83" s="1291"/>
      <c r="BL83" s="2044"/>
      <c r="BM83" s="2045">
        <f>+BL83/BG20-1</f>
        <v>-1</v>
      </c>
      <c r="BN83" s="193"/>
      <c r="BO83" s="193"/>
      <c r="BP83" s="193"/>
      <c r="BQ83" s="193"/>
      <c r="BR83" s="193"/>
      <c r="BS83" s="193"/>
      <c r="BT83" s="193"/>
      <c r="BU83" s="193"/>
      <c r="BV83" s="193"/>
      <c r="BW83" s="193"/>
      <c r="BX83" s="193"/>
      <c r="BY83" s="193"/>
      <c r="BZ83" s="193"/>
      <c r="CA83" s="135"/>
      <c r="CB83" s="116"/>
      <c r="CC83" s="116"/>
      <c r="CD83" s="116"/>
      <c r="CE83" s="116"/>
      <c r="CF83" s="116"/>
      <c r="CG83" s="116"/>
      <c r="CH83" s="116"/>
      <c r="CI83" s="116"/>
      <c r="CJ83" s="116"/>
      <c r="CK83" s="116"/>
      <c r="CL83" s="116"/>
      <c r="CM83" s="116"/>
      <c r="CN83" s="116"/>
      <c r="CO83" s="116"/>
      <c r="CP83" s="116"/>
      <c r="CQ83" s="116"/>
      <c r="CR83" s="116"/>
      <c r="CS83" s="116"/>
      <c r="CT83" s="116"/>
      <c r="CU83" s="116"/>
      <c r="CV83" s="116"/>
      <c r="CW83" s="116"/>
      <c r="CX83" s="116"/>
      <c r="CY83" s="116"/>
      <c r="CZ83" s="116"/>
      <c r="DA83" s="116"/>
      <c r="DB83" s="116"/>
      <c r="DC83" s="116"/>
      <c r="DD83" s="116"/>
      <c r="DE83" s="116"/>
      <c r="DF83" s="116"/>
      <c r="DG83" s="116"/>
      <c r="DH83" s="116"/>
      <c r="DI83" s="116"/>
      <c r="DJ83" s="116"/>
      <c r="DK83" s="116"/>
      <c r="DL83" s="116"/>
      <c r="DM83" s="116"/>
      <c r="DN83" s="116"/>
      <c r="DO83" s="116"/>
      <c r="DP83" s="116"/>
      <c r="DQ83" s="116"/>
      <c r="DR83" s="116"/>
      <c r="DS83" s="116"/>
      <c r="DT83" s="116"/>
      <c r="DU83" s="116"/>
      <c r="DV83" s="116"/>
      <c r="DW83" s="116"/>
      <c r="DX83" s="116"/>
      <c r="DY83" s="116"/>
      <c r="DZ83" s="116"/>
      <c r="EA83" s="116"/>
      <c r="EB83" s="116"/>
      <c r="EC83" s="116"/>
      <c r="ED83" s="116"/>
      <c r="EE83" s="116"/>
      <c r="EF83" s="116"/>
      <c r="EG83" s="116"/>
      <c r="EH83" s="116"/>
      <c r="EI83" s="116"/>
      <c r="EJ83" s="116"/>
      <c r="EK83" s="116"/>
      <c r="EL83" s="116"/>
      <c r="EM83" s="116"/>
      <c r="EN83" s="116"/>
      <c r="EO83" s="116"/>
      <c r="EP83" s="116"/>
      <c r="EQ83" s="116"/>
      <c r="ER83" s="116"/>
      <c r="ES83" s="116"/>
      <c r="ET83" s="116"/>
      <c r="EU83" s="116"/>
      <c r="EV83" s="116"/>
      <c r="EW83" s="116"/>
      <c r="EX83" s="116"/>
      <c r="EY83" s="116"/>
      <c r="EZ83" s="116"/>
      <c r="FA83" s="116"/>
      <c r="FB83" s="116"/>
      <c r="FC83" s="116"/>
      <c r="FD83" s="116"/>
      <c r="FE83" s="116"/>
      <c r="FF83" s="116"/>
    </row>
    <row r="84" spans="1:168" s="119" customFormat="1">
      <c r="A84" s="116"/>
      <c r="B84" s="116"/>
      <c r="C84" s="247"/>
      <c r="D84" s="1295"/>
      <c r="E84" s="1295"/>
      <c r="F84" s="1296"/>
      <c r="G84" s="1296"/>
      <c r="H84" s="1296"/>
      <c r="I84" s="1296"/>
      <c r="J84" s="1296"/>
      <c r="K84" s="1296"/>
      <c r="L84" s="1296"/>
      <c r="M84" s="1295"/>
      <c r="N84" s="1295"/>
      <c r="O84" s="1295"/>
      <c r="P84" s="1295"/>
      <c r="Q84" s="1295"/>
      <c r="R84" s="1295"/>
      <c r="S84" s="1295"/>
      <c r="T84" s="1295"/>
      <c r="U84" s="1295"/>
      <c r="V84" s="1296"/>
      <c r="W84" s="1296"/>
      <c r="X84" s="1296"/>
      <c r="Y84" s="1296"/>
      <c r="Z84" s="1296"/>
      <c r="AA84" s="336"/>
      <c r="AB84" s="1296"/>
      <c r="AC84" s="193"/>
      <c r="AD84" s="1296"/>
      <c r="AE84" s="336"/>
      <c r="AF84" s="1296"/>
      <c r="AG84" s="193"/>
      <c r="AH84" s="193"/>
      <c r="AI84" s="193"/>
      <c r="AJ84" s="1296"/>
      <c r="AK84" s="193"/>
      <c r="AL84" s="193"/>
      <c r="AM84" s="193"/>
      <c r="AN84" s="193"/>
      <c r="AO84" s="193"/>
      <c r="AP84" s="193"/>
      <c r="AQ84" s="193"/>
      <c r="AR84" s="193"/>
      <c r="AS84" s="193"/>
      <c r="AT84" s="193"/>
      <c r="AU84" s="193"/>
      <c r="AV84" s="193"/>
      <c r="AW84" s="193"/>
      <c r="AX84" s="193"/>
      <c r="AY84" s="193"/>
      <c r="AZ84" s="193"/>
      <c r="BA84" s="193"/>
      <c r="BB84" s="193"/>
      <c r="BC84" s="193"/>
      <c r="BD84" s="193"/>
      <c r="BE84" s="193"/>
      <c r="BF84" s="193"/>
      <c r="BG84" s="193"/>
      <c r="BH84" s="193"/>
      <c r="BI84" s="193"/>
      <c r="BJ84" s="193"/>
      <c r="BK84" s="193"/>
      <c r="BL84" s="193"/>
      <c r="BM84" s="193"/>
      <c r="BN84" s="193"/>
      <c r="BO84" s="193"/>
      <c r="BP84" s="193"/>
      <c r="BQ84" s="193"/>
      <c r="BR84" s="193"/>
      <c r="BS84" s="193"/>
      <c r="BT84" s="193"/>
      <c r="BU84" s="193"/>
      <c r="BV84" s="193"/>
      <c r="BW84" s="193"/>
      <c r="BX84" s="193"/>
      <c r="BY84" s="193"/>
      <c r="BZ84" s="193"/>
      <c r="CA84" s="116"/>
      <c r="CB84" s="116"/>
      <c r="CC84" s="116"/>
      <c r="CD84" s="116"/>
      <c r="CE84" s="116"/>
      <c r="CF84" s="116"/>
      <c r="CG84" s="116"/>
      <c r="CH84" s="116"/>
      <c r="CI84" s="116"/>
      <c r="CJ84" s="116"/>
      <c r="CK84" s="116"/>
      <c r="CL84" s="116"/>
      <c r="CM84" s="116"/>
      <c r="CN84" s="116"/>
      <c r="CO84" s="116"/>
      <c r="CP84" s="116"/>
      <c r="CQ84" s="116"/>
      <c r="CR84" s="116"/>
      <c r="CS84" s="116"/>
      <c r="CT84" s="116"/>
      <c r="CU84" s="116"/>
      <c r="CV84" s="116"/>
      <c r="CW84" s="116"/>
      <c r="CX84" s="116"/>
      <c r="CY84" s="116"/>
      <c r="CZ84" s="116"/>
      <c r="DA84" s="116"/>
      <c r="DB84" s="116"/>
      <c r="DC84" s="116"/>
      <c r="DD84" s="116"/>
      <c r="DE84" s="116"/>
      <c r="DF84" s="116"/>
      <c r="DG84" s="116"/>
      <c r="DH84" s="116"/>
      <c r="DI84" s="116"/>
      <c r="DJ84" s="116"/>
      <c r="DK84" s="116"/>
      <c r="DL84" s="116"/>
      <c r="DM84" s="116"/>
      <c r="DN84" s="116"/>
      <c r="DO84" s="116"/>
      <c r="DP84" s="116"/>
      <c r="DQ84" s="116"/>
      <c r="DR84" s="116"/>
      <c r="DS84" s="116"/>
      <c r="DT84" s="116"/>
      <c r="DU84" s="116"/>
      <c r="DV84" s="116"/>
      <c r="DW84" s="116"/>
      <c r="DX84" s="116"/>
      <c r="DY84" s="116"/>
      <c r="DZ84" s="116"/>
      <c r="EA84" s="116"/>
      <c r="EB84" s="116"/>
      <c r="EC84" s="116"/>
      <c r="ED84" s="116"/>
      <c r="EE84" s="116"/>
      <c r="EF84" s="116"/>
      <c r="EG84" s="116"/>
      <c r="EH84" s="116"/>
      <c r="EI84" s="116"/>
      <c r="EJ84" s="116"/>
      <c r="EK84" s="116"/>
      <c r="EL84" s="116"/>
      <c r="EM84" s="116"/>
      <c r="EN84" s="116"/>
      <c r="EO84" s="116"/>
      <c r="EP84" s="116"/>
      <c r="EQ84" s="116"/>
      <c r="ER84" s="116"/>
      <c r="ES84" s="116"/>
      <c r="ET84" s="116"/>
      <c r="EU84" s="116"/>
      <c r="EV84" s="116"/>
      <c r="EW84" s="116"/>
      <c r="EX84" s="116"/>
      <c r="EY84" s="116"/>
      <c r="EZ84" s="116"/>
      <c r="FA84" s="116"/>
      <c r="FB84" s="116"/>
      <c r="FC84" s="116"/>
      <c r="FD84" s="116"/>
      <c r="FE84" s="116"/>
      <c r="FF84" s="116"/>
    </row>
    <row r="85" spans="1:168" s="119" customFormat="1">
      <c r="A85" s="116"/>
      <c r="B85" s="116"/>
      <c r="C85" s="213"/>
      <c r="F85" s="193"/>
      <c r="G85" s="193"/>
      <c r="H85" s="193"/>
      <c r="I85" s="193"/>
      <c r="J85" s="193"/>
      <c r="K85" s="193"/>
      <c r="L85" s="193"/>
      <c r="V85" s="148"/>
      <c r="W85" s="148"/>
      <c r="X85" s="148"/>
      <c r="Y85" s="148"/>
      <c r="Z85" s="148"/>
      <c r="AA85" s="148"/>
      <c r="AB85" s="148"/>
      <c r="AD85" s="148"/>
      <c r="AE85" s="148"/>
      <c r="AF85" s="148"/>
      <c r="AJ85" s="148"/>
      <c r="CB85" s="116"/>
      <c r="CC85" s="116"/>
      <c r="CD85" s="116"/>
      <c r="CE85" s="116"/>
      <c r="CF85" s="116"/>
      <c r="CG85" s="116"/>
      <c r="CH85" s="116"/>
      <c r="CI85" s="116"/>
      <c r="CJ85" s="116"/>
      <c r="CK85" s="116"/>
      <c r="CL85" s="116"/>
      <c r="CM85" s="116"/>
      <c r="CN85" s="116"/>
      <c r="CO85" s="116"/>
      <c r="CP85" s="116"/>
      <c r="CQ85" s="116"/>
      <c r="CR85" s="116"/>
      <c r="CS85" s="116"/>
      <c r="CT85" s="116"/>
      <c r="CU85" s="116"/>
      <c r="CV85" s="116"/>
      <c r="CW85" s="116"/>
      <c r="CX85" s="116"/>
      <c r="CY85" s="116"/>
      <c r="CZ85" s="116"/>
      <c r="DA85" s="116"/>
      <c r="DB85" s="116"/>
      <c r="DC85" s="116"/>
      <c r="DD85" s="116"/>
      <c r="DE85" s="116"/>
      <c r="DF85" s="116"/>
      <c r="DG85" s="116"/>
      <c r="DH85" s="116"/>
      <c r="DI85" s="116"/>
      <c r="DJ85" s="116"/>
      <c r="DK85" s="116"/>
      <c r="DL85" s="116"/>
      <c r="DM85" s="116"/>
      <c r="DN85" s="116"/>
      <c r="DO85" s="116"/>
      <c r="DP85" s="116"/>
      <c r="DQ85" s="116"/>
      <c r="DR85" s="116"/>
      <c r="DS85" s="116"/>
      <c r="DT85" s="116"/>
      <c r="DU85" s="116"/>
      <c r="DV85" s="116"/>
      <c r="DW85" s="116"/>
      <c r="DX85" s="116"/>
      <c r="DY85" s="116"/>
      <c r="DZ85" s="116"/>
      <c r="EA85" s="116"/>
      <c r="EB85" s="116"/>
      <c r="EC85" s="116"/>
      <c r="ED85" s="116"/>
      <c r="EE85" s="116"/>
      <c r="EF85" s="116"/>
      <c r="EG85" s="116"/>
      <c r="EH85" s="116"/>
      <c r="EI85" s="116"/>
      <c r="EJ85" s="116"/>
      <c r="EK85" s="116"/>
      <c r="EL85" s="116"/>
      <c r="EM85" s="116"/>
      <c r="EN85" s="116"/>
      <c r="EO85" s="116"/>
      <c r="EP85" s="116"/>
      <c r="EQ85" s="116"/>
      <c r="ER85" s="116"/>
      <c r="ES85" s="116"/>
      <c r="ET85" s="116"/>
      <c r="EU85" s="116"/>
      <c r="EV85" s="116"/>
      <c r="EW85" s="116"/>
      <c r="EX85" s="116"/>
      <c r="EY85" s="116"/>
      <c r="EZ85" s="116"/>
      <c r="FA85" s="116"/>
      <c r="FB85" s="116"/>
      <c r="FC85" s="116"/>
      <c r="FD85" s="116"/>
      <c r="FE85" s="116"/>
      <c r="FF85" s="116"/>
    </row>
    <row r="86" spans="1:168" s="119" customFormat="1">
      <c r="A86" s="116"/>
      <c r="B86" s="116"/>
      <c r="C86" s="247"/>
      <c r="D86" s="247"/>
      <c r="E86" s="247"/>
      <c r="F86" s="286"/>
      <c r="G86" s="286"/>
      <c r="H86" s="286"/>
      <c r="I86" s="286"/>
      <c r="J86" s="286"/>
      <c r="K86" s="286"/>
      <c r="L86" s="286"/>
      <c r="M86" s="247"/>
      <c r="N86" s="247"/>
      <c r="O86" s="247"/>
      <c r="P86" s="247"/>
      <c r="Q86" s="247"/>
      <c r="R86" s="247"/>
      <c r="S86" s="312"/>
      <c r="T86" s="312"/>
      <c r="U86" s="312"/>
      <c r="V86" s="313"/>
      <c r="W86" s="313"/>
      <c r="X86" s="313"/>
      <c r="Y86" s="313"/>
      <c r="Z86" s="313"/>
      <c r="AA86" s="336"/>
      <c r="AB86" s="336"/>
      <c r="AD86" s="313"/>
      <c r="AE86" s="336"/>
      <c r="AF86" s="336"/>
      <c r="AJ86" s="336"/>
      <c r="CA86" s="116"/>
      <c r="CB86" s="116"/>
      <c r="CC86" s="116"/>
      <c r="CD86" s="116"/>
      <c r="CE86" s="116"/>
      <c r="CF86" s="116"/>
      <c r="CG86" s="116"/>
      <c r="CH86" s="116"/>
      <c r="CI86" s="116"/>
      <c r="CJ86" s="116"/>
      <c r="CK86" s="116"/>
      <c r="CL86" s="116"/>
      <c r="CM86" s="116"/>
      <c r="CN86" s="116"/>
      <c r="CO86" s="116"/>
      <c r="CP86" s="116"/>
      <c r="CQ86" s="116"/>
      <c r="CR86" s="116"/>
      <c r="CS86" s="116"/>
      <c r="CT86" s="116"/>
      <c r="CU86" s="116"/>
      <c r="CV86" s="116"/>
      <c r="CW86" s="116"/>
      <c r="CX86" s="116"/>
      <c r="CY86" s="116"/>
      <c r="CZ86" s="116"/>
      <c r="DA86" s="116"/>
      <c r="DB86" s="116"/>
      <c r="DC86" s="116"/>
      <c r="DD86" s="116"/>
      <c r="DE86" s="116"/>
      <c r="DF86" s="116"/>
      <c r="DG86" s="116"/>
      <c r="DH86" s="116"/>
      <c r="DI86" s="116"/>
      <c r="DJ86" s="116"/>
      <c r="DK86" s="116"/>
      <c r="DL86" s="116"/>
      <c r="DM86" s="116"/>
      <c r="DN86" s="116"/>
      <c r="DO86" s="116"/>
      <c r="DP86" s="116"/>
      <c r="DQ86" s="116"/>
      <c r="DR86" s="116"/>
      <c r="DS86" s="116"/>
      <c r="DT86" s="116"/>
      <c r="DU86" s="116"/>
      <c r="DV86" s="116"/>
      <c r="DW86" s="116"/>
      <c r="DX86" s="116"/>
      <c r="DY86" s="116"/>
      <c r="DZ86" s="116"/>
      <c r="EA86" s="116"/>
      <c r="EB86" s="116"/>
      <c r="EC86" s="116"/>
      <c r="ED86" s="116"/>
      <c r="EE86" s="116"/>
      <c r="EF86" s="116"/>
      <c r="EG86" s="116"/>
      <c r="EH86" s="116"/>
      <c r="EI86" s="116"/>
      <c r="EJ86" s="116"/>
      <c r="EK86" s="116"/>
      <c r="EL86" s="116"/>
      <c r="EM86" s="116"/>
      <c r="EN86" s="116"/>
      <c r="EO86" s="116"/>
      <c r="EP86" s="116"/>
      <c r="EQ86" s="116"/>
      <c r="ER86" s="116"/>
      <c r="ES86" s="116"/>
      <c r="ET86" s="116"/>
      <c r="EU86" s="116"/>
      <c r="EV86" s="116"/>
      <c r="EW86" s="116"/>
      <c r="EX86" s="116"/>
      <c r="EY86" s="116"/>
      <c r="EZ86" s="116"/>
      <c r="FA86" s="116"/>
      <c r="FB86" s="116"/>
      <c r="FC86" s="116"/>
      <c r="FD86" s="116"/>
      <c r="FE86" s="116"/>
      <c r="FF86" s="116"/>
    </row>
    <row r="87" spans="1:168" s="119" customFormat="1">
      <c r="A87" s="116"/>
      <c r="B87" s="116"/>
      <c r="C87" s="247"/>
      <c r="D87" s="1295"/>
      <c r="E87" s="1295"/>
      <c r="F87" s="1296"/>
      <c r="G87" s="1296"/>
      <c r="H87" s="1296"/>
      <c r="I87" s="1296"/>
      <c r="J87" s="1296"/>
      <c r="K87" s="1296"/>
      <c r="L87" s="1296"/>
      <c r="M87" s="1295"/>
      <c r="N87" s="1295"/>
      <c r="O87" s="1295"/>
      <c r="P87" s="1295"/>
      <c r="Q87" s="1295"/>
      <c r="R87" s="1295"/>
      <c r="S87" s="1295"/>
      <c r="T87" s="1295"/>
      <c r="U87" s="1295"/>
      <c r="V87" s="1296"/>
      <c r="W87" s="1296"/>
      <c r="X87" s="1296"/>
      <c r="Y87" s="1296"/>
      <c r="Z87" s="1296"/>
      <c r="AA87" s="336"/>
      <c r="AB87" s="1296"/>
      <c r="AD87" s="1296"/>
      <c r="AE87" s="336"/>
      <c r="AF87" s="1296"/>
      <c r="AJ87" s="1296"/>
      <c r="CA87" s="116"/>
      <c r="CB87" s="116"/>
      <c r="CC87" s="116"/>
      <c r="CD87" s="116"/>
      <c r="CE87" s="116"/>
      <c r="CF87" s="116"/>
      <c r="CG87" s="116"/>
      <c r="CH87" s="116"/>
      <c r="CI87" s="116"/>
      <c r="CJ87" s="116"/>
      <c r="CK87" s="116"/>
      <c r="CL87" s="116"/>
      <c r="CM87" s="116"/>
      <c r="CN87" s="116"/>
      <c r="CO87" s="116"/>
      <c r="CP87" s="116"/>
      <c r="CQ87" s="116"/>
      <c r="CR87" s="116"/>
      <c r="CS87" s="116"/>
      <c r="CT87" s="116"/>
      <c r="CU87" s="116"/>
      <c r="CV87" s="116"/>
      <c r="CW87" s="116"/>
      <c r="CX87" s="116"/>
      <c r="CY87" s="116"/>
      <c r="CZ87" s="116"/>
      <c r="DA87" s="116"/>
      <c r="DB87" s="116"/>
      <c r="DC87" s="116"/>
      <c r="DD87" s="116"/>
      <c r="DE87" s="116"/>
      <c r="DF87" s="116"/>
      <c r="DG87" s="116"/>
      <c r="DH87" s="116"/>
      <c r="DI87" s="116"/>
      <c r="DJ87" s="116"/>
      <c r="DK87" s="116"/>
      <c r="DL87" s="116"/>
      <c r="DM87" s="116"/>
      <c r="DN87" s="116"/>
      <c r="DO87" s="116"/>
      <c r="DP87" s="116"/>
      <c r="DQ87" s="116"/>
      <c r="DR87" s="116"/>
      <c r="DS87" s="116"/>
      <c r="DT87" s="116"/>
      <c r="DU87" s="116"/>
      <c r="DV87" s="116"/>
      <c r="DW87" s="116"/>
      <c r="DX87" s="116"/>
      <c r="DY87" s="116"/>
      <c r="DZ87" s="116"/>
      <c r="EA87" s="116"/>
      <c r="EB87" s="116"/>
      <c r="EC87" s="116"/>
      <c r="ED87" s="116"/>
      <c r="EE87" s="116"/>
      <c r="EF87" s="116"/>
      <c r="EG87" s="116"/>
      <c r="EH87" s="116"/>
      <c r="EI87" s="116"/>
      <c r="EJ87" s="116"/>
      <c r="EK87" s="116"/>
      <c r="EL87" s="116"/>
      <c r="EM87" s="116"/>
      <c r="EN87" s="116"/>
      <c r="EO87" s="116"/>
      <c r="EP87" s="116"/>
      <c r="EQ87" s="116"/>
      <c r="ER87" s="116"/>
      <c r="ES87" s="116"/>
      <c r="ET87" s="116"/>
      <c r="EU87" s="116"/>
      <c r="EV87" s="116"/>
      <c r="EW87" s="116"/>
      <c r="EX87" s="116"/>
      <c r="EY87" s="116"/>
      <c r="EZ87" s="116"/>
      <c r="FA87" s="116"/>
      <c r="FB87" s="116"/>
      <c r="FC87" s="116"/>
      <c r="FD87" s="116"/>
      <c r="FE87" s="116"/>
      <c r="FF87" s="116"/>
    </row>
    <row r="88" spans="1:168" s="119" customFormat="1">
      <c r="A88" s="116"/>
      <c r="B88" s="116"/>
      <c r="F88" s="193"/>
      <c r="G88" s="193"/>
      <c r="H88" s="193"/>
      <c r="I88" s="193"/>
      <c r="J88" s="193"/>
      <c r="K88" s="193"/>
      <c r="L88" s="193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  <c r="AZ88" s="116"/>
      <c r="BA88" s="116"/>
      <c r="BB88" s="116"/>
      <c r="BC88" s="116"/>
      <c r="BD88" s="116"/>
      <c r="BE88" s="116"/>
      <c r="BF88" s="116"/>
      <c r="BG88" s="116"/>
      <c r="BH88" s="116"/>
      <c r="BI88" s="116"/>
      <c r="BJ88" s="116"/>
      <c r="BK88" s="116"/>
      <c r="BL88" s="116"/>
      <c r="BM88" s="116"/>
      <c r="BN88" s="116"/>
      <c r="BO88" s="116"/>
      <c r="BP88" s="116"/>
      <c r="BQ88" s="116"/>
      <c r="BR88" s="116"/>
      <c r="BS88" s="116"/>
      <c r="BT88" s="116"/>
      <c r="BU88" s="116"/>
      <c r="BV88" s="116"/>
      <c r="BW88" s="116"/>
      <c r="BX88" s="116"/>
      <c r="BY88" s="116"/>
      <c r="BZ88" s="116"/>
      <c r="CA88" s="116"/>
      <c r="CB88" s="116"/>
      <c r="CC88" s="116"/>
      <c r="CD88" s="116"/>
      <c r="CE88" s="116"/>
      <c r="CF88" s="116"/>
      <c r="CG88" s="116"/>
      <c r="CH88" s="116"/>
      <c r="CI88" s="116"/>
      <c r="CJ88" s="116"/>
      <c r="CK88" s="116"/>
      <c r="CL88" s="116"/>
      <c r="CM88" s="116"/>
      <c r="CN88" s="116"/>
      <c r="CO88" s="116"/>
      <c r="CP88" s="116"/>
      <c r="CQ88" s="116"/>
      <c r="CR88" s="116"/>
      <c r="CS88" s="116"/>
      <c r="CT88" s="116"/>
      <c r="CU88" s="116"/>
      <c r="CV88" s="116"/>
      <c r="CW88" s="116"/>
      <c r="CX88" s="116"/>
      <c r="CY88" s="116"/>
      <c r="CZ88" s="116"/>
      <c r="DA88" s="116"/>
      <c r="DB88" s="116"/>
      <c r="DC88" s="116"/>
      <c r="DD88" s="116"/>
      <c r="DE88" s="116"/>
      <c r="DF88" s="116"/>
      <c r="DG88" s="116"/>
      <c r="DH88" s="116"/>
      <c r="DI88" s="116"/>
      <c r="DJ88" s="116"/>
      <c r="DK88" s="116"/>
      <c r="DL88" s="116"/>
      <c r="DM88" s="116"/>
      <c r="DN88" s="116"/>
      <c r="DO88" s="116"/>
      <c r="DP88" s="116"/>
      <c r="DQ88" s="116"/>
      <c r="DR88" s="116"/>
      <c r="DS88" s="116"/>
      <c r="DT88" s="116"/>
      <c r="DU88" s="116"/>
      <c r="DV88" s="116"/>
      <c r="DW88" s="116"/>
      <c r="DX88" s="116"/>
      <c r="DY88" s="116"/>
      <c r="DZ88" s="116"/>
      <c r="EA88" s="116"/>
      <c r="EB88" s="116"/>
      <c r="EC88" s="116"/>
      <c r="ED88" s="116"/>
      <c r="EE88" s="116"/>
      <c r="EF88" s="116"/>
      <c r="EG88" s="116"/>
      <c r="EH88" s="116"/>
      <c r="EI88" s="116"/>
      <c r="EJ88" s="116"/>
      <c r="EK88" s="116"/>
      <c r="EL88" s="116"/>
      <c r="EM88" s="116"/>
      <c r="EN88" s="116"/>
      <c r="EO88" s="116"/>
      <c r="EP88" s="116"/>
      <c r="EQ88" s="116"/>
      <c r="ER88" s="116"/>
      <c r="ES88" s="116"/>
      <c r="ET88" s="116"/>
      <c r="EU88" s="116"/>
      <c r="EV88" s="116"/>
      <c r="EW88" s="116"/>
      <c r="EX88" s="116"/>
      <c r="EY88" s="116"/>
      <c r="EZ88" s="116"/>
      <c r="FA88" s="116"/>
      <c r="FB88" s="116"/>
      <c r="FC88" s="116"/>
      <c r="FD88" s="116"/>
      <c r="FE88" s="116"/>
      <c r="FF88" s="116"/>
    </row>
    <row r="89" spans="1:168" s="119" customFormat="1">
      <c r="A89" s="116"/>
      <c r="B89" s="116"/>
      <c r="F89" s="193"/>
      <c r="G89" s="193"/>
      <c r="H89" s="193"/>
      <c r="I89" s="193"/>
      <c r="J89" s="193"/>
      <c r="K89" s="193"/>
      <c r="L89" s="193"/>
      <c r="S89" s="116"/>
      <c r="T89" s="116"/>
      <c r="U89" s="116"/>
      <c r="V89" s="1298"/>
      <c r="W89" s="1298"/>
      <c r="X89" s="1298"/>
      <c r="Y89" s="1298"/>
      <c r="Z89" s="1298"/>
      <c r="AA89" s="1298"/>
      <c r="AB89" s="1298"/>
      <c r="AC89" s="116"/>
      <c r="AD89" s="1298"/>
      <c r="AE89" s="1298"/>
      <c r="AF89" s="1298"/>
      <c r="AG89" s="116"/>
      <c r="AH89" s="116"/>
      <c r="AI89" s="116"/>
      <c r="AJ89" s="1298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  <c r="AZ89" s="116"/>
      <c r="BA89" s="116"/>
      <c r="BB89" s="116"/>
      <c r="BC89" s="116"/>
      <c r="BD89" s="116"/>
      <c r="BE89" s="116"/>
      <c r="BF89" s="116"/>
      <c r="BG89" s="116"/>
      <c r="BH89" s="116"/>
      <c r="BI89" s="116"/>
      <c r="BJ89" s="116"/>
      <c r="BK89" s="116"/>
      <c r="BL89" s="116"/>
      <c r="BM89" s="116"/>
      <c r="BN89" s="116"/>
      <c r="BO89" s="116"/>
      <c r="BP89" s="116"/>
      <c r="BQ89" s="116"/>
      <c r="BR89" s="116"/>
      <c r="BS89" s="116"/>
      <c r="BT89" s="116"/>
      <c r="BU89" s="116"/>
      <c r="BV89" s="116"/>
      <c r="BW89" s="116"/>
      <c r="BX89" s="116"/>
      <c r="BY89" s="116"/>
      <c r="BZ89" s="116"/>
      <c r="CA89" s="116"/>
      <c r="CB89" s="116"/>
      <c r="CC89" s="116"/>
      <c r="CD89" s="116"/>
      <c r="CE89" s="116"/>
      <c r="CF89" s="116"/>
      <c r="CG89" s="116"/>
      <c r="CH89" s="116"/>
      <c r="CI89" s="116"/>
      <c r="CJ89" s="116"/>
      <c r="CK89" s="116"/>
      <c r="CL89" s="116"/>
      <c r="CM89" s="116"/>
      <c r="CN89" s="116"/>
      <c r="CO89" s="116"/>
      <c r="CP89" s="116"/>
      <c r="CQ89" s="116"/>
      <c r="CR89" s="116"/>
      <c r="CS89" s="116"/>
      <c r="CT89" s="116"/>
      <c r="CU89" s="116"/>
      <c r="CV89" s="116"/>
      <c r="CW89" s="116"/>
      <c r="CX89" s="116"/>
      <c r="CY89" s="116"/>
      <c r="CZ89" s="116"/>
      <c r="DA89" s="116"/>
      <c r="DB89" s="116"/>
      <c r="DC89" s="116"/>
      <c r="DD89" s="116"/>
      <c r="DE89" s="116"/>
      <c r="DF89" s="116"/>
      <c r="DG89" s="116"/>
      <c r="DH89" s="116"/>
      <c r="DI89" s="116"/>
      <c r="DJ89" s="116"/>
      <c r="DK89" s="116"/>
      <c r="DL89" s="116"/>
      <c r="DM89" s="116"/>
      <c r="DN89" s="116"/>
      <c r="DO89" s="116"/>
      <c r="DP89" s="116"/>
      <c r="DQ89" s="116"/>
      <c r="DR89" s="116"/>
      <c r="DS89" s="116"/>
      <c r="DT89" s="116"/>
      <c r="DU89" s="116"/>
      <c r="DV89" s="116"/>
      <c r="DW89" s="116"/>
      <c r="DX89" s="116"/>
      <c r="DY89" s="116"/>
      <c r="DZ89" s="116"/>
      <c r="EA89" s="116"/>
      <c r="EB89" s="116"/>
      <c r="EC89" s="116"/>
      <c r="ED89" s="116"/>
      <c r="EE89" s="116"/>
      <c r="EF89" s="116"/>
      <c r="EG89" s="116"/>
      <c r="EH89" s="116"/>
      <c r="EI89" s="116"/>
      <c r="EJ89" s="116"/>
      <c r="EK89" s="116"/>
      <c r="EL89" s="116"/>
      <c r="EM89" s="116"/>
      <c r="EN89" s="116"/>
      <c r="EO89" s="116"/>
      <c r="EP89" s="116"/>
      <c r="EQ89" s="116"/>
      <c r="ER89" s="116"/>
      <c r="ES89" s="116"/>
      <c r="ET89" s="116"/>
      <c r="EU89" s="116"/>
      <c r="EV89" s="116"/>
      <c r="EW89" s="116"/>
      <c r="EX89" s="116"/>
      <c r="EY89" s="116"/>
      <c r="EZ89" s="116"/>
      <c r="FA89" s="116"/>
      <c r="FB89" s="116"/>
      <c r="FC89" s="116"/>
      <c r="FD89" s="116"/>
      <c r="FE89" s="116"/>
      <c r="FF89" s="116"/>
    </row>
    <row r="90" spans="1:168" s="119" customFormat="1">
      <c r="A90" s="116"/>
      <c r="B90" s="116"/>
      <c r="F90" s="193"/>
      <c r="G90" s="193"/>
      <c r="H90" s="193"/>
      <c r="I90" s="193"/>
      <c r="J90" s="193"/>
      <c r="K90" s="193"/>
      <c r="L90" s="193"/>
      <c r="S90" s="116"/>
      <c r="T90" s="116"/>
      <c r="U90" s="116"/>
      <c r="V90" s="1299"/>
      <c r="W90" s="1299"/>
      <c r="X90" s="1299"/>
      <c r="Y90" s="116"/>
      <c r="Z90" s="1299"/>
      <c r="AA90" s="1299"/>
      <c r="AB90" s="1299"/>
      <c r="AC90" s="116"/>
      <c r="AD90" s="1299"/>
      <c r="AE90" s="1299"/>
      <c r="AF90" s="1299"/>
      <c r="AG90" s="116"/>
      <c r="AH90" s="116"/>
      <c r="AI90" s="116"/>
      <c r="AJ90" s="1299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6"/>
      <c r="BK90" s="116"/>
      <c r="BL90" s="116"/>
      <c r="BM90" s="116"/>
      <c r="BN90" s="116"/>
      <c r="BO90" s="116"/>
      <c r="BP90" s="116"/>
      <c r="BQ90" s="116"/>
      <c r="BR90" s="116"/>
      <c r="BS90" s="116"/>
      <c r="BT90" s="116"/>
      <c r="BU90" s="116"/>
      <c r="BV90" s="116"/>
      <c r="BW90" s="116"/>
      <c r="BX90" s="116"/>
      <c r="BY90" s="116"/>
      <c r="BZ90" s="116"/>
      <c r="CA90" s="116"/>
      <c r="CB90" s="116"/>
      <c r="CC90" s="116"/>
      <c r="CD90" s="116"/>
      <c r="CE90" s="116"/>
      <c r="CF90" s="116"/>
      <c r="CG90" s="116"/>
      <c r="CH90" s="116"/>
      <c r="CI90" s="116"/>
      <c r="CJ90" s="116"/>
      <c r="CK90" s="116"/>
      <c r="CL90" s="116"/>
      <c r="CM90" s="116"/>
      <c r="CN90" s="116"/>
      <c r="CO90" s="116"/>
      <c r="CP90" s="116"/>
      <c r="CQ90" s="116"/>
      <c r="CR90" s="116"/>
      <c r="CS90" s="116"/>
      <c r="CT90" s="116"/>
      <c r="CU90" s="116"/>
      <c r="CV90" s="116"/>
      <c r="CW90" s="116"/>
      <c r="CX90" s="116"/>
      <c r="CY90" s="116"/>
      <c r="CZ90" s="116"/>
      <c r="DA90" s="116"/>
      <c r="DB90" s="116"/>
      <c r="DC90" s="116"/>
      <c r="DD90" s="116"/>
      <c r="DE90" s="116"/>
      <c r="DF90" s="116"/>
      <c r="DG90" s="116"/>
      <c r="DH90" s="116"/>
      <c r="DI90" s="116"/>
      <c r="DJ90" s="116"/>
      <c r="DK90" s="116"/>
      <c r="DL90" s="116"/>
      <c r="DM90" s="116"/>
      <c r="DN90" s="116"/>
      <c r="DO90" s="116"/>
      <c r="DP90" s="116"/>
      <c r="DQ90" s="116"/>
      <c r="DR90" s="116"/>
      <c r="DS90" s="116"/>
      <c r="DT90" s="116"/>
      <c r="DU90" s="116"/>
      <c r="DV90" s="116"/>
      <c r="DW90" s="116"/>
      <c r="DX90" s="116"/>
      <c r="DY90" s="116"/>
      <c r="DZ90" s="116"/>
      <c r="EA90" s="116"/>
      <c r="EB90" s="116"/>
      <c r="EC90" s="116"/>
      <c r="ED90" s="116"/>
      <c r="EE90" s="116"/>
      <c r="EF90" s="116"/>
      <c r="EG90" s="116"/>
      <c r="EH90" s="116"/>
      <c r="EI90" s="116"/>
      <c r="EJ90" s="116"/>
      <c r="EK90" s="116"/>
      <c r="EL90" s="116"/>
      <c r="EM90" s="116"/>
      <c r="EN90" s="116"/>
      <c r="EO90" s="116"/>
      <c r="EP90" s="116"/>
      <c r="EQ90" s="116"/>
      <c r="ER90" s="116"/>
      <c r="ES90" s="116"/>
      <c r="ET90" s="116"/>
      <c r="EU90" s="116"/>
      <c r="EV90" s="116"/>
      <c r="EW90" s="116"/>
      <c r="EX90" s="116"/>
      <c r="EY90" s="116"/>
      <c r="EZ90" s="116"/>
      <c r="FA90" s="116"/>
      <c r="FB90" s="116"/>
      <c r="FC90" s="116"/>
      <c r="FD90" s="116"/>
      <c r="FE90" s="116"/>
      <c r="FF90" s="116"/>
      <c r="FG90" s="116"/>
      <c r="FH90" s="116"/>
      <c r="FI90" s="116"/>
      <c r="FJ90" s="116"/>
      <c r="FK90" s="116"/>
      <c r="FL90" s="116"/>
    </row>
    <row r="91" spans="1:168" s="119" customFormat="1">
      <c r="A91" s="116"/>
      <c r="B91" s="116"/>
      <c r="F91" s="193"/>
      <c r="G91" s="193"/>
      <c r="H91" s="193"/>
      <c r="I91" s="193"/>
      <c r="J91" s="193"/>
      <c r="K91" s="193"/>
      <c r="L91" s="193"/>
      <c r="S91" s="116"/>
      <c r="T91" s="116"/>
      <c r="U91" s="116"/>
      <c r="V91" s="1299"/>
      <c r="W91" s="1299"/>
      <c r="X91" s="1299"/>
      <c r="Y91" s="116"/>
      <c r="Z91" s="1299"/>
      <c r="AA91" s="1299"/>
      <c r="AB91" s="1299"/>
      <c r="AC91" s="116"/>
      <c r="AD91" s="1299"/>
      <c r="AE91" s="1299"/>
      <c r="AF91" s="1299"/>
      <c r="AG91" s="116"/>
      <c r="AH91" s="116"/>
      <c r="AI91" s="116"/>
      <c r="AJ91" s="1299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  <c r="AZ91" s="116"/>
      <c r="BA91" s="116"/>
      <c r="BB91" s="116"/>
      <c r="BC91" s="116"/>
      <c r="BD91" s="116"/>
      <c r="BE91" s="116"/>
      <c r="BF91" s="116"/>
      <c r="BG91" s="116"/>
      <c r="BH91" s="116"/>
      <c r="BI91" s="116"/>
      <c r="BJ91" s="116"/>
      <c r="BK91" s="116"/>
      <c r="BL91" s="116"/>
      <c r="BM91" s="116"/>
      <c r="BN91" s="116"/>
      <c r="BO91" s="116"/>
      <c r="BP91" s="116"/>
      <c r="BQ91" s="116"/>
      <c r="BR91" s="116"/>
      <c r="BS91" s="116"/>
      <c r="BT91" s="116"/>
      <c r="BU91" s="116"/>
      <c r="BV91" s="116"/>
      <c r="BW91" s="116"/>
      <c r="BX91" s="116"/>
      <c r="BY91" s="116"/>
      <c r="BZ91" s="116"/>
      <c r="CA91" s="116"/>
      <c r="CB91" s="116"/>
      <c r="CC91" s="116"/>
      <c r="CD91" s="116"/>
      <c r="CE91" s="116"/>
      <c r="CF91" s="116"/>
      <c r="CG91" s="116"/>
      <c r="CH91" s="116"/>
      <c r="CI91" s="116"/>
      <c r="CJ91" s="116"/>
      <c r="CK91" s="116"/>
      <c r="CL91" s="116"/>
      <c r="CM91" s="116"/>
      <c r="CN91" s="116"/>
      <c r="CO91" s="116"/>
      <c r="CP91" s="116"/>
      <c r="CQ91" s="116"/>
      <c r="CR91" s="116"/>
      <c r="CS91" s="116"/>
      <c r="CT91" s="116"/>
      <c r="CU91" s="116"/>
      <c r="CV91" s="116"/>
      <c r="CW91" s="116"/>
      <c r="CX91" s="116"/>
      <c r="CY91" s="116"/>
      <c r="CZ91" s="116"/>
      <c r="DA91" s="116"/>
      <c r="DB91" s="116"/>
      <c r="DC91" s="116"/>
      <c r="DD91" s="116"/>
      <c r="DE91" s="116"/>
      <c r="DF91" s="116"/>
      <c r="DG91" s="116"/>
      <c r="DH91" s="116"/>
      <c r="DI91" s="116"/>
      <c r="DJ91" s="116"/>
      <c r="DK91" s="116"/>
      <c r="DL91" s="116"/>
      <c r="DM91" s="116"/>
      <c r="DN91" s="116"/>
      <c r="DO91" s="116"/>
      <c r="DP91" s="116"/>
      <c r="DQ91" s="116"/>
      <c r="DR91" s="116"/>
      <c r="DS91" s="116"/>
      <c r="DT91" s="116"/>
      <c r="DU91" s="116"/>
      <c r="DV91" s="116"/>
      <c r="DW91" s="116"/>
      <c r="DX91" s="116"/>
      <c r="DY91" s="116"/>
      <c r="DZ91" s="116"/>
      <c r="EA91" s="116"/>
      <c r="EB91" s="116"/>
      <c r="EC91" s="116"/>
      <c r="ED91" s="116"/>
      <c r="EE91" s="116"/>
      <c r="EF91" s="116"/>
      <c r="EG91" s="116"/>
      <c r="EH91" s="116"/>
      <c r="EI91" s="116"/>
      <c r="EJ91" s="116"/>
      <c r="EK91" s="116"/>
      <c r="EL91" s="116"/>
      <c r="EM91" s="116"/>
      <c r="EN91" s="116"/>
      <c r="EO91" s="116"/>
      <c r="EP91" s="116"/>
      <c r="EQ91" s="116"/>
      <c r="ER91" s="116"/>
      <c r="ES91" s="116"/>
      <c r="ET91" s="116"/>
      <c r="EU91" s="116"/>
      <c r="EV91" s="116"/>
      <c r="EW91" s="116"/>
      <c r="EX91" s="116"/>
      <c r="EY91" s="116"/>
      <c r="EZ91" s="116"/>
      <c r="FA91" s="116"/>
      <c r="FB91" s="116"/>
      <c r="FC91" s="116"/>
      <c r="FD91" s="116"/>
      <c r="FE91" s="116"/>
      <c r="FF91" s="116"/>
      <c r="FG91" s="116"/>
      <c r="FH91" s="116"/>
      <c r="FI91" s="116"/>
      <c r="FJ91" s="116"/>
      <c r="FK91" s="116"/>
      <c r="FL91" s="116"/>
    </row>
    <row r="92" spans="1:168" s="119" customFormat="1">
      <c r="A92" s="116"/>
      <c r="B92" s="116"/>
      <c r="F92" s="193"/>
      <c r="G92" s="193"/>
      <c r="H92" s="193"/>
      <c r="I92" s="193"/>
      <c r="J92" s="193"/>
      <c r="K92" s="193"/>
      <c r="L92" s="193"/>
      <c r="S92" s="116"/>
      <c r="T92" s="116"/>
      <c r="U92" s="116"/>
      <c r="V92" s="1299"/>
      <c r="W92" s="1299"/>
      <c r="X92" s="1299"/>
      <c r="Y92" s="116"/>
      <c r="Z92" s="1299"/>
      <c r="AA92" s="1299"/>
      <c r="AB92" s="1299"/>
      <c r="AC92" s="116"/>
      <c r="AD92" s="1299"/>
      <c r="AE92" s="1299"/>
      <c r="AF92" s="1299"/>
      <c r="AG92" s="116"/>
      <c r="AH92" s="116"/>
      <c r="AI92" s="116"/>
      <c r="AJ92" s="1299"/>
      <c r="AK92" s="116"/>
      <c r="AL92" s="116"/>
      <c r="AM92" s="116"/>
      <c r="AN92" s="116"/>
      <c r="AO92" s="116"/>
      <c r="AP92" s="116"/>
      <c r="AQ92" s="116"/>
      <c r="AR92" s="116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6"/>
      <c r="BK92" s="116"/>
      <c r="BL92" s="116"/>
      <c r="BM92" s="116"/>
      <c r="BN92" s="116"/>
      <c r="BO92" s="116"/>
      <c r="BP92" s="116"/>
      <c r="BQ92" s="116"/>
      <c r="BR92" s="116"/>
      <c r="BS92" s="116"/>
      <c r="BT92" s="116"/>
      <c r="BU92" s="116"/>
      <c r="BV92" s="116"/>
      <c r="BW92" s="116"/>
      <c r="BX92" s="116"/>
      <c r="BY92" s="116"/>
      <c r="BZ92" s="116"/>
      <c r="CA92" s="116"/>
      <c r="CB92" s="116"/>
      <c r="CC92" s="116"/>
      <c r="CD92" s="116"/>
      <c r="CE92" s="116"/>
      <c r="CF92" s="116"/>
      <c r="CG92" s="116"/>
      <c r="CH92" s="116"/>
      <c r="CI92" s="116"/>
      <c r="CJ92" s="116"/>
      <c r="CK92" s="116"/>
      <c r="CL92" s="116"/>
      <c r="CM92" s="116"/>
      <c r="CN92" s="116"/>
      <c r="CO92" s="116"/>
      <c r="CP92" s="116"/>
      <c r="CQ92" s="116"/>
      <c r="CR92" s="116"/>
      <c r="CS92" s="116"/>
      <c r="CT92" s="116"/>
      <c r="CU92" s="116"/>
      <c r="CV92" s="116"/>
      <c r="CW92" s="116"/>
      <c r="CX92" s="116"/>
      <c r="CY92" s="116"/>
      <c r="CZ92" s="116"/>
      <c r="DA92" s="116"/>
      <c r="DB92" s="116"/>
      <c r="DC92" s="116"/>
      <c r="DD92" s="116"/>
      <c r="DE92" s="116"/>
      <c r="DF92" s="116"/>
      <c r="DG92" s="116"/>
      <c r="DH92" s="116"/>
      <c r="DI92" s="116"/>
      <c r="DJ92" s="116"/>
      <c r="DK92" s="116"/>
      <c r="DL92" s="116"/>
      <c r="DM92" s="116"/>
      <c r="DN92" s="116"/>
      <c r="DO92" s="116"/>
      <c r="DP92" s="116"/>
      <c r="DQ92" s="116"/>
      <c r="DR92" s="116"/>
      <c r="DS92" s="116"/>
      <c r="DT92" s="116"/>
      <c r="DU92" s="116"/>
      <c r="DV92" s="116"/>
      <c r="DW92" s="116"/>
      <c r="DX92" s="116"/>
      <c r="DY92" s="116"/>
      <c r="DZ92" s="116"/>
      <c r="EA92" s="116"/>
      <c r="EB92" s="116"/>
      <c r="EC92" s="116"/>
      <c r="ED92" s="116"/>
      <c r="EE92" s="116"/>
      <c r="EF92" s="116"/>
      <c r="EG92" s="116"/>
      <c r="EH92" s="116"/>
      <c r="EI92" s="116"/>
      <c r="EJ92" s="116"/>
      <c r="EK92" s="116"/>
      <c r="EL92" s="116"/>
      <c r="EM92" s="116"/>
      <c r="EN92" s="116"/>
      <c r="EO92" s="116"/>
      <c r="EP92" s="116"/>
      <c r="EQ92" s="116"/>
      <c r="ER92" s="116"/>
      <c r="ES92" s="116"/>
      <c r="ET92" s="116"/>
      <c r="EU92" s="116"/>
      <c r="EV92" s="116"/>
      <c r="EW92" s="116"/>
      <c r="EX92" s="116"/>
      <c r="EY92" s="116"/>
      <c r="EZ92" s="116"/>
      <c r="FA92" s="116"/>
      <c r="FB92" s="116"/>
      <c r="FC92" s="116"/>
      <c r="FD92" s="116"/>
      <c r="FE92" s="116"/>
      <c r="FF92" s="116"/>
      <c r="FG92" s="116"/>
      <c r="FH92" s="116"/>
      <c r="FI92" s="116"/>
      <c r="FJ92" s="116"/>
      <c r="FK92" s="116"/>
      <c r="FL92" s="116"/>
    </row>
    <row r="93" spans="1:168" s="119" customFormat="1">
      <c r="A93" s="116"/>
      <c r="B93" s="116"/>
      <c r="F93" s="193"/>
      <c r="G93" s="193"/>
      <c r="H93" s="193"/>
      <c r="I93" s="193"/>
      <c r="J93" s="193"/>
      <c r="K93" s="193"/>
      <c r="L93" s="193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  <c r="AM93" s="116"/>
      <c r="AN93" s="116"/>
      <c r="AO93" s="116"/>
      <c r="AP93" s="116"/>
      <c r="AQ93" s="116"/>
      <c r="AR93" s="116"/>
      <c r="AS93" s="116"/>
      <c r="AT93" s="116"/>
      <c r="AU93" s="116"/>
      <c r="AV93" s="116"/>
      <c r="AW93" s="116"/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6"/>
      <c r="BK93" s="116"/>
      <c r="BL93" s="116"/>
      <c r="BM93" s="116"/>
      <c r="BN93" s="116"/>
      <c r="BO93" s="116"/>
      <c r="BP93" s="116"/>
      <c r="BQ93" s="116"/>
      <c r="BR93" s="116"/>
      <c r="BS93" s="116"/>
      <c r="BT93" s="116"/>
      <c r="BU93" s="116"/>
      <c r="BV93" s="116"/>
      <c r="BW93" s="116"/>
      <c r="BX93" s="116"/>
      <c r="BY93" s="116"/>
      <c r="BZ93" s="116"/>
      <c r="CA93" s="116"/>
      <c r="CB93" s="116"/>
      <c r="CC93" s="116"/>
      <c r="CD93" s="116"/>
      <c r="CE93" s="116"/>
      <c r="CF93" s="116"/>
      <c r="CG93" s="116"/>
      <c r="CH93" s="116"/>
      <c r="CI93" s="116"/>
      <c r="CJ93" s="116"/>
      <c r="CK93" s="116"/>
      <c r="CL93" s="116"/>
      <c r="CM93" s="116"/>
      <c r="CN93" s="116"/>
      <c r="CO93" s="116"/>
      <c r="CP93" s="116"/>
      <c r="CQ93" s="116"/>
      <c r="CR93" s="116"/>
      <c r="CS93" s="116"/>
      <c r="CT93" s="116"/>
      <c r="CU93" s="116"/>
      <c r="CV93" s="116"/>
      <c r="CW93" s="116"/>
      <c r="CX93" s="116"/>
      <c r="CY93" s="116"/>
      <c r="CZ93" s="116"/>
      <c r="DA93" s="116"/>
      <c r="DB93" s="116"/>
      <c r="DC93" s="116"/>
      <c r="DD93" s="116"/>
      <c r="DE93" s="116"/>
      <c r="DF93" s="116"/>
      <c r="DG93" s="116"/>
      <c r="DH93" s="116"/>
      <c r="DI93" s="116"/>
      <c r="DJ93" s="116"/>
      <c r="DK93" s="116"/>
      <c r="DL93" s="116"/>
      <c r="DM93" s="116"/>
      <c r="DN93" s="116"/>
      <c r="DO93" s="116"/>
      <c r="DP93" s="116"/>
      <c r="DQ93" s="116"/>
      <c r="DR93" s="116"/>
      <c r="DS93" s="116"/>
      <c r="DT93" s="116"/>
      <c r="DU93" s="116"/>
      <c r="DV93" s="116"/>
      <c r="DW93" s="116"/>
      <c r="DX93" s="116"/>
      <c r="DY93" s="116"/>
      <c r="DZ93" s="116"/>
      <c r="EA93" s="116"/>
      <c r="EB93" s="116"/>
      <c r="EC93" s="116"/>
      <c r="ED93" s="116"/>
      <c r="EE93" s="116"/>
      <c r="EF93" s="116"/>
      <c r="EG93" s="116"/>
      <c r="EH93" s="116"/>
      <c r="EI93" s="116"/>
      <c r="EJ93" s="116"/>
      <c r="EK93" s="116"/>
      <c r="EL93" s="116"/>
      <c r="EM93" s="116"/>
      <c r="EN93" s="116"/>
      <c r="EO93" s="116"/>
      <c r="EP93" s="116"/>
      <c r="EQ93" s="116"/>
      <c r="ER93" s="116"/>
      <c r="ES93" s="116"/>
      <c r="ET93" s="116"/>
      <c r="EU93" s="116"/>
      <c r="EV93" s="116"/>
      <c r="EW93" s="116"/>
      <c r="EX93" s="116"/>
      <c r="EY93" s="116"/>
      <c r="EZ93" s="116"/>
      <c r="FA93" s="116"/>
      <c r="FB93" s="116"/>
      <c r="FC93" s="116"/>
      <c r="FD93" s="116"/>
      <c r="FE93" s="116"/>
      <c r="FF93" s="116"/>
      <c r="FG93" s="116"/>
      <c r="FH93" s="116"/>
      <c r="FI93" s="116"/>
      <c r="FJ93" s="116"/>
      <c r="FK93" s="116"/>
      <c r="FL93" s="116"/>
    </row>
    <row r="94" spans="1:168" s="119" customFormat="1">
      <c r="A94" s="116"/>
      <c r="B94" s="116"/>
      <c r="C94" s="1288"/>
      <c r="D94" s="1289"/>
      <c r="E94" s="1289"/>
      <c r="F94" s="1290"/>
      <c r="G94" s="1290"/>
      <c r="H94" s="1290"/>
      <c r="I94" s="1290"/>
      <c r="J94" s="1290"/>
      <c r="K94" s="1290"/>
      <c r="L94" s="1290"/>
      <c r="M94" s="1289"/>
      <c r="N94" s="1289"/>
      <c r="O94" s="1289"/>
      <c r="P94" s="1289"/>
      <c r="Q94" s="1289"/>
      <c r="R94" s="1289"/>
      <c r="S94" s="1291"/>
      <c r="T94" s="1291"/>
      <c r="U94" s="1291"/>
      <c r="V94" s="1291"/>
      <c r="W94" s="1291"/>
      <c r="X94" s="1291"/>
      <c r="Y94" s="1291"/>
      <c r="Z94" s="1291"/>
      <c r="AA94" s="1291"/>
      <c r="AB94" s="1291"/>
      <c r="AC94" s="1291"/>
      <c r="AD94" s="1291"/>
      <c r="AE94" s="1291"/>
      <c r="AF94" s="1291"/>
      <c r="AG94" s="1291"/>
      <c r="AH94" s="1291"/>
      <c r="AI94" s="1291"/>
      <c r="AJ94" s="1291"/>
      <c r="AK94" s="1291"/>
      <c r="AL94" s="1291"/>
      <c r="AM94" s="1291"/>
      <c r="AN94" s="1291"/>
      <c r="AO94" s="1291"/>
      <c r="AP94" s="1291"/>
      <c r="AQ94" s="1291"/>
      <c r="AR94" s="1291"/>
      <c r="AS94" s="1291"/>
      <c r="AT94" s="1291"/>
      <c r="AU94" s="1291"/>
      <c r="AV94" s="1291"/>
      <c r="AW94" s="1291"/>
      <c r="AX94" s="1291"/>
      <c r="AY94" s="1291"/>
      <c r="AZ94" s="1291"/>
      <c r="BA94" s="1291"/>
      <c r="BB94" s="1291"/>
      <c r="BC94" s="1291"/>
      <c r="BD94" s="1291"/>
      <c r="BE94" s="1291"/>
      <c r="BF94" s="1291"/>
      <c r="BG94" s="1291"/>
      <c r="BH94" s="1291"/>
      <c r="BI94" s="1291"/>
      <c r="BJ94" s="1291"/>
      <c r="BK94" s="1291"/>
      <c r="BL94" s="1291"/>
      <c r="BM94" s="1291"/>
      <c r="BN94" s="1291"/>
      <c r="BO94" s="1291"/>
      <c r="BP94" s="1291"/>
      <c r="BQ94" s="1291"/>
      <c r="BR94" s="1291"/>
      <c r="BS94" s="1291"/>
      <c r="BT94" s="1291"/>
      <c r="BU94" s="1291"/>
      <c r="BV94" s="1291"/>
      <c r="BW94" s="1291"/>
      <c r="BX94" s="1291"/>
      <c r="BY94" s="1291"/>
      <c r="BZ94" s="1291"/>
      <c r="CA94" s="116"/>
      <c r="CB94" s="116"/>
      <c r="CC94" s="116"/>
      <c r="CD94" s="116"/>
      <c r="CE94" s="116"/>
      <c r="CF94" s="116"/>
      <c r="CG94" s="116"/>
      <c r="CH94" s="116"/>
      <c r="CI94" s="116"/>
      <c r="CJ94" s="116"/>
      <c r="CK94" s="116"/>
      <c r="CL94" s="116"/>
      <c r="CM94" s="116"/>
      <c r="CN94" s="116"/>
      <c r="CO94" s="116"/>
      <c r="CP94" s="116"/>
      <c r="CQ94" s="116"/>
      <c r="CR94" s="116"/>
      <c r="CS94" s="116"/>
      <c r="CT94" s="116"/>
      <c r="CU94" s="116"/>
      <c r="CV94" s="116"/>
      <c r="CW94" s="116"/>
      <c r="CX94" s="116"/>
      <c r="CY94" s="116"/>
      <c r="CZ94" s="116"/>
      <c r="DA94" s="116"/>
      <c r="DB94" s="116"/>
      <c r="DC94" s="116"/>
      <c r="DD94" s="116"/>
      <c r="DE94" s="116"/>
      <c r="DF94" s="116"/>
      <c r="DG94" s="116"/>
      <c r="DH94" s="116"/>
      <c r="DI94" s="116"/>
      <c r="DJ94" s="116"/>
      <c r="DK94" s="116"/>
      <c r="DL94" s="116"/>
      <c r="DM94" s="116"/>
      <c r="DN94" s="116"/>
      <c r="DO94" s="116"/>
      <c r="DP94" s="116"/>
      <c r="DQ94" s="116"/>
      <c r="DR94" s="116"/>
      <c r="DS94" s="116"/>
      <c r="DT94" s="116"/>
      <c r="DU94" s="116"/>
      <c r="DV94" s="116"/>
      <c r="DW94" s="116"/>
      <c r="DX94" s="116"/>
      <c r="DY94" s="116"/>
      <c r="DZ94" s="116"/>
      <c r="EA94" s="116"/>
      <c r="EB94" s="116"/>
      <c r="EC94" s="116"/>
      <c r="ED94" s="116"/>
      <c r="EE94" s="116"/>
      <c r="EF94" s="116"/>
      <c r="EG94" s="116"/>
      <c r="EH94" s="116"/>
      <c r="EI94" s="116"/>
      <c r="EJ94" s="116"/>
      <c r="EK94" s="116"/>
      <c r="EL94" s="116"/>
      <c r="EM94" s="116"/>
      <c r="EN94" s="116"/>
      <c r="EO94" s="116"/>
      <c r="EP94" s="116"/>
      <c r="EQ94" s="116"/>
      <c r="ER94" s="116"/>
      <c r="ES94" s="116"/>
      <c r="ET94" s="116"/>
      <c r="EU94" s="116"/>
      <c r="EV94" s="116"/>
      <c r="EW94" s="116"/>
      <c r="EX94" s="116"/>
      <c r="EY94" s="116"/>
      <c r="EZ94" s="116"/>
      <c r="FA94" s="116"/>
      <c r="FB94" s="116"/>
      <c r="FC94" s="116"/>
      <c r="FD94" s="116"/>
      <c r="FE94" s="116"/>
      <c r="FF94" s="116"/>
      <c r="FG94" s="116"/>
      <c r="FH94" s="116"/>
      <c r="FI94" s="116"/>
      <c r="FJ94" s="116"/>
      <c r="FK94" s="116"/>
      <c r="FL94" s="116"/>
    </row>
    <row r="95" spans="1:168" s="119" customFormat="1">
      <c r="A95" s="116"/>
      <c r="B95" s="116"/>
      <c r="C95" s="1300"/>
      <c r="F95" s="193"/>
      <c r="G95" s="193"/>
      <c r="H95" s="193"/>
      <c r="I95" s="193"/>
      <c r="J95" s="193"/>
      <c r="K95" s="193"/>
      <c r="L95" s="193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  <c r="AM95" s="116"/>
      <c r="AN95" s="116"/>
      <c r="AO95" s="116"/>
      <c r="AP95" s="116"/>
      <c r="AQ95" s="116"/>
      <c r="AR95" s="116"/>
      <c r="AS95" s="116"/>
      <c r="AT95" s="116"/>
      <c r="AU95" s="116"/>
      <c r="AV95" s="116"/>
      <c r="AW95" s="116"/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6"/>
      <c r="BK95" s="116"/>
      <c r="BL95" s="116"/>
      <c r="BM95" s="116"/>
      <c r="BN95" s="116"/>
      <c r="BO95" s="116"/>
      <c r="BP95" s="116"/>
      <c r="BQ95" s="116"/>
      <c r="BR95" s="116"/>
      <c r="BS95" s="116"/>
      <c r="BT95" s="116"/>
      <c r="BU95" s="116"/>
      <c r="BV95" s="116"/>
      <c r="BW95" s="116"/>
      <c r="BX95" s="116"/>
      <c r="BY95" s="116"/>
      <c r="BZ95" s="116"/>
      <c r="CA95" s="116"/>
      <c r="CB95" s="116"/>
      <c r="CC95" s="116"/>
      <c r="CD95" s="116"/>
      <c r="CE95" s="116"/>
      <c r="CF95" s="116"/>
      <c r="CG95" s="116"/>
      <c r="CH95" s="116"/>
      <c r="CI95" s="116"/>
      <c r="CJ95" s="116"/>
      <c r="CK95" s="116"/>
      <c r="CL95" s="116"/>
      <c r="CM95" s="116"/>
      <c r="CN95" s="116"/>
      <c r="CO95" s="116"/>
      <c r="CP95" s="116"/>
      <c r="CQ95" s="116"/>
      <c r="CR95" s="116"/>
      <c r="CS95" s="116"/>
      <c r="CT95" s="116"/>
      <c r="CU95" s="116"/>
      <c r="CV95" s="116"/>
      <c r="CW95" s="116"/>
      <c r="CX95" s="116"/>
      <c r="CY95" s="116"/>
      <c r="CZ95" s="116"/>
      <c r="DA95" s="116"/>
      <c r="DB95" s="116"/>
      <c r="DC95" s="116"/>
      <c r="DD95" s="116"/>
      <c r="DE95" s="116"/>
      <c r="DF95" s="116"/>
      <c r="DG95" s="116"/>
      <c r="DH95" s="116"/>
      <c r="DI95" s="116"/>
      <c r="DJ95" s="116"/>
      <c r="DK95" s="116"/>
      <c r="DL95" s="116"/>
      <c r="DM95" s="116"/>
      <c r="DN95" s="116"/>
      <c r="DO95" s="116"/>
      <c r="DP95" s="116"/>
      <c r="DQ95" s="116"/>
      <c r="DR95" s="116"/>
      <c r="DS95" s="116"/>
      <c r="DT95" s="116"/>
      <c r="DU95" s="116"/>
      <c r="DV95" s="116"/>
      <c r="DW95" s="116"/>
      <c r="DX95" s="116"/>
      <c r="DY95" s="116"/>
      <c r="DZ95" s="116"/>
      <c r="EA95" s="116"/>
      <c r="EB95" s="116"/>
      <c r="EC95" s="116"/>
      <c r="ED95" s="116"/>
      <c r="EE95" s="116"/>
      <c r="EF95" s="116"/>
      <c r="EG95" s="116"/>
      <c r="EH95" s="116"/>
      <c r="EI95" s="116"/>
      <c r="EJ95" s="116"/>
      <c r="EK95" s="116"/>
      <c r="EL95" s="116"/>
      <c r="EM95" s="116"/>
      <c r="EN95" s="116"/>
      <c r="EO95" s="116"/>
      <c r="EP95" s="116"/>
      <c r="EQ95" s="116"/>
      <c r="ER95" s="116"/>
      <c r="ES95" s="116"/>
      <c r="ET95" s="116"/>
      <c r="EU95" s="116"/>
      <c r="EV95" s="116"/>
      <c r="EW95" s="116"/>
      <c r="EX95" s="116"/>
      <c r="EY95" s="116"/>
      <c r="EZ95" s="116"/>
      <c r="FA95" s="116"/>
      <c r="FB95" s="116"/>
      <c r="FC95" s="116"/>
      <c r="FD95" s="116"/>
      <c r="FE95" s="116"/>
      <c r="FF95" s="116"/>
      <c r="FG95" s="116"/>
      <c r="FH95" s="116"/>
      <c r="FI95" s="116"/>
      <c r="FJ95" s="116"/>
      <c r="FK95" s="116"/>
      <c r="FL95" s="116"/>
    </row>
    <row r="96" spans="1:168" s="119" customFormat="1">
      <c r="A96" s="116"/>
      <c r="B96" s="116"/>
      <c r="C96" s="213"/>
      <c r="F96" s="193"/>
      <c r="G96" s="193"/>
      <c r="H96" s="193"/>
      <c r="I96" s="193"/>
      <c r="J96" s="193"/>
      <c r="K96" s="193"/>
      <c r="L96" s="193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16"/>
      <c r="AH96" s="116"/>
      <c r="AI96" s="116"/>
      <c r="AJ96" s="429"/>
      <c r="AK96" s="116"/>
      <c r="AL96" s="116"/>
      <c r="AM96" s="116"/>
      <c r="AN96" s="429"/>
      <c r="AO96" s="116"/>
      <c r="AP96" s="116"/>
      <c r="AQ96" s="116"/>
      <c r="AR96" s="116"/>
      <c r="AS96" s="116"/>
      <c r="AT96" s="116"/>
      <c r="AU96" s="116"/>
      <c r="AV96" s="116"/>
      <c r="AW96" s="116"/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6"/>
      <c r="BK96" s="116"/>
      <c r="BL96" s="116"/>
      <c r="BM96" s="116"/>
      <c r="BN96" s="116"/>
      <c r="BO96" s="116"/>
      <c r="BP96" s="116"/>
      <c r="BQ96" s="116"/>
      <c r="BR96" s="116"/>
      <c r="BS96" s="116"/>
      <c r="BT96" s="116"/>
      <c r="BU96" s="116"/>
      <c r="BV96" s="116"/>
      <c r="BW96" s="116"/>
      <c r="BX96" s="116"/>
      <c r="BY96" s="116"/>
      <c r="BZ96" s="116"/>
      <c r="CA96" s="116"/>
      <c r="CB96" s="100"/>
      <c r="CC96" s="100"/>
      <c r="CD96" s="100"/>
      <c r="CE96" s="100"/>
      <c r="CF96" s="100"/>
      <c r="CG96" s="100"/>
      <c r="CH96" s="100"/>
      <c r="CI96" s="100"/>
      <c r="CJ96" s="100"/>
      <c r="CK96" s="100"/>
      <c r="CL96" s="100"/>
      <c r="CM96" s="100"/>
      <c r="CN96" s="100"/>
      <c r="CO96" s="100"/>
      <c r="CP96" s="100"/>
      <c r="CQ96" s="100"/>
      <c r="CR96" s="100"/>
      <c r="CS96" s="100"/>
      <c r="CT96" s="100"/>
      <c r="CU96" s="100"/>
      <c r="CV96" s="100"/>
      <c r="CW96" s="100"/>
      <c r="CX96" s="100"/>
      <c r="CY96" s="100"/>
      <c r="CZ96" s="100"/>
      <c r="DA96" s="100"/>
      <c r="DB96" s="100"/>
      <c r="DC96" s="100"/>
      <c r="DD96" s="100"/>
      <c r="DE96" s="100"/>
      <c r="DF96" s="100"/>
      <c r="DG96" s="100"/>
      <c r="DH96" s="100"/>
      <c r="DI96" s="100"/>
      <c r="DJ96" s="100"/>
      <c r="DK96" s="100"/>
      <c r="DL96" s="100"/>
      <c r="DM96" s="100"/>
      <c r="DN96" s="100"/>
      <c r="DO96" s="100"/>
      <c r="DP96" s="100"/>
      <c r="DQ96" s="100"/>
      <c r="DR96" s="100"/>
      <c r="DS96" s="100"/>
      <c r="DT96" s="100"/>
      <c r="DU96" s="100"/>
      <c r="DV96" s="100"/>
      <c r="DW96" s="100"/>
      <c r="DX96" s="100"/>
      <c r="DY96" s="100"/>
      <c r="DZ96" s="100"/>
      <c r="EA96" s="100"/>
      <c r="EB96" s="100"/>
      <c r="EC96" s="100"/>
      <c r="ED96" s="100"/>
      <c r="EE96" s="100"/>
      <c r="EF96" s="100"/>
      <c r="EG96" s="100"/>
      <c r="EH96" s="100"/>
      <c r="EI96" s="100"/>
      <c r="EJ96" s="100"/>
      <c r="EK96" s="100"/>
      <c r="EL96" s="100"/>
      <c r="EM96" s="100"/>
      <c r="EN96" s="100"/>
      <c r="EO96" s="100"/>
      <c r="EP96" s="100"/>
      <c r="EQ96" s="100"/>
      <c r="ER96" s="100"/>
      <c r="ES96" s="100"/>
      <c r="ET96" s="100"/>
      <c r="EU96" s="100"/>
      <c r="EV96" s="100"/>
      <c r="EW96" s="100"/>
      <c r="EX96" s="100"/>
      <c r="EY96" s="100"/>
      <c r="EZ96" s="100"/>
      <c r="FA96" s="100"/>
      <c r="FB96" s="100"/>
      <c r="FC96" s="100"/>
      <c r="FD96" s="116"/>
      <c r="FE96" s="116"/>
      <c r="FF96" s="116"/>
      <c r="FG96" s="116"/>
      <c r="FH96" s="116"/>
      <c r="FI96" s="116"/>
      <c r="FJ96" s="116"/>
      <c r="FK96" s="116"/>
      <c r="FL96" s="116"/>
    </row>
    <row r="97" spans="1:168" s="119" customFormat="1">
      <c r="A97" s="116"/>
      <c r="B97" s="116"/>
      <c r="C97" s="247"/>
      <c r="D97" s="247"/>
      <c r="E97" s="247"/>
      <c r="F97" s="286"/>
      <c r="G97" s="286"/>
      <c r="H97" s="286"/>
      <c r="I97" s="286"/>
      <c r="J97" s="286"/>
      <c r="K97" s="286"/>
      <c r="L97" s="286"/>
      <c r="M97" s="247"/>
      <c r="N97" s="247"/>
      <c r="O97" s="247"/>
      <c r="P97" s="247"/>
      <c r="Q97" s="247"/>
      <c r="R97" s="247"/>
      <c r="S97" s="312"/>
      <c r="T97" s="312"/>
      <c r="U97" s="312"/>
      <c r="V97" s="313"/>
      <c r="W97" s="313"/>
      <c r="X97" s="313"/>
      <c r="Y97" s="313"/>
      <c r="Z97" s="313"/>
      <c r="AA97" s="1293"/>
      <c r="AB97" s="1293"/>
      <c r="AC97" s="313"/>
      <c r="AD97" s="313"/>
      <c r="AE97" s="1293"/>
      <c r="AF97" s="1293"/>
      <c r="AG97" s="116"/>
      <c r="AH97" s="116"/>
      <c r="AI97" s="116"/>
      <c r="AJ97" s="336"/>
      <c r="AK97" s="116"/>
      <c r="AL97" s="116"/>
      <c r="AM97" s="116"/>
      <c r="AN97" s="336"/>
      <c r="AO97" s="116"/>
      <c r="AP97" s="116"/>
      <c r="AQ97" s="116"/>
      <c r="AR97" s="116"/>
      <c r="AS97" s="116"/>
      <c r="AT97" s="116"/>
      <c r="AU97" s="116"/>
      <c r="AV97" s="116"/>
      <c r="AW97" s="116"/>
      <c r="AX97" s="116"/>
      <c r="AY97" s="116"/>
      <c r="AZ97" s="116"/>
      <c r="BA97" s="116"/>
      <c r="BB97" s="116"/>
      <c r="BC97" s="116"/>
      <c r="BD97" s="116"/>
      <c r="BE97" s="116"/>
      <c r="BF97" s="116"/>
      <c r="BG97" s="116"/>
      <c r="BH97" s="116"/>
      <c r="BI97" s="116"/>
      <c r="BJ97" s="116"/>
      <c r="BK97" s="116"/>
      <c r="BL97" s="116"/>
      <c r="BM97" s="116"/>
      <c r="BN97" s="116"/>
      <c r="BO97" s="116"/>
      <c r="BP97" s="116"/>
      <c r="BQ97" s="116"/>
      <c r="BR97" s="116"/>
      <c r="BS97" s="116"/>
      <c r="BT97" s="116"/>
      <c r="BU97" s="116"/>
      <c r="BV97" s="116"/>
      <c r="BW97" s="116"/>
      <c r="BX97" s="116"/>
      <c r="BY97" s="116"/>
      <c r="BZ97" s="116"/>
      <c r="CA97" s="116"/>
      <c r="CB97" s="100"/>
      <c r="CC97" s="100"/>
      <c r="CD97" s="100"/>
      <c r="CE97" s="100"/>
      <c r="CF97" s="100"/>
      <c r="CG97" s="100"/>
      <c r="CH97" s="100"/>
      <c r="CI97" s="100"/>
      <c r="CJ97" s="100"/>
      <c r="CK97" s="100"/>
      <c r="CL97" s="100"/>
      <c r="CM97" s="100"/>
      <c r="CN97" s="100"/>
      <c r="CO97" s="100"/>
      <c r="CP97" s="100"/>
      <c r="CQ97" s="100"/>
      <c r="CR97" s="100"/>
      <c r="CS97" s="100"/>
      <c r="CT97" s="100"/>
      <c r="CU97" s="100"/>
      <c r="CV97" s="100"/>
      <c r="CW97" s="100"/>
      <c r="CX97" s="100"/>
      <c r="CY97" s="100"/>
      <c r="CZ97" s="100"/>
      <c r="DA97" s="100"/>
      <c r="DB97" s="100"/>
      <c r="DC97" s="100"/>
      <c r="DD97" s="100"/>
      <c r="DE97" s="100"/>
      <c r="DF97" s="100"/>
      <c r="DG97" s="100"/>
      <c r="DH97" s="100"/>
      <c r="DI97" s="100"/>
      <c r="DJ97" s="100"/>
      <c r="DK97" s="100"/>
      <c r="DL97" s="100"/>
      <c r="DM97" s="100"/>
      <c r="DN97" s="100"/>
      <c r="DO97" s="100"/>
      <c r="DP97" s="100"/>
      <c r="DQ97" s="100"/>
      <c r="DR97" s="100"/>
      <c r="DS97" s="100"/>
      <c r="DT97" s="100"/>
      <c r="DU97" s="100"/>
      <c r="DV97" s="100"/>
      <c r="DW97" s="100"/>
      <c r="DX97" s="100"/>
      <c r="DY97" s="100"/>
      <c r="DZ97" s="100"/>
      <c r="EA97" s="100"/>
      <c r="EB97" s="100"/>
      <c r="EC97" s="100"/>
      <c r="ED97" s="100"/>
      <c r="EE97" s="100"/>
      <c r="EF97" s="100"/>
      <c r="EG97" s="100"/>
      <c r="EH97" s="100"/>
      <c r="EI97" s="100"/>
      <c r="EJ97" s="100"/>
      <c r="EK97" s="100"/>
      <c r="EL97" s="100"/>
      <c r="EM97" s="100"/>
      <c r="EN97" s="100"/>
      <c r="EO97" s="100"/>
      <c r="EP97" s="100"/>
      <c r="EQ97" s="100"/>
      <c r="ER97" s="100"/>
      <c r="ES97" s="100"/>
      <c r="ET97" s="100"/>
      <c r="EU97" s="100"/>
      <c r="EV97" s="100"/>
      <c r="EW97" s="100"/>
      <c r="EX97" s="100"/>
      <c r="EY97" s="100"/>
      <c r="EZ97" s="100"/>
      <c r="FA97" s="100"/>
      <c r="FB97" s="100"/>
      <c r="FC97" s="100"/>
      <c r="FD97" s="116"/>
      <c r="FE97" s="116"/>
      <c r="FF97" s="116"/>
      <c r="FG97" s="116"/>
      <c r="FH97" s="116"/>
      <c r="FI97" s="116"/>
      <c r="FJ97" s="116"/>
      <c r="FK97" s="116"/>
      <c r="FL97" s="116"/>
    </row>
    <row r="98" spans="1:168">
      <c r="C98" s="213"/>
      <c r="D98" s="119"/>
      <c r="E98" s="119"/>
      <c r="F98" s="193"/>
      <c r="G98" s="193"/>
      <c r="H98" s="193"/>
      <c r="I98" s="193"/>
      <c r="J98" s="193"/>
      <c r="K98" s="193"/>
      <c r="L98" s="193"/>
      <c r="M98" s="119"/>
      <c r="N98" s="119"/>
      <c r="O98" s="119"/>
      <c r="P98" s="119"/>
      <c r="Q98" s="119"/>
      <c r="R98" s="119"/>
      <c r="S98" s="119"/>
      <c r="T98" s="119"/>
      <c r="U98" s="119"/>
      <c r="V98" s="148"/>
      <c r="W98" s="148"/>
      <c r="X98" s="148"/>
      <c r="Y98" s="148"/>
      <c r="Z98" s="148"/>
      <c r="AA98" s="148"/>
      <c r="AB98" s="148"/>
      <c r="AC98" s="150"/>
      <c r="AD98" s="148"/>
      <c r="AE98" s="148"/>
      <c r="AF98" s="148"/>
      <c r="AJ98" s="429"/>
      <c r="AN98" s="429"/>
    </row>
    <row r="99" spans="1:168">
      <c r="C99" s="247"/>
      <c r="D99" s="247"/>
      <c r="E99" s="247"/>
      <c r="F99" s="286"/>
      <c r="G99" s="286"/>
      <c r="H99" s="286"/>
      <c r="I99" s="286"/>
      <c r="J99" s="286"/>
      <c r="K99" s="286"/>
      <c r="L99" s="286"/>
      <c r="M99" s="247"/>
      <c r="N99" s="247"/>
      <c r="O99" s="247"/>
      <c r="P99" s="247"/>
      <c r="Q99" s="247"/>
      <c r="R99" s="247"/>
      <c r="S99" s="312"/>
      <c r="T99" s="312"/>
      <c r="U99" s="312"/>
      <c r="V99" s="313"/>
      <c r="W99" s="313"/>
      <c r="X99" s="313"/>
      <c r="Y99" s="313"/>
      <c r="Z99" s="313"/>
      <c r="AA99" s="1297"/>
      <c r="AB99" s="1293"/>
      <c r="AC99" s="193"/>
      <c r="AD99" s="313"/>
      <c r="AE99" s="1297"/>
      <c r="AF99" s="1293"/>
      <c r="AJ99" s="336"/>
      <c r="AN99" s="336"/>
    </row>
    <row r="100" spans="1:168">
      <c r="C100" s="213"/>
      <c r="D100" s="119"/>
      <c r="E100" s="119"/>
      <c r="F100" s="193"/>
      <c r="G100" s="193"/>
      <c r="H100" s="193"/>
      <c r="I100" s="193"/>
      <c r="J100" s="193"/>
      <c r="K100" s="193"/>
      <c r="L100" s="193"/>
      <c r="M100" s="119"/>
      <c r="N100" s="119"/>
      <c r="O100" s="119"/>
      <c r="P100" s="119"/>
      <c r="Q100" s="119"/>
      <c r="R100" s="119"/>
      <c r="S100" s="119"/>
      <c r="T100" s="119"/>
      <c r="U100" s="119"/>
      <c r="V100" s="148"/>
      <c r="W100" s="148"/>
      <c r="X100" s="148"/>
      <c r="Y100" s="148"/>
      <c r="Z100" s="148"/>
      <c r="AA100" s="148"/>
      <c r="AB100" s="148"/>
      <c r="AC100" s="119"/>
      <c r="AD100" s="148"/>
      <c r="AE100" s="148"/>
      <c r="AF100" s="148"/>
      <c r="AJ100" s="429"/>
      <c r="AN100" s="429"/>
    </row>
    <row r="101" spans="1:168">
      <c r="C101" s="247"/>
      <c r="D101" s="247"/>
      <c r="E101" s="247"/>
      <c r="F101" s="286"/>
      <c r="G101" s="286"/>
      <c r="H101" s="286"/>
      <c r="I101" s="286"/>
      <c r="J101" s="286"/>
      <c r="K101" s="286"/>
      <c r="L101" s="286"/>
      <c r="M101" s="247"/>
      <c r="N101" s="247"/>
      <c r="O101" s="247"/>
      <c r="P101" s="247"/>
      <c r="Q101" s="247"/>
      <c r="R101" s="247"/>
      <c r="S101" s="312"/>
      <c r="T101" s="312"/>
      <c r="U101" s="312"/>
      <c r="V101" s="313"/>
      <c r="W101" s="313"/>
      <c r="X101" s="313"/>
      <c r="Y101" s="313"/>
      <c r="Z101" s="313"/>
      <c r="AA101" s="336"/>
      <c r="AB101" s="336"/>
      <c r="AC101" s="119"/>
      <c r="AD101" s="313"/>
      <c r="AE101" s="336"/>
      <c r="AF101" s="336"/>
      <c r="AJ101" s="336"/>
      <c r="AN101" s="336"/>
    </row>
    <row r="102" spans="1:168">
      <c r="AJ102" s="324"/>
      <c r="AK102" s="430"/>
      <c r="AL102" s="430"/>
      <c r="AM102" s="430"/>
      <c r="AN102" s="324"/>
    </row>
    <row r="104" spans="1:168">
      <c r="C104" s="289"/>
      <c r="AB104" s="431"/>
      <c r="AF104" s="431"/>
      <c r="AJ104" s="429"/>
      <c r="AN104" s="429"/>
    </row>
    <row r="105" spans="1:168">
      <c r="AJ105" s="336"/>
      <c r="AN105" s="336"/>
    </row>
  </sheetData>
  <phoneticPr fontId="9" type="noConversion"/>
  <pageMargins left="0" right="0" top="0" bottom="0" header="0" footer="0"/>
  <pageSetup paperSize="5" scale="53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FFFF00"/>
  </sheetPr>
  <dimension ref="A1:JW961"/>
  <sheetViews>
    <sheetView showGridLines="0" zoomScale="70" zoomScaleNormal="70" workbookViewId="0">
      <pane xSplit="1" ySplit="4" topLeftCell="CT148" activePane="bottomRight" state="frozen"/>
      <selection activeCell="JH1" sqref="JH1"/>
      <selection pane="topRight" activeCell="JH1" sqref="JH1"/>
      <selection pane="bottomLeft" activeCell="JH1" sqref="JH1"/>
      <selection pane="bottomRight" activeCell="DL187" sqref="DL187"/>
    </sheetView>
  </sheetViews>
  <sheetFormatPr defaultColWidth="9.109375" defaultRowHeight="13.8" outlineLevelRow="1" outlineLevelCol="1"/>
  <cols>
    <col min="1" max="1" width="74" style="102" customWidth="1"/>
    <col min="2" max="3" width="9.109375" style="102"/>
    <col min="4" max="39" width="9.109375" style="102" hidden="1" customWidth="1" outlineLevel="1"/>
    <col min="40" max="40" width="9.5546875" style="103" hidden="1" customWidth="1" outlineLevel="1" collapsed="1"/>
    <col min="41" max="41" width="9.5546875" style="103" hidden="1" customWidth="1" outlineLevel="1"/>
    <col min="42" max="43" width="9.109375" style="103" hidden="1" customWidth="1" outlineLevel="1"/>
    <col min="44" max="45" width="9.5546875" style="103" hidden="1" customWidth="1" outlineLevel="1"/>
    <col min="46" max="47" width="9.109375" style="103" hidden="1" customWidth="1" outlineLevel="1"/>
    <col min="48" max="49" width="9.5546875" style="103" hidden="1" customWidth="1" outlineLevel="1"/>
    <col min="50" max="51" width="9.109375" style="103" hidden="1" customWidth="1" outlineLevel="1"/>
    <col min="52" max="52" width="10.33203125" style="103" hidden="1" customWidth="1" outlineLevel="1"/>
    <col min="53" max="53" width="9" style="103" hidden="1" customWidth="1" outlineLevel="1"/>
    <col min="54" max="87" width="9.109375" style="103" hidden="1" customWidth="1" outlineLevel="1"/>
    <col min="88" max="88" width="9.109375" style="103" collapsed="1"/>
    <col min="89" max="95" width="9.109375" style="103"/>
    <col min="96" max="97" width="10.88671875" style="100" customWidth="1"/>
    <col min="98" max="98" width="12.5546875" style="1101" customWidth="1"/>
    <col min="99" max="99" width="9.109375" style="103"/>
    <col min="100" max="100" width="11" style="100" customWidth="1"/>
    <col min="101" max="101" width="10.88671875" style="100" customWidth="1"/>
    <col min="102" max="102" width="12.88671875" style="1101" customWidth="1"/>
    <col min="103" max="103" width="9.109375" style="103"/>
    <col min="104" max="104" width="10.109375" style="100" customWidth="1"/>
    <col min="105" max="105" width="10.6640625" style="100" customWidth="1"/>
    <col min="106" max="106" width="11.44140625" style="1101" customWidth="1"/>
    <col min="107" max="107" width="9.109375" style="103"/>
    <col min="108" max="109" width="9.44140625" style="100" customWidth="1"/>
    <col min="110" max="110" width="12.88671875" style="1101" customWidth="1"/>
    <col min="111" max="111" width="9.109375" style="103"/>
    <col min="112" max="112" width="9.44140625" style="100" customWidth="1"/>
    <col min="113" max="113" width="9.109375" style="100"/>
    <col min="114" max="114" width="12.88671875" style="1101" customWidth="1"/>
    <col min="115" max="115" width="9.109375" style="103"/>
    <col min="116" max="117" width="9.109375" style="100"/>
    <col min="118" max="118" width="12.88671875" style="1101" customWidth="1"/>
    <col min="119" max="119" width="9.109375" style="103"/>
    <col min="120" max="121" width="9.109375" style="100"/>
    <col min="122" max="122" width="12.88671875" style="1101" customWidth="1"/>
    <col min="123" max="151" width="9.109375" style="103"/>
    <col min="152" max="282" width="9.109375" style="102"/>
    <col min="284" max="16384" width="9.109375" style="102"/>
  </cols>
  <sheetData>
    <row r="1" spans="1:283" s="103" customFormat="1">
      <c r="AN1" s="103">
        <f>EOMONTH(AN2,0)-EOMONTH(AN2,-6)</f>
        <v>183</v>
      </c>
      <c r="AO1" s="103">
        <f>EOMONTH(AO2,0)-EOMONTH(AO2,-6)</f>
        <v>183</v>
      </c>
      <c r="AR1" s="103">
        <f>EOMONTH(AR2,0)-EOMONTH(AR2,-6)</f>
        <v>183</v>
      </c>
      <c r="AS1" s="103">
        <f>EOMONTH(AS2,0)-EOMONTH(AS2,-6)</f>
        <v>182</v>
      </c>
      <c r="AV1" s="103">
        <f>EOMONTH(AV2,0)-EOMONTH(AV2,-6)</f>
        <v>183</v>
      </c>
      <c r="AW1" s="103">
        <f>EOMONTH(AW2,0)-EOMONTH(AW2,-6)</f>
        <v>182</v>
      </c>
      <c r="AZ1" s="103">
        <f>EOMONTH(AZ2,0)-EOMONTH(AZ2,-6)</f>
        <v>183</v>
      </c>
      <c r="BA1" s="103">
        <f>EOMONTH(BA2,0)-EOMONTH(BA2,-6)</f>
        <v>182</v>
      </c>
      <c r="BB1" s="293"/>
      <c r="BD1" s="103">
        <f>EOMONTH(BD2,0)-EOMONTH(BD2,-6)</f>
        <v>183</v>
      </c>
      <c r="BE1" s="103">
        <f>EOMONTH(BE2,0)-EOMONTH(BE2,-6)</f>
        <v>183</v>
      </c>
      <c r="BH1" s="103">
        <f>EOMONTH(BH2,0)-EOMONTH(BH2,-6)</f>
        <v>183</v>
      </c>
      <c r="BI1" s="103">
        <f>EOMONTH(BI2,0)-EOMONTH(BI2,-6)</f>
        <v>182</v>
      </c>
      <c r="BL1" s="103">
        <f>EOMONTH(BL2,0)-EOMONTH(BL2,-6)</f>
        <v>183</v>
      </c>
      <c r="BM1" s="103">
        <f>EOMONTH(BM2,0)-EOMONTH(BM2,-6)</f>
        <v>182</v>
      </c>
      <c r="BP1" s="103">
        <f>EOMONTH(BP2,0)-EOMONTH(BP2,-6)</f>
        <v>183</v>
      </c>
      <c r="BQ1" s="103">
        <f>EOMONTH(BQ2,0)-EOMONTH(BQ2,-6)</f>
        <v>182</v>
      </c>
      <c r="BT1" s="103">
        <f>EOMONTH(BT2,0)-EOMONTH(BT2,-6)</f>
        <v>183</v>
      </c>
      <c r="BU1" s="103">
        <f>EOMONTH(BU2,0)-EOMONTH(BU2,-6)</f>
        <v>183</v>
      </c>
      <c r="BV1" s="103">
        <f>+BT1+BU1</f>
        <v>366</v>
      </c>
      <c r="BX1" s="103">
        <f>EOMONTH(BX2,0)-EOMONTH(BX2,-6)</f>
        <v>183</v>
      </c>
      <c r="BY1" s="103">
        <f>EOMONTH(BY2,0)-EOMONTH(BY2,-6)</f>
        <v>182</v>
      </c>
      <c r="BZ1" s="103">
        <f>+BX1+BY1</f>
        <v>365</v>
      </c>
      <c r="CB1" s="103">
        <f>EOMONTH(CB2,0)-EOMONTH(CB2,-6)</f>
        <v>183</v>
      </c>
      <c r="CC1" s="103">
        <f>EOMONTH(CC2,0)-EOMONTH(CC2,-6)</f>
        <v>182</v>
      </c>
      <c r="CD1" s="103">
        <f>+CB1+CC1</f>
        <v>365</v>
      </c>
      <c r="CF1" s="103">
        <f>EOMONTH(CF2,0)-EOMONTH(CF2,-6)</f>
        <v>183</v>
      </c>
      <c r="CG1" s="103">
        <f>EOMONTH(CG2,0)-EOMONTH(CG2,-6)</f>
        <v>182</v>
      </c>
      <c r="CH1" s="103">
        <f>+CF1+CG1</f>
        <v>365</v>
      </c>
      <c r="CJ1" s="103">
        <f>EOMONTH(CJ2,0)-EOMONTH(CJ2,-6)</f>
        <v>183</v>
      </c>
      <c r="CK1" s="103">
        <f>EOMONTH(CK2,0)-EOMONTH(CK2,-6)</f>
        <v>183</v>
      </c>
      <c r="CL1" s="103">
        <f>+CJ1+CK1</f>
        <v>366</v>
      </c>
      <c r="CN1" s="103">
        <f>EOMONTH(CN2,0)-EOMONTH(CN2,-6)</f>
        <v>183</v>
      </c>
      <c r="CO1" s="103">
        <f>EOMONTH(CO2,0)-EOMONTH(CO2,-6)</f>
        <v>182</v>
      </c>
      <c r="CP1" s="103">
        <f>+CN1+CO1</f>
        <v>365</v>
      </c>
      <c r="CR1" s="103">
        <f>EOMONTH(CR2,0)-EOMONTH(CR2,-6)</f>
        <v>183</v>
      </c>
      <c r="CS1" s="103">
        <f>EOMONTH(CS2,0)-EOMONTH(CS2,-6)</f>
        <v>182</v>
      </c>
      <c r="CT1" s="103">
        <f>+CR1+CS1</f>
        <v>365</v>
      </c>
      <c r="CV1" s="103">
        <f>EOMONTH(CV2,0)-EOMONTH(CV2,-6)</f>
        <v>183</v>
      </c>
      <c r="CW1" s="103">
        <f>EOMONTH(CW2,0)-EOMONTH(CW2,-6)</f>
        <v>182</v>
      </c>
      <c r="CX1" s="103">
        <f>+CV1+CW1</f>
        <v>365</v>
      </c>
      <c r="CZ1" s="103">
        <f>EOMONTH(CZ2,0)-EOMONTH(CZ2,-6)</f>
        <v>183</v>
      </c>
      <c r="DA1" s="103">
        <f>EOMONTH(DA2,0)-EOMONTH(DA2,-6)</f>
        <v>183</v>
      </c>
      <c r="DB1" s="103">
        <f>+CZ1+DA1</f>
        <v>366</v>
      </c>
      <c r="DD1" s="103">
        <f>EOMONTH(DD2,0)-EOMONTH(DD2,-6)</f>
        <v>183</v>
      </c>
      <c r="DE1" s="103">
        <f>EOMONTH(DE2,0)-EOMONTH(DE2,-6)</f>
        <v>182</v>
      </c>
      <c r="DF1" s="103">
        <f>+DD1+DE1</f>
        <v>365</v>
      </c>
      <c r="DH1" s="103">
        <f>EOMONTH(DH2,0)-EOMONTH(DH2,-6)</f>
        <v>183</v>
      </c>
      <c r="DI1" s="103">
        <f>EOMONTH(DI2,0)-EOMONTH(DI2,-6)</f>
        <v>182</v>
      </c>
      <c r="DJ1" s="103">
        <f>+DH1+DI1</f>
        <v>365</v>
      </c>
      <c r="DL1" s="103">
        <f>EOMONTH(DL2,0)-EOMONTH(DL2,-6)</f>
        <v>183</v>
      </c>
      <c r="DM1" s="103">
        <f>EOMONTH(DM2,0)-EOMONTH(DM2,-6)</f>
        <v>182</v>
      </c>
      <c r="DN1" s="103">
        <f>+DL1+DM1</f>
        <v>365</v>
      </c>
      <c r="DP1" s="103">
        <f>EOMONTH(DP2,0)-EOMONTH(DP2,-6)</f>
        <v>183</v>
      </c>
      <c r="DQ1" s="103">
        <f>EOMONTH(DQ2,0)-EOMONTH(DQ2,-6)</f>
        <v>183</v>
      </c>
      <c r="DR1" s="103">
        <f>+DP1+DQ1</f>
        <v>366</v>
      </c>
      <c r="JW1"/>
    </row>
    <row r="2" spans="1:283" s="103" customFormat="1">
      <c r="D2" s="613">
        <v>36404</v>
      </c>
      <c r="E2" s="613">
        <v>36586</v>
      </c>
      <c r="F2" s="613"/>
      <c r="G2" s="613"/>
      <c r="H2" s="613">
        <v>36770</v>
      </c>
      <c r="I2" s="613">
        <v>36951</v>
      </c>
      <c r="J2" s="613"/>
      <c r="K2" s="613"/>
      <c r="L2" s="613">
        <v>37135</v>
      </c>
      <c r="M2" s="613">
        <v>37316</v>
      </c>
      <c r="N2" s="613"/>
      <c r="O2" s="613"/>
      <c r="P2" s="613">
        <v>37500</v>
      </c>
      <c r="Q2" s="613">
        <v>37681</v>
      </c>
      <c r="R2" s="613"/>
      <c r="S2" s="613"/>
      <c r="T2" s="613">
        <v>37865</v>
      </c>
      <c r="U2" s="613">
        <v>38047</v>
      </c>
      <c r="V2" s="613"/>
      <c r="W2" s="613"/>
      <c r="X2" s="613">
        <v>38231</v>
      </c>
      <c r="Y2" s="613">
        <v>38412</v>
      </c>
      <c r="Z2" s="613"/>
      <c r="AA2" s="613"/>
      <c r="AB2" s="613">
        <v>38596</v>
      </c>
      <c r="AC2" s="613">
        <v>38777</v>
      </c>
      <c r="AD2" s="613"/>
      <c r="AE2" s="613"/>
      <c r="AF2" s="613">
        <v>38961</v>
      </c>
      <c r="AG2" s="613">
        <v>39142</v>
      </c>
      <c r="AH2" s="613"/>
      <c r="AI2" s="613"/>
      <c r="AJ2" s="613">
        <v>39326</v>
      </c>
      <c r="AK2" s="613">
        <v>39508</v>
      </c>
      <c r="AL2" s="613"/>
      <c r="AM2" s="613"/>
      <c r="AN2" s="613">
        <v>39326</v>
      </c>
      <c r="AO2" s="613">
        <f>DATE(YEAR(AN2),MONTH(AN2)+6,1)</f>
        <v>39508</v>
      </c>
      <c r="AP2" s="613"/>
      <c r="AQ2" s="613"/>
      <c r="AR2" s="613">
        <f>DATE(YEAR(AO2),MONTH(AO2)+6,1)</f>
        <v>39692</v>
      </c>
      <c r="AS2" s="613">
        <f>DATE(YEAR(AR2),MONTH(AR2)+6,1)</f>
        <v>39873</v>
      </c>
      <c r="AT2" s="613"/>
      <c r="AU2" s="613"/>
      <c r="AV2" s="613">
        <f>DATE(YEAR(AS2),MONTH(AS2)+6,1)</f>
        <v>40057</v>
      </c>
      <c r="AW2" s="613">
        <f>DATE(YEAR(AV2),MONTH(AV2)+6,1)</f>
        <v>40238</v>
      </c>
      <c r="AX2" s="613"/>
      <c r="AY2" s="613"/>
      <c r="AZ2" s="613">
        <f>DATE(YEAR(AW2),MONTH(AW2)+6,1)</f>
        <v>40422</v>
      </c>
      <c r="BA2" s="613">
        <f>DATE(YEAR(AZ2),MONTH(AZ2)+6,1)</f>
        <v>40603</v>
      </c>
      <c r="BB2" s="613"/>
      <c r="BC2" s="613"/>
      <c r="BD2" s="613">
        <f>DATE(YEAR(BA2),MONTH(BA2)+6,1)</f>
        <v>40787</v>
      </c>
      <c r="BE2" s="613">
        <f>DATE(YEAR(BD2),MONTH(BD2)+6,1)</f>
        <v>40969</v>
      </c>
      <c r="BF2" s="613"/>
      <c r="BG2" s="613"/>
      <c r="BH2" s="613">
        <f>DATE(YEAR(BE2),MONTH(BE2)+6,1)</f>
        <v>41153</v>
      </c>
      <c r="BI2" s="613">
        <f>DATE(YEAR(BH2),MONTH(BH2)+6,1)</f>
        <v>41334</v>
      </c>
      <c r="BJ2" s="613"/>
      <c r="BK2" s="613"/>
      <c r="BL2" s="613">
        <f>DATE(YEAR(BI2),MONTH(BI2)+6,1)</f>
        <v>41518</v>
      </c>
      <c r="BM2" s="613">
        <f>DATE(YEAR(BL2),MONTH(BL2)+6,1)</f>
        <v>41699</v>
      </c>
      <c r="BN2" s="613"/>
      <c r="BO2" s="613"/>
      <c r="BP2" s="613">
        <f>DATE(YEAR(BM2),MONTH(BM2)+6,1)</f>
        <v>41883</v>
      </c>
      <c r="BQ2" s="613">
        <f>DATE(YEAR(BP2),MONTH(BP2)+6,1)</f>
        <v>42064</v>
      </c>
      <c r="BR2" s="613"/>
      <c r="BS2" s="613"/>
      <c r="BT2" s="613">
        <f>DATE(YEAR(BQ2),MONTH(BQ2)+6,1)</f>
        <v>42248</v>
      </c>
      <c r="BU2" s="613">
        <f>DATE(YEAR(BT2),MONTH(BT2)+6,1)</f>
        <v>42430</v>
      </c>
      <c r="BV2" s="613"/>
      <c r="BW2" s="613"/>
      <c r="BX2" s="613">
        <f>DATE(YEAR(BU2),MONTH(BU2)+6,1)</f>
        <v>42614</v>
      </c>
      <c r="BY2" s="613">
        <f>DATE(YEAR(BX2),MONTH(BX2)+6,1)</f>
        <v>42795</v>
      </c>
      <c r="BZ2" s="613"/>
      <c r="CA2" s="613"/>
      <c r="CB2" s="613">
        <f>DATE(YEAR(BY2),MONTH(BY2)+6,1)</f>
        <v>42979</v>
      </c>
      <c r="CC2" s="613">
        <f>DATE(YEAR(CB2),MONTH(CB2)+6,1)</f>
        <v>43160</v>
      </c>
      <c r="CD2" s="613"/>
      <c r="CE2" s="613"/>
      <c r="CF2" s="613">
        <f>DATE(YEAR(CC2),MONTH(CC2)+6,1)</f>
        <v>43344</v>
      </c>
      <c r="CG2" s="613">
        <f>DATE(YEAR(CF2),MONTH(CF2)+6,1)</f>
        <v>43525</v>
      </c>
      <c r="CH2" s="613"/>
      <c r="CI2" s="613"/>
      <c r="CJ2" s="613">
        <f>DATE(YEAR(CG2),MONTH(CG2)+6,1)</f>
        <v>43709</v>
      </c>
      <c r="CK2" s="613">
        <f>DATE(YEAR(CJ2),MONTH(CJ2)+6,1)</f>
        <v>43891</v>
      </c>
      <c r="CL2" s="613"/>
      <c r="CM2" s="613"/>
      <c r="CN2" s="613">
        <f>DATE(YEAR(CK2),MONTH(CK2)+6,1)</f>
        <v>44075</v>
      </c>
      <c r="CO2" s="613">
        <f>DATE(YEAR(CN2),MONTH(CN2)+6,1)</f>
        <v>44256</v>
      </c>
      <c r="CP2" s="613"/>
      <c r="CQ2" s="613"/>
      <c r="CR2" s="613">
        <f>DATE(YEAR(CO2),MONTH(CO2)+6,1)</f>
        <v>44440</v>
      </c>
      <c r="CS2" s="613">
        <f>DATE(YEAR(CR2),MONTH(CR2)+6,1)</f>
        <v>44621</v>
      </c>
      <c r="CT2" s="613"/>
      <c r="CU2" s="613"/>
      <c r="CV2" s="613">
        <f>DATE(YEAR(CS2),MONTH(CS2)+6,1)</f>
        <v>44805</v>
      </c>
      <c r="CW2" s="613">
        <f>DATE(YEAR(CV2),MONTH(CV2)+6,1)</f>
        <v>44986</v>
      </c>
      <c r="CX2" s="613"/>
      <c r="CY2" s="613"/>
      <c r="CZ2" s="613">
        <f>DATE(YEAR(CW2),MONTH(CW2)+6,1)</f>
        <v>45170</v>
      </c>
      <c r="DA2" s="613">
        <f>DATE(YEAR(CZ2),MONTH(CZ2)+6,1)</f>
        <v>45352</v>
      </c>
      <c r="DB2" s="613"/>
      <c r="DC2" s="613"/>
      <c r="DD2" s="613">
        <f>DATE(YEAR(DA2),MONTH(DA2)+6,1)</f>
        <v>45536</v>
      </c>
      <c r="DE2" s="613">
        <f>DATE(YEAR(DD2),MONTH(DD2)+6,1)</f>
        <v>45717</v>
      </c>
      <c r="DF2" s="613"/>
      <c r="DG2" s="613"/>
      <c r="DH2" s="613">
        <f>DATE(YEAR(DE2),MONTH(DE2)+6,1)</f>
        <v>45901</v>
      </c>
      <c r="DI2" s="613">
        <f>DATE(YEAR(DH2),MONTH(DH2)+6,1)</f>
        <v>46082</v>
      </c>
      <c r="DJ2" s="613"/>
      <c r="DK2" s="613"/>
      <c r="DL2" s="613">
        <f>DATE(YEAR(DI2),MONTH(DI2)+6,1)</f>
        <v>46266</v>
      </c>
      <c r="DM2" s="613">
        <f>DATE(YEAR(DL2),MONTH(DL2)+6,1)</f>
        <v>46447</v>
      </c>
      <c r="DN2" s="613"/>
      <c r="DO2" s="613"/>
      <c r="DP2" s="613">
        <f>DATE(YEAR(DM2),MONTH(DM2)+6,1)</f>
        <v>46631</v>
      </c>
      <c r="DQ2" s="613">
        <f>DATE(YEAR(DP2),MONTH(DP2)+6,1)</f>
        <v>46813</v>
      </c>
      <c r="DR2" s="613"/>
      <c r="DS2" s="613"/>
      <c r="DT2" s="613"/>
      <c r="DU2" s="613"/>
      <c r="DV2" s="613"/>
      <c r="DW2" s="613"/>
      <c r="DX2" s="613"/>
      <c r="DY2" s="613"/>
      <c r="DZ2" s="613"/>
      <c r="EA2" s="613"/>
      <c r="EB2" s="613"/>
      <c r="EC2" s="613"/>
      <c r="ED2" s="613"/>
      <c r="EE2" s="613"/>
      <c r="EF2" s="613"/>
      <c r="EG2" s="613"/>
      <c r="EH2" s="613"/>
      <c r="EI2" s="613"/>
      <c r="EJ2" s="613"/>
      <c r="EK2" s="613"/>
      <c r="EL2" s="613"/>
      <c r="JW2"/>
    </row>
    <row r="3" spans="1:283" s="291" customFormat="1" ht="13.5" customHeight="1">
      <c r="A3" s="1571" t="s">
        <v>622</v>
      </c>
      <c r="B3" s="1572"/>
      <c r="C3" s="1573"/>
      <c r="D3" s="1574" t="s">
        <v>623</v>
      </c>
      <c r="E3" s="1574" t="s">
        <v>624</v>
      </c>
      <c r="F3" s="1572" t="s">
        <v>625</v>
      </c>
      <c r="G3" s="1572" t="s">
        <v>626</v>
      </c>
      <c r="H3" s="1574" t="s">
        <v>627</v>
      </c>
      <c r="I3" s="1574" t="s">
        <v>628</v>
      </c>
      <c r="J3" s="1572" t="s">
        <v>629</v>
      </c>
      <c r="K3" s="1572" t="s">
        <v>626</v>
      </c>
      <c r="L3" s="1574" t="s">
        <v>630</v>
      </c>
      <c r="M3" s="1574" t="s">
        <v>631</v>
      </c>
      <c r="N3" s="1572" t="s">
        <v>632</v>
      </c>
      <c r="O3" s="1572" t="s">
        <v>626</v>
      </c>
      <c r="P3" s="1574" t="s">
        <v>633</v>
      </c>
      <c r="Q3" s="1574" t="s">
        <v>634</v>
      </c>
      <c r="R3" s="1572" t="s">
        <v>635</v>
      </c>
      <c r="S3" s="1572" t="s">
        <v>626</v>
      </c>
      <c r="T3" s="1574" t="s">
        <v>636</v>
      </c>
      <c r="U3" s="1574" t="s">
        <v>637</v>
      </c>
      <c r="V3" s="1572" t="s">
        <v>638</v>
      </c>
      <c r="W3" s="1572" t="s">
        <v>626</v>
      </c>
      <c r="X3" s="1574" t="s">
        <v>639</v>
      </c>
      <c r="Y3" s="1574" t="s">
        <v>640</v>
      </c>
      <c r="Z3" s="1575">
        <v>2005</v>
      </c>
      <c r="AA3" s="1576" t="s">
        <v>626</v>
      </c>
      <c r="AB3" s="1574" t="s">
        <v>639</v>
      </c>
      <c r="AC3" s="1574" t="s">
        <v>640</v>
      </c>
      <c r="AD3" s="1572" t="s">
        <v>641</v>
      </c>
      <c r="AE3" s="1576" t="s">
        <v>626</v>
      </c>
      <c r="AF3" s="1574" t="s">
        <v>642</v>
      </c>
      <c r="AG3" s="1574" t="s">
        <v>643</v>
      </c>
      <c r="AH3" s="1572" t="s">
        <v>644</v>
      </c>
      <c r="AI3" s="1576" t="s">
        <v>626</v>
      </c>
      <c r="AJ3" s="1572" t="s">
        <v>645</v>
      </c>
      <c r="AK3" s="1572" t="s">
        <v>646</v>
      </c>
      <c r="AL3" s="1572" t="s">
        <v>647</v>
      </c>
      <c r="AM3" s="1576" t="s">
        <v>626</v>
      </c>
      <c r="AN3" s="1572" t="s">
        <v>609</v>
      </c>
      <c r="AO3" s="1572" t="s">
        <v>610</v>
      </c>
      <c r="AP3" s="1572" t="s">
        <v>611</v>
      </c>
      <c r="AQ3" s="1576" t="s">
        <v>626</v>
      </c>
      <c r="AR3" s="1572" t="s">
        <v>573</v>
      </c>
      <c r="AS3" s="1572" t="s">
        <v>574</v>
      </c>
      <c r="AT3" s="1572" t="s">
        <v>583</v>
      </c>
      <c r="AU3" s="1576" t="s">
        <v>626</v>
      </c>
      <c r="AV3" s="1572" t="s">
        <v>575</v>
      </c>
      <c r="AW3" s="1572" t="s">
        <v>582</v>
      </c>
      <c r="AX3" s="1572" t="s">
        <v>584</v>
      </c>
      <c r="AY3" s="1576" t="s">
        <v>626</v>
      </c>
      <c r="AZ3" s="1572" t="s">
        <v>603</v>
      </c>
      <c r="BA3" s="1572" t="s">
        <v>813</v>
      </c>
      <c r="BB3" s="1572" t="s">
        <v>814</v>
      </c>
      <c r="BC3" s="1576" t="s">
        <v>626</v>
      </c>
      <c r="BD3" s="1572" t="s">
        <v>826</v>
      </c>
      <c r="BE3" s="1572" t="s">
        <v>885</v>
      </c>
      <c r="BF3" s="1572" t="s">
        <v>886</v>
      </c>
      <c r="BG3" s="1576" t="s">
        <v>626</v>
      </c>
      <c r="BH3" s="1572" t="s">
        <v>893</v>
      </c>
      <c r="BI3" s="1572" t="s">
        <v>901</v>
      </c>
      <c r="BJ3" s="1572" t="s">
        <v>902</v>
      </c>
      <c r="BK3" s="1572" t="s">
        <v>626</v>
      </c>
      <c r="BL3" s="1572" t="s">
        <v>69</v>
      </c>
      <c r="BM3" s="1572" t="s">
        <v>1</v>
      </c>
      <c r="BN3" s="1572" t="s">
        <v>2</v>
      </c>
      <c r="BO3" s="1572" t="s">
        <v>626</v>
      </c>
      <c r="BP3" s="1572" t="s">
        <v>944</v>
      </c>
      <c r="BQ3" s="1572" t="s">
        <v>894</v>
      </c>
      <c r="BR3" s="1572" t="s">
        <v>501</v>
      </c>
      <c r="BS3" s="1572" t="s">
        <v>626</v>
      </c>
      <c r="BT3" s="1572" t="str">
        <f>'P&amp;L'!BT4</f>
        <v>1H16</v>
      </c>
      <c r="BU3" s="1572" t="str">
        <f>'P&amp;L'!BU4</f>
        <v>2H16</v>
      </c>
      <c r="BV3" s="1572" t="str">
        <f>'P&amp;L'!BV4</f>
        <v>FY16</v>
      </c>
      <c r="BW3" s="1576" t="str">
        <f>'P&amp;L'!BW4</f>
        <v>Ch</v>
      </c>
      <c r="BX3" s="1572" t="str">
        <f>'P&amp;L'!BX4</f>
        <v>1H17</v>
      </c>
      <c r="BY3" s="1572" t="str">
        <f>'P&amp;L'!BY4</f>
        <v>2H17</v>
      </c>
      <c r="BZ3" s="1572" t="str">
        <f>'P&amp;L'!BZ4</f>
        <v>FY17</v>
      </c>
      <c r="CA3" s="1576" t="str">
        <f>'P&amp;L'!CA4</f>
        <v>Ch</v>
      </c>
      <c r="CB3" s="1572" t="str">
        <f>'P&amp;L'!CB4</f>
        <v>1H18</v>
      </c>
      <c r="CC3" s="1572" t="str">
        <f>'P&amp;L'!CC4</f>
        <v>2H18</v>
      </c>
      <c r="CD3" s="1572" t="str">
        <f>'P&amp;L'!CD4</f>
        <v>FY18</v>
      </c>
      <c r="CE3" s="1576" t="str">
        <f>'P&amp;L'!CE4</f>
        <v>Ch</v>
      </c>
      <c r="CF3" s="1572" t="str">
        <f>'P&amp;L'!CF4</f>
        <v>1H19</v>
      </c>
      <c r="CG3" s="1572" t="str">
        <f>'P&amp;L'!CG4</f>
        <v>2H19</v>
      </c>
      <c r="CH3" s="1572" t="str">
        <f>'P&amp;L'!CH4</f>
        <v>FY19</v>
      </c>
      <c r="CI3" s="1576" t="str">
        <f>'P&amp;L'!CI4</f>
        <v>Ch</v>
      </c>
      <c r="CJ3" s="1572" t="str">
        <f>'P&amp;L'!CJ4</f>
        <v>1H20</v>
      </c>
      <c r="CK3" s="1572" t="str">
        <f>'P&amp;L'!CK4</f>
        <v>2H20</v>
      </c>
      <c r="CL3" s="1572" t="str">
        <f>'P&amp;L'!CL4</f>
        <v>FY20</v>
      </c>
      <c r="CM3" s="1576" t="str">
        <f>'P&amp;L'!CM4</f>
        <v>Ch</v>
      </c>
      <c r="CN3" s="1572" t="str">
        <f>'P&amp;L'!CN4</f>
        <v>1H21</v>
      </c>
      <c r="CO3" s="1572" t="str">
        <f>'P&amp;L'!CO4</f>
        <v>2H21</v>
      </c>
      <c r="CP3" s="1572" t="str">
        <f>'P&amp;L'!CP4</f>
        <v>FY21</v>
      </c>
      <c r="CQ3" s="1576" t="str">
        <f>'P&amp;L'!CQ4</f>
        <v>Ch</v>
      </c>
      <c r="CR3" s="1572" t="str">
        <f>'P&amp;L'!CR4</f>
        <v>1H22</v>
      </c>
      <c r="CS3" s="1572" t="str">
        <f>'P&amp;L'!CS4</f>
        <v>2H22</v>
      </c>
      <c r="CT3" s="1572" t="str">
        <f>'P&amp;L'!CT4</f>
        <v>FY22</v>
      </c>
      <c r="CU3" s="1576" t="str">
        <f>'P&amp;L'!CU4</f>
        <v>Ch</v>
      </c>
      <c r="CV3" s="1572" t="str">
        <f>'P&amp;L'!CV4</f>
        <v>1H23</v>
      </c>
      <c r="CW3" s="1572" t="str">
        <f>'P&amp;L'!CW4</f>
        <v>2H23</v>
      </c>
      <c r="CX3" s="1572" t="str">
        <f>'P&amp;L'!CX4</f>
        <v>FY23</v>
      </c>
      <c r="CY3" s="1576" t="str">
        <f>'P&amp;L'!CY4</f>
        <v>Ch</v>
      </c>
      <c r="CZ3" s="1572" t="str">
        <f>'P&amp;L'!CZ4</f>
        <v>1H24</v>
      </c>
      <c r="DA3" s="1572" t="str">
        <f>'P&amp;L'!DA4</f>
        <v>2H24</v>
      </c>
      <c r="DB3" s="1572" t="str">
        <f>'P&amp;L'!DB4</f>
        <v>FY24</v>
      </c>
      <c r="DC3" s="1576" t="str">
        <f>'P&amp;L'!DC4</f>
        <v>Ch</v>
      </c>
      <c r="DD3" s="1572" t="str">
        <f>'P&amp;L'!DD4</f>
        <v>1H25</v>
      </c>
      <c r="DE3" s="1572" t="str">
        <f>'P&amp;L'!DE4</f>
        <v>2H25</v>
      </c>
      <c r="DF3" s="1572" t="str">
        <f>'P&amp;L'!DF4</f>
        <v>FY25</v>
      </c>
      <c r="DG3" s="1576" t="str">
        <f>'P&amp;L'!DG4</f>
        <v>Ch</v>
      </c>
      <c r="DH3" s="1572" t="str">
        <f>'P&amp;L'!DH4</f>
        <v>1H26</v>
      </c>
      <c r="DI3" s="614" t="str">
        <f>'P&amp;L'!DI4</f>
        <v>2H26E</v>
      </c>
      <c r="DJ3" s="614" t="str">
        <f>'P&amp;L'!DJ4</f>
        <v>FY26E</v>
      </c>
      <c r="DK3" s="615" t="str">
        <f>'P&amp;L'!DK4</f>
        <v>Ch</v>
      </c>
      <c r="DL3" s="614" t="str">
        <f>'P&amp;L'!DL4</f>
        <v>1H27E</v>
      </c>
      <c r="DM3" s="614" t="str">
        <f>'P&amp;L'!DM4</f>
        <v>2H27E</v>
      </c>
      <c r="DN3" s="614" t="str">
        <f>'P&amp;L'!DN4</f>
        <v>FY27E</v>
      </c>
      <c r="DO3" s="615" t="str">
        <f>'P&amp;L'!DO4</f>
        <v>Ch</v>
      </c>
      <c r="DP3" s="614" t="str">
        <f>'P&amp;L'!DP4</f>
        <v>1H28E</v>
      </c>
      <c r="DQ3" s="614" t="str">
        <f>'P&amp;L'!DQ4</f>
        <v>2H28E</v>
      </c>
      <c r="DR3" s="614" t="str">
        <f>'P&amp;L'!DR4</f>
        <v>FY28E</v>
      </c>
      <c r="DS3" s="615" t="str">
        <f>'P&amp;L'!DS4</f>
        <v>Ch</v>
      </c>
      <c r="DT3" s="615"/>
      <c r="DU3" s="615"/>
      <c r="DV3" s="615"/>
      <c r="DW3" s="615"/>
      <c r="DX3" s="614"/>
      <c r="DY3" s="614"/>
      <c r="DZ3" s="615"/>
      <c r="EA3" s="614"/>
      <c r="EB3" s="614"/>
      <c r="EC3" s="614"/>
      <c r="ED3" s="615"/>
      <c r="EE3" s="614"/>
      <c r="EF3" s="614"/>
      <c r="EG3" s="614"/>
      <c r="EH3" s="615"/>
      <c r="EI3" s="614"/>
      <c r="EJ3" s="614"/>
      <c r="EK3" s="614"/>
      <c r="EL3" s="615"/>
      <c r="EM3" s="330"/>
      <c r="EN3" s="330"/>
      <c r="EO3" s="330"/>
      <c r="EP3" s="330"/>
      <c r="EQ3" s="330"/>
      <c r="ER3" s="330"/>
      <c r="ES3" s="330"/>
      <c r="ET3" s="330"/>
      <c r="EU3" s="330"/>
      <c r="JW3"/>
    </row>
    <row r="4" spans="1:283" s="308" customFormat="1" ht="13.5" customHeight="1">
      <c r="A4" s="1577" t="s">
        <v>648</v>
      </c>
      <c r="B4" s="1578"/>
      <c r="C4" s="1578"/>
      <c r="D4" s="1579" t="s">
        <v>649</v>
      </c>
      <c r="E4" s="1579" t="s">
        <v>649</v>
      </c>
      <c r="F4" s="1579" t="s">
        <v>649</v>
      </c>
      <c r="G4" s="1578"/>
      <c r="H4" s="1579" t="s">
        <v>649</v>
      </c>
      <c r="I4" s="1579" t="s">
        <v>649</v>
      </c>
      <c r="J4" s="1579" t="s">
        <v>649</v>
      </c>
      <c r="K4" s="1578"/>
      <c r="L4" s="1579" t="s">
        <v>649</v>
      </c>
      <c r="M4" s="1579" t="s">
        <v>649</v>
      </c>
      <c r="N4" s="1579" t="s">
        <v>649</v>
      </c>
      <c r="O4" s="1578"/>
      <c r="P4" s="1579" t="s">
        <v>649</v>
      </c>
      <c r="Q4" s="1579" t="s">
        <v>649</v>
      </c>
      <c r="R4" s="1579" t="s">
        <v>649</v>
      </c>
      <c r="S4" s="1578"/>
      <c r="T4" s="1579" t="s">
        <v>649</v>
      </c>
      <c r="U4" s="1579" t="s">
        <v>649</v>
      </c>
      <c r="V4" s="1579" t="s">
        <v>649</v>
      </c>
      <c r="W4" s="1578"/>
      <c r="X4" s="1579" t="s">
        <v>649</v>
      </c>
      <c r="Y4" s="1579" t="s">
        <v>649</v>
      </c>
      <c r="Z4" s="1579" t="s">
        <v>649</v>
      </c>
      <c r="AA4" s="1580"/>
      <c r="AB4" s="1579" t="s">
        <v>650</v>
      </c>
      <c r="AC4" s="1579" t="s">
        <v>650</v>
      </c>
      <c r="AD4" s="1579" t="s">
        <v>650</v>
      </c>
      <c r="AE4" s="1580"/>
      <c r="AF4" s="1579" t="s">
        <v>650</v>
      </c>
      <c r="AG4" s="1579" t="s">
        <v>650</v>
      </c>
      <c r="AH4" s="1579" t="s">
        <v>650</v>
      </c>
      <c r="AI4" s="1580"/>
      <c r="AJ4" s="1579" t="s">
        <v>650</v>
      </c>
      <c r="AK4" s="1579" t="s">
        <v>650</v>
      </c>
      <c r="AL4" s="1579" t="s">
        <v>650</v>
      </c>
      <c r="AM4" s="1580"/>
      <c r="AN4" s="1579" t="s">
        <v>650</v>
      </c>
      <c r="AO4" s="1579" t="s">
        <v>650</v>
      </c>
      <c r="AP4" s="1579" t="s">
        <v>650</v>
      </c>
      <c r="AQ4" s="1580"/>
      <c r="AR4" s="1579" t="s">
        <v>650</v>
      </c>
      <c r="AS4" s="1579" t="s">
        <v>650</v>
      </c>
      <c r="AT4" s="1579" t="s">
        <v>650</v>
      </c>
      <c r="AU4" s="1580"/>
      <c r="AV4" s="1579" t="s">
        <v>650</v>
      </c>
      <c r="AW4" s="1579" t="s">
        <v>650</v>
      </c>
      <c r="AX4" s="1579" t="s">
        <v>650</v>
      </c>
      <c r="AY4" s="1580"/>
      <c r="AZ4" s="1579" t="s">
        <v>650</v>
      </c>
      <c r="BA4" s="1579" t="s">
        <v>650</v>
      </c>
      <c r="BB4" s="1579" t="s">
        <v>650</v>
      </c>
      <c r="BC4" s="1580"/>
      <c r="BD4" s="1579" t="s">
        <v>650</v>
      </c>
      <c r="BE4" s="1579" t="s">
        <v>650</v>
      </c>
      <c r="BF4" s="1579" t="s">
        <v>650</v>
      </c>
      <c r="BG4" s="1580"/>
      <c r="BH4" s="1579" t="s">
        <v>650</v>
      </c>
      <c r="BI4" s="1579" t="s">
        <v>650</v>
      </c>
      <c r="BJ4" s="1579" t="s">
        <v>650</v>
      </c>
      <c r="BK4" s="1579"/>
      <c r="BL4" s="1579" t="s">
        <v>650</v>
      </c>
      <c r="BM4" s="1579" t="s">
        <v>650</v>
      </c>
      <c r="BN4" s="1579" t="s">
        <v>650</v>
      </c>
      <c r="BO4" s="1579"/>
      <c r="BP4" s="1579" t="s">
        <v>650</v>
      </c>
      <c r="BQ4" s="1579" t="s">
        <v>650</v>
      </c>
      <c r="BR4" s="1579" t="s">
        <v>650</v>
      </c>
      <c r="BS4" s="1579"/>
      <c r="BT4" s="1579" t="str">
        <f>'P&amp;L'!BT5</f>
        <v>AIFRS</v>
      </c>
      <c r="BU4" s="1579" t="str">
        <f>'P&amp;L'!BU5</f>
        <v>AIFRS</v>
      </c>
      <c r="BV4" s="1579" t="str">
        <f>'P&amp;L'!BV5</f>
        <v>AIFRS</v>
      </c>
      <c r="BW4" s="1580"/>
      <c r="BX4" s="1579" t="str">
        <f>'P&amp;L'!BX5</f>
        <v>AIFRS</v>
      </c>
      <c r="BY4" s="1579" t="str">
        <f>'P&amp;L'!BY5</f>
        <v>AIFRS</v>
      </c>
      <c r="BZ4" s="1579" t="str">
        <f>'P&amp;L'!BZ5</f>
        <v>AIFRS</v>
      </c>
      <c r="CA4" s="1580"/>
      <c r="CB4" s="1579" t="str">
        <f>'P&amp;L'!CB5</f>
        <v>AIFRS</v>
      </c>
      <c r="CC4" s="1579" t="str">
        <f>'P&amp;L'!CC5</f>
        <v>AIFRS</v>
      </c>
      <c r="CD4" s="1579" t="str">
        <f>'P&amp;L'!CD5</f>
        <v>AIFRS</v>
      </c>
      <c r="CE4" s="1580"/>
      <c r="CF4" s="1579" t="str">
        <f>'P&amp;L'!CF5</f>
        <v>AIFRS</v>
      </c>
      <c r="CG4" s="1579" t="str">
        <f>'P&amp;L'!CG5</f>
        <v>AIFRS</v>
      </c>
      <c r="CH4" s="1579" t="str">
        <f>'P&amp;L'!CH5</f>
        <v>AIFRS</v>
      </c>
      <c r="CI4" s="1580"/>
      <c r="CJ4" s="1579" t="str">
        <f>'P&amp;L'!CJ5</f>
        <v>AIFRS</v>
      </c>
      <c r="CK4" s="1579" t="str">
        <f>'P&amp;L'!CK5</f>
        <v>AIFRS</v>
      </c>
      <c r="CL4" s="1579" t="str">
        <f>'P&amp;L'!CL5</f>
        <v>AIFRS</v>
      </c>
      <c r="CM4" s="1580"/>
      <c r="CN4" s="1579" t="str">
        <f>'P&amp;L'!CN5</f>
        <v>AIFRS</v>
      </c>
      <c r="CO4" s="1579" t="str">
        <f>'P&amp;L'!CO5</f>
        <v>AIFRS</v>
      </c>
      <c r="CP4" s="1579" t="str">
        <f>'P&amp;L'!CP5</f>
        <v>AIFRS</v>
      </c>
      <c r="CQ4" s="1580"/>
      <c r="CR4" s="1579" t="str">
        <f>'P&amp;L'!CR5</f>
        <v>AIFRS</v>
      </c>
      <c r="CS4" s="1579" t="str">
        <f>'P&amp;L'!CS5</f>
        <v>AIFRS</v>
      </c>
      <c r="CT4" s="1579" t="str">
        <f>'P&amp;L'!CT5</f>
        <v>AIFRS</v>
      </c>
      <c r="CU4" s="1580"/>
      <c r="CV4" s="1579" t="str">
        <f>'P&amp;L'!CV5</f>
        <v>AIFRS</v>
      </c>
      <c r="CW4" s="1579" t="str">
        <f>'P&amp;L'!CW5</f>
        <v>AIFRS</v>
      </c>
      <c r="CX4" s="1579" t="str">
        <f>'P&amp;L'!CX5</f>
        <v>AIFRS</v>
      </c>
      <c r="CY4" s="1580"/>
      <c r="CZ4" s="1579" t="str">
        <f>'P&amp;L'!CZ5</f>
        <v>AIFRS</v>
      </c>
      <c r="DA4" s="1579" t="str">
        <f>'P&amp;L'!DA5</f>
        <v>AIFRS</v>
      </c>
      <c r="DB4" s="1579" t="str">
        <f>'P&amp;L'!DB5</f>
        <v>AIFRS</v>
      </c>
      <c r="DC4" s="1580"/>
      <c r="DD4" s="1579" t="str">
        <f>'P&amp;L'!DD5</f>
        <v>AIFRS</v>
      </c>
      <c r="DE4" s="1579" t="str">
        <f>'P&amp;L'!DE5</f>
        <v>AIFRS</v>
      </c>
      <c r="DF4" s="1579" t="str">
        <f>'P&amp;L'!DF5</f>
        <v>AIFRS</v>
      </c>
      <c r="DG4" s="1580"/>
      <c r="DH4" s="1579" t="str">
        <f>'P&amp;L'!DH5</f>
        <v>AIFRS</v>
      </c>
      <c r="DI4" s="618" t="str">
        <f>'P&amp;L'!DI5</f>
        <v>AIFRS</v>
      </c>
      <c r="DJ4" s="618" t="str">
        <f>'P&amp;L'!DJ5</f>
        <v>AIFRS</v>
      </c>
      <c r="DK4" s="619"/>
      <c r="DL4" s="618" t="str">
        <f>'P&amp;L'!DL5</f>
        <v>AIFRS</v>
      </c>
      <c r="DM4" s="618" t="str">
        <f>'P&amp;L'!DM5</f>
        <v>AIFRS</v>
      </c>
      <c r="DN4" s="618" t="str">
        <f>'P&amp;L'!DN5</f>
        <v>AIFRS</v>
      </c>
      <c r="DO4" s="619"/>
      <c r="DP4" s="618" t="str">
        <f>'P&amp;L'!DP5</f>
        <v>AIFRS</v>
      </c>
      <c r="DQ4" s="618" t="str">
        <f>'P&amp;L'!DQ5</f>
        <v>AIFRS</v>
      </c>
      <c r="DR4" s="618" t="str">
        <f>'P&amp;L'!DR5</f>
        <v>AIFRS</v>
      </c>
      <c r="DS4" s="619"/>
      <c r="DT4" s="1184"/>
      <c r="DU4" s="1184"/>
      <c r="DV4" s="1184"/>
      <c r="DW4" s="619"/>
      <c r="DX4" s="618"/>
      <c r="DY4" s="618"/>
      <c r="DZ4" s="619"/>
      <c r="EA4" s="618"/>
      <c r="EB4" s="618"/>
      <c r="EC4" s="618"/>
      <c r="ED4" s="619"/>
      <c r="EE4" s="618"/>
      <c r="EF4" s="618"/>
      <c r="EG4" s="618"/>
      <c r="EH4" s="619"/>
      <c r="EI4" s="618"/>
      <c r="EJ4" s="618"/>
      <c r="EK4" s="618"/>
      <c r="EL4" s="619"/>
      <c r="EM4" s="317"/>
      <c r="EN4" s="317"/>
      <c r="EO4" s="317"/>
      <c r="EP4" s="317"/>
      <c r="EQ4" s="317"/>
      <c r="ER4" s="317"/>
      <c r="ES4" s="317"/>
      <c r="ET4" s="317"/>
      <c r="EU4" s="317"/>
      <c r="JW4"/>
    </row>
    <row r="5" spans="1:283">
      <c r="CR5" s="103"/>
      <c r="CS5" s="103"/>
      <c r="CT5" s="103"/>
      <c r="CV5" s="103"/>
      <c r="CW5" s="103"/>
      <c r="CX5" s="103"/>
      <c r="CZ5" s="103"/>
      <c r="DA5" s="103"/>
      <c r="DB5" s="103"/>
      <c r="DD5" s="103"/>
      <c r="DE5" s="103"/>
      <c r="DF5" s="103"/>
      <c r="DH5" s="103"/>
      <c r="DI5" s="103"/>
      <c r="DJ5" s="103"/>
      <c r="DL5" s="103"/>
      <c r="DM5" s="103"/>
      <c r="DN5" s="103"/>
      <c r="DP5" s="103"/>
      <c r="DQ5" s="103"/>
      <c r="DR5" s="103"/>
    </row>
    <row r="6" spans="1:283" s="1186" customFormat="1">
      <c r="A6" s="1185" t="s">
        <v>843</v>
      </c>
      <c r="AN6" s="1187"/>
      <c r="AO6" s="1187"/>
      <c r="AP6" s="1188"/>
      <c r="AQ6" s="1187"/>
      <c r="AR6" s="1187"/>
      <c r="AS6" s="1187"/>
      <c r="AT6" s="1188"/>
      <c r="AU6" s="1187"/>
      <c r="AV6" s="1187"/>
      <c r="AW6" s="1187"/>
      <c r="AX6" s="1188"/>
      <c r="AY6" s="1187"/>
      <c r="AZ6" s="1187"/>
      <c r="BA6" s="1187"/>
      <c r="BB6" s="1188"/>
      <c r="BC6" s="1187"/>
      <c r="BD6" s="1187"/>
      <c r="BE6" s="1187"/>
      <c r="BF6" s="1188"/>
      <c r="BG6" s="1187"/>
      <c r="BH6" s="1187"/>
      <c r="BI6" s="1187"/>
      <c r="BJ6" s="1188"/>
      <c r="BK6" s="1187"/>
      <c r="BL6" s="1187"/>
      <c r="BM6" s="1187"/>
      <c r="BN6" s="1188"/>
      <c r="BO6" s="1187"/>
      <c r="BP6" s="1187"/>
      <c r="BQ6" s="1187"/>
      <c r="BR6" s="1188"/>
      <c r="BS6" s="1187"/>
      <c r="BT6" s="1187"/>
      <c r="BU6" s="1187"/>
      <c r="BV6" s="1188"/>
      <c r="BW6" s="1187"/>
      <c r="BX6" s="1187"/>
      <c r="BY6" s="1187"/>
      <c r="BZ6" s="1188"/>
      <c r="CA6" s="1187"/>
      <c r="CB6" s="1187"/>
      <c r="CC6" s="1187"/>
      <c r="CD6" s="1188"/>
      <c r="CE6" s="1187"/>
      <c r="CF6" s="1187"/>
      <c r="CG6" s="1187"/>
      <c r="CH6" s="1188"/>
      <c r="CI6" s="1187"/>
      <c r="CJ6" s="1187"/>
      <c r="CK6" s="1187"/>
      <c r="CL6" s="1188"/>
      <c r="CM6" s="1187"/>
      <c r="CN6" s="1187"/>
      <c r="CO6" s="1187"/>
      <c r="CP6" s="1188"/>
      <c r="CQ6" s="1187"/>
      <c r="CR6" s="1187"/>
      <c r="CS6" s="1187"/>
      <c r="CT6" s="1188"/>
      <c r="CU6" s="1187"/>
      <c r="CV6" s="1187"/>
      <c r="CW6" s="1187"/>
      <c r="CX6" s="1188"/>
      <c r="CY6" s="1187"/>
      <c r="CZ6" s="1187"/>
      <c r="DA6" s="1187"/>
      <c r="DB6" s="1188"/>
      <c r="DC6" s="1187"/>
      <c r="DD6" s="1187"/>
      <c r="DE6" s="1187"/>
      <c r="DF6" s="1188"/>
      <c r="DG6" s="1187"/>
      <c r="DH6" s="1187"/>
      <c r="DI6" s="1187"/>
      <c r="DJ6" s="1188"/>
      <c r="DK6" s="1187"/>
      <c r="DL6" s="1187"/>
      <c r="DM6" s="1187"/>
      <c r="DN6" s="1188"/>
      <c r="DO6" s="1187"/>
      <c r="DP6" s="1187"/>
      <c r="DQ6" s="1187"/>
      <c r="DR6" s="1188"/>
      <c r="DS6" s="1187"/>
      <c r="DT6" s="1187"/>
      <c r="DU6" s="1187"/>
      <c r="DV6" s="1187"/>
      <c r="DW6" s="1187"/>
      <c r="DX6" s="1187"/>
      <c r="DY6" s="1187"/>
      <c r="DZ6" s="1187"/>
      <c r="EA6" s="1187"/>
      <c r="EB6" s="1187"/>
      <c r="EC6" s="1187"/>
      <c r="ED6" s="1187"/>
      <c r="EE6" s="1187"/>
      <c r="EF6" s="1187"/>
      <c r="EG6" s="1187"/>
      <c r="EH6" s="1187"/>
      <c r="EI6" s="1187"/>
      <c r="EJ6" s="1187"/>
      <c r="EK6" s="1187"/>
      <c r="EL6" s="1187"/>
      <c r="EM6" s="1187"/>
      <c r="EN6" s="1187"/>
      <c r="EO6" s="1187"/>
      <c r="EP6" s="1187"/>
      <c r="EQ6" s="1187"/>
      <c r="ER6" s="1187"/>
      <c r="ES6" s="1187"/>
      <c r="ET6" s="1187"/>
      <c r="EU6" s="1187"/>
      <c r="JW6"/>
    </row>
    <row r="7" spans="1:283">
      <c r="CR7" s="103"/>
      <c r="CS7" s="103"/>
      <c r="CT7" s="103"/>
      <c r="CV7" s="103"/>
      <c r="CW7" s="103"/>
      <c r="CX7" s="103"/>
      <c r="CZ7" s="103"/>
      <c r="DA7" s="103"/>
      <c r="DB7" s="103"/>
      <c r="DD7" s="103"/>
      <c r="DE7" s="103"/>
      <c r="DF7" s="103"/>
      <c r="DH7" s="103"/>
      <c r="DI7" s="103"/>
      <c r="DJ7" s="103"/>
      <c r="DL7" s="103"/>
      <c r="DM7" s="103"/>
      <c r="DN7" s="103"/>
      <c r="DP7" s="103"/>
      <c r="DQ7" s="103"/>
      <c r="DR7" s="103"/>
    </row>
    <row r="8" spans="1:283" outlineLevel="1">
      <c r="A8" s="667" t="s">
        <v>565</v>
      </c>
      <c r="AR8" s="293"/>
      <c r="AS8" s="293"/>
      <c r="AT8" s="293">
        <f>AT51</f>
        <v>0</v>
      </c>
      <c r="AV8" s="293">
        <f>AV51</f>
        <v>0</v>
      </c>
      <c r="AW8" s="293">
        <f>AW51</f>
        <v>0</v>
      </c>
      <c r="AX8" s="293">
        <f>AX51</f>
        <v>0</v>
      </c>
      <c r="AZ8" s="293">
        <f>AZ51</f>
        <v>0</v>
      </c>
      <c r="BA8" s="293">
        <f>BA51</f>
        <v>0</v>
      </c>
      <c r="BB8" s="293">
        <f>BB51</f>
        <v>0</v>
      </c>
      <c r="BD8" s="293">
        <f>BD51</f>
        <v>0</v>
      </c>
      <c r="BE8" s="293">
        <f>BE51</f>
        <v>0</v>
      </c>
      <c r="BF8" s="293">
        <f>BF51</f>
        <v>0</v>
      </c>
      <c r="BH8" s="293">
        <f>BH51</f>
        <v>0</v>
      </c>
      <c r="BI8" s="293">
        <f>BI51</f>
        <v>0</v>
      </c>
      <c r="BJ8" s="293">
        <f>BJ51</f>
        <v>0</v>
      </c>
      <c r="BL8" s="293">
        <f>BL51</f>
        <v>0</v>
      </c>
      <c r="BM8" s="293">
        <f>BM51</f>
        <v>0</v>
      </c>
      <c r="BN8" s="293">
        <f>BN51</f>
        <v>0</v>
      </c>
      <c r="BP8" s="293">
        <f>BP51</f>
        <v>0</v>
      </c>
      <c r="BQ8" s="293">
        <f>BQ51</f>
        <v>0</v>
      </c>
      <c r="BR8" s="293">
        <f>BR51</f>
        <v>0</v>
      </c>
      <c r="BT8" s="293">
        <f>BT51</f>
        <v>0</v>
      </c>
      <c r="BU8" s="293">
        <f>BU51</f>
        <v>0</v>
      </c>
      <c r="BV8" s="293">
        <f>BV51</f>
        <v>0</v>
      </c>
      <c r="BX8" s="293"/>
      <c r="BY8" s="293"/>
      <c r="BZ8" s="293"/>
      <c r="CB8" s="293"/>
      <c r="CC8" s="293"/>
      <c r="CD8" s="293"/>
      <c r="CF8" s="293"/>
      <c r="CG8" s="293"/>
      <c r="CH8" s="293"/>
      <c r="CJ8" s="293"/>
      <c r="CK8" s="293"/>
      <c r="CL8" s="293"/>
      <c r="CN8" s="293"/>
      <c r="CO8" s="293"/>
      <c r="CP8" s="293"/>
      <c r="CR8" s="293"/>
      <c r="CS8" s="293"/>
      <c r="CT8" s="293"/>
      <c r="CV8" s="293"/>
      <c r="CW8" s="293"/>
      <c r="CX8" s="293"/>
      <c r="CZ8" s="293"/>
      <c r="DA8" s="293"/>
      <c r="DB8" s="293"/>
      <c r="DD8" s="293"/>
      <c r="DE8" s="293"/>
      <c r="DF8" s="293"/>
      <c r="DH8" s="293"/>
      <c r="DI8" s="293"/>
      <c r="DJ8" s="293"/>
      <c r="DL8" s="293"/>
      <c r="DM8" s="293"/>
      <c r="DN8" s="293"/>
      <c r="DP8" s="293"/>
      <c r="DQ8" s="293"/>
      <c r="DR8" s="293"/>
    </row>
    <row r="9" spans="1:283">
      <c r="A9" s="667" t="s">
        <v>576</v>
      </c>
      <c r="AR9" s="293"/>
      <c r="AS9" s="293"/>
      <c r="AT9" s="293">
        <f>AT128</f>
        <v>70.719908291937429</v>
      </c>
      <c r="AV9" s="293">
        <f>AV128</f>
        <v>-123</v>
      </c>
      <c r="AW9" s="293">
        <f>AW128</f>
        <v>67</v>
      </c>
      <c r="AX9" s="293">
        <f>AX128</f>
        <v>-56</v>
      </c>
      <c r="AZ9" s="293">
        <f>AZ128</f>
        <v>44</v>
      </c>
      <c r="BA9" s="293">
        <f>BA128</f>
        <v>162</v>
      </c>
      <c r="BB9" s="293">
        <f>BB128</f>
        <v>206</v>
      </c>
      <c r="BD9" s="293">
        <f>BD128</f>
        <v>8</v>
      </c>
      <c r="BE9" s="293">
        <f>BE128</f>
        <v>77.000300000000038</v>
      </c>
      <c r="BF9" s="293">
        <f>BF128</f>
        <v>85.000300000000038</v>
      </c>
      <c r="BH9" s="293">
        <f>BH128</f>
        <v>10</v>
      </c>
      <c r="BI9" s="293">
        <f>BI128</f>
        <v>140</v>
      </c>
      <c r="BJ9" s="293">
        <f>BJ128</f>
        <v>150</v>
      </c>
      <c r="BK9" s="293"/>
      <c r="BL9" s="293">
        <f>BL128</f>
        <v>101</v>
      </c>
      <c r="BM9" s="293">
        <f>BM128</f>
        <v>179</v>
      </c>
      <c r="BN9" s="293">
        <f>BN128</f>
        <v>280</v>
      </c>
      <c r="BP9" s="293">
        <f>BP128</f>
        <v>150</v>
      </c>
      <c r="BQ9" s="293">
        <f>BQ128</f>
        <v>280</v>
      </c>
      <c r="BR9" s="293">
        <f>BR128</f>
        <v>430</v>
      </c>
      <c r="BT9" s="293">
        <f>BT128</f>
        <v>170</v>
      </c>
      <c r="BU9" s="293">
        <f>BU128</f>
        <v>281</v>
      </c>
      <c r="BV9" s="293">
        <f>BV128</f>
        <v>451</v>
      </c>
      <c r="BX9" s="293">
        <f>BX128</f>
        <v>205</v>
      </c>
      <c r="BY9" s="293">
        <f>BY128</f>
        <v>278</v>
      </c>
      <c r="BZ9" s="293">
        <f>BZ128</f>
        <v>483</v>
      </c>
      <c r="CB9" s="293">
        <f>CB128</f>
        <v>199</v>
      </c>
      <c r="CC9" s="293">
        <f>CC128</f>
        <v>517</v>
      </c>
      <c r="CD9" s="293">
        <f>CD128</f>
        <v>716</v>
      </c>
      <c r="CF9" s="293">
        <f>CF128</f>
        <v>509</v>
      </c>
      <c r="CG9" s="293">
        <f>CG128</f>
        <v>1265</v>
      </c>
      <c r="CH9" s="293">
        <f>CH128</f>
        <v>1774</v>
      </c>
      <c r="CJ9" s="293">
        <f>CJ128</f>
        <v>221</v>
      </c>
      <c r="CK9" s="293">
        <f>CK128</f>
        <v>542</v>
      </c>
      <c r="CL9" s="293">
        <f>CL128</f>
        <v>763</v>
      </c>
      <c r="CN9" s="293">
        <f>CN128</f>
        <v>-189</v>
      </c>
      <c r="CO9" s="293">
        <f>CO128</f>
        <v>840</v>
      </c>
      <c r="CP9" s="293">
        <f>CP128</f>
        <v>651</v>
      </c>
      <c r="CR9" s="293">
        <f>CR128</f>
        <v>676</v>
      </c>
      <c r="CS9" s="293">
        <f>CS128</f>
        <v>845</v>
      </c>
      <c r="CT9" s="293">
        <f>CT128</f>
        <v>1521</v>
      </c>
      <c r="CV9" s="293">
        <f>CV128</f>
        <v>595</v>
      </c>
      <c r="CW9" s="293">
        <f>CW128</f>
        <v>206</v>
      </c>
      <c r="CX9" s="293">
        <f>CX128</f>
        <v>801</v>
      </c>
      <c r="CZ9" s="293">
        <f>CZ128</f>
        <v>430</v>
      </c>
      <c r="DA9" s="293">
        <f>DA128</f>
        <v>621</v>
      </c>
      <c r="DB9" s="293">
        <f>DB128</f>
        <v>1051</v>
      </c>
      <c r="DD9" s="293">
        <f>DD128</f>
        <v>371</v>
      </c>
      <c r="DE9" s="293">
        <f>DE128</f>
        <v>672</v>
      </c>
      <c r="DF9" s="293">
        <f>DF128</f>
        <v>1043</v>
      </c>
      <c r="DH9" s="293">
        <f>DH128</f>
        <v>711</v>
      </c>
      <c r="DI9" s="293">
        <f>DI128</f>
        <v>849.90100000000029</v>
      </c>
      <c r="DJ9" s="293">
        <f>DJ128</f>
        <v>1560.9010000000003</v>
      </c>
      <c r="DL9" s="293">
        <f>DL128</f>
        <v>908.49266000000034</v>
      </c>
      <c r="DM9" s="293">
        <f>DM128</f>
        <v>1130.8744887999999</v>
      </c>
      <c r="DN9" s="293">
        <f>DN128</f>
        <v>2039.3671488000002</v>
      </c>
      <c r="DP9" s="293">
        <f>DP128</f>
        <v>1018.3728323640003</v>
      </c>
      <c r="DQ9" s="293">
        <f>DQ128</f>
        <v>1247.9693182829196</v>
      </c>
      <c r="DR9" s="293">
        <f>DR128</f>
        <v>2266.3421506469199</v>
      </c>
    </row>
    <row r="10" spans="1:283">
      <c r="A10" s="667" t="s">
        <v>1029</v>
      </c>
      <c r="AR10" s="293"/>
      <c r="AS10" s="293"/>
      <c r="AT10" s="293">
        <f>AT245</f>
        <v>783</v>
      </c>
      <c r="AV10" s="293">
        <f>AV245</f>
        <v>687</v>
      </c>
      <c r="AW10" s="293">
        <f>AW245</f>
        <v>720</v>
      </c>
      <c r="AX10" s="293">
        <f>AX245</f>
        <v>1407</v>
      </c>
      <c r="AZ10" s="293">
        <f>AZ245</f>
        <v>265</v>
      </c>
      <c r="BA10" s="293">
        <f>BA245</f>
        <v>494</v>
      </c>
      <c r="BB10" s="293">
        <f>BB245</f>
        <v>759</v>
      </c>
      <c r="BD10" s="293">
        <f>BD245</f>
        <v>-13.5</v>
      </c>
      <c r="BE10" s="293">
        <f>BE245</f>
        <v>357.66669999999999</v>
      </c>
      <c r="BF10" s="293">
        <f>BF245</f>
        <v>344.16669999999999</v>
      </c>
      <c r="BH10" s="293">
        <f>BH245</f>
        <v>155</v>
      </c>
      <c r="BI10" s="293">
        <f>BI245</f>
        <v>358</v>
      </c>
      <c r="BJ10" s="293">
        <f>BJ245</f>
        <v>513</v>
      </c>
      <c r="BL10" s="293">
        <f>BL245</f>
        <v>274</v>
      </c>
      <c r="BM10" s="293">
        <f>BM245</f>
        <v>559</v>
      </c>
      <c r="BN10" s="293">
        <f>BN245</f>
        <v>833</v>
      </c>
      <c r="BP10" s="293">
        <f>BP245</f>
        <v>267</v>
      </c>
      <c r="BQ10" s="293">
        <f>BQ245</f>
        <v>632</v>
      </c>
      <c r="BR10" s="293">
        <f>BR245</f>
        <v>899</v>
      </c>
      <c r="BT10" s="293">
        <f>BT245</f>
        <v>522</v>
      </c>
      <c r="BU10" s="293">
        <f>BU245</f>
        <v>322</v>
      </c>
      <c r="BV10" s="293">
        <f>BV245</f>
        <v>844</v>
      </c>
      <c r="BX10" s="293">
        <f>BX245</f>
        <v>490</v>
      </c>
      <c r="BY10" s="293">
        <f>BY245</f>
        <v>481</v>
      </c>
      <c r="BZ10" s="293">
        <f>BZ245</f>
        <v>971</v>
      </c>
      <c r="CB10" s="293">
        <f>CB245</f>
        <v>378</v>
      </c>
      <c r="CC10" s="293">
        <f>CC245</f>
        <v>532</v>
      </c>
      <c r="CD10" s="293">
        <f>CD245</f>
        <v>910</v>
      </c>
      <c r="CF10" s="293">
        <f>CF245</f>
        <v>864</v>
      </c>
      <c r="CG10" s="293">
        <f>CG245</f>
        <v>879</v>
      </c>
      <c r="CH10" s="293">
        <f>CH245</f>
        <v>1743</v>
      </c>
      <c r="CJ10" s="293">
        <f>CJ245</f>
        <v>1140</v>
      </c>
      <c r="CK10" s="293">
        <f>CK245</f>
        <v>598</v>
      </c>
      <c r="CL10" s="293">
        <f>CL245</f>
        <v>1738</v>
      </c>
      <c r="CN10" s="293">
        <f>CN245</f>
        <v>1082</v>
      </c>
      <c r="CO10" s="293">
        <f>CO245</f>
        <v>1519</v>
      </c>
      <c r="CP10" s="293">
        <f>CP245</f>
        <v>2601</v>
      </c>
      <c r="CR10" s="293">
        <f>CR245</f>
        <v>1729</v>
      </c>
      <c r="CS10" s="293">
        <f>CS245</f>
        <v>2182</v>
      </c>
      <c r="CT10" s="293">
        <f>CT245</f>
        <v>3911</v>
      </c>
      <c r="CV10" s="293">
        <f>CV245</f>
        <v>1996</v>
      </c>
      <c r="CW10" s="293">
        <f>CW245</f>
        <v>4011</v>
      </c>
      <c r="CX10" s="293">
        <f>CX245</f>
        <v>6007</v>
      </c>
      <c r="CZ10" s="293">
        <f>CZ245</f>
        <v>1383</v>
      </c>
      <c r="DA10" s="293">
        <f>DA245</f>
        <v>1830</v>
      </c>
      <c r="DB10" s="293">
        <f>DB245</f>
        <v>3213</v>
      </c>
      <c r="DD10" s="293">
        <f>DD245</f>
        <v>1316</v>
      </c>
      <c r="DE10" s="293">
        <f>DE245</f>
        <v>1513</v>
      </c>
      <c r="DF10" s="293">
        <f>DF245</f>
        <v>2829</v>
      </c>
      <c r="DH10" s="293">
        <f>DH245</f>
        <v>1113</v>
      </c>
      <c r="DI10" s="293">
        <f>DI245</f>
        <v>1895.3300000000004</v>
      </c>
      <c r="DJ10" s="293">
        <f>DJ245</f>
        <v>3008.3300000000004</v>
      </c>
      <c r="DL10" s="293">
        <f>DL245</f>
        <v>1269.3977</v>
      </c>
      <c r="DM10" s="293">
        <f>DM245</f>
        <v>1934.0567870000007</v>
      </c>
      <c r="DN10" s="293">
        <f>DN245</f>
        <v>3203.4544870000009</v>
      </c>
      <c r="DP10" s="293">
        <f>DP245</f>
        <v>1287.3072414099997</v>
      </c>
      <c r="DQ10" s="293">
        <f>DQ245</f>
        <v>1974.7411211125</v>
      </c>
      <c r="DR10" s="293">
        <f>DR245</f>
        <v>3262.0483625224997</v>
      </c>
    </row>
    <row r="11" spans="1:283" s="1379" customFormat="1">
      <c r="A11" s="2095" t="s">
        <v>925</v>
      </c>
      <c r="AN11" s="1378"/>
      <c r="AO11" s="1378"/>
      <c r="AP11" s="1378"/>
      <c r="AQ11" s="1378"/>
      <c r="AR11" s="1070"/>
      <c r="AS11" s="1070"/>
      <c r="AT11" s="1070"/>
      <c r="AU11" s="1378"/>
      <c r="AV11" s="1070">
        <f>SUM(AV8:AV10)</f>
        <v>564</v>
      </c>
      <c r="AW11" s="1070">
        <f>SUM(AW8:AW10)</f>
        <v>787</v>
      </c>
      <c r="AX11" s="1070">
        <f>SUM(AX8:AX10)</f>
        <v>1351</v>
      </c>
      <c r="AY11" s="1378"/>
      <c r="AZ11" s="1070">
        <f>SUM(AZ8:AZ10)</f>
        <v>309</v>
      </c>
      <c r="BA11" s="1070">
        <f>SUM(BA8:BA10)</f>
        <v>656</v>
      </c>
      <c r="BB11" s="1070">
        <f>SUM(BB8:BB10)</f>
        <v>965</v>
      </c>
      <c r="BC11" s="1378"/>
      <c r="BD11" s="1070">
        <f>SUM(BD8:BD10)</f>
        <v>-5.5</v>
      </c>
      <c r="BE11" s="1070">
        <f>SUM(BE8:BE10)</f>
        <v>434.66700000000003</v>
      </c>
      <c r="BF11" s="1070">
        <f>SUM(BF8:BF10)</f>
        <v>429.16700000000003</v>
      </c>
      <c r="BG11" s="1378"/>
      <c r="BH11" s="1070">
        <f>SUM(BH8:BH10)</f>
        <v>165</v>
      </c>
      <c r="BI11" s="1070">
        <f>SUM(BI8:BI10)</f>
        <v>498</v>
      </c>
      <c r="BJ11" s="1070">
        <f>SUM(BJ8:BJ10)</f>
        <v>663</v>
      </c>
      <c r="BK11" s="1378"/>
      <c r="BL11" s="1070">
        <f>SUM(BL8:BL10)</f>
        <v>375</v>
      </c>
      <c r="BM11" s="1070">
        <f>SUM(BM8:BM10)</f>
        <v>738</v>
      </c>
      <c r="BN11" s="1070">
        <f>SUM(BN8:BN10)</f>
        <v>1113</v>
      </c>
      <c r="BO11" s="1378"/>
      <c r="BP11" s="1070">
        <f>SUM(BP8:BP10)</f>
        <v>417</v>
      </c>
      <c r="BQ11" s="1070">
        <f>SUM(BQ8:BQ10)</f>
        <v>912</v>
      </c>
      <c r="BR11" s="1070">
        <f>SUM(BR8:BR10)</f>
        <v>1329</v>
      </c>
      <c r="BS11" s="1378"/>
      <c r="BT11" s="1070">
        <f>SUM(BT8:BT10)</f>
        <v>692</v>
      </c>
      <c r="BU11" s="1070">
        <f>SUM(BU8:BU10)</f>
        <v>603</v>
      </c>
      <c r="BV11" s="1070">
        <f>SUM(BV8:BV10)</f>
        <v>1295</v>
      </c>
      <c r="BW11" s="1378"/>
      <c r="BX11" s="1070">
        <f>SUM(BX8:BX10)</f>
        <v>695</v>
      </c>
      <c r="BY11" s="1070">
        <f>SUM(BY8:BY10)</f>
        <v>759</v>
      </c>
      <c r="BZ11" s="1070">
        <f>SUM(BZ8:BZ10)</f>
        <v>1454</v>
      </c>
      <c r="CA11" s="1378"/>
      <c r="CB11" s="1070">
        <f>SUM(CB8:CB10)</f>
        <v>577</v>
      </c>
      <c r="CC11" s="1070">
        <f>SUM(CC8:CC10)</f>
        <v>1049</v>
      </c>
      <c r="CD11" s="1070">
        <f>SUM(CD8:CD10)</f>
        <v>1626</v>
      </c>
      <c r="CE11" s="1378"/>
      <c r="CF11" s="1070">
        <f>SUM(CF8:CF10)</f>
        <v>1373</v>
      </c>
      <c r="CG11" s="1070">
        <f>SUM(CG8:CG10)</f>
        <v>2144</v>
      </c>
      <c r="CH11" s="1070">
        <f>SUM(CH8:CH10)</f>
        <v>3517</v>
      </c>
      <c r="CI11" s="1378"/>
      <c r="CJ11" s="1070">
        <f>SUM(CJ8:CJ10)</f>
        <v>1361</v>
      </c>
      <c r="CK11" s="1070">
        <f>SUM(CK8:CK10)</f>
        <v>1140</v>
      </c>
      <c r="CL11" s="1070">
        <f>SUM(CL8:CL10)</f>
        <v>2501</v>
      </c>
      <c r="CM11" s="1378"/>
      <c r="CN11" s="1070">
        <f>SUM(CN8:CN10)</f>
        <v>893</v>
      </c>
      <c r="CO11" s="1070">
        <f>SUM(CO8:CO10)</f>
        <v>2359</v>
      </c>
      <c r="CP11" s="1070">
        <f>SUM(CP8:CP10)</f>
        <v>3252</v>
      </c>
      <c r="CQ11" s="1378"/>
      <c r="CR11" s="1070">
        <f>SUM(CR8:CR10)</f>
        <v>2405</v>
      </c>
      <c r="CS11" s="1070">
        <f>SUM(CS8:CS10)</f>
        <v>3027</v>
      </c>
      <c r="CT11" s="1070">
        <f>SUM(CT8:CT10)</f>
        <v>5432</v>
      </c>
      <c r="CU11" s="1378"/>
      <c r="CV11" s="1070">
        <f>SUM(CV8:CV10)</f>
        <v>2591</v>
      </c>
      <c r="CW11" s="1070">
        <f>SUM(CW8:CW10)</f>
        <v>4217</v>
      </c>
      <c r="CX11" s="1070">
        <f>SUM(CX8:CX10)</f>
        <v>6808</v>
      </c>
      <c r="CY11" s="1378"/>
      <c r="CZ11" s="1070">
        <f>SUM(CZ8:CZ10)</f>
        <v>1813</v>
      </c>
      <c r="DA11" s="1070">
        <f>SUM(DA8:DA10)</f>
        <v>2451</v>
      </c>
      <c r="DB11" s="1070">
        <f>SUM(DB8:DB10)</f>
        <v>4264</v>
      </c>
      <c r="DC11" s="1378"/>
      <c r="DD11" s="1070">
        <f>SUM(DD8:DD10)</f>
        <v>1687</v>
      </c>
      <c r="DE11" s="1070">
        <f>SUM(DE8:DE10)</f>
        <v>2185</v>
      </c>
      <c r="DF11" s="1070">
        <f>SUM(DF8:DF10)</f>
        <v>3872</v>
      </c>
      <c r="DG11" s="1378"/>
      <c r="DH11" s="1070">
        <f>SUM(DH8:DH10)</f>
        <v>1824</v>
      </c>
      <c r="DI11" s="1070">
        <f>SUM(DI8:DI10)</f>
        <v>2745.2310000000007</v>
      </c>
      <c r="DJ11" s="1070">
        <f>SUM(DJ8:DJ10)</f>
        <v>4569.2310000000007</v>
      </c>
      <c r="DK11" s="1378"/>
      <c r="DL11" s="1070">
        <f>SUM(DL8:DL10)</f>
        <v>2177.8903600000003</v>
      </c>
      <c r="DM11" s="1070">
        <f>SUM(DM8:DM10)</f>
        <v>3064.9312758000005</v>
      </c>
      <c r="DN11" s="1070">
        <f>SUM(DN8:DN10)</f>
        <v>5242.8216358000009</v>
      </c>
      <c r="DO11" s="1378"/>
      <c r="DP11" s="1070">
        <f>SUM(DP8:DP10)</f>
        <v>2305.680073774</v>
      </c>
      <c r="DQ11" s="1070">
        <f>SUM(DQ8:DQ10)</f>
        <v>3222.7104393954196</v>
      </c>
      <c r="DR11" s="1070">
        <f>SUM(DR8:DR10)</f>
        <v>5528.3905131694191</v>
      </c>
      <c r="DS11" s="1378"/>
      <c r="DT11" s="1378"/>
      <c r="DU11" s="1378"/>
      <c r="DV11" s="1378"/>
      <c r="DW11" s="1378"/>
      <c r="DX11" s="1378"/>
      <c r="DY11" s="1378"/>
      <c r="DZ11" s="1378"/>
      <c r="EA11" s="1378"/>
      <c r="EB11" s="1378"/>
      <c r="EC11" s="1378"/>
      <c r="ED11" s="1378"/>
      <c r="EE11" s="1378"/>
      <c r="EF11" s="1378"/>
      <c r="EG11" s="1378"/>
      <c r="EH11" s="1378"/>
      <c r="EI11" s="1378"/>
      <c r="EJ11" s="1378"/>
      <c r="EK11" s="1378"/>
      <c r="EL11" s="1378"/>
      <c r="EM11" s="1378"/>
      <c r="EN11" s="1378"/>
      <c r="EO11" s="1378"/>
      <c r="EP11" s="1378"/>
      <c r="EQ11" s="1378"/>
      <c r="ER11" s="1378"/>
      <c r="ES11" s="1378"/>
      <c r="ET11" s="1378"/>
      <c r="EU11" s="1378"/>
      <c r="JW11"/>
    </row>
    <row r="12" spans="1:283">
      <c r="A12" s="667" t="s">
        <v>596</v>
      </c>
      <c r="AR12" s="293"/>
      <c r="AS12" s="293"/>
      <c r="AT12" s="293"/>
      <c r="AV12" s="293">
        <f>AV356</f>
        <v>492</v>
      </c>
      <c r="AW12" s="293">
        <f>AW356</f>
        <v>316</v>
      </c>
      <c r="AX12" s="293">
        <f>AX356</f>
        <v>808</v>
      </c>
      <c r="AZ12" s="293">
        <f>AZ356</f>
        <v>228</v>
      </c>
      <c r="BA12" s="293">
        <f>BA356</f>
        <v>257</v>
      </c>
      <c r="BB12" s="293">
        <f>BB356</f>
        <v>485</v>
      </c>
      <c r="BD12" s="293">
        <f>BD356</f>
        <v>401.33300000000008</v>
      </c>
      <c r="BE12" s="293">
        <f>BE356</f>
        <v>244</v>
      </c>
      <c r="BF12" s="293">
        <f>BF356</f>
        <v>645.33300000000008</v>
      </c>
      <c r="BH12" s="293">
        <f>BH356</f>
        <v>356</v>
      </c>
      <c r="BI12" s="293">
        <f>BI356</f>
        <v>399</v>
      </c>
      <c r="BJ12" s="293">
        <f>BJ356</f>
        <v>755</v>
      </c>
      <c r="BL12" s="293">
        <f>BL356</f>
        <v>500</v>
      </c>
      <c r="BM12" s="293">
        <f>BM356</f>
        <v>551</v>
      </c>
      <c r="BN12" s="293">
        <f>BN356</f>
        <v>1051</v>
      </c>
      <c r="BP12" s="293">
        <f>BP356</f>
        <v>785</v>
      </c>
      <c r="BQ12" s="293">
        <f>BQ356</f>
        <v>665</v>
      </c>
      <c r="BR12" s="293">
        <f>BR356</f>
        <v>1450</v>
      </c>
      <c r="BT12" s="293">
        <f>BT356</f>
        <v>1139</v>
      </c>
      <c r="BU12" s="293">
        <f>BU356</f>
        <v>505</v>
      </c>
      <c r="BV12" s="293">
        <f>BV356</f>
        <v>1644</v>
      </c>
      <c r="BX12" s="293">
        <f>BX356</f>
        <v>857</v>
      </c>
      <c r="BY12" s="293">
        <f>BY356</f>
        <v>681</v>
      </c>
      <c r="BZ12" s="293">
        <f>BZ356</f>
        <v>1538</v>
      </c>
      <c r="CB12" s="293">
        <f>CB356</f>
        <v>1143</v>
      </c>
      <c r="CC12" s="293">
        <f>CC356</f>
        <v>415</v>
      </c>
      <c r="CD12" s="293">
        <f>CD356</f>
        <v>1558</v>
      </c>
      <c r="CF12" s="293">
        <f>CF356</f>
        <v>850</v>
      </c>
      <c r="CG12" s="293">
        <f>CG356</f>
        <v>1022</v>
      </c>
      <c r="CH12" s="293">
        <f>CH356</f>
        <v>1872</v>
      </c>
      <c r="CJ12" s="293">
        <f>CJ356</f>
        <v>1122</v>
      </c>
      <c r="CK12" s="293">
        <f>CK356</f>
        <v>1055</v>
      </c>
      <c r="CL12" s="293">
        <f>CL356</f>
        <v>2177</v>
      </c>
      <c r="CN12" s="293">
        <f>CN356</f>
        <v>1062</v>
      </c>
      <c r="CO12" s="293">
        <f>CO356</f>
        <v>1012</v>
      </c>
      <c r="CP12" s="293">
        <f>CP356</f>
        <v>2074</v>
      </c>
      <c r="CR12" s="293">
        <f>CR356</f>
        <v>1097</v>
      </c>
      <c r="CS12" s="293">
        <f>CS356</f>
        <v>1932</v>
      </c>
      <c r="CT12" s="293">
        <f>CT356</f>
        <v>3029</v>
      </c>
      <c r="CV12" s="293">
        <f>CV356</f>
        <v>1402</v>
      </c>
      <c r="CW12" s="293">
        <f>CW356</f>
        <v>940</v>
      </c>
      <c r="CX12" s="293">
        <f>CX356</f>
        <v>2342</v>
      </c>
      <c r="CZ12" s="293">
        <f>CZ356</f>
        <v>407</v>
      </c>
      <c r="DA12" s="293">
        <f>DA356</f>
        <v>801</v>
      </c>
      <c r="DB12" s="293">
        <f>DB356</f>
        <v>1208</v>
      </c>
      <c r="DD12" s="293">
        <f>DD356</f>
        <v>823</v>
      </c>
      <c r="DE12" s="293">
        <f>DE356</f>
        <v>1226</v>
      </c>
      <c r="DF12" s="293">
        <f>DF356</f>
        <v>2049</v>
      </c>
      <c r="DH12" s="293">
        <f>DH356</f>
        <v>1175</v>
      </c>
      <c r="DI12" s="293">
        <f>DI356</f>
        <v>1417.3281063207796</v>
      </c>
      <c r="DJ12" s="293">
        <f>DJ356</f>
        <v>2592.3281063207796</v>
      </c>
      <c r="DL12" s="293">
        <f>DL356</f>
        <v>980.40994296271924</v>
      </c>
      <c r="DM12" s="293">
        <f>DM356</f>
        <v>883.20552826610674</v>
      </c>
      <c r="DN12" s="293">
        <f>DN356</f>
        <v>1863.615471228826</v>
      </c>
      <c r="DP12" s="293">
        <f>DP356</f>
        <v>1004.6748997192467</v>
      </c>
      <c r="DQ12" s="293">
        <f>DQ356</f>
        <v>917.33748827050658</v>
      </c>
      <c r="DR12" s="293">
        <f>DR356</f>
        <v>1922.0123879897533</v>
      </c>
    </row>
    <row r="13" spans="1:283">
      <c r="A13" s="667" t="s">
        <v>211</v>
      </c>
      <c r="AR13" s="293"/>
      <c r="AS13" s="293"/>
      <c r="AT13" s="293"/>
      <c r="AV13" s="293">
        <f>AV483</f>
        <v>129</v>
      </c>
      <c r="AW13" s="293">
        <f>AW483</f>
        <v>126</v>
      </c>
      <c r="AX13" s="293">
        <f>AX483</f>
        <v>255</v>
      </c>
      <c r="AZ13" s="293">
        <f>AZ483</f>
        <v>246</v>
      </c>
      <c r="BA13" s="293">
        <f>BA483</f>
        <v>328</v>
      </c>
      <c r="BB13" s="293">
        <f>BB483</f>
        <v>574</v>
      </c>
      <c r="BD13" s="293">
        <f>BD483</f>
        <v>357.50333000000001</v>
      </c>
      <c r="BE13" s="293">
        <f>BE483</f>
        <v>340</v>
      </c>
      <c r="BF13" s="293">
        <f>BF483</f>
        <v>697.50333000000001</v>
      </c>
      <c r="BH13" s="293">
        <f>BH483</f>
        <v>335</v>
      </c>
      <c r="BI13" s="293">
        <f>BI483</f>
        <v>359</v>
      </c>
      <c r="BJ13" s="293">
        <f>BJ483</f>
        <v>694</v>
      </c>
      <c r="BL13" s="293">
        <f>BL483</f>
        <v>396</v>
      </c>
      <c r="BM13" s="293">
        <f>BM483</f>
        <v>430</v>
      </c>
      <c r="BN13" s="293">
        <f>BN483</f>
        <v>826</v>
      </c>
      <c r="BP13" s="293">
        <f>BP483</f>
        <v>468</v>
      </c>
      <c r="BQ13" s="293">
        <f>BQ483</f>
        <v>644</v>
      </c>
      <c r="BR13" s="293">
        <f>BR483</f>
        <v>1112</v>
      </c>
      <c r="BT13" s="293">
        <f>BT483</f>
        <v>611</v>
      </c>
      <c r="BU13" s="293">
        <f>BU483</f>
        <v>519</v>
      </c>
      <c r="BV13" s="293">
        <f>BV483</f>
        <v>1130</v>
      </c>
      <c r="BX13" s="293">
        <f>BX483</f>
        <v>521</v>
      </c>
      <c r="BY13" s="293">
        <f>BY483</f>
        <v>677</v>
      </c>
      <c r="BZ13" s="293">
        <f>BZ483</f>
        <v>1198</v>
      </c>
      <c r="CB13" s="293">
        <f>CB483</f>
        <v>565</v>
      </c>
      <c r="CC13" s="293">
        <f>CC483</f>
        <v>575</v>
      </c>
      <c r="CD13" s="293">
        <f>CD483</f>
        <v>1140</v>
      </c>
      <c r="CF13" s="293">
        <f>CF483</f>
        <v>0</v>
      </c>
      <c r="CG13" s="293">
        <f>CG483</f>
        <v>0</v>
      </c>
      <c r="CH13" s="293">
        <f>CH483</f>
        <v>0</v>
      </c>
      <c r="CJ13" s="293">
        <f>CJ483</f>
        <v>0</v>
      </c>
      <c r="CK13" s="293">
        <f>CK483</f>
        <v>0</v>
      </c>
      <c r="CL13" s="293">
        <f>CL483</f>
        <v>0</v>
      </c>
      <c r="CN13" s="293">
        <f>CN483</f>
        <v>0</v>
      </c>
      <c r="CO13" s="293">
        <f>CO483</f>
        <v>0</v>
      </c>
      <c r="CP13" s="293">
        <f>CP483</f>
        <v>0</v>
      </c>
      <c r="CR13" s="293">
        <f>CR483</f>
        <v>0</v>
      </c>
      <c r="CS13" s="293">
        <f>CS483</f>
        <v>0</v>
      </c>
      <c r="CT13" s="293">
        <f>CT483</f>
        <v>0</v>
      </c>
      <c r="CV13" s="293">
        <f>CV483</f>
        <v>0</v>
      </c>
      <c r="CW13" s="293">
        <f>CW483</f>
        <v>0</v>
      </c>
      <c r="CX13" s="293">
        <f>CX483</f>
        <v>0</v>
      </c>
      <c r="CZ13" s="293">
        <f>CZ483</f>
        <v>0</v>
      </c>
      <c r="DA13" s="293">
        <f>DA483</f>
        <v>0</v>
      </c>
      <c r="DB13" s="293">
        <f>DB483</f>
        <v>0</v>
      </c>
      <c r="DD13" s="293">
        <f>DD483</f>
        <v>0</v>
      </c>
      <c r="DE13" s="293">
        <f>DE483</f>
        <v>0</v>
      </c>
      <c r="DF13" s="293">
        <f>DF483</f>
        <v>0</v>
      </c>
      <c r="DH13" s="293">
        <f>DH483</f>
        <v>0</v>
      </c>
      <c r="DI13" s="293">
        <f>DI483</f>
        <v>0</v>
      </c>
      <c r="DJ13" s="293">
        <f>DJ483</f>
        <v>0</v>
      </c>
      <c r="DL13" s="293">
        <f>DL483</f>
        <v>0</v>
      </c>
      <c r="DM13" s="293">
        <f>DM483</f>
        <v>0</v>
      </c>
      <c r="DN13" s="293">
        <f>DN483</f>
        <v>0</v>
      </c>
      <c r="DP13" s="293">
        <f>DP483</f>
        <v>0</v>
      </c>
      <c r="DQ13" s="293">
        <f>DQ483</f>
        <v>0</v>
      </c>
      <c r="DR13" s="293">
        <f>DR483</f>
        <v>0</v>
      </c>
    </row>
    <row r="14" spans="1:283">
      <c r="A14" s="667" t="s">
        <v>212</v>
      </c>
      <c r="AR14" s="293"/>
      <c r="AS14" s="293"/>
      <c r="AT14" s="293"/>
      <c r="AV14" s="293">
        <f>AV558</f>
        <v>137</v>
      </c>
      <c r="AW14" s="293">
        <f>AW558</f>
        <v>124</v>
      </c>
      <c r="AX14" s="293">
        <f>AX558</f>
        <v>261</v>
      </c>
      <c r="AZ14" s="293">
        <f>AZ558</f>
        <v>133.66700000000003</v>
      </c>
      <c r="BA14" s="293">
        <f>BA558</f>
        <v>140.66669999999999</v>
      </c>
      <c r="BB14" s="293">
        <f>BB558</f>
        <v>274.33370000000002</v>
      </c>
      <c r="BD14" s="293">
        <f>BD558</f>
        <v>145.33329999999989</v>
      </c>
      <c r="BE14" s="293">
        <f>BE558</f>
        <v>129.83349999999996</v>
      </c>
      <c r="BF14" s="293">
        <f>BF558</f>
        <v>275.16679999999985</v>
      </c>
      <c r="BH14" s="293">
        <f>BH558</f>
        <v>124</v>
      </c>
      <c r="BI14" s="293">
        <f>BI558</f>
        <v>119</v>
      </c>
      <c r="BJ14" s="293">
        <f>BJ558</f>
        <v>243</v>
      </c>
      <c r="BL14" s="293">
        <f>BL558</f>
        <v>111</v>
      </c>
      <c r="BM14" s="293">
        <f>BM558</f>
        <v>149</v>
      </c>
      <c r="BN14" s="293">
        <f>BN558</f>
        <v>260</v>
      </c>
      <c r="BP14" s="293">
        <f>BP558</f>
        <v>141</v>
      </c>
      <c r="BQ14" s="293">
        <f>BQ558</f>
        <v>144</v>
      </c>
      <c r="BR14" s="293">
        <f>BR558</f>
        <v>285</v>
      </c>
      <c r="BT14" s="293">
        <f>BT558</f>
        <v>170</v>
      </c>
      <c r="BU14" s="293">
        <f>BU558</f>
        <v>180</v>
      </c>
      <c r="BV14" s="293">
        <f>BV558</f>
        <v>350</v>
      </c>
      <c r="BX14" s="293">
        <f>BX558</f>
        <v>261</v>
      </c>
      <c r="BY14" s="293">
        <f>BY558</f>
        <v>252</v>
      </c>
      <c r="BZ14" s="293">
        <f>BZ558</f>
        <v>513</v>
      </c>
      <c r="CB14" s="293">
        <f>CB558</f>
        <v>377</v>
      </c>
      <c r="CC14" s="293">
        <f>CC558</f>
        <v>360</v>
      </c>
      <c r="CD14" s="293">
        <f>CD558</f>
        <v>737</v>
      </c>
      <c r="CF14" s="293">
        <f>CF558</f>
        <v>378</v>
      </c>
      <c r="CG14" s="293">
        <f>CG558</f>
        <v>378</v>
      </c>
      <c r="CH14" s="293">
        <f>CH558</f>
        <v>756</v>
      </c>
      <c r="CJ14" s="293">
        <f>CJ558</f>
        <v>385</v>
      </c>
      <c r="CK14" s="293">
        <f>CK558</f>
        <v>385</v>
      </c>
      <c r="CL14" s="293">
        <f>CL558</f>
        <v>770</v>
      </c>
      <c r="CN14" s="293">
        <f>CN558</f>
        <v>317</v>
      </c>
      <c r="CO14" s="293">
        <f>CO558</f>
        <v>454</v>
      </c>
      <c r="CP14" s="293">
        <f>CP558</f>
        <v>771</v>
      </c>
      <c r="CR14" s="293">
        <f>CR558</f>
        <v>482</v>
      </c>
      <c r="CS14" s="293">
        <f>CS558</f>
        <v>519</v>
      </c>
      <c r="CT14" s="293">
        <f>CT558</f>
        <v>1001</v>
      </c>
      <c r="CV14" s="293">
        <f>CV558</f>
        <v>580</v>
      </c>
      <c r="CW14" s="293">
        <f>CW558</f>
        <v>620</v>
      </c>
      <c r="CX14" s="293">
        <f>CX558</f>
        <v>1200</v>
      </c>
      <c r="CZ14" s="293">
        <f>CZ558</f>
        <v>638</v>
      </c>
      <c r="DA14" s="293">
        <f>DA558</f>
        <v>603</v>
      </c>
      <c r="DB14" s="293">
        <f>DB558</f>
        <v>1241</v>
      </c>
      <c r="DD14" s="293">
        <f>DD558</f>
        <v>650</v>
      </c>
      <c r="DE14" s="293">
        <f>DE558</f>
        <v>730</v>
      </c>
      <c r="DF14" s="293">
        <f>DF558</f>
        <v>1380</v>
      </c>
      <c r="DH14" s="293">
        <f>DH558</f>
        <v>793</v>
      </c>
      <c r="DI14" s="293">
        <f>DI558</f>
        <v>823.34803289003162</v>
      </c>
      <c r="DJ14" s="293">
        <f>DJ558</f>
        <v>1616.3480328900316</v>
      </c>
      <c r="DL14" s="293">
        <f>DL558</f>
        <v>929.16559824224782</v>
      </c>
      <c r="DM14" s="293">
        <f>DM558</f>
        <v>1013.504240897023</v>
      </c>
      <c r="DN14" s="293">
        <f>DN558</f>
        <v>1942.6698391392708</v>
      </c>
      <c r="DP14" s="293">
        <f>DP558</f>
        <v>1054.9834047162788</v>
      </c>
      <c r="DQ14" s="293">
        <f>DQ558</f>
        <v>1132.3322155912151</v>
      </c>
      <c r="DR14" s="293">
        <f>DR558</f>
        <v>2187.3156203074941</v>
      </c>
    </row>
    <row r="15" spans="1:283">
      <c r="A15" s="667" t="s">
        <v>578</v>
      </c>
      <c r="AR15" s="293"/>
      <c r="AS15" s="293"/>
      <c r="AT15" s="293"/>
      <c r="AV15" s="293">
        <f>AV680</f>
        <v>-58</v>
      </c>
      <c r="AW15" s="293">
        <f>AW680</f>
        <v>-85</v>
      </c>
      <c r="AX15" s="293">
        <f>AX680</f>
        <v>-143</v>
      </c>
      <c r="AZ15" s="293">
        <f>AZ680</f>
        <v>-27</v>
      </c>
      <c r="BA15" s="293">
        <f>BA680</f>
        <v>-13</v>
      </c>
      <c r="BB15" s="293">
        <f>BB680</f>
        <v>-40</v>
      </c>
      <c r="CR15" s="103"/>
      <c r="CS15" s="103"/>
      <c r="CT15" s="103"/>
      <c r="CV15" s="103"/>
      <c r="CW15" s="103"/>
      <c r="CX15" s="103"/>
      <c r="CZ15" s="103"/>
      <c r="DA15" s="103"/>
      <c r="DB15" s="103"/>
      <c r="DD15" s="103"/>
      <c r="DE15" s="103"/>
      <c r="DF15" s="103"/>
      <c r="DH15" s="103"/>
      <c r="DI15" s="103"/>
      <c r="DJ15" s="103"/>
      <c r="DL15" s="103"/>
      <c r="DM15" s="103"/>
      <c r="DN15" s="103"/>
      <c r="DP15" s="103"/>
      <c r="DQ15" s="103"/>
      <c r="DR15" s="103"/>
    </row>
    <row r="16" spans="1:283" s="1379" customFormat="1">
      <c r="A16" s="2095" t="s">
        <v>919</v>
      </c>
      <c r="AN16" s="1378"/>
      <c r="AO16" s="1378"/>
      <c r="AP16" s="1378"/>
      <c r="AQ16" s="1378"/>
      <c r="AR16" s="1070"/>
      <c r="AS16" s="1070"/>
      <c r="AT16" s="1070"/>
      <c r="AU16" s="1378"/>
      <c r="AV16" s="1070">
        <f>SUM(AV12:AV15)</f>
        <v>700</v>
      </c>
      <c r="AW16" s="1070">
        <f>SUM(AW12:AW15)</f>
        <v>481</v>
      </c>
      <c r="AX16" s="1070">
        <f>SUM(AX12:AX15)</f>
        <v>1181</v>
      </c>
      <c r="AY16" s="1378"/>
      <c r="AZ16" s="1070">
        <f>SUM(AZ12:AZ15)</f>
        <v>580.66700000000003</v>
      </c>
      <c r="BA16" s="1070">
        <f>SUM(BA12:BA15)</f>
        <v>712.66669999999999</v>
      </c>
      <c r="BB16" s="1070">
        <f>SUM(BB12:BB15)</f>
        <v>1293.3337000000001</v>
      </c>
      <c r="BC16" s="1378"/>
      <c r="BD16" s="1070">
        <f>SUM(BD12:BD15)</f>
        <v>904.16962999999998</v>
      </c>
      <c r="BE16" s="1070">
        <f>SUM(BE12:BE15)</f>
        <v>713.83349999999996</v>
      </c>
      <c r="BF16" s="1070">
        <f>SUM(BF12:BF15)</f>
        <v>1618.0031300000001</v>
      </c>
      <c r="BG16" s="1378"/>
      <c r="BH16" s="1070">
        <f>SUM(BH12:BH15)</f>
        <v>815</v>
      </c>
      <c r="BI16" s="1070">
        <f>SUM(BI12:BI15)</f>
        <v>877</v>
      </c>
      <c r="BJ16" s="1070">
        <f>SUM(BJ12:BJ15)</f>
        <v>1692</v>
      </c>
      <c r="BK16" s="1378"/>
      <c r="BL16" s="1070">
        <f>SUM(BL12:BL15)</f>
        <v>1007</v>
      </c>
      <c r="BM16" s="1070">
        <f>SUM(BM12:BM15)</f>
        <v>1130</v>
      </c>
      <c r="BN16" s="1070">
        <f>SUM(BN12:BN15)</f>
        <v>2137</v>
      </c>
      <c r="BO16" s="1378"/>
      <c r="BP16" s="1070">
        <f>SUM(BP12:BP15)</f>
        <v>1394</v>
      </c>
      <c r="BQ16" s="1070">
        <f>SUM(BQ12:BQ15)</f>
        <v>1453</v>
      </c>
      <c r="BR16" s="1070">
        <f>SUM(BR12:BR15)</f>
        <v>2847</v>
      </c>
      <c r="BS16" s="1378"/>
      <c r="BT16" s="1070">
        <f>SUM(BT12:BT15)</f>
        <v>1920</v>
      </c>
      <c r="BU16" s="1070">
        <f>SUM(BU12:BU15)</f>
        <v>1204</v>
      </c>
      <c r="BV16" s="1070">
        <f>SUM(BV12:BV15)</f>
        <v>3124</v>
      </c>
      <c r="BW16" s="1378"/>
      <c r="BX16" s="1070">
        <f>SUM(BX12:BX15)</f>
        <v>1639</v>
      </c>
      <c r="BY16" s="1070">
        <f>SUM(BY12:BY15)</f>
        <v>1610</v>
      </c>
      <c r="BZ16" s="1070">
        <f>SUM(BZ12:BZ15)</f>
        <v>3249</v>
      </c>
      <c r="CA16" s="1378"/>
      <c r="CB16" s="1070">
        <f>SUM(CB12:CB15)</f>
        <v>2085</v>
      </c>
      <c r="CC16" s="1070">
        <f>SUM(CC12:CC15)</f>
        <v>1350</v>
      </c>
      <c r="CD16" s="1070">
        <f>SUM(CD12:CD15)</f>
        <v>3435</v>
      </c>
      <c r="CE16" s="1378"/>
      <c r="CF16" s="1070">
        <f>SUM(CF12:CF15)</f>
        <v>1228</v>
      </c>
      <c r="CG16" s="1070">
        <f>SUM(CG12:CG15)</f>
        <v>1400</v>
      </c>
      <c r="CH16" s="1070">
        <f>SUM(CH12:CH15)</f>
        <v>2628</v>
      </c>
      <c r="CI16" s="1378"/>
      <c r="CJ16" s="1070">
        <f>SUM(CJ12:CJ15)</f>
        <v>1507</v>
      </c>
      <c r="CK16" s="1070">
        <f>SUM(CK12:CK15)</f>
        <v>1440</v>
      </c>
      <c r="CL16" s="1070">
        <f>SUM(CL12:CL15)</f>
        <v>2947</v>
      </c>
      <c r="CM16" s="1378"/>
      <c r="CN16" s="1070">
        <f>SUM(CN12:CN15)</f>
        <v>1379</v>
      </c>
      <c r="CO16" s="1070">
        <f>SUM(CO12:CO15)</f>
        <v>1466</v>
      </c>
      <c r="CP16" s="1070">
        <f>SUM(CP12:CP15)</f>
        <v>2845</v>
      </c>
      <c r="CQ16" s="1378"/>
      <c r="CR16" s="1070">
        <f>SUM(CR12:CR15)</f>
        <v>1579</v>
      </c>
      <c r="CS16" s="1070">
        <f>SUM(CS12:CS15)</f>
        <v>2451</v>
      </c>
      <c r="CT16" s="1070">
        <f>SUM(CT12:CT15)</f>
        <v>4030</v>
      </c>
      <c r="CU16" s="1378"/>
      <c r="CV16" s="1070">
        <f>SUM(CV12:CV15)</f>
        <v>1982</v>
      </c>
      <c r="CW16" s="1070">
        <f>SUM(CW12:CW15)</f>
        <v>1560</v>
      </c>
      <c r="CX16" s="1070">
        <f>SUM(CX12:CX15)</f>
        <v>3542</v>
      </c>
      <c r="CY16" s="1378"/>
      <c r="CZ16" s="1070">
        <f>SUM(CZ12:CZ15)</f>
        <v>1045</v>
      </c>
      <c r="DA16" s="1070">
        <f>SUM(DA12:DA15)</f>
        <v>1404</v>
      </c>
      <c r="DB16" s="1070">
        <f>SUM(DB12:DB15)</f>
        <v>2449</v>
      </c>
      <c r="DC16" s="1378"/>
      <c r="DD16" s="1070">
        <f>SUM(DD12:DD15)</f>
        <v>1473</v>
      </c>
      <c r="DE16" s="1070">
        <f>SUM(DE12:DE15)</f>
        <v>1956</v>
      </c>
      <c r="DF16" s="1070">
        <f>SUM(DF12:DF15)</f>
        <v>3429</v>
      </c>
      <c r="DG16" s="1378"/>
      <c r="DH16" s="1070">
        <f>SUM(DH12:DH15)</f>
        <v>1968</v>
      </c>
      <c r="DI16" s="1070">
        <f>SUM(DI12:DI15)</f>
        <v>2240.676139210811</v>
      </c>
      <c r="DJ16" s="1070">
        <f>SUM(DJ12:DJ15)</f>
        <v>4208.676139210811</v>
      </c>
      <c r="DK16" s="1378"/>
      <c r="DL16" s="1070">
        <f>SUM(DL12:DL15)</f>
        <v>1909.5755412049671</v>
      </c>
      <c r="DM16" s="1070">
        <f>SUM(DM12:DM15)</f>
        <v>1896.7097691631297</v>
      </c>
      <c r="DN16" s="1070">
        <f>SUM(DN12:DN15)</f>
        <v>3806.2853103680968</v>
      </c>
      <c r="DO16" s="1378"/>
      <c r="DP16" s="1070">
        <f>SUM(DP12:DP15)</f>
        <v>2059.6583044355257</v>
      </c>
      <c r="DQ16" s="1070">
        <f>SUM(DQ12:DQ15)</f>
        <v>2049.6697038617217</v>
      </c>
      <c r="DR16" s="1070">
        <f>SUM(DR12:DR15)</f>
        <v>4109.3280082972469</v>
      </c>
      <c r="DS16" s="1378"/>
      <c r="DT16" s="1378"/>
      <c r="DU16" s="1378"/>
      <c r="DV16" s="1378"/>
      <c r="DW16" s="1378"/>
      <c r="DX16" s="1378"/>
      <c r="DY16" s="1378"/>
      <c r="DZ16" s="1378"/>
      <c r="EA16" s="1378"/>
      <c r="EB16" s="1378"/>
      <c r="EC16" s="1378"/>
      <c r="ED16" s="1378"/>
      <c r="EE16" s="1378"/>
      <c r="EF16" s="1378"/>
      <c r="EG16" s="1378"/>
      <c r="EH16" s="1378"/>
      <c r="EI16" s="1378"/>
      <c r="EJ16" s="1378"/>
      <c r="EK16" s="1378"/>
      <c r="EL16" s="1378"/>
      <c r="EM16" s="1378"/>
      <c r="EN16" s="1378"/>
      <c r="EO16" s="1378"/>
      <c r="EP16" s="1378"/>
      <c r="EQ16" s="1378"/>
      <c r="ER16" s="1378"/>
      <c r="ES16" s="1378"/>
      <c r="ET16" s="1378"/>
      <c r="EU16" s="1378"/>
      <c r="JW16"/>
    </row>
    <row r="17" spans="1:283">
      <c r="A17" s="900" t="s">
        <v>825</v>
      </c>
      <c r="AR17" s="295"/>
      <c r="AS17" s="295"/>
      <c r="AT17" s="295"/>
      <c r="AV17" s="295">
        <f>+AV11+AV16</f>
        <v>1264</v>
      </c>
      <c r="AW17" s="295">
        <f>+AW11+AW16</f>
        <v>1268</v>
      </c>
      <c r="AX17" s="295">
        <f>+AX11+AX16</f>
        <v>2532</v>
      </c>
      <c r="AZ17" s="295">
        <f>+AZ11+AZ16</f>
        <v>889.66700000000003</v>
      </c>
      <c r="BA17" s="295">
        <f>+BA11+BA16</f>
        <v>1368.6667</v>
      </c>
      <c r="BB17" s="295">
        <f>+BB11+BB16</f>
        <v>2258.3337000000001</v>
      </c>
      <c r="BD17" s="295">
        <f>+BD11+BD16</f>
        <v>898.66962999999998</v>
      </c>
      <c r="BE17" s="295">
        <f>+BE11+BE16</f>
        <v>1148.5005000000001</v>
      </c>
      <c r="BF17" s="295">
        <f>+BF11+BF16</f>
        <v>2047.17013</v>
      </c>
      <c r="BH17" s="295">
        <f>+BH11+BH16</f>
        <v>980</v>
      </c>
      <c r="BI17" s="295">
        <f>+BI11+BI16</f>
        <v>1375</v>
      </c>
      <c r="BJ17" s="295">
        <f>+BJ11+BJ16</f>
        <v>2355</v>
      </c>
      <c r="BL17" s="295">
        <f>+BL11+BL16</f>
        <v>1382</v>
      </c>
      <c r="BM17" s="295">
        <f>+BM11+BM16</f>
        <v>1868</v>
      </c>
      <c r="BN17" s="295">
        <f>+BN11+BN16</f>
        <v>3250</v>
      </c>
      <c r="BP17" s="295">
        <f>+BP11+BP16</f>
        <v>1811</v>
      </c>
      <c r="BQ17" s="295">
        <f>+BQ11+BQ16</f>
        <v>2365</v>
      </c>
      <c r="BR17" s="295">
        <f>+BR11+BR16</f>
        <v>4176</v>
      </c>
      <c r="BT17" s="295">
        <f>+BT11+BT16</f>
        <v>2612</v>
      </c>
      <c r="BU17" s="295">
        <f>+BU11+BU16</f>
        <v>1807</v>
      </c>
      <c r="BV17" s="295">
        <f>+BV11+BV16</f>
        <v>4419</v>
      </c>
      <c r="BX17" s="295">
        <f>+BX11+BX16</f>
        <v>2334</v>
      </c>
      <c r="BY17" s="295">
        <f>+BY11+BY16</f>
        <v>2369</v>
      </c>
      <c r="BZ17" s="295">
        <f>+BZ11+BZ16</f>
        <v>4703</v>
      </c>
      <c r="CB17" s="295">
        <f>+CB11+CB16</f>
        <v>2662</v>
      </c>
      <c r="CC17" s="295">
        <f>+CC11+CC16</f>
        <v>2399</v>
      </c>
      <c r="CD17" s="295">
        <f>+CD11+CD16</f>
        <v>5061</v>
      </c>
      <c r="CF17" s="295">
        <f>+CF11+CF16</f>
        <v>2601</v>
      </c>
      <c r="CG17" s="295">
        <f>+CG11+CG16</f>
        <v>3544</v>
      </c>
      <c r="CH17" s="295">
        <f>+CH11+CH16</f>
        <v>6145</v>
      </c>
      <c r="CJ17" s="295">
        <f>+CJ11+CJ16</f>
        <v>2868</v>
      </c>
      <c r="CK17" s="295">
        <f>+CK11+CK16</f>
        <v>2580</v>
      </c>
      <c r="CL17" s="295">
        <f>+CL11+CL16</f>
        <v>5448</v>
      </c>
      <c r="CN17" s="295">
        <f>+CN11+CN16</f>
        <v>2272</v>
      </c>
      <c r="CO17" s="295">
        <f>+CO11+CO16</f>
        <v>3825</v>
      </c>
      <c r="CP17" s="295">
        <f>+CP11+CP16</f>
        <v>6097</v>
      </c>
      <c r="CR17" s="295">
        <f>+CR11+CR16</f>
        <v>3984</v>
      </c>
      <c r="CS17" s="295">
        <f>+CS11+CS16</f>
        <v>5478</v>
      </c>
      <c r="CT17" s="295">
        <f>+CT11+CT16</f>
        <v>9462</v>
      </c>
      <c r="CV17" s="295">
        <f>+CV11+CV16</f>
        <v>4573</v>
      </c>
      <c r="CW17" s="295">
        <f>+CW11+CW16</f>
        <v>5777</v>
      </c>
      <c r="CX17" s="295">
        <f>+CX11+CX16</f>
        <v>10350</v>
      </c>
      <c r="CZ17" s="295">
        <f>+CZ11+CZ16</f>
        <v>2858</v>
      </c>
      <c r="DA17" s="295">
        <f>+DA11+DA16</f>
        <v>3855</v>
      </c>
      <c r="DB17" s="295">
        <f>+DB11+DB16</f>
        <v>6713</v>
      </c>
      <c r="DD17" s="295">
        <f>+DD11+DD16</f>
        <v>3160</v>
      </c>
      <c r="DE17" s="295">
        <f>+DE11+DE16</f>
        <v>4141</v>
      </c>
      <c r="DF17" s="295">
        <f>+DF11+DF16</f>
        <v>7301</v>
      </c>
      <c r="DH17" s="295">
        <f>+DH11+DH16</f>
        <v>3792</v>
      </c>
      <c r="DI17" s="295">
        <f>+DI11+DI16</f>
        <v>4985.9071392108117</v>
      </c>
      <c r="DJ17" s="295">
        <f>+DJ11+DJ16</f>
        <v>8777.9071392108126</v>
      </c>
      <c r="DL17" s="295">
        <f>+DL11+DL16</f>
        <v>4087.4659012049674</v>
      </c>
      <c r="DM17" s="295">
        <f>+DM11+DM16</f>
        <v>4961.6410449631303</v>
      </c>
      <c r="DN17" s="295">
        <f>+DN11+DN16</f>
        <v>9049.1069461680981</v>
      </c>
      <c r="DP17" s="295">
        <f>+DP11+DP16</f>
        <v>4365.3383782095261</v>
      </c>
      <c r="DQ17" s="295">
        <f>+DQ11+DQ16</f>
        <v>5272.3801432571418</v>
      </c>
      <c r="DR17" s="295">
        <f>+DR11+DR16</f>
        <v>9637.7185214666661</v>
      </c>
    </row>
    <row r="18" spans="1:283">
      <c r="A18" s="667" t="s">
        <v>579</v>
      </c>
      <c r="AR18" s="293"/>
      <c r="AS18" s="293"/>
      <c r="AT18" s="293"/>
      <c r="AV18" s="293">
        <f>AV727</f>
        <v>-785</v>
      </c>
      <c r="AW18" s="293">
        <f>AW727</f>
        <v>-697</v>
      </c>
      <c r="AX18" s="293">
        <f>AX727</f>
        <v>-1482</v>
      </c>
      <c r="AZ18" s="293">
        <f>AZ727</f>
        <v>-486.33330000000001</v>
      </c>
      <c r="BA18" s="293">
        <f>BA727</f>
        <v>-815.33333000000005</v>
      </c>
      <c r="BB18" s="293">
        <f>BB727</f>
        <v>-1301.6666300000002</v>
      </c>
      <c r="BD18" s="293">
        <f>BD727</f>
        <v>-593.99666999999999</v>
      </c>
      <c r="BE18" s="293">
        <f>BE727</f>
        <v>-724.33299999999997</v>
      </c>
      <c r="BF18" s="293">
        <f>BF727</f>
        <v>-1318.3296700000001</v>
      </c>
      <c r="BH18" s="293">
        <f>BH727</f>
        <v>-619</v>
      </c>
      <c r="BI18" s="293">
        <f>BI727</f>
        <v>-885</v>
      </c>
      <c r="BJ18" s="293">
        <f>BJ727</f>
        <v>-1504</v>
      </c>
      <c r="BL18" s="293">
        <f>BL727</f>
        <v>-881</v>
      </c>
      <c r="BM18" s="293">
        <f>BM727</f>
        <v>-1104</v>
      </c>
      <c r="BN18" s="293">
        <f>BN727</f>
        <v>-1985</v>
      </c>
      <c r="BP18" s="293">
        <f>BP727</f>
        <v>-1133</v>
      </c>
      <c r="BQ18" s="293">
        <f>BQ727</f>
        <v>-1439</v>
      </c>
      <c r="BR18" s="293">
        <f>BR727</f>
        <v>-2572</v>
      </c>
      <c r="BT18" s="293">
        <f>BT727</f>
        <v>-1542</v>
      </c>
      <c r="BU18" s="293">
        <f>BU727</f>
        <v>-814</v>
      </c>
      <c r="BV18" s="293">
        <f>BV727</f>
        <v>-2356</v>
      </c>
      <c r="BX18" s="293">
        <f>BX727</f>
        <v>-1284</v>
      </c>
      <c r="BY18" s="293">
        <f>BY727</f>
        <v>-1202</v>
      </c>
      <c r="BZ18" s="293">
        <f>BZ727</f>
        <v>-2486</v>
      </c>
      <c r="CB18" s="293">
        <f>CB727</f>
        <v>-1414</v>
      </c>
      <c r="CC18" s="293">
        <f>CC727</f>
        <v>-1090</v>
      </c>
      <c r="CD18" s="293">
        <f>CD727</f>
        <v>-2504</v>
      </c>
      <c r="CF18" s="293">
        <f>CF727</f>
        <v>-1291</v>
      </c>
      <c r="CG18" s="293">
        <f>CG727</f>
        <v>-1872</v>
      </c>
      <c r="CH18" s="293">
        <f>CH727</f>
        <v>-3163</v>
      </c>
      <c r="CJ18" s="293">
        <f>CJ727</f>
        <v>-1411</v>
      </c>
      <c r="CK18" s="293">
        <f>CK727</f>
        <v>-1306</v>
      </c>
      <c r="CL18" s="293">
        <f>CL727</f>
        <v>-2717</v>
      </c>
      <c r="CN18" s="293">
        <f>CN727</f>
        <v>-1287</v>
      </c>
      <c r="CO18" s="293">
        <f>CO727</f>
        <v>-1795</v>
      </c>
      <c r="CP18" s="293">
        <f>CP727</f>
        <v>-3082</v>
      </c>
      <c r="CR18" s="293">
        <f>CR727</f>
        <v>-1941</v>
      </c>
      <c r="CS18" s="293">
        <f>CS727</f>
        <v>-2815</v>
      </c>
      <c r="CT18" s="293">
        <f>CT727</f>
        <v>-4756</v>
      </c>
      <c r="CV18" s="293">
        <f>CV727</f>
        <v>-2268</v>
      </c>
      <c r="CW18" s="293">
        <f>CW727</f>
        <v>-2901</v>
      </c>
      <c r="CX18" s="293">
        <f>CX727</f>
        <v>-5169</v>
      </c>
      <c r="CZ18" s="293">
        <f>CZ727</f>
        <v>-1443</v>
      </c>
      <c r="DA18" s="293">
        <f>DA727</f>
        <v>-1748</v>
      </c>
      <c r="DB18" s="293">
        <f>DB727</f>
        <v>-3191</v>
      </c>
      <c r="DD18" s="293">
        <f>DD727</f>
        <v>-1548</v>
      </c>
      <c r="DE18" s="293">
        <f>DE727</f>
        <v>-2038</v>
      </c>
      <c r="DF18" s="293">
        <f>DF727</f>
        <v>-3586</v>
      </c>
      <c r="DH18" s="293">
        <f>DH727</f>
        <v>-2137</v>
      </c>
      <c r="DI18" s="293">
        <f>DI727</f>
        <v>-2468.216941247043</v>
      </c>
      <c r="DJ18" s="293">
        <f>DJ727</f>
        <v>-4605.216941247043</v>
      </c>
      <c r="DL18" s="293">
        <f>DL727</f>
        <v>-2171.6286608906198</v>
      </c>
      <c r="DM18" s="293">
        <f>DM727</f>
        <v>-2304.7679977612511</v>
      </c>
      <c r="DN18" s="293">
        <f>DN727</f>
        <v>-4476.3966586518709</v>
      </c>
      <c r="DP18" s="293">
        <f>DP727</f>
        <v>-2280.1147089761298</v>
      </c>
      <c r="DQ18" s="293">
        <f>DQ727</f>
        <v>-2434.8357591774447</v>
      </c>
      <c r="DR18" s="293">
        <f>DR727</f>
        <v>-4714.9504681535745</v>
      </c>
    </row>
    <row r="19" spans="1:283" s="1379" customFormat="1">
      <c r="A19" s="2095" t="s">
        <v>694</v>
      </c>
      <c r="AN19" s="1378"/>
      <c r="AO19" s="1378"/>
      <c r="AP19" s="1378"/>
      <c r="AQ19" s="1378"/>
      <c r="AR19" s="1070"/>
      <c r="AS19" s="1070"/>
      <c r="AT19" s="1070"/>
      <c r="AU19" s="1378"/>
      <c r="AV19" s="1070">
        <f>SUM(AV17:AV18)</f>
        <v>479</v>
      </c>
      <c r="AW19" s="1070">
        <f>SUM(AW17:AW18)</f>
        <v>571</v>
      </c>
      <c r="AX19" s="1070">
        <f>SUM(AX17:AX18)</f>
        <v>1050</v>
      </c>
      <c r="AY19" s="1378"/>
      <c r="AZ19" s="1070">
        <f>SUM(AZ17:AZ18)</f>
        <v>403.33370000000002</v>
      </c>
      <c r="BA19" s="1070">
        <f>SUM(BA17:BA18)</f>
        <v>553.33336999999995</v>
      </c>
      <c r="BB19" s="1070">
        <f>SUM(BB17:BB18)</f>
        <v>956.66706999999997</v>
      </c>
      <c r="BC19" s="1378"/>
      <c r="BD19" s="1070">
        <f>SUM(BD17:BD18)</f>
        <v>304.67295999999999</v>
      </c>
      <c r="BE19" s="1070">
        <f>SUM(BE17:BE18)</f>
        <v>424.16750000000013</v>
      </c>
      <c r="BF19" s="1070">
        <f>SUM(BF17:BF18)</f>
        <v>728.84045999999989</v>
      </c>
      <c r="BG19" s="1378"/>
      <c r="BH19" s="1070">
        <f>SUM(BH17:BH18)</f>
        <v>361</v>
      </c>
      <c r="BI19" s="1070">
        <f>SUM(BI17:BI18)</f>
        <v>490</v>
      </c>
      <c r="BJ19" s="1070">
        <f>SUM(BJ17:BJ18)</f>
        <v>851</v>
      </c>
      <c r="BK19" s="1378"/>
      <c r="BL19" s="1070">
        <f>SUM(BL17:BL18)</f>
        <v>501</v>
      </c>
      <c r="BM19" s="1070">
        <f>SUM(BM17:BM18)</f>
        <v>764</v>
      </c>
      <c r="BN19" s="1070">
        <f>SUM(BN17:BN18)</f>
        <v>1265</v>
      </c>
      <c r="BO19" s="1378"/>
      <c r="BP19" s="1070">
        <f>SUM(BP17:BP18)</f>
        <v>678</v>
      </c>
      <c r="BQ19" s="1070">
        <f>SUM(BQ17:BQ18)</f>
        <v>926</v>
      </c>
      <c r="BR19" s="1070">
        <f>SUM(BR17:BR18)</f>
        <v>1604</v>
      </c>
      <c r="BS19" s="1378"/>
      <c r="BT19" s="1070">
        <f>SUM(BT17:BT18)</f>
        <v>1070</v>
      </c>
      <c r="BU19" s="1070">
        <f>SUM(BU17:BU18)</f>
        <v>993</v>
      </c>
      <c r="BV19" s="1070">
        <f>SUM(BV17:BV18)</f>
        <v>2063</v>
      </c>
      <c r="BW19" s="1378"/>
      <c r="BX19" s="1070">
        <f>SUM(BX17:BX18)</f>
        <v>1050</v>
      </c>
      <c r="BY19" s="1070">
        <f>SUM(BY17:BY18)</f>
        <v>1167</v>
      </c>
      <c r="BZ19" s="1070">
        <f>SUM(BZ17:BZ18)</f>
        <v>2217</v>
      </c>
      <c r="CA19" s="1378"/>
      <c r="CB19" s="1070">
        <f>SUM(CB17:CB18)</f>
        <v>1248</v>
      </c>
      <c r="CC19" s="1070">
        <f>SUM(CC17:CC18)</f>
        <v>1309</v>
      </c>
      <c r="CD19" s="1070">
        <f>SUM(CD17:CD18)</f>
        <v>2557</v>
      </c>
      <c r="CE19" s="1378"/>
      <c r="CF19" s="1070">
        <f>SUM(CF17:CF18)</f>
        <v>1310</v>
      </c>
      <c r="CG19" s="1070">
        <f>SUM(CG17:CG18)</f>
        <v>1672</v>
      </c>
      <c r="CH19" s="1070">
        <f>SUM(CH17:CH18)</f>
        <v>2982</v>
      </c>
      <c r="CI19" s="1378"/>
      <c r="CJ19" s="1070">
        <f>SUM(CJ17:CJ18)</f>
        <v>1457</v>
      </c>
      <c r="CK19" s="1070">
        <f>SUM(CK17:CK18)</f>
        <v>1274</v>
      </c>
      <c r="CL19" s="1070">
        <f>SUM(CL17:CL18)</f>
        <v>2731</v>
      </c>
      <c r="CM19" s="1378"/>
      <c r="CN19" s="1070">
        <f>SUM(CN17:CN18)</f>
        <v>985</v>
      </c>
      <c r="CO19" s="1070">
        <f>SUM(CO17:CO18)</f>
        <v>2030</v>
      </c>
      <c r="CP19" s="1070">
        <f>SUM(CP17:CP18)</f>
        <v>3015</v>
      </c>
      <c r="CQ19" s="1378"/>
      <c r="CR19" s="1070">
        <f>SUM(CR17:CR18)</f>
        <v>2043</v>
      </c>
      <c r="CS19" s="1070">
        <f>SUM(CS17:CS18)</f>
        <v>2663</v>
      </c>
      <c r="CT19" s="1070">
        <f>SUM(CT17:CT18)</f>
        <v>4706</v>
      </c>
      <c r="CU19" s="1378"/>
      <c r="CV19" s="1070">
        <f>SUM(CV17:CV18)</f>
        <v>2305</v>
      </c>
      <c r="CW19" s="1070">
        <f>SUM(CW17:CW18)</f>
        <v>2876</v>
      </c>
      <c r="CX19" s="1070">
        <f>SUM(CX17:CX18)</f>
        <v>5181</v>
      </c>
      <c r="CY19" s="1378"/>
      <c r="CZ19" s="1070">
        <f>SUM(CZ17:CZ18)</f>
        <v>1415</v>
      </c>
      <c r="DA19" s="1070">
        <f>SUM(DA17:DA18)</f>
        <v>2107</v>
      </c>
      <c r="DB19" s="1070">
        <f>SUM(DB17:DB18)</f>
        <v>3522</v>
      </c>
      <c r="DC19" s="1378"/>
      <c r="DD19" s="1070">
        <f>SUM(DD17:DD18)</f>
        <v>1612</v>
      </c>
      <c r="DE19" s="1070">
        <f>SUM(DE17:DE18)</f>
        <v>2103</v>
      </c>
      <c r="DF19" s="1070">
        <f>SUM(DF17:DF18)</f>
        <v>3715</v>
      </c>
      <c r="DG19" s="1378"/>
      <c r="DH19" s="1070">
        <f>SUM(DH17:DH18)</f>
        <v>1655</v>
      </c>
      <c r="DI19" s="1070">
        <f>SUM(DI17:DI18)</f>
        <v>2517.6901979637687</v>
      </c>
      <c r="DJ19" s="1070">
        <f>SUM(DJ17:DJ18)</f>
        <v>4172.6901979637696</v>
      </c>
      <c r="DK19" s="1378"/>
      <c r="DL19" s="1070">
        <f>SUM(DL17:DL18)</f>
        <v>1915.8372403143476</v>
      </c>
      <c r="DM19" s="1070">
        <f>SUM(DM17:DM18)</f>
        <v>2656.8730472018792</v>
      </c>
      <c r="DN19" s="1070">
        <f>SUM(DN17:DN18)</f>
        <v>4572.7102875162273</v>
      </c>
      <c r="DO19" s="1378"/>
      <c r="DP19" s="1070">
        <f>SUM(DP17:DP18)</f>
        <v>2085.2236692333963</v>
      </c>
      <c r="DQ19" s="1070">
        <f>SUM(DQ17:DQ18)</f>
        <v>2837.544384079697</v>
      </c>
      <c r="DR19" s="1070">
        <f>SUM(DR17:DR18)</f>
        <v>4922.7680533130915</v>
      </c>
      <c r="DS19" s="1378"/>
      <c r="DT19" s="1378"/>
      <c r="DU19" s="1378"/>
      <c r="DV19" s="1378"/>
      <c r="DW19" s="1378"/>
      <c r="DX19" s="1378"/>
      <c r="DY19" s="1378"/>
      <c r="DZ19" s="1378"/>
      <c r="EA19" s="1378"/>
      <c r="EB19" s="1378"/>
      <c r="EC19" s="1378"/>
      <c r="ED19" s="1378"/>
      <c r="EE19" s="1378"/>
      <c r="EF19" s="1378"/>
      <c r="EG19" s="1378"/>
      <c r="EH19" s="1378"/>
      <c r="EI19" s="1378"/>
      <c r="EJ19" s="1378"/>
      <c r="EK19" s="1378"/>
      <c r="EL19" s="1378"/>
      <c r="EM19" s="1378"/>
      <c r="EN19" s="1378"/>
      <c r="EO19" s="1378"/>
      <c r="EP19" s="1378"/>
      <c r="EQ19" s="1378"/>
      <c r="ER19" s="1378"/>
      <c r="ES19" s="1378"/>
      <c r="ET19" s="1378"/>
      <c r="EU19" s="1378"/>
      <c r="JW19"/>
    </row>
    <row r="20" spans="1:283" s="289" customFormat="1">
      <c r="A20" s="900"/>
      <c r="AN20" s="290"/>
      <c r="AO20" s="290"/>
      <c r="AP20" s="290"/>
      <c r="AQ20" s="290"/>
      <c r="AR20" s="295"/>
      <c r="AS20" s="295"/>
      <c r="AT20" s="295"/>
      <c r="AU20" s="290"/>
      <c r="AV20" s="295"/>
      <c r="AW20" s="295"/>
      <c r="AX20" s="379"/>
      <c r="AY20" s="290"/>
      <c r="AZ20" s="1189">
        <f>'P&amp;L'!AZ32</f>
        <v>403.33370000000014</v>
      </c>
      <c r="BA20" s="1189">
        <f>'P&amp;L'!BA32</f>
        <v>553.33336999999983</v>
      </c>
      <c r="BB20" s="1189">
        <f>'P&amp;L'!BB32</f>
        <v>956.66706999999997</v>
      </c>
      <c r="BC20" s="290"/>
      <c r="BD20" s="1189">
        <f>'P&amp;L'!BD32</f>
        <v>304.32956000000013</v>
      </c>
      <c r="BE20" s="1189">
        <f>'P&amp;L'!BE32</f>
        <v>426.32420000000025</v>
      </c>
      <c r="BF20" s="1189">
        <f>'P&amp;L'!BF32</f>
        <v>730.65376000000037</v>
      </c>
      <c r="BG20" s="290"/>
      <c r="BH20" s="1189">
        <f>'P&amp;L'!BH32</f>
        <v>361</v>
      </c>
      <c r="BI20" s="1189">
        <f>'P&amp;L'!BI32</f>
        <v>490.49</v>
      </c>
      <c r="BJ20" s="1189">
        <f>'P&amp;L'!BJ32</f>
        <v>851.49</v>
      </c>
      <c r="BK20" s="290"/>
      <c r="BL20" s="1189">
        <f>'P&amp;L'!BL32</f>
        <v>501</v>
      </c>
      <c r="BM20" s="1189">
        <f>'P&amp;L'!BM32</f>
        <v>766.49</v>
      </c>
      <c r="BN20" s="1189">
        <f>'P&amp;L'!BN32</f>
        <v>1267.49</v>
      </c>
      <c r="BO20" s="290"/>
      <c r="BP20" s="1189">
        <f>'P&amp;L'!BP32</f>
        <v>678</v>
      </c>
      <c r="BQ20" s="1189">
        <f>'P&amp;L'!BQ32</f>
        <v>926.49</v>
      </c>
      <c r="BR20" s="1189">
        <f>'P&amp;L'!BR32</f>
        <v>1604.49</v>
      </c>
      <c r="BS20" s="290"/>
      <c r="BT20" s="1189">
        <f>'P&amp;L'!BT32</f>
        <v>1070</v>
      </c>
      <c r="BU20" s="1189">
        <f>'P&amp;L'!BU32</f>
        <v>993.49</v>
      </c>
      <c r="BV20" s="1189">
        <f>'P&amp;L'!BV32</f>
        <v>2063.4899999999998</v>
      </c>
      <c r="BW20" s="290"/>
      <c r="BX20" s="1189">
        <f>'P&amp;L'!BX32</f>
        <v>1050</v>
      </c>
      <c r="BY20" s="1189">
        <f>'P&amp;L'!BY32</f>
        <v>1167.49</v>
      </c>
      <c r="BZ20" s="1189">
        <f>'P&amp;L'!BZ32</f>
        <v>2217.4899999999998</v>
      </c>
      <c r="CA20" s="290"/>
      <c r="CB20" s="1189">
        <f>'P&amp;L'!CB32</f>
        <v>1248</v>
      </c>
      <c r="CC20" s="1189">
        <f>'P&amp;L'!CC32</f>
        <v>1309.49</v>
      </c>
      <c r="CD20" s="1189">
        <f>'P&amp;L'!CD32</f>
        <v>2557.4899999999998</v>
      </c>
      <c r="CE20" s="290"/>
      <c r="CF20" s="1189">
        <f>'P&amp;L'!CF32</f>
        <v>1310</v>
      </c>
      <c r="CG20" s="1189">
        <f>'P&amp;L'!CG32</f>
        <v>1672.49</v>
      </c>
      <c r="CH20" s="1189">
        <f>'P&amp;L'!CH32</f>
        <v>2982.49</v>
      </c>
      <c r="CI20" s="290"/>
      <c r="CJ20" s="1189">
        <f>'P&amp;L'!CJ32</f>
        <v>1457</v>
      </c>
      <c r="CK20" s="1189">
        <f>'P&amp;L'!CK32</f>
        <v>1274.49</v>
      </c>
      <c r="CL20" s="1189">
        <f>'P&amp;L'!CL32</f>
        <v>2731.49</v>
      </c>
      <c r="CM20" s="290"/>
      <c r="CN20" s="1189">
        <f>'P&amp;L'!CN32</f>
        <v>985</v>
      </c>
      <c r="CO20" s="1189">
        <f>'P&amp;L'!CO32</f>
        <v>2030.49</v>
      </c>
      <c r="CP20" s="1189">
        <f>'P&amp;L'!CP32</f>
        <v>3015.49</v>
      </c>
      <c r="CQ20" s="290"/>
      <c r="CR20" s="1189">
        <f>'P&amp;L'!CR32</f>
        <v>2043</v>
      </c>
      <c r="CS20" s="1189">
        <f>'P&amp;L'!CS32</f>
        <v>2663.49</v>
      </c>
      <c r="CT20" s="1189">
        <f>'P&amp;L'!CT32</f>
        <v>4706.49</v>
      </c>
      <c r="CU20" s="290"/>
      <c r="CV20" s="1189">
        <f>'P&amp;L'!CV32</f>
        <v>2383</v>
      </c>
      <c r="CW20" s="1189">
        <f>'P&amp;L'!CW32</f>
        <v>2799.49</v>
      </c>
      <c r="CX20" s="1189">
        <f>'P&amp;L'!CX32</f>
        <v>5182.49</v>
      </c>
      <c r="CY20" s="290"/>
      <c r="CZ20" s="1189">
        <f>'P&amp;L'!CZ32</f>
        <v>1415</v>
      </c>
      <c r="DA20" s="1189">
        <f>'P&amp;L'!DA32</f>
        <v>2107.4899999999998</v>
      </c>
      <c r="DB20" s="1189">
        <f>'P&amp;L'!DB32</f>
        <v>3522.49</v>
      </c>
      <c r="DC20" s="290"/>
      <c r="DD20" s="1189">
        <f>'P&amp;L'!DD32</f>
        <v>1612</v>
      </c>
      <c r="DE20" s="1189">
        <f ca="1">'P&amp;L'!DE32</f>
        <v>2103.4899999999998</v>
      </c>
      <c r="DF20" s="1189">
        <f ca="1">'P&amp;L'!DF32</f>
        <v>3715.49</v>
      </c>
      <c r="DG20" s="290"/>
      <c r="DH20" s="1189">
        <f>'P&amp;L'!DH32</f>
        <v>1655</v>
      </c>
      <c r="DI20" s="1189">
        <f>'P&amp;L'!DI32</f>
        <v>2517.6901979637678</v>
      </c>
      <c r="DJ20" s="1189">
        <f>'P&amp;L'!DJ32</f>
        <v>4172.6901979637678</v>
      </c>
      <c r="DK20" s="290"/>
      <c r="DL20" s="1189">
        <f>'P&amp;L'!DL32</f>
        <v>1915.8372403143462</v>
      </c>
      <c r="DM20" s="1189">
        <f>'P&amp;L'!DM32</f>
        <v>2656.8730472018797</v>
      </c>
      <c r="DN20" s="1189">
        <f>'P&amp;L'!DN32</f>
        <v>4572.7102875162254</v>
      </c>
      <c r="DO20" s="290"/>
      <c r="DP20" s="1189">
        <f>'P&amp;L'!DP32</f>
        <v>2085.2236692333981</v>
      </c>
      <c r="DQ20" s="1189">
        <f>'P&amp;L'!DQ32</f>
        <v>2837.5443840796966</v>
      </c>
      <c r="DR20" s="1189">
        <f>'P&amp;L'!DR32</f>
        <v>4922.7680533130952</v>
      </c>
      <c r="DS20" s="290"/>
      <c r="DT20" s="290"/>
      <c r="DU20" s="290"/>
      <c r="DV20" s="290"/>
      <c r="DW20" s="290"/>
      <c r="DX20" s="290"/>
      <c r="DY20" s="290"/>
      <c r="DZ20" s="290"/>
      <c r="EA20" s="290"/>
      <c r="EB20" s="290"/>
      <c r="EC20" s="290"/>
      <c r="ED20" s="290"/>
      <c r="EE20" s="290"/>
      <c r="EF20" s="290"/>
      <c r="EG20" s="290"/>
      <c r="EH20" s="290"/>
      <c r="EI20" s="290"/>
      <c r="EJ20" s="290"/>
      <c r="EK20" s="290"/>
      <c r="EL20" s="290"/>
      <c r="EM20" s="290"/>
      <c r="EN20" s="290"/>
      <c r="EO20" s="290"/>
      <c r="EP20" s="290"/>
      <c r="EQ20" s="290"/>
      <c r="ER20" s="290"/>
      <c r="ES20" s="290"/>
      <c r="ET20" s="290"/>
      <c r="EU20" s="290"/>
      <c r="JW20"/>
    </row>
    <row r="21" spans="1:283">
      <c r="A21" s="328" t="s">
        <v>835</v>
      </c>
      <c r="CR21" s="103"/>
      <c r="CS21" s="103"/>
      <c r="CT21" s="103"/>
      <c r="CV21" s="103"/>
      <c r="CW21" s="103"/>
      <c r="CX21" s="103"/>
      <c r="CZ21" s="103"/>
      <c r="DA21" s="103"/>
      <c r="DB21" s="103"/>
      <c r="DD21" s="103"/>
      <c r="DE21" s="103"/>
      <c r="DF21" s="103"/>
      <c r="DH21" s="103"/>
      <c r="DI21" s="103"/>
      <c r="DJ21" s="103"/>
      <c r="DL21" s="103"/>
      <c r="DM21" s="103"/>
      <c r="DN21" s="103"/>
      <c r="DP21" s="103"/>
      <c r="DQ21" s="103"/>
      <c r="DR21" s="103"/>
    </row>
    <row r="22" spans="1:283">
      <c r="A22" s="323" t="str">
        <f t="shared" ref="A22:A33" si="0">A8</f>
        <v>Macquarie Securities</v>
      </c>
      <c r="AZ22" s="324"/>
      <c r="BA22" s="324"/>
      <c r="BB22" s="324"/>
      <c r="BD22" s="324"/>
      <c r="BE22" s="324"/>
      <c r="BF22" s="324"/>
      <c r="BH22" s="324"/>
      <c r="BI22" s="324"/>
      <c r="BJ22" s="324"/>
      <c r="BL22" s="324"/>
      <c r="BM22" s="324"/>
      <c r="BN22" s="324"/>
      <c r="BO22" s="1032"/>
      <c r="BP22" s="324"/>
      <c r="BQ22" s="324"/>
      <c r="BR22" s="324"/>
      <c r="BS22" s="1032"/>
      <c r="BT22" s="324"/>
      <c r="BU22" s="324"/>
      <c r="BV22" s="324"/>
      <c r="BX22" s="324"/>
      <c r="BY22" s="324"/>
      <c r="BZ22" s="324"/>
      <c r="CB22" s="324"/>
      <c r="CC22" s="324"/>
      <c r="CD22" s="324"/>
      <c r="CF22" s="324"/>
      <c r="CG22" s="324"/>
      <c r="CH22" s="324"/>
      <c r="CJ22" s="324"/>
      <c r="CK22" s="324"/>
      <c r="CL22" s="324"/>
      <c r="CN22" s="324"/>
      <c r="CO22" s="324"/>
      <c r="CP22" s="324"/>
      <c r="CR22" s="324"/>
      <c r="CS22" s="324"/>
      <c r="CT22" s="324"/>
      <c r="CV22" s="324"/>
      <c r="CW22" s="324"/>
      <c r="CX22" s="324"/>
      <c r="CZ22" s="324"/>
      <c r="DA22" s="324"/>
      <c r="DB22" s="324"/>
      <c r="DD22" s="324"/>
      <c r="DE22" s="324"/>
      <c r="DF22" s="324"/>
      <c r="DH22" s="324"/>
      <c r="DI22" s="324"/>
      <c r="DJ22" s="324"/>
      <c r="DL22" s="324"/>
      <c r="DM22" s="324"/>
      <c r="DN22" s="324"/>
      <c r="DP22" s="324"/>
      <c r="DQ22" s="324"/>
      <c r="DR22" s="324"/>
    </row>
    <row r="23" spans="1:283">
      <c r="A23" s="323" t="str">
        <f t="shared" si="0"/>
        <v>Macquarie Capital</v>
      </c>
      <c r="AZ23" s="324">
        <f t="shared" ref="AZ23:AZ33" si="1">+AZ9/AV9-1</f>
        <v>-1.3577235772357723</v>
      </c>
      <c r="BA23" s="324">
        <f t="shared" ref="BA23:BA33" si="2">+BA9/AW9-1</f>
        <v>1.4179104477611939</v>
      </c>
      <c r="BB23" s="324">
        <f t="shared" ref="BB23:BB33" si="3">+BB9/AX9-1</f>
        <v>-4.6785714285714288</v>
      </c>
      <c r="BD23" s="324">
        <f t="shared" ref="BD23:BD33" si="4">+BD9/AZ9-1</f>
        <v>-0.81818181818181812</v>
      </c>
      <c r="BE23" s="324">
        <f t="shared" ref="BE23:BE33" si="5">+BE9/BA9-1</f>
        <v>-0.52468950617283927</v>
      </c>
      <c r="BF23" s="324">
        <f t="shared" ref="BF23:BF33" si="6">+BF9/BB9-1</f>
        <v>-0.58737718446601916</v>
      </c>
      <c r="BH23" s="324">
        <f t="shared" ref="BH23:BJ28" si="7">+BH9/BD9-1</f>
        <v>0.25</v>
      </c>
      <c r="BI23" s="324">
        <f t="shared" si="7"/>
        <v>0.81817473438415078</v>
      </c>
      <c r="BJ23" s="324">
        <f t="shared" si="7"/>
        <v>0.76469965400122031</v>
      </c>
      <c r="BL23" s="324">
        <f t="shared" ref="BL23:BN28" si="8">+BL9/BH9-1</f>
        <v>9.1</v>
      </c>
      <c r="BM23" s="324">
        <f t="shared" si="8"/>
        <v>0.27857142857142847</v>
      </c>
      <c r="BN23" s="324">
        <f t="shared" si="8"/>
        <v>0.8666666666666667</v>
      </c>
      <c r="BO23" s="1032"/>
      <c r="BP23" s="324">
        <f t="shared" ref="BP23:BR28" si="9">+BP9/BL9-1</f>
        <v>0.48514851485148514</v>
      </c>
      <c r="BQ23" s="324">
        <f t="shared" si="9"/>
        <v>0.56424581005586583</v>
      </c>
      <c r="BR23" s="324">
        <f t="shared" si="9"/>
        <v>0.53571428571428581</v>
      </c>
      <c r="BS23" s="1032"/>
      <c r="BT23" s="324">
        <f t="shared" ref="BT23:BV28" si="10">+BT9/BP9-1</f>
        <v>0.1333333333333333</v>
      </c>
      <c r="BU23" s="324">
        <f t="shared" si="10"/>
        <v>3.5714285714285587E-3</v>
      </c>
      <c r="BV23" s="324">
        <f t="shared" si="10"/>
        <v>4.8837209302325491E-2</v>
      </c>
      <c r="BX23" s="324">
        <f t="shared" ref="BX23:CB28" si="11">+BX9/BT9-1</f>
        <v>0.20588235294117641</v>
      </c>
      <c r="BY23" s="324">
        <f t="shared" si="11"/>
        <v>-1.0676156583629859E-2</v>
      </c>
      <c r="BZ23" s="324">
        <f t="shared" si="11"/>
        <v>7.0953436807095427E-2</v>
      </c>
      <c r="CB23" s="324">
        <f t="shared" si="11"/>
        <v>-2.9268292682926855E-2</v>
      </c>
      <c r="CC23" s="324">
        <f t="shared" ref="CC23:CC28" si="12">+CC9/BY9-1</f>
        <v>0.85971223021582732</v>
      </c>
      <c r="CD23" s="324">
        <f t="shared" ref="CD23:CD28" si="13">+CD9/BZ9-1</f>
        <v>0.48240165631469978</v>
      </c>
      <c r="CF23" s="324">
        <f t="shared" ref="CF23:CF28" si="14">+CF9/CB9-1</f>
        <v>1.557788944723618</v>
      </c>
      <c r="CG23" s="324">
        <f t="shared" ref="CG23:CG28" si="15">+CG9/CC9-1</f>
        <v>1.4468085106382977</v>
      </c>
      <c r="CH23" s="324">
        <f t="shared" ref="CH23:CH28" si="16">+CH9/CD9-1</f>
        <v>1.477653631284916</v>
      </c>
      <c r="CJ23" s="324">
        <f t="shared" ref="CJ23:CJ28" si="17">+CJ9/CF9-1</f>
        <v>-0.56581532416502944</v>
      </c>
      <c r="CK23" s="324">
        <f t="shared" ref="CK23:CK26" si="18">+CK9/CG9-1</f>
        <v>-0.57154150197628462</v>
      </c>
      <c r="CL23" s="324">
        <f t="shared" ref="CL23:CL26" si="19">+CL9/CH9-1</f>
        <v>-0.56989853438556937</v>
      </c>
      <c r="CN23" s="324">
        <f t="shared" ref="CN23:CN28" si="20">+CN9/CJ9-1</f>
        <v>-1.8552036199095023</v>
      </c>
      <c r="CO23" s="324">
        <f t="shared" ref="CO23:CO26" si="21">+CO9/CK9-1</f>
        <v>0.54981549815498165</v>
      </c>
      <c r="CP23" s="324">
        <f t="shared" ref="CP23:CP26" si="22">+CP9/CL9-1</f>
        <v>-0.14678899082568808</v>
      </c>
      <c r="CR23" s="324">
        <f t="shared" ref="CR23:CR28" si="23">+CR9/CN9-1</f>
        <v>-4.5767195767195767</v>
      </c>
      <c r="CS23" s="324">
        <f t="shared" ref="CS23:CS28" si="24">+CS9/CO9-1</f>
        <v>5.9523809523809312E-3</v>
      </c>
      <c r="CT23" s="324">
        <f t="shared" ref="CT23:CT28" si="25">+CT9/CP9-1</f>
        <v>1.3364055299539173</v>
      </c>
      <c r="CV23" s="324">
        <f t="shared" ref="CV23:CV28" si="26">+CV9/CR9-1</f>
        <v>-0.11982248520710059</v>
      </c>
      <c r="CW23" s="324">
        <f t="shared" ref="CW23:CW26" si="27">+CW9/CS9-1</f>
        <v>-0.75621301775147931</v>
      </c>
      <c r="CX23" s="324">
        <f t="shared" ref="CX23:CX26" si="28">+CX9/CT9-1</f>
        <v>-0.47337278106508873</v>
      </c>
      <c r="CZ23" s="324">
        <f t="shared" ref="CZ23:CZ26" si="29">+CZ9/CV9-1</f>
        <v>-0.27731092436974791</v>
      </c>
      <c r="DA23" s="324">
        <f t="shared" ref="DA23:DA26" si="30">+DA9/CW9-1</f>
        <v>2.0145631067961167</v>
      </c>
      <c r="DB23" s="324">
        <f t="shared" ref="DB23:DB26" si="31">+DB9/CX9-1</f>
        <v>0.31210986267166052</v>
      </c>
      <c r="DD23" s="324">
        <f t="shared" ref="DD23:DD26" si="32">+DD9/CZ9-1</f>
        <v>-0.13720930232558137</v>
      </c>
      <c r="DE23" s="324">
        <f t="shared" ref="DE23:DE26" si="33">+DE9/DA9-1</f>
        <v>8.212560386473422E-2</v>
      </c>
      <c r="DF23" s="324">
        <f t="shared" ref="DF23:DF26" si="34">+DF9/DB9-1</f>
        <v>-7.6117982873453727E-3</v>
      </c>
      <c r="DH23" s="324">
        <f t="shared" ref="DH23:DH26" si="35">+DH9/DD9-1</f>
        <v>0.9164420485175202</v>
      </c>
      <c r="DI23" s="324">
        <f t="shared" ref="DI23:DI26" si="36">+DI9/DE9-1</f>
        <v>0.26473363095238134</v>
      </c>
      <c r="DJ23" s="324">
        <f t="shared" ref="DJ23:DJ26" si="37">+DJ9/DF9-1</f>
        <v>0.49654937679769917</v>
      </c>
      <c r="DL23" s="324">
        <f t="shared" ref="DL23:DL26" si="38">+DL9/DH9-1</f>
        <v>0.27776745428973326</v>
      </c>
      <c r="DM23" s="324">
        <f t="shared" ref="DM23:DM26" si="39">+DM9/DI9-1</f>
        <v>0.33059555030527021</v>
      </c>
      <c r="DN23" s="324">
        <f t="shared" ref="DN23:DN26" si="40">+DN9/DJ9-1</f>
        <v>0.30653202784801836</v>
      </c>
      <c r="DP23" s="324">
        <f t="shared" ref="DP23:DP26" si="41">+DP9/DL9-1</f>
        <v>0.12094778219121749</v>
      </c>
      <c r="DQ23" s="324">
        <f t="shared" ref="DQ23:DQ26" si="42">+DQ9/DM9-1</f>
        <v>0.10354361217147279</v>
      </c>
      <c r="DR23" s="324">
        <f t="shared" ref="DR23:DR26" si="43">+DR9/DN9-1</f>
        <v>0.11129678242609509</v>
      </c>
    </row>
    <row r="24" spans="1:283">
      <c r="A24" s="323" t="str">
        <f t="shared" si="0"/>
        <v>Commodities &amp; Global Markets</v>
      </c>
      <c r="AZ24" s="324">
        <f t="shared" si="1"/>
        <v>-0.61426491994177579</v>
      </c>
      <c r="BA24" s="324">
        <f t="shared" si="2"/>
        <v>-0.31388888888888888</v>
      </c>
      <c r="BB24" s="324">
        <f t="shared" si="3"/>
        <v>-0.46055437100213215</v>
      </c>
      <c r="BD24" s="324">
        <f t="shared" si="4"/>
        <v>-1.0509433962264152</v>
      </c>
      <c r="BE24" s="324">
        <f t="shared" si="5"/>
        <v>-0.27597834008097166</v>
      </c>
      <c r="BF24" s="324">
        <f t="shared" si="6"/>
        <v>-0.5465524374176548</v>
      </c>
      <c r="BH24" s="324">
        <f t="shared" si="7"/>
        <v>-12.481481481481481</v>
      </c>
      <c r="BI24" s="324">
        <f t="shared" si="7"/>
        <v>9.3187316571552437E-4</v>
      </c>
      <c r="BJ24" s="324">
        <f t="shared" si="7"/>
        <v>0.4905567563625417</v>
      </c>
      <c r="BL24" s="324">
        <f t="shared" si="8"/>
        <v>0.76774193548387104</v>
      </c>
      <c r="BM24" s="324">
        <f t="shared" si="8"/>
        <v>0.56145251396648055</v>
      </c>
      <c r="BN24" s="324">
        <f t="shared" si="8"/>
        <v>0.62378167641325533</v>
      </c>
      <c r="BO24" s="1032"/>
      <c r="BP24" s="324">
        <f t="shared" si="9"/>
        <v>-2.5547445255474477E-2</v>
      </c>
      <c r="BQ24" s="324">
        <f t="shared" si="9"/>
        <v>0.13059033989266555</v>
      </c>
      <c r="BR24" s="324">
        <f t="shared" si="9"/>
        <v>7.9231692677070864E-2</v>
      </c>
      <c r="BS24" s="1032"/>
      <c r="BT24" s="324">
        <f t="shared" si="10"/>
        <v>0.95505617977528079</v>
      </c>
      <c r="BU24" s="324">
        <f t="shared" si="10"/>
        <v>-0.490506329113924</v>
      </c>
      <c r="BV24" s="324">
        <f t="shared" si="10"/>
        <v>-6.1179087875417149E-2</v>
      </c>
      <c r="BX24" s="324">
        <f t="shared" si="11"/>
        <v>-6.1302681992337127E-2</v>
      </c>
      <c r="BY24" s="324">
        <f t="shared" si="11"/>
        <v>0.4937888198757765</v>
      </c>
      <c r="BZ24" s="324">
        <f t="shared" si="11"/>
        <v>0.15047393364928907</v>
      </c>
      <c r="CB24" s="324">
        <f t="shared" si="11"/>
        <v>-0.22857142857142854</v>
      </c>
      <c r="CC24" s="324">
        <f t="shared" si="12"/>
        <v>0.10602910602910609</v>
      </c>
      <c r="CD24" s="324">
        <f t="shared" si="13"/>
        <v>-6.2821833161688989E-2</v>
      </c>
      <c r="CF24" s="324">
        <f t="shared" si="14"/>
        <v>1.2857142857142856</v>
      </c>
      <c r="CG24" s="324">
        <f t="shared" si="15"/>
        <v>0.65225563909774431</v>
      </c>
      <c r="CH24" s="324">
        <f t="shared" si="16"/>
        <v>0.91538461538461546</v>
      </c>
      <c r="CJ24" s="324">
        <f t="shared" si="17"/>
        <v>0.31944444444444442</v>
      </c>
      <c r="CK24" s="324">
        <f t="shared" si="18"/>
        <v>-0.31968145620022748</v>
      </c>
      <c r="CL24" s="324">
        <f t="shared" si="19"/>
        <v>-2.8686173264486081E-3</v>
      </c>
      <c r="CN24" s="324">
        <f t="shared" si="20"/>
        <v>-5.0877192982456187E-2</v>
      </c>
      <c r="CO24" s="324">
        <f t="shared" si="21"/>
        <v>1.540133779264214</v>
      </c>
      <c r="CP24" s="324">
        <f t="shared" si="22"/>
        <v>0.49654775604142687</v>
      </c>
      <c r="CR24" s="324">
        <f t="shared" si="23"/>
        <v>0.59796672828096109</v>
      </c>
      <c r="CS24" s="324">
        <f t="shared" si="24"/>
        <v>0.43647136273864384</v>
      </c>
      <c r="CT24" s="324">
        <f t="shared" si="25"/>
        <v>0.50365244136870424</v>
      </c>
      <c r="CV24" s="324">
        <f t="shared" si="26"/>
        <v>0.1544245228455754</v>
      </c>
      <c r="CW24" s="324">
        <f t="shared" si="27"/>
        <v>0.83822181484876257</v>
      </c>
      <c r="CX24" s="324">
        <f t="shared" si="28"/>
        <v>0.53592431603170554</v>
      </c>
      <c r="CZ24" s="324">
        <f t="shared" si="29"/>
        <v>-0.30711422845691383</v>
      </c>
      <c r="DA24" s="324">
        <f t="shared" si="30"/>
        <v>-0.54375467464472704</v>
      </c>
      <c r="DB24" s="324">
        <f t="shared" si="31"/>
        <v>-0.4651240219743632</v>
      </c>
      <c r="DD24" s="324">
        <f t="shared" si="32"/>
        <v>-4.8445408532176382E-2</v>
      </c>
      <c r="DE24" s="324">
        <f t="shared" si="33"/>
        <v>-0.17322404371584699</v>
      </c>
      <c r="DF24" s="324">
        <f t="shared" si="34"/>
        <v>-0.11951447245564895</v>
      </c>
      <c r="DH24" s="324">
        <f t="shared" si="35"/>
        <v>-0.1542553191489362</v>
      </c>
      <c r="DI24" s="324">
        <f t="shared" si="36"/>
        <v>0.25269662921348335</v>
      </c>
      <c r="DJ24" s="324">
        <f t="shared" si="37"/>
        <v>6.338989042064358E-2</v>
      </c>
      <c r="DL24" s="324">
        <f t="shared" si="38"/>
        <v>0.14051904761904765</v>
      </c>
      <c r="DM24" s="324">
        <f t="shared" si="39"/>
        <v>2.0432741000248056E-2</v>
      </c>
      <c r="DN24" s="324">
        <f t="shared" si="40"/>
        <v>6.4861397187143899E-2</v>
      </c>
      <c r="DP24" s="324">
        <f t="shared" si="41"/>
        <v>1.4108692185277993E-2</v>
      </c>
      <c r="DQ24" s="324">
        <f t="shared" si="42"/>
        <v>2.103574951157805E-2</v>
      </c>
      <c r="DR24" s="324">
        <f t="shared" si="43"/>
        <v>1.8290840641026707E-2</v>
      </c>
    </row>
    <row r="25" spans="1:283">
      <c r="A25" s="328" t="str">
        <f t="shared" si="0"/>
        <v>Capital Mkts</v>
      </c>
      <c r="AZ25" s="682">
        <f t="shared" si="1"/>
        <v>-0.4521276595744681</v>
      </c>
      <c r="BA25" s="682">
        <f t="shared" si="2"/>
        <v>-0.16645489199491736</v>
      </c>
      <c r="BB25" s="682">
        <f t="shared" si="3"/>
        <v>-0.2857142857142857</v>
      </c>
      <c r="BD25" s="682">
        <f t="shared" si="4"/>
        <v>-1.0177993527508091</v>
      </c>
      <c r="BE25" s="682">
        <f t="shared" si="5"/>
        <v>-0.3373978658536585</v>
      </c>
      <c r="BF25" s="682">
        <f t="shared" si="6"/>
        <v>-0.55526735751295342</v>
      </c>
      <c r="BH25" s="682">
        <f t="shared" si="7"/>
        <v>-31</v>
      </c>
      <c r="BI25" s="682">
        <f t="shared" si="7"/>
        <v>0.14570464286453766</v>
      </c>
      <c r="BJ25" s="682">
        <f t="shared" si="7"/>
        <v>0.54485316904608228</v>
      </c>
      <c r="BL25" s="682">
        <f t="shared" si="8"/>
        <v>1.2727272727272729</v>
      </c>
      <c r="BM25" s="682">
        <f t="shared" si="8"/>
        <v>0.48192771084337349</v>
      </c>
      <c r="BN25" s="682">
        <f t="shared" si="8"/>
        <v>0.67873303167420818</v>
      </c>
      <c r="BO25" s="1032"/>
      <c r="BP25" s="682">
        <f t="shared" si="9"/>
        <v>0.1120000000000001</v>
      </c>
      <c r="BQ25" s="682">
        <f t="shared" si="9"/>
        <v>0.2357723577235773</v>
      </c>
      <c r="BR25" s="682">
        <f t="shared" si="9"/>
        <v>0.19407008086253374</v>
      </c>
      <c r="BS25" s="1032"/>
      <c r="BT25" s="682">
        <f t="shared" si="10"/>
        <v>0.65947242206235002</v>
      </c>
      <c r="BU25" s="682">
        <f t="shared" si="10"/>
        <v>-0.33881578947368418</v>
      </c>
      <c r="BV25" s="682">
        <f t="shared" si="10"/>
        <v>-2.558314522197136E-2</v>
      </c>
      <c r="BX25" s="682">
        <f t="shared" si="11"/>
        <v>4.3352601156070314E-3</v>
      </c>
      <c r="BY25" s="682">
        <f t="shared" si="11"/>
        <v>0.25870646766169147</v>
      </c>
      <c r="BZ25" s="682">
        <f t="shared" si="11"/>
        <v>0.12277992277992289</v>
      </c>
      <c r="CB25" s="682">
        <f t="shared" si="11"/>
        <v>-0.16978417266187051</v>
      </c>
      <c r="CC25" s="682">
        <f t="shared" si="12"/>
        <v>0.38208168642951246</v>
      </c>
      <c r="CD25" s="682">
        <f t="shared" si="13"/>
        <v>0.11829436038514451</v>
      </c>
      <c r="CF25" s="682">
        <f t="shared" si="14"/>
        <v>1.3795493934142113</v>
      </c>
      <c r="CG25" s="682">
        <f t="shared" si="15"/>
        <v>1.043851286939943</v>
      </c>
      <c r="CH25" s="682">
        <f t="shared" si="16"/>
        <v>1.1629766297662978</v>
      </c>
      <c r="CJ25" s="682">
        <f t="shared" si="17"/>
        <v>-8.7399854333576332E-3</v>
      </c>
      <c r="CK25" s="682">
        <f t="shared" si="18"/>
        <v>-0.46828358208955223</v>
      </c>
      <c r="CL25" s="682">
        <f t="shared" si="19"/>
        <v>-0.28888257037247655</v>
      </c>
      <c r="CN25" s="682">
        <f t="shared" si="20"/>
        <v>-0.34386480529022778</v>
      </c>
      <c r="CO25" s="682">
        <f t="shared" si="21"/>
        <v>1.0692982456140352</v>
      </c>
      <c r="CP25" s="682">
        <f t="shared" si="22"/>
        <v>0.30027988804478212</v>
      </c>
      <c r="CR25" s="682">
        <f t="shared" si="23"/>
        <v>1.6931690929451286</v>
      </c>
      <c r="CS25" s="682">
        <f t="shared" si="24"/>
        <v>0.28317083509961849</v>
      </c>
      <c r="CT25" s="682">
        <f t="shared" si="25"/>
        <v>0.67035670356703569</v>
      </c>
      <c r="CV25" s="682">
        <f t="shared" si="26"/>
        <v>7.7338877338877232E-2</v>
      </c>
      <c r="CW25" s="682">
        <f t="shared" si="27"/>
        <v>0.39312851007598293</v>
      </c>
      <c r="CX25" s="682">
        <f t="shared" si="28"/>
        <v>0.25331369661266567</v>
      </c>
      <c r="CZ25" s="682">
        <f t="shared" si="29"/>
        <v>-0.30027016595908917</v>
      </c>
      <c r="DA25" s="682">
        <f t="shared" si="30"/>
        <v>-0.41878112402181644</v>
      </c>
      <c r="DB25" s="682">
        <f t="shared" si="31"/>
        <v>-0.37367802585193888</v>
      </c>
      <c r="DD25" s="682">
        <f t="shared" si="32"/>
        <v>-6.949806949806947E-2</v>
      </c>
      <c r="DE25" s="682">
        <f t="shared" si="33"/>
        <v>-0.10852713178294571</v>
      </c>
      <c r="DF25" s="682">
        <f t="shared" si="34"/>
        <v>-9.1932457786116362E-2</v>
      </c>
      <c r="DH25" s="682">
        <f t="shared" si="35"/>
        <v>8.1209247184350852E-2</v>
      </c>
      <c r="DI25" s="682">
        <f t="shared" si="36"/>
        <v>0.25639862700228866</v>
      </c>
      <c r="DJ25" s="682">
        <f t="shared" si="37"/>
        <v>0.18006998966942156</v>
      </c>
      <c r="DL25" s="682">
        <f t="shared" si="38"/>
        <v>0.1940188377192984</v>
      </c>
      <c r="DM25" s="682">
        <f t="shared" si="39"/>
        <v>0.11645660266840929</v>
      </c>
      <c r="DN25" s="682">
        <f t="shared" si="40"/>
        <v>0.14741881857144024</v>
      </c>
      <c r="DP25" s="682">
        <f t="shared" si="41"/>
        <v>5.8675916896936853E-2</v>
      </c>
      <c r="DQ25" s="682">
        <f t="shared" si="42"/>
        <v>5.1478858544466322E-2</v>
      </c>
      <c r="DR25" s="682">
        <f t="shared" si="43"/>
        <v>5.4468547131079958E-2</v>
      </c>
    </row>
    <row r="26" spans="1:283">
      <c r="A26" s="323" t="str">
        <f t="shared" si="0"/>
        <v>Macquarie Asset Management</v>
      </c>
      <c r="AZ26" s="324">
        <f t="shared" si="1"/>
        <v>-0.53658536585365857</v>
      </c>
      <c r="BA26" s="324">
        <f t="shared" si="2"/>
        <v>-0.18670886075949367</v>
      </c>
      <c r="BB26" s="324">
        <f t="shared" si="3"/>
        <v>-0.39975247524752477</v>
      </c>
      <c r="BD26" s="324">
        <f t="shared" si="4"/>
        <v>0.76023245614035129</v>
      </c>
      <c r="BE26" s="324">
        <f t="shared" si="5"/>
        <v>-5.058365758754868E-2</v>
      </c>
      <c r="BF26" s="324">
        <f t="shared" si="6"/>
        <v>0.3305835051546393</v>
      </c>
      <c r="BH26" s="324">
        <f t="shared" si="7"/>
        <v>-0.11295607388378248</v>
      </c>
      <c r="BI26" s="324">
        <f t="shared" si="7"/>
        <v>0.63524590163934436</v>
      </c>
      <c r="BJ26" s="324">
        <f t="shared" si="7"/>
        <v>0.16993862083606426</v>
      </c>
      <c r="BL26" s="324">
        <f t="shared" si="8"/>
        <v>0.40449438202247201</v>
      </c>
      <c r="BM26" s="324">
        <f t="shared" si="8"/>
        <v>0.38095238095238093</v>
      </c>
      <c r="BN26" s="324">
        <f t="shared" si="8"/>
        <v>0.39205298013245038</v>
      </c>
      <c r="BO26" s="1032"/>
      <c r="BP26" s="324">
        <f t="shared" si="9"/>
        <v>0.57000000000000006</v>
      </c>
      <c r="BQ26" s="324">
        <f t="shared" si="9"/>
        <v>0.2068965517241379</v>
      </c>
      <c r="BR26" s="324">
        <f t="shared" si="9"/>
        <v>0.37963843958135102</v>
      </c>
      <c r="BS26" s="1032"/>
      <c r="BT26" s="324">
        <f t="shared" si="10"/>
        <v>0.45095541401273875</v>
      </c>
      <c r="BU26" s="324">
        <f t="shared" si="10"/>
        <v>-0.24060150375939848</v>
      </c>
      <c r="BV26" s="324">
        <f t="shared" si="10"/>
        <v>0.13379310344827577</v>
      </c>
      <c r="BX26" s="324">
        <f t="shared" si="11"/>
        <v>-0.24758560140474095</v>
      </c>
      <c r="BY26" s="324">
        <f t="shared" si="11"/>
        <v>0.3485148514851486</v>
      </c>
      <c r="BZ26" s="324">
        <f t="shared" si="11"/>
        <v>-6.4476885644768833E-2</v>
      </c>
      <c r="CB26" s="324">
        <f t="shared" si="11"/>
        <v>0.33372228704784135</v>
      </c>
      <c r="CC26" s="324">
        <f t="shared" si="12"/>
        <v>-0.39060205580029372</v>
      </c>
      <c r="CD26" s="324">
        <f t="shared" si="13"/>
        <v>1.3003901170351106E-2</v>
      </c>
      <c r="CF26" s="324">
        <f t="shared" si="14"/>
        <v>-0.25634295713035871</v>
      </c>
      <c r="CG26" s="324">
        <f t="shared" si="15"/>
        <v>1.4626506024096386</v>
      </c>
      <c r="CH26" s="324">
        <f t="shared" si="16"/>
        <v>0.20154043645699615</v>
      </c>
      <c r="CJ26" s="324">
        <f t="shared" si="17"/>
        <v>0.32000000000000006</v>
      </c>
      <c r="CK26" s="324">
        <f t="shared" si="18"/>
        <v>3.2289628180039109E-2</v>
      </c>
      <c r="CL26" s="324">
        <f t="shared" si="19"/>
        <v>0.16292735042735051</v>
      </c>
      <c r="CN26" s="324">
        <f t="shared" si="20"/>
        <v>-5.3475935828876997E-2</v>
      </c>
      <c r="CO26" s="324">
        <f t="shared" si="21"/>
        <v>-4.0758293838862536E-2</v>
      </c>
      <c r="CP26" s="324">
        <f t="shared" si="22"/>
        <v>-4.7312815801561769E-2</v>
      </c>
      <c r="CR26" s="324">
        <f t="shared" si="23"/>
        <v>3.2956685499058391E-2</v>
      </c>
      <c r="CS26" s="324">
        <f t="shared" si="24"/>
        <v>0.90909090909090917</v>
      </c>
      <c r="CT26" s="324">
        <f t="shared" si="25"/>
        <v>0.46046287367405969</v>
      </c>
      <c r="CV26" s="324">
        <f t="shared" si="26"/>
        <v>0.27803099361896089</v>
      </c>
      <c r="CW26" s="324">
        <f t="shared" si="27"/>
        <v>-0.51345755693581774</v>
      </c>
      <c r="CX26" s="324">
        <f t="shared" si="28"/>
        <v>-0.22680752723671183</v>
      </c>
      <c r="CZ26" s="324">
        <f t="shared" si="29"/>
        <v>-0.70970042796005706</v>
      </c>
      <c r="DA26" s="324">
        <f t="shared" si="30"/>
        <v>-0.14787234042553188</v>
      </c>
      <c r="DB26" s="324">
        <f t="shared" si="31"/>
        <v>-0.48420153714773695</v>
      </c>
      <c r="DD26" s="324">
        <f t="shared" si="32"/>
        <v>1.0221130221130221</v>
      </c>
      <c r="DE26" s="324">
        <f t="shared" si="33"/>
        <v>0.53058676654182269</v>
      </c>
      <c r="DF26" s="324">
        <f t="shared" si="34"/>
        <v>0.69619205298013243</v>
      </c>
      <c r="DH26" s="324">
        <f t="shared" si="35"/>
        <v>0.42770352369380316</v>
      </c>
      <c r="DI26" s="324">
        <f t="shared" si="36"/>
        <v>0.15605881429101109</v>
      </c>
      <c r="DJ26" s="324">
        <f t="shared" si="37"/>
        <v>0.26516745062019509</v>
      </c>
      <c r="DL26" s="324">
        <f t="shared" si="38"/>
        <v>-0.16560855918066453</v>
      </c>
      <c r="DM26" s="324">
        <f t="shared" si="39"/>
        <v>-0.37685175060924569</v>
      </c>
      <c r="DN26" s="324">
        <f t="shared" si="40"/>
        <v>-0.28110355063279224</v>
      </c>
      <c r="DP26" s="324">
        <f t="shared" si="41"/>
        <v>2.474980688506756E-2</v>
      </c>
      <c r="DQ26" s="324">
        <f t="shared" si="42"/>
        <v>3.8645546152102472E-2</v>
      </c>
      <c r="DR26" s="324">
        <f t="shared" si="43"/>
        <v>3.1335282230953831E-2</v>
      </c>
    </row>
    <row r="27" spans="1:283">
      <c r="A27" s="323" t="str">
        <f t="shared" si="0"/>
        <v>Corporate &amp; Asset Finance</v>
      </c>
      <c r="AZ27" s="324">
        <f t="shared" si="1"/>
        <v>0.90697674418604657</v>
      </c>
      <c r="BA27" s="324">
        <f t="shared" si="2"/>
        <v>1.6031746031746033</v>
      </c>
      <c r="BB27" s="324">
        <f t="shared" si="3"/>
        <v>1.2509803921568627</v>
      </c>
      <c r="BD27" s="324">
        <f t="shared" si="4"/>
        <v>0.45326556910569105</v>
      </c>
      <c r="BE27" s="324">
        <f t="shared" si="5"/>
        <v>3.6585365853658569E-2</v>
      </c>
      <c r="BF27" s="324">
        <f t="shared" si="6"/>
        <v>0.21516259581881525</v>
      </c>
      <c r="BH27" s="324">
        <f t="shared" si="7"/>
        <v>-6.2945791302139731E-2</v>
      </c>
      <c r="BI27" s="324">
        <f t="shared" si="7"/>
        <v>5.5882352941176494E-2</v>
      </c>
      <c r="BJ27" s="324">
        <f t="shared" si="7"/>
        <v>-5.0226713612966378E-3</v>
      </c>
      <c r="BL27" s="324">
        <f t="shared" si="8"/>
        <v>0.18208955223880596</v>
      </c>
      <c r="BM27" s="324">
        <f t="shared" si="8"/>
        <v>0.19777158774373249</v>
      </c>
      <c r="BN27" s="324">
        <f t="shared" si="8"/>
        <v>0.19020172910662825</v>
      </c>
      <c r="BO27" s="1032"/>
      <c r="BP27" s="324">
        <f t="shared" si="9"/>
        <v>0.18181818181818188</v>
      </c>
      <c r="BQ27" s="324">
        <f t="shared" si="9"/>
        <v>0.49767441860465111</v>
      </c>
      <c r="BR27" s="324">
        <f t="shared" si="9"/>
        <v>0.34624697336561749</v>
      </c>
      <c r="BS27" s="1032"/>
      <c r="BT27" s="324">
        <f t="shared" si="10"/>
        <v>0.30555555555555558</v>
      </c>
      <c r="BU27" s="324">
        <f t="shared" si="10"/>
        <v>-0.19409937888198758</v>
      </c>
      <c r="BV27" s="324">
        <f t="shared" si="10"/>
        <v>1.618705035971213E-2</v>
      </c>
      <c r="BX27" s="324">
        <f t="shared" si="11"/>
        <v>-0.14729950900163669</v>
      </c>
      <c r="BY27" s="324">
        <f t="shared" si="11"/>
        <v>0.3044315992292872</v>
      </c>
      <c r="BZ27" s="324">
        <f t="shared" si="11"/>
        <v>6.0176991150442394E-2</v>
      </c>
      <c r="CB27" s="324">
        <f t="shared" si="11"/>
        <v>8.4452975047984546E-2</v>
      </c>
      <c r="CC27" s="324">
        <f t="shared" si="12"/>
        <v>-0.15066469719350073</v>
      </c>
      <c r="CD27" s="324">
        <f t="shared" si="13"/>
        <v>-4.8414023372287174E-2</v>
      </c>
      <c r="CF27" s="324"/>
      <c r="CG27" s="324"/>
      <c r="CH27" s="324"/>
      <c r="CJ27" s="324"/>
      <c r="CK27" s="324"/>
      <c r="CL27" s="324"/>
      <c r="CN27" s="324"/>
      <c r="CO27" s="324"/>
      <c r="CP27" s="324"/>
      <c r="CR27" s="324"/>
      <c r="CS27" s="324"/>
      <c r="CT27" s="324"/>
      <c r="CV27" s="324"/>
      <c r="CW27" s="324"/>
      <c r="CX27" s="324"/>
      <c r="CZ27" s="324"/>
      <c r="DA27" s="324"/>
      <c r="DB27" s="324"/>
      <c r="DD27" s="324"/>
      <c r="DE27" s="324"/>
      <c r="DF27" s="324"/>
      <c r="DH27" s="324"/>
      <c r="DI27" s="324"/>
      <c r="DJ27" s="324"/>
      <c r="DL27" s="324"/>
      <c r="DM27" s="324"/>
      <c r="DN27" s="324"/>
      <c r="DP27" s="324"/>
      <c r="DQ27" s="324"/>
      <c r="DR27" s="324"/>
    </row>
    <row r="28" spans="1:283">
      <c r="A28" s="323" t="str">
        <f t="shared" si="0"/>
        <v>Banking &amp; Financial Services</v>
      </c>
      <c r="AZ28" s="324">
        <f t="shared" si="1"/>
        <v>-2.4328467153284405E-2</v>
      </c>
      <c r="BA28" s="324">
        <f t="shared" si="2"/>
        <v>0.13440887096774179</v>
      </c>
      <c r="BB28" s="324">
        <f t="shared" si="3"/>
        <v>5.1086973180076711E-2</v>
      </c>
      <c r="BD28" s="324">
        <f t="shared" si="4"/>
        <v>8.7278834716121967E-2</v>
      </c>
      <c r="BE28" s="324">
        <f t="shared" si="5"/>
        <v>-7.7013251892594559E-2</v>
      </c>
      <c r="BF28" s="324">
        <f t="shared" si="6"/>
        <v>3.0368124659851947E-3</v>
      </c>
      <c r="BH28" s="324">
        <f t="shared" si="7"/>
        <v>-0.14678879513504417</v>
      </c>
      <c r="BI28" s="324">
        <f t="shared" si="7"/>
        <v>-8.3441484670751076E-2</v>
      </c>
      <c r="BJ28" s="324">
        <f t="shared" si="7"/>
        <v>-0.11689927709302095</v>
      </c>
      <c r="BL28" s="324">
        <f t="shared" si="8"/>
        <v>-0.10483870967741937</v>
      </c>
      <c r="BM28" s="324">
        <f t="shared" si="8"/>
        <v>0.25210084033613445</v>
      </c>
      <c r="BN28" s="324">
        <f t="shared" si="8"/>
        <v>6.9958847736625529E-2</v>
      </c>
      <c r="BO28" s="1032"/>
      <c r="BP28" s="324">
        <f t="shared" si="9"/>
        <v>0.27027027027027017</v>
      </c>
      <c r="BQ28" s="324">
        <f t="shared" si="9"/>
        <v>-3.3557046979865723E-2</v>
      </c>
      <c r="BR28" s="324">
        <f t="shared" si="9"/>
        <v>9.6153846153846256E-2</v>
      </c>
      <c r="BS28" s="1032"/>
      <c r="BT28" s="324">
        <f t="shared" si="10"/>
        <v>0.20567375886524819</v>
      </c>
      <c r="BU28" s="324">
        <f t="shared" si="10"/>
        <v>0.25</v>
      </c>
      <c r="BV28" s="324">
        <f t="shared" si="10"/>
        <v>0.22807017543859653</v>
      </c>
      <c r="BX28" s="324">
        <f t="shared" si="11"/>
        <v>0.53529411764705892</v>
      </c>
      <c r="BY28" s="324">
        <f t="shared" si="11"/>
        <v>0.39999999999999991</v>
      </c>
      <c r="BZ28" s="324">
        <f t="shared" si="11"/>
        <v>0.46571428571428575</v>
      </c>
      <c r="CB28" s="324">
        <f t="shared" si="11"/>
        <v>0.44444444444444442</v>
      </c>
      <c r="CC28" s="324">
        <f t="shared" si="12"/>
        <v>0.4285714285714286</v>
      </c>
      <c r="CD28" s="324">
        <f t="shared" si="13"/>
        <v>0.43664717348927873</v>
      </c>
      <c r="CF28" s="324">
        <f t="shared" si="14"/>
        <v>2.6525198938991412E-3</v>
      </c>
      <c r="CG28" s="324">
        <f t="shared" si="15"/>
        <v>5.0000000000000044E-2</v>
      </c>
      <c r="CH28" s="324">
        <f t="shared" si="16"/>
        <v>2.5780189959294431E-2</v>
      </c>
      <c r="CJ28" s="324">
        <f t="shared" si="17"/>
        <v>1.8518518518518601E-2</v>
      </c>
      <c r="CK28" s="324">
        <f t="shared" ref="CK28" si="44">+CK14/CG14-1</f>
        <v>1.8518518518518601E-2</v>
      </c>
      <c r="CL28" s="324">
        <f t="shared" ref="CL28" si="45">+CL14/CH14-1</f>
        <v>1.8518518518518601E-2</v>
      </c>
      <c r="CN28" s="324">
        <f t="shared" si="20"/>
        <v>-0.17662337662337657</v>
      </c>
      <c r="CO28" s="324">
        <f t="shared" ref="CO28" si="46">+CO14/CK14-1</f>
        <v>0.17922077922077917</v>
      </c>
      <c r="CP28" s="324">
        <f t="shared" ref="CP28" si="47">+CP14/CL14-1</f>
        <v>1.2987012987013546E-3</v>
      </c>
      <c r="CR28" s="324">
        <f t="shared" si="23"/>
        <v>0.52050473186119883</v>
      </c>
      <c r="CS28" s="324">
        <f t="shared" si="24"/>
        <v>0.14317180616740077</v>
      </c>
      <c r="CT28" s="324">
        <f t="shared" si="25"/>
        <v>0.2983138780804151</v>
      </c>
      <c r="CV28" s="324">
        <f t="shared" si="26"/>
        <v>0.20331950207468874</v>
      </c>
      <c r="CW28" s="324">
        <f t="shared" ref="CW28" si="48">+CW14/CS14-1</f>
        <v>0.19460500963391136</v>
      </c>
      <c r="CX28" s="324">
        <f t="shared" ref="CX28" si="49">+CX14/CT14-1</f>
        <v>0.19880119880119884</v>
      </c>
      <c r="CZ28" s="324">
        <f t="shared" ref="CZ28" si="50">+CZ14/CV14-1</f>
        <v>0.10000000000000009</v>
      </c>
      <c r="DA28" s="324">
        <f t="shared" ref="DA28" si="51">+DA14/CW14-1</f>
        <v>-2.741935483870972E-2</v>
      </c>
      <c r="DB28" s="324">
        <f t="shared" ref="DB28" si="52">+DB14/CX14-1</f>
        <v>3.4166666666666679E-2</v>
      </c>
      <c r="DD28" s="324">
        <f t="shared" ref="DD28" si="53">+DD14/CZ14-1</f>
        <v>1.8808777429467183E-2</v>
      </c>
      <c r="DE28" s="324">
        <f t="shared" ref="DE28" si="54">+DE14/DA14-1</f>
        <v>0.21061359867330021</v>
      </c>
      <c r="DF28" s="324">
        <f t="shared" ref="DF28" si="55">+DF14/DB14-1</f>
        <v>0.11200644641418211</v>
      </c>
      <c r="DH28" s="324">
        <f t="shared" ref="DH28" si="56">+DH14/DD14-1</f>
        <v>0.21999999999999997</v>
      </c>
      <c r="DI28" s="324">
        <f t="shared" ref="DI28" si="57">+DI14/DE14-1</f>
        <v>0.12787401765757767</v>
      </c>
      <c r="DJ28" s="324">
        <f t="shared" ref="DJ28" si="58">+DJ14/DF14-1</f>
        <v>0.17126669050002286</v>
      </c>
      <c r="DL28" s="324">
        <f t="shared" ref="DL28" si="59">+DL14/DH14-1</f>
        <v>0.17170945553877415</v>
      </c>
      <c r="DM28" s="324">
        <f t="shared" ref="DM28" si="60">+DM14/DI14-1</f>
        <v>0.23095483369228997</v>
      </c>
      <c r="DN28" s="324">
        <f t="shared" ref="DN28" si="61">+DN14/DJ14-1</f>
        <v>0.20188833073640433</v>
      </c>
      <c r="DP28" s="324">
        <f t="shared" ref="DP28" si="62">+DP14/DL14-1</f>
        <v>0.135409454151173</v>
      </c>
      <c r="DQ28" s="324">
        <f t="shared" ref="DQ28" si="63">+DQ14/DM14-1</f>
        <v>0.11724467436763852</v>
      </c>
      <c r="DR28" s="324">
        <f t="shared" ref="DR28" si="64">+DR14/DN14-1</f>
        <v>0.1259327633750762</v>
      </c>
    </row>
    <row r="29" spans="1:283">
      <c r="A29" s="323" t="str">
        <f t="shared" si="0"/>
        <v>Real Estate Banking</v>
      </c>
      <c r="AZ29" s="324">
        <f t="shared" si="1"/>
        <v>-0.53448275862068972</v>
      </c>
      <c r="BA29" s="324">
        <f t="shared" si="2"/>
        <v>-0.84705882352941175</v>
      </c>
      <c r="BB29" s="324">
        <f t="shared" si="3"/>
        <v>-0.7202797202797202</v>
      </c>
      <c r="BD29" s="324">
        <f t="shared" si="4"/>
        <v>-1</v>
      </c>
      <c r="BE29" s="324">
        <f t="shared" si="5"/>
        <v>-1</v>
      </c>
      <c r="BF29" s="324">
        <f t="shared" si="6"/>
        <v>-1</v>
      </c>
      <c r="BH29" s="324"/>
      <c r="BI29" s="324"/>
      <c r="BJ29" s="324"/>
      <c r="BL29" s="324"/>
      <c r="BM29" s="324"/>
      <c r="BN29" s="324"/>
      <c r="BP29" s="324"/>
      <c r="BQ29" s="324"/>
      <c r="BR29" s="324"/>
      <c r="BT29" s="324"/>
      <c r="BU29" s="324"/>
      <c r="BV29" s="324"/>
      <c r="BX29" s="324"/>
      <c r="BY29" s="324"/>
      <c r="BZ29" s="324"/>
      <c r="CB29" s="324"/>
      <c r="CC29" s="324"/>
      <c r="CD29" s="324"/>
      <c r="CF29" s="324"/>
      <c r="CG29" s="324"/>
      <c r="CH29" s="324"/>
      <c r="CJ29" s="324"/>
      <c r="CK29" s="324"/>
      <c r="CL29" s="324"/>
      <c r="CN29" s="324"/>
      <c r="CO29" s="324"/>
      <c r="CP29" s="324"/>
      <c r="CR29" s="324"/>
      <c r="CS29" s="324"/>
      <c r="CT29" s="324"/>
      <c r="CV29" s="324"/>
      <c r="CW29" s="324"/>
      <c r="CX29" s="324"/>
      <c r="CZ29" s="324"/>
      <c r="DA29" s="324"/>
      <c r="DB29" s="324"/>
      <c r="DD29" s="324"/>
      <c r="DE29" s="324"/>
      <c r="DF29" s="324"/>
      <c r="DH29" s="324"/>
      <c r="DI29" s="324"/>
      <c r="DJ29" s="324"/>
      <c r="DL29" s="324"/>
      <c r="DM29" s="324"/>
      <c r="DN29" s="324"/>
      <c r="DP29" s="324"/>
      <c r="DQ29" s="324"/>
      <c r="DR29" s="324"/>
    </row>
    <row r="30" spans="1:283">
      <c r="A30" s="328" t="str">
        <f t="shared" si="0"/>
        <v>Annuity</v>
      </c>
      <c r="AZ30" s="682">
        <f t="shared" si="1"/>
        <v>-0.17047571428571429</v>
      </c>
      <c r="BA30" s="682">
        <f t="shared" si="2"/>
        <v>0.48163555093555099</v>
      </c>
      <c r="BB30" s="682">
        <f t="shared" si="3"/>
        <v>9.5117442845046751E-2</v>
      </c>
      <c r="BD30" s="682">
        <f t="shared" si="4"/>
        <v>0.55712246433842449</v>
      </c>
      <c r="BE30" s="682">
        <f t="shared" si="5"/>
        <v>1.6372309804848495E-3</v>
      </c>
      <c r="BF30" s="682">
        <f t="shared" si="6"/>
        <v>0.25103299326384199</v>
      </c>
      <c r="BH30" s="682">
        <f t="shared" ref="BH30:BJ33" si="65">+BH16/BD16-1</f>
        <v>-9.862046571946903E-2</v>
      </c>
      <c r="BI30" s="682">
        <f t="shared" si="65"/>
        <v>0.22857781261316545</v>
      </c>
      <c r="BJ30" s="682">
        <f t="shared" si="65"/>
        <v>4.573345293837594E-2</v>
      </c>
      <c r="BL30" s="682">
        <f t="shared" ref="BL30:BN33" si="66">+BL16/BH16-1</f>
        <v>0.23558282208588954</v>
      </c>
      <c r="BM30" s="682">
        <f t="shared" si="66"/>
        <v>0.28848346636259969</v>
      </c>
      <c r="BN30" s="682">
        <f t="shared" si="66"/>
        <v>0.26300236406619382</v>
      </c>
      <c r="BP30" s="682">
        <f t="shared" ref="BP30:BR33" si="67">+BP16/BL16-1</f>
        <v>0.3843098311817279</v>
      </c>
      <c r="BQ30" s="682">
        <f t="shared" si="67"/>
        <v>0.2858407079646017</v>
      </c>
      <c r="BR30" s="682">
        <f t="shared" si="67"/>
        <v>0.33224145999064114</v>
      </c>
      <c r="BT30" s="682">
        <f t="shared" ref="BT30:BV33" si="68">+BT16/BP16-1</f>
        <v>0.37733142037302736</v>
      </c>
      <c r="BU30" s="682">
        <f t="shared" si="68"/>
        <v>-0.17136958017894011</v>
      </c>
      <c r="BV30" s="682">
        <f t="shared" si="68"/>
        <v>9.7295398665261601E-2</v>
      </c>
      <c r="BX30" s="682">
        <f t="shared" ref="BX30:CB33" si="69">+BX16/BT16-1</f>
        <v>-0.14635416666666667</v>
      </c>
      <c r="BY30" s="682">
        <f t="shared" si="69"/>
        <v>0.33720930232558133</v>
      </c>
      <c r="BZ30" s="682">
        <f t="shared" si="69"/>
        <v>4.0012804097311117E-2</v>
      </c>
      <c r="CB30" s="682">
        <f t="shared" si="69"/>
        <v>0.27211714460036607</v>
      </c>
      <c r="CC30" s="682">
        <f t="shared" ref="CC30:CC33" si="70">+CC16/BY16-1</f>
        <v>-0.16149068322981364</v>
      </c>
      <c r="CD30" s="682">
        <f t="shared" ref="CD30:CD33" si="71">+CD16/BZ16-1</f>
        <v>5.724838411819011E-2</v>
      </c>
      <c r="CF30" s="682">
        <f t="shared" ref="CF30:CF33" si="72">+CF16/CB16-1</f>
        <v>-0.41103117505995201</v>
      </c>
      <c r="CG30" s="682">
        <f t="shared" ref="CG30:CG33" si="73">+CG16/CC16-1</f>
        <v>3.7037037037036979E-2</v>
      </c>
      <c r="CH30" s="682">
        <f t="shared" ref="CH30:CH33" si="74">+CH16/CD16-1</f>
        <v>-0.23493449781659392</v>
      </c>
      <c r="CJ30" s="682">
        <f t="shared" ref="CJ30:CJ33" si="75">+CJ16/CF16-1</f>
        <v>0.2271986970684039</v>
      </c>
      <c r="CK30" s="682">
        <f t="shared" ref="CK30:CK33" si="76">+CK16/CG16-1</f>
        <v>2.857142857142847E-2</v>
      </c>
      <c r="CL30" s="682">
        <f t="shared" ref="CL30:CL33" si="77">+CL16/CH16-1</f>
        <v>0.12138508371385082</v>
      </c>
      <c r="CN30" s="682">
        <f t="shared" ref="CN30:CN33" si="78">+CN16/CJ16-1</f>
        <v>-8.4936960849369636E-2</v>
      </c>
      <c r="CO30" s="682">
        <f t="shared" ref="CO30:CO33" si="79">+CO16/CK16-1</f>
        <v>1.8055555555555491E-2</v>
      </c>
      <c r="CP30" s="682">
        <f t="shared" ref="CP30:CP33" si="80">+CP16/CL16-1</f>
        <v>-3.4611469290804164E-2</v>
      </c>
      <c r="CR30" s="682">
        <f t="shared" ref="CR30:CR33" si="81">+CR16/CN16-1</f>
        <v>0.14503263234227703</v>
      </c>
      <c r="CS30" s="682">
        <f t="shared" ref="CS30:CS33" si="82">+CS16/CO16-1</f>
        <v>0.67189631650750337</v>
      </c>
      <c r="CT30" s="682">
        <f t="shared" ref="CT30:CT33" si="83">+CT16/CP16-1</f>
        <v>0.41652021089630931</v>
      </c>
      <c r="CV30" s="682">
        <f t="shared" ref="CV30:CV33" si="84">+CV16/CR16-1</f>
        <v>0.25522482583913875</v>
      </c>
      <c r="CW30" s="682">
        <f t="shared" ref="CW30:CW33" si="85">+CW16/CS16-1</f>
        <v>-0.36352509179926562</v>
      </c>
      <c r="CX30" s="682">
        <f t="shared" ref="CX30:CX33" si="86">+CX16/CT16-1</f>
        <v>-0.12109181141439207</v>
      </c>
      <c r="CZ30" s="682">
        <f t="shared" ref="CZ30:CZ33" si="87">+CZ16/CV16-1</f>
        <v>-0.4727547931382442</v>
      </c>
      <c r="DA30" s="682">
        <f t="shared" ref="DA30:DA33" si="88">+DA16/CW16-1</f>
        <v>-9.9999999999999978E-2</v>
      </c>
      <c r="DB30" s="682">
        <f t="shared" ref="DB30:DB33" si="89">+DB16/CX16-1</f>
        <v>-0.30858272162619993</v>
      </c>
      <c r="DD30" s="682">
        <f t="shared" ref="DD30:DD33" si="90">+DD16/CZ16-1</f>
        <v>0.40956937799043058</v>
      </c>
      <c r="DE30" s="682">
        <f t="shared" ref="DE30:DE33" si="91">+DE16/DA16-1</f>
        <v>0.3931623931623931</v>
      </c>
      <c r="DF30" s="682">
        <f t="shared" ref="DF30:DF33" si="92">+DF16/DB16-1</f>
        <v>0.40016333197223353</v>
      </c>
      <c r="DH30" s="682">
        <f t="shared" ref="DH30:DH33" si="93">+DH16/DD16-1</f>
        <v>0.3360488798370671</v>
      </c>
      <c r="DI30" s="682">
        <f t="shared" ref="DI30:DI33" si="94">+DI16/DE16-1</f>
        <v>0.14553994847178475</v>
      </c>
      <c r="DJ30" s="682">
        <f t="shared" ref="DJ30:DJ33" si="95">+DJ16/DF16-1</f>
        <v>0.2273771184633453</v>
      </c>
      <c r="DL30" s="682">
        <f t="shared" ref="DL30:DL33" si="96">+DL16/DH16-1</f>
        <v>-2.9687224997476114E-2</v>
      </c>
      <c r="DM30" s="682">
        <f t="shared" ref="DM30:DM33" si="97">+DM16/DI16-1</f>
        <v>-0.15351007851086851</v>
      </c>
      <c r="DN30" s="682">
        <f t="shared" ref="DN30:DN33" si="98">+DN16/DJ16-1</f>
        <v>-9.560983443077864E-2</v>
      </c>
      <c r="DP30" s="682">
        <f t="shared" ref="DP30:DP33" si="99">+DP16/DL16-1</f>
        <v>7.8594829056018556E-2</v>
      </c>
      <c r="DQ30" s="682">
        <f t="shared" ref="DQ30:DQ33" si="100">+DQ16/DM16-1</f>
        <v>8.0644881565660631E-2</v>
      </c>
      <c r="DR30" s="682">
        <f t="shared" ref="DR30:DR33" si="101">+DR16/DN16-1</f>
        <v>7.961639057999137E-2</v>
      </c>
    </row>
    <row r="31" spans="1:283">
      <c r="A31" s="1190" t="str">
        <f t="shared" si="0"/>
        <v>Operating Businesses</v>
      </c>
      <c r="B31" s="1104"/>
      <c r="C31" s="1104"/>
      <c r="D31" s="1104"/>
      <c r="E31" s="1104"/>
      <c r="F31" s="1104"/>
      <c r="G31" s="1104"/>
      <c r="H31" s="1104"/>
      <c r="I31" s="1104"/>
      <c r="J31" s="1104"/>
      <c r="K31" s="1104"/>
      <c r="L31" s="1104"/>
      <c r="M31" s="1104"/>
      <c r="N31" s="1104"/>
      <c r="O31" s="1104"/>
      <c r="P31" s="1104"/>
      <c r="Q31" s="1104"/>
      <c r="R31" s="1104"/>
      <c r="S31" s="1104"/>
      <c r="T31" s="1104"/>
      <c r="U31" s="1104"/>
      <c r="V31" s="1104"/>
      <c r="W31" s="1104"/>
      <c r="X31" s="1104"/>
      <c r="Y31" s="1104"/>
      <c r="Z31" s="1104"/>
      <c r="AA31" s="1104"/>
      <c r="AB31" s="1104"/>
      <c r="AC31" s="1104"/>
      <c r="AD31" s="1104"/>
      <c r="AE31" s="1104"/>
      <c r="AF31" s="1104"/>
      <c r="AG31" s="1104"/>
      <c r="AH31" s="1104"/>
      <c r="AI31" s="1104"/>
      <c r="AJ31" s="1104"/>
      <c r="AK31" s="1104"/>
      <c r="AL31" s="1104"/>
      <c r="AM31" s="1104"/>
      <c r="AN31" s="1105"/>
      <c r="AO31" s="1105"/>
      <c r="AP31" s="1105"/>
      <c r="AQ31" s="1105"/>
      <c r="AR31" s="1105"/>
      <c r="AS31" s="1105"/>
      <c r="AT31" s="1105"/>
      <c r="AU31" s="1105"/>
      <c r="AV31" s="1105"/>
      <c r="AW31" s="1105"/>
      <c r="AX31" s="1105"/>
      <c r="AY31" s="1105"/>
      <c r="AZ31" s="1191">
        <f t="shared" si="1"/>
        <v>-0.29614952531645566</v>
      </c>
      <c r="BA31" s="1191">
        <f t="shared" si="2"/>
        <v>7.9390141955836047E-2</v>
      </c>
      <c r="BB31" s="1191">
        <f t="shared" si="3"/>
        <v>-0.1080830568720379</v>
      </c>
      <c r="BC31" s="1105"/>
      <c r="BD31" s="1191">
        <f t="shared" si="4"/>
        <v>1.0119100742187692E-2</v>
      </c>
      <c r="BE31" s="1191">
        <f t="shared" si="5"/>
        <v>-0.16086180806473915</v>
      </c>
      <c r="BF31" s="1191">
        <f t="shared" si="6"/>
        <v>-9.3504148656153085E-2</v>
      </c>
      <c r="BG31" s="1105"/>
      <c r="BH31" s="1191">
        <f t="shared" si="65"/>
        <v>9.0500855136275149E-2</v>
      </c>
      <c r="BI31" s="1191">
        <f t="shared" si="65"/>
        <v>0.19721323586711526</v>
      </c>
      <c r="BJ31" s="1191">
        <f t="shared" si="65"/>
        <v>0.15036848451867546</v>
      </c>
      <c r="BK31" s="1105"/>
      <c r="BL31" s="1191">
        <f t="shared" si="66"/>
        <v>0.41020408163265309</v>
      </c>
      <c r="BM31" s="1191">
        <f t="shared" si="66"/>
        <v>0.3585454545454545</v>
      </c>
      <c r="BN31" s="1191">
        <f t="shared" si="66"/>
        <v>0.38004246284501053</v>
      </c>
      <c r="BO31" s="1105"/>
      <c r="BP31" s="1191">
        <f t="shared" si="67"/>
        <v>0.31041968162083933</v>
      </c>
      <c r="BQ31" s="1191">
        <f t="shared" si="67"/>
        <v>0.26605995717344744</v>
      </c>
      <c r="BR31" s="1191">
        <f t="shared" si="67"/>
        <v>0.28492307692307683</v>
      </c>
      <c r="BS31" s="1105"/>
      <c r="BT31" s="1191">
        <f t="shared" si="68"/>
        <v>0.4422970734400884</v>
      </c>
      <c r="BU31" s="1191">
        <f t="shared" si="68"/>
        <v>-0.23594080338266388</v>
      </c>
      <c r="BV31" s="1191">
        <f t="shared" si="68"/>
        <v>5.8189655172413701E-2</v>
      </c>
      <c r="BW31" s="1105"/>
      <c r="BX31" s="1191">
        <f t="shared" si="69"/>
        <v>-0.10643185298621749</v>
      </c>
      <c r="BY31" s="1191">
        <f t="shared" si="69"/>
        <v>0.31101272827891524</v>
      </c>
      <c r="BZ31" s="1191">
        <f t="shared" si="69"/>
        <v>6.4267933921701825E-2</v>
      </c>
      <c r="CA31" s="1105"/>
      <c r="CB31" s="1191">
        <f t="shared" si="69"/>
        <v>0.14053127677806332</v>
      </c>
      <c r="CC31" s="1191">
        <f t="shared" si="70"/>
        <v>1.2663571127057738E-2</v>
      </c>
      <c r="CD31" s="1191">
        <f t="shared" si="71"/>
        <v>7.6121624495003148E-2</v>
      </c>
      <c r="CE31" s="1105"/>
      <c r="CF31" s="1191">
        <f t="shared" si="72"/>
        <v>-2.2915101427498086E-2</v>
      </c>
      <c r="CG31" s="1191">
        <f t="shared" si="73"/>
        <v>0.47728220091704876</v>
      </c>
      <c r="CH31" s="1191">
        <f t="shared" si="74"/>
        <v>0.21418691958111036</v>
      </c>
      <c r="CI31" s="1105"/>
      <c r="CJ31" s="1191">
        <f t="shared" si="75"/>
        <v>0.10265282583621693</v>
      </c>
      <c r="CK31" s="1191">
        <f t="shared" si="76"/>
        <v>-0.27200902934537241</v>
      </c>
      <c r="CL31" s="1191">
        <f t="shared" si="77"/>
        <v>-0.11342554922701387</v>
      </c>
      <c r="CM31" s="1105"/>
      <c r="CN31" s="1191">
        <f t="shared" si="78"/>
        <v>-0.20781032078103212</v>
      </c>
      <c r="CO31" s="1191">
        <f t="shared" si="79"/>
        <v>0.48255813953488369</v>
      </c>
      <c r="CP31" s="1191">
        <f t="shared" si="80"/>
        <v>0.11912628487518351</v>
      </c>
      <c r="CR31" s="1191">
        <f t="shared" si="81"/>
        <v>0.75352112676056349</v>
      </c>
      <c r="CS31" s="1191">
        <f t="shared" si="82"/>
        <v>0.43215686274509801</v>
      </c>
      <c r="CT31" s="1191">
        <f t="shared" si="83"/>
        <v>0.55191077579137282</v>
      </c>
      <c r="CV31" s="1191">
        <f t="shared" si="84"/>
        <v>0.14784136546184734</v>
      </c>
      <c r="CW31" s="1191">
        <f t="shared" si="85"/>
        <v>5.4581964220518531E-2</v>
      </c>
      <c r="CX31" s="1191">
        <f t="shared" si="86"/>
        <v>9.3849080532656837E-2</v>
      </c>
      <c r="CZ31" s="1191">
        <f t="shared" si="87"/>
        <v>-0.37502733435381586</v>
      </c>
      <c r="DA31" s="1191">
        <f t="shared" si="88"/>
        <v>-0.33269863250822229</v>
      </c>
      <c r="DB31" s="1191">
        <f t="shared" si="89"/>
        <v>-0.35140096618357486</v>
      </c>
      <c r="DD31" s="1191">
        <f t="shared" si="90"/>
        <v>0.105668299510147</v>
      </c>
      <c r="DE31" s="1191">
        <f t="shared" si="91"/>
        <v>7.4189364461737961E-2</v>
      </c>
      <c r="DF31" s="1191">
        <f t="shared" si="92"/>
        <v>8.7591240875912302E-2</v>
      </c>
      <c r="DH31" s="1191">
        <f t="shared" si="93"/>
        <v>0.19999999999999996</v>
      </c>
      <c r="DI31" s="1191">
        <f t="shared" si="94"/>
        <v>0.20403456633924466</v>
      </c>
      <c r="DJ31" s="1191">
        <f t="shared" si="95"/>
        <v>0.20228833573631189</v>
      </c>
      <c r="DL31" s="1191">
        <f t="shared" si="96"/>
        <v>7.7918222891605327E-2</v>
      </c>
      <c r="DM31" s="1191">
        <f t="shared" si="97"/>
        <v>-4.8669366617049015E-3</v>
      </c>
      <c r="DN31" s="1191">
        <f t="shared" si="98"/>
        <v>3.089572521744266E-2</v>
      </c>
      <c r="DP31" s="1191">
        <f t="shared" si="99"/>
        <v>6.7981601246543288E-2</v>
      </c>
      <c r="DQ31" s="1191">
        <f t="shared" si="100"/>
        <v>6.2628290817100085E-2</v>
      </c>
      <c r="DR31" s="1191">
        <f t="shared" si="101"/>
        <v>6.5046371846430473E-2</v>
      </c>
    </row>
    <row r="32" spans="1:283">
      <c r="A32" s="323" t="str">
        <f t="shared" si="0"/>
        <v>Corporate</v>
      </c>
      <c r="AZ32" s="324">
        <f t="shared" si="1"/>
        <v>-0.38046713375796182</v>
      </c>
      <c r="BA32" s="324">
        <f t="shared" si="2"/>
        <v>0.16977522238163556</v>
      </c>
      <c r="BB32" s="324">
        <f t="shared" si="3"/>
        <v>-0.12168243589743577</v>
      </c>
      <c r="BD32" s="324">
        <f t="shared" si="4"/>
        <v>0.22137774649607578</v>
      </c>
      <c r="BE32" s="324">
        <f t="shared" si="5"/>
        <v>-0.11161119833038113</v>
      </c>
      <c r="BF32" s="324">
        <f t="shared" si="6"/>
        <v>1.2801311500164836E-2</v>
      </c>
      <c r="BH32" s="324">
        <f t="shared" si="65"/>
        <v>4.2093384126210776E-2</v>
      </c>
      <c r="BI32" s="324">
        <f t="shared" si="65"/>
        <v>0.22181372379830822</v>
      </c>
      <c r="BJ32" s="324">
        <f t="shared" si="65"/>
        <v>0.14083755696706723</v>
      </c>
      <c r="BL32" s="324">
        <f t="shared" si="66"/>
        <v>0.42326332794830379</v>
      </c>
      <c r="BM32" s="324">
        <f t="shared" si="66"/>
        <v>0.24745762711864416</v>
      </c>
      <c r="BN32" s="324">
        <f t="shared" si="66"/>
        <v>0.31981382978723394</v>
      </c>
      <c r="BP32" s="324">
        <f t="shared" si="67"/>
        <v>0.28603859250851316</v>
      </c>
      <c r="BQ32" s="324">
        <f t="shared" si="67"/>
        <v>0.30344202898550732</v>
      </c>
      <c r="BR32" s="324">
        <f t="shared" si="67"/>
        <v>0.29571788413098243</v>
      </c>
      <c r="BT32" s="324">
        <f t="shared" si="68"/>
        <v>0.36098852603706977</v>
      </c>
      <c r="BU32" s="324">
        <f t="shared" si="68"/>
        <v>-0.43432939541348159</v>
      </c>
      <c r="BV32" s="324">
        <f t="shared" si="68"/>
        <v>-8.3981337480559914E-2</v>
      </c>
      <c r="BX32" s="324">
        <f t="shared" si="69"/>
        <v>-0.16731517509727623</v>
      </c>
      <c r="BY32" s="324">
        <f t="shared" si="69"/>
        <v>0.47665847665847672</v>
      </c>
      <c r="BZ32" s="324">
        <f t="shared" si="69"/>
        <v>5.5178268251273366E-2</v>
      </c>
      <c r="CB32" s="324">
        <f t="shared" si="69"/>
        <v>0.10124610591900307</v>
      </c>
      <c r="CC32" s="324">
        <f t="shared" si="70"/>
        <v>-9.3178036605657266E-2</v>
      </c>
      <c r="CD32" s="324">
        <f t="shared" si="71"/>
        <v>7.2405470635559244E-3</v>
      </c>
      <c r="CF32" s="324">
        <f t="shared" si="72"/>
        <v>-8.6987270155586938E-2</v>
      </c>
      <c r="CG32" s="324">
        <f t="shared" si="73"/>
        <v>0.71743119266055055</v>
      </c>
      <c r="CH32" s="324">
        <f t="shared" si="74"/>
        <v>0.26317891373801916</v>
      </c>
      <c r="CJ32" s="324">
        <f t="shared" si="75"/>
        <v>9.2951200619674657E-2</v>
      </c>
      <c r="CK32" s="324">
        <f t="shared" si="76"/>
        <v>-0.30235042735042739</v>
      </c>
      <c r="CL32" s="324">
        <f t="shared" si="77"/>
        <v>-0.14100537464432505</v>
      </c>
      <c r="CN32" s="324">
        <f t="shared" si="78"/>
        <v>-8.7880935506732816E-2</v>
      </c>
      <c r="CO32" s="324">
        <f t="shared" si="79"/>
        <v>0.37442572741194491</v>
      </c>
      <c r="CP32" s="324">
        <f t="shared" si="80"/>
        <v>0.13433934486566068</v>
      </c>
      <c r="CR32" s="324">
        <f t="shared" si="81"/>
        <v>0.50815850815850805</v>
      </c>
      <c r="CS32" s="324">
        <f t="shared" si="82"/>
        <v>0.56824512534818949</v>
      </c>
      <c r="CT32" s="324">
        <f t="shared" si="83"/>
        <v>0.5431537962362103</v>
      </c>
      <c r="CV32" s="324">
        <f t="shared" si="84"/>
        <v>0.16846986089644522</v>
      </c>
      <c r="CW32" s="324">
        <f t="shared" si="85"/>
        <v>3.0550621669626965E-2</v>
      </c>
      <c r="CX32" s="324">
        <f t="shared" si="86"/>
        <v>8.6837678721614742E-2</v>
      </c>
      <c r="CZ32" s="324">
        <f t="shared" si="87"/>
        <v>-0.36375661375661372</v>
      </c>
      <c r="DA32" s="324">
        <f t="shared" si="88"/>
        <v>-0.39744915546363324</v>
      </c>
      <c r="DB32" s="324">
        <f t="shared" si="89"/>
        <v>-0.38266589282259622</v>
      </c>
      <c r="DD32" s="324">
        <f t="shared" si="90"/>
        <v>7.2765072765072825E-2</v>
      </c>
      <c r="DE32" s="324">
        <f t="shared" si="91"/>
        <v>0.16590389016018303</v>
      </c>
      <c r="DF32" s="324">
        <f t="shared" si="92"/>
        <v>0.12378564713256024</v>
      </c>
      <c r="DH32" s="324">
        <f t="shared" si="93"/>
        <v>0.3804909560723515</v>
      </c>
      <c r="DI32" s="324">
        <f t="shared" si="94"/>
        <v>0.21109761592102205</v>
      </c>
      <c r="DJ32" s="324">
        <f t="shared" si="95"/>
        <v>0.28422112137396627</v>
      </c>
      <c r="DL32" s="324">
        <f t="shared" si="96"/>
        <v>1.6204333594113107E-2</v>
      </c>
      <c r="DM32" s="324">
        <f t="shared" si="97"/>
        <v>-6.6221465688186543E-2</v>
      </c>
      <c r="DN32" s="324">
        <f t="shared" si="98"/>
        <v>-2.7972684943760484E-2</v>
      </c>
      <c r="DP32" s="324">
        <f t="shared" si="99"/>
        <v>4.9956076763611135E-2</v>
      </c>
      <c r="DQ32" s="324">
        <f t="shared" si="100"/>
        <v>5.6434210099470139E-2</v>
      </c>
      <c r="DR32" s="324">
        <f t="shared" si="101"/>
        <v>5.3291481450963962E-2</v>
      </c>
    </row>
    <row r="33" spans="1:283">
      <c r="A33" s="328" t="str">
        <f t="shared" si="0"/>
        <v>Group</v>
      </c>
      <c r="AZ33" s="682">
        <f t="shared" si="1"/>
        <v>-0.15796722338204583</v>
      </c>
      <c r="BA33" s="682">
        <f t="shared" si="2"/>
        <v>-3.0939807355516713E-2</v>
      </c>
      <c r="BB33" s="682">
        <f t="shared" si="3"/>
        <v>-8.8888504761904796E-2</v>
      </c>
      <c r="BD33" s="682">
        <f t="shared" si="4"/>
        <v>-0.2446131825830572</v>
      </c>
      <c r="BE33" s="682">
        <f t="shared" si="5"/>
        <v>-0.2334322797123185</v>
      </c>
      <c r="BF33" s="682">
        <f t="shared" si="6"/>
        <v>-0.23814618182687119</v>
      </c>
      <c r="BH33" s="682">
        <f t="shared" si="65"/>
        <v>0.18487705636890128</v>
      </c>
      <c r="BI33" s="682">
        <f t="shared" si="65"/>
        <v>0.15520401728090882</v>
      </c>
      <c r="BJ33" s="682">
        <f t="shared" si="65"/>
        <v>0.1676080661054411</v>
      </c>
      <c r="BL33" s="682">
        <f t="shared" si="66"/>
        <v>0.38781163434903054</v>
      </c>
      <c r="BM33" s="682">
        <f t="shared" si="66"/>
        <v>0.5591836734693878</v>
      </c>
      <c r="BN33" s="682">
        <f t="shared" si="66"/>
        <v>0.4864864864864864</v>
      </c>
      <c r="BP33" s="682">
        <f t="shared" si="67"/>
        <v>0.3532934131736527</v>
      </c>
      <c r="BQ33" s="682">
        <f t="shared" si="67"/>
        <v>0.21204188481675401</v>
      </c>
      <c r="BR33" s="682">
        <f t="shared" si="67"/>
        <v>0.26798418972332017</v>
      </c>
      <c r="BT33" s="682">
        <f t="shared" si="68"/>
        <v>0.57817109144542767</v>
      </c>
      <c r="BU33" s="682">
        <f t="shared" si="68"/>
        <v>7.2354211663066881E-2</v>
      </c>
      <c r="BV33" s="682">
        <f t="shared" si="68"/>
        <v>0.28615960099750626</v>
      </c>
      <c r="BX33" s="682">
        <f t="shared" si="69"/>
        <v>-1.8691588785046731E-2</v>
      </c>
      <c r="BY33" s="682">
        <f t="shared" si="69"/>
        <v>0.17522658610271913</v>
      </c>
      <c r="BZ33" s="682">
        <f t="shared" si="69"/>
        <v>7.4648570043625684E-2</v>
      </c>
      <c r="CB33" s="682">
        <f t="shared" si="69"/>
        <v>0.18857142857142861</v>
      </c>
      <c r="CC33" s="682">
        <f t="shared" si="70"/>
        <v>0.1216795201371037</v>
      </c>
      <c r="CD33" s="682">
        <f t="shared" si="71"/>
        <v>0.15336039693279213</v>
      </c>
      <c r="CF33" s="682">
        <f t="shared" si="72"/>
        <v>4.9679487179487225E-2</v>
      </c>
      <c r="CG33" s="682">
        <f t="shared" si="73"/>
        <v>0.2773109243697478</v>
      </c>
      <c r="CH33" s="682">
        <f t="shared" si="74"/>
        <v>0.1662104028157998</v>
      </c>
      <c r="CJ33" s="682">
        <f t="shared" si="75"/>
        <v>0.11221374045801524</v>
      </c>
      <c r="CK33" s="682">
        <f t="shared" si="76"/>
        <v>-0.23803827751196172</v>
      </c>
      <c r="CL33" s="682">
        <f t="shared" si="77"/>
        <v>-8.4171696847753164E-2</v>
      </c>
      <c r="CN33" s="682">
        <f t="shared" si="78"/>
        <v>-0.32395332875772131</v>
      </c>
      <c r="CO33" s="682">
        <f t="shared" si="79"/>
        <v>0.5934065934065933</v>
      </c>
      <c r="CP33" s="682">
        <f t="shared" si="80"/>
        <v>0.10399121201025263</v>
      </c>
      <c r="CR33" s="682">
        <f t="shared" si="81"/>
        <v>1.0741116751269035</v>
      </c>
      <c r="CS33" s="682">
        <f t="shared" si="82"/>
        <v>0.31182266009852211</v>
      </c>
      <c r="CT33" s="682">
        <f t="shared" si="83"/>
        <v>0.56086235489220559</v>
      </c>
      <c r="CV33" s="682">
        <f t="shared" si="84"/>
        <v>0.12824278022515911</v>
      </c>
      <c r="CW33" s="682">
        <f t="shared" si="85"/>
        <v>7.9984979346601648E-2</v>
      </c>
      <c r="CX33" s="682">
        <f t="shared" si="86"/>
        <v>0.10093497662558426</v>
      </c>
      <c r="CZ33" s="682">
        <f t="shared" si="87"/>
        <v>-0.38611713665943603</v>
      </c>
      <c r="DA33" s="682">
        <f t="shared" si="88"/>
        <v>-0.26738525730180807</v>
      </c>
      <c r="DB33" s="682">
        <f t="shared" si="89"/>
        <v>-0.32020845396641573</v>
      </c>
      <c r="DD33" s="682">
        <f t="shared" si="90"/>
        <v>0.13922261484098941</v>
      </c>
      <c r="DE33" s="682">
        <f t="shared" si="91"/>
        <v>-1.8984337921215122E-3</v>
      </c>
      <c r="DF33" s="682">
        <f t="shared" si="92"/>
        <v>5.4798409994321506E-2</v>
      </c>
      <c r="DH33" s="682">
        <f t="shared" si="93"/>
        <v>2.6674937965260437E-2</v>
      </c>
      <c r="DI33" s="682">
        <f t="shared" si="94"/>
        <v>0.19718982309261479</v>
      </c>
      <c r="DJ33" s="682">
        <f t="shared" si="95"/>
        <v>0.12320059164569841</v>
      </c>
      <c r="DL33" s="682">
        <f t="shared" si="96"/>
        <v>0.15760558327150909</v>
      </c>
      <c r="DM33" s="682">
        <f t="shared" si="97"/>
        <v>5.5281960167568478E-2</v>
      </c>
      <c r="DN33" s="682">
        <f t="shared" si="98"/>
        <v>9.5866232711851795E-2</v>
      </c>
      <c r="DP33" s="682">
        <f t="shared" si="99"/>
        <v>8.8413788684500227E-2</v>
      </c>
      <c r="DQ33" s="682">
        <f t="shared" si="100"/>
        <v>6.8001494112823524E-2</v>
      </c>
      <c r="DR33" s="682">
        <f t="shared" si="101"/>
        <v>7.6553672501960879E-2</v>
      </c>
    </row>
    <row r="34" spans="1:283">
      <c r="A34" s="323"/>
    </row>
    <row r="35" spans="1:283" s="1193" customFormat="1">
      <c r="A35" s="1192" t="s">
        <v>1229</v>
      </c>
      <c r="AN35" s="1194"/>
      <c r="AO35" s="1194"/>
      <c r="AP35" s="1195"/>
      <c r="AQ35" s="1194"/>
      <c r="AR35" s="1194"/>
      <c r="AS35" s="1194"/>
      <c r="AT35" s="1195"/>
      <c r="AU35" s="1194"/>
      <c r="AV35" s="1194"/>
      <c r="AW35" s="1194"/>
      <c r="AX35" s="1195"/>
      <c r="AY35" s="1194"/>
      <c r="AZ35" s="1194"/>
      <c r="BA35" s="1194"/>
      <c r="BB35" s="1195"/>
      <c r="BC35" s="1194"/>
      <c r="BD35" s="1194"/>
      <c r="BE35" s="1194"/>
      <c r="BF35" s="1195"/>
      <c r="BG35" s="1194"/>
      <c r="BH35" s="1194"/>
      <c r="BI35" s="1194"/>
      <c r="BJ35" s="1195"/>
      <c r="BK35" s="1194"/>
      <c r="BL35" s="1194"/>
      <c r="BM35" s="1194"/>
      <c r="BN35" s="1195"/>
      <c r="BO35" s="1194"/>
      <c r="BP35" s="1194"/>
      <c r="BQ35" s="1194"/>
      <c r="BR35" s="1195"/>
      <c r="BS35" s="1194"/>
      <c r="BT35" s="1194"/>
      <c r="BU35" s="1194"/>
      <c r="BV35" s="1195"/>
      <c r="BW35" s="1194"/>
      <c r="BX35" s="1194"/>
      <c r="BY35" s="1194"/>
      <c r="BZ35" s="1195"/>
      <c r="CA35" s="1194"/>
      <c r="CB35" s="1194"/>
      <c r="CC35" s="1194"/>
      <c r="CD35" s="1195"/>
      <c r="CE35" s="1194"/>
      <c r="CF35" s="1194"/>
      <c r="CG35" s="1194"/>
      <c r="CH35" s="1195"/>
      <c r="CI35" s="1194"/>
      <c r="CJ35" s="1194"/>
      <c r="CK35" s="1194"/>
      <c r="CL35" s="1195"/>
      <c r="CM35" s="1194"/>
      <c r="CN35" s="1194"/>
      <c r="CO35" s="1194"/>
      <c r="CP35" s="1195"/>
      <c r="CQ35" s="1194"/>
      <c r="CT35" s="1196"/>
      <c r="CU35" s="1195"/>
      <c r="CX35" s="1196"/>
      <c r="CY35" s="1195"/>
      <c r="DB35" s="1196"/>
      <c r="DC35" s="1195"/>
      <c r="DF35" s="1196"/>
      <c r="DG35" s="1195"/>
      <c r="DJ35" s="1196"/>
      <c r="DK35" s="1195"/>
      <c r="DN35" s="1196"/>
      <c r="DO35" s="1195"/>
      <c r="DR35" s="1196"/>
      <c r="DS35" s="1195"/>
      <c r="DT35" s="1195"/>
      <c r="DU35" s="1195"/>
      <c r="DV35" s="1195"/>
      <c r="DW35" s="1194"/>
      <c r="DX35" s="1194"/>
      <c r="DY35" s="1194"/>
      <c r="DZ35" s="1194"/>
      <c r="EA35" s="1194"/>
      <c r="EB35" s="1194"/>
      <c r="EC35" s="1194"/>
      <c r="ED35" s="1194"/>
      <c r="EE35" s="1194"/>
      <c r="EF35" s="1194"/>
      <c r="EG35" s="1194"/>
      <c r="EH35" s="1194"/>
      <c r="EI35" s="1194"/>
      <c r="EJ35" s="1194"/>
      <c r="EK35" s="1194"/>
      <c r="EL35" s="1194"/>
      <c r="EM35" s="1194"/>
      <c r="EN35" s="1194"/>
      <c r="EO35" s="1194"/>
      <c r="EP35" s="1194"/>
      <c r="EQ35" s="1194"/>
      <c r="ER35" s="1194"/>
      <c r="ES35" s="1194"/>
      <c r="ET35" s="1194"/>
      <c r="EU35" s="1194"/>
      <c r="JW35"/>
    </row>
    <row r="36" spans="1:283">
      <c r="AP36" s="293"/>
      <c r="AT36" s="293"/>
      <c r="AX36" s="293"/>
      <c r="AZ36" s="293"/>
      <c r="BA36" s="293"/>
      <c r="BB36" s="293"/>
      <c r="BF36" s="293"/>
      <c r="BG36" s="293"/>
      <c r="BJ36" s="293"/>
      <c r="BN36" s="293"/>
      <c r="BR36" s="293"/>
      <c r="BV36" s="293"/>
      <c r="BZ36" s="293"/>
      <c r="CD36" s="293"/>
      <c r="CH36" s="293"/>
      <c r="CL36" s="293"/>
      <c r="CP36" s="293"/>
      <c r="CU36" s="293"/>
      <c r="CY36" s="293"/>
      <c r="DC36" s="293"/>
      <c r="DG36" s="293"/>
      <c r="DK36" s="293"/>
      <c r="DO36" s="293"/>
      <c r="DS36" s="293"/>
      <c r="DT36" s="293"/>
      <c r="DU36" s="293"/>
      <c r="DV36" s="293"/>
    </row>
    <row r="37" spans="1:283" s="332" customFormat="1" hidden="1" outlineLevel="1">
      <c r="A37" s="332" t="s">
        <v>571</v>
      </c>
      <c r="AN37" s="626"/>
      <c r="AO37" s="626"/>
      <c r="AP37" s="293"/>
      <c r="AQ37" s="293"/>
      <c r="AR37" s="626"/>
      <c r="AS37" s="626"/>
      <c r="AT37" s="293"/>
      <c r="AU37" s="626"/>
      <c r="AV37" s="626"/>
      <c r="AW37" s="626"/>
      <c r="AX37" s="293"/>
      <c r="AY37" s="626"/>
      <c r="AZ37" s="626"/>
      <c r="BA37" s="626"/>
      <c r="BB37" s="293"/>
      <c r="BC37" s="293"/>
      <c r="BD37" s="626"/>
      <c r="BE37" s="626"/>
      <c r="BF37" s="293"/>
      <c r="BG37" s="293"/>
      <c r="BH37" s="626"/>
      <c r="BI37" s="626"/>
      <c r="BJ37" s="293"/>
      <c r="BK37" s="487"/>
      <c r="BL37" s="626"/>
      <c r="BM37" s="626"/>
      <c r="BN37" s="293"/>
      <c r="BO37" s="487"/>
      <c r="BP37" s="626"/>
      <c r="BQ37" s="626"/>
      <c r="BR37" s="293"/>
      <c r="BS37" s="487"/>
      <c r="BT37" s="626"/>
      <c r="BU37" s="626"/>
      <c r="BV37" s="293"/>
      <c r="BW37" s="487"/>
      <c r="BX37" s="626"/>
      <c r="BY37" s="626"/>
      <c r="BZ37" s="293"/>
      <c r="CA37" s="487"/>
      <c r="CB37" s="293"/>
      <c r="CC37" s="293"/>
      <c r="CD37" s="293"/>
      <c r="CE37" s="487"/>
      <c r="CF37" s="293"/>
      <c r="CG37" s="293"/>
      <c r="CH37" s="293"/>
      <c r="CI37" s="487"/>
      <c r="CJ37" s="293"/>
      <c r="CK37" s="293"/>
      <c r="CL37" s="293"/>
      <c r="CM37" s="487"/>
      <c r="CN37" s="293"/>
      <c r="CO37" s="293"/>
      <c r="CP37" s="293"/>
      <c r="CQ37" s="487"/>
      <c r="CT37" s="1197"/>
      <c r="CX37" s="1197"/>
      <c r="CY37" s="293"/>
      <c r="DB37" s="1197"/>
      <c r="DC37" s="293"/>
      <c r="DF37" s="1197"/>
      <c r="DG37" s="293"/>
      <c r="DJ37" s="1197"/>
      <c r="DK37" s="293"/>
      <c r="DN37" s="1197"/>
      <c r="DO37" s="293"/>
      <c r="DR37" s="1197"/>
      <c r="DS37" s="293"/>
      <c r="DT37" s="293"/>
      <c r="DU37" s="293"/>
      <c r="DV37" s="293"/>
      <c r="DW37" s="293"/>
      <c r="DX37" s="293"/>
      <c r="DY37" s="293"/>
      <c r="DZ37" s="293"/>
      <c r="EA37" s="293"/>
      <c r="EB37" s="293"/>
      <c r="EC37" s="293"/>
      <c r="ED37" s="293"/>
      <c r="EE37" s="293"/>
      <c r="EF37" s="293"/>
      <c r="EG37" s="293"/>
      <c r="EH37" s="293"/>
      <c r="EI37" s="293"/>
      <c r="EJ37" s="293"/>
      <c r="EK37" s="293"/>
      <c r="EL37" s="293"/>
      <c r="EM37" s="293"/>
      <c r="EN37" s="293"/>
      <c r="EO37" s="293"/>
      <c r="EP37" s="293"/>
      <c r="EQ37" s="293"/>
      <c r="ER37" s="293"/>
      <c r="ES37" s="293"/>
      <c r="ET37" s="293"/>
      <c r="EU37" s="293"/>
      <c r="JW37"/>
    </row>
    <row r="38" spans="1:283" s="332" customFormat="1" hidden="1" outlineLevel="1">
      <c r="A38" s="332" t="s">
        <v>566</v>
      </c>
      <c r="AN38" s="293"/>
      <c r="AO38" s="293"/>
      <c r="AP38" s="626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360"/>
      <c r="BH38" s="293"/>
      <c r="BI38" s="293"/>
      <c r="BJ38" s="293"/>
      <c r="BK38" s="487"/>
      <c r="BL38" s="293"/>
      <c r="BM38" s="293"/>
      <c r="BN38" s="293"/>
      <c r="BO38" s="487"/>
      <c r="BP38" s="293"/>
      <c r="BQ38" s="293"/>
      <c r="BR38" s="293"/>
      <c r="BS38" s="487"/>
      <c r="BT38" s="293"/>
      <c r="BU38" s="293"/>
      <c r="BV38" s="293"/>
      <c r="BW38" s="684"/>
      <c r="BX38" s="293"/>
      <c r="BY38" s="293"/>
      <c r="BZ38" s="293"/>
      <c r="CA38" s="684"/>
      <c r="CB38" s="293"/>
      <c r="CC38" s="293"/>
      <c r="CD38" s="293"/>
      <c r="CE38" s="684"/>
      <c r="CF38" s="293"/>
      <c r="CG38" s="293"/>
      <c r="CH38" s="293"/>
      <c r="CI38" s="684"/>
      <c r="CJ38" s="293"/>
      <c r="CK38" s="293"/>
      <c r="CL38" s="293"/>
      <c r="CM38" s="684"/>
      <c r="CN38" s="293"/>
      <c r="CO38" s="293"/>
      <c r="CP38" s="293"/>
      <c r="CQ38" s="684"/>
      <c r="CT38" s="1197"/>
      <c r="CU38" s="293"/>
      <c r="CX38" s="1197"/>
      <c r="CY38" s="293"/>
      <c r="DB38" s="1197"/>
      <c r="DC38" s="293"/>
      <c r="DF38" s="1197"/>
      <c r="DG38" s="293"/>
      <c r="DJ38" s="1197"/>
      <c r="DK38" s="293"/>
      <c r="DN38" s="1197"/>
      <c r="DO38" s="293"/>
      <c r="DR38" s="1197"/>
      <c r="DS38" s="293"/>
      <c r="DT38" s="293"/>
      <c r="DU38" s="293"/>
      <c r="DV38" s="293"/>
      <c r="DW38" s="293"/>
      <c r="DX38" s="293"/>
      <c r="DY38" s="293"/>
      <c r="DZ38" s="293"/>
      <c r="EA38" s="293"/>
      <c r="EB38" s="293"/>
      <c r="EC38" s="293"/>
      <c r="ED38" s="293"/>
      <c r="EE38" s="293"/>
      <c r="EF38" s="293"/>
      <c r="EG38" s="293"/>
      <c r="EH38" s="293"/>
      <c r="EI38" s="293"/>
      <c r="EJ38" s="293"/>
      <c r="EK38" s="293"/>
      <c r="EL38" s="293"/>
      <c r="EM38" s="293"/>
      <c r="EN38" s="293"/>
      <c r="EO38" s="293"/>
      <c r="EP38" s="293"/>
      <c r="EQ38" s="293"/>
      <c r="ER38" s="293"/>
      <c r="ES38" s="293"/>
      <c r="ET38" s="293"/>
      <c r="EU38" s="293"/>
      <c r="JW38"/>
    </row>
    <row r="39" spans="1:283" s="332" customFormat="1" hidden="1" outlineLevel="1">
      <c r="A39" s="332" t="s">
        <v>651</v>
      </c>
      <c r="AN39" s="626"/>
      <c r="AO39" s="626"/>
      <c r="AP39" s="293"/>
      <c r="AQ39" s="293"/>
      <c r="AR39" s="626"/>
      <c r="AS39" s="626"/>
      <c r="AT39" s="293"/>
      <c r="AU39" s="626"/>
      <c r="AV39" s="626"/>
      <c r="AW39" s="626"/>
      <c r="AX39" s="293"/>
      <c r="AY39" s="626"/>
      <c r="AZ39" s="626"/>
      <c r="BA39" s="626"/>
      <c r="BB39" s="293"/>
      <c r="BC39" s="293"/>
      <c r="BD39" s="626"/>
      <c r="BE39" s="626"/>
      <c r="BF39" s="293"/>
      <c r="BG39" s="293"/>
      <c r="BH39" s="626"/>
      <c r="BI39" s="626"/>
      <c r="BJ39" s="293"/>
      <c r="BK39" s="487"/>
      <c r="BL39" s="626"/>
      <c r="BM39" s="626"/>
      <c r="BN39" s="293"/>
      <c r="BO39" s="850"/>
      <c r="BP39" s="626"/>
      <c r="BQ39" s="626"/>
      <c r="BR39" s="293"/>
      <c r="BS39" s="850"/>
      <c r="BT39" s="626"/>
      <c r="BU39" s="626"/>
      <c r="BV39" s="293"/>
      <c r="BW39" s="684"/>
      <c r="BX39" s="626"/>
      <c r="BY39" s="626"/>
      <c r="BZ39" s="293"/>
      <c r="CA39" s="684"/>
      <c r="CB39" s="818"/>
      <c r="CC39" s="818"/>
      <c r="CD39" s="818"/>
      <c r="CE39" s="684"/>
      <c r="CF39" s="818"/>
      <c r="CG39" s="818"/>
      <c r="CH39" s="818"/>
      <c r="CI39" s="684"/>
      <c r="CJ39" s="818"/>
      <c r="CK39" s="818"/>
      <c r="CL39" s="818"/>
      <c r="CM39" s="684"/>
      <c r="CN39" s="818"/>
      <c r="CO39" s="818"/>
      <c r="CP39" s="818"/>
      <c r="CQ39" s="684"/>
      <c r="CT39" s="992"/>
      <c r="CU39" s="818"/>
      <c r="CX39" s="992"/>
      <c r="CY39" s="818"/>
      <c r="DB39" s="992"/>
      <c r="DC39" s="818"/>
      <c r="DF39" s="992"/>
      <c r="DG39" s="818"/>
      <c r="DJ39" s="992"/>
      <c r="DK39" s="818"/>
      <c r="DN39" s="992"/>
      <c r="DO39" s="818"/>
      <c r="DR39" s="992"/>
      <c r="DS39" s="818"/>
      <c r="DT39" s="818"/>
      <c r="DU39" s="818"/>
      <c r="DV39" s="818"/>
      <c r="DW39" s="850"/>
      <c r="DX39" s="850"/>
      <c r="DY39" s="850"/>
      <c r="DZ39" s="103"/>
      <c r="EA39" s="850"/>
      <c r="EB39" s="850"/>
      <c r="EC39" s="818"/>
      <c r="ED39" s="103"/>
      <c r="EE39" s="850"/>
      <c r="EF39" s="850"/>
      <c r="EG39" s="818"/>
      <c r="EH39" s="103"/>
      <c r="EI39" s="850"/>
      <c r="EJ39" s="850"/>
      <c r="EK39" s="818"/>
      <c r="EL39" s="293"/>
      <c r="EM39" s="293"/>
      <c r="EN39" s="293"/>
      <c r="EO39" s="293"/>
      <c r="EP39" s="293"/>
      <c r="EQ39" s="293"/>
      <c r="ER39" s="293"/>
      <c r="ES39" s="293"/>
      <c r="ET39" s="293"/>
      <c r="EU39" s="293"/>
      <c r="JW39"/>
    </row>
    <row r="40" spans="1:283" s="332" customFormat="1" hidden="1" outlineLevel="1">
      <c r="A40" s="332" t="s">
        <v>652</v>
      </c>
      <c r="AN40" s="293"/>
      <c r="AO40" s="293"/>
      <c r="AP40" s="626"/>
      <c r="AQ40" s="293"/>
      <c r="AR40" s="626"/>
      <c r="AS40" s="626"/>
      <c r="AT40" s="293"/>
      <c r="AU40" s="626"/>
      <c r="AV40" s="626"/>
      <c r="AW40" s="626"/>
      <c r="AX40" s="293"/>
      <c r="AY40" s="626"/>
      <c r="AZ40" s="626"/>
      <c r="BA40" s="927"/>
      <c r="BB40" s="293"/>
      <c r="BC40" s="293"/>
      <c r="BD40" s="626"/>
      <c r="BE40" s="626"/>
      <c r="BF40" s="293"/>
      <c r="BG40" s="293"/>
      <c r="BH40" s="626"/>
      <c r="BI40" s="626"/>
      <c r="BJ40" s="293"/>
      <c r="BK40" s="487"/>
      <c r="BL40" s="626"/>
      <c r="BM40" s="626"/>
      <c r="BN40" s="293"/>
      <c r="BO40" s="487"/>
      <c r="BP40" s="626"/>
      <c r="BQ40" s="626"/>
      <c r="BR40" s="293"/>
      <c r="BS40" s="487"/>
      <c r="BT40" s="626"/>
      <c r="BU40" s="626"/>
      <c r="BV40" s="293"/>
      <c r="BW40" s="487"/>
      <c r="BX40" s="626"/>
      <c r="BY40" s="626"/>
      <c r="BZ40" s="293"/>
      <c r="CA40" s="487"/>
      <c r="CB40" s="841"/>
      <c r="CC40" s="841"/>
      <c r="CD40" s="293"/>
      <c r="CE40" s="487"/>
      <c r="CF40" s="841"/>
      <c r="CG40" s="841"/>
      <c r="CH40" s="293"/>
      <c r="CI40" s="487"/>
      <c r="CJ40" s="841"/>
      <c r="CK40" s="841"/>
      <c r="CL40" s="293"/>
      <c r="CM40" s="487"/>
      <c r="CN40" s="841"/>
      <c r="CO40" s="841"/>
      <c r="CP40" s="293"/>
      <c r="CQ40" s="487"/>
      <c r="CT40" s="1198"/>
      <c r="CU40" s="293"/>
      <c r="CX40" s="1198"/>
      <c r="CY40" s="293"/>
      <c r="DB40" s="1198"/>
      <c r="DC40" s="293"/>
      <c r="DF40" s="1198"/>
      <c r="DG40" s="293"/>
      <c r="DJ40" s="1198"/>
      <c r="DK40" s="293"/>
      <c r="DN40" s="1198"/>
      <c r="DO40" s="293"/>
      <c r="DR40" s="1198"/>
      <c r="DS40" s="293"/>
      <c r="DT40" s="293"/>
      <c r="DU40" s="293"/>
      <c r="DV40" s="293"/>
      <c r="DW40" s="293"/>
      <c r="DX40" s="293"/>
      <c r="DY40" s="293"/>
      <c r="DZ40" s="293"/>
      <c r="EA40" s="293"/>
      <c r="EB40" s="293"/>
      <c r="EC40" s="293"/>
      <c r="ED40" s="293"/>
      <c r="EE40" s="293"/>
      <c r="EF40" s="293"/>
      <c r="EG40" s="293"/>
      <c r="EH40" s="293"/>
      <c r="EI40" s="293"/>
      <c r="EJ40" s="293"/>
      <c r="EK40" s="293"/>
      <c r="EL40" s="293"/>
      <c r="EM40" s="293"/>
      <c r="EN40" s="293"/>
      <c r="EO40" s="293"/>
      <c r="EP40" s="293"/>
      <c r="EQ40" s="293"/>
      <c r="ER40" s="293"/>
      <c r="ES40" s="293"/>
      <c r="ET40" s="293"/>
      <c r="EU40" s="293"/>
      <c r="JW40"/>
    </row>
    <row r="41" spans="1:283" s="332" customFormat="1" hidden="1" outlineLevel="1">
      <c r="A41" s="332" t="s">
        <v>621</v>
      </c>
      <c r="AN41" s="626"/>
      <c r="AO41" s="626"/>
      <c r="AP41" s="293"/>
      <c r="AQ41" s="626"/>
      <c r="AR41" s="626"/>
      <c r="AS41" s="626"/>
      <c r="AT41" s="293"/>
      <c r="AU41" s="626"/>
      <c r="AV41" s="626"/>
      <c r="AW41" s="626"/>
      <c r="AX41" s="293"/>
      <c r="AY41" s="293"/>
      <c r="AZ41" s="626"/>
      <c r="BA41" s="927"/>
      <c r="BB41" s="293"/>
      <c r="BC41" s="293"/>
      <c r="BD41" s="626"/>
      <c r="BE41" s="626"/>
      <c r="BF41" s="293"/>
      <c r="BG41" s="293"/>
      <c r="BH41" s="626"/>
      <c r="BI41" s="626"/>
      <c r="BJ41" s="293"/>
      <c r="BK41" s="487"/>
      <c r="BL41" s="626"/>
      <c r="BM41" s="626"/>
      <c r="BN41" s="293"/>
      <c r="BO41" s="487"/>
      <c r="BP41" s="626"/>
      <c r="BQ41" s="626"/>
      <c r="BR41" s="293"/>
      <c r="BS41" s="487"/>
      <c r="BT41" s="626"/>
      <c r="BU41" s="626"/>
      <c r="BV41" s="293"/>
      <c r="BW41" s="487"/>
      <c r="BX41" s="626"/>
      <c r="BY41" s="626"/>
      <c r="BZ41" s="293"/>
      <c r="CA41" s="487"/>
      <c r="CB41" s="293"/>
      <c r="CC41" s="293"/>
      <c r="CD41" s="293"/>
      <c r="CE41" s="487"/>
      <c r="CF41" s="293"/>
      <c r="CG41" s="293"/>
      <c r="CH41" s="293"/>
      <c r="CI41" s="487"/>
      <c r="CJ41" s="293"/>
      <c r="CK41" s="293"/>
      <c r="CL41" s="293"/>
      <c r="CM41" s="487"/>
      <c r="CN41" s="293"/>
      <c r="CO41" s="293"/>
      <c r="CP41" s="293"/>
      <c r="CQ41" s="487"/>
      <c r="CT41" s="992"/>
      <c r="CU41" s="293"/>
      <c r="CX41" s="992"/>
      <c r="CY41" s="293"/>
      <c r="DB41" s="992"/>
      <c r="DC41" s="293"/>
      <c r="DF41" s="992"/>
      <c r="DG41" s="293"/>
      <c r="DJ41" s="992"/>
      <c r="DK41" s="293"/>
      <c r="DN41" s="992"/>
      <c r="DO41" s="293"/>
      <c r="DR41" s="992"/>
      <c r="DS41" s="293"/>
      <c r="DT41" s="293"/>
      <c r="DU41" s="293"/>
      <c r="DV41" s="293"/>
      <c r="DW41" s="293"/>
      <c r="DX41" s="293"/>
      <c r="DY41" s="293"/>
      <c r="DZ41" s="293"/>
      <c r="EA41" s="293"/>
      <c r="EB41" s="293"/>
      <c r="EC41" s="293"/>
      <c r="ED41" s="293"/>
      <c r="EE41" s="293"/>
      <c r="EF41" s="293"/>
      <c r="EG41" s="293"/>
      <c r="EH41" s="293"/>
      <c r="EI41" s="293"/>
      <c r="EJ41" s="293"/>
      <c r="EK41" s="293"/>
      <c r="EL41" s="293"/>
      <c r="EM41" s="293"/>
      <c r="EN41" s="293"/>
      <c r="EO41" s="293"/>
      <c r="EP41" s="293"/>
      <c r="EQ41" s="293"/>
      <c r="ER41" s="293"/>
      <c r="ES41" s="293"/>
      <c r="ET41" s="293"/>
      <c r="EU41" s="293"/>
      <c r="JW41"/>
    </row>
    <row r="42" spans="1:283" s="332" customFormat="1" hidden="1" outlineLevel="1">
      <c r="A42" s="332" t="s">
        <v>567</v>
      </c>
      <c r="AN42" s="293"/>
      <c r="AO42" s="293"/>
      <c r="AP42" s="626"/>
      <c r="AQ42" s="293"/>
      <c r="AR42" s="626"/>
      <c r="AS42" s="626"/>
      <c r="AT42" s="293"/>
      <c r="AU42" s="626"/>
      <c r="AV42" s="626"/>
      <c r="AW42" s="626"/>
      <c r="AX42" s="293"/>
      <c r="AY42" s="293"/>
      <c r="AZ42" s="626"/>
      <c r="BA42" s="927"/>
      <c r="BB42" s="293"/>
      <c r="BC42" s="293"/>
      <c r="BD42" s="626"/>
      <c r="BE42" s="626"/>
      <c r="BF42" s="293"/>
      <c r="BG42" s="293"/>
      <c r="BH42" s="626"/>
      <c r="BI42" s="626"/>
      <c r="BJ42" s="293"/>
      <c r="BK42" s="487"/>
      <c r="BL42" s="626"/>
      <c r="BM42" s="626"/>
      <c r="BN42" s="293"/>
      <c r="BO42" s="487"/>
      <c r="BP42" s="626"/>
      <c r="BQ42" s="626"/>
      <c r="BR42" s="293"/>
      <c r="BS42" s="487"/>
      <c r="BT42" s="626"/>
      <c r="BU42" s="626"/>
      <c r="BV42" s="293"/>
      <c r="BW42" s="487"/>
      <c r="BX42" s="626"/>
      <c r="BY42" s="626"/>
      <c r="BZ42" s="293"/>
      <c r="CA42" s="487"/>
      <c r="CB42" s="841"/>
      <c r="CC42" s="841"/>
      <c r="CD42" s="293"/>
      <c r="CE42" s="487"/>
      <c r="CF42" s="841"/>
      <c r="CG42" s="841"/>
      <c r="CH42" s="293"/>
      <c r="CI42" s="487"/>
      <c r="CJ42" s="841"/>
      <c r="CK42" s="841"/>
      <c r="CL42" s="293"/>
      <c r="CM42" s="487"/>
      <c r="CN42" s="841"/>
      <c r="CO42" s="841"/>
      <c r="CP42" s="293"/>
      <c r="CQ42" s="487"/>
      <c r="CT42" s="1198"/>
      <c r="CU42" s="293"/>
      <c r="CX42" s="1198"/>
      <c r="CY42" s="293"/>
      <c r="DB42" s="1198"/>
      <c r="DC42" s="293"/>
      <c r="DF42" s="1198"/>
      <c r="DG42" s="293"/>
      <c r="DJ42" s="1198"/>
      <c r="DK42" s="293"/>
      <c r="DN42" s="1198"/>
      <c r="DO42" s="293"/>
      <c r="DR42" s="1198"/>
      <c r="DS42" s="293"/>
      <c r="DT42" s="293"/>
      <c r="DU42" s="293"/>
      <c r="DV42" s="293"/>
      <c r="DW42" s="293"/>
      <c r="DX42" s="293"/>
      <c r="DY42" s="293"/>
      <c r="DZ42" s="293"/>
      <c r="EA42" s="293"/>
      <c r="EB42" s="293"/>
      <c r="EC42" s="293"/>
      <c r="ED42" s="293"/>
      <c r="EE42" s="293"/>
      <c r="EF42" s="293"/>
      <c r="EG42" s="293"/>
      <c r="EH42" s="293"/>
      <c r="EI42" s="293"/>
      <c r="EJ42" s="293"/>
      <c r="EK42" s="293"/>
      <c r="EL42" s="293"/>
      <c r="EM42" s="293"/>
      <c r="EN42" s="293"/>
      <c r="EO42" s="293"/>
      <c r="EP42" s="293"/>
      <c r="EQ42" s="293"/>
      <c r="ER42" s="293"/>
      <c r="ES42" s="293"/>
      <c r="ET42" s="293"/>
      <c r="EU42" s="293"/>
      <c r="JW42"/>
    </row>
    <row r="43" spans="1:283" s="327" customFormat="1" hidden="1" outlineLevel="1">
      <c r="A43" s="327" t="s">
        <v>568</v>
      </c>
      <c r="AN43" s="295"/>
      <c r="AO43" s="295"/>
      <c r="AP43" s="295"/>
      <c r="AQ43" s="295"/>
      <c r="AR43" s="295"/>
      <c r="AS43" s="295"/>
      <c r="AT43" s="295"/>
      <c r="AU43" s="295"/>
      <c r="AV43" s="295"/>
      <c r="AW43" s="295"/>
      <c r="AX43" s="295"/>
      <c r="AY43" s="295"/>
      <c r="AZ43" s="295"/>
      <c r="BA43" s="295"/>
      <c r="BB43" s="295"/>
      <c r="BC43" s="295"/>
      <c r="BD43" s="295"/>
      <c r="BE43" s="295"/>
      <c r="BF43" s="295"/>
      <c r="BG43" s="293"/>
      <c r="BH43" s="295"/>
      <c r="BI43" s="295"/>
      <c r="BJ43" s="295"/>
      <c r="BK43" s="487"/>
      <c r="BL43" s="295"/>
      <c r="BM43" s="295"/>
      <c r="BN43" s="295"/>
      <c r="BO43" s="487"/>
      <c r="BP43" s="295"/>
      <c r="BQ43" s="295"/>
      <c r="BR43" s="295"/>
      <c r="BS43" s="487"/>
      <c r="BT43" s="295"/>
      <c r="BU43" s="295"/>
      <c r="BV43" s="295"/>
      <c r="BW43" s="295"/>
      <c r="BX43" s="295"/>
      <c r="BY43" s="295"/>
      <c r="BZ43" s="295"/>
      <c r="CA43" s="295"/>
      <c r="CB43" s="295"/>
      <c r="CC43" s="295"/>
      <c r="CD43" s="295"/>
      <c r="CE43" s="295"/>
      <c r="CF43" s="295"/>
      <c r="CG43" s="295"/>
      <c r="CH43" s="295"/>
      <c r="CI43" s="295"/>
      <c r="CJ43" s="295"/>
      <c r="CK43" s="295"/>
      <c r="CL43" s="295"/>
      <c r="CM43" s="295"/>
      <c r="CN43" s="295"/>
      <c r="CO43" s="295"/>
      <c r="CP43" s="295"/>
      <c r="CQ43" s="295"/>
      <c r="CT43" s="1199"/>
      <c r="CU43" s="295"/>
      <c r="CX43" s="1199"/>
      <c r="CY43" s="295"/>
      <c r="DB43" s="1199"/>
      <c r="DC43" s="295"/>
      <c r="DF43" s="1199"/>
      <c r="DG43" s="295"/>
      <c r="DJ43" s="1199"/>
      <c r="DK43" s="295"/>
      <c r="DN43" s="1199"/>
      <c r="DO43" s="295"/>
      <c r="DR43" s="1199"/>
      <c r="DS43" s="295"/>
      <c r="DT43" s="295"/>
      <c r="DU43" s="295"/>
      <c r="DV43" s="295"/>
      <c r="DW43" s="295"/>
      <c r="DX43" s="295"/>
      <c r="DY43" s="295"/>
      <c r="DZ43" s="295"/>
      <c r="EA43" s="295"/>
      <c r="EB43" s="295"/>
      <c r="EC43" s="295"/>
      <c r="ED43" s="295"/>
      <c r="EE43" s="295"/>
      <c r="EF43" s="295"/>
      <c r="EG43" s="295"/>
      <c r="EH43" s="295"/>
      <c r="EI43" s="295"/>
      <c r="EJ43" s="295"/>
      <c r="EK43" s="295"/>
      <c r="EL43" s="295"/>
      <c r="EM43" s="295"/>
      <c r="EN43" s="295"/>
      <c r="EO43" s="295"/>
      <c r="EP43" s="295"/>
      <c r="EQ43" s="295"/>
      <c r="ER43" s="295"/>
      <c r="ES43" s="295"/>
      <c r="ET43" s="295"/>
      <c r="EU43" s="295"/>
      <c r="JW43"/>
    </row>
    <row r="44" spans="1:283" s="1079" customFormat="1" hidden="1" outlineLevel="1">
      <c r="AN44" s="331"/>
      <c r="AO44" s="331"/>
      <c r="AP44" s="331"/>
      <c r="AQ44" s="331"/>
      <c r="AR44" s="331"/>
      <c r="AS44" s="331"/>
      <c r="AT44" s="331"/>
      <c r="AU44" s="331"/>
      <c r="AV44" s="331"/>
      <c r="AW44" s="331"/>
      <c r="AX44" s="331"/>
      <c r="AY44" s="331"/>
      <c r="AZ44" s="1200"/>
      <c r="BA44" s="1200"/>
      <c r="BB44" s="1200"/>
      <c r="BC44" s="331"/>
      <c r="BD44" s="1200"/>
      <c r="BE44" s="1200"/>
      <c r="BF44" s="1200"/>
      <c r="BG44" s="293"/>
      <c r="BH44" s="1200"/>
      <c r="BI44" s="1200"/>
      <c r="BJ44" s="1200"/>
      <c r="BK44" s="487"/>
      <c r="BL44" s="1200"/>
      <c r="BM44" s="1200"/>
      <c r="BN44" s="1200"/>
      <c r="BO44" s="487"/>
      <c r="BP44" s="1200"/>
      <c r="BQ44" s="1200"/>
      <c r="BR44" s="1200"/>
      <c r="BS44" s="487"/>
      <c r="BT44" s="1200"/>
      <c r="BU44" s="1200"/>
      <c r="BV44" s="1200"/>
      <c r="BW44" s="331"/>
      <c r="BX44" s="1200"/>
      <c r="BY44" s="1200"/>
      <c r="BZ44" s="1200"/>
      <c r="CA44" s="331"/>
      <c r="CB44" s="331"/>
      <c r="CC44" s="331"/>
      <c r="CD44" s="331"/>
      <c r="CE44" s="331"/>
      <c r="CF44" s="331"/>
      <c r="CG44" s="331"/>
      <c r="CH44" s="331"/>
      <c r="CI44" s="331"/>
      <c r="CJ44" s="331"/>
      <c r="CK44" s="331"/>
      <c r="CL44" s="331"/>
      <c r="CM44" s="331"/>
      <c r="CN44" s="331"/>
      <c r="CO44" s="331"/>
      <c r="CP44" s="331"/>
      <c r="CQ44" s="331"/>
      <c r="CT44" s="1201"/>
      <c r="CU44" s="331"/>
      <c r="CX44" s="1201"/>
      <c r="CY44" s="331"/>
      <c r="DB44" s="1201"/>
      <c r="DC44" s="331"/>
      <c r="DF44" s="1201"/>
      <c r="DG44" s="331"/>
      <c r="DJ44" s="1201"/>
      <c r="DK44" s="331"/>
      <c r="DN44" s="1201"/>
      <c r="DO44" s="331"/>
      <c r="DR44" s="1201"/>
      <c r="DS44" s="331"/>
      <c r="DT44" s="331"/>
      <c r="DU44" s="331"/>
      <c r="DV44" s="331"/>
      <c r="DW44" s="331"/>
      <c r="DX44" s="331"/>
      <c r="DY44" s="331"/>
      <c r="DZ44" s="331"/>
      <c r="EA44" s="331"/>
      <c r="EB44" s="331"/>
      <c r="EC44" s="331"/>
      <c r="ED44" s="331"/>
      <c r="EE44" s="331"/>
      <c r="EF44" s="331"/>
      <c r="EG44" s="331"/>
      <c r="EH44" s="331"/>
      <c r="EI44" s="331"/>
      <c r="EJ44" s="331"/>
      <c r="EK44" s="331"/>
      <c r="EL44" s="331"/>
      <c r="EM44" s="331"/>
      <c r="EN44" s="331"/>
      <c r="EO44" s="331"/>
      <c r="EP44" s="331"/>
      <c r="EQ44" s="331"/>
      <c r="ER44" s="331"/>
      <c r="ES44" s="331"/>
      <c r="ET44" s="331"/>
      <c r="EU44" s="331"/>
      <c r="JW44"/>
    </row>
    <row r="45" spans="1:283" s="332" customFormat="1" hidden="1" outlineLevel="1">
      <c r="A45" s="332" t="s">
        <v>604</v>
      </c>
      <c r="AN45" s="626"/>
      <c r="AO45" s="626"/>
      <c r="AP45" s="293"/>
      <c r="AQ45" s="293"/>
      <c r="AR45" s="626"/>
      <c r="AS45" s="626"/>
      <c r="AT45" s="293"/>
      <c r="AU45" s="626"/>
      <c r="AV45" s="626"/>
      <c r="AW45" s="626"/>
      <c r="AX45" s="293"/>
      <c r="AY45" s="293"/>
      <c r="AZ45" s="626"/>
      <c r="BA45" s="626"/>
      <c r="BB45" s="293"/>
      <c r="BC45" s="293"/>
      <c r="BD45" s="626"/>
      <c r="BE45" s="626"/>
      <c r="BF45" s="293"/>
      <c r="BG45" s="293"/>
      <c r="BH45" s="626"/>
      <c r="BI45" s="626"/>
      <c r="BJ45" s="293"/>
      <c r="BK45" s="487"/>
      <c r="BL45" s="626"/>
      <c r="BM45" s="626"/>
      <c r="BN45" s="293"/>
      <c r="BO45" s="487"/>
      <c r="BP45" s="626"/>
      <c r="BQ45" s="626"/>
      <c r="BR45" s="293"/>
      <c r="BS45" s="487"/>
      <c r="BT45" s="626"/>
      <c r="BU45" s="626"/>
      <c r="BV45" s="293"/>
      <c r="BW45" s="293"/>
      <c r="BX45" s="626"/>
      <c r="BY45" s="626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  <c r="CK45" s="293"/>
      <c r="CL45" s="293"/>
      <c r="CM45" s="293"/>
      <c r="CN45" s="293"/>
      <c r="CO45" s="293"/>
      <c r="CP45" s="293"/>
      <c r="CQ45" s="293"/>
      <c r="CT45" s="1197"/>
      <c r="CU45" s="293"/>
      <c r="CX45" s="1197"/>
      <c r="CY45" s="293"/>
      <c r="DB45" s="1197"/>
      <c r="DC45" s="293"/>
      <c r="DF45" s="1197"/>
      <c r="DG45" s="293"/>
      <c r="DJ45" s="1197"/>
      <c r="DK45" s="293"/>
      <c r="DN45" s="1197"/>
      <c r="DO45" s="293"/>
      <c r="DR45" s="1197"/>
      <c r="DS45" s="293"/>
      <c r="DT45" s="293"/>
      <c r="DU45" s="293"/>
      <c r="DV45" s="293"/>
      <c r="DW45" s="293"/>
      <c r="DX45" s="293"/>
      <c r="DY45" s="293"/>
      <c r="DZ45" s="293"/>
      <c r="EA45" s="293"/>
      <c r="EB45" s="293"/>
      <c r="EC45" s="293"/>
      <c r="ED45" s="293"/>
      <c r="EE45" s="293"/>
      <c r="EF45" s="293"/>
      <c r="EG45" s="293"/>
      <c r="EH45" s="293"/>
      <c r="EI45" s="293"/>
      <c r="EJ45" s="293"/>
      <c r="EK45" s="293"/>
      <c r="EL45" s="293"/>
      <c r="EM45" s="293"/>
      <c r="EN45" s="293"/>
      <c r="EO45" s="293"/>
      <c r="EP45" s="293"/>
      <c r="EQ45" s="293"/>
      <c r="ER45" s="293"/>
      <c r="ES45" s="293"/>
      <c r="ET45" s="293"/>
      <c r="EU45" s="293"/>
      <c r="JW45"/>
    </row>
    <row r="46" spans="1:283" s="332" customFormat="1" hidden="1" outlineLevel="1">
      <c r="A46" s="332" t="s">
        <v>605</v>
      </c>
      <c r="AN46" s="626"/>
      <c r="AO46" s="626"/>
      <c r="AP46" s="293"/>
      <c r="AQ46" s="293"/>
      <c r="AR46" s="626"/>
      <c r="AS46" s="626"/>
      <c r="AT46" s="293"/>
      <c r="AU46" s="626"/>
      <c r="AV46" s="626"/>
      <c r="AW46" s="626"/>
      <c r="AX46" s="293"/>
      <c r="AY46" s="293"/>
      <c r="AZ46" s="626"/>
      <c r="BA46" s="626"/>
      <c r="BB46" s="293"/>
      <c r="BC46" s="293"/>
      <c r="BD46" s="626"/>
      <c r="BE46" s="626"/>
      <c r="BF46" s="293"/>
      <c r="BG46" s="293"/>
      <c r="BH46" s="626"/>
      <c r="BI46" s="626"/>
      <c r="BJ46" s="293"/>
      <c r="BK46" s="487"/>
      <c r="BL46" s="626"/>
      <c r="BM46" s="626"/>
      <c r="BN46" s="293"/>
      <c r="BO46" s="487"/>
      <c r="BP46" s="626"/>
      <c r="BQ46" s="626"/>
      <c r="BR46" s="293"/>
      <c r="BS46" s="487"/>
      <c r="BT46" s="626"/>
      <c r="BU46" s="626"/>
      <c r="BV46" s="293"/>
      <c r="BW46" s="293"/>
      <c r="BX46" s="626"/>
      <c r="BY46" s="626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  <c r="CK46" s="293"/>
      <c r="CL46" s="293"/>
      <c r="CM46" s="293"/>
      <c r="CN46" s="293"/>
      <c r="CO46" s="293"/>
      <c r="CP46" s="293"/>
      <c r="CQ46" s="293"/>
      <c r="CT46" s="1197"/>
      <c r="CU46" s="293"/>
      <c r="CX46" s="1197"/>
      <c r="CY46" s="293"/>
      <c r="DB46" s="1197"/>
      <c r="DC46" s="293"/>
      <c r="DF46" s="1197"/>
      <c r="DG46" s="293"/>
      <c r="DJ46" s="1197"/>
      <c r="DK46" s="293"/>
      <c r="DN46" s="1197"/>
      <c r="DO46" s="293"/>
      <c r="DR46" s="1197"/>
      <c r="DS46" s="293"/>
      <c r="DT46" s="293"/>
      <c r="DU46" s="293"/>
      <c r="DV46" s="293"/>
      <c r="DW46" s="293"/>
      <c r="DX46" s="293"/>
      <c r="DY46" s="293"/>
      <c r="DZ46" s="293"/>
      <c r="EA46" s="293"/>
      <c r="EB46" s="293"/>
      <c r="EC46" s="293"/>
      <c r="ED46" s="293"/>
      <c r="EE46" s="293"/>
      <c r="EF46" s="293"/>
      <c r="EG46" s="293"/>
      <c r="EH46" s="293"/>
      <c r="EI46" s="293"/>
      <c r="EJ46" s="293"/>
      <c r="EK46" s="293"/>
      <c r="EL46" s="293"/>
      <c r="EM46" s="293"/>
      <c r="EN46" s="293"/>
      <c r="EO46" s="293"/>
      <c r="EP46" s="293"/>
      <c r="EQ46" s="293"/>
      <c r="ER46" s="293"/>
      <c r="ES46" s="293"/>
      <c r="ET46" s="293"/>
      <c r="EU46" s="293"/>
      <c r="JW46"/>
    </row>
    <row r="47" spans="1:283" s="332" customFormat="1" hidden="1" outlineLevel="1">
      <c r="A47" s="332" t="s">
        <v>606</v>
      </c>
      <c r="AN47" s="626"/>
      <c r="AO47" s="626"/>
      <c r="AP47" s="293"/>
      <c r="AQ47" s="293"/>
      <c r="AR47" s="626"/>
      <c r="AS47" s="626"/>
      <c r="AT47" s="293"/>
      <c r="AU47" s="626"/>
      <c r="AV47" s="626"/>
      <c r="AW47" s="626"/>
      <c r="AX47" s="293"/>
      <c r="AY47" s="293"/>
      <c r="AZ47" s="1202"/>
      <c r="BA47" s="1202"/>
      <c r="BB47" s="293"/>
      <c r="BC47" s="293"/>
      <c r="BD47" s="626"/>
      <c r="BE47" s="626"/>
      <c r="BF47" s="293"/>
      <c r="BG47" s="293"/>
      <c r="BH47" s="626"/>
      <c r="BI47" s="626"/>
      <c r="BJ47" s="293"/>
      <c r="BK47" s="487"/>
      <c r="BL47" s="626"/>
      <c r="BM47" s="626"/>
      <c r="BN47" s="293"/>
      <c r="BO47" s="487"/>
      <c r="BP47" s="626"/>
      <c r="BQ47" s="626"/>
      <c r="BR47" s="293"/>
      <c r="BS47" s="487"/>
      <c r="BT47" s="626"/>
      <c r="BU47" s="626"/>
      <c r="BV47" s="293"/>
      <c r="BW47" s="293"/>
      <c r="BX47" s="626"/>
      <c r="BY47" s="626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  <c r="CK47" s="293"/>
      <c r="CL47" s="293"/>
      <c r="CM47" s="293"/>
      <c r="CN47" s="293"/>
      <c r="CO47" s="293"/>
      <c r="CP47" s="293"/>
      <c r="CQ47" s="293"/>
      <c r="CT47" s="1197"/>
      <c r="CU47" s="293"/>
      <c r="CX47" s="1197"/>
      <c r="CY47" s="293"/>
      <c r="DB47" s="1197"/>
      <c r="DC47" s="293"/>
      <c r="DF47" s="1197"/>
      <c r="DG47" s="293"/>
      <c r="DJ47" s="1197"/>
      <c r="DK47" s="293"/>
      <c r="DN47" s="1197"/>
      <c r="DO47" s="293"/>
      <c r="DR47" s="1197"/>
      <c r="DS47" s="293"/>
      <c r="DT47" s="293"/>
      <c r="DU47" s="293"/>
      <c r="DV47" s="293"/>
      <c r="DW47" s="293"/>
      <c r="DX47" s="293"/>
      <c r="DY47" s="293"/>
      <c r="DZ47" s="293"/>
      <c r="EA47" s="293"/>
      <c r="EB47" s="293"/>
      <c r="EC47" s="293"/>
      <c r="ED47" s="293"/>
      <c r="EE47" s="293"/>
      <c r="EF47" s="293"/>
      <c r="EG47" s="293"/>
      <c r="EH47" s="293"/>
      <c r="EI47" s="293"/>
      <c r="EJ47" s="293"/>
      <c r="EK47" s="293"/>
      <c r="EL47" s="293"/>
      <c r="EM47" s="293"/>
      <c r="EN47" s="293"/>
      <c r="EO47" s="293"/>
      <c r="EP47" s="293"/>
      <c r="EQ47" s="293"/>
      <c r="ER47" s="293"/>
      <c r="ES47" s="293"/>
      <c r="ET47" s="293"/>
      <c r="EU47" s="293"/>
      <c r="JW47"/>
    </row>
    <row r="48" spans="1:283" s="327" customFormat="1" hidden="1" outlineLevel="1">
      <c r="A48" s="327" t="s">
        <v>569</v>
      </c>
      <c r="AN48" s="295"/>
      <c r="AO48" s="295"/>
      <c r="AP48" s="295"/>
      <c r="AQ48" s="295"/>
      <c r="AR48" s="295"/>
      <c r="AS48" s="295"/>
      <c r="AT48" s="295"/>
      <c r="AU48" s="295"/>
      <c r="AV48" s="295"/>
      <c r="AW48" s="295"/>
      <c r="AX48" s="295"/>
      <c r="AY48" s="295"/>
      <c r="AZ48" s="295"/>
      <c r="BA48" s="295"/>
      <c r="BB48" s="295"/>
      <c r="BC48" s="295"/>
      <c r="BD48" s="295"/>
      <c r="BE48" s="295"/>
      <c r="BF48" s="295"/>
      <c r="BG48" s="295"/>
      <c r="BH48" s="295"/>
      <c r="BI48" s="295"/>
      <c r="BJ48" s="295"/>
      <c r="BK48" s="640"/>
      <c r="BL48" s="295"/>
      <c r="BM48" s="295"/>
      <c r="BN48" s="295"/>
      <c r="BO48" s="640"/>
      <c r="BP48" s="295"/>
      <c r="BQ48" s="295"/>
      <c r="BR48" s="295"/>
      <c r="BS48" s="640"/>
      <c r="BT48" s="295"/>
      <c r="BU48" s="295"/>
      <c r="BV48" s="295"/>
      <c r="BW48" s="295"/>
      <c r="BX48" s="295"/>
      <c r="BY48" s="295"/>
      <c r="BZ48" s="295"/>
      <c r="CA48" s="295"/>
      <c r="CB48" s="295"/>
      <c r="CC48" s="295"/>
      <c r="CD48" s="295"/>
      <c r="CE48" s="295"/>
      <c r="CF48" s="295"/>
      <c r="CG48" s="295"/>
      <c r="CH48" s="295"/>
      <c r="CI48" s="295"/>
      <c r="CJ48" s="295"/>
      <c r="CK48" s="295"/>
      <c r="CL48" s="295"/>
      <c r="CM48" s="295"/>
      <c r="CN48" s="295"/>
      <c r="CO48" s="295"/>
      <c r="CP48" s="295"/>
      <c r="CQ48" s="295"/>
      <c r="CT48" s="1199"/>
      <c r="CU48" s="295"/>
      <c r="CX48" s="1199"/>
      <c r="CY48" s="295"/>
      <c r="DB48" s="1199"/>
      <c r="DC48" s="295"/>
      <c r="DF48" s="1199"/>
      <c r="DG48" s="295"/>
      <c r="DJ48" s="1199"/>
      <c r="DK48" s="295"/>
      <c r="DN48" s="1199"/>
      <c r="DO48" s="295"/>
      <c r="DR48" s="1199"/>
      <c r="DS48" s="295"/>
      <c r="DT48" s="295"/>
      <c r="DU48" s="295"/>
      <c r="DV48" s="295"/>
      <c r="DW48" s="295"/>
      <c r="DX48" s="295"/>
      <c r="DY48" s="295"/>
      <c r="DZ48" s="295"/>
      <c r="EA48" s="295"/>
      <c r="EB48" s="295"/>
      <c r="EC48" s="295"/>
      <c r="ED48" s="295"/>
      <c r="EE48" s="295"/>
      <c r="EF48" s="295"/>
      <c r="EG48" s="295"/>
      <c r="EH48" s="295"/>
      <c r="EI48" s="295"/>
      <c r="EJ48" s="295"/>
      <c r="EK48" s="295"/>
      <c r="EL48" s="295"/>
      <c r="EM48" s="295"/>
      <c r="EN48" s="295"/>
      <c r="EO48" s="295"/>
      <c r="EP48" s="295"/>
      <c r="EQ48" s="295"/>
      <c r="ER48" s="295"/>
      <c r="ES48" s="295"/>
      <c r="ET48" s="295"/>
      <c r="EU48" s="295"/>
      <c r="JW48"/>
    </row>
    <row r="49" spans="1:283" s="327" customFormat="1" hidden="1" outlineLevel="1">
      <c r="A49" s="327" t="s">
        <v>572</v>
      </c>
      <c r="AN49" s="295"/>
      <c r="AO49" s="295"/>
      <c r="AP49" s="295"/>
      <c r="AQ49" s="295"/>
      <c r="AR49" s="295"/>
      <c r="AS49" s="295"/>
      <c r="AT49" s="295"/>
      <c r="AU49" s="295"/>
      <c r="AV49" s="295"/>
      <c r="AW49" s="295"/>
      <c r="AX49" s="295"/>
      <c r="AY49" s="295"/>
      <c r="AZ49" s="295"/>
      <c r="BA49" s="295"/>
      <c r="BB49" s="295"/>
      <c r="BC49" s="295"/>
      <c r="BD49" s="295"/>
      <c r="BE49" s="295"/>
      <c r="BF49" s="295"/>
      <c r="BG49" s="295"/>
      <c r="BH49" s="295"/>
      <c r="BI49" s="295"/>
      <c r="BJ49" s="295"/>
      <c r="BK49" s="487"/>
      <c r="BL49" s="295"/>
      <c r="BM49" s="295"/>
      <c r="BN49" s="295"/>
      <c r="BO49" s="487"/>
      <c r="BP49" s="295"/>
      <c r="BQ49" s="295"/>
      <c r="BR49" s="295"/>
      <c r="BS49" s="487"/>
      <c r="BT49" s="295"/>
      <c r="BU49" s="295"/>
      <c r="BV49" s="295"/>
      <c r="BW49" s="295"/>
      <c r="BX49" s="295"/>
      <c r="BY49" s="295"/>
      <c r="BZ49" s="295"/>
      <c r="CA49" s="295"/>
      <c r="CB49" s="295"/>
      <c r="CC49" s="295"/>
      <c r="CD49" s="295"/>
      <c r="CE49" s="295"/>
      <c r="CF49" s="295"/>
      <c r="CG49" s="295"/>
      <c r="CH49" s="295"/>
      <c r="CI49" s="295"/>
      <c r="CJ49" s="295"/>
      <c r="CK49" s="295"/>
      <c r="CL49" s="295"/>
      <c r="CM49" s="295"/>
      <c r="CN49" s="295"/>
      <c r="CO49" s="295"/>
      <c r="CP49" s="295"/>
      <c r="CQ49" s="295"/>
      <c r="CT49" s="1199"/>
      <c r="CU49" s="295"/>
      <c r="CX49" s="1199"/>
      <c r="CY49" s="295"/>
      <c r="DB49" s="1199"/>
      <c r="DC49" s="295"/>
      <c r="DF49" s="1199"/>
      <c r="DG49" s="295"/>
      <c r="DJ49" s="1199"/>
      <c r="DK49" s="295"/>
      <c r="DN49" s="1199"/>
      <c r="DO49" s="295"/>
      <c r="DR49" s="1199"/>
      <c r="DS49" s="295"/>
      <c r="DT49" s="295"/>
      <c r="DU49" s="295"/>
      <c r="DV49" s="295"/>
      <c r="DW49" s="295"/>
      <c r="DX49" s="295"/>
      <c r="DY49" s="295"/>
      <c r="DZ49" s="295"/>
      <c r="EA49" s="295"/>
      <c r="EB49" s="295"/>
      <c r="EC49" s="295"/>
      <c r="ED49" s="295"/>
      <c r="EE49" s="295"/>
      <c r="EF49" s="295"/>
      <c r="EG49" s="295"/>
      <c r="EH49" s="295"/>
      <c r="EI49" s="295"/>
      <c r="EJ49" s="295"/>
      <c r="EK49" s="295"/>
      <c r="EL49" s="295"/>
      <c r="EM49" s="295"/>
      <c r="EN49" s="295"/>
      <c r="EO49" s="295"/>
      <c r="EP49" s="295"/>
      <c r="EQ49" s="295"/>
      <c r="ER49" s="295"/>
      <c r="ES49" s="295"/>
      <c r="ET49" s="295"/>
      <c r="EU49" s="295"/>
      <c r="JW49"/>
    </row>
    <row r="50" spans="1:283" s="327" customFormat="1" hidden="1" outlineLevel="1">
      <c r="A50" s="332" t="s">
        <v>664</v>
      </c>
      <c r="AN50" s="626"/>
      <c r="AO50" s="626"/>
      <c r="AP50" s="293"/>
      <c r="AQ50" s="295"/>
      <c r="AR50" s="626"/>
      <c r="AS50" s="626"/>
      <c r="AT50" s="293"/>
      <c r="AU50" s="295"/>
      <c r="AV50" s="626"/>
      <c r="AW50" s="626"/>
      <c r="AX50" s="293"/>
      <c r="AY50" s="295"/>
      <c r="AZ50" s="626"/>
      <c r="BA50" s="626"/>
      <c r="BB50" s="293"/>
      <c r="BC50" s="295"/>
      <c r="BD50" s="626"/>
      <c r="BE50" s="626"/>
      <c r="BF50" s="293"/>
      <c r="BG50" s="295"/>
      <c r="BH50" s="626"/>
      <c r="BI50" s="626"/>
      <c r="BJ50" s="293"/>
      <c r="BK50" s="487"/>
      <c r="BL50" s="626"/>
      <c r="BM50" s="626"/>
      <c r="BN50" s="293"/>
      <c r="BO50" s="487"/>
      <c r="BP50" s="626"/>
      <c r="BQ50" s="626"/>
      <c r="BR50" s="293"/>
      <c r="BS50" s="487"/>
      <c r="BT50" s="626"/>
      <c r="BU50" s="626"/>
      <c r="BV50" s="293"/>
      <c r="BW50" s="295"/>
      <c r="BX50" s="626"/>
      <c r="BY50" s="626"/>
      <c r="BZ50" s="293"/>
      <c r="CA50" s="295"/>
      <c r="CB50" s="841"/>
      <c r="CC50" s="841"/>
      <c r="CD50" s="293"/>
      <c r="CE50" s="295"/>
      <c r="CF50" s="841"/>
      <c r="CG50" s="841"/>
      <c r="CH50" s="293"/>
      <c r="CI50" s="295"/>
      <c r="CJ50" s="841"/>
      <c r="CK50" s="841"/>
      <c r="CL50" s="293"/>
      <c r="CM50" s="295"/>
      <c r="CN50" s="841"/>
      <c r="CO50" s="841"/>
      <c r="CP50" s="293"/>
      <c r="CQ50" s="295"/>
      <c r="CT50" s="1198"/>
      <c r="CU50" s="293"/>
      <c r="CX50" s="1198"/>
      <c r="CY50" s="293"/>
      <c r="DB50" s="1198"/>
      <c r="DC50" s="293"/>
      <c r="DF50" s="1198"/>
      <c r="DG50" s="293"/>
      <c r="DJ50" s="1198"/>
      <c r="DK50" s="293"/>
      <c r="DN50" s="1198"/>
      <c r="DO50" s="293"/>
      <c r="DR50" s="1198"/>
      <c r="DS50" s="293"/>
      <c r="DT50" s="293"/>
      <c r="DU50" s="293"/>
      <c r="DV50" s="293"/>
      <c r="DW50" s="295"/>
      <c r="DX50" s="293"/>
      <c r="DY50" s="293"/>
      <c r="DZ50" s="295"/>
      <c r="EA50" s="293"/>
      <c r="EB50" s="293"/>
      <c r="EC50" s="293"/>
      <c r="ED50" s="295"/>
      <c r="EE50" s="293"/>
      <c r="EF50" s="293"/>
      <c r="EG50" s="293"/>
      <c r="EH50" s="295"/>
      <c r="EI50" s="293"/>
      <c r="EJ50" s="293"/>
      <c r="EK50" s="293"/>
      <c r="EL50" s="295"/>
      <c r="EM50" s="295"/>
      <c r="EN50" s="295"/>
      <c r="EO50" s="295"/>
      <c r="EP50" s="295"/>
      <c r="EQ50" s="295"/>
      <c r="ER50" s="295"/>
      <c r="ES50" s="295"/>
      <c r="ET50" s="295"/>
      <c r="EU50" s="295"/>
      <c r="JW50"/>
    </row>
    <row r="51" spans="1:283" s="1203" customFormat="1" hidden="1" outlineLevel="1">
      <c r="A51" s="1203" t="s">
        <v>653</v>
      </c>
      <c r="AN51" s="695"/>
      <c r="AO51" s="695"/>
      <c r="AP51" s="695"/>
      <c r="AQ51" s="695"/>
      <c r="AR51" s="695"/>
      <c r="AS51" s="695"/>
      <c r="AT51" s="695"/>
      <c r="AU51" s="695"/>
      <c r="AV51" s="695"/>
      <c r="AW51" s="695"/>
      <c r="AX51" s="695"/>
      <c r="AY51" s="695"/>
      <c r="AZ51" s="695"/>
      <c r="BA51" s="695"/>
      <c r="BB51" s="695"/>
      <c r="BC51" s="695"/>
      <c r="BD51" s="695"/>
      <c r="BE51" s="695"/>
      <c r="BF51" s="695"/>
      <c r="BG51" s="695"/>
      <c r="BH51" s="695"/>
      <c r="BI51" s="695"/>
      <c r="BJ51" s="695"/>
      <c r="BK51" s="1204"/>
      <c r="BL51" s="695"/>
      <c r="BM51" s="695"/>
      <c r="BN51" s="695"/>
      <c r="BO51" s="1204"/>
      <c r="BP51" s="695"/>
      <c r="BQ51" s="695"/>
      <c r="BR51" s="695"/>
      <c r="BS51" s="1204"/>
      <c r="BT51" s="695"/>
      <c r="BU51" s="695"/>
      <c r="BV51" s="695"/>
      <c r="BW51" s="695"/>
      <c r="BX51" s="695"/>
      <c r="BY51" s="695"/>
      <c r="BZ51" s="695"/>
      <c r="CA51" s="695"/>
      <c r="CB51" s="695"/>
      <c r="CC51" s="695"/>
      <c r="CD51" s="695"/>
      <c r="CE51" s="695"/>
      <c r="CF51" s="695"/>
      <c r="CG51" s="695"/>
      <c r="CH51" s="695"/>
      <c r="CI51" s="695"/>
      <c r="CJ51" s="695"/>
      <c r="CK51" s="695"/>
      <c r="CL51" s="695"/>
      <c r="CM51" s="695"/>
      <c r="CN51" s="695"/>
      <c r="CO51" s="695"/>
      <c r="CP51" s="695"/>
      <c r="CQ51" s="695"/>
      <c r="CT51" s="1205"/>
      <c r="CU51" s="695"/>
      <c r="CX51" s="1205"/>
      <c r="CY51" s="695"/>
      <c r="DB51" s="1205"/>
      <c r="DC51" s="695"/>
      <c r="DF51" s="1205"/>
      <c r="DG51" s="695"/>
      <c r="DJ51" s="1205"/>
      <c r="DK51" s="695"/>
      <c r="DN51" s="1205"/>
      <c r="DO51" s="695"/>
      <c r="DR51" s="1205"/>
      <c r="DS51" s="695"/>
      <c r="DT51" s="695"/>
      <c r="DU51" s="695"/>
      <c r="DV51" s="695"/>
      <c r="DW51" s="695"/>
      <c r="DX51" s="695"/>
      <c r="DY51" s="695"/>
      <c r="DZ51" s="695"/>
      <c r="EA51" s="695"/>
      <c r="EB51" s="695"/>
      <c r="EC51" s="695"/>
      <c r="ED51" s="695"/>
      <c r="EE51" s="695"/>
      <c r="EF51" s="695"/>
      <c r="EG51" s="695"/>
      <c r="EH51" s="695"/>
      <c r="EI51" s="695"/>
      <c r="EJ51" s="695"/>
      <c r="EK51" s="695"/>
      <c r="EL51" s="695"/>
      <c r="EM51" s="695"/>
      <c r="EN51" s="695"/>
      <c r="EO51" s="695"/>
      <c r="EP51" s="695"/>
      <c r="EQ51" s="695"/>
      <c r="ER51" s="695"/>
      <c r="ES51" s="695"/>
      <c r="ET51" s="695"/>
      <c r="EU51" s="695"/>
      <c r="JW51"/>
    </row>
    <row r="52" spans="1:283" s="332" customFormat="1" hidden="1" outlineLevel="1"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658"/>
      <c r="BQ52" s="293"/>
      <c r="BR52" s="293"/>
      <c r="BS52" s="293"/>
      <c r="BT52" s="658"/>
      <c r="BU52" s="293"/>
      <c r="BV52" s="293"/>
      <c r="BW52" s="293"/>
      <c r="BX52" s="658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  <c r="CK52" s="293"/>
      <c r="CL52" s="293"/>
      <c r="CM52" s="293"/>
      <c r="CN52" s="293"/>
      <c r="CO52" s="293"/>
      <c r="CP52" s="293"/>
      <c r="CQ52" s="293"/>
      <c r="CT52" s="1197"/>
      <c r="CU52" s="293"/>
      <c r="CX52" s="1197"/>
      <c r="CY52" s="293"/>
      <c r="DB52" s="1197"/>
      <c r="DC52" s="293"/>
      <c r="DF52" s="1197"/>
      <c r="DG52" s="293"/>
      <c r="DJ52" s="1197"/>
      <c r="DK52" s="293"/>
      <c r="DN52" s="1197"/>
      <c r="DO52" s="293"/>
      <c r="DR52" s="1197"/>
      <c r="DS52" s="293"/>
      <c r="DT52" s="293"/>
      <c r="DU52" s="293"/>
      <c r="DV52" s="293"/>
      <c r="DW52" s="293"/>
      <c r="DX52" s="293"/>
      <c r="DY52" s="293"/>
      <c r="DZ52" s="293"/>
      <c r="EA52" s="293"/>
      <c r="EB52" s="293"/>
      <c r="EC52" s="293"/>
      <c r="ED52" s="293"/>
      <c r="EE52" s="293"/>
      <c r="EF52" s="293"/>
      <c r="EG52" s="293"/>
      <c r="EH52" s="293"/>
      <c r="EI52" s="293"/>
      <c r="EJ52" s="293"/>
      <c r="EK52" s="293"/>
      <c r="EL52" s="293"/>
      <c r="EM52" s="293"/>
      <c r="EN52" s="293"/>
      <c r="EO52" s="293"/>
      <c r="EP52" s="293"/>
      <c r="EQ52" s="293"/>
      <c r="ER52" s="293"/>
      <c r="ES52" s="293"/>
      <c r="ET52" s="293"/>
      <c r="EU52" s="293"/>
      <c r="EV52" s="293"/>
      <c r="EW52" s="293"/>
      <c r="EX52" s="293"/>
      <c r="EY52" s="293"/>
      <c r="EZ52" s="293"/>
      <c r="FA52" s="293"/>
      <c r="FB52" s="293"/>
      <c r="FC52" s="293"/>
      <c r="FD52" s="293"/>
      <c r="FE52" s="293"/>
      <c r="FF52" s="293"/>
      <c r="FG52" s="293"/>
      <c r="FH52" s="293"/>
      <c r="FI52" s="293"/>
      <c r="FJ52" s="293"/>
      <c r="FK52" s="293"/>
      <c r="FL52" s="293"/>
      <c r="FM52" s="293"/>
      <c r="FN52" s="293"/>
      <c r="FO52" s="293"/>
      <c r="FP52" s="293"/>
      <c r="FQ52" s="293"/>
      <c r="FR52" s="293"/>
      <c r="FS52" s="293"/>
      <c r="FT52" s="293"/>
      <c r="FU52" s="293"/>
      <c r="FV52" s="293"/>
      <c r="FW52" s="293"/>
      <c r="FX52" s="293"/>
      <c r="FY52" s="293"/>
      <c r="FZ52" s="293"/>
      <c r="GA52" s="293"/>
      <c r="GB52" s="293"/>
      <c r="GC52" s="293"/>
      <c r="GD52" s="293"/>
      <c r="GE52" s="293"/>
      <c r="GF52" s="293"/>
      <c r="GG52" s="293"/>
      <c r="GH52" s="293"/>
      <c r="GI52" s="293"/>
      <c r="GJ52" s="293"/>
      <c r="GK52" s="293"/>
      <c r="GL52" s="293"/>
      <c r="GM52" s="293"/>
      <c r="GN52" s="293"/>
      <c r="GO52" s="293"/>
      <c r="GP52" s="293"/>
      <c r="GQ52" s="293"/>
      <c r="GR52" s="293"/>
      <c r="GS52" s="293"/>
      <c r="GT52" s="293"/>
      <c r="GU52" s="293"/>
      <c r="GV52" s="293"/>
      <c r="GW52" s="293"/>
      <c r="GX52" s="293"/>
      <c r="GY52" s="293"/>
      <c r="GZ52" s="293"/>
      <c r="HA52" s="293"/>
      <c r="HB52" s="293"/>
      <c r="HC52" s="293"/>
      <c r="HD52" s="293"/>
      <c r="HE52" s="293"/>
      <c r="HF52" s="293"/>
      <c r="HG52" s="293"/>
      <c r="HH52" s="293"/>
      <c r="HI52" s="293"/>
      <c r="HJ52" s="293"/>
      <c r="HK52" s="293"/>
      <c r="HL52" s="293"/>
      <c r="HM52" s="293"/>
      <c r="HN52" s="293"/>
      <c r="HO52" s="293"/>
      <c r="HP52" s="293"/>
      <c r="HQ52" s="293"/>
      <c r="HR52" s="293"/>
      <c r="HS52" s="293"/>
      <c r="HT52" s="293"/>
      <c r="HU52" s="293"/>
      <c r="HV52" s="293"/>
      <c r="HW52" s="293"/>
      <c r="HX52" s="293"/>
      <c r="HY52" s="293"/>
      <c r="HZ52" s="293"/>
      <c r="IA52" s="293"/>
      <c r="IB52" s="293"/>
      <c r="IC52" s="293"/>
      <c r="ID52" s="293"/>
      <c r="IE52" s="293"/>
      <c r="IF52" s="293"/>
      <c r="IG52" s="293"/>
      <c r="IH52" s="293"/>
      <c r="II52" s="293"/>
      <c r="IJ52" s="293"/>
      <c r="IK52" s="293"/>
      <c r="IL52" s="293"/>
      <c r="IM52" s="293"/>
      <c r="IN52" s="293"/>
      <c r="IO52" s="293"/>
      <c r="IP52" s="293"/>
      <c r="IQ52" s="293"/>
      <c r="IR52" s="293"/>
      <c r="IS52" s="293"/>
      <c r="IT52" s="293"/>
      <c r="IU52" s="293"/>
      <c r="IV52" s="293"/>
      <c r="IW52" s="293"/>
      <c r="IX52" s="293"/>
      <c r="IY52" s="293"/>
      <c r="IZ52" s="293"/>
      <c r="JA52" s="293"/>
      <c r="JB52" s="293"/>
      <c r="JC52" s="293"/>
      <c r="JD52" s="293"/>
      <c r="JE52" s="293"/>
      <c r="JF52" s="293"/>
      <c r="JG52" s="293"/>
      <c r="JH52" s="293"/>
      <c r="JI52" s="293"/>
      <c r="JJ52" s="293"/>
      <c r="JK52" s="293"/>
      <c r="JL52" s="293"/>
      <c r="JM52" s="293"/>
      <c r="JN52" s="293"/>
      <c r="JO52" s="293"/>
      <c r="JP52" s="293"/>
      <c r="JQ52" s="293"/>
      <c r="JR52" s="293"/>
      <c r="JS52" s="293"/>
      <c r="JT52" s="293"/>
      <c r="JU52" s="293"/>
      <c r="JV52" s="293"/>
      <c r="JW52"/>
    </row>
    <row r="53" spans="1:283" s="332" customFormat="1" hidden="1" outlineLevel="1">
      <c r="A53" s="1092" t="s">
        <v>835</v>
      </c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  <c r="CK53" s="293"/>
      <c r="CL53" s="293"/>
      <c r="CM53" s="293"/>
      <c r="CN53" s="293"/>
      <c r="CO53" s="293"/>
      <c r="CP53" s="293"/>
      <c r="CQ53" s="293"/>
      <c r="CT53" s="1197"/>
      <c r="CU53" s="293"/>
      <c r="CX53" s="1197"/>
      <c r="CY53" s="293"/>
      <c r="DB53" s="1197"/>
      <c r="DC53" s="293"/>
      <c r="DF53" s="1197"/>
      <c r="DG53" s="293"/>
      <c r="DJ53" s="1197"/>
      <c r="DK53" s="293"/>
      <c r="DN53" s="1197"/>
      <c r="DO53" s="293"/>
      <c r="DR53" s="1197"/>
      <c r="DS53" s="293"/>
      <c r="DT53" s="293"/>
      <c r="DU53" s="293"/>
      <c r="DV53" s="293"/>
      <c r="DW53" s="293"/>
      <c r="DX53" s="293"/>
      <c r="DY53" s="293"/>
      <c r="DZ53" s="293"/>
      <c r="EA53" s="293"/>
      <c r="EB53" s="293"/>
      <c r="EC53" s="293"/>
      <c r="ED53" s="293"/>
      <c r="EE53" s="293"/>
      <c r="EF53" s="293"/>
      <c r="EG53" s="293"/>
      <c r="EH53" s="293"/>
      <c r="EI53" s="293"/>
      <c r="EJ53" s="293"/>
      <c r="EK53" s="293"/>
      <c r="EL53" s="293"/>
      <c r="EM53" s="293"/>
      <c r="EN53" s="293"/>
      <c r="EO53" s="293"/>
      <c r="EP53" s="293"/>
      <c r="EQ53" s="293"/>
      <c r="ER53" s="293"/>
      <c r="ES53" s="293"/>
      <c r="ET53" s="293"/>
      <c r="EU53" s="293"/>
      <c r="JW53"/>
    </row>
    <row r="54" spans="1:283" s="332" customFormat="1" hidden="1" outlineLevel="1">
      <c r="A54" s="1079" t="str">
        <f>+A43</f>
        <v>Total operating income</v>
      </c>
      <c r="AN54" s="293"/>
      <c r="AO54" s="293"/>
      <c r="AP54" s="293"/>
      <c r="AQ54" s="293"/>
      <c r="AR54" s="293"/>
      <c r="AS54" s="293"/>
      <c r="AT54" s="293"/>
      <c r="AU54" s="293"/>
      <c r="AV54" s="294"/>
      <c r="AW54" s="294"/>
      <c r="AX54" s="294"/>
      <c r="AY54" s="293"/>
      <c r="AZ54" s="294"/>
      <c r="BA54" s="294"/>
      <c r="BB54" s="294"/>
      <c r="BC54" s="293"/>
      <c r="BD54" s="294"/>
      <c r="BE54" s="294"/>
      <c r="BF54" s="294"/>
      <c r="BG54" s="331"/>
      <c r="BH54" s="294"/>
      <c r="BI54" s="294"/>
      <c r="BJ54" s="294"/>
      <c r="BK54" s="293"/>
      <c r="BL54" s="294"/>
      <c r="BM54" s="294"/>
      <c r="BN54" s="294"/>
      <c r="BO54" s="293"/>
      <c r="BP54" s="294"/>
      <c r="BQ54" s="294"/>
      <c r="BR54" s="294"/>
      <c r="BS54" s="293"/>
      <c r="BT54" s="294"/>
      <c r="BU54" s="294"/>
      <c r="BV54" s="294"/>
      <c r="BW54" s="293"/>
      <c r="BX54" s="294"/>
      <c r="BY54" s="294"/>
      <c r="BZ54" s="294"/>
      <c r="CA54" s="293"/>
      <c r="CB54" s="294"/>
      <c r="CC54" s="294"/>
      <c r="CD54" s="294"/>
      <c r="CE54" s="293"/>
      <c r="CF54" s="294"/>
      <c r="CG54" s="294"/>
      <c r="CH54" s="294"/>
      <c r="CI54" s="293"/>
      <c r="CJ54" s="294"/>
      <c r="CK54" s="294"/>
      <c r="CL54" s="294"/>
      <c r="CM54" s="293"/>
      <c r="CN54" s="294"/>
      <c r="CO54" s="294"/>
      <c r="CP54" s="294"/>
      <c r="CQ54" s="293"/>
      <c r="CT54" s="1206"/>
      <c r="CU54" s="294"/>
      <c r="CX54" s="1206"/>
      <c r="CY54" s="294"/>
      <c r="DB54" s="1206"/>
      <c r="DC54" s="294"/>
      <c r="DF54" s="1206"/>
      <c r="DG54" s="294"/>
      <c r="DJ54" s="1206"/>
      <c r="DK54" s="294"/>
      <c r="DN54" s="1206"/>
      <c r="DO54" s="294"/>
      <c r="DR54" s="1206"/>
      <c r="DS54" s="294"/>
      <c r="DT54" s="294"/>
      <c r="DU54" s="294"/>
      <c r="DV54" s="294"/>
      <c r="DW54" s="293"/>
      <c r="DX54" s="294"/>
      <c r="DY54" s="294"/>
      <c r="DZ54" s="293"/>
      <c r="EA54" s="294"/>
      <c r="EB54" s="294"/>
      <c r="EC54" s="294"/>
      <c r="ED54" s="293"/>
      <c r="EE54" s="294"/>
      <c r="EF54" s="294"/>
      <c r="EG54" s="294"/>
      <c r="EH54" s="293"/>
      <c r="EI54" s="294"/>
      <c r="EJ54" s="294"/>
      <c r="EK54" s="294"/>
      <c r="EL54" s="293"/>
      <c r="EM54" s="293"/>
      <c r="EN54" s="293"/>
      <c r="EO54" s="293"/>
      <c r="EP54" s="293"/>
      <c r="EQ54" s="293"/>
      <c r="ER54" s="293"/>
      <c r="ES54" s="293"/>
      <c r="ET54" s="293"/>
      <c r="EU54" s="293"/>
      <c r="JW54"/>
    </row>
    <row r="55" spans="1:283" s="332" customFormat="1" hidden="1" outlineLevel="1">
      <c r="A55" s="1079" t="str">
        <f>A48</f>
        <v>Total operating expenses</v>
      </c>
      <c r="AN55" s="293"/>
      <c r="AO55" s="293"/>
      <c r="AP55" s="293"/>
      <c r="AQ55" s="293"/>
      <c r="AR55" s="293"/>
      <c r="AS55" s="293"/>
      <c r="AT55" s="293"/>
      <c r="AU55" s="293"/>
      <c r="AV55" s="294"/>
      <c r="AW55" s="294"/>
      <c r="AX55" s="294"/>
      <c r="AY55" s="331"/>
      <c r="AZ55" s="294"/>
      <c r="BA55" s="294"/>
      <c r="BB55" s="294"/>
      <c r="BC55" s="331"/>
      <c r="BD55" s="294"/>
      <c r="BE55" s="294"/>
      <c r="BF55" s="294"/>
      <c r="BG55" s="293"/>
      <c r="BH55" s="294"/>
      <c r="BI55" s="294"/>
      <c r="BJ55" s="294"/>
      <c r="BK55" s="293"/>
      <c r="BL55" s="294"/>
      <c r="BM55" s="294"/>
      <c r="BN55" s="294"/>
      <c r="BO55" s="293"/>
      <c r="BP55" s="294"/>
      <c r="BQ55" s="294"/>
      <c r="BR55" s="294"/>
      <c r="BS55" s="293"/>
      <c r="BT55" s="294"/>
      <c r="BU55" s="294"/>
      <c r="BV55" s="294"/>
      <c r="BW55" s="293"/>
      <c r="BX55" s="294"/>
      <c r="BY55" s="294"/>
      <c r="BZ55" s="294"/>
      <c r="CA55" s="293"/>
      <c r="CB55" s="294"/>
      <c r="CC55" s="294"/>
      <c r="CD55" s="294"/>
      <c r="CE55" s="293"/>
      <c r="CF55" s="294"/>
      <c r="CG55" s="294"/>
      <c r="CH55" s="294"/>
      <c r="CI55" s="293"/>
      <c r="CJ55" s="294"/>
      <c r="CK55" s="294"/>
      <c r="CL55" s="294"/>
      <c r="CM55" s="293"/>
      <c r="CN55" s="294"/>
      <c r="CO55" s="294"/>
      <c r="CP55" s="294"/>
      <c r="CQ55" s="293"/>
      <c r="CT55" s="1206"/>
      <c r="CU55" s="294"/>
      <c r="CX55" s="1206"/>
      <c r="CY55" s="294"/>
      <c r="DB55" s="1206"/>
      <c r="DC55" s="294"/>
      <c r="DF55" s="1206"/>
      <c r="DG55" s="294"/>
      <c r="DJ55" s="1206"/>
      <c r="DK55" s="294"/>
      <c r="DN55" s="1206"/>
      <c r="DO55" s="294"/>
      <c r="DR55" s="1206"/>
      <c r="DS55" s="294"/>
      <c r="DT55" s="294"/>
      <c r="DU55" s="294"/>
      <c r="DV55" s="294"/>
      <c r="DW55" s="293"/>
      <c r="DX55" s="294"/>
      <c r="DY55" s="294"/>
      <c r="DZ55" s="293"/>
      <c r="EA55" s="294"/>
      <c r="EB55" s="294"/>
      <c r="EC55" s="294"/>
      <c r="ED55" s="293"/>
      <c r="EE55" s="294"/>
      <c r="EF55" s="294"/>
      <c r="EG55" s="294"/>
      <c r="EH55" s="293"/>
      <c r="EI55" s="294"/>
      <c r="EJ55" s="294"/>
      <c r="EK55" s="294"/>
      <c r="EL55" s="293"/>
      <c r="EM55" s="293"/>
      <c r="EN55" s="293"/>
      <c r="EO55" s="293"/>
      <c r="EP55" s="293"/>
      <c r="EQ55" s="293"/>
      <c r="ER55" s="293"/>
      <c r="ES55" s="293"/>
      <c r="ET55" s="293"/>
      <c r="EU55" s="293"/>
      <c r="JW55"/>
    </row>
    <row r="56" spans="1:283" s="332" customFormat="1" hidden="1" outlineLevel="1">
      <c r="A56" s="1079" t="str">
        <f>A49</f>
        <v>Profit before tax</v>
      </c>
      <c r="AN56" s="293"/>
      <c r="AO56" s="293"/>
      <c r="AP56" s="293"/>
      <c r="AQ56" s="293"/>
      <c r="AR56" s="293"/>
      <c r="AS56" s="293"/>
      <c r="AT56" s="293"/>
      <c r="AU56" s="293"/>
      <c r="AV56" s="294"/>
      <c r="AW56" s="294"/>
      <c r="AX56" s="294"/>
      <c r="AY56" s="293"/>
      <c r="AZ56" s="294"/>
      <c r="BA56" s="294"/>
      <c r="BB56" s="294"/>
      <c r="BC56" s="293"/>
      <c r="BD56" s="294"/>
      <c r="BE56" s="294"/>
      <c r="BF56" s="294"/>
      <c r="BG56" s="293"/>
      <c r="BH56" s="294"/>
      <c r="BI56" s="294"/>
      <c r="BJ56" s="294"/>
      <c r="BK56" s="293"/>
      <c r="BL56" s="294"/>
      <c r="BM56" s="294"/>
      <c r="BN56" s="294"/>
      <c r="BO56" s="293"/>
      <c r="BP56" s="294"/>
      <c r="BQ56" s="294"/>
      <c r="BR56" s="294"/>
      <c r="BS56" s="293"/>
      <c r="BT56" s="294"/>
      <c r="BU56" s="294"/>
      <c r="BV56" s="294"/>
      <c r="BW56" s="293"/>
      <c r="BX56" s="294"/>
      <c r="BY56" s="294"/>
      <c r="BZ56" s="294"/>
      <c r="CA56" s="293"/>
      <c r="CB56" s="294"/>
      <c r="CC56" s="294"/>
      <c r="CD56" s="294"/>
      <c r="CE56" s="293"/>
      <c r="CF56" s="294"/>
      <c r="CG56" s="294"/>
      <c r="CH56" s="294"/>
      <c r="CI56" s="293"/>
      <c r="CJ56" s="294"/>
      <c r="CK56" s="294"/>
      <c r="CL56" s="294"/>
      <c r="CM56" s="293"/>
      <c r="CN56" s="294"/>
      <c r="CO56" s="294"/>
      <c r="CP56" s="294"/>
      <c r="CQ56" s="293"/>
      <c r="CT56" s="1206"/>
      <c r="CU56" s="294"/>
      <c r="CX56" s="1206"/>
      <c r="CY56" s="294"/>
      <c r="DB56" s="1206"/>
      <c r="DC56" s="294"/>
      <c r="DF56" s="1206"/>
      <c r="DG56" s="294"/>
      <c r="DJ56" s="1206"/>
      <c r="DK56" s="294"/>
      <c r="DN56" s="1206"/>
      <c r="DO56" s="294"/>
      <c r="DR56" s="1206"/>
      <c r="DS56" s="294"/>
      <c r="DT56" s="294"/>
      <c r="DU56" s="294"/>
      <c r="DV56" s="294"/>
      <c r="DW56" s="293"/>
      <c r="DX56" s="294"/>
      <c r="DY56" s="294"/>
      <c r="DZ56" s="293"/>
      <c r="EA56" s="294"/>
      <c r="EB56" s="294"/>
      <c r="EC56" s="294"/>
      <c r="ED56" s="293"/>
      <c r="EE56" s="294"/>
      <c r="EF56" s="294"/>
      <c r="EG56" s="294"/>
      <c r="EH56" s="293"/>
      <c r="EI56" s="294"/>
      <c r="EJ56" s="294"/>
      <c r="EK56" s="294"/>
      <c r="EL56" s="293"/>
      <c r="EM56" s="293"/>
      <c r="EN56" s="293"/>
      <c r="EO56" s="293"/>
      <c r="EP56" s="293"/>
      <c r="EQ56" s="293"/>
      <c r="ER56" s="293"/>
      <c r="ES56" s="293"/>
      <c r="ET56" s="293"/>
      <c r="EU56" s="293"/>
      <c r="JW56"/>
    </row>
    <row r="57" spans="1:283" s="332" customFormat="1" hidden="1" outlineLevel="1"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G57" s="293"/>
      <c r="BH57" s="293"/>
      <c r="BK57" s="293"/>
      <c r="BL57" s="293"/>
      <c r="BO57" s="293"/>
      <c r="BP57" s="293"/>
      <c r="BS57" s="293"/>
      <c r="BT57" s="293"/>
      <c r="BW57" s="293"/>
      <c r="BX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  <c r="CK57" s="293"/>
      <c r="CL57" s="293"/>
      <c r="CM57" s="293"/>
      <c r="CN57" s="293"/>
      <c r="CO57" s="293"/>
      <c r="CP57" s="293"/>
      <c r="CQ57" s="293"/>
      <c r="CT57" s="1197"/>
      <c r="CU57" s="293"/>
      <c r="CX57" s="1197"/>
      <c r="CY57" s="293"/>
      <c r="DB57" s="1197"/>
      <c r="DC57" s="293"/>
      <c r="DF57" s="1197"/>
      <c r="DG57" s="293"/>
      <c r="DJ57" s="1197"/>
      <c r="DK57" s="293"/>
      <c r="DN57" s="1197"/>
      <c r="DO57" s="293"/>
      <c r="DR57" s="1197"/>
      <c r="DS57" s="293"/>
      <c r="DT57" s="293"/>
      <c r="DU57" s="293"/>
      <c r="DV57" s="293"/>
      <c r="DW57" s="293"/>
      <c r="DX57" s="293"/>
      <c r="DY57" s="293"/>
      <c r="DZ57" s="293"/>
      <c r="EA57" s="293"/>
      <c r="EB57" s="293"/>
      <c r="EC57" s="293"/>
      <c r="ED57" s="293"/>
      <c r="EE57" s="293"/>
      <c r="EF57" s="293"/>
      <c r="EG57" s="293"/>
      <c r="EH57" s="293"/>
      <c r="EI57" s="293"/>
      <c r="EJ57" s="293"/>
      <c r="EK57" s="293"/>
      <c r="EL57" s="293"/>
      <c r="EM57" s="293"/>
      <c r="EN57" s="293"/>
      <c r="EO57" s="293"/>
      <c r="EP57" s="293"/>
      <c r="EQ57" s="293"/>
      <c r="ER57" s="293"/>
      <c r="ES57" s="293"/>
      <c r="ET57" s="293"/>
      <c r="EU57" s="293"/>
      <c r="JW57"/>
    </row>
    <row r="58" spans="1:283" s="332" customFormat="1" hidden="1" outlineLevel="1">
      <c r="A58" s="1207" t="s">
        <v>730</v>
      </c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  <c r="CK58" s="293"/>
      <c r="CL58" s="293"/>
      <c r="CM58" s="293"/>
      <c r="CN58" s="293"/>
      <c r="CO58" s="293"/>
      <c r="CP58" s="293"/>
      <c r="CQ58" s="293"/>
      <c r="CT58" s="1197"/>
      <c r="CU58" s="293"/>
      <c r="CX58" s="1197"/>
      <c r="CY58" s="293"/>
      <c r="DB58" s="1197"/>
      <c r="DC58" s="293"/>
      <c r="DF58" s="1197"/>
      <c r="DG58" s="293"/>
      <c r="DJ58" s="1197"/>
      <c r="DK58" s="293"/>
      <c r="DN58" s="1197"/>
      <c r="DO58" s="293"/>
      <c r="DR58" s="1197"/>
      <c r="DS58" s="293"/>
      <c r="DT58" s="293"/>
      <c r="DU58" s="293"/>
      <c r="DV58" s="293"/>
      <c r="DW58" s="293"/>
      <c r="DX58" s="293"/>
      <c r="DY58" s="293"/>
      <c r="DZ58" s="293"/>
      <c r="EA58" s="293"/>
      <c r="EB58" s="293"/>
      <c r="EC58" s="293"/>
      <c r="ED58" s="293"/>
      <c r="EE58" s="293"/>
      <c r="EF58" s="293"/>
      <c r="EG58" s="293"/>
      <c r="EH58" s="293"/>
      <c r="EI58" s="293"/>
      <c r="EJ58" s="293"/>
      <c r="EK58" s="293"/>
      <c r="EL58" s="293"/>
      <c r="EM58" s="293"/>
      <c r="EN58" s="293"/>
      <c r="EO58" s="293"/>
      <c r="EP58" s="293"/>
      <c r="EQ58" s="293"/>
      <c r="ER58" s="293"/>
      <c r="ES58" s="293"/>
      <c r="ET58" s="293"/>
      <c r="EU58" s="293"/>
      <c r="JW58"/>
    </row>
    <row r="59" spans="1:283" s="845" customFormat="1" hidden="1" outlineLevel="1">
      <c r="A59" s="845" t="s">
        <v>571</v>
      </c>
      <c r="AN59" s="673"/>
      <c r="AO59" s="673"/>
      <c r="AP59" s="673"/>
      <c r="AQ59" s="303"/>
      <c r="AR59" s="673"/>
      <c r="AS59" s="673"/>
      <c r="AT59" s="673"/>
      <c r="AU59" s="627"/>
      <c r="AV59" s="673"/>
      <c r="AW59" s="673"/>
      <c r="AX59" s="673"/>
      <c r="AY59" s="303"/>
      <c r="AZ59" s="673"/>
      <c r="BA59" s="673"/>
      <c r="BB59" s="673"/>
      <c r="BC59" s="303"/>
      <c r="BD59" s="673"/>
      <c r="BE59" s="673"/>
      <c r="BF59" s="673"/>
      <c r="BG59" s="1018"/>
      <c r="BH59" s="673"/>
      <c r="BI59" s="673"/>
      <c r="BJ59" s="673"/>
      <c r="BK59" s="630"/>
      <c r="BL59" s="673"/>
      <c r="BM59" s="673"/>
      <c r="BN59" s="673"/>
      <c r="BO59" s="630"/>
      <c r="BP59" s="673"/>
      <c r="BQ59" s="673"/>
      <c r="BR59" s="673"/>
      <c r="BS59" s="630"/>
      <c r="BT59" s="673"/>
      <c r="BU59" s="673"/>
      <c r="BV59" s="673"/>
      <c r="BW59" s="303"/>
      <c r="BX59" s="673"/>
      <c r="BY59" s="673"/>
      <c r="BZ59" s="673"/>
      <c r="CA59" s="303"/>
      <c r="CB59" s="630"/>
      <c r="CC59" s="630"/>
      <c r="CD59" s="303"/>
      <c r="CE59" s="303"/>
      <c r="CF59" s="630"/>
      <c r="CG59" s="630"/>
      <c r="CH59" s="303"/>
      <c r="CI59" s="303"/>
      <c r="CJ59" s="630"/>
      <c r="CK59" s="630"/>
      <c r="CL59" s="303"/>
      <c r="CM59" s="303"/>
      <c r="CN59" s="630"/>
      <c r="CO59" s="630"/>
      <c r="CP59" s="303"/>
      <c r="CQ59" s="303"/>
      <c r="CT59" s="1208"/>
      <c r="CU59" s="303"/>
      <c r="CX59" s="1208"/>
      <c r="CY59" s="303"/>
      <c r="DB59" s="1208"/>
      <c r="DC59" s="303"/>
      <c r="DF59" s="1208"/>
      <c r="DG59" s="303"/>
      <c r="DJ59" s="1208"/>
      <c r="DK59" s="303"/>
      <c r="DN59" s="1208"/>
      <c r="DO59" s="303"/>
      <c r="DR59" s="1208"/>
      <c r="DS59" s="303"/>
      <c r="DT59" s="303"/>
      <c r="DU59" s="303"/>
      <c r="DV59" s="303"/>
      <c r="DW59" s="303"/>
      <c r="DX59" s="303"/>
      <c r="DY59" s="303"/>
      <c r="DZ59" s="303"/>
      <c r="EA59" s="303"/>
      <c r="EB59" s="303"/>
      <c r="EC59" s="303"/>
      <c r="ED59" s="303"/>
      <c r="EE59" s="303"/>
      <c r="EF59" s="303"/>
      <c r="EG59" s="303"/>
      <c r="EH59" s="303"/>
      <c r="EI59" s="303"/>
      <c r="EJ59" s="303"/>
      <c r="EK59" s="303"/>
      <c r="EL59" s="303"/>
      <c r="EM59" s="303"/>
      <c r="EN59" s="303"/>
      <c r="EO59" s="303"/>
      <c r="EP59" s="303"/>
      <c r="EQ59" s="303"/>
      <c r="ER59" s="303"/>
      <c r="ES59" s="303"/>
      <c r="ET59" s="303"/>
      <c r="EU59" s="303"/>
      <c r="JW59"/>
    </row>
    <row r="60" spans="1:283" s="332" customFormat="1" hidden="1" outlineLevel="1">
      <c r="A60" s="332" t="s">
        <v>651</v>
      </c>
      <c r="AN60" s="492"/>
      <c r="AO60" s="492"/>
      <c r="AP60" s="492"/>
      <c r="AQ60" s="293"/>
      <c r="AR60" s="492"/>
      <c r="AS60" s="492"/>
      <c r="AT60" s="492"/>
      <c r="AU60" s="626"/>
      <c r="AV60" s="492"/>
      <c r="AW60" s="492"/>
      <c r="AX60" s="492"/>
      <c r="AY60" s="626"/>
      <c r="AZ60" s="492"/>
      <c r="BA60" s="492"/>
      <c r="BB60" s="492"/>
      <c r="BC60" s="293"/>
      <c r="BD60" s="492"/>
      <c r="BE60" s="492"/>
      <c r="BF60" s="492"/>
      <c r="BG60" s="293"/>
      <c r="BH60" s="492"/>
      <c r="BI60" s="492"/>
      <c r="BJ60" s="492"/>
      <c r="BK60" s="487"/>
      <c r="BL60" s="492"/>
      <c r="BM60" s="492"/>
      <c r="BN60" s="492"/>
      <c r="BO60" s="487"/>
      <c r="BP60" s="492"/>
      <c r="BQ60" s="492"/>
      <c r="BR60" s="492"/>
      <c r="BS60" s="487"/>
      <c r="BT60" s="492"/>
      <c r="BU60" s="492"/>
      <c r="BV60" s="492"/>
      <c r="BW60" s="293"/>
      <c r="BX60" s="492"/>
      <c r="BY60" s="492"/>
      <c r="BZ60" s="492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  <c r="CK60" s="293"/>
      <c r="CL60" s="293"/>
      <c r="CM60" s="293"/>
      <c r="CN60" s="293"/>
      <c r="CO60" s="293"/>
      <c r="CP60" s="293"/>
      <c r="CQ60" s="293"/>
      <c r="CT60" s="1197"/>
      <c r="CU60" s="293"/>
      <c r="CX60" s="1197"/>
      <c r="CY60" s="293"/>
      <c r="DB60" s="1197"/>
      <c r="DC60" s="293"/>
      <c r="DF60" s="1197"/>
      <c r="DG60" s="293"/>
      <c r="DJ60" s="1197"/>
      <c r="DK60" s="293"/>
      <c r="DN60" s="1197"/>
      <c r="DO60" s="293"/>
      <c r="DR60" s="1197"/>
      <c r="DS60" s="293"/>
      <c r="DT60" s="293"/>
      <c r="DU60" s="293"/>
      <c r="DV60" s="293"/>
      <c r="DW60" s="293"/>
      <c r="DX60" s="293"/>
      <c r="DY60" s="293"/>
      <c r="DZ60" s="293"/>
      <c r="EA60" s="293"/>
      <c r="EB60" s="293"/>
      <c r="EC60" s="293"/>
      <c r="ED60" s="293"/>
      <c r="EE60" s="293"/>
      <c r="EF60" s="293"/>
      <c r="EG60" s="293"/>
      <c r="EH60" s="293"/>
      <c r="EI60" s="293"/>
      <c r="EJ60" s="293"/>
      <c r="EK60" s="293"/>
      <c r="EL60" s="293"/>
      <c r="EM60" s="293"/>
      <c r="EN60" s="293"/>
      <c r="EO60" s="293"/>
      <c r="EP60" s="293"/>
      <c r="EQ60" s="293"/>
      <c r="ER60" s="293"/>
      <c r="ES60" s="293"/>
      <c r="ET60" s="293"/>
      <c r="EU60" s="293"/>
      <c r="JW60"/>
    </row>
    <row r="61" spans="1:283" s="327" customFormat="1" hidden="1" outlineLevel="1">
      <c r="A61" s="327" t="s">
        <v>588</v>
      </c>
      <c r="AN61" s="820"/>
      <c r="AO61" s="820"/>
      <c r="AP61" s="820"/>
      <c r="AQ61" s="295"/>
      <c r="AR61" s="820"/>
      <c r="AS61" s="820"/>
      <c r="AT61" s="820"/>
      <c r="AU61" s="295"/>
      <c r="AV61" s="820"/>
      <c r="AW61" s="820"/>
      <c r="AX61" s="820"/>
      <c r="AY61" s="295"/>
      <c r="AZ61" s="820"/>
      <c r="BA61" s="820"/>
      <c r="BB61" s="820"/>
      <c r="BC61" s="295"/>
      <c r="BD61" s="820"/>
      <c r="BE61" s="820"/>
      <c r="BF61" s="820"/>
      <c r="BG61" s="295"/>
      <c r="BH61" s="820"/>
      <c r="BI61" s="820"/>
      <c r="BJ61" s="820"/>
      <c r="BK61" s="295"/>
      <c r="BL61" s="820"/>
      <c r="BM61" s="820"/>
      <c r="BN61" s="820"/>
      <c r="BO61" s="685"/>
      <c r="BP61" s="820"/>
      <c r="BQ61" s="820"/>
      <c r="BR61" s="820"/>
      <c r="BS61" s="685"/>
      <c r="BT61" s="820"/>
      <c r="BU61" s="820"/>
      <c r="BV61" s="820"/>
      <c r="BW61" s="295"/>
      <c r="BX61" s="820"/>
      <c r="BY61" s="820"/>
      <c r="BZ61" s="820"/>
      <c r="CA61" s="295"/>
      <c r="CB61" s="295"/>
      <c r="CC61" s="295"/>
      <c r="CD61" s="295"/>
      <c r="CE61" s="295"/>
      <c r="CF61" s="295"/>
      <c r="CG61" s="295"/>
      <c r="CH61" s="295"/>
      <c r="CI61" s="295"/>
      <c r="CJ61" s="295"/>
      <c r="CK61" s="295"/>
      <c r="CL61" s="295"/>
      <c r="CM61" s="295"/>
      <c r="CN61" s="295"/>
      <c r="CO61" s="295"/>
      <c r="CP61" s="295"/>
      <c r="CQ61" s="295"/>
      <c r="CT61" s="1199"/>
      <c r="CU61" s="295"/>
      <c r="CX61" s="1199"/>
      <c r="CY61" s="295"/>
      <c r="DB61" s="1199"/>
      <c r="DC61" s="295"/>
      <c r="DF61" s="1199"/>
      <c r="DG61" s="295"/>
      <c r="DJ61" s="1199"/>
      <c r="DK61" s="295"/>
      <c r="DN61" s="1199"/>
      <c r="DO61" s="295"/>
      <c r="DR61" s="1199"/>
      <c r="DS61" s="295"/>
      <c r="DT61" s="295"/>
      <c r="DU61" s="295"/>
      <c r="DV61" s="295"/>
      <c r="DW61" s="295"/>
      <c r="DX61" s="295"/>
      <c r="DY61" s="295"/>
      <c r="DZ61" s="295"/>
      <c r="EA61" s="295"/>
      <c r="EB61" s="295"/>
      <c r="EC61" s="295"/>
      <c r="ED61" s="295"/>
      <c r="EE61" s="295"/>
      <c r="EF61" s="295"/>
      <c r="EG61" s="295"/>
      <c r="EH61" s="295"/>
      <c r="EI61" s="295"/>
      <c r="EJ61" s="295"/>
      <c r="EK61" s="295"/>
      <c r="EL61" s="295"/>
      <c r="EM61" s="295"/>
      <c r="EN61" s="295"/>
      <c r="EO61" s="295"/>
      <c r="EP61" s="295"/>
      <c r="EQ61" s="295"/>
      <c r="ER61" s="295"/>
      <c r="ES61" s="295"/>
      <c r="ET61" s="295"/>
      <c r="EU61" s="295"/>
      <c r="JW61"/>
    </row>
    <row r="62" spans="1:283" hidden="1" outlineLevel="1">
      <c r="A62" s="323" t="s">
        <v>835</v>
      </c>
      <c r="CB62" s="293"/>
      <c r="CC62" s="293"/>
      <c r="CD62" s="293"/>
      <c r="CF62" s="293"/>
      <c r="CG62" s="293"/>
      <c r="CH62" s="293"/>
      <c r="CJ62" s="293"/>
      <c r="CK62" s="293"/>
      <c r="CL62" s="293"/>
      <c r="CN62" s="293"/>
      <c r="CO62" s="293"/>
      <c r="CP62" s="293"/>
      <c r="CT62" s="1197"/>
      <c r="CU62" s="293"/>
      <c r="CX62" s="1197"/>
      <c r="CY62" s="293"/>
      <c r="DB62" s="1197"/>
      <c r="DC62" s="293"/>
      <c r="DF62" s="1197"/>
      <c r="DG62" s="293"/>
      <c r="DJ62" s="1197"/>
      <c r="DK62" s="293"/>
      <c r="DN62" s="1197"/>
      <c r="DO62" s="293"/>
      <c r="DR62" s="1197"/>
      <c r="DS62" s="293"/>
      <c r="DT62" s="293"/>
      <c r="DU62" s="293"/>
      <c r="DV62" s="293"/>
      <c r="DX62" s="293"/>
      <c r="DY62" s="293"/>
      <c r="EA62" s="293"/>
      <c r="EB62" s="293"/>
      <c r="EC62" s="293"/>
      <c r="EE62" s="293"/>
      <c r="EF62" s="293"/>
      <c r="EG62" s="293"/>
      <c r="EI62" s="293"/>
      <c r="EJ62" s="293"/>
      <c r="EK62" s="293"/>
    </row>
    <row r="63" spans="1:283" s="323" customFormat="1" hidden="1" outlineLevel="1">
      <c r="A63" s="1079" t="str">
        <f>+A59</f>
        <v>Net interest income</v>
      </c>
      <c r="AN63" s="115"/>
      <c r="AO63" s="115"/>
      <c r="AP63" s="115"/>
      <c r="AQ63" s="115"/>
      <c r="AR63" s="115"/>
      <c r="AS63" s="115"/>
      <c r="AT63" s="115"/>
      <c r="AU63" s="115"/>
      <c r="AV63" s="324"/>
      <c r="AW63" s="324"/>
      <c r="AX63" s="324"/>
      <c r="AY63" s="115"/>
      <c r="AZ63" s="324"/>
      <c r="BA63" s="324"/>
      <c r="BB63" s="324"/>
      <c r="BC63" s="115"/>
      <c r="BD63" s="324"/>
      <c r="BE63" s="324"/>
      <c r="BF63" s="324"/>
      <c r="BG63" s="115"/>
      <c r="BH63" s="324"/>
      <c r="BI63" s="324"/>
      <c r="BJ63" s="324"/>
      <c r="BK63" s="115"/>
      <c r="BL63" s="324"/>
      <c r="BM63" s="324"/>
      <c r="BN63" s="324"/>
      <c r="BO63" s="115"/>
      <c r="BP63" s="324"/>
      <c r="BQ63" s="324"/>
      <c r="BR63" s="324"/>
      <c r="BS63" s="115"/>
      <c r="BT63" s="324"/>
      <c r="BU63" s="324"/>
      <c r="BV63" s="324"/>
      <c r="BW63" s="115"/>
      <c r="BX63" s="324"/>
      <c r="BY63" s="324"/>
      <c r="BZ63" s="324"/>
      <c r="CA63" s="115"/>
      <c r="CB63" s="324"/>
      <c r="CC63" s="324"/>
      <c r="CD63" s="324"/>
      <c r="CE63" s="115"/>
      <c r="CF63" s="324"/>
      <c r="CG63" s="324"/>
      <c r="CH63" s="324"/>
      <c r="CI63" s="115"/>
      <c r="CJ63" s="324"/>
      <c r="CK63" s="324"/>
      <c r="CL63" s="324"/>
      <c r="CM63" s="115"/>
      <c r="CN63" s="324"/>
      <c r="CO63" s="324"/>
      <c r="CP63" s="324"/>
      <c r="CQ63" s="115"/>
      <c r="CT63" s="1209"/>
      <c r="CU63" s="324"/>
      <c r="CX63" s="1209"/>
      <c r="CY63" s="324"/>
      <c r="DB63" s="1209"/>
      <c r="DC63" s="324"/>
      <c r="DF63" s="1209"/>
      <c r="DG63" s="324"/>
      <c r="DJ63" s="1209"/>
      <c r="DK63" s="324"/>
      <c r="DN63" s="1209"/>
      <c r="DO63" s="324"/>
      <c r="DR63" s="1209"/>
      <c r="DS63" s="324"/>
      <c r="DT63" s="324"/>
      <c r="DU63" s="324"/>
      <c r="DV63" s="324"/>
      <c r="DW63" s="115"/>
      <c r="DX63" s="324"/>
      <c r="DY63" s="324"/>
      <c r="DZ63" s="115"/>
      <c r="EA63" s="324"/>
      <c r="EB63" s="324"/>
      <c r="EC63" s="324"/>
      <c r="ED63" s="115"/>
      <c r="EE63" s="324"/>
      <c r="EF63" s="324"/>
      <c r="EG63" s="324"/>
      <c r="EH63" s="115"/>
      <c r="EI63" s="324"/>
      <c r="EJ63" s="324"/>
      <c r="EK63" s="324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JW63"/>
    </row>
    <row r="64" spans="1:283" s="642" customFormat="1" hidden="1" outlineLevel="1">
      <c r="A64" s="1210" t="str">
        <f>+A60</f>
        <v>Net trading income</v>
      </c>
      <c r="AN64" s="300"/>
      <c r="AO64" s="300"/>
      <c r="AP64" s="300"/>
      <c r="AQ64" s="300"/>
      <c r="AR64" s="300"/>
      <c r="AS64" s="300"/>
      <c r="AT64" s="300"/>
      <c r="AU64" s="300"/>
      <c r="AV64" s="643"/>
      <c r="AW64" s="643"/>
      <c r="AX64" s="643"/>
      <c r="AY64" s="300"/>
      <c r="AZ64" s="643"/>
      <c r="BA64" s="643"/>
      <c r="BB64" s="643"/>
      <c r="BC64" s="300"/>
      <c r="BD64" s="643"/>
      <c r="BE64" s="643"/>
      <c r="BF64" s="643"/>
      <c r="BG64" s="300"/>
      <c r="BH64" s="643"/>
      <c r="BI64" s="643"/>
      <c r="BJ64" s="643"/>
      <c r="BK64" s="300"/>
      <c r="BL64" s="643"/>
      <c r="BM64" s="643"/>
      <c r="BN64" s="643"/>
      <c r="BO64" s="300"/>
      <c r="BP64" s="643"/>
      <c r="BQ64" s="643"/>
      <c r="BR64" s="643"/>
      <c r="BS64" s="300"/>
      <c r="BT64" s="643"/>
      <c r="BU64" s="643"/>
      <c r="BV64" s="643"/>
      <c r="BW64" s="300"/>
      <c r="BX64" s="643"/>
      <c r="BY64" s="643"/>
      <c r="BZ64" s="643"/>
      <c r="CA64" s="300"/>
      <c r="CB64" s="656"/>
      <c r="CC64" s="656"/>
      <c r="CD64" s="643"/>
      <c r="CE64" s="300"/>
      <c r="CF64" s="656"/>
      <c r="CG64" s="656"/>
      <c r="CH64" s="643"/>
      <c r="CI64" s="300"/>
      <c r="CJ64" s="656"/>
      <c r="CK64" s="656"/>
      <c r="CL64" s="643"/>
      <c r="CM64" s="300"/>
      <c r="CN64" s="656"/>
      <c r="CO64" s="656"/>
      <c r="CP64" s="643"/>
      <c r="CQ64" s="300"/>
      <c r="CT64" s="1211"/>
      <c r="CU64" s="643"/>
      <c r="CX64" s="1211"/>
      <c r="CY64" s="643"/>
      <c r="DB64" s="1211"/>
      <c r="DC64" s="643"/>
      <c r="DF64" s="1211"/>
      <c r="DG64" s="643"/>
      <c r="DJ64" s="1211"/>
      <c r="DK64" s="643"/>
      <c r="DN64" s="1211"/>
      <c r="DO64" s="643"/>
      <c r="DR64" s="1211"/>
      <c r="DS64" s="643"/>
      <c r="DT64" s="643"/>
      <c r="DU64" s="643"/>
      <c r="DV64" s="643"/>
      <c r="DW64" s="300"/>
      <c r="DX64" s="643"/>
      <c r="DY64" s="643"/>
      <c r="DZ64" s="300"/>
      <c r="EA64" s="643"/>
      <c r="EB64" s="643"/>
      <c r="EC64" s="643"/>
      <c r="ED64" s="300"/>
      <c r="EE64" s="643"/>
      <c r="EF64" s="643"/>
      <c r="EG64" s="643"/>
      <c r="EH64" s="300"/>
      <c r="EI64" s="643"/>
      <c r="EJ64" s="643"/>
      <c r="EK64" s="643"/>
      <c r="EL64" s="300"/>
      <c r="EM64" s="300"/>
      <c r="EN64" s="300"/>
      <c r="EO64" s="300"/>
      <c r="EP64" s="300"/>
      <c r="EQ64" s="300"/>
      <c r="ER64" s="300"/>
      <c r="ES64" s="300"/>
      <c r="ET64" s="300"/>
      <c r="EU64" s="300"/>
      <c r="JW64"/>
    </row>
    <row r="65" spans="1:283" s="328" customFormat="1" hidden="1" outlineLevel="1">
      <c r="A65" s="1092" t="str">
        <f>+A61</f>
        <v>Total</v>
      </c>
      <c r="AN65" s="581"/>
      <c r="AO65" s="581"/>
      <c r="AP65" s="581"/>
      <c r="AQ65" s="581"/>
      <c r="AR65" s="581"/>
      <c r="AS65" s="581"/>
      <c r="AT65" s="581"/>
      <c r="AU65" s="581"/>
      <c r="AV65" s="682"/>
      <c r="AW65" s="682"/>
      <c r="AX65" s="682"/>
      <c r="AY65" s="581"/>
      <c r="AZ65" s="682"/>
      <c r="BA65" s="682"/>
      <c r="BB65" s="682"/>
      <c r="BC65" s="581"/>
      <c r="BD65" s="682"/>
      <c r="BE65" s="682"/>
      <c r="BF65" s="682"/>
      <c r="BG65" s="581"/>
      <c r="BH65" s="682"/>
      <c r="BI65" s="682"/>
      <c r="BJ65" s="682"/>
      <c r="BK65" s="581"/>
      <c r="BL65" s="682"/>
      <c r="BM65" s="682"/>
      <c r="BN65" s="682"/>
      <c r="BO65" s="581"/>
      <c r="BP65" s="682"/>
      <c r="BQ65" s="682"/>
      <c r="BR65" s="682"/>
      <c r="BS65" s="581"/>
      <c r="BT65" s="682"/>
      <c r="BU65" s="682"/>
      <c r="BV65" s="682"/>
      <c r="BW65" s="581"/>
      <c r="BX65" s="682"/>
      <c r="BY65" s="682"/>
      <c r="BZ65" s="682"/>
      <c r="CA65" s="581"/>
      <c r="CB65" s="682"/>
      <c r="CC65" s="682"/>
      <c r="CD65" s="682"/>
      <c r="CE65" s="581"/>
      <c r="CF65" s="682"/>
      <c r="CG65" s="682"/>
      <c r="CH65" s="682"/>
      <c r="CI65" s="581"/>
      <c r="CJ65" s="682"/>
      <c r="CK65" s="682"/>
      <c r="CL65" s="682"/>
      <c r="CM65" s="581"/>
      <c r="CN65" s="682"/>
      <c r="CO65" s="682"/>
      <c r="CP65" s="682"/>
      <c r="CQ65" s="581"/>
      <c r="CT65" s="1212"/>
      <c r="CU65" s="682"/>
      <c r="CX65" s="1212"/>
      <c r="CY65" s="682"/>
      <c r="DB65" s="1212"/>
      <c r="DC65" s="682"/>
      <c r="DF65" s="1212"/>
      <c r="DG65" s="682"/>
      <c r="DJ65" s="1212"/>
      <c r="DK65" s="682"/>
      <c r="DN65" s="1212"/>
      <c r="DO65" s="682"/>
      <c r="DR65" s="1212"/>
      <c r="DS65" s="682"/>
      <c r="DT65" s="682"/>
      <c r="DU65" s="682"/>
      <c r="DV65" s="682"/>
      <c r="DW65" s="581"/>
      <c r="DX65" s="682"/>
      <c r="DY65" s="682"/>
      <c r="DZ65" s="581"/>
      <c r="EA65" s="682"/>
      <c r="EB65" s="682"/>
      <c r="EC65" s="682"/>
      <c r="ED65" s="581"/>
      <c r="EE65" s="682"/>
      <c r="EF65" s="682"/>
      <c r="EG65" s="682"/>
      <c r="EH65" s="581"/>
      <c r="EI65" s="682"/>
      <c r="EJ65" s="682"/>
      <c r="EK65" s="682"/>
      <c r="EL65" s="581"/>
      <c r="EM65" s="581"/>
      <c r="EN65" s="581"/>
      <c r="EO65" s="581"/>
      <c r="EP65" s="581"/>
      <c r="EQ65" s="581"/>
      <c r="ER65" s="581"/>
      <c r="ES65" s="581"/>
      <c r="ET65" s="581"/>
      <c r="EU65" s="581"/>
      <c r="JW65"/>
    </row>
    <row r="66" spans="1:283" s="332" customFormat="1" hidden="1" outlineLevel="1"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G66" s="293"/>
      <c r="BH66" s="293"/>
      <c r="BK66" s="293"/>
      <c r="BL66" s="293"/>
      <c r="BO66" s="293"/>
      <c r="BP66" s="293"/>
      <c r="BS66" s="293"/>
      <c r="BT66" s="293"/>
      <c r="BW66" s="293"/>
      <c r="BX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  <c r="CK66" s="293"/>
      <c r="CL66" s="293"/>
      <c r="CM66" s="293"/>
      <c r="CN66" s="293"/>
      <c r="CO66" s="293"/>
      <c r="CP66" s="293"/>
      <c r="CQ66" s="293"/>
      <c r="CT66" s="1197"/>
      <c r="CU66" s="293"/>
      <c r="CX66" s="1197"/>
      <c r="CY66" s="293"/>
      <c r="DB66" s="1197"/>
      <c r="DC66" s="293"/>
      <c r="DF66" s="1197"/>
      <c r="DG66" s="293"/>
      <c r="DJ66" s="1197"/>
      <c r="DK66" s="293"/>
      <c r="DN66" s="1197"/>
      <c r="DO66" s="293"/>
      <c r="DR66" s="1197"/>
      <c r="DS66" s="293"/>
      <c r="DT66" s="293"/>
      <c r="DU66" s="293"/>
      <c r="DV66" s="293"/>
      <c r="DW66" s="293"/>
      <c r="DX66" s="293"/>
      <c r="DY66" s="293"/>
      <c r="DZ66" s="293"/>
      <c r="EA66" s="293"/>
      <c r="EB66" s="293"/>
      <c r="EC66" s="293"/>
      <c r="ED66" s="293"/>
      <c r="EE66" s="293"/>
      <c r="EF66" s="293"/>
      <c r="EG66" s="293"/>
      <c r="EH66" s="293"/>
      <c r="EI66" s="293"/>
      <c r="EJ66" s="293"/>
      <c r="EK66" s="293"/>
      <c r="EL66" s="293"/>
      <c r="EM66" s="293"/>
      <c r="EN66" s="293"/>
      <c r="EO66" s="293"/>
      <c r="EP66" s="293"/>
      <c r="EQ66" s="293"/>
      <c r="ER66" s="293"/>
      <c r="ES66" s="293"/>
      <c r="ET66" s="293"/>
      <c r="EU66" s="293"/>
      <c r="JW66"/>
    </row>
    <row r="67" spans="1:283" s="332" customFormat="1" hidden="1" outlineLevel="1">
      <c r="A67" s="1207" t="s">
        <v>566</v>
      </c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  <c r="CK67" s="293"/>
      <c r="CL67" s="293"/>
      <c r="CM67" s="293"/>
      <c r="CN67" s="293"/>
      <c r="CO67" s="293"/>
      <c r="CP67" s="293"/>
      <c r="CQ67" s="293"/>
      <c r="CT67" s="1197"/>
      <c r="CU67" s="293"/>
      <c r="CX67" s="1197"/>
      <c r="CY67" s="293"/>
      <c r="DB67" s="1197"/>
      <c r="DC67" s="293"/>
      <c r="DF67" s="1197"/>
      <c r="DG67" s="293"/>
      <c r="DJ67" s="1197"/>
      <c r="DK67" s="293"/>
      <c r="DN67" s="1197"/>
      <c r="DO67" s="293"/>
      <c r="DR67" s="1197"/>
      <c r="DS67" s="293"/>
      <c r="DT67" s="293"/>
      <c r="DU67" s="293"/>
      <c r="DV67" s="293"/>
      <c r="DW67" s="293"/>
      <c r="DX67" s="293"/>
      <c r="DY67" s="293"/>
      <c r="DZ67" s="293"/>
      <c r="EA67" s="293"/>
      <c r="EB67" s="293"/>
      <c r="EC67" s="293"/>
      <c r="ED67" s="293"/>
      <c r="EE67" s="293"/>
      <c r="EF67" s="293"/>
      <c r="EG67" s="293"/>
      <c r="EH67" s="293"/>
      <c r="EI67" s="293"/>
      <c r="EJ67" s="293"/>
      <c r="EK67" s="293"/>
      <c r="EL67" s="293"/>
      <c r="EM67" s="293"/>
      <c r="EN67" s="293"/>
      <c r="EO67" s="293"/>
      <c r="EP67" s="293"/>
      <c r="EQ67" s="293"/>
      <c r="ER67" s="293"/>
      <c r="ES67" s="293"/>
      <c r="ET67" s="293"/>
      <c r="EU67" s="293"/>
      <c r="JW67"/>
    </row>
    <row r="68" spans="1:283" s="332" customFormat="1" hidden="1" outlineLevel="1">
      <c r="A68" s="332" t="s">
        <v>811</v>
      </c>
      <c r="AN68" s="626"/>
      <c r="AO68" s="626"/>
      <c r="AP68" s="293"/>
      <c r="AQ68" s="293"/>
      <c r="AR68" s="626"/>
      <c r="AS68" s="626"/>
      <c r="AT68" s="293"/>
      <c r="AU68" s="626"/>
      <c r="AV68" s="626"/>
      <c r="AW68" s="626"/>
      <c r="AX68" s="293"/>
      <c r="AY68" s="293"/>
      <c r="AZ68" s="626"/>
      <c r="BA68" s="626"/>
      <c r="BB68" s="293"/>
      <c r="BC68" s="293"/>
      <c r="BD68" s="626"/>
      <c r="BE68" s="626"/>
      <c r="BF68" s="293"/>
      <c r="BG68" s="360"/>
      <c r="BH68" s="626"/>
      <c r="BI68" s="626"/>
      <c r="BJ68" s="293"/>
      <c r="BK68" s="487"/>
      <c r="BL68" s="626"/>
      <c r="BM68" s="626"/>
      <c r="BN68" s="293"/>
      <c r="BO68" s="487"/>
      <c r="BP68" s="626"/>
      <c r="BQ68" s="626"/>
      <c r="BR68" s="293"/>
      <c r="BS68" s="487"/>
      <c r="BT68" s="626"/>
      <c r="BU68" s="626"/>
      <c r="BV68" s="293"/>
      <c r="BW68" s="293"/>
      <c r="BX68" s="626"/>
      <c r="BY68" s="626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  <c r="CK68" s="293"/>
      <c r="CL68" s="293"/>
      <c r="CM68" s="293"/>
      <c r="CN68" s="293"/>
      <c r="CO68" s="293"/>
      <c r="CP68" s="293"/>
      <c r="CQ68" s="293"/>
      <c r="CT68" s="1197"/>
      <c r="CU68" s="293"/>
      <c r="CX68" s="1197"/>
      <c r="CY68" s="293"/>
      <c r="DB68" s="1197"/>
      <c r="DC68" s="293"/>
      <c r="DF68" s="1197"/>
      <c r="DG68" s="293"/>
      <c r="DJ68" s="1197"/>
      <c r="DK68" s="293"/>
      <c r="DN68" s="1197"/>
      <c r="DO68" s="293"/>
      <c r="DR68" s="1197"/>
      <c r="DS68" s="293"/>
      <c r="DT68" s="293"/>
      <c r="DU68" s="293"/>
      <c r="DV68" s="293"/>
      <c r="DW68" s="293"/>
      <c r="DX68" s="293"/>
      <c r="DY68" s="293"/>
      <c r="DZ68" s="293"/>
      <c r="EA68" s="293"/>
      <c r="EB68" s="293"/>
      <c r="EC68" s="293"/>
      <c r="ED68" s="293"/>
      <c r="EE68" s="293"/>
      <c r="EF68" s="293"/>
      <c r="EG68" s="293"/>
      <c r="EH68" s="293"/>
      <c r="EI68" s="293"/>
      <c r="EJ68" s="293"/>
      <c r="EK68" s="293"/>
      <c r="EL68" s="293"/>
      <c r="EM68" s="293"/>
      <c r="EN68" s="293"/>
      <c r="EO68" s="293"/>
      <c r="EP68" s="293"/>
      <c r="EQ68" s="293"/>
      <c r="ER68" s="293"/>
      <c r="ES68" s="293"/>
      <c r="ET68" s="293"/>
      <c r="EU68" s="293"/>
      <c r="JW68"/>
    </row>
    <row r="69" spans="1:283" s="332" customFormat="1" hidden="1" outlineLevel="1">
      <c r="A69" s="332" t="s">
        <v>210</v>
      </c>
      <c r="AN69" s="626"/>
      <c r="AO69" s="626"/>
      <c r="AP69" s="293"/>
      <c r="AQ69" s="293"/>
      <c r="AR69" s="626"/>
      <c r="AS69" s="626"/>
      <c r="AT69" s="293"/>
      <c r="AU69" s="626"/>
      <c r="AV69" s="626"/>
      <c r="AW69" s="626"/>
      <c r="AX69" s="293"/>
      <c r="AY69" s="626"/>
      <c r="AZ69" s="626"/>
      <c r="BA69" s="927"/>
      <c r="BB69" s="293"/>
      <c r="BC69" s="293"/>
      <c r="BD69" s="626"/>
      <c r="BE69" s="626"/>
      <c r="BF69" s="293"/>
      <c r="BG69" s="293"/>
      <c r="BH69" s="626"/>
      <c r="BI69" s="626"/>
      <c r="BJ69" s="293"/>
      <c r="BK69" s="487"/>
      <c r="BL69" s="626"/>
      <c r="BM69" s="626"/>
      <c r="BN69" s="293"/>
      <c r="BO69" s="487"/>
      <c r="BP69" s="626"/>
      <c r="BQ69" s="626"/>
      <c r="BR69" s="293"/>
      <c r="BS69" s="487"/>
      <c r="BT69" s="626"/>
      <c r="BU69" s="626"/>
      <c r="BV69" s="293"/>
      <c r="BW69" s="293"/>
      <c r="BX69" s="626"/>
      <c r="BY69" s="626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  <c r="CK69" s="293"/>
      <c r="CL69" s="293"/>
      <c r="CM69" s="293"/>
      <c r="CN69" s="293"/>
      <c r="CO69" s="293"/>
      <c r="CP69" s="293"/>
      <c r="CQ69" s="293"/>
      <c r="CT69" s="1197"/>
      <c r="CU69" s="293"/>
      <c r="CX69" s="1197"/>
      <c r="CY69" s="293"/>
      <c r="DB69" s="1197"/>
      <c r="DC69" s="293"/>
      <c r="DF69" s="1197"/>
      <c r="DG69" s="293"/>
      <c r="DJ69" s="1197"/>
      <c r="DK69" s="293"/>
      <c r="DN69" s="1197"/>
      <c r="DO69" s="293"/>
      <c r="DR69" s="1197"/>
      <c r="DS69" s="293"/>
      <c r="DT69" s="293"/>
      <c r="DU69" s="293"/>
      <c r="DV69" s="293"/>
      <c r="DW69" s="293"/>
      <c r="DX69" s="293"/>
      <c r="DY69" s="293"/>
      <c r="DZ69" s="293"/>
      <c r="EA69" s="293"/>
      <c r="EB69" s="293"/>
      <c r="EC69" s="293"/>
      <c r="ED69" s="293"/>
      <c r="EE69" s="293"/>
      <c r="EF69" s="293"/>
      <c r="EG69" s="293"/>
      <c r="EH69" s="293"/>
      <c r="EI69" s="293"/>
      <c r="EJ69" s="293"/>
      <c r="EK69" s="293"/>
      <c r="EL69" s="293"/>
      <c r="EM69" s="293"/>
      <c r="EN69" s="293"/>
      <c r="EO69" s="293"/>
      <c r="EP69" s="293"/>
      <c r="EQ69" s="293"/>
      <c r="ER69" s="293"/>
      <c r="ES69" s="293"/>
      <c r="ET69" s="293"/>
      <c r="EU69" s="293"/>
      <c r="JW69"/>
    </row>
    <row r="70" spans="1:283" s="327" customFormat="1" hidden="1" outlineLevel="1">
      <c r="A70" s="327" t="s">
        <v>588</v>
      </c>
      <c r="AN70" s="295"/>
      <c r="AO70" s="295"/>
      <c r="AP70" s="295"/>
      <c r="AQ70" s="295"/>
      <c r="AR70" s="295"/>
      <c r="AS70" s="295"/>
      <c r="AT70" s="295"/>
      <c r="AU70" s="295"/>
      <c r="AV70" s="295"/>
      <c r="AW70" s="295"/>
      <c r="AX70" s="295"/>
      <c r="AY70" s="295"/>
      <c r="AZ70" s="295"/>
      <c r="BA70" s="295"/>
      <c r="BB70" s="295"/>
      <c r="BC70" s="295"/>
      <c r="BD70" s="295"/>
      <c r="BE70" s="295"/>
      <c r="BF70" s="295"/>
      <c r="BG70" s="295"/>
      <c r="BH70" s="295"/>
      <c r="BI70" s="295"/>
      <c r="BJ70" s="295"/>
      <c r="BK70" s="295"/>
      <c r="BL70" s="295"/>
      <c r="BM70" s="295"/>
      <c r="BN70" s="295"/>
      <c r="BO70" s="685"/>
      <c r="BP70" s="295"/>
      <c r="BQ70" s="295"/>
      <c r="BR70" s="295"/>
      <c r="BS70" s="685"/>
      <c r="BT70" s="295"/>
      <c r="BU70" s="295"/>
      <c r="BV70" s="295"/>
      <c r="BW70" s="295"/>
      <c r="BX70" s="295"/>
      <c r="BY70" s="295"/>
      <c r="BZ70" s="295"/>
      <c r="CA70" s="295"/>
      <c r="CB70" s="295"/>
      <c r="CC70" s="295"/>
      <c r="CD70" s="295"/>
      <c r="CE70" s="295"/>
      <c r="CF70" s="295"/>
      <c r="CG70" s="295"/>
      <c r="CH70" s="295"/>
      <c r="CI70" s="295"/>
      <c r="CJ70" s="295"/>
      <c r="CK70" s="295"/>
      <c r="CL70" s="295"/>
      <c r="CM70" s="295"/>
      <c r="CN70" s="295"/>
      <c r="CO70" s="295"/>
      <c r="CP70" s="295"/>
      <c r="CQ70" s="295"/>
      <c r="CT70" s="1199"/>
      <c r="CU70" s="295"/>
      <c r="CX70" s="1199"/>
      <c r="CY70" s="295"/>
      <c r="DB70" s="1199"/>
      <c r="DC70" s="295"/>
      <c r="DF70" s="1199"/>
      <c r="DG70" s="295"/>
      <c r="DJ70" s="1199"/>
      <c r="DK70" s="295"/>
      <c r="DN70" s="1199"/>
      <c r="DO70" s="295"/>
      <c r="DR70" s="1199"/>
      <c r="DS70" s="295"/>
      <c r="DT70" s="295"/>
      <c r="DU70" s="295"/>
      <c r="DV70" s="295"/>
      <c r="DW70" s="295"/>
      <c r="DX70" s="295"/>
      <c r="DY70" s="295"/>
      <c r="DZ70" s="295"/>
      <c r="EA70" s="295"/>
      <c r="EB70" s="295"/>
      <c r="EC70" s="295"/>
      <c r="ED70" s="295"/>
      <c r="EE70" s="295"/>
      <c r="EF70" s="295"/>
      <c r="EG70" s="295"/>
      <c r="EH70" s="295"/>
      <c r="EI70" s="295"/>
      <c r="EJ70" s="295"/>
      <c r="EK70" s="295"/>
      <c r="EL70" s="295"/>
      <c r="EM70" s="295"/>
      <c r="EN70" s="295"/>
      <c r="EO70" s="295"/>
      <c r="EP70" s="295"/>
      <c r="EQ70" s="295"/>
      <c r="ER70" s="295"/>
      <c r="ES70" s="295"/>
      <c r="ET70" s="295"/>
      <c r="EU70" s="295"/>
      <c r="JW70"/>
    </row>
    <row r="71" spans="1:283" s="327" customFormat="1" hidden="1" outlineLevel="1">
      <c r="A71" s="1079" t="s">
        <v>382</v>
      </c>
      <c r="AN71" s="295"/>
      <c r="AO71" s="295"/>
      <c r="AP71" s="295"/>
      <c r="AQ71" s="295"/>
      <c r="AR71" s="295"/>
      <c r="AS71" s="295"/>
      <c r="AT71" s="295"/>
      <c r="AU71" s="295"/>
      <c r="AV71" s="295"/>
      <c r="AW71" s="295"/>
      <c r="AX71" s="295"/>
      <c r="AY71" s="295"/>
      <c r="AZ71" s="295"/>
      <c r="BA71" s="295"/>
      <c r="BB71" s="295"/>
      <c r="BC71" s="295"/>
      <c r="BD71" s="295"/>
      <c r="BE71" s="295"/>
      <c r="BF71" s="295"/>
      <c r="BG71" s="295"/>
      <c r="BH71" s="295"/>
      <c r="BI71" s="295"/>
      <c r="BJ71" s="295"/>
      <c r="BK71" s="295"/>
      <c r="BL71" s="295"/>
      <c r="BM71" s="295"/>
      <c r="BN71" s="295"/>
      <c r="BO71" s="685"/>
      <c r="BP71" s="295"/>
      <c r="BQ71" s="295"/>
      <c r="BR71" s="295"/>
      <c r="BS71" s="685"/>
      <c r="BT71" s="295"/>
      <c r="BU71" s="295"/>
      <c r="BV71" s="295"/>
      <c r="BW71" s="295"/>
      <c r="BX71" s="295"/>
      <c r="BY71" s="295"/>
      <c r="BZ71" s="295"/>
      <c r="CA71" s="295"/>
      <c r="CB71" s="295"/>
      <c r="CC71" s="295"/>
      <c r="CD71" s="295"/>
      <c r="CE71" s="295"/>
      <c r="CF71" s="295"/>
      <c r="CG71" s="295"/>
      <c r="CH71" s="295"/>
      <c r="CI71" s="295"/>
      <c r="CJ71" s="295"/>
      <c r="CK71" s="295"/>
      <c r="CL71" s="295"/>
      <c r="CM71" s="295"/>
      <c r="CN71" s="295"/>
      <c r="CO71" s="295"/>
      <c r="CP71" s="295"/>
      <c r="CQ71" s="295"/>
      <c r="CT71" s="1199"/>
      <c r="CU71" s="295"/>
      <c r="CX71" s="1199"/>
      <c r="CY71" s="295"/>
      <c r="DB71" s="1199"/>
      <c r="DC71" s="295"/>
      <c r="DF71" s="1199"/>
      <c r="DG71" s="295"/>
      <c r="DJ71" s="1199"/>
      <c r="DK71" s="295"/>
      <c r="DN71" s="1199"/>
      <c r="DO71" s="295"/>
      <c r="DR71" s="1199"/>
      <c r="DS71" s="295"/>
      <c r="DT71" s="295"/>
      <c r="DU71" s="295"/>
      <c r="DV71" s="295"/>
      <c r="DW71" s="295"/>
      <c r="DX71" s="295"/>
      <c r="DY71" s="295"/>
      <c r="DZ71" s="295"/>
      <c r="EA71" s="295"/>
      <c r="EB71" s="295"/>
      <c r="EC71" s="295"/>
      <c r="ED71" s="295"/>
      <c r="EE71" s="295"/>
      <c r="EF71" s="295"/>
      <c r="EG71" s="295"/>
      <c r="EH71" s="295"/>
      <c r="EI71" s="295"/>
      <c r="EJ71" s="295"/>
      <c r="EK71" s="295"/>
      <c r="EL71" s="295"/>
      <c r="EM71" s="295"/>
      <c r="EN71" s="295"/>
      <c r="EO71" s="295"/>
      <c r="EP71" s="295"/>
      <c r="EQ71" s="295"/>
      <c r="ER71" s="295"/>
      <c r="ES71" s="295"/>
      <c r="ET71" s="295"/>
      <c r="EU71" s="295"/>
      <c r="JW71"/>
    </row>
    <row r="72" spans="1:283" s="844" customFormat="1" hidden="1" outlineLevel="1">
      <c r="A72" s="1210" t="str">
        <f>A68</f>
        <v>Brokerage and commissions</v>
      </c>
      <c r="AN72" s="297"/>
      <c r="AO72" s="297"/>
      <c r="AP72" s="297"/>
      <c r="AQ72" s="297"/>
      <c r="AR72" s="668"/>
      <c r="AS72" s="668"/>
      <c r="AT72" s="297"/>
      <c r="AU72" s="297"/>
      <c r="AV72" s="668"/>
      <c r="AW72" s="668"/>
      <c r="AX72" s="297"/>
      <c r="AY72" s="297"/>
      <c r="AZ72" s="668"/>
      <c r="BA72" s="668"/>
      <c r="BB72" s="297"/>
      <c r="BC72" s="297"/>
      <c r="BD72" s="668"/>
      <c r="BE72" s="668"/>
      <c r="BF72" s="297"/>
      <c r="BG72" s="297"/>
      <c r="BH72" s="668"/>
      <c r="BI72" s="668"/>
      <c r="BJ72" s="297"/>
      <c r="BK72" s="297"/>
      <c r="BL72" s="668"/>
      <c r="BM72" s="668"/>
      <c r="BN72" s="297"/>
      <c r="BO72" s="686"/>
      <c r="BP72" s="668"/>
      <c r="BQ72" s="668"/>
      <c r="BR72" s="297"/>
      <c r="BS72" s="686"/>
      <c r="BT72" s="668"/>
      <c r="BU72" s="668"/>
      <c r="BV72" s="297"/>
      <c r="BW72" s="633"/>
      <c r="BX72" s="668"/>
      <c r="BY72" s="668"/>
      <c r="BZ72" s="297"/>
      <c r="CA72" s="297"/>
      <c r="CB72" s="670"/>
      <c r="CC72" s="670"/>
      <c r="CD72" s="297"/>
      <c r="CE72" s="297"/>
      <c r="CF72" s="670"/>
      <c r="CG72" s="670"/>
      <c r="CH72" s="297"/>
      <c r="CI72" s="297"/>
      <c r="CJ72" s="670"/>
      <c r="CK72" s="670"/>
      <c r="CL72" s="297"/>
      <c r="CM72" s="297"/>
      <c r="CN72" s="670"/>
      <c r="CO72" s="670"/>
      <c r="CP72" s="297"/>
      <c r="CQ72" s="297"/>
      <c r="CT72" s="1213"/>
      <c r="CU72" s="297"/>
      <c r="CX72" s="1213"/>
      <c r="CY72" s="297"/>
      <c r="DB72" s="1213"/>
      <c r="DC72" s="297"/>
      <c r="DF72" s="1213"/>
      <c r="DG72" s="297"/>
      <c r="DJ72" s="1213"/>
      <c r="DK72" s="297"/>
      <c r="DN72" s="1213"/>
      <c r="DO72" s="297"/>
      <c r="DR72" s="1213"/>
      <c r="DS72" s="297"/>
      <c r="DT72" s="297"/>
      <c r="DU72" s="297"/>
      <c r="DV72" s="297"/>
      <c r="DW72" s="297"/>
      <c r="DX72" s="297"/>
      <c r="DY72" s="297"/>
      <c r="DZ72" s="297"/>
      <c r="EA72" s="297"/>
      <c r="EB72" s="297"/>
      <c r="EC72" s="297"/>
      <c r="ED72" s="297"/>
      <c r="EE72" s="297"/>
      <c r="EF72" s="297"/>
      <c r="EG72" s="297"/>
      <c r="EH72" s="297"/>
      <c r="EI72" s="297"/>
      <c r="EJ72" s="297"/>
      <c r="EK72" s="297"/>
      <c r="EL72" s="297"/>
      <c r="EM72" s="297"/>
      <c r="EN72" s="297"/>
      <c r="EO72" s="297"/>
      <c r="EP72" s="297"/>
      <c r="EQ72" s="297"/>
      <c r="ER72" s="297"/>
      <c r="ES72" s="297"/>
      <c r="ET72" s="297"/>
      <c r="EU72" s="297"/>
      <c r="JW72"/>
    </row>
    <row r="73" spans="1:283" s="844" customFormat="1" hidden="1" outlineLevel="1">
      <c r="A73" s="1210" t="str">
        <f>A69</f>
        <v>Other fee and commission income (ECM)</v>
      </c>
      <c r="AN73" s="297"/>
      <c r="AO73" s="297"/>
      <c r="AP73" s="297"/>
      <c r="AQ73" s="297"/>
      <c r="AR73" s="668"/>
      <c r="AS73" s="668"/>
      <c r="AT73" s="297"/>
      <c r="AU73" s="297"/>
      <c r="AV73" s="668"/>
      <c r="AW73" s="668"/>
      <c r="AX73" s="297"/>
      <c r="AY73" s="297"/>
      <c r="AZ73" s="668"/>
      <c r="BA73" s="668"/>
      <c r="BB73" s="297"/>
      <c r="BC73" s="297"/>
      <c r="BD73" s="668"/>
      <c r="BE73" s="668"/>
      <c r="BF73" s="297"/>
      <c r="BG73" s="297"/>
      <c r="BH73" s="668"/>
      <c r="BI73" s="668"/>
      <c r="BJ73" s="297"/>
      <c r="BK73" s="297"/>
      <c r="BL73" s="668"/>
      <c r="BM73" s="668"/>
      <c r="BN73" s="297"/>
      <c r="BO73" s="686"/>
      <c r="BP73" s="668"/>
      <c r="BQ73" s="668"/>
      <c r="BR73" s="297"/>
      <c r="BS73" s="686"/>
      <c r="BT73" s="668"/>
      <c r="BU73" s="668"/>
      <c r="BV73" s="297"/>
      <c r="BW73" s="633"/>
      <c r="BX73" s="668"/>
      <c r="BY73" s="668"/>
      <c r="BZ73" s="297"/>
      <c r="CA73" s="297"/>
      <c r="CB73" s="670"/>
      <c r="CC73" s="670"/>
      <c r="CD73" s="297"/>
      <c r="CE73" s="297"/>
      <c r="CF73" s="670"/>
      <c r="CG73" s="670"/>
      <c r="CH73" s="297"/>
      <c r="CI73" s="297"/>
      <c r="CJ73" s="670"/>
      <c r="CK73" s="670"/>
      <c r="CL73" s="297"/>
      <c r="CM73" s="297"/>
      <c r="CN73" s="670"/>
      <c r="CO73" s="670"/>
      <c r="CP73" s="297"/>
      <c r="CQ73" s="297"/>
      <c r="CT73" s="1213"/>
      <c r="CU73" s="297"/>
      <c r="CX73" s="1213"/>
      <c r="CY73" s="297"/>
      <c r="DB73" s="1213"/>
      <c r="DC73" s="297"/>
      <c r="DF73" s="1213"/>
      <c r="DG73" s="297"/>
      <c r="DJ73" s="1213"/>
      <c r="DK73" s="297"/>
      <c r="DN73" s="1213"/>
      <c r="DO73" s="297"/>
      <c r="DR73" s="1213"/>
      <c r="DS73" s="297"/>
      <c r="DT73" s="297"/>
      <c r="DU73" s="297"/>
      <c r="DV73" s="297"/>
      <c r="DW73" s="297"/>
      <c r="DX73" s="297"/>
      <c r="DY73" s="297"/>
      <c r="DZ73" s="297"/>
      <c r="EA73" s="297"/>
      <c r="EB73" s="297"/>
      <c r="EC73" s="297"/>
      <c r="ED73" s="297"/>
      <c r="EE73" s="297"/>
      <c r="EF73" s="297"/>
      <c r="EG73" s="297"/>
      <c r="EH73" s="297"/>
      <c r="EI73" s="297"/>
      <c r="EJ73" s="297"/>
      <c r="EK73" s="297"/>
      <c r="EL73" s="297"/>
      <c r="EM73" s="297"/>
      <c r="EN73" s="297"/>
      <c r="EO73" s="297"/>
      <c r="EP73" s="297"/>
      <c r="EQ73" s="297"/>
      <c r="ER73" s="297"/>
      <c r="ES73" s="297"/>
      <c r="ET73" s="297"/>
      <c r="EU73" s="297"/>
      <c r="JW73"/>
    </row>
    <row r="74" spans="1:283" s="327" customFormat="1" hidden="1" outlineLevel="1">
      <c r="A74" s="1092" t="str">
        <f>A70</f>
        <v>Total</v>
      </c>
      <c r="AN74" s="295"/>
      <c r="AO74" s="295"/>
      <c r="AP74" s="295"/>
      <c r="AQ74" s="295"/>
      <c r="AR74" s="672"/>
      <c r="AS74" s="672"/>
      <c r="AT74" s="295"/>
      <c r="AU74" s="295"/>
      <c r="AV74" s="672"/>
      <c r="AW74" s="672"/>
      <c r="AX74" s="295"/>
      <c r="AY74" s="295"/>
      <c r="AZ74" s="672"/>
      <c r="BA74" s="672"/>
      <c r="BB74" s="295"/>
      <c r="BC74" s="295"/>
      <c r="BD74" s="672"/>
      <c r="BE74" s="672"/>
      <c r="BF74" s="295"/>
      <c r="BG74" s="295"/>
      <c r="BH74" s="672"/>
      <c r="BI74" s="672"/>
      <c r="BJ74" s="295"/>
      <c r="BK74" s="295"/>
      <c r="BL74" s="672"/>
      <c r="BM74" s="672"/>
      <c r="BN74" s="295"/>
      <c r="BO74" s="376"/>
      <c r="BP74" s="672"/>
      <c r="BQ74" s="672"/>
      <c r="BR74" s="295"/>
      <c r="BS74" s="376"/>
      <c r="BT74" s="672"/>
      <c r="BU74" s="672"/>
      <c r="BV74" s="295"/>
      <c r="BW74" s="295"/>
      <c r="BX74" s="672"/>
      <c r="BY74" s="672"/>
      <c r="BZ74" s="295"/>
      <c r="CA74" s="295"/>
      <c r="CB74" s="672"/>
      <c r="CC74" s="672"/>
      <c r="CD74" s="295"/>
      <c r="CE74" s="295"/>
      <c r="CF74" s="672"/>
      <c r="CG74" s="672"/>
      <c r="CH74" s="295"/>
      <c r="CI74" s="295"/>
      <c r="CJ74" s="672"/>
      <c r="CK74" s="672"/>
      <c r="CL74" s="295"/>
      <c r="CM74" s="295"/>
      <c r="CN74" s="672"/>
      <c r="CO74" s="672"/>
      <c r="CP74" s="295"/>
      <c r="CQ74" s="295"/>
      <c r="CT74" s="1199"/>
      <c r="CU74" s="295"/>
      <c r="CX74" s="1199"/>
      <c r="CY74" s="295"/>
      <c r="DB74" s="1199"/>
      <c r="DC74" s="295"/>
      <c r="DF74" s="1199"/>
      <c r="DG74" s="295"/>
      <c r="DJ74" s="1199"/>
      <c r="DK74" s="295"/>
      <c r="DN74" s="1199"/>
      <c r="DO74" s="295"/>
      <c r="DR74" s="1199"/>
      <c r="DS74" s="295"/>
      <c r="DT74" s="295"/>
      <c r="DU74" s="295"/>
      <c r="DV74" s="295"/>
      <c r="DW74" s="295"/>
      <c r="DX74" s="295"/>
      <c r="DY74" s="295"/>
      <c r="DZ74" s="295"/>
      <c r="EA74" s="295"/>
      <c r="EB74" s="295"/>
      <c r="EC74" s="295"/>
      <c r="ED74" s="295"/>
      <c r="EE74" s="295"/>
      <c r="EF74" s="295"/>
      <c r="EG74" s="295"/>
      <c r="EH74" s="295"/>
      <c r="EI74" s="295"/>
      <c r="EJ74" s="295"/>
      <c r="EK74" s="295"/>
      <c r="EL74" s="295"/>
      <c r="EM74" s="295"/>
      <c r="EN74" s="295"/>
      <c r="EO74" s="295"/>
      <c r="EP74" s="295"/>
      <c r="EQ74" s="295"/>
      <c r="ER74" s="295"/>
      <c r="ES74" s="295"/>
      <c r="ET74" s="295"/>
      <c r="EU74" s="295"/>
      <c r="JW74"/>
    </row>
    <row r="75" spans="1:283" hidden="1" outlineLevel="1">
      <c r="A75" s="323" t="s">
        <v>835</v>
      </c>
      <c r="CB75" s="293"/>
      <c r="CC75" s="293"/>
      <c r="CD75" s="293"/>
      <c r="CF75" s="293"/>
      <c r="CG75" s="293"/>
      <c r="CH75" s="293"/>
      <c r="CJ75" s="293"/>
      <c r="CK75" s="293"/>
      <c r="CL75" s="293"/>
      <c r="CN75" s="293"/>
      <c r="CO75" s="293"/>
      <c r="CP75" s="293"/>
      <c r="CT75" s="1197"/>
      <c r="CU75" s="293"/>
      <c r="CX75" s="1197"/>
      <c r="CY75" s="293"/>
      <c r="DB75" s="1197"/>
      <c r="DC75" s="293"/>
      <c r="DF75" s="1197"/>
      <c r="DG75" s="293"/>
      <c r="DJ75" s="1197"/>
      <c r="DK75" s="293"/>
      <c r="DN75" s="1197"/>
      <c r="DO75" s="293"/>
      <c r="DR75" s="1197"/>
      <c r="DS75" s="293"/>
      <c r="DT75" s="293"/>
      <c r="DU75" s="293"/>
      <c r="DV75" s="293"/>
      <c r="DX75" s="293"/>
      <c r="DY75" s="293"/>
      <c r="EA75" s="293"/>
      <c r="EB75" s="293"/>
      <c r="EC75" s="293"/>
      <c r="EE75" s="293"/>
      <c r="EF75" s="293"/>
      <c r="EG75" s="293"/>
      <c r="EI75" s="293"/>
      <c r="EJ75" s="293"/>
      <c r="EK75" s="293"/>
    </row>
    <row r="76" spans="1:283" s="323" customFormat="1" hidden="1" outlineLevel="1">
      <c r="A76" s="1079" t="str">
        <f>+A68</f>
        <v>Brokerage and commissions</v>
      </c>
      <c r="AN76" s="115"/>
      <c r="AO76" s="115"/>
      <c r="AP76" s="115"/>
      <c r="AQ76" s="115"/>
      <c r="AR76" s="115"/>
      <c r="AS76" s="115"/>
      <c r="AT76" s="115"/>
      <c r="AU76" s="115"/>
      <c r="AV76" s="324"/>
      <c r="AW76" s="324"/>
      <c r="AX76" s="324"/>
      <c r="AY76" s="115"/>
      <c r="AZ76" s="324"/>
      <c r="BA76" s="324"/>
      <c r="BB76" s="324"/>
      <c r="BC76" s="115"/>
      <c r="BD76" s="324"/>
      <c r="BE76" s="324"/>
      <c r="BF76" s="324"/>
      <c r="BG76" s="115"/>
      <c r="BH76" s="324"/>
      <c r="BI76" s="324"/>
      <c r="BJ76" s="324"/>
      <c r="BK76" s="115"/>
      <c r="BL76" s="324"/>
      <c r="BM76" s="324"/>
      <c r="BN76" s="324"/>
      <c r="BO76" s="115"/>
      <c r="BP76" s="324"/>
      <c r="BQ76" s="324"/>
      <c r="BR76" s="324"/>
      <c r="BS76" s="115"/>
      <c r="BT76" s="324"/>
      <c r="BU76" s="324"/>
      <c r="BV76" s="324"/>
      <c r="BW76" s="115"/>
      <c r="BX76" s="324"/>
      <c r="BY76" s="324"/>
      <c r="BZ76" s="324"/>
      <c r="CA76" s="115"/>
      <c r="CB76" s="324"/>
      <c r="CC76" s="324"/>
      <c r="CD76" s="324"/>
      <c r="CE76" s="115"/>
      <c r="CF76" s="324"/>
      <c r="CG76" s="324"/>
      <c r="CH76" s="324"/>
      <c r="CI76" s="115"/>
      <c r="CJ76" s="324"/>
      <c r="CK76" s="324"/>
      <c r="CL76" s="324"/>
      <c r="CM76" s="115"/>
      <c r="CN76" s="324"/>
      <c r="CO76" s="324"/>
      <c r="CP76" s="324"/>
      <c r="CQ76" s="115"/>
      <c r="CT76" s="1209"/>
      <c r="CU76" s="324"/>
      <c r="CX76" s="1209"/>
      <c r="CY76" s="324"/>
      <c r="DB76" s="1209"/>
      <c r="DC76" s="324"/>
      <c r="DF76" s="1209"/>
      <c r="DG76" s="324"/>
      <c r="DJ76" s="1209"/>
      <c r="DK76" s="324"/>
      <c r="DN76" s="1209"/>
      <c r="DO76" s="324"/>
      <c r="DR76" s="1209"/>
      <c r="DS76" s="324"/>
      <c r="DT76" s="324"/>
      <c r="DU76" s="324"/>
      <c r="DV76" s="324"/>
      <c r="DW76" s="115"/>
      <c r="DX76" s="324"/>
      <c r="DY76" s="324"/>
      <c r="DZ76" s="115"/>
      <c r="EA76" s="324"/>
      <c r="EB76" s="324"/>
      <c r="EC76" s="324"/>
      <c r="ED76" s="115"/>
      <c r="EE76" s="324"/>
      <c r="EF76" s="324"/>
      <c r="EG76" s="324"/>
      <c r="EH76" s="115"/>
      <c r="EI76" s="324"/>
      <c r="EJ76" s="324"/>
      <c r="EK76" s="324"/>
      <c r="EL76" s="115"/>
      <c r="EM76" s="115"/>
      <c r="EN76" s="115"/>
      <c r="EO76" s="115"/>
      <c r="EP76" s="115"/>
      <c r="EQ76" s="115"/>
      <c r="ER76" s="115"/>
      <c r="ES76" s="115"/>
      <c r="ET76" s="115"/>
      <c r="EU76" s="115"/>
      <c r="JW76"/>
    </row>
    <row r="77" spans="1:283" s="323" customFormat="1" hidden="1" outlineLevel="1">
      <c r="A77" s="1079" t="str">
        <f>+A69</f>
        <v>Other fee and commission income (ECM)</v>
      </c>
      <c r="AN77" s="115"/>
      <c r="AO77" s="115"/>
      <c r="AP77" s="115"/>
      <c r="AQ77" s="115"/>
      <c r="AR77" s="115"/>
      <c r="AS77" s="115"/>
      <c r="AT77" s="115"/>
      <c r="AU77" s="115"/>
      <c r="AV77" s="324"/>
      <c r="AW77" s="324"/>
      <c r="AX77" s="324"/>
      <c r="AY77" s="115"/>
      <c r="AZ77" s="324"/>
      <c r="BA77" s="324"/>
      <c r="BB77" s="324"/>
      <c r="BC77" s="115"/>
      <c r="BD77" s="324"/>
      <c r="BE77" s="324"/>
      <c r="BF77" s="324"/>
      <c r="BG77" s="115"/>
      <c r="BH77" s="324"/>
      <c r="BI77" s="324"/>
      <c r="BJ77" s="324"/>
      <c r="BK77" s="115"/>
      <c r="BL77" s="324"/>
      <c r="BM77" s="324"/>
      <c r="BN77" s="324"/>
      <c r="BO77" s="115"/>
      <c r="BP77" s="324"/>
      <c r="BQ77" s="324"/>
      <c r="BR77" s="324"/>
      <c r="BS77" s="115"/>
      <c r="BT77" s="324"/>
      <c r="BU77" s="324"/>
      <c r="BV77" s="324"/>
      <c r="BW77" s="115"/>
      <c r="BX77" s="324"/>
      <c r="BY77" s="324"/>
      <c r="BZ77" s="324"/>
      <c r="CA77" s="115"/>
      <c r="CB77" s="324"/>
      <c r="CC77" s="324"/>
      <c r="CD77" s="324"/>
      <c r="CE77" s="115"/>
      <c r="CF77" s="324"/>
      <c r="CG77" s="324"/>
      <c r="CH77" s="324"/>
      <c r="CI77" s="115"/>
      <c r="CJ77" s="324"/>
      <c r="CK77" s="324"/>
      <c r="CL77" s="324"/>
      <c r="CM77" s="115"/>
      <c r="CN77" s="324"/>
      <c r="CO77" s="324"/>
      <c r="CP77" s="324"/>
      <c r="CQ77" s="115"/>
      <c r="CT77" s="1209"/>
      <c r="CU77" s="324"/>
      <c r="CX77" s="1209"/>
      <c r="CY77" s="324"/>
      <c r="DB77" s="1209"/>
      <c r="DC77" s="324"/>
      <c r="DF77" s="1209"/>
      <c r="DG77" s="324"/>
      <c r="DJ77" s="1209"/>
      <c r="DK77" s="324"/>
      <c r="DN77" s="1209"/>
      <c r="DO77" s="324"/>
      <c r="DR77" s="1209"/>
      <c r="DS77" s="324"/>
      <c r="DT77" s="324"/>
      <c r="DU77" s="324"/>
      <c r="DV77" s="324"/>
      <c r="DW77" s="115"/>
      <c r="DX77" s="324"/>
      <c r="DY77" s="324"/>
      <c r="DZ77" s="115"/>
      <c r="EA77" s="324"/>
      <c r="EB77" s="324"/>
      <c r="EC77" s="324"/>
      <c r="ED77" s="115"/>
      <c r="EE77" s="324"/>
      <c r="EF77" s="324"/>
      <c r="EG77" s="324"/>
      <c r="EH77" s="115"/>
      <c r="EI77" s="324"/>
      <c r="EJ77" s="324"/>
      <c r="EK77" s="324"/>
      <c r="EL77" s="115"/>
      <c r="EM77" s="115"/>
      <c r="EN77" s="115"/>
      <c r="EO77" s="115"/>
      <c r="EP77" s="115"/>
      <c r="EQ77" s="115"/>
      <c r="ER77" s="115"/>
      <c r="ES77" s="115"/>
      <c r="ET77" s="115"/>
      <c r="EU77" s="115"/>
      <c r="JW77"/>
    </row>
    <row r="78" spans="1:283" s="328" customFormat="1" hidden="1" outlineLevel="1">
      <c r="A78" s="1092" t="str">
        <f>+A70</f>
        <v>Total</v>
      </c>
      <c r="AN78" s="581"/>
      <c r="AO78" s="581"/>
      <c r="AP78" s="581"/>
      <c r="AQ78" s="581"/>
      <c r="AR78" s="581"/>
      <c r="AS78" s="581"/>
      <c r="AT78" s="581"/>
      <c r="AU78" s="581"/>
      <c r="AV78" s="682"/>
      <c r="AW78" s="682"/>
      <c r="AX78" s="682"/>
      <c r="AY78" s="581"/>
      <c r="AZ78" s="682"/>
      <c r="BA78" s="682"/>
      <c r="BB78" s="682"/>
      <c r="BC78" s="581"/>
      <c r="BD78" s="682"/>
      <c r="BE78" s="682"/>
      <c r="BF78" s="682"/>
      <c r="BG78" s="581"/>
      <c r="BH78" s="682"/>
      <c r="BI78" s="682"/>
      <c r="BJ78" s="682"/>
      <c r="BK78" s="581"/>
      <c r="BL78" s="682"/>
      <c r="BM78" s="682"/>
      <c r="BN78" s="682"/>
      <c r="BO78" s="581"/>
      <c r="BP78" s="682"/>
      <c r="BQ78" s="682"/>
      <c r="BR78" s="682"/>
      <c r="BS78" s="581"/>
      <c r="BT78" s="682"/>
      <c r="BU78" s="682"/>
      <c r="BV78" s="682"/>
      <c r="BW78" s="581"/>
      <c r="BX78" s="682"/>
      <c r="BY78" s="682"/>
      <c r="BZ78" s="682"/>
      <c r="CA78" s="581"/>
      <c r="CB78" s="682"/>
      <c r="CC78" s="682"/>
      <c r="CD78" s="682"/>
      <c r="CE78" s="581"/>
      <c r="CF78" s="682"/>
      <c r="CG78" s="682"/>
      <c r="CH78" s="682"/>
      <c r="CI78" s="581"/>
      <c r="CJ78" s="682"/>
      <c r="CK78" s="682"/>
      <c r="CL78" s="682"/>
      <c r="CM78" s="581"/>
      <c r="CN78" s="682"/>
      <c r="CO78" s="682"/>
      <c r="CP78" s="682"/>
      <c r="CQ78" s="581"/>
      <c r="CT78" s="1212"/>
      <c r="CU78" s="682"/>
      <c r="CX78" s="1212"/>
      <c r="CY78" s="682"/>
      <c r="DB78" s="1212"/>
      <c r="DC78" s="682"/>
      <c r="DF78" s="1212"/>
      <c r="DG78" s="682"/>
      <c r="DJ78" s="1212"/>
      <c r="DK78" s="682"/>
      <c r="DN78" s="1212"/>
      <c r="DO78" s="682"/>
      <c r="DR78" s="1212"/>
      <c r="DS78" s="682"/>
      <c r="DT78" s="682"/>
      <c r="DU78" s="682"/>
      <c r="DV78" s="682"/>
      <c r="DW78" s="581"/>
      <c r="DX78" s="682"/>
      <c r="DY78" s="682"/>
      <c r="DZ78" s="581"/>
      <c r="EA78" s="682"/>
      <c r="EB78" s="682"/>
      <c r="EC78" s="682"/>
      <c r="ED78" s="581"/>
      <c r="EE78" s="682"/>
      <c r="EF78" s="682"/>
      <c r="EG78" s="682"/>
      <c r="EH78" s="581"/>
      <c r="EI78" s="682"/>
      <c r="EJ78" s="682"/>
      <c r="EK78" s="682"/>
      <c r="EL78" s="581"/>
      <c r="EM78" s="581"/>
      <c r="EN78" s="581"/>
      <c r="EO78" s="581"/>
      <c r="EP78" s="581"/>
      <c r="EQ78" s="581"/>
      <c r="ER78" s="581"/>
      <c r="ES78" s="581"/>
      <c r="ET78" s="581"/>
      <c r="EU78" s="581"/>
      <c r="JW78"/>
    </row>
    <row r="79" spans="1:283" hidden="1" outlineLevel="1"/>
    <row r="80" spans="1:283" s="332" customFormat="1" hidden="1" outlineLevel="1">
      <c r="A80" s="1207" t="s">
        <v>899</v>
      </c>
      <c r="AN80" s="293"/>
      <c r="AO80" s="293"/>
      <c r="AP80" s="293"/>
      <c r="AQ80" s="293"/>
      <c r="AR80" s="293"/>
      <c r="AS80" s="293"/>
      <c r="AT80" s="293"/>
      <c r="AU80" s="293"/>
      <c r="AV80" s="293"/>
      <c r="AW80" s="293"/>
      <c r="AX80" s="293"/>
      <c r="AY80" s="293"/>
      <c r="AZ80" s="293"/>
      <c r="BA80" s="293"/>
      <c r="BB80" s="293"/>
      <c r="BC80" s="293"/>
      <c r="BD80" s="293"/>
      <c r="BE80" s="293"/>
      <c r="BF80" s="293"/>
      <c r="BG80" s="293"/>
      <c r="BH80" s="293"/>
      <c r="BI80" s="293"/>
      <c r="BJ80" s="293"/>
      <c r="BK80" s="293"/>
      <c r="BL80" s="293"/>
      <c r="BM80" s="293"/>
      <c r="BN80" s="293"/>
      <c r="BO80" s="293"/>
      <c r="BP80" s="293"/>
      <c r="BQ80" s="293"/>
      <c r="BR80" s="293"/>
      <c r="BS80" s="293"/>
      <c r="BT80" s="293"/>
      <c r="BU80" s="293"/>
      <c r="BV80" s="293"/>
      <c r="BW80" s="293"/>
      <c r="BX80" s="293"/>
      <c r="BY80" s="293"/>
      <c r="BZ80" s="293"/>
      <c r="CA80" s="293"/>
      <c r="CB80" s="293"/>
      <c r="CC80" s="293"/>
      <c r="CD80" s="293"/>
      <c r="CE80" s="293"/>
      <c r="CF80" s="293"/>
      <c r="CG80" s="293"/>
      <c r="CH80" s="293"/>
      <c r="CI80" s="293"/>
      <c r="CJ80" s="293"/>
      <c r="CK80" s="293"/>
      <c r="CL80" s="293"/>
      <c r="CM80" s="293"/>
      <c r="CN80" s="293"/>
      <c r="CO80" s="293"/>
      <c r="CP80" s="293"/>
      <c r="CQ80" s="293"/>
      <c r="CT80" s="1197"/>
      <c r="CU80" s="293"/>
      <c r="CX80" s="1197"/>
      <c r="CY80" s="293"/>
      <c r="DB80" s="1197"/>
      <c r="DC80" s="293"/>
      <c r="DF80" s="1197"/>
      <c r="DG80" s="293"/>
      <c r="DJ80" s="1197"/>
      <c r="DK80" s="293"/>
      <c r="DN80" s="1197"/>
      <c r="DO80" s="293"/>
      <c r="DR80" s="1197"/>
      <c r="DS80" s="293"/>
      <c r="DT80" s="293"/>
      <c r="DU80" s="293"/>
      <c r="DV80" s="293"/>
      <c r="DW80" s="293"/>
      <c r="DX80" s="293"/>
      <c r="DY80" s="293"/>
      <c r="DZ80" s="293"/>
      <c r="EA80" s="293"/>
      <c r="EB80" s="293"/>
      <c r="EC80" s="293"/>
      <c r="ED80" s="293"/>
      <c r="EE80" s="293"/>
      <c r="EF80" s="293"/>
      <c r="EG80" s="293"/>
      <c r="EH80" s="293"/>
      <c r="EI80" s="293"/>
      <c r="EJ80" s="293"/>
      <c r="EK80" s="293"/>
      <c r="EL80" s="293"/>
      <c r="EM80" s="293"/>
      <c r="EN80" s="293"/>
      <c r="EO80" s="293"/>
      <c r="EP80" s="293"/>
      <c r="EQ80" s="293"/>
      <c r="ER80" s="293"/>
      <c r="ES80" s="293"/>
      <c r="ET80" s="293"/>
      <c r="EU80" s="293"/>
      <c r="JW80"/>
    </row>
    <row r="81" spans="1:283" s="332" customFormat="1" hidden="1" outlineLevel="1">
      <c r="A81" s="332" t="str">
        <f>A45</f>
        <v>Employment expenses</v>
      </c>
      <c r="AN81" s="492"/>
      <c r="AO81" s="492"/>
      <c r="AP81" s="492"/>
      <c r="AQ81" s="293"/>
      <c r="AR81" s="492"/>
      <c r="AS81" s="492"/>
      <c r="AT81" s="492"/>
      <c r="AU81" s="626"/>
      <c r="AV81" s="492"/>
      <c r="AW81" s="492"/>
      <c r="AX81" s="492"/>
      <c r="AY81" s="626"/>
      <c r="AZ81" s="492"/>
      <c r="BA81" s="492"/>
      <c r="BB81" s="492"/>
      <c r="BC81" s="293"/>
      <c r="BD81" s="492"/>
      <c r="BE81" s="492"/>
      <c r="BF81" s="492"/>
      <c r="BG81" s="293"/>
      <c r="BH81" s="492"/>
      <c r="BI81" s="492"/>
      <c r="BJ81" s="492"/>
      <c r="BK81" s="487"/>
      <c r="BL81" s="492"/>
      <c r="BM81" s="492"/>
      <c r="BN81" s="492"/>
      <c r="BO81" s="487"/>
      <c r="BP81" s="492"/>
      <c r="BQ81" s="492"/>
      <c r="BR81" s="492"/>
      <c r="BS81" s="487"/>
      <c r="BT81" s="492"/>
      <c r="BU81" s="492"/>
      <c r="BV81" s="492"/>
      <c r="BW81" s="293"/>
      <c r="BX81" s="492"/>
      <c r="BY81" s="492"/>
      <c r="BZ81" s="492"/>
      <c r="CA81" s="293"/>
      <c r="CB81" s="293"/>
      <c r="CC81" s="293"/>
      <c r="CD81" s="293"/>
      <c r="CE81" s="293"/>
      <c r="CF81" s="293"/>
      <c r="CG81" s="293"/>
      <c r="CH81" s="293"/>
      <c r="CI81" s="293"/>
      <c r="CJ81" s="293"/>
      <c r="CK81" s="293"/>
      <c r="CL81" s="293"/>
      <c r="CM81" s="293"/>
      <c r="CN81" s="293"/>
      <c r="CO81" s="293"/>
      <c r="CP81" s="293"/>
      <c r="CQ81" s="293"/>
      <c r="CT81" s="828"/>
      <c r="CU81" s="293"/>
      <c r="CX81" s="828"/>
      <c r="CY81" s="293"/>
      <c r="DB81" s="828"/>
      <c r="DC81" s="293"/>
      <c r="DF81" s="828"/>
      <c r="DG81" s="293"/>
      <c r="DJ81" s="828"/>
      <c r="DK81" s="293"/>
      <c r="DN81" s="828"/>
      <c r="DO81" s="293"/>
      <c r="DR81" s="828"/>
      <c r="DS81" s="293"/>
      <c r="DT81" s="293"/>
      <c r="DU81" s="293"/>
      <c r="DV81" s="293"/>
      <c r="DW81" s="293"/>
      <c r="DX81" s="293"/>
      <c r="DY81" s="293"/>
      <c r="DZ81" s="293"/>
      <c r="EA81" s="293"/>
      <c r="EB81" s="293"/>
      <c r="EC81" s="293"/>
      <c r="ED81" s="293"/>
      <c r="EE81" s="293"/>
      <c r="EF81" s="293"/>
      <c r="EG81" s="293"/>
      <c r="EH81" s="293"/>
      <c r="EI81" s="293"/>
      <c r="EJ81" s="293"/>
      <c r="EK81" s="293"/>
      <c r="EL81" s="293"/>
      <c r="EM81" s="293"/>
      <c r="EN81" s="293"/>
      <c r="EO81" s="293"/>
      <c r="EP81" s="293"/>
      <c r="EQ81" s="293"/>
      <c r="ER81" s="293"/>
      <c r="ES81" s="293"/>
      <c r="ET81" s="293"/>
      <c r="EU81" s="293"/>
      <c r="JW81"/>
    </row>
    <row r="82" spans="1:283" s="332" customFormat="1" hidden="1" outlineLevel="1">
      <c r="A82" s="332" t="str">
        <f>A46</f>
        <v>Brokerage and commission expenses</v>
      </c>
      <c r="AN82" s="492"/>
      <c r="AO82" s="492"/>
      <c r="AP82" s="492"/>
      <c r="AQ82" s="293"/>
      <c r="AR82" s="492"/>
      <c r="AS82" s="492"/>
      <c r="AT82" s="492"/>
      <c r="AU82" s="626"/>
      <c r="AV82" s="492"/>
      <c r="AW82" s="492"/>
      <c r="AX82" s="492"/>
      <c r="AY82" s="626"/>
      <c r="AZ82" s="492"/>
      <c r="BA82" s="492"/>
      <c r="BB82" s="492"/>
      <c r="BC82" s="293"/>
      <c r="BD82" s="492"/>
      <c r="BE82" s="492"/>
      <c r="BF82" s="492"/>
      <c r="BG82" s="293"/>
      <c r="BH82" s="492"/>
      <c r="BI82" s="492"/>
      <c r="BJ82" s="492"/>
      <c r="BK82" s="487"/>
      <c r="BL82" s="492"/>
      <c r="BM82" s="492"/>
      <c r="BN82" s="492"/>
      <c r="BO82" s="487"/>
      <c r="BP82" s="492"/>
      <c r="BQ82" s="492"/>
      <c r="BR82" s="492"/>
      <c r="BS82" s="487"/>
      <c r="BT82" s="492"/>
      <c r="BU82" s="492"/>
      <c r="BV82" s="492"/>
      <c r="BW82" s="293"/>
      <c r="BX82" s="492"/>
      <c r="BY82" s="492"/>
      <c r="BZ82" s="492"/>
      <c r="CA82" s="293"/>
      <c r="CB82" s="293"/>
      <c r="CC82" s="293"/>
      <c r="CD82" s="293"/>
      <c r="CE82" s="293"/>
      <c r="CF82" s="293"/>
      <c r="CG82" s="293"/>
      <c r="CH82" s="293"/>
      <c r="CI82" s="293"/>
      <c r="CJ82" s="293"/>
      <c r="CK82" s="293"/>
      <c r="CL82" s="293"/>
      <c r="CM82" s="293"/>
      <c r="CN82" s="293"/>
      <c r="CO82" s="293"/>
      <c r="CP82" s="293"/>
      <c r="CQ82" s="293"/>
      <c r="CT82" s="828"/>
      <c r="CU82" s="293"/>
      <c r="CX82" s="828"/>
      <c r="CY82" s="293"/>
      <c r="DB82" s="828"/>
      <c r="DC82" s="293"/>
      <c r="DF82" s="828"/>
      <c r="DG82" s="293"/>
      <c r="DJ82" s="828"/>
      <c r="DK82" s="293"/>
      <c r="DN82" s="828"/>
      <c r="DO82" s="293"/>
      <c r="DR82" s="828"/>
      <c r="DS82" s="293"/>
      <c r="DT82" s="293"/>
      <c r="DU82" s="293"/>
      <c r="DV82" s="293"/>
      <c r="DW82" s="293"/>
      <c r="DX82" s="293"/>
      <c r="DY82" s="293"/>
      <c r="DZ82" s="293"/>
      <c r="EA82" s="293"/>
      <c r="EB82" s="293"/>
      <c r="EC82" s="293"/>
      <c r="ED82" s="293"/>
      <c r="EE82" s="293"/>
      <c r="EF82" s="293"/>
      <c r="EG82" s="293"/>
      <c r="EH82" s="293"/>
      <c r="EI82" s="293"/>
      <c r="EJ82" s="293"/>
      <c r="EK82" s="293"/>
      <c r="EL82" s="293"/>
      <c r="EM82" s="293"/>
      <c r="EN82" s="293"/>
      <c r="EO82" s="293"/>
      <c r="EP82" s="293"/>
      <c r="EQ82" s="293"/>
      <c r="ER82" s="293"/>
      <c r="ES82" s="293"/>
      <c r="ET82" s="293"/>
      <c r="EU82" s="293"/>
      <c r="JW82"/>
    </row>
    <row r="83" spans="1:283" s="332" customFormat="1" hidden="1" outlineLevel="1">
      <c r="A83" s="332" t="str">
        <f>A47</f>
        <v>Other operating expenses</v>
      </c>
      <c r="AN83" s="492"/>
      <c r="AO83" s="492"/>
      <c r="AP83" s="492"/>
      <c r="AQ83" s="293"/>
      <c r="AR83" s="492"/>
      <c r="AS83" s="492"/>
      <c r="AT83" s="492"/>
      <c r="AU83" s="626"/>
      <c r="AV83" s="492"/>
      <c r="AW83" s="492"/>
      <c r="AX83" s="492"/>
      <c r="AY83" s="626"/>
      <c r="AZ83" s="492"/>
      <c r="BA83" s="492"/>
      <c r="BB83" s="492"/>
      <c r="BC83" s="293"/>
      <c r="BD83" s="492"/>
      <c r="BE83" s="492"/>
      <c r="BF83" s="492"/>
      <c r="BG83" s="293"/>
      <c r="BH83" s="492"/>
      <c r="BI83" s="492"/>
      <c r="BJ83" s="492"/>
      <c r="BK83" s="487"/>
      <c r="BL83" s="492"/>
      <c r="BM83" s="492"/>
      <c r="BN83" s="492"/>
      <c r="BO83" s="487"/>
      <c r="BP83" s="492"/>
      <c r="BQ83" s="492"/>
      <c r="BR83" s="492"/>
      <c r="BS83" s="487"/>
      <c r="BT83" s="492"/>
      <c r="BU83" s="492"/>
      <c r="BV83" s="492"/>
      <c r="BW83" s="293"/>
      <c r="BX83" s="492"/>
      <c r="BY83" s="492"/>
      <c r="BZ83" s="492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  <c r="CK83" s="293"/>
      <c r="CL83" s="293"/>
      <c r="CM83" s="293"/>
      <c r="CN83" s="293"/>
      <c r="CO83" s="293"/>
      <c r="CP83" s="293"/>
      <c r="CQ83" s="293"/>
      <c r="CT83" s="828"/>
      <c r="CU83" s="293"/>
      <c r="CX83" s="828"/>
      <c r="CY83" s="293"/>
      <c r="DB83" s="828"/>
      <c r="DC83" s="293"/>
      <c r="DF83" s="828"/>
      <c r="DG83" s="293"/>
      <c r="DJ83" s="828"/>
      <c r="DK83" s="293"/>
      <c r="DN83" s="828"/>
      <c r="DO83" s="293"/>
      <c r="DR83" s="828"/>
      <c r="DS83" s="293"/>
      <c r="DT83" s="293"/>
      <c r="DU83" s="293"/>
      <c r="DV83" s="293"/>
      <c r="DW83" s="293"/>
      <c r="DX83" s="293"/>
      <c r="DY83" s="293"/>
      <c r="DZ83" s="293"/>
      <c r="EA83" s="293"/>
      <c r="EB83" s="293"/>
      <c r="EC83" s="293"/>
      <c r="ED83" s="293"/>
      <c r="EE83" s="293"/>
      <c r="EF83" s="293"/>
      <c r="EG83" s="293"/>
      <c r="EH83" s="293"/>
      <c r="EI83" s="293"/>
      <c r="EJ83" s="293"/>
      <c r="EK83" s="293"/>
      <c r="EL83" s="293"/>
      <c r="EM83" s="293"/>
      <c r="EN83" s="293"/>
      <c r="EO83" s="293"/>
      <c r="EP83" s="293"/>
      <c r="EQ83" s="293"/>
      <c r="ER83" s="293"/>
      <c r="ES83" s="293"/>
      <c r="ET83" s="293"/>
      <c r="EU83" s="293"/>
      <c r="JW83"/>
    </row>
    <row r="84" spans="1:283" s="332" customFormat="1" hidden="1" outlineLevel="1">
      <c r="A84" s="327" t="s">
        <v>913</v>
      </c>
      <c r="AN84" s="820"/>
      <c r="AO84" s="820"/>
      <c r="AP84" s="820"/>
      <c r="AQ84" s="293"/>
      <c r="AR84" s="820"/>
      <c r="AS84" s="820"/>
      <c r="AT84" s="820"/>
      <c r="AU84" s="626"/>
      <c r="AV84" s="820"/>
      <c r="AW84" s="820"/>
      <c r="AX84" s="820"/>
      <c r="AY84" s="626"/>
      <c r="AZ84" s="820"/>
      <c r="BA84" s="820"/>
      <c r="BB84" s="820"/>
      <c r="BC84" s="293"/>
      <c r="BD84" s="820"/>
      <c r="BE84" s="820"/>
      <c r="BF84" s="820"/>
      <c r="BG84" s="293"/>
      <c r="BH84" s="820"/>
      <c r="BI84" s="820"/>
      <c r="BJ84" s="820"/>
      <c r="BK84" s="487"/>
      <c r="BL84" s="820"/>
      <c r="BM84" s="820"/>
      <c r="BN84" s="820"/>
      <c r="BO84" s="487"/>
      <c r="BP84" s="820"/>
      <c r="BQ84" s="820"/>
      <c r="BR84" s="820"/>
      <c r="BS84" s="487"/>
      <c r="BT84" s="820"/>
      <c r="BU84" s="820"/>
      <c r="BV84" s="820"/>
      <c r="BW84" s="293"/>
      <c r="BX84" s="820"/>
      <c r="BY84" s="820"/>
      <c r="BZ84" s="820"/>
      <c r="CA84" s="293"/>
      <c r="CB84" s="820"/>
      <c r="CC84" s="820"/>
      <c r="CD84" s="820"/>
      <c r="CE84" s="293"/>
      <c r="CF84" s="820"/>
      <c r="CG84" s="820"/>
      <c r="CH84" s="820"/>
      <c r="CI84" s="293"/>
      <c r="CJ84" s="820"/>
      <c r="CK84" s="820"/>
      <c r="CL84" s="820"/>
      <c r="CM84" s="293"/>
      <c r="CN84" s="820"/>
      <c r="CO84" s="820"/>
      <c r="CP84" s="820"/>
      <c r="CQ84" s="293"/>
      <c r="CT84" s="1197"/>
      <c r="CU84" s="293"/>
      <c r="CX84" s="1197"/>
      <c r="CY84" s="293"/>
      <c r="DB84" s="1197"/>
      <c r="DC84" s="293"/>
      <c r="DF84" s="1197"/>
      <c r="DG84" s="293"/>
      <c r="DJ84" s="1197"/>
      <c r="DK84" s="293"/>
      <c r="DN84" s="1197"/>
      <c r="DO84" s="293"/>
      <c r="DR84" s="1197"/>
      <c r="DS84" s="293"/>
      <c r="DT84" s="293"/>
      <c r="DU84" s="293"/>
      <c r="DV84" s="293"/>
      <c r="DW84" s="293"/>
      <c r="DX84" s="293"/>
      <c r="DY84" s="293"/>
      <c r="DZ84" s="293"/>
      <c r="EA84" s="293"/>
      <c r="EB84" s="293"/>
      <c r="EC84" s="293"/>
      <c r="ED84" s="293"/>
      <c r="EE84" s="293"/>
      <c r="EF84" s="293"/>
      <c r="EG84" s="293"/>
      <c r="EH84" s="293"/>
      <c r="EI84" s="293"/>
      <c r="EJ84" s="293"/>
      <c r="EK84" s="293"/>
      <c r="EL84" s="293"/>
      <c r="EM84" s="293"/>
      <c r="EN84" s="293"/>
      <c r="EO84" s="293"/>
      <c r="EP84" s="293"/>
      <c r="EQ84" s="293"/>
      <c r="ER84" s="293"/>
      <c r="ES84" s="293"/>
      <c r="ET84" s="293"/>
      <c r="EU84" s="293"/>
      <c r="JW84"/>
    </row>
    <row r="85" spans="1:283" hidden="1" outlineLevel="1">
      <c r="A85" s="328" t="s">
        <v>835</v>
      </c>
      <c r="CB85" s="293"/>
      <c r="CC85" s="293"/>
      <c r="CD85" s="293"/>
      <c r="CF85" s="293"/>
      <c r="CG85" s="293"/>
      <c r="CH85" s="293"/>
      <c r="CJ85" s="293"/>
      <c r="CK85" s="293"/>
      <c r="CL85" s="293"/>
      <c r="CN85" s="293"/>
      <c r="CO85" s="293"/>
      <c r="CP85" s="293"/>
      <c r="CT85" s="1197"/>
      <c r="CU85" s="293"/>
      <c r="CX85" s="1197"/>
      <c r="CY85" s="293"/>
      <c r="DB85" s="1197"/>
      <c r="DC85" s="293"/>
      <c r="DF85" s="1197"/>
      <c r="DG85" s="293"/>
      <c r="DJ85" s="1197"/>
      <c r="DK85" s="293"/>
      <c r="DN85" s="1197"/>
      <c r="DO85" s="293"/>
      <c r="DR85" s="1197"/>
      <c r="DS85" s="293"/>
      <c r="DT85" s="293"/>
      <c r="DU85" s="293"/>
      <c r="DV85" s="293"/>
      <c r="DX85" s="293"/>
      <c r="DY85" s="293"/>
      <c r="EA85" s="293"/>
      <c r="EB85" s="293"/>
      <c r="EC85" s="293"/>
      <c r="EE85" s="293"/>
      <c r="EF85" s="293"/>
      <c r="EG85" s="293"/>
      <c r="EI85" s="293"/>
      <c r="EJ85" s="293"/>
      <c r="EK85" s="293"/>
    </row>
    <row r="86" spans="1:283" s="642" customFormat="1" hidden="1" outlineLevel="1">
      <c r="A86" s="1210" t="str">
        <f>A81</f>
        <v>Employment expenses</v>
      </c>
      <c r="AN86" s="300"/>
      <c r="AO86" s="300"/>
      <c r="AP86" s="300"/>
      <c r="AQ86" s="300"/>
      <c r="AR86" s="643"/>
      <c r="AS86" s="643"/>
      <c r="AT86" s="643"/>
      <c r="AU86" s="300"/>
      <c r="AV86" s="643"/>
      <c r="AW86" s="643"/>
      <c r="AX86" s="643"/>
      <c r="AY86" s="300"/>
      <c r="AZ86" s="643"/>
      <c r="BA86" s="643"/>
      <c r="BB86" s="643"/>
      <c r="BC86" s="300"/>
      <c r="BD86" s="643"/>
      <c r="BE86" s="643"/>
      <c r="BF86" s="643"/>
      <c r="BG86" s="300"/>
      <c r="BH86" s="643"/>
      <c r="BI86" s="643"/>
      <c r="BJ86" s="643"/>
      <c r="BK86" s="300"/>
      <c r="BL86" s="643"/>
      <c r="BM86" s="643"/>
      <c r="BN86" s="643"/>
      <c r="BO86" s="300"/>
      <c r="BP86" s="643"/>
      <c r="BQ86" s="643"/>
      <c r="BR86" s="643"/>
      <c r="BS86" s="300"/>
      <c r="BT86" s="643"/>
      <c r="BU86" s="643"/>
      <c r="BV86" s="643"/>
      <c r="BW86" s="300"/>
      <c r="BX86" s="643"/>
      <c r="BY86" s="643"/>
      <c r="BZ86" s="643"/>
      <c r="CA86" s="300"/>
      <c r="CB86" s="656"/>
      <c r="CC86" s="656"/>
      <c r="CD86" s="643"/>
      <c r="CE86" s="300"/>
      <c r="CF86" s="656"/>
      <c r="CG86" s="656"/>
      <c r="CH86" s="643"/>
      <c r="CI86" s="300"/>
      <c r="CJ86" s="656"/>
      <c r="CK86" s="656"/>
      <c r="CL86" s="643"/>
      <c r="CM86" s="300"/>
      <c r="CN86" s="656"/>
      <c r="CO86" s="656"/>
      <c r="CP86" s="643"/>
      <c r="CQ86" s="300"/>
      <c r="CT86" s="1211"/>
      <c r="CU86" s="643"/>
      <c r="CX86" s="1211"/>
      <c r="CY86" s="643"/>
      <c r="DB86" s="1211"/>
      <c r="DC86" s="643"/>
      <c r="DF86" s="1211"/>
      <c r="DG86" s="643"/>
      <c r="DJ86" s="1211"/>
      <c r="DK86" s="643"/>
      <c r="DN86" s="1211"/>
      <c r="DO86" s="643"/>
      <c r="DR86" s="1211"/>
      <c r="DS86" s="643"/>
      <c r="DT86" s="643"/>
      <c r="DU86" s="643"/>
      <c r="DV86" s="643"/>
      <c r="DW86" s="300"/>
      <c r="DX86" s="643"/>
      <c r="DY86" s="643"/>
      <c r="DZ86" s="300"/>
      <c r="EA86" s="643"/>
      <c r="EB86" s="643"/>
      <c r="EC86" s="643"/>
      <c r="ED86" s="300"/>
      <c r="EE86" s="643"/>
      <c r="EF86" s="643"/>
      <c r="EG86" s="643"/>
      <c r="EH86" s="300"/>
      <c r="EI86" s="643"/>
      <c r="EJ86" s="643"/>
      <c r="EK86" s="643"/>
      <c r="EL86" s="300"/>
      <c r="EM86" s="300"/>
      <c r="EN86" s="300"/>
      <c r="EO86" s="300"/>
      <c r="EP86" s="300"/>
      <c r="EQ86" s="300"/>
      <c r="ER86" s="300"/>
      <c r="ES86" s="300"/>
      <c r="ET86" s="300"/>
      <c r="EU86" s="300"/>
      <c r="JW86"/>
    </row>
    <row r="87" spans="1:283" s="323" customFormat="1" hidden="1" outlineLevel="1">
      <c r="A87" s="1079" t="str">
        <f>A82</f>
        <v>Brokerage and commission expenses</v>
      </c>
      <c r="AN87" s="115"/>
      <c r="AO87" s="115"/>
      <c r="AP87" s="115"/>
      <c r="AQ87" s="115"/>
      <c r="AR87" s="648"/>
      <c r="AS87" s="648"/>
      <c r="AT87" s="648"/>
      <c r="AU87" s="115"/>
      <c r="AV87" s="648"/>
      <c r="AW87" s="648"/>
      <c r="AX87" s="648"/>
      <c r="AY87" s="115"/>
      <c r="AZ87" s="648"/>
      <c r="BA87" s="648"/>
      <c r="BB87" s="648"/>
      <c r="BC87" s="115"/>
      <c r="BD87" s="648"/>
      <c r="BE87" s="648"/>
      <c r="BF87" s="648"/>
      <c r="BG87" s="115"/>
      <c r="BH87" s="648"/>
      <c r="BI87" s="648"/>
      <c r="BJ87" s="648"/>
      <c r="BK87" s="115"/>
      <c r="BL87" s="648"/>
      <c r="BM87" s="648"/>
      <c r="BN87" s="648"/>
      <c r="BO87" s="115"/>
      <c r="BP87" s="648"/>
      <c r="BQ87" s="648"/>
      <c r="BR87" s="648"/>
      <c r="BS87" s="115"/>
      <c r="BT87" s="648"/>
      <c r="BU87" s="648"/>
      <c r="BV87" s="648"/>
      <c r="BW87" s="115"/>
      <c r="BX87" s="648"/>
      <c r="BY87" s="648"/>
      <c r="BZ87" s="648"/>
      <c r="CA87" s="115"/>
      <c r="CB87" s="648"/>
      <c r="CC87" s="648"/>
      <c r="CD87" s="648"/>
      <c r="CE87" s="115"/>
      <c r="CF87" s="648"/>
      <c r="CG87" s="648"/>
      <c r="CH87" s="648"/>
      <c r="CI87" s="115"/>
      <c r="CJ87" s="648"/>
      <c r="CK87" s="648"/>
      <c r="CL87" s="648"/>
      <c r="CM87" s="115"/>
      <c r="CN87" s="648"/>
      <c r="CO87" s="648"/>
      <c r="CP87" s="648"/>
      <c r="CQ87" s="115"/>
      <c r="CT87" s="1214"/>
      <c r="CU87" s="648"/>
      <c r="CX87" s="1214"/>
      <c r="CY87" s="648"/>
      <c r="DB87" s="1214"/>
      <c r="DC87" s="648"/>
      <c r="DF87" s="1214"/>
      <c r="DG87" s="648"/>
      <c r="DJ87" s="1214"/>
      <c r="DK87" s="648"/>
      <c r="DN87" s="1214"/>
      <c r="DO87" s="648"/>
      <c r="DR87" s="1214"/>
      <c r="DS87" s="648"/>
      <c r="DT87" s="648"/>
      <c r="DU87" s="648"/>
      <c r="DV87" s="648"/>
      <c r="DW87" s="115"/>
      <c r="DX87" s="648"/>
      <c r="DY87" s="648"/>
      <c r="DZ87" s="115"/>
      <c r="EA87" s="648"/>
      <c r="EB87" s="648"/>
      <c r="EC87" s="648"/>
      <c r="ED87" s="115"/>
      <c r="EE87" s="648"/>
      <c r="EF87" s="648"/>
      <c r="EG87" s="648"/>
      <c r="EH87" s="115"/>
      <c r="EI87" s="648"/>
      <c r="EJ87" s="648"/>
      <c r="EK87" s="648"/>
      <c r="EL87" s="115"/>
      <c r="EM87" s="115"/>
      <c r="EN87" s="115"/>
      <c r="EO87" s="115"/>
      <c r="EP87" s="115"/>
      <c r="EQ87" s="115"/>
      <c r="ER87" s="115"/>
      <c r="ES87" s="115"/>
      <c r="ET87" s="115"/>
      <c r="EU87" s="115"/>
      <c r="JW87"/>
    </row>
    <row r="88" spans="1:283" s="642" customFormat="1" hidden="1" outlineLevel="1">
      <c r="A88" s="1210" t="str">
        <f>A83</f>
        <v>Other operating expenses</v>
      </c>
      <c r="AN88" s="300"/>
      <c r="AO88" s="300"/>
      <c r="AP88" s="300"/>
      <c r="AQ88" s="300"/>
      <c r="AR88" s="643"/>
      <c r="AS88" s="643"/>
      <c r="AT88" s="643"/>
      <c r="AU88" s="300"/>
      <c r="AV88" s="643"/>
      <c r="AW88" s="643"/>
      <c r="AX88" s="643"/>
      <c r="AY88" s="300"/>
      <c r="AZ88" s="643"/>
      <c r="BA88" s="643"/>
      <c r="BB88" s="643"/>
      <c r="BC88" s="300"/>
      <c r="BD88" s="643"/>
      <c r="BE88" s="643"/>
      <c r="BF88" s="643"/>
      <c r="BG88" s="300"/>
      <c r="BH88" s="643"/>
      <c r="BI88" s="643"/>
      <c r="BJ88" s="643"/>
      <c r="BK88" s="300"/>
      <c r="BL88" s="643"/>
      <c r="BM88" s="643"/>
      <c r="BN88" s="643"/>
      <c r="BO88" s="300"/>
      <c r="BP88" s="643"/>
      <c r="BQ88" s="643"/>
      <c r="BR88" s="643"/>
      <c r="BS88" s="300"/>
      <c r="BT88" s="643"/>
      <c r="BU88" s="643"/>
      <c r="BV88" s="643"/>
      <c r="BW88" s="300"/>
      <c r="BX88" s="643"/>
      <c r="BY88" s="643"/>
      <c r="BZ88" s="643"/>
      <c r="CA88" s="300"/>
      <c r="CB88" s="656"/>
      <c r="CC88" s="656"/>
      <c r="CD88" s="643"/>
      <c r="CE88" s="300"/>
      <c r="CF88" s="656"/>
      <c r="CG88" s="656"/>
      <c r="CH88" s="643"/>
      <c r="CI88" s="300"/>
      <c r="CJ88" s="656"/>
      <c r="CK88" s="656"/>
      <c r="CL88" s="643"/>
      <c r="CM88" s="300"/>
      <c r="CN88" s="656"/>
      <c r="CO88" s="656"/>
      <c r="CP88" s="643"/>
      <c r="CQ88" s="300"/>
      <c r="CT88" s="1211"/>
      <c r="CU88" s="643"/>
      <c r="CX88" s="1211"/>
      <c r="CY88" s="643"/>
      <c r="DB88" s="1211"/>
      <c r="DC88" s="643"/>
      <c r="DF88" s="1211"/>
      <c r="DG88" s="643"/>
      <c r="DJ88" s="1211"/>
      <c r="DK88" s="643"/>
      <c r="DN88" s="1211"/>
      <c r="DO88" s="643"/>
      <c r="DR88" s="1211"/>
      <c r="DS88" s="643"/>
      <c r="DT88" s="643"/>
      <c r="DU88" s="643"/>
      <c r="DV88" s="643"/>
      <c r="DW88" s="300"/>
      <c r="DX88" s="643"/>
      <c r="DY88" s="643"/>
      <c r="DZ88" s="300"/>
      <c r="EA88" s="643"/>
      <c r="EB88" s="643"/>
      <c r="EC88" s="643"/>
      <c r="ED88" s="300"/>
      <c r="EE88" s="643"/>
      <c r="EF88" s="643"/>
      <c r="EG88" s="643"/>
      <c r="EH88" s="300"/>
      <c r="EI88" s="643"/>
      <c r="EJ88" s="643"/>
      <c r="EK88" s="643"/>
      <c r="EL88" s="300"/>
      <c r="EM88" s="300"/>
      <c r="EN88" s="300"/>
      <c r="EO88" s="300"/>
      <c r="EP88" s="300"/>
      <c r="EQ88" s="300"/>
      <c r="ER88" s="300"/>
      <c r="ES88" s="300"/>
      <c r="ET88" s="300"/>
      <c r="EU88" s="300"/>
      <c r="JW88"/>
    </row>
    <row r="89" spans="1:283" s="328" customFormat="1" hidden="1" outlineLevel="1">
      <c r="A89" s="328" t="str">
        <f>A84</f>
        <v>Total Expenses</v>
      </c>
      <c r="AN89" s="581"/>
      <c r="AO89" s="581"/>
      <c r="AP89" s="581"/>
      <c r="AQ89" s="581"/>
      <c r="AR89" s="650"/>
      <c r="AS89" s="650"/>
      <c r="AT89" s="650"/>
      <c r="AU89" s="581"/>
      <c r="AV89" s="650"/>
      <c r="AW89" s="650"/>
      <c r="AX89" s="650"/>
      <c r="AY89" s="581"/>
      <c r="AZ89" s="650"/>
      <c r="BA89" s="650"/>
      <c r="BB89" s="650"/>
      <c r="BC89" s="581"/>
      <c r="BD89" s="650"/>
      <c r="BE89" s="650"/>
      <c r="BF89" s="650"/>
      <c r="BG89" s="581"/>
      <c r="BH89" s="650"/>
      <c r="BI89" s="650"/>
      <c r="BJ89" s="650"/>
      <c r="BK89" s="581"/>
      <c r="BL89" s="650"/>
      <c r="BM89" s="650"/>
      <c r="BN89" s="650"/>
      <c r="BO89" s="581"/>
      <c r="BP89" s="650"/>
      <c r="BQ89" s="650"/>
      <c r="BR89" s="650"/>
      <c r="BS89" s="581"/>
      <c r="BT89" s="650"/>
      <c r="BU89" s="650"/>
      <c r="BV89" s="650"/>
      <c r="BW89" s="581"/>
      <c r="BX89" s="650"/>
      <c r="BY89" s="650"/>
      <c r="BZ89" s="650"/>
      <c r="CA89" s="581"/>
      <c r="CB89" s="650"/>
      <c r="CC89" s="650"/>
      <c r="CD89" s="650"/>
      <c r="CE89" s="581"/>
      <c r="CF89" s="650"/>
      <c r="CG89" s="650"/>
      <c r="CH89" s="650"/>
      <c r="CI89" s="581"/>
      <c r="CJ89" s="650"/>
      <c r="CK89" s="650"/>
      <c r="CL89" s="650"/>
      <c r="CM89" s="581"/>
      <c r="CN89" s="650"/>
      <c r="CO89" s="650"/>
      <c r="CP89" s="650"/>
      <c r="CQ89" s="581"/>
      <c r="CT89" s="1212"/>
      <c r="CU89" s="682"/>
      <c r="CX89" s="1212"/>
      <c r="CY89" s="682"/>
      <c r="DB89" s="1212"/>
      <c r="DC89" s="682"/>
      <c r="DF89" s="1212"/>
      <c r="DG89" s="682"/>
      <c r="DJ89" s="1212"/>
      <c r="DK89" s="682"/>
      <c r="DN89" s="1212"/>
      <c r="DO89" s="682"/>
      <c r="DR89" s="1212"/>
      <c r="DS89" s="682"/>
      <c r="DT89" s="682"/>
      <c r="DU89" s="682"/>
      <c r="DV89" s="682"/>
      <c r="DW89" s="581"/>
      <c r="DX89" s="682"/>
      <c r="DY89" s="682"/>
      <c r="DZ89" s="581"/>
      <c r="EA89" s="682"/>
      <c r="EB89" s="682"/>
      <c r="EC89" s="682"/>
      <c r="ED89" s="581"/>
      <c r="EE89" s="682"/>
      <c r="EF89" s="682"/>
      <c r="EG89" s="682"/>
      <c r="EH89" s="581"/>
      <c r="EI89" s="682"/>
      <c r="EJ89" s="682"/>
      <c r="EK89" s="682"/>
      <c r="EL89" s="581"/>
      <c r="EM89" s="581"/>
      <c r="EN89" s="581"/>
      <c r="EO89" s="581"/>
      <c r="EP89" s="581"/>
      <c r="EQ89" s="581"/>
      <c r="ER89" s="581"/>
      <c r="ES89" s="581"/>
      <c r="ET89" s="581"/>
      <c r="EU89" s="581"/>
      <c r="JW89"/>
    </row>
    <row r="90" spans="1:283" hidden="1" outlineLevel="1"/>
    <row r="91" spans="1:283" s="642" customFormat="1" hidden="1" outlineLevel="1">
      <c r="A91" s="642" t="s">
        <v>1060</v>
      </c>
      <c r="AN91" s="668"/>
      <c r="AO91" s="668"/>
      <c r="AP91" s="668"/>
      <c r="AQ91" s="300"/>
      <c r="AR91" s="668"/>
      <c r="AS91" s="668"/>
      <c r="AT91" s="668"/>
      <c r="AU91" s="300"/>
      <c r="AV91" s="668"/>
      <c r="AW91" s="668"/>
      <c r="AX91" s="668"/>
      <c r="AY91" s="300"/>
      <c r="AZ91" s="668"/>
      <c r="BA91" s="668"/>
      <c r="BB91" s="668"/>
      <c r="BC91" s="300"/>
      <c r="BD91" s="668"/>
      <c r="BE91" s="668"/>
      <c r="BF91" s="668"/>
      <c r="BG91" s="300"/>
      <c r="BH91" s="668"/>
      <c r="BI91" s="668"/>
      <c r="BJ91" s="668"/>
      <c r="BK91" s="300"/>
      <c r="BL91" s="668"/>
      <c r="BM91" s="668"/>
      <c r="BN91" s="668"/>
      <c r="BO91" s="300"/>
      <c r="BP91" s="668"/>
      <c r="BQ91" s="668"/>
      <c r="BR91" s="668"/>
      <c r="BS91" s="300"/>
      <c r="BT91" s="668"/>
      <c r="BU91" s="668"/>
      <c r="BV91" s="668"/>
      <c r="BW91" s="300"/>
      <c r="BX91" s="668"/>
      <c r="BY91" s="668"/>
      <c r="BZ91" s="668"/>
      <c r="CA91" s="300"/>
      <c r="CB91" s="670"/>
      <c r="CC91" s="670"/>
      <c r="CD91" s="668"/>
      <c r="CE91" s="300"/>
      <c r="CF91" s="670"/>
      <c r="CG91" s="670"/>
      <c r="CH91" s="668"/>
      <c r="CI91" s="300"/>
      <c r="CJ91" s="670"/>
      <c r="CK91" s="670"/>
      <c r="CL91" s="668"/>
      <c r="CM91" s="300"/>
      <c r="CN91" s="670"/>
      <c r="CO91" s="670"/>
      <c r="CP91" s="668"/>
      <c r="CQ91" s="300"/>
      <c r="CT91" s="1215"/>
      <c r="CU91" s="300"/>
      <c r="CX91" s="1215"/>
      <c r="CY91" s="300"/>
      <c r="DB91" s="1215"/>
      <c r="DC91" s="300"/>
      <c r="DF91" s="1215"/>
      <c r="DG91" s="300"/>
      <c r="DJ91" s="1215"/>
      <c r="DK91" s="300"/>
      <c r="DN91" s="1215"/>
      <c r="DO91" s="300"/>
      <c r="DR91" s="1215"/>
      <c r="DS91" s="300"/>
      <c r="DT91" s="300"/>
      <c r="DU91" s="300"/>
      <c r="DV91" s="300"/>
      <c r="DW91" s="300"/>
      <c r="DX91" s="300"/>
      <c r="DY91" s="300"/>
      <c r="DZ91" s="300"/>
      <c r="EA91" s="300"/>
      <c r="EB91" s="300"/>
      <c r="EC91" s="300"/>
      <c r="ED91" s="300"/>
      <c r="EE91" s="300"/>
      <c r="EF91" s="300"/>
      <c r="EG91" s="300"/>
      <c r="EH91" s="300"/>
      <c r="EI91" s="300"/>
      <c r="EJ91" s="300"/>
      <c r="EK91" s="300"/>
      <c r="EL91" s="300"/>
      <c r="EM91" s="300"/>
      <c r="EN91" s="300"/>
      <c r="EO91" s="300"/>
      <c r="EP91" s="300"/>
      <c r="EQ91" s="300"/>
      <c r="ER91" s="300"/>
      <c r="ES91" s="300"/>
      <c r="ET91" s="300"/>
      <c r="EU91" s="300"/>
      <c r="JW91"/>
    </row>
    <row r="92" spans="1:283" hidden="1" outlineLevel="1"/>
    <row r="93" spans="1:283" hidden="1" outlineLevel="1"/>
    <row r="94" spans="1:283" hidden="1" outlineLevel="1">
      <c r="A94" s="815" t="s">
        <v>621</v>
      </c>
    </row>
    <row r="95" spans="1:283" hidden="1" outlineLevel="1">
      <c r="A95" s="102" t="s">
        <v>657</v>
      </c>
      <c r="AZ95" s="818"/>
      <c r="BA95" s="818"/>
      <c r="BB95" s="818"/>
      <c r="BD95" s="818"/>
      <c r="BE95" s="818"/>
      <c r="BF95" s="818"/>
      <c r="BH95" s="818"/>
      <c r="BI95" s="818"/>
      <c r="BJ95" s="818"/>
      <c r="BL95" s="818"/>
      <c r="BM95" s="818"/>
      <c r="BN95" s="818"/>
      <c r="BP95" s="818"/>
      <c r="BQ95" s="818"/>
      <c r="BR95" s="818"/>
      <c r="BT95" s="818"/>
      <c r="BU95" s="818"/>
      <c r="BV95" s="818"/>
      <c r="BX95" s="818"/>
      <c r="BY95" s="818"/>
      <c r="BZ95" s="818"/>
      <c r="CB95" s="818"/>
      <c r="CC95" s="818"/>
      <c r="CD95" s="818"/>
      <c r="CF95" s="818"/>
      <c r="CG95" s="818"/>
      <c r="CH95" s="818"/>
      <c r="CJ95" s="818"/>
      <c r="CK95" s="818"/>
      <c r="CL95" s="818"/>
      <c r="CN95" s="818"/>
      <c r="CO95" s="818"/>
      <c r="CP95" s="818"/>
      <c r="CT95" s="1198"/>
      <c r="CX95" s="1198"/>
      <c r="DB95" s="1198"/>
      <c r="DF95" s="1198"/>
      <c r="DJ95" s="1198"/>
      <c r="DN95" s="1198"/>
      <c r="DR95" s="1198"/>
    </row>
    <row r="96" spans="1:283" hidden="1" outlineLevel="1">
      <c r="A96" s="102" t="s">
        <v>674</v>
      </c>
      <c r="AZ96" s="818"/>
      <c r="BA96" s="818"/>
      <c r="BB96" s="818"/>
      <c r="BD96" s="818"/>
      <c r="BE96" s="818"/>
      <c r="BF96" s="818"/>
      <c r="BH96" s="818"/>
      <c r="BI96" s="818"/>
      <c r="BJ96" s="818"/>
      <c r="BL96" s="818"/>
      <c r="BM96" s="818"/>
      <c r="BN96" s="818"/>
      <c r="BP96" s="818"/>
      <c r="BQ96" s="818"/>
      <c r="BR96" s="818"/>
      <c r="BT96" s="818"/>
      <c r="BU96" s="818"/>
      <c r="BV96" s="818"/>
      <c r="BX96" s="818"/>
      <c r="BY96" s="818"/>
      <c r="BZ96" s="818"/>
      <c r="CB96" s="818"/>
      <c r="CC96" s="818"/>
      <c r="CD96" s="818"/>
      <c r="CF96" s="818"/>
      <c r="CG96" s="818"/>
      <c r="CH96" s="818"/>
      <c r="CJ96" s="818"/>
      <c r="CK96" s="818"/>
      <c r="CL96" s="818"/>
      <c r="CN96" s="818"/>
      <c r="CO96" s="818"/>
      <c r="CP96" s="818"/>
      <c r="CT96" s="1198"/>
      <c r="CX96" s="1198"/>
      <c r="DB96" s="1198"/>
      <c r="DF96" s="1198"/>
      <c r="DJ96" s="1198"/>
      <c r="DN96" s="1198"/>
      <c r="DR96" s="1198"/>
    </row>
    <row r="97" spans="1:283" hidden="1" outlineLevel="1">
      <c r="A97" s="102" t="s">
        <v>659</v>
      </c>
      <c r="AZ97" s="818"/>
      <c r="BA97" s="818"/>
      <c r="BB97" s="818"/>
      <c r="BD97" s="818"/>
      <c r="BE97" s="818"/>
      <c r="BF97" s="818"/>
      <c r="BH97" s="818"/>
      <c r="BI97" s="818"/>
      <c r="BJ97" s="818"/>
      <c r="BL97" s="818"/>
      <c r="BM97" s="818"/>
      <c r="BN97" s="818"/>
      <c r="BP97" s="818"/>
      <c r="BQ97" s="818"/>
      <c r="BR97" s="818"/>
      <c r="BT97" s="818"/>
      <c r="BU97" s="818"/>
      <c r="BV97" s="818"/>
      <c r="BX97" s="818"/>
      <c r="BY97" s="818"/>
      <c r="BZ97" s="818"/>
      <c r="CB97" s="818"/>
      <c r="CC97" s="818"/>
      <c r="CD97" s="818"/>
      <c r="CF97" s="818"/>
      <c r="CG97" s="818"/>
      <c r="CH97" s="818"/>
      <c r="CJ97" s="818"/>
      <c r="CK97" s="818"/>
      <c r="CL97" s="818"/>
      <c r="CN97" s="818"/>
      <c r="CO97" s="818"/>
      <c r="CP97" s="818"/>
      <c r="CR97" s="102"/>
      <c r="CS97" s="102"/>
      <c r="CT97" s="1198"/>
      <c r="CV97" s="102"/>
      <c r="CW97" s="102"/>
      <c r="CX97" s="1198"/>
      <c r="CZ97" s="102"/>
      <c r="DA97" s="102"/>
      <c r="DB97" s="1198"/>
      <c r="DD97" s="102"/>
      <c r="DE97" s="102"/>
      <c r="DF97" s="1198"/>
      <c r="DH97" s="102"/>
      <c r="DI97" s="102"/>
      <c r="DJ97" s="1198"/>
      <c r="DL97" s="102"/>
      <c r="DM97" s="102"/>
      <c r="DN97" s="1198"/>
      <c r="DP97" s="102"/>
      <c r="DQ97" s="102"/>
      <c r="DR97" s="1198"/>
    </row>
    <row r="98" spans="1:283" hidden="1" outlineLevel="1">
      <c r="A98" s="102" t="s">
        <v>660</v>
      </c>
      <c r="AZ98" s="818"/>
      <c r="BA98" s="818"/>
      <c r="BB98" s="818"/>
      <c r="BD98" s="818"/>
      <c r="BE98" s="818"/>
      <c r="BF98" s="818"/>
      <c r="BH98" s="818"/>
      <c r="BI98" s="818"/>
      <c r="BJ98" s="818"/>
      <c r="BL98" s="818"/>
      <c r="BM98" s="818"/>
      <c r="BN98" s="818"/>
      <c r="BP98" s="818"/>
      <c r="BQ98" s="818"/>
      <c r="BR98" s="818"/>
      <c r="BT98" s="818"/>
      <c r="BU98" s="818"/>
      <c r="BV98" s="818"/>
      <c r="BX98" s="818"/>
      <c r="BY98" s="818"/>
      <c r="BZ98" s="818"/>
      <c r="CB98" s="818"/>
      <c r="CC98" s="818"/>
      <c r="CD98" s="818"/>
      <c r="CF98" s="818"/>
      <c r="CG98" s="818"/>
      <c r="CH98" s="818"/>
      <c r="CJ98" s="818"/>
      <c r="CK98" s="818"/>
      <c r="CL98" s="818"/>
      <c r="CN98" s="818"/>
      <c r="CO98" s="818"/>
      <c r="CP98" s="818"/>
      <c r="CT98" s="1198"/>
      <c r="CX98" s="1198"/>
      <c r="DB98" s="1198"/>
      <c r="DF98" s="1198"/>
      <c r="DJ98" s="1198"/>
      <c r="DN98" s="1198"/>
      <c r="DR98" s="1198"/>
    </row>
    <row r="99" spans="1:283" hidden="1" outlineLevel="1">
      <c r="A99" s="102" t="s">
        <v>661</v>
      </c>
      <c r="AZ99" s="818"/>
      <c r="BA99" s="818"/>
      <c r="BB99" s="818"/>
      <c r="BD99" s="818"/>
      <c r="BE99" s="818"/>
      <c r="BF99" s="818"/>
      <c r="BH99" s="818"/>
      <c r="BI99" s="818"/>
      <c r="BJ99" s="818"/>
      <c r="BL99" s="818"/>
      <c r="BM99" s="818"/>
      <c r="BN99" s="818"/>
      <c r="BP99" s="818"/>
      <c r="BQ99" s="818"/>
      <c r="BR99" s="818"/>
      <c r="BT99" s="818"/>
      <c r="BU99" s="818"/>
      <c r="BV99" s="818"/>
      <c r="BX99" s="818"/>
      <c r="BY99" s="818"/>
      <c r="BZ99" s="818"/>
      <c r="CB99" s="818"/>
      <c r="CC99" s="818"/>
      <c r="CD99" s="818"/>
      <c r="CF99" s="818"/>
      <c r="CG99" s="818"/>
      <c r="CH99" s="818"/>
      <c r="CJ99" s="818"/>
      <c r="CK99" s="818"/>
      <c r="CL99" s="818"/>
      <c r="CN99" s="818"/>
      <c r="CO99" s="818"/>
      <c r="CP99" s="818"/>
      <c r="CT99" s="1198"/>
      <c r="CX99" s="1198"/>
      <c r="DB99" s="1198"/>
      <c r="DF99" s="1198"/>
      <c r="DJ99" s="1198"/>
      <c r="DN99" s="1198"/>
      <c r="DR99" s="1198"/>
    </row>
    <row r="100" spans="1:283" hidden="1" outlineLevel="1">
      <c r="A100" s="102" t="s">
        <v>662</v>
      </c>
      <c r="AZ100" s="818"/>
      <c r="BA100" s="818"/>
      <c r="BB100" s="818"/>
      <c r="BD100" s="818"/>
      <c r="BE100" s="818"/>
      <c r="BF100" s="818"/>
      <c r="BH100" s="818"/>
      <c r="BI100" s="818"/>
      <c r="BJ100" s="818"/>
      <c r="BL100" s="818"/>
      <c r="BM100" s="818"/>
      <c r="BN100" s="818"/>
      <c r="BP100" s="818"/>
      <c r="BQ100" s="818"/>
      <c r="BR100" s="818"/>
      <c r="BT100" s="818"/>
      <c r="BU100" s="818"/>
      <c r="BV100" s="818"/>
      <c r="BX100" s="818"/>
      <c r="BY100" s="818"/>
      <c r="BZ100" s="818"/>
      <c r="CB100" s="818"/>
      <c r="CC100" s="818"/>
      <c r="CD100" s="818"/>
      <c r="CF100" s="818"/>
      <c r="CG100" s="818"/>
      <c r="CH100" s="818"/>
      <c r="CJ100" s="818"/>
      <c r="CK100" s="818"/>
      <c r="CL100" s="818"/>
      <c r="CN100" s="818"/>
      <c r="CO100" s="818"/>
      <c r="CP100" s="818"/>
      <c r="CT100" s="1198"/>
      <c r="CX100" s="1198"/>
      <c r="DB100" s="1198"/>
      <c r="DF100" s="1198"/>
      <c r="DJ100" s="1198"/>
      <c r="DN100" s="1198"/>
      <c r="DR100" s="1198"/>
    </row>
    <row r="101" spans="1:283" hidden="1" outlineLevel="1">
      <c r="A101" s="102" t="s">
        <v>658</v>
      </c>
      <c r="AZ101" s="818"/>
      <c r="BA101" s="818"/>
      <c r="BB101" s="818"/>
      <c r="BD101" s="818"/>
      <c r="BE101" s="818"/>
      <c r="BF101" s="818"/>
      <c r="BH101" s="818"/>
      <c r="BI101" s="818"/>
      <c r="BJ101" s="818"/>
      <c r="BL101" s="818"/>
      <c r="BM101" s="818"/>
      <c r="BN101" s="818"/>
      <c r="BP101" s="818"/>
      <c r="BQ101" s="818"/>
      <c r="BR101" s="818"/>
      <c r="BT101" s="818"/>
      <c r="BU101" s="818"/>
      <c r="BV101" s="818"/>
      <c r="BX101" s="818"/>
      <c r="BY101" s="818"/>
      <c r="BZ101" s="818"/>
      <c r="CB101" s="818"/>
      <c r="CC101" s="818"/>
      <c r="CD101" s="818"/>
      <c r="CF101" s="818"/>
      <c r="CG101" s="818"/>
      <c r="CH101" s="818"/>
      <c r="CJ101" s="818"/>
      <c r="CK101" s="818"/>
      <c r="CL101" s="818"/>
      <c r="CN101" s="818"/>
      <c r="CO101" s="818"/>
      <c r="CP101" s="818"/>
      <c r="CT101" s="1198"/>
      <c r="CX101" s="1198"/>
      <c r="DB101" s="1198"/>
      <c r="DF101" s="1198"/>
      <c r="DJ101" s="1198"/>
      <c r="DN101" s="1198"/>
      <c r="DR101" s="1198"/>
    </row>
    <row r="102" spans="1:283" hidden="1" outlineLevel="1">
      <c r="A102" s="102" t="s">
        <v>887</v>
      </c>
      <c r="AZ102" s="818"/>
      <c r="BA102" s="818"/>
      <c r="BB102" s="818"/>
      <c r="BD102" s="818"/>
      <c r="BE102" s="818"/>
      <c r="BF102" s="818"/>
      <c r="BH102" s="818"/>
      <c r="BI102" s="818"/>
      <c r="BJ102" s="818"/>
      <c r="BL102" s="818"/>
      <c r="BM102" s="818"/>
      <c r="BN102" s="818"/>
      <c r="BP102" s="818"/>
      <c r="BQ102" s="818"/>
      <c r="BR102" s="818"/>
      <c r="BT102" s="818"/>
      <c r="BU102" s="818"/>
      <c r="BV102" s="818"/>
      <c r="BX102" s="818"/>
      <c r="BY102" s="818"/>
      <c r="BZ102" s="818"/>
      <c r="CB102" s="818"/>
      <c r="CC102" s="818"/>
      <c r="CD102" s="818"/>
      <c r="CF102" s="818"/>
      <c r="CG102" s="818"/>
      <c r="CH102" s="818"/>
      <c r="CJ102" s="818"/>
      <c r="CK102" s="818"/>
      <c r="CL102" s="818"/>
      <c r="CN102" s="818"/>
      <c r="CO102" s="818"/>
      <c r="CP102" s="818"/>
      <c r="CT102" s="1198"/>
      <c r="CX102" s="1198"/>
      <c r="DB102" s="1198"/>
      <c r="DF102" s="1198"/>
      <c r="DJ102" s="1198"/>
      <c r="DN102" s="1198"/>
      <c r="DR102" s="1198"/>
    </row>
    <row r="103" spans="1:283" hidden="1" outlineLevel="1">
      <c r="A103" s="102" t="s">
        <v>667</v>
      </c>
      <c r="AZ103" s="818"/>
      <c r="BA103" s="818"/>
      <c r="BB103" s="818"/>
      <c r="BD103" s="818"/>
      <c r="BE103" s="818"/>
      <c r="BF103" s="818"/>
      <c r="BH103" s="818"/>
      <c r="BI103" s="818"/>
      <c r="BJ103" s="818"/>
      <c r="BL103" s="818"/>
      <c r="BM103" s="818"/>
      <c r="BN103" s="818"/>
      <c r="BP103" s="818"/>
      <c r="BQ103" s="818"/>
      <c r="BR103" s="818"/>
      <c r="BT103" s="818"/>
      <c r="BU103" s="818"/>
      <c r="BV103" s="818"/>
      <c r="BX103" s="818"/>
      <c r="BY103" s="818"/>
      <c r="BZ103" s="818"/>
      <c r="CB103" s="818"/>
      <c r="CC103" s="818"/>
      <c r="CD103" s="818"/>
      <c r="CF103" s="818"/>
      <c r="CG103" s="818"/>
      <c r="CH103" s="818"/>
      <c r="CJ103" s="818"/>
      <c r="CK103" s="818"/>
      <c r="CL103" s="818"/>
      <c r="CN103" s="818"/>
      <c r="CO103" s="818"/>
      <c r="CP103" s="818"/>
      <c r="CT103" s="1198"/>
      <c r="CX103" s="1198"/>
      <c r="DB103" s="1198"/>
      <c r="DF103" s="1198"/>
      <c r="DJ103" s="1198"/>
      <c r="DN103" s="1198"/>
      <c r="DR103" s="1198"/>
    </row>
    <row r="104" spans="1:283" hidden="1" outlineLevel="1">
      <c r="A104" s="102" t="s">
        <v>675</v>
      </c>
      <c r="AZ104" s="818"/>
      <c r="BA104" s="818"/>
      <c r="BB104" s="818"/>
      <c r="BD104" s="818"/>
      <c r="BE104" s="818"/>
      <c r="BF104" s="818"/>
      <c r="BH104" s="818"/>
      <c r="BI104" s="818"/>
      <c r="BJ104" s="818"/>
      <c r="BL104" s="818"/>
      <c r="BM104" s="818"/>
      <c r="BN104" s="818"/>
      <c r="BP104" s="818"/>
      <c r="BQ104" s="818"/>
      <c r="BR104" s="818"/>
      <c r="BT104" s="818"/>
      <c r="BU104" s="818"/>
      <c r="BV104" s="818"/>
      <c r="BX104" s="818"/>
      <c r="BY104" s="818"/>
      <c r="BZ104" s="818"/>
      <c r="CB104" s="818"/>
      <c r="CC104" s="818"/>
      <c r="CD104" s="818"/>
      <c r="CF104" s="818"/>
      <c r="CG104" s="818"/>
      <c r="CH104" s="818"/>
      <c r="CJ104" s="818"/>
      <c r="CK104" s="818"/>
      <c r="CL104" s="818"/>
      <c r="CN104" s="818"/>
      <c r="CO104" s="818"/>
      <c r="CP104" s="818"/>
      <c r="CT104" s="1198"/>
      <c r="CX104" s="1198"/>
      <c r="DB104" s="1198"/>
      <c r="DF104" s="1198"/>
      <c r="DJ104" s="1198"/>
      <c r="DN104" s="1198"/>
      <c r="DR104" s="1198"/>
    </row>
    <row r="105" spans="1:283" hidden="1" outlineLevel="1">
      <c r="A105" s="102" t="s">
        <v>672</v>
      </c>
      <c r="AV105" s="818"/>
      <c r="AW105" s="818"/>
      <c r="AX105" s="818"/>
      <c r="AZ105" s="818"/>
      <c r="BA105" s="818"/>
      <c r="BB105" s="818"/>
      <c r="BD105" s="818"/>
      <c r="BE105" s="818"/>
      <c r="BF105" s="818"/>
      <c r="BH105" s="818"/>
      <c r="BI105" s="818"/>
      <c r="BJ105" s="818"/>
      <c r="BL105" s="818"/>
      <c r="BM105" s="818"/>
      <c r="BN105" s="818"/>
      <c r="BP105" s="818"/>
      <c r="BQ105" s="818"/>
      <c r="BR105" s="818"/>
      <c r="BT105" s="818"/>
      <c r="BU105" s="818"/>
      <c r="BV105" s="818"/>
      <c r="BX105" s="818"/>
      <c r="BY105" s="818"/>
      <c r="BZ105" s="818"/>
      <c r="CB105" s="818"/>
      <c r="CC105" s="818"/>
      <c r="CD105" s="818"/>
      <c r="CF105" s="818"/>
      <c r="CG105" s="818"/>
      <c r="CH105" s="818"/>
      <c r="CJ105" s="818"/>
      <c r="CK105" s="818"/>
      <c r="CL105" s="818"/>
      <c r="CN105" s="818"/>
      <c r="CO105" s="818"/>
      <c r="CP105" s="818"/>
      <c r="CT105" s="1198"/>
      <c r="CX105" s="1198"/>
      <c r="DB105" s="1198"/>
      <c r="DF105" s="1198"/>
      <c r="DJ105" s="1198"/>
      <c r="DN105" s="1198"/>
      <c r="DR105" s="1198"/>
    </row>
    <row r="106" spans="1:283" hidden="1" outlineLevel="1">
      <c r="A106" s="102" t="s">
        <v>827</v>
      </c>
      <c r="AZ106" s="818"/>
      <c r="BA106" s="818"/>
      <c r="BB106" s="818"/>
      <c r="BD106" s="818"/>
      <c r="BE106" s="818"/>
      <c r="BF106" s="818"/>
      <c r="BH106" s="818"/>
      <c r="BI106" s="818"/>
      <c r="BJ106" s="818"/>
      <c r="BL106" s="818"/>
      <c r="BM106" s="818"/>
      <c r="BN106" s="818"/>
      <c r="BP106" s="818"/>
      <c r="BQ106" s="818"/>
      <c r="BR106" s="818"/>
      <c r="BT106" s="818"/>
      <c r="BU106" s="818"/>
      <c r="BV106" s="818"/>
      <c r="BX106" s="818"/>
      <c r="BY106" s="818"/>
      <c r="BZ106" s="818"/>
      <c r="CB106" s="818"/>
      <c r="CC106" s="818"/>
      <c r="CD106" s="818"/>
      <c r="CF106" s="818"/>
      <c r="CG106" s="818"/>
      <c r="CH106" s="818"/>
      <c r="CJ106" s="818"/>
      <c r="CK106" s="818"/>
      <c r="CL106" s="818"/>
      <c r="CN106" s="818"/>
      <c r="CO106" s="818"/>
      <c r="CP106" s="818"/>
      <c r="CT106" s="1198"/>
      <c r="CX106" s="1198"/>
      <c r="DB106" s="1198"/>
      <c r="DF106" s="1198"/>
      <c r="DJ106" s="1198"/>
      <c r="DN106" s="1198"/>
      <c r="DR106" s="1198"/>
    </row>
    <row r="107" spans="1:283" hidden="1" outlineLevel="1">
      <c r="A107" s="102" t="s">
        <v>828</v>
      </c>
      <c r="AZ107" s="818"/>
      <c r="BA107" s="818"/>
      <c r="BB107" s="818"/>
      <c r="BD107" s="818"/>
      <c r="BE107" s="818"/>
      <c r="BF107" s="818"/>
      <c r="BH107" s="818"/>
      <c r="BI107" s="818"/>
      <c r="BJ107" s="818"/>
      <c r="BL107" s="818"/>
      <c r="BM107" s="818"/>
      <c r="BN107" s="818"/>
      <c r="BP107" s="818"/>
      <c r="BQ107" s="818"/>
      <c r="BR107" s="818"/>
      <c r="BT107" s="818"/>
      <c r="BU107" s="818"/>
      <c r="BV107" s="818"/>
      <c r="BX107" s="818"/>
      <c r="BY107" s="818"/>
      <c r="BZ107" s="818"/>
      <c r="CB107" s="818"/>
      <c r="CC107" s="818"/>
      <c r="CD107" s="818"/>
      <c r="CF107" s="818"/>
      <c r="CG107" s="818"/>
      <c r="CH107" s="818"/>
      <c r="CJ107" s="818"/>
      <c r="CK107" s="818"/>
      <c r="CL107" s="818"/>
      <c r="CN107" s="818"/>
      <c r="CO107" s="818"/>
      <c r="CP107" s="818"/>
      <c r="CT107" s="1198"/>
      <c r="CX107" s="1198"/>
      <c r="DB107" s="1198"/>
      <c r="DF107" s="1198"/>
      <c r="DJ107" s="1198"/>
      <c r="DN107" s="1198"/>
      <c r="DR107" s="1198"/>
    </row>
    <row r="108" spans="1:283" hidden="1" outlineLevel="1">
      <c r="A108" s="102" t="s">
        <v>663</v>
      </c>
      <c r="AZ108" s="818"/>
      <c r="BA108" s="818"/>
      <c r="BB108" s="818"/>
      <c r="BD108" s="818"/>
      <c r="BE108" s="818"/>
      <c r="BF108" s="818"/>
      <c r="BH108" s="818"/>
      <c r="BI108" s="818"/>
      <c r="BJ108" s="818"/>
      <c r="BL108" s="818"/>
      <c r="BM108" s="818"/>
      <c r="BN108" s="818"/>
      <c r="BP108" s="818"/>
      <c r="BQ108" s="818"/>
      <c r="BR108" s="818"/>
      <c r="BT108" s="818"/>
      <c r="BU108" s="818"/>
      <c r="BV108" s="818"/>
      <c r="BX108" s="818"/>
      <c r="BY108" s="818"/>
      <c r="BZ108" s="818"/>
      <c r="CB108" s="818"/>
      <c r="CC108" s="818"/>
      <c r="CD108" s="818"/>
      <c r="CF108" s="818"/>
      <c r="CG108" s="818"/>
      <c r="CH108" s="818"/>
      <c r="CJ108" s="818"/>
      <c r="CK108" s="818"/>
      <c r="CL108" s="818"/>
      <c r="CN108" s="818"/>
      <c r="CO108" s="818"/>
      <c r="CP108" s="818"/>
      <c r="CT108" s="1198"/>
      <c r="CX108" s="1198"/>
      <c r="DB108" s="1198"/>
      <c r="DF108" s="1198"/>
      <c r="DJ108" s="1198"/>
      <c r="DN108" s="1198"/>
      <c r="DR108" s="1198"/>
    </row>
    <row r="109" spans="1:283" hidden="1" outlineLevel="1">
      <c r="A109" s="327" t="s">
        <v>613</v>
      </c>
      <c r="AZ109" s="853"/>
      <c r="BA109" s="853"/>
      <c r="BB109" s="853"/>
      <c r="BD109" s="853"/>
      <c r="BE109" s="853"/>
      <c r="BF109" s="853"/>
      <c r="BH109" s="853"/>
      <c r="BI109" s="853"/>
      <c r="BJ109" s="853"/>
      <c r="BL109" s="853"/>
      <c r="BM109" s="853"/>
      <c r="BN109" s="853"/>
      <c r="BP109" s="853"/>
      <c r="BQ109" s="853"/>
      <c r="BR109" s="853"/>
      <c r="BT109" s="853"/>
      <c r="BU109" s="853"/>
      <c r="BV109" s="853"/>
      <c r="BX109" s="853"/>
      <c r="BY109" s="853"/>
      <c r="BZ109" s="853"/>
      <c r="CB109" s="853"/>
      <c r="CC109" s="853"/>
      <c r="CD109" s="853"/>
      <c r="CF109" s="853"/>
      <c r="CG109" s="853"/>
      <c r="CH109" s="853"/>
      <c r="CJ109" s="853"/>
      <c r="CK109" s="853"/>
      <c r="CL109" s="853"/>
      <c r="CN109" s="853"/>
      <c r="CO109" s="853"/>
      <c r="CP109" s="853"/>
    </row>
    <row r="110" spans="1:283" hidden="1" outlineLevel="1"/>
    <row r="111" spans="1:283" hidden="1" outlineLevel="1"/>
    <row r="112" spans="1:283" s="1193" customFormat="1" collapsed="1">
      <c r="A112" s="1216" t="s">
        <v>911</v>
      </c>
      <c r="AN112" s="1194"/>
      <c r="AO112" s="1194"/>
      <c r="AP112" s="1195"/>
      <c r="AQ112" s="1194"/>
      <c r="AR112" s="1194"/>
      <c r="AS112" s="1194"/>
      <c r="AT112" s="1195"/>
      <c r="AU112" s="1194"/>
      <c r="AV112" s="1194"/>
      <c r="AW112" s="1194"/>
      <c r="AX112" s="1195"/>
      <c r="AY112" s="1194"/>
      <c r="AZ112" s="1194"/>
      <c r="BA112" s="1194"/>
      <c r="BB112" s="1195"/>
      <c r="BC112" s="1194"/>
      <c r="BD112" s="1194"/>
      <c r="BE112" s="1194"/>
      <c r="BF112" s="1195"/>
      <c r="BG112" s="1194"/>
      <c r="BH112" s="1194"/>
      <c r="BI112" s="1194"/>
      <c r="BJ112" s="1195"/>
      <c r="BK112" s="1194"/>
      <c r="BL112" s="1194"/>
      <c r="BM112" s="1194"/>
      <c r="BN112" s="1195"/>
      <c r="BO112" s="1194"/>
      <c r="BP112" s="1194"/>
      <c r="BQ112" s="1194"/>
      <c r="BR112" s="1195"/>
      <c r="BS112" s="1194"/>
      <c r="BT112" s="1194"/>
      <c r="BU112" s="1194"/>
      <c r="BV112" s="1195"/>
      <c r="BW112" s="1194"/>
      <c r="BX112" s="1194"/>
      <c r="BY112" s="1194"/>
      <c r="BZ112" s="1195"/>
      <c r="CA112" s="1194"/>
      <c r="CB112" s="1194"/>
      <c r="CC112" s="1194"/>
      <c r="CD112" s="1195"/>
      <c r="CE112" s="1194"/>
      <c r="CF112" s="1194"/>
      <c r="CG112" s="1194"/>
      <c r="CH112" s="1195"/>
      <c r="CI112" s="1194"/>
      <c r="CJ112" s="1194"/>
      <c r="CK112" s="1194"/>
      <c r="CL112" s="1195"/>
      <c r="CM112" s="1194"/>
      <c r="CN112" s="1194"/>
      <c r="CO112" s="1194"/>
      <c r="CP112" s="1195"/>
      <c r="CQ112" s="1194"/>
      <c r="CT112" s="1196"/>
      <c r="CU112" s="1195"/>
      <c r="CX112" s="1196"/>
      <c r="CY112" s="1195"/>
      <c r="DB112" s="1196"/>
      <c r="DC112" s="1195"/>
      <c r="DF112" s="1196"/>
      <c r="DG112" s="1195"/>
      <c r="DJ112" s="1196"/>
      <c r="DK112" s="1195"/>
      <c r="DN112" s="1196"/>
      <c r="DO112" s="1195"/>
      <c r="DR112" s="1196"/>
      <c r="DS112" s="1195"/>
      <c r="DT112" s="1195"/>
      <c r="DU112" s="1195"/>
      <c r="DV112" s="1195"/>
      <c r="DW112" s="1194"/>
      <c r="DX112" s="1194"/>
      <c r="DY112" s="1194"/>
      <c r="DZ112" s="1194"/>
      <c r="EA112" s="1194"/>
      <c r="EB112" s="1194"/>
      <c r="EC112" s="1194"/>
      <c r="ED112" s="1194"/>
      <c r="EE112" s="1194"/>
      <c r="EF112" s="1194"/>
      <c r="EG112" s="1194"/>
      <c r="EH112" s="1194"/>
      <c r="EI112" s="1194"/>
      <c r="EJ112" s="1194"/>
      <c r="EK112" s="1194"/>
      <c r="EL112" s="1194"/>
      <c r="EM112" s="1194"/>
      <c r="EN112" s="1194"/>
      <c r="EO112" s="1194"/>
      <c r="EP112" s="1194"/>
      <c r="EQ112" s="1194"/>
      <c r="ER112" s="1194"/>
      <c r="ES112" s="1194"/>
      <c r="ET112" s="1194"/>
      <c r="EU112" s="1194"/>
      <c r="JW112"/>
    </row>
    <row r="113" spans="1:283" s="332" customFormat="1">
      <c r="AN113" s="293"/>
      <c r="AO113" s="293"/>
      <c r="AP113" s="293"/>
      <c r="AQ113" s="293"/>
      <c r="AR113" s="293"/>
      <c r="AS113" s="293"/>
      <c r="AT113" s="293"/>
      <c r="AU113" s="293"/>
      <c r="AV113" s="293"/>
      <c r="AW113" s="293"/>
      <c r="AX113" s="293"/>
      <c r="AY113" s="293"/>
      <c r="AZ113" s="293"/>
      <c r="BA113" s="293"/>
      <c r="BB113" s="293"/>
      <c r="BC113" s="293"/>
      <c r="BD113" s="293"/>
      <c r="BE113" s="293"/>
      <c r="BF113" s="293"/>
      <c r="BG113" s="293"/>
      <c r="BH113" s="293"/>
      <c r="BI113" s="293"/>
      <c r="BJ113" s="325"/>
      <c r="BK113" s="293"/>
      <c r="BL113" s="293"/>
      <c r="BM113" s="293"/>
      <c r="BN113" s="293"/>
      <c r="BO113" s="293"/>
      <c r="BP113" s="293"/>
      <c r="BQ113" s="293"/>
      <c r="BR113" s="293"/>
      <c r="BS113" s="293"/>
      <c r="BT113" s="293"/>
      <c r="BU113" s="293"/>
      <c r="BV113" s="293"/>
      <c r="BW113" s="293"/>
      <c r="BX113" s="293"/>
      <c r="BY113" s="293"/>
      <c r="BZ113" s="293"/>
      <c r="CA113" s="293"/>
      <c r="CB113" s="293"/>
      <c r="CC113" s="293"/>
      <c r="CD113" s="293"/>
      <c r="CE113" s="293"/>
      <c r="CF113" s="293"/>
      <c r="CG113" s="293"/>
      <c r="CH113" s="293"/>
      <c r="CI113" s="293"/>
      <c r="CJ113" s="293"/>
      <c r="CK113" s="293"/>
      <c r="CL113" s="293"/>
      <c r="CM113" s="293"/>
      <c r="CN113" s="293"/>
      <c r="CO113" s="293"/>
      <c r="CP113" s="293"/>
      <c r="CQ113" s="293"/>
      <c r="CT113" s="293"/>
      <c r="CU113" s="293"/>
      <c r="CX113" s="293"/>
      <c r="CY113" s="293"/>
      <c r="DB113" s="293"/>
      <c r="DC113" s="293"/>
      <c r="DF113" s="293"/>
      <c r="DG113" s="293"/>
      <c r="DJ113" s="293"/>
      <c r="DK113" s="293"/>
      <c r="DN113" s="293"/>
      <c r="DO113" s="293"/>
      <c r="DR113" s="293"/>
      <c r="DS113" s="293"/>
      <c r="DT113" s="293"/>
      <c r="DU113" s="293"/>
      <c r="DV113" s="293"/>
      <c r="DW113" s="293"/>
      <c r="DX113" s="293"/>
      <c r="DY113" s="293"/>
      <c r="DZ113" s="293"/>
      <c r="EA113" s="293"/>
      <c r="EB113" s="293"/>
      <c r="EC113" s="293"/>
      <c r="ED113" s="293"/>
      <c r="EE113" s="293"/>
      <c r="EF113" s="293"/>
      <c r="EG113" s="293"/>
      <c r="EH113" s="293"/>
      <c r="EI113" s="293"/>
      <c r="EJ113" s="293"/>
      <c r="EK113" s="293"/>
      <c r="EL113" s="293"/>
      <c r="EM113" s="293"/>
      <c r="EN113" s="293"/>
      <c r="EO113" s="293"/>
      <c r="EP113" s="293"/>
      <c r="EQ113" s="293"/>
      <c r="ER113" s="293"/>
      <c r="ES113" s="293"/>
      <c r="ET113" s="293"/>
      <c r="EU113" s="293"/>
      <c r="JW113"/>
    </row>
    <row r="114" spans="1:283" s="332" customFormat="1">
      <c r="A114" s="332" t="s">
        <v>571</v>
      </c>
      <c r="AN114" s="293"/>
      <c r="AO114" s="293"/>
      <c r="AP114" s="293"/>
      <c r="AQ114" s="293"/>
      <c r="AR114" s="626">
        <v>-169</v>
      </c>
      <c r="AS114" s="626">
        <v>-212</v>
      </c>
      <c r="AT114" s="293">
        <f>AR114+AS114</f>
        <v>-381</v>
      </c>
      <c r="AU114" s="293"/>
      <c r="AV114" s="626">
        <v>-54</v>
      </c>
      <c r="AW114" s="626">
        <v>-59</v>
      </c>
      <c r="AX114" s="293">
        <f t="shared" ref="AX114:AX120" si="102">AV114+AW114</f>
        <v>-113</v>
      </c>
      <c r="AY114" s="626"/>
      <c r="AZ114" s="626">
        <v>-59</v>
      </c>
      <c r="BA114" s="626">
        <v>-55</v>
      </c>
      <c r="BB114" s="293">
        <f t="shared" ref="BB114:BB120" si="103">AZ114+BA114</f>
        <v>-114</v>
      </c>
      <c r="BC114" s="293"/>
      <c r="BD114" s="626">
        <v>-44</v>
      </c>
      <c r="BE114" s="626">
        <v>-33</v>
      </c>
      <c r="BF114" s="293">
        <f t="shared" ref="BF114:BF120" si="104">BD114+BE114</f>
        <v>-77</v>
      </c>
      <c r="BG114" s="293"/>
      <c r="BH114" s="626">
        <v>-30</v>
      </c>
      <c r="BI114" s="626">
        <v>-15</v>
      </c>
      <c r="BJ114" s="293">
        <f t="shared" ref="BJ114:BJ120" si="105">BH114+BI114</f>
        <v>-45</v>
      </c>
      <c r="BK114" s="487"/>
      <c r="BL114" s="626">
        <v>0</v>
      </c>
      <c r="BM114" s="626">
        <v>3</v>
      </c>
      <c r="BN114" s="293">
        <f t="shared" ref="BN114:BN120" si="106">BL114+BM114</f>
        <v>3</v>
      </c>
      <c r="BO114" s="487"/>
      <c r="BP114" s="626">
        <v>0</v>
      </c>
      <c r="BQ114" s="626">
        <v>0</v>
      </c>
      <c r="BR114" s="293">
        <f t="shared" ref="BR114:BR120" si="107">BP114+BQ114</f>
        <v>0</v>
      </c>
      <c r="BS114" s="487"/>
      <c r="BT114" s="626">
        <v>0</v>
      </c>
      <c r="BU114" s="626">
        <v>0</v>
      </c>
      <c r="BV114" s="293">
        <f t="shared" ref="BV114:BV120" si="108">BT114+BU114</f>
        <v>0</v>
      </c>
      <c r="BW114" s="293"/>
      <c r="BX114" s="626">
        <v>0</v>
      </c>
      <c r="BY114" s="626">
        <v>0</v>
      </c>
      <c r="BZ114" s="293">
        <f t="shared" ref="BZ114:BZ120" si="109">BX114+BY114</f>
        <v>0</v>
      </c>
      <c r="CA114" s="293"/>
      <c r="CB114" s="626">
        <v>0</v>
      </c>
      <c r="CC114" s="626">
        <v>0</v>
      </c>
      <c r="CD114" s="293">
        <f t="shared" ref="CD114:CD120" si="110">CB114+CC114</f>
        <v>0</v>
      </c>
      <c r="CE114" s="293"/>
      <c r="CF114" s="626">
        <v>0</v>
      </c>
      <c r="CG114" s="626">
        <v>0</v>
      </c>
      <c r="CH114" s="293">
        <f t="shared" ref="CH114:CH120" si="111">CF114+CG114</f>
        <v>0</v>
      </c>
      <c r="CI114" s="293"/>
      <c r="CJ114" s="626">
        <v>0</v>
      </c>
      <c r="CK114" s="626">
        <v>0</v>
      </c>
      <c r="CL114" s="293">
        <f t="shared" ref="CL114:CL120" si="112">CJ114+CK114</f>
        <v>0</v>
      </c>
      <c r="CM114" s="293"/>
      <c r="CN114" s="626">
        <v>0</v>
      </c>
      <c r="CO114" s="626">
        <v>0</v>
      </c>
      <c r="CP114" s="293">
        <f t="shared" ref="CP114:CP120" si="113">CN114+CO114</f>
        <v>0</v>
      </c>
      <c r="CQ114" s="293"/>
      <c r="CR114" s="626">
        <v>0</v>
      </c>
      <c r="CS114" s="1497">
        <v>0</v>
      </c>
      <c r="CT114" s="293">
        <f t="shared" ref="CT114:CT120" si="114">CR114+CS114</f>
        <v>0</v>
      </c>
      <c r="CU114" s="293"/>
      <c r="CV114" s="1388">
        <v>0</v>
      </c>
      <c r="CW114" s="1488">
        <v>0</v>
      </c>
      <c r="CX114" s="293">
        <f t="shared" ref="CX114:CX120" si="115">CV114+CW114</f>
        <v>0</v>
      </c>
      <c r="CY114" s="293"/>
      <c r="CZ114" s="1388">
        <v>0</v>
      </c>
      <c r="DA114" s="1488">
        <v>0</v>
      </c>
      <c r="DB114" s="293">
        <f t="shared" ref="DB114:DB120" si="116">CZ114+DA114</f>
        <v>0</v>
      </c>
      <c r="DC114" s="293"/>
      <c r="DD114" s="626">
        <v>0</v>
      </c>
      <c r="DE114" s="1497">
        <v>0</v>
      </c>
      <c r="DF114" s="293">
        <f t="shared" ref="DF114:DF120" si="117">DD114+DE114</f>
        <v>0</v>
      </c>
      <c r="DG114" s="293"/>
      <c r="DH114" s="626">
        <v>0</v>
      </c>
      <c r="DI114" s="293">
        <f>DI136</f>
        <v>0</v>
      </c>
      <c r="DJ114" s="293">
        <f t="shared" ref="DJ114:DJ120" si="118">DH114+DI114</f>
        <v>0</v>
      </c>
      <c r="DK114" s="293"/>
      <c r="DL114" s="293">
        <f>DL136</f>
        <v>0</v>
      </c>
      <c r="DM114" s="293">
        <f>DM136</f>
        <v>0</v>
      </c>
      <c r="DN114" s="293">
        <f t="shared" ref="DN114:DN120" si="119">DL114+DM114</f>
        <v>0</v>
      </c>
      <c r="DO114" s="293"/>
      <c r="DP114" s="293">
        <f>DP136</f>
        <v>0</v>
      </c>
      <c r="DQ114" s="293">
        <f>DQ136</f>
        <v>0</v>
      </c>
      <c r="DR114" s="293">
        <f t="shared" ref="DR114:DR120" si="120">DP114+DQ114</f>
        <v>0</v>
      </c>
      <c r="DS114" s="293"/>
      <c r="DT114" s="293"/>
      <c r="DU114" s="293"/>
      <c r="DV114" s="293"/>
      <c r="DW114" s="1197" t="s">
        <v>513</v>
      </c>
      <c r="DX114" s="293"/>
      <c r="DY114" s="293"/>
      <c r="DZ114" s="293"/>
      <c r="EA114" s="293"/>
      <c r="EB114" s="293"/>
      <c r="EC114" s="293"/>
      <c r="ED114" s="293"/>
      <c r="EE114" s="293"/>
      <c r="EF114" s="293"/>
      <c r="EG114" s="293"/>
      <c r="EH114" s="293"/>
      <c r="EI114" s="293"/>
      <c r="EJ114" s="293"/>
      <c r="EK114" s="293"/>
      <c r="EL114" s="293"/>
      <c r="EM114" s="293"/>
      <c r="EN114" s="293"/>
      <c r="EO114" s="293"/>
      <c r="EP114" s="293"/>
      <c r="EQ114" s="293"/>
      <c r="ER114" s="293"/>
      <c r="ES114" s="293"/>
      <c r="ET114" s="293"/>
      <c r="EU114" s="293"/>
      <c r="JW114"/>
    </row>
    <row r="115" spans="1:283" s="332" customFormat="1">
      <c r="A115" s="332" t="s">
        <v>566</v>
      </c>
      <c r="AN115" s="293">
        <f>AN153</f>
        <v>850</v>
      </c>
      <c r="AO115" s="293">
        <f>AO153</f>
        <v>538</v>
      </c>
      <c r="AP115" s="293">
        <f>AN115+AO115</f>
        <v>1388</v>
      </c>
      <c r="AQ115" s="293"/>
      <c r="AR115" s="293">
        <f>AR153</f>
        <v>590</v>
      </c>
      <c r="AS115" s="293">
        <f>AS153</f>
        <v>685</v>
      </c>
      <c r="AT115" s="293">
        <f>AR115+AS115</f>
        <v>1275</v>
      </c>
      <c r="AU115" s="293"/>
      <c r="AV115" s="293">
        <f>AV153</f>
        <v>473</v>
      </c>
      <c r="AW115" s="293">
        <f>AW153</f>
        <v>364</v>
      </c>
      <c r="AX115" s="293">
        <f t="shared" si="102"/>
        <v>837</v>
      </c>
      <c r="AY115" s="293"/>
      <c r="AZ115" s="293">
        <f>AZ153</f>
        <v>302.5</v>
      </c>
      <c r="BA115" s="293">
        <f>BA153</f>
        <v>409.5</v>
      </c>
      <c r="BB115" s="293">
        <f t="shared" si="103"/>
        <v>712</v>
      </c>
      <c r="BC115" s="293"/>
      <c r="BD115" s="293">
        <f>BD153</f>
        <v>292</v>
      </c>
      <c r="BE115" s="293">
        <f>BE153</f>
        <v>281</v>
      </c>
      <c r="BF115" s="293">
        <f t="shared" si="104"/>
        <v>573</v>
      </c>
      <c r="BG115" s="293"/>
      <c r="BH115" s="293">
        <f>BH153</f>
        <v>300</v>
      </c>
      <c r="BI115" s="293">
        <f>BI153</f>
        <v>286</v>
      </c>
      <c r="BJ115" s="293">
        <f t="shared" si="105"/>
        <v>586</v>
      </c>
      <c r="BK115" s="684">
        <f>+BJ115/BF115-1</f>
        <v>2.2687609075043635E-2</v>
      </c>
      <c r="BL115" s="293">
        <f>BL153</f>
        <v>321</v>
      </c>
      <c r="BM115" s="293">
        <f>BM153</f>
        <v>406</v>
      </c>
      <c r="BN115" s="293">
        <f t="shared" si="106"/>
        <v>727</v>
      </c>
      <c r="BO115" s="684">
        <f>+BN115/BJ115-1</f>
        <v>0.24061433447098968</v>
      </c>
      <c r="BP115" s="293">
        <f>BP153</f>
        <v>361</v>
      </c>
      <c r="BQ115" s="293">
        <f>BQ153</f>
        <v>499</v>
      </c>
      <c r="BR115" s="293">
        <f t="shared" si="107"/>
        <v>860</v>
      </c>
      <c r="BS115" s="684">
        <f>+BR115/BN115-1</f>
        <v>0.18294360385144426</v>
      </c>
      <c r="BT115" s="293">
        <f>BT153</f>
        <v>501</v>
      </c>
      <c r="BU115" s="293">
        <f>BU153</f>
        <v>369</v>
      </c>
      <c r="BV115" s="293">
        <f t="shared" si="108"/>
        <v>870</v>
      </c>
      <c r="BW115" s="684">
        <f>+BV115/BR115-1</f>
        <v>1.1627906976744207E-2</v>
      </c>
      <c r="BX115" s="293">
        <f>BX153</f>
        <v>416</v>
      </c>
      <c r="BY115" s="293">
        <f>BY153</f>
        <v>471</v>
      </c>
      <c r="BZ115" s="293">
        <f t="shared" si="109"/>
        <v>887</v>
      </c>
      <c r="CA115" s="684">
        <f>+BZ115/BV115-1</f>
        <v>1.9540229885057547E-2</v>
      </c>
      <c r="CB115" s="293">
        <f>CB153</f>
        <v>422</v>
      </c>
      <c r="CC115" s="293">
        <f>CC153</f>
        <v>423</v>
      </c>
      <c r="CD115" s="293">
        <f t="shared" si="110"/>
        <v>845</v>
      </c>
      <c r="CE115" s="684">
        <f>+CD115/BZ115-1</f>
        <v>-4.7350620067643789E-2</v>
      </c>
      <c r="CF115" s="293">
        <f>CF153</f>
        <v>526</v>
      </c>
      <c r="CG115" s="293">
        <f>CG153</f>
        <v>497</v>
      </c>
      <c r="CH115" s="293">
        <f t="shared" si="111"/>
        <v>1023</v>
      </c>
      <c r="CI115" s="684">
        <f>+CH115/CD115-1</f>
        <v>0.21065088757396455</v>
      </c>
      <c r="CJ115" s="293">
        <f>CJ153</f>
        <v>738</v>
      </c>
      <c r="CK115" s="293">
        <f>CK153</f>
        <v>854</v>
      </c>
      <c r="CL115" s="293">
        <f t="shared" si="112"/>
        <v>1592</v>
      </c>
      <c r="CM115" s="684"/>
      <c r="CN115" s="293">
        <f>CN153</f>
        <v>665</v>
      </c>
      <c r="CO115" s="293">
        <f>CO153</f>
        <v>722</v>
      </c>
      <c r="CP115" s="293">
        <f t="shared" si="113"/>
        <v>1387</v>
      </c>
      <c r="CQ115" s="684">
        <f>+CP115/CL115-1</f>
        <v>-0.12876884422110557</v>
      </c>
      <c r="CR115" s="293">
        <f>CR153</f>
        <v>865</v>
      </c>
      <c r="CS115" s="1495">
        <f>CS153</f>
        <v>1003</v>
      </c>
      <c r="CT115" s="293">
        <f t="shared" si="114"/>
        <v>1868</v>
      </c>
      <c r="CU115" s="684">
        <f>+CT115/CP115-1</f>
        <v>0.34679163662581103</v>
      </c>
      <c r="CV115" s="293">
        <f>CV153</f>
        <v>664</v>
      </c>
      <c r="CW115" s="1495">
        <f>CW153</f>
        <v>692</v>
      </c>
      <c r="CX115" s="293">
        <f t="shared" si="115"/>
        <v>1356</v>
      </c>
      <c r="CY115" s="684">
        <f>+CX115/CT115-1</f>
        <v>-0.27408993576017127</v>
      </c>
      <c r="CZ115" s="1010">
        <f>CZ153</f>
        <v>628</v>
      </c>
      <c r="DA115" s="1490">
        <f>DA153</f>
        <v>573</v>
      </c>
      <c r="DB115" s="293">
        <f t="shared" si="116"/>
        <v>1201</v>
      </c>
      <c r="DC115" s="684">
        <f>+DB115/CX115-1</f>
        <v>-0.11430678466076694</v>
      </c>
      <c r="DD115" s="293">
        <f>DD153</f>
        <v>671</v>
      </c>
      <c r="DE115" s="1490">
        <f>DE153</f>
        <v>782</v>
      </c>
      <c r="DF115" s="293">
        <f t="shared" si="117"/>
        <v>1453</v>
      </c>
      <c r="DG115" s="684">
        <f>+DF115/DB115-1</f>
        <v>0.20982514571190669</v>
      </c>
      <c r="DH115" s="293">
        <f>DH153</f>
        <v>850</v>
      </c>
      <c r="DI115" s="293">
        <f>DI153</f>
        <v>865.9</v>
      </c>
      <c r="DJ115" s="293">
        <f t="shared" si="118"/>
        <v>1715.9</v>
      </c>
      <c r="DK115" s="684">
        <f>+DJ115/DF115-1</f>
        <v>0.18093599449414999</v>
      </c>
      <c r="DL115" s="293">
        <f>DL153</f>
        <v>902.47900000000004</v>
      </c>
      <c r="DM115" s="293">
        <f>DM153</f>
        <v>940.6854699999999</v>
      </c>
      <c r="DN115" s="293">
        <f t="shared" si="119"/>
        <v>1843.1644699999999</v>
      </c>
      <c r="DO115" s="684">
        <f>+DN115/DJ115-1</f>
        <v>7.4167766186840733E-2</v>
      </c>
      <c r="DP115" s="293">
        <f>DP153</f>
        <v>963.06168159999993</v>
      </c>
      <c r="DQ115" s="293">
        <f>DQ153</f>
        <v>985.9922924980001</v>
      </c>
      <c r="DR115" s="293">
        <f t="shared" si="120"/>
        <v>1949.053974098</v>
      </c>
      <c r="DS115" s="684">
        <f>+DR115/DN115-1</f>
        <v>5.744984011003651E-2</v>
      </c>
      <c r="DT115" s="684"/>
      <c r="DU115" s="684"/>
      <c r="DV115" s="684"/>
      <c r="DW115" s="1197" t="s">
        <v>513</v>
      </c>
      <c r="DX115" s="293"/>
      <c r="DY115" s="293"/>
      <c r="DZ115" s="293"/>
      <c r="EA115" s="293"/>
      <c r="EB115" s="293"/>
      <c r="EC115" s="293"/>
      <c r="ED115" s="293"/>
      <c r="EE115" s="293"/>
      <c r="EF115" s="293"/>
      <c r="EG115" s="293"/>
      <c r="EH115" s="293"/>
      <c r="EI115" s="293"/>
      <c r="EJ115" s="293"/>
      <c r="EK115" s="293"/>
      <c r="EL115" s="293"/>
      <c r="EM115" s="293"/>
      <c r="EN115" s="293"/>
      <c r="EO115" s="293"/>
      <c r="EP115" s="293"/>
      <c r="EQ115" s="293"/>
      <c r="ER115" s="293"/>
      <c r="ES115" s="293"/>
      <c r="ET115" s="293"/>
      <c r="EU115" s="293"/>
      <c r="JW115"/>
    </row>
    <row r="116" spans="1:283" s="327" customFormat="1">
      <c r="A116" s="327" t="s">
        <v>1392</v>
      </c>
      <c r="AN116" s="295"/>
      <c r="AO116" s="295"/>
      <c r="AP116" s="295"/>
      <c r="AQ116" s="295"/>
      <c r="AR116" s="655">
        <v>-66</v>
      </c>
      <c r="AS116" s="655">
        <v>-173</v>
      </c>
      <c r="AT116" s="295">
        <f>AR116+AS116</f>
        <v>-239</v>
      </c>
      <c r="AU116" s="655"/>
      <c r="AV116" s="655">
        <v>70</v>
      </c>
      <c r="AW116" s="655">
        <v>7</v>
      </c>
      <c r="AX116" s="295">
        <f t="shared" si="102"/>
        <v>77</v>
      </c>
      <c r="AY116" s="655"/>
      <c r="AZ116" s="655">
        <v>28</v>
      </c>
      <c r="BA116" s="655">
        <v>4</v>
      </c>
      <c r="BB116" s="295">
        <f t="shared" si="103"/>
        <v>32</v>
      </c>
      <c r="BC116" s="295"/>
      <c r="BD116" s="655">
        <v>-27</v>
      </c>
      <c r="BE116" s="655">
        <v>-17</v>
      </c>
      <c r="BF116" s="295">
        <f t="shared" si="104"/>
        <v>-44</v>
      </c>
      <c r="BG116" s="295"/>
      <c r="BH116" s="655">
        <v>-7</v>
      </c>
      <c r="BI116" s="655">
        <v>-7</v>
      </c>
      <c r="BJ116" s="295">
        <f t="shared" si="105"/>
        <v>-14</v>
      </c>
      <c r="BK116" s="640"/>
      <c r="BL116" s="655">
        <v>-3</v>
      </c>
      <c r="BM116" s="655">
        <v>-35</v>
      </c>
      <c r="BN116" s="295">
        <f t="shared" si="106"/>
        <v>-38</v>
      </c>
      <c r="BO116" s="1229"/>
      <c r="BP116" s="655">
        <v>-13</v>
      </c>
      <c r="BQ116" s="655">
        <v>-11</v>
      </c>
      <c r="BR116" s="295">
        <f t="shared" si="107"/>
        <v>-24</v>
      </c>
      <c r="BS116" s="1229"/>
      <c r="BT116" s="655">
        <v>31</v>
      </c>
      <c r="BU116" s="655">
        <v>-15</v>
      </c>
      <c r="BV116" s="295">
        <f t="shared" si="108"/>
        <v>16</v>
      </c>
      <c r="BW116" s="1229"/>
      <c r="BX116" s="655">
        <v>11</v>
      </c>
      <c r="BY116" s="655">
        <v>-8</v>
      </c>
      <c r="BZ116" s="295">
        <f t="shared" si="109"/>
        <v>3</v>
      </c>
      <c r="CA116" s="1229"/>
      <c r="CB116" s="655">
        <v>-54</v>
      </c>
      <c r="CC116" s="655">
        <v>-11</v>
      </c>
      <c r="CD116" s="295">
        <f t="shared" si="110"/>
        <v>-65</v>
      </c>
      <c r="CE116" s="1229"/>
      <c r="CF116" s="655">
        <v>61</v>
      </c>
      <c r="CG116" s="655">
        <v>26</v>
      </c>
      <c r="CH116" s="295">
        <f t="shared" si="111"/>
        <v>87</v>
      </c>
      <c r="CI116" s="1229"/>
      <c r="CJ116" s="655">
        <f>-18-2</f>
        <v>-20</v>
      </c>
      <c r="CK116" s="655">
        <f>-23-16</f>
        <v>-39</v>
      </c>
      <c r="CL116" s="295">
        <f t="shared" si="112"/>
        <v>-59</v>
      </c>
      <c r="CM116" s="1229"/>
      <c r="CN116" s="1389">
        <v>6</v>
      </c>
      <c r="CO116" s="1389">
        <v>63</v>
      </c>
      <c r="CP116" s="1412">
        <f t="shared" si="113"/>
        <v>69</v>
      </c>
      <c r="CQ116" s="2036"/>
      <c r="CR116" s="1389">
        <v>158</v>
      </c>
      <c r="CS116" s="1505">
        <v>256</v>
      </c>
      <c r="CT116" s="853">
        <f t="shared" si="114"/>
        <v>414</v>
      </c>
      <c r="CU116" s="1229"/>
      <c r="CV116" s="1389">
        <v>154</v>
      </c>
      <c r="CW116" s="1505">
        <v>256</v>
      </c>
      <c r="CX116" s="853">
        <f t="shared" si="115"/>
        <v>410</v>
      </c>
      <c r="CY116" s="905">
        <f>+CX116/CT116-1</f>
        <v>-9.6618357487923134E-3</v>
      </c>
      <c r="CZ116" s="1872">
        <v>334</v>
      </c>
      <c r="DA116" s="1489">
        <v>356</v>
      </c>
      <c r="DB116" s="853">
        <f t="shared" si="116"/>
        <v>690</v>
      </c>
      <c r="DC116" s="905">
        <f>+DB116/CX116-1</f>
        <v>0.68292682926829262</v>
      </c>
      <c r="DD116" s="2115">
        <v>322</v>
      </c>
      <c r="DE116" s="2175">
        <v>490</v>
      </c>
      <c r="DF116" s="853">
        <f t="shared" si="117"/>
        <v>812</v>
      </c>
      <c r="DG116" s="905">
        <f>+DF116/DB116-1</f>
        <v>0.17681159420289849</v>
      </c>
      <c r="DH116" s="2115">
        <v>497</v>
      </c>
      <c r="DI116" s="853">
        <f>DI137</f>
        <v>539</v>
      </c>
      <c r="DJ116" s="853">
        <f t="shared" si="118"/>
        <v>1036</v>
      </c>
      <c r="DK116" s="905">
        <f>+DJ116/DF116-1</f>
        <v>0.27586206896551735</v>
      </c>
      <c r="DL116" s="853">
        <f>DL137</f>
        <v>531.79000000000008</v>
      </c>
      <c r="DM116" s="853">
        <f>DM137</f>
        <v>576.73</v>
      </c>
      <c r="DN116" s="853">
        <f t="shared" si="119"/>
        <v>1108.52</v>
      </c>
      <c r="DO116" s="905">
        <f>+DN116/DJ116-1</f>
        <v>7.0000000000000062E-2</v>
      </c>
      <c r="DP116" s="853">
        <f>DP137</f>
        <v>569.01530000000014</v>
      </c>
      <c r="DQ116" s="853">
        <f>DQ137</f>
        <v>617.10110000000009</v>
      </c>
      <c r="DR116" s="853">
        <f t="shared" si="120"/>
        <v>1186.1164000000003</v>
      </c>
      <c r="DS116" s="905">
        <f>+DR116/DN116-1</f>
        <v>7.0000000000000284E-2</v>
      </c>
      <c r="DT116" s="1229"/>
      <c r="DU116" s="1229"/>
      <c r="DV116" s="1229"/>
      <c r="DW116" s="2037" t="s">
        <v>513</v>
      </c>
      <c r="DX116" s="1229"/>
      <c r="DY116" s="1229"/>
      <c r="DZ116" s="290"/>
      <c r="EA116" s="1229"/>
      <c r="EB116" s="1229"/>
      <c r="EC116" s="853"/>
      <c r="ED116" s="290"/>
      <c r="EE116" s="1229"/>
      <c r="EF116" s="1229"/>
      <c r="EG116" s="853"/>
      <c r="EH116" s="290"/>
      <c r="EI116" s="1229"/>
      <c r="EJ116" s="1229"/>
      <c r="EK116" s="853"/>
      <c r="EL116" s="290"/>
      <c r="EM116" s="290"/>
      <c r="EN116" s="290"/>
      <c r="EO116" s="290"/>
      <c r="EP116" s="290"/>
      <c r="EQ116" s="295"/>
      <c r="ER116" s="295"/>
      <c r="ES116" s="295"/>
      <c r="ET116" s="295"/>
      <c r="EU116" s="295"/>
      <c r="JW116"/>
    </row>
    <row r="117" spans="1:283" s="332" customFormat="1">
      <c r="A117" s="332" t="s">
        <v>652</v>
      </c>
      <c r="AN117" s="293"/>
      <c r="AO117" s="293"/>
      <c r="AP117" s="293"/>
      <c r="AQ117" s="293"/>
      <c r="AR117" s="626">
        <v>56</v>
      </c>
      <c r="AS117" s="626">
        <v>-46</v>
      </c>
      <c r="AT117" s="293">
        <f>AR117+AS117</f>
        <v>10</v>
      </c>
      <c r="AU117" s="626"/>
      <c r="AV117" s="626">
        <v>-24</v>
      </c>
      <c r="AW117" s="626">
        <v>2</v>
      </c>
      <c r="AX117" s="293">
        <f t="shared" si="102"/>
        <v>-22</v>
      </c>
      <c r="AY117" s="626"/>
      <c r="AZ117" s="626">
        <v>37</v>
      </c>
      <c r="BA117" s="927">
        <v>19</v>
      </c>
      <c r="BB117" s="293">
        <f t="shared" si="103"/>
        <v>56</v>
      </c>
      <c r="BC117" s="293"/>
      <c r="BD117" s="626">
        <v>18</v>
      </c>
      <c r="BE117" s="626">
        <v>62</v>
      </c>
      <c r="BF117" s="293">
        <f t="shared" si="104"/>
        <v>80</v>
      </c>
      <c r="BG117" s="293"/>
      <c r="BH117" s="626">
        <v>6</v>
      </c>
      <c r="BI117" s="626">
        <v>7</v>
      </c>
      <c r="BJ117" s="293">
        <f t="shared" si="105"/>
        <v>13</v>
      </c>
      <c r="BK117" s="487"/>
      <c r="BL117" s="626">
        <v>-5</v>
      </c>
      <c r="BM117" s="626">
        <v>23</v>
      </c>
      <c r="BN117" s="293">
        <f t="shared" si="106"/>
        <v>18</v>
      </c>
      <c r="BO117" s="487"/>
      <c r="BP117" s="626">
        <v>-7</v>
      </c>
      <c r="BQ117" s="626">
        <v>20</v>
      </c>
      <c r="BR117" s="293">
        <f t="shared" si="107"/>
        <v>13</v>
      </c>
      <c r="BS117" s="487"/>
      <c r="BT117" s="626">
        <v>-12</v>
      </c>
      <c r="BU117" s="626">
        <v>1</v>
      </c>
      <c r="BV117" s="293">
        <f t="shared" si="108"/>
        <v>-11</v>
      </c>
      <c r="BW117" s="293"/>
      <c r="BX117" s="626">
        <v>-20</v>
      </c>
      <c r="BY117" s="626">
        <v>48</v>
      </c>
      <c r="BZ117" s="293">
        <f t="shared" si="109"/>
        <v>28</v>
      </c>
      <c r="CA117" s="293"/>
      <c r="CB117" s="626">
        <v>45</v>
      </c>
      <c r="CC117" s="626">
        <v>3</v>
      </c>
      <c r="CD117" s="293">
        <f t="shared" si="110"/>
        <v>48</v>
      </c>
      <c r="CE117" s="293"/>
      <c r="CF117" s="626">
        <v>-89</v>
      </c>
      <c r="CG117" s="626">
        <v>-102</v>
      </c>
      <c r="CH117" s="293">
        <f t="shared" si="111"/>
        <v>-191</v>
      </c>
      <c r="CI117" s="293"/>
      <c r="CJ117" s="626">
        <v>-137</v>
      </c>
      <c r="CK117" s="626">
        <f>-60-1</f>
        <v>-61</v>
      </c>
      <c r="CL117" s="293">
        <f t="shared" si="112"/>
        <v>-198</v>
      </c>
      <c r="CM117" s="293"/>
      <c r="CN117" s="1388">
        <v>-17</v>
      </c>
      <c r="CO117" s="1388">
        <v>-18</v>
      </c>
      <c r="CP117" s="1010">
        <f t="shared" si="113"/>
        <v>-35</v>
      </c>
      <c r="CQ117" s="1010"/>
      <c r="CR117" s="1388">
        <v>43</v>
      </c>
      <c r="CS117" s="1497">
        <v>-98</v>
      </c>
      <c r="CT117" s="293">
        <f t="shared" si="114"/>
        <v>-55</v>
      </c>
      <c r="CU117" s="293"/>
      <c r="CV117" s="1388">
        <v>-42</v>
      </c>
      <c r="CW117" s="1497">
        <v>-95</v>
      </c>
      <c r="CX117" s="293">
        <f t="shared" si="115"/>
        <v>-137</v>
      </c>
      <c r="CY117" s="293"/>
      <c r="CZ117" s="1863">
        <v>-48</v>
      </c>
      <c r="DA117" s="1488">
        <v>-96</v>
      </c>
      <c r="DB117" s="293">
        <f t="shared" si="116"/>
        <v>-144</v>
      </c>
      <c r="DC117" s="293"/>
      <c r="DD117" s="2107">
        <v>-85</v>
      </c>
      <c r="DE117" s="2176">
        <v>-44</v>
      </c>
      <c r="DF117" s="293">
        <f t="shared" si="117"/>
        <v>-129</v>
      </c>
      <c r="DG117" s="293"/>
      <c r="DH117" s="2107">
        <v>-116</v>
      </c>
      <c r="DI117" s="841">
        <f>'P&amp;L'!DI416</f>
        <v>-60</v>
      </c>
      <c r="DJ117" s="293">
        <f t="shared" si="118"/>
        <v>-176</v>
      </c>
      <c r="DK117" s="293"/>
      <c r="DL117" s="841">
        <f>'P&amp;L'!DL416</f>
        <v>-70</v>
      </c>
      <c r="DM117" s="841">
        <f>'P&amp;L'!DM416</f>
        <v>-70</v>
      </c>
      <c r="DN117" s="293">
        <f t="shared" si="119"/>
        <v>-140</v>
      </c>
      <c r="DO117" s="293"/>
      <c r="DP117" s="841">
        <f>'P&amp;L'!DP416</f>
        <v>-72</v>
      </c>
      <c r="DQ117" s="841">
        <f>'P&amp;L'!DQ416</f>
        <v>-72</v>
      </c>
      <c r="DR117" s="293">
        <f t="shared" si="120"/>
        <v>-144</v>
      </c>
      <c r="DS117" s="293"/>
      <c r="DT117" s="293"/>
      <c r="DU117" s="293"/>
      <c r="DV117" s="293"/>
      <c r="DW117" s="1198" t="s">
        <v>174</v>
      </c>
      <c r="DX117" s="293"/>
      <c r="DY117" s="293"/>
      <c r="DZ117" s="293"/>
      <c r="EA117" s="293"/>
      <c r="EB117" s="293"/>
      <c r="EC117" s="293"/>
      <c r="ED117" s="293"/>
      <c r="EE117" s="293"/>
      <c r="EF117" s="293"/>
      <c r="EG117" s="293"/>
      <c r="EH117" s="293"/>
      <c r="EI117" s="293"/>
      <c r="EJ117" s="293"/>
      <c r="EK117" s="293"/>
      <c r="EL117" s="293"/>
      <c r="EM117" s="293"/>
      <c r="EN117" s="293"/>
      <c r="EO117" s="293"/>
      <c r="EP117" s="293"/>
      <c r="EQ117" s="293"/>
      <c r="ER117" s="293"/>
      <c r="ES117" s="293"/>
      <c r="ET117" s="293"/>
      <c r="EU117" s="293"/>
      <c r="JW117"/>
    </row>
    <row r="118" spans="1:283" s="332" customFormat="1">
      <c r="A118" s="332" t="s">
        <v>621</v>
      </c>
      <c r="AN118" s="293"/>
      <c r="AO118" s="293"/>
      <c r="AP118" s="293"/>
      <c r="AQ118" s="626"/>
      <c r="AR118" s="293"/>
      <c r="AS118" s="293"/>
      <c r="AT118" s="293"/>
      <c r="AU118" s="626"/>
      <c r="AV118" s="293">
        <f>AV183</f>
        <v>-268</v>
      </c>
      <c r="AW118" s="293">
        <f>AW183</f>
        <v>144</v>
      </c>
      <c r="AX118" s="293">
        <f t="shared" si="102"/>
        <v>-124</v>
      </c>
      <c r="AY118" s="626"/>
      <c r="AZ118" s="293">
        <f>AZ183</f>
        <v>40</v>
      </c>
      <c r="BA118" s="293">
        <f>BA183</f>
        <v>154</v>
      </c>
      <c r="BB118" s="293">
        <f t="shared" si="103"/>
        <v>194</v>
      </c>
      <c r="BC118" s="293"/>
      <c r="BD118" s="293">
        <f>BD183</f>
        <v>20</v>
      </c>
      <c r="BE118" s="293">
        <f>BE183</f>
        <v>89</v>
      </c>
      <c r="BF118" s="293">
        <f t="shared" si="104"/>
        <v>109</v>
      </c>
      <c r="BG118" s="293"/>
      <c r="BH118" s="293">
        <f>BH183</f>
        <v>-24</v>
      </c>
      <c r="BI118" s="293">
        <f>BI183</f>
        <v>139</v>
      </c>
      <c r="BJ118" s="293">
        <f t="shared" si="105"/>
        <v>115</v>
      </c>
      <c r="BK118" s="487"/>
      <c r="BL118" s="293">
        <f>BL183</f>
        <v>59</v>
      </c>
      <c r="BM118" s="293">
        <f>BM183</f>
        <v>41</v>
      </c>
      <c r="BN118" s="293">
        <f t="shared" si="106"/>
        <v>100</v>
      </c>
      <c r="BO118" s="293"/>
      <c r="BP118" s="293">
        <f>BP183</f>
        <v>97</v>
      </c>
      <c r="BQ118" s="293">
        <f>BQ183</f>
        <v>103</v>
      </c>
      <c r="BR118" s="293">
        <f t="shared" si="107"/>
        <v>200</v>
      </c>
      <c r="BS118" s="293"/>
      <c r="BT118" s="293">
        <f>BT183</f>
        <v>-4</v>
      </c>
      <c r="BU118" s="293">
        <f>BU183</f>
        <v>292</v>
      </c>
      <c r="BV118" s="293">
        <f t="shared" si="108"/>
        <v>288</v>
      </c>
      <c r="BW118" s="293"/>
      <c r="BX118" s="293">
        <f>BX183</f>
        <v>152</v>
      </c>
      <c r="BY118" s="293">
        <f>BY183</f>
        <v>130</v>
      </c>
      <c r="BZ118" s="293">
        <f t="shared" si="109"/>
        <v>282</v>
      </c>
      <c r="CA118" s="293"/>
      <c r="CB118" s="293">
        <f>CB183</f>
        <v>152</v>
      </c>
      <c r="CC118" s="293">
        <f>CC183</f>
        <v>458</v>
      </c>
      <c r="CD118" s="293">
        <f t="shared" si="110"/>
        <v>610</v>
      </c>
      <c r="CE118" s="293"/>
      <c r="CF118" s="293">
        <f>CF183</f>
        <v>510</v>
      </c>
      <c r="CG118" s="293">
        <f>CG183</f>
        <v>1364</v>
      </c>
      <c r="CH118" s="293">
        <f t="shared" si="111"/>
        <v>1874</v>
      </c>
      <c r="CI118" s="293"/>
      <c r="CJ118" s="293">
        <f>CJ183</f>
        <v>514</v>
      </c>
      <c r="CK118" s="293">
        <f>CK183</f>
        <v>601</v>
      </c>
      <c r="CL118" s="293">
        <f t="shared" si="112"/>
        <v>1115</v>
      </c>
      <c r="CM118" s="293"/>
      <c r="CN118" s="1010">
        <f>CN183</f>
        <v>-40</v>
      </c>
      <c r="CO118" s="1010">
        <f>CO183</f>
        <v>836</v>
      </c>
      <c r="CP118" s="1010">
        <f t="shared" si="113"/>
        <v>796</v>
      </c>
      <c r="CQ118" s="1010"/>
      <c r="CR118" s="1010">
        <f>CR183</f>
        <v>290</v>
      </c>
      <c r="CS118" s="1495">
        <f>CS183</f>
        <v>494</v>
      </c>
      <c r="CT118" s="293">
        <f t="shared" si="114"/>
        <v>784</v>
      </c>
      <c r="CU118" s="293"/>
      <c r="CV118" s="1010">
        <f>CV183</f>
        <v>499</v>
      </c>
      <c r="CW118" s="1495">
        <f>CW183</f>
        <v>110</v>
      </c>
      <c r="CX118" s="293">
        <f t="shared" si="115"/>
        <v>609</v>
      </c>
      <c r="CY118" s="293"/>
      <c r="CZ118" s="1010">
        <f>CZ183</f>
        <v>293</v>
      </c>
      <c r="DA118" s="1490">
        <f>DA183</f>
        <v>551</v>
      </c>
      <c r="DB118" s="293">
        <f t="shared" si="116"/>
        <v>844</v>
      </c>
      <c r="DC118" s="293"/>
      <c r="DD118" s="293">
        <f>DD183</f>
        <v>219</v>
      </c>
      <c r="DE118" s="1490">
        <f>DE183</f>
        <v>232</v>
      </c>
      <c r="DF118" s="293">
        <f t="shared" si="117"/>
        <v>451</v>
      </c>
      <c r="DG118" s="293"/>
      <c r="DH118" s="293">
        <f>DH183</f>
        <v>268</v>
      </c>
      <c r="DI118" s="293">
        <f>DI183</f>
        <v>327.57000000000005</v>
      </c>
      <c r="DJ118" s="293">
        <f t="shared" si="118"/>
        <v>595.57000000000005</v>
      </c>
      <c r="DK118" s="293"/>
      <c r="DL118" s="293">
        <f>DL183</f>
        <v>331.13010000000003</v>
      </c>
      <c r="DM118" s="293">
        <f>DM183</f>
        <v>530.78000299999997</v>
      </c>
      <c r="DN118" s="293">
        <f t="shared" si="119"/>
        <v>861.91010299999994</v>
      </c>
      <c r="DO118" s="293"/>
      <c r="DP118" s="293">
        <f>DP183</f>
        <v>368.13140308999999</v>
      </c>
      <c r="DQ118" s="293">
        <f>DQ183</f>
        <v>587.75998518269989</v>
      </c>
      <c r="DR118" s="293">
        <f t="shared" si="120"/>
        <v>955.89138827269994</v>
      </c>
      <c r="DS118" s="293"/>
      <c r="DT118" s="293"/>
      <c r="DU118" s="293"/>
      <c r="DV118" s="293"/>
      <c r="DW118" s="992" t="s">
        <v>513</v>
      </c>
      <c r="DX118" s="293"/>
      <c r="DY118" s="293"/>
      <c r="DZ118" s="293"/>
      <c r="EA118" s="293"/>
      <c r="EB118" s="293"/>
      <c r="EC118" s="293"/>
      <c r="ED118" s="293"/>
      <c r="EE118" s="293"/>
      <c r="EF118" s="293"/>
      <c r="EG118" s="293"/>
      <c r="EH118" s="293"/>
      <c r="EI118" s="293"/>
      <c r="EJ118" s="293"/>
      <c r="EK118" s="293"/>
      <c r="EL118" s="293"/>
      <c r="EM118" s="293"/>
      <c r="EN118" s="293"/>
      <c r="EO118" s="293"/>
      <c r="EP118" s="293"/>
      <c r="EQ118" s="293"/>
      <c r="ER118" s="293"/>
      <c r="ES118" s="293"/>
      <c r="ET118" s="293"/>
      <c r="EU118" s="293"/>
      <c r="JW118"/>
    </row>
    <row r="119" spans="1:283" s="332" customFormat="1">
      <c r="A119" s="332" t="s">
        <v>567</v>
      </c>
      <c r="AN119" s="293"/>
      <c r="AO119" s="293"/>
      <c r="AP119" s="293"/>
      <c r="AQ119" s="293"/>
      <c r="AR119" s="626">
        <v>165</v>
      </c>
      <c r="AS119" s="626">
        <v>91</v>
      </c>
      <c r="AT119" s="293">
        <f>AR119+AS119</f>
        <v>256</v>
      </c>
      <c r="AU119" s="626"/>
      <c r="AV119" s="626">
        <v>10</v>
      </c>
      <c r="AW119" s="626">
        <v>20</v>
      </c>
      <c r="AX119" s="293">
        <f t="shared" si="102"/>
        <v>30</v>
      </c>
      <c r="AY119" s="293"/>
      <c r="AZ119" s="626">
        <v>15</v>
      </c>
      <c r="BA119" s="927">
        <v>14</v>
      </c>
      <c r="BB119" s="293">
        <f t="shared" si="103"/>
        <v>29</v>
      </c>
      <c r="BC119" s="293"/>
      <c r="BD119" s="626">
        <v>9</v>
      </c>
      <c r="BE119" s="626">
        <v>8</v>
      </c>
      <c r="BF119" s="293">
        <f t="shared" si="104"/>
        <v>17</v>
      </c>
      <c r="BG119" s="293"/>
      <c r="BH119" s="626">
        <v>7</v>
      </c>
      <c r="BI119" s="626">
        <v>3</v>
      </c>
      <c r="BJ119" s="293">
        <f t="shared" si="105"/>
        <v>10</v>
      </c>
      <c r="BK119" s="487"/>
      <c r="BL119" s="626">
        <v>0</v>
      </c>
      <c r="BM119" s="626">
        <v>7</v>
      </c>
      <c r="BN119" s="293">
        <f t="shared" si="106"/>
        <v>7</v>
      </c>
      <c r="BO119" s="487"/>
      <c r="BP119" s="626">
        <v>1</v>
      </c>
      <c r="BQ119" s="626">
        <v>4</v>
      </c>
      <c r="BR119" s="293">
        <f t="shared" si="107"/>
        <v>5</v>
      </c>
      <c r="BS119" s="487"/>
      <c r="BT119" s="626">
        <v>0</v>
      </c>
      <c r="BU119" s="626">
        <v>15</v>
      </c>
      <c r="BV119" s="293">
        <f t="shared" si="108"/>
        <v>15</v>
      </c>
      <c r="BW119" s="293"/>
      <c r="BX119" s="626">
        <v>10</v>
      </c>
      <c r="BY119" s="626">
        <v>-4</v>
      </c>
      <c r="BZ119" s="293">
        <f t="shared" si="109"/>
        <v>6</v>
      </c>
      <c r="CA119" s="293"/>
      <c r="CB119" s="626">
        <v>1</v>
      </c>
      <c r="CC119" s="626">
        <v>21</v>
      </c>
      <c r="CD119" s="293">
        <f t="shared" si="110"/>
        <v>22</v>
      </c>
      <c r="CE119" s="293"/>
      <c r="CF119" s="626">
        <v>15</v>
      </c>
      <c r="CG119" s="626">
        <v>26</v>
      </c>
      <c r="CH119" s="293">
        <f t="shared" si="111"/>
        <v>41</v>
      </c>
      <c r="CI119" s="293"/>
      <c r="CJ119" s="626">
        <v>38</v>
      </c>
      <c r="CK119" s="626">
        <f>26-3</f>
        <v>23</v>
      </c>
      <c r="CL119" s="293">
        <f t="shared" si="112"/>
        <v>61</v>
      </c>
      <c r="CM119" s="293"/>
      <c r="CN119" s="1388">
        <v>0</v>
      </c>
      <c r="CO119" s="1388">
        <v>31</v>
      </c>
      <c r="CP119" s="1010">
        <f t="shared" si="113"/>
        <v>31</v>
      </c>
      <c r="CQ119" s="1010"/>
      <c r="CR119" s="1388">
        <v>14</v>
      </c>
      <c r="CS119" s="1497">
        <v>15</v>
      </c>
      <c r="CT119" s="293">
        <f t="shared" si="114"/>
        <v>29</v>
      </c>
      <c r="CU119" s="293"/>
      <c r="CV119" s="1388">
        <v>12</v>
      </c>
      <c r="CW119" s="1497">
        <v>-23</v>
      </c>
      <c r="CX119" s="293">
        <f t="shared" si="115"/>
        <v>-11</v>
      </c>
      <c r="CY119" s="293"/>
      <c r="CZ119" s="1863">
        <v>13</v>
      </c>
      <c r="DA119" s="1488">
        <v>8</v>
      </c>
      <c r="DB119" s="293">
        <f t="shared" si="116"/>
        <v>21</v>
      </c>
      <c r="DC119" s="293"/>
      <c r="DD119" s="2107">
        <v>18</v>
      </c>
      <c r="DE119" s="2176">
        <v>33</v>
      </c>
      <c r="DF119" s="293">
        <f t="shared" si="117"/>
        <v>51</v>
      </c>
      <c r="DG119" s="293"/>
      <c r="DH119" s="2107">
        <v>-3</v>
      </c>
      <c r="DI119" s="841">
        <f>'P&amp;L'!DI670</f>
        <v>-3.09</v>
      </c>
      <c r="DJ119" s="293">
        <f t="shared" si="118"/>
        <v>-6.09</v>
      </c>
      <c r="DK119" s="293"/>
      <c r="DL119" s="841">
        <f>'P&amp;L'!DL670</f>
        <v>-3.1827000000000001</v>
      </c>
      <c r="DM119" s="841">
        <f>'P&amp;L'!DM670</f>
        <v>-3.278181</v>
      </c>
      <c r="DN119" s="293">
        <f t="shared" si="119"/>
        <v>-6.4608810000000005</v>
      </c>
      <c r="DO119" s="293"/>
      <c r="DP119" s="841">
        <f>'P&amp;L'!DP670</f>
        <v>-3.3765264300000002</v>
      </c>
      <c r="DQ119" s="841">
        <f>'P&amp;L'!DQ670</f>
        <v>-3.4778222229000004</v>
      </c>
      <c r="DR119" s="293">
        <f t="shared" si="120"/>
        <v>-6.8543486529000006</v>
      </c>
      <c r="DS119" s="293"/>
      <c r="DT119" s="293"/>
      <c r="DU119" s="293"/>
      <c r="DV119" s="293"/>
      <c r="DW119" s="1198" t="s">
        <v>174</v>
      </c>
      <c r="DX119" s="293"/>
      <c r="DY119" s="293"/>
      <c r="DZ119" s="293"/>
      <c r="EA119" s="293"/>
      <c r="EB119" s="293"/>
      <c r="EC119" s="293"/>
      <c r="ED119" s="293"/>
      <c r="EE119" s="293"/>
      <c r="EF119" s="293"/>
      <c r="EG119" s="293"/>
      <c r="EH119" s="293"/>
      <c r="EI119" s="293"/>
      <c r="EJ119" s="293"/>
      <c r="EK119" s="293"/>
      <c r="EL119" s="293"/>
      <c r="EM119" s="293"/>
      <c r="EN119" s="293"/>
      <c r="EO119" s="293"/>
      <c r="EP119" s="293"/>
      <c r="EQ119" s="293"/>
      <c r="ER119" s="293"/>
      <c r="ES119" s="293"/>
      <c r="ET119" s="293"/>
      <c r="EU119" s="293"/>
      <c r="JW119"/>
    </row>
    <row r="120" spans="1:283" s="332" customFormat="1">
      <c r="A120" s="327" t="s">
        <v>568</v>
      </c>
      <c r="AN120" s="295">
        <f>SUM(AN114:AN119)</f>
        <v>850</v>
      </c>
      <c r="AO120" s="295">
        <f>SUM(AO114:AO119)</f>
        <v>538</v>
      </c>
      <c r="AP120" s="295">
        <f>AN120+AO120</f>
        <v>1388</v>
      </c>
      <c r="AQ120" s="295"/>
      <c r="AR120" s="295">
        <f>SUM(AR114:AR119)</f>
        <v>576</v>
      </c>
      <c r="AS120" s="295">
        <f>SUM(AS114:AS119)</f>
        <v>345</v>
      </c>
      <c r="AT120" s="295">
        <f>AR120+AS120</f>
        <v>921</v>
      </c>
      <c r="AU120" s="295"/>
      <c r="AV120" s="295">
        <f>SUM(AV114:AV119)</f>
        <v>207</v>
      </c>
      <c r="AW120" s="295">
        <f>SUM(AW114:AW119)</f>
        <v>478</v>
      </c>
      <c r="AX120" s="295">
        <f t="shared" si="102"/>
        <v>685</v>
      </c>
      <c r="AY120" s="295"/>
      <c r="AZ120" s="295">
        <f>SUM(AZ114:AZ119)</f>
        <v>363.5</v>
      </c>
      <c r="BA120" s="295">
        <f>SUM(BA114:BA119)</f>
        <v>545.5</v>
      </c>
      <c r="BB120" s="295">
        <f t="shared" si="103"/>
        <v>909</v>
      </c>
      <c r="BC120" s="295"/>
      <c r="BD120" s="295">
        <f>SUM(BD114:BD119)</f>
        <v>268</v>
      </c>
      <c r="BE120" s="295">
        <f>SUM(BE114:BE119)</f>
        <v>390</v>
      </c>
      <c r="BF120" s="295">
        <f t="shared" si="104"/>
        <v>658</v>
      </c>
      <c r="BG120" s="293"/>
      <c r="BH120" s="295">
        <f>SUM(BH114:BH119)</f>
        <v>252</v>
      </c>
      <c r="BI120" s="295">
        <f>SUM(BI114:BI119)</f>
        <v>413</v>
      </c>
      <c r="BJ120" s="295">
        <f t="shared" si="105"/>
        <v>665</v>
      </c>
      <c r="BK120" s="487"/>
      <c r="BL120" s="295">
        <f>SUM(BL114:BL119)</f>
        <v>372</v>
      </c>
      <c r="BM120" s="295">
        <f>SUM(BM114:BM119)</f>
        <v>445</v>
      </c>
      <c r="BN120" s="295">
        <f t="shared" si="106"/>
        <v>817</v>
      </c>
      <c r="BO120" s="487"/>
      <c r="BP120" s="295">
        <f>SUM(BP114:BP119)</f>
        <v>439</v>
      </c>
      <c r="BQ120" s="295">
        <f>SUM(BQ114:BQ119)</f>
        <v>615</v>
      </c>
      <c r="BR120" s="295">
        <f t="shared" si="107"/>
        <v>1054</v>
      </c>
      <c r="BS120" s="487"/>
      <c r="BT120" s="295">
        <f>SUM(BT114:BT119)</f>
        <v>516</v>
      </c>
      <c r="BU120" s="295">
        <f>SUM(BU114:BU119)</f>
        <v>662</v>
      </c>
      <c r="BV120" s="295">
        <f t="shared" si="108"/>
        <v>1178</v>
      </c>
      <c r="BW120" s="295"/>
      <c r="BX120" s="295">
        <f>SUM(BX114:BX119)</f>
        <v>569</v>
      </c>
      <c r="BY120" s="295">
        <f>SUM(BY114:BY119)</f>
        <v>637</v>
      </c>
      <c r="BZ120" s="295">
        <f t="shared" si="109"/>
        <v>1206</v>
      </c>
      <c r="CA120" s="684">
        <f>+BZ120/BV120-1</f>
        <v>2.3769100169779289E-2</v>
      </c>
      <c r="CB120" s="295">
        <f>SUM(CB114:CB119)</f>
        <v>566</v>
      </c>
      <c r="CC120" s="295">
        <f>SUM(CC114:CC119)</f>
        <v>894</v>
      </c>
      <c r="CD120" s="295">
        <f t="shared" si="110"/>
        <v>1460</v>
      </c>
      <c r="CE120" s="684">
        <f>+CD120/BZ120-1</f>
        <v>0.21061359867330021</v>
      </c>
      <c r="CF120" s="295">
        <f>SUM(CF114:CF119)</f>
        <v>1023</v>
      </c>
      <c r="CG120" s="295">
        <f>SUM(CG114:CG119)</f>
        <v>1811</v>
      </c>
      <c r="CH120" s="295">
        <f t="shared" si="111"/>
        <v>2834</v>
      </c>
      <c r="CI120" s="684">
        <f>+CH120/CD120-1</f>
        <v>0.94109589041095898</v>
      </c>
      <c r="CJ120" s="295">
        <f>SUM(CJ114:CJ119)</f>
        <v>1133</v>
      </c>
      <c r="CK120" s="295">
        <f>SUM(CK114:CK119)</f>
        <v>1378</v>
      </c>
      <c r="CL120" s="295">
        <f t="shared" si="112"/>
        <v>2511</v>
      </c>
      <c r="CM120" s="295"/>
      <c r="CN120" s="1412">
        <f>SUM(CN114:CN119)</f>
        <v>614</v>
      </c>
      <c r="CO120" s="1412">
        <f>SUM(CO114:CO119)</f>
        <v>1634</v>
      </c>
      <c r="CP120" s="1412">
        <f t="shared" si="113"/>
        <v>2248</v>
      </c>
      <c r="CQ120" s="1412"/>
      <c r="CR120" s="1412">
        <f>SUM(CR114:CR119)</f>
        <v>1370</v>
      </c>
      <c r="CS120" s="1390">
        <f>SUM(CS114:CS119)</f>
        <v>1670</v>
      </c>
      <c r="CT120" s="295">
        <f t="shared" si="114"/>
        <v>3040</v>
      </c>
      <c r="CU120" s="295"/>
      <c r="CV120" s="1412">
        <f>SUM(CV114:CV119)</f>
        <v>1287</v>
      </c>
      <c r="CW120" s="1390">
        <f>SUM(CW114:CW119)</f>
        <v>940</v>
      </c>
      <c r="CX120" s="295">
        <f t="shared" si="115"/>
        <v>2227</v>
      </c>
      <c r="CY120" s="295"/>
      <c r="CZ120" s="1412">
        <f>SUM(CZ114:CZ119)</f>
        <v>1220</v>
      </c>
      <c r="DA120" s="1491">
        <f>SUM(DA114:DA119)</f>
        <v>1392</v>
      </c>
      <c r="DB120" s="295">
        <f t="shared" si="116"/>
        <v>2612</v>
      </c>
      <c r="DC120" s="295"/>
      <c r="DD120" s="295">
        <f>SUM(DD114:DD119)</f>
        <v>1145</v>
      </c>
      <c r="DE120" s="1491">
        <f>SUM(DE114:DE119)</f>
        <v>1493</v>
      </c>
      <c r="DF120" s="295">
        <f t="shared" si="117"/>
        <v>2638</v>
      </c>
      <c r="DG120" s="295"/>
      <c r="DH120" s="295">
        <f>SUM(DH114:DH119)</f>
        <v>1496</v>
      </c>
      <c r="DI120" s="295">
        <f>SUM(DI114:DI119)</f>
        <v>1669.3800000000003</v>
      </c>
      <c r="DJ120" s="295">
        <f t="shared" si="118"/>
        <v>3165.38</v>
      </c>
      <c r="DK120" s="295"/>
      <c r="DL120" s="295">
        <f>SUM(DL114:DL119)</f>
        <v>1692.2164000000002</v>
      </c>
      <c r="DM120" s="295">
        <f>SUM(DM114:DM119)</f>
        <v>1974.9172919999999</v>
      </c>
      <c r="DN120" s="295">
        <f t="shared" si="119"/>
        <v>3667.1336920000003</v>
      </c>
      <c r="DO120" s="295"/>
      <c r="DP120" s="295">
        <f>SUM(DP114:DP119)</f>
        <v>1824.8318582600002</v>
      </c>
      <c r="DQ120" s="295">
        <f>SUM(DQ114:DQ119)</f>
        <v>2115.3755554577997</v>
      </c>
      <c r="DR120" s="295">
        <f t="shared" si="120"/>
        <v>3940.2074137177997</v>
      </c>
      <c r="DS120" s="295"/>
      <c r="DT120" s="295"/>
      <c r="DU120" s="295"/>
      <c r="DV120" s="295"/>
      <c r="DW120" s="1199"/>
      <c r="DX120" s="295"/>
      <c r="DY120" s="295"/>
      <c r="DZ120" s="295"/>
      <c r="EA120" s="295"/>
      <c r="EB120" s="295"/>
      <c r="EC120" s="295"/>
      <c r="ED120" s="295"/>
      <c r="EE120" s="295"/>
      <c r="EF120" s="295"/>
      <c r="EG120" s="295"/>
      <c r="EH120" s="295"/>
      <c r="EI120" s="295"/>
      <c r="EJ120" s="295"/>
      <c r="EK120" s="295"/>
      <c r="EL120" s="295"/>
      <c r="EM120" s="295"/>
      <c r="EN120" s="295"/>
      <c r="EO120" s="295"/>
      <c r="EP120" s="295"/>
      <c r="EQ120" s="295"/>
      <c r="ER120" s="295"/>
      <c r="ES120" s="295"/>
      <c r="ET120" s="295"/>
      <c r="EU120" s="295"/>
      <c r="EV120" s="327"/>
      <c r="EW120" s="327"/>
      <c r="EX120" s="327"/>
      <c r="EY120" s="327"/>
      <c r="EZ120" s="327"/>
      <c r="FA120" s="327"/>
      <c r="FB120" s="327"/>
      <c r="FC120" s="327"/>
      <c r="FD120" s="327"/>
      <c r="FE120" s="327"/>
      <c r="FF120" s="327"/>
      <c r="FG120" s="327"/>
      <c r="FH120" s="327"/>
      <c r="FI120" s="327"/>
      <c r="FJ120" s="327"/>
      <c r="FK120" s="327"/>
      <c r="FL120" s="327"/>
      <c r="FM120" s="327"/>
      <c r="FN120" s="327"/>
      <c r="FO120" s="327"/>
      <c r="FP120" s="327"/>
      <c r="FQ120" s="327"/>
      <c r="FR120" s="327"/>
      <c r="FS120" s="327"/>
      <c r="FT120" s="327"/>
      <c r="FU120" s="327"/>
      <c r="FV120" s="327"/>
      <c r="FW120" s="327"/>
      <c r="FX120" s="327"/>
      <c r="FY120" s="327"/>
      <c r="FZ120" s="327"/>
      <c r="GA120" s="327"/>
      <c r="GB120" s="327"/>
      <c r="GC120" s="327"/>
      <c r="GD120" s="327"/>
      <c r="GE120" s="327"/>
      <c r="GF120" s="327"/>
      <c r="GG120" s="327"/>
      <c r="GH120" s="327"/>
      <c r="GI120" s="327"/>
      <c r="GJ120" s="327"/>
      <c r="GK120" s="327"/>
      <c r="GL120" s="327"/>
      <c r="GM120" s="327"/>
      <c r="GN120" s="327"/>
      <c r="GO120" s="327"/>
      <c r="GP120" s="327"/>
      <c r="GQ120" s="327"/>
      <c r="GR120" s="327"/>
      <c r="GS120" s="327"/>
      <c r="GT120" s="327"/>
      <c r="GU120" s="327"/>
      <c r="GV120" s="327"/>
      <c r="GW120" s="327"/>
      <c r="GX120" s="327"/>
      <c r="GY120" s="327"/>
      <c r="GZ120" s="327"/>
      <c r="HA120" s="327"/>
      <c r="HB120" s="327"/>
      <c r="HC120" s="327"/>
      <c r="HD120" s="327"/>
      <c r="HE120" s="327"/>
      <c r="HF120" s="327"/>
      <c r="HG120" s="327"/>
      <c r="HH120" s="327"/>
      <c r="HI120" s="327"/>
      <c r="HJ120" s="327"/>
      <c r="HK120" s="327"/>
      <c r="HL120" s="327"/>
      <c r="HM120" s="327"/>
      <c r="HN120" s="327"/>
      <c r="HO120" s="327"/>
      <c r="HP120" s="327"/>
      <c r="HQ120" s="327"/>
      <c r="HR120" s="327"/>
      <c r="HS120" s="327"/>
      <c r="HT120" s="327"/>
      <c r="HU120" s="327"/>
      <c r="HV120" s="327"/>
      <c r="HW120" s="327"/>
      <c r="HX120" s="327"/>
      <c r="HY120" s="327"/>
      <c r="HZ120" s="327"/>
      <c r="IA120" s="327"/>
      <c r="IB120" s="327"/>
      <c r="IC120" s="327"/>
      <c r="ID120" s="327"/>
      <c r="IE120" s="327"/>
      <c r="IF120" s="327"/>
      <c r="IG120" s="327"/>
      <c r="IH120" s="327"/>
      <c r="II120" s="327"/>
      <c r="IJ120" s="327"/>
      <c r="IK120" s="327"/>
      <c r="IL120" s="327"/>
      <c r="IM120" s="327"/>
      <c r="IN120" s="327"/>
      <c r="IO120" s="327"/>
      <c r="IP120" s="327"/>
      <c r="IQ120" s="327"/>
      <c r="IR120" s="327"/>
      <c r="IS120" s="327"/>
      <c r="IT120" s="327"/>
      <c r="IU120" s="327"/>
      <c r="IV120" s="327"/>
      <c r="IW120" s="327"/>
      <c r="IX120" s="327"/>
      <c r="IY120" s="327"/>
      <c r="IZ120" s="327"/>
      <c r="JA120" s="327"/>
      <c r="JB120" s="327"/>
      <c r="JC120" s="327"/>
      <c r="JD120" s="327"/>
      <c r="JE120" s="327"/>
      <c r="JF120" s="327"/>
      <c r="JG120" s="327"/>
      <c r="JH120" s="327"/>
      <c r="JI120" s="327"/>
      <c r="JJ120" s="327"/>
      <c r="JK120" s="327"/>
      <c r="JL120" s="327"/>
      <c r="JM120" s="327"/>
      <c r="JN120" s="327"/>
      <c r="JO120" s="327"/>
      <c r="JP120" s="327"/>
      <c r="JQ120" s="327"/>
      <c r="JR120" s="327"/>
      <c r="JS120" s="327"/>
      <c r="JT120" s="327"/>
      <c r="JU120" s="327"/>
      <c r="JV120" s="327"/>
      <c r="JW120"/>
    </row>
    <row r="121" spans="1:283" s="332" customFormat="1">
      <c r="AN121" s="293"/>
      <c r="AO121" s="293"/>
      <c r="AP121" s="293"/>
      <c r="AQ121" s="293"/>
      <c r="AR121" s="293"/>
      <c r="AS121" s="293"/>
      <c r="AT121" s="293"/>
      <c r="AU121" s="293"/>
      <c r="AV121" s="293"/>
      <c r="AW121" s="293"/>
      <c r="AX121" s="1200">
        <f>AX120-AX118</f>
        <v>809</v>
      </c>
      <c r="AY121" s="293"/>
      <c r="AZ121" s="1200"/>
      <c r="BA121" s="1200"/>
      <c r="BB121" s="1200">
        <f>BB120-BB118</f>
        <v>715</v>
      </c>
      <c r="BC121" s="293"/>
      <c r="BD121" s="1200"/>
      <c r="BE121" s="1200"/>
      <c r="BF121" s="1200">
        <f>BF120-BF118</f>
        <v>549</v>
      </c>
      <c r="BH121" s="1200"/>
      <c r="BI121" s="1200"/>
      <c r="BJ121" s="1200"/>
      <c r="BK121" s="360"/>
      <c r="BL121" s="1200"/>
      <c r="BM121" s="1200"/>
      <c r="BN121" s="1200"/>
      <c r="BO121" s="360"/>
      <c r="BP121" s="1200"/>
      <c r="BQ121" s="1200"/>
      <c r="BR121" s="1200"/>
      <c r="BS121" s="360"/>
      <c r="BT121" s="1200"/>
      <c r="BU121" s="1200"/>
      <c r="BV121" s="1200"/>
      <c r="BW121" s="293"/>
      <c r="BX121" s="1200"/>
      <c r="BY121" s="1200"/>
      <c r="BZ121" s="1200"/>
      <c r="CA121" s="293"/>
      <c r="CB121" s="1200"/>
      <c r="CC121" s="1200"/>
      <c r="CD121" s="1200"/>
      <c r="CE121" s="293"/>
      <c r="CF121" s="1200"/>
      <c r="CG121" s="1200"/>
      <c r="CH121" s="1200"/>
      <c r="CI121" s="293"/>
      <c r="CJ121" s="1200"/>
      <c r="CK121" s="1200"/>
      <c r="CL121" s="1200"/>
      <c r="CM121" s="293"/>
      <c r="CN121" s="1413"/>
      <c r="CO121" s="1413"/>
      <c r="CP121" s="1413"/>
      <c r="CQ121" s="1010"/>
      <c r="CR121" s="1413"/>
      <c r="CS121" s="1498"/>
      <c r="CT121" s="293"/>
      <c r="CU121" s="293"/>
      <c r="CV121" s="1413"/>
      <c r="CW121" s="1498"/>
      <c r="CX121" s="293"/>
      <c r="CY121" s="293"/>
      <c r="CZ121" s="1413"/>
      <c r="DA121" s="2023"/>
      <c r="DB121" s="293"/>
      <c r="DC121" s="293"/>
      <c r="DD121" s="1200"/>
      <c r="DE121" s="2023"/>
      <c r="DF121" s="293"/>
      <c r="DG121" s="293"/>
      <c r="DH121" s="1200"/>
      <c r="DI121" s="293"/>
      <c r="DJ121" s="293"/>
      <c r="DK121" s="293"/>
      <c r="DL121" s="293"/>
      <c r="DM121" s="293"/>
      <c r="DN121" s="293"/>
      <c r="DO121" s="293"/>
      <c r="DP121" s="293"/>
      <c r="DQ121" s="293"/>
      <c r="DR121" s="293"/>
      <c r="DS121" s="293"/>
      <c r="DT121" s="293"/>
      <c r="DU121" s="293"/>
      <c r="DV121" s="293"/>
      <c r="DW121" s="1201"/>
      <c r="DX121" s="293"/>
      <c r="DY121" s="293"/>
      <c r="DZ121" s="293"/>
      <c r="EA121" s="293"/>
      <c r="EB121" s="293"/>
      <c r="EC121" s="293"/>
      <c r="ED121" s="293"/>
      <c r="EE121" s="293"/>
      <c r="EF121" s="293"/>
      <c r="EG121" s="293"/>
      <c r="EH121" s="293"/>
      <c r="EI121" s="293"/>
      <c r="EJ121" s="293"/>
      <c r="EK121" s="293"/>
      <c r="EL121" s="293"/>
      <c r="EM121" s="293"/>
      <c r="EN121" s="293"/>
      <c r="EO121" s="293"/>
      <c r="EP121" s="293"/>
      <c r="EQ121" s="293"/>
      <c r="ER121" s="293"/>
      <c r="ES121" s="293"/>
      <c r="ET121" s="293"/>
      <c r="EU121" s="293"/>
      <c r="JW121"/>
    </row>
    <row r="122" spans="1:283" s="332" customFormat="1">
      <c r="A122" s="332" t="s">
        <v>604</v>
      </c>
      <c r="AN122" s="293"/>
      <c r="AO122" s="293"/>
      <c r="AP122" s="293"/>
      <c r="AQ122" s="293"/>
      <c r="AR122" s="626">
        <v>-191.77072984333205</v>
      </c>
      <c r="AS122" s="626">
        <v>-257.14711501719523</v>
      </c>
      <c r="AT122" s="293">
        <f>AR122+AS122</f>
        <v>-448.91784486052728</v>
      </c>
      <c r="AU122" s="626"/>
      <c r="AV122" s="626">
        <v>-168</v>
      </c>
      <c r="AW122" s="626">
        <v>-218</v>
      </c>
      <c r="AX122" s="293">
        <f t="shared" ref="AX122:AX128" si="121">AV122+AW122</f>
        <v>-386</v>
      </c>
      <c r="AY122" s="293"/>
      <c r="AZ122" s="626">
        <v>-179</v>
      </c>
      <c r="BA122" s="626">
        <v>-201</v>
      </c>
      <c r="BB122" s="293">
        <f t="shared" ref="BB122:BB128" si="122">AZ122+BA122</f>
        <v>-380</v>
      </c>
      <c r="BC122" s="293"/>
      <c r="BD122" s="626">
        <v>-152</v>
      </c>
      <c r="BE122" s="626">
        <v>-155</v>
      </c>
      <c r="BF122" s="293">
        <f t="shared" ref="BF122:BF128" si="123">BD122+BE122</f>
        <v>-307</v>
      </c>
      <c r="BG122" s="293"/>
      <c r="BH122" s="626">
        <v>-125</v>
      </c>
      <c r="BI122" s="626">
        <v>-122</v>
      </c>
      <c r="BJ122" s="293">
        <f t="shared" ref="BJ122:BJ128" si="124">BH122+BI122</f>
        <v>-247</v>
      </c>
      <c r="BK122" s="487"/>
      <c r="BL122" s="626">
        <v>-132</v>
      </c>
      <c r="BM122" s="626">
        <v>-142</v>
      </c>
      <c r="BN122" s="293">
        <f t="shared" ref="BN122:BN128" si="125">BL122+BM122</f>
        <v>-274</v>
      </c>
      <c r="BO122" s="487"/>
      <c r="BP122" s="626">
        <v>-140</v>
      </c>
      <c r="BQ122" s="626">
        <v>-168</v>
      </c>
      <c r="BR122" s="293">
        <f t="shared" ref="BR122:BR128" si="126">BP122+BQ122</f>
        <v>-308</v>
      </c>
      <c r="BS122" s="487"/>
      <c r="BT122" s="626">
        <v>-163</v>
      </c>
      <c r="BU122" s="626">
        <v>-173</v>
      </c>
      <c r="BV122" s="293">
        <f t="shared" ref="BV122:BV128" si="127">BT122+BU122</f>
        <v>-336</v>
      </c>
      <c r="BW122" s="293"/>
      <c r="BX122" s="626">
        <v>-178</v>
      </c>
      <c r="BY122" s="626">
        <v>-151</v>
      </c>
      <c r="BZ122" s="293">
        <f t="shared" ref="BZ122:BZ128" si="128">BX122+BY122</f>
        <v>-329</v>
      </c>
      <c r="CA122" s="684">
        <f>+BZ122/BV122-1</f>
        <v>-2.083333333333337E-2</v>
      </c>
      <c r="CB122" s="626">
        <v>-160</v>
      </c>
      <c r="CC122" s="626">
        <v>-163</v>
      </c>
      <c r="CD122" s="293">
        <f t="shared" ref="CD122:CD128" si="129">CB122+CC122</f>
        <v>-323</v>
      </c>
      <c r="CE122" s="684">
        <f>+CD122/BZ122-1</f>
        <v>-1.8237082066869248E-2</v>
      </c>
      <c r="CF122" s="626">
        <v>-216</v>
      </c>
      <c r="CG122" s="626">
        <v>-261</v>
      </c>
      <c r="CH122" s="293">
        <f t="shared" ref="CH122:CH128" si="130">CF122+CG122</f>
        <v>-477</v>
      </c>
      <c r="CI122" s="684">
        <f>+CH122/CD122-1</f>
        <v>0.47678018575851389</v>
      </c>
      <c r="CJ122" s="626">
        <f>-272-113</f>
        <v>-385</v>
      </c>
      <c r="CK122" s="626">
        <f>-267-81</f>
        <v>-348</v>
      </c>
      <c r="CL122" s="293">
        <f t="shared" ref="CL122:CL128" si="131">CJ122+CK122</f>
        <v>-733</v>
      </c>
      <c r="CM122" s="293"/>
      <c r="CN122" s="1388">
        <v>-361</v>
      </c>
      <c r="CO122" s="1388">
        <v>-303</v>
      </c>
      <c r="CP122" s="1010">
        <f t="shared" ref="CP122:CP128" si="132">CN122+CO122</f>
        <v>-664</v>
      </c>
      <c r="CQ122" s="1010"/>
      <c r="CR122" s="1388">
        <v>-254</v>
      </c>
      <c r="CS122" s="1497">
        <v>-263</v>
      </c>
      <c r="CT122" s="293">
        <f t="shared" ref="CT122:CT128" si="133">CR122+CS122</f>
        <v>-517</v>
      </c>
      <c r="CU122" s="293"/>
      <c r="CV122" s="1388">
        <v>-286</v>
      </c>
      <c r="CW122" s="1497">
        <v>-298</v>
      </c>
      <c r="CX122" s="293">
        <f t="shared" ref="CX122:CX128" si="134">CV122+CW122</f>
        <v>-584</v>
      </c>
      <c r="CY122" s="293"/>
      <c r="CZ122" s="1863">
        <v>-320</v>
      </c>
      <c r="DA122" s="1488">
        <v>-302</v>
      </c>
      <c r="DB122" s="293">
        <f t="shared" ref="DB122:DB128" si="135">CZ122+DA122</f>
        <v>-622</v>
      </c>
      <c r="DC122" s="293"/>
      <c r="DD122" s="2107">
        <v>-311</v>
      </c>
      <c r="DE122" s="2176">
        <v>-307</v>
      </c>
      <c r="DF122" s="293">
        <f t="shared" ref="DF122:DF128" si="136">DD122+DE122</f>
        <v>-618</v>
      </c>
      <c r="DG122" s="293"/>
      <c r="DH122" s="2107">
        <v>-293</v>
      </c>
      <c r="DI122" s="293">
        <f t="shared" ref="DI122" si="137">DI215</f>
        <v>-317.74499999999995</v>
      </c>
      <c r="DJ122" s="293">
        <f t="shared" ref="DJ122:DJ128" si="138">DH122+DI122</f>
        <v>-610.74499999999989</v>
      </c>
      <c r="DK122" s="293"/>
      <c r="DL122" s="293">
        <f t="shared" ref="DL122:DM122" si="139">DL215</f>
        <v>-303.255</v>
      </c>
      <c r="DM122" s="293">
        <f t="shared" si="139"/>
        <v>-328.86607499999991</v>
      </c>
      <c r="DN122" s="293">
        <f t="shared" ref="DN122:DN128" si="140">DL122+DM122</f>
        <v>-632.12107499999991</v>
      </c>
      <c r="DO122" s="293"/>
      <c r="DP122" s="293">
        <f t="shared" ref="DP122:DQ122" si="141">DP215</f>
        <v>-313.86892499999999</v>
      </c>
      <c r="DQ122" s="293">
        <f t="shared" si="141"/>
        <v>-340.37638762499989</v>
      </c>
      <c r="DR122" s="293">
        <f t="shared" ref="DR122:DR128" si="142">DP122+DQ122</f>
        <v>-654.24531262499988</v>
      </c>
      <c r="DS122" s="293"/>
      <c r="DT122" s="293"/>
      <c r="DU122" s="293"/>
      <c r="DV122" s="293"/>
      <c r="DW122" s="1197" t="s">
        <v>513</v>
      </c>
      <c r="DX122" s="293"/>
      <c r="DY122" s="293"/>
      <c r="DZ122" s="293"/>
      <c r="EA122" s="293"/>
      <c r="EB122" s="293"/>
      <c r="EC122" s="293"/>
      <c r="ED122" s="293"/>
      <c r="EE122" s="293"/>
      <c r="EF122" s="293"/>
      <c r="EG122" s="293"/>
      <c r="EH122" s="293"/>
      <c r="EI122" s="293"/>
      <c r="EJ122" s="293"/>
      <c r="EK122" s="293"/>
      <c r="EL122" s="293"/>
      <c r="EM122" s="293"/>
      <c r="EN122" s="293"/>
      <c r="EO122" s="293"/>
      <c r="EP122" s="293"/>
      <c r="EQ122" s="293"/>
      <c r="ER122" s="293"/>
      <c r="ES122" s="293"/>
      <c r="ET122" s="293"/>
      <c r="EU122" s="293"/>
      <c r="JW122"/>
    </row>
    <row r="123" spans="1:283" s="332" customFormat="1">
      <c r="A123" s="332" t="s">
        <v>605</v>
      </c>
      <c r="AN123" s="293"/>
      <c r="AO123" s="293"/>
      <c r="AP123" s="293"/>
      <c r="AQ123" s="293"/>
      <c r="AR123" s="626">
        <v>-2</v>
      </c>
      <c r="AS123" s="626">
        <v>-18</v>
      </c>
      <c r="AT123" s="293">
        <f>AR123+AS123</f>
        <v>-20</v>
      </c>
      <c r="AU123" s="626"/>
      <c r="AV123" s="626">
        <v>-4</v>
      </c>
      <c r="AW123" s="626">
        <v>-2</v>
      </c>
      <c r="AX123" s="293">
        <f t="shared" si="121"/>
        <v>-6</v>
      </c>
      <c r="AY123" s="293"/>
      <c r="AZ123" s="626">
        <v>-4</v>
      </c>
      <c r="BA123" s="626">
        <v>-1</v>
      </c>
      <c r="BB123" s="293">
        <f t="shared" si="122"/>
        <v>-5</v>
      </c>
      <c r="BC123" s="293"/>
      <c r="BD123" s="626">
        <v>-2</v>
      </c>
      <c r="BE123" s="626">
        <f>-2-0.333</f>
        <v>-2.3330000000000002</v>
      </c>
      <c r="BF123" s="293">
        <f t="shared" si="123"/>
        <v>-4.3330000000000002</v>
      </c>
      <c r="BG123" s="293"/>
      <c r="BH123" s="626">
        <v>-3</v>
      </c>
      <c r="BI123" s="626">
        <v>-3</v>
      </c>
      <c r="BJ123" s="293">
        <f t="shared" si="124"/>
        <v>-6</v>
      </c>
      <c r="BK123" s="487"/>
      <c r="BL123" s="626">
        <v>-5</v>
      </c>
      <c r="BM123" s="626">
        <v>-1</v>
      </c>
      <c r="BN123" s="293">
        <f t="shared" si="125"/>
        <v>-6</v>
      </c>
      <c r="BO123" s="487"/>
      <c r="BP123" s="626">
        <v>-2</v>
      </c>
      <c r="BQ123" s="626">
        <v>-2</v>
      </c>
      <c r="BR123" s="293">
        <f t="shared" si="126"/>
        <v>-4</v>
      </c>
      <c r="BS123" s="487"/>
      <c r="BT123" s="626">
        <v>-3</v>
      </c>
      <c r="BU123" s="626">
        <v>-4</v>
      </c>
      <c r="BV123" s="293">
        <f t="shared" si="127"/>
        <v>-7</v>
      </c>
      <c r="BW123" s="293"/>
      <c r="BX123" s="626">
        <v>-4</v>
      </c>
      <c r="BY123" s="626">
        <v>-4</v>
      </c>
      <c r="BZ123" s="293">
        <f t="shared" si="128"/>
        <v>-8</v>
      </c>
      <c r="CA123" s="293"/>
      <c r="CB123" s="626">
        <v>-3</v>
      </c>
      <c r="CC123" s="626">
        <v>-1</v>
      </c>
      <c r="CD123" s="293">
        <f t="shared" si="129"/>
        <v>-4</v>
      </c>
      <c r="CE123" s="293"/>
      <c r="CF123" s="626">
        <v>-23</v>
      </c>
      <c r="CG123" s="626">
        <v>-17</v>
      </c>
      <c r="CH123" s="293">
        <f t="shared" si="130"/>
        <v>-40</v>
      </c>
      <c r="CI123" s="293"/>
      <c r="CJ123" s="626">
        <f>-11-39</f>
        <v>-50</v>
      </c>
      <c r="CK123" s="626">
        <f>-15-42</f>
        <v>-57</v>
      </c>
      <c r="CL123" s="293">
        <f t="shared" si="131"/>
        <v>-107</v>
      </c>
      <c r="CM123" s="293"/>
      <c r="CN123" s="1388">
        <v>-50</v>
      </c>
      <c r="CO123" s="1388">
        <v>-48</v>
      </c>
      <c r="CP123" s="1010">
        <f t="shared" si="132"/>
        <v>-98</v>
      </c>
      <c r="CQ123" s="1010"/>
      <c r="CR123" s="1388">
        <v>-43</v>
      </c>
      <c r="CS123" s="1497">
        <v>-58</v>
      </c>
      <c r="CT123" s="293">
        <f t="shared" si="133"/>
        <v>-101</v>
      </c>
      <c r="CU123" s="293"/>
      <c r="CV123" s="1388">
        <v>-53</v>
      </c>
      <c r="CW123" s="1497">
        <v>-34</v>
      </c>
      <c r="CX123" s="293">
        <f t="shared" si="134"/>
        <v>-87</v>
      </c>
      <c r="CY123" s="293"/>
      <c r="CZ123" s="1863">
        <v>-47</v>
      </c>
      <c r="DA123" s="1488">
        <v>-40</v>
      </c>
      <c r="DB123" s="293">
        <f t="shared" si="135"/>
        <v>-87</v>
      </c>
      <c r="DC123" s="293"/>
      <c r="DD123" s="2107">
        <v>-57</v>
      </c>
      <c r="DE123" s="2176">
        <v>-67</v>
      </c>
      <c r="DF123" s="293">
        <f t="shared" si="136"/>
        <v>-124</v>
      </c>
      <c r="DG123" s="293"/>
      <c r="DH123" s="2107">
        <v>-65</v>
      </c>
      <c r="DI123" s="293">
        <f t="shared" ref="DI123" si="143">DI216</f>
        <v>-51.953999999999994</v>
      </c>
      <c r="DJ123" s="293">
        <f t="shared" si="138"/>
        <v>-116.95399999999999</v>
      </c>
      <c r="DK123" s="293"/>
      <c r="DL123" s="293">
        <f t="shared" ref="DL123:DM123" si="144">DL216</f>
        <v>-54.148740000000004</v>
      </c>
      <c r="DM123" s="293">
        <f t="shared" si="144"/>
        <v>-56.441128199999994</v>
      </c>
      <c r="DN123" s="293">
        <f t="shared" si="140"/>
        <v>-110.5898682</v>
      </c>
      <c r="DO123" s="293"/>
      <c r="DP123" s="293">
        <f t="shared" ref="DP123:DQ123" si="145">DP216</f>
        <v>-57.783700895999992</v>
      </c>
      <c r="DQ123" s="293">
        <f t="shared" si="145"/>
        <v>-59.159537549880007</v>
      </c>
      <c r="DR123" s="293">
        <f t="shared" si="142"/>
        <v>-116.94323844588</v>
      </c>
      <c r="DS123" s="293"/>
      <c r="DT123" s="293"/>
      <c r="DU123" s="293"/>
      <c r="DV123" s="293"/>
      <c r="DW123" s="1197" t="s">
        <v>513</v>
      </c>
      <c r="DX123" s="293"/>
      <c r="DY123" s="293"/>
      <c r="DZ123" s="293"/>
      <c r="EA123" s="293"/>
      <c r="EB123" s="293"/>
      <c r="EC123" s="293"/>
      <c r="ED123" s="293"/>
      <c r="EE123" s="293"/>
      <c r="EF123" s="293"/>
      <c r="EG123" s="293"/>
      <c r="EH123" s="293"/>
      <c r="EI123" s="293"/>
      <c r="EJ123" s="293"/>
      <c r="EK123" s="293"/>
      <c r="EL123" s="293"/>
      <c r="EM123" s="293"/>
      <c r="EN123" s="293"/>
      <c r="EO123" s="293"/>
      <c r="EP123" s="293"/>
      <c r="EQ123" s="293"/>
      <c r="ER123" s="293"/>
      <c r="ES123" s="293"/>
      <c r="ET123" s="293"/>
      <c r="EU123" s="293"/>
      <c r="JW123"/>
    </row>
    <row r="124" spans="1:283" s="332" customFormat="1">
      <c r="A124" s="332" t="s">
        <v>606</v>
      </c>
      <c r="AN124" s="293"/>
      <c r="AO124" s="293"/>
      <c r="AP124" s="293"/>
      <c r="AQ124" s="293"/>
      <c r="AR124" s="626">
        <f>-240*(1901/2617)</f>
        <v>-174.33702713030186</v>
      </c>
      <c r="AS124" s="626">
        <f>-285*(1901/2617)</f>
        <v>-207.02521971723345</v>
      </c>
      <c r="AT124" s="293">
        <f>AR124+AS124</f>
        <v>-381.36224684753529</v>
      </c>
      <c r="AU124" s="626"/>
      <c r="AV124" s="626">
        <v>-160</v>
      </c>
      <c r="AW124" s="626">
        <v>-176</v>
      </c>
      <c r="AX124" s="293">
        <f t="shared" si="121"/>
        <v>-336</v>
      </c>
      <c r="AY124" s="293"/>
      <c r="AZ124" s="626">
        <f>-150+0.5</f>
        <v>-149.5</v>
      </c>
      <c r="BA124" s="626">
        <f>-159+0.5</f>
        <v>-158.5</v>
      </c>
      <c r="BB124" s="293">
        <f t="shared" si="122"/>
        <v>-308</v>
      </c>
      <c r="BC124" s="293"/>
      <c r="BD124" s="626">
        <v>-124</v>
      </c>
      <c r="BE124" s="626">
        <f>-138+0.3333</f>
        <v>-137.66669999999999</v>
      </c>
      <c r="BF124" s="293">
        <f t="shared" si="123"/>
        <v>-261.66669999999999</v>
      </c>
      <c r="BG124" s="293"/>
      <c r="BH124" s="626">
        <v>-132</v>
      </c>
      <c r="BI124" s="626">
        <v>-134</v>
      </c>
      <c r="BJ124" s="293">
        <f t="shared" si="124"/>
        <v>-266</v>
      </c>
      <c r="BK124" s="487"/>
      <c r="BL124" s="626">
        <v>-146</v>
      </c>
      <c r="BM124" s="626">
        <v>-122</v>
      </c>
      <c r="BN124" s="293">
        <f t="shared" si="125"/>
        <v>-268</v>
      </c>
      <c r="BO124" s="487"/>
      <c r="BP124" s="626">
        <v>-148</v>
      </c>
      <c r="BQ124" s="626">
        <v>-169</v>
      </c>
      <c r="BR124" s="293">
        <f t="shared" si="126"/>
        <v>-317</v>
      </c>
      <c r="BS124" s="487"/>
      <c r="BT124" s="626">
        <v>-180</v>
      </c>
      <c r="BU124" s="1217">
        <f>-186-23</f>
        <v>-209</v>
      </c>
      <c r="BV124" s="293">
        <f t="shared" si="127"/>
        <v>-389</v>
      </c>
      <c r="BW124" s="293"/>
      <c r="BX124" s="626">
        <v>-193</v>
      </c>
      <c r="BY124" s="626">
        <v>-192</v>
      </c>
      <c r="BZ124" s="293">
        <f t="shared" si="128"/>
        <v>-385</v>
      </c>
      <c r="CA124" s="293"/>
      <c r="CB124" s="626">
        <v>-202</v>
      </c>
      <c r="CC124" s="626">
        <v>-210</v>
      </c>
      <c r="CD124" s="293">
        <f t="shared" si="129"/>
        <v>-412</v>
      </c>
      <c r="CE124" s="293"/>
      <c r="CF124" s="626">
        <v>-265</v>
      </c>
      <c r="CG124" s="626">
        <v>-291</v>
      </c>
      <c r="CH124" s="293">
        <f t="shared" si="130"/>
        <v>-556</v>
      </c>
      <c r="CI124" s="293"/>
      <c r="CJ124" s="626">
        <f>-310-168</f>
        <v>-478</v>
      </c>
      <c r="CK124" s="626">
        <f>-293-154</f>
        <v>-447</v>
      </c>
      <c r="CL124" s="293">
        <f t="shared" si="131"/>
        <v>-925</v>
      </c>
      <c r="CM124" s="293"/>
      <c r="CN124" s="1388">
        <v>-405</v>
      </c>
      <c r="CO124" s="1388">
        <v>-447</v>
      </c>
      <c r="CP124" s="1010">
        <f t="shared" si="132"/>
        <v>-852</v>
      </c>
      <c r="CQ124" s="1010"/>
      <c r="CR124" s="1388">
        <v>-303</v>
      </c>
      <c r="CS124" s="1497">
        <v>-349</v>
      </c>
      <c r="CT124" s="293">
        <f t="shared" si="133"/>
        <v>-652</v>
      </c>
      <c r="CU124" s="293"/>
      <c r="CV124" s="1388">
        <v>-372</v>
      </c>
      <c r="CW124" s="1497">
        <v>-413</v>
      </c>
      <c r="CX124" s="293">
        <f t="shared" si="134"/>
        <v>-785</v>
      </c>
      <c r="CY124" s="293"/>
      <c r="CZ124" s="1863">
        <v>-421</v>
      </c>
      <c r="DA124" s="1488">
        <v>-408</v>
      </c>
      <c r="DB124" s="293">
        <f t="shared" si="135"/>
        <v>-829</v>
      </c>
      <c r="DC124" s="293"/>
      <c r="DD124" s="2107">
        <v>-403</v>
      </c>
      <c r="DE124" s="2176">
        <v>-439</v>
      </c>
      <c r="DF124" s="293">
        <f t="shared" si="136"/>
        <v>-842</v>
      </c>
      <c r="DG124" s="293"/>
      <c r="DH124" s="2107">
        <v>-416</v>
      </c>
      <c r="DI124" s="293">
        <f t="shared" ref="DI124" si="146">DI217</f>
        <v>-447.78000000000003</v>
      </c>
      <c r="DJ124" s="293">
        <f t="shared" si="138"/>
        <v>-863.78</v>
      </c>
      <c r="DK124" s="293"/>
      <c r="DL124" s="293">
        <f t="shared" ref="DL124:DM124" si="147">DL217</f>
        <v>-424.32</v>
      </c>
      <c r="DM124" s="293">
        <f t="shared" si="147"/>
        <v>-456.73560000000003</v>
      </c>
      <c r="DN124" s="293">
        <f t="shared" si="140"/>
        <v>-881.05560000000003</v>
      </c>
      <c r="DO124" s="293"/>
      <c r="DP124" s="293">
        <f t="shared" ref="DP124:DQ124" si="148">DP217</f>
        <v>-432.8064</v>
      </c>
      <c r="DQ124" s="293">
        <f t="shared" si="148"/>
        <v>-465.87031200000007</v>
      </c>
      <c r="DR124" s="293">
        <f t="shared" si="142"/>
        <v>-898.67671200000007</v>
      </c>
      <c r="DS124" s="293"/>
      <c r="DT124" s="293"/>
      <c r="DU124" s="293"/>
      <c r="DV124" s="293"/>
      <c r="DW124" s="1197" t="s">
        <v>513</v>
      </c>
      <c r="DX124" s="293"/>
      <c r="DY124" s="293"/>
      <c r="DZ124" s="293"/>
      <c r="EA124" s="293"/>
      <c r="EB124" s="293"/>
      <c r="EC124" s="293"/>
      <c r="ED124" s="293"/>
      <c r="EE124" s="293"/>
      <c r="EF124" s="293"/>
      <c r="EG124" s="293"/>
      <c r="EH124" s="293"/>
      <c r="EI124" s="293"/>
      <c r="EJ124" s="293"/>
      <c r="EK124" s="293"/>
      <c r="EL124" s="293"/>
      <c r="EM124" s="293"/>
      <c r="EN124" s="293"/>
      <c r="EO124" s="293"/>
      <c r="EP124" s="293"/>
      <c r="EQ124" s="293"/>
      <c r="ER124" s="293"/>
      <c r="ES124" s="293"/>
      <c r="ET124" s="293"/>
      <c r="EU124" s="293"/>
      <c r="JW124"/>
    </row>
    <row r="125" spans="1:283" s="327" customFormat="1">
      <c r="A125" s="327" t="s">
        <v>569</v>
      </c>
      <c r="AN125" s="295">
        <f>SUM(AN122:AN124)</f>
        <v>0</v>
      </c>
      <c r="AO125" s="295">
        <f>SUM(AO122:AO124)</f>
        <v>0</v>
      </c>
      <c r="AP125" s="295">
        <f>AN125+AO125</f>
        <v>0</v>
      </c>
      <c r="AQ125" s="295"/>
      <c r="AR125" s="295">
        <f>SUM(AR122:AR124)</f>
        <v>-368.10775697363391</v>
      </c>
      <c r="AS125" s="295">
        <f>SUM(AS122:AS124)</f>
        <v>-482.17233473442866</v>
      </c>
      <c r="AT125" s="295">
        <f>AR125+AS125</f>
        <v>-850.28009170806263</v>
      </c>
      <c r="AU125" s="295"/>
      <c r="AV125" s="295">
        <f>SUM(AV122:AV124)</f>
        <v>-332</v>
      </c>
      <c r="AW125" s="295">
        <f>SUM(AW122:AW124)</f>
        <v>-396</v>
      </c>
      <c r="AX125" s="295">
        <f t="shared" si="121"/>
        <v>-728</v>
      </c>
      <c r="AY125" s="295"/>
      <c r="AZ125" s="295">
        <f>SUM(AZ122:AZ124)</f>
        <v>-332.5</v>
      </c>
      <c r="BA125" s="295">
        <f>SUM(BA122:BA124)</f>
        <v>-360.5</v>
      </c>
      <c r="BB125" s="295">
        <f t="shared" si="122"/>
        <v>-693</v>
      </c>
      <c r="BC125" s="295">
        <f>BB125/2</f>
        <v>-346.5</v>
      </c>
      <c r="BD125" s="295">
        <f>SUM(BD122:BD124)</f>
        <v>-278</v>
      </c>
      <c r="BE125" s="295">
        <f>SUM(BE122:BE124)</f>
        <v>-294.99969999999996</v>
      </c>
      <c r="BF125" s="295">
        <f t="shared" si="123"/>
        <v>-572.99969999999996</v>
      </c>
      <c r="BG125" s="310"/>
      <c r="BH125" s="295">
        <f>SUM(BH122:BH124)</f>
        <v>-260</v>
      </c>
      <c r="BI125" s="295">
        <f>SUM(BI122:BI124)</f>
        <v>-259</v>
      </c>
      <c r="BJ125" s="295">
        <f t="shared" si="124"/>
        <v>-519</v>
      </c>
      <c r="BK125" s="487"/>
      <c r="BL125" s="295">
        <f>SUM(BL122:BL124)</f>
        <v>-283</v>
      </c>
      <c r="BM125" s="295">
        <f>SUM(BM122:BM124)</f>
        <v>-265</v>
      </c>
      <c r="BN125" s="295">
        <f t="shared" si="125"/>
        <v>-548</v>
      </c>
      <c r="BO125" s="487"/>
      <c r="BP125" s="295">
        <f>SUM(BP122:BP124)</f>
        <v>-290</v>
      </c>
      <c r="BQ125" s="295">
        <f>SUM(BQ122:BQ124)</f>
        <v>-339</v>
      </c>
      <c r="BR125" s="295">
        <f t="shared" si="126"/>
        <v>-629</v>
      </c>
      <c r="BS125" s="487"/>
      <c r="BT125" s="295">
        <f>SUM(BT122:BT124)</f>
        <v>-346</v>
      </c>
      <c r="BU125" s="295">
        <f>SUM(BU122:BU124)</f>
        <v>-386</v>
      </c>
      <c r="BV125" s="295">
        <f t="shared" si="127"/>
        <v>-732</v>
      </c>
      <c r="BW125" s="295"/>
      <c r="BX125" s="295">
        <f>SUM(BX122:BX124)</f>
        <v>-375</v>
      </c>
      <c r="BY125" s="295">
        <f>SUM(BY122:BY124)</f>
        <v>-347</v>
      </c>
      <c r="BZ125" s="295">
        <f t="shared" si="128"/>
        <v>-722</v>
      </c>
      <c r="CA125" s="684">
        <f t="shared" ref="CA125:CA126" si="149">+BZ125/BV125-1</f>
        <v>-1.3661202185792365E-2</v>
      </c>
      <c r="CB125" s="295">
        <f>SUM(CB122:CB124)</f>
        <v>-365</v>
      </c>
      <c r="CC125" s="295">
        <f>SUM(CC122:CC124)</f>
        <v>-374</v>
      </c>
      <c r="CD125" s="295">
        <f t="shared" si="129"/>
        <v>-739</v>
      </c>
      <c r="CE125" s="684">
        <f t="shared" ref="CE125:CE126" si="150">+CD125/BZ125-1</f>
        <v>2.3545706371191244E-2</v>
      </c>
      <c r="CF125" s="295">
        <f>SUM(CF122:CF124)</f>
        <v>-504</v>
      </c>
      <c r="CG125" s="295">
        <f>SUM(CG122:CG124)</f>
        <v>-569</v>
      </c>
      <c r="CH125" s="295">
        <f t="shared" si="130"/>
        <v>-1073</v>
      </c>
      <c r="CI125" s="684">
        <f t="shared" ref="CI125:CI126" si="151">+CH125/CD125-1</f>
        <v>0.45196211096075789</v>
      </c>
      <c r="CJ125" s="295">
        <f>SUM(CJ122:CJ124)</f>
        <v>-913</v>
      </c>
      <c r="CK125" s="295">
        <f>SUM(CK122:CK124)</f>
        <v>-852</v>
      </c>
      <c r="CL125" s="295">
        <f t="shared" si="131"/>
        <v>-1765</v>
      </c>
      <c r="CM125" s="649"/>
      <c r="CN125" s="1412">
        <f>SUM(CN122:CN124)</f>
        <v>-816</v>
      </c>
      <c r="CO125" s="1412">
        <f>SUM(CO122:CO124)</f>
        <v>-798</v>
      </c>
      <c r="CP125" s="1412">
        <f t="shared" si="132"/>
        <v>-1614</v>
      </c>
      <c r="CQ125" s="1414"/>
      <c r="CR125" s="1412">
        <f>SUM(CR122:CR124)</f>
        <v>-600</v>
      </c>
      <c r="CS125" s="1390">
        <f>SUM(CS122:CS124)</f>
        <v>-670</v>
      </c>
      <c r="CT125" s="295">
        <f t="shared" si="133"/>
        <v>-1270</v>
      </c>
      <c r="CU125" s="649"/>
      <c r="CV125" s="1412">
        <f>SUM(CV122:CV124)</f>
        <v>-711</v>
      </c>
      <c r="CW125" s="1390">
        <f>SUM(CW122:CW124)</f>
        <v>-745</v>
      </c>
      <c r="CX125" s="295">
        <f t="shared" si="134"/>
        <v>-1456</v>
      </c>
      <c r="CY125" s="649"/>
      <c r="CZ125" s="1412">
        <f>SUM(CZ122:CZ124)</f>
        <v>-788</v>
      </c>
      <c r="DA125" s="1491">
        <f>SUM(DA122:DA124)</f>
        <v>-750</v>
      </c>
      <c r="DB125" s="295">
        <f t="shared" si="135"/>
        <v>-1538</v>
      </c>
      <c r="DC125" s="649"/>
      <c r="DD125" s="295">
        <f>SUM(DD122:DD124)</f>
        <v>-771</v>
      </c>
      <c r="DE125" s="1491">
        <f>SUM(DE122:DE124)</f>
        <v>-813</v>
      </c>
      <c r="DF125" s="295">
        <f t="shared" si="136"/>
        <v>-1584</v>
      </c>
      <c r="DG125" s="649"/>
      <c r="DH125" s="295">
        <f>SUM(DH122:DH124)</f>
        <v>-774</v>
      </c>
      <c r="DI125" s="295">
        <f>SUM(DI122:DI124)</f>
        <v>-817.47900000000004</v>
      </c>
      <c r="DJ125" s="295">
        <f t="shared" si="138"/>
        <v>-1591.479</v>
      </c>
      <c r="DK125" s="649"/>
      <c r="DL125" s="295">
        <f>SUM(DL122:DL124)</f>
        <v>-781.72373999999991</v>
      </c>
      <c r="DM125" s="295">
        <f>SUM(DM122:DM124)</f>
        <v>-842.04280319999998</v>
      </c>
      <c r="DN125" s="295">
        <f t="shared" si="140"/>
        <v>-1623.7665431999999</v>
      </c>
      <c r="DO125" s="649"/>
      <c r="DP125" s="295">
        <f>SUM(DP122:DP124)</f>
        <v>-804.45902589599996</v>
      </c>
      <c r="DQ125" s="295">
        <f>SUM(DQ122:DQ124)</f>
        <v>-865.40623717487995</v>
      </c>
      <c r="DR125" s="295">
        <f t="shared" si="142"/>
        <v>-1669.8652630708798</v>
      </c>
      <c r="DS125" s="649"/>
      <c r="DT125" s="649"/>
      <c r="DU125" s="649"/>
      <c r="DV125" s="649"/>
      <c r="DW125" s="1199"/>
      <c r="DX125" s="295"/>
      <c r="DY125" s="295"/>
      <c r="DZ125" s="295"/>
      <c r="EA125" s="295"/>
      <c r="EB125" s="295"/>
      <c r="EC125" s="295"/>
      <c r="ED125" s="295"/>
      <c r="EE125" s="295"/>
      <c r="EF125" s="295"/>
      <c r="EG125" s="295"/>
      <c r="EH125" s="295"/>
      <c r="EI125" s="295"/>
      <c r="EJ125" s="295"/>
      <c r="EK125" s="295"/>
      <c r="EL125" s="295"/>
      <c r="EM125" s="295"/>
      <c r="EN125" s="295"/>
      <c r="EO125" s="295"/>
      <c r="EP125" s="295"/>
      <c r="EQ125" s="295"/>
      <c r="ER125" s="295"/>
      <c r="ES125" s="295"/>
      <c r="ET125" s="295"/>
      <c r="EU125" s="295"/>
      <c r="JW125"/>
    </row>
    <row r="126" spans="1:283" s="332" customFormat="1">
      <c r="A126" s="327" t="s">
        <v>572</v>
      </c>
      <c r="AN126" s="295">
        <f>AN120+AN125</f>
        <v>850</v>
      </c>
      <c r="AO126" s="295">
        <f>AO120+AO125</f>
        <v>538</v>
      </c>
      <c r="AP126" s="295">
        <f>AN126+AO126</f>
        <v>1388</v>
      </c>
      <c r="AQ126" s="295"/>
      <c r="AR126" s="295">
        <f>AR120+AR125</f>
        <v>207.89224302636609</v>
      </c>
      <c r="AS126" s="295">
        <f>AS120+AS125</f>
        <v>-137.17233473442866</v>
      </c>
      <c r="AT126" s="295">
        <f>AR126+AS126</f>
        <v>70.719908291937429</v>
      </c>
      <c r="AU126" s="295"/>
      <c r="AV126" s="295">
        <f>AV120+AV125</f>
        <v>-125</v>
      </c>
      <c r="AW126" s="295">
        <f>AW120+AW125</f>
        <v>82</v>
      </c>
      <c r="AX126" s="295">
        <f t="shared" si="121"/>
        <v>-43</v>
      </c>
      <c r="AY126" s="295"/>
      <c r="AZ126" s="295">
        <f>AZ120+AZ125</f>
        <v>31</v>
      </c>
      <c r="BA126" s="295">
        <f>BA120+BA125</f>
        <v>185</v>
      </c>
      <c r="BB126" s="295">
        <f t="shared" si="122"/>
        <v>216</v>
      </c>
      <c r="BC126" s="295">
        <f>0.75*BC125</f>
        <v>-259.875</v>
      </c>
      <c r="BD126" s="295">
        <f>BD120+BD125</f>
        <v>-10</v>
      </c>
      <c r="BE126" s="295">
        <f>BE120+BE125</f>
        <v>95.000300000000038</v>
      </c>
      <c r="BF126" s="295">
        <f t="shared" si="123"/>
        <v>85.000300000000038</v>
      </c>
      <c r="BG126" s="295"/>
      <c r="BH126" s="295">
        <f>BH120+BH125</f>
        <v>-8</v>
      </c>
      <c r="BI126" s="295">
        <f>BI120+BI125</f>
        <v>154</v>
      </c>
      <c r="BJ126" s="295">
        <f t="shared" si="124"/>
        <v>146</v>
      </c>
      <c r="BK126" s="487"/>
      <c r="BL126" s="295">
        <f>BL120+BL125</f>
        <v>89</v>
      </c>
      <c r="BM126" s="295">
        <f>BM120+BM125</f>
        <v>180</v>
      </c>
      <c r="BN126" s="295">
        <f t="shared" si="125"/>
        <v>269</v>
      </c>
      <c r="BO126" s="487"/>
      <c r="BP126" s="295">
        <f>BP120+BP125</f>
        <v>149</v>
      </c>
      <c r="BQ126" s="295">
        <f>BQ120+BQ125</f>
        <v>276</v>
      </c>
      <c r="BR126" s="295">
        <f t="shared" si="126"/>
        <v>425</v>
      </c>
      <c r="BS126" s="487"/>
      <c r="BT126" s="295">
        <f>BT120+BT125</f>
        <v>170</v>
      </c>
      <c r="BU126" s="295">
        <f>BU120+BU125</f>
        <v>276</v>
      </c>
      <c r="BV126" s="295">
        <f t="shared" si="127"/>
        <v>446</v>
      </c>
      <c r="BW126" s="295"/>
      <c r="BX126" s="295">
        <f>BX120+BX125</f>
        <v>194</v>
      </c>
      <c r="BY126" s="295">
        <f>BY120+BY125</f>
        <v>290</v>
      </c>
      <c r="BZ126" s="295">
        <f t="shared" si="128"/>
        <v>484</v>
      </c>
      <c r="CA126" s="684">
        <f t="shared" si="149"/>
        <v>8.5201793721973118E-2</v>
      </c>
      <c r="CB126" s="295">
        <f>CB120+CB125</f>
        <v>201</v>
      </c>
      <c r="CC126" s="295">
        <f>CC120+CC125</f>
        <v>520</v>
      </c>
      <c r="CD126" s="295">
        <f t="shared" si="129"/>
        <v>721</v>
      </c>
      <c r="CE126" s="684">
        <f t="shared" si="150"/>
        <v>0.4896694214876034</v>
      </c>
      <c r="CF126" s="295">
        <f>CF120+CF125</f>
        <v>519</v>
      </c>
      <c r="CG126" s="295">
        <f>CG120+CG125</f>
        <v>1242</v>
      </c>
      <c r="CH126" s="295">
        <f t="shared" si="130"/>
        <v>1761</v>
      </c>
      <c r="CI126" s="684">
        <f t="shared" si="151"/>
        <v>1.4424410540915393</v>
      </c>
      <c r="CJ126" s="295">
        <f>CJ120+CJ125</f>
        <v>220</v>
      </c>
      <c r="CK126" s="295">
        <f>CK120+CK125</f>
        <v>526</v>
      </c>
      <c r="CL126" s="295">
        <f t="shared" si="131"/>
        <v>746</v>
      </c>
      <c r="CM126" s="295"/>
      <c r="CN126" s="1412">
        <f>CN120+CN125</f>
        <v>-202</v>
      </c>
      <c r="CO126" s="1412">
        <f>CO120+CO125</f>
        <v>836</v>
      </c>
      <c r="CP126" s="1412">
        <f t="shared" si="132"/>
        <v>634</v>
      </c>
      <c r="CQ126" s="1412"/>
      <c r="CR126" s="1412">
        <f>CR120+CR125</f>
        <v>770</v>
      </c>
      <c r="CS126" s="1390">
        <f>CS120+CS125</f>
        <v>1000</v>
      </c>
      <c r="CT126" s="295">
        <f t="shared" si="133"/>
        <v>1770</v>
      </c>
      <c r="CU126" s="295"/>
      <c r="CV126" s="1412">
        <f>CV120+CV125</f>
        <v>576</v>
      </c>
      <c r="CW126" s="1390">
        <f>CW120+CW125</f>
        <v>195</v>
      </c>
      <c r="CX126" s="295">
        <f t="shared" si="134"/>
        <v>771</v>
      </c>
      <c r="CY126" s="295"/>
      <c r="CZ126" s="1412">
        <f>CZ120+CZ125</f>
        <v>432</v>
      </c>
      <c r="DA126" s="1491">
        <f>DA120+DA125</f>
        <v>642</v>
      </c>
      <c r="DB126" s="295">
        <f t="shared" si="135"/>
        <v>1074</v>
      </c>
      <c r="DC126" s="295"/>
      <c r="DD126" s="295">
        <f>DD120+DD125</f>
        <v>374</v>
      </c>
      <c r="DE126" s="1491">
        <f>DE120+DE125</f>
        <v>680</v>
      </c>
      <c r="DF126" s="295">
        <f t="shared" si="136"/>
        <v>1054</v>
      </c>
      <c r="DG126" s="295"/>
      <c r="DH126" s="295">
        <f>DH120+DH125</f>
        <v>722</v>
      </c>
      <c r="DI126" s="295">
        <f>DI120+DI125</f>
        <v>851.90100000000029</v>
      </c>
      <c r="DJ126" s="295">
        <f t="shared" si="138"/>
        <v>1573.9010000000003</v>
      </c>
      <c r="DK126" s="295"/>
      <c r="DL126" s="295">
        <f>DL120+DL125</f>
        <v>910.49266000000034</v>
      </c>
      <c r="DM126" s="295">
        <f>DM120+DM125</f>
        <v>1132.8744887999999</v>
      </c>
      <c r="DN126" s="295">
        <f t="shared" si="140"/>
        <v>2043.3671488000002</v>
      </c>
      <c r="DO126" s="295"/>
      <c r="DP126" s="295">
        <f>DP120+DP125</f>
        <v>1020.3728323640003</v>
      </c>
      <c r="DQ126" s="295">
        <f>DQ120+DQ125</f>
        <v>1249.9693182829196</v>
      </c>
      <c r="DR126" s="295">
        <f t="shared" si="142"/>
        <v>2270.3421506469199</v>
      </c>
      <c r="DS126" s="295"/>
      <c r="DT126" s="295"/>
      <c r="DU126" s="295"/>
      <c r="DV126" s="295"/>
      <c r="DW126" s="1199"/>
      <c r="DX126" s="295"/>
      <c r="DY126" s="295"/>
      <c r="DZ126" s="295"/>
      <c r="EA126" s="295"/>
      <c r="EB126" s="295"/>
      <c r="EC126" s="295"/>
      <c r="ED126" s="295"/>
      <c r="EE126" s="295"/>
      <c r="EF126" s="295"/>
      <c r="EG126" s="295"/>
      <c r="EH126" s="295"/>
      <c r="EI126" s="295"/>
      <c r="EJ126" s="295"/>
      <c r="EK126" s="295"/>
      <c r="EL126" s="295"/>
      <c r="EM126" s="295"/>
      <c r="EN126" s="295"/>
      <c r="EO126" s="295"/>
      <c r="EP126" s="295"/>
      <c r="EQ126" s="295"/>
      <c r="ER126" s="295"/>
      <c r="ES126" s="295"/>
      <c r="ET126" s="295"/>
      <c r="EU126" s="295"/>
      <c r="EV126" s="327"/>
      <c r="EW126" s="327"/>
      <c r="EX126" s="327"/>
      <c r="EY126" s="327"/>
      <c r="EZ126" s="327"/>
      <c r="FA126" s="327"/>
      <c r="FB126" s="327"/>
      <c r="FC126" s="327"/>
      <c r="FD126" s="327"/>
      <c r="FE126" s="327"/>
      <c r="FF126" s="327"/>
      <c r="FG126" s="327"/>
      <c r="FH126" s="327"/>
      <c r="FI126" s="327"/>
      <c r="FJ126" s="327"/>
      <c r="FK126" s="327"/>
      <c r="FL126" s="327"/>
      <c r="FM126" s="327"/>
      <c r="FN126" s="327"/>
      <c r="FO126" s="327"/>
      <c r="FP126" s="327"/>
      <c r="FQ126" s="327"/>
      <c r="FR126" s="327"/>
      <c r="FS126" s="327"/>
      <c r="FT126" s="327"/>
      <c r="FU126" s="327"/>
      <c r="FV126" s="327"/>
      <c r="FW126" s="327"/>
      <c r="FX126" s="327"/>
      <c r="FY126" s="327"/>
      <c r="FZ126" s="327"/>
      <c r="GA126" s="327"/>
      <c r="GB126" s="327"/>
      <c r="GC126" s="327"/>
      <c r="GD126" s="327"/>
      <c r="GE126" s="327"/>
      <c r="GF126" s="327"/>
      <c r="GG126" s="327"/>
      <c r="GH126" s="327"/>
      <c r="GI126" s="327"/>
      <c r="GJ126" s="327"/>
      <c r="GK126" s="327"/>
      <c r="GL126" s="327"/>
      <c r="GM126" s="327"/>
      <c r="GN126" s="327"/>
      <c r="GO126" s="327"/>
      <c r="GP126" s="327"/>
      <c r="GQ126" s="327"/>
      <c r="GR126" s="327"/>
      <c r="GS126" s="327"/>
      <c r="GT126" s="327"/>
      <c r="GU126" s="327"/>
      <c r="GV126" s="327"/>
      <c r="GW126" s="327"/>
      <c r="GX126" s="327"/>
      <c r="GY126" s="327"/>
      <c r="GZ126" s="327"/>
      <c r="HA126" s="327"/>
      <c r="HB126" s="327"/>
      <c r="HC126" s="327"/>
      <c r="HD126" s="327"/>
      <c r="HE126" s="327"/>
      <c r="HF126" s="327"/>
      <c r="HG126" s="327"/>
      <c r="HH126" s="327"/>
      <c r="HI126" s="327"/>
      <c r="HJ126" s="327"/>
      <c r="HK126" s="327"/>
      <c r="HL126" s="327"/>
      <c r="HM126" s="327"/>
      <c r="HN126" s="327"/>
      <c r="HO126" s="327"/>
      <c r="HP126" s="327"/>
      <c r="HQ126" s="327"/>
      <c r="HR126" s="327"/>
      <c r="HS126" s="327"/>
      <c r="HT126" s="327"/>
      <c r="HU126" s="327"/>
      <c r="HV126" s="327"/>
      <c r="HW126" s="327"/>
      <c r="HX126" s="327"/>
      <c r="HY126" s="327"/>
      <c r="HZ126" s="327"/>
      <c r="IA126" s="327"/>
      <c r="IB126" s="327"/>
      <c r="IC126" s="327"/>
      <c r="ID126" s="327"/>
      <c r="IE126" s="327"/>
      <c r="IF126" s="327"/>
      <c r="IG126" s="327"/>
      <c r="IH126" s="327"/>
      <c r="II126" s="327"/>
      <c r="IJ126" s="327"/>
      <c r="IK126" s="327"/>
      <c r="IL126" s="327"/>
      <c r="IM126" s="327"/>
      <c r="IN126" s="327"/>
      <c r="IO126" s="327"/>
      <c r="IP126" s="327"/>
      <c r="IQ126" s="327"/>
      <c r="IR126" s="327"/>
      <c r="IS126" s="327"/>
      <c r="IT126" s="327"/>
      <c r="IU126" s="327"/>
      <c r="IV126" s="327"/>
      <c r="IW126" s="327"/>
      <c r="IX126" s="327"/>
      <c r="IY126" s="327"/>
      <c r="IZ126" s="327"/>
      <c r="JA126" s="327"/>
      <c r="JB126" s="327"/>
      <c r="JC126" s="327"/>
      <c r="JD126" s="327"/>
      <c r="JE126" s="327"/>
      <c r="JF126" s="327"/>
      <c r="JG126" s="327"/>
      <c r="JH126" s="327"/>
      <c r="JI126" s="327"/>
      <c r="JJ126" s="327"/>
      <c r="JK126" s="327"/>
      <c r="JL126" s="327"/>
      <c r="JM126" s="327"/>
      <c r="JN126" s="327"/>
      <c r="JO126" s="327"/>
      <c r="JP126" s="327"/>
      <c r="JQ126" s="327"/>
      <c r="JR126" s="327"/>
      <c r="JS126" s="327"/>
      <c r="JT126" s="327"/>
      <c r="JU126" s="327"/>
      <c r="JV126" s="327"/>
      <c r="JW126"/>
    </row>
    <row r="127" spans="1:283" s="332" customFormat="1">
      <c r="A127" s="332" t="s">
        <v>664</v>
      </c>
      <c r="AN127" s="626"/>
      <c r="AO127" s="626"/>
      <c r="AP127" s="295"/>
      <c r="AQ127" s="295"/>
      <c r="AR127" s="626"/>
      <c r="AS127" s="626"/>
      <c r="AT127" s="293"/>
      <c r="AU127" s="295"/>
      <c r="AV127" s="626">
        <v>2</v>
      </c>
      <c r="AW127" s="626">
        <v>-15</v>
      </c>
      <c r="AX127" s="293">
        <f t="shared" si="121"/>
        <v>-13</v>
      </c>
      <c r="AY127" s="295"/>
      <c r="AZ127" s="626">
        <v>13</v>
      </c>
      <c r="BA127" s="626">
        <v>-23</v>
      </c>
      <c r="BB127" s="293">
        <f t="shared" si="122"/>
        <v>-10</v>
      </c>
      <c r="BC127" s="295"/>
      <c r="BD127" s="626">
        <v>18</v>
      </c>
      <c r="BE127" s="626">
        <v>-18</v>
      </c>
      <c r="BF127" s="293">
        <f t="shared" si="123"/>
        <v>0</v>
      </c>
      <c r="BG127" s="293"/>
      <c r="BH127" s="626">
        <v>18</v>
      </c>
      <c r="BI127" s="626">
        <v>-14</v>
      </c>
      <c r="BJ127" s="293">
        <f t="shared" si="124"/>
        <v>4</v>
      </c>
      <c r="BK127" s="487"/>
      <c r="BL127" s="626">
        <v>12</v>
      </c>
      <c r="BM127" s="626">
        <v>-1</v>
      </c>
      <c r="BN127" s="293">
        <f t="shared" si="125"/>
        <v>11</v>
      </c>
      <c r="BO127" s="487"/>
      <c r="BP127" s="626">
        <v>1</v>
      </c>
      <c r="BQ127" s="626">
        <v>4</v>
      </c>
      <c r="BR127" s="293">
        <f t="shared" si="126"/>
        <v>5</v>
      </c>
      <c r="BS127" s="487"/>
      <c r="BT127" s="626">
        <v>0</v>
      </c>
      <c r="BU127" s="626">
        <v>5</v>
      </c>
      <c r="BV127" s="293">
        <f t="shared" si="127"/>
        <v>5</v>
      </c>
      <c r="BW127" s="295"/>
      <c r="BX127" s="626">
        <v>11</v>
      </c>
      <c r="BY127" s="626">
        <v>-12</v>
      </c>
      <c r="BZ127" s="293">
        <f t="shared" si="128"/>
        <v>-1</v>
      </c>
      <c r="CA127" s="295"/>
      <c r="CB127" s="626">
        <v>-2</v>
      </c>
      <c r="CC127" s="626">
        <v>-3</v>
      </c>
      <c r="CD127" s="293">
        <f t="shared" si="129"/>
        <v>-5</v>
      </c>
      <c r="CE127" s="295"/>
      <c r="CF127" s="626">
        <v>-10</v>
      </c>
      <c r="CG127" s="626">
        <v>23</v>
      </c>
      <c r="CH127" s="293">
        <f t="shared" si="130"/>
        <v>13</v>
      </c>
      <c r="CI127" s="295"/>
      <c r="CJ127" s="626">
        <v>1</v>
      </c>
      <c r="CK127" s="626">
        <v>16</v>
      </c>
      <c r="CL127" s="293">
        <f t="shared" si="131"/>
        <v>17</v>
      </c>
      <c r="CM127" s="295"/>
      <c r="CN127" s="1388">
        <v>13</v>
      </c>
      <c r="CO127" s="1388">
        <v>4</v>
      </c>
      <c r="CP127" s="1010">
        <f t="shared" si="132"/>
        <v>17</v>
      </c>
      <c r="CQ127" s="1412"/>
      <c r="CR127" s="1388">
        <v>-94</v>
      </c>
      <c r="CS127" s="1497">
        <v>-155</v>
      </c>
      <c r="CT127" s="293">
        <f t="shared" si="133"/>
        <v>-249</v>
      </c>
      <c r="CU127" s="295"/>
      <c r="CV127" s="1388">
        <v>19</v>
      </c>
      <c r="CW127" s="1497">
        <v>11</v>
      </c>
      <c r="CX127" s="293">
        <f t="shared" si="134"/>
        <v>30</v>
      </c>
      <c r="CY127" s="295"/>
      <c r="CZ127" s="1863">
        <v>-2</v>
      </c>
      <c r="DA127" s="1488">
        <v>-21</v>
      </c>
      <c r="DB127" s="293">
        <f t="shared" si="135"/>
        <v>-23</v>
      </c>
      <c r="DC127" s="295"/>
      <c r="DD127" s="2107">
        <v>-3</v>
      </c>
      <c r="DE127" s="2176">
        <v>-8</v>
      </c>
      <c r="DF127" s="293">
        <f t="shared" si="136"/>
        <v>-11</v>
      </c>
      <c r="DG127" s="295"/>
      <c r="DH127" s="2107">
        <v>-11</v>
      </c>
      <c r="DI127" s="841">
        <f>'P&amp;L'!DI1201</f>
        <v>-2</v>
      </c>
      <c r="DJ127" s="293">
        <f t="shared" si="138"/>
        <v>-13</v>
      </c>
      <c r="DK127" s="295"/>
      <c r="DL127" s="841">
        <f>'P&amp;L'!DL1201</f>
        <v>-2</v>
      </c>
      <c r="DM127" s="841">
        <f>'P&amp;L'!DM1201</f>
        <v>-2</v>
      </c>
      <c r="DN127" s="293">
        <f t="shared" si="140"/>
        <v>-4</v>
      </c>
      <c r="DO127" s="295"/>
      <c r="DP127" s="841">
        <f>'P&amp;L'!DP1201</f>
        <v>-2</v>
      </c>
      <c r="DQ127" s="841">
        <f>'P&amp;L'!DQ1201</f>
        <v>-2</v>
      </c>
      <c r="DR127" s="293">
        <f t="shared" si="142"/>
        <v>-4</v>
      </c>
      <c r="DS127" s="295"/>
      <c r="DT127" s="295"/>
      <c r="DU127" s="295"/>
      <c r="DV127" s="295"/>
      <c r="DW127" s="1198" t="s">
        <v>174</v>
      </c>
      <c r="DX127" s="293"/>
      <c r="DY127" s="293"/>
      <c r="DZ127" s="295"/>
      <c r="EA127" s="293"/>
      <c r="EB127" s="293"/>
      <c r="EC127" s="293"/>
      <c r="ED127" s="295"/>
      <c r="EE127" s="293"/>
      <c r="EF127" s="293"/>
      <c r="EG127" s="293"/>
      <c r="EH127" s="295"/>
      <c r="EI127" s="293"/>
      <c r="EJ127" s="293"/>
      <c r="EK127" s="293"/>
      <c r="EL127" s="295"/>
      <c r="EM127" s="295"/>
      <c r="EN127" s="295"/>
      <c r="EO127" s="295"/>
      <c r="EP127" s="295"/>
      <c r="EQ127" s="295"/>
      <c r="ER127" s="295"/>
      <c r="ES127" s="295"/>
      <c r="ET127" s="295"/>
      <c r="EU127" s="295"/>
      <c r="EV127" s="327"/>
      <c r="EW127" s="327"/>
      <c r="EX127" s="327"/>
      <c r="EY127" s="327"/>
      <c r="EZ127" s="327"/>
      <c r="FA127" s="327"/>
      <c r="FB127" s="327"/>
      <c r="FC127" s="327"/>
      <c r="FD127" s="327"/>
      <c r="FE127" s="327"/>
      <c r="FF127" s="327"/>
      <c r="FG127" s="327"/>
      <c r="FH127" s="327"/>
      <c r="FI127" s="327"/>
      <c r="FJ127" s="327"/>
      <c r="FK127" s="327"/>
      <c r="FL127" s="327"/>
      <c r="FM127" s="327"/>
      <c r="FN127" s="327"/>
      <c r="FO127" s="327"/>
      <c r="FP127" s="327"/>
      <c r="FQ127" s="327"/>
      <c r="FR127" s="327"/>
      <c r="FS127" s="327"/>
      <c r="FT127" s="327"/>
      <c r="FU127" s="327"/>
      <c r="FV127" s="327"/>
      <c r="FW127" s="327"/>
      <c r="FX127" s="327"/>
      <c r="FY127" s="327"/>
      <c r="FZ127" s="327"/>
      <c r="GA127" s="327"/>
      <c r="GB127" s="327"/>
      <c r="GC127" s="327"/>
      <c r="GD127" s="327"/>
      <c r="GE127" s="327"/>
      <c r="GF127" s="327"/>
      <c r="GG127" s="327"/>
      <c r="GH127" s="327"/>
      <c r="GI127" s="327"/>
      <c r="GJ127" s="327"/>
      <c r="GK127" s="327"/>
      <c r="GL127" s="327"/>
      <c r="GM127" s="327"/>
      <c r="GN127" s="327"/>
      <c r="GO127" s="327"/>
      <c r="GP127" s="327"/>
      <c r="GQ127" s="327"/>
      <c r="GR127" s="327"/>
      <c r="GS127" s="327"/>
      <c r="GT127" s="327"/>
      <c r="GU127" s="327"/>
      <c r="GV127" s="327"/>
      <c r="GW127" s="327"/>
      <c r="GX127" s="327"/>
      <c r="GY127" s="327"/>
      <c r="GZ127" s="327"/>
      <c r="HA127" s="327"/>
      <c r="HB127" s="327"/>
      <c r="HC127" s="327"/>
      <c r="HD127" s="327"/>
      <c r="HE127" s="327"/>
      <c r="HF127" s="327"/>
      <c r="HG127" s="327"/>
      <c r="HH127" s="327"/>
      <c r="HI127" s="327"/>
      <c r="HJ127" s="327"/>
      <c r="HK127" s="327"/>
      <c r="HL127" s="327"/>
      <c r="HM127" s="327"/>
      <c r="HN127" s="327"/>
      <c r="HO127" s="327"/>
      <c r="HP127" s="327"/>
      <c r="HQ127" s="327"/>
      <c r="HR127" s="327"/>
      <c r="HS127" s="327"/>
      <c r="HT127" s="327"/>
      <c r="HU127" s="327"/>
      <c r="HV127" s="327"/>
      <c r="HW127" s="327"/>
      <c r="HX127" s="327"/>
      <c r="HY127" s="327"/>
      <c r="HZ127" s="327"/>
      <c r="IA127" s="327"/>
      <c r="IB127" s="327"/>
      <c r="IC127" s="327"/>
      <c r="ID127" s="327"/>
      <c r="IE127" s="327"/>
      <c r="IF127" s="327"/>
      <c r="IG127" s="327"/>
      <c r="IH127" s="327"/>
      <c r="II127" s="327"/>
      <c r="IJ127" s="327"/>
      <c r="IK127" s="327"/>
      <c r="IL127" s="327"/>
      <c r="IM127" s="327"/>
      <c r="IN127" s="327"/>
      <c r="IO127" s="327"/>
      <c r="IP127" s="327"/>
      <c r="IQ127" s="327"/>
      <c r="IR127" s="327"/>
      <c r="IS127" s="327"/>
      <c r="IT127" s="327"/>
      <c r="IU127" s="327"/>
      <c r="IV127" s="327"/>
      <c r="IW127" s="327"/>
      <c r="IX127" s="327"/>
      <c r="IY127" s="327"/>
      <c r="IZ127" s="327"/>
      <c r="JA127" s="327"/>
      <c r="JB127" s="327"/>
      <c r="JC127" s="327"/>
      <c r="JD127" s="327"/>
      <c r="JE127" s="327"/>
      <c r="JF127" s="327"/>
      <c r="JG127" s="327"/>
      <c r="JH127" s="327"/>
      <c r="JI127" s="327"/>
      <c r="JJ127" s="327"/>
      <c r="JK127" s="327"/>
      <c r="JL127" s="327"/>
      <c r="JM127" s="327"/>
      <c r="JN127" s="327"/>
      <c r="JO127" s="327"/>
      <c r="JP127" s="327"/>
      <c r="JQ127" s="327"/>
      <c r="JR127" s="327"/>
      <c r="JS127" s="327"/>
      <c r="JT127" s="327"/>
      <c r="JU127" s="327"/>
      <c r="JV127" s="327"/>
      <c r="JW127"/>
    </row>
    <row r="128" spans="1:283" s="1203" customFormat="1">
      <c r="A128" s="1203" t="s">
        <v>653</v>
      </c>
      <c r="AN128" s="695">
        <f>SUM(AN126:AN127)</f>
        <v>850</v>
      </c>
      <c r="AO128" s="695">
        <f>SUM(AO126:AO127)</f>
        <v>538</v>
      </c>
      <c r="AP128" s="695">
        <f>AN128+AO128</f>
        <v>1388</v>
      </c>
      <c r="AQ128" s="695"/>
      <c r="AR128" s="695">
        <f>SUM(AR126:AR127)</f>
        <v>207.89224302636609</v>
      </c>
      <c r="AS128" s="695">
        <f>SUM(AS126:AS127)</f>
        <v>-137.17233473442866</v>
      </c>
      <c r="AT128" s="695">
        <f>AR128+AS128</f>
        <v>70.719908291937429</v>
      </c>
      <c r="AU128" s="695"/>
      <c r="AV128" s="695">
        <f>SUM(AV126:AV127)</f>
        <v>-123</v>
      </c>
      <c r="AW128" s="695">
        <f>SUM(AW126:AW127)</f>
        <v>67</v>
      </c>
      <c r="AX128" s="695">
        <f t="shared" si="121"/>
        <v>-56</v>
      </c>
      <c r="AY128" s="695"/>
      <c r="AZ128" s="695">
        <f>SUM(AZ126:AZ127)</f>
        <v>44</v>
      </c>
      <c r="BA128" s="695">
        <f>SUM(BA126:BA127)</f>
        <v>162</v>
      </c>
      <c r="BB128" s="695">
        <f t="shared" si="122"/>
        <v>206</v>
      </c>
      <c r="BC128" s="695"/>
      <c r="BD128" s="695">
        <f>SUM(BD126:BD127)</f>
        <v>8</v>
      </c>
      <c r="BE128" s="695">
        <f>SUM(BE126:BE127)</f>
        <v>77.000300000000038</v>
      </c>
      <c r="BF128" s="695">
        <f t="shared" si="123"/>
        <v>85.000300000000038</v>
      </c>
      <c r="BG128" s="695"/>
      <c r="BH128" s="695">
        <f>SUM(BH126:BH127)</f>
        <v>10</v>
      </c>
      <c r="BI128" s="695">
        <f>SUM(BI126:BI127)</f>
        <v>140</v>
      </c>
      <c r="BJ128" s="695">
        <f t="shared" si="124"/>
        <v>150</v>
      </c>
      <c r="BK128" s="1204"/>
      <c r="BL128" s="695">
        <f>SUM(BL126:BL127)</f>
        <v>101</v>
      </c>
      <c r="BM128" s="695">
        <f>SUM(BM126:BM127)</f>
        <v>179</v>
      </c>
      <c r="BN128" s="695">
        <f t="shared" si="125"/>
        <v>280</v>
      </c>
      <c r="BO128" s="1204"/>
      <c r="BP128" s="695">
        <f>SUM(BP126:BP127)</f>
        <v>150</v>
      </c>
      <c r="BQ128" s="695">
        <f>SUM(BQ126:BQ127)</f>
        <v>280</v>
      </c>
      <c r="BR128" s="695">
        <f t="shared" si="126"/>
        <v>430</v>
      </c>
      <c r="BS128" s="1204"/>
      <c r="BT128" s="695">
        <f>SUM(BT126:BT127)</f>
        <v>170</v>
      </c>
      <c r="BU128" s="695">
        <f>SUM(BU126:BU127)</f>
        <v>281</v>
      </c>
      <c r="BV128" s="695">
        <f t="shared" si="127"/>
        <v>451</v>
      </c>
      <c r="BW128" s="695"/>
      <c r="BX128" s="695">
        <f>SUM(BX126:BX127)</f>
        <v>205</v>
      </c>
      <c r="BY128" s="695">
        <f>SUM(BY126:BY127)</f>
        <v>278</v>
      </c>
      <c r="BZ128" s="695">
        <f t="shared" si="128"/>
        <v>483</v>
      </c>
      <c r="CA128" s="1218">
        <f>+BZ128/BV128-1</f>
        <v>7.0953436807095427E-2</v>
      </c>
      <c r="CB128" s="695">
        <f>SUM(CB126:CB127)</f>
        <v>199</v>
      </c>
      <c r="CC128" s="695">
        <f>SUM(CC126:CC127)</f>
        <v>517</v>
      </c>
      <c r="CD128" s="695">
        <f t="shared" si="129"/>
        <v>716</v>
      </c>
      <c r="CE128" s="1218">
        <f>+CD128/BZ128-1</f>
        <v>0.48240165631469978</v>
      </c>
      <c r="CF128" s="695">
        <f>SUM(CF126:CF127)</f>
        <v>509</v>
      </c>
      <c r="CG128" s="695">
        <f>SUM(CG126:CG127)</f>
        <v>1265</v>
      </c>
      <c r="CH128" s="695">
        <f t="shared" si="130"/>
        <v>1774</v>
      </c>
      <c r="CI128" s="1218">
        <f>+CH128/CD128-1</f>
        <v>1.477653631284916</v>
      </c>
      <c r="CJ128" s="695">
        <f>SUM(CJ126:CJ127)</f>
        <v>221</v>
      </c>
      <c r="CK128" s="695">
        <f>SUM(CK126:CK127)</f>
        <v>542</v>
      </c>
      <c r="CL128" s="695">
        <f t="shared" si="131"/>
        <v>763</v>
      </c>
      <c r="CM128" s="695"/>
      <c r="CN128" s="695">
        <f>SUM(CN126:CN127)</f>
        <v>-189</v>
      </c>
      <c r="CO128" s="695">
        <f>SUM(CO126:CO127)</f>
        <v>840</v>
      </c>
      <c r="CP128" s="695">
        <f t="shared" si="132"/>
        <v>651</v>
      </c>
      <c r="CQ128" s="695"/>
      <c r="CR128" s="695">
        <f>SUM(CR126:CR127)</f>
        <v>676</v>
      </c>
      <c r="CS128" s="695">
        <f>SUM(CS126:CS127)</f>
        <v>845</v>
      </c>
      <c r="CT128" s="695">
        <f t="shared" si="133"/>
        <v>1521</v>
      </c>
      <c r="CU128" s="695"/>
      <c r="CV128" s="695">
        <f>SUM(CV126:CV127)</f>
        <v>595</v>
      </c>
      <c r="CW128" s="695">
        <f>SUM(CW126:CW127)</f>
        <v>206</v>
      </c>
      <c r="CX128" s="695">
        <f t="shared" si="134"/>
        <v>801</v>
      </c>
      <c r="CY128" s="695"/>
      <c r="CZ128" s="695">
        <f>SUM(CZ126:CZ127)</f>
        <v>430</v>
      </c>
      <c r="DA128" s="695">
        <f>SUM(DA126:DA127)</f>
        <v>621</v>
      </c>
      <c r="DB128" s="695">
        <f t="shared" si="135"/>
        <v>1051</v>
      </c>
      <c r="DC128" s="695"/>
      <c r="DD128" s="695">
        <f>SUM(DD126:DD127)</f>
        <v>371</v>
      </c>
      <c r="DE128" s="695">
        <f>SUM(DE126:DE127)</f>
        <v>672</v>
      </c>
      <c r="DF128" s="695">
        <f t="shared" si="136"/>
        <v>1043</v>
      </c>
      <c r="DG128" s="695"/>
      <c r="DH128" s="695">
        <f>SUM(DH126:DH127)</f>
        <v>711</v>
      </c>
      <c r="DI128" s="695">
        <f>SUM(DI126:DI127)</f>
        <v>849.90100000000029</v>
      </c>
      <c r="DJ128" s="695">
        <f t="shared" si="138"/>
        <v>1560.9010000000003</v>
      </c>
      <c r="DK128" s="695"/>
      <c r="DL128" s="695">
        <f>SUM(DL126:DL127)</f>
        <v>908.49266000000034</v>
      </c>
      <c r="DM128" s="695">
        <f>SUM(DM126:DM127)</f>
        <v>1130.8744887999999</v>
      </c>
      <c r="DN128" s="695">
        <f t="shared" si="140"/>
        <v>2039.3671488000002</v>
      </c>
      <c r="DO128" s="695"/>
      <c r="DP128" s="695">
        <f>SUM(DP126:DP127)</f>
        <v>1018.3728323640003</v>
      </c>
      <c r="DQ128" s="695">
        <f>SUM(DQ126:DQ127)</f>
        <v>1247.9693182829196</v>
      </c>
      <c r="DR128" s="695">
        <f t="shared" si="142"/>
        <v>2266.3421506469199</v>
      </c>
      <c r="DS128" s="695"/>
      <c r="DT128" s="695"/>
      <c r="DU128" s="695"/>
      <c r="DV128" s="695"/>
      <c r="DW128" s="1205"/>
      <c r="DX128" s="695"/>
      <c r="DY128" s="695"/>
      <c r="DZ128" s="695"/>
      <c r="EA128" s="695"/>
      <c r="EB128" s="695"/>
      <c r="EC128" s="695"/>
      <c r="ED128" s="695"/>
      <c r="EE128" s="695"/>
      <c r="EF128" s="695"/>
      <c r="EG128" s="695"/>
      <c r="EH128" s="695"/>
      <c r="EI128" s="695"/>
      <c r="EJ128" s="695"/>
      <c r="EK128" s="695"/>
      <c r="EL128" s="695"/>
      <c r="EM128" s="695"/>
      <c r="EN128" s="695"/>
      <c r="EO128" s="695"/>
      <c r="EP128" s="695"/>
      <c r="EQ128" s="695"/>
      <c r="ER128" s="695"/>
      <c r="ES128" s="695"/>
      <c r="ET128" s="695"/>
      <c r="EU128" s="695"/>
      <c r="JW128"/>
    </row>
    <row r="129" spans="1:283" s="332" customFormat="1">
      <c r="AN129" s="293"/>
      <c r="AO129" s="293"/>
      <c r="AP129" s="293"/>
      <c r="AQ129" s="293"/>
      <c r="AR129" s="293"/>
      <c r="AS129" s="293"/>
      <c r="AT129" s="293"/>
      <c r="AU129" s="293"/>
      <c r="AV129" s="293"/>
      <c r="AW129" s="293"/>
      <c r="AX129" s="293"/>
      <c r="AY129" s="293"/>
      <c r="AZ129" s="293"/>
      <c r="BA129" s="293"/>
      <c r="BB129" s="293"/>
      <c r="BC129" s="293"/>
      <c r="BD129" s="293"/>
      <c r="BE129" s="293"/>
      <c r="BF129" s="293"/>
      <c r="BG129" s="293"/>
      <c r="BH129" s="293"/>
      <c r="BI129" s="293"/>
      <c r="BJ129" s="293"/>
      <c r="BK129" s="293"/>
      <c r="BL129" s="293"/>
      <c r="BM129" s="293"/>
      <c r="BN129" s="293"/>
      <c r="BO129" s="293"/>
      <c r="BP129" s="658"/>
      <c r="BQ129" s="293"/>
      <c r="BR129" s="293"/>
      <c r="BS129" s="293"/>
      <c r="BT129" s="658"/>
      <c r="BU129" s="293"/>
      <c r="BV129" s="293"/>
      <c r="BW129" s="293"/>
      <c r="BX129" s="658"/>
      <c r="BY129" s="293"/>
      <c r="BZ129" s="293"/>
      <c r="CA129" s="293"/>
      <c r="CB129" s="658"/>
      <c r="CC129" s="293"/>
      <c r="CD129" s="293"/>
      <c r="CE129" s="293"/>
      <c r="CF129" s="658"/>
      <c r="CG129" s="293"/>
      <c r="CH129" s="293"/>
      <c r="CI129" s="293"/>
      <c r="CJ129" s="658"/>
      <c r="CK129" s="293"/>
      <c r="CL129" s="293"/>
      <c r="CM129" s="293"/>
      <c r="CN129" s="658"/>
      <c r="CO129" s="293"/>
      <c r="CP129" s="293"/>
      <c r="CQ129" s="293"/>
      <c r="CR129" s="293"/>
      <c r="CS129" s="293"/>
      <c r="CT129" s="293"/>
      <c r="CU129" s="293"/>
      <c r="CV129" s="293"/>
      <c r="CW129" s="293"/>
      <c r="CX129" s="293"/>
      <c r="CY129" s="293"/>
      <c r="CZ129" s="293"/>
      <c r="DA129" s="293"/>
      <c r="DB129" s="293"/>
      <c r="DC129" s="293"/>
      <c r="DD129" s="293"/>
      <c r="DE129" s="293"/>
      <c r="DF129" s="293"/>
      <c r="DG129" s="293"/>
      <c r="DH129" s="293"/>
      <c r="DI129" s="293"/>
      <c r="DJ129" s="293"/>
      <c r="DK129" s="293"/>
      <c r="DL129" s="293"/>
      <c r="DM129" s="293"/>
      <c r="DN129" s="293"/>
      <c r="DO129" s="293"/>
      <c r="DP129" s="293"/>
      <c r="DQ129" s="293"/>
      <c r="DR129" s="293"/>
      <c r="DS129" s="293"/>
      <c r="DT129" s="293"/>
      <c r="DU129" s="293"/>
      <c r="DV129" s="293"/>
      <c r="DW129" s="293"/>
      <c r="DX129" s="293"/>
      <c r="DY129" s="293"/>
      <c r="DZ129" s="293"/>
      <c r="EA129" s="293"/>
      <c r="EB129" s="293"/>
      <c r="EC129" s="293"/>
      <c r="ED129" s="293"/>
      <c r="EE129" s="293"/>
      <c r="EF129" s="293"/>
      <c r="EG129" s="293"/>
      <c r="EH129" s="293"/>
      <c r="EI129" s="293"/>
      <c r="EJ129" s="293"/>
      <c r="EK129" s="293"/>
      <c r="EL129" s="293"/>
      <c r="EM129" s="293"/>
      <c r="EN129" s="293"/>
      <c r="EO129" s="293"/>
      <c r="EP129" s="293"/>
      <c r="EQ129" s="293"/>
      <c r="ER129" s="293"/>
      <c r="ES129" s="293"/>
      <c r="ET129" s="293"/>
      <c r="EU129" s="293"/>
      <c r="EV129" s="293"/>
      <c r="EW129" s="293"/>
      <c r="EX129" s="293"/>
      <c r="EY129" s="293"/>
      <c r="EZ129" s="293"/>
      <c r="FA129" s="293"/>
      <c r="FB129" s="293"/>
      <c r="FC129" s="293"/>
      <c r="FD129" s="293"/>
      <c r="FE129" s="293"/>
      <c r="FF129" s="293"/>
      <c r="FG129" s="293"/>
      <c r="FH129" s="293"/>
      <c r="FI129" s="293"/>
      <c r="FJ129" s="293"/>
      <c r="FK129" s="293"/>
      <c r="FL129" s="293"/>
      <c r="FM129" s="293"/>
      <c r="FN129" s="293"/>
      <c r="FO129" s="293"/>
      <c r="FP129" s="293"/>
      <c r="FQ129" s="293"/>
      <c r="FR129" s="293"/>
      <c r="FS129" s="293"/>
      <c r="FT129" s="293"/>
      <c r="FU129" s="293"/>
      <c r="FV129" s="293"/>
      <c r="FW129" s="293"/>
      <c r="FX129" s="293"/>
      <c r="FY129" s="293"/>
      <c r="FZ129" s="293"/>
      <c r="GA129" s="293"/>
      <c r="GB129" s="293"/>
      <c r="GC129" s="293"/>
      <c r="GD129" s="293"/>
      <c r="GE129" s="293"/>
      <c r="GF129" s="293"/>
      <c r="GG129" s="293"/>
      <c r="GH129" s="293"/>
      <c r="GI129" s="293"/>
      <c r="GJ129" s="293"/>
      <c r="GK129" s="293"/>
      <c r="GL129" s="293"/>
      <c r="GM129" s="293"/>
      <c r="GN129" s="293"/>
      <c r="GO129" s="293"/>
      <c r="GP129" s="293"/>
      <c r="GQ129" s="293"/>
      <c r="GR129" s="293"/>
      <c r="GS129" s="293"/>
      <c r="GT129" s="293"/>
      <c r="GU129" s="293"/>
      <c r="GV129" s="293"/>
      <c r="GW129" s="293"/>
      <c r="GX129" s="293"/>
      <c r="GY129" s="293"/>
      <c r="GZ129" s="293"/>
      <c r="HA129" s="293"/>
      <c r="HB129" s="293"/>
      <c r="HC129" s="293"/>
      <c r="HD129" s="293"/>
      <c r="HE129" s="293"/>
      <c r="HF129" s="293"/>
      <c r="HG129" s="293"/>
      <c r="HH129" s="293"/>
      <c r="HI129" s="293"/>
      <c r="HJ129" s="293"/>
      <c r="HK129" s="293"/>
      <c r="HL129" s="293"/>
      <c r="HM129" s="293"/>
      <c r="HN129" s="293"/>
      <c r="HO129" s="293"/>
      <c r="HP129" s="293"/>
      <c r="HQ129" s="293"/>
      <c r="HR129" s="293"/>
      <c r="HS129" s="293"/>
      <c r="HT129" s="293"/>
      <c r="HU129" s="293"/>
      <c r="HV129" s="293"/>
      <c r="HW129" s="293"/>
      <c r="HX129" s="293"/>
      <c r="HY129" s="293"/>
      <c r="HZ129" s="293"/>
      <c r="IA129" s="293"/>
      <c r="IB129" s="293"/>
      <c r="IC129" s="293"/>
      <c r="ID129" s="293"/>
      <c r="IE129" s="293"/>
      <c r="IF129" s="293"/>
      <c r="IG129" s="293"/>
      <c r="IH129" s="293"/>
      <c r="II129" s="293"/>
      <c r="IJ129" s="293"/>
      <c r="IK129" s="293"/>
      <c r="IL129" s="293"/>
      <c r="IM129" s="293"/>
      <c r="IN129" s="293"/>
      <c r="IO129" s="293"/>
      <c r="IP129" s="293"/>
      <c r="IQ129" s="293"/>
      <c r="IR129" s="293"/>
      <c r="IS129" s="293"/>
      <c r="IT129" s="293"/>
      <c r="IU129" s="293"/>
      <c r="IV129" s="293"/>
      <c r="IW129" s="293"/>
      <c r="IX129" s="293"/>
      <c r="IY129" s="293"/>
      <c r="IZ129" s="293"/>
      <c r="JA129" s="293"/>
      <c r="JB129" s="293"/>
      <c r="JC129" s="293"/>
      <c r="JD129" s="293"/>
      <c r="JE129" s="293"/>
      <c r="JF129" s="293"/>
      <c r="JG129" s="293"/>
      <c r="JH129" s="293"/>
      <c r="JI129" s="293"/>
      <c r="JJ129" s="293"/>
      <c r="JK129" s="293"/>
      <c r="JL129" s="293"/>
      <c r="JM129" s="293"/>
      <c r="JN129" s="293"/>
      <c r="JO129" s="293"/>
      <c r="JP129" s="293"/>
      <c r="JQ129" s="293"/>
      <c r="JR129" s="293"/>
      <c r="JS129" s="293"/>
      <c r="JT129" s="293"/>
      <c r="JU129" s="293"/>
      <c r="JV129" s="293"/>
      <c r="JW129"/>
    </row>
    <row r="130" spans="1:283" s="332" customFormat="1">
      <c r="A130" s="1092" t="s">
        <v>835</v>
      </c>
      <c r="AN130" s="293"/>
      <c r="AO130" s="293"/>
      <c r="AP130" s="293"/>
      <c r="AQ130" s="293"/>
      <c r="AR130" s="293"/>
      <c r="AS130" s="293"/>
      <c r="AT130" s="293"/>
      <c r="AU130" s="293"/>
      <c r="AV130" s="293"/>
      <c r="AW130" s="293"/>
      <c r="AX130" s="293"/>
      <c r="AY130" s="293"/>
      <c r="AZ130" s="293"/>
      <c r="BA130" s="293"/>
      <c r="BB130" s="293"/>
      <c r="BC130" s="293"/>
      <c r="BD130" s="293"/>
      <c r="BE130" s="293"/>
      <c r="BF130" s="293"/>
      <c r="BG130" s="293"/>
      <c r="BH130" s="293"/>
      <c r="BI130" s="293"/>
      <c r="BJ130" s="293"/>
      <c r="BK130" s="325"/>
      <c r="BL130" s="293"/>
      <c r="BM130" s="293"/>
      <c r="BN130" s="293"/>
      <c r="BO130" s="293"/>
      <c r="BP130" s="293"/>
      <c r="BQ130" s="293"/>
      <c r="BR130" s="293"/>
      <c r="BS130" s="293"/>
      <c r="BT130" s="293"/>
      <c r="BU130" s="293"/>
      <c r="BV130" s="293"/>
      <c r="BW130" s="293"/>
      <c r="BX130" s="293"/>
      <c r="BY130" s="293"/>
      <c r="BZ130" s="293"/>
      <c r="CA130" s="293"/>
      <c r="CB130" s="293"/>
      <c r="CC130" s="293"/>
      <c r="CD130" s="293"/>
      <c r="CE130" s="293"/>
      <c r="CF130" s="293"/>
      <c r="CG130" s="293"/>
      <c r="CH130" s="293"/>
      <c r="CI130" s="293"/>
      <c r="CJ130" s="293"/>
      <c r="CK130" s="293"/>
      <c r="CL130" s="293"/>
      <c r="CM130" s="293"/>
      <c r="CN130" s="293"/>
      <c r="CO130" s="293"/>
      <c r="CP130" s="293"/>
      <c r="CQ130" s="293"/>
      <c r="CR130" s="293"/>
      <c r="CS130" s="293"/>
      <c r="CT130" s="293"/>
      <c r="CU130" s="293"/>
      <c r="CV130" s="293"/>
      <c r="CW130" s="293"/>
      <c r="CX130" s="293"/>
      <c r="CY130" s="293"/>
      <c r="CZ130" s="293"/>
      <c r="DA130" s="293"/>
      <c r="DB130" s="293"/>
      <c r="DC130" s="293"/>
      <c r="DD130" s="293"/>
      <c r="DE130" s="293"/>
      <c r="DF130" s="293"/>
      <c r="DG130" s="293"/>
      <c r="DH130" s="293"/>
      <c r="DI130" s="293"/>
      <c r="DJ130" s="293"/>
      <c r="DK130" s="293"/>
      <c r="DL130" s="293"/>
      <c r="DM130" s="293"/>
      <c r="DN130" s="293"/>
      <c r="DO130" s="293"/>
      <c r="DP130" s="293"/>
      <c r="DQ130" s="293"/>
      <c r="DR130" s="293"/>
      <c r="DS130" s="293"/>
      <c r="DT130" s="293"/>
      <c r="DU130" s="293"/>
      <c r="DV130" s="293"/>
      <c r="DW130" s="293"/>
      <c r="DX130" s="293"/>
      <c r="DY130" s="293"/>
      <c r="DZ130" s="293"/>
      <c r="EA130" s="293"/>
      <c r="EB130" s="293"/>
      <c r="EC130" s="293"/>
      <c r="ED130" s="293"/>
      <c r="EE130" s="293"/>
      <c r="EF130" s="293"/>
      <c r="EG130" s="293"/>
      <c r="EH130" s="293"/>
      <c r="EI130" s="293"/>
      <c r="EJ130" s="293"/>
      <c r="EK130" s="293"/>
      <c r="EL130" s="293"/>
      <c r="EM130" s="293"/>
      <c r="EN130" s="293"/>
      <c r="EO130" s="293"/>
      <c r="EP130" s="293"/>
      <c r="EQ130" s="293"/>
      <c r="ER130" s="293"/>
      <c r="ES130" s="293"/>
      <c r="ET130" s="293"/>
      <c r="EU130" s="293"/>
      <c r="JW130"/>
    </row>
    <row r="131" spans="1:283" s="332" customFormat="1">
      <c r="A131" s="1079" t="str">
        <f>+A120</f>
        <v>Total operating income</v>
      </c>
      <c r="AN131" s="293"/>
      <c r="AO131" s="293"/>
      <c r="AP131" s="293"/>
      <c r="AQ131" s="293"/>
      <c r="AR131" s="293"/>
      <c r="AS131" s="293"/>
      <c r="AT131" s="293"/>
      <c r="AU131" s="293"/>
      <c r="AV131" s="293"/>
      <c r="AW131" s="293"/>
      <c r="AX131" s="293"/>
      <c r="AY131" s="293"/>
      <c r="AZ131" s="294">
        <f>AZ120/AV120-1</f>
        <v>0.7560386473429952</v>
      </c>
      <c r="BA131" s="294">
        <f>BA120/AW120-1</f>
        <v>0.14121338912133896</v>
      </c>
      <c r="BB131" s="294">
        <f>BB120/AX120-1</f>
        <v>0.32700729927007299</v>
      </c>
      <c r="BC131" s="293"/>
      <c r="BD131" s="294">
        <f>BD120/AZ120-1</f>
        <v>-0.26272352132049515</v>
      </c>
      <c r="BE131" s="294">
        <f>BE120/BA120-1</f>
        <v>-0.28505957836846929</v>
      </c>
      <c r="BF131" s="294">
        <f>BF120/BB120-1</f>
        <v>-0.27612761276127618</v>
      </c>
      <c r="BG131" s="331"/>
      <c r="BH131" s="294">
        <f>BH120/BD120-1</f>
        <v>-5.9701492537313383E-2</v>
      </c>
      <c r="BI131" s="294">
        <f>BI120/BE120-1</f>
        <v>5.8974358974358987E-2</v>
      </c>
      <c r="BJ131" s="294">
        <f>BJ120/BF120-1</f>
        <v>1.0638297872340496E-2</v>
      </c>
      <c r="BK131" s="293"/>
      <c r="BL131" s="294">
        <f>BL120/BH120-1</f>
        <v>0.47619047619047628</v>
      </c>
      <c r="BM131" s="294">
        <f>BM120/BI120-1</f>
        <v>7.7481840193704521E-2</v>
      </c>
      <c r="BN131" s="294">
        <f>BN120/BJ120-1</f>
        <v>0.22857142857142865</v>
      </c>
      <c r="BO131" s="293"/>
      <c r="BP131" s="294">
        <f>BP120/BL120-1</f>
        <v>0.18010752688172049</v>
      </c>
      <c r="BQ131" s="294">
        <f>BQ120/BM120-1</f>
        <v>0.3820224719101124</v>
      </c>
      <c r="BR131" s="294">
        <f>BR120/BN120-1</f>
        <v>0.29008567931456541</v>
      </c>
      <c r="BS131" s="293"/>
      <c r="BT131" s="294">
        <f>BT120/BP120-1</f>
        <v>0.17539863325740312</v>
      </c>
      <c r="BU131" s="294">
        <f>BU120/BQ120-1</f>
        <v>7.642276422764227E-2</v>
      </c>
      <c r="BV131" s="294">
        <f>BV120/BR120-1</f>
        <v>0.11764705882352944</v>
      </c>
      <c r="BW131" s="293"/>
      <c r="BX131" s="294">
        <f>BX120/BT120-1</f>
        <v>0.1027131782945736</v>
      </c>
      <c r="BY131" s="294">
        <f>BY120/BU120-1</f>
        <v>-3.7764350453172169E-2</v>
      </c>
      <c r="BZ131" s="294">
        <f>BZ120/BV120-1</f>
        <v>2.3769100169779289E-2</v>
      </c>
      <c r="CA131" s="293"/>
      <c r="CB131" s="294">
        <f>CB120/BX120-1</f>
        <v>-5.2724077328646368E-3</v>
      </c>
      <c r="CC131" s="294">
        <f>CC120/BY120-1</f>
        <v>0.40345368916797497</v>
      </c>
      <c r="CD131" s="294">
        <f>CD120/BZ120-1</f>
        <v>0.21061359867330021</v>
      </c>
      <c r="CE131" s="293"/>
      <c r="CF131" s="294">
        <f>CF120/CB120-1</f>
        <v>0.80742049469964661</v>
      </c>
      <c r="CG131" s="294">
        <f>CG120/CC120-1</f>
        <v>1.0257270693512304</v>
      </c>
      <c r="CH131" s="294">
        <f>CH120/CD120-1</f>
        <v>0.94109589041095898</v>
      </c>
      <c r="CI131" s="293"/>
      <c r="CJ131" s="294">
        <f>CJ120/CF120-1</f>
        <v>0.10752688172043001</v>
      </c>
      <c r="CK131" s="294">
        <f>CK120/CG120-1</f>
        <v>-0.23909442297073435</v>
      </c>
      <c r="CL131" s="294">
        <f>CL120/CH120-1</f>
        <v>-0.11397318278052226</v>
      </c>
      <c r="CM131" s="293"/>
      <c r="CN131" s="294">
        <f>CN120/CJ120-1</f>
        <v>-0.45807590467784642</v>
      </c>
      <c r="CO131" s="294">
        <f>CO120/CK120-1</f>
        <v>0.18577648766328014</v>
      </c>
      <c r="CP131" s="294">
        <f>CP120/CL120-1</f>
        <v>-0.10473914774990045</v>
      </c>
      <c r="CQ131" s="293"/>
      <c r="CR131" s="294">
        <f>CR120/CN120-1</f>
        <v>1.231270358306189</v>
      </c>
      <c r="CS131" s="294">
        <f>CS120/CO120-1</f>
        <v>2.2031823745410017E-2</v>
      </c>
      <c r="CT131" s="294">
        <f>CT120/CP120-1</f>
        <v>0.35231316725978656</v>
      </c>
      <c r="CU131" s="293"/>
      <c r="CV131" s="294">
        <f>CV120/CR120-1</f>
        <v>-6.0583941605839464E-2</v>
      </c>
      <c r="CW131" s="294">
        <f>CW120/CS120-1</f>
        <v>-0.43712574850299402</v>
      </c>
      <c r="CX131" s="294">
        <f>CX120/CT120-1</f>
        <v>-0.26743421052631577</v>
      </c>
      <c r="CY131" s="293"/>
      <c r="CZ131" s="294">
        <f>CZ120/CV120-1</f>
        <v>-5.2059052059052036E-2</v>
      </c>
      <c r="DA131" s="294">
        <f>DA120/CW120-1</f>
        <v>0.48085106382978715</v>
      </c>
      <c r="DB131" s="294">
        <f>DB120/CX120-1</f>
        <v>0.17287831162999545</v>
      </c>
      <c r="DC131" s="293"/>
      <c r="DD131" s="294">
        <f>DD120/CZ120-1</f>
        <v>-6.1475409836065587E-2</v>
      </c>
      <c r="DE131" s="294">
        <f>DE120/DA120-1</f>
        <v>7.2557471264367734E-2</v>
      </c>
      <c r="DF131" s="294">
        <f>DF120/DB120-1</f>
        <v>9.9540581929555838E-3</v>
      </c>
      <c r="DG131" s="293"/>
      <c r="DH131" s="294">
        <f>DH120/DD120-1</f>
        <v>0.30655021834061125</v>
      </c>
      <c r="DI131" s="294">
        <f>DI120/DE120-1</f>
        <v>0.11813797722705988</v>
      </c>
      <c r="DJ131" s="294">
        <f>DJ120/DF120-1</f>
        <v>0.19991660348749063</v>
      </c>
      <c r="DK131" s="293"/>
      <c r="DL131" s="294">
        <f>DL120/DH120-1</f>
        <v>0.131160695187166</v>
      </c>
      <c r="DM131" s="294">
        <f>DM120/DI120-1</f>
        <v>0.18302441145814585</v>
      </c>
      <c r="DN131" s="294">
        <f>DN120/DJ120-1</f>
        <v>0.15851294062640187</v>
      </c>
      <c r="DO131" s="293"/>
      <c r="DP131" s="294">
        <f>DP120/DL120-1</f>
        <v>7.836790747329947E-2</v>
      </c>
      <c r="DQ131" s="294">
        <f>DQ120/DM120-1</f>
        <v>7.1121086450945725E-2</v>
      </c>
      <c r="DR131" s="294">
        <f>DR120/DN120-1</f>
        <v>7.4465166708680641E-2</v>
      </c>
      <c r="DS131" s="293"/>
      <c r="DT131" s="293"/>
      <c r="DU131" s="293"/>
      <c r="DV131" s="293"/>
      <c r="DW131" s="294"/>
      <c r="DX131" s="294"/>
      <c r="DY131" s="294"/>
      <c r="DZ131" s="293"/>
      <c r="EA131" s="294"/>
      <c r="EB131" s="294"/>
      <c r="EC131" s="294"/>
      <c r="ED131" s="293"/>
      <c r="EE131" s="294"/>
      <c r="EF131" s="294"/>
      <c r="EG131" s="294"/>
      <c r="EH131" s="293"/>
      <c r="EI131" s="294"/>
      <c r="EJ131" s="294"/>
      <c r="EK131" s="294"/>
      <c r="EL131" s="293"/>
      <c r="EM131" s="293"/>
      <c r="EN131" s="293"/>
      <c r="EO131" s="293"/>
      <c r="EP131" s="293"/>
      <c r="EQ131" s="293"/>
      <c r="ER131" s="293"/>
      <c r="ES131" s="293"/>
      <c r="ET131" s="293"/>
      <c r="EU131" s="293"/>
      <c r="JW131"/>
    </row>
    <row r="132" spans="1:283" s="332" customFormat="1">
      <c r="A132" s="1079" t="str">
        <f>A125</f>
        <v>Total operating expenses</v>
      </c>
      <c r="AN132" s="293"/>
      <c r="AO132" s="293"/>
      <c r="AP132" s="293"/>
      <c r="AQ132" s="293"/>
      <c r="AR132" s="293"/>
      <c r="AS132" s="293"/>
      <c r="AT132" s="293"/>
      <c r="AU132" s="293"/>
      <c r="AV132" s="293"/>
      <c r="AW132" s="293"/>
      <c r="AX132" s="293"/>
      <c r="AY132" s="293"/>
      <c r="AZ132" s="294">
        <f t="shared" ref="AZ132:BB133" si="152">AZ125/AV125-1</f>
        <v>1.5060240963855609E-3</v>
      </c>
      <c r="BA132" s="294">
        <f t="shared" si="152"/>
        <v>-8.9646464646464641E-2</v>
      </c>
      <c r="BB132" s="294">
        <f t="shared" si="152"/>
        <v>-4.8076923076923128E-2</v>
      </c>
      <c r="BC132" s="293"/>
      <c r="BD132" s="294">
        <f t="shared" ref="BD132:BF133" si="153">BD125/AZ125-1</f>
        <v>-0.16390977443609023</v>
      </c>
      <c r="BE132" s="294">
        <f t="shared" si="153"/>
        <v>-0.1816929264909849</v>
      </c>
      <c r="BF132" s="294">
        <f t="shared" si="153"/>
        <v>-0.17316060606060613</v>
      </c>
      <c r="BG132" s="331"/>
      <c r="BH132" s="294">
        <f t="shared" ref="BH132:BJ133" si="154">BH125/BD125-1</f>
        <v>-6.4748201438848962E-2</v>
      </c>
      <c r="BI132" s="294">
        <f t="shared" si="154"/>
        <v>-0.12203300545729356</v>
      </c>
      <c r="BJ132" s="294">
        <f t="shared" si="154"/>
        <v>-9.4240363476630007E-2</v>
      </c>
      <c r="BK132" s="293"/>
      <c r="BL132" s="294">
        <f t="shared" ref="BL132:BP133" si="155">BL125/BH125-1</f>
        <v>8.8461538461538369E-2</v>
      </c>
      <c r="BM132" s="294">
        <f t="shared" si="155"/>
        <v>2.316602316602312E-2</v>
      </c>
      <c r="BN132" s="294">
        <f t="shared" si="155"/>
        <v>5.5876685934489467E-2</v>
      </c>
      <c r="BO132" s="293"/>
      <c r="BP132" s="294">
        <f t="shared" si="155"/>
        <v>2.4734982332155431E-2</v>
      </c>
      <c r="BQ132" s="294">
        <f>BQ125/BM125-1</f>
        <v>0.27924528301886786</v>
      </c>
      <c r="BR132" s="294">
        <f>BR125/BN125-1</f>
        <v>0.14781021897810209</v>
      </c>
      <c r="BS132" s="293"/>
      <c r="BT132" s="294">
        <f t="shared" ref="BT132:BX133" si="156">BT125/BP125-1</f>
        <v>0.19310344827586201</v>
      </c>
      <c r="BU132" s="294">
        <f t="shared" si="156"/>
        <v>0.13864306784660774</v>
      </c>
      <c r="BV132" s="294">
        <f t="shared" si="156"/>
        <v>0.16375198728139906</v>
      </c>
      <c r="BW132" s="293"/>
      <c r="BX132" s="294">
        <f t="shared" si="156"/>
        <v>8.381502890173409E-2</v>
      </c>
      <c r="BY132" s="294">
        <f>BY125/BU125-1</f>
        <v>-0.10103626943005184</v>
      </c>
      <c r="BZ132" s="294">
        <f>BZ125/BV125-1</f>
        <v>-1.3661202185792365E-2</v>
      </c>
      <c r="CA132" s="293"/>
      <c r="CB132" s="294">
        <f t="shared" ref="CB132:CB133" si="157">CB125/BX125-1</f>
        <v>-2.6666666666666616E-2</v>
      </c>
      <c r="CC132" s="294">
        <f>CC125/BY125-1</f>
        <v>7.7809798270893404E-2</v>
      </c>
      <c r="CD132" s="294">
        <f>CD125/BZ125-1</f>
        <v>2.3545706371191244E-2</v>
      </c>
      <c r="CE132" s="293"/>
      <c r="CF132" s="294">
        <f t="shared" ref="CF132:CF133" si="158">CF125/CB125-1</f>
        <v>0.38082191780821928</v>
      </c>
      <c r="CG132" s="294">
        <f>CG125/CC125-1</f>
        <v>0.52139037433155089</v>
      </c>
      <c r="CH132" s="294">
        <f>CH125/CD125-1</f>
        <v>0.45196211096075789</v>
      </c>
      <c r="CI132" s="293"/>
      <c r="CJ132" s="294">
        <f t="shared" ref="CJ132:CJ133" si="159">CJ125/CF125-1</f>
        <v>0.81150793650793651</v>
      </c>
      <c r="CK132" s="294">
        <f>CK125/CG125-1</f>
        <v>0.49736379613356774</v>
      </c>
      <c r="CL132" s="294">
        <f>CL125/CH125-1</f>
        <v>0.64492078285181731</v>
      </c>
      <c r="CM132" s="293"/>
      <c r="CN132" s="294">
        <f t="shared" ref="CN132:CN133" si="160">CN125/CJ125-1</f>
        <v>-0.10624315443592547</v>
      </c>
      <c r="CO132" s="294">
        <f>CO125/CK125-1</f>
        <v>-6.3380281690140872E-2</v>
      </c>
      <c r="CP132" s="294">
        <f>CP125/CL125-1</f>
        <v>-8.5552407932011354E-2</v>
      </c>
      <c r="CQ132" s="293"/>
      <c r="CR132" s="294">
        <f t="shared" ref="CR132:CR133" si="161">CR125/CN125-1</f>
        <v>-0.26470588235294112</v>
      </c>
      <c r="CS132" s="294">
        <f t="shared" ref="CS132:CS133" si="162">CS125/CO125-1</f>
        <v>-0.16040100250626566</v>
      </c>
      <c r="CT132" s="294">
        <f t="shared" ref="CT132:CT133" si="163">CT125/CP125-1</f>
        <v>-0.21313506815365546</v>
      </c>
      <c r="CU132" s="293"/>
      <c r="CV132" s="294">
        <f t="shared" ref="CV132:CV133" si="164">CV125/CR125-1</f>
        <v>0.18500000000000005</v>
      </c>
      <c r="CW132" s="294">
        <f t="shared" ref="CW132:CW133" si="165">CW125/CS125-1</f>
        <v>0.11194029850746268</v>
      </c>
      <c r="CX132" s="294">
        <f t="shared" ref="CX132:CX133" si="166">CX125/CT125-1</f>
        <v>0.14645669291338592</v>
      </c>
      <c r="CY132" s="293"/>
      <c r="CZ132" s="294">
        <f t="shared" ref="CZ132:CZ133" si="167">CZ125/CV125-1</f>
        <v>0.10829817158931077</v>
      </c>
      <c r="DA132" s="294">
        <f t="shared" ref="DA132:DA133" si="168">DA125/CW125-1</f>
        <v>6.7114093959732557E-3</v>
      </c>
      <c r="DB132" s="294">
        <f t="shared" ref="DB132:DB133" si="169">DB125/CX125-1</f>
        <v>5.6318681318681341E-2</v>
      </c>
      <c r="DC132" s="293"/>
      <c r="DD132" s="294">
        <f t="shared" ref="DD132:DD133" si="170">DD125/CZ125-1</f>
        <v>-2.1573604060913687E-2</v>
      </c>
      <c r="DE132" s="294">
        <f t="shared" ref="DE132:DE133" si="171">DE125/DA125-1</f>
        <v>8.4000000000000075E-2</v>
      </c>
      <c r="DF132" s="294">
        <f t="shared" ref="DF132:DF133" si="172">DF125/DB125-1</f>
        <v>2.9908972691807589E-2</v>
      </c>
      <c r="DG132" s="293"/>
      <c r="DH132" s="294">
        <f t="shared" ref="DH132:DH133" si="173">DH125/DD125-1</f>
        <v>3.8910505836575737E-3</v>
      </c>
      <c r="DI132" s="294">
        <f t="shared" ref="DI132:DI133" si="174">DI125/DE125-1</f>
        <v>5.5092250922510466E-3</v>
      </c>
      <c r="DJ132" s="294">
        <f t="shared" ref="DJ132:DJ133" si="175">DJ125/DF125-1</f>
        <v>4.7215909090909669E-3</v>
      </c>
      <c r="DK132" s="293"/>
      <c r="DL132" s="294">
        <f t="shared" ref="DL132:DL133" si="176">DL125/DH125-1</f>
        <v>9.9789922480619797E-3</v>
      </c>
      <c r="DM132" s="294">
        <f t="shared" ref="DM132:DM133" si="177">DM125/DI125-1</f>
        <v>3.0048237569405334E-2</v>
      </c>
      <c r="DN132" s="294">
        <f t="shared" ref="DN132:DN133" si="178">DN125/DJ125-1</f>
        <v>2.0287759499182823E-2</v>
      </c>
      <c r="DO132" s="293"/>
      <c r="DP132" s="294">
        <f t="shared" ref="DP132:DP133" si="179">DP125/DL125-1</f>
        <v>2.9083530066516872E-2</v>
      </c>
      <c r="DQ132" s="294">
        <f t="shared" ref="DQ132:DQ133" si="180">DQ125/DM125-1</f>
        <v>2.7746135809358252E-2</v>
      </c>
      <c r="DR132" s="294">
        <f t="shared" ref="DR132:DR133" si="181">DR125/DN125-1</f>
        <v>2.8389992430828181E-2</v>
      </c>
      <c r="DS132" s="293"/>
      <c r="DT132" s="293"/>
      <c r="DU132" s="293"/>
      <c r="DV132" s="293"/>
      <c r="DW132" s="294"/>
      <c r="DX132" s="294"/>
      <c r="DY132" s="294"/>
      <c r="DZ132" s="293"/>
      <c r="EA132" s="294"/>
      <c r="EB132" s="294"/>
      <c r="EC132" s="294"/>
      <c r="ED132" s="293"/>
      <c r="EE132" s="294"/>
      <c r="EF132" s="294"/>
      <c r="EG132" s="294"/>
      <c r="EH132" s="293"/>
      <c r="EI132" s="294"/>
      <c r="EJ132" s="294"/>
      <c r="EK132" s="294"/>
      <c r="EL132" s="293"/>
      <c r="EM132" s="293"/>
      <c r="EN132" s="293"/>
      <c r="EO132" s="293"/>
      <c r="EP132" s="293"/>
      <c r="EQ132" s="293"/>
      <c r="ER132" s="293"/>
      <c r="ES132" s="293"/>
      <c r="ET132" s="293"/>
      <c r="EU132" s="293"/>
      <c r="JW132"/>
    </row>
    <row r="133" spans="1:283" s="332" customFormat="1">
      <c r="A133" s="1079" t="str">
        <f>A126</f>
        <v>Profit before tax</v>
      </c>
      <c r="AN133" s="293"/>
      <c r="AO133" s="293"/>
      <c r="AP133" s="293"/>
      <c r="AQ133" s="293"/>
      <c r="AR133" s="293"/>
      <c r="AS133" s="293"/>
      <c r="AT133" s="293"/>
      <c r="AU133" s="293"/>
      <c r="AV133" s="293"/>
      <c r="AW133" s="293"/>
      <c r="AX133" s="293"/>
      <c r="AY133" s="293"/>
      <c r="AZ133" s="294">
        <f t="shared" si="152"/>
        <v>-1.248</v>
      </c>
      <c r="BA133" s="294">
        <f t="shared" si="152"/>
        <v>1.2560975609756095</v>
      </c>
      <c r="BB133" s="294">
        <f t="shared" si="152"/>
        <v>-6.0232558139534884</v>
      </c>
      <c r="BC133" s="293"/>
      <c r="BD133" s="294">
        <f t="shared" si="153"/>
        <v>-1.3225806451612903</v>
      </c>
      <c r="BE133" s="294">
        <f t="shared" si="153"/>
        <v>-0.48648486486486464</v>
      </c>
      <c r="BF133" s="294">
        <f t="shared" si="153"/>
        <v>-0.60648009259259239</v>
      </c>
      <c r="BG133" s="331"/>
      <c r="BH133" s="294">
        <f t="shared" si="154"/>
        <v>-0.19999999999999996</v>
      </c>
      <c r="BI133" s="294">
        <f t="shared" si="154"/>
        <v>0.62104751248153889</v>
      </c>
      <c r="BJ133" s="294">
        <f t="shared" si="154"/>
        <v>0.71764099656118785</v>
      </c>
      <c r="BK133" s="293"/>
      <c r="BL133" s="294">
        <f t="shared" si="155"/>
        <v>-12.125</v>
      </c>
      <c r="BM133" s="294">
        <f t="shared" si="155"/>
        <v>0.16883116883116878</v>
      </c>
      <c r="BN133" s="294">
        <f t="shared" si="155"/>
        <v>0.84246575342465757</v>
      </c>
      <c r="BO133" s="293"/>
      <c r="BP133" s="294">
        <f t="shared" si="155"/>
        <v>0.67415730337078661</v>
      </c>
      <c r="BQ133" s="294">
        <f>BQ126/BM126-1</f>
        <v>0.53333333333333344</v>
      </c>
      <c r="BR133" s="294">
        <f>BR126/BN126-1</f>
        <v>0.57992565055762091</v>
      </c>
      <c r="BS133" s="293"/>
      <c r="BT133" s="294">
        <f t="shared" si="156"/>
        <v>0.14093959731543615</v>
      </c>
      <c r="BU133" s="294">
        <f t="shared" si="156"/>
        <v>0</v>
      </c>
      <c r="BV133" s="294">
        <f t="shared" si="156"/>
        <v>4.9411764705882266E-2</v>
      </c>
      <c r="BW133" s="293"/>
      <c r="BX133" s="294">
        <f t="shared" si="156"/>
        <v>0.14117647058823524</v>
      </c>
      <c r="BY133" s="294">
        <f>BY126/BU126-1</f>
        <v>5.0724637681159424E-2</v>
      </c>
      <c r="BZ133" s="294">
        <f>BZ126/BV126-1</f>
        <v>8.5201793721973118E-2</v>
      </c>
      <c r="CA133" s="293"/>
      <c r="CB133" s="294">
        <f t="shared" si="157"/>
        <v>3.6082474226804218E-2</v>
      </c>
      <c r="CC133" s="294">
        <f>CC126/BY126-1</f>
        <v>0.7931034482758621</v>
      </c>
      <c r="CD133" s="294">
        <f>CD126/BZ126-1</f>
        <v>0.4896694214876034</v>
      </c>
      <c r="CE133" s="293"/>
      <c r="CF133" s="294">
        <f t="shared" si="158"/>
        <v>1.5820895522388061</v>
      </c>
      <c r="CG133" s="294">
        <f>CG126/CC126-1</f>
        <v>1.3884615384615384</v>
      </c>
      <c r="CH133" s="294">
        <f>CH126/CD126-1</f>
        <v>1.4424410540915393</v>
      </c>
      <c r="CI133" s="293"/>
      <c r="CJ133" s="294">
        <f t="shared" si="159"/>
        <v>-0.5761078998073218</v>
      </c>
      <c r="CK133" s="294">
        <f>CK126/CG126-1</f>
        <v>-0.57648953301127215</v>
      </c>
      <c r="CL133" s="294">
        <f>CL126/CH126-1</f>
        <v>-0.57637705848949461</v>
      </c>
      <c r="CM133" s="293"/>
      <c r="CN133" s="294">
        <f t="shared" si="160"/>
        <v>-1.9181818181818182</v>
      </c>
      <c r="CO133" s="294">
        <f>CO126/CK126-1</f>
        <v>0.58935361216730042</v>
      </c>
      <c r="CP133" s="294">
        <f>CP126/CL126-1</f>
        <v>-0.15013404825737264</v>
      </c>
      <c r="CQ133" s="293"/>
      <c r="CR133" s="294">
        <f t="shared" si="161"/>
        <v>-4.8118811881188117</v>
      </c>
      <c r="CS133" s="294">
        <f t="shared" si="162"/>
        <v>0.19617224880382778</v>
      </c>
      <c r="CT133" s="294">
        <f t="shared" si="163"/>
        <v>1.7917981072555205</v>
      </c>
      <c r="CU133" s="293"/>
      <c r="CV133" s="294">
        <f t="shared" si="164"/>
        <v>-0.25194805194805192</v>
      </c>
      <c r="CW133" s="294">
        <f t="shared" si="165"/>
        <v>-0.80499999999999994</v>
      </c>
      <c r="CX133" s="294">
        <f t="shared" si="166"/>
        <v>-0.56440677966101693</v>
      </c>
      <c r="CY133" s="293"/>
      <c r="CZ133" s="294">
        <f t="shared" si="167"/>
        <v>-0.25</v>
      </c>
      <c r="DA133" s="294">
        <f t="shared" si="168"/>
        <v>2.2923076923076922</v>
      </c>
      <c r="DB133" s="294">
        <f t="shared" si="169"/>
        <v>0.39299610894941628</v>
      </c>
      <c r="DC133" s="293"/>
      <c r="DD133" s="294">
        <f t="shared" si="170"/>
        <v>-0.1342592592592593</v>
      </c>
      <c r="DE133" s="294">
        <f t="shared" si="171"/>
        <v>5.9190031152647871E-2</v>
      </c>
      <c r="DF133" s="294">
        <f t="shared" si="172"/>
        <v>-1.8621973929236479E-2</v>
      </c>
      <c r="DG133" s="293"/>
      <c r="DH133" s="294">
        <f t="shared" si="173"/>
        <v>0.93048128342245984</v>
      </c>
      <c r="DI133" s="294">
        <f t="shared" si="174"/>
        <v>0.25279558823529458</v>
      </c>
      <c r="DJ133" s="294">
        <f t="shared" si="175"/>
        <v>0.49326470588235316</v>
      </c>
      <c r="DK133" s="293"/>
      <c r="DL133" s="294">
        <f t="shared" si="176"/>
        <v>0.26107016620498658</v>
      </c>
      <c r="DM133" s="294">
        <f t="shared" si="177"/>
        <v>0.32981941422770888</v>
      </c>
      <c r="DN133" s="294">
        <f t="shared" si="178"/>
        <v>0.29828187973703546</v>
      </c>
      <c r="DO133" s="293"/>
      <c r="DP133" s="294">
        <f t="shared" si="179"/>
        <v>0.12068210672231006</v>
      </c>
      <c r="DQ133" s="294">
        <f t="shared" si="180"/>
        <v>0.10336081414186737</v>
      </c>
      <c r="DR133" s="294">
        <f t="shared" si="181"/>
        <v>0.11107891304811002</v>
      </c>
      <c r="DS133" s="293"/>
      <c r="DT133" s="293"/>
      <c r="DU133" s="293"/>
      <c r="DV133" s="293"/>
      <c r="DW133" s="294"/>
      <c r="DX133" s="294"/>
      <c r="DY133" s="294"/>
      <c r="DZ133" s="293"/>
      <c r="EA133" s="294"/>
      <c r="EB133" s="294"/>
      <c r="EC133" s="294"/>
      <c r="ED133" s="293"/>
      <c r="EE133" s="294"/>
      <c r="EF133" s="294"/>
      <c r="EG133" s="294"/>
      <c r="EH133" s="293"/>
      <c r="EI133" s="294"/>
      <c r="EJ133" s="294"/>
      <c r="EK133" s="294"/>
      <c r="EL133" s="293"/>
      <c r="EM133" s="293"/>
      <c r="EN133" s="293"/>
      <c r="EO133" s="293"/>
      <c r="EP133" s="293"/>
      <c r="EQ133" s="293"/>
      <c r="ER133" s="293"/>
      <c r="ES133" s="293"/>
      <c r="ET133" s="293"/>
      <c r="EU133" s="293"/>
      <c r="JW133"/>
    </row>
    <row r="134" spans="1:283" s="332" customFormat="1">
      <c r="AN134" s="293"/>
      <c r="AO134" s="293"/>
      <c r="AP134" s="293"/>
      <c r="AQ134" s="293"/>
      <c r="AR134" s="293"/>
      <c r="AS134" s="293"/>
      <c r="AT134" s="293"/>
      <c r="AU134" s="293"/>
      <c r="AV134" s="293"/>
      <c r="AW134" s="293"/>
      <c r="AX134" s="293"/>
      <c r="AY134" s="293"/>
      <c r="AZ134" s="293"/>
      <c r="BA134" s="293"/>
      <c r="BB134" s="293"/>
      <c r="BC134" s="293"/>
      <c r="BD134" s="293"/>
      <c r="BE134" s="293"/>
      <c r="BF134" s="293"/>
      <c r="BG134" s="293"/>
      <c r="BH134" s="293"/>
      <c r="BI134" s="293"/>
      <c r="BJ134" s="293"/>
      <c r="BK134" s="293"/>
      <c r="BL134" s="293"/>
      <c r="BM134" s="293"/>
      <c r="BN134" s="293"/>
      <c r="BO134" s="293"/>
      <c r="BP134" s="293"/>
      <c r="BQ134" s="293"/>
      <c r="BR134" s="293"/>
      <c r="BS134" s="293"/>
      <c r="BT134" s="293"/>
      <c r="BU134" s="293"/>
      <c r="BV134" s="293"/>
      <c r="BW134" s="293"/>
      <c r="BX134" s="293"/>
      <c r="BY134" s="293"/>
      <c r="BZ134" s="293"/>
      <c r="CA134" s="293"/>
      <c r="CB134" s="293"/>
      <c r="CC134" s="293"/>
      <c r="CD134" s="293"/>
      <c r="CE134" s="293"/>
      <c r="CF134" s="293"/>
      <c r="CG134" s="293"/>
      <c r="CH134" s="293"/>
      <c r="CI134" s="293"/>
      <c r="CJ134" s="293"/>
      <c r="CK134" s="293"/>
      <c r="CL134" s="293"/>
      <c r="CM134" s="293"/>
      <c r="CN134" s="293"/>
      <c r="CO134" s="293"/>
      <c r="CP134" s="293"/>
      <c r="CQ134" s="293"/>
      <c r="CR134" s="293"/>
      <c r="CS134" s="293"/>
      <c r="CT134" s="293"/>
      <c r="CU134" s="293"/>
      <c r="CV134" s="293"/>
      <c r="CW134" s="293"/>
      <c r="CX134" s="293"/>
      <c r="CY134" s="293"/>
      <c r="CZ134" s="293"/>
      <c r="DA134" s="293"/>
      <c r="DB134" s="293"/>
      <c r="DC134" s="293"/>
      <c r="DD134" s="293"/>
      <c r="DE134" s="293"/>
      <c r="DF134" s="293"/>
      <c r="DG134" s="293"/>
      <c r="DH134" s="293"/>
      <c r="DI134" s="293"/>
      <c r="DJ134" s="293"/>
      <c r="DK134" s="293"/>
      <c r="DL134" s="293"/>
      <c r="DM134" s="293"/>
      <c r="DN134" s="293"/>
      <c r="DO134" s="293"/>
      <c r="DP134" s="293"/>
      <c r="DQ134" s="293"/>
      <c r="DR134" s="293"/>
      <c r="DS134" s="293"/>
      <c r="DT134" s="293"/>
      <c r="DU134" s="293"/>
      <c r="DV134" s="293"/>
      <c r="DW134" s="293"/>
      <c r="DX134" s="293"/>
      <c r="DY134" s="293"/>
      <c r="DZ134" s="293"/>
      <c r="EA134" s="293"/>
      <c r="EB134" s="293"/>
      <c r="EC134" s="293"/>
      <c r="ED134" s="293"/>
      <c r="EE134" s="293"/>
      <c r="EF134" s="293"/>
      <c r="EG134" s="293"/>
      <c r="EH134" s="293"/>
      <c r="EI134" s="293"/>
      <c r="EJ134" s="293"/>
      <c r="EK134" s="293"/>
      <c r="EL134" s="293"/>
      <c r="EM134" s="293"/>
      <c r="EN134" s="293"/>
      <c r="EO134" s="293"/>
      <c r="EP134" s="293"/>
      <c r="EQ134" s="293"/>
      <c r="ER134" s="293"/>
      <c r="ES134" s="293"/>
      <c r="ET134" s="293"/>
      <c r="EU134" s="293"/>
      <c r="JW134"/>
    </row>
    <row r="135" spans="1:283" s="332" customFormat="1">
      <c r="A135" s="1207" t="s">
        <v>730</v>
      </c>
      <c r="AN135" s="293"/>
      <c r="AO135" s="293"/>
      <c r="AP135" s="293"/>
      <c r="AQ135" s="293"/>
      <c r="AR135" s="293"/>
      <c r="AS135" s="293"/>
      <c r="AT135" s="293"/>
      <c r="AU135" s="293"/>
      <c r="AV135" s="293"/>
      <c r="AW135" s="293"/>
      <c r="AX135" s="293"/>
      <c r="AY135" s="293"/>
      <c r="AZ135" s="293"/>
      <c r="BA135" s="293"/>
      <c r="BB135" s="293"/>
      <c r="BC135" s="293"/>
      <c r="BD135" s="293"/>
      <c r="BE135" s="293"/>
      <c r="BF135" s="293"/>
      <c r="BG135" s="293"/>
      <c r="BH135" s="293"/>
      <c r="BI135" s="293"/>
      <c r="BJ135" s="293"/>
      <c r="BK135" s="293"/>
      <c r="BL135" s="293"/>
      <c r="BM135" s="293"/>
      <c r="BN135" s="293"/>
      <c r="BO135" s="293"/>
      <c r="BP135" s="293"/>
      <c r="BQ135" s="293"/>
      <c r="BR135" s="293"/>
      <c r="BS135" s="293"/>
      <c r="BT135" s="293"/>
      <c r="BU135" s="293"/>
      <c r="BV135" s="293"/>
      <c r="BW135" s="293"/>
      <c r="BX135" s="293"/>
      <c r="BY135" s="293"/>
      <c r="BZ135" s="293"/>
      <c r="CA135" s="293"/>
      <c r="CB135" s="293"/>
      <c r="CC135" s="293"/>
      <c r="CD135" s="293"/>
      <c r="CE135" s="293"/>
      <c r="CF135" s="293"/>
      <c r="CG135" s="293"/>
      <c r="CH135" s="293"/>
      <c r="CI135" s="293"/>
      <c r="CJ135" s="293"/>
      <c r="CK135" s="293"/>
      <c r="CL135" s="293"/>
      <c r="CM135" s="293"/>
      <c r="CN135" s="293"/>
      <c r="CO135" s="293"/>
      <c r="CP135" s="293"/>
      <c r="CQ135" s="293"/>
      <c r="CR135" s="293"/>
      <c r="CS135" s="293"/>
      <c r="CT135" s="293"/>
      <c r="CU135" s="293"/>
      <c r="CV135" s="293"/>
      <c r="CW135" s="293"/>
      <c r="CX135" s="293"/>
      <c r="CY135" s="293"/>
      <c r="CZ135" s="293"/>
      <c r="DA135" s="293"/>
      <c r="DB135" s="293"/>
      <c r="DC135" s="293"/>
      <c r="DD135" s="293"/>
      <c r="DE135" s="293"/>
      <c r="DF135" s="293"/>
      <c r="DG135" s="293"/>
      <c r="DH135" s="293"/>
      <c r="DI135" s="293"/>
      <c r="DJ135" s="293"/>
      <c r="DK135" s="293"/>
      <c r="DL135" s="293"/>
      <c r="DM135" s="293"/>
      <c r="DN135" s="293"/>
      <c r="DO135" s="293"/>
      <c r="DP135" s="293"/>
      <c r="DQ135" s="293"/>
      <c r="DR135" s="293"/>
      <c r="DS135" s="293"/>
      <c r="DT135" s="293"/>
      <c r="DU135" s="293"/>
      <c r="DV135" s="293"/>
      <c r="DW135" s="293"/>
      <c r="DX135" s="293"/>
      <c r="DY135" s="293"/>
      <c r="DZ135" s="293"/>
      <c r="EA135" s="293"/>
      <c r="EB135" s="293"/>
      <c r="EC135" s="293"/>
      <c r="ED135" s="293"/>
      <c r="EE135" s="293"/>
      <c r="EF135" s="293"/>
      <c r="EG135" s="293"/>
      <c r="EH135" s="293"/>
      <c r="EI135" s="293"/>
      <c r="EJ135" s="293"/>
      <c r="EK135" s="293"/>
      <c r="EL135" s="293"/>
      <c r="EM135" s="293"/>
      <c r="EN135" s="293"/>
      <c r="EO135" s="293"/>
      <c r="EP135" s="293"/>
      <c r="EQ135" s="293"/>
      <c r="ER135" s="293"/>
      <c r="ES135" s="293"/>
      <c r="ET135" s="293"/>
      <c r="EU135" s="293"/>
      <c r="JW135"/>
    </row>
    <row r="136" spans="1:283" s="332" customFormat="1">
      <c r="A136" s="332" t="s">
        <v>571</v>
      </c>
      <c r="AN136" s="492">
        <f>AN114</f>
        <v>0</v>
      </c>
      <c r="AO136" s="492">
        <f>AO114</f>
        <v>0</v>
      </c>
      <c r="AP136" s="492">
        <f>AP114</f>
        <v>0</v>
      </c>
      <c r="AQ136" s="293"/>
      <c r="AR136" s="492">
        <f>AR114</f>
        <v>-169</v>
      </c>
      <c r="AS136" s="492">
        <f>AS114</f>
        <v>-212</v>
      </c>
      <c r="AT136" s="492">
        <f>AT114</f>
        <v>-381</v>
      </c>
      <c r="AU136" s="626"/>
      <c r="AV136" s="492">
        <f>AV114</f>
        <v>-54</v>
      </c>
      <c r="AW136" s="492">
        <f>AW114</f>
        <v>-59</v>
      </c>
      <c r="AX136" s="492">
        <f>AX114</f>
        <v>-113</v>
      </c>
      <c r="AY136" s="293"/>
      <c r="AZ136" s="492">
        <f>AZ114</f>
        <v>-59</v>
      </c>
      <c r="BA136" s="492">
        <f>BA114</f>
        <v>-55</v>
      </c>
      <c r="BB136" s="492">
        <f>BB114</f>
        <v>-114</v>
      </c>
      <c r="BC136" s="293"/>
      <c r="BD136" s="492">
        <f>BD114</f>
        <v>-44</v>
      </c>
      <c r="BE136" s="492">
        <f>BE114</f>
        <v>-33</v>
      </c>
      <c r="BF136" s="492">
        <f>BF114</f>
        <v>-77</v>
      </c>
      <c r="BG136" s="360"/>
      <c r="BH136" s="492">
        <f>BH114</f>
        <v>-30</v>
      </c>
      <c r="BI136" s="492">
        <f>BI114</f>
        <v>-15</v>
      </c>
      <c r="BJ136" s="492">
        <f>BJ114</f>
        <v>-45</v>
      </c>
      <c r="BK136" s="487"/>
      <c r="BL136" s="492">
        <f>BL114</f>
        <v>0</v>
      </c>
      <c r="BM136" s="492">
        <f>BM114</f>
        <v>3</v>
      </c>
      <c r="BN136" s="492">
        <f>BN114</f>
        <v>3</v>
      </c>
      <c r="BO136" s="487"/>
      <c r="BP136" s="492">
        <f>BP114</f>
        <v>0</v>
      </c>
      <c r="BQ136" s="492">
        <f>BQ114</f>
        <v>0</v>
      </c>
      <c r="BR136" s="492">
        <f>BR114</f>
        <v>0</v>
      </c>
      <c r="BS136" s="487"/>
      <c r="BT136" s="492">
        <f>BT114</f>
        <v>0</v>
      </c>
      <c r="BU136" s="492">
        <f>BU114</f>
        <v>0</v>
      </c>
      <c r="BV136" s="492">
        <f>BV114</f>
        <v>0</v>
      </c>
      <c r="BW136" s="293"/>
      <c r="BX136" s="492">
        <f>BX114</f>
        <v>0</v>
      </c>
      <c r="BY136" s="492">
        <f>BY114</f>
        <v>0</v>
      </c>
      <c r="BZ136" s="492">
        <f>BZ114</f>
        <v>0</v>
      </c>
      <c r="CA136" s="293"/>
      <c r="CB136" s="492">
        <f>CB114</f>
        <v>0</v>
      </c>
      <c r="CC136" s="492">
        <f>CC114</f>
        <v>0</v>
      </c>
      <c r="CD136" s="492">
        <f>CD114</f>
        <v>0</v>
      </c>
      <c r="CE136" s="293"/>
      <c r="CF136" s="492">
        <f>CF114</f>
        <v>0</v>
      </c>
      <c r="CG136" s="492">
        <f>CG114</f>
        <v>0</v>
      </c>
      <c r="CH136" s="492">
        <f>CH114</f>
        <v>0</v>
      </c>
      <c r="CI136" s="293"/>
      <c r="CJ136" s="492">
        <f>CJ114</f>
        <v>0</v>
      </c>
      <c r="CK136" s="492">
        <f>CK114</f>
        <v>0</v>
      </c>
      <c r="CL136" s="492">
        <f>CL114</f>
        <v>0</v>
      </c>
      <c r="CM136" s="293"/>
      <c r="CN136" s="492">
        <f>CN114</f>
        <v>0</v>
      </c>
      <c r="CO136" s="492">
        <f>CO114</f>
        <v>0</v>
      </c>
      <c r="CP136" s="492">
        <f>CP114</f>
        <v>0</v>
      </c>
      <c r="CQ136" s="293"/>
      <c r="CR136" s="492">
        <f>CR114</f>
        <v>0</v>
      </c>
      <c r="CS136" s="492">
        <f>CS114</f>
        <v>0</v>
      </c>
      <c r="CT136" s="293">
        <f>CR136+CS136</f>
        <v>0</v>
      </c>
      <c r="CU136" s="293"/>
      <c r="CV136" s="492">
        <f>CV114</f>
        <v>0</v>
      </c>
      <c r="CW136" s="492">
        <f>CW114</f>
        <v>0</v>
      </c>
      <c r="CX136" s="293">
        <f>CV136+CW136</f>
        <v>0</v>
      </c>
      <c r="CY136" s="293"/>
      <c r="CZ136" s="492">
        <f>CZ114</f>
        <v>0</v>
      </c>
      <c r="DA136" s="492">
        <f>DA114</f>
        <v>0</v>
      </c>
      <c r="DB136" s="293">
        <f>CZ136+DA136</f>
        <v>0</v>
      </c>
      <c r="DC136" s="293"/>
      <c r="DD136" s="492">
        <f>DD114</f>
        <v>0</v>
      </c>
      <c r="DE136" s="492">
        <f>DE114</f>
        <v>0</v>
      </c>
      <c r="DF136" s="293">
        <f>DD136+DE136</f>
        <v>0</v>
      </c>
      <c r="DG136" s="293"/>
      <c r="DH136" s="492">
        <f>DH114</f>
        <v>0</v>
      </c>
      <c r="DI136" s="487">
        <v>0</v>
      </c>
      <c r="DJ136" s="293">
        <f>DH136+DI136</f>
        <v>0</v>
      </c>
      <c r="DK136" s="293"/>
      <c r="DL136" s="487">
        <v>0</v>
      </c>
      <c r="DM136" s="487">
        <v>0</v>
      </c>
      <c r="DN136" s="293">
        <f>DL136+DM136</f>
        <v>0</v>
      </c>
      <c r="DO136" s="293"/>
      <c r="DP136" s="487">
        <v>0</v>
      </c>
      <c r="DQ136" s="487">
        <v>0</v>
      </c>
      <c r="DR136" s="293">
        <f>DP136+DQ136</f>
        <v>0</v>
      </c>
      <c r="DS136" s="293"/>
      <c r="DT136" s="293"/>
      <c r="DU136" s="293"/>
      <c r="DV136" s="293"/>
      <c r="DW136" s="1197" t="s">
        <v>175</v>
      </c>
      <c r="DX136" s="293"/>
      <c r="DY136" s="293"/>
      <c r="DZ136" s="293"/>
      <c r="EA136" s="293"/>
      <c r="EB136" s="293"/>
      <c r="EC136" s="293"/>
      <c r="ED136" s="293"/>
      <c r="EE136" s="293"/>
      <c r="EF136" s="293"/>
      <c r="EG136" s="293"/>
      <c r="EH136" s="293"/>
      <c r="EI136" s="293"/>
      <c r="EJ136" s="293"/>
      <c r="EK136" s="293"/>
      <c r="EL136" s="293"/>
      <c r="EM136" s="293"/>
      <c r="EN136" s="293"/>
      <c r="EO136" s="293"/>
      <c r="EP136" s="293"/>
      <c r="EQ136" s="293"/>
      <c r="ER136" s="293"/>
      <c r="ES136" s="293"/>
      <c r="ET136" s="293"/>
      <c r="EU136" s="293"/>
      <c r="JW136"/>
    </row>
    <row r="137" spans="1:283" s="332" customFormat="1">
      <c r="A137" s="332" t="s">
        <v>1374</v>
      </c>
      <c r="AN137" s="492">
        <f>AN116</f>
        <v>0</v>
      </c>
      <c r="AO137" s="492">
        <f>AO116</f>
        <v>0</v>
      </c>
      <c r="AP137" s="492">
        <f>AP116</f>
        <v>0</v>
      </c>
      <c r="AQ137" s="293"/>
      <c r="AR137" s="492">
        <f>AR116</f>
        <v>-66</v>
      </c>
      <c r="AS137" s="492">
        <f>AS116</f>
        <v>-173</v>
      </c>
      <c r="AT137" s="492">
        <f>AT116</f>
        <v>-239</v>
      </c>
      <c r="AU137" s="626"/>
      <c r="AV137" s="492">
        <f>AV116</f>
        <v>70</v>
      </c>
      <c r="AW137" s="492">
        <f>AW116</f>
        <v>7</v>
      </c>
      <c r="AX137" s="492">
        <f>AX116</f>
        <v>77</v>
      </c>
      <c r="AY137" s="626"/>
      <c r="AZ137" s="492">
        <f>AZ116</f>
        <v>28</v>
      </c>
      <c r="BA137" s="492">
        <f>BA116</f>
        <v>4</v>
      </c>
      <c r="BB137" s="492">
        <f>BB116</f>
        <v>32</v>
      </c>
      <c r="BC137" s="293"/>
      <c r="BD137" s="492">
        <f>BD116</f>
        <v>-27</v>
      </c>
      <c r="BE137" s="492">
        <f>BE116</f>
        <v>-17</v>
      </c>
      <c r="BF137" s="492">
        <f>BF116</f>
        <v>-44</v>
      </c>
      <c r="BG137" s="293"/>
      <c r="BH137" s="492">
        <f>BH116</f>
        <v>-7</v>
      </c>
      <c r="BI137" s="492">
        <f>BI116</f>
        <v>-7</v>
      </c>
      <c r="BJ137" s="492">
        <f>BJ116</f>
        <v>-14</v>
      </c>
      <c r="BK137" s="487"/>
      <c r="BL137" s="492">
        <f>BL116</f>
        <v>-3</v>
      </c>
      <c r="BM137" s="492">
        <f>BM116</f>
        <v>-35</v>
      </c>
      <c r="BN137" s="492">
        <f>BN116</f>
        <v>-38</v>
      </c>
      <c r="BO137" s="487"/>
      <c r="BP137" s="492">
        <f>BP116</f>
        <v>-13</v>
      </c>
      <c r="BQ137" s="492">
        <f>BQ116</f>
        <v>-11</v>
      </c>
      <c r="BR137" s="492">
        <f>BR116</f>
        <v>-24</v>
      </c>
      <c r="BS137" s="487"/>
      <c r="BT137" s="492">
        <f>BT116</f>
        <v>31</v>
      </c>
      <c r="BU137" s="492">
        <f>BU116</f>
        <v>-15</v>
      </c>
      <c r="BV137" s="492">
        <f>BV116</f>
        <v>16</v>
      </c>
      <c r="BW137" s="293"/>
      <c r="BX137" s="492">
        <f>BX116</f>
        <v>11</v>
      </c>
      <c r="BY137" s="492">
        <f>BY116</f>
        <v>-8</v>
      </c>
      <c r="BZ137" s="492">
        <f>BZ116</f>
        <v>3</v>
      </c>
      <c r="CA137" s="293"/>
      <c r="CB137" s="492">
        <f>CB116</f>
        <v>-54</v>
      </c>
      <c r="CC137" s="492">
        <f>CC116</f>
        <v>-11</v>
      </c>
      <c r="CD137" s="492">
        <f>CD116</f>
        <v>-65</v>
      </c>
      <c r="CE137" s="293"/>
      <c r="CF137" s="492">
        <f>CF116</f>
        <v>61</v>
      </c>
      <c r="CG137" s="492">
        <f>CG116</f>
        <v>26</v>
      </c>
      <c r="CH137" s="492">
        <f>CH116</f>
        <v>87</v>
      </c>
      <c r="CI137" s="293"/>
      <c r="CJ137" s="492">
        <f>CJ116</f>
        <v>-20</v>
      </c>
      <c r="CK137" s="492">
        <f>CK116</f>
        <v>-39</v>
      </c>
      <c r="CL137" s="492">
        <f>CL116</f>
        <v>-59</v>
      </c>
      <c r="CM137" s="293"/>
      <c r="CN137" s="492">
        <f>CN116</f>
        <v>6</v>
      </c>
      <c r="CO137" s="492">
        <f>CO116</f>
        <v>63</v>
      </c>
      <c r="CP137" s="492">
        <f>CP116</f>
        <v>69</v>
      </c>
      <c r="CQ137" s="293"/>
      <c r="CR137" s="492">
        <f>CR116</f>
        <v>158</v>
      </c>
      <c r="CS137" s="492">
        <f>CS116</f>
        <v>256</v>
      </c>
      <c r="CT137" s="293">
        <f>CR137+CS137</f>
        <v>414</v>
      </c>
      <c r="CU137" s="293"/>
      <c r="CV137" s="492">
        <f>CV116</f>
        <v>154</v>
      </c>
      <c r="CW137" s="492">
        <f>CW116</f>
        <v>256</v>
      </c>
      <c r="CX137" s="293">
        <f>CV137+CW137</f>
        <v>410</v>
      </c>
      <c r="CY137" s="293"/>
      <c r="CZ137" s="492">
        <f>CZ116</f>
        <v>334</v>
      </c>
      <c r="DA137" s="492">
        <f>DA116</f>
        <v>356</v>
      </c>
      <c r="DB137" s="293">
        <f>CZ137+DA137</f>
        <v>690</v>
      </c>
      <c r="DC137" s="293"/>
      <c r="DD137" s="492">
        <f>DD116</f>
        <v>322</v>
      </c>
      <c r="DE137" s="492">
        <f>DE116</f>
        <v>490</v>
      </c>
      <c r="DF137" s="293">
        <f>DD137+DE137</f>
        <v>812</v>
      </c>
      <c r="DG137" s="293"/>
      <c r="DH137" s="492">
        <f>DH116</f>
        <v>497</v>
      </c>
      <c r="DI137" s="293">
        <f>+DE137*(1+DI141)</f>
        <v>539</v>
      </c>
      <c r="DJ137" s="293">
        <f>DH137+DI137</f>
        <v>1036</v>
      </c>
      <c r="DK137" s="293"/>
      <c r="DL137" s="293">
        <f>+DH137*(1+DL141)</f>
        <v>531.79000000000008</v>
      </c>
      <c r="DM137" s="293">
        <f>+DI137*(1+DM141)</f>
        <v>576.73</v>
      </c>
      <c r="DN137" s="293">
        <f>DL137+DM137</f>
        <v>1108.52</v>
      </c>
      <c r="DO137" s="293"/>
      <c r="DP137" s="293">
        <f>+DL137*(1+DP141)</f>
        <v>569.01530000000014</v>
      </c>
      <c r="DQ137" s="293">
        <f>+DM137*(1+DQ141)</f>
        <v>617.10110000000009</v>
      </c>
      <c r="DR137" s="293">
        <f>DP137+DQ137</f>
        <v>1186.1164000000003</v>
      </c>
      <c r="DS137" s="293"/>
      <c r="DT137" s="293"/>
      <c r="DU137" s="293"/>
      <c r="DV137" s="293"/>
      <c r="DW137" s="1197" t="s">
        <v>514</v>
      </c>
      <c r="DX137" s="293"/>
      <c r="DY137" s="293"/>
      <c r="DZ137" s="293"/>
      <c r="EA137" s="293"/>
      <c r="EB137" s="293"/>
      <c r="EC137" s="293"/>
      <c r="ED137" s="293"/>
      <c r="EE137" s="293"/>
      <c r="EF137" s="293"/>
      <c r="EG137" s="293"/>
      <c r="EH137" s="293"/>
      <c r="EI137" s="293"/>
      <c r="EJ137" s="293"/>
      <c r="EK137" s="293"/>
      <c r="EL137" s="293"/>
      <c r="EM137" s="293"/>
      <c r="EN137" s="293"/>
      <c r="EO137" s="293"/>
      <c r="EP137" s="293"/>
      <c r="EQ137" s="293"/>
      <c r="ER137" s="293"/>
      <c r="ES137" s="293"/>
      <c r="ET137" s="293"/>
      <c r="EU137" s="293"/>
      <c r="JW137"/>
    </row>
    <row r="138" spans="1:283" s="327" customFormat="1">
      <c r="A138" s="327" t="s">
        <v>588</v>
      </c>
      <c r="AN138" s="820">
        <f>SUM(AN136:AN137)</f>
        <v>0</v>
      </c>
      <c r="AO138" s="820">
        <f>SUM(AO136:AO137)</f>
        <v>0</v>
      </c>
      <c r="AP138" s="820">
        <f>SUM(AP136:AP137)</f>
        <v>0</v>
      </c>
      <c r="AQ138" s="295"/>
      <c r="AR138" s="820">
        <f>SUM(AR136:AR137)</f>
        <v>-235</v>
      </c>
      <c r="AS138" s="820">
        <f>SUM(AS136:AS137)</f>
        <v>-385</v>
      </c>
      <c r="AT138" s="820">
        <f>SUM(AT136:AT137)</f>
        <v>-620</v>
      </c>
      <c r="AU138" s="295"/>
      <c r="AV138" s="820">
        <f>SUM(AV136:AV137)</f>
        <v>16</v>
      </c>
      <c r="AW138" s="820">
        <f>SUM(AW136:AW137)</f>
        <v>-52</v>
      </c>
      <c r="AX138" s="820">
        <f>SUM(AX136:AX137)</f>
        <v>-36</v>
      </c>
      <c r="AY138" s="295"/>
      <c r="AZ138" s="820">
        <f>SUM(AZ136:AZ137)</f>
        <v>-31</v>
      </c>
      <c r="BA138" s="820">
        <f>SUM(BA136:BA137)</f>
        <v>-51</v>
      </c>
      <c r="BB138" s="820">
        <f>SUM(BB136:BB137)</f>
        <v>-82</v>
      </c>
      <c r="BC138" s="295"/>
      <c r="BD138" s="820">
        <f>SUM(BD136:BD137)</f>
        <v>-71</v>
      </c>
      <c r="BE138" s="820">
        <f>SUM(BE136:BE137)</f>
        <v>-50</v>
      </c>
      <c r="BF138" s="820">
        <f>SUM(BF136:BF137)</f>
        <v>-121</v>
      </c>
      <c r="BG138" s="295"/>
      <c r="BH138" s="820">
        <f>SUM(BH136:BH137)</f>
        <v>-37</v>
      </c>
      <c r="BI138" s="820">
        <f>SUM(BI136:BI137)</f>
        <v>-22</v>
      </c>
      <c r="BJ138" s="820">
        <f>SUM(BJ136:BJ137)</f>
        <v>-59</v>
      </c>
      <c r="BK138" s="295"/>
      <c r="BL138" s="820">
        <f>SUM(BL136:BL137)</f>
        <v>-3</v>
      </c>
      <c r="BM138" s="820">
        <f>SUM(BM136:BM137)</f>
        <v>-32</v>
      </c>
      <c r="BN138" s="820">
        <f>SUM(BN136:BN137)</f>
        <v>-35</v>
      </c>
      <c r="BO138" s="685"/>
      <c r="BP138" s="820">
        <f>SUM(BP136:BP137)</f>
        <v>-13</v>
      </c>
      <c r="BQ138" s="820">
        <f>SUM(BQ136:BQ137)</f>
        <v>-11</v>
      </c>
      <c r="BR138" s="820">
        <f>SUM(BR136:BR137)</f>
        <v>-24</v>
      </c>
      <c r="BS138" s="685"/>
      <c r="BT138" s="820">
        <f>SUM(BT136:BT137)</f>
        <v>31</v>
      </c>
      <c r="BU138" s="820">
        <f>SUM(BU136:BU137)</f>
        <v>-15</v>
      </c>
      <c r="BV138" s="820">
        <f>SUM(BV136:BV137)</f>
        <v>16</v>
      </c>
      <c r="BW138" s="295"/>
      <c r="BX138" s="820">
        <f>SUM(BX136:BX137)</f>
        <v>11</v>
      </c>
      <c r="BY138" s="820">
        <f>SUM(BY136:BY137)</f>
        <v>-8</v>
      </c>
      <c r="BZ138" s="820">
        <f>SUM(BZ136:BZ137)</f>
        <v>3</v>
      </c>
      <c r="CA138" s="295"/>
      <c r="CB138" s="820">
        <f>SUM(CB136:CB137)</f>
        <v>-54</v>
      </c>
      <c r="CC138" s="820">
        <f>SUM(CC136:CC137)</f>
        <v>-11</v>
      </c>
      <c r="CD138" s="820">
        <f>SUM(CD136:CD137)</f>
        <v>-65</v>
      </c>
      <c r="CE138" s="295"/>
      <c r="CF138" s="820">
        <f>SUM(CF136:CF137)</f>
        <v>61</v>
      </c>
      <c r="CG138" s="820">
        <f>SUM(CG136:CG137)</f>
        <v>26</v>
      </c>
      <c r="CH138" s="820">
        <f>SUM(CH136:CH137)</f>
        <v>87</v>
      </c>
      <c r="CI138" s="295"/>
      <c r="CJ138" s="820">
        <f>SUM(CJ136:CJ137)</f>
        <v>-20</v>
      </c>
      <c r="CK138" s="820">
        <f>SUM(CK136:CK137)</f>
        <v>-39</v>
      </c>
      <c r="CL138" s="820">
        <f>SUM(CL136:CL137)</f>
        <v>-59</v>
      </c>
      <c r="CM138" s="295"/>
      <c r="CN138" s="820">
        <f>SUM(CN136:CN137)</f>
        <v>6</v>
      </c>
      <c r="CO138" s="820">
        <f>SUM(CO136:CO137)</f>
        <v>63</v>
      </c>
      <c r="CP138" s="820">
        <f>SUM(CP136:CP137)</f>
        <v>69</v>
      </c>
      <c r="CQ138" s="295"/>
      <c r="CR138" s="820">
        <f>SUM(CR136:CR137)</f>
        <v>158</v>
      </c>
      <c r="CS138" s="820">
        <f>SUM(CS136:CS137)</f>
        <v>256</v>
      </c>
      <c r="CT138" s="295">
        <f>CR138+CS138</f>
        <v>414</v>
      </c>
      <c r="CU138" s="295"/>
      <c r="CV138" s="820">
        <f>SUM(CV136:CV137)</f>
        <v>154</v>
      </c>
      <c r="CW138" s="820">
        <f>SUM(CW136:CW137)</f>
        <v>256</v>
      </c>
      <c r="CX138" s="295">
        <f>CV138+CW138</f>
        <v>410</v>
      </c>
      <c r="CY138" s="295"/>
      <c r="CZ138" s="820">
        <f>SUM(CZ136:CZ137)</f>
        <v>334</v>
      </c>
      <c r="DA138" s="820">
        <f>SUM(DA136:DA137)</f>
        <v>356</v>
      </c>
      <c r="DB138" s="295">
        <f>CZ138+DA138</f>
        <v>690</v>
      </c>
      <c r="DC138" s="295"/>
      <c r="DD138" s="820">
        <f>SUM(DD136:DD137)</f>
        <v>322</v>
      </c>
      <c r="DE138" s="820">
        <f>SUM(DE136:DE137)</f>
        <v>490</v>
      </c>
      <c r="DF138" s="295">
        <f>DD138+DE138</f>
        <v>812</v>
      </c>
      <c r="DG138" s="295"/>
      <c r="DH138" s="820">
        <f>SUM(DH136:DH137)</f>
        <v>497</v>
      </c>
      <c r="DI138" s="295">
        <f>SUM(DI136:DI137)</f>
        <v>539</v>
      </c>
      <c r="DJ138" s="295">
        <f>DH138+DI138</f>
        <v>1036</v>
      </c>
      <c r="DK138" s="295"/>
      <c r="DL138" s="295">
        <f>SUM(DL136:DL137)</f>
        <v>531.79000000000008</v>
      </c>
      <c r="DM138" s="295">
        <f>SUM(DM136:DM137)</f>
        <v>576.73</v>
      </c>
      <c r="DN138" s="295">
        <f>DL138+DM138</f>
        <v>1108.52</v>
      </c>
      <c r="DO138" s="295"/>
      <c r="DP138" s="295">
        <f>SUM(DP136:DP137)</f>
        <v>569.01530000000014</v>
      </c>
      <c r="DQ138" s="295">
        <f>SUM(DQ136:DQ137)</f>
        <v>617.10110000000009</v>
      </c>
      <c r="DR138" s="295">
        <f>DP138+DQ138</f>
        <v>1186.1164000000003</v>
      </c>
      <c r="DS138" s="295"/>
      <c r="DT138" s="295"/>
      <c r="DU138" s="295"/>
      <c r="DV138" s="295"/>
      <c r="DW138" s="1199"/>
      <c r="DX138" s="295"/>
      <c r="DY138" s="295"/>
      <c r="DZ138" s="295"/>
      <c r="EA138" s="295"/>
      <c r="EB138" s="295"/>
      <c r="EC138" s="295"/>
      <c r="ED138" s="295"/>
      <c r="EE138" s="295"/>
      <c r="EF138" s="295"/>
      <c r="EG138" s="295"/>
      <c r="EH138" s="295"/>
      <c r="EI138" s="295"/>
      <c r="EJ138" s="295"/>
      <c r="EK138" s="295"/>
      <c r="EL138" s="295"/>
      <c r="EM138" s="295"/>
      <c r="EN138" s="295"/>
      <c r="EO138" s="295"/>
      <c r="EP138" s="295"/>
      <c r="EQ138" s="295"/>
      <c r="ER138" s="295"/>
      <c r="ES138" s="295"/>
      <c r="ET138" s="295"/>
      <c r="EU138" s="295"/>
      <c r="JW138"/>
    </row>
    <row r="139" spans="1:283">
      <c r="A139" s="323" t="s">
        <v>835</v>
      </c>
      <c r="CR139" s="293"/>
      <c r="CS139" s="293"/>
      <c r="CT139" s="293"/>
      <c r="CV139" s="293"/>
      <c r="CW139" s="293"/>
      <c r="CX139" s="293"/>
      <c r="CZ139" s="293"/>
      <c r="DA139" s="293"/>
      <c r="DB139" s="293"/>
      <c r="DD139" s="293"/>
      <c r="DE139" s="293"/>
      <c r="DF139" s="293"/>
      <c r="DH139" s="293"/>
      <c r="DI139" s="293"/>
      <c r="DJ139" s="293"/>
      <c r="DL139" s="293"/>
      <c r="DM139" s="293"/>
      <c r="DN139" s="293"/>
      <c r="DP139" s="293"/>
      <c r="DQ139" s="293"/>
      <c r="DR139" s="293"/>
      <c r="DW139" s="1197"/>
      <c r="DX139" s="293"/>
      <c r="DY139" s="293"/>
      <c r="EA139" s="293"/>
      <c r="EB139" s="293"/>
      <c r="EC139" s="293"/>
      <c r="EE139" s="293"/>
      <c r="EF139" s="293"/>
      <c r="EG139" s="293"/>
      <c r="EI139" s="293"/>
      <c r="EJ139" s="293"/>
      <c r="EK139" s="293"/>
    </row>
    <row r="140" spans="1:283" s="323" customFormat="1">
      <c r="A140" s="1079" t="str">
        <f>+A136</f>
        <v>Net interest income</v>
      </c>
      <c r="AN140" s="115"/>
      <c r="AO140" s="115"/>
      <c r="AP140" s="115"/>
      <c r="AQ140" s="115"/>
      <c r="AR140" s="115"/>
      <c r="AS140" s="115"/>
      <c r="AT140" s="115"/>
      <c r="AU140" s="115"/>
      <c r="AV140" s="324">
        <f t="shared" ref="AV140:AX142" si="182">+AV136/AR136-1</f>
        <v>-0.68047337278106501</v>
      </c>
      <c r="AW140" s="324">
        <f t="shared" si="182"/>
        <v>-0.72169811320754718</v>
      </c>
      <c r="AX140" s="324">
        <f t="shared" si="182"/>
        <v>-0.70341207349081358</v>
      </c>
      <c r="AY140" s="115"/>
      <c r="AZ140" s="324">
        <f t="shared" ref="AZ140:BB142" si="183">+AZ136/AV136-1</f>
        <v>9.259259259259256E-2</v>
      </c>
      <c r="BA140" s="324">
        <f t="shared" si="183"/>
        <v>-6.7796610169491567E-2</v>
      </c>
      <c r="BB140" s="324">
        <f t="shared" si="183"/>
        <v>8.8495575221239076E-3</v>
      </c>
      <c r="BC140" s="115"/>
      <c r="BD140" s="324">
        <f t="shared" ref="BD140:BF142" si="184">+BD136/AZ136-1</f>
        <v>-0.25423728813559321</v>
      </c>
      <c r="BE140" s="324">
        <f t="shared" si="184"/>
        <v>-0.4</v>
      </c>
      <c r="BF140" s="324">
        <f t="shared" si="184"/>
        <v>-0.32456140350877194</v>
      </c>
      <c r="BG140" s="115"/>
      <c r="BH140" s="324"/>
      <c r="BI140" s="324"/>
      <c r="BJ140" s="324"/>
      <c r="BK140" s="115"/>
      <c r="BL140" s="324"/>
      <c r="BM140" s="324"/>
      <c r="BN140" s="324"/>
      <c r="BO140" s="115"/>
      <c r="BP140" s="324"/>
      <c r="BQ140" s="324"/>
      <c r="BR140" s="324"/>
      <c r="BS140" s="115"/>
      <c r="BT140" s="324"/>
      <c r="BU140" s="324"/>
      <c r="BV140" s="324"/>
      <c r="BW140" s="115"/>
      <c r="BX140" s="324"/>
      <c r="BY140" s="324"/>
      <c r="BZ140" s="324"/>
      <c r="CA140" s="115"/>
      <c r="CB140" s="324"/>
      <c r="CC140" s="324"/>
      <c r="CD140" s="324"/>
      <c r="CE140" s="115"/>
      <c r="CF140" s="324"/>
      <c r="CG140" s="324"/>
      <c r="CH140" s="324"/>
      <c r="CI140" s="115"/>
      <c r="CJ140" s="324"/>
      <c r="CK140" s="324"/>
      <c r="CL140" s="324"/>
      <c r="CM140" s="115"/>
      <c r="CN140" s="324"/>
      <c r="CO140" s="324"/>
      <c r="CP140" s="324"/>
      <c r="CQ140" s="115"/>
      <c r="CR140" s="324"/>
      <c r="CS140" s="324"/>
      <c r="CT140" s="324"/>
      <c r="CU140" s="115"/>
      <c r="CV140" s="324"/>
      <c r="CW140" s="324"/>
      <c r="CX140" s="324"/>
      <c r="CY140" s="115"/>
      <c r="CZ140" s="324"/>
      <c r="DA140" s="324"/>
      <c r="DB140" s="671"/>
      <c r="DC140" s="115"/>
      <c r="DD140" s="324"/>
      <c r="DE140" s="324"/>
      <c r="DF140" s="671"/>
      <c r="DG140" s="115"/>
      <c r="DH140" s="324"/>
      <c r="DI140" s="324"/>
      <c r="DJ140" s="324"/>
      <c r="DK140" s="115"/>
      <c r="DL140" s="324"/>
      <c r="DM140" s="324"/>
      <c r="DN140" s="324"/>
      <c r="DO140" s="115"/>
      <c r="DP140" s="324"/>
      <c r="DQ140" s="324"/>
      <c r="DR140" s="324"/>
      <c r="DS140" s="115"/>
      <c r="DT140" s="115"/>
      <c r="DU140" s="115"/>
      <c r="DV140" s="115"/>
      <c r="DW140" s="1209"/>
      <c r="DX140" s="324"/>
      <c r="DY140" s="324"/>
      <c r="DZ140" s="115"/>
      <c r="EA140" s="324"/>
      <c r="EB140" s="324"/>
      <c r="EC140" s="324"/>
      <c r="ED140" s="115"/>
      <c r="EE140" s="324"/>
      <c r="EF140" s="324"/>
      <c r="EG140" s="324"/>
      <c r="EH140" s="115"/>
      <c r="EI140" s="324"/>
      <c r="EJ140" s="324"/>
      <c r="EK140" s="324"/>
      <c r="EL140" s="115"/>
      <c r="EM140" s="115"/>
      <c r="EN140" s="115"/>
      <c r="EO140" s="115"/>
      <c r="EP140" s="115"/>
      <c r="EQ140" s="115"/>
      <c r="ER140" s="115"/>
      <c r="ES140" s="115"/>
      <c r="ET140" s="115"/>
      <c r="EU140" s="115"/>
      <c r="JW140"/>
    </row>
    <row r="141" spans="1:283" s="856" customFormat="1">
      <c r="A141" s="848" t="str">
        <f>+A137</f>
        <v>Net Interest &amp; trading income</v>
      </c>
      <c r="AN141" s="896"/>
      <c r="AO141" s="896"/>
      <c r="AP141" s="896"/>
      <c r="AQ141" s="896"/>
      <c r="AR141" s="896"/>
      <c r="AS141" s="896"/>
      <c r="AT141" s="896"/>
      <c r="AU141" s="896"/>
      <c r="AV141" s="1860">
        <f t="shared" si="182"/>
        <v>-2.0606060606060606</v>
      </c>
      <c r="AW141" s="1860">
        <f t="shared" si="182"/>
        <v>-1.0404624277456647</v>
      </c>
      <c r="AX141" s="1860">
        <f t="shared" si="182"/>
        <v>-1.3221757322175733</v>
      </c>
      <c r="AY141" s="896"/>
      <c r="AZ141" s="1860">
        <f t="shared" si="183"/>
        <v>-0.6</v>
      </c>
      <c r="BA141" s="1860">
        <f t="shared" si="183"/>
        <v>-0.4285714285714286</v>
      </c>
      <c r="BB141" s="1860">
        <f t="shared" si="183"/>
        <v>-0.58441558441558439</v>
      </c>
      <c r="BC141" s="896"/>
      <c r="BD141" s="1860">
        <f t="shared" si="184"/>
        <v>-1.9642857142857144</v>
      </c>
      <c r="BE141" s="1860">
        <f t="shared" si="184"/>
        <v>-5.25</v>
      </c>
      <c r="BF141" s="1860">
        <f t="shared" si="184"/>
        <v>-2.375</v>
      </c>
      <c r="BG141" s="896"/>
      <c r="BH141" s="1860">
        <f t="shared" ref="BH141:BJ142" si="185">+BH137/BD137-1</f>
        <v>-0.7407407407407407</v>
      </c>
      <c r="BI141" s="1860">
        <f t="shared" si="185"/>
        <v>-0.58823529411764708</v>
      </c>
      <c r="BJ141" s="1860">
        <f t="shared" si="185"/>
        <v>-0.68181818181818188</v>
      </c>
      <c r="BK141" s="896"/>
      <c r="BL141" s="1860">
        <f t="shared" ref="BL141:BP142" si="186">+BL137/BH137-1</f>
        <v>-0.5714285714285714</v>
      </c>
      <c r="BM141" s="1860">
        <f t="shared" si="186"/>
        <v>4</v>
      </c>
      <c r="BN141" s="1860">
        <f t="shared" si="186"/>
        <v>1.7142857142857144</v>
      </c>
      <c r="BO141" s="896"/>
      <c r="BP141" s="1860">
        <f t="shared" si="186"/>
        <v>3.333333333333333</v>
      </c>
      <c r="BQ141" s="1860">
        <f>+BQ137/BM137-1</f>
        <v>-0.68571428571428572</v>
      </c>
      <c r="BR141" s="1860">
        <f>+BR137/BN137-1</f>
        <v>-0.36842105263157898</v>
      </c>
      <c r="BS141" s="896"/>
      <c r="BT141" s="1860">
        <f t="shared" ref="BT141:BX142" si="187">+BT137/BP137-1</f>
        <v>-3.3846153846153846</v>
      </c>
      <c r="BU141" s="1860">
        <f t="shared" si="187"/>
        <v>0.36363636363636354</v>
      </c>
      <c r="BV141" s="1860">
        <f t="shared" si="187"/>
        <v>-1.6666666666666665</v>
      </c>
      <c r="BW141" s="896"/>
      <c r="BX141" s="1860">
        <f t="shared" si="187"/>
        <v>-0.64516129032258063</v>
      </c>
      <c r="BY141" s="1860">
        <f>+BY137/BU137-1</f>
        <v>-0.46666666666666667</v>
      </c>
      <c r="BZ141" s="1860">
        <f>+BZ137/BV137-1</f>
        <v>-0.8125</v>
      </c>
      <c r="CA141" s="896"/>
      <c r="CB141" s="1860">
        <f t="shared" ref="CB141:CB142" si="188">+CB137/BX137-1</f>
        <v>-5.9090909090909092</v>
      </c>
      <c r="CC141" s="1860">
        <f>+CC137/BY137-1</f>
        <v>0.375</v>
      </c>
      <c r="CD141" s="1860">
        <f>+CD137/BZ137-1</f>
        <v>-22.666666666666668</v>
      </c>
      <c r="CE141" s="896"/>
      <c r="CF141" s="1860">
        <f t="shared" ref="CF141:CF142" si="189">+CF137/CB137-1</f>
        <v>-2.1296296296296298</v>
      </c>
      <c r="CG141" s="1860">
        <f>+CG137/CC137-1</f>
        <v>-3.3636363636363638</v>
      </c>
      <c r="CH141" s="1860">
        <f>+CH137/CD137-1</f>
        <v>-2.3384615384615381</v>
      </c>
      <c r="CI141" s="896"/>
      <c r="CJ141" s="1860">
        <f t="shared" ref="CJ141:CJ142" si="190">+CJ137/CF137-1</f>
        <v>-1.3278688524590163</v>
      </c>
      <c r="CK141" s="1860">
        <f>+CK137/CG137-1</f>
        <v>-2.5</v>
      </c>
      <c r="CL141" s="1860">
        <f>+CL137/CH137-1</f>
        <v>-1.6781609195402298</v>
      </c>
      <c r="CM141" s="896"/>
      <c r="CN141" s="1860">
        <f t="shared" ref="CN141:CN142" si="191">+CN137/CJ137-1</f>
        <v>-1.3</v>
      </c>
      <c r="CO141" s="1860">
        <f>+CO137/CK137-1</f>
        <v>-2.6153846153846154</v>
      </c>
      <c r="CP141" s="1860">
        <f>+CP137/CL137-1</f>
        <v>-2.1694915254237288</v>
      </c>
      <c r="CQ141" s="896"/>
      <c r="CR141" s="1860">
        <f t="shared" ref="CR141:CR142" si="192">+CR137/CN137-1</f>
        <v>25.333333333333332</v>
      </c>
      <c r="CS141" s="1860">
        <f>+CS137/CO137-1</f>
        <v>3.0634920634920633</v>
      </c>
      <c r="CT141" s="1860">
        <f>+CT137/CP137-1</f>
        <v>5</v>
      </c>
      <c r="CU141" s="896"/>
      <c r="CV141" s="1860">
        <f t="shared" ref="CV141:CV142" si="193">+CV137/CR137-1</f>
        <v>-2.5316455696202556E-2</v>
      </c>
      <c r="CW141" s="1860">
        <f>+CW137/CS137-1</f>
        <v>0</v>
      </c>
      <c r="CX141" s="1860">
        <f>+CX137/CT137-1</f>
        <v>-9.6618357487923134E-3</v>
      </c>
      <c r="CY141" s="896"/>
      <c r="CZ141" s="1860">
        <f t="shared" ref="CZ141:CZ142" si="194">+CZ137/CV137-1</f>
        <v>1.168831168831169</v>
      </c>
      <c r="DA141" s="1860">
        <f>+DA137/CW137-1</f>
        <v>0.390625</v>
      </c>
      <c r="DB141" s="1860">
        <f>+DB137/CX137-1</f>
        <v>0.68292682926829262</v>
      </c>
      <c r="DC141" s="896"/>
      <c r="DD141" s="1860">
        <f t="shared" ref="DD141:DD142" si="195">+DD137/CZ137-1</f>
        <v>-3.59281437125748E-2</v>
      </c>
      <c r="DE141" s="1860">
        <f>+DE137/DA137-1</f>
        <v>0.37640449438202239</v>
      </c>
      <c r="DF141" s="1860">
        <f>+DF137/DB137-1</f>
        <v>0.17681159420289849</v>
      </c>
      <c r="DG141" s="896"/>
      <c r="DH141" s="1860">
        <f t="shared" ref="DH141:DH142" si="196">+DH137/DD137-1</f>
        <v>0.54347826086956519</v>
      </c>
      <c r="DI141" s="1861">
        <v>0.1</v>
      </c>
      <c r="DJ141" s="1860">
        <f>+DJ137/DF137-1</f>
        <v>0.27586206896551735</v>
      </c>
      <c r="DK141" s="896"/>
      <c r="DL141" s="1861">
        <v>7.0000000000000007E-2</v>
      </c>
      <c r="DM141" s="1861">
        <v>7.0000000000000007E-2</v>
      </c>
      <c r="DN141" s="1860">
        <f>+DN137/DJ137-1</f>
        <v>7.0000000000000062E-2</v>
      </c>
      <c r="DO141" s="896"/>
      <c r="DP141" s="1861">
        <v>7.0000000000000007E-2</v>
      </c>
      <c r="DQ141" s="1861">
        <v>7.0000000000000007E-2</v>
      </c>
      <c r="DR141" s="1860">
        <f>+DR137/DN137-1</f>
        <v>7.0000000000000284E-2</v>
      </c>
      <c r="DS141" s="896"/>
      <c r="DT141" s="896"/>
      <c r="DU141" s="896"/>
      <c r="DV141" s="896"/>
      <c r="DW141" s="1862" t="s">
        <v>175</v>
      </c>
      <c r="DX141" s="1860"/>
      <c r="DY141" s="1860"/>
      <c r="DZ141" s="896"/>
      <c r="EA141" s="1860"/>
      <c r="EB141" s="1860"/>
      <c r="EC141" s="1860"/>
      <c r="ED141" s="896"/>
      <c r="EE141" s="1860"/>
      <c r="EF141" s="1860"/>
      <c r="EG141" s="1860"/>
      <c r="EH141" s="896"/>
      <c r="EI141" s="1860"/>
      <c r="EJ141" s="1860"/>
      <c r="EK141" s="1860"/>
      <c r="EL141" s="896"/>
      <c r="EM141" s="896"/>
      <c r="EN141" s="896"/>
      <c r="EO141" s="896"/>
      <c r="EP141" s="896"/>
      <c r="EQ141" s="896"/>
      <c r="ER141" s="896"/>
      <c r="ES141" s="896"/>
      <c r="ET141" s="896"/>
      <c r="EU141" s="896"/>
      <c r="JW141"/>
    </row>
    <row r="142" spans="1:283" s="328" customFormat="1">
      <c r="A142" s="1092" t="str">
        <f>+A138</f>
        <v>Total</v>
      </c>
      <c r="AN142" s="581"/>
      <c r="AO142" s="581"/>
      <c r="AP142" s="581"/>
      <c r="AQ142" s="581"/>
      <c r="AR142" s="581"/>
      <c r="AS142" s="581"/>
      <c r="AT142" s="581"/>
      <c r="AU142" s="581"/>
      <c r="AV142" s="682">
        <f t="shared" si="182"/>
        <v>-1.0680851063829788</v>
      </c>
      <c r="AW142" s="682">
        <f t="shared" si="182"/>
        <v>-0.86493506493506489</v>
      </c>
      <c r="AX142" s="682">
        <f t="shared" si="182"/>
        <v>-0.9419354838709677</v>
      </c>
      <c r="AY142" s="581"/>
      <c r="AZ142" s="682">
        <f t="shared" si="183"/>
        <v>-2.9375</v>
      </c>
      <c r="BA142" s="682">
        <f t="shared" si="183"/>
        <v>-1.9230769230769273E-2</v>
      </c>
      <c r="BB142" s="682">
        <f t="shared" si="183"/>
        <v>1.2777777777777777</v>
      </c>
      <c r="BC142" s="581"/>
      <c r="BD142" s="682">
        <f t="shared" si="184"/>
        <v>1.2903225806451615</v>
      </c>
      <c r="BE142" s="682">
        <f t="shared" si="184"/>
        <v>-1.9607843137254943E-2</v>
      </c>
      <c r="BF142" s="682">
        <f t="shared" si="184"/>
        <v>0.47560975609756095</v>
      </c>
      <c r="BG142" s="581"/>
      <c r="BH142" s="682">
        <f t="shared" si="185"/>
        <v>-0.47887323943661975</v>
      </c>
      <c r="BI142" s="682">
        <f t="shared" si="185"/>
        <v>-0.56000000000000005</v>
      </c>
      <c r="BJ142" s="682">
        <f t="shared" si="185"/>
        <v>-0.5123966942148761</v>
      </c>
      <c r="BK142" s="581"/>
      <c r="BL142" s="682">
        <f t="shared" si="186"/>
        <v>-0.91891891891891886</v>
      </c>
      <c r="BM142" s="682">
        <f t="shared" si="186"/>
        <v>0.45454545454545459</v>
      </c>
      <c r="BN142" s="682">
        <f t="shared" si="186"/>
        <v>-0.40677966101694918</v>
      </c>
      <c r="BO142" s="581"/>
      <c r="BP142" s="682">
        <f t="shared" si="186"/>
        <v>3.333333333333333</v>
      </c>
      <c r="BQ142" s="682">
        <f>+BQ138/BM138-1</f>
        <v>-0.65625</v>
      </c>
      <c r="BR142" s="682">
        <f>+BR138/BN138-1</f>
        <v>-0.31428571428571428</v>
      </c>
      <c r="BS142" s="581"/>
      <c r="BT142" s="682">
        <f t="shared" si="187"/>
        <v>-3.3846153846153846</v>
      </c>
      <c r="BU142" s="682">
        <f t="shared" si="187"/>
        <v>0.36363636363636354</v>
      </c>
      <c r="BV142" s="682">
        <f t="shared" si="187"/>
        <v>-1.6666666666666665</v>
      </c>
      <c r="BW142" s="581"/>
      <c r="BX142" s="682">
        <f t="shared" si="187"/>
        <v>-0.64516129032258063</v>
      </c>
      <c r="BY142" s="682">
        <f>+BY138/BU138-1</f>
        <v>-0.46666666666666667</v>
      </c>
      <c r="BZ142" s="682">
        <f>+BZ138/BV138-1</f>
        <v>-0.8125</v>
      </c>
      <c r="CA142" s="581"/>
      <c r="CB142" s="682">
        <f t="shared" si="188"/>
        <v>-5.9090909090909092</v>
      </c>
      <c r="CC142" s="682">
        <f>+CC138/BY138-1</f>
        <v>0.375</v>
      </c>
      <c r="CD142" s="682">
        <f>+CD138/BZ138-1</f>
        <v>-22.666666666666668</v>
      </c>
      <c r="CE142" s="581"/>
      <c r="CF142" s="682">
        <f t="shared" si="189"/>
        <v>-2.1296296296296298</v>
      </c>
      <c r="CG142" s="682">
        <f>+CG138/CC138-1</f>
        <v>-3.3636363636363638</v>
      </c>
      <c r="CH142" s="682">
        <f>+CH138/CD138-1</f>
        <v>-2.3384615384615381</v>
      </c>
      <c r="CI142" s="581"/>
      <c r="CJ142" s="682">
        <f t="shared" si="190"/>
        <v>-1.3278688524590163</v>
      </c>
      <c r="CK142" s="682">
        <f>+CK138/CG138-1</f>
        <v>-2.5</v>
      </c>
      <c r="CL142" s="682">
        <f>+CL138/CH138-1</f>
        <v>-1.6781609195402298</v>
      </c>
      <c r="CM142" s="581"/>
      <c r="CN142" s="682">
        <f t="shared" si="191"/>
        <v>-1.3</v>
      </c>
      <c r="CO142" s="682">
        <f>+CO138/CK138-1</f>
        <v>-2.6153846153846154</v>
      </c>
      <c r="CP142" s="682">
        <f>+CP138/CL138-1</f>
        <v>-2.1694915254237288</v>
      </c>
      <c r="CQ142" s="581"/>
      <c r="CR142" s="682">
        <f t="shared" si="192"/>
        <v>25.333333333333332</v>
      </c>
      <c r="CS142" s="682">
        <f>+CS138/CO138-1</f>
        <v>3.0634920634920633</v>
      </c>
      <c r="CT142" s="682">
        <f>+CT138/CP138-1</f>
        <v>5</v>
      </c>
      <c r="CU142" s="581"/>
      <c r="CV142" s="682">
        <f t="shared" si="193"/>
        <v>-2.5316455696202556E-2</v>
      </c>
      <c r="CW142" s="682">
        <f>+CW138/CS138-1</f>
        <v>0</v>
      </c>
      <c r="CX142" s="682">
        <f>+CX138/CT138-1</f>
        <v>-9.6618357487923134E-3</v>
      </c>
      <c r="CY142" s="581"/>
      <c r="CZ142" s="682">
        <f t="shared" si="194"/>
        <v>1.168831168831169</v>
      </c>
      <c r="DA142" s="682">
        <f>+DA138/CW138-1</f>
        <v>0.390625</v>
      </c>
      <c r="DB142" s="682">
        <f>+DB138/CX138-1</f>
        <v>0.68292682926829262</v>
      </c>
      <c r="DC142" s="581"/>
      <c r="DD142" s="682">
        <f t="shared" si="195"/>
        <v>-3.59281437125748E-2</v>
      </c>
      <c r="DE142" s="682">
        <f>+DE138/DA138-1</f>
        <v>0.37640449438202239</v>
      </c>
      <c r="DF142" s="682">
        <f>+DF138/DB138-1</f>
        <v>0.17681159420289849</v>
      </c>
      <c r="DG142" s="581"/>
      <c r="DH142" s="682">
        <f t="shared" si="196"/>
        <v>0.54347826086956519</v>
      </c>
      <c r="DI142" s="682">
        <f>+DI138/DE138-1</f>
        <v>0.10000000000000009</v>
      </c>
      <c r="DJ142" s="682">
        <f>+DJ138/DF138-1</f>
        <v>0.27586206896551735</v>
      </c>
      <c r="DK142" s="581"/>
      <c r="DL142" s="682">
        <f>+DL138/DH138-1</f>
        <v>7.0000000000000062E-2</v>
      </c>
      <c r="DM142" s="682">
        <f>+DM138/DI138-1</f>
        <v>7.0000000000000062E-2</v>
      </c>
      <c r="DN142" s="682">
        <f>+DN138/DJ138-1</f>
        <v>7.0000000000000062E-2</v>
      </c>
      <c r="DO142" s="581"/>
      <c r="DP142" s="682">
        <f>+DP138/DL138-1</f>
        <v>7.0000000000000062E-2</v>
      </c>
      <c r="DQ142" s="682">
        <f>+DQ138/DM138-1</f>
        <v>7.0000000000000062E-2</v>
      </c>
      <c r="DR142" s="682">
        <f>+DR138/DN138-1</f>
        <v>7.0000000000000284E-2</v>
      </c>
      <c r="DS142" s="581"/>
      <c r="DT142" s="581"/>
      <c r="DU142" s="581"/>
      <c r="DV142" s="581"/>
      <c r="DW142" s="682"/>
      <c r="DX142" s="682"/>
      <c r="DY142" s="682"/>
      <c r="DZ142" s="581"/>
      <c r="EA142" s="682"/>
      <c r="EB142" s="682"/>
      <c r="EC142" s="682"/>
      <c r="ED142" s="581"/>
      <c r="EE142" s="682"/>
      <c r="EF142" s="682"/>
      <c r="EG142" s="682"/>
      <c r="EH142" s="581"/>
      <c r="EI142" s="682"/>
      <c r="EJ142" s="682"/>
      <c r="EK142" s="682"/>
      <c r="EL142" s="581"/>
      <c r="EM142" s="581"/>
      <c r="EN142" s="581"/>
      <c r="EO142" s="581"/>
      <c r="EP142" s="581"/>
      <c r="EQ142" s="581"/>
      <c r="ER142" s="581"/>
      <c r="ES142" s="581"/>
      <c r="ET142" s="581"/>
      <c r="EU142" s="581"/>
      <c r="JW142"/>
    </row>
    <row r="143" spans="1:283" s="328" customFormat="1">
      <c r="A143" s="1092"/>
      <c r="AN143" s="581"/>
      <c r="AO143" s="581"/>
      <c r="AP143" s="581"/>
      <c r="AQ143" s="581"/>
      <c r="AR143" s="581"/>
      <c r="AS143" s="581"/>
      <c r="AT143" s="581"/>
      <c r="AU143" s="581"/>
      <c r="AV143" s="682"/>
      <c r="AW143" s="682"/>
      <c r="AX143" s="682"/>
      <c r="AY143" s="581"/>
      <c r="AZ143" s="682"/>
      <c r="BA143" s="682"/>
      <c r="BB143" s="682"/>
      <c r="BC143" s="581"/>
      <c r="BD143" s="682"/>
      <c r="BE143" s="682"/>
      <c r="BF143" s="682"/>
      <c r="BG143" s="581"/>
      <c r="BH143" s="682"/>
      <c r="BI143" s="682"/>
      <c r="BJ143" s="682"/>
      <c r="BK143" s="581"/>
      <c r="BL143" s="682"/>
      <c r="BM143" s="682"/>
      <c r="BN143" s="682"/>
      <c r="BO143" s="581"/>
      <c r="BP143" s="682"/>
      <c r="BQ143" s="682"/>
      <c r="BR143" s="682"/>
      <c r="BS143" s="581"/>
      <c r="BT143" s="682"/>
      <c r="BU143" s="682"/>
      <c r="BV143" s="682"/>
      <c r="BW143" s="581"/>
      <c r="BX143" s="682"/>
      <c r="BY143" s="682"/>
      <c r="BZ143" s="682"/>
      <c r="CA143" s="581"/>
      <c r="CB143" s="682"/>
      <c r="CC143" s="682"/>
      <c r="CD143" s="682"/>
      <c r="CE143" s="581"/>
      <c r="CF143" s="682"/>
      <c r="CG143" s="682"/>
      <c r="CH143" s="682"/>
      <c r="CI143" s="581"/>
      <c r="CJ143" s="682"/>
      <c r="CK143" s="682"/>
      <c r="CL143" s="682"/>
      <c r="CM143" s="581"/>
      <c r="CN143" s="682"/>
      <c r="CO143" s="682"/>
      <c r="CP143" s="682"/>
      <c r="CQ143" s="581"/>
      <c r="CR143" s="682"/>
      <c r="CS143" s="682"/>
      <c r="CT143" s="682"/>
      <c r="CU143" s="581"/>
      <c r="CV143" s="682"/>
      <c r="CW143" s="682"/>
      <c r="CX143" s="682"/>
      <c r="CY143" s="581"/>
      <c r="CZ143" s="682"/>
      <c r="DA143" s="682"/>
      <c r="DB143" s="682"/>
      <c r="DC143" s="581"/>
      <c r="DD143" s="682"/>
      <c r="DE143" s="682"/>
      <c r="DF143" s="682"/>
      <c r="DG143" s="581"/>
      <c r="DH143" s="682"/>
      <c r="DI143" s="682"/>
      <c r="DJ143" s="682"/>
      <c r="DK143" s="581"/>
      <c r="DL143" s="682"/>
      <c r="DM143" s="682"/>
      <c r="DN143" s="682"/>
      <c r="DO143" s="581"/>
      <c r="DP143" s="682"/>
      <c r="DQ143" s="682"/>
      <c r="DR143" s="682"/>
      <c r="DS143" s="581"/>
      <c r="DT143" s="581"/>
      <c r="DU143" s="581"/>
      <c r="DV143" s="581"/>
      <c r="DW143" s="682"/>
      <c r="DX143" s="682"/>
      <c r="DY143" s="682"/>
      <c r="DZ143" s="581"/>
      <c r="EA143" s="682"/>
      <c r="EB143" s="682"/>
      <c r="EC143" s="682"/>
      <c r="ED143" s="581"/>
      <c r="EE143" s="682"/>
      <c r="EF143" s="682"/>
      <c r="EG143" s="682"/>
      <c r="EH143" s="581"/>
      <c r="EI143" s="682"/>
      <c r="EJ143" s="682"/>
      <c r="EK143" s="682"/>
      <c r="EL143" s="581"/>
      <c r="EM143" s="581"/>
      <c r="EN143" s="581"/>
      <c r="EO143" s="581"/>
      <c r="EP143" s="581"/>
      <c r="EQ143" s="581"/>
      <c r="ER143" s="581"/>
      <c r="ES143" s="581"/>
      <c r="ET143" s="581"/>
      <c r="EU143" s="581"/>
      <c r="JW143"/>
    </row>
    <row r="144" spans="1:283" s="328" customFormat="1">
      <c r="A144" s="327" t="s">
        <v>1393</v>
      </c>
      <c r="AN144" s="581"/>
      <c r="AO144" s="581"/>
      <c r="AP144" s="581"/>
      <c r="AQ144" s="581"/>
      <c r="AR144" s="581"/>
      <c r="AS144" s="581"/>
      <c r="AT144" s="581"/>
      <c r="AU144" s="581"/>
      <c r="AV144" s="682"/>
      <c r="AW144" s="682"/>
      <c r="AX144" s="682"/>
      <c r="AY144" s="581"/>
      <c r="AZ144" s="682"/>
      <c r="BA144" s="682"/>
      <c r="BB144" s="682"/>
      <c r="BC144" s="581"/>
      <c r="BD144" s="682"/>
      <c r="BE144" s="682"/>
      <c r="BF144" s="682"/>
      <c r="BG144" s="581"/>
      <c r="BH144" s="682"/>
      <c r="BI144" s="682"/>
      <c r="BJ144" s="682"/>
      <c r="BK144" s="581"/>
      <c r="BL144" s="682"/>
      <c r="BM144" s="682"/>
      <c r="BN144" s="682"/>
      <c r="BO144" s="581"/>
      <c r="BP144" s="682"/>
      <c r="BQ144" s="682"/>
      <c r="BR144" s="682"/>
      <c r="BS144" s="581"/>
      <c r="BT144" s="682"/>
      <c r="BU144" s="682"/>
      <c r="BV144" s="682"/>
      <c r="BW144" s="581"/>
      <c r="BX144" s="682"/>
      <c r="BY144" s="682"/>
      <c r="BZ144" s="682"/>
      <c r="CA144" s="581"/>
      <c r="CB144" s="682"/>
      <c r="CC144" s="682"/>
      <c r="CD144" s="682"/>
      <c r="CE144" s="581"/>
      <c r="CF144" s="682"/>
      <c r="CG144" s="682"/>
      <c r="CH144" s="682"/>
      <c r="CI144" s="581"/>
      <c r="CJ144" s="682"/>
      <c r="CK144" s="682"/>
      <c r="CL144" s="682"/>
      <c r="CM144" s="581"/>
      <c r="CN144" s="682"/>
      <c r="CO144" s="682"/>
      <c r="CP144" s="682"/>
      <c r="CQ144" s="581"/>
      <c r="CR144" s="682"/>
      <c r="CS144" s="682"/>
      <c r="CT144" s="682"/>
      <c r="CU144" s="581"/>
      <c r="CV144" s="682"/>
      <c r="CW144" s="2039">
        <f>+CX144</f>
        <v>18</v>
      </c>
      <c r="CX144" s="2038">
        <v>18</v>
      </c>
      <c r="CY144" s="581"/>
      <c r="CZ144" s="682"/>
      <c r="DA144" s="2039">
        <f>+DB144</f>
        <v>21.5</v>
      </c>
      <c r="DB144" s="2038">
        <v>21.5</v>
      </c>
      <c r="DC144" s="581"/>
      <c r="DD144" s="2038">
        <v>22.5</v>
      </c>
      <c r="DE144" s="2039">
        <f>+DF144</f>
        <v>26</v>
      </c>
      <c r="DF144" s="2180">
        <v>26</v>
      </c>
      <c r="DG144" s="581"/>
      <c r="DH144" s="2038">
        <v>25.9</v>
      </c>
      <c r="DI144" s="682"/>
      <c r="DJ144" s="682"/>
      <c r="DK144" s="581"/>
      <c r="DL144" s="682"/>
      <c r="DM144" s="682"/>
      <c r="DN144" s="682"/>
      <c r="DO144" s="581"/>
      <c r="DP144" s="682"/>
      <c r="DQ144" s="682"/>
      <c r="DR144" s="682"/>
      <c r="DS144" s="581"/>
      <c r="DT144" s="581"/>
      <c r="DU144" s="581"/>
      <c r="DV144" s="581"/>
      <c r="DW144" s="682"/>
      <c r="DX144" s="682"/>
      <c r="DY144" s="682"/>
      <c r="DZ144" s="581"/>
      <c r="EA144" s="682"/>
      <c r="EB144" s="682"/>
      <c r="EC144" s="682"/>
      <c r="ED144" s="581"/>
      <c r="EE144" s="682"/>
      <c r="EF144" s="682"/>
      <c r="EG144" s="682"/>
      <c r="EH144" s="581"/>
      <c r="EI144" s="682"/>
      <c r="EJ144" s="682"/>
      <c r="EK144" s="682"/>
      <c r="EL144" s="581"/>
      <c r="EM144" s="581"/>
      <c r="EN144" s="581"/>
      <c r="EO144" s="581"/>
      <c r="EP144" s="581"/>
      <c r="EQ144" s="581"/>
      <c r="ER144" s="581"/>
      <c r="ES144" s="581"/>
      <c r="ET144" s="581"/>
      <c r="EU144" s="581"/>
      <c r="JW144"/>
    </row>
    <row r="145" spans="1:283" s="328" customFormat="1">
      <c r="A145" s="1092"/>
      <c r="AN145" s="581"/>
      <c r="AO145" s="581"/>
      <c r="AP145" s="581"/>
      <c r="AQ145" s="581"/>
      <c r="AR145" s="581"/>
      <c r="AS145" s="581"/>
      <c r="AT145" s="581"/>
      <c r="AU145" s="581"/>
      <c r="AV145" s="682"/>
      <c r="AW145" s="682"/>
      <c r="AX145" s="682"/>
      <c r="AY145" s="581"/>
      <c r="AZ145" s="682"/>
      <c r="BA145" s="682"/>
      <c r="BB145" s="682"/>
      <c r="BC145" s="581"/>
      <c r="BD145" s="682"/>
      <c r="BE145" s="682"/>
      <c r="BF145" s="682"/>
      <c r="BG145" s="581"/>
      <c r="BH145" s="682"/>
      <c r="BI145" s="682"/>
      <c r="BJ145" s="682"/>
      <c r="BK145" s="581"/>
      <c r="BL145" s="682"/>
      <c r="BM145" s="682"/>
      <c r="BN145" s="682"/>
      <c r="BO145" s="581"/>
      <c r="BP145" s="682"/>
      <c r="BQ145" s="682"/>
      <c r="BR145" s="682"/>
      <c r="BS145" s="581"/>
      <c r="BT145" s="682"/>
      <c r="BU145" s="682"/>
      <c r="BV145" s="682"/>
      <c r="BW145" s="581"/>
      <c r="BX145" s="682"/>
      <c r="BY145" s="682"/>
      <c r="BZ145" s="682"/>
      <c r="CA145" s="581"/>
      <c r="CB145" s="682"/>
      <c r="CC145" s="682"/>
      <c r="CD145" s="682"/>
      <c r="CE145" s="581"/>
      <c r="CF145" s="682"/>
      <c r="CG145" s="682"/>
      <c r="CH145" s="682"/>
      <c r="CI145" s="581"/>
      <c r="CJ145" s="682"/>
      <c r="CK145" s="682"/>
      <c r="CL145" s="682"/>
      <c r="CM145" s="581"/>
      <c r="CN145" s="682"/>
      <c r="CO145" s="682"/>
      <c r="CP145" s="682"/>
      <c r="CQ145" s="581"/>
      <c r="CR145" s="682"/>
      <c r="CS145" s="682"/>
      <c r="CT145" s="682"/>
      <c r="CU145" s="581"/>
      <c r="CV145" s="682"/>
      <c r="CW145" s="682"/>
      <c r="CX145" s="682"/>
      <c r="CY145" s="581"/>
      <c r="CZ145" s="682"/>
      <c r="DA145" s="682"/>
      <c r="DB145" s="682"/>
      <c r="DC145" s="581"/>
      <c r="DD145" s="682"/>
      <c r="DE145" s="682"/>
      <c r="DF145" s="682"/>
      <c r="DG145" s="581"/>
      <c r="DH145" s="682"/>
      <c r="DI145" s="682"/>
      <c r="DJ145" s="682"/>
      <c r="DK145" s="581"/>
      <c r="DL145" s="682"/>
      <c r="DM145" s="682"/>
      <c r="DN145" s="682"/>
      <c r="DO145" s="581"/>
      <c r="DP145" s="682"/>
      <c r="DQ145" s="682"/>
      <c r="DR145" s="682"/>
      <c r="DS145" s="581"/>
      <c r="DT145" s="581"/>
      <c r="DU145" s="581"/>
      <c r="DV145" s="581"/>
      <c r="DW145" s="682"/>
      <c r="DX145" s="682"/>
      <c r="DY145" s="682"/>
      <c r="DZ145" s="581"/>
      <c r="EA145" s="682"/>
      <c r="EB145" s="682"/>
      <c r="EC145" s="682"/>
      <c r="ED145" s="581"/>
      <c r="EE145" s="682"/>
      <c r="EF145" s="682"/>
      <c r="EG145" s="682"/>
      <c r="EH145" s="581"/>
      <c r="EI145" s="682"/>
      <c r="EJ145" s="682"/>
      <c r="EK145" s="682"/>
      <c r="EL145" s="581"/>
      <c r="EM145" s="581"/>
      <c r="EN145" s="581"/>
      <c r="EO145" s="581"/>
      <c r="EP145" s="581"/>
      <c r="EQ145" s="581"/>
      <c r="ER145" s="581"/>
      <c r="ES145" s="581"/>
      <c r="ET145" s="581"/>
      <c r="EU145" s="581"/>
      <c r="JW145"/>
    </row>
    <row r="146" spans="1:283" s="332" customFormat="1">
      <c r="A146" s="327"/>
      <c r="AN146" s="293"/>
      <c r="AO146" s="293"/>
      <c r="AP146" s="293"/>
      <c r="AQ146" s="293"/>
      <c r="AR146" s="711"/>
      <c r="AS146" s="711"/>
      <c r="AT146" s="293"/>
      <c r="AU146" s="293"/>
      <c r="AV146" s="711"/>
      <c r="AW146" s="711"/>
      <c r="AX146" s="293"/>
      <c r="AY146" s="293"/>
      <c r="AZ146" s="711"/>
      <c r="BA146" s="711"/>
      <c r="BB146" s="293"/>
      <c r="BC146" s="360"/>
      <c r="BD146" s="711"/>
      <c r="BE146" s="711"/>
      <c r="BF146" s="293"/>
      <c r="BG146" s="360"/>
      <c r="BH146" s="711"/>
      <c r="BI146" s="711"/>
      <c r="BJ146" s="293"/>
      <c r="BK146" s="293"/>
      <c r="BL146" s="711"/>
      <c r="BM146" s="711"/>
      <c r="BN146" s="293"/>
      <c r="BO146" s="293"/>
      <c r="BP146" s="711"/>
      <c r="BQ146" s="711"/>
      <c r="BR146" s="293"/>
      <c r="BS146" s="293"/>
      <c r="BT146" s="711"/>
      <c r="BU146" s="711"/>
      <c r="BV146" s="293"/>
      <c r="BW146" s="293"/>
      <c r="BX146" s="711"/>
      <c r="BY146" s="711"/>
      <c r="BZ146" s="293"/>
      <c r="CA146" s="293"/>
      <c r="CB146" s="711"/>
      <c r="CC146" s="711"/>
      <c r="CD146" s="293"/>
      <c r="CE146" s="293"/>
      <c r="CF146" s="711"/>
      <c r="CG146" s="711"/>
      <c r="CH146" s="293"/>
      <c r="CI146" s="293"/>
      <c r="CJ146" s="711"/>
      <c r="CK146" s="711"/>
      <c r="CL146" s="293"/>
      <c r="CM146" s="293"/>
      <c r="CN146" s="711"/>
      <c r="CO146" s="711"/>
      <c r="CP146" s="293"/>
      <c r="CQ146" s="293"/>
      <c r="CR146" s="293"/>
      <c r="CS146" s="293"/>
      <c r="CT146" s="293"/>
      <c r="CU146" s="293"/>
      <c r="CV146" s="293"/>
      <c r="CW146" s="293"/>
      <c r="CX146" s="293"/>
      <c r="CY146" s="293"/>
      <c r="CZ146" s="293"/>
      <c r="DA146" s="293"/>
      <c r="DB146" s="293"/>
      <c r="DC146" s="293"/>
      <c r="DD146" s="293"/>
      <c r="DE146" s="293"/>
      <c r="DF146" s="293"/>
      <c r="DG146" s="293"/>
      <c r="DH146" s="293"/>
      <c r="DI146" s="293"/>
      <c r="DJ146" s="293"/>
      <c r="DK146" s="293"/>
      <c r="DL146" s="293"/>
      <c r="DM146" s="293"/>
      <c r="DN146" s="293"/>
      <c r="DO146" s="293"/>
      <c r="DP146" s="293"/>
      <c r="DQ146" s="293"/>
      <c r="DR146" s="293"/>
      <c r="DS146" s="293"/>
      <c r="DT146" s="293"/>
      <c r="DU146" s="293"/>
      <c r="DV146" s="293"/>
      <c r="DW146" s="293"/>
      <c r="DX146" s="293"/>
      <c r="DY146" s="293"/>
      <c r="DZ146" s="293"/>
      <c r="EA146" s="293"/>
      <c r="EB146" s="293"/>
      <c r="EC146" s="293"/>
      <c r="ED146" s="293"/>
      <c r="EE146" s="293"/>
      <c r="EF146" s="293"/>
      <c r="EG146" s="293"/>
      <c r="EH146" s="293"/>
      <c r="EI146" s="293"/>
      <c r="EJ146" s="293"/>
      <c r="EK146" s="293"/>
      <c r="EL146" s="293"/>
      <c r="EM146" s="293"/>
      <c r="EN146" s="293"/>
      <c r="EO146" s="293"/>
      <c r="EP146" s="293"/>
      <c r="EQ146" s="293"/>
      <c r="ER146" s="293"/>
      <c r="ES146" s="293"/>
      <c r="ET146" s="293"/>
      <c r="EU146" s="293"/>
      <c r="JW146"/>
    </row>
    <row r="147" spans="1:283" s="327" customFormat="1">
      <c r="A147" s="1207" t="s">
        <v>566</v>
      </c>
      <c r="AN147" s="295"/>
      <c r="AO147" s="295"/>
      <c r="AP147" s="295"/>
      <c r="AQ147" s="295"/>
      <c r="AR147" s="1200"/>
      <c r="AS147" s="1200"/>
      <c r="AT147" s="295"/>
      <c r="AU147" s="295"/>
      <c r="AV147" s="1200"/>
      <c r="AW147" s="1200"/>
      <c r="AX147" s="295"/>
      <c r="AY147" s="295"/>
      <c r="AZ147" s="1200"/>
      <c r="BA147" s="1200"/>
      <c r="BB147" s="295"/>
      <c r="BC147" s="295"/>
      <c r="BD147" s="1200"/>
      <c r="BE147" s="1200"/>
      <c r="BF147" s="295"/>
      <c r="BG147" s="295"/>
      <c r="BH147" s="1200"/>
      <c r="BI147" s="1200"/>
      <c r="BJ147" s="295"/>
      <c r="BK147" s="293"/>
      <c r="BL147" s="1200"/>
      <c r="BM147" s="1200"/>
      <c r="BN147" s="295"/>
      <c r="BO147" s="295"/>
      <c r="BP147" s="1200"/>
      <c r="BQ147" s="1200"/>
      <c r="BR147" s="295"/>
      <c r="BS147" s="295"/>
      <c r="BT147" s="1200"/>
      <c r="BU147" s="1200"/>
      <c r="BV147" s="295"/>
      <c r="BW147" s="295"/>
      <c r="BX147" s="1200"/>
      <c r="BY147" s="1200"/>
      <c r="BZ147" s="295"/>
      <c r="CA147" s="295"/>
      <c r="CB147" s="1200"/>
      <c r="CC147" s="1200"/>
      <c r="CD147" s="295"/>
      <c r="CE147" s="295"/>
      <c r="CF147" s="1200"/>
      <c r="CG147" s="1200"/>
      <c r="CH147" s="295"/>
      <c r="CI147" s="295"/>
      <c r="CJ147" s="1200"/>
      <c r="CK147" s="1200"/>
      <c r="CL147" s="295"/>
      <c r="CM147" s="295"/>
      <c r="CN147" s="1200"/>
      <c r="CO147" s="1200"/>
      <c r="CP147" s="295"/>
      <c r="CQ147" s="295"/>
      <c r="CR147" s="293"/>
      <c r="CS147" s="293"/>
      <c r="CT147" s="293"/>
      <c r="CU147" s="295"/>
      <c r="CV147" s="293"/>
      <c r="CW147" s="293"/>
      <c r="CX147" s="293"/>
      <c r="CY147" s="295"/>
      <c r="CZ147" s="293"/>
      <c r="DA147" s="293"/>
      <c r="DB147" s="293"/>
      <c r="DC147" s="295"/>
      <c r="DD147" s="293"/>
      <c r="DE147" s="293"/>
      <c r="DF147" s="293"/>
      <c r="DG147" s="295"/>
      <c r="DH147" s="325">
        <f>DH148/DD148-1</f>
        <v>0.35108958837772386</v>
      </c>
      <c r="DI147" s="293"/>
      <c r="DJ147" s="293"/>
      <c r="DK147" s="295"/>
      <c r="DL147" s="293"/>
      <c r="DM147" s="293"/>
      <c r="DN147" s="293"/>
      <c r="DO147" s="295"/>
      <c r="DP147" s="293"/>
      <c r="DQ147" s="293"/>
      <c r="DR147" s="293"/>
      <c r="DS147" s="295"/>
      <c r="DT147" s="295"/>
      <c r="DU147" s="295"/>
      <c r="DV147" s="295"/>
      <c r="DW147" s="293"/>
      <c r="DX147" s="293"/>
      <c r="DY147" s="293"/>
      <c r="DZ147" s="295"/>
      <c r="EA147" s="293"/>
      <c r="EB147" s="293"/>
      <c r="EC147" s="293"/>
      <c r="ED147" s="295"/>
      <c r="EE147" s="293"/>
      <c r="EF147" s="293"/>
      <c r="EG147" s="293"/>
      <c r="EH147" s="295"/>
      <c r="EI147" s="293"/>
      <c r="EJ147" s="293"/>
      <c r="EK147" s="293"/>
      <c r="EL147" s="295"/>
      <c r="EM147" s="295"/>
      <c r="EN147" s="295"/>
      <c r="EO147" s="295"/>
      <c r="EP147" s="295"/>
      <c r="EQ147" s="295"/>
      <c r="ER147" s="295"/>
      <c r="ES147" s="295"/>
      <c r="ET147" s="295"/>
      <c r="EU147" s="295"/>
      <c r="JW147"/>
    </row>
    <row r="148" spans="1:283" s="332" customFormat="1">
      <c r="A148" s="332" t="s">
        <v>656</v>
      </c>
      <c r="AN148" s="626">
        <v>850</v>
      </c>
      <c r="AO148" s="626">
        <v>538</v>
      </c>
      <c r="AP148" s="293">
        <f>AN148+AO148</f>
        <v>1388</v>
      </c>
      <c r="AQ148" s="626"/>
      <c r="AR148" s="626">
        <v>566</v>
      </c>
      <c r="AS148" s="626">
        <v>590</v>
      </c>
      <c r="AT148" s="293">
        <f>AR148+AS148</f>
        <v>1156</v>
      </c>
      <c r="AU148" s="626"/>
      <c r="AV148" s="626">
        <v>546</v>
      </c>
      <c r="AW148" s="626">
        <v>450</v>
      </c>
      <c r="AX148" s="293">
        <f>AV148+AW148</f>
        <v>996</v>
      </c>
      <c r="AY148" s="626"/>
      <c r="AZ148" s="626">
        <v>376</v>
      </c>
      <c r="BA148" s="927">
        <v>477</v>
      </c>
      <c r="BB148" s="293">
        <f>AZ148+BA148</f>
        <v>853</v>
      </c>
      <c r="BC148" s="293"/>
      <c r="BD148" s="626">
        <v>313</v>
      </c>
      <c r="BE148" s="626">
        <v>322</v>
      </c>
      <c r="BF148" s="293">
        <f>BD148+BE148</f>
        <v>635</v>
      </c>
      <c r="BG148" s="293"/>
      <c r="BH148" s="626">
        <v>273</v>
      </c>
      <c r="BI148" s="626">
        <v>267</v>
      </c>
      <c r="BJ148" s="293">
        <f>BH148+BI148</f>
        <v>540</v>
      </c>
      <c r="BK148" s="293"/>
      <c r="BL148" s="626">
        <v>288</v>
      </c>
      <c r="BM148" s="626">
        <v>379</v>
      </c>
      <c r="BN148" s="293">
        <f>BL148+BM148</f>
        <v>667</v>
      </c>
      <c r="BO148" s="487"/>
      <c r="BP148" s="626">
        <v>332</v>
      </c>
      <c r="BQ148" s="626">
        <v>465</v>
      </c>
      <c r="BR148" s="293">
        <f>BP148+BQ148</f>
        <v>797</v>
      </c>
      <c r="BS148" s="487"/>
      <c r="BT148" s="626">
        <v>448</v>
      </c>
      <c r="BU148" s="626">
        <v>351</v>
      </c>
      <c r="BV148" s="293">
        <f>BT148+BU148</f>
        <v>799</v>
      </c>
      <c r="BW148" s="293"/>
      <c r="BX148" s="819">
        <f t="shared" ref="BX148:BY150" si="197">$BV148/$BV$153*BX$153</f>
        <v>382.05057471264371</v>
      </c>
      <c r="BY148" s="819">
        <f t="shared" si="197"/>
        <v>432.56206896551726</v>
      </c>
      <c r="BZ148" s="293">
        <f>BX148+BY148</f>
        <v>814.61264367816102</v>
      </c>
      <c r="CA148" s="293"/>
      <c r="CB148" s="819">
        <f t="shared" ref="CB148:CC150" si="198">$BV148/$BV$153*CB$153</f>
        <v>387.56091954022992</v>
      </c>
      <c r="CC148" s="819">
        <f t="shared" si="198"/>
        <v>388.47931034482758</v>
      </c>
      <c r="CD148" s="293">
        <f>CB148+CC148</f>
        <v>776.04022988505744</v>
      </c>
      <c r="CE148" s="293"/>
      <c r="CF148" s="917">
        <v>514</v>
      </c>
      <c r="CG148" s="819">
        <f>910-CF148-8</f>
        <v>388</v>
      </c>
      <c r="CH148" s="293">
        <f>CF148+CG148</f>
        <v>902</v>
      </c>
      <c r="CI148" s="684">
        <f t="shared" ref="CI148" si="199">+CH148/CD148-1</f>
        <v>0.16231087676163258</v>
      </c>
      <c r="CJ148" s="917">
        <v>411</v>
      </c>
      <c r="CK148" s="819">
        <v>441</v>
      </c>
      <c r="CL148" s="293">
        <f>CJ148+CK148</f>
        <v>852</v>
      </c>
      <c r="CM148" s="293"/>
      <c r="CN148" s="1391">
        <v>413</v>
      </c>
      <c r="CO148" s="1391">
        <v>445</v>
      </c>
      <c r="CP148" s="1010">
        <f>CN148+CO148</f>
        <v>858</v>
      </c>
      <c r="CQ148" s="1010"/>
      <c r="CR148" s="1391">
        <v>618</v>
      </c>
      <c r="CS148" s="1499">
        <v>755</v>
      </c>
      <c r="CT148" s="293">
        <f>CR148+CS148</f>
        <v>1373</v>
      </c>
      <c r="CU148" s="293"/>
      <c r="CV148" s="1391">
        <v>438</v>
      </c>
      <c r="CW148" s="1499">
        <v>553</v>
      </c>
      <c r="CX148" s="293">
        <f>CV148+CW148</f>
        <v>991</v>
      </c>
      <c r="CY148" s="293"/>
      <c r="CZ148" s="1864">
        <v>408</v>
      </c>
      <c r="DA148" s="2024">
        <v>335</v>
      </c>
      <c r="DB148" s="293">
        <f>CZ148+DA148</f>
        <v>743</v>
      </c>
      <c r="DC148" s="293"/>
      <c r="DD148" s="2116">
        <v>413</v>
      </c>
      <c r="DE148" s="2176">
        <v>503</v>
      </c>
      <c r="DF148" s="293">
        <f>DD148+DE148</f>
        <v>916</v>
      </c>
      <c r="DG148" s="293"/>
      <c r="DH148" s="2116">
        <v>558</v>
      </c>
      <c r="DI148" s="293">
        <f>DI186</f>
        <v>530.1</v>
      </c>
      <c r="DJ148" s="293">
        <f>DH148+DI148</f>
        <v>1088.0999999999999</v>
      </c>
      <c r="DK148" s="293"/>
      <c r="DL148" s="293">
        <f>DL186</f>
        <v>556.60500000000002</v>
      </c>
      <c r="DM148" s="293">
        <f>DM186</f>
        <v>584.43525</v>
      </c>
      <c r="DN148" s="293">
        <f>DL148+DM148</f>
        <v>1141.04025</v>
      </c>
      <c r="DO148" s="293"/>
      <c r="DP148" s="293">
        <f>DP186</f>
        <v>596.12395500000002</v>
      </c>
      <c r="DQ148" s="293">
        <f>DQ186</f>
        <v>608.04643410000006</v>
      </c>
      <c r="DR148" s="293">
        <f>DP148+DQ148</f>
        <v>1204.1703891000002</v>
      </c>
      <c r="DS148" s="293"/>
      <c r="DT148" s="293"/>
      <c r="DU148" s="293"/>
      <c r="DV148" s="293"/>
      <c r="DW148" s="293" t="s">
        <v>513</v>
      </c>
      <c r="DX148" s="293"/>
      <c r="DY148" s="293"/>
      <c r="DZ148" s="293"/>
      <c r="EA148" s="293"/>
      <c r="EB148" s="293"/>
      <c r="EC148" s="293"/>
      <c r="ED148" s="293"/>
      <c r="EE148" s="293"/>
      <c r="EF148" s="293"/>
      <c r="EG148" s="293"/>
      <c r="EH148" s="293"/>
      <c r="EI148" s="293"/>
      <c r="EJ148" s="293"/>
      <c r="EK148" s="293"/>
      <c r="EL148" s="293"/>
      <c r="EM148" s="293"/>
      <c r="EN148" s="293"/>
      <c r="EO148" s="293"/>
      <c r="EP148" s="293"/>
      <c r="EQ148" s="293"/>
      <c r="ER148" s="293"/>
      <c r="ES148" s="293"/>
      <c r="ET148" s="293"/>
      <c r="EU148" s="293"/>
      <c r="JW148"/>
    </row>
    <row r="149" spans="1:283" s="332" customFormat="1">
      <c r="A149" s="332" t="s">
        <v>654</v>
      </c>
      <c r="AN149" s="293"/>
      <c r="AO149" s="293"/>
      <c r="AP149" s="293"/>
      <c r="AQ149" s="293"/>
      <c r="AR149" s="293"/>
      <c r="AS149" s="293"/>
      <c r="AT149" s="293"/>
      <c r="AU149" s="293"/>
      <c r="AV149" s="626">
        <v>14</v>
      </c>
      <c r="AW149" s="626">
        <v>19</v>
      </c>
      <c r="AX149" s="293">
        <f>AV149+AW149</f>
        <v>33</v>
      </c>
      <c r="AY149" s="293"/>
      <c r="AZ149" s="626">
        <v>21</v>
      </c>
      <c r="BA149" s="626">
        <v>22</v>
      </c>
      <c r="BB149" s="293">
        <f>AZ149+BA149</f>
        <v>43</v>
      </c>
      <c r="BC149" s="293"/>
      <c r="BD149" s="626">
        <v>21</v>
      </c>
      <c r="BE149" s="626">
        <v>18</v>
      </c>
      <c r="BF149" s="293">
        <f>BD149+BE149</f>
        <v>39</v>
      </c>
      <c r="BG149" s="293"/>
      <c r="BH149" s="626">
        <v>16</v>
      </c>
      <c r="BI149" s="626">
        <v>18</v>
      </c>
      <c r="BJ149" s="293">
        <f>BH149+BI149</f>
        <v>34</v>
      </c>
      <c r="BK149" s="293"/>
      <c r="BL149" s="626">
        <v>24</v>
      </c>
      <c r="BM149" s="626">
        <v>22</v>
      </c>
      <c r="BN149" s="293">
        <f>BL149+BM149</f>
        <v>46</v>
      </c>
      <c r="BO149" s="487"/>
      <c r="BP149" s="626">
        <v>18</v>
      </c>
      <c r="BQ149" s="626">
        <v>25</v>
      </c>
      <c r="BR149" s="293">
        <f>BP149+BQ149</f>
        <v>43</v>
      </c>
      <c r="BS149" s="487"/>
      <c r="BT149" s="626">
        <v>32</v>
      </c>
      <c r="BU149" s="626">
        <v>16</v>
      </c>
      <c r="BV149" s="293">
        <f>BT149+BU149</f>
        <v>48</v>
      </c>
      <c r="BW149" s="293"/>
      <c r="BX149" s="819">
        <f t="shared" si="197"/>
        <v>22.951724137931034</v>
      </c>
      <c r="BY149" s="819">
        <f t="shared" si="197"/>
        <v>25.986206896551725</v>
      </c>
      <c r="BZ149" s="293">
        <f>BX149+BY149</f>
        <v>48.937931034482759</v>
      </c>
      <c r="CA149" s="293"/>
      <c r="CB149" s="819">
        <f t="shared" si="198"/>
        <v>23.282758620689656</v>
      </c>
      <c r="CC149" s="819">
        <f t="shared" si="198"/>
        <v>23.337931034482757</v>
      </c>
      <c r="CD149" s="293">
        <f>CB149+CC149</f>
        <v>46.620689655172413</v>
      </c>
      <c r="CE149" s="293"/>
      <c r="CF149" s="917">
        <v>0</v>
      </c>
      <c r="CG149" s="917">
        <v>0</v>
      </c>
      <c r="CH149" s="293">
        <f>CF149+CG149</f>
        <v>0</v>
      </c>
      <c r="CI149" s="293"/>
      <c r="CJ149" s="917">
        <v>0</v>
      </c>
      <c r="CK149" s="917">
        <v>0</v>
      </c>
      <c r="CL149" s="293">
        <f>CJ149+CK149</f>
        <v>0</v>
      </c>
      <c r="CM149" s="293"/>
      <c r="CN149" s="1391">
        <v>0</v>
      </c>
      <c r="CO149" s="1391">
        <v>0</v>
      </c>
      <c r="CP149" s="1010">
        <f>CN149+CO149</f>
        <v>0</v>
      </c>
      <c r="CQ149" s="1010"/>
      <c r="CR149" s="1391">
        <v>0</v>
      </c>
      <c r="CS149" s="1499">
        <v>0</v>
      </c>
      <c r="CT149" s="293">
        <f>CR149+CS149</f>
        <v>0</v>
      </c>
      <c r="CU149" s="293"/>
      <c r="CV149" s="1391">
        <v>0</v>
      </c>
      <c r="CW149" s="1499">
        <v>0</v>
      </c>
      <c r="CX149" s="293">
        <f>CV149+CW149</f>
        <v>0</v>
      </c>
      <c r="CY149" s="293"/>
      <c r="CZ149" s="1864">
        <v>0</v>
      </c>
      <c r="DA149" s="2024">
        <v>0</v>
      </c>
      <c r="DB149" s="293">
        <f>CZ149+DA149</f>
        <v>0</v>
      </c>
      <c r="DC149" s="293"/>
      <c r="DD149" s="2116">
        <v>0</v>
      </c>
      <c r="DE149" s="1499">
        <v>0</v>
      </c>
      <c r="DF149" s="293">
        <f>DD149+DE149</f>
        <v>0</v>
      </c>
      <c r="DG149" s="293"/>
      <c r="DH149" s="2116">
        <v>0</v>
      </c>
      <c r="DI149" s="841">
        <f>'P&amp;L'!DI139</f>
        <v>0</v>
      </c>
      <c r="DJ149" s="293">
        <f>DH149+DI149</f>
        <v>0</v>
      </c>
      <c r="DK149" s="293"/>
      <c r="DL149" s="841">
        <f>'P&amp;L'!DL139</f>
        <v>0</v>
      </c>
      <c r="DM149" s="841">
        <f>'P&amp;L'!DM139</f>
        <v>0</v>
      </c>
      <c r="DN149" s="293">
        <f>DL149+DM149</f>
        <v>0</v>
      </c>
      <c r="DO149" s="293"/>
      <c r="DP149" s="841">
        <f>'P&amp;L'!DP139</f>
        <v>0</v>
      </c>
      <c r="DQ149" s="841">
        <f>'P&amp;L'!DQ139</f>
        <v>0</v>
      </c>
      <c r="DR149" s="293">
        <f>DP149+DQ149</f>
        <v>0</v>
      </c>
      <c r="DS149" s="293"/>
      <c r="DT149" s="293"/>
      <c r="DU149" s="293"/>
      <c r="DV149" s="293"/>
      <c r="DW149" s="1198" t="s">
        <v>174</v>
      </c>
      <c r="DX149" s="293"/>
      <c r="DY149" s="293"/>
      <c r="DZ149" s="293"/>
      <c r="EA149" s="293"/>
      <c r="EB149" s="293"/>
      <c r="EC149" s="293"/>
      <c r="ED149" s="293"/>
      <c r="EE149" s="293"/>
      <c r="EF149" s="293"/>
      <c r="EG149" s="293"/>
      <c r="EH149" s="293"/>
      <c r="EI149" s="293"/>
      <c r="EJ149" s="293"/>
      <c r="EK149" s="293"/>
      <c r="EL149" s="293"/>
      <c r="EM149" s="293"/>
      <c r="EN149" s="293"/>
      <c r="EO149" s="293"/>
      <c r="EP149" s="293"/>
      <c r="EQ149" s="293"/>
      <c r="ER149" s="293"/>
      <c r="ES149" s="293"/>
      <c r="ET149" s="293"/>
      <c r="EU149" s="293"/>
      <c r="JW149"/>
    </row>
    <row r="150" spans="1:283" s="332" customFormat="1">
      <c r="A150" s="332" t="s">
        <v>655</v>
      </c>
      <c r="AN150" s="293"/>
      <c r="AO150" s="293"/>
      <c r="AP150" s="293"/>
      <c r="AQ150" s="293"/>
      <c r="AR150" s="626">
        <v>24</v>
      </c>
      <c r="AS150" s="626">
        <v>95</v>
      </c>
      <c r="AT150" s="293">
        <f>AR150+AS150</f>
        <v>119</v>
      </c>
      <c r="AU150" s="626"/>
      <c r="AV150" s="626">
        <v>-87</v>
      </c>
      <c r="AW150" s="626">
        <v>-105</v>
      </c>
      <c r="AX150" s="293">
        <f>AV150+AW150</f>
        <v>-192</v>
      </c>
      <c r="AY150" s="626"/>
      <c r="AZ150" s="626">
        <f>-94-0.5</f>
        <v>-94.5</v>
      </c>
      <c r="BA150" s="927">
        <f>-89-0.5</f>
        <v>-89.5</v>
      </c>
      <c r="BB150" s="293">
        <f>AZ150+BA150</f>
        <v>-184</v>
      </c>
      <c r="BC150" s="293"/>
      <c r="BD150" s="626">
        <v>-42</v>
      </c>
      <c r="BE150" s="626">
        <v>-59</v>
      </c>
      <c r="BF150" s="293">
        <f>BD150+BE150</f>
        <v>-101</v>
      </c>
      <c r="BG150" s="293"/>
      <c r="BH150" s="626">
        <v>11</v>
      </c>
      <c r="BI150" s="626">
        <v>1</v>
      </c>
      <c r="BJ150" s="293">
        <f>BH150+BI150</f>
        <v>12</v>
      </c>
      <c r="BK150" s="293"/>
      <c r="BL150" s="626">
        <v>9</v>
      </c>
      <c r="BM150" s="626">
        <v>5</v>
      </c>
      <c r="BN150" s="293">
        <f>BL150+BM150</f>
        <v>14</v>
      </c>
      <c r="BO150" s="487"/>
      <c r="BP150" s="626">
        <v>11</v>
      </c>
      <c r="BQ150" s="626">
        <v>9</v>
      </c>
      <c r="BR150" s="293">
        <f>BP150+BQ150</f>
        <v>20</v>
      </c>
      <c r="BS150" s="487"/>
      <c r="BT150" s="626">
        <v>21</v>
      </c>
      <c r="BU150" s="626">
        <v>2</v>
      </c>
      <c r="BV150" s="293">
        <f>BT150+BU150</f>
        <v>23</v>
      </c>
      <c r="BW150" s="293"/>
      <c r="BX150" s="819">
        <f t="shared" si="197"/>
        <v>10.997701149425287</v>
      </c>
      <c r="BY150" s="819">
        <f t="shared" si="197"/>
        <v>12.451724137931034</v>
      </c>
      <c r="BZ150" s="293">
        <f>BX150+BY150</f>
        <v>23.44942528735632</v>
      </c>
      <c r="CA150" s="293"/>
      <c r="CB150" s="819">
        <f t="shared" si="198"/>
        <v>11.15632183908046</v>
      </c>
      <c r="CC150" s="819">
        <f t="shared" si="198"/>
        <v>11.182758620689656</v>
      </c>
      <c r="CD150" s="293">
        <f>CB150+CC150</f>
        <v>22.339080459770116</v>
      </c>
      <c r="CE150" s="293"/>
      <c r="CF150" s="917">
        <v>12</v>
      </c>
      <c r="CG150" s="819">
        <f>27-CF150</f>
        <v>15</v>
      </c>
      <c r="CH150" s="293">
        <f>CF150+CG150</f>
        <v>27</v>
      </c>
      <c r="CI150" s="293"/>
      <c r="CJ150" s="917">
        <f>415-CJ148</f>
        <v>4</v>
      </c>
      <c r="CK150" s="819">
        <f>536-CK148</f>
        <v>95</v>
      </c>
      <c r="CL150" s="293">
        <f>CJ150+CK150</f>
        <v>99</v>
      </c>
      <c r="CM150" s="293"/>
      <c r="CN150" s="1415">
        <f>665-CN148</f>
        <v>252</v>
      </c>
      <c r="CO150" s="1415">
        <f>722-CO148</f>
        <v>277</v>
      </c>
      <c r="CP150" s="1010">
        <f>CN150+CO150</f>
        <v>529</v>
      </c>
      <c r="CQ150" s="1010"/>
      <c r="CR150" s="1415">
        <f>865-CR148</f>
        <v>247</v>
      </c>
      <c r="CS150" s="1415">
        <f>1003-CS148-CS152</f>
        <v>247</v>
      </c>
      <c r="CT150" s="293">
        <f>CR150+CS150</f>
        <v>494</v>
      </c>
      <c r="CU150" s="293"/>
      <c r="CV150" s="1415">
        <f>664-CV148</f>
        <v>226</v>
      </c>
      <c r="CW150" s="819">
        <f>692-CW148</f>
        <v>139</v>
      </c>
      <c r="CX150" s="293">
        <f>CV150+CW150</f>
        <v>365</v>
      </c>
      <c r="CY150" s="293"/>
      <c r="CZ150" s="1864">
        <f>628-CZ148</f>
        <v>220</v>
      </c>
      <c r="DA150" s="1869">
        <f>573-DA148</f>
        <v>238</v>
      </c>
      <c r="DB150" s="293">
        <f>CZ150+DA150</f>
        <v>458</v>
      </c>
      <c r="DC150" s="293"/>
      <c r="DD150" s="2116">
        <f>671-DD148</f>
        <v>258</v>
      </c>
      <c r="DE150" s="2176">
        <f>782-DE148</f>
        <v>279</v>
      </c>
      <c r="DF150" s="293">
        <f>DD150+DE150</f>
        <v>537</v>
      </c>
      <c r="DG150" s="293"/>
      <c r="DH150" s="2116">
        <f>850-DH148</f>
        <v>292</v>
      </c>
      <c r="DI150" s="492">
        <f t="shared" ref="DI150" si="200">+DH150*(1+DI151)</f>
        <v>335.79999999999995</v>
      </c>
      <c r="DJ150" s="293">
        <f t="shared" ref="DJ150" si="201">DH150+DI150</f>
        <v>627.79999999999995</v>
      </c>
      <c r="DK150" s="293"/>
      <c r="DL150" s="492">
        <f t="shared" ref="DL150" si="202">+DI150*(1+DL151)</f>
        <v>345.87399999999997</v>
      </c>
      <c r="DM150" s="492">
        <f t="shared" ref="DM150" si="203">+DL150*(1+DM151)</f>
        <v>356.25021999999996</v>
      </c>
      <c r="DN150" s="293">
        <f t="shared" ref="DN150" si="204">DL150+DM150</f>
        <v>702.12421999999992</v>
      </c>
      <c r="DO150" s="293"/>
      <c r="DP150" s="492">
        <f t="shared" ref="DP150" si="205">+DM150*(1+DP151)</f>
        <v>366.93772659999996</v>
      </c>
      <c r="DQ150" s="492">
        <f t="shared" ref="DQ150" si="206">+DP150*(1+DQ151)</f>
        <v>377.94585839799998</v>
      </c>
      <c r="DR150" s="293">
        <f t="shared" ref="DR150" si="207">DP150+DQ150</f>
        <v>744.88358499799995</v>
      </c>
      <c r="DS150" s="293"/>
      <c r="DT150" s="293"/>
      <c r="DU150" s="293"/>
      <c r="DV150" s="293"/>
      <c r="DW150" s="1198" t="s">
        <v>175</v>
      </c>
      <c r="DX150" s="293"/>
      <c r="DY150" s="293"/>
      <c r="DZ150" s="293"/>
      <c r="EA150" s="293"/>
      <c r="EB150" s="293"/>
      <c r="EC150" s="293"/>
      <c r="ED150" s="293"/>
      <c r="EE150" s="293"/>
      <c r="EF150" s="293"/>
      <c r="EG150" s="293"/>
      <c r="EH150" s="293"/>
      <c r="EI150" s="293"/>
      <c r="EJ150" s="293"/>
      <c r="EK150" s="293"/>
      <c r="EL150" s="293"/>
      <c r="EM150" s="293"/>
      <c r="EN150" s="293"/>
      <c r="EO150" s="293"/>
      <c r="EP150" s="293"/>
      <c r="EQ150" s="293"/>
      <c r="ER150" s="293"/>
      <c r="ES150" s="293"/>
      <c r="ET150" s="293"/>
      <c r="EU150" s="293"/>
      <c r="JW150"/>
    </row>
    <row r="151" spans="1:283" s="858" customFormat="1">
      <c r="A151" s="1220" t="s">
        <v>382</v>
      </c>
      <c r="AN151" s="929"/>
      <c r="AO151" s="929"/>
      <c r="AP151" s="929"/>
      <c r="AQ151" s="929"/>
      <c r="AR151" s="929"/>
      <c r="AS151" s="929"/>
      <c r="AT151" s="929"/>
      <c r="AU151" s="929"/>
      <c r="AV151" s="929"/>
      <c r="AW151" s="929"/>
      <c r="AX151" s="929"/>
      <c r="AY151" s="929"/>
      <c r="AZ151" s="643">
        <f>+AZ150/AW150-1</f>
        <v>-9.9999999999999978E-2</v>
      </c>
      <c r="BA151" s="643">
        <f>+BA150/AZ150-1</f>
        <v>-5.2910052910052907E-2</v>
      </c>
      <c r="BB151" s="929"/>
      <c r="BC151" s="929"/>
      <c r="BD151" s="643">
        <f>+BD150/BA150-1</f>
        <v>-0.53072625698324027</v>
      </c>
      <c r="BE151" s="643">
        <f>+BE150/BD150-1</f>
        <v>0.40476190476190466</v>
      </c>
      <c r="BF151" s="929"/>
      <c r="BG151" s="929"/>
      <c r="BH151" s="643">
        <f>+BH150/BE150-1</f>
        <v>-1.1864406779661016</v>
      </c>
      <c r="BI151" s="643">
        <f>+BI150/BH150-1</f>
        <v>-0.90909090909090906</v>
      </c>
      <c r="BJ151" s="929"/>
      <c r="BK151" s="929"/>
      <c r="BL151" s="643">
        <f>+BL150/BI150-1</f>
        <v>8</v>
      </c>
      <c r="BM151" s="643">
        <f>+BM150/BL150-1</f>
        <v>-0.44444444444444442</v>
      </c>
      <c r="BN151" s="929"/>
      <c r="BO151" s="929"/>
      <c r="BP151" s="643">
        <f>+BP150/BM150-1</f>
        <v>1.2000000000000002</v>
      </c>
      <c r="BQ151" s="643">
        <f>+BQ150/BP150-1</f>
        <v>-0.18181818181818177</v>
      </c>
      <c r="BR151" s="929"/>
      <c r="BS151" s="929"/>
      <c r="BT151" s="643">
        <f>+BT150/BQ150-1</f>
        <v>1.3333333333333335</v>
      </c>
      <c r="BU151" s="643">
        <f>+BU150/BT150-1</f>
        <v>-0.90476190476190477</v>
      </c>
      <c r="BV151" s="929"/>
      <c r="BW151" s="1221"/>
      <c r="BX151" s="643">
        <f>+BX150/BU150-1</f>
        <v>4.4988505747126437</v>
      </c>
      <c r="BY151" s="643">
        <f>+BY150/BX150-1</f>
        <v>0.13221153846153832</v>
      </c>
      <c r="BZ151" s="929"/>
      <c r="CA151" s="929"/>
      <c r="CB151" s="643">
        <f>+CB150/BY150-1</f>
        <v>-0.10403397027600847</v>
      </c>
      <c r="CC151" s="643">
        <f>+CC150/CB150-1</f>
        <v>2.3696682464455776E-3</v>
      </c>
      <c r="CD151" s="929"/>
      <c r="CE151" s="929"/>
      <c r="CF151" s="643">
        <f>+CF150/CC150-1</f>
        <v>7.3080481036077671E-2</v>
      </c>
      <c r="CG151" s="643">
        <f>+CG150/CF150-1</f>
        <v>0.25</v>
      </c>
      <c r="CH151" s="929"/>
      <c r="CI151" s="929"/>
      <c r="CJ151" s="643">
        <f>+CJ150/CG150-1</f>
        <v>-0.73333333333333339</v>
      </c>
      <c r="CK151" s="643">
        <f>+CK150/CJ150-1</f>
        <v>22.75</v>
      </c>
      <c r="CL151" s="929"/>
      <c r="CM151" s="929"/>
      <c r="CN151" s="643">
        <f>+CN150/CK150-1</f>
        <v>1.6526315789473682</v>
      </c>
      <c r="CO151" s="643">
        <f>+CO150/CN150-1</f>
        <v>9.9206349206349298E-2</v>
      </c>
      <c r="CP151" s="929"/>
      <c r="CQ151" s="929"/>
      <c r="CR151" s="643">
        <f>+CR150/CO150-1</f>
        <v>-0.10830324909747291</v>
      </c>
      <c r="CS151" s="643">
        <f>+CS150/CR150-1</f>
        <v>0</v>
      </c>
      <c r="CT151" s="1221"/>
      <c r="CU151" s="929"/>
      <c r="CV151" s="643">
        <f>+CV150/CS150-1</f>
        <v>-8.5020242914979782E-2</v>
      </c>
      <c r="CW151" s="643">
        <f>+CW150/CV150-1</f>
        <v>-0.38495575221238942</v>
      </c>
      <c r="CX151" s="1221"/>
      <c r="CY151" s="929"/>
      <c r="CZ151" s="643">
        <f>+CZ150/CW150-1</f>
        <v>0.58273381294964022</v>
      </c>
      <c r="DA151" s="643">
        <f>+DA150/CZ150-1</f>
        <v>8.181818181818179E-2</v>
      </c>
      <c r="DB151" s="1221"/>
      <c r="DC151" s="929"/>
      <c r="DD151" s="643">
        <f>+DD150/DA150-1</f>
        <v>8.4033613445378075E-2</v>
      </c>
      <c r="DE151" s="643">
        <f>+DE150/DD150-1</f>
        <v>8.1395348837209225E-2</v>
      </c>
      <c r="DF151" s="1221"/>
      <c r="DG151" s="929"/>
      <c r="DH151" s="643">
        <f>+DH150/DE150-1</f>
        <v>4.6594982078853153E-2</v>
      </c>
      <c r="DI151" s="1382">
        <v>0.15</v>
      </c>
      <c r="DJ151" s="1221"/>
      <c r="DK151" s="929"/>
      <c r="DL151" s="1222">
        <v>0.03</v>
      </c>
      <c r="DM151" s="1222">
        <v>0.03</v>
      </c>
      <c r="DN151" s="1221"/>
      <c r="DO151" s="929"/>
      <c r="DP151" s="1222">
        <v>0.03</v>
      </c>
      <c r="DQ151" s="1222">
        <v>0.03</v>
      </c>
      <c r="DR151" s="1221"/>
      <c r="DS151" s="929"/>
      <c r="DT151" s="929"/>
      <c r="DU151" s="929"/>
      <c r="DV151" s="929"/>
      <c r="DW151" s="1223" t="s">
        <v>175</v>
      </c>
      <c r="DX151" s="929"/>
      <c r="DY151" s="929"/>
      <c r="DZ151" s="929"/>
      <c r="EA151" s="929"/>
      <c r="EB151" s="929"/>
      <c r="EC151" s="929"/>
      <c r="ED151" s="929"/>
      <c r="EE151" s="929"/>
      <c r="EF151" s="929"/>
      <c r="EG151" s="929"/>
      <c r="EH151" s="929"/>
      <c r="EI151" s="929"/>
      <c r="EJ151" s="929"/>
      <c r="EK151" s="929"/>
      <c r="EL151" s="929"/>
      <c r="EM151" s="929"/>
      <c r="EN151" s="929"/>
      <c r="EO151" s="929"/>
      <c r="EP151" s="929"/>
      <c r="EQ151" s="929"/>
      <c r="ER151" s="929"/>
      <c r="ES151" s="929"/>
      <c r="ET151" s="929"/>
      <c r="EU151" s="929"/>
      <c r="JW151"/>
    </row>
    <row r="152" spans="1:283" s="332" customFormat="1">
      <c r="A152" s="332" t="s">
        <v>666</v>
      </c>
      <c r="AN152" s="293"/>
      <c r="AO152" s="293"/>
      <c r="AP152" s="293"/>
      <c r="AQ152" s="293"/>
      <c r="AR152" s="626"/>
      <c r="AS152" s="626"/>
      <c r="AT152" s="293"/>
      <c r="AU152" s="626"/>
      <c r="AV152" s="626"/>
      <c r="AW152" s="626"/>
      <c r="AX152" s="293"/>
      <c r="AY152" s="626"/>
      <c r="AZ152" s="626"/>
      <c r="BA152" s="927"/>
      <c r="BB152" s="293"/>
      <c r="BC152" s="293"/>
      <c r="BD152" s="626"/>
      <c r="BE152" s="626"/>
      <c r="BF152" s="293"/>
      <c r="BG152" s="293"/>
      <c r="BH152" s="626"/>
      <c r="BI152" s="626"/>
      <c r="BJ152" s="293"/>
      <c r="BK152" s="293"/>
      <c r="BL152" s="626"/>
      <c r="BM152" s="626"/>
      <c r="BN152" s="293"/>
      <c r="BO152" s="487"/>
      <c r="BP152" s="626"/>
      <c r="BQ152" s="626"/>
      <c r="BR152" s="293"/>
      <c r="BS152" s="487"/>
      <c r="BT152" s="626"/>
      <c r="BU152" s="626"/>
      <c r="BV152" s="293"/>
      <c r="BW152" s="293"/>
      <c r="BX152" s="819"/>
      <c r="BY152" s="819"/>
      <c r="BZ152" s="293"/>
      <c r="CA152" s="293"/>
      <c r="CB152" s="917">
        <v>0</v>
      </c>
      <c r="CC152" s="917">
        <v>0</v>
      </c>
      <c r="CD152" s="293">
        <f>CB152+CC152</f>
        <v>0</v>
      </c>
      <c r="CE152" s="293"/>
      <c r="CF152" s="917">
        <v>0</v>
      </c>
      <c r="CG152" s="917">
        <v>94</v>
      </c>
      <c r="CH152" s="293">
        <f>CF152+CG152</f>
        <v>94</v>
      </c>
      <c r="CI152" s="293"/>
      <c r="CJ152" s="917">
        <v>0</v>
      </c>
      <c r="CK152" s="917">
        <v>0</v>
      </c>
      <c r="CL152" s="293">
        <f>CJ152+CK152</f>
        <v>0</v>
      </c>
      <c r="CM152" s="293"/>
      <c r="CN152" s="1391">
        <v>0</v>
      </c>
      <c r="CO152" s="1391">
        <v>0</v>
      </c>
      <c r="CP152" s="1010">
        <f>CN152+CO152</f>
        <v>0</v>
      </c>
      <c r="CQ152" s="1010"/>
      <c r="CR152" s="1391">
        <v>0</v>
      </c>
      <c r="CS152" s="1391">
        <v>1</v>
      </c>
      <c r="CT152" s="293">
        <f>CR152+CS152</f>
        <v>1</v>
      </c>
      <c r="CU152" s="293"/>
      <c r="CV152" s="1391">
        <v>0</v>
      </c>
      <c r="CW152" s="917">
        <v>0</v>
      </c>
      <c r="CX152" s="293">
        <f>CV152+CW152</f>
        <v>0</v>
      </c>
      <c r="CY152" s="293"/>
      <c r="CZ152" s="1391">
        <v>0</v>
      </c>
      <c r="DA152" s="1391">
        <v>0</v>
      </c>
      <c r="DB152" s="293">
        <f>CZ152+DA152</f>
        <v>0</v>
      </c>
      <c r="DC152" s="293"/>
      <c r="DD152" s="917">
        <v>0</v>
      </c>
      <c r="DE152" s="917">
        <v>0</v>
      </c>
      <c r="DF152" s="293">
        <f>DD152+DE152</f>
        <v>0</v>
      </c>
      <c r="DG152" s="293"/>
      <c r="DH152" s="917">
        <v>0</v>
      </c>
      <c r="DI152" s="487">
        <v>0</v>
      </c>
      <c r="DJ152" s="293">
        <f>DH152+DI152</f>
        <v>0</v>
      </c>
      <c r="DK152" s="293"/>
      <c r="DL152" s="487">
        <v>0</v>
      </c>
      <c r="DM152" s="487">
        <v>0</v>
      </c>
      <c r="DN152" s="293">
        <f>DL152+DM152</f>
        <v>0</v>
      </c>
      <c r="DO152" s="293"/>
      <c r="DP152" s="487">
        <v>0</v>
      </c>
      <c r="DQ152" s="487">
        <v>0</v>
      </c>
      <c r="DR152" s="293">
        <f>DP152+DQ152</f>
        <v>0</v>
      </c>
      <c r="DS152" s="293"/>
      <c r="DT152" s="293"/>
      <c r="DU152" s="293"/>
      <c r="DV152" s="293"/>
      <c r="DW152" s="1198"/>
      <c r="DX152" s="293"/>
      <c r="DY152" s="293"/>
      <c r="DZ152" s="293"/>
      <c r="EA152" s="293"/>
      <c r="EB152" s="293"/>
      <c r="EC152" s="293"/>
      <c r="ED152" s="293"/>
      <c r="EE152" s="293"/>
      <c r="EF152" s="293"/>
      <c r="EG152" s="293"/>
      <c r="EH152" s="293"/>
      <c r="EI152" s="293"/>
      <c r="EJ152" s="293"/>
      <c r="EK152" s="293"/>
      <c r="EL152" s="293"/>
      <c r="EM152" s="293"/>
      <c r="EN152" s="293"/>
      <c r="EO152" s="293"/>
      <c r="EP152" s="293"/>
      <c r="EQ152" s="293"/>
      <c r="ER152" s="293"/>
      <c r="ES152" s="293"/>
      <c r="ET152" s="293"/>
      <c r="EU152" s="293"/>
      <c r="JW152"/>
    </row>
    <row r="153" spans="1:283" s="327" customFormat="1">
      <c r="A153" s="327" t="s">
        <v>613</v>
      </c>
      <c r="AN153" s="295">
        <f>SUM(AN148:AN150)</f>
        <v>850</v>
      </c>
      <c r="AO153" s="295">
        <f>SUM(AO148:AO150)</f>
        <v>538</v>
      </c>
      <c r="AP153" s="295">
        <f>AN153+AO153</f>
        <v>1388</v>
      </c>
      <c r="AQ153" s="295"/>
      <c r="AR153" s="295">
        <f>SUM(AR148:AR150)</f>
        <v>590</v>
      </c>
      <c r="AS153" s="295">
        <f>SUM(AS148:AS150)</f>
        <v>685</v>
      </c>
      <c r="AT153" s="295">
        <f>AR153+AS153</f>
        <v>1275</v>
      </c>
      <c r="AU153" s="295"/>
      <c r="AV153" s="295">
        <f>SUM(AV148:AV150)</f>
        <v>473</v>
      </c>
      <c r="AW153" s="295">
        <f>SUM(AW148:AW150)</f>
        <v>364</v>
      </c>
      <c r="AX153" s="295">
        <f>AV153+AW153</f>
        <v>837</v>
      </c>
      <c r="AY153" s="295"/>
      <c r="AZ153" s="295">
        <f>SUM(AZ148:AZ150)</f>
        <v>302.5</v>
      </c>
      <c r="BA153" s="295">
        <f>SUM(BA148:BA150)</f>
        <v>409.5</v>
      </c>
      <c r="BB153" s="295">
        <f>AZ153+BA153</f>
        <v>712</v>
      </c>
      <c r="BC153" s="295"/>
      <c r="BD153" s="295">
        <f>SUM(BD148:BD150)</f>
        <v>292</v>
      </c>
      <c r="BE153" s="295">
        <f>SUM(BE148:BE150)</f>
        <v>281</v>
      </c>
      <c r="BF153" s="295">
        <f>BD153+BE153</f>
        <v>573</v>
      </c>
      <c r="BG153" s="684">
        <f t="shared" ref="BG153" si="208">+BF153/BB153-1</f>
        <v>-0.1952247191011236</v>
      </c>
      <c r="BH153" s="295">
        <f>SUM(BH148:BH150)</f>
        <v>300</v>
      </c>
      <c r="BI153" s="295">
        <f>SUM(BI148:BI150)</f>
        <v>286</v>
      </c>
      <c r="BJ153" s="295">
        <f>BH153+BI153</f>
        <v>586</v>
      </c>
      <c r="BK153" s="684">
        <f t="shared" ref="BK153" si="209">+BJ153/BF153-1</f>
        <v>2.2687609075043635E-2</v>
      </c>
      <c r="BL153" s="295">
        <f>SUM(BL148:BL150)</f>
        <v>321</v>
      </c>
      <c r="BM153" s="295">
        <f>SUM(BM148:BM150)</f>
        <v>406</v>
      </c>
      <c r="BN153" s="295">
        <f>BL153+BM153</f>
        <v>727</v>
      </c>
      <c r="BO153" s="684">
        <f t="shared" ref="BO153" si="210">+BN153/BJ153-1</f>
        <v>0.24061433447098968</v>
      </c>
      <c r="BP153" s="295">
        <f>SUM(BP148:BP150)</f>
        <v>361</v>
      </c>
      <c r="BQ153" s="295">
        <f>SUM(BQ148:BQ150)</f>
        <v>499</v>
      </c>
      <c r="BR153" s="295">
        <f>BP153+BQ153</f>
        <v>860</v>
      </c>
      <c r="BS153" s="684">
        <f t="shared" ref="BS153" si="211">+BR153/BN153-1</f>
        <v>0.18294360385144426</v>
      </c>
      <c r="BT153" s="295">
        <f>SUM(BT148:BT150)</f>
        <v>501</v>
      </c>
      <c r="BU153" s="295">
        <f>SUM(BU148:BU150)</f>
        <v>369</v>
      </c>
      <c r="BV153" s="295">
        <f>BT153+BU153</f>
        <v>870</v>
      </c>
      <c r="BW153" s="684">
        <f t="shared" ref="BW153" si="212">+BV153/BR153-1</f>
        <v>1.1627906976744207E-2</v>
      </c>
      <c r="BX153" s="655">
        <v>416</v>
      </c>
      <c r="BY153" s="655">
        <v>471</v>
      </c>
      <c r="BZ153" s="295">
        <f>BX153+BY153</f>
        <v>887</v>
      </c>
      <c r="CA153" s="684">
        <f t="shared" ref="CA153" si="213">+BZ153/BV153-1</f>
        <v>1.9540229885057547E-2</v>
      </c>
      <c r="CB153" s="655">
        <v>422</v>
      </c>
      <c r="CC153" s="655">
        <v>423</v>
      </c>
      <c r="CD153" s="295">
        <f>CB153+CC153</f>
        <v>845</v>
      </c>
      <c r="CE153" s="684">
        <f t="shared" ref="CE153" si="214">+CD153/BZ153-1</f>
        <v>-4.7350620067643789E-2</v>
      </c>
      <c r="CF153" s="820">
        <f>SUM(CF148:CF150,CF152)</f>
        <v>526</v>
      </c>
      <c r="CG153" s="820">
        <f>SUM(CG148:CG150,CG152)</f>
        <v>497</v>
      </c>
      <c r="CH153" s="295">
        <f>CF153+CG153</f>
        <v>1023</v>
      </c>
      <c r="CI153" s="684">
        <f t="shared" ref="CI153" si="215">+CH153/CD153-1</f>
        <v>0.21065088757396455</v>
      </c>
      <c r="CJ153" s="640">
        <f>SUM(CJ148:CJ150,CJ152)+323</f>
        <v>738</v>
      </c>
      <c r="CK153" s="640">
        <f>SUM(CK148:CK150,CK152)+318</f>
        <v>854</v>
      </c>
      <c r="CL153" s="295">
        <f>CJ153+CK153</f>
        <v>1592</v>
      </c>
      <c r="CM153" s="684"/>
      <c r="CN153" s="820">
        <f t="shared" ref="CN153:CO153" si="216">SUM(CN148:CN150,CN152)</f>
        <v>665</v>
      </c>
      <c r="CO153" s="295">
        <f t="shared" si="216"/>
        <v>722</v>
      </c>
      <c r="CP153" s="295">
        <f>CN153+CO153</f>
        <v>1387</v>
      </c>
      <c r="CQ153" s="295"/>
      <c r="CR153" s="820">
        <f t="shared" ref="CR153:CS153" si="217">SUM(CR148:CR150,CR152)</f>
        <v>865</v>
      </c>
      <c r="CS153" s="295">
        <f t="shared" si="217"/>
        <v>1003</v>
      </c>
      <c r="CT153" s="295">
        <f t="shared" ref="CT153" si="218">CR153+CS153</f>
        <v>1868</v>
      </c>
      <c r="CU153" s="295"/>
      <c r="CV153" s="820">
        <f t="shared" ref="CV153:CW153" si="219">SUM(CV148:CV150,CV152)</f>
        <v>664</v>
      </c>
      <c r="CW153" s="295">
        <f t="shared" si="219"/>
        <v>692</v>
      </c>
      <c r="CX153" s="295">
        <f t="shared" ref="CX153" si="220">CV153+CW153</f>
        <v>1356</v>
      </c>
      <c r="CY153" s="295"/>
      <c r="CZ153" s="820">
        <f t="shared" ref="CZ153:DA153" si="221">SUM(CZ148:CZ150,CZ152)</f>
        <v>628</v>
      </c>
      <c r="DA153" s="295">
        <f t="shared" si="221"/>
        <v>573</v>
      </c>
      <c r="DB153" s="295">
        <f t="shared" ref="DB153" si="222">CZ153+DA153</f>
        <v>1201</v>
      </c>
      <c r="DC153" s="295"/>
      <c r="DD153" s="820">
        <f t="shared" ref="DD153:DE153" si="223">SUM(DD148:DD150,DD152)</f>
        <v>671</v>
      </c>
      <c r="DE153" s="295">
        <f t="shared" si="223"/>
        <v>782</v>
      </c>
      <c r="DF153" s="295">
        <f t="shared" ref="DF153" si="224">DD153+DE153</f>
        <v>1453</v>
      </c>
      <c r="DG153" s="295"/>
      <c r="DH153" s="820">
        <f t="shared" ref="DH153" si="225">SUM(DH148:DH150,DH152)</f>
        <v>850</v>
      </c>
      <c r="DI153" s="295">
        <f t="shared" ref="DI153" si="226">SUM(DI148:DI150,DI152)</f>
        <v>865.9</v>
      </c>
      <c r="DJ153" s="295">
        <f t="shared" ref="DJ153" si="227">DH153+DI153</f>
        <v>1715.9</v>
      </c>
      <c r="DK153" s="295"/>
      <c r="DL153" s="820">
        <f t="shared" ref="DL153:DM153" si="228">SUM(DL148:DL150,DL152)</f>
        <v>902.47900000000004</v>
      </c>
      <c r="DM153" s="295">
        <f t="shared" si="228"/>
        <v>940.6854699999999</v>
      </c>
      <c r="DN153" s="295">
        <f t="shared" ref="DN153" si="229">DL153+DM153</f>
        <v>1843.1644699999999</v>
      </c>
      <c r="DO153" s="295"/>
      <c r="DP153" s="820">
        <f t="shared" ref="DP153:DQ153" si="230">SUM(DP148:DP150,DP152)</f>
        <v>963.06168159999993</v>
      </c>
      <c r="DQ153" s="295">
        <f t="shared" si="230"/>
        <v>985.9922924980001</v>
      </c>
      <c r="DR153" s="295">
        <f t="shared" ref="DR153" si="231">DP153+DQ153</f>
        <v>1949.053974098</v>
      </c>
      <c r="DS153" s="295"/>
      <c r="DT153" s="295"/>
      <c r="DU153" s="295"/>
      <c r="DV153" s="295"/>
      <c r="DW153" s="295"/>
      <c r="DX153" s="295"/>
      <c r="DY153" s="295"/>
      <c r="DZ153" s="295"/>
      <c r="EA153" s="295"/>
      <c r="EB153" s="295"/>
      <c r="EC153" s="295"/>
      <c r="ED153" s="295"/>
      <c r="EE153" s="295"/>
      <c r="EF153" s="295"/>
      <c r="EG153" s="295"/>
      <c r="EH153" s="295"/>
      <c r="EI153" s="295"/>
      <c r="EJ153" s="295"/>
      <c r="EK153" s="295"/>
      <c r="EL153" s="295"/>
      <c r="EM153" s="295"/>
      <c r="EN153" s="295"/>
      <c r="EO153" s="295"/>
      <c r="EP153" s="295"/>
      <c r="EQ153" s="295"/>
      <c r="ER153" s="295"/>
      <c r="ES153" s="295"/>
      <c r="ET153" s="295"/>
      <c r="EU153" s="295"/>
      <c r="JW153"/>
    </row>
    <row r="154" spans="1:283" s="327" customFormat="1">
      <c r="AN154" s="295"/>
      <c r="AO154" s="295"/>
      <c r="AP154" s="295"/>
      <c r="AQ154" s="295"/>
      <c r="AR154" s="295"/>
      <c r="AS154" s="295"/>
      <c r="AT154" s="295"/>
      <c r="AU154" s="295"/>
      <c r="AV154" s="295"/>
      <c r="AW154" s="295"/>
      <c r="AX154" s="295"/>
      <c r="AY154" s="295"/>
      <c r="AZ154" s="295"/>
      <c r="BA154" s="295"/>
      <c r="BB154" s="295"/>
      <c r="BC154" s="295"/>
      <c r="BD154" s="295"/>
      <c r="BE154" s="295"/>
      <c r="BF154" s="295"/>
      <c r="BG154" s="295"/>
      <c r="BH154" s="295"/>
      <c r="BI154" s="295"/>
      <c r="BJ154" s="295"/>
      <c r="BK154" s="293"/>
      <c r="BL154" s="295"/>
      <c r="BM154" s="295"/>
      <c r="BN154" s="295"/>
      <c r="BO154" s="295"/>
      <c r="BP154" s="295"/>
      <c r="BQ154" s="295"/>
      <c r="BR154" s="295"/>
      <c r="BS154" s="295"/>
      <c r="BT154" s="295"/>
      <c r="BU154" s="295"/>
      <c r="BV154" s="295"/>
      <c r="BW154" s="295"/>
      <c r="BX154" s="655"/>
      <c r="BY154" s="655"/>
      <c r="BZ154" s="295"/>
      <c r="CA154" s="295"/>
      <c r="CB154" s="655"/>
      <c r="CC154" s="655"/>
      <c r="CD154" s="295"/>
      <c r="CE154" s="295"/>
      <c r="CF154" s="817">
        <f>+CF153/CB153-1</f>
        <v>0.24644549763033186</v>
      </c>
      <c r="CG154" s="655"/>
      <c r="CH154" s="295"/>
      <c r="CI154" s="295"/>
      <c r="CJ154" s="817">
        <f>+CJ153/CF153-1</f>
        <v>0.40304182509505693</v>
      </c>
      <c r="CK154" s="655"/>
      <c r="CL154" s="295"/>
      <c r="CM154" s="295"/>
      <c r="CN154" s="817">
        <f>+CN153/CJ153-1</f>
        <v>-9.8915989159891637E-2</v>
      </c>
      <c r="CO154" s="655"/>
      <c r="CP154" s="295"/>
      <c r="CQ154" s="295"/>
      <c r="CR154" s="295"/>
      <c r="CS154" s="295"/>
      <c r="CT154" s="295"/>
      <c r="CU154" s="295"/>
      <c r="CV154" s="295"/>
      <c r="CW154" s="295"/>
      <c r="CX154" s="295"/>
      <c r="CY154" s="295"/>
      <c r="CZ154" s="295"/>
      <c r="DA154" s="295"/>
      <c r="DB154" s="295"/>
      <c r="DC154" s="295"/>
      <c r="DD154" s="295"/>
      <c r="DE154" s="295"/>
      <c r="DF154" s="295"/>
      <c r="DG154" s="295"/>
      <c r="DH154" s="295"/>
      <c r="DI154" s="295"/>
      <c r="DJ154" s="295"/>
      <c r="DK154" s="295"/>
      <c r="DL154" s="295"/>
      <c r="DM154" s="295"/>
      <c r="DN154" s="295"/>
      <c r="DO154" s="295"/>
      <c r="DP154" s="295"/>
      <c r="DQ154" s="295"/>
      <c r="DR154" s="295"/>
      <c r="DS154" s="295"/>
      <c r="DT154" s="295"/>
      <c r="DU154" s="295"/>
      <c r="DV154" s="295"/>
      <c r="DW154" s="295"/>
      <c r="DX154" s="295"/>
      <c r="DY154" s="295"/>
      <c r="DZ154" s="295"/>
      <c r="EA154" s="295"/>
      <c r="EB154" s="295"/>
      <c r="EC154" s="295"/>
      <c r="ED154" s="295"/>
      <c r="EE154" s="295"/>
      <c r="EF154" s="295"/>
      <c r="EG154" s="295"/>
      <c r="EH154" s="295"/>
      <c r="EI154" s="295"/>
      <c r="EJ154" s="295"/>
      <c r="EK154" s="295"/>
      <c r="EL154" s="295"/>
      <c r="EM154" s="295"/>
      <c r="EN154" s="295"/>
      <c r="EO154" s="295"/>
      <c r="EP154" s="295"/>
      <c r="EQ154" s="295"/>
      <c r="ER154" s="295"/>
      <c r="ES154" s="295"/>
      <c r="ET154" s="295"/>
      <c r="EU154" s="295"/>
      <c r="JW154"/>
    </row>
    <row r="155" spans="1:283" s="327" customFormat="1">
      <c r="AN155" s="295"/>
      <c r="AO155" s="295"/>
      <c r="AP155" s="295"/>
      <c r="AQ155" s="295"/>
      <c r="AR155" s="295"/>
      <c r="AS155" s="295"/>
      <c r="AT155" s="295"/>
      <c r="AU155" s="295"/>
      <c r="AV155" s="295"/>
      <c r="AW155" s="295"/>
      <c r="AX155" s="295"/>
      <c r="AY155" s="295"/>
      <c r="AZ155" s="295"/>
      <c r="BA155" s="295"/>
      <c r="BB155" s="295"/>
      <c r="BC155" s="295"/>
      <c r="BD155" s="295"/>
      <c r="BE155" s="295"/>
      <c r="BF155" s="295"/>
      <c r="BG155" s="295"/>
      <c r="BH155" s="295"/>
      <c r="BI155" s="295"/>
      <c r="BJ155" s="295"/>
      <c r="BK155" s="293"/>
      <c r="BL155" s="295"/>
      <c r="BM155" s="295"/>
      <c r="BN155" s="295"/>
      <c r="BO155" s="295"/>
      <c r="BP155" s="295"/>
      <c r="BQ155" s="295"/>
      <c r="BR155" s="295"/>
      <c r="BS155" s="295"/>
      <c r="BT155" s="295"/>
      <c r="BU155" s="295"/>
      <c r="BV155" s="295"/>
      <c r="BW155" s="295"/>
      <c r="BX155" s="655"/>
      <c r="BY155" s="655"/>
      <c r="BZ155" s="295"/>
      <c r="CA155" s="295"/>
      <c r="CB155" s="655"/>
      <c r="CC155" s="655"/>
      <c r="CD155" s="295"/>
      <c r="CE155" s="295"/>
      <c r="CF155" s="655"/>
      <c r="CG155" s="655"/>
      <c r="CH155" s="295"/>
      <c r="CI155" s="295"/>
      <c r="CJ155" s="655"/>
      <c r="CK155" s="655"/>
      <c r="CL155" s="295"/>
      <c r="CM155" s="295"/>
      <c r="CN155" s="655"/>
      <c r="CO155" s="655"/>
      <c r="CP155" s="295"/>
      <c r="CQ155" s="295"/>
      <c r="CR155" s="295"/>
      <c r="CS155" s="295"/>
      <c r="CT155" s="295"/>
      <c r="CU155" s="295"/>
      <c r="CV155" s="295"/>
      <c r="CW155" s="295"/>
      <c r="CX155" s="295"/>
      <c r="CY155" s="295"/>
      <c r="CZ155" s="295"/>
      <c r="DA155" s="295"/>
      <c r="DB155" s="295"/>
      <c r="DC155" s="295"/>
      <c r="DD155" s="295"/>
      <c r="DE155" s="295"/>
      <c r="DF155" s="295"/>
      <c r="DG155" s="295"/>
      <c r="DH155" s="295"/>
      <c r="DI155" s="295"/>
      <c r="DJ155" s="295"/>
      <c r="DK155" s="295"/>
      <c r="DL155" s="295"/>
      <c r="DM155" s="295"/>
      <c r="DN155" s="295"/>
      <c r="DO155" s="295"/>
      <c r="DP155" s="295"/>
      <c r="DQ155" s="295"/>
      <c r="DR155" s="295"/>
      <c r="DS155" s="295"/>
      <c r="DT155" s="295"/>
      <c r="DU155" s="295"/>
      <c r="DV155" s="295"/>
      <c r="DW155" s="295"/>
      <c r="DX155" s="295"/>
      <c r="DY155" s="295"/>
      <c r="DZ155" s="295"/>
      <c r="EA155" s="295"/>
      <c r="EB155" s="295"/>
      <c r="EC155" s="295"/>
      <c r="ED155" s="295"/>
      <c r="EE155" s="295"/>
      <c r="EF155" s="295"/>
      <c r="EG155" s="295"/>
      <c r="EH155" s="295"/>
      <c r="EI155" s="295"/>
      <c r="EJ155" s="295"/>
      <c r="EK155" s="295"/>
      <c r="EL155" s="295"/>
      <c r="EM155" s="295"/>
      <c r="EN155" s="295"/>
      <c r="EO155" s="295"/>
      <c r="EP155" s="295"/>
      <c r="EQ155" s="295"/>
      <c r="ER155" s="295"/>
      <c r="ES155" s="295"/>
      <c r="ET155" s="295"/>
      <c r="EU155" s="295"/>
      <c r="JW155"/>
    </row>
    <row r="156" spans="1:283">
      <c r="A156" s="328" t="s">
        <v>835</v>
      </c>
      <c r="BK156" s="293"/>
      <c r="CR156" s="103"/>
      <c r="CS156" s="103"/>
      <c r="CT156" s="103"/>
      <c r="CV156" s="103"/>
      <c r="CW156" s="103"/>
      <c r="CX156" s="103"/>
      <c r="CZ156" s="103"/>
      <c r="DA156" s="103"/>
      <c r="DB156" s="103"/>
      <c r="DD156" s="103"/>
      <c r="DE156" s="103"/>
      <c r="DF156" s="103"/>
      <c r="DH156" s="103"/>
      <c r="DI156" s="103"/>
      <c r="DJ156" s="103"/>
      <c r="DL156" s="103"/>
      <c r="DM156" s="103"/>
      <c r="DN156" s="103"/>
      <c r="DP156" s="103"/>
      <c r="DQ156" s="103"/>
      <c r="DR156" s="103"/>
    </row>
    <row r="157" spans="1:283" s="323" customFormat="1">
      <c r="A157" s="1079" t="str">
        <f>+A148</f>
        <v xml:space="preserve"> - M&amp;A, advisory and UW fees</v>
      </c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324">
        <f t="shared" ref="AZ157:BB159" si="232">+AZ148/AV148-1</f>
        <v>-0.31135531135531136</v>
      </c>
      <c r="BA157" s="324">
        <f t="shared" si="232"/>
        <v>6.0000000000000053E-2</v>
      </c>
      <c r="BB157" s="324">
        <f t="shared" si="232"/>
        <v>-0.14357429718875503</v>
      </c>
      <c r="BC157" s="115"/>
      <c r="BD157" s="324">
        <f t="shared" ref="BD157:BF159" si="233">+BD148/AZ148-1</f>
        <v>-0.16755319148936165</v>
      </c>
      <c r="BE157" s="324">
        <f t="shared" si="233"/>
        <v>-0.3249475890985325</v>
      </c>
      <c r="BF157" s="324">
        <f t="shared" si="233"/>
        <v>-0.25556858147713946</v>
      </c>
      <c r="BG157" s="115"/>
      <c r="BH157" s="324">
        <f t="shared" ref="BH157:BJ159" si="234">+BH148/BD148-1</f>
        <v>-0.12779552715654952</v>
      </c>
      <c r="BI157" s="324">
        <f t="shared" si="234"/>
        <v>-0.17080745341614911</v>
      </c>
      <c r="BJ157" s="324">
        <f t="shared" si="234"/>
        <v>-0.14960629921259838</v>
      </c>
      <c r="BK157" s="293"/>
      <c r="BL157" s="324">
        <f t="shared" ref="BL157:BN159" si="235">+BL148/BH148-1</f>
        <v>5.4945054945054972E-2</v>
      </c>
      <c r="BM157" s="324">
        <f t="shared" si="235"/>
        <v>0.41947565543071152</v>
      </c>
      <c r="BN157" s="324">
        <f t="shared" si="235"/>
        <v>0.23518518518518516</v>
      </c>
      <c r="BO157" s="115"/>
      <c r="BP157" s="324">
        <f t="shared" ref="BP157:BR159" si="236">+BP148/BL148-1</f>
        <v>0.15277777777777768</v>
      </c>
      <c r="BQ157" s="324">
        <f t="shared" si="236"/>
        <v>0.22691292875989455</v>
      </c>
      <c r="BR157" s="324">
        <f t="shared" si="236"/>
        <v>0.19490254872563728</v>
      </c>
      <c r="BS157" s="115"/>
      <c r="BT157" s="324">
        <f t="shared" ref="BT157:BV159" si="237">+BT148/BP148-1</f>
        <v>0.34939759036144569</v>
      </c>
      <c r="BU157" s="324">
        <f t="shared" si="237"/>
        <v>-0.24516129032258061</v>
      </c>
      <c r="BV157" s="324">
        <f t="shared" si="237"/>
        <v>2.5094102885820924E-3</v>
      </c>
      <c r="BW157" s="115"/>
      <c r="BX157" s="324">
        <f t="shared" ref="BX157:BZ159" si="238">+BX148/BT148-1</f>
        <v>-0.14720853858784888</v>
      </c>
      <c r="BY157" s="324">
        <f t="shared" si="238"/>
        <v>0.23237056685332558</v>
      </c>
      <c r="BZ157" s="324">
        <f t="shared" si="238"/>
        <v>1.9540229885057547E-2</v>
      </c>
      <c r="CA157" s="115"/>
      <c r="CB157" s="324">
        <f t="shared" ref="CB157:CD159" si="239">+CB148/BX148-1</f>
        <v>1.4423076923076872E-2</v>
      </c>
      <c r="CC157" s="324">
        <f t="shared" si="239"/>
        <v>-0.1019108280254778</v>
      </c>
      <c r="CD157" s="324">
        <f t="shared" si="239"/>
        <v>-4.73506200676439E-2</v>
      </c>
      <c r="CE157" s="115"/>
      <c r="CF157" s="648">
        <f>+CF148/CB148-1</f>
        <v>0.32624311194680544</v>
      </c>
      <c r="CG157" s="324">
        <f>+CG148/CC148-1</f>
        <v>-1.233811768256432E-3</v>
      </c>
      <c r="CH157" s="324">
        <f>+CH148/CD148-1</f>
        <v>0.16231087676163258</v>
      </c>
      <c r="CI157" s="115"/>
      <c r="CJ157" s="648">
        <f>+CJ148/CF148-1</f>
        <v>-0.20038910505836571</v>
      </c>
      <c r="CK157" s="324">
        <f t="shared" ref="CK157" si="240">+CK148/CG148-1</f>
        <v>0.13659793814432986</v>
      </c>
      <c r="CL157" s="324">
        <f t="shared" ref="CL157" si="241">+CL148/CH148-1</f>
        <v>-5.5432372505543226E-2</v>
      </c>
      <c r="CM157" s="115"/>
      <c r="CN157" s="648">
        <f>+CN148/CJ148-1</f>
        <v>4.8661800486617945E-3</v>
      </c>
      <c r="CO157" s="324">
        <f t="shared" ref="CO157" si="242">+CO148/CK148-1</f>
        <v>9.0702947845804349E-3</v>
      </c>
      <c r="CP157" s="324">
        <f t="shared" ref="CP157" si="243">+CP148/CL148-1</f>
        <v>7.0422535211267512E-3</v>
      </c>
      <c r="CQ157" s="115"/>
      <c r="CR157" s="324">
        <f t="shared" ref="CR157" si="244">+CR148/CN148-1</f>
        <v>0.49636803874092017</v>
      </c>
      <c r="CS157" s="324">
        <f t="shared" ref="CS157" si="245">+CS148/CO148-1</f>
        <v>0.69662921348314599</v>
      </c>
      <c r="CT157" s="324">
        <f t="shared" ref="CT157" si="246">+CT148/CP148-1</f>
        <v>0.60023310023310028</v>
      </c>
      <c r="CU157" s="115"/>
      <c r="CV157" s="324">
        <f t="shared" ref="CV157" si="247">+CV148/CR148-1</f>
        <v>-0.29126213592233008</v>
      </c>
      <c r="CW157" s="324">
        <f t="shared" ref="CW157" si="248">+CW148/CS148-1</f>
        <v>-0.2675496688741722</v>
      </c>
      <c r="CX157" s="324">
        <f t="shared" ref="CX157" si="249">+CX148/CT148-1</f>
        <v>-0.27822286962855058</v>
      </c>
      <c r="CY157" s="115"/>
      <c r="CZ157" s="324">
        <f t="shared" ref="CZ157" si="250">+CZ148/CV148-1</f>
        <v>-6.8493150684931559E-2</v>
      </c>
      <c r="DA157" s="324">
        <f t="shared" ref="DA157" si="251">+DA148/CW148-1</f>
        <v>-0.39421338155515373</v>
      </c>
      <c r="DB157" s="324">
        <f t="shared" ref="DB157" si="252">+DB148/CX148-1</f>
        <v>-0.25025227043390519</v>
      </c>
      <c r="DC157" s="115"/>
      <c r="DD157" s="324">
        <f t="shared" ref="DD157" si="253">+DD148/CZ148-1</f>
        <v>1.225490196078427E-2</v>
      </c>
      <c r="DE157" s="324">
        <f t="shared" ref="DE157" si="254">+DE148/DA148-1</f>
        <v>0.50149253731343291</v>
      </c>
      <c r="DF157" s="324">
        <f t="shared" ref="DF157" si="255">+DF148/DB148-1</f>
        <v>0.2328398384925976</v>
      </c>
      <c r="DG157" s="115"/>
      <c r="DH157" s="324">
        <f t="shared" ref="DH157" si="256">+DH148/DD148-1</f>
        <v>0.35108958837772386</v>
      </c>
      <c r="DI157" s="324">
        <f t="shared" ref="DI157" si="257">+DI148/DE148-1</f>
        <v>5.3876739562624287E-2</v>
      </c>
      <c r="DJ157" s="324">
        <f t="shared" ref="DJ157" si="258">+DJ148/DF148-1</f>
        <v>0.18788209606986883</v>
      </c>
      <c r="DK157" s="115"/>
      <c r="DL157" s="324">
        <f t="shared" ref="DL157" si="259">+DL148/DH148-1</f>
        <v>-2.4999999999999467E-3</v>
      </c>
      <c r="DM157" s="324">
        <f t="shared" ref="DM157" si="260">+DM148/DI148-1</f>
        <v>0.10250000000000004</v>
      </c>
      <c r="DN157" s="324">
        <f t="shared" ref="DN157" si="261">+DN148/DJ148-1</f>
        <v>4.8653846153846159E-2</v>
      </c>
      <c r="DO157" s="115"/>
      <c r="DP157" s="324">
        <f t="shared" ref="DP157" si="262">+DP148/DL148-1</f>
        <v>7.0999999999999952E-2</v>
      </c>
      <c r="DQ157" s="324">
        <f t="shared" ref="DQ157" si="263">+DQ148/DM148-1</f>
        <v>4.0399999999999991E-2</v>
      </c>
      <c r="DR157" s="324">
        <f t="shared" ref="DR157" si="264">+DR148/DN148-1</f>
        <v>5.532682926829291E-2</v>
      </c>
      <c r="DS157" s="115"/>
      <c r="DT157" s="115"/>
      <c r="DU157" s="115"/>
      <c r="DV157" s="115"/>
      <c r="DW157" s="324"/>
      <c r="DX157" s="324"/>
      <c r="DY157" s="324"/>
      <c r="DZ157" s="115"/>
      <c r="EA157" s="324"/>
      <c r="EB157" s="324"/>
      <c r="EC157" s="324"/>
      <c r="ED157" s="115"/>
      <c r="EE157" s="324"/>
      <c r="EF157" s="324"/>
      <c r="EG157" s="324"/>
      <c r="EH157" s="115"/>
      <c r="EI157" s="324"/>
      <c r="EJ157" s="324"/>
      <c r="EK157" s="324"/>
      <c r="EL157" s="115"/>
      <c r="EM157" s="115"/>
      <c r="EN157" s="115"/>
      <c r="EO157" s="115"/>
      <c r="EP157" s="115"/>
      <c r="EQ157" s="115"/>
      <c r="ER157" s="115"/>
      <c r="ES157" s="115"/>
      <c r="ET157" s="115"/>
      <c r="EU157" s="115"/>
      <c r="JW157"/>
    </row>
    <row r="158" spans="1:283" s="323" customFormat="1">
      <c r="A158" s="1079" t="str">
        <f>+A149</f>
        <v xml:space="preserve"> - brokerage and commissions</v>
      </c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324">
        <f t="shared" si="232"/>
        <v>0.5</v>
      </c>
      <c r="BA158" s="324">
        <f t="shared" si="232"/>
        <v>0.15789473684210531</v>
      </c>
      <c r="BB158" s="324">
        <f t="shared" si="232"/>
        <v>0.30303030303030298</v>
      </c>
      <c r="BC158" s="115"/>
      <c r="BD158" s="324">
        <f t="shared" si="233"/>
        <v>0</v>
      </c>
      <c r="BE158" s="324">
        <f t="shared" si="233"/>
        <v>-0.18181818181818177</v>
      </c>
      <c r="BF158" s="324">
        <f t="shared" si="233"/>
        <v>-9.3023255813953543E-2</v>
      </c>
      <c r="BG158" s="115"/>
      <c r="BH158" s="324">
        <f t="shared" si="234"/>
        <v>-0.23809523809523814</v>
      </c>
      <c r="BI158" s="324">
        <f t="shared" si="234"/>
        <v>0</v>
      </c>
      <c r="BJ158" s="324">
        <f t="shared" si="234"/>
        <v>-0.12820512820512819</v>
      </c>
      <c r="BK158" s="293"/>
      <c r="BL158" s="324">
        <f t="shared" si="235"/>
        <v>0.5</v>
      </c>
      <c r="BM158" s="324">
        <f t="shared" si="235"/>
        <v>0.22222222222222232</v>
      </c>
      <c r="BN158" s="324">
        <f t="shared" si="235"/>
        <v>0.35294117647058831</v>
      </c>
      <c r="BO158" s="115"/>
      <c r="BP158" s="324">
        <f t="shared" si="236"/>
        <v>-0.25</v>
      </c>
      <c r="BQ158" s="324">
        <f t="shared" si="236"/>
        <v>0.13636363636363646</v>
      </c>
      <c r="BR158" s="324">
        <f t="shared" si="236"/>
        <v>-6.5217391304347783E-2</v>
      </c>
      <c r="BS158" s="115"/>
      <c r="BT158" s="324">
        <f t="shared" si="237"/>
        <v>0.77777777777777768</v>
      </c>
      <c r="BU158" s="324">
        <f t="shared" si="237"/>
        <v>-0.36</v>
      </c>
      <c r="BV158" s="324">
        <f t="shared" si="237"/>
        <v>0.11627906976744184</v>
      </c>
      <c r="BW158" s="115"/>
      <c r="BX158" s="324">
        <f t="shared" si="238"/>
        <v>-0.28275862068965518</v>
      </c>
      <c r="BY158" s="324">
        <f t="shared" si="238"/>
        <v>0.62413793103448278</v>
      </c>
      <c r="BZ158" s="324">
        <f t="shared" si="238"/>
        <v>1.9540229885057547E-2</v>
      </c>
      <c r="CA158" s="115"/>
      <c r="CB158" s="324">
        <f t="shared" si="239"/>
        <v>1.4423076923076872E-2</v>
      </c>
      <c r="CC158" s="324">
        <f t="shared" si="239"/>
        <v>-0.1019108280254778</v>
      </c>
      <c r="CD158" s="324">
        <f t="shared" si="239"/>
        <v>-4.7350620067643789E-2</v>
      </c>
      <c r="CE158" s="115"/>
      <c r="CF158" s="648"/>
      <c r="CG158" s="324"/>
      <c r="CH158" s="324"/>
      <c r="CI158" s="115"/>
      <c r="CJ158" s="648"/>
      <c r="CK158" s="324"/>
      <c r="CL158" s="324"/>
      <c r="CM158" s="115"/>
      <c r="CN158" s="648"/>
      <c r="CO158" s="324"/>
      <c r="CP158" s="324"/>
      <c r="CQ158" s="115"/>
      <c r="CR158" s="324"/>
      <c r="CS158" s="324"/>
      <c r="CT158" s="324"/>
      <c r="CU158" s="115"/>
      <c r="CV158" s="324"/>
      <c r="CW158" s="324"/>
      <c r="CX158" s="324"/>
      <c r="CY158" s="115"/>
      <c r="CZ158" s="324"/>
      <c r="DA158" s="324"/>
      <c r="DB158" s="324"/>
      <c r="DC158" s="115"/>
      <c r="DD158" s="324"/>
      <c r="DE158" s="324"/>
      <c r="DF158" s="324"/>
      <c r="DG158" s="115"/>
      <c r="DH158" s="324"/>
      <c r="DI158" s="324"/>
      <c r="DJ158" s="324"/>
      <c r="DK158" s="115"/>
      <c r="DL158" s="324"/>
      <c r="DM158" s="324"/>
      <c r="DN158" s="324"/>
      <c r="DO158" s="115"/>
      <c r="DP158" s="324"/>
      <c r="DQ158" s="324"/>
      <c r="DR158" s="324"/>
      <c r="DS158" s="115"/>
      <c r="DT158" s="115"/>
      <c r="DU158" s="115"/>
      <c r="DV158" s="115"/>
      <c r="DW158" s="324"/>
      <c r="DX158" s="324"/>
      <c r="DY158" s="324"/>
      <c r="DZ158" s="115"/>
      <c r="EA158" s="324"/>
      <c r="EB158" s="324"/>
      <c r="EC158" s="324"/>
      <c r="ED158" s="115"/>
      <c r="EE158" s="324"/>
      <c r="EF158" s="324"/>
      <c r="EG158" s="324"/>
      <c r="EH158" s="115"/>
      <c r="EI158" s="324"/>
      <c r="EJ158" s="324"/>
      <c r="EK158" s="324"/>
      <c r="EL158" s="115"/>
      <c r="EM158" s="115"/>
      <c r="EN158" s="115"/>
      <c r="EO158" s="115"/>
      <c r="EP158" s="115"/>
      <c r="EQ158" s="115"/>
      <c r="ER158" s="115"/>
      <c r="ES158" s="115"/>
      <c r="ET158" s="115"/>
      <c r="EU158" s="115"/>
      <c r="JW158"/>
    </row>
    <row r="159" spans="1:283" s="323" customFormat="1">
      <c r="A159" s="1079" t="str">
        <f>+A150</f>
        <v xml:space="preserve"> - other fee and commission income</v>
      </c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324">
        <f t="shared" si="232"/>
        <v>8.6206896551724199E-2</v>
      </c>
      <c r="BA159" s="324">
        <f t="shared" si="232"/>
        <v>-0.14761904761904765</v>
      </c>
      <c r="BB159" s="324">
        <f t="shared" si="232"/>
        <v>-4.166666666666663E-2</v>
      </c>
      <c r="BC159" s="115"/>
      <c r="BD159" s="324">
        <f t="shared" si="233"/>
        <v>-0.55555555555555558</v>
      </c>
      <c r="BE159" s="324">
        <f t="shared" si="233"/>
        <v>-0.34078212290502796</v>
      </c>
      <c r="BF159" s="324">
        <f t="shared" si="233"/>
        <v>-0.45108695652173914</v>
      </c>
      <c r="BG159" s="115"/>
      <c r="BH159" s="324">
        <f t="shared" si="234"/>
        <v>-1.2619047619047619</v>
      </c>
      <c r="BI159" s="324">
        <f t="shared" si="234"/>
        <v>-1.0169491525423728</v>
      </c>
      <c r="BJ159" s="324">
        <f t="shared" si="234"/>
        <v>-1.1188118811881189</v>
      </c>
      <c r="BK159" s="293"/>
      <c r="BL159" s="324">
        <f t="shared" si="235"/>
        <v>-0.18181818181818177</v>
      </c>
      <c r="BM159" s="324">
        <f t="shared" si="235"/>
        <v>4</v>
      </c>
      <c r="BN159" s="324">
        <f t="shared" si="235"/>
        <v>0.16666666666666674</v>
      </c>
      <c r="BO159" s="115"/>
      <c r="BP159" s="324">
        <f t="shared" si="236"/>
        <v>0.22222222222222232</v>
      </c>
      <c r="BQ159" s="324">
        <f t="shared" si="236"/>
        <v>0.8</v>
      </c>
      <c r="BR159" s="324">
        <f t="shared" si="236"/>
        <v>0.4285714285714286</v>
      </c>
      <c r="BS159" s="115"/>
      <c r="BT159" s="324">
        <f t="shared" si="237"/>
        <v>0.90909090909090917</v>
      </c>
      <c r="BU159" s="324">
        <f t="shared" si="237"/>
        <v>-0.77777777777777779</v>
      </c>
      <c r="BV159" s="324">
        <f t="shared" si="237"/>
        <v>0.14999999999999991</v>
      </c>
      <c r="BW159" s="115"/>
      <c r="BX159" s="324">
        <f t="shared" si="238"/>
        <v>-0.47629994526546249</v>
      </c>
      <c r="BY159" s="324">
        <f t="shared" si="238"/>
        <v>5.2258620689655171</v>
      </c>
      <c r="BZ159" s="324">
        <f t="shared" si="238"/>
        <v>1.9540229885057325E-2</v>
      </c>
      <c r="CA159" s="115"/>
      <c r="CB159" s="324">
        <f t="shared" si="239"/>
        <v>1.4423076923076872E-2</v>
      </c>
      <c r="CC159" s="324">
        <f t="shared" si="239"/>
        <v>-0.10191082802547757</v>
      </c>
      <c r="CD159" s="324">
        <f t="shared" si="239"/>
        <v>-4.7350620067643567E-2</v>
      </c>
      <c r="CE159" s="115"/>
      <c r="CF159" s="648">
        <f>+CF150/CB150-1</f>
        <v>7.5623325777869344E-2</v>
      </c>
      <c r="CG159" s="324">
        <f>+CG150/CC150-1</f>
        <v>0.34135060129509709</v>
      </c>
      <c r="CH159" s="324">
        <f>+CH150/CD150-1</f>
        <v>0.20864419861075367</v>
      </c>
      <c r="CI159" s="115"/>
      <c r="CJ159" s="648">
        <f>+CJ150/CF150-1</f>
        <v>-0.66666666666666674</v>
      </c>
      <c r="CK159" s="324">
        <f t="shared" ref="CK159" si="265">+CK150/CG150-1</f>
        <v>5.333333333333333</v>
      </c>
      <c r="CL159" s="324">
        <f t="shared" ref="CL159" si="266">+CL150/CH150-1</f>
        <v>2.6666666666666665</v>
      </c>
      <c r="CM159" s="115"/>
      <c r="CN159" s="648">
        <f>+CN150/CJ150-1</f>
        <v>62</v>
      </c>
      <c r="CO159" s="324">
        <f t="shared" ref="CO159" si="267">+CO150/CK150-1</f>
        <v>1.9157894736842107</v>
      </c>
      <c r="CP159" s="324">
        <f t="shared" ref="CP159" si="268">+CP150/CL150-1</f>
        <v>4.3434343434343434</v>
      </c>
      <c r="CQ159" s="115"/>
      <c r="CR159" s="324">
        <f>+CR150/CN150-1</f>
        <v>-1.9841269841269882E-2</v>
      </c>
      <c r="CS159" s="324">
        <f>+CS150/CO150-1</f>
        <v>-0.10830324909747291</v>
      </c>
      <c r="CT159" s="324">
        <f>+CT150/CP150-1</f>
        <v>-6.6162570888468775E-2</v>
      </c>
      <c r="CU159" s="115"/>
      <c r="CV159" s="324">
        <f>+CV150/CR150-1</f>
        <v>-8.5020242914979782E-2</v>
      </c>
      <c r="CW159" s="324">
        <f>+CW150/CS150-1</f>
        <v>-0.43724696356275305</v>
      </c>
      <c r="CX159" s="324">
        <f>+CX150/CT150-1</f>
        <v>-0.26113360323886636</v>
      </c>
      <c r="CY159" s="115"/>
      <c r="CZ159" s="324">
        <f>+CZ150/CV150-1</f>
        <v>-2.6548672566371723E-2</v>
      </c>
      <c r="DA159" s="324">
        <f>+DA150/CW150-1</f>
        <v>0.71223021582733814</v>
      </c>
      <c r="DB159" s="324">
        <f>+DB150/CX150-1</f>
        <v>0.25479452054794516</v>
      </c>
      <c r="DC159" s="115"/>
      <c r="DD159" s="324">
        <f>+DD150/CZ150-1</f>
        <v>0.17272727272727262</v>
      </c>
      <c r="DE159" s="324">
        <f>+DE150/DA150-1</f>
        <v>0.17226890756302526</v>
      </c>
      <c r="DF159" s="324">
        <f>+DF150/DB150-1</f>
        <v>0.17248908296943233</v>
      </c>
      <c r="DG159" s="115"/>
      <c r="DH159" s="324">
        <f>+DH150/DD150-1</f>
        <v>0.13178294573643412</v>
      </c>
      <c r="DI159" s="324">
        <f>+DI150/DE150-1</f>
        <v>0.20358422939068088</v>
      </c>
      <c r="DJ159" s="324">
        <f>+DJ150/DF150-1</f>
        <v>0.16908752327746734</v>
      </c>
      <c r="DK159" s="115"/>
      <c r="DL159" s="324">
        <f>+DL150/DH150-1</f>
        <v>0.18449999999999989</v>
      </c>
      <c r="DM159" s="324">
        <f>+DM150/DI150-1</f>
        <v>6.0899999999999954E-2</v>
      </c>
      <c r="DN159" s="324">
        <f>+DN150/DJ150-1</f>
        <v>0.11838837209302322</v>
      </c>
      <c r="DO159" s="115"/>
      <c r="DP159" s="324">
        <f>+DP150/DL150-1</f>
        <v>6.0899999999999954E-2</v>
      </c>
      <c r="DQ159" s="324">
        <f>+DQ150/DM150-1</f>
        <v>6.0900000000000176E-2</v>
      </c>
      <c r="DR159" s="324">
        <f>+DR150/DN150-1</f>
        <v>6.0899999999999954E-2</v>
      </c>
      <c r="DS159" s="115"/>
      <c r="DT159" s="115"/>
      <c r="DU159" s="115"/>
      <c r="DV159" s="115"/>
      <c r="DW159" s="324"/>
      <c r="DX159" s="324"/>
      <c r="DY159" s="324"/>
      <c r="DZ159" s="115"/>
      <c r="EA159" s="324"/>
      <c r="EB159" s="324"/>
      <c r="EC159" s="324"/>
      <c r="ED159" s="115"/>
      <c r="EE159" s="324"/>
      <c r="EF159" s="324"/>
      <c r="EG159" s="324"/>
      <c r="EH159" s="115"/>
      <c r="EI159" s="324"/>
      <c r="EJ159" s="324"/>
      <c r="EK159" s="324"/>
      <c r="EL159" s="115"/>
      <c r="EM159" s="115"/>
      <c r="EN159" s="115"/>
      <c r="EO159" s="115"/>
      <c r="EP159" s="115"/>
      <c r="EQ159" s="115"/>
      <c r="ER159" s="115"/>
      <c r="ES159" s="115"/>
      <c r="ET159" s="115"/>
      <c r="EU159" s="115"/>
      <c r="JW159"/>
    </row>
    <row r="160" spans="1:283" s="328" customFormat="1">
      <c r="A160" s="1092" t="str">
        <f>+A153</f>
        <v xml:space="preserve"> - total</v>
      </c>
      <c r="AN160" s="581"/>
      <c r="AO160" s="581"/>
      <c r="AP160" s="581"/>
      <c r="AQ160" s="581"/>
      <c r="AR160" s="581"/>
      <c r="AS160" s="581"/>
      <c r="AT160" s="581"/>
      <c r="AU160" s="581"/>
      <c r="AV160" s="581"/>
      <c r="AW160" s="581"/>
      <c r="AX160" s="581"/>
      <c r="AY160" s="581"/>
      <c r="AZ160" s="682">
        <f t="shared" ref="AZ160:BB160" si="269">+AZ153/AV153-1</f>
        <v>-0.36046511627906974</v>
      </c>
      <c r="BA160" s="682">
        <f t="shared" si="269"/>
        <v>0.125</v>
      </c>
      <c r="BB160" s="682">
        <f t="shared" si="269"/>
        <v>-0.14934289127837519</v>
      </c>
      <c r="BC160" s="581"/>
      <c r="BD160" s="682">
        <f t="shared" ref="BD160:BF160" si="270">+BD153/AZ153-1</f>
        <v>-3.4710743801652844E-2</v>
      </c>
      <c r="BE160" s="682">
        <f t="shared" si="270"/>
        <v>-0.31379731379731379</v>
      </c>
      <c r="BF160" s="682">
        <f t="shared" si="270"/>
        <v>-0.1952247191011236</v>
      </c>
      <c r="BG160" s="581"/>
      <c r="BH160" s="682">
        <f t="shared" ref="BH160:BJ160" si="271">+BH153/BD153-1</f>
        <v>2.7397260273972712E-2</v>
      </c>
      <c r="BI160" s="682">
        <f t="shared" si="271"/>
        <v>1.7793594306049876E-2</v>
      </c>
      <c r="BJ160" s="682">
        <f t="shared" si="271"/>
        <v>2.2687609075043635E-2</v>
      </c>
      <c r="BK160" s="293"/>
      <c r="BL160" s="682">
        <f t="shared" ref="BL160:BN160" si="272">+BL153/BH153-1</f>
        <v>7.0000000000000062E-2</v>
      </c>
      <c r="BM160" s="682">
        <f t="shared" si="272"/>
        <v>0.41958041958041958</v>
      </c>
      <c r="BN160" s="682">
        <f t="shared" si="272"/>
        <v>0.24061433447098968</v>
      </c>
      <c r="BO160" s="581"/>
      <c r="BP160" s="682">
        <f t="shared" ref="BP160:BR160" si="273">+BP153/BL153-1</f>
        <v>0.12461059190031154</v>
      </c>
      <c r="BQ160" s="682">
        <f t="shared" si="273"/>
        <v>0.22906403940886699</v>
      </c>
      <c r="BR160" s="682">
        <f t="shared" si="273"/>
        <v>0.18294360385144426</v>
      </c>
      <c r="BS160" s="581"/>
      <c r="BT160" s="682">
        <f t="shared" ref="BT160:BV160" si="274">+BT153/BP153-1</f>
        <v>0.38781163434903054</v>
      </c>
      <c r="BU160" s="682">
        <f t="shared" si="274"/>
        <v>-0.26052104208416837</v>
      </c>
      <c r="BV160" s="682">
        <f t="shared" si="274"/>
        <v>1.1627906976744207E-2</v>
      </c>
      <c r="BW160" s="581"/>
      <c r="BX160" s="682">
        <f t="shared" ref="BX160:CB160" si="275">+BX153/BT153-1</f>
        <v>-0.16966067864271461</v>
      </c>
      <c r="BY160" s="682">
        <f t="shared" si="275"/>
        <v>0.27642276422764223</v>
      </c>
      <c r="BZ160" s="682">
        <f t="shared" si="275"/>
        <v>1.9540229885057547E-2</v>
      </c>
      <c r="CA160" s="581"/>
      <c r="CB160" s="682">
        <f t="shared" si="275"/>
        <v>1.4423076923076872E-2</v>
      </c>
      <c r="CC160" s="682">
        <f t="shared" ref="CC160" si="276">+CC153/BY153-1</f>
        <v>-0.10191082802547768</v>
      </c>
      <c r="CD160" s="682">
        <f t="shared" ref="CD160" si="277">+CD153/BZ153-1</f>
        <v>-4.7350620067643789E-2</v>
      </c>
      <c r="CE160" s="581"/>
      <c r="CF160" s="650">
        <f t="shared" ref="CF160" si="278">+CF153/CB153-1</f>
        <v>0.24644549763033186</v>
      </c>
      <c r="CG160" s="682">
        <f t="shared" ref="CG160" si="279">+CG153/CC153-1</f>
        <v>0.17494089834515369</v>
      </c>
      <c r="CH160" s="682">
        <f t="shared" ref="CH160" si="280">+CH153/CD153-1</f>
        <v>0.21065088757396455</v>
      </c>
      <c r="CI160" s="581"/>
      <c r="CJ160" s="650">
        <f t="shared" ref="CJ160" si="281">+CJ153/CF153-1</f>
        <v>0.40304182509505693</v>
      </c>
      <c r="CK160" s="682">
        <f t="shared" ref="CK160" si="282">+CK153/CG153-1</f>
        <v>0.71830985915492951</v>
      </c>
      <c r="CL160" s="682">
        <f t="shared" ref="CL160" si="283">+CL153/CH153-1</f>
        <v>0.55620723362658842</v>
      </c>
      <c r="CM160" s="581"/>
      <c r="CN160" s="650">
        <f t="shared" ref="CN160" si="284">+CN153/CJ153-1</f>
        <v>-9.8915989159891637E-2</v>
      </c>
      <c r="CO160" s="682">
        <f t="shared" ref="CO160" si="285">+CO153/CK153-1</f>
        <v>-0.15456674473067911</v>
      </c>
      <c r="CP160" s="682">
        <f t="shared" ref="CP160" si="286">+CP153/CL153-1</f>
        <v>-0.12876884422110557</v>
      </c>
      <c r="CQ160" s="581"/>
      <c r="CR160" s="682">
        <f t="shared" ref="CR160" si="287">+CR153/CN153-1</f>
        <v>0.3007518796992481</v>
      </c>
      <c r="CS160" s="682">
        <f t="shared" ref="CS160" si="288">+CS153/CO153-1</f>
        <v>0.38919667590027696</v>
      </c>
      <c r="CT160" s="682">
        <f t="shared" ref="CT160" si="289">+CT153/CP153-1</f>
        <v>0.34679163662581103</v>
      </c>
      <c r="CU160" s="581"/>
      <c r="CV160" s="682">
        <f t="shared" ref="CV160" si="290">+CV153/CR153-1</f>
        <v>-0.23236994219653184</v>
      </c>
      <c r="CW160" s="682">
        <f t="shared" ref="CW160" si="291">+CW153/CS153-1</f>
        <v>-0.31006979062811568</v>
      </c>
      <c r="CX160" s="682">
        <f t="shared" ref="CX160" si="292">+CX153/CT153-1</f>
        <v>-0.27408993576017127</v>
      </c>
      <c r="CY160" s="581"/>
      <c r="CZ160" s="682">
        <f t="shared" ref="CZ160" si="293">+CZ153/CV153-1</f>
        <v>-5.4216867469879526E-2</v>
      </c>
      <c r="DA160" s="682">
        <f t="shared" ref="DA160" si="294">+DA153/CW153-1</f>
        <v>-0.1719653179190751</v>
      </c>
      <c r="DB160" s="682">
        <f t="shared" ref="DB160" si="295">+DB153/CX153-1</f>
        <v>-0.11430678466076694</v>
      </c>
      <c r="DC160" s="581"/>
      <c r="DD160" s="682">
        <f t="shared" ref="DD160" si="296">+DD153/CZ153-1</f>
        <v>6.8471337579617764E-2</v>
      </c>
      <c r="DE160" s="682">
        <f t="shared" ref="DE160" si="297">+DE153/DA153-1</f>
        <v>0.36474694589877843</v>
      </c>
      <c r="DF160" s="682">
        <f t="shared" ref="DF160" si="298">+DF153/DB153-1</f>
        <v>0.20982514571190669</v>
      </c>
      <c r="DG160" s="581"/>
      <c r="DH160" s="682">
        <f t="shared" ref="DH160" si="299">+DH153/DD153-1</f>
        <v>0.26676602086438161</v>
      </c>
      <c r="DI160" s="682">
        <f t="shared" ref="DI160" si="300">+DI153/DE153-1</f>
        <v>0.10728900255754481</v>
      </c>
      <c r="DJ160" s="682">
        <f t="shared" ref="DJ160" si="301">+DJ153/DF153-1</f>
        <v>0.18093599449414999</v>
      </c>
      <c r="DK160" s="581"/>
      <c r="DL160" s="682">
        <f t="shared" ref="DL160" si="302">+DL153/DH153-1</f>
        <v>6.1740000000000128E-2</v>
      </c>
      <c r="DM160" s="682">
        <f t="shared" ref="DM160" si="303">+DM153/DI153-1</f>
        <v>8.6367328790853293E-2</v>
      </c>
      <c r="DN160" s="682">
        <f t="shared" ref="DN160" si="304">+DN153/DJ153-1</f>
        <v>7.4167766186840733E-2</v>
      </c>
      <c r="DO160" s="581"/>
      <c r="DP160" s="682">
        <f t="shared" ref="DP160" si="305">+DP153/DL153-1</f>
        <v>6.7129187050335659E-2</v>
      </c>
      <c r="DQ160" s="682">
        <f t="shared" ref="DQ160" si="306">+DQ153/DM153-1</f>
        <v>4.8163625295498891E-2</v>
      </c>
      <c r="DR160" s="682">
        <f t="shared" ref="DR160" si="307">+DR153/DN153-1</f>
        <v>5.744984011003651E-2</v>
      </c>
      <c r="DS160" s="581"/>
      <c r="DT160" s="581"/>
      <c r="DU160" s="581"/>
      <c r="DV160" s="581"/>
      <c r="DW160" s="682"/>
      <c r="DX160" s="682"/>
      <c r="DY160" s="682"/>
      <c r="DZ160" s="581"/>
      <c r="EA160" s="682"/>
      <c r="EB160" s="682"/>
      <c r="EC160" s="682"/>
      <c r="ED160" s="581"/>
      <c r="EE160" s="682"/>
      <c r="EF160" s="682"/>
      <c r="EG160" s="682"/>
      <c r="EH160" s="581"/>
      <c r="EI160" s="682"/>
      <c r="EJ160" s="682"/>
      <c r="EK160" s="682"/>
      <c r="EL160" s="581"/>
      <c r="EM160" s="581"/>
      <c r="EN160" s="581"/>
      <c r="EO160" s="581"/>
      <c r="EP160" s="581"/>
      <c r="EQ160" s="581"/>
      <c r="ER160" s="581"/>
      <c r="ES160" s="581"/>
      <c r="ET160" s="581"/>
      <c r="EU160" s="581"/>
      <c r="JW160"/>
    </row>
    <row r="161" spans="1:283" s="328" customFormat="1">
      <c r="A161" s="1092"/>
      <c r="AN161" s="581"/>
      <c r="AO161" s="581"/>
      <c r="AP161" s="581"/>
      <c r="AQ161" s="581"/>
      <c r="AR161" s="581"/>
      <c r="AS161" s="581"/>
      <c r="AT161" s="581"/>
      <c r="AU161" s="581"/>
      <c r="AV161" s="581"/>
      <c r="AW161" s="581"/>
      <c r="AX161" s="581"/>
      <c r="AY161" s="581"/>
      <c r="AZ161" s="682"/>
      <c r="BA161" s="682"/>
      <c r="BB161" s="682"/>
      <c r="BC161" s="581"/>
      <c r="BD161" s="682"/>
      <c r="BE161" s="682"/>
      <c r="BF161" s="682"/>
      <c r="BG161" s="581"/>
      <c r="BH161" s="682"/>
      <c r="BI161" s="682"/>
      <c r="BJ161" s="682"/>
      <c r="BK161" s="293"/>
      <c r="BL161" s="682"/>
      <c r="BM161" s="682"/>
      <c r="BN161" s="682"/>
      <c r="BO161" s="581"/>
      <c r="BP161" s="682"/>
      <c r="BQ161" s="682"/>
      <c r="BR161" s="682"/>
      <c r="BS161" s="581"/>
      <c r="BT161" s="682"/>
      <c r="BU161" s="682"/>
      <c r="BV161" s="682"/>
      <c r="BW161" s="581"/>
      <c r="BX161" s="682"/>
      <c r="BY161" s="682"/>
      <c r="BZ161" s="682"/>
      <c r="CA161" s="581"/>
      <c r="CB161" s="682"/>
      <c r="CC161" s="682"/>
      <c r="CD161" s="682"/>
      <c r="CE161" s="581"/>
      <c r="CF161" s="650"/>
      <c r="CG161" s="682"/>
      <c r="CH161" s="682"/>
      <c r="CI161" s="581"/>
      <c r="CJ161" s="650"/>
      <c r="CK161" s="682"/>
      <c r="CL161" s="682"/>
      <c r="CM161" s="581"/>
      <c r="CN161" s="650"/>
      <c r="CO161" s="682"/>
      <c r="CP161" s="682"/>
      <c r="CQ161" s="581"/>
      <c r="CR161" s="682"/>
      <c r="CS161" s="682"/>
      <c r="CT161" s="682"/>
      <c r="CU161" s="581"/>
      <c r="CV161" s="682"/>
      <c r="CW161" s="682"/>
      <c r="CX161" s="682"/>
      <c r="CY161" s="581"/>
      <c r="CZ161" s="682"/>
      <c r="DA161" s="682"/>
      <c r="DB161" s="682"/>
      <c r="DC161" s="581"/>
      <c r="DD161" s="682"/>
      <c r="DE161" s="682"/>
      <c r="DF161" s="682"/>
      <c r="DG161" s="581"/>
      <c r="DH161" s="682"/>
      <c r="DI161" s="682"/>
      <c r="DJ161" s="682"/>
      <c r="DK161" s="581"/>
      <c r="DL161" s="682"/>
      <c r="DM161" s="682"/>
      <c r="DN161" s="682"/>
      <c r="DO161" s="581"/>
      <c r="DP161" s="682"/>
      <c r="DQ161" s="682"/>
      <c r="DR161" s="682"/>
      <c r="DS161" s="581"/>
      <c r="DT161" s="581"/>
      <c r="DU161" s="581"/>
      <c r="DV161" s="581"/>
      <c r="DW161" s="682"/>
      <c r="DX161" s="682"/>
      <c r="DY161" s="682"/>
      <c r="DZ161" s="581"/>
      <c r="EA161" s="682"/>
      <c r="EB161" s="682"/>
      <c r="EC161" s="682"/>
      <c r="ED161" s="581"/>
      <c r="EE161" s="682"/>
      <c r="EF161" s="682"/>
      <c r="EG161" s="682"/>
      <c r="EH161" s="581"/>
      <c r="EI161" s="682"/>
      <c r="EJ161" s="682"/>
      <c r="EK161" s="682"/>
      <c r="EL161" s="581"/>
      <c r="EM161" s="581"/>
      <c r="EN161" s="581"/>
      <c r="EO161" s="581"/>
      <c r="EP161" s="581"/>
      <c r="EQ161" s="581"/>
      <c r="ER161" s="581"/>
      <c r="ES161" s="581"/>
      <c r="ET161" s="581"/>
      <c r="EU161" s="581"/>
      <c r="JW161"/>
    </row>
    <row r="162" spans="1:283" s="328" customFormat="1" ht="14.4" thickBot="1">
      <c r="A162" s="815" t="s">
        <v>1415</v>
      </c>
      <c r="AN162" s="581"/>
      <c r="AO162" s="581"/>
      <c r="AP162" s="581"/>
      <c r="AQ162" s="581"/>
      <c r="AR162" s="581"/>
      <c r="AS162" s="581"/>
      <c r="AT162" s="581"/>
      <c r="AU162" s="581"/>
      <c r="AV162" s="581"/>
      <c r="AW162" s="581"/>
      <c r="AX162" s="581"/>
      <c r="AY162" s="581"/>
      <c r="AZ162" s="682"/>
      <c r="BA162" s="682"/>
      <c r="BB162" s="682"/>
      <c r="BC162" s="581"/>
      <c r="BD162" s="682"/>
      <c r="BE162" s="682"/>
      <c r="BF162" s="682"/>
      <c r="BG162" s="581"/>
      <c r="BH162" s="682"/>
      <c r="BI162" s="682"/>
      <c r="BJ162" s="682"/>
      <c r="BK162" s="293"/>
      <c r="BL162" s="682"/>
      <c r="BM162" s="682"/>
      <c r="BN162" s="682"/>
      <c r="BO162" s="581"/>
      <c r="BP162" s="682"/>
      <c r="BQ162" s="682"/>
      <c r="BR162" s="682"/>
      <c r="BS162" s="581"/>
      <c r="BT162" s="682"/>
      <c r="BU162" s="682"/>
      <c r="BV162" s="682"/>
      <c r="BW162" s="581"/>
      <c r="BX162" s="682"/>
      <c r="BY162" s="682"/>
      <c r="BZ162" s="682"/>
      <c r="CA162" s="581"/>
      <c r="CB162" s="682"/>
      <c r="CC162" s="682"/>
      <c r="CD162" s="682"/>
      <c r="CE162" s="581"/>
      <c r="CF162" s="650"/>
      <c r="CG162" s="682"/>
      <c r="CH162" s="682"/>
      <c r="CI162" s="581"/>
      <c r="CJ162" s="1092"/>
      <c r="CK162" s="682"/>
      <c r="CL162" s="682"/>
      <c r="CM162" s="581"/>
      <c r="CN162" s="650"/>
      <c r="CO162" s="682"/>
      <c r="CP162" s="682"/>
      <c r="CQ162" s="581"/>
      <c r="CR162" s="682"/>
      <c r="CS162" s="682"/>
      <c r="CT162" s="682"/>
      <c r="CU162" s="581"/>
      <c r="CV162" s="682"/>
      <c r="CW162" s="682"/>
      <c r="CX162" s="682"/>
      <c r="CY162" s="581"/>
      <c r="CZ162" s="682"/>
      <c r="DA162" s="682"/>
      <c r="DB162" s="682"/>
      <c r="DC162" s="581"/>
      <c r="DD162" s="682"/>
      <c r="DE162" s="682"/>
      <c r="DF162" s="682"/>
      <c r="DG162" s="581"/>
      <c r="DH162" s="682"/>
      <c r="DI162" s="682"/>
      <c r="DJ162" s="682"/>
      <c r="DK162" s="581"/>
      <c r="DL162" s="682"/>
      <c r="DM162" s="682"/>
      <c r="DN162" s="682"/>
      <c r="DO162" s="581"/>
      <c r="DP162" s="682"/>
      <c r="DQ162" s="682"/>
      <c r="DR162" s="682"/>
      <c r="DS162" s="581"/>
      <c r="DT162" s="581"/>
      <c r="DU162" s="581"/>
      <c r="DV162" s="581"/>
      <c r="DW162" s="682"/>
      <c r="DX162" s="682"/>
      <c r="DY162" s="682"/>
      <c r="DZ162" s="581"/>
      <c r="EA162" s="682"/>
      <c r="EB162" s="682"/>
      <c r="EC162" s="682"/>
      <c r="ED162" s="581"/>
      <c r="EE162" s="682"/>
      <c r="EF162" s="682"/>
      <c r="EG162" s="682"/>
      <c r="EH162" s="581"/>
      <c r="EI162" s="682"/>
      <c r="EJ162" s="682"/>
      <c r="EK162" s="682"/>
      <c r="EL162" s="581"/>
      <c r="EM162" s="581"/>
      <c r="EN162" s="581"/>
      <c r="EO162" s="581"/>
      <c r="EP162" s="581"/>
      <c r="EQ162" s="581"/>
      <c r="ER162" s="581"/>
      <c r="ES162" s="581"/>
      <c r="ET162" s="581"/>
      <c r="EU162" s="581"/>
      <c r="JW162"/>
    </row>
    <row r="163" spans="1:283" s="328" customFormat="1">
      <c r="A163" s="1079" t="str">
        <f>+A116</f>
        <v>Net Interest &amp; Trading income - mainly Private Credit Book</v>
      </c>
      <c r="AN163" s="581"/>
      <c r="AO163" s="581"/>
      <c r="AP163" s="581"/>
      <c r="AQ163" s="581"/>
      <c r="AR163" s="581"/>
      <c r="AS163" s="581"/>
      <c r="AT163" s="581"/>
      <c r="AU163" s="581"/>
      <c r="AV163" s="581"/>
      <c r="AW163" s="581"/>
      <c r="AX163" s="581"/>
      <c r="AY163" s="581"/>
      <c r="AZ163" s="682"/>
      <c r="BA163" s="682"/>
      <c r="BB163" s="682"/>
      <c r="BC163" s="581"/>
      <c r="BD163" s="682"/>
      <c r="BE163" s="682"/>
      <c r="BF163" s="682"/>
      <c r="BG163" s="581"/>
      <c r="BH163" s="682"/>
      <c r="BI163" s="682"/>
      <c r="BJ163" s="682"/>
      <c r="BK163" s="293"/>
      <c r="BL163" s="682"/>
      <c r="BM163" s="682"/>
      <c r="BN163" s="682"/>
      <c r="BO163" s="581"/>
      <c r="BP163" s="682"/>
      <c r="BQ163" s="682"/>
      <c r="BR163" s="682"/>
      <c r="BS163" s="581"/>
      <c r="BT163" s="682"/>
      <c r="BU163" s="682"/>
      <c r="BV163" s="682"/>
      <c r="BW163" s="581"/>
      <c r="BX163" s="682"/>
      <c r="BY163" s="682"/>
      <c r="BZ163" s="682"/>
      <c r="CA163" s="581"/>
      <c r="CB163" s="682"/>
      <c r="CC163" s="682"/>
      <c r="CD163" s="682"/>
      <c r="CE163" s="581"/>
      <c r="CF163" s="650"/>
      <c r="CG163" s="682"/>
      <c r="CH163" s="682"/>
      <c r="CI163" s="1373" t="s">
        <v>1250</v>
      </c>
      <c r="CJ163" s="2129">
        <f>+CJ116</f>
        <v>-20</v>
      </c>
      <c r="CK163" s="2129">
        <f t="shared" ref="CK163:CL163" si="308">+CK116</f>
        <v>-39</v>
      </c>
      <c r="CL163" s="2129">
        <f t="shared" si="308"/>
        <v>-59</v>
      </c>
      <c r="CM163" s="581"/>
      <c r="CN163" s="2129">
        <f t="shared" ref="CN163:CP163" si="309">+CN116</f>
        <v>6</v>
      </c>
      <c r="CO163" s="2129">
        <f t="shared" si="309"/>
        <v>63</v>
      </c>
      <c r="CP163" s="2129">
        <f t="shared" si="309"/>
        <v>69</v>
      </c>
      <c r="CQ163" s="581"/>
      <c r="CR163" s="2129">
        <f t="shared" ref="CR163:CT163" si="310">+CR116</f>
        <v>158</v>
      </c>
      <c r="CS163" s="2129">
        <f t="shared" si="310"/>
        <v>256</v>
      </c>
      <c r="CT163" s="2129">
        <f t="shared" si="310"/>
        <v>414</v>
      </c>
      <c r="CU163" s="581"/>
      <c r="CV163" s="2129">
        <f t="shared" ref="CV163:CX163" si="311">+CV116</f>
        <v>154</v>
      </c>
      <c r="CW163" s="2129">
        <f t="shared" si="311"/>
        <v>256</v>
      </c>
      <c r="CX163" s="2129">
        <f t="shared" si="311"/>
        <v>410</v>
      </c>
      <c r="CY163" s="581"/>
      <c r="CZ163" s="2129">
        <f t="shared" ref="CZ163:DB163" si="312">+CZ116</f>
        <v>334</v>
      </c>
      <c r="DA163" s="2129">
        <f t="shared" si="312"/>
        <v>356</v>
      </c>
      <c r="DB163" s="2129">
        <f t="shared" si="312"/>
        <v>690</v>
      </c>
      <c r="DC163" s="581"/>
      <c r="DD163" s="2129">
        <f t="shared" ref="DD163:DF163" si="313">+DD116</f>
        <v>322</v>
      </c>
      <c r="DE163" s="2129">
        <f t="shared" si="313"/>
        <v>490</v>
      </c>
      <c r="DF163" s="2129">
        <f t="shared" si="313"/>
        <v>812</v>
      </c>
      <c r="DG163" s="581"/>
      <c r="DH163" s="2129">
        <f t="shared" ref="DH163" si="314">+DH116</f>
        <v>497</v>
      </c>
      <c r="DI163" s="2129">
        <f t="shared" ref="DI163:DJ163" si="315">+DI116</f>
        <v>539</v>
      </c>
      <c r="DJ163" s="2129">
        <f t="shared" si="315"/>
        <v>1036</v>
      </c>
      <c r="DK163" s="581"/>
      <c r="DL163" s="2129">
        <f t="shared" ref="DL163:DN163" si="316">+DL116</f>
        <v>531.79000000000008</v>
      </c>
      <c r="DM163" s="2129">
        <f t="shared" si="316"/>
        <v>576.73</v>
      </c>
      <c r="DN163" s="2129">
        <f t="shared" si="316"/>
        <v>1108.52</v>
      </c>
      <c r="DO163" s="581"/>
      <c r="DP163" s="2129">
        <f t="shared" ref="DP163:DR163" si="317">+DP116</f>
        <v>569.01530000000014</v>
      </c>
      <c r="DQ163" s="2129">
        <f t="shared" si="317"/>
        <v>617.10110000000009</v>
      </c>
      <c r="DR163" s="2129">
        <f t="shared" si="317"/>
        <v>1186.1164000000003</v>
      </c>
      <c r="DS163" s="581"/>
      <c r="DT163" s="581"/>
      <c r="DU163" s="581"/>
      <c r="DV163" s="581"/>
      <c r="DW163" s="682"/>
      <c r="DX163" s="682"/>
      <c r="DY163" s="682"/>
      <c r="DZ163" s="581"/>
      <c r="EA163" s="682"/>
      <c r="EB163" s="682"/>
      <c r="EC163" s="682"/>
      <c r="ED163" s="581"/>
      <c r="EE163" s="682"/>
      <c r="EF163" s="682"/>
      <c r="EG163" s="682"/>
      <c r="EH163" s="581"/>
      <c r="EI163" s="682"/>
      <c r="EJ163" s="682"/>
      <c r="EK163" s="682"/>
      <c r="EL163" s="581"/>
      <c r="EM163" s="581"/>
      <c r="EN163" s="581"/>
      <c r="EO163" s="581"/>
      <c r="EP163" s="581"/>
      <c r="EQ163" s="581"/>
      <c r="ER163" s="581"/>
      <c r="ES163" s="581"/>
      <c r="ET163" s="581"/>
      <c r="EU163" s="581"/>
      <c r="JW163"/>
    </row>
    <row r="164" spans="1:283" s="328" customFormat="1">
      <c r="A164" s="1079" t="str">
        <f>+A169</f>
        <v xml:space="preserve"> - net gains on sale of equity investments</v>
      </c>
      <c r="AN164" s="581"/>
      <c r="AO164" s="581"/>
      <c r="AP164" s="581"/>
      <c r="AQ164" s="581"/>
      <c r="AR164" s="581"/>
      <c r="AS164" s="581"/>
      <c r="AT164" s="581"/>
      <c r="AU164" s="581"/>
      <c r="AV164" s="581"/>
      <c r="AW164" s="581"/>
      <c r="AX164" s="581"/>
      <c r="AY164" s="581"/>
      <c r="AZ164" s="682"/>
      <c r="BA164" s="682"/>
      <c r="BB164" s="682"/>
      <c r="BC164" s="581"/>
      <c r="BD164" s="682"/>
      <c r="BE164" s="682"/>
      <c r="BF164" s="682"/>
      <c r="BG164" s="581"/>
      <c r="BH164" s="682"/>
      <c r="BI164" s="682"/>
      <c r="BJ164" s="682"/>
      <c r="BK164" s="293"/>
      <c r="BL164" s="682"/>
      <c r="BM164" s="682"/>
      <c r="BN164" s="682"/>
      <c r="BO164" s="581"/>
      <c r="BP164" s="682"/>
      <c r="BQ164" s="682"/>
      <c r="BR164" s="682"/>
      <c r="BS164" s="581"/>
      <c r="BT164" s="682"/>
      <c r="BU164" s="682"/>
      <c r="BV164" s="682"/>
      <c r="BW164" s="581"/>
      <c r="BX164" s="682"/>
      <c r="BY164" s="682"/>
      <c r="BZ164" s="682"/>
      <c r="CA164" s="581"/>
      <c r="CB164" s="682"/>
      <c r="CC164" s="682"/>
      <c r="CD164" s="682"/>
      <c r="CE164" s="581"/>
      <c r="CF164" s="650"/>
      <c r="CG164" s="682"/>
      <c r="CH164" s="682"/>
      <c r="CI164" s="1374" t="s">
        <v>1249</v>
      </c>
      <c r="CJ164" s="2129">
        <f>+CJ169</f>
        <v>590</v>
      </c>
      <c r="CK164" s="2129">
        <f t="shared" ref="CK164:CL164" si="318">+CK169</f>
        <v>827</v>
      </c>
      <c r="CL164" s="2129">
        <f t="shared" si="318"/>
        <v>1417</v>
      </c>
      <c r="CM164" s="581"/>
      <c r="CN164" s="2129">
        <f t="shared" ref="CN164:CP164" si="319">+CN169</f>
        <v>141</v>
      </c>
      <c r="CO164" s="2129">
        <f t="shared" si="319"/>
        <v>998</v>
      </c>
      <c r="CP164" s="2129">
        <f t="shared" si="319"/>
        <v>1139</v>
      </c>
      <c r="CQ164" s="581"/>
      <c r="CR164" s="2129">
        <f t="shared" ref="CR164:CT164" si="320">+CR169</f>
        <v>418</v>
      </c>
      <c r="CS164" s="2129">
        <f t="shared" si="320"/>
        <v>725</v>
      </c>
      <c r="CT164" s="2129">
        <f t="shared" si="320"/>
        <v>1143</v>
      </c>
      <c r="CU164" s="581"/>
      <c r="CV164" s="2129">
        <f t="shared" ref="CV164:CX164" si="321">+CV169</f>
        <v>693</v>
      </c>
      <c r="CW164" s="2129">
        <f t="shared" si="321"/>
        <v>184</v>
      </c>
      <c r="CX164" s="2129">
        <f t="shared" si="321"/>
        <v>877</v>
      </c>
      <c r="CY164" s="581"/>
      <c r="CZ164" s="2129">
        <f t="shared" ref="CZ164:DB164" si="322">+CZ169</f>
        <v>253</v>
      </c>
      <c r="DA164" s="2129">
        <f t="shared" si="322"/>
        <v>430</v>
      </c>
      <c r="DB164" s="2129">
        <f t="shared" si="322"/>
        <v>683</v>
      </c>
      <c r="DC164" s="581"/>
      <c r="DD164" s="2129">
        <f t="shared" ref="DD164:DF164" si="323">+DD169</f>
        <v>309</v>
      </c>
      <c r="DE164" s="2129">
        <f t="shared" si="323"/>
        <v>303</v>
      </c>
      <c r="DF164" s="2129">
        <f t="shared" si="323"/>
        <v>612</v>
      </c>
      <c r="DG164" s="581"/>
      <c r="DH164" s="2129">
        <f t="shared" ref="DH164" si="324">+DH169</f>
        <v>292</v>
      </c>
      <c r="DI164" s="2129">
        <f t="shared" ref="DI164:DJ164" si="325">+DI169</f>
        <v>393.90000000000003</v>
      </c>
      <c r="DJ164" s="2129">
        <f t="shared" si="325"/>
        <v>685.90000000000009</v>
      </c>
      <c r="DK164" s="581"/>
      <c r="DL164" s="2129">
        <f t="shared" ref="DL164:DN164" si="326">+DL169</f>
        <v>400</v>
      </c>
      <c r="DM164" s="2129">
        <f t="shared" si="326"/>
        <v>600</v>
      </c>
      <c r="DN164" s="2129">
        <f t="shared" si="326"/>
        <v>1000</v>
      </c>
      <c r="DO164" s="581"/>
      <c r="DP164" s="2129">
        <f t="shared" ref="DP164:DR164" si="327">+DP169</f>
        <v>440</v>
      </c>
      <c r="DQ164" s="2129">
        <f t="shared" si="327"/>
        <v>660</v>
      </c>
      <c r="DR164" s="2129">
        <f t="shared" si="327"/>
        <v>1100</v>
      </c>
      <c r="DS164" s="581"/>
      <c r="DT164" s="581"/>
      <c r="DU164" s="581"/>
      <c r="DV164" s="581"/>
      <c r="DW164" s="682"/>
      <c r="DX164" s="682"/>
      <c r="DY164" s="682"/>
      <c r="DZ164" s="581"/>
      <c r="EA164" s="682"/>
      <c r="EB164" s="682"/>
      <c r="EC164" s="682"/>
      <c r="ED164" s="581"/>
      <c r="EE164" s="682"/>
      <c r="EF164" s="682"/>
      <c r="EG164" s="682"/>
      <c r="EH164" s="581"/>
      <c r="EI164" s="682"/>
      <c r="EJ164" s="682"/>
      <c r="EK164" s="682"/>
      <c r="EL164" s="581"/>
      <c r="EM164" s="581"/>
      <c r="EN164" s="581"/>
      <c r="EO164" s="581"/>
      <c r="EP164" s="581"/>
      <c r="EQ164" s="581"/>
      <c r="ER164" s="581"/>
      <c r="ES164" s="581"/>
      <c r="ET164" s="581"/>
      <c r="EU164" s="581"/>
      <c r="JW164"/>
    </row>
    <row r="165" spans="1:283" s="328" customFormat="1">
      <c r="A165" s="1092" t="s">
        <v>1416</v>
      </c>
      <c r="AN165" s="581"/>
      <c r="AO165" s="581"/>
      <c r="AP165" s="581"/>
      <c r="AQ165" s="581"/>
      <c r="AR165" s="581"/>
      <c r="AS165" s="581"/>
      <c r="AT165" s="581"/>
      <c r="AU165" s="581"/>
      <c r="AV165" s="581"/>
      <c r="AW165" s="581"/>
      <c r="AX165" s="581"/>
      <c r="AY165" s="581"/>
      <c r="AZ165" s="682"/>
      <c r="BA165" s="682"/>
      <c r="BB165" s="682"/>
      <c r="BC165" s="581"/>
      <c r="BD165" s="682"/>
      <c r="BE165" s="682"/>
      <c r="BF165" s="682"/>
      <c r="BG165" s="581"/>
      <c r="BH165" s="682"/>
      <c r="BI165" s="682"/>
      <c r="BJ165" s="682"/>
      <c r="BK165" s="293"/>
      <c r="BL165" s="682"/>
      <c r="BM165" s="682"/>
      <c r="BN165" s="682"/>
      <c r="BO165" s="581"/>
      <c r="BP165" s="682"/>
      <c r="BQ165" s="682"/>
      <c r="BR165" s="682"/>
      <c r="BS165" s="581"/>
      <c r="BT165" s="682"/>
      <c r="BU165" s="682"/>
      <c r="BV165" s="682"/>
      <c r="BW165" s="581"/>
      <c r="BX165" s="682"/>
      <c r="BY165" s="682"/>
      <c r="BZ165" s="682"/>
      <c r="CA165" s="581"/>
      <c r="CB165" s="682"/>
      <c r="CC165" s="682"/>
      <c r="CD165" s="682"/>
      <c r="CE165" s="581"/>
      <c r="CF165" s="650"/>
      <c r="CG165" s="682"/>
      <c r="CH165" s="682"/>
      <c r="CI165" s="1374"/>
      <c r="CJ165" s="2130">
        <f>SUM(CJ163:CJ164)</f>
        <v>570</v>
      </c>
      <c r="CK165" s="2130">
        <f t="shared" ref="CK165:CL165" si="328">SUM(CK163:CK164)</f>
        <v>788</v>
      </c>
      <c r="CL165" s="2130">
        <f t="shared" si="328"/>
        <v>1358</v>
      </c>
      <c r="CM165" s="581"/>
      <c r="CN165" s="2130">
        <f t="shared" ref="CN165" si="329">SUM(CN163:CN164)</f>
        <v>147</v>
      </c>
      <c r="CO165" s="2130">
        <f t="shared" ref="CO165" si="330">SUM(CO163:CO164)</f>
        <v>1061</v>
      </c>
      <c r="CP165" s="2130">
        <f t="shared" ref="CP165" si="331">SUM(CP163:CP164)</f>
        <v>1208</v>
      </c>
      <c r="CQ165" s="581"/>
      <c r="CR165" s="2130">
        <f t="shared" ref="CR165" si="332">SUM(CR163:CR164)</f>
        <v>576</v>
      </c>
      <c r="CS165" s="2130">
        <f t="shared" ref="CS165" si="333">SUM(CS163:CS164)</f>
        <v>981</v>
      </c>
      <c r="CT165" s="2130">
        <f t="shared" ref="CT165" si="334">SUM(CT163:CT164)</f>
        <v>1557</v>
      </c>
      <c r="CU165" s="905">
        <f>+CT165/CP165-1</f>
        <v>0.28890728476821192</v>
      </c>
      <c r="CV165" s="2130">
        <f t="shared" ref="CV165" si="335">SUM(CV163:CV164)</f>
        <v>847</v>
      </c>
      <c r="CW165" s="2130">
        <f t="shared" ref="CW165" si="336">SUM(CW163:CW164)</f>
        <v>440</v>
      </c>
      <c r="CX165" s="2130">
        <f t="shared" ref="CX165" si="337">SUM(CX163:CX164)</f>
        <v>1287</v>
      </c>
      <c r="CY165" s="905">
        <f>+CX165/CT165-1</f>
        <v>-0.17341040462427748</v>
      </c>
      <c r="CZ165" s="2130">
        <f t="shared" ref="CZ165" si="338">SUM(CZ163:CZ164)</f>
        <v>587</v>
      </c>
      <c r="DA165" s="2130">
        <f t="shared" ref="DA165" si="339">SUM(DA163:DA164)</f>
        <v>786</v>
      </c>
      <c r="DB165" s="2130">
        <f t="shared" ref="DB165" si="340">SUM(DB163:DB164)</f>
        <v>1373</v>
      </c>
      <c r="DC165" s="905">
        <f>+DB165/CX165-1</f>
        <v>6.6822066822066928E-2</v>
      </c>
      <c r="DD165" s="2130">
        <f t="shared" ref="DD165" si="341">SUM(DD163:DD164)</f>
        <v>631</v>
      </c>
      <c r="DE165" s="2130">
        <f t="shared" ref="DE165:DF165" si="342">SUM(DE163:DE164)</f>
        <v>793</v>
      </c>
      <c r="DF165" s="2130">
        <f t="shared" si="342"/>
        <v>1424</v>
      </c>
      <c r="DG165" s="905">
        <f>+DF165/DB165-1</f>
        <v>3.7144938091769886E-2</v>
      </c>
      <c r="DH165" s="2130">
        <f t="shared" ref="DH165" si="343">SUM(DH163:DH164)</f>
        <v>789</v>
      </c>
      <c r="DI165" s="2130">
        <f t="shared" ref="DI165" si="344">SUM(DI163:DI164)</f>
        <v>932.90000000000009</v>
      </c>
      <c r="DJ165" s="2130">
        <f t="shared" ref="DJ165" si="345">SUM(DJ163:DJ164)</f>
        <v>1721.9</v>
      </c>
      <c r="DK165" s="905">
        <f>+DJ165/DF165-1</f>
        <v>0.20919943820224729</v>
      </c>
      <c r="DL165" s="2130">
        <f t="shared" ref="DL165" si="346">SUM(DL163:DL164)</f>
        <v>931.79000000000008</v>
      </c>
      <c r="DM165" s="2130">
        <f t="shared" ref="DM165" si="347">SUM(DM163:DM164)</f>
        <v>1176.73</v>
      </c>
      <c r="DN165" s="2130">
        <f t="shared" ref="DN165" si="348">SUM(DN163:DN164)</f>
        <v>2108.52</v>
      </c>
      <c r="DO165" s="905">
        <f>+DN165/DJ165-1</f>
        <v>0.2245310412915964</v>
      </c>
      <c r="DP165" s="2130">
        <f t="shared" ref="DP165" si="349">SUM(DP163:DP164)</f>
        <v>1009.0153000000001</v>
      </c>
      <c r="DQ165" s="2130">
        <f t="shared" ref="DQ165:DR165" si="350">SUM(DQ163:DQ164)</f>
        <v>1277.1011000000001</v>
      </c>
      <c r="DR165" s="2130">
        <f t="shared" si="350"/>
        <v>2286.1164000000003</v>
      </c>
      <c r="DS165" s="905">
        <f>+DR165/DN165-1</f>
        <v>8.4227989300552197E-2</v>
      </c>
      <c r="DT165" s="581"/>
      <c r="DU165" s="581"/>
      <c r="DV165" s="581"/>
      <c r="DW165" s="682"/>
      <c r="DX165" s="682"/>
      <c r="DY165" s="682"/>
      <c r="DZ165" s="581"/>
      <c r="EA165" s="682"/>
      <c r="EB165" s="682"/>
      <c r="EC165" s="682"/>
      <c r="ED165" s="581"/>
      <c r="EE165" s="682"/>
      <c r="EF165" s="682"/>
      <c r="EG165" s="682"/>
      <c r="EH165" s="581"/>
      <c r="EI165" s="682"/>
      <c r="EJ165" s="682"/>
      <c r="EK165" s="682"/>
      <c r="EL165" s="581"/>
      <c r="EM165" s="581"/>
      <c r="EN165" s="581"/>
      <c r="EO165" s="581"/>
      <c r="EP165" s="581"/>
      <c r="EQ165" s="581"/>
      <c r="ER165" s="581"/>
      <c r="ES165" s="581"/>
      <c r="ET165" s="581"/>
      <c r="EU165" s="581"/>
      <c r="JW165"/>
    </row>
    <row r="166" spans="1:283">
      <c r="BK166" s="293"/>
      <c r="CI166" s="1374" t="s">
        <v>599</v>
      </c>
      <c r="CJ166" s="650"/>
      <c r="CK166" s="682"/>
      <c r="CL166" s="682"/>
      <c r="CM166" s="581"/>
      <c r="CN166" s="650"/>
      <c r="CO166" s="682"/>
      <c r="CP166" s="682"/>
      <c r="CR166" s="103"/>
      <c r="CS166" s="103"/>
      <c r="CT166" s="103"/>
      <c r="CV166" s="103"/>
      <c r="CW166" s="103"/>
      <c r="CX166" s="103"/>
      <c r="CZ166" s="103"/>
      <c r="DA166" s="103"/>
      <c r="DB166" s="103"/>
      <c r="DD166" s="103"/>
      <c r="DE166" s="103"/>
      <c r="DF166" s="103"/>
      <c r="DH166" s="103"/>
      <c r="DI166" s="103"/>
      <c r="DJ166" s="103"/>
      <c r="DL166" s="103"/>
      <c r="DM166" s="103"/>
      <c r="DN166" s="103"/>
      <c r="DP166" s="103"/>
      <c r="DQ166" s="103"/>
      <c r="DR166" s="103"/>
    </row>
    <row r="167" spans="1:283" s="289" customFormat="1" ht="14.4" thickBot="1">
      <c r="A167" s="815" t="s">
        <v>621</v>
      </c>
      <c r="AN167" s="290"/>
      <c r="AO167" s="290"/>
      <c r="AP167" s="290"/>
      <c r="AQ167" s="290"/>
      <c r="AR167" s="290"/>
      <c r="AS167" s="290"/>
      <c r="AT167" s="290"/>
      <c r="AU167" s="290"/>
      <c r="AV167" s="290"/>
      <c r="AW167" s="290"/>
      <c r="AX167" s="290"/>
      <c r="AY167" s="290"/>
      <c r="AZ167" s="290"/>
      <c r="BA167" s="290"/>
      <c r="BB167" s="290"/>
      <c r="BC167" s="290"/>
      <c r="BD167" s="290"/>
      <c r="BE167" s="290"/>
      <c r="BF167" s="290"/>
      <c r="BG167" s="290"/>
      <c r="BH167" s="290"/>
      <c r="BI167" s="290"/>
      <c r="BJ167" s="290"/>
      <c r="BK167" s="290"/>
      <c r="BL167" s="290"/>
      <c r="BM167" s="290"/>
      <c r="BN167" s="290"/>
      <c r="BO167" s="290"/>
      <c r="BP167" s="290"/>
      <c r="BQ167" s="290"/>
      <c r="BR167" s="290"/>
      <c r="BS167" s="290"/>
      <c r="BT167" s="290"/>
      <c r="BU167" s="290"/>
      <c r="BV167" s="290"/>
      <c r="BW167" s="290"/>
      <c r="BX167" s="290"/>
      <c r="BY167" s="290"/>
      <c r="BZ167" s="290"/>
      <c r="CA167" s="290"/>
      <c r="CB167" s="290"/>
      <c r="CC167" s="295"/>
      <c r="CD167" s="290"/>
      <c r="CE167" s="290"/>
      <c r="CF167" s="290"/>
      <c r="CG167" s="295"/>
      <c r="CH167" s="290"/>
      <c r="CI167" s="1376" t="s">
        <v>1248</v>
      </c>
      <c r="CJ167" s="650"/>
      <c r="CK167" s="682"/>
      <c r="CL167" s="682"/>
      <c r="CM167" s="581"/>
      <c r="CN167" s="650"/>
      <c r="CO167" s="682"/>
      <c r="CP167" s="682"/>
      <c r="CQ167" s="290"/>
      <c r="CR167" s="290"/>
      <c r="CS167" s="290"/>
      <c r="CT167" s="290"/>
      <c r="CU167" s="290"/>
      <c r="CV167" s="290"/>
      <c r="CW167" s="290"/>
      <c r="CX167" s="290"/>
      <c r="CY167" s="290"/>
      <c r="CZ167" s="290"/>
      <c r="DA167" s="290"/>
      <c r="DB167" s="290"/>
      <c r="DC167" s="290"/>
      <c r="DD167" s="290"/>
      <c r="DE167" s="290"/>
      <c r="DF167" s="290"/>
      <c r="DG167" s="290"/>
      <c r="DH167" s="290"/>
      <c r="DI167" s="290"/>
      <c r="DJ167" s="290"/>
      <c r="DK167" s="290"/>
      <c r="DL167" s="290"/>
      <c r="DM167" s="290"/>
      <c r="DN167" s="290"/>
      <c r="DO167" s="290"/>
      <c r="DP167" s="290"/>
      <c r="DQ167" s="290"/>
      <c r="DR167" s="290"/>
      <c r="DS167" s="290"/>
      <c r="DT167" s="290"/>
      <c r="DU167" s="290"/>
      <c r="DV167" s="290"/>
      <c r="DW167" s="290"/>
      <c r="DX167" s="290"/>
      <c r="DY167" s="290"/>
      <c r="DZ167" s="290"/>
      <c r="EA167" s="290"/>
      <c r="EB167" s="290"/>
      <c r="EC167" s="290"/>
      <c r="ED167" s="290"/>
      <c r="EE167" s="290"/>
      <c r="EF167" s="290"/>
      <c r="EG167" s="290"/>
      <c r="EH167" s="290"/>
      <c r="EI167" s="290"/>
      <c r="EJ167" s="290"/>
      <c r="EK167" s="290"/>
      <c r="EL167" s="290"/>
      <c r="EM167" s="290"/>
      <c r="EN167" s="290"/>
      <c r="EO167" s="290"/>
      <c r="EP167" s="290"/>
      <c r="EQ167" s="290"/>
      <c r="ER167" s="290"/>
      <c r="ES167" s="290"/>
      <c r="ET167" s="290"/>
      <c r="EU167" s="290"/>
      <c r="JW167"/>
    </row>
    <row r="168" spans="1:283" s="289" customFormat="1">
      <c r="A168" s="815"/>
      <c r="AN168" s="290"/>
      <c r="AO168" s="290"/>
      <c r="AP168" s="290"/>
      <c r="AQ168" s="290"/>
      <c r="AR168" s="290"/>
      <c r="AS168" s="290"/>
      <c r="AT168" s="290"/>
      <c r="AU168" s="290"/>
      <c r="AV168" s="290"/>
      <c r="AW168" s="290"/>
      <c r="AX168" s="290"/>
      <c r="AY168" s="290"/>
      <c r="AZ168" s="290"/>
      <c r="BA168" s="290"/>
      <c r="BB168" s="290"/>
      <c r="BC168" s="290"/>
      <c r="BD168" s="290"/>
      <c r="BE168" s="290"/>
      <c r="BF168" s="290"/>
      <c r="BG168" s="290"/>
      <c r="BH168" s="290"/>
      <c r="BI168" s="290"/>
      <c r="BJ168" s="290"/>
      <c r="BK168" s="290"/>
      <c r="BL168" s="290"/>
      <c r="BM168" s="290"/>
      <c r="BN168" s="290"/>
      <c r="BO168" s="290"/>
      <c r="BP168" s="290"/>
      <c r="BQ168" s="290"/>
      <c r="BR168" s="290"/>
      <c r="BS168" s="290"/>
      <c r="BT168" s="290"/>
      <c r="BU168" s="290"/>
      <c r="BV168" s="290"/>
      <c r="BW168" s="290"/>
      <c r="BX168" s="290"/>
      <c r="BY168" s="290"/>
      <c r="BZ168" s="290"/>
      <c r="CA168" s="290"/>
      <c r="CB168" s="290"/>
      <c r="CC168" s="295"/>
      <c r="CD168" s="290"/>
      <c r="CE168" s="290"/>
      <c r="CF168" s="290"/>
      <c r="CG168" s="295"/>
      <c r="CH168" s="290"/>
      <c r="CI168" s="1375"/>
      <c r="CJ168" s="290"/>
      <c r="CK168" s="148"/>
      <c r="CL168" s="148"/>
      <c r="CM168" s="290"/>
      <c r="CN168" s="1375"/>
      <c r="CO168" s="148"/>
      <c r="CP168" s="148"/>
      <c r="CQ168" s="290"/>
      <c r="CR168" s="290"/>
      <c r="CS168" s="290"/>
      <c r="CT168" s="290"/>
      <c r="CU168" s="290"/>
      <c r="CV168" s="1424"/>
      <c r="CW168" s="290"/>
      <c r="CX168" s="290"/>
      <c r="CY168" s="290"/>
      <c r="CZ168" s="290"/>
      <c r="DA168" s="290"/>
      <c r="DB168" s="290"/>
      <c r="DC168" s="290"/>
      <c r="DD168" s="290"/>
      <c r="DE168" s="290"/>
      <c r="DF168" s="290"/>
      <c r="DG168" s="290"/>
      <c r="DH168" s="290"/>
      <c r="DI168" s="290"/>
      <c r="DJ168" s="290"/>
      <c r="DK168" s="290"/>
      <c r="DL168" s="290"/>
      <c r="DM168" s="290"/>
      <c r="DN168" s="290"/>
      <c r="DO168" s="290"/>
      <c r="DP168" s="290"/>
      <c r="DQ168" s="290"/>
      <c r="DR168" s="290"/>
      <c r="DS168" s="290"/>
      <c r="DT168" s="290"/>
      <c r="DU168" s="290"/>
      <c r="DV168" s="290"/>
      <c r="DW168" s="290"/>
      <c r="DX168" s="290"/>
      <c r="DY168" s="290"/>
      <c r="DZ168" s="290"/>
      <c r="EA168" s="290"/>
      <c r="EB168" s="290"/>
      <c r="EC168" s="290"/>
      <c r="ED168" s="290"/>
      <c r="EE168" s="290"/>
      <c r="EF168" s="290"/>
      <c r="EG168" s="290"/>
      <c r="EH168" s="290"/>
      <c r="EI168" s="290"/>
      <c r="EJ168" s="290"/>
      <c r="EK168" s="290"/>
      <c r="EL168" s="290"/>
      <c r="EM168" s="290"/>
      <c r="EN168" s="290"/>
      <c r="EO168" s="290"/>
      <c r="EP168" s="290"/>
      <c r="EQ168" s="290"/>
      <c r="ER168" s="290"/>
      <c r="ES168" s="290"/>
      <c r="ET168" s="290"/>
      <c r="EU168" s="290"/>
      <c r="JW168"/>
    </row>
    <row r="169" spans="1:283">
      <c r="A169" s="102" t="s">
        <v>657</v>
      </c>
      <c r="AP169" s="1219"/>
      <c r="AR169" s="730"/>
      <c r="AS169" s="730"/>
      <c r="AT169" s="1219">
        <v>211</v>
      </c>
      <c r="AV169" s="730">
        <v>57</v>
      </c>
      <c r="AW169" s="730">
        <v>27</v>
      </c>
      <c r="AX169" s="293">
        <f t="shared" ref="AX169:AX182" si="351">AV169+AW169</f>
        <v>84</v>
      </c>
      <c r="AZ169" s="730">
        <v>6</v>
      </c>
      <c r="BA169" s="730">
        <v>1</v>
      </c>
      <c r="BB169" s="293">
        <f t="shared" ref="BB169:BB182" si="352">AZ169+BA169</f>
        <v>7</v>
      </c>
      <c r="BD169" s="626">
        <v>35</v>
      </c>
      <c r="BE169" s="927">
        <v>66</v>
      </c>
      <c r="BF169" s="293">
        <f t="shared" ref="BF169:BF182" si="353">BD169+BE169</f>
        <v>101</v>
      </c>
      <c r="BG169" s="818"/>
      <c r="BH169" s="626">
        <v>56</v>
      </c>
      <c r="BI169" s="927">
        <v>86</v>
      </c>
      <c r="BJ169" s="293">
        <f t="shared" ref="BJ169:BJ182" si="354">BH169+BI169</f>
        <v>142</v>
      </c>
      <c r="BK169" s="487"/>
      <c r="BL169" s="626">
        <v>50</v>
      </c>
      <c r="BM169" s="927">
        <v>38</v>
      </c>
      <c r="BN169" s="293">
        <f t="shared" ref="BN169:BN182" si="355">BL169+BM169</f>
        <v>88</v>
      </c>
      <c r="BO169" s="487"/>
      <c r="BP169" s="626">
        <v>109</v>
      </c>
      <c r="BQ169" s="626">
        <v>117</v>
      </c>
      <c r="BR169" s="293">
        <f t="shared" ref="BR169:BR182" si="356">BP169+BQ169</f>
        <v>226</v>
      </c>
      <c r="BS169" s="487"/>
      <c r="BT169" s="626">
        <v>106</v>
      </c>
      <c r="BU169" s="626">
        <v>307</v>
      </c>
      <c r="BV169" s="293">
        <f t="shared" ref="BV169:BV182" si="357">BT169+BU169</f>
        <v>413</v>
      </c>
      <c r="BW169" s="684">
        <f t="shared" ref="BW169" si="358">+BV169/BR169-1</f>
        <v>0.82743362831858414</v>
      </c>
      <c r="BX169" s="626">
        <v>244</v>
      </c>
      <c r="BY169" s="626">
        <v>131</v>
      </c>
      <c r="BZ169" s="293">
        <f t="shared" ref="BZ169:BZ182" si="359">BX169+BY169</f>
        <v>375</v>
      </c>
      <c r="CA169" s="684">
        <f t="shared" ref="CA169" si="360">+BZ169/BV169-1</f>
        <v>-9.2009685230024174E-2</v>
      </c>
      <c r="CB169" s="626">
        <v>132</v>
      </c>
      <c r="CC169" s="626">
        <v>493</v>
      </c>
      <c r="CD169" s="293">
        <f t="shared" ref="CD169:CD182" si="361">CB169+CC169</f>
        <v>625</v>
      </c>
      <c r="CE169" s="684">
        <f t="shared" ref="CE169" si="362">+CD169/BZ169-1</f>
        <v>0.66666666666666674</v>
      </c>
      <c r="CF169" s="626">
        <v>477</v>
      </c>
      <c r="CG169" s="626">
        <v>1493</v>
      </c>
      <c r="CH169" s="293">
        <f t="shared" ref="CH169:CH182" si="363">CF169+CG169</f>
        <v>1970</v>
      </c>
      <c r="CI169" s="684">
        <f t="shared" ref="CI169" si="364">+CH169/CD169-1</f>
        <v>2.1520000000000001</v>
      </c>
      <c r="CJ169" s="626">
        <v>590</v>
      </c>
      <c r="CK169" s="626">
        <v>827</v>
      </c>
      <c r="CL169" s="293">
        <f t="shared" ref="CL169:CL182" si="365">CJ169+CK169</f>
        <v>1417</v>
      </c>
      <c r="CN169" s="1388">
        <v>141</v>
      </c>
      <c r="CO169" s="1388">
        <v>998</v>
      </c>
      <c r="CP169" s="1010">
        <f t="shared" ref="CP169:CP182" si="366">CN169+CO169</f>
        <v>1139</v>
      </c>
      <c r="CQ169" s="1009"/>
      <c r="CR169" s="1388">
        <v>418</v>
      </c>
      <c r="CS169" s="1497">
        <v>725</v>
      </c>
      <c r="CT169" s="293">
        <f t="shared" ref="CT169:CT182" si="367">CR169+CS169</f>
        <v>1143</v>
      </c>
      <c r="CV169" s="1388">
        <v>693</v>
      </c>
      <c r="CW169" s="1497">
        <v>184</v>
      </c>
      <c r="CX169" s="293">
        <f t="shared" ref="CX169:CX182" si="368">CV169+CW169</f>
        <v>877</v>
      </c>
      <c r="CZ169" s="1863">
        <v>253</v>
      </c>
      <c r="DA169" s="1488">
        <v>430</v>
      </c>
      <c r="DB169" s="293">
        <f t="shared" ref="DB169:DB182" si="369">CZ169+DA169</f>
        <v>683</v>
      </c>
      <c r="DD169" s="2107">
        <v>309</v>
      </c>
      <c r="DE169" s="2176">
        <v>303</v>
      </c>
      <c r="DF169" s="293">
        <f t="shared" ref="DF169:DF182" si="370">DD169+DE169</f>
        <v>612</v>
      </c>
      <c r="DH169" s="2107">
        <v>292</v>
      </c>
      <c r="DI169" s="851">
        <f>'P&amp;L'!DI495</f>
        <v>393.90000000000003</v>
      </c>
      <c r="DJ169" s="293">
        <f t="shared" ref="DJ169:DJ182" si="371">DH169+DI169</f>
        <v>685.90000000000009</v>
      </c>
      <c r="DL169" s="851">
        <f>'P&amp;L'!DL495</f>
        <v>400</v>
      </c>
      <c r="DM169" s="851">
        <f>'P&amp;L'!DM495</f>
        <v>600</v>
      </c>
      <c r="DN169" s="293">
        <f t="shared" ref="DN169:DN182" si="372">DL169+DM169</f>
        <v>1000</v>
      </c>
      <c r="DP169" s="851">
        <f>'P&amp;L'!DP495</f>
        <v>440</v>
      </c>
      <c r="DQ169" s="851">
        <f>'P&amp;L'!DQ495</f>
        <v>660</v>
      </c>
      <c r="DR169" s="293">
        <f t="shared" ref="DR169:DR182" si="373">DP169+DQ169</f>
        <v>1100</v>
      </c>
      <c r="DW169" s="1198" t="s">
        <v>174</v>
      </c>
      <c r="DX169" s="818"/>
      <c r="DY169" s="818"/>
      <c r="EA169" s="818"/>
      <c r="EB169" s="818"/>
      <c r="EC169" s="293"/>
      <c r="EE169" s="818"/>
      <c r="EF169" s="818"/>
      <c r="EG169" s="293"/>
      <c r="EI169" s="818"/>
      <c r="EJ169" s="818"/>
      <c r="EK169" s="293"/>
    </row>
    <row r="170" spans="1:283">
      <c r="A170" s="102" t="s">
        <v>674</v>
      </c>
      <c r="AP170" s="1219"/>
      <c r="AR170" s="730"/>
      <c r="AS170" s="730"/>
      <c r="AT170" s="1219">
        <v>0</v>
      </c>
      <c r="AV170" s="730">
        <v>0</v>
      </c>
      <c r="AW170" s="730">
        <v>0</v>
      </c>
      <c r="AX170" s="293">
        <f t="shared" si="351"/>
        <v>0</v>
      </c>
      <c r="AZ170" s="730">
        <v>0</v>
      </c>
      <c r="BA170" s="730">
        <v>0</v>
      </c>
      <c r="BB170" s="293">
        <f t="shared" si="352"/>
        <v>0</v>
      </c>
      <c r="BD170" s="626">
        <v>0</v>
      </c>
      <c r="BE170" s="927">
        <v>0</v>
      </c>
      <c r="BF170" s="293">
        <f t="shared" si="353"/>
        <v>0</v>
      </c>
      <c r="BG170" s="818"/>
      <c r="BH170" s="626">
        <v>0</v>
      </c>
      <c r="BI170" s="927">
        <v>0</v>
      </c>
      <c r="BJ170" s="293">
        <f t="shared" si="354"/>
        <v>0</v>
      </c>
      <c r="BK170" s="487"/>
      <c r="BL170" s="626">
        <v>0</v>
      </c>
      <c r="BM170" s="927">
        <v>0</v>
      </c>
      <c r="BN170" s="293">
        <f t="shared" si="355"/>
        <v>0</v>
      </c>
      <c r="BO170" s="487"/>
      <c r="BP170" s="626">
        <v>0</v>
      </c>
      <c r="BQ170" s="626">
        <v>0</v>
      </c>
      <c r="BR170" s="293">
        <f t="shared" si="356"/>
        <v>0</v>
      </c>
      <c r="BS170" s="487"/>
      <c r="BT170" s="626">
        <v>0</v>
      </c>
      <c r="BU170" s="626">
        <v>0</v>
      </c>
      <c r="BV170" s="293">
        <f t="shared" si="357"/>
        <v>0</v>
      </c>
      <c r="BX170" s="626">
        <v>0</v>
      </c>
      <c r="BY170" s="626">
        <v>0</v>
      </c>
      <c r="BZ170" s="293">
        <f t="shared" si="359"/>
        <v>0</v>
      </c>
      <c r="CB170" s="626">
        <v>0</v>
      </c>
      <c r="CC170" s="626">
        <v>0</v>
      </c>
      <c r="CD170" s="293">
        <f t="shared" si="361"/>
        <v>0</v>
      </c>
      <c r="CF170" s="626">
        <v>0</v>
      </c>
      <c r="CG170" s="626">
        <v>0</v>
      </c>
      <c r="CH170" s="293">
        <f t="shared" si="363"/>
        <v>0</v>
      </c>
      <c r="CJ170" s="626">
        <v>0</v>
      </c>
      <c r="CK170" s="626">
        <v>0</v>
      </c>
      <c r="CL170" s="293">
        <f t="shared" si="365"/>
        <v>0</v>
      </c>
      <c r="CN170" s="1388">
        <v>0</v>
      </c>
      <c r="CO170" s="1388">
        <v>0</v>
      </c>
      <c r="CP170" s="1010">
        <f t="shared" si="366"/>
        <v>0</v>
      </c>
      <c r="CQ170" s="1009"/>
      <c r="CR170" s="1388">
        <v>0</v>
      </c>
      <c r="CS170" s="1497">
        <v>0</v>
      </c>
      <c r="CT170" s="293">
        <f t="shared" si="367"/>
        <v>0</v>
      </c>
      <c r="CV170" s="1388">
        <v>0</v>
      </c>
      <c r="CW170" s="1497">
        <v>0</v>
      </c>
      <c r="CX170" s="293">
        <f t="shared" si="368"/>
        <v>0</v>
      </c>
      <c r="CZ170" s="1863">
        <v>0</v>
      </c>
      <c r="DA170" s="1488">
        <v>0</v>
      </c>
      <c r="DB170" s="293">
        <f t="shared" si="369"/>
        <v>0</v>
      </c>
      <c r="DD170" s="2107">
        <v>0</v>
      </c>
      <c r="DE170" s="1497">
        <v>0</v>
      </c>
      <c r="DF170" s="293">
        <f t="shared" si="370"/>
        <v>0</v>
      </c>
      <c r="DH170" s="2107">
        <v>0</v>
      </c>
      <c r="DI170" s="851">
        <f>'P&amp;L'!DI506</f>
        <v>0</v>
      </c>
      <c r="DJ170" s="293">
        <f t="shared" si="371"/>
        <v>0</v>
      </c>
      <c r="DL170" s="851">
        <f>'P&amp;L'!DL506</f>
        <v>0</v>
      </c>
      <c r="DM170" s="851">
        <f>'P&amp;L'!DM506</f>
        <v>0</v>
      </c>
      <c r="DN170" s="293">
        <f t="shared" si="372"/>
        <v>0</v>
      </c>
      <c r="DP170" s="851">
        <f>'P&amp;L'!DP506</f>
        <v>0</v>
      </c>
      <c r="DQ170" s="851">
        <f>'P&amp;L'!DQ506</f>
        <v>0</v>
      </c>
      <c r="DR170" s="293">
        <f t="shared" si="373"/>
        <v>0</v>
      </c>
      <c r="DW170" s="1198" t="s">
        <v>174</v>
      </c>
      <c r="DX170" s="818"/>
      <c r="DY170" s="818"/>
      <c r="EA170" s="818"/>
      <c r="EB170" s="818"/>
      <c r="EC170" s="293"/>
      <c r="EE170" s="818"/>
      <c r="EF170" s="818"/>
      <c r="EG170" s="293"/>
      <c r="EI170" s="818"/>
      <c r="EJ170" s="818"/>
      <c r="EK170" s="293"/>
    </row>
    <row r="171" spans="1:283">
      <c r="A171" s="102" t="s">
        <v>659</v>
      </c>
      <c r="AP171" s="1219"/>
      <c r="AR171" s="730"/>
      <c r="AS171" s="730"/>
      <c r="AT171" s="1219">
        <v>-696</v>
      </c>
      <c r="AV171" s="730">
        <v>-368</v>
      </c>
      <c r="AW171" s="730">
        <v>-19</v>
      </c>
      <c r="AX171" s="293">
        <f t="shared" si="351"/>
        <v>-387</v>
      </c>
      <c r="AZ171" s="730">
        <v>-8</v>
      </c>
      <c r="BA171" s="730">
        <v>-4</v>
      </c>
      <c r="BB171" s="293">
        <f t="shared" si="352"/>
        <v>-12</v>
      </c>
      <c r="BD171" s="626">
        <v>0</v>
      </c>
      <c r="BE171" s="927">
        <v>-8</v>
      </c>
      <c r="BF171" s="293">
        <f t="shared" si="353"/>
        <v>-8</v>
      </c>
      <c r="BG171" s="818"/>
      <c r="BH171" s="626">
        <v>-34</v>
      </c>
      <c r="BI171" s="927">
        <v>14</v>
      </c>
      <c r="BJ171" s="293">
        <f t="shared" si="354"/>
        <v>-20</v>
      </c>
      <c r="BK171" s="487"/>
      <c r="BL171" s="626">
        <v>0</v>
      </c>
      <c r="BM171" s="927">
        <v>-18</v>
      </c>
      <c r="BN171" s="293">
        <f t="shared" si="355"/>
        <v>-18</v>
      </c>
      <c r="BO171" s="487"/>
      <c r="BP171" s="626">
        <v>-1</v>
      </c>
      <c r="BQ171" s="626">
        <v>-28</v>
      </c>
      <c r="BR171" s="293">
        <f t="shared" si="356"/>
        <v>-29</v>
      </c>
      <c r="BS171" s="487"/>
      <c r="BT171" s="626">
        <v>-68</v>
      </c>
      <c r="BU171" s="626">
        <v>-43</v>
      </c>
      <c r="BV171" s="293">
        <f t="shared" si="357"/>
        <v>-111</v>
      </c>
      <c r="BX171" s="626">
        <v>-37</v>
      </c>
      <c r="BY171" s="626">
        <v>-8</v>
      </c>
      <c r="BZ171" s="293">
        <f t="shared" si="359"/>
        <v>-45</v>
      </c>
      <c r="CB171" s="626">
        <v>0</v>
      </c>
      <c r="CC171" s="626">
        <v>0</v>
      </c>
      <c r="CD171" s="293">
        <f t="shared" si="361"/>
        <v>0</v>
      </c>
      <c r="CF171" s="626">
        <v>0</v>
      </c>
      <c r="CG171" s="626">
        <v>0</v>
      </c>
      <c r="CH171" s="293">
        <f t="shared" si="363"/>
        <v>0</v>
      </c>
      <c r="CJ171" s="626">
        <v>0</v>
      </c>
      <c r="CK171" s="626">
        <v>0</v>
      </c>
      <c r="CL171" s="293">
        <f t="shared" si="365"/>
        <v>0</v>
      </c>
      <c r="CN171" s="1388">
        <v>0</v>
      </c>
      <c r="CO171" s="1388">
        <v>0</v>
      </c>
      <c r="CP171" s="1010">
        <f t="shared" si="366"/>
        <v>0</v>
      </c>
      <c r="CQ171" s="1009"/>
      <c r="CR171" s="1388">
        <v>0</v>
      </c>
      <c r="CS171" s="1497">
        <v>0</v>
      </c>
      <c r="CT171" s="293">
        <f t="shared" si="367"/>
        <v>0</v>
      </c>
      <c r="CV171" s="1388">
        <v>0</v>
      </c>
      <c r="CW171" s="1497">
        <v>0</v>
      </c>
      <c r="CX171" s="293">
        <f t="shared" si="368"/>
        <v>0</v>
      </c>
      <c r="CZ171" s="1863">
        <v>0</v>
      </c>
      <c r="DA171" s="1488">
        <v>0</v>
      </c>
      <c r="DB171" s="293">
        <f t="shared" si="369"/>
        <v>0</v>
      </c>
      <c r="DD171" s="2107">
        <v>0</v>
      </c>
      <c r="DE171" s="1497">
        <v>0</v>
      </c>
      <c r="DF171" s="293">
        <f t="shared" si="370"/>
        <v>0</v>
      </c>
      <c r="DH171" s="2107">
        <v>0</v>
      </c>
      <c r="DI171" s="851">
        <f>'P&amp;L'!DI517</f>
        <v>0</v>
      </c>
      <c r="DJ171" s="293">
        <f t="shared" si="371"/>
        <v>0</v>
      </c>
      <c r="DL171" s="851">
        <f>'P&amp;L'!DL517</f>
        <v>0</v>
      </c>
      <c r="DM171" s="851">
        <f>'P&amp;L'!DM517</f>
        <v>0</v>
      </c>
      <c r="DN171" s="293">
        <f t="shared" si="372"/>
        <v>0</v>
      </c>
      <c r="DP171" s="851">
        <f>'P&amp;L'!DP517</f>
        <v>0</v>
      </c>
      <c r="DQ171" s="851">
        <f>'P&amp;L'!DQ517</f>
        <v>0</v>
      </c>
      <c r="DR171" s="293">
        <f t="shared" si="373"/>
        <v>0</v>
      </c>
      <c r="DW171" s="1198" t="s">
        <v>174</v>
      </c>
      <c r="DX171" s="818"/>
      <c r="DY171" s="818"/>
      <c r="EA171" s="818"/>
      <c r="EB171" s="818"/>
      <c r="EC171" s="293"/>
      <c r="EE171" s="818"/>
      <c r="EF171" s="818"/>
      <c r="EG171" s="293"/>
      <c r="EI171" s="818"/>
      <c r="EJ171" s="818"/>
      <c r="EK171" s="293"/>
    </row>
    <row r="172" spans="1:283">
      <c r="A172" s="102" t="s">
        <v>660</v>
      </c>
      <c r="AP172" s="1219"/>
      <c r="AR172" s="730"/>
      <c r="AS172" s="730"/>
      <c r="AT172" s="1219">
        <v>0</v>
      </c>
      <c r="AV172" s="730">
        <v>-29</v>
      </c>
      <c r="AW172" s="730">
        <v>23</v>
      </c>
      <c r="AX172" s="293">
        <f t="shared" si="351"/>
        <v>-6</v>
      </c>
      <c r="AZ172" s="730">
        <v>0</v>
      </c>
      <c r="BA172" s="730">
        <v>0</v>
      </c>
      <c r="BB172" s="293">
        <f t="shared" si="352"/>
        <v>0</v>
      </c>
      <c r="BD172" s="626">
        <v>0</v>
      </c>
      <c r="BE172" s="927">
        <v>-16</v>
      </c>
      <c r="BF172" s="293">
        <f t="shared" si="353"/>
        <v>-16</v>
      </c>
      <c r="BG172" s="818"/>
      <c r="BH172" s="626">
        <v>-2</v>
      </c>
      <c r="BI172" s="927">
        <v>-11</v>
      </c>
      <c r="BJ172" s="293">
        <f t="shared" si="354"/>
        <v>-13</v>
      </c>
      <c r="BK172" s="487"/>
      <c r="BL172" s="626">
        <v>0</v>
      </c>
      <c r="BM172" s="927">
        <v>0</v>
      </c>
      <c r="BN172" s="293">
        <f t="shared" si="355"/>
        <v>0</v>
      </c>
      <c r="BO172" s="487"/>
      <c r="BP172" s="626">
        <v>0</v>
      </c>
      <c r="BQ172" s="626">
        <v>0</v>
      </c>
      <c r="BR172" s="293">
        <f t="shared" si="356"/>
        <v>0</v>
      </c>
      <c r="BS172" s="487"/>
      <c r="BT172" s="626">
        <v>0</v>
      </c>
      <c r="BU172" s="626">
        <v>0</v>
      </c>
      <c r="BV172" s="293">
        <f t="shared" si="357"/>
        <v>0</v>
      </c>
      <c r="BX172" s="626">
        <v>0</v>
      </c>
      <c r="BY172" s="626">
        <v>0</v>
      </c>
      <c r="BZ172" s="293">
        <f t="shared" si="359"/>
        <v>0</v>
      </c>
      <c r="CB172" s="626">
        <v>0</v>
      </c>
      <c r="CC172" s="626">
        <v>0</v>
      </c>
      <c r="CD172" s="293">
        <f t="shared" si="361"/>
        <v>0</v>
      </c>
      <c r="CF172" s="626">
        <v>0</v>
      </c>
      <c r="CG172" s="626">
        <v>0</v>
      </c>
      <c r="CH172" s="293">
        <f t="shared" si="363"/>
        <v>0</v>
      </c>
      <c r="CJ172" s="626">
        <v>0</v>
      </c>
      <c r="CK172" s="626">
        <v>0</v>
      </c>
      <c r="CL172" s="293">
        <f t="shared" si="365"/>
        <v>0</v>
      </c>
      <c r="CN172" s="1388">
        <v>0</v>
      </c>
      <c r="CO172" s="1388">
        <v>0</v>
      </c>
      <c r="CP172" s="1010">
        <f t="shared" si="366"/>
        <v>0</v>
      </c>
      <c r="CQ172" s="1009"/>
      <c r="CR172" s="1388">
        <v>0</v>
      </c>
      <c r="CS172" s="1497">
        <v>0</v>
      </c>
      <c r="CT172" s="293">
        <f t="shared" si="367"/>
        <v>0</v>
      </c>
      <c r="CV172" s="1388">
        <v>0</v>
      </c>
      <c r="CW172" s="1497">
        <v>0</v>
      </c>
      <c r="CX172" s="293">
        <f t="shared" si="368"/>
        <v>0</v>
      </c>
      <c r="CZ172" s="1863">
        <v>0</v>
      </c>
      <c r="DA172" s="1488">
        <v>0</v>
      </c>
      <c r="DB172" s="293">
        <f t="shared" si="369"/>
        <v>0</v>
      </c>
      <c r="DD172" s="2107">
        <v>0</v>
      </c>
      <c r="DE172" s="1497">
        <v>0</v>
      </c>
      <c r="DF172" s="293">
        <f t="shared" si="370"/>
        <v>0</v>
      </c>
      <c r="DH172" s="2107">
        <v>0</v>
      </c>
      <c r="DI172" s="851">
        <f>'P&amp;L'!DI528</f>
        <v>0</v>
      </c>
      <c r="DJ172" s="293">
        <f t="shared" si="371"/>
        <v>0</v>
      </c>
      <c r="DL172" s="851">
        <f>'P&amp;L'!DL528</f>
        <v>0</v>
      </c>
      <c r="DM172" s="851">
        <f>'P&amp;L'!DM528</f>
        <v>0</v>
      </c>
      <c r="DN172" s="293">
        <f t="shared" si="372"/>
        <v>0</v>
      </c>
      <c r="DP172" s="851">
        <f>'P&amp;L'!DP528</f>
        <v>0</v>
      </c>
      <c r="DQ172" s="851">
        <f>'P&amp;L'!DQ528</f>
        <v>0</v>
      </c>
      <c r="DR172" s="293">
        <f t="shared" si="373"/>
        <v>0</v>
      </c>
      <c r="DW172" s="1198" t="s">
        <v>174</v>
      </c>
      <c r="DX172" s="818"/>
      <c r="DY172" s="818"/>
      <c r="EA172" s="818"/>
      <c r="EB172" s="818"/>
      <c r="EC172" s="293"/>
      <c r="EE172" s="818"/>
      <c r="EF172" s="818"/>
      <c r="EG172" s="293"/>
      <c r="EI172" s="818"/>
      <c r="EJ172" s="818"/>
      <c r="EK172" s="293"/>
    </row>
    <row r="173" spans="1:283">
      <c r="A173" s="102" t="s">
        <v>661</v>
      </c>
      <c r="AP173" s="1219"/>
      <c r="AR173" s="730"/>
      <c r="AS173" s="730"/>
      <c r="AT173" s="1219">
        <v>70</v>
      </c>
      <c r="AV173" s="730">
        <v>0</v>
      </c>
      <c r="AW173" s="730">
        <v>27</v>
      </c>
      <c r="AX173" s="293">
        <f t="shared" si="351"/>
        <v>27</v>
      </c>
      <c r="AZ173" s="730">
        <v>8</v>
      </c>
      <c r="BA173" s="730">
        <v>33</v>
      </c>
      <c r="BB173" s="293">
        <f t="shared" si="352"/>
        <v>41</v>
      </c>
      <c r="BD173" s="626">
        <v>0</v>
      </c>
      <c r="BE173" s="927">
        <v>0</v>
      </c>
      <c r="BF173" s="293">
        <f t="shared" si="353"/>
        <v>0</v>
      </c>
      <c r="BG173" s="818"/>
      <c r="BH173" s="626">
        <v>0</v>
      </c>
      <c r="BI173" s="927">
        <v>0</v>
      </c>
      <c r="BJ173" s="293">
        <f t="shared" si="354"/>
        <v>0</v>
      </c>
      <c r="BK173" s="487"/>
      <c r="BL173" s="626">
        <v>0</v>
      </c>
      <c r="BM173" s="927">
        <v>0</v>
      </c>
      <c r="BN173" s="293">
        <f t="shared" si="355"/>
        <v>0</v>
      </c>
      <c r="BO173" s="487"/>
      <c r="BP173" s="626">
        <v>0</v>
      </c>
      <c r="BQ173" s="626">
        <v>0</v>
      </c>
      <c r="BR173" s="293">
        <f t="shared" si="356"/>
        <v>0</v>
      </c>
      <c r="BS173" s="487"/>
      <c r="BT173" s="626">
        <v>0</v>
      </c>
      <c r="BU173" s="626">
        <v>0</v>
      </c>
      <c r="BV173" s="293">
        <f t="shared" si="357"/>
        <v>0</v>
      </c>
      <c r="BX173" s="626">
        <v>0</v>
      </c>
      <c r="BY173" s="626">
        <v>0</v>
      </c>
      <c r="BZ173" s="293">
        <f t="shared" si="359"/>
        <v>0</v>
      </c>
      <c r="CB173" s="626">
        <v>0</v>
      </c>
      <c r="CC173" s="626">
        <v>0</v>
      </c>
      <c r="CD173" s="293">
        <f t="shared" si="361"/>
        <v>0</v>
      </c>
      <c r="CF173" s="626">
        <v>0</v>
      </c>
      <c r="CG173" s="626">
        <v>0</v>
      </c>
      <c r="CH173" s="293">
        <f t="shared" si="363"/>
        <v>0</v>
      </c>
      <c r="CJ173" s="626">
        <v>0</v>
      </c>
      <c r="CK173" s="626">
        <v>0</v>
      </c>
      <c r="CL173" s="293">
        <f t="shared" si="365"/>
        <v>0</v>
      </c>
      <c r="CN173" s="1388">
        <v>0</v>
      </c>
      <c r="CO173" s="1388">
        <v>0</v>
      </c>
      <c r="CP173" s="1010">
        <f t="shared" si="366"/>
        <v>0</v>
      </c>
      <c r="CQ173" s="1009"/>
      <c r="CR173" s="1388">
        <v>0</v>
      </c>
      <c r="CS173" s="1497">
        <v>0</v>
      </c>
      <c r="CT173" s="293">
        <f t="shared" si="367"/>
        <v>0</v>
      </c>
      <c r="CV173" s="1388">
        <v>0</v>
      </c>
      <c r="CW173" s="1497">
        <v>0</v>
      </c>
      <c r="CX173" s="293">
        <f t="shared" si="368"/>
        <v>0</v>
      </c>
      <c r="CZ173" s="1863">
        <v>0</v>
      </c>
      <c r="DA173" s="1488">
        <v>0</v>
      </c>
      <c r="DB173" s="293">
        <f t="shared" si="369"/>
        <v>0</v>
      </c>
      <c r="DD173" s="2107">
        <v>0</v>
      </c>
      <c r="DE173" s="1497">
        <v>0</v>
      </c>
      <c r="DF173" s="293">
        <f t="shared" si="370"/>
        <v>0</v>
      </c>
      <c r="DH173" s="2107">
        <v>0</v>
      </c>
      <c r="DI173" s="851">
        <f>'P&amp;L'!DI539</f>
        <v>0</v>
      </c>
      <c r="DJ173" s="293">
        <f t="shared" si="371"/>
        <v>0</v>
      </c>
      <c r="DL173" s="851">
        <f>'P&amp;L'!DL539</f>
        <v>0</v>
      </c>
      <c r="DM173" s="851">
        <f>'P&amp;L'!DM539</f>
        <v>0</v>
      </c>
      <c r="DN173" s="293">
        <f t="shared" si="372"/>
        <v>0</v>
      </c>
      <c r="DP173" s="851">
        <f>'P&amp;L'!DP539</f>
        <v>0</v>
      </c>
      <c r="DQ173" s="851">
        <f>'P&amp;L'!DQ539</f>
        <v>0</v>
      </c>
      <c r="DR173" s="293">
        <f t="shared" si="373"/>
        <v>0</v>
      </c>
      <c r="DW173" s="1198" t="s">
        <v>174</v>
      </c>
      <c r="DX173" s="818"/>
      <c r="DY173" s="818"/>
      <c r="EA173" s="818"/>
      <c r="EB173" s="818"/>
      <c r="EC173" s="293"/>
      <c r="EE173" s="818"/>
      <c r="EF173" s="818"/>
      <c r="EG173" s="293"/>
      <c r="EI173" s="818"/>
      <c r="EJ173" s="818"/>
      <c r="EK173" s="293"/>
    </row>
    <row r="174" spans="1:283">
      <c r="A174" s="102" t="s">
        <v>662</v>
      </c>
      <c r="AP174" s="1219">
        <v>35</v>
      </c>
      <c r="AR174" s="730"/>
      <c r="AS174" s="730"/>
      <c r="AT174" s="1219">
        <v>70</v>
      </c>
      <c r="AV174" s="730">
        <v>38</v>
      </c>
      <c r="AW174" s="730">
        <v>28</v>
      </c>
      <c r="AX174" s="293">
        <f t="shared" si="351"/>
        <v>66</v>
      </c>
      <c r="AZ174" s="730">
        <f>30</f>
        <v>30</v>
      </c>
      <c r="BA174" s="730">
        <f>13</f>
        <v>13</v>
      </c>
      <c r="BB174" s="293">
        <f t="shared" si="352"/>
        <v>43</v>
      </c>
      <c r="BD174" s="626">
        <v>0</v>
      </c>
      <c r="BE174" s="927">
        <v>0</v>
      </c>
      <c r="BF174" s="293">
        <f t="shared" si="353"/>
        <v>0</v>
      </c>
      <c r="BG174" s="818"/>
      <c r="BH174" s="626">
        <v>0</v>
      </c>
      <c r="BI174" s="927">
        <v>0</v>
      </c>
      <c r="BJ174" s="293">
        <f t="shared" si="354"/>
        <v>0</v>
      </c>
      <c r="BK174" s="487"/>
      <c r="BL174" s="626">
        <v>0</v>
      </c>
      <c r="BM174" s="927">
        <v>0</v>
      </c>
      <c r="BN174" s="293">
        <f t="shared" si="355"/>
        <v>0</v>
      </c>
      <c r="BO174" s="487"/>
      <c r="BP174" s="626">
        <v>0</v>
      </c>
      <c r="BQ174" s="626">
        <v>0</v>
      </c>
      <c r="BR174" s="293">
        <f t="shared" si="356"/>
        <v>0</v>
      </c>
      <c r="BS174" s="487"/>
      <c r="BT174" s="626">
        <v>0</v>
      </c>
      <c r="BU174" s="626">
        <v>0</v>
      </c>
      <c r="BV174" s="293">
        <f t="shared" si="357"/>
        <v>0</v>
      </c>
      <c r="BX174" s="626">
        <v>0</v>
      </c>
      <c r="BY174" s="626">
        <v>0</v>
      </c>
      <c r="BZ174" s="293">
        <f t="shared" si="359"/>
        <v>0</v>
      </c>
      <c r="CB174" s="626">
        <v>0</v>
      </c>
      <c r="CC174" s="626">
        <v>0</v>
      </c>
      <c r="CD174" s="293">
        <f t="shared" si="361"/>
        <v>0</v>
      </c>
      <c r="CF174" s="626">
        <v>0</v>
      </c>
      <c r="CG174" s="626">
        <v>0</v>
      </c>
      <c r="CH174" s="293">
        <f t="shared" si="363"/>
        <v>0</v>
      </c>
      <c r="CJ174" s="626">
        <v>0</v>
      </c>
      <c r="CK174" s="626">
        <v>0</v>
      </c>
      <c r="CL174" s="293">
        <f t="shared" si="365"/>
        <v>0</v>
      </c>
      <c r="CN174" s="1388">
        <v>0</v>
      </c>
      <c r="CO174" s="1388">
        <v>0</v>
      </c>
      <c r="CP174" s="1010">
        <f t="shared" si="366"/>
        <v>0</v>
      </c>
      <c r="CQ174" s="1009"/>
      <c r="CR174" s="1388">
        <v>0</v>
      </c>
      <c r="CS174" s="1497">
        <v>0</v>
      </c>
      <c r="CT174" s="293">
        <f t="shared" si="367"/>
        <v>0</v>
      </c>
      <c r="CV174" s="1388">
        <v>0</v>
      </c>
      <c r="CW174" s="1497">
        <v>0</v>
      </c>
      <c r="CX174" s="293">
        <f t="shared" si="368"/>
        <v>0</v>
      </c>
      <c r="CZ174" s="1863">
        <v>0</v>
      </c>
      <c r="DA174" s="1488">
        <v>0</v>
      </c>
      <c r="DB174" s="293">
        <f t="shared" si="369"/>
        <v>0</v>
      </c>
      <c r="DD174" s="2107">
        <v>0</v>
      </c>
      <c r="DE174" s="1497">
        <v>0</v>
      </c>
      <c r="DF174" s="293">
        <f t="shared" si="370"/>
        <v>0</v>
      </c>
      <c r="DH174" s="2107">
        <v>0</v>
      </c>
      <c r="DI174" s="851">
        <f>'P&amp;L'!DI550</f>
        <v>0</v>
      </c>
      <c r="DJ174" s="293">
        <f t="shared" si="371"/>
        <v>0</v>
      </c>
      <c r="DL174" s="851">
        <f>'P&amp;L'!DL550</f>
        <v>0</v>
      </c>
      <c r="DM174" s="851">
        <f>'P&amp;L'!DM550</f>
        <v>0</v>
      </c>
      <c r="DN174" s="293">
        <f t="shared" si="372"/>
        <v>0</v>
      </c>
      <c r="DP174" s="851">
        <f>'P&amp;L'!DP550</f>
        <v>0</v>
      </c>
      <c r="DQ174" s="851">
        <f>'P&amp;L'!DQ550</f>
        <v>0</v>
      </c>
      <c r="DR174" s="293">
        <f t="shared" si="373"/>
        <v>0</v>
      </c>
      <c r="DW174" s="1198" t="s">
        <v>174</v>
      </c>
      <c r="DX174" s="818"/>
      <c r="DY174" s="818"/>
      <c r="EA174" s="818"/>
      <c r="EB174" s="818"/>
      <c r="EC174" s="293"/>
      <c r="EE174" s="818"/>
      <c r="EF174" s="818"/>
      <c r="EG174" s="293"/>
      <c r="EI174" s="818"/>
      <c r="EJ174" s="818"/>
      <c r="EK174" s="293"/>
    </row>
    <row r="175" spans="1:283">
      <c r="A175" s="102" t="s">
        <v>658</v>
      </c>
      <c r="AP175" s="1219"/>
      <c r="AR175" s="730"/>
      <c r="AS175" s="730"/>
      <c r="AT175" s="1219">
        <v>0</v>
      </c>
      <c r="AV175" s="730">
        <v>0</v>
      </c>
      <c r="AW175" s="730">
        <v>0</v>
      </c>
      <c r="AX175" s="293">
        <f t="shared" si="351"/>
        <v>0</v>
      </c>
      <c r="AZ175" s="730">
        <v>19</v>
      </c>
      <c r="BA175" s="730">
        <v>0</v>
      </c>
      <c r="BB175" s="293">
        <f t="shared" si="352"/>
        <v>19</v>
      </c>
      <c r="BD175" s="626">
        <v>0</v>
      </c>
      <c r="BE175" s="927">
        <v>0</v>
      </c>
      <c r="BF175" s="293">
        <f t="shared" si="353"/>
        <v>0</v>
      </c>
      <c r="BG175" s="818"/>
      <c r="BH175" s="626">
        <v>-40</v>
      </c>
      <c r="BI175" s="927">
        <v>0</v>
      </c>
      <c r="BJ175" s="293">
        <f t="shared" si="354"/>
        <v>-40</v>
      </c>
      <c r="BK175" s="487"/>
      <c r="BL175" s="626">
        <v>0</v>
      </c>
      <c r="BM175" s="927">
        <v>0</v>
      </c>
      <c r="BN175" s="293">
        <f t="shared" si="355"/>
        <v>0</v>
      </c>
      <c r="BO175" s="487"/>
      <c r="BP175" s="626">
        <v>0</v>
      </c>
      <c r="BQ175" s="626">
        <v>0</v>
      </c>
      <c r="BR175" s="293">
        <f t="shared" si="356"/>
        <v>0</v>
      </c>
      <c r="BS175" s="487"/>
      <c r="BT175" s="626">
        <v>0</v>
      </c>
      <c r="BU175" s="626">
        <v>0</v>
      </c>
      <c r="BV175" s="293">
        <f t="shared" si="357"/>
        <v>0</v>
      </c>
      <c r="BX175" s="626">
        <v>0</v>
      </c>
      <c r="BY175" s="626">
        <v>0</v>
      </c>
      <c r="BZ175" s="293">
        <f t="shared" si="359"/>
        <v>0</v>
      </c>
      <c r="CB175" s="626">
        <v>0</v>
      </c>
      <c r="CC175" s="626">
        <v>0</v>
      </c>
      <c r="CD175" s="293">
        <f t="shared" si="361"/>
        <v>0</v>
      </c>
      <c r="CF175" s="626">
        <v>0</v>
      </c>
      <c r="CG175" s="626">
        <v>0</v>
      </c>
      <c r="CH175" s="293">
        <f t="shared" si="363"/>
        <v>0</v>
      </c>
      <c r="CJ175" s="626">
        <v>0</v>
      </c>
      <c r="CK175" s="626">
        <v>0</v>
      </c>
      <c r="CL175" s="293">
        <f t="shared" si="365"/>
        <v>0</v>
      </c>
      <c r="CN175" s="1388">
        <v>0</v>
      </c>
      <c r="CO175" s="1388">
        <v>0</v>
      </c>
      <c r="CP175" s="1010">
        <f t="shared" si="366"/>
        <v>0</v>
      </c>
      <c r="CQ175" s="1009"/>
      <c r="CR175" s="1388">
        <v>0</v>
      </c>
      <c r="CS175" s="1497">
        <v>0</v>
      </c>
      <c r="CT175" s="293">
        <f t="shared" si="367"/>
        <v>0</v>
      </c>
      <c r="CV175" s="1388">
        <v>0</v>
      </c>
      <c r="CW175" s="1497">
        <v>0</v>
      </c>
      <c r="CX175" s="293">
        <f t="shared" si="368"/>
        <v>0</v>
      </c>
      <c r="CZ175" s="1863">
        <v>0</v>
      </c>
      <c r="DA175" s="1488">
        <v>0</v>
      </c>
      <c r="DB175" s="293">
        <f t="shared" si="369"/>
        <v>0</v>
      </c>
      <c r="DD175" s="2107">
        <v>0</v>
      </c>
      <c r="DE175" s="1497">
        <v>0</v>
      </c>
      <c r="DF175" s="293">
        <f t="shared" si="370"/>
        <v>0</v>
      </c>
      <c r="DH175" s="2107">
        <v>0</v>
      </c>
      <c r="DI175" s="851">
        <f>'P&amp;L'!DI561</f>
        <v>0</v>
      </c>
      <c r="DJ175" s="293">
        <f t="shared" si="371"/>
        <v>0</v>
      </c>
      <c r="DL175" s="851">
        <f>'P&amp;L'!DL561</f>
        <v>0</v>
      </c>
      <c r="DM175" s="851">
        <f>'P&amp;L'!DM561</f>
        <v>0</v>
      </c>
      <c r="DN175" s="293">
        <f t="shared" si="372"/>
        <v>0</v>
      </c>
      <c r="DP175" s="851">
        <f>'P&amp;L'!DP561</f>
        <v>0</v>
      </c>
      <c r="DQ175" s="851">
        <f>'P&amp;L'!DQ561</f>
        <v>0</v>
      </c>
      <c r="DR175" s="293">
        <f t="shared" si="373"/>
        <v>0</v>
      </c>
      <c r="DW175" s="1198" t="s">
        <v>174</v>
      </c>
      <c r="DX175" s="818"/>
      <c r="DY175" s="818"/>
      <c r="EA175" s="818"/>
      <c r="EB175" s="818"/>
      <c r="EC175" s="293"/>
      <c r="EE175" s="818"/>
      <c r="EF175" s="818"/>
      <c r="EG175" s="293"/>
      <c r="EI175" s="818"/>
      <c r="EJ175" s="818"/>
      <c r="EK175" s="293"/>
    </row>
    <row r="176" spans="1:283">
      <c r="A176" s="102" t="s">
        <v>887</v>
      </c>
      <c r="AP176" s="1219"/>
      <c r="AR176" s="730"/>
      <c r="AS176" s="730"/>
      <c r="AT176" s="1219">
        <v>94</v>
      </c>
      <c r="AV176" s="730">
        <v>0</v>
      </c>
      <c r="AW176" s="730">
        <v>0</v>
      </c>
      <c r="AX176" s="293">
        <f t="shared" si="351"/>
        <v>0</v>
      </c>
      <c r="AZ176" s="730">
        <v>0</v>
      </c>
      <c r="BA176" s="730">
        <v>0</v>
      </c>
      <c r="BB176" s="293">
        <f t="shared" si="352"/>
        <v>0</v>
      </c>
      <c r="BD176" s="626">
        <v>0</v>
      </c>
      <c r="BE176" s="927">
        <v>0</v>
      </c>
      <c r="BF176" s="293">
        <f t="shared" si="353"/>
        <v>0</v>
      </c>
      <c r="BG176" s="818"/>
      <c r="BH176" s="626">
        <v>0</v>
      </c>
      <c r="BI176" s="927">
        <v>0</v>
      </c>
      <c r="BJ176" s="293">
        <f t="shared" si="354"/>
        <v>0</v>
      </c>
      <c r="BK176" s="487"/>
      <c r="BL176" s="626">
        <v>0</v>
      </c>
      <c r="BM176" s="927">
        <v>0</v>
      </c>
      <c r="BN176" s="293">
        <f t="shared" si="355"/>
        <v>0</v>
      </c>
      <c r="BO176" s="487"/>
      <c r="BP176" s="626">
        <v>0</v>
      </c>
      <c r="BQ176" s="626">
        <v>0</v>
      </c>
      <c r="BR176" s="293">
        <f t="shared" si="356"/>
        <v>0</v>
      </c>
      <c r="BS176" s="487"/>
      <c r="BT176" s="626">
        <v>0</v>
      </c>
      <c r="BU176" s="626">
        <v>0</v>
      </c>
      <c r="BV176" s="293">
        <f t="shared" si="357"/>
        <v>0</v>
      </c>
      <c r="BX176" s="626">
        <v>0</v>
      </c>
      <c r="BY176" s="626">
        <v>0</v>
      </c>
      <c r="BZ176" s="293">
        <f t="shared" si="359"/>
        <v>0</v>
      </c>
      <c r="CB176" s="626">
        <v>0</v>
      </c>
      <c r="CC176" s="626">
        <v>0</v>
      </c>
      <c r="CD176" s="293">
        <f t="shared" si="361"/>
        <v>0</v>
      </c>
      <c r="CF176" s="626">
        <v>0</v>
      </c>
      <c r="CG176" s="626">
        <v>0</v>
      </c>
      <c r="CH176" s="293">
        <f t="shared" si="363"/>
        <v>0</v>
      </c>
      <c r="CJ176" s="626">
        <v>0</v>
      </c>
      <c r="CK176" s="626">
        <v>0</v>
      </c>
      <c r="CL176" s="293">
        <f t="shared" si="365"/>
        <v>0</v>
      </c>
      <c r="CN176" s="1388">
        <v>0</v>
      </c>
      <c r="CO176" s="1388">
        <v>0</v>
      </c>
      <c r="CP176" s="1010">
        <f t="shared" si="366"/>
        <v>0</v>
      </c>
      <c r="CQ176" s="1009"/>
      <c r="CR176" s="1388">
        <v>0</v>
      </c>
      <c r="CS176" s="1497">
        <v>0</v>
      </c>
      <c r="CT176" s="293">
        <f t="shared" si="367"/>
        <v>0</v>
      </c>
      <c r="CV176" s="1388">
        <v>0</v>
      </c>
      <c r="CW176" s="1497">
        <v>0</v>
      </c>
      <c r="CX176" s="293">
        <f t="shared" si="368"/>
        <v>0</v>
      </c>
      <c r="CZ176" s="1863">
        <v>0</v>
      </c>
      <c r="DA176" s="1488">
        <v>0</v>
      </c>
      <c r="DB176" s="293">
        <f t="shared" si="369"/>
        <v>0</v>
      </c>
      <c r="DD176" s="2107">
        <v>0</v>
      </c>
      <c r="DE176" s="1497">
        <v>0</v>
      </c>
      <c r="DF176" s="293">
        <f t="shared" si="370"/>
        <v>0</v>
      </c>
      <c r="DH176" s="2107">
        <v>0</v>
      </c>
      <c r="DI176" s="851">
        <f>'P&amp;L'!DI572</f>
        <v>0</v>
      </c>
      <c r="DJ176" s="293">
        <f t="shared" si="371"/>
        <v>0</v>
      </c>
      <c r="DL176" s="851">
        <f>'P&amp;L'!DL572</f>
        <v>0</v>
      </c>
      <c r="DM176" s="851">
        <f>'P&amp;L'!DM572</f>
        <v>0</v>
      </c>
      <c r="DN176" s="293">
        <f t="shared" si="372"/>
        <v>0</v>
      </c>
      <c r="DP176" s="851">
        <f>'P&amp;L'!DP572</f>
        <v>0</v>
      </c>
      <c r="DQ176" s="851">
        <f>'P&amp;L'!DQ572</f>
        <v>0</v>
      </c>
      <c r="DR176" s="293">
        <f t="shared" si="373"/>
        <v>0</v>
      </c>
      <c r="DW176" s="1198" t="s">
        <v>174</v>
      </c>
      <c r="DX176" s="818"/>
      <c r="DY176" s="818"/>
      <c r="EA176" s="818"/>
      <c r="EB176" s="818"/>
      <c r="EC176" s="293"/>
      <c r="EE176" s="818"/>
      <c r="EF176" s="818"/>
      <c r="EG176" s="293"/>
      <c r="EI176" s="818"/>
      <c r="EJ176" s="818"/>
      <c r="EK176" s="293"/>
    </row>
    <row r="177" spans="1:283">
      <c r="A177" s="102" t="s">
        <v>667</v>
      </c>
      <c r="AP177" s="1219"/>
      <c r="AR177" s="730"/>
      <c r="AS177" s="730"/>
      <c r="AT177" s="1219">
        <v>0</v>
      </c>
      <c r="AV177" s="730">
        <v>0</v>
      </c>
      <c r="AW177" s="730">
        <v>0</v>
      </c>
      <c r="AX177" s="293">
        <f t="shared" si="351"/>
        <v>0</v>
      </c>
      <c r="AZ177" s="730">
        <v>0</v>
      </c>
      <c r="BA177" s="730">
        <v>0</v>
      </c>
      <c r="BB177" s="293">
        <f t="shared" si="352"/>
        <v>0</v>
      </c>
      <c r="BD177" s="626">
        <v>0</v>
      </c>
      <c r="BE177" s="927">
        <v>0</v>
      </c>
      <c r="BF177" s="293">
        <f t="shared" si="353"/>
        <v>0</v>
      </c>
      <c r="BG177" s="818"/>
      <c r="BH177" s="626">
        <v>0</v>
      </c>
      <c r="BI177" s="927">
        <v>0</v>
      </c>
      <c r="BJ177" s="293">
        <f t="shared" si="354"/>
        <v>0</v>
      </c>
      <c r="BK177" s="487"/>
      <c r="BL177" s="626">
        <v>0</v>
      </c>
      <c r="BM177" s="927">
        <v>0</v>
      </c>
      <c r="BN177" s="293">
        <f t="shared" si="355"/>
        <v>0</v>
      </c>
      <c r="BO177" s="487"/>
      <c r="BP177" s="626">
        <v>0</v>
      </c>
      <c r="BQ177" s="626">
        <v>0</v>
      </c>
      <c r="BR177" s="293">
        <f t="shared" si="356"/>
        <v>0</v>
      </c>
      <c r="BS177" s="487"/>
      <c r="BT177" s="626">
        <v>0</v>
      </c>
      <c r="BU177" s="626">
        <v>0</v>
      </c>
      <c r="BV177" s="293">
        <f t="shared" si="357"/>
        <v>0</v>
      </c>
      <c r="BX177" s="626">
        <v>0</v>
      </c>
      <c r="BY177" s="626">
        <v>0</v>
      </c>
      <c r="BZ177" s="293">
        <f t="shared" si="359"/>
        <v>0</v>
      </c>
      <c r="CB177" s="626">
        <v>0</v>
      </c>
      <c r="CC177" s="626">
        <v>0</v>
      </c>
      <c r="CD177" s="293">
        <f t="shared" si="361"/>
        <v>0</v>
      </c>
      <c r="CF177" s="626">
        <v>0</v>
      </c>
      <c r="CG177" s="626">
        <v>0</v>
      </c>
      <c r="CH177" s="293">
        <f t="shared" si="363"/>
        <v>0</v>
      </c>
      <c r="CJ177" s="626">
        <v>0</v>
      </c>
      <c r="CK177" s="626">
        <v>0</v>
      </c>
      <c r="CL177" s="293">
        <f t="shared" si="365"/>
        <v>0</v>
      </c>
      <c r="CN177" s="1388">
        <v>0</v>
      </c>
      <c r="CO177" s="1388">
        <v>0</v>
      </c>
      <c r="CP177" s="1010">
        <f t="shared" si="366"/>
        <v>0</v>
      </c>
      <c r="CQ177" s="1009"/>
      <c r="CR177" s="1388">
        <v>0</v>
      </c>
      <c r="CS177" s="1497">
        <v>0</v>
      </c>
      <c r="CT177" s="293">
        <f t="shared" si="367"/>
        <v>0</v>
      </c>
      <c r="CV177" s="1388">
        <v>0</v>
      </c>
      <c r="CW177" s="1497">
        <v>0</v>
      </c>
      <c r="CX177" s="293">
        <f t="shared" si="368"/>
        <v>0</v>
      </c>
      <c r="CZ177" s="1863">
        <v>0</v>
      </c>
      <c r="DA177" s="1488">
        <v>0</v>
      </c>
      <c r="DB177" s="293">
        <f t="shared" si="369"/>
        <v>0</v>
      </c>
      <c r="DD177" s="2107">
        <v>0</v>
      </c>
      <c r="DE177" s="1497">
        <v>0</v>
      </c>
      <c r="DF177" s="293">
        <f t="shared" si="370"/>
        <v>0</v>
      </c>
      <c r="DH177" s="2107">
        <v>0</v>
      </c>
      <c r="DI177" s="851">
        <f>'P&amp;L'!DI583</f>
        <v>0</v>
      </c>
      <c r="DJ177" s="293">
        <f t="shared" si="371"/>
        <v>0</v>
      </c>
      <c r="DL177" s="851">
        <f>'P&amp;L'!DL583</f>
        <v>0</v>
      </c>
      <c r="DM177" s="851">
        <f>'P&amp;L'!DM583</f>
        <v>0</v>
      </c>
      <c r="DN177" s="293">
        <f t="shared" si="372"/>
        <v>0</v>
      </c>
      <c r="DP177" s="851">
        <f>'P&amp;L'!DP583</f>
        <v>0</v>
      </c>
      <c r="DQ177" s="851">
        <f>'P&amp;L'!DQ583</f>
        <v>0</v>
      </c>
      <c r="DR177" s="293">
        <f t="shared" si="373"/>
        <v>0</v>
      </c>
      <c r="DW177" s="1198" t="s">
        <v>174</v>
      </c>
      <c r="DX177" s="818"/>
      <c r="DY177" s="818"/>
      <c r="EA177" s="818"/>
      <c r="EB177" s="818"/>
      <c r="EC177" s="293"/>
      <c r="EE177" s="818"/>
      <c r="EF177" s="818"/>
      <c r="EG177" s="293"/>
      <c r="EI177" s="818"/>
      <c r="EJ177" s="818"/>
      <c r="EK177" s="293"/>
    </row>
    <row r="178" spans="1:283">
      <c r="A178" s="102" t="s">
        <v>675</v>
      </c>
      <c r="AP178" s="1219"/>
      <c r="AR178" s="730"/>
      <c r="AS178" s="730"/>
      <c r="AT178" s="1219">
        <v>0</v>
      </c>
      <c r="AV178" s="730">
        <v>0</v>
      </c>
      <c r="AW178" s="730">
        <v>0</v>
      </c>
      <c r="AX178" s="293">
        <f t="shared" si="351"/>
        <v>0</v>
      </c>
      <c r="AZ178" s="730">
        <v>0</v>
      </c>
      <c r="BA178" s="730">
        <v>0</v>
      </c>
      <c r="BB178" s="293">
        <f t="shared" si="352"/>
        <v>0</v>
      </c>
      <c r="BD178" s="626">
        <v>0</v>
      </c>
      <c r="BE178" s="927">
        <v>0</v>
      </c>
      <c r="BF178" s="293">
        <f t="shared" si="353"/>
        <v>0</v>
      </c>
      <c r="BG178" s="818"/>
      <c r="BH178" s="626">
        <v>0</v>
      </c>
      <c r="BI178" s="927">
        <v>0</v>
      </c>
      <c r="BJ178" s="293">
        <f t="shared" si="354"/>
        <v>0</v>
      </c>
      <c r="BK178" s="487"/>
      <c r="BL178" s="626">
        <v>0</v>
      </c>
      <c r="BM178" s="927">
        <v>0</v>
      </c>
      <c r="BN178" s="293">
        <f t="shared" si="355"/>
        <v>0</v>
      </c>
      <c r="BO178" s="487"/>
      <c r="BP178" s="626">
        <v>0</v>
      </c>
      <c r="BQ178" s="626">
        <v>0</v>
      </c>
      <c r="BR178" s="293">
        <f t="shared" si="356"/>
        <v>0</v>
      </c>
      <c r="BS178" s="487"/>
      <c r="BT178" s="626">
        <v>0</v>
      </c>
      <c r="BU178" s="626">
        <v>0</v>
      </c>
      <c r="BV178" s="293">
        <f t="shared" si="357"/>
        <v>0</v>
      </c>
      <c r="BX178" s="626">
        <v>0</v>
      </c>
      <c r="BY178" s="626">
        <v>0</v>
      </c>
      <c r="BZ178" s="293">
        <f t="shared" si="359"/>
        <v>0</v>
      </c>
      <c r="CB178" s="626">
        <v>0</v>
      </c>
      <c r="CC178" s="626">
        <v>0</v>
      </c>
      <c r="CD178" s="293">
        <f t="shared" si="361"/>
        <v>0</v>
      </c>
      <c r="CF178" s="626">
        <v>0</v>
      </c>
      <c r="CG178" s="626">
        <v>0</v>
      </c>
      <c r="CH178" s="293">
        <f t="shared" si="363"/>
        <v>0</v>
      </c>
      <c r="CJ178" s="626">
        <v>0</v>
      </c>
      <c r="CK178" s="626">
        <v>0</v>
      </c>
      <c r="CL178" s="293">
        <f t="shared" si="365"/>
        <v>0</v>
      </c>
      <c r="CN178" s="1388">
        <v>0</v>
      </c>
      <c r="CO178" s="1388">
        <v>0</v>
      </c>
      <c r="CP178" s="1010">
        <f t="shared" si="366"/>
        <v>0</v>
      </c>
      <c r="CQ178" s="1009"/>
      <c r="CR178" s="1388">
        <v>0</v>
      </c>
      <c r="CS178" s="1497">
        <v>0</v>
      </c>
      <c r="CT178" s="293">
        <f t="shared" si="367"/>
        <v>0</v>
      </c>
      <c r="CV178" s="1388">
        <v>0</v>
      </c>
      <c r="CW178" s="1497">
        <v>0</v>
      </c>
      <c r="CX178" s="293">
        <f t="shared" si="368"/>
        <v>0</v>
      </c>
      <c r="CZ178" s="1863">
        <v>0</v>
      </c>
      <c r="DA178" s="1488">
        <v>0</v>
      </c>
      <c r="DB178" s="293">
        <f t="shared" si="369"/>
        <v>0</v>
      </c>
      <c r="DD178" s="2107">
        <v>0</v>
      </c>
      <c r="DE178" s="1497">
        <v>0</v>
      </c>
      <c r="DF178" s="293">
        <f t="shared" si="370"/>
        <v>0</v>
      </c>
      <c r="DH178" s="2107">
        <v>0</v>
      </c>
      <c r="DI178" s="851">
        <f>'P&amp;L'!DI594</f>
        <v>0</v>
      </c>
      <c r="DJ178" s="293">
        <f t="shared" si="371"/>
        <v>0</v>
      </c>
      <c r="DL178" s="851">
        <f>'P&amp;L'!DL594</f>
        <v>0</v>
      </c>
      <c r="DM178" s="851">
        <f>'P&amp;L'!DM594</f>
        <v>0</v>
      </c>
      <c r="DN178" s="293">
        <f t="shared" si="372"/>
        <v>0</v>
      </c>
      <c r="DP178" s="851">
        <f>'P&amp;L'!DP594</f>
        <v>0</v>
      </c>
      <c r="DQ178" s="851">
        <f>'P&amp;L'!DQ594</f>
        <v>0</v>
      </c>
      <c r="DR178" s="293">
        <f t="shared" si="373"/>
        <v>0</v>
      </c>
      <c r="DW178" s="1198" t="s">
        <v>174</v>
      </c>
      <c r="DX178" s="818"/>
      <c r="DY178" s="818"/>
      <c r="EA178" s="818"/>
      <c r="EB178" s="818"/>
      <c r="EC178" s="293"/>
      <c r="EE178" s="818"/>
      <c r="EF178" s="818"/>
      <c r="EG178" s="293"/>
      <c r="EI178" s="818"/>
      <c r="EJ178" s="818"/>
      <c r="EK178" s="293"/>
    </row>
    <row r="179" spans="1:283">
      <c r="A179" s="102" t="s">
        <v>1154</v>
      </c>
      <c r="AP179" s="1219">
        <v>-11</v>
      </c>
      <c r="AR179" s="730"/>
      <c r="AS179" s="730"/>
      <c r="AT179" s="1219">
        <v>-33</v>
      </c>
      <c r="AV179" s="730">
        <v>-4</v>
      </c>
      <c r="AW179" s="730">
        <v>0</v>
      </c>
      <c r="AX179" s="293">
        <f t="shared" si="351"/>
        <v>-4</v>
      </c>
      <c r="AZ179" s="730">
        <v>-10</v>
      </c>
      <c r="BA179" s="730">
        <v>1</v>
      </c>
      <c r="BB179" s="293">
        <f t="shared" si="352"/>
        <v>-9</v>
      </c>
      <c r="BD179" s="626">
        <v>-5</v>
      </c>
      <c r="BE179" s="927">
        <v>-25</v>
      </c>
      <c r="BF179" s="293">
        <f t="shared" si="353"/>
        <v>-30</v>
      </c>
      <c r="BG179" s="818"/>
      <c r="BH179" s="626">
        <v>-7</v>
      </c>
      <c r="BI179" s="927">
        <v>-23</v>
      </c>
      <c r="BJ179" s="293">
        <f t="shared" si="354"/>
        <v>-30</v>
      </c>
      <c r="BK179" s="487"/>
      <c r="BL179" s="626">
        <v>-13</v>
      </c>
      <c r="BM179" s="927">
        <v>-17</v>
      </c>
      <c r="BN179" s="293">
        <f t="shared" si="355"/>
        <v>-30</v>
      </c>
      <c r="BO179" s="487"/>
      <c r="BP179" s="626">
        <v>-16</v>
      </c>
      <c r="BQ179" s="626">
        <v>-13</v>
      </c>
      <c r="BR179" s="293">
        <f t="shared" si="356"/>
        <v>-29</v>
      </c>
      <c r="BS179" s="487"/>
      <c r="BT179" s="626">
        <v>-61</v>
      </c>
      <c r="BU179" s="626">
        <v>-15</v>
      </c>
      <c r="BV179" s="293">
        <f t="shared" si="357"/>
        <v>-76</v>
      </c>
      <c r="BX179" s="626">
        <v>-55</v>
      </c>
      <c r="BY179" s="626">
        <v>3</v>
      </c>
      <c r="BZ179" s="293">
        <f t="shared" si="359"/>
        <v>-52</v>
      </c>
      <c r="CB179" s="626">
        <v>-18</v>
      </c>
      <c r="CC179" s="626">
        <v>-38</v>
      </c>
      <c r="CD179" s="293">
        <f t="shared" si="361"/>
        <v>-56</v>
      </c>
      <c r="CF179" s="626">
        <v>4</v>
      </c>
      <c r="CG179" s="626">
        <v>-179</v>
      </c>
      <c r="CH179" s="293">
        <f t="shared" si="363"/>
        <v>-175</v>
      </c>
      <c r="CJ179" s="626">
        <f>-59-3</f>
        <v>-62</v>
      </c>
      <c r="CK179" s="626">
        <f>-208-12</f>
        <v>-220</v>
      </c>
      <c r="CL179" s="293">
        <f t="shared" si="365"/>
        <v>-282</v>
      </c>
      <c r="CN179" s="1388">
        <v>-119</v>
      </c>
      <c r="CO179" s="1388">
        <v>-110</v>
      </c>
      <c r="CP179" s="1010">
        <f t="shared" si="366"/>
        <v>-229</v>
      </c>
      <c r="CQ179" s="1009"/>
      <c r="CR179" s="1388">
        <v>-137</v>
      </c>
      <c r="CS179" s="1497">
        <v>-225</v>
      </c>
      <c r="CT179" s="293">
        <f t="shared" si="367"/>
        <v>-362</v>
      </c>
      <c r="CV179" s="1388">
        <v>-195</v>
      </c>
      <c r="CW179" s="1497">
        <v>-99</v>
      </c>
      <c r="CX179" s="293">
        <f t="shared" si="368"/>
        <v>-294</v>
      </c>
      <c r="CZ179" s="1863">
        <v>33</v>
      </c>
      <c r="DA179" s="1488">
        <v>131</v>
      </c>
      <c r="DB179" s="293">
        <f t="shared" si="369"/>
        <v>164</v>
      </c>
      <c r="DD179" s="2107">
        <v>-42</v>
      </c>
      <c r="DE179" s="2176">
        <v>-73</v>
      </c>
      <c r="DF179" s="293">
        <f t="shared" si="370"/>
        <v>-115</v>
      </c>
      <c r="DH179" s="2107">
        <v>-13</v>
      </c>
      <c r="DI179" s="851">
        <f>'P&amp;L'!DI605</f>
        <v>-55</v>
      </c>
      <c r="DJ179" s="293">
        <f t="shared" si="371"/>
        <v>-68</v>
      </c>
      <c r="DL179" s="851">
        <f>'P&amp;L'!DL605</f>
        <v>-57.2</v>
      </c>
      <c r="DM179" s="851">
        <f>'P&amp;L'!DM605</f>
        <v>-57.2</v>
      </c>
      <c r="DN179" s="293">
        <f t="shared" si="372"/>
        <v>-114.4</v>
      </c>
      <c r="DP179" s="851">
        <f>'P&amp;L'!DP605</f>
        <v>-59.488000000000007</v>
      </c>
      <c r="DQ179" s="851">
        <f>'P&amp;L'!DQ605</f>
        <v>-59.488000000000007</v>
      </c>
      <c r="DR179" s="293">
        <f t="shared" si="373"/>
        <v>-118.97600000000001</v>
      </c>
      <c r="DW179" s="1198" t="s">
        <v>174</v>
      </c>
      <c r="DX179" s="818"/>
      <c r="DY179" s="818"/>
      <c r="EA179" s="818"/>
      <c r="EB179" s="818"/>
      <c r="EC179" s="293"/>
      <c r="EE179" s="818"/>
      <c r="EF179" s="818"/>
      <c r="EG179" s="293"/>
      <c r="EI179" s="818"/>
      <c r="EJ179" s="818"/>
      <c r="EK179" s="293"/>
    </row>
    <row r="180" spans="1:283">
      <c r="A180" s="102" t="s">
        <v>827</v>
      </c>
      <c r="AP180" s="1219"/>
      <c r="AR180" s="730"/>
      <c r="AS180" s="730"/>
      <c r="AT180" s="1219">
        <v>0</v>
      </c>
      <c r="AV180" s="730">
        <v>0</v>
      </c>
      <c r="AW180" s="730">
        <v>0</v>
      </c>
      <c r="AX180" s="293">
        <f t="shared" si="351"/>
        <v>0</v>
      </c>
      <c r="AZ180" s="730">
        <v>0</v>
      </c>
      <c r="BA180" s="730">
        <v>0</v>
      </c>
      <c r="BB180" s="293">
        <f t="shared" si="352"/>
        <v>0</v>
      </c>
      <c r="BD180" s="730">
        <v>0</v>
      </c>
      <c r="BE180" s="927">
        <v>0</v>
      </c>
      <c r="BF180" s="293">
        <f t="shared" si="353"/>
        <v>0</v>
      </c>
      <c r="BG180" s="818"/>
      <c r="BH180" s="626">
        <v>0</v>
      </c>
      <c r="BI180" s="927">
        <v>0</v>
      </c>
      <c r="BJ180" s="293">
        <f t="shared" si="354"/>
        <v>0</v>
      </c>
      <c r="BK180" s="487"/>
      <c r="BL180" s="626">
        <v>0</v>
      </c>
      <c r="BM180" s="927">
        <v>0</v>
      </c>
      <c r="BN180" s="293">
        <f t="shared" si="355"/>
        <v>0</v>
      </c>
      <c r="BO180" s="487"/>
      <c r="BP180" s="626">
        <v>0</v>
      </c>
      <c r="BQ180" s="626">
        <v>0</v>
      </c>
      <c r="BR180" s="293">
        <f t="shared" si="356"/>
        <v>0</v>
      </c>
      <c r="BS180" s="487"/>
      <c r="BT180" s="626">
        <v>0</v>
      </c>
      <c r="BU180" s="626">
        <v>0</v>
      </c>
      <c r="BV180" s="293">
        <f t="shared" si="357"/>
        <v>0</v>
      </c>
      <c r="BX180" s="626">
        <v>0</v>
      </c>
      <c r="BY180" s="626">
        <v>0</v>
      </c>
      <c r="BZ180" s="293">
        <f t="shared" si="359"/>
        <v>0</v>
      </c>
      <c r="CB180" s="626">
        <v>0</v>
      </c>
      <c r="CC180" s="626">
        <v>0</v>
      </c>
      <c r="CD180" s="293">
        <f t="shared" si="361"/>
        <v>0</v>
      </c>
      <c r="CF180" s="626">
        <v>0</v>
      </c>
      <c r="CG180" s="626">
        <v>0</v>
      </c>
      <c r="CH180" s="293">
        <f t="shared" si="363"/>
        <v>0</v>
      </c>
      <c r="CJ180" s="626">
        <v>0</v>
      </c>
      <c r="CK180" s="626">
        <v>0</v>
      </c>
      <c r="CL180" s="293">
        <f t="shared" si="365"/>
        <v>0</v>
      </c>
      <c r="CN180" s="1388">
        <v>0</v>
      </c>
      <c r="CO180" s="1388">
        <v>0</v>
      </c>
      <c r="CP180" s="1010">
        <f t="shared" si="366"/>
        <v>0</v>
      </c>
      <c r="CQ180" s="1009"/>
      <c r="CR180" s="1388">
        <v>0</v>
      </c>
      <c r="CS180" s="1497">
        <v>0</v>
      </c>
      <c r="CT180" s="293">
        <f t="shared" si="367"/>
        <v>0</v>
      </c>
      <c r="CV180" s="1388">
        <v>0</v>
      </c>
      <c r="CW180" s="1497">
        <v>0</v>
      </c>
      <c r="CX180" s="293">
        <f t="shared" si="368"/>
        <v>0</v>
      </c>
      <c r="CZ180" s="1863">
        <v>0</v>
      </c>
      <c r="DA180" s="1488">
        <v>0</v>
      </c>
      <c r="DB180" s="293">
        <f t="shared" si="369"/>
        <v>0</v>
      </c>
      <c r="DD180" s="2107">
        <v>0</v>
      </c>
      <c r="DE180" s="1497">
        <v>0</v>
      </c>
      <c r="DF180" s="293">
        <f t="shared" si="370"/>
        <v>0</v>
      </c>
      <c r="DH180" s="2107">
        <v>0</v>
      </c>
      <c r="DI180" s="851">
        <f>'P&amp;L'!DI627</f>
        <v>0</v>
      </c>
      <c r="DJ180" s="293">
        <f t="shared" si="371"/>
        <v>0</v>
      </c>
      <c r="DL180" s="851">
        <f>'P&amp;L'!DL627</f>
        <v>0</v>
      </c>
      <c r="DM180" s="851">
        <f>'P&amp;L'!DM627</f>
        <v>0</v>
      </c>
      <c r="DN180" s="293">
        <f t="shared" si="372"/>
        <v>0</v>
      </c>
      <c r="DP180" s="851">
        <f>'P&amp;L'!DP627</f>
        <v>0</v>
      </c>
      <c r="DQ180" s="851">
        <f>'P&amp;L'!DQ627</f>
        <v>0</v>
      </c>
      <c r="DR180" s="293">
        <f t="shared" si="373"/>
        <v>0</v>
      </c>
      <c r="DW180" s="1198" t="s">
        <v>174</v>
      </c>
      <c r="DX180" s="818"/>
      <c r="DY180" s="818"/>
      <c r="EA180" s="818"/>
      <c r="EB180" s="818"/>
      <c r="EC180" s="293"/>
      <c r="EE180" s="818"/>
      <c r="EF180" s="818"/>
      <c r="EG180" s="293"/>
      <c r="EI180" s="818"/>
      <c r="EJ180" s="818"/>
      <c r="EK180" s="293"/>
    </row>
    <row r="181" spans="1:283">
      <c r="A181" s="102" t="s">
        <v>828</v>
      </c>
      <c r="AP181" s="1219"/>
      <c r="AR181" s="730"/>
      <c r="AS181" s="730"/>
      <c r="AT181" s="1219">
        <v>0</v>
      </c>
      <c r="AV181" s="730">
        <v>0</v>
      </c>
      <c r="AW181" s="730">
        <v>0</v>
      </c>
      <c r="AX181" s="293">
        <f t="shared" si="351"/>
        <v>0</v>
      </c>
      <c r="AZ181" s="730">
        <v>0</v>
      </c>
      <c r="BA181" s="730">
        <v>0</v>
      </c>
      <c r="BB181" s="293">
        <f t="shared" si="352"/>
        <v>0</v>
      </c>
      <c r="BD181" s="730">
        <v>0</v>
      </c>
      <c r="BE181" s="927">
        <v>0</v>
      </c>
      <c r="BF181" s="293">
        <f t="shared" si="353"/>
        <v>0</v>
      </c>
      <c r="BG181" s="818"/>
      <c r="BH181" s="626">
        <v>0</v>
      </c>
      <c r="BI181" s="927">
        <v>0</v>
      </c>
      <c r="BJ181" s="293">
        <f t="shared" si="354"/>
        <v>0</v>
      </c>
      <c r="BK181" s="487"/>
      <c r="BL181" s="626">
        <v>0</v>
      </c>
      <c r="BM181" s="927">
        <v>0</v>
      </c>
      <c r="BN181" s="293">
        <f t="shared" si="355"/>
        <v>0</v>
      </c>
      <c r="BO181" s="487"/>
      <c r="BP181" s="626">
        <v>0</v>
      </c>
      <c r="BQ181" s="626">
        <v>0</v>
      </c>
      <c r="BR181" s="293">
        <f t="shared" si="356"/>
        <v>0</v>
      </c>
      <c r="BS181" s="487"/>
      <c r="BT181" s="626">
        <v>0</v>
      </c>
      <c r="BU181" s="626">
        <v>0</v>
      </c>
      <c r="BV181" s="293">
        <f t="shared" si="357"/>
        <v>0</v>
      </c>
      <c r="BX181" s="626">
        <v>0</v>
      </c>
      <c r="BY181" s="626">
        <v>0</v>
      </c>
      <c r="BZ181" s="293">
        <f t="shared" si="359"/>
        <v>0</v>
      </c>
      <c r="CB181" s="626">
        <v>0</v>
      </c>
      <c r="CC181" s="626">
        <v>0</v>
      </c>
      <c r="CD181" s="293">
        <f t="shared" si="361"/>
        <v>0</v>
      </c>
      <c r="CF181" s="626">
        <v>0</v>
      </c>
      <c r="CG181" s="626">
        <v>0</v>
      </c>
      <c r="CH181" s="293">
        <f t="shared" si="363"/>
        <v>0</v>
      </c>
      <c r="CJ181" s="626">
        <v>0</v>
      </c>
      <c r="CK181" s="626">
        <v>0</v>
      </c>
      <c r="CL181" s="293">
        <f t="shared" si="365"/>
        <v>0</v>
      </c>
      <c r="CN181" s="1388">
        <v>0</v>
      </c>
      <c r="CO181" s="1388">
        <v>0</v>
      </c>
      <c r="CP181" s="1010">
        <f t="shared" si="366"/>
        <v>0</v>
      </c>
      <c r="CQ181" s="1009"/>
      <c r="CR181" s="1388">
        <v>0</v>
      </c>
      <c r="CS181" s="1497">
        <v>0</v>
      </c>
      <c r="CT181" s="293">
        <f t="shared" si="367"/>
        <v>0</v>
      </c>
      <c r="CV181" s="1388">
        <v>0</v>
      </c>
      <c r="CW181" s="1497">
        <v>0</v>
      </c>
      <c r="CX181" s="293">
        <f t="shared" si="368"/>
        <v>0</v>
      </c>
      <c r="CZ181" s="1863">
        <v>0</v>
      </c>
      <c r="DA181" s="1488">
        <v>0</v>
      </c>
      <c r="DB181" s="293">
        <f t="shared" si="369"/>
        <v>0</v>
      </c>
      <c r="DD181" s="2107">
        <v>0</v>
      </c>
      <c r="DE181" s="1497">
        <v>0</v>
      </c>
      <c r="DF181" s="293">
        <f t="shared" si="370"/>
        <v>0</v>
      </c>
      <c r="DH181" s="2107">
        <v>0</v>
      </c>
      <c r="DI181" s="851">
        <f>'P&amp;L'!DI616</f>
        <v>0</v>
      </c>
      <c r="DJ181" s="293">
        <f t="shared" si="371"/>
        <v>0</v>
      </c>
      <c r="DL181" s="851">
        <f>'P&amp;L'!DL616</f>
        <v>0</v>
      </c>
      <c r="DM181" s="851">
        <f>'P&amp;L'!DM616</f>
        <v>0</v>
      </c>
      <c r="DN181" s="293">
        <f t="shared" si="372"/>
        <v>0</v>
      </c>
      <c r="DP181" s="851">
        <f>'P&amp;L'!DP616</f>
        <v>0</v>
      </c>
      <c r="DQ181" s="851">
        <f>'P&amp;L'!DQ616</f>
        <v>0</v>
      </c>
      <c r="DR181" s="293">
        <f t="shared" si="373"/>
        <v>0</v>
      </c>
      <c r="DW181" s="1198" t="s">
        <v>174</v>
      </c>
      <c r="DX181" s="818"/>
      <c r="DY181" s="818"/>
      <c r="EA181" s="818"/>
      <c r="EB181" s="818"/>
      <c r="EC181" s="293"/>
      <c r="EE181" s="818"/>
      <c r="EF181" s="818"/>
      <c r="EG181" s="293"/>
      <c r="EI181" s="818"/>
      <c r="EJ181" s="818"/>
      <c r="EK181" s="293"/>
    </row>
    <row r="182" spans="1:283" s="289" customFormat="1">
      <c r="A182" s="102" t="s">
        <v>663</v>
      </c>
      <c r="AN182" s="290"/>
      <c r="AO182" s="290"/>
      <c r="AP182" s="1219">
        <v>-2</v>
      </c>
      <c r="AQ182" s="290"/>
      <c r="AR182" s="730"/>
      <c r="AS182" s="730"/>
      <c r="AT182" s="1219">
        <v>88</v>
      </c>
      <c r="AU182" s="290"/>
      <c r="AV182" s="730">
        <v>38</v>
      </c>
      <c r="AW182" s="730">
        <v>58</v>
      </c>
      <c r="AX182" s="293">
        <f t="shared" si="351"/>
        <v>96</v>
      </c>
      <c r="AY182" s="290"/>
      <c r="AZ182" s="730">
        <v>-5</v>
      </c>
      <c r="BA182" s="730">
        <v>110</v>
      </c>
      <c r="BB182" s="293">
        <f t="shared" si="352"/>
        <v>105</v>
      </c>
      <c r="BC182" s="324"/>
      <c r="BD182" s="626">
        <v>-10</v>
      </c>
      <c r="BE182" s="927">
        <v>72</v>
      </c>
      <c r="BF182" s="293">
        <f t="shared" si="353"/>
        <v>62</v>
      </c>
      <c r="BG182" s="818"/>
      <c r="BH182" s="626">
        <v>3</v>
      </c>
      <c r="BI182" s="927">
        <v>73</v>
      </c>
      <c r="BJ182" s="293">
        <f t="shared" si="354"/>
        <v>76</v>
      </c>
      <c r="BK182" s="487"/>
      <c r="BL182" s="626">
        <v>22</v>
      </c>
      <c r="BM182" s="927">
        <v>38</v>
      </c>
      <c r="BN182" s="293">
        <f t="shared" si="355"/>
        <v>60</v>
      </c>
      <c r="BO182" s="487"/>
      <c r="BP182" s="626">
        <v>5</v>
      </c>
      <c r="BQ182" s="626">
        <v>27</v>
      </c>
      <c r="BR182" s="293">
        <f t="shared" si="356"/>
        <v>32</v>
      </c>
      <c r="BS182" s="487"/>
      <c r="BT182" s="626">
        <v>19</v>
      </c>
      <c r="BU182" s="1217">
        <f>20+23</f>
        <v>43</v>
      </c>
      <c r="BV182" s="293">
        <f t="shared" si="357"/>
        <v>62</v>
      </c>
      <c r="BW182" s="324"/>
      <c r="BX182" s="626">
        <v>0</v>
      </c>
      <c r="BY182" s="626">
        <v>4</v>
      </c>
      <c r="BZ182" s="293">
        <f t="shared" si="359"/>
        <v>4</v>
      </c>
      <c r="CA182" s="324"/>
      <c r="CB182" s="626">
        <v>38</v>
      </c>
      <c r="CC182" s="626">
        <v>3</v>
      </c>
      <c r="CD182" s="293">
        <f t="shared" si="361"/>
        <v>41</v>
      </c>
      <c r="CE182" s="324"/>
      <c r="CF182" s="626">
        <v>29</v>
      </c>
      <c r="CG182" s="626">
        <v>50</v>
      </c>
      <c r="CH182" s="293">
        <f t="shared" si="363"/>
        <v>79</v>
      </c>
      <c r="CI182" s="324"/>
      <c r="CJ182" s="626">
        <f>-13-1</f>
        <v>-14</v>
      </c>
      <c r="CK182" s="626">
        <f>-7+1</f>
        <v>-6</v>
      </c>
      <c r="CL182" s="293">
        <f t="shared" si="365"/>
        <v>-20</v>
      </c>
      <c r="CM182" s="324"/>
      <c r="CN182" s="1388">
        <v>-62</v>
      </c>
      <c r="CO182" s="1388">
        <v>-52</v>
      </c>
      <c r="CP182" s="1010">
        <f t="shared" si="366"/>
        <v>-114</v>
      </c>
      <c r="CQ182" s="1416"/>
      <c r="CR182" s="1388">
        <v>9</v>
      </c>
      <c r="CS182" s="1497">
        <v>-6</v>
      </c>
      <c r="CT182" s="293">
        <f t="shared" si="367"/>
        <v>3</v>
      </c>
      <c r="CU182" s="324"/>
      <c r="CV182" s="1388">
        <v>1</v>
      </c>
      <c r="CW182" s="1497">
        <v>25</v>
      </c>
      <c r="CX182" s="293">
        <f t="shared" si="368"/>
        <v>26</v>
      </c>
      <c r="CY182" s="324"/>
      <c r="CZ182" s="1863">
        <v>7</v>
      </c>
      <c r="DA182" s="1488">
        <v>-10</v>
      </c>
      <c r="DB182" s="293">
        <f t="shared" si="369"/>
        <v>-3</v>
      </c>
      <c r="DC182" s="324"/>
      <c r="DD182" s="2107">
        <v>-48</v>
      </c>
      <c r="DE182" s="2176">
        <v>2</v>
      </c>
      <c r="DF182" s="293">
        <f t="shared" si="370"/>
        <v>-46</v>
      </c>
      <c r="DG182" s="324"/>
      <c r="DH182" s="2107">
        <v>-11</v>
      </c>
      <c r="DI182" s="851">
        <f>'P&amp;L'!DI638</f>
        <v>-11.33</v>
      </c>
      <c r="DJ182" s="293">
        <f t="shared" si="371"/>
        <v>-22.33</v>
      </c>
      <c r="DK182" s="324"/>
      <c r="DL182" s="851">
        <f>'P&amp;L'!DL638</f>
        <v>-11.6699</v>
      </c>
      <c r="DM182" s="851">
        <f>'P&amp;L'!DM638</f>
        <v>-12.019997</v>
      </c>
      <c r="DN182" s="293">
        <f t="shared" si="372"/>
        <v>-23.689897000000002</v>
      </c>
      <c r="DO182" s="324"/>
      <c r="DP182" s="851">
        <f>'P&amp;L'!DP638</f>
        <v>-12.38059691</v>
      </c>
      <c r="DQ182" s="851">
        <f>'P&amp;L'!DQ638</f>
        <v>-12.752014817299999</v>
      </c>
      <c r="DR182" s="293">
        <f t="shared" si="373"/>
        <v>-25.132611727299999</v>
      </c>
      <c r="DS182" s="324"/>
      <c r="DT182" s="324"/>
      <c r="DU182" s="324"/>
      <c r="DV182" s="324"/>
      <c r="DW182" s="1198" t="s">
        <v>174</v>
      </c>
      <c r="DX182" s="818"/>
      <c r="DY182" s="818"/>
      <c r="DZ182" s="324"/>
      <c r="EA182" s="818"/>
      <c r="EB182" s="818"/>
      <c r="EC182" s="293"/>
      <c r="ED182" s="290"/>
      <c r="EE182" s="818"/>
      <c r="EF182" s="818"/>
      <c r="EG182" s="293"/>
      <c r="EH182" s="290"/>
      <c r="EI182" s="818"/>
      <c r="EJ182" s="818"/>
      <c r="EK182" s="293"/>
      <c r="EL182" s="290"/>
      <c r="EM182" s="290"/>
      <c r="EN182" s="290"/>
      <c r="EO182" s="290"/>
      <c r="EP182" s="290"/>
      <c r="EQ182" s="290"/>
      <c r="ER182" s="290"/>
      <c r="ES182" s="290"/>
      <c r="ET182" s="290"/>
      <c r="EU182" s="290"/>
      <c r="JW182"/>
    </row>
    <row r="183" spans="1:283" s="327" customFormat="1">
      <c r="A183" s="327" t="s">
        <v>613</v>
      </c>
      <c r="AN183" s="295"/>
      <c r="AO183" s="295"/>
      <c r="AP183" s="295">
        <f>SUM(AP169:AP182)</f>
        <v>22</v>
      </c>
      <c r="AQ183" s="295"/>
      <c r="AR183" s="295"/>
      <c r="AS183" s="295"/>
      <c r="AT183" s="295">
        <f>SUM(AT169:AT182)</f>
        <v>-196</v>
      </c>
      <c r="AU183" s="295"/>
      <c r="AV183" s="295">
        <f>SUM(AV169:AV182)</f>
        <v>-268</v>
      </c>
      <c r="AW183" s="295">
        <f>SUM(AW169:AW182)</f>
        <v>144</v>
      </c>
      <c r="AX183" s="295">
        <f>SUM(AX169:AX182)</f>
        <v>-124</v>
      </c>
      <c r="AY183" s="295"/>
      <c r="AZ183" s="295">
        <f>SUM(AZ169:AZ182)</f>
        <v>40</v>
      </c>
      <c r="BA183" s="295">
        <f>SUM(BA169:BA182)</f>
        <v>154</v>
      </c>
      <c r="BB183" s="295">
        <f>SUM(BB169:BB182)</f>
        <v>194</v>
      </c>
      <c r="BC183" s="324"/>
      <c r="BD183" s="295">
        <f>SUM(BD169:BD182)</f>
        <v>20</v>
      </c>
      <c r="BE183" s="295">
        <f>SUM(BE169:BE182)</f>
        <v>89</v>
      </c>
      <c r="BF183" s="295">
        <f>SUM(BF169:BF182)</f>
        <v>109</v>
      </c>
      <c r="BG183" s="853"/>
      <c r="BH183" s="295">
        <f>SUM(BH169:BH182)</f>
        <v>-24</v>
      </c>
      <c r="BI183" s="295">
        <f>SUM(BI169:BI182)</f>
        <v>139</v>
      </c>
      <c r="BJ183" s="295">
        <f>SUM(BJ169:BJ182)</f>
        <v>115</v>
      </c>
      <c r="BK183" s="487"/>
      <c r="BL183" s="295">
        <f>SUM(BL169:BL182)</f>
        <v>59</v>
      </c>
      <c r="BM183" s="295">
        <f>SUM(BM169:BM182)</f>
        <v>41</v>
      </c>
      <c r="BN183" s="295">
        <f>SUM(BN169:BN182)</f>
        <v>100</v>
      </c>
      <c r="BO183" s="487"/>
      <c r="BP183" s="295">
        <f>SUM(BP169:BP182)</f>
        <v>97</v>
      </c>
      <c r="BQ183" s="295">
        <f>SUM(BQ169:BQ182)</f>
        <v>103</v>
      </c>
      <c r="BR183" s="295">
        <f>SUM(BR169:BR182)</f>
        <v>200</v>
      </c>
      <c r="BS183" s="487"/>
      <c r="BT183" s="295">
        <f>SUM(BT169:BT182)</f>
        <v>-4</v>
      </c>
      <c r="BU183" s="295">
        <f>SUM(BU169:BU182)</f>
        <v>292</v>
      </c>
      <c r="BV183" s="295">
        <f>SUM(BV169:BV182)</f>
        <v>288</v>
      </c>
      <c r="BW183" s="324"/>
      <c r="BX183" s="295">
        <f>SUM(BX169:BX182)</f>
        <v>152</v>
      </c>
      <c r="BY183" s="295">
        <f>SUM(BY169:BY182)</f>
        <v>130</v>
      </c>
      <c r="BZ183" s="295">
        <f>SUM(BZ169:BZ182)</f>
        <v>282</v>
      </c>
      <c r="CA183" s="324"/>
      <c r="CB183" s="295">
        <f>SUM(CB169:CB182)</f>
        <v>152</v>
      </c>
      <c r="CC183" s="295">
        <f>SUM(CC169:CC182)</f>
        <v>458</v>
      </c>
      <c r="CD183" s="295">
        <f>SUM(CD169:CD182)</f>
        <v>610</v>
      </c>
      <c r="CE183" s="324"/>
      <c r="CF183" s="295">
        <f>SUM(CF169:CF182)</f>
        <v>510</v>
      </c>
      <c r="CG183" s="295">
        <f>SUM(CG169:CG182)</f>
        <v>1364</v>
      </c>
      <c r="CH183" s="295">
        <f>SUM(CH169:CH182)</f>
        <v>1874</v>
      </c>
      <c r="CI183" s="324"/>
      <c r="CJ183" s="295">
        <f>SUM(CJ169:CJ182)</f>
        <v>514</v>
      </c>
      <c r="CK183" s="295">
        <f>SUM(CK169:CK182)</f>
        <v>601</v>
      </c>
      <c r="CL183" s="295">
        <f>SUM(CL169:CL182)</f>
        <v>1115</v>
      </c>
      <c r="CM183" s="324"/>
      <c r="CN183" s="1412">
        <f>SUM(CN169:CN182)</f>
        <v>-40</v>
      </c>
      <c r="CO183" s="1412">
        <f>SUM(CO169:CO182)</f>
        <v>836</v>
      </c>
      <c r="CP183" s="1412">
        <f>SUM(CP169:CP182)</f>
        <v>796</v>
      </c>
      <c r="CQ183" s="1416"/>
      <c r="CR183" s="1412">
        <f>SUM(CR169:CR182)</f>
        <v>290</v>
      </c>
      <c r="CS183" s="295">
        <f>SUM(CS169:CS182)</f>
        <v>494</v>
      </c>
      <c r="CT183" s="295">
        <f>SUM(CT169:CT182)</f>
        <v>784</v>
      </c>
      <c r="CU183" s="324"/>
      <c r="CV183" s="1412">
        <f>SUM(CV169:CV182)</f>
        <v>499</v>
      </c>
      <c r="CW183" s="295">
        <f>SUM(CW169:CW182)</f>
        <v>110</v>
      </c>
      <c r="CX183" s="295">
        <f>SUM(CX169:CX182)</f>
        <v>609</v>
      </c>
      <c r="CY183" s="324"/>
      <c r="CZ183" s="1412">
        <f>SUM(CZ169:CZ182)</f>
        <v>293</v>
      </c>
      <c r="DA183" s="1412">
        <f>SUM(DA169:DA182)</f>
        <v>551</v>
      </c>
      <c r="DB183" s="295">
        <f>SUM(DB169:DB182)</f>
        <v>844</v>
      </c>
      <c r="DC183" s="324"/>
      <c r="DD183" s="295">
        <f>SUM(DD169:DD182)</f>
        <v>219</v>
      </c>
      <c r="DE183" s="1412">
        <f>SUM(DE169:DE182)</f>
        <v>232</v>
      </c>
      <c r="DF183" s="295">
        <f>SUM(DF169:DF182)</f>
        <v>451</v>
      </c>
      <c r="DG183" s="324"/>
      <c r="DH183" s="295">
        <f>SUM(DH169:DH182)</f>
        <v>268</v>
      </c>
      <c r="DI183" s="295">
        <f>SUM(DI169:DI182)</f>
        <v>327.57000000000005</v>
      </c>
      <c r="DJ183" s="295">
        <f>SUM(DJ169:DJ182)</f>
        <v>595.57000000000005</v>
      </c>
      <c r="DK183" s="324"/>
      <c r="DL183" s="295">
        <f>SUM(DL169:DL182)</f>
        <v>331.13010000000003</v>
      </c>
      <c r="DM183" s="295">
        <f>SUM(DM169:DM182)</f>
        <v>530.78000299999997</v>
      </c>
      <c r="DN183" s="295">
        <f>SUM(DN169:DN182)</f>
        <v>861.91010300000005</v>
      </c>
      <c r="DO183" s="324"/>
      <c r="DP183" s="295">
        <f>SUM(DP169:DP182)</f>
        <v>368.13140308999999</v>
      </c>
      <c r="DQ183" s="295">
        <f>SUM(DQ169:DQ182)</f>
        <v>587.75998518269989</v>
      </c>
      <c r="DR183" s="295">
        <f>SUM(DR169:DR182)</f>
        <v>955.89138827270006</v>
      </c>
      <c r="DS183" s="324"/>
      <c r="DT183" s="324"/>
      <c r="DU183" s="324"/>
      <c r="DV183" s="324"/>
      <c r="DW183" s="295"/>
      <c r="DX183" s="295"/>
      <c r="DY183" s="295"/>
      <c r="DZ183" s="324"/>
      <c r="EA183" s="295"/>
      <c r="EB183" s="295"/>
      <c r="EC183" s="295"/>
      <c r="ED183" s="295"/>
      <c r="EE183" s="295"/>
      <c r="EF183" s="295"/>
      <c r="EG183" s="295"/>
      <c r="EH183" s="295"/>
      <c r="EI183" s="295"/>
      <c r="EJ183" s="295"/>
      <c r="EK183" s="295"/>
      <c r="EL183" s="295"/>
      <c r="EM183" s="295"/>
      <c r="EN183" s="295"/>
      <c r="EO183" s="295"/>
      <c r="EP183" s="295"/>
      <c r="EQ183" s="295"/>
      <c r="ER183" s="295"/>
      <c r="ES183" s="295"/>
      <c r="ET183" s="295"/>
      <c r="EU183" s="295"/>
      <c r="JW183"/>
    </row>
    <row r="184" spans="1:283">
      <c r="A184" s="328"/>
      <c r="BG184" s="818"/>
      <c r="CO184" s="1332"/>
      <c r="CR184" s="103"/>
      <c r="CS184" s="103"/>
      <c r="CT184" s="103"/>
      <c r="CV184" s="103"/>
      <c r="CW184" s="103"/>
      <c r="CX184" s="103"/>
      <c r="CZ184" s="103"/>
      <c r="DA184" s="1009"/>
      <c r="DB184" s="103"/>
      <c r="DD184" s="103"/>
      <c r="DE184" s="103"/>
      <c r="DF184" s="103"/>
      <c r="DH184" s="103"/>
      <c r="DI184" s="103"/>
      <c r="DJ184" s="103"/>
      <c r="DL184" s="103"/>
      <c r="DM184" s="103"/>
      <c r="DN184" s="103"/>
      <c r="DP184" s="103"/>
      <c r="DQ184" s="103"/>
      <c r="DR184" s="103"/>
    </row>
    <row r="185" spans="1:283">
      <c r="A185" s="1207" t="s">
        <v>896</v>
      </c>
      <c r="BG185" s="290"/>
      <c r="BI185" s="293"/>
      <c r="BJ185" s="293"/>
      <c r="BK185" s="293"/>
      <c r="BL185" s="293"/>
      <c r="BM185" s="293"/>
      <c r="BN185" s="293"/>
      <c r="BO185" s="293"/>
      <c r="BP185" s="293"/>
      <c r="BQ185" s="293"/>
      <c r="BR185" s="293"/>
      <c r="BS185" s="293"/>
      <c r="BT185" s="293"/>
      <c r="BU185" s="293"/>
      <c r="BV185" s="293"/>
      <c r="BW185" s="293"/>
      <c r="BX185" s="293"/>
      <c r="BY185" s="293"/>
      <c r="BZ185" s="293"/>
      <c r="CA185" s="293"/>
      <c r="CB185" s="293"/>
      <c r="CC185" s="293"/>
      <c r="CD185" s="293"/>
      <c r="CE185" s="293"/>
      <c r="CF185" s="293"/>
      <c r="CG185" s="293"/>
      <c r="CH185" s="293"/>
      <c r="CI185" s="293"/>
      <c r="CJ185" s="293"/>
      <c r="CK185" s="293"/>
      <c r="CL185" s="293"/>
      <c r="CM185" s="293"/>
      <c r="CN185" s="293"/>
      <c r="CO185" s="293"/>
      <c r="CP185" s="293"/>
      <c r="CQ185" s="293"/>
      <c r="CR185" s="293"/>
      <c r="CS185" s="293"/>
      <c r="CT185" s="293"/>
      <c r="CU185" s="293"/>
      <c r="CV185" s="293"/>
      <c r="CW185" s="293"/>
      <c r="CX185" s="293"/>
      <c r="CY185" s="293"/>
      <c r="CZ185" s="655"/>
      <c r="DA185" s="293"/>
      <c r="DB185" s="293"/>
      <c r="DC185" s="293"/>
      <c r="DD185" s="655"/>
      <c r="DE185" s="655"/>
      <c r="DF185" s="295"/>
      <c r="DG185" s="293"/>
      <c r="DH185" s="655"/>
      <c r="DI185" s="655"/>
      <c r="DJ185" s="655"/>
      <c r="DK185" s="626"/>
      <c r="DL185" s="655"/>
      <c r="DM185" s="655"/>
      <c r="DN185" s="655"/>
      <c r="DO185" s="626"/>
      <c r="DP185" s="655"/>
      <c r="DQ185" s="655"/>
      <c r="DR185" s="655"/>
      <c r="DS185" s="626"/>
      <c r="DT185" s="293"/>
      <c r="DU185" s="293"/>
      <c r="DV185" s="293"/>
      <c r="DW185" s="293"/>
      <c r="DX185" s="293"/>
      <c r="DY185" s="293"/>
      <c r="DZ185" s="293"/>
      <c r="EA185" s="293"/>
      <c r="EB185" s="293"/>
      <c r="EC185" s="293"/>
      <c r="ED185" s="293"/>
      <c r="EE185" s="293"/>
      <c r="EF185" s="293"/>
      <c r="EG185" s="293"/>
      <c r="EH185" s="293"/>
      <c r="EI185" s="293"/>
      <c r="EJ185" s="293"/>
      <c r="EK185" s="293"/>
      <c r="EL185" s="293"/>
      <c r="EM185" s="293"/>
      <c r="EN185" s="293"/>
      <c r="EO185" s="293"/>
      <c r="EP185" s="293"/>
      <c r="EQ185" s="293"/>
      <c r="ER185" s="293"/>
      <c r="ES185" s="293"/>
      <c r="ET185" s="293"/>
      <c r="EU185" s="293"/>
      <c r="EV185" s="293"/>
      <c r="EW185" s="293"/>
      <c r="EX185" s="293"/>
      <c r="EY185" s="293"/>
      <c r="EZ185" s="293"/>
      <c r="FA185" s="293"/>
      <c r="FB185" s="293"/>
      <c r="FC185" s="293"/>
      <c r="FD185" s="293"/>
      <c r="FE185" s="293"/>
      <c r="FF185" s="293"/>
      <c r="FG185" s="293"/>
      <c r="FH185" s="293"/>
      <c r="FI185" s="293"/>
      <c r="FJ185" s="293"/>
      <c r="FK185" s="293"/>
      <c r="FL185" s="293"/>
      <c r="FM185" s="293"/>
      <c r="FN185" s="293"/>
      <c r="FO185" s="293"/>
      <c r="FP185" s="293"/>
      <c r="FQ185" s="293"/>
      <c r="FR185" s="293"/>
      <c r="FS185" s="293"/>
      <c r="FT185" s="293"/>
      <c r="FU185" s="293"/>
      <c r="FV185" s="293"/>
      <c r="FW185" s="293"/>
      <c r="FX185" s="293"/>
      <c r="FY185" s="293"/>
      <c r="FZ185" s="293"/>
      <c r="GA185" s="293"/>
      <c r="GB185" s="293"/>
      <c r="GC185" s="293"/>
      <c r="GD185" s="293"/>
      <c r="GE185" s="293"/>
      <c r="GF185" s="293"/>
      <c r="GG185" s="293"/>
      <c r="GH185" s="293"/>
      <c r="GI185" s="293"/>
      <c r="GJ185" s="293"/>
      <c r="GK185" s="293"/>
      <c r="GL185" s="293"/>
      <c r="GM185" s="293"/>
      <c r="GN185" s="293"/>
      <c r="GO185" s="293"/>
      <c r="GP185" s="293"/>
      <c r="GQ185" s="293"/>
      <c r="GR185" s="293"/>
      <c r="GS185" s="293"/>
      <c r="GT185" s="293"/>
      <c r="GU185" s="293"/>
      <c r="GV185" s="293"/>
      <c r="GW185" s="293"/>
      <c r="GX185" s="293"/>
      <c r="GY185" s="293"/>
      <c r="GZ185" s="293"/>
      <c r="HA185" s="293"/>
      <c r="HB185" s="293"/>
      <c r="HC185" s="293"/>
      <c r="HD185" s="293"/>
      <c r="HE185" s="293"/>
      <c r="HF185" s="293"/>
      <c r="HG185" s="293"/>
      <c r="HH185" s="293"/>
      <c r="HI185" s="293"/>
      <c r="HJ185" s="293"/>
      <c r="HK185" s="293"/>
      <c r="HL185" s="293"/>
      <c r="HM185" s="293"/>
      <c r="HN185" s="293"/>
      <c r="HO185" s="293"/>
      <c r="HP185" s="293"/>
      <c r="HQ185" s="293"/>
      <c r="HR185" s="293"/>
      <c r="HS185" s="293"/>
      <c r="HT185" s="293"/>
      <c r="HU185" s="293"/>
      <c r="HV185" s="293"/>
      <c r="HW185" s="293"/>
      <c r="HX185" s="293"/>
      <c r="HY185" s="293"/>
      <c r="HZ185" s="293"/>
      <c r="IA185" s="293"/>
      <c r="IB185" s="293"/>
      <c r="IC185" s="293"/>
      <c r="ID185" s="293"/>
      <c r="IE185" s="293"/>
      <c r="IF185" s="293"/>
      <c r="IG185" s="293"/>
      <c r="IH185" s="293"/>
      <c r="II185" s="293"/>
      <c r="IJ185" s="293"/>
      <c r="IK185" s="293"/>
      <c r="IL185" s="293"/>
      <c r="IM185" s="293"/>
      <c r="IN185" s="293"/>
      <c r="IO185" s="293"/>
      <c r="IP185" s="293"/>
      <c r="IQ185" s="293"/>
      <c r="IR185" s="293"/>
      <c r="IS185" s="293"/>
      <c r="IT185" s="293"/>
      <c r="IU185" s="293"/>
      <c r="IV185" s="293"/>
      <c r="IW185" s="293"/>
      <c r="IX185" s="293"/>
      <c r="IY185" s="293"/>
      <c r="IZ185" s="293"/>
      <c r="JA185" s="293"/>
      <c r="JB185" s="293"/>
      <c r="JC185" s="293"/>
      <c r="JD185" s="293"/>
      <c r="JE185" s="293"/>
      <c r="JF185" s="293"/>
      <c r="JG185" s="293"/>
      <c r="JH185" s="293"/>
      <c r="JI185" s="293"/>
      <c r="JJ185" s="293"/>
      <c r="JK185" s="293"/>
      <c r="JL185" s="293"/>
      <c r="JM185" s="293"/>
      <c r="JN185" s="293"/>
      <c r="JO185" s="293"/>
      <c r="JP185" s="293"/>
      <c r="JQ185" s="293"/>
      <c r="JR185" s="293"/>
      <c r="JS185" s="293"/>
      <c r="JT185" s="293"/>
      <c r="JU185" s="293"/>
      <c r="JV185" s="293"/>
    </row>
    <row r="186" spans="1:283" s="289" customFormat="1">
      <c r="A186" s="327" t="s">
        <v>588</v>
      </c>
      <c r="AN186" s="290"/>
      <c r="AO186" s="290"/>
      <c r="AP186" s="290"/>
      <c r="AQ186" s="290"/>
      <c r="AR186" s="290"/>
      <c r="AS186" s="290"/>
      <c r="AT186" s="290"/>
      <c r="AU186" s="290"/>
      <c r="AV186" s="295">
        <f>AV148</f>
        <v>546</v>
      </c>
      <c r="AW186" s="295">
        <f>AW148</f>
        <v>450</v>
      </c>
      <c r="AX186" s="295">
        <f>AX188+AX189</f>
        <v>996</v>
      </c>
      <c r="AY186" s="290"/>
      <c r="AZ186" s="295">
        <f>AZ148</f>
        <v>376</v>
      </c>
      <c r="BA186" s="295">
        <f>BA148</f>
        <v>477</v>
      </c>
      <c r="BB186" s="295">
        <f>BB188+BB189</f>
        <v>853</v>
      </c>
      <c r="BC186" s="290"/>
      <c r="BD186" s="295">
        <f>BD148</f>
        <v>313</v>
      </c>
      <c r="BE186" s="295">
        <f>BE148</f>
        <v>322</v>
      </c>
      <c r="BF186" s="295">
        <f>BF188+BF189</f>
        <v>635</v>
      </c>
      <c r="BG186" s="290"/>
      <c r="BH186" s="295">
        <f>BH148</f>
        <v>273</v>
      </c>
      <c r="BI186" s="295">
        <f>BI148</f>
        <v>267</v>
      </c>
      <c r="BJ186" s="295">
        <f>BJ188+BJ189</f>
        <v>540</v>
      </c>
      <c r="BK186" s="290"/>
      <c r="BL186" s="295">
        <f>BL148</f>
        <v>288</v>
      </c>
      <c r="BM186" s="295">
        <f>BM148</f>
        <v>379</v>
      </c>
      <c r="BN186" s="295">
        <f>BN188+BN189</f>
        <v>667</v>
      </c>
      <c r="BO186" s="640"/>
      <c r="BP186" s="295">
        <f>BP148</f>
        <v>332</v>
      </c>
      <c r="BQ186" s="295">
        <f>BQ148</f>
        <v>465</v>
      </c>
      <c r="BR186" s="295">
        <f>BR188+BR189</f>
        <v>797</v>
      </c>
      <c r="BS186" s="640"/>
      <c r="BT186" s="295">
        <f>BT148</f>
        <v>448</v>
      </c>
      <c r="BU186" s="295">
        <f>BU148</f>
        <v>351</v>
      </c>
      <c r="BV186" s="295">
        <f>BV188+BV189</f>
        <v>799</v>
      </c>
      <c r="BW186" s="290"/>
      <c r="BX186" s="295">
        <f>BX148</f>
        <v>382.05057471264371</v>
      </c>
      <c r="BY186" s="295">
        <f>BY148</f>
        <v>432.56206896551726</v>
      </c>
      <c r="BZ186" s="295">
        <f>BZ188+BZ189</f>
        <v>814.61264367816102</v>
      </c>
      <c r="CA186" s="290"/>
      <c r="CB186" s="295">
        <f>CB148</f>
        <v>387.56091954022992</v>
      </c>
      <c r="CC186" s="295">
        <f>CC148</f>
        <v>388.47931034482758</v>
      </c>
      <c r="CD186" s="295">
        <f>CD188+CD189</f>
        <v>776.04022988505744</v>
      </c>
      <c r="CE186" s="290"/>
      <c r="CF186" s="295">
        <f>CF148</f>
        <v>514</v>
      </c>
      <c r="CG186" s="295">
        <f>CG148</f>
        <v>388</v>
      </c>
      <c r="CH186" s="295">
        <f>CH188+CH189</f>
        <v>902</v>
      </c>
      <c r="CI186" s="672">
        <f>+CH186/CD186-1</f>
        <v>0.16231087676163258</v>
      </c>
      <c r="CJ186" s="295">
        <f>CJ148</f>
        <v>411</v>
      </c>
      <c r="CK186" s="295">
        <f>CK148</f>
        <v>441</v>
      </c>
      <c r="CL186" s="295">
        <f>CL188+CL189</f>
        <v>852</v>
      </c>
      <c r="CM186" s="672">
        <f>+CL186/CH186-1</f>
        <v>-5.5432372505543226E-2</v>
      </c>
      <c r="CN186" s="295">
        <f>CN148</f>
        <v>413</v>
      </c>
      <c r="CO186" s="295">
        <f>CO148</f>
        <v>445</v>
      </c>
      <c r="CP186" s="295">
        <f>CP188+CP189</f>
        <v>858</v>
      </c>
      <c r="CQ186" s="672">
        <f>+CP186/CL186-1</f>
        <v>7.0422535211267512E-3</v>
      </c>
      <c r="CR186" s="295">
        <f>CR148</f>
        <v>618</v>
      </c>
      <c r="CS186" s="295">
        <f>CS148</f>
        <v>755</v>
      </c>
      <c r="CT186" s="295">
        <f>+CR186+CS186</f>
        <v>1373</v>
      </c>
      <c r="CU186" s="672">
        <f>+CT186/CP186-1</f>
        <v>0.60023310023310028</v>
      </c>
      <c r="CV186" s="295">
        <f>CV148</f>
        <v>438</v>
      </c>
      <c r="CW186" s="295">
        <f>CW148</f>
        <v>553</v>
      </c>
      <c r="CX186" s="295">
        <f>+CV186+CW186</f>
        <v>991</v>
      </c>
      <c r="CY186" s="672">
        <f>+CX186/CT186-1</f>
        <v>-0.27822286962855058</v>
      </c>
      <c r="CZ186" s="295">
        <f>CZ148</f>
        <v>408</v>
      </c>
      <c r="DA186" s="295">
        <f>DA148</f>
        <v>335</v>
      </c>
      <c r="DB186" s="295">
        <f>+CZ186+DA186</f>
        <v>743</v>
      </c>
      <c r="DC186" s="672">
        <f>+DB186/CX186-1</f>
        <v>-0.25025227043390519</v>
      </c>
      <c r="DD186" s="295">
        <f>DD148</f>
        <v>413</v>
      </c>
      <c r="DE186" s="295">
        <f>DE148</f>
        <v>503</v>
      </c>
      <c r="DF186" s="295">
        <f>+DD186+DE186</f>
        <v>916</v>
      </c>
      <c r="DG186" s="672">
        <f>+DF186/DB186-1</f>
        <v>0.2328398384925976</v>
      </c>
      <c r="DH186" s="295">
        <f>DH148</f>
        <v>558</v>
      </c>
      <c r="DI186" s="1711">
        <f>+DH186*(1+DI187)</f>
        <v>530.1</v>
      </c>
      <c r="DJ186" s="295">
        <f>+DH186+DI186</f>
        <v>1088.0999999999999</v>
      </c>
      <c r="DK186" s="672">
        <f>+DJ186/DF186-1</f>
        <v>0.18788209606986883</v>
      </c>
      <c r="DL186" s="1711">
        <f>+DI186*(1+DL187)</f>
        <v>556.60500000000002</v>
      </c>
      <c r="DM186" s="1711">
        <f>+DL186*(1+DM187)</f>
        <v>584.43525</v>
      </c>
      <c r="DN186" s="295">
        <f>+DL186+DM186</f>
        <v>1141.04025</v>
      </c>
      <c r="DO186" s="672">
        <f>+DN186/DJ186-1</f>
        <v>4.8653846153846159E-2</v>
      </c>
      <c r="DP186" s="1711">
        <f>+DM186*(1+DP187)</f>
        <v>596.12395500000002</v>
      </c>
      <c r="DQ186" s="1711">
        <f>+DP186*(1+DQ187)</f>
        <v>608.04643410000006</v>
      </c>
      <c r="DR186" s="295">
        <f>+DP186+DQ186</f>
        <v>1204.1703891000002</v>
      </c>
      <c r="DS186" s="672">
        <f>+DR186/DN186-1</f>
        <v>5.532682926829291E-2</v>
      </c>
      <c r="DT186" s="672"/>
      <c r="DU186" s="672"/>
      <c r="DV186" s="672"/>
      <c r="DW186" s="831" t="s">
        <v>514</v>
      </c>
      <c r="DX186" s="295"/>
      <c r="DY186" s="295"/>
      <c r="DZ186" s="290"/>
      <c r="EA186" s="295"/>
      <c r="EB186" s="295"/>
      <c r="EC186" s="295"/>
      <c r="ED186" s="290"/>
      <c r="EE186" s="295"/>
      <c r="EF186" s="295"/>
      <c r="EG186" s="295"/>
      <c r="EH186" s="290"/>
      <c r="EI186" s="295"/>
      <c r="EJ186" s="295"/>
      <c r="EK186" s="295"/>
      <c r="EL186" s="290"/>
      <c r="EM186" s="290"/>
      <c r="EN186" s="290"/>
      <c r="EO186" s="290"/>
      <c r="EP186" s="290"/>
      <c r="EQ186" s="290"/>
      <c r="ER186" s="290"/>
      <c r="ES186" s="290"/>
      <c r="ET186" s="290"/>
      <c r="EU186" s="290"/>
      <c r="JW186"/>
    </row>
    <row r="187" spans="1:283" s="858" customFormat="1" ht="15.6">
      <c r="A187" s="1220" t="s">
        <v>382</v>
      </c>
      <c r="AN187" s="929"/>
      <c r="AO187" s="929"/>
      <c r="AP187" s="929"/>
      <c r="AQ187" s="929"/>
      <c r="AR187" s="929"/>
      <c r="AS187" s="929"/>
      <c r="AT187" s="929"/>
      <c r="AU187" s="929"/>
      <c r="AV187" s="929"/>
      <c r="AW187" s="929"/>
      <c r="AX187" s="929"/>
      <c r="AY187" s="929"/>
      <c r="AZ187" s="643">
        <f>+AZ186/AW186-1</f>
        <v>-0.16444444444444439</v>
      </c>
      <c r="BA187" s="643">
        <f>+BA186/AZ186-1</f>
        <v>0.2686170212765957</v>
      </c>
      <c r="BB187" s="929"/>
      <c r="BC187" s="929"/>
      <c r="BD187" s="643">
        <f>+BD186/BA186-1</f>
        <v>-0.34381551362683438</v>
      </c>
      <c r="BE187" s="643">
        <f>+BE186/BD186-1</f>
        <v>2.8753993610223683E-2</v>
      </c>
      <c r="BF187" s="929"/>
      <c r="BG187" s="929"/>
      <c r="BH187" s="643">
        <f>+BH186/BE186-1</f>
        <v>-0.15217391304347827</v>
      </c>
      <c r="BI187" s="643">
        <f>+BI186/BH186-1</f>
        <v>-2.1978021978022011E-2</v>
      </c>
      <c r="BJ187" s="929"/>
      <c r="BK187" s="929"/>
      <c r="BL187" s="643">
        <f>+BL186/BI186-1</f>
        <v>7.8651685393258397E-2</v>
      </c>
      <c r="BM187" s="643">
        <f>+BM186/BL186-1</f>
        <v>0.31597222222222232</v>
      </c>
      <c r="BN187" s="929"/>
      <c r="BO187" s="929"/>
      <c r="BP187" s="643">
        <f>+BP186/BM186-1</f>
        <v>-0.12401055408970973</v>
      </c>
      <c r="BQ187" s="643">
        <f>+BQ186/BP186-1</f>
        <v>0.40060240963855431</v>
      </c>
      <c r="BR187" s="929"/>
      <c r="BS187" s="929"/>
      <c r="BT187" s="643">
        <f>+BT186/BQ186-1</f>
        <v>-3.6559139784946182E-2</v>
      </c>
      <c r="BU187" s="643">
        <f>+BU186/BT186-1</f>
        <v>-0.2165178571428571</v>
      </c>
      <c r="BV187" s="929"/>
      <c r="BW187" s="1221"/>
      <c r="BX187" s="643">
        <f>+BX186/BU186-1</f>
        <v>8.8463175819497808E-2</v>
      </c>
      <c r="BY187" s="643">
        <f>+BY186/BX186-1</f>
        <v>0.13221153846153832</v>
      </c>
      <c r="BZ187" s="929"/>
      <c r="CA187" s="929"/>
      <c r="CB187" s="643">
        <f>+CB186/BY186-1</f>
        <v>-0.10403397027600847</v>
      </c>
      <c r="CC187" s="643">
        <f>+CC186/CB186-1</f>
        <v>2.3696682464453556E-3</v>
      </c>
      <c r="CD187" s="929"/>
      <c r="CE187" s="929"/>
      <c r="CF187" s="643">
        <f>+CF186/CC186-1</f>
        <v>0.32310778544102114</v>
      </c>
      <c r="CG187" s="643">
        <f>+CG186/CF186-1</f>
        <v>-0.24513618677042803</v>
      </c>
      <c r="CH187" s="929"/>
      <c r="CI187" s="929"/>
      <c r="CJ187" s="643">
        <f>+CJ186/CG186-1</f>
        <v>5.9278350515463929E-2</v>
      </c>
      <c r="CK187" s="643">
        <f>+CK186/CJ186-1</f>
        <v>7.2992700729926918E-2</v>
      </c>
      <c r="CL187" s="929"/>
      <c r="CM187" s="929"/>
      <c r="CN187" s="643">
        <f>+CN186/CK186-1</f>
        <v>-6.3492063492063489E-2</v>
      </c>
      <c r="CO187" s="643">
        <f>+CO186/CN186-1</f>
        <v>7.7481840193704521E-2</v>
      </c>
      <c r="CP187" s="929"/>
      <c r="CQ187" s="929"/>
      <c r="CR187" s="643">
        <f>+CR186/CO186-1</f>
        <v>0.38876404494382033</v>
      </c>
      <c r="CS187" s="643">
        <f>+CS186/CR186-1</f>
        <v>0.22168284789644011</v>
      </c>
      <c r="CT187" s="1221"/>
      <c r="CU187" s="929"/>
      <c r="CV187" s="643">
        <f>+CV186/CS186-1</f>
        <v>-0.41986754966887418</v>
      </c>
      <c r="CW187" s="643">
        <f>+CW186/CV186-1</f>
        <v>0.26255707762557079</v>
      </c>
      <c r="CX187" s="1221"/>
      <c r="CY187" s="929"/>
      <c r="CZ187" s="643">
        <f>+CZ186/CW186-1</f>
        <v>-0.26220614828209765</v>
      </c>
      <c r="DA187" s="643">
        <f>+DA186/CZ186-1</f>
        <v>-0.17892156862745101</v>
      </c>
      <c r="DB187" s="1221"/>
      <c r="DC187" s="929"/>
      <c r="DD187" s="643">
        <f>+DD186/DA186-1</f>
        <v>0.23283582089552235</v>
      </c>
      <c r="DE187" s="643">
        <f>+DE186/DD186-1</f>
        <v>0.21791767554479424</v>
      </c>
      <c r="DF187" s="1221"/>
      <c r="DG187" s="929"/>
      <c r="DH187" s="668">
        <f>+DH186/DE186-1</f>
        <v>0.10934393638170969</v>
      </c>
      <c r="DI187" s="2132">
        <v>-0.05</v>
      </c>
      <c r="DJ187" s="1221"/>
      <c r="DK187" s="929"/>
      <c r="DL187" s="2215">
        <v>0.05</v>
      </c>
      <c r="DM187" s="2215">
        <v>0.05</v>
      </c>
      <c r="DN187" s="1221"/>
      <c r="DO187" s="929"/>
      <c r="DP187" s="898">
        <v>0.02</v>
      </c>
      <c r="DQ187" s="898">
        <v>0.02</v>
      </c>
      <c r="DR187" s="1221"/>
      <c r="DS187" s="929"/>
      <c r="DT187" s="929"/>
      <c r="DU187" s="929"/>
      <c r="DV187" s="929"/>
      <c r="DW187" s="1223" t="s">
        <v>175</v>
      </c>
      <c r="DX187" s="929"/>
      <c r="DY187" s="929"/>
      <c r="DZ187" s="929"/>
      <c r="EA187" s="929"/>
      <c r="EB187" s="929"/>
      <c r="EC187" s="929"/>
      <c r="ED187" s="929"/>
      <c r="EE187" s="929"/>
      <c r="EF187" s="929"/>
      <c r="EG187" s="929"/>
      <c r="EH187" s="929"/>
      <c r="EI187" s="929"/>
      <c r="EJ187" s="929"/>
      <c r="EK187" s="929"/>
      <c r="EL187" s="929"/>
      <c r="EM187" s="929"/>
      <c r="EN187" s="929"/>
      <c r="EO187" s="929"/>
      <c r="EP187" s="929"/>
      <c r="EQ187" s="929"/>
      <c r="ER187" s="929"/>
      <c r="ES187" s="929"/>
      <c r="ET187" s="929"/>
      <c r="EU187" s="929"/>
      <c r="JW187"/>
    </row>
    <row r="188" spans="1:283">
      <c r="A188" s="102" t="s">
        <v>898</v>
      </c>
      <c r="AV188" s="293">
        <f>DIVISIONS!AV69</f>
        <v>0</v>
      </c>
      <c r="AW188" s="293">
        <f>DIVISIONS!AW69</f>
        <v>0</v>
      </c>
      <c r="AX188" s="293">
        <f>DIVISIONS!AX69</f>
        <v>0</v>
      </c>
      <c r="AZ188" s="293">
        <f>DIVISIONS!AZ69</f>
        <v>0</v>
      </c>
      <c r="BA188" s="293">
        <f>DIVISIONS!BA69</f>
        <v>0</v>
      </c>
      <c r="BB188" s="293">
        <f>DIVISIONS!BB69</f>
        <v>0</v>
      </c>
      <c r="BD188" s="293">
        <f>DIVISIONS!BD69</f>
        <v>0</v>
      </c>
      <c r="BE188" s="293">
        <f>DIVISIONS!BE69</f>
        <v>0</v>
      </c>
      <c r="BF188" s="293">
        <f>DIVISIONS!BF69</f>
        <v>0</v>
      </c>
      <c r="BG188" s="671"/>
      <c r="BH188" s="293">
        <f>DIVISIONS!BH69</f>
        <v>0</v>
      </c>
      <c r="BI188" s="293">
        <f>DIVISIONS!BI69</f>
        <v>0</v>
      </c>
      <c r="BJ188" s="293">
        <f>DIVISIONS!BJ69</f>
        <v>0</v>
      </c>
      <c r="BK188" s="671"/>
      <c r="BL188" s="293">
        <f>DIVISIONS!BL69</f>
        <v>0</v>
      </c>
      <c r="BM188" s="293">
        <f>DIVISIONS!BM69</f>
        <v>0</v>
      </c>
      <c r="BN188" s="293">
        <f>DIVISIONS!BN69</f>
        <v>0</v>
      </c>
      <c r="BO188" s="671"/>
      <c r="BP188" s="293">
        <f>DIVISIONS!BP69</f>
        <v>0</v>
      </c>
      <c r="BQ188" s="293">
        <f>DIVISIONS!BQ69</f>
        <v>0</v>
      </c>
      <c r="BR188" s="293">
        <f>DIVISIONS!BR69</f>
        <v>0</v>
      </c>
      <c r="BS188" s="671"/>
      <c r="BT188" s="293">
        <f>DIVISIONS!BT69</f>
        <v>0</v>
      </c>
      <c r="BU188" s="293">
        <f>DIVISIONS!BU69</f>
        <v>0</v>
      </c>
      <c r="BV188" s="293">
        <f>DIVISIONS!BV69</f>
        <v>0</v>
      </c>
      <c r="BW188" s="671"/>
      <c r="BX188" s="293">
        <f>DIVISIONS!BX69</f>
        <v>0</v>
      </c>
      <c r="BY188" s="293">
        <f>DIVISIONS!BY69</f>
        <v>0</v>
      </c>
      <c r="BZ188" s="293">
        <f>DIVISIONS!BZ69</f>
        <v>0</v>
      </c>
      <c r="CA188" s="671"/>
      <c r="CB188" s="293">
        <f>DIVISIONS!CB69</f>
        <v>0</v>
      </c>
      <c r="CC188" s="293">
        <f>DIVISIONS!CC69</f>
        <v>0</v>
      </c>
      <c r="CD188" s="293">
        <f>DIVISIONS!CD69</f>
        <v>0</v>
      </c>
      <c r="CE188" s="671"/>
      <c r="CF188" s="293">
        <f>DIVISIONS!CF69</f>
        <v>0</v>
      </c>
      <c r="CG188" s="293">
        <f>DIVISIONS!CG69</f>
        <v>0</v>
      </c>
      <c r="CH188" s="293">
        <f>DIVISIONS!CH69</f>
        <v>0</v>
      </c>
      <c r="CI188" s="671"/>
      <c r="CJ188" s="293">
        <f>DIVISIONS!CJ69</f>
        <v>0</v>
      </c>
      <c r="CK188" s="293">
        <f>DIVISIONS!CK69</f>
        <v>0</v>
      </c>
      <c r="CL188" s="293">
        <f>DIVISIONS!CL69</f>
        <v>0</v>
      </c>
      <c r="CM188" s="671"/>
      <c r="CN188" s="293">
        <f>DIVISIONS!CN69</f>
        <v>0</v>
      </c>
      <c r="CO188" s="293">
        <f>DIVISIONS!CO69</f>
        <v>0</v>
      </c>
      <c r="CP188" s="293">
        <f>DIVISIONS!CP69</f>
        <v>0</v>
      </c>
      <c r="CQ188" s="671"/>
      <c r="CR188" s="293">
        <f>DIVISIONS!CR69</f>
        <v>0</v>
      </c>
      <c r="CS188" s="293">
        <f>DIVISIONS!CS69</f>
        <v>0</v>
      </c>
      <c r="CT188" s="293">
        <f>DIVISIONS!CT69</f>
        <v>0</v>
      </c>
      <c r="CU188" s="671"/>
      <c r="CV188" s="293">
        <f>DIVISIONS!CV69</f>
        <v>0</v>
      </c>
      <c r="CW188" s="293">
        <f>DIVISIONS!CW69</f>
        <v>0</v>
      </c>
      <c r="CX188" s="293">
        <f>DIVISIONS!CX69</f>
        <v>0</v>
      </c>
      <c r="CY188" s="671"/>
      <c r="CZ188" s="293">
        <f>DIVISIONS!CZ69</f>
        <v>0</v>
      </c>
      <c r="DA188" s="293">
        <f>DIVISIONS!DA69</f>
        <v>0</v>
      </c>
      <c r="DB188" s="293">
        <f>DIVISIONS!DB69</f>
        <v>0</v>
      </c>
      <c r="DC188" s="671"/>
      <c r="DD188" s="293">
        <f>DIVISIONS!DD69</f>
        <v>0</v>
      </c>
      <c r="DE188" s="293">
        <f>DIVISIONS!DE69</f>
        <v>0</v>
      </c>
      <c r="DF188" s="293">
        <f>DIVISIONS!DF69</f>
        <v>0</v>
      </c>
      <c r="DG188" s="671"/>
      <c r="DH188" s="293">
        <f>DIVISIONS!DH69</f>
        <v>0</v>
      </c>
      <c r="DI188" s="293"/>
      <c r="DJ188" s="293"/>
      <c r="DK188" s="671"/>
      <c r="DL188" s="293"/>
      <c r="DM188" s="293"/>
      <c r="DN188" s="293"/>
      <c r="DO188" s="671"/>
      <c r="DP188" s="293"/>
      <c r="DQ188" s="293"/>
      <c r="DR188" s="293"/>
      <c r="DS188" s="671"/>
      <c r="DT188" s="671"/>
      <c r="DU188" s="671"/>
      <c r="DV188" s="671"/>
      <c r="DW188" s="828"/>
      <c r="DX188" s="293"/>
      <c r="DY188" s="293"/>
      <c r="EA188" s="293"/>
      <c r="EB188" s="293"/>
      <c r="EC188" s="293"/>
      <c r="EE188" s="293"/>
      <c r="EF188" s="293"/>
      <c r="EG188" s="293"/>
      <c r="EI188" s="293"/>
      <c r="EJ188" s="293"/>
      <c r="EK188" s="293"/>
    </row>
    <row r="189" spans="1:283">
      <c r="A189" s="102" t="s">
        <v>897</v>
      </c>
      <c r="AV189" s="293">
        <f>AV186-AV188</f>
        <v>546</v>
      </c>
      <c r="AW189" s="293">
        <f>AW186-AW188</f>
        <v>450</v>
      </c>
      <c r="AX189" s="293">
        <f>AV189+AW189</f>
        <v>996</v>
      </c>
      <c r="AZ189" s="293">
        <f>AZ186-AZ188</f>
        <v>376</v>
      </c>
      <c r="BA189" s="293">
        <f>BA186-BA188</f>
        <v>477</v>
      </c>
      <c r="BB189" s="293">
        <f>AZ189+BA189</f>
        <v>853</v>
      </c>
      <c r="BD189" s="293">
        <f>BD186-BD188</f>
        <v>313</v>
      </c>
      <c r="BE189" s="293">
        <f>BE186-BE188</f>
        <v>322</v>
      </c>
      <c r="BF189" s="293">
        <f>BD189+BE189</f>
        <v>635</v>
      </c>
      <c r="BG189" s="671">
        <f>+BF189/BB189-1</f>
        <v>-0.25556858147713946</v>
      </c>
      <c r="BH189" s="293">
        <f>BH186-BH188</f>
        <v>273</v>
      </c>
      <c r="BI189" s="293">
        <f>BI186-BI188</f>
        <v>267</v>
      </c>
      <c r="BJ189" s="293">
        <f>BH189+BI189</f>
        <v>540</v>
      </c>
      <c r="BK189" s="671">
        <f>+BJ189/BF189-1</f>
        <v>-0.14960629921259838</v>
      </c>
      <c r="BL189" s="293">
        <f>BL186-BL188</f>
        <v>288</v>
      </c>
      <c r="BM189" s="293">
        <f>BM186-BM188</f>
        <v>379</v>
      </c>
      <c r="BN189" s="293">
        <f>BL189+BM189</f>
        <v>667</v>
      </c>
      <c r="BO189" s="671">
        <f>+BN189/BJ189-1</f>
        <v>0.23518518518518516</v>
      </c>
      <c r="BP189" s="293">
        <f>BP186-BP188</f>
        <v>332</v>
      </c>
      <c r="BQ189" s="293">
        <f>BQ186-BQ188</f>
        <v>465</v>
      </c>
      <c r="BR189" s="293">
        <f>BP189+BQ189</f>
        <v>797</v>
      </c>
      <c r="BS189" s="671">
        <f>+BR189/BN189-1</f>
        <v>0.19490254872563728</v>
      </c>
      <c r="BT189" s="293">
        <f>BT186-BT188</f>
        <v>448</v>
      </c>
      <c r="BU189" s="293">
        <f>BU186-BU188</f>
        <v>351</v>
      </c>
      <c r="BV189" s="293">
        <f>BT189+BU189</f>
        <v>799</v>
      </c>
      <c r="BW189" s="671">
        <f>+BV189/BR189-1</f>
        <v>2.5094102885820924E-3</v>
      </c>
      <c r="BX189" s="293">
        <f>BX186-BX188</f>
        <v>382.05057471264371</v>
      </c>
      <c r="BY189" s="293">
        <f>BY186-BY188</f>
        <v>432.56206896551726</v>
      </c>
      <c r="BZ189" s="293">
        <f>BX189+BY189</f>
        <v>814.61264367816102</v>
      </c>
      <c r="CA189" s="671">
        <f>+BZ189/BV189-1</f>
        <v>1.9540229885057547E-2</v>
      </c>
      <c r="CB189" s="293">
        <f>CB186-CB188</f>
        <v>387.56091954022992</v>
      </c>
      <c r="CC189" s="293">
        <f>CC186-CC188</f>
        <v>388.47931034482758</v>
      </c>
      <c r="CD189" s="293">
        <f>CB189+CC189</f>
        <v>776.04022988505744</v>
      </c>
      <c r="CE189" s="671"/>
      <c r="CF189" s="293">
        <f>CF186-CF188</f>
        <v>514</v>
      </c>
      <c r="CG189" s="293">
        <f>CG186-CG188</f>
        <v>388</v>
      </c>
      <c r="CH189" s="293">
        <f>CF189+CG189</f>
        <v>902</v>
      </c>
      <c r="CI189" s="671"/>
      <c r="CJ189" s="293">
        <f>CJ186-CJ188</f>
        <v>411</v>
      </c>
      <c r="CK189" s="293">
        <f>CK186-CK188</f>
        <v>441</v>
      </c>
      <c r="CL189" s="293">
        <f>CJ189+CK189</f>
        <v>852</v>
      </c>
      <c r="CM189" s="671"/>
      <c r="CN189" s="293">
        <f>CN186-CN188</f>
        <v>413</v>
      </c>
      <c r="CO189" s="293">
        <f>CO186-CO188</f>
        <v>445</v>
      </c>
      <c r="CP189" s="293">
        <f>CN189+CO189</f>
        <v>858</v>
      </c>
      <c r="CQ189" s="671"/>
      <c r="CR189" s="293">
        <f>CR186-CR188</f>
        <v>618</v>
      </c>
      <c r="CS189" s="293">
        <f>CS186-CS188</f>
        <v>755</v>
      </c>
      <c r="CT189" s="293">
        <f>CR189+CS189</f>
        <v>1373</v>
      </c>
      <c r="CU189" s="671"/>
      <c r="CV189" s="293">
        <f>CV186-CV188</f>
        <v>438</v>
      </c>
      <c r="CW189" s="293">
        <f>CW186-CW188</f>
        <v>553</v>
      </c>
      <c r="CX189" s="293">
        <f>CV189+CW189</f>
        <v>991</v>
      </c>
      <c r="CY189" s="671"/>
      <c r="CZ189" s="293">
        <f>CZ186-CZ188</f>
        <v>408</v>
      </c>
      <c r="DA189" s="293">
        <f>DA186-DA188</f>
        <v>335</v>
      </c>
      <c r="DB189" s="293">
        <f>CZ189+DA189</f>
        <v>743</v>
      </c>
      <c r="DC189" s="671"/>
      <c r="DD189" s="293">
        <f>DD186-DD188</f>
        <v>413</v>
      </c>
      <c r="DE189" s="293">
        <f>DE186-DE188</f>
        <v>503</v>
      </c>
      <c r="DF189" s="293">
        <f>DD189+DE189</f>
        <v>916</v>
      </c>
      <c r="DG189" s="671"/>
      <c r="DH189" s="293">
        <f>DH186-DH188</f>
        <v>558</v>
      </c>
      <c r="DI189" s="293"/>
      <c r="DJ189" s="293"/>
      <c r="DK189" s="671"/>
      <c r="DL189" s="293"/>
      <c r="DM189" s="293"/>
      <c r="DN189" s="293"/>
      <c r="DO189" s="671"/>
      <c r="DP189" s="293"/>
      <c r="DQ189" s="293"/>
      <c r="DR189" s="293"/>
      <c r="DS189" s="671"/>
      <c r="DT189" s="671"/>
      <c r="DU189" s="671"/>
      <c r="DV189" s="671"/>
      <c r="DW189" s="828"/>
      <c r="DX189" s="293"/>
      <c r="DY189" s="293"/>
      <c r="EA189" s="293"/>
      <c r="EB189" s="293"/>
      <c r="EC189" s="293"/>
      <c r="EE189" s="293"/>
      <c r="EF189" s="293"/>
      <c r="EG189" s="293"/>
      <c r="EI189" s="293"/>
      <c r="EJ189" s="293"/>
      <c r="EK189" s="293"/>
    </row>
    <row r="190" spans="1:283" s="854" customFormat="1">
      <c r="A190" s="863" t="s">
        <v>835</v>
      </c>
      <c r="AN190" s="818"/>
      <c r="AO190" s="818"/>
      <c r="AP190" s="818"/>
      <c r="AQ190" s="818"/>
      <c r="AR190" s="818"/>
      <c r="AS190" s="818"/>
      <c r="AT190" s="818"/>
      <c r="AU190" s="818"/>
      <c r="AV190" s="818"/>
      <c r="AW190" s="818"/>
      <c r="AX190" s="818"/>
      <c r="AY190" s="818"/>
      <c r="AZ190" s="324">
        <f>AZ189/AV189-1</f>
        <v>-0.31135531135531136</v>
      </c>
      <c r="BA190" s="324">
        <f>BA189/AW189-1</f>
        <v>6.0000000000000053E-2</v>
      </c>
      <c r="BB190" s="818"/>
      <c r="BC190" s="818"/>
      <c r="BD190" s="324">
        <f>BD189/AZ189-1</f>
        <v>-0.16755319148936165</v>
      </c>
      <c r="BE190" s="324">
        <f>BE189/BA189-1</f>
        <v>-0.3249475890985325</v>
      </c>
      <c r="BF190" s="818"/>
      <c r="BG190" s="818"/>
      <c r="BH190" s="324">
        <f>BH189/BD189-1</f>
        <v>-0.12779552715654952</v>
      </c>
      <c r="BI190" s="324">
        <f>BI189/BE189-1</f>
        <v>-0.17080745341614911</v>
      </c>
      <c r="BJ190" s="818"/>
      <c r="BK190" s="818"/>
      <c r="BL190" s="324">
        <f>BL189/BH189-1</f>
        <v>5.4945054945054972E-2</v>
      </c>
      <c r="BM190" s="324">
        <f>BM189/BI189-1</f>
        <v>0.41947565543071152</v>
      </c>
      <c r="BN190" s="818"/>
      <c r="BO190" s="818"/>
      <c r="BP190" s="324">
        <f>BP189/BL189-1</f>
        <v>0.15277777777777768</v>
      </c>
      <c r="BQ190" s="324">
        <f>BQ189/BM189-1</f>
        <v>0.22691292875989455</v>
      </c>
      <c r="BR190" s="818"/>
      <c r="BS190" s="818"/>
      <c r="BT190" s="324">
        <f>BT189/BP189-1</f>
        <v>0.34939759036144569</v>
      </c>
      <c r="BU190" s="324">
        <f>BU189/BQ189-1</f>
        <v>-0.24516129032258061</v>
      </c>
      <c r="BV190" s="818"/>
      <c r="BW190" s="818"/>
      <c r="BX190" s="324">
        <f>BX189/BT189-1</f>
        <v>-0.14720853858784888</v>
      </c>
      <c r="BY190" s="324">
        <f>BY189/BU189-1</f>
        <v>0.23237056685332558</v>
      </c>
      <c r="BZ190" s="818"/>
      <c r="CA190" s="818"/>
      <c r="CB190" s="324">
        <f>CB189/BX189-1</f>
        <v>1.4423076923076872E-2</v>
      </c>
      <c r="CC190" s="324">
        <f>CC189/BY189-1</f>
        <v>-0.1019108280254778</v>
      </c>
      <c r="CD190" s="818"/>
      <c r="CE190" s="818"/>
      <c r="CF190" s="324">
        <f>CF189/CB189-1</f>
        <v>0.32624311194680544</v>
      </c>
      <c r="CG190" s="324">
        <f>CG189/CC189-1</f>
        <v>-1.233811768256432E-3</v>
      </c>
      <c r="CH190" s="818"/>
      <c r="CI190" s="818"/>
      <c r="CJ190" s="324">
        <f>CJ189/CF189-1</f>
        <v>-0.20038910505836571</v>
      </c>
      <c r="CK190" s="324">
        <f>CK189/CG189-1</f>
        <v>0.13659793814432986</v>
      </c>
      <c r="CL190" s="818"/>
      <c r="CM190" s="818"/>
      <c r="CN190" s="324">
        <f>CN189/CJ189-1</f>
        <v>4.8661800486617945E-3</v>
      </c>
      <c r="CO190" s="324">
        <f>CO189/CK189-1</f>
        <v>9.0702947845804349E-3</v>
      </c>
      <c r="CP190" s="818"/>
      <c r="CQ190" s="818"/>
      <c r="CR190" s="324">
        <f>CR189/CN189-1</f>
        <v>0.49636803874092017</v>
      </c>
      <c r="CS190" s="324"/>
      <c r="CT190" s="818"/>
      <c r="CU190" s="818"/>
      <c r="CV190" s="324">
        <f>CV189/CR189-1</f>
        <v>-0.29126213592233008</v>
      </c>
      <c r="CW190" s="324"/>
      <c r="CX190" s="818"/>
      <c r="CY190" s="818"/>
      <c r="CZ190" s="324">
        <f>CZ189/CV189-1</f>
        <v>-6.8493150684931559E-2</v>
      </c>
      <c r="DA190" s="324"/>
      <c r="DB190" s="818"/>
      <c r="DC190" s="818"/>
      <c r="DD190" s="324">
        <f>DD189/CZ189-1</f>
        <v>1.225490196078427E-2</v>
      </c>
      <c r="DE190" s="324"/>
      <c r="DF190" s="818"/>
      <c r="DG190" s="818"/>
      <c r="DH190" s="324">
        <f>DH189/DD189-1</f>
        <v>0.35108958837772386</v>
      </c>
      <c r="DI190" s="324"/>
      <c r="DJ190" s="818"/>
      <c r="DK190" s="818"/>
      <c r="DL190" s="324"/>
      <c r="DM190" s="324"/>
      <c r="DN190" s="818"/>
      <c r="DO190" s="818"/>
      <c r="DP190" s="324"/>
      <c r="DQ190" s="324"/>
      <c r="DR190" s="818"/>
      <c r="DS190" s="818"/>
      <c r="DT190" s="818"/>
      <c r="DU190" s="818"/>
      <c r="DV190" s="818"/>
      <c r="DW190" s="992"/>
      <c r="DX190" s="818"/>
      <c r="DY190" s="818"/>
      <c r="DZ190" s="818"/>
      <c r="EA190" s="818"/>
      <c r="EB190" s="818"/>
      <c r="EC190" s="818"/>
      <c r="ED190" s="818"/>
      <c r="EE190" s="818"/>
      <c r="EF190" s="818"/>
      <c r="EG190" s="818"/>
      <c r="EH190" s="818"/>
      <c r="EI190" s="818"/>
      <c r="EJ190" s="818"/>
      <c r="EK190" s="818"/>
      <c r="EL190" s="818"/>
      <c r="EM190" s="818"/>
      <c r="EN190" s="818"/>
      <c r="EO190" s="818"/>
      <c r="EP190" s="818"/>
      <c r="EQ190" s="818"/>
      <c r="ER190" s="818"/>
      <c r="ES190" s="818"/>
      <c r="ET190" s="818"/>
      <c r="EU190" s="818"/>
      <c r="JW190"/>
    </row>
    <row r="191" spans="1:283" s="858" customFormat="1">
      <c r="A191" s="1220" t="s">
        <v>382</v>
      </c>
      <c r="AN191" s="929"/>
      <c r="AO191" s="929"/>
      <c r="AP191" s="929"/>
      <c r="AQ191" s="929"/>
      <c r="AR191" s="929"/>
      <c r="AS191" s="929"/>
      <c r="AT191" s="929"/>
      <c r="AU191" s="929"/>
      <c r="AV191" s="929"/>
      <c r="AW191" s="929"/>
      <c r="AX191" s="929"/>
      <c r="AY191" s="929"/>
      <c r="AZ191" s="643">
        <f>AZ189/AW189-1</f>
        <v>-0.16444444444444439</v>
      </c>
      <c r="BA191" s="643">
        <f>BA189/AZ189-1</f>
        <v>0.2686170212765957</v>
      </c>
      <c r="BB191" s="929"/>
      <c r="BC191" s="929"/>
      <c r="BD191" s="643">
        <f>BD189/BA189-1</f>
        <v>-0.34381551362683438</v>
      </c>
      <c r="BE191" s="643">
        <f>BE189/BD189-1</f>
        <v>2.8753993610223683E-2</v>
      </c>
      <c r="BF191" s="929"/>
      <c r="BG191" s="929"/>
      <c r="BH191" s="643">
        <f>BH189/BE189-1</f>
        <v>-0.15217391304347827</v>
      </c>
      <c r="BI191" s="643">
        <f>BI189/BH189-1</f>
        <v>-2.1978021978022011E-2</v>
      </c>
      <c r="BJ191" s="929"/>
      <c r="BK191" s="929"/>
      <c r="BL191" s="643">
        <f>BL189/BI189-1</f>
        <v>7.8651685393258397E-2</v>
      </c>
      <c r="BM191" s="643">
        <f>BM189/BL189-1</f>
        <v>0.31597222222222232</v>
      </c>
      <c r="BN191" s="929"/>
      <c r="BO191" s="929"/>
      <c r="BP191" s="643">
        <f>BP189/BM189-1</f>
        <v>-0.12401055408970973</v>
      </c>
      <c r="BQ191" s="643">
        <f>BQ189/BP189-1</f>
        <v>0.40060240963855431</v>
      </c>
      <c r="BR191" s="929"/>
      <c r="BS191" s="929"/>
      <c r="BT191" s="643">
        <f>BT189/BQ189-1</f>
        <v>-3.6559139784946182E-2</v>
      </c>
      <c r="BU191" s="643">
        <f>BU189/BT189-1</f>
        <v>-0.2165178571428571</v>
      </c>
      <c r="BV191" s="929"/>
      <c r="BW191" s="1221"/>
      <c r="BX191" s="643">
        <f>BX189/BU189-1</f>
        <v>8.8463175819497808E-2</v>
      </c>
      <c r="BY191" s="643">
        <f>BY189/BX189-1</f>
        <v>0.13221153846153832</v>
      </c>
      <c r="BZ191" s="929"/>
      <c r="CA191" s="929"/>
      <c r="CB191" s="643">
        <f>CB189/BY189-1</f>
        <v>-0.10403397027600847</v>
      </c>
      <c r="CC191" s="643">
        <f>CC189/CB189-1</f>
        <v>2.3696682464453556E-3</v>
      </c>
      <c r="CD191" s="929"/>
      <c r="CE191" s="929"/>
      <c r="CF191" s="643">
        <f>CF189/CC189-1</f>
        <v>0.32310778544102114</v>
      </c>
      <c r="CG191" s="643">
        <f>CG189/CF189-1</f>
        <v>-0.24513618677042803</v>
      </c>
      <c r="CH191" s="929"/>
      <c r="CI191" s="929"/>
      <c r="CJ191" s="643">
        <f>CJ189/CG189-1</f>
        <v>5.9278350515463929E-2</v>
      </c>
      <c r="CK191" s="643">
        <f>CK189/CJ189-1</f>
        <v>7.2992700729926918E-2</v>
      </c>
      <c r="CL191" s="929"/>
      <c r="CM191" s="929"/>
      <c r="CN191" s="643">
        <f>CN189/CK189-1</f>
        <v>-6.3492063492063489E-2</v>
      </c>
      <c r="CO191" s="643">
        <f>CO189/CN189-1</f>
        <v>7.7481840193704521E-2</v>
      </c>
      <c r="CP191" s="929"/>
      <c r="CQ191" s="929"/>
      <c r="CR191" s="643">
        <f>CR189/CO189-1</f>
        <v>0.38876404494382033</v>
      </c>
      <c r="CS191" s="1500"/>
      <c r="CT191" s="1221"/>
      <c r="CU191" s="929"/>
      <c r="CV191" s="643">
        <f>CV189/CS189-1</f>
        <v>-0.41986754966887418</v>
      </c>
      <c r="CW191" s="1500"/>
      <c r="CX191" s="1221"/>
      <c r="CY191" s="929"/>
      <c r="CZ191" s="643">
        <f>CZ189/CW189-1</f>
        <v>-0.26220614828209765</v>
      </c>
      <c r="DA191" s="1500"/>
      <c r="DB191" s="1221"/>
      <c r="DC191" s="929"/>
      <c r="DD191" s="643">
        <f>DD189/DA189-1</f>
        <v>0.23283582089552235</v>
      </c>
      <c r="DE191" s="1500"/>
      <c r="DF191" s="1221"/>
      <c r="DG191" s="929"/>
      <c r="DH191" s="643">
        <f>DH189/DE189-1</f>
        <v>0.10934393638170969</v>
      </c>
      <c r="DI191" s="1222"/>
      <c r="DJ191" s="1221"/>
      <c r="DK191" s="929"/>
      <c r="DL191" s="1222"/>
      <c r="DM191" s="1222"/>
      <c r="DN191" s="1221"/>
      <c r="DO191" s="929"/>
      <c r="DP191" s="1222"/>
      <c r="DQ191" s="1222"/>
      <c r="DR191" s="1221"/>
      <c r="DS191" s="929"/>
      <c r="DT191" s="929"/>
      <c r="DU191" s="929"/>
      <c r="DV191" s="929"/>
      <c r="DW191" s="1223"/>
      <c r="DX191" s="929"/>
      <c r="DY191" s="929"/>
      <c r="DZ191" s="929"/>
      <c r="EA191" s="929"/>
      <c r="EB191" s="929"/>
      <c r="EC191" s="929"/>
      <c r="ED191" s="929"/>
      <c r="EE191" s="929"/>
      <c r="EF191" s="929"/>
      <c r="EG191" s="929"/>
      <c r="EH191" s="929"/>
      <c r="EI191" s="929"/>
      <c r="EJ191" s="929"/>
      <c r="EK191" s="929"/>
      <c r="EL191" s="929"/>
      <c r="EM191" s="929"/>
      <c r="EN191" s="929"/>
      <c r="EO191" s="929"/>
      <c r="EP191" s="929"/>
      <c r="EQ191" s="929"/>
      <c r="ER191" s="929"/>
      <c r="ES191" s="929"/>
      <c r="ET191" s="929"/>
      <c r="EU191" s="929"/>
      <c r="JW191"/>
    </row>
    <row r="192" spans="1:283">
      <c r="AV192" s="293"/>
      <c r="AW192" s="293"/>
      <c r="AX192" s="293"/>
      <c r="AZ192" s="293"/>
      <c r="BA192" s="293"/>
      <c r="BB192" s="293"/>
      <c r="BD192" s="293"/>
      <c r="BE192" s="293"/>
      <c r="BF192" s="293"/>
      <c r="BG192" s="671"/>
      <c r="BH192" s="293"/>
      <c r="BI192" s="293"/>
      <c r="BJ192" s="293"/>
      <c r="BK192" s="671"/>
      <c r="BL192" s="293"/>
      <c r="BM192" s="293"/>
      <c r="BN192" s="293"/>
      <c r="BO192" s="671"/>
      <c r="BP192" s="293"/>
      <c r="BQ192" s="293"/>
      <c r="BR192" s="293"/>
      <c r="BS192" s="671"/>
      <c r="BT192" s="293"/>
      <c r="BU192" s="293"/>
      <c r="BV192" s="293"/>
      <c r="BW192" s="671"/>
      <c r="BX192" s="293"/>
      <c r="BY192" s="293"/>
      <c r="BZ192" s="293"/>
      <c r="CA192" s="671"/>
      <c r="CB192" s="293"/>
      <c r="CC192" s="293"/>
      <c r="CD192" s="293"/>
      <c r="CE192" s="671"/>
      <c r="CF192" s="293"/>
      <c r="CG192" s="293"/>
      <c r="CH192" s="293"/>
      <c r="CI192" s="671"/>
      <c r="CJ192" s="293"/>
      <c r="CK192" s="293"/>
      <c r="CL192" s="293"/>
      <c r="CM192" s="671"/>
      <c r="CN192" s="293"/>
      <c r="CO192" s="293"/>
      <c r="CP192" s="293"/>
      <c r="CQ192" s="671"/>
      <c r="CR192" s="293"/>
      <c r="CS192" s="1495"/>
      <c r="CT192" s="293"/>
      <c r="CU192" s="671"/>
      <c r="CV192" s="293"/>
      <c r="CW192" s="1495"/>
      <c r="CX192" s="293"/>
      <c r="CY192" s="671"/>
      <c r="CZ192" s="293"/>
      <c r="DA192" s="1495"/>
      <c r="DB192" s="293"/>
      <c r="DC192" s="671"/>
      <c r="DD192" s="293"/>
      <c r="DE192" s="1495"/>
      <c r="DF192" s="293"/>
      <c r="DG192" s="671"/>
      <c r="DH192" s="293"/>
      <c r="DI192" s="293"/>
      <c r="DJ192" s="293"/>
      <c r="DK192" s="671"/>
      <c r="DL192" s="293"/>
      <c r="DM192" s="293"/>
      <c r="DN192" s="293"/>
      <c r="DO192" s="671"/>
      <c r="DP192" s="293"/>
      <c r="DQ192" s="293"/>
      <c r="DR192" s="293"/>
      <c r="DS192" s="671"/>
      <c r="DT192" s="671"/>
      <c r="DU192" s="671"/>
      <c r="DV192" s="671"/>
      <c r="DW192" s="828"/>
      <c r="DX192" s="293"/>
      <c r="DY192" s="293"/>
      <c r="EA192" s="293"/>
      <c r="EB192" s="293"/>
      <c r="EC192" s="293"/>
      <c r="EE192" s="293"/>
      <c r="EF192" s="293"/>
      <c r="EG192" s="293"/>
      <c r="EI192" s="293"/>
      <c r="EJ192" s="293"/>
      <c r="EK192" s="293"/>
    </row>
    <row r="193" spans="1:283" s="289" customFormat="1">
      <c r="A193" s="289" t="s">
        <v>1408</v>
      </c>
      <c r="AN193" s="290"/>
      <c r="AO193" s="290"/>
      <c r="AP193" s="290"/>
      <c r="AQ193" s="290"/>
      <c r="AR193" s="290"/>
      <c r="AS193" s="290"/>
      <c r="AT193" s="290"/>
      <c r="AU193" s="290"/>
      <c r="AV193" s="655">
        <f>31+34+15+61+3+8</f>
        <v>152</v>
      </c>
      <c r="AW193" s="655">
        <f>49+31+23+96+41+26</f>
        <v>266</v>
      </c>
      <c r="AX193" s="295">
        <f>+AW193+AV193</f>
        <v>418</v>
      </c>
      <c r="AY193" s="290"/>
      <c r="AZ193" s="655">
        <f>33+27+16+83+27+33</f>
        <v>219</v>
      </c>
      <c r="BA193" s="655">
        <v>328</v>
      </c>
      <c r="BB193" s="295">
        <f>+BA193+AZ193</f>
        <v>547</v>
      </c>
      <c r="BC193" s="290"/>
      <c r="BD193" s="655">
        <v>214</v>
      </c>
      <c r="BE193" s="655">
        <v>221</v>
      </c>
      <c r="BF193" s="295">
        <f>+BE193+BD193</f>
        <v>435</v>
      </c>
      <c r="BG193" s="672"/>
      <c r="BH193" s="655">
        <v>205</v>
      </c>
      <c r="BI193" s="655">
        <v>242</v>
      </c>
      <c r="BJ193" s="295">
        <f>+BI193+BH193</f>
        <v>447</v>
      </c>
      <c r="BK193" s="672"/>
      <c r="BL193" s="655">
        <v>214</v>
      </c>
      <c r="BM193" s="655">
        <v>258</v>
      </c>
      <c r="BN193" s="295">
        <f>+BM193+BL193</f>
        <v>472</v>
      </c>
      <c r="BO193" s="672"/>
      <c r="BP193" s="655">
        <v>219</v>
      </c>
      <c r="BQ193" s="655">
        <f>470-BP193</f>
        <v>251</v>
      </c>
      <c r="BR193" s="295">
        <f>+BQ193+BP193</f>
        <v>470</v>
      </c>
      <c r="BS193" s="672"/>
      <c r="BT193" s="655">
        <v>216</v>
      </c>
      <c r="BU193" s="655">
        <v>186</v>
      </c>
      <c r="BV193" s="295">
        <f>+BU193+BT193</f>
        <v>402</v>
      </c>
      <c r="BW193" s="672"/>
      <c r="BX193" s="655">
        <v>212</v>
      </c>
      <c r="BY193" s="655">
        <f>385-BX193</f>
        <v>173</v>
      </c>
      <c r="BZ193" s="295">
        <f>+BY193+BX193</f>
        <v>385</v>
      </c>
      <c r="CA193" s="672"/>
      <c r="CB193" s="655">
        <v>199</v>
      </c>
      <c r="CC193" s="655">
        <v>203</v>
      </c>
      <c r="CD193" s="295">
        <f>+CC193+CB193</f>
        <v>402</v>
      </c>
      <c r="CE193" s="672"/>
      <c r="CF193" s="655">
        <v>250</v>
      </c>
      <c r="CG193" s="655">
        <v>169</v>
      </c>
      <c r="CH193" s="295">
        <f>+CG193+CF193</f>
        <v>419</v>
      </c>
      <c r="CI193" s="672"/>
      <c r="CJ193" s="655">
        <v>181</v>
      </c>
      <c r="CK193" s="1327">
        <f>376-CJ193</f>
        <v>195</v>
      </c>
      <c r="CL193" s="295">
        <f>+CK193+CJ193</f>
        <v>376</v>
      </c>
      <c r="CM193" s="672"/>
      <c r="CN193" s="1389">
        <v>159</v>
      </c>
      <c r="CO193" s="1389">
        <f>417-CN193</f>
        <v>258</v>
      </c>
      <c r="CP193" s="1412">
        <f>+CO193+CN193</f>
        <v>417</v>
      </c>
      <c r="CQ193" s="1420"/>
      <c r="CR193" s="1389">
        <v>253</v>
      </c>
      <c r="CS193" s="1505">
        <f>476-CR193</f>
        <v>223</v>
      </c>
      <c r="CT193" s="1412">
        <f>+CS193+CR193</f>
        <v>476</v>
      </c>
      <c r="CU193" s="672"/>
      <c r="CV193" s="1389">
        <v>150</v>
      </c>
      <c r="CW193" s="1489">
        <f>476-CV193</f>
        <v>326</v>
      </c>
      <c r="CX193" s="1412">
        <f>+CW193+CV193</f>
        <v>476</v>
      </c>
      <c r="CY193" s="672"/>
      <c r="CZ193" s="1389">
        <v>130</v>
      </c>
      <c r="DA193" s="1489">
        <f>290-CZ193</f>
        <v>160</v>
      </c>
      <c r="DB193" s="1412">
        <f>+DA193+CZ193</f>
        <v>290</v>
      </c>
      <c r="DC193" s="672"/>
      <c r="DD193" s="2175">
        <v>136</v>
      </c>
      <c r="DE193" s="2194">
        <f>290-DD193</f>
        <v>154</v>
      </c>
      <c r="DF193" s="1412">
        <f>+DE193+DD193</f>
        <v>290</v>
      </c>
      <c r="DG193" s="672"/>
      <c r="DH193" s="2197">
        <v>136</v>
      </c>
      <c r="DI193" s="295">
        <f>+DH193*(1+DI195)</f>
        <v>142.80000000000001</v>
      </c>
      <c r="DJ193" s="295">
        <f>+DI193+DH193</f>
        <v>278.8</v>
      </c>
      <c r="DK193" s="672"/>
      <c r="DL193" s="295">
        <f>+DH193*(1+DL195)</f>
        <v>142.80000000000001</v>
      </c>
      <c r="DM193" s="295">
        <f>+DL193*(1+DM195)</f>
        <v>149.94000000000003</v>
      </c>
      <c r="DN193" s="295">
        <f>+DM193+DL193</f>
        <v>292.74</v>
      </c>
      <c r="DO193" s="672"/>
      <c r="DP193" s="295">
        <f>+DL193*(1+DP195)</f>
        <v>149.94000000000003</v>
      </c>
      <c r="DQ193" s="295">
        <f>+DP193*(1+DQ195)</f>
        <v>157.43700000000004</v>
      </c>
      <c r="DR193" s="295">
        <f>+DQ193+DP193</f>
        <v>307.37700000000007</v>
      </c>
      <c r="DS193" s="672"/>
      <c r="DT193" s="672"/>
      <c r="DU193" s="672"/>
      <c r="DV193" s="672"/>
      <c r="DW193" s="831"/>
      <c r="DX193" s="295"/>
      <c r="DY193" s="295"/>
      <c r="DZ193" s="290"/>
      <c r="EA193" s="295"/>
      <c r="EB193" s="295"/>
      <c r="EC193" s="295"/>
      <c r="ED193" s="290"/>
      <c r="EE193" s="295"/>
      <c r="EF193" s="295"/>
      <c r="EG193" s="295"/>
      <c r="EH193" s="290"/>
      <c r="EI193" s="295"/>
      <c r="EJ193" s="295"/>
      <c r="EK193" s="295"/>
      <c r="EL193" s="290"/>
      <c r="EM193" s="290"/>
      <c r="EN193" s="290"/>
      <c r="EO193" s="290"/>
      <c r="EP193" s="290"/>
      <c r="EQ193" s="290"/>
      <c r="ER193" s="290"/>
      <c r="ES193" s="290"/>
      <c r="ET193" s="290"/>
      <c r="EU193" s="290"/>
      <c r="JW193"/>
    </row>
    <row r="194" spans="1:283">
      <c r="A194" s="323" t="s">
        <v>382</v>
      </c>
      <c r="AV194" s="324"/>
      <c r="AW194" s="324"/>
      <c r="AX194" s="293"/>
      <c r="AZ194" s="324">
        <f>+AZ193/AW193-1</f>
        <v>-0.17669172932330823</v>
      </c>
      <c r="BA194" s="324">
        <f>+BA193/AZ193-1</f>
        <v>0.49771689497716887</v>
      </c>
      <c r="BB194" s="293"/>
      <c r="BD194" s="324">
        <f>+BD193/BA193-1</f>
        <v>-0.34756097560975607</v>
      </c>
      <c r="BE194" s="324">
        <f>+BE193/BD193-1</f>
        <v>3.2710280373831724E-2</v>
      </c>
      <c r="BF194" s="293"/>
      <c r="BG194" s="671"/>
      <c r="BH194" s="324">
        <f>+BH193/BE193-1</f>
        <v>-7.2398190045248834E-2</v>
      </c>
      <c r="BI194" s="324">
        <f>+BI193/BH193-1</f>
        <v>0.18048780487804872</v>
      </c>
      <c r="BJ194" s="293"/>
      <c r="BK194" s="671"/>
      <c r="BL194" s="324">
        <f>+BL193/BI193-1</f>
        <v>-0.11570247933884292</v>
      </c>
      <c r="BM194" s="324">
        <f>+BM193/BL193-1</f>
        <v>0.20560747663551404</v>
      </c>
      <c r="BN194" s="293"/>
      <c r="BO194" s="671"/>
      <c r="BP194" s="324">
        <f>+BP193/BM193-1</f>
        <v>-0.15116279069767447</v>
      </c>
      <c r="BQ194" s="324">
        <f>+BQ193/BP193-1</f>
        <v>0.14611872146118721</v>
      </c>
      <c r="BR194" s="293"/>
      <c r="BS194" s="671"/>
      <c r="BT194" s="324">
        <f>+BT193/BQ193-1</f>
        <v>-0.1394422310756972</v>
      </c>
      <c r="BU194" s="324">
        <f>+BU193/BT193-1</f>
        <v>-0.13888888888888884</v>
      </c>
      <c r="BV194" s="293"/>
      <c r="BW194" s="671"/>
      <c r="BX194" s="324">
        <f>+BX193/BU193-1</f>
        <v>0.13978494623655924</v>
      </c>
      <c r="BY194" s="324">
        <f>+BY193/BX193-1</f>
        <v>-0.18396226415094341</v>
      </c>
      <c r="BZ194" s="293"/>
      <c r="CA194" s="671"/>
      <c r="CB194" s="324">
        <f>+CB193/BY193-1</f>
        <v>0.1502890173410405</v>
      </c>
      <c r="CC194" s="324">
        <f>+CC193/CB193-1</f>
        <v>2.0100502512562901E-2</v>
      </c>
      <c r="CD194" s="293"/>
      <c r="CE194" s="671"/>
      <c r="CF194" s="324">
        <f>+CF193/CC193-1</f>
        <v>0.23152709359605916</v>
      </c>
      <c r="CG194" s="324">
        <f>+CG193/CF193-1</f>
        <v>-0.32399999999999995</v>
      </c>
      <c r="CH194" s="293"/>
      <c r="CI194" s="671"/>
      <c r="CJ194" s="324">
        <f>+CJ193/CG193-1</f>
        <v>7.1005917159763232E-2</v>
      </c>
      <c r="CK194" s="324">
        <f>+CK193/CJ193-1</f>
        <v>7.7348066298342566E-2</v>
      </c>
      <c r="CL194" s="293"/>
      <c r="CM194" s="671"/>
      <c r="CN194" s="324">
        <f>+CN193/CK193-1</f>
        <v>-0.18461538461538463</v>
      </c>
      <c r="CO194" s="324">
        <f>+CO193/CN193-1</f>
        <v>0.62264150943396235</v>
      </c>
      <c r="CP194" s="293"/>
      <c r="CQ194" s="671"/>
      <c r="CR194" s="324">
        <f>+CR193/CO193-1</f>
        <v>-1.9379844961240345E-2</v>
      </c>
      <c r="CS194" s="324">
        <f>+CS193/CR193-1</f>
        <v>-0.11857707509881421</v>
      </c>
      <c r="CT194" s="293"/>
      <c r="CU194" s="671"/>
      <c r="CV194" s="324">
        <f>+CV193/CS193-1</f>
        <v>-0.32735426008968604</v>
      </c>
      <c r="CW194" s="324">
        <f>+CW193/CV193-1</f>
        <v>1.1733333333333333</v>
      </c>
      <c r="CX194" s="293"/>
      <c r="CY194" s="671"/>
      <c r="CZ194" s="324">
        <f>+CZ193/CW193-1</f>
        <v>-0.60122699386503076</v>
      </c>
      <c r="DA194" s="324">
        <f>+DA193/CZ193-1</f>
        <v>0.23076923076923084</v>
      </c>
      <c r="DB194" s="293"/>
      <c r="DC194" s="671"/>
      <c r="DD194" s="324">
        <f>+DD193/DA193-1</f>
        <v>-0.15000000000000002</v>
      </c>
      <c r="DE194" s="324">
        <f>+DE193/DD193-1</f>
        <v>0.13235294117647056</v>
      </c>
      <c r="DF194" s="293"/>
      <c r="DG194" s="671"/>
      <c r="DH194" s="324">
        <f>+DH193/DE193-1</f>
        <v>-0.11688311688311692</v>
      </c>
      <c r="DI194" s="324">
        <f>+DI193/DH193-1</f>
        <v>5.0000000000000044E-2</v>
      </c>
      <c r="DJ194" s="293"/>
      <c r="DK194" s="671"/>
      <c r="DL194" s="324">
        <f>+DL193/DI193-1</f>
        <v>0</v>
      </c>
      <c r="DM194" s="324">
        <f>+DM193/DL193-1</f>
        <v>5.0000000000000044E-2</v>
      </c>
      <c r="DN194" s="293"/>
      <c r="DO194" s="671"/>
      <c r="DP194" s="324">
        <f>+DP193/DM193-1</f>
        <v>0</v>
      </c>
      <c r="DQ194" s="324">
        <f>+DQ193/DP193-1</f>
        <v>5.0000000000000044E-2</v>
      </c>
      <c r="DR194" s="293"/>
      <c r="DS194" s="671"/>
      <c r="DT194" s="671"/>
      <c r="DU194" s="671"/>
      <c r="DV194" s="671"/>
      <c r="DW194" s="828"/>
      <c r="DX194" s="293"/>
      <c r="DY194" s="293"/>
      <c r="EA194" s="293"/>
      <c r="EB194" s="293"/>
      <c r="EC194" s="293"/>
      <c r="EE194" s="293"/>
      <c r="EF194" s="293"/>
      <c r="EG194" s="293"/>
      <c r="EI194" s="293"/>
      <c r="EJ194" s="293"/>
      <c r="EK194" s="293"/>
    </row>
    <row r="195" spans="1:283" s="302" customFormat="1">
      <c r="A195" s="642" t="s">
        <v>835</v>
      </c>
      <c r="AN195" s="304"/>
      <c r="AO195" s="304"/>
      <c r="AP195" s="304"/>
      <c r="AQ195" s="304"/>
      <c r="AR195" s="304"/>
      <c r="AS195" s="304"/>
      <c r="AT195" s="304"/>
      <c r="AU195" s="304"/>
      <c r="AV195" s="643"/>
      <c r="AW195" s="643"/>
      <c r="AX195" s="304"/>
      <c r="AY195" s="304"/>
      <c r="AZ195" s="643">
        <f>+AZ193/AV193-1</f>
        <v>0.44078947368421062</v>
      </c>
      <c r="BA195" s="643">
        <f>+BA193/AW193-1</f>
        <v>0.23308270676691722</v>
      </c>
      <c r="BB195" s="643">
        <f>+BB193/AX193-1</f>
        <v>0.30861244019138745</v>
      </c>
      <c r="BC195" s="304"/>
      <c r="BD195" s="643">
        <f>+BD193/AZ193-1</f>
        <v>-2.2831050228310557E-2</v>
      </c>
      <c r="BE195" s="643">
        <f>+BE193/BA193-1</f>
        <v>-0.32621951219512191</v>
      </c>
      <c r="BF195" s="643">
        <f>+BF193/BB193-1</f>
        <v>-0.20475319926873858</v>
      </c>
      <c r="BG195" s="304"/>
      <c r="BH195" s="643">
        <f>+BH193/BD193-1</f>
        <v>-4.2056074766355089E-2</v>
      </c>
      <c r="BI195" s="643">
        <f>+BI193/BE193-1</f>
        <v>9.5022624434389247E-2</v>
      </c>
      <c r="BJ195" s="643">
        <f>+BJ193/BF193-1</f>
        <v>2.7586206896551779E-2</v>
      </c>
      <c r="BK195" s="304"/>
      <c r="BL195" s="643">
        <f>+BL193/BH193-1</f>
        <v>4.3902439024390283E-2</v>
      </c>
      <c r="BM195" s="643">
        <f>+BM193/BI193-1</f>
        <v>6.6115702479338845E-2</v>
      </c>
      <c r="BN195" s="643">
        <f>+BN193/BJ193-1</f>
        <v>5.5928411633109576E-2</v>
      </c>
      <c r="BO195" s="304"/>
      <c r="BP195" s="643">
        <f>+BP193/BL193-1</f>
        <v>2.3364485981308469E-2</v>
      </c>
      <c r="BQ195" s="643">
        <f>+BQ193/BM193-1</f>
        <v>-2.7131782945736482E-2</v>
      </c>
      <c r="BR195" s="643">
        <f>+BR193/BN193-1</f>
        <v>-4.237288135593209E-3</v>
      </c>
      <c r="BS195" s="304"/>
      <c r="BT195" s="643">
        <f>+BT193/BP193-1</f>
        <v>-1.3698630136986356E-2</v>
      </c>
      <c r="BU195" s="643">
        <f>+BU193/BQ193-1</f>
        <v>-0.25896414342629481</v>
      </c>
      <c r="BV195" s="643">
        <f>+BV193/BR193-1</f>
        <v>-0.14468085106382977</v>
      </c>
      <c r="BW195" s="304"/>
      <c r="BX195" s="643">
        <f>+BX193/BT193-1</f>
        <v>-1.851851851851849E-2</v>
      </c>
      <c r="BY195" s="643">
        <f>+BY193/BU193-1</f>
        <v>-6.9892473118279619E-2</v>
      </c>
      <c r="BZ195" s="643">
        <f>+BZ193/BV193-1</f>
        <v>-4.2288557213930322E-2</v>
      </c>
      <c r="CA195" s="304"/>
      <c r="CB195" s="643">
        <f>+CB193/BX193-1</f>
        <v>-6.1320754716981174E-2</v>
      </c>
      <c r="CC195" s="643">
        <f>+CC193/BY193-1</f>
        <v>0.17341040462427748</v>
      </c>
      <c r="CD195" s="643">
        <f>+CD193/BZ193-1</f>
        <v>4.415584415584406E-2</v>
      </c>
      <c r="CE195" s="304"/>
      <c r="CF195" s="643">
        <f>+CF193/CB193-1</f>
        <v>0.25628140703517599</v>
      </c>
      <c r="CG195" s="643">
        <f>+CG193/CC193-1</f>
        <v>-0.16748768472906406</v>
      </c>
      <c r="CH195" s="643">
        <f>+CH193/CD193-1</f>
        <v>4.2288557213930433E-2</v>
      </c>
      <c r="CI195" s="304"/>
      <c r="CJ195" s="643">
        <f>+CJ193/CF193-1</f>
        <v>-0.27600000000000002</v>
      </c>
      <c r="CK195" s="643">
        <f>+CK193/CG193-1</f>
        <v>0.15384615384615374</v>
      </c>
      <c r="CL195" s="643">
        <f>+CL193/CH193-1</f>
        <v>-0.10262529832935563</v>
      </c>
      <c r="CM195" s="304"/>
      <c r="CN195" s="643">
        <f>+CN193/CJ193-1</f>
        <v>-0.12154696132596687</v>
      </c>
      <c r="CO195" s="643">
        <f>+CO193/CK193-1</f>
        <v>0.32307692307692304</v>
      </c>
      <c r="CP195" s="643">
        <f>+CP193/CL193-1</f>
        <v>0.10904255319148937</v>
      </c>
      <c r="CQ195" s="304"/>
      <c r="CR195" s="643">
        <f>+CR193/CN193-1</f>
        <v>0.59119496855345921</v>
      </c>
      <c r="CS195" s="643">
        <f>+CS193/CO193-1</f>
        <v>-0.13565891472868219</v>
      </c>
      <c r="CT195" s="643">
        <f>+CT193/CP193-1</f>
        <v>0.14148681055155876</v>
      </c>
      <c r="CU195" s="304"/>
      <c r="CV195" s="643">
        <f>+CV193/CR193-1</f>
        <v>-0.40711462450592883</v>
      </c>
      <c r="CW195" s="643">
        <f>+CW193/CS193-1</f>
        <v>0.46188340807174888</v>
      </c>
      <c r="CX195" s="643">
        <f>+CX193/CT193-1</f>
        <v>0</v>
      </c>
      <c r="CY195" s="304"/>
      <c r="CZ195" s="643">
        <f>+CZ193/CV193-1</f>
        <v>-0.1333333333333333</v>
      </c>
      <c r="DA195" s="643">
        <f>+DA193/CW193-1</f>
        <v>-0.50920245398773001</v>
      </c>
      <c r="DB195" s="643">
        <f>+DB193/CX193-1</f>
        <v>-0.39075630252100846</v>
      </c>
      <c r="DC195" s="304"/>
      <c r="DD195" s="643">
        <f>+DD193/CZ193-1</f>
        <v>4.6153846153846212E-2</v>
      </c>
      <c r="DE195" s="643">
        <f>+DE193/DA193-1</f>
        <v>-3.7499999999999978E-2</v>
      </c>
      <c r="DF195" s="643">
        <f>+DF193/DB193-1</f>
        <v>0</v>
      </c>
      <c r="DG195" s="304"/>
      <c r="DH195" s="643">
        <f>+DH193/DD193-1</f>
        <v>0</v>
      </c>
      <c r="DI195" s="1222">
        <v>0.05</v>
      </c>
      <c r="DJ195" s="643">
        <f>+DJ193/DF193-1</f>
        <v>-3.8620689655172402E-2</v>
      </c>
      <c r="DK195" s="304"/>
      <c r="DL195" s="1222">
        <v>0.05</v>
      </c>
      <c r="DM195" s="1222">
        <v>0.05</v>
      </c>
      <c r="DN195" s="643">
        <f>+DN193/DJ193-1</f>
        <v>5.0000000000000044E-2</v>
      </c>
      <c r="DO195" s="304"/>
      <c r="DP195" s="1222">
        <v>0.05</v>
      </c>
      <c r="DQ195" s="1222">
        <v>0.05</v>
      </c>
      <c r="DR195" s="643">
        <f>+DR193/DN193-1</f>
        <v>5.0000000000000266E-2</v>
      </c>
      <c r="DS195" s="304"/>
      <c r="DT195" s="304"/>
      <c r="DU195" s="304"/>
      <c r="DV195" s="304"/>
      <c r="DW195" s="1224" t="s">
        <v>175</v>
      </c>
      <c r="DX195" s="304"/>
      <c r="DY195" s="304"/>
      <c r="DZ195" s="304"/>
      <c r="EA195" s="304"/>
      <c r="EB195" s="304"/>
      <c r="EC195" s="304"/>
      <c r="ED195" s="304"/>
      <c r="EE195" s="304"/>
      <c r="EF195" s="304"/>
      <c r="EG195" s="304"/>
      <c r="EH195" s="304"/>
      <c r="EI195" s="304"/>
      <c r="EJ195" s="304"/>
      <c r="EK195" s="304"/>
      <c r="EL195" s="304"/>
      <c r="EM195" s="304"/>
      <c r="EN195" s="304"/>
      <c r="EO195" s="304"/>
      <c r="EP195" s="304"/>
      <c r="EQ195" s="304"/>
      <c r="ER195" s="304"/>
      <c r="ES195" s="304"/>
      <c r="ET195" s="304"/>
      <c r="EU195" s="304"/>
      <c r="JW195"/>
    </row>
    <row r="196" spans="1:283">
      <c r="A196" s="102" t="s">
        <v>774</v>
      </c>
      <c r="AV196" s="369">
        <f>+AV186/AV193</f>
        <v>3.5921052631578947</v>
      </c>
      <c r="AW196" s="369">
        <f>+AW186/AW193</f>
        <v>1.6917293233082706</v>
      </c>
      <c r="AX196" s="369">
        <f>+AX186/AX193</f>
        <v>2.3827751196172251</v>
      </c>
      <c r="AZ196" s="369">
        <f>+AZ186/AZ193</f>
        <v>1.7168949771689497</v>
      </c>
      <c r="BA196" s="369">
        <f>+BA186/BA193</f>
        <v>1.4542682926829269</v>
      </c>
      <c r="BB196" s="369">
        <f>+BB186/BB193</f>
        <v>1.5594149908592321</v>
      </c>
      <c r="BD196" s="369">
        <f>+BD186/BD193</f>
        <v>1.4626168224299065</v>
      </c>
      <c r="BE196" s="369">
        <f>+BE186/BE193</f>
        <v>1.4570135746606334</v>
      </c>
      <c r="BF196" s="369">
        <f>+BF186/BF193</f>
        <v>1.4597701149425288</v>
      </c>
      <c r="BG196" s="671"/>
      <c r="BH196" s="369">
        <f>+BH186/BH193</f>
        <v>1.3317073170731708</v>
      </c>
      <c r="BI196" s="369">
        <f>+BI186/BI193</f>
        <v>1.1033057851239669</v>
      </c>
      <c r="BJ196" s="369">
        <f>+BJ186/BJ193</f>
        <v>1.2080536912751678</v>
      </c>
      <c r="BK196" s="671"/>
      <c r="BL196" s="369">
        <f>+BL186/BL193</f>
        <v>1.3457943925233644</v>
      </c>
      <c r="BM196" s="369">
        <f>+BM186/BM193</f>
        <v>1.4689922480620154</v>
      </c>
      <c r="BN196" s="369">
        <f>+BN186/BN193</f>
        <v>1.4131355932203389</v>
      </c>
      <c r="BO196" s="671"/>
      <c r="BP196" s="369">
        <f>+BP186/BP193</f>
        <v>1.5159817351598173</v>
      </c>
      <c r="BQ196" s="369">
        <f>+BQ186/BQ193</f>
        <v>1.8525896414342629</v>
      </c>
      <c r="BR196" s="369">
        <f>+BR186/BR193</f>
        <v>1.6957446808510639</v>
      </c>
      <c r="BS196" s="671"/>
      <c r="BT196" s="369">
        <f>+BT186/BT193</f>
        <v>2.074074074074074</v>
      </c>
      <c r="BU196" s="369">
        <f>+BU186/BU193</f>
        <v>1.8870967741935485</v>
      </c>
      <c r="BV196" s="369">
        <f>+BV186/BV193</f>
        <v>1.9875621890547264</v>
      </c>
      <c r="BW196" s="671"/>
      <c r="BX196" s="369">
        <f>+BX186/BX193</f>
        <v>1.8021253524181307</v>
      </c>
      <c r="BY196" s="369">
        <f>+BY186/BY193</f>
        <v>2.5003587801474985</v>
      </c>
      <c r="BZ196" s="369">
        <f>+BZ186/BZ193</f>
        <v>2.115876996566652</v>
      </c>
      <c r="CA196" s="671"/>
      <c r="CB196" s="369">
        <f>+CB186/CB193</f>
        <v>1.9475423092473865</v>
      </c>
      <c r="CC196" s="369">
        <f>+CC186/CC193</f>
        <v>1.913691183964668</v>
      </c>
      <c r="CD196" s="369">
        <f>+CD186/CD193</f>
        <v>1.9304483330474065</v>
      </c>
      <c r="CE196" s="671"/>
      <c r="CF196" s="369">
        <f>+CF186/CF193</f>
        <v>2.056</v>
      </c>
      <c r="CG196" s="369">
        <f>+CG186/CG193</f>
        <v>2.2958579881656807</v>
      </c>
      <c r="CH196" s="369">
        <f>+CH186/CH193</f>
        <v>2.1527446300715991</v>
      </c>
      <c r="CI196" s="671"/>
      <c r="CJ196" s="369">
        <f>+CJ186/CJ193</f>
        <v>2.270718232044199</v>
      </c>
      <c r="CK196" s="369">
        <f>+CK186/CK193</f>
        <v>2.2615384615384615</v>
      </c>
      <c r="CL196" s="369">
        <f>+CL186/CL193</f>
        <v>2.2659574468085109</v>
      </c>
      <c r="CM196" s="671"/>
      <c r="CN196" s="369">
        <f>+CN186/CN193</f>
        <v>2.5974842767295598</v>
      </c>
      <c r="CO196" s="369">
        <f>+CO186/CO193</f>
        <v>1.7248062015503876</v>
      </c>
      <c r="CP196" s="369">
        <f>+CP186/CP193</f>
        <v>2.0575539568345325</v>
      </c>
      <c r="CQ196" s="671"/>
      <c r="CR196" s="369">
        <f>+CR186/CR193</f>
        <v>2.4426877470355732</v>
      </c>
      <c r="CS196" s="1501">
        <f>+CS186/CS193</f>
        <v>3.3856502242152464</v>
      </c>
      <c r="CT196" s="369">
        <f>+CT186/CT193</f>
        <v>2.884453781512605</v>
      </c>
      <c r="CU196" s="671"/>
      <c r="CV196" s="369">
        <f>+CV186/CV193</f>
        <v>2.92</v>
      </c>
      <c r="CW196" s="1501">
        <f>+CW186/CW193</f>
        <v>1.696319018404908</v>
      </c>
      <c r="CX196" s="369">
        <f>+CX186/CX193</f>
        <v>2.0819327731092439</v>
      </c>
      <c r="CY196" s="671"/>
      <c r="CZ196" s="369">
        <f>+CZ186/CZ193</f>
        <v>3.1384615384615384</v>
      </c>
      <c r="DA196" s="1501">
        <f>+DA186/DA193</f>
        <v>2.09375</v>
      </c>
      <c r="DB196" s="369">
        <f>+DB186/DB193</f>
        <v>2.5620689655172413</v>
      </c>
      <c r="DC196" s="671"/>
      <c r="DD196" s="369">
        <f>+DD186/DD193</f>
        <v>3.0367647058823528</v>
      </c>
      <c r="DE196" s="1501">
        <f>+DE186/DE193</f>
        <v>3.2662337662337664</v>
      </c>
      <c r="DF196" s="369">
        <f>+DF186/DF193</f>
        <v>3.1586206896551725</v>
      </c>
      <c r="DG196" s="671"/>
      <c r="DH196" s="369">
        <f>+DH186/DH193</f>
        <v>4.1029411764705879</v>
      </c>
      <c r="DI196" s="369">
        <f>+DI186/DI193</f>
        <v>3.7121848739495795</v>
      </c>
      <c r="DJ196" s="369">
        <f>+DJ186/DJ193</f>
        <v>3.9027977044476323</v>
      </c>
      <c r="DK196" s="671"/>
      <c r="DL196" s="369">
        <f>+DL186/DL193</f>
        <v>3.8977941176470585</v>
      </c>
      <c r="DM196" s="369">
        <f>+DM186/DM193</f>
        <v>3.8977941176470581</v>
      </c>
      <c r="DN196" s="369">
        <f>+DN186/DN193</f>
        <v>3.897794117647059</v>
      </c>
      <c r="DO196" s="671"/>
      <c r="DP196" s="369">
        <f>+DP186/DP193</f>
        <v>3.9757499999999997</v>
      </c>
      <c r="DQ196" s="369">
        <f>+DQ186/DQ193</f>
        <v>3.8621571428571424</v>
      </c>
      <c r="DR196" s="369">
        <f>+DR186/DR193</f>
        <v>3.9175682926829265</v>
      </c>
      <c r="DS196" s="671"/>
      <c r="DT196" s="671"/>
      <c r="DU196" s="671"/>
      <c r="DV196" s="671"/>
      <c r="DW196" s="828"/>
      <c r="DX196" s="293"/>
      <c r="DY196" s="293"/>
      <c r="EA196" s="293"/>
      <c r="EB196" s="293"/>
      <c r="EC196" s="293"/>
      <c r="EE196" s="293"/>
      <c r="EF196" s="293"/>
      <c r="EG196" s="293"/>
      <c r="EI196" s="293"/>
      <c r="EJ196" s="293"/>
      <c r="EK196" s="293"/>
    </row>
    <row r="197" spans="1:283">
      <c r="A197" s="323" t="s">
        <v>382</v>
      </c>
      <c r="AV197" s="324"/>
      <c r="AW197" s="324"/>
      <c r="AX197" s="293"/>
      <c r="AZ197" s="324">
        <f>+AZ196/AW196-1</f>
        <v>1.4875697615423622E-2</v>
      </c>
      <c r="BA197" s="324">
        <f>+BA196/AZ196-1</f>
        <v>-0.1529660742086143</v>
      </c>
      <c r="BB197" s="293"/>
      <c r="BD197" s="324">
        <f>+BD196/BA196-1</f>
        <v>5.7407080859734894E-3</v>
      </c>
      <c r="BE197" s="324">
        <f>+BE196/BD196-1</f>
        <v>-3.8309745131771544E-3</v>
      </c>
      <c r="BF197" s="293"/>
      <c r="BG197" s="671"/>
      <c r="BH197" s="324">
        <f>+BH196/BE196-1</f>
        <v>-8.6002120890774081E-2</v>
      </c>
      <c r="BI197" s="324">
        <f>+BI196/BH196-1</f>
        <v>-0.17151030787394428</v>
      </c>
      <c r="BJ197" s="293"/>
      <c r="BK197" s="671"/>
      <c r="BL197" s="324">
        <f>+BL196/BI196-1</f>
        <v>0.21978368161293704</v>
      </c>
      <c r="BM197" s="324">
        <f>+BM196/BL196-1</f>
        <v>9.1542850990525393E-2</v>
      </c>
      <c r="BN197" s="293"/>
      <c r="BO197" s="671"/>
      <c r="BP197" s="324">
        <f>+BP196/BM196-1</f>
        <v>3.1987566414862556E-2</v>
      </c>
      <c r="BQ197" s="324">
        <f>+BQ196/BP196-1</f>
        <v>0.22203955263284203</v>
      </c>
      <c r="BR197" s="293"/>
      <c r="BS197" s="671"/>
      <c r="BT197" s="324">
        <f>+BT196/BQ196-1</f>
        <v>0.11955396256471529</v>
      </c>
      <c r="BU197" s="324">
        <f>+BU196/BT196-1</f>
        <v>-9.0149769585253337E-2</v>
      </c>
      <c r="BV197" s="293"/>
      <c r="BW197" s="671"/>
      <c r="BX197" s="324">
        <f>+BX196/BU196-1</f>
        <v>-4.5027591026289837E-2</v>
      </c>
      <c r="BY197" s="324">
        <f>+BY196/BX196-1</f>
        <v>0.3874499777678968</v>
      </c>
      <c r="BZ197" s="293"/>
      <c r="CA197" s="671"/>
      <c r="CB197" s="324">
        <f>+CB196/BY196-1</f>
        <v>-0.22109485858165556</v>
      </c>
      <c r="CC197" s="324">
        <f>+CC196/CB196-1</f>
        <v>-1.7381458221464752E-2</v>
      </c>
      <c r="CD197" s="293"/>
      <c r="CE197" s="671"/>
      <c r="CF197" s="324">
        <f>+CF196/CC196-1</f>
        <v>7.4363521778109121E-2</v>
      </c>
      <c r="CG197" s="324">
        <f>+CG196/CF196-1</f>
        <v>0.1166624456058758</v>
      </c>
      <c r="CH197" s="293"/>
      <c r="CI197" s="671"/>
      <c r="CJ197" s="324">
        <f>+CJ196/CG196-1</f>
        <v>-1.0950048413738145E-2</v>
      </c>
      <c r="CK197" s="324">
        <f>+CK196/CJ196-1</f>
        <v>-4.0426726558113746E-3</v>
      </c>
      <c r="CL197" s="293"/>
      <c r="CM197" s="671"/>
      <c r="CN197" s="324">
        <f>+CN196/CK196-1</f>
        <v>0.14854746930218643</v>
      </c>
      <c r="CO197" s="324">
        <f>+CO196/CN196-1</f>
        <v>-0.33597049383411237</v>
      </c>
      <c r="CP197" s="293"/>
      <c r="CQ197" s="671"/>
      <c r="CR197" s="324">
        <f>+CR196/CO196-1</f>
        <v>0.41620997468579302</v>
      </c>
      <c r="CS197" s="324">
        <f>+CS196/CR196-1</f>
        <v>0.38603480052824812</v>
      </c>
      <c r="CT197" s="293"/>
      <c r="CU197" s="671"/>
      <c r="CV197" s="324">
        <f>+CV196/CS196-1</f>
        <v>-0.13753642384105957</v>
      </c>
      <c r="CW197" s="324">
        <f>+CW196/CV196-1</f>
        <v>-0.41906882931338763</v>
      </c>
      <c r="CX197" s="293"/>
      <c r="CY197" s="671"/>
      <c r="CZ197" s="324">
        <f>+CZ196/CW196-1</f>
        <v>0.85015996661566273</v>
      </c>
      <c r="DA197" s="324">
        <f>+DA196/CZ196-1</f>
        <v>-0.33287377450980393</v>
      </c>
      <c r="DB197" s="293"/>
      <c r="DC197" s="671"/>
      <c r="DD197" s="324">
        <f>+DD196/DA196-1</f>
        <v>0.45039508340649692</v>
      </c>
      <c r="DE197" s="324">
        <f>+DE196/DD196-1</f>
        <v>7.5563661520078096E-2</v>
      </c>
      <c r="DF197" s="293"/>
      <c r="DG197" s="671"/>
      <c r="DH197" s="324">
        <f>+DH196/DE196-1</f>
        <v>0.25616886913811232</v>
      </c>
      <c r="DI197" s="324">
        <f>+DI196/DH196-1</f>
        <v>-9.5238095238095233E-2</v>
      </c>
      <c r="DJ197" s="293"/>
      <c r="DK197" s="671"/>
      <c r="DL197" s="324">
        <f>+DL196/DI196-1</f>
        <v>5.0000000000000044E-2</v>
      </c>
      <c r="DM197" s="324">
        <f>+DM196/DL196-1</f>
        <v>0</v>
      </c>
      <c r="DN197" s="293"/>
      <c r="DO197" s="671"/>
      <c r="DP197" s="324">
        <f>+DP196/DM196-1</f>
        <v>2.0000000000000018E-2</v>
      </c>
      <c r="DQ197" s="324">
        <f>+DQ196/DP196-1</f>
        <v>-2.8571428571428581E-2</v>
      </c>
      <c r="DR197" s="293"/>
      <c r="DS197" s="671"/>
      <c r="DT197" s="671"/>
      <c r="DU197" s="671"/>
      <c r="DV197" s="671"/>
      <c r="DW197" s="828"/>
      <c r="DX197" s="293"/>
      <c r="DY197" s="293"/>
      <c r="EA197" s="293"/>
      <c r="EB197" s="293"/>
      <c r="EC197" s="293"/>
      <c r="EE197" s="293"/>
      <c r="EF197" s="293"/>
      <c r="EG197" s="293"/>
      <c r="EI197" s="293"/>
      <c r="EJ197" s="293"/>
      <c r="EK197" s="293"/>
    </row>
    <row r="198" spans="1:283">
      <c r="A198" s="323" t="s">
        <v>835</v>
      </c>
      <c r="AV198" s="324"/>
      <c r="AW198" s="324"/>
      <c r="AZ198" s="324">
        <f>+AZ196/AV196-1</f>
        <v>-0.5220365631324535</v>
      </c>
      <c r="BA198" s="324">
        <f>+BA196/AW196-1</f>
        <v>-0.14036585365853649</v>
      </c>
      <c r="BD198" s="324">
        <f>+BD196/AZ196-1</f>
        <v>-0.14810349970172987</v>
      </c>
      <c r="BE198" s="324">
        <f>+BE196/BA196-1</f>
        <v>1.8877410664313032E-3</v>
      </c>
      <c r="BF198" s="324">
        <f>+BF196/BB196-1</f>
        <v>-6.3898882914931621E-2</v>
      </c>
      <c r="BH198" s="324">
        <f>+BH196/BD196-1</f>
        <v>-8.950362347073948E-2</v>
      </c>
      <c r="BI198" s="324">
        <f>+BI196/BE196-1</f>
        <v>-0.24276217853292947</v>
      </c>
      <c r="BJ198" s="324">
        <f>+BJ196/BF196-1</f>
        <v>-0.1724356603075623</v>
      </c>
      <c r="BL198" s="324">
        <f>+BL196/BH196-1</f>
        <v>1.0578206839888971E-2</v>
      </c>
      <c r="BM198" s="324">
        <f>+BM196/BI196-1</f>
        <v>0.33144615741950467</v>
      </c>
      <c r="BN198" s="324">
        <f>+BN196/BJ196-1</f>
        <v>0.16976224105461379</v>
      </c>
      <c r="BP198" s="324">
        <f>+BP196/BL196-1</f>
        <v>0.12645865043125326</v>
      </c>
      <c r="BQ198" s="324">
        <f>+BQ196/BM196-1</f>
        <v>0.26112962398427397</v>
      </c>
      <c r="BR198" s="324">
        <f>+BR196/BN196-1</f>
        <v>0.19998724042234217</v>
      </c>
      <c r="BT198" s="324">
        <f>+BT196/BP196-1</f>
        <v>0.36813922356091022</v>
      </c>
      <c r="BU198" s="324">
        <f>+BU196/BQ196-1</f>
        <v>1.8626430801248706E-2</v>
      </c>
      <c r="BV198" s="324">
        <f>+BV196/BR196-1</f>
        <v>0.17208811650655131</v>
      </c>
      <c r="BX198" s="324">
        <f>+BX196/BT196-1</f>
        <v>-0.13111813365554414</v>
      </c>
      <c r="BY198" s="324">
        <f>+BY196/BU196-1</f>
        <v>0.32497644759952893</v>
      </c>
      <c r="BZ198" s="324">
        <f>+BZ196/BV196-1</f>
        <v>6.4558889386475693E-2</v>
      </c>
      <c r="CB198" s="324">
        <f>+CB196/BX196-1</f>
        <v>8.0691921144182555E-2</v>
      </c>
      <c r="CC198" s="324">
        <f>+CC196/BY196-1</f>
        <v>-0.23463336575570259</v>
      </c>
      <c r="CD198" s="324">
        <f>+CD196/BZ196-1</f>
        <v>-8.7636787875728595E-2</v>
      </c>
      <c r="CF198" s="324">
        <f>+CF196/CB196-1</f>
        <v>5.5689517109657194E-2</v>
      </c>
      <c r="CG198" s="324">
        <f>+CG196/CC196-1</f>
        <v>0.19970139769848494</v>
      </c>
      <c r="CH198" s="324">
        <f>+CH196/CD196-1</f>
        <v>0.11515267889779546</v>
      </c>
      <c r="CJ198" s="324">
        <f>+CJ196/CF196-1</f>
        <v>0.10443493776468826</v>
      </c>
      <c r="CK198" s="324">
        <f>+CK196/CG196-1</f>
        <v>-1.4948453608247481E-2</v>
      </c>
      <c r="CL198" s="324">
        <f>+CL196/CH196-1</f>
        <v>5.2589989149407934E-2</v>
      </c>
      <c r="CN198" s="324">
        <f>+CN196/CJ196-1</f>
        <v>0.14390426785413712</v>
      </c>
      <c r="CO198" s="324">
        <f>+CO196/CK196-1</f>
        <v>-0.23733059115118915</v>
      </c>
      <c r="CP198" s="324">
        <f>+CP196/CL196-1</f>
        <v>-9.197149322795295E-2</v>
      </c>
      <c r="CR198" s="324">
        <f>+CR196/CN196-1</f>
        <v>-5.9594789882188581E-2</v>
      </c>
      <c r="CS198" s="324">
        <f>+CS196/CO196-1</f>
        <v>0.96291630976973841</v>
      </c>
      <c r="CT198" s="324">
        <f>+CT196/CP196-1</f>
        <v>0.40188487982605614</v>
      </c>
      <c r="CV198" s="324">
        <f>+CV196/CR196-1</f>
        <v>0.19540453074433639</v>
      </c>
      <c r="CW198" s="324">
        <f>+CW196/CS196-1</f>
        <v>-0.49896802502742454</v>
      </c>
      <c r="CX198" s="324">
        <f>+CX196/CT196-1</f>
        <v>-0.27822286962855058</v>
      </c>
      <c r="CZ198" s="324">
        <f>+CZ196/CV196-1</f>
        <v>7.4815595363540544E-2</v>
      </c>
      <c r="DA198" s="324">
        <f>+DA196/CW196-1</f>
        <v>0.23429023508137425</v>
      </c>
      <c r="DB198" s="324">
        <f>+DB196/CX196-1</f>
        <v>0.23062041128779698</v>
      </c>
      <c r="DD198" s="324">
        <f>+DD196/CZ196-1</f>
        <v>-3.2403402537485637E-2</v>
      </c>
      <c r="DE198" s="324">
        <f>+DE196/DA196-1</f>
        <v>0.55999224655941071</v>
      </c>
      <c r="DF198" s="324">
        <f>+DF196/DB196-1</f>
        <v>0.2328398384925976</v>
      </c>
      <c r="DH198" s="324">
        <f>+DH196/DD196-1</f>
        <v>0.35108958837772386</v>
      </c>
      <c r="DI198" s="648">
        <f>+DI196/DE196-1</f>
        <v>0.13653373874400643</v>
      </c>
      <c r="DJ198" s="324">
        <f>+DJ196/DF196-1</f>
        <v>0.23560189332949055</v>
      </c>
      <c r="DL198" s="324">
        <f>+DL196/DH196-1</f>
        <v>-5.0000000000000044E-2</v>
      </c>
      <c r="DM198" s="648">
        <f>+DM196/DI196-1</f>
        <v>4.9999999999999822E-2</v>
      </c>
      <c r="DN198" s="324">
        <f>+DN196/DJ196-1</f>
        <v>-1.2820512820511665E-3</v>
      </c>
      <c r="DP198" s="324">
        <f>+DP196/DL196-1</f>
        <v>2.0000000000000018E-2</v>
      </c>
      <c r="DQ198" s="648">
        <f>+DQ196/DM196-1</f>
        <v>-9.1428571428571193E-3</v>
      </c>
      <c r="DR198" s="324">
        <f>+DR196/DN196-1</f>
        <v>5.0731707317070995E-3</v>
      </c>
      <c r="DW198" s="1101"/>
    </row>
    <row r="199" spans="1:283" s="289" customFormat="1">
      <c r="A199" s="289" t="s">
        <v>773</v>
      </c>
      <c r="AN199" s="290"/>
      <c r="AO199" s="290"/>
      <c r="AP199" s="290"/>
      <c r="AQ199" s="290"/>
      <c r="AR199" s="290"/>
      <c r="AS199" s="290"/>
      <c r="AT199" s="290"/>
      <c r="AU199" s="290"/>
      <c r="AV199" s="716"/>
      <c r="AW199" s="716"/>
      <c r="AX199" s="295"/>
      <c r="AY199" s="290"/>
      <c r="AZ199" s="716"/>
      <c r="BA199" s="716"/>
      <c r="BB199" s="715"/>
      <c r="BC199" s="290"/>
      <c r="BD199" s="716">
        <v>41</v>
      </c>
      <c r="BE199" s="716">
        <v>55</v>
      </c>
      <c r="BF199" s="715">
        <f>+BE199+BD199</f>
        <v>96</v>
      </c>
      <c r="BG199" s="672"/>
      <c r="BH199" s="716">
        <v>35</v>
      </c>
      <c r="BI199" s="716">
        <v>50</v>
      </c>
      <c r="BJ199" s="715">
        <f>+BI199+BH199</f>
        <v>85</v>
      </c>
      <c r="BK199" s="672"/>
      <c r="BL199" s="716">
        <v>28</v>
      </c>
      <c r="BM199" s="716">
        <v>63</v>
      </c>
      <c r="BN199" s="715">
        <f>+BM199+BL199</f>
        <v>91</v>
      </c>
      <c r="BO199" s="672"/>
      <c r="BP199" s="716">
        <v>63</v>
      </c>
      <c r="BQ199" s="716">
        <f>141-BP199</f>
        <v>78</v>
      </c>
      <c r="BR199" s="715">
        <f>+BQ199+BP199</f>
        <v>141</v>
      </c>
      <c r="BS199" s="672"/>
      <c r="BT199" s="716">
        <v>120</v>
      </c>
      <c r="BU199" s="716">
        <v>60</v>
      </c>
      <c r="BV199" s="715">
        <f>+BU199+BT199</f>
        <v>180</v>
      </c>
      <c r="BW199" s="672"/>
      <c r="BX199" s="716">
        <v>65</v>
      </c>
      <c r="BY199" s="716">
        <f>301-BX199</f>
        <v>236</v>
      </c>
      <c r="BZ199" s="715">
        <f>+BY199+BX199</f>
        <v>301</v>
      </c>
      <c r="CA199" s="672"/>
      <c r="CB199" s="716">
        <v>134</v>
      </c>
      <c r="CC199" s="716">
        <f>400-CB199</f>
        <v>266</v>
      </c>
      <c r="CD199" s="715">
        <f>+CC199+CB199</f>
        <v>400</v>
      </c>
      <c r="CE199" s="672"/>
      <c r="CF199" s="716">
        <v>273</v>
      </c>
      <c r="CG199" s="716">
        <f>478-CF199</f>
        <v>205</v>
      </c>
      <c r="CH199" s="715">
        <f>+CG199+CF199</f>
        <v>478</v>
      </c>
      <c r="CI199" s="672"/>
      <c r="CJ199" s="716">
        <v>154</v>
      </c>
      <c r="CK199" s="716">
        <f>319-CJ199</f>
        <v>165</v>
      </c>
      <c r="CL199" s="715">
        <f>+CK199+CJ199</f>
        <v>319</v>
      </c>
      <c r="CM199" s="672"/>
      <c r="CN199" s="2103">
        <v>186</v>
      </c>
      <c r="CO199" s="2103">
        <f>364-CN199</f>
        <v>178</v>
      </c>
      <c r="CP199" s="1434">
        <f>+CO199+CN199</f>
        <v>364</v>
      </c>
      <c r="CQ199" s="1420"/>
      <c r="CR199" s="2103">
        <v>231</v>
      </c>
      <c r="CS199" s="2104">
        <f>457-CR199</f>
        <v>226</v>
      </c>
      <c r="CT199" s="1434">
        <f>+CS199+CR199</f>
        <v>457</v>
      </c>
      <c r="CU199" s="672"/>
      <c r="CV199" s="2103">
        <v>164</v>
      </c>
      <c r="CW199" s="2105">
        <f>457-CV199</f>
        <v>293</v>
      </c>
      <c r="CX199" s="1434">
        <f>+CW199+CV199</f>
        <v>457</v>
      </c>
      <c r="CY199" s="672"/>
      <c r="CZ199" s="2103">
        <v>172</v>
      </c>
      <c r="DA199" s="2105">
        <f>332-CZ199</f>
        <v>160</v>
      </c>
      <c r="DB199" s="1434">
        <f>+DA199+CZ199</f>
        <v>332</v>
      </c>
      <c r="DC199" s="672"/>
      <c r="DD199" s="2177">
        <v>162</v>
      </c>
      <c r="DE199" s="2195">
        <f>332-DD199</f>
        <v>170</v>
      </c>
      <c r="DF199" s="1434">
        <f>+DE199+DD199</f>
        <v>332</v>
      </c>
      <c r="DG199" s="672"/>
      <c r="DH199" s="2198">
        <v>162</v>
      </c>
      <c r="DI199" s="716"/>
      <c r="DJ199" s="715"/>
      <c r="DK199" s="672"/>
      <c r="DL199" s="716"/>
      <c r="DM199" s="716"/>
      <c r="DN199" s="715"/>
      <c r="DO199" s="672"/>
      <c r="DP199" s="716"/>
      <c r="DQ199" s="716"/>
      <c r="DR199" s="715"/>
      <c r="DS199" s="672"/>
      <c r="DT199" s="672"/>
      <c r="DU199" s="672"/>
      <c r="DV199" s="672"/>
      <c r="DW199" s="831"/>
      <c r="DX199" s="295"/>
      <c r="DY199" s="295"/>
      <c r="DZ199" s="290"/>
      <c r="EA199" s="295"/>
      <c r="EB199" s="295"/>
      <c r="EC199" s="295"/>
      <c r="ED199" s="290"/>
      <c r="EE199" s="295"/>
      <c r="EF199" s="295"/>
      <c r="EG199" s="295"/>
      <c r="EH199" s="290"/>
      <c r="EI199" s="295"/>
      <c r="EJ199" s="295"/>
      <c r="EK199" s="295"/>
      <c r="EL199" s="290"/>
      <c r="EM199" s="290"/>
      <c r="EN199" s="290"/>
      <c r="EO199" s="290"/>
      <c r="EP199" s="290"/>
      <c r="EQ199" s="290"/>
      <c r="ER199" s="290"/>
      <c r="ES199" s="290"/>
      <c r="ET199" s="290"/>
      <c r="EU199" s="290"/>
      <c r="JW199"/>
    </row>
    <row r="200" spans="1:283">
      <c r="A200" s="102" t="s">
        <v>775</v>
      </c>
      <c r="AV200" s="711"/>
      <c r="AW200" s="711"/>
      <c r="AX200" s="293"/>
      <c r="AZ200" s="711"/>
      <c r="BA200" s="711"/>
      <c r="BB200" s="293"/>
      <c r="BD200" s="711">
        <f>+BD186/BD199</f>
        <v>7.6341463414634143</v>
      </c>
      <c r="BE200" s="711">
        <f>+BE186/BE199</f>
        <v>5.8545454545454545</v>
      </c>
      <c r="BF200" s="293"/>
      <c r="BG200" s="671"/>
      <c r="BH200" s="711">
        <f>+BH186/BH199</f>
        <v>7.8</v>
      </c>
      <c r="BI200" s="711">
        <f>+BI186/BI199</f>
        <v>5.34</v>
      </c>
      <c r="BJ200" s="293"/>
      <c r="BK200" s="671"/>
      <c r="BL200" s="711">
        <f>+BL186/BL199</f>
        <v>10.285714285714286</v>
      </c>
      <c r="BM200" s="711">
        <f>+BM186/BM199</f>
        <v>6.0158730158730158</v>
      </c>
      <c r="BN200" s="293"/>
      <c r="BO200" s="671"/>
      <c r="BP200" s="711">
        <f>+BP186/BP199</f>
        <v>5.2698412698412698</v>
      </c>
      <c r="BQ200" s="711">
        <f>+BQ186/BQ199</f>
        <v>5.9615384615384617</v>
      </c>
      <c r="BR200" s="293"/>
      <c r="BS200" s="671"/>
      <c r="BT200" s="711">
        <f>+BT186/BT199</f>
        <v>3.7333333333333334</v>
      </c>
      <c r="BU200" s="711">
        <f>+BU186/BU199</f>
        <v>5.85</v>
      </c>
      <c r="BV200" s="293"/>
      <c r="BW200" s="671"/>
      <c r="BX200" s="711">
        <f>+BX186/BX199</f>
        <v>5.8777011494252882</v>
      </c>
      <c r="BY200" s="711">
        <f>+BY186/BY199</f>
        <v>1.8328901227352425</v>
      </c>
      <c r="BZ200" s="293"/>
      <c r="CA200" s="671"/>
      <c r="CB200" s="711">
        <f>+CB186/CB199</f>
        <v>2.8922456682106712</v>
      </c>
      <c r="CC200" s="711">
        <f>+CC186/CC199</f>
        <v>1.4604485351309306</v>
      </c>
      <c r="CD200" s="293"/>
      <c r="CE200" s="671"/>
      <c r="CF200" s="711">
        <f>+CF186/CF199</f>
        <v>1.8827838827838828</v>
      </c>
      <c r="CG200" s="711">
        <f>+CG186/CG199</f>
        <v>1.8926829268292682</v>
      </c>
      <c r="CH200" s="293"/>
      <c r="CI200" s="671"/>
      <c r="CJ200" s="711">
        <f>+CJ186/CJ199</f>
        <v>2.668831168831169</v>
      </c>
      <c r="CK200" s="711">
        <f>+CK186/CK199</f>
        <v>2.6727272727272728</v>
      </c>
      <c r="CL200" s="293"/>
      <c r="CM200" s="671"/>
      <c r="CN200" s="711">
        <f>+CN186/CN199</f>
        <v>2.2204301075268815</v>
      </c>
      <c r="CO200" s="711">
        <f>+CO186/CO199</f>
        <v>2.5</v>
      </c>
      <c r="CP200" s="293"/>
      <c r="CQ200" s="671"/>
      <c r="CR200" s="711">
        <f>+CR186/CR199</f>
        <v>2.6753246753246751</v>
      </c>
      <c r="CS200" s="711"/>
      <c r="CT200" s="293"/>
      <c r="CU200" s="671"/>
      <c r="CV200" s="711">
        <f>+CV186/CV199</f>
        <v>2.6707317073170733</v>
      </c>
      <c r="CW200" s="711"/>
      <c r="CX200" s="293"/>
      <c r="CY200" s="671"/>
      <c r="CZ200" s="711">
        <f>+CZ186/CZ199</f>
        <v>2.3720930232558142</v>
      </c>
      <c r="DA200" s="711"/>
      <c r="DB200" s="293"/>
      <c r="DC200" s="671"/>
      <c r="DD200" s="711">
        <f>+DD186/DD199</f>
        <v>2.5493827160493829</v>
      </c>
      <c r="DE200" s="711"/>
      <c r="DF200" s="293"/>
      <c r="DG200" s="671"/>
      <c r="DH200" s="711">
        <f>+DH186/DH199</f>
        <v>3.4444444444444446</v>
      </c>
      <c r="DI200" s="711"/>
      <c r="DJ200" s="293"/>
      <c r="DK200" s="671"/>
      <c r="DL200" s="711"/>
      <c r="DM200" s="711"/>
      <c r="DN200" s="293"/>
      <c r="DO200" s="671"/>
      <c r="DP200" s="711"/>
      <c r="DQ200" s="711"/>
      <c r="DR200" s="293"/>
      <c r="DS200" s="671"/>
      <c r="DT200" s="671"/>
      <c r="DU200" s="671"/>
      <c r="DV200" s="671"/>
      <c r="DW200" s="828"/>
      <c r="DX200" s="293"/>
      <c r="DY200" s="293"/>
      <c r="EA200" s="293"/>
      <c r="EB200" s="293"/>
      <c r="EC200" s="293"/>
      <c r="EE200" s="293"/>
      <c r="EF200" s="293"/>
      <c r="EG200" s="293"/>
      <c r="EI200" s="293"/>
      <c r="EJ200" s="293"/>
      <c r="EK200" s="293"/>
    </row>
    <row r="201" spans="1:283">
      <c r="AV201" s="293"/>
      <c r="AW201" s="293"/>
      <c r="AX201" s="293"/>
      <c r="AZ201" s="293"/>
      <c r="BA201" s="293"/>
      <c r="BB201" s="293"/>
      <c r="BD201" s="293"/>
      <c r="BE201" s="293"/>
      <c r="BF201" s="293"/>
      <c r="BG201" s="671"/>
      <c r="BH201" s="293"/>
      <c r="BI201" s="293"/>
      <c r="BJ201" s="293"/>
      <c r="BK201" s="671"/>
      <c r="BL201" s="293"/>
      <c r="BM201" s="293"/>
      <c r="BN201" s="293"/>
      <c r="BO201" s="671"/>
      <c r="BP201" s="293"/>
      <c r="BQ201" s="293"/>
      <c r="BR201" s="293"/>
      <c r="BS201" s="671"/>
      <c r="BT201" s="293"/>
      <c r="BU201" s="293"/>
      <c r="BV201" s="293"/>
      <c r="BW201" s="671"/>
      <c r="BX201" s="293"/>
      <c r="BY201" s="293"/>
      <c r="BZ201" s="293"/>
      <c r="CA201" s="671"/>
      <c r="CB201" s="293"/>
      <c r="CC201" s="293"/>
      <c r="CD201" s="293"/>
      <c r="CE201" s="671"/>
      <c r="CF201" s="293"/>
      <c r="CG201" s="293"/>
      <c r="CH201" s="293"/>
      <c r="CI201" s="671"/>
      <c r="CJ201" s="293"/>
      <c r="CK201" s="293"/>
      <c r="CL201" s="293"/>
      <c r="CM201" s="671"/>
      <c r="CN201" s="293"/>
      <c r="CO201" s="293"/>
      <c r="CP201" s="293"/>
      <c r="CQ201" s="671"/>
      <c r="CR201" s="293"/>
      <c r="CS201" s="293"/>
      <c r="CT201" s="293"/>
      <c r="CU201" s="671"/>
      <c r="CV201" s="293"/>
      <c r="CW201" s="293"/>
      <c r="CX201" s="293"/>
      <c r="CY201" s="671"/>
      <c r="CZ201" s="293"/>
      <c r="DA201" s="293"/>
      <c r="DB201" s="293"/>
      <c r="DC201" s="671"/>
      <c r="DD201" s="293"/>
      <c r="DE201" s="293"/>
      <c r="DF201" s="293"/>
      <c r="DG201" s="671"/>
      <c r="DH201" s="293"/>
      <c r="DI201" s="293"/>
      <c r="DJ201" s="293"/>
      <c r="DK201" s="671"/>
      <c r="DL201" s="293"/>
      <c r="DM201" s="293"/>
      <c r="DN201" s="293"/>
      <c r="DO201" s="671"/>
      <c r="DP201" s="293"/>
      <c r="DQ201" s="293"/>
      <c r="DR201" s="293"/>
      <c r="DS201" s="671"/>
      <c r="DT201" s="671"/>
      <c r="DU201" s="671"/>
      <c r="DV201" s="671"/>
      <c r="DW201" s="828"/>
      <c r="DX201" s="293"/>
      <c r="DY201" s="293"/>
      <c r="EA201" s="293"/>
      <c r="EB201" s="293"/>
      <c r="EC201" s="293"/>
      <c r="EE201" s="293"/>
      <c r="EF201" s="293"/>
      <c r="EG201" s="293"/>
      <c r="EI201" s="293"/>
      <c r="EJ201" s="293"/>
      <c r="EK201" s="293"/>
    </row>
    <row r="202" spans="1:283">
      <c r="A202" s="289" t="s">
        <v>1409</v>
      </c>
      <c r="AV202" s="293"/>
      <c r="AW202" s="293"/>
      <c r="AX202" s="293"/>
      <c r="AZ202" s="293"/>
      <c r="BA202" s="293"/>
      <c r="BB202" s="293"/>
      <c r="BD202" s="293"/>
      <c r="BE202" s="293"/>
      <c r="BF202" s="293"/>
      <c r="BG202" s="671"/>
      <c r="BH202" s="293"/>
      <c r="BI202" s="293"/>
      <c r="BJ202" s="293"/>
      <c r="BK202" s="671"/>
      <c r="BL202" s="293"/>
      <c r="BM202" s="293"/>
      <c r="BN202" s="293"/>
      <c r="BO202" s="671"/>
      <c r="BP202" s="293"/>
      <c r="BQ202" s="293"/>
      <c r="BR202" s="293"/>
      <c r="BS202" s="671"/>
      <c r="BT202" s="293"/>
      <c r="BU202" s="293"/>
      <c r="BV202" s="293"/>
      <c r="BW202" s="671"/>
      <c r="BX202" s="293"/>
      <c r="BY202" s="293"/>
      <c r="BZ202" s="293"/>
      <c r="CA202" s="671"/>
      <c r="CB202" s="293"/>
      <c r="CC202" s="293"/>
      <c r="CD202" s="293"/>
      <c r="CE202" s="671"/>
      <c r="CF202" s="293"/>
      <c r="CG202" s="293"/>
      <c r="CH202" s="293"/>
      <c r="CI202" s="671"/>
      <c r="CJ202" s="293"/>
      <c r="CK202" s="293"/>
      <c r="CL202" s="293"/>
      <c r="CM202" s="671"/>
      <c r="CN202" s="293"/>
      <c r="CO202" s="293"/>
      <c r="CP202" s="293"/>
      <c r="CQ202" s="671"/>
      <c r="CR202" s="293"/>
      <c r="CS202" s="293"/>
      <c r="CT202" s="293"/>
      <c r="CU202" s="671"/>
      <c r="CV202" s="293"/>
      <c r="CW202" s="293"/>
      <c r="CX202" s="293"/>
      <c r="CY202" s="671"/>
      <c r="CZ202" s="293"/>
      <c r="DA202" s="293"/>
      <c r="DB202" s="293"/>
      <c r="DC202" s="671"/>
      <c r="DD202" s="293"/>
      <c r="DE202" s="293"/>
      <c r="DF202" s="293"/>
      <c r="DG202" s="671"/>
      <c r="DH202" s="293"/>
      <c r="DI202" s="293"/>
      <c r="DJ202" s="293"/>
      <c r="DK202" s="671"/>
      <c r="DL202" s="293"/>
      <c r="DM202" s="293"/>
      <c r="DN202" s="293"/>
      <c r="DO202" s="671"/>
      <c r="DP202" s="293"/>
      <c r="DQ202" s="293"/>
      <c r="DR202" s="293"/>
      <c r="DS202" s="671"/>
      <c r="DT202" s="671"/>
      <c r="DU202" s="671"/>
      <c r="DV202" s="671"/>
      <c r="DW202" s="828"/>
      <c r="DX202" s="293"/>
      <c r="DY202" s="293"/>
      <c r="EA202" s="293"/>
      <c r="EB202" s="293"/>
      <c r="EC202" s="293"/>
      <c r="EE202" s="293"/>
      <c r="EF202" s="293"/>
      <c r="EG202" s="293"/>
      <c r="EI202" s="293"/>
      <c r="EJ202" s="293"/>
      <c r="EK202" s="293"/>
    </row>
    <row r="203" spans="1:283">
      <c r="A203" s="102" t="s">
        <v>1410</v>
      </c>
      <c r="AV203" s="293"/>
      <c r="AW203" s="293"/>
      <c r="AX203" s="293"/>
      <c r="AZ203" s="293"/>
      <c r="BA203" s="293"/>
      <c r="BB203" s="293"/>
      <c r="BD203" s="293"/>
      <c r="BE203" s="293"/>
      <c r="BF203" s="293"/>
      <c r="BG203" s="671"/>
      <c r="BH203" s="293"/>
      <c r="BI203" s="293"/>
      <c r="BJ203" s="293"/>
      <c r="BK203" s="671"/>
      <c r="BL203" s="293"/>
      <c r="BM203" s="293"/>
      <c r="BN203" s="293"/>
      <c r="BO203" s="671"/>
      <c r="BP203" s="293"/>
      <c r="BQ203" s="293"/>
      <c r="BR203" s="293"/>
      <c r="BS203" s="671"/>
      <c r="BT203" s="293"/>
      <c r="BU203" s="293"/>
      <c r="BV203" s="293"/>
      <c r="BW203" s="671"/>
      <c r="BX203" s="293"/>
      <c r="BY203" s="293"/>
      <c r="BZ203" s="293"/>
      <c r="CA203" s="671"/>
      <c r="CB203" s="293"/>
      <c r="CC203" s="293"/>
      <c r="CD203" s="293"/>
      <c r="CE203" s="671"/>
      <c r="CF203" s="293"/>
      <c r="CG203" s="293"/>
      <c r="CH203" s="293"/>
      <c r="CI203" s="671"/>
      <c r="CJ203" s="917">
        <v>87</v>
      </c>
      <c r="CK203" s="2125"/>
      <c r="CL203" s="293"/>
      <c r="CM203" s="671"/>
      <c r="CN203" s="917">
        <v>95</v>
      </c>
      <c r="CO203" s="2125"/>
      <c r="CP203" s="293"/>
      <c r="CQ203" s="671"/>
      <c r="CR203" s="917">
        <v>115</v>
      </c>
      <c r="CS203" s="2125"/>
      <c r="CT203" s="293"/>
      <c r="CU203" s="671"/>
      <c r="CV203" s="917">
        <v>76</v>
      </c>
      <c r="CW203" s="2125"/>
      <c r="CX203" s="293"/>
      <c r="CY203" s="671"/>
      <c r="CZ203" s="917">
        <v>67</v>
      </c>
      <c r="DA203" s="2125"/>
      <c r="DB203" s="293"/>
      <c r="DC203" s="671"/>
      <c r="DD203" s="917">
        <v>95</v>
      </c>
      <c r="DE203" s="2125"/>
      <c r="DF203" s="293"/>
      <c r="DG203" s="671"/>
      <c r="DH203" s="1088">
        <v>95</v>
      </c>
      <c r="DI203" s="293"/>
      <c r="DJ203" s="293"/>
      <c r="DK203" s="684"/>
      <c r="DL203" s="917"/>
      <c r="DM203" s="293"/>
      <c r="DN203" s="293"/>
      <c r="DO203" s="684"/>
      <c r="DP203" s="917"/>
      <c r="DQ203" s="293"/>
      <c r="DR203" s="293"/>
      <c r="DS203" s="684"/>
      <c r="DT203" s="671"/>
      <c r="DU203" s="671"/>
      <c r="DV203" s="671"/>
      <c r="DW203" s="828"/>
      <c r="DX203" s="293"/>
      <c r="DY203" s="293"/>
      <c r="EA203" s="293"/>
      <c r="EB203" s="293"/>
      <c r="EC203" s="293"/>
      <c r="EE203" s="293"/>
      <c r="EF203" s="293"/>
      <c r="EG203" s="293"/>
      <c r="EI203" s="293"/>
      <c r="EJ203" s="293"/>
      <c r="EK203" s="293"/>
    </row>
    <row r="204" spans="1:283">
      <c r="A204" s="102" t="s">
        <v>1411</v>
      </c>
      <c r="AV204" s="293"/>
      <c r="AW204" s="293"/>
      <c r="AX204" s="293"/>
      <c r="AZ204" s="293"/>
      <c r="BA204" s="293"/>
      <c r="BB204" s="293"/>
      <c r="BD204" s="293"/>
      <c r="BE204" s="293"/>
      <c r="BF204" s="293"/>
      <c r="BG204" s="671"/>
      <c r="BH204" s="293"/>
      <c r="BI204" s="293"/>
      <c r="BJ204" s="293"/>
      <c r="BK204" s="671"/>
      <c r="BL204" s="293"/>
      <c r="BM204" s="293"/>
      <c r="BN204" s="293"/>
      <c r="BO204" s="671"/>
      <c r="BP204" s="293"/>
      <c r="BQ204" s="293"/>
      <c r="BR204" s="293"/>
      <c r="BS204" s="671"/>
      <c r="BT204" s="293"/>
      <c r="BU204" s="293"/>
      <c r="BV204" s="293"/>
      <c r="BW204" s="671"/>
      <c r="BX204" s="293"/>
      <c r="BY204" s="293"/>
      <c r="BZ204" s="293"/>
      <c r="CA204" s="671"/>
      <c r="CB204" s="293"/>
      <c r="CC204" s="293"/>
      <c r="CD204" s="293"/>
      <c r="CE204" s="671"/>
      <c r="CF204" s="293"/>
      <c r="CG204" s="293"/>
      <c r="CH204" s="293"/>
      <c r="CI204" s="671"/>
      <c r="CJ204" s="293">
        <f>CJ193-CJ203</f>
        <v>94</v>
      </c>
      <c r="CK204" s="2125"/>
      <c r="CL204" s="293"/>
      <c r="CM204" s="671"/>
      <c r="CN204" s="293">
        <f>CN193-CN203</f>
        <v>64</v>
      </c>
      <c r="CO204" s="2125"/>
      <c r="CP204" s="293"/>
      <c r="CQ204" s="671"/>
      <c r="CR204" s="293">
        <f>CR193-CR203</f>
        <v>138</v>
      </c>
      <c r="CS204" s="2125"/>
      <c r="CT204" s="293"/>
      <c r="CU204" s="671"/>
      <c r="CV204" s="293">
        <f>CV193-CV203</f>
        <v>74</v>
      </c>
      <c r="CW204" s="2125"/>
      <c r="CX204" s="293"/>
      <c r="CY204" s="671"/>
      <c r="CZ204" s="293">
        <f>CZ193-CZ203</f>
        <v>63</v>
      </c>
      <c r="DA204" s="2125"/>
      <c r="DB204" s="293"/>
      <c r="DC204" s="671"/>
      <c r="DD204" s="293">
        <f>DD193-DD203</f>
        <v>41</v>
      </c>
      <c r="DE204" s="2125"/>
      <c r="DF204" s="293"/>
      <c r="DG204" s="671"/>
      <c r="DH204" s="293">
        <f>DH193-DH203</f>
        <v>41</v>
      </c>
      <c r="DI204" s="293"/>
      <c r="DJ204" s="293"/>
      <c r="DK204" s="684"/>
      <c r="DL204" s="293"/>
      <c r="DM204" s="293"/>
      <c r="DN204" s="293"/>
      <c r="DO204" s="684"/>
      <c r="DP204" s="293"/>
      <c r="DQ204" s="293"/>
      <c r="DR204" s="293"/>
      <c r="DS204" s="684"/>
      <c r="DT204" s="671"/>
      <c r="DU204" s="671"/>
      <c r="DV204" s="671"/>
      <c r="DW204" s="828"/>
      <c r="DX204" s="293"/>
      <c r="DY204" s="293"/>
      <c r="EA204" s="293"/>
      <c r="EB204" s="293"/>
      <c r="EC204" s="293"/>
      <c r="EE204" s="293"/>
      <c r="EF204" s="293"/>
      <c r="EG204" s="293"/>
      <c r="EI204" s="293"/>
      <c r="EJ204" s="293"/>
      <c r="EK204" s="293"/>
    </row>
    <row r="205" spans="1:283">
      <c r="A205" s="102" t="s">
        <v>1412</v>
      </c>
      <c r="AV205" s="293"/>
      <c r="AW205" s="293"/>
      <c r="AX205" s="293"/>
      <c r="AZ205" s="293"/>
      <c r="BA205" s="293"/>
      <c r="BB205" s="293"/>
      <c r="BD205" s="293"/>
      <c r="BE205" s="293"/>
      <c r="BF205" s="293"/>
      <c r="BG205" s="671"/>
      <c r="BH205" s="293"/>
      <c r="BI205" s="293"/>
      <c r="BJ205" s="293"/>
      <c r="BK205" s="671"/>
      <c r="BL205" s="293"/>
      <c r="BM205" s="293"/>
      <c r="BN205" s="293"/>
      <c r="BO205" s="671"/>
      <c r="BP205" s="293"/>
      <c r="BQ205" s="293"/>
      <c r="BR205" s="293"/>
      <c r="BS205" s="671"/>
      <c r="BT205" s="293"/>
      <c r="BU205" s="293"/>
      <c r="BV205" s="293"/>
      <c r="BW205" s="671"/>
      <c r="BX205" s="293"/>
      <c r="BY205" s="293"/>
      <c r="BZ205" s="293"/>
      <c r="CA205" s="671"/>
      <c r="CB205" s="293"/>
      <c r="CC205" s="293"/>
      <c r="CD205" s="293"/>
      <c r="CE205" s="671"/>
      <c r="CF205" s="293"/>
      <c r="CG205" s="293"/>
      <c r="CH205" s="293"/>
      <c r="CI205" s="671"/>
      <c r="CJ205" s="2125"/>
      <c r="CK205" s="917">
        <v>109</v>
      </c>
      <c r="CL205" s="293"/>
      <c r="CM205" s="671"/>
      <c r="CN205" s="2125"/>
      <c r="CO205" s="917">
        <v>100</v>
      </c>
      <c r="CP205" s="293"/>
      <c r="CQ205" s="671"/>
      <c r="CR205" s="2125"/>
      <c r="CS205" s="917">
        <v>126</v>
      </c>
      <c r="CT205" s="293"/>
      <c r="CU205" s="671"/>
      <c r="CV205" s="2125"/>
      <c r="CW205" s="917">
        <v>84</v>
      </c>
      <c r="CX205" s="293"/>
      <c r="CY205" s="671"/>
      <c r="CZ205" s="2125"/>
      <c r="DA205" s="917">
        <v>59</v>
      </c>
      <c r="DB205" s="293"/>
      <c r="DC205" s="671"/>
      <c r="DD205" s="2125"/>
      <c r="DE205" s="1088">
        <v>59</v>
      </c>
      <c r="DF205" s="293"/>
      <c r="DG205" s="671"/>
      <c r="DH205" s="2125"/>
      <c r="DI205" s="917"/>
      <c r="DJ205" s="293"/>
      <c r="DK205" s="684"/>
      <c r="DL205" s="293"/>
      <c r="DM205" s="917"/>
      <c r="DN205" s="293"/>
      <c r="DO205" s="684"/>
      <c r="DP205" s="293"/>
      <c r="DQ205" s="917"/>
      <c r="DR205" s="293"/>
      <c r="DS205" s="684"/>
      <c r="DT205" s="671"/>
      <c r="DU205" s="671"/>
      <c r="DV205" s="671"/>
      <c r="DW205" s="828"/>
      <c r="DX205" s="293"/>
      <c r="DY205" s="293"/>
      <c r="EA205" s="293"/>
      <c r="EB205" s="293"/>
      <c r="EC205" s="293"/>
      <c r="EE205" s="293"/>
      <c r="EF205" s="293"/>
      <c r="EG205" s="293"/>
      <c r="EI205" s="293"/>
      <c r="EJ205" s="293"/>
      <c r="EK205" s="293"/>
    </row>
    <row r="206" spans="1:283">
      <c r="A206" s="102" t="s">
        <v>1413</v>
      </c>
      <c r="AV206" s="293"/>
      <c r="AW206" s="293"/>
      <c r="AX206" s="293"/>
      <c r="AZ206" s="293"/>
      <c r="BA206" s="293"/>
      <c r="BB206" s="293"/>
      <c r="BD206" s="293"/>
      <c r="BE206" s="293"/>
      <c r="BF206" s="293"/>
      <c r="BG206" s="671"/>
      <c r="BH206" s="293"/>
      <c r="BI206" s="293"/>
      <c r="BJ206" s="293"/>
      <c r="BK206" s="671"/>
      <c r="BL206" s="293"/>
      <c r="BM206" s="293"/>
      <c r="BN206" s="293"/>
      <c r="BO206" s="671"/>
      <c r="BP206" s="293"/>
      <c r="BQ206" s="293"/>
      <c r="BR206" s="293"/>
      <c r="BS206" s="671"/>
      <c r="BT206" s="293"/>
      <c r="BU206" s="293"/>
      <c r="BV206" s="293"/>
      <c r="BW206" s="671"/>
      <c r="BX206" s="293"/>
      <c r="BY206" s="293"/>
      <c r="BZ206" s="293"/>
      <c r="CA206" s="671"/>
      <c r="CB206" s="293"/>
      <c r="CC206" s="293"/>
      <c r="CD206" s="293"/>
      <c r="CE206" s="671"/>
      <c r="CF206" s="293"/>
      <c r="CG206" s="293"/>
      <c r="CH206" s="293"/>
      <c r="CI206" s="671"/>
      <c r="CJ206" s="2125"/>
      <c r="CK206" s="293">
        <f>CK193-CK205</f>
        <v>86</v>
      </c>
      <c r="CL206" s="293"/>
      <c r="CM206" s="671"/>
      <c r="CN206" s="2125"/>
      <c r="CO206" s="293">
        <f>CO193-CO205</f>
        <v>158</v>
      </c>
      <c r="CP206" s="293"/>
      <c r="CQ206" s="671"/>
      <c r="CR206" s="2125"/>
      <c r="CS206" s="293">
        <f>CS193-CS205</f>
        <v>97</v>
      </c>
      <c r="CT206" s="293"/>
      <c r="CU206" s="671"/>
      <c r="CV206" s="2125"/>
      <c r="CW206" s="293">
        <f>CW193-CW205</f>
        <v>242</v>
      </c>
      <c r="CX206" s="293"/>
      <c r="CY206" s="671"/>
      <c r="CZ206" s="2125"/>
      <c r="DA206" s="293">
        <f>DA193-DA205</f>
        <v>101</v>
      </c>
      <c r="DB206" s="293"/>
      <c r="DC206" s="671"/>
      <c r="DD206" s="2125"/>
      <c r="DE206" s="293">
        <f>DE193-DE205</f>
        <v>95</v>
      </c>
      <c r="DF206" s="293"/>
      <c r="DG206" s="671"/>
      <c r="DH206" s="2125"/>
      <c r="DI206" s="293"/>
      <c r="DJ206" s="293"/>
      <c r="DK206" s="684"/>
      <c r="DL206" s="293"/>
      <c r="DM206" s="293"/>
      <c r="DN206" s="293"/>
      <c r="DO206" s="684"/>
      <c r="DP206" s="293"/>
      <c r="DQ206" s="293"/>
      <c r="DR206" s="293"/>
      <c r="DS206" s="684"/>
      <c r="DT206" s="671"/>
      <c r="DU206" s="671"/>
      <c r="DV206" s="671"/>
      <c r="DW206" s="828"/>
      <c r="DX206" s="293"/>
      <c r="DY206" s="293"/>
      <c r="EA206" s="293"/>
      <c r="EB206" s="293"/>
      <c r="EC206" s="293"/>
      <c r="EE206" s="293"/>
      <c r="EF206" s="293"/>
      <c r="EG206" s="293"/>
      <c r="EI206" s="293"/>
      <c r="EJ206" s="293"/>
      <c r="EK206" s="293"/>
    </row>
    <row r="207" spans="1:283">
      <c r="AV207" s="293"/>
      <c r="AW207" s="293"/>
      <c r="AX207" s="293"/>
      <c r="AZ207" s="293"/>
      <c r="BA207" s="293"/>
      <c r="BB207" s="293"/>
      <c r="BD207" s="293"/>
      <c r="BE207" s="293"/>
      <c r="BF207" s="293"/>
      <c r="BG207" s="671"/>
      <c r="BH207" s="293"/>
      <c r="BI207" s="293"/>
      <c r="BJ207" s="293"/>
      <c r="BK207" s="671"/>
      <c r="BL207" s="293"/>
      <c r="BM207" s="293"/>
      <c r="BN207" s="293"/>
      <c r="BO207" s="671"/>
      <c r="BP207" s="293"/>
      <c r="BQ207" s="293"/>
      <c r="BR207" s="293"/>
      <c r="BS207" s="671"/>
      <c r="BT207" s="293"/>
      <c r="BU207" s="293"/>
      <c r="BV207" s="293"/>
      <c r="BW207" s="671"/>
      <c r="BX207" s="293"/>
      <c r="BY207" s="293"/>
      <c r="BZ207" s="293"/>
      <c r="CA207" s="671"/>
      <c r="CB207" s="293"/>
      <c r="CC207" s="293"/>
      <c r="CD207" s="293"/>
      <c r="CE207" s="671"/>
      <c r="CF207" s="293"/>
      <c r="CG207" s="293"/>
      <c r="CH207" s="293"/>
      <c r="CI207" s="671"/>
      <c r="CJ207" s="293"/>
      <c r="CK207" s="293"/>
      <c r="CL207" s="293"/>
      <c r="CM207" s="671"/>
      <c r="CN207" s="293"/>
      <c r="CO207" s="293"/>
      <c r="CP207" s="293"/>
      <c r="CQ207" s="671"/>
      <c r="CR207" s="293"/>
      <c r="CS207" s="293"/>
      <c r="CT207" s="293"/>
      <c r="CU207" s="671"/>
      <c r="CV207" s="293"/>
      <c r="CW207" s="293"/>
      <c r="CX207" s="293"/>
      <c r="CY207" s="671"/>
      <c r="CZ207" s="293"/>
      <c r="DA207" s="293"/>
      <c r="DB207" s="293"/>
      <c r="DC207" s="671"/>
      <c r="DD207" s="293"/>
      <c r="DE207" s="293"/>
      <c r="DF207" s="293"/>
      <c r="DG207" s="671"/>
      <c r="DH207" s="293"/>
      <c r="DI207" s="293"/>
      <c r="DJ207" s="293"/>
      <c r="DK207" s="684"/>
      <c r="DL207" s="293"/>
      <c r="DM207" s="293"/>
      <c r="DN207" s="293"/>
      <c r="DO207" s="684"/>
      <c r="DP207" s="293"/>
      <c r="DQ207" s="293"/>
      <c r="DR207" s="293"/>
      <c r="DS207" s="684"/>
      <c r="DT207" s="671"/>
      <c r="DU207" s="671"/>
      <c r="DV207" s="671"/>
      <c r="DW207" s="828"/>
      <c r="DX207" s="293"/>
      <c r="DY207" s="293"/>
      <c r="EA207" s="293"/>
      <c r="EB207" s="293"/>
      <c r="EC207" s="293"/>
      <c r="EE207" s="293"/>
      <c r="EF207" s="293"/>
      <c r="EG207" s="293"/>
      <c r="EI207" s="293"/>
      <c r="EJ207" s="293"/>
      <c r="EK207" s="293"/>
    </row>
    <row r="208" spans="1:283">
      <c r="A208" s="289" t="s">
        <v>1414</v>
      </c>
      <c r="AV208" s="293"/>
      <c r="AW208" s="293"/>
      <c r="AX208" s="293"/>
      <c r="AZ208" s="293"/>
      <c r="BA208" s="293"/>
      <c r="BB208" s="293"/>
      <c r="BD208" s="293"/>
      <c r="BE208" s="293"/>
      <c r="BF208" s="293"/>
      <c r="BG208" s="671"/>
      <c r="BH208" s="293"/>
      <c r="BI208" s="293"/>
      <c r="BJ208" s="293"/>
      <c r="BK208" s="671"/>
      <c r="BL208" s="293"/>
      <c r="BM208" s="293"/>
      <c r="BN208" s="293"/>
      <c r="BO208" s="671"/>
      <c r="BP208" s="293"/>
      <c r="BQ208" s="293"/>
      <c r="BR208" s="293"/>
      <c r="BS208" s="671"/>
      <c r="BT208" s="293"/>
      <c r="BU208" s="293"/>
      <c r="BV208" s="293"/>
      <c r="BW208" s="671"/>
      <c r="BX208" s="293"/>
      <c r="BY208" s="293"/>
      <c r="BZ208" s="293"/>
      <c r="CA208" s="671"/>
      <c r="CB208" s="293"/>
      <c r="CC208" s="293"/>
      <c r="CD208" s="293"/>
      <c r="CE208" s="671"/>
      <c r="CF208" s="293"/>
      <c r="CG208" s="293"/>
      <c r="CH208" s="293"/>
      <c r="CI208" s="671"/>
      <c r="CJ208" s="293"/>
      <c r="CK208" s="293"/>
      <c r="CL208" s="293"/>
      <c r="CM208" s="671"/>
      <c r="CN208" s="293"/>
      <c r="CO208" s="293"/>
      <c r="CP208" s="293"/>
      <c r="CQ208" s="671"/>
      <c r="CR208" s="293"/>
      <c r="CS208" s="293"/>
      <c r="CT208" s="293"/>
      <c r="CU208" s="671"/>
      <c r="CV208" s="293"/>
      <c r="CW208" s="293"/>
      <c r="CX208" s="293"/>
      <c r="CY208" s="671"/>
      <c r="CZ208" s="293"/>
      <c r="DA208" s="293"/>
      <c r="DB208" s="293"/>
      <c r="DC208" s="671"/>
      <c r="DD208" s="293"/>
      <c r="DE208" s="293"/>
      <c r="DF208" s="293"/>
      <c r="DG208" s="671"/>
      <c r="DH208" s="293"/>
      <c r="DI208" s="293"/>
      <c r="DJ208" s="293"/>
      <c r="DK208" s="684"/>
      <c r="DL208" s="293"/>
      <c r="DM208" s="293"/>
      <c r="DN208" s="293"/>
      <c r="DO208" s="684"/>
      <c r="DP208" s="293"/>
      <c r="DQ208" s="293"/>
      <c r="DR208" s="293"/>
      <c r="DS208" s="684"/>
      <c r="DT208" s="671"/>
      <c r="DU208" s="671"/>
      <c r="DV208" s="671"/>
      <c r="DW208" s="828"/>
      <c r="DX208" s="293"/>
      <c r="DY208" s="293"/>
      <c r="EA208" s="293"/>
      <c r="EB208" s="293"/>
      <c r="EC208" s="293"/>
      <c r="EE208" s="293"/>
      <c r="EF208" s="293"/>
      <c r="EG208" s="293"/>
      <c r="EI208" s="293"/>
      <c r="EJ208" s="293"/>
      <c r="EK208" s="293"/>
    </row>
    <row r="209" spans="1:283">
      <c r="A209" s="102" t="s">
        <v>1410</v>
      </c>
      <c r="AV209" s="293"/>
      <c r="AW209" s="293"/>
      <c r="AX209" s="293"/>
      <c r="AZ209" s="293"/>
      <c r="BA209" s="293"/>
      <c r="BB209" s="293"/>
      <c r="BD209" s="293"/>
      <c r="BE209" s="293"/>
      <c r="BF209" s="293"/>
      <c r="BG209" s="671"/>
      <c r="BH209" s="293"/>
      <c r="BI209" s="293"/>
      <c r="BJ209" s="293"/>
      <c r="BK209" s="671"/>
      <c r="BL209" s="293"/>
      <c r="BM209" s="293"/>
      <c r="BN209" s="293"/>
      <c r="BO209" s="671"/>
      <c r="BP209" s="293"/>
      <c r="BQ209" s="293"/>
      <c r="BR209" s="293"/>
      <c r="BS209" s="671"/>
      <c r="BT209" s="293"/>
      <c r="BU209" s="293"/>
      <c r="BV209" s="293"/>
      <c r="BW209" s="671"/>
      <c r="BX209" s="293"/>
      <c r="BY209" s="293"/>
      <c r="BZ209" s="293"/>
      <c r="CA209" s="671"/>
      <c r="CB209" s="293"/>
      <c r="CC209" s="293"/>
      <c r="CD209" s="293"/>
      <c r="CE209" s="671"/>
      <c r="CF209" s="293"/>
      <c r="CG209" s="293"/>
      <c r="CH209" s="293"/>
      <c r="CI209" s="671"/>
      <c r="CJ209" s="1075">
        <v>92</v>
      </c>
      <c r="CK209" s="2126"/>
      <c r="CL209" s="711"/>
      <c r="CM209" s="2127"/>
      <c r="CN209" s="1075">
        <v>77.7</v>
      </c>
      <c r="CO209" s="2126"/>
      <c r="CP209" s="711"/>
      <c r="CQ209" s="2127"/>
      <c r="CR209" s="1075">
        <v>98.9</v>
      </c>
      <c r="CS209" s="2126"/>
      <c r="CT209" s="711"/>
      <c r="CU209" s="2127"/>
      <c r="CV209" s="1075">
        <v>90</v>
      </c>
      <c r="CW209" s="2126"/>
      <c r="CX209" s="711"/>
      <c r="CY209" s="2127"/>
      <c r="CZ209" s="1075">
        <v>85</v>
      </c>
      <c r="DA209" s="2126"/>
      <c r="DB209" s="711"/>
      <c r="DC209" s="2127"/>
      <c r="DD209" s="1075">
        <v>178</v>
      </c>
      <c r="DE209" s="2126"/>
      <c r="DF209" s="293"/>
      <c r="DG209" s="671"/>
      <c r="DH209" s="2193">
        <v>178</v>
      </c>
      <c r="DI209" s="711"/>
      <c r="DJ209" s="293"/>
      <c r="DK209" s="684"/>
      <c r="DL209" s="1075"/>
      <c r="DM209" s="711"/>
      <c r="DN209" s="293"/>
      <c r="DO209" s="684"/>
      <c r="DP209" s="1075"/>
      <c r="DQ209" s="711"/>
      <c r="DR209" s="293"/>
      <c r="DS209" s="684"/>
      <c r="DT209" s="671"/>
      <c r="DU209" s="671"/>
      <c r="DV209" s="671"/>
      <c r="DW209" s="828"/>
      <c r="DX209" s="293"/>
      <c r="DY209" s="293"/>
      <c r="EA209" s="293"/>
      <c r="EB209" s="293"/>
      <c r="EC209" s="293"/>
      <c r="EE209" s="293"/>
      <c r="EF209" s="293"/>
      <c r="EG209" s="293"/>
      <c r="EI209" s="293"/>
      <c r="EJ209" s="293"/>
      <c r="EK209" s="293"/>
    </row>
    <row r="210" spans="1:283">
      <c r="A210" s="102" t="s">
        <v>1411</v>
      </c>
      <c r="AV210" s="293"/>
      <c r="AW210" s="293"/>
      <c r="AX210" s="293"/>
      <c r="AZ210" s="293"/>
      <c r="BA210" s="293"/>
      <c r="BB210" s="293"/>
      <c r="BD210" s="293"/>
      <c r="BE210" s="293"/>
      <c r="BF210" s="293"/>
      <c r="BG210" s="671"/>
      <c r="BH210" s="293"/>
      <c r="BI210" s="293"/>
      <c r="BJ210" s="293"/>
      <c r="BK210" s="671"/>
      <c r="BL210" s="293"/>
      <c r="BM210" s="293"/>
      <c r="BN210" s="293"/>
      <c r="BO210" s="671"/>
      <c r="BP210" s="293"/>
      <c r="BQ210" s="293"/>
      <c r="BR210" s="293"/>
      <c r="BS210" s="671"/>
      <c r="BT210" s="293"/>
      <c r="BU210" s="293"/>
      <c r="BV210" s="293"/>
      <c r="BW210" s="671"/>
      <c r="BX210" s="293"/>
      <c r="BY210" s="293"/>
      <c r="BZ210" s="293"/>
      <c r="CA210" s="671"/>
      <c r="CB210" s="293"/>
      <c r="CC210" s="293"/>
      <c r="CD210" s="293"/>
      <c r="CE210" s="671"/>
      <c r="CF210" s="293"/>
      <c r="CG210" s="293"/>
      <c r="CH210" s="293"/>
      <c r="CI210" s="671"/>
      <c r="CJ210" s="711">
        <f>CJ199-CJ209</f>
        <v>62</v>
      </c>
      <c r="CK210" s="2126"/>
      <c r="CL210" s="711"/>
      <c r="CM210" s="2127"/>
      <c r="CN210" s="711">
        <f>CN199-CN209</f>
        <v>108.3</v>
      </c>
      <c r="CO210" s="2126"/>
      <c r="CP210" s="711"/>
      <c r="CQ210" s="2127"/>
      <c r="CR210" s="711">
        <f>CR199-CR209</f>
        <v>132.1</v>
      </c>
      <c r="CS210" s="2126"/>
      <c r="CT210" s="711"/>
      <c r="CU210" s="2127"/>
      <c r="CV210" s="711">
        <f>CV199-CV209</f>
        <v>74</v>
      </c>
      <c r="CW210" s="2126"/>
      <c r="CX210" s="711"/>
      <c r="CY210" s="2127"/>
      <c r="CZ210" s="711">
        <f>CZ199-CZ209</f>
        <v>87</v>
      </c>
      <c r="DA210" s="2126"/>
      <c r="DB210" s="711"/>
      <c r="DC210" s="2127"/>
      <c r="DD210" s="2128">
        <f>DD199-DD209</f>
        <v>-16</v>
      </c>
      <c r="DE210" s="2126"/>
      <c r="DF210" s="293"/>
      <c r="DG210" s="671"/>
      <c r="DH210" s="2128">
        <f>DH199-DH209</f>
        <v>-16</v>
      </c>
      <c r="DI210" s="711"/>
      <c r="DJ210" s="293"/>
      <c r="DK210" s="684"/>
      <c r="DL210" s="711"/>
      <c r="DM210" s="711"/>
      <c r="DN210" s="293"/>
      <c r="DO210" s="684"/>
      <c r="DP210" s="711"/>
      <c r="DQ210" s="711"/>
      <c r="DR210" s="293"/>
      <c r="DS210" s="684"/>
      <c r="DT210" s="671"/>
      <c r="DU210" s="671"/>
      <c r="DV210" s="671"/>
      <c r="DW210" s="828"/>
      <c r="DX210" s="293"/>
      <c r="DY210" s="293"/>
      <c r="EA210" s="293"/>
      <c r="EB210" s="293"/>
      <c r="EC210" s="293"/>
      <c r="EE210" s="293"/>
      <c r="EF210" s="293"/>
      <c r="EG210" s="293"/>
      <c r="EI210" s="293"/>
      <c r="EJ210" s="293"/>
      <c r="EK210" s="293"/>
    </row>
    <row r="211" spans="1:283">
      <c r="A211" s="102" t="s">
        <v>1412</v>
      </c>
      <c r="AV211" s="293"/>
      <c r="AW211" s="293"/>
      <c r="AX211" s="293"/>
      <c r="AZ211" s="293"/>
      <c r="BA211" s="293"/>
      <c r="BB211" s="293"/>
      <c r="BD211" s="293"/>
      <c r="BE211" s="293"/>
      <c r="BF211" s="293"/>
      <c r="BG211" s="671"/>
      <c r="BH211" s="293"/>
      <c r="BI211" s="293"/>
      <c r="BJ211" s="293"/>
      <c r="BK211" s="671"/>
      <c r="BL211" s="293"/>
      <c r="BM211" s="293"/>
      <c r="BN211" s="293"/>
      <c r="BO211" s="671"/>
      <c r="BP211" s="293"/>
      <c r="BQ211" s="293"/>
      <c r="BR211" s="293"/>
      <c r="BS211" s="671"/>
      <c r="BT211" s="293"/>
      <c r="BU211" s="293"/>
      <c r="BV211" s="293"/>
      <c r="BW211" s="671"/>
      <c r="BX211" s="293"/>
      <c r="BY211" s="293"/>
      <c r="BZ211" s="293"/>
      <c r="CA211" s="671"/>
      <c r="CB211" s="293"/>
      <c r="CC211" s="293"/>
      <c r="CD211" s="293"/>
      <c r="CE211" s="671"/>
      <c r="CF211" s="293"/>
      <c r="CG211" s="293"/>
      <c r="CH211" s="293"/>
      <c r="CI211" s="671"/>
      <c r="CJ211" s="2126"/>
      <c r="CK211" s="1075">
        <v>76.400000000000006</v>
      </c>
      <c r="CL211" s="711"/>
      <c r="CM211" s="2127"/>
      <c r="CN211" s="2126"/>
      <c r="CO211" s="1075">
        <v>58.4</v>
      </c>
      <c r="CP211" s="711"/>
      <c r="CQ211" s="2127"/>
      <c r="CR211" s="2126"/>
      <c r="CS211" s="1075">
        <v>105</v>
      </c>
      <c r="CT211" s="711"/>
      <c r="CU211" s="2127"/>
      <c r="CV211" s="2126"/>
      <c r="CW211" s="1075">
        <v>92</v>
      </c>
      <c r="CX211" s="711"/>
      <c r="CY211" s="2127"/>
      <c r="CZ211" s="2126"/>
      <c r="DA211" s="1075">
        <v>65</v>
      </c>
      <c r="DB211" s="711"/>
      <c r="DC211" s="2127"/>
      <c r="DD211" s="2126"/>
      <c r="DE211" s="2193">
        <v>65</v>
      </c>
      <c r="DF211" s="293"/>
      <c r="DG211" s="671"/>
      <c r="DH211" s="2126"/>
      <c r="DI211" s="1075"/>
      <c r="DJ211" s="293"/>
      <c r="DK211" s="684"/>
      <c r="DL211" s="711"/>
      <c r="DM211" s="1075"/>
      <c r="DN211" s="293"/>
      <c r="DO211" s="684"/>
      <c r="DP211" s="711"/>
      <c r="DQ211" s="1075"/>
      <c r="DR211" s="293"/>
      <c r="DS211" s="684"/>
      <c r="DT211" s="671"/>
      <c r="DU211" s="671"/>
      <c r="DV211" s="671"/>
      <c r="DW211" s="828"/>
      <c r="DX211" s="293"/>
      <c r="DY211" s="293"/>
      <c r="EA211" s="293"/>
      <c r="EB211" s="293"/>
      <c r="EC211" s="293"/>
      <c r="EE211" s="293"/>
      <c r="EF211" s="293"/>
      <c r="EG211" s="293"/>
      <c r="EI211" s="293"/>
      <c r="EJ211" s="293"/>
      <c r="EK211" s="293"/>
    </row>
    <row r="212" spans="1:283">
      <c r="A212" s="102" t="s">
        <v>1413</v>
      </c>
      <c r="AV212" s="293"/>
      <c r="AW212" s="293"/>
      <c r="AX212" s="293"/>
      <c r="AZ212" s="293"/>
      <c r="BA212" s="293"/>
      <c r="BB212" s="293"/>
      <c r="BD212" s="293"/>
      <c r="BE212" s="293"/>
      <c r="BF212" s="293"/>
      <c r="BG212" s="671"/>
      <c r="BH212" s="293"/>
      <c r="BI212" s="293"/>
      <c r="BJ212" s="293"/>
      <c r="BK212" s="671"/>
      <c r="BL212" s="293"/>
      <c r="BM212" s="293"/>
      <c r="BN212" s="293"/>
      <c r="BO212" s="671"/>
      <c r="BP212" s="293"/>
      <c r="BQ212" s="293"/>
      <c r="BR212" s="293"/>
      <c r="BS212" s="671"/>
      <c r="BT212" s="293"/>
      <c r="BU212" s="293"/>
      <c r="BV212" s="293"/>
      <c r="BW212" s="671"/>
      <c r="BX212" s="293"/>
      <c r="BY212" s="293"/>
      <c r="BZ212" s="293"/>
      <c r="CA212" s="671"/>
      <c r="CB212" s="293"/>
      <c r="CC212" s="293"/>
      <c r="CD212" s="293"/>
      <c r="CE212" s="671"/>
      <c r="CF212" s="293"/>
      <c r="CG212" s="293"/>
      <c r="CH212" s="293"/>
      <c r="CI212" s="671"/>
      <c r="CJ212" s="2126"/>
      <c r="CK212" s="711">
        <f>CK199-CK211</f>
        <v>88.6</v>
      </c>
      <c r="CL212" s="711"/>
      <c r="CM212" s="2127"/>
      <c r="CN212" s="2126"/>
      <c r="CO212" s="711">
        <f>CO199-CO211</f>
        <v>119.6</v>
      </c>
      <c r="CP212" s="711"/>
      <c r="CQ212" s="2127"/>
      <c r="CR212" s="2126"/>
      <c r="CS212" s="711">
        <f>CS199-CS211</f>
        <v>121</v>
      </c>
      <c r="CT212" s="711"/>
      <c r="CU212" s="2127"/>
      <c r="CV212" s="2126"/>
      <c r="CW212" s="711">
        <f>CW199-CW211</f>
        <v>201</v>
      </c>
      <c r="CX212" s="711"/>
      <c r="CY212" s="2127"/>
      <c r="CZ212" s="2126"/>
      <c r="DA212" s="711">
        <f>DA199-DA211</f>
        <v>95</v>
      </c>
      <c r="DB212" s="711"/>
      <c r="DC212" s="2127"/>
      <c r="DD212" s="2126"/>
      <c r="DE212" s="711">
        <f>DE199-DE211</f>
        <v>105</v>
      </c>
      <c r="DF212" s="293"/>
      <c r="DG212" s="671"/>
      <c r="DH212" s="2126"/>
      <c r="DI212" s="711"/>
      <c r="DJ212" s="293"/>
      <c r="DK212" s="684"/>
      <c r="DL212" s="711"/>
      <c r="DM212" s="711"/>
      <c r="DN212" s="293"/>
      <c r="DO212" s="684"/>
      <c r="DP212" s="711"/>
      <c r="DQ212" s="711"/>
      <c r="DR212" s="293"/>
      <c r="DS212" s="684"/>
      <c r="DT212" s="671"/>
      <c r="DU212" s="671"/>
      <c r="DV212" s="671"/>
      <c r="DW212" s="828"/>
      <c r="DX212" s="293"/>
      <c r="DY212" s="293"/>
      <c r="EA212" s="293"/>
      <c r="EB212" s="293"/>
      <c r="EC212" s="293"/>
      <c r="EE212" s="293"/>
      <c r="EF212" s="293"/>
      <c r="EG212" s="293"/>
      <c r="EI212" s="293"/>
      <c r="EJ212" s="293"/>
      <c r="EK212" s="293"/>
    </row>
    <row r="213" spans="1:283">
      <c r="AV213" s="293"/>
      <c r="AW213" s="293"/>
      <c r="AX213" s="293"/>
      <c r="AZ213" s="293"/>
      <c r="BA213" s="293"/>
      <c r="BB213" s="293"/>
      <c r="BD213" s="293"/>
      <c r="BE213" s="293"/>
      <c r="BF213" s="293"/>
      <c r="BG213" s="671"/>
      <c r="BH213" s="293"/>
      <c r="BI213" s="293"/>
      <c r="BJ213" s="293"/>
      <c r="BK213" s="671"/>
      <c r="BL213" s="293"/>
      <c r="BM213" s="293"/>
      <c r="BN213" s="293"/>
      <c r="BO213" s="671"/>
      <c r="BP213" s="293"/>
      <c r="BQ213" s="293"/>
      <c r="BR213" s="293"/>
      <c r="BS213" s="671"/>
      <c r="BT213" s="293"/>
      <c r="BU213" s="293"/>
      <c r="BV213" s="293"/>
      <c r="BW213" s="671"/>
      <c r="BX213" s="293"/>
      <c r="BY213" s="293"/>
      <c r="BZ213" s="293"/>
      <c r="CA213" s="671"/>
      <c r="CB213" s="293"/>
      <c r="CC213" s="293"/>
      <c r="CD213" s="293"/>
      <c r="CE213" s="671"/>
      <c r="CF213" s="293"/>
      <c r="CG213" s="293"/>
      <c r="CH213" s="293"/>
      <c r="CI213" s="671"/>
      <c r="CJ213" s="293"/>
      <c r="CK213" s="293"/>
      <c r="CL213" s="293"/>
      <c r="CM213" s="671"/>
      <c r="CN213" s="293"/>
      <c r="CO213" s="293"/>
      <c r="CP213" s="293"/>
      <c r="CQ213" s="671"/>
      <c r="CR213" s="293"/>
      <c r="CS213" s="293"/>
      <c r="CT213" s="293"/>
      <c r="CU213" s="671"/>
      <c r="CV213" s="293"/>
      <c r="CW213" s="293"/>
      <c r="CX213" s="293"/>
      <c r="CY213" s="671"/>
      <c r="CZ213" s="293"/>
      <c r="DA213" s="293"/>
      <c r="DB213" s="293"/>
      <c r="DC213" s="671"/>
      <c r="DD213" s="293"/>
      <c r="DE213" s="293"/>
      <c r="DF213" s="293"/>
      <c r="DG213" s="671"/>
      <c r="DH213" s="293"/>
      <c r="DI213" s="293"/>
      <c r="DJ213" s="293"/>
      <c r="DK213" s="671"/>
      <c r="DL213" s="293"/>
      <c r="DM213" s="293"/>
      <c r="DN213" s="293"/>
      <c r="DO213" s="671"/>
      <c r="DP213" s="293"/>
      <c r="DQ213" s="293"/>
      <c r="DR213" s="293"/>
      <c r="DS213" s="671"/>
      <c r="DT213" s="671"/>
      <c r="DU213" s="671"/>
      <c r="DV213" s="671"/>
      <c r="DW213" s="828"/>
      <c r="DX213" s="293"/>
      <c r="DY213" s="293"/>
      <c r="EA213" s="293"/>
      <c r="EB213" s="293"/>
      <c r="EC213" s="293"/>
      <c r="EE213" s="293"/>
      <c r="EF213" s="293"/>
      <c r="EG213" s="293"/>
      <c r="EI213" s="293"/>
      <c r="EJ213" s="293"/>
      <c r="EK213" s="293"/>
    </row>
    <row r="214" spans="1:283" s="332" customFormat="1">
      <c r="A214" s="1207" t="s">
        <v>899</v>
      </c>
      <c r="AN214" s="293"/>
      <c r="AO214" s="293"/>
      <c r="AP214" s="293"/>
      <c r="AQ214" s="293"/>
      <c r="AR214" s="293"/>
      <c r="AS214" s="293"/>
      <c r="AT214" s="293"/>
      <c r="AU214" s="293"/>
      <c r="AV214" s="293"/>
      <c r="AW214" s="293"/>
      <c r="AX214" s="293"/>
      <c r="AY214" s="293"/>
      <c r="AZ214" s="293"/>
      <c r="BA214" s="293"/>
      <c r="BB214" s="293"/>
      <c r="BC214" s="293"/>
      <c r="BD214" s="293"/>
      <c r="BE214" s="293"/>
      <c r="BF214" s="293"/>
      <c r="BG214" s="293"/>
      <c r="BH214" s="293"/>
      <c r="BI214" s="293"/>
      <c r="BJ214" s="293"/>
      <c r="BK214" s="293"/>
      <c r="BL214" s="293"/>
      <c r="BM214" s="293"/>
      <c r="BN214" s="293"/>
      <c r="BO214" s="293"/>
      <c r="BP214" s="293"/>
      <c r="BQ214" s="293"/>
      <c r="BR214" s="293"/>
      <c r="BS214" s="293"/>
      <c r="BT214" s="293"/>
      <c r="BU214" s="293"/>
      <c r="BV214" s="293"/>
      <c r="BW214" s="293"/>
      <c r="BX214" s="293"/>
      <c r="BY214" s="293"/>
      <c r="BZ214" s="293"/>
      <c r="CA214" s="293"/>
      <c r="CB214" s="293"/>
      <c r="CC214" s="293"/>
      <c r="CD214" s="293"/>
      <c r="CE214" s="293"/>
      <c r="CF214" s="293"/>
      <c r="CG214" s="293"/>
      <c r="CH214" s="293"/>
      <c r="CI214" s="293"/>
      <c r="CJ214" s="293"/>
      <c r="CK214" s="293"/>
      <c r="CL214" s="293"/>
      <c r="CM214" s="293"/>
      <c r="CN214" s="293"/>
      <c r="CO214" s="293"/>
      <c r="CP214" s="293"/>
      <c r="CQ214" s="293"/>
      <c r="CR214" s="293"/>
      <c r="CS214" s="293"/>
      <c r="CT214" s="293"/>
      <c r="CU214" s="293"/>
      <c r="CV214" s="293"/>
      <c r="CW214" s="293"/>
      <c r="CX214" s="293"/>
      <c r="CY214" s="293"/>
      <c r="CZ214" s="293"/>
      <c r="DA214" s="293"/>
      <c r="DB214" s="293"/>
      <c r="DC214" s="293"/>
      <c r="DD214" s="293"/>
      <c r="DE214" s="293"/>
      <c r="DF214" s="293"/>
      <c r="DG214" s="293"/>
      <c r="DH214" s="293"/>
      <c r="DI214" s="293"/>
      <c r="DJ214" s="293"/>
      <c r="DK214" s="293"/>
      <c r="DL214" s="293"/>
      <c r="DM214" s="293"/>
      <c r="DN214" s="293"/>
      <c r="DO214" s="293"/>
      <c r="DP214" s="293"/>
      <c r="DQ214" s="293"/>
      <c r="DR214" s="293"/>
      <c r="DS214" s="293"/>
      <c r="DT214" s="293"/>
      <c r="DU214" s="293"/>
      <c r="DV214" s="293"/>
      <c r="DW214" s="828"/>
      <c r="DX214" s="293"/>
      <c r="DY214" s="293"/>
      <c r="DZ214" s="293"/>
      <c r="EA214" s="293"/>
      <c r="EB214" s="293"/>
      <c r="EC214" s="293"/>
      <c r="ED214" s="293"/>
      <c r="EE214" s="293"/>
      <c r="EF214" s="293"/>
      <c r="EG214" s="293"/>
      <c r="EH214" s="293"/>
      <c r="EI214" s="293"/>
      <c r="EJ214" s="293"/>
      <c r="EK214" s="293"/>
      <c r="EL214" s="293"/>
      <c r="EM214" s="293"/>
      <c r="EN214" s="293"/>
      <c r="EO214" s="293"/>
      <c r="EP214" s="293"/>
      <c r="EQ214" s="293"/>
      <c r="ER214" s="293"/>
      <c r="ES214" s="293"/>
      <c r="ET214" s="293"/>
      <c r="EU214" s="293"/>
      <c r="JW214"/>
    </row>
    <row r="215" spans="1:283" s="332" customFormat="1">
      <c r="A215" s="332" t="str">
        <f>A122</f>
        <v>Employment expenses</v>
      </c>
      <c r="AN215" s="492">
        <f t="shared" ref="AN215:AP217" si="374">AN122</f>
        <v>0</v>
      </c>
      <c r="AO215" s="492">
        <f t="shared" si="374"/>
        <v>0</v>
      </c>
      <c r="AP215" s="492">
        <f t="shared" si="374"/>
        <v>0</v>
      </c>
      <c r="AQ215" s="293"/>
      <c r="AR215" s="492">
        <f t="shared" ref="AR215:AT217" si="375">AR122</f>
        <v>-191.77072984333205</v>
      </c>
      <c r="AS215" s="492">
        <f t="shared" si="375"/>
        <v>-257.14711501719523</v>
      </c>
      <c r="AT215" s="492">
        <f t="shared" si="375"/>
        <v>-448.91784486052728</v>
      </c>
      <c r="AU215" s="626"/>
      <c r="AV215" s="492">
        <f t="shared" ref="AV215:AX217" si="376">AV122</f>
        <v>-168</v>
      </c>
      <c r="AW215" s="492">
        <f t="shared" si="376"/>
        <v>-218</v>
      </c>
      <c r="AX215" s="492">
        <f t="shared" si="376"/>
        <v>-386</v>
      </c>
      <c r="AY215" s="626"/>
      <c r="AZ215" s="492">
        <f t="shared" ref="AZ215:BB217" si="377">AZ122</f>
        <v>-179</v>
      </c>
      <c r="BA215" s="492">
        <f t="shared" si="377"/>
        <v>-201</v>
      </c>
      <c r="BB215" s="492">
        <f t="shared" si="377"/>
        <v>-380</v>
      </c>
      <c r="BC215" s="293"/>
      <c r="BD215" s="492">
        <f t="shared" ref="BD215:BF217" si="378">BD122</f>
        <v>-152</v>
      </c>
      <c r="BE215" s="492">
        <f t="shared" si="378"/>
        <v>-155</v>
      </c>
      <c r="BF215" s="492">
        <f t="shared" si="378"/>
        <v>-307</v>
      </c>
      <c r="BG215" s="293"/>
      <c r="BH215" s="492">
        <f t="shared" ref="BH215:BJ217" si="379">BH122</f>
        <v>-125</v>
      </c>
      <c r="BI215" s="492">
        <f t="shared" si="379"/>
        <v>-122</v>
      </c>
      <c r="BJ215" s="492">
        <f t="shared" si="379"/>
        <v>-247</v>
      </c>
      <c r="BK215" s="487"/>
      <c r="BL215" s="492">
        <f t="shared" ref="BL215:BN217" si="380">BL122</f>
        <v>-132</v>
      </c>
      <c r="BM215" s="492">
        <f t="shared" si="380"/>
        <v>-142</v>
      </c>
      <c r="BN215" s="492">
        <f t="shared" si="380"/>
        <v>-274</v>
      </c>
      <c r="BO215" s="487"/>
      <c r="BP215" s="492">
        <f t="shared" ref="BP215:BR217" si="381">BP122</f>
        <v>-140</v>
      </c>
      <c r="BQ215" s="492">
        <f t="shared" si="381"/>
        <v>-168</v>
      </c>
      <c r="BR215" s="492">
        <f t="shared" si="381"/>
        <v>-308</v>
      </c>
      <c r="BS215" s="487"/>
      <c r="BT215" s="492">
        <f t="shared" ref="BT215:BV217" si="382">BT122</f>
        <v>-163</v>
      </c>
      <c r="BU215" s="492">
        <f t="shared" si="382"/>
        <v>-173</v>
      </c>
      <c r="BV215" s="492">
        <f t="shared" si="382"/>
        <v>-336</v>
      </c>
      <c r="BW215" s="293"/>
      <c r="BX215" s="492">
        <f t="shared" ref="BX215:BZ217" si="383">BX122</f>
        <v>-178</v>
      </c>
      <c r="BY215" s="492">
        <f t="shared" si="383"/>
        <v>-151</v>
      </c>
      <c r="BZ215" s="492">
        <f t="shared" si="383"/>
        <v>-329</v>
      </c>
      <c r="CA215" s="293"/>
      <c r="CB215" s="492">
        <f t="shared" ref="CB215:CD217" si="384">CB122</f>
        <v>-160</v>
      </c>
      <c r="CC215" s="492">
        <f t="shared" si="384"/>
        <v>-163</v>
      </c>
      <c r="CD215" s="492">
        <f t="shared" si="384"/>
        <v>-323</v>
      </c>
      <c r="CE215" s="293"/>
      <c r="CF215" s="492">
        <f t="shared" ref="CF215:CH217" si="385">CF122</f>
        <v>-216</v>
      </c>
      <c r="CG215" s="492">
        <f t="shared" si="385"/>
        <v>-261</v>
      </c>
      <c r="CH215" s="492">
        <f t="shared" si="385"/>
        <v>-477</v>
      </c>
      <c r="CI215" s="293"/>
      <c r="CJ215" s="492">
        <f t="shared" ref="CJ215:CL217" si="386">CJ122</f>
        <v>-385</v>
      </c>
      <c r="CK215" s="492">
        <f t="shared" si="386"/>
        <v>-348</v>
      </c>
      <c r="CL215" s="492">
        <f t="shared" si="386"/>
        <v>-733</v>
      </c>
      <c r="CM215" s="293"/>
      <c r="CN215" s="492">
        <f t="shared" ref="CN215:CP217" si="387">CN122</f>
        <v>-361</v>
      </c>
      <c r="CO215" s="492">
        <f t="shared" si="387"/>
        <v>-303</v>
      </c>
      <c r="CP215" s="492">
        <f t="shared" si="387"/>
        <v>-664</v>
      </c>
      <c r="CQ215" s="293"/>
      <c r="CR215" s="492">
        <f t="shared" ref="CR215:CT217" si="388">CR122</f>
        <v>-254</v>
      </c>
      <c r="CS215" s="492">
        <f t="shared" si="388"/>
        <v>-263</v>
      </c>
      <c r="CT215" s="492">
        <f t="shared" si="388"/>
        <v>-517</v>
      </c>
      <c r="CU215" s="293"/>
      <c r="CV215" s="492">
        <f t="shared" ref="CV215:CX217" si="389">CV122</f>
        <v>-286</v>
      </c>
      <c r="CW215" s="492">
        <f t="shared" si="389"/>
        <v>-298</v>
      </c>
      <c r="CX215" s="492">
        <f t="shared" si="389"/>
        <v>-584</v>
      </c>
      <c r="CY215" s="293"/>
      <c r="CZ215" s="492">
        <f t="shared" ref="CZ215:DB217" si="390">CZ122</f>
        <v>-320</v>
      </c>
      <c r="DA215" s="492">
        <f t="shared" si="390"/>
        <v>-302</v>
      </c>
      <c r="DB215" s="492">
        <f t="shared" si="390"/>
        <v>-622</v>
      </c>
      <c r="DC215" s="293"/>
      <c r="DD215" s="492">
        <f>DD122</f>
        <v>-311</v>
      </c>
      <c r="DE215" s="492">
        <f t="shared" ref="DE215:DF215" si="391">DE122</f>
        <v>-307</v>
      </c>
      <c r="DF215" s="492">
        <f t="shared" si="391"/>
        <v>-618</v>
      </c>
      <c r="DG215" s="293"/>
      <c r="DH215" s="492">
        <f>DH122</f>
        <v>-293</v>
      </c>
      <c r="DI215" s="293">
        <f>+DE215*(1+DI220)</f>
        <v>-317.74499999999995</v>
      </c>
      <c r="DJ215" s="293">
        <f>DH215+DI215</f>
        <v>-610.74499999999989</v>
      </c>
      <c r="DK215" s="293"/>
      <c r="DL215" s="293">
        <f>+DH215*(1+DL220)</f>
        <v>-303.255</v>
      </c>
      <c r="DM215" s="293">
        <f>+DI215*(1+DM220)</f>
        <v>-328.86607499999991</v>
      </c>
      <c r="DN215" s="293">
        <f>DL215+DM215</f>
        <v>-632.12107499999991</v>
      </c>
      <c r="DO215" s="293"/>
      <c r="DP215" s="293">
        <f>+DL215*(1+DP220)</f>
        <v>-313.86892499999999</v>
      </c>
      <c r="DQ215" s="293">
        <f>+DM215*(1+DQ220)</f>
        <v>-340.37638762499989</v>
      </c>
      <c r="DR215" s="293">
        <f>DP215+DQ215</f>
        <v>-654.24531262499988</v>
      </c>
      <c r="DS215" s="293"/>
      <c r="DT215" s="293"/>
      <c r="DU215" s="293"/>
      <c r="DV215" s="293"/>
      <c r="DW215" s="828" t="s">
        <v>514</v>
      </c>
      <c r="DX215" s="293"/>
      <c r="DY215" s="293"/>
      <c r="DZ215" s="293"/>
      <c r="EA215" s="293"/>
      <c r="EB215" s="293"/>
      <c r="EC215" s="293"/>
      <c r="ED215" s="293"/>
      <c r="EE215" s="293"/>
      <c r="EF215" s="293"/>
      <c r="EG215" s="293"/>
      <c r="EH215" s="293"/>
      <c r="EI215" s="293"/>
      <c r="EJ215" s="293"/>
      <c r="EK215" s="293"/>
      <c r="EL215" s="293"/>
      <c r="EM215" s="293"/>
      <c r="EN215" s="293"/>
      <c r="EO215" s="293"/>
      <c r="EP215" s="293"/>
      <c r="EQ215" s="293"/>
      <c r="ER215" s="293"/>
      <c r="ES215" s="293"/>
      <c r="ET215" s="293"/>
      <c r="EU215" s="293"/>
      <c r="JW215"/>
    </row>
    <row r="216" spans="1:283" s="332" customFormat="1">
      <c r="A216" s="332" t="str">
        <f>A123</f>
        <v>Brokerage and commission expenses</v>
      </c>
      <c r="AN216" s="492">
        <f t="shared" si="374"/>
        <v>0</v>
      </c>
      <c r="AO216" s="492">
        <f t="shared" si="374"/>
        <v>0</v>
      </c>
      <c r="AP216" s="492">
        <f t="shared" si="374"/>
        <v>0</v>
      </c>
      <c r="AQ216" s="293"/>
      <c r="AR216" s="492">
        <f t="shared" si="375"/>
        <v>-2</v>
      </c>
      <c r="AS216" s="492">
        <f t="shared" si="375"/>
        <v>-18</v>
      </c>
      <c r="AT216" s="492">
        <f t="shared" si="375"/>
        <v>-20</v>
      </c>
      <c r="AU216" s="626"/>
      <c r="AV216" s="492">
        <f t="shared" si="376"/>
        <v>-4</v>
      </c>
      <c r="AW216" s="492">
        <f t="shared" si="376"/>
        <v>-2</v>
      </c>
      <c r="AX216" s="492">
        <f t="shared" si="376"/>
        <v>-6</v>
      </c>
      <c r="AY216" s="626"/>
      <c r="AZ216" s="492">
        <f t="shared" si="377"/>
        <v>-4</v>
      </c>
      <c r="BA216" s="492">
        <f t="shared" si="377"/>
        <v>-1</v>
      </c>
      <c r="BB216" s="492">
        <f t="shared" si="377"/>
        <v>-5</v>
      </c>
      <c r="BC216" s="293"/>
      <c r="BD216" s="492">
        <f t="shared" si="378"/>
        <v>-2</v>
      </c>
      <c r="BE216" s="492">
        <f t="shared" si="378"/>
        <v>-2.3330000000000002</v>
      </c>
      <c r="BF216" s="492">
        <f t="shared" si="378"/>
        <v>-4.3330000000000002</v>
      </c>
      <c r="BG216" s="293"/>
      <c r="BH216" s="492">
        <f t="shared" si="379"/>
        <v>-3</v>
      </c>
      <c r="BI216" s="492">
        <f t="shared" si="379"/>
        <v>-3</v>
      </c>
      <c r="BJ216" s="492">
        <f t="shared" si="379"/>
        <v>-6</v>
      </c>
      <c r="BK216" s="487"/>
      <c r="BL216" s="492">
        <f t="shared" si="380"/>
        <v>-5</v>
      </c>
      <c r="BM216" s="492">
        <f t="shared" si="380"/>
        <v>-1</v>
      </c>
      <c r="BN216" s="492">
        <f t="shared" si="380"/>
        <v>-6</v>
      </c>
      <c r="BO216" s="487"/>
      <c r="BP216" s="492">
        <f t="shared" si="381"/>
        <v>-2</v>
      </c>
      <c r="BQ216" s="492">
        <f t="shared" si="381"/>
        <v>-2</v>
      </c>
      <c r="BR216" s="492">
        <f t="shared" si="381"/>
        <v>-4</v>
      </c>
      <c r="BS216" s="487"/>
      <c r="BT216" s="492">
        <f t="shared" si="382"/>
        <v>-3</v>
      </c>
      <c r="BU216" s="492">
        <f t="shared" si="382"/>
        <v>-4</v>
      </c>
      <c r="BV216" s="492">
        <f t="shared" si="382"/>
        <v>-7</v>
      </c>
      <c r="BW216" s="293"/>
      <c r="BX216" s="492">
        <f t="shared" si="383"/>
        <v>-4</v>
      </c>
      <c r="BY216" s="492">
        <f t="shared" si="383"/>
        <v>-4</v>
      </c>
      <c r="BZ216" s="492">
        <f t="shared" si="383"/>
        <v>-8</v>
      </c>
      <c r="CA216" s="293"/>
      <c r="CB216" s="492">
        <f t="shared" si="384"/>
        <v>-3</v>
      </c>
      <c r="CC216" s="492">
        <f t="shared" si="384"/>
        <v>-1</v>
      </c>
      <c r="CD216" s="492">
        <f t="shared" si="384"/>
        <v>-4</v>
      </c>
      <c r="CE216" s="293"/>
      <c r="CF216" s="492">
        <f t="shared" si="385"/>
        <v>-23</v>
      </c>
      <c r="CG216" s="492">
        <f t="shared" si="385"/>
        <v>-17</v>
      </c>
      <c r="CH216" s="492">
        <f t="shared" si="385"/>
        <v>-40</v>
      </c>
      <c r="CI216" s="293"/>
      <c r="CJ216" s="492">
        <f t="shared" si="386"/>
        <v>-50</v>
      </c>
      <c r="CK216" s="492">
        <f t="shared" si="386"/>
        <v>-57</v>
      </c>
      <c r="CL216" s="492">
        <f t="shared" si="386"/>
        <v>-107</v>
      </c>
      <c r="CM216" s="293"/>
      <c r="CN216" s="492">
        <f t="shared" si="387"/>
        <v>-50</v>
      </c>
      <c r="CO216" s="492">
        <f t="shared" si="387"/>
        <v>-48</v>
      </c>
      <c r="CP216" s="492">
        <f t="shared" si="387"/>
        <v>-98</v>
      </c>
      <c r="CQ216" s="293"/>
      <c r="CR216" s="492">
        <f t="shared" si="388"/>
        <v>-43</v>
      </c>
      <c r="CS216" s="492">
        <f t="shared" si="388"/>
        <v>-58</v>
      </c>
      <c r="CT216" s="492">
        <f t="shared" si="388"/>
        <v>-101</v>
      </c>
      <c r="CU216" s="293"/>
      <c r="CV216" s="492">
        <f t="shared" si="389"/>
        <v>-53</v>
      </c>
      <c r="CW216" s="492">
        <f t="shared" si="389"/>
        <v>-34</v>
      </c>
      <c r="CX216" s="492">
        <f t="shared" si="389"/>
        <v>-87</v>
      </c>
      <c r="CY216" s="293"/>
      <c r="CZ216" s="492">
        <f t="shared" si="390"/>
        <v>-47</v>
      </c>
      <c r="DA216" s="492">
        <f t="shared" si="390"/>
        <v>-40</v>
      </c>
      <c r="DB216" s="492">
        <f t="shared" si="390"/>
        <v>-87</v>
      </c>
      <c r="DC216" s="293"/>
      <c r="DD216" s="492">
        <f>DD123</f>
        <v>-57</v>
      </c>
      <c r="DE216" s="492">
        <f t="shared" ref="DE216:DF216" si="392">DE123</f>
        <v>-67</v>
      </c>
      <c r="DF216" s="492">
        <f t="shared" si="392"/>
        <v>-124</v>
      </c>
      <c r="DG216" s="293"/>
      <c r="DH216" s="492">
        <f>DH123</f>
        <v>-65</v>
      </c>
      <c r="DI216" s="293">
        <f>-DI225*DI153</f>
        <v>-51.953999999999994</v>
      </c>
      <c r="DJ216" s="293">
        <f t="shared" ref="DJ216" si="393">DH216+DI216</f>
        <v>-116.95399999999999</v>
      </c>
      <c r="DK216" s="293"/>
      <c r="DL216" s="293">
        <f>-DL225*DL153</f>
        <v>-54.148740000000004</v>
      </c>
      <c r="DM216" s="293">
        <f>-DM225*DM153</f>
        <v>-56.441128199999994</v>
      </c>
      <c r="DN216" s="293">
        <f t="shared" ref="DN216" si="394">DL216+DM216</f>
        <v>-110.5898682</v>
      </c>
      <c r="DO216" s="293"/>
      <c r="DP216" s="293">
        <f>-DP225*DP153</f>
        <v>-57.783700895999992</v>
      </c>
      <c r="DQ216" s="293">
        <f>-DQ225*DQ153</f>
        <v>-59.159537549880007</v>
      </c>
      <c r="DR216" s="293">
        <f t="shared" ref="DR216" si="395">DP216+DQ216</f>
        <v>-116.94323844588</v>
      </c>
      <c r="DS216" s="293"/>
      <c r="DT216" s="293"/>
      <c r="DU216" s="293"/>
      <c r="DV216" s="293"/>
      <c r="DW216" s="828" t="s">
        <v>514</v>
      </c>
      <c r="DX216" s="293"/>
      <c r="DY216" s="293"/>
      <c r="DZ216" s="293"/>
      <c r="EA216" s="293"/>
      <c r="EB216" s="293"/>
      <c r="EC216" s="293"/>
      <c r="ED216" s="293"/>
      <c r="EE216" s="293"/>
      <c r="EF216" s="293"/>
      <c r="EG216" s="293"/>
      <c r="EH216" s="293"/>
      <c r="EI216" s="293"/>
      <c r="EJ216" s="293"/>
      <c r="EK216" s="293"/>
      <c r="EL216" s="293"/>
      <c r="EM216" s="293"/>
      <c r="EN216" s="293"/>
      <c r="EO216" s="293"/>
      <c r="EP216" s="293"/>
      <c r="EQ216" s="293"/>
      <c r="ER216" s="293"/>
      <c r="ES216" s="293"/>
      <c r="ET216" s="293"/>
      <c r="EU216" s="293"/>
      <c r="JW216"/>
    </row>
    <row r="217" spans="1:283" s="332" customFormat="1">
      <c r="A217" s="332" t="str">
        <f>A124</f>
        <v>Other operating expenses</v>
      </c>
      <c r="AN217" s="492">
        <f t="shared" si="374"/>
        <v>0</v>
      </c>
      <c r="AO217" s="492">
        <f t="shared" si="374"/>
        <v>0</v>
      </c>
      <c r="AP217" s="492">
        <f t="shared" si="374"/>
        <v>0</v>
      </c>
      <c r="AQ217" s="293"/>
      <c r="AR217" s="492">
        <f t="shared" si="375"/>
        <v>-174.33702713030186</v>
      </c>
      <c r="AS217" s="492">
        <f t="shared" si="375"/>
        <v>-207.02521971723345</v>
      </c>
      <c r="AT217" s="492">
        <f t="shared" si="375"/>
        <v>-381.36224684753529</v>
      </c>
      <c r="AU217" s="626"/>
      <c r="AV217" s="492">
        <f t="shared" si="376"/>
        <v>-160</v>
      </c>
      <c r="AW217" s="492">
        <f t="shared" si="376"/>
        <v>-176</v>
      </c>
      <c r="AX217" s="492">
        <f t="shared" si="376"/>
        <v>-336</v>
      </c>
      <c r="AY217" s="626"/>
      <c r="AZ217" s="492">
        <f t="shared" si="377"/>
        <v>-149.5</v>
      </c>
      <c r="BA217" s="492">
        <f t="shared" si="377"/>
        <v>-158.5</v>
      </c>
      <c r="BB217" s="492">
        <f t="shared" si="377"/>
        <v>-308</v>
      </c>
      <c r="BC217" s="293"/>
      <c r="BD217" s="492">
        <f t="shared" si="378"/>
        <v>-124</v>
      </c>
      <c r="BE217" s="492">
        <f t="shared" si="378"/>
        <v>-137.66669999999999</v>
      </c>
      <c r="BF217" s="492">
        <f t="shared" si="378"/>
        <v>-261.66669999999999</v>
      </c>
      <c r="BG217" s="293"/>
      <c r="BH217" s="492">
        <f t="shared" si="379"/>
        <v>-132</v>
      </c>
      <c r="BI217" s="492">
        <f t="shared" si="379"/>
        <v>-134</v>
      </c>
      <c r="BJ217" s="492">
        <f t="shared" si="379"/>
        <v>-266</v>
      </c>
      <c r="BK217" s="487"/>
      <c r="BL217" s="492">
        <f t="shared" si="380"/>
        <v>-146</v>
      </c>
      <c r="BM217" s="492">
        <f t="shared" si="380"/>
        <v>-122</v>
      </c>
      <c r="BN217" s="492">
        <f t="shared" si="380"/>
        <v>-268</v>
      </c>
      <c r="BO217" s="487"/>
      <c r="BP217" s="492">
        <f t="shared" si="381"/>
        <v>-148</v>
      </c>
      <c r="BQ217" s="492">
        <f t="shared" si="381"/>
        <v>-169</v>
      </c>
      <c r="BR217" s="492">
        <f t="shared" si="381"/>
        <v>-317</v>
      </c>
      <c r="BS217" s="487"/>
      <c r="BT217" s="492">
        <f t="shared" si="382"/>
        <v>-180</v>
      </c>
      <c r="BU217" s="492">
        <f t="shared" si="382"/>
        <v>-209</v>
      </c>
      <c r="BV217" s="492">
        <f t="shared" si="382"/>
        <v>-389</v>
      </c>
      <c r="BW217" s="293"/>
      <c r="BX217" s="492">
        <f t="shared" si="383"/>
        <v>-193</v>
      </c>
      <c r="BY217" s="492">
        <f t="shared" si="383"/>
        <v>-192</v>
      </c>
      <c r="BZ217" s="492">
        <f t="shared" si="383"/>
        <v>-385</v>
      </c>
      <c r="CA217" s="293"/>
      <c r="CB217" s="492">
        <f t="shared" si="384"/>
        <v>-202</v>
      </c>
      <c r="CC217" s="492">
        <f t="shared" si="384"/>
        <v>-210</v>
      </c>
      <c r="CD217" s="492">
        <f t="shared" si="384"/>
        <v>-412</v>
      </c>
      <c r="CE217" s="293"/>
      <c r="CF217" s="492">
        <f t="shared" si="385"/>
        <v>-265</v>
      </c>
      <c r="CG217" s="492">
        <f t="shared" si="385"/>
        <v>-291</v>
      </c>
      <c r="CH217" s="492">
        <f t="shared" si="385"/>
        <v>-556</v>
      </c>
      <c r="CI217" s="293"/>
      <c r="CJ217" s="492">
        <f t="shared" si="386"/>
        <v>-478</v>
      </c>
      <c r="CK217" s="492">
        <f t="shared" si="386"/>
        <v>-447</v>
      </c>
      <c r="CL217" s="492">
        <f t="shared" si="386"/>
        <v>-925</v>
      </c>
      <c r="CM217" s="293"/>
      <c r="CN217" s="492">
        <f t="shared" si="387"/>
        <v>-405</v>
      </c>
      <c r="CO217" s="492">
        <f t="shared" si="387"/>
        <v>-447</v>
      </c>
      <c r="CP217" s="492">
        <f t="shared" si="387"/>
        <v>-852</v>
      </c>
      <c r="CQ217" s="293"/>
      <c r="CR217" s="492">
        <f t="shared" si="388"/>
        <v>-303</v>
      </c>
      <c r="CS217" s="492">
        <f t="shared" si="388"/>
        <v>-349</v>
      </c>
      <c r="CT217" s="492">
        <f t="shared" si="388"/>
        <v>-652</v>
      </c>
      <c r="CU217" s="293"/>
      <c r="CV217" s="492">
        <f t="shared" si="389"/>
        <v>-372</v>
      </c>
      <c r="CW217" s="492">
        <f t="shared" si="389"/>
        <v>-413</v>
      </c>
      <c r="CX217" s="492">
        <f t="shared" si="389"/>
        <v>-785</v>
      </c>
      <c r="CY217" s="293"/>
      <c r="CZ217" s="492">
        <f t="shared" si="390"/>
        <v>-421</v>
      </c>
      <c r="DA217" s="492">
        <f t="shared" si="390"/>
        <v>-408</v>
      </c>
      <c r="DB217" s="492">
        <f t="shared" si="390"/>
        <v>-829</v>
      </c>
      <c r="DC217" s="293"/>
      <c r="DD217" s="492">
        <f>DD124</f>
        <v>-403</v>
      </c>
      <c r="DE217" s="492">
        <f t="shared" ref="DE217:DF217" si="396">DE124</f>
        <v>-439</v>
      </c>
      <c r="DF217" s="492">
        <f t="shared" si="396"/>
        <v>-842</v>
      </c>
      <c r="DG217" s="293"/>
      <c r="DH217" s="492">
        <f>DH124</f>
        <v>-416</v>
      </c>
      <c r="DI217" s="293">
        <f>+DE217*(1+DI222)</f>
        <v>-447.78000000000003</v>
      </c>
      <c r="DJ217" s="293">
        <f>DH217+DI217</f>
        <v>-863.78</v>
      </c>
      <c r="DK217" s="293"/>
      <c r="DL217" s="293">
        <f>+DH217*(1+DL222)</f>
        <v>-424.32</v>
      </c>
      <c r="DM217" s="293">
        <f>+DI217*(1+DM222)</f>
        <v>-456.73560000000003</v>
      </c>
      <c r="DN217" s="293">
        <f>DL217+DM217</f>
        <v>-881.05560000000003</v>
      </c>
      <c r="DO217" s="293"/>
      <c r="DP217" s="293">
        <f>+DL217*(1+DP222)</f>
        <v>-432.8064</v>
      </c>
      <c r="DQ217" s="293">
        <f>+DM217*(1+DQ222)</f>
        <v>-465.87031200000007</v>
      </c>
      <c r="DR217" s="293">
        <f>DP217+DQ217</f>
        <v>-898.67671200000007</v>
      </c>
      <c r="DS217" s="293"/>
      <c r="DT217" s="293"/>
      <c r="DU217" s="293"/>
      <c r="DV217" s="293"/>
      <c r="DW217" s="828" t="s">
        <v>514</v>
      </c>
      <c r="DX217" s="293"/>
      <c r="DY217" s="293"/>
      <c r="DZ217" s="293"/>
      <c r="EA217" s="293"/>
      <c r="EB217" s="293"/>
      <c r="EC217" s="293"/>
      <c r="ED217" s="293"/>
      <c r="EE217" s="293"/>
      <c r="EF217" s="293"/>
      <c r="EG217" s="293"/>
      <c r="EH217" s="293"/>
      <c r="EI217" s="293"/>
      <c r="EJ217" s="293"/>
      <c r="EK217" s="293"/>
      <c r="EL217" s="293"/>
      <c r="EM217" s="293"/>
      <c r="EN217" s="293"/>
      <c r="EO217" s="293"/>
      <c r="EP217" s="293"/>
      <c r="EQ217" s="293"/>
      <c r="ER217" s="293"/>
      <c r="ES217" s="293"/>
      <c r="ET217" s="293"/>
      <c r="EU217" s="293"/>
      <c r="JW217"/>
    </row>
    <row r="218" spans="1:283" s="332" customFormat="1">
      <c r="A218" s="327" t="s">
        <v>913</v>
      </c>
      <c r="AN218" s="820">
        <f>SUM(AN215:AN217)</f>
        <v>0</v>
      </c>
      <c r="AO218" s="820">
        <f>SUM(AO215:AO217)</f>
        <v>0</v>
      </c>
      <c r="AP218" s="820">
        <f>SUM(AP215:AP217)</f>
        <v>0</v>
      </c>
      <c r="AQ218" s="293"/>
      <c r="AR218" s="820">
        <f>SUM(AR215:AR217)</f>
        <v>-368.10775697363391</v>
      </c>
      <c r="AS218" s="820">
        <f>SUM(AS215:AS217)</f>
        <v>-482.17233473442866</v>
      </c>
      <c r="AT218" s="820">
        <f>SUM(AT215:AT217)</f>
        <v>-850.28009170806263</v>
      </c>
      <c r="AU218" s="626"/>
      <c r="AV218" s="820">
        <f>SUM(AV215:AV217)</f>
        <v>-332</v>
      </c>
      <c r="AW218" s="820">
        <f>SUM(AW215:AW217)</f>
        <v>-396</v>
      </c>
      <c r="AX218" s="820">
        <f>SUM(AX215:AX217)</f>
        <v>-728</v>
      </c>
      <c r="AY218" s="626"/>
      <c r="AZ218" s="820">
        <f>SUM(AZ215:AZ217)</f>
        <v>-332.5</v>
      </c>
      <c r="BA218" s="820">
        <f>SUM(BA215:BA217)</f>
        <v>-360.5</v>
      </c>
      <c r="BB218" s="820">
        <f>SUM(BB215:BB217)</f>
        <v>-693</v>
      </c>
      <c r="BC218" s="293"/>
      <c r="BD218" s="820">
        <f>SUM(BD215:BD217)</f>
        <v>-278</v>
      </c>
      <c r="BE218" s="820">
        <f>SUM(BE215:BE217)</f>
        <v>-294.99969999999996</v>
      </c>
      <c r="BF218" s="820">
        <f>SUM(BF215:BF217)</f>
        <v>-572.99970000000008</v>
      </c>
      <c r="BG218" s="293"/>
      <c r="BH218" s="820">
        <f>SUM(BH215:BH217)</f>
        <v>-260</v>
      </c>
      <c r="BI218" s="820">
        <f>SUM(BI215:BI217)</f>
        <v>-259</v>
      </c>
      <c r="BJ218" s="820">
        <f>SUM(BJ215:BJ217)</f>
        <v>-519</v>
      </c>
      <c r="BK218" s="487"/>
      <c r="BL218" s="820">
        <f>SUM(BL215:BL217)</f>
        <v>-283</v>
      </c>
      <c r="BM218" s="820">
        <f>SUM(BM215:BM217)</f>
        <v>-265</v>
      </c>
      <c r="BN218" s="820">
        <f>SUM(BN215:BN217)</f>
        <v>-548</v>
      </c>
      <c r="BO218" s="487"/>
      <c r="BP218" s="820">
        <f>SUM(BP215:BP217)</f>
        <v>-290</v>
      </c>
      <c r="BQ218" s="820">
        <f>SUM(BQ215:BQ217)</f>
        <v>-339</v>
      </c>
      <c r="BR218" s="820">
        <f>SUM(BR215:BR217)</f>
        <v>-629</v>
      </c>
      <c r="BS218" s="487"/>
      <c r="BT218" s="820">
        <f>SUM(BT215:BT217)</f>
        <v>-346</v>
      </c>
      <c r="BU218" s="820">
        <f>SUM(BU215:BU217)</f>
        <v>-386</v>
      </c>
      <c r="BV218" s="820">
        <f>SUM(BV215:BV217)</f>
        <v>-732</v>
      </c>
      <c r="BW218" s="293"/>
      <c r="BX218" s="820">
        <f>SUM(BX215:BX217)</f>
        <v>-375</v>
      </c>
      <c r="BY218" s="820">
        <f>SUM(BY215:BY217)</f>
        <v>-347</v>
      </c>
      <c r="BZ218" s="820">
        <f>SUM(BZ215:BZ217)</f>
        <v>-722</v>
      </c>
      <c r="CA218" s="293"/>
      <c r="CB218" s="820">
        <f>SUM(CB215:CB217)</f>
        <v>-365</v>
      </c>
      <c r="CC218" s="820">
        <f>SUM(CC215:CC217)</f>
        <v>-374</v>
      </c>
      <c r="CD218" s="820">
        <f>SUM(CD215:CD217)</f>
        <v>-739</v>
      </c>
      <c r="CE218" s="293"/>
      <c r="CF218" s="820">
        <f>SUM(CF215:CF217)</f>
        <v>-504</v>
      </c>
      <c r="CG218" s="820">
        <f>SUM(CG215:CG217)</f>
        <v>-569</v>
      </c>
      <c r="CH218" s="820">
        <f>SUM(CH215:CH217)</f>
        <v>-1073</v>
      </c>
      <c r="CI218" s="293"/>
      <c r="CJ218" s="820">
        <f>SUM(CJ215:CJ217)</f>
        <v>-913</v>
      </c>
      <c r="CK218" s="820">
        <f>SUM(CK215:CK217)</f>
        <v>-852</v>
      </c>
      <c r="CL218" s="820">
        <f>SUM(CL215:CL217)</f>
        <v>-1765</v>
      </c>
      <c r="CM218" s="293"/>
      <c r="CN218" s="820">
        <f>SUM(CN215:CN217)</f>
        <v>-816</v>
      </c>
      <c r="CO218" s="820">
        <f>SUM(CO215:CO217)</f>
        <v>-798</v>
      </c>
      <c r="CP218" s="820">
        <f>SUM(CP215:CP217)</f>
        <v>-1614</v>
      </c>
      <c r="CQ218" s="293"/>
      <c r="CR218" s="820">
        <f>SUM(CR215:CR217)</f>
        <v>-600</v>
      </c>
      <c r="CS218" s="820">
        <f>SUM(CS215:CS217)</f>
        <v>-670</v>
      </c>
      <c r="CT218" s="820">
        <f>SUM(CT215:CT217)</f>
        <v>-1270</v>
      </c>
      <c r="CU218" s="293"/>
      <c r="CV218" s="820">
        <f>SUM(CV215:CV217)</f>
        <v>-711</v>
      </c>
      <c r="CW218" s="820">
        <f>SUM(CW215:CW217)</f>
        <v>-745</v>
      </c>
      <c r="CX218" s="820">
        <f>SUM(CX215:CX217)</f>
        <v>-1456</v>
      </c>
      <c r="CY218" s="293"/>
      <c r="CZ218" s="820">
        <f>SUM(CZ215:CZ217)</f>
        <v>-788</v>
      </c>
      <c r="DA218" s="820">
        <f>SUM(DA215:DA217)</f>
        <v>-750</v>
      </c>
      <c r="DB218" s="820">
        <f>SUM(DB215:DB217)</f>
        <v>-1538</v>
      </c>
      <c r="DC218" s="293"/>
      <c r="DD218" s="820">
        <f>SUM(DD215:DD217)</f>
        <v>-771</v>
      </c>
      <c r="DE218" s="820">
        <f>SUM(DE215:DE217)</f>
        <v>-813</v>
      </c>
      <c r="DF218" s="820">
        <f>SUM(DF215:DF217)</f>
        <v>-1584</v>
      </c>
      <c r="DG218" s="293"/>
      <c r="DH218" s="820">
        <f>SUM(DH215:DH217)</f>
        <v>-774</v>
      </c>
      <c r="DI218" s="820">
        <f>SUM(DI215:DI217)</f>
        <v>-817.47900000000004</v>
      </c>
      <c r="DJ218" s="820">
        <f>SUM(DJ215:DJ217)</f>
        <v>-1591.4789999999998</v>
      </c>
      <c r="DK218" s="293"/>
      <c r="DL218" s="820">
        <f>SUM(DL215:DL217)</f>
        <v>-781.72373999999991</v>
      </c>
      <c r="DM218" s="820">
        <f>SUM(DM215:DM217)</f>
        <v>-842.04280319999998</v>
      </c>
      <c r="DN218" s="820">
        <f>SUM(DN215:DN217)</f>
        <v>-1623.7665431999999</v>
      </c>
      <c r="DO218" s="293"/>
      <c r="DP218" s="820">
        <f>SUM(DP215:DP217)</f>
        <v>-804.45902589599996</v>
      </c>
      <c r="DQ218" s="820">
        <f>SUM(DQ215:DQ217)</f>
        <v>-865.40623717487995</v>
      </c>
      <c r="DR218" s="820">
        <f>SUM(DR215:DR217)</f>
        <v>-1669.8652630708798</v>
      </c>
      <c r="DS218" s="293"/>
      <c r="DT218" s="293"/>
      <c r="DU218" s="293"/>
      <c r="DV218" s="293"/>
      <c r="DW218" s="1197"/>
      <c r="DX218" s="293"/>
      <c r="DY218" s="293"/>
      <c r="DZ218" s="293"/>
      <c r="EA218" s="293"/>
      <c r="EB218" s="293"/>
      <c r="EC218" s="293"/>
      <c r="ED218" s="293"/>
      <c r="EE218" s="293"/>
      <c r="EF218" s="293"/>
      <c r="EG218" s="293"/>
      <c r="EH218" s="293"/>
      <c r="EI218" s="293"/>
      <c r="EJ218" s="293"/>
      <c r="EK218" s="293"/>
      <c r="EL218" s="293"/>
      <c r="EM218" s="293"/>
      <c r="EN218" s="293"/>
      <c r="EO218" s="293"/>
      <c r="EP218" s="293"/>
      <c r="EQ218" s="293"/>
      <c r="ER218" s="293"/>
      <c r="ES218" s="293"/>
      <c r="ET218" s="293"/>
      <c r="EU218" s="293"/>
      <c r="JW218"/>
    </row>
    <row r="219" spans="1:283">
      <c r="A219" s="328" t="s">
        <v>835</v>
      </c>
      <c r="CR219" s="103"/>
      <c r="CS219" s="103"/>
      <c r="CT219" s="103"/>
      <c r="CV219" s="103"/>
      <c r="CW219" s="103"/>
      <c r="CX219" s="103"/>
      <c r="CZ219" s="103"/>
      <c r="DA219" s="103"/>
      <c r="DB219" s="103"/>
      <c r="DD219" s="103"/>
      <c r="DE219" s="103"/>
      <c r="DF219" s="103"/>
      <c r="DH219" s="103"/>
      <c r="DI219" s="293"/>
      <c r="DJ219" s="293"/>
      <c r="DL219" s="293"/>
      <c r="DM219" s="293"/>
      <c r="DN219" s="293"/>
      <c r="DP219" s="293"/>
      <c r="DQ219" s="293"/>
      <c r="DR219" s="293"/>
      <c r="DW219" s="1197"/>
      <c r="DX219" s="293"/>
      <c r="DY219" s="293"/>
      <c r="EA219" s="293"/>
      <c r="EB219" s="293"/>
      <c r="EC219" s="293"/>
      <c r="EE219" s="293"/>
      <c r="EF219" s="293"/>
      <c r="EG219" s="293"/>
      <c r="EI219" s="293"/>
      <c r="EJ219" s="293"/>
      <c r="EK219" s="293"/>
    </row>
    <row r="220" spans="1:283" s="642" customFormat="1">
      <c r="A220" s="1210" t="str">
        <f>A215</f>
        <v>Employment expenses</v>
      </c>
      <c r="AN220" s="300"/>
      <c r="AO220" s="300"/>
      <c r="AP220" s="300"/>
      <c r="AQ220" s="300"/>
      <c r="AR220" s="643"/>
      <c r="AS220" s="643"/>
      <c r="AT220" s="643"/>
      <c r="AU220" s="300"/>
      <c r="AV220" s="643">
        <f t="shared" ref="AV220:AX223" si="397">+AV215/AR215-1</f>
        <v>-0.123953899861317</v>
      </c>
      <c r="AW220" s="643">
        <f t="shared" si="397"/>
        <v>-0.15223625983351008</v>
      </c>
      <c r="AX220" s="643">
        <f t="shared" si="397"/>
        <v>-0.14015447499101985</v>
      </c>
      <c r="AY220" s="300"/>
      <c r="AZ220" s="643">
        <f t="shared" ref="AZ220:BB223" si="398">+AZ215/AV215-1</f>
        <v>6.5476190476190466E-2</v>
      </c>
      <c r="BA220" s="643">
        <f t="shared" si="398"/>
        <v>-7.7981651376146766E-2</v>
      </c>
      <c r="BB220" s="643">
        <f t="shared" si="398"/>
        <v>-1.5544041450777257E-2</v>
      </c>
      <c r="BC220" s="300"/>
      <c r="BD220" s="643">
        <f t="shared" ref="BD220:BF223" si="399">+BD215/AZ215-1</f>
        <v>-0.15083798882681565</v>
      </c>
      <c r="BE220" s="643">
        <f t="shared" si="399"/>
        <v>-0.22885572139303478</v>
      </c>
      <c r="BF220" s="643">
        <f t="shared" si="399"/>
        <v>-0.19210526315789478</v>
      </c>
      <c r="BG220" s="300"/>
      <c r="BH220" s="643">
        <f t="shared" ref="BH220:BJ223" si="400">+BH215/BD215-1</f>
        <v>-0.17763157894736847</v>
      </c>
      <c r="BI220" s="643">
        <f t="shared" si="400"/>
        <v>-0.2129032258064516</v>
      </c>
      <c r="BJ220" s="643">
        <f t="shared" si="400"/>
        <v>-0.19543973941368076</v>
      </c>
      <c r="BK220" s="300"/>
      <c r="BL220" s="643">
        <f t="shared" ref="BL220:BP223" si="401">+BL215/BH215-1</f>
        <v>5.600000000000005E-2</v>
      </c>
      <c r="BM220" s="643">
        <f t="shared" si="401"/>
        <v>0.16393442622950816</v>
      </c>
      <c r="BN220" s="643">
        <f t="shared" si="401"/>
        <v>0.10931174089068829</v>
      </c>
      <c r="BO220" s="300"/>
      <c r="BP220" s="643">
        <f t="shared" si="401"/>
        <v>6.0606060606060552E-2</v>
      </c>
      <c r="BQ220" s="643">
        <f t="shared" ref="BQ220:BR223" si="402">+BQ215/BM215-1</f>
        <v>0.18309859154929575</v>
      </c>
      <c r="BR220" s="643">
        <f t="shared" si="402"/>
        <v>0.12408759124087587</v>
      </c>
      <c r="BS220" s="300"/>
      <c r="BT220" s="643">
        <f t="shared" ref="BT220:BX223" si="403">+BT215/BP215-1</f>
        <v>0.16428571428571437</v>
      </c>
      <c r="BU220" s="643">
        <f t="shared" si="403"/>
        <v>2.9761904761904656E-2</v>
      </c>
      <c r="BV220" s="643">
        <f t="shared" si="403"/>
        <v>9.0909090909090828E-2</v>
      </c>
      <c r="BW220" s="300"/>
      <c r="BX220" s="643">
        <f t="shared" si="403"/>
        <v>9.2024539877300526E-2</v>
      </c>
      <c r="BY220" s="643">
        <f t="shared" ref="BY220:BZ223" si="404">+BY215/BU215-1</f>
        <v>-0.12716763005780352</v>
      </c>
      <c r="BZ220" s="643">
        <f t="shared" si="404"/>
        <v>-2.083333333333337E-2</v>
      </c>
      <c r="CA220" s="300"/>
      <c r="CB220" s="643">
        <f>+CB215/BX215-1</f>
        <v>-0.101123595505618</v>
      </c>
      <c r="CC220" s="643">
        <f t="shared" ref="CC220:CC223" si="405">+CC215/BY215-1</f>
        <v>7.9470198675496651E-2</v>
      </c>
      <c r="CD220" s="643">
        <f t="shared" ref="CD220:CD223" si="406">+CD215/BZ215-1</f>
        <v>-1.8237082066869248E-2</v>
      </c>
      <c r="CE220" s="300"/>
      <c r="CF220" s="643">
        <f>+CF215/CB215-1</f>
        <v>0.35000000000000009</v>
      </c>
      <c r="CG220" s="643">
        <f t="shared" ref="CG220:CG223" si="407">+CG215/CC215-1</f>
        <v>0.60122699386503076</v>
      </c>
      <c r="CH220" s="643">
        <f t="shared" ref="CH220:CH223" si="408">+CH215/CD215-1</f>
        <v>0.47678018575851389</v>
      </c>
      <c r="CI220" s="300"/>
      <c r="CJ220" s="643">
        <f>+CJ215/CF215-1</f>
        <v>0.78240740740740744</v>
      </c>
      <c r="CK220" s="643">
        <f t="shared" ref="CK220:CK223" si="409">+CK215/CG215-1</f>
        <v>0.33333333333333326</v>
      </c>
      <c r="CL220" s="643">
        <f t="shared" ref="CL220:CL223" si="410">+CL215/CH215-1</f>
        <v>0.5366876310272537</v>
      </c>
      <c r="CM220" s="300"/>
      <c r="CN220" s="643">
        <f>+CN215/CJ215-1</f>
        <v>-6.2337662337662358E-2</v>
      </c>
      <c r="CO220" s="643">
        <f t="shared" ref="CO220:CO223" si="411">+CO215/CK215-1</f>
        <v>-0.12931034482758619</v>
      </c>
      <c r="CP220" s="643">
        <f t="shared" ref="CP220:CP223" si="412">+CP215/CL215-1</f>
        <v>-9.4133697135061367E-2</v>
      </c>
      <c r="CQ220" s="300"/>
      <c r="CR220" s="668">
        <f>+CR215/CN215-1</f>
        <v>-0.29639889196675895</v>
      </c>
      <c r="CS220" s="643">
        <f t="shared" ref="CS220:CS223" si="413">+CS215/CO215-1</f>
        <v>-0.13201320132013206</v>
      </c>
      <c r="CT220" s="643">
        <f t="shared" ref="CT220:CT223" si="414">+CT215/CP215-1</f>
        <v>-0.22138554216867468</v>
      </c>
      <c r="CU220" s="795"/>
      <c r="CV220" s="668">
        <f>+CV215/CR215-1</f>
        <v>0.12598425196850394</v>
      </c>
      <c r="CW220" s="643">
        <f t="shared" ref="CW220:CW223" si="415">+CW215/CS215-1</f>
        <v>0.13307984790874516</v>
      </c>
      <c r="CX220" s="643">
        <f t="shared" ref="CX220:CX223" si="416">+CX215/CT215-1</f>
        <v>0.12959381044487417</v>
      </c>
      <c r="CY220" s="795"/>
      <c r="CZ220" s="668">
        <f>+CZ215/CV215-1</f>
        <v>0.11888111888111896</v>
      </c>
      <c r="DA220" s="643">
        <f t="shared" ref="DA220:DA223" si="417">+DA215/CW215-1</f>
        <v>1.3422818791946289E-2</v>
      </c>
      <c r="DB220" s="643">
        <f t="shared" ref="DB220:DB223" si="418">+DB215/CX215-1</f>
        <v>6.5068493150684859E-2</v>
      </c>
      <c r="DC220" s="795"/>
      <c r="DD220" s="668">
        <f>+DD215/CZ215-1</f>
        <v>-2.8124999999999956E-2</v>
      </c>
      <c r="DE220" s="643">
        <f t="shared" ref="DE220:DE223" si="419">+DE215/DA215-1</f>
        <v>1.655629139072845E-2</v>
      </c>
      <c r="DF220" s="643">
        <f t="shared" ref="DF220:DF223" si="420">+DF215/DB215-1</f>
        <v>-6.4308681672026191E-3</v>
      </c>
      <c r="DG220" s="300"/>
      <c r="DH220" s="668">
        <f>+DH215/DD215-1</f>
        <v>-5.7877813504823128E-2</v>
      </c>
      <c r="DI220" s="670">
        <v>3.5000000000000003E-2</v>
      </c>
      <c r="DJ220" s="668">
        <f>+DJ215/DF215-1</f>
        <v>-1.1739482200647466E-2</v>
      </c>
      <c r="DK220" s="300"/>
      <c r="DL220" s="670">
        <v>3.5000000000000003E-2</v>
      </c>
      <c r="DM220" s="670">
        <v>3.5000000000000003E-2</v>
      </c>
      <c r="DN220" s="668">
        <f>+DN215/DJ215-1</f>
        <v>3.499999999999992E-2</v>
      </c>
      <c r="DO220" s="300"/>
      <c r="DP220" s="670">
        <v>3.5000000000000003E-2</v>
      </c>
      <c r="DQ220" s="670">
        <v>3.5000000000000003E-2</v>
      </c>
      <c r="DR220" s="668">
        <f>+DR215/DN215-1</f>
        <v>3.499999999999992E-2</v>
      </c>
      <c r="DS220" s="300"/>
      <c r="DT220" s="300"/>
      <c r="DU220" s="300"/>
      <c r="DV220" s="300"/>
      <c r="DW220" s="1211" t="s">
        <v>175</v>
      </c>
      <c r="DX220" s="643"/>
      <c r="DY220" s="643"/>
      <c r="DZ220" s="300"/>
      <c r="EA220" s="643"/>
      <c r="EB220" s="643"/>
      <c r="EC220" s="643"/>
      <c r="ED220" s="300"/>
      <c r="EE220" s="643"/>
      <c r="EF220" s="643"/>
      <c r="EG220" s="643"/>
      <c r="EH220" s="300"/>
      <c r="EI220" s="643"/>
      <c r="EJ220" s="643"/>
      <c r="EK220" s="643"/>
      <c r="EL220" s="300"/>
      <c r="EM220" s="300"/>
      <c r="EN220" s="300"/>
      <c r="EO220" s="300"/>
      <c r="EP220" s="300"/>
      <c r="EQ220" s="300"/>
      <c r="ER220" s="300"/>
      <c r="ES220" s="300"/>
      <c r="ET220" s="300"/>
      <c r="EU220" s="300"/>
      <c r="JW220"/>
    </row>
    <row r="221" spans="1:283" s="323" customFormat="1">
      <c r="A221" s="1079" t="str">
        <f>A216</f>
        <v>Brokerage and commission expenses</v>
      </c>
      <c r="AN221" s="115"/>
      <c r="AO221" s="115"/>
      <c r="AP221" s="115"/>
      <c r="AQ221" s="115"/>
      <c r="AR221" s="648"/>
      <c r="AS221" s="648"/>
      <c r="AT221" s="648"/>
      <c r="AU221" s="115"/>
      <c r="AV221" s="648">
        <f t="shared" si="397"/>
        <v>1</v>
      </c>
      <c r="AW221" s="648">
        <f t="shared" si="397"/>
        <v>-0.88888888888888884</v>
      </c>
      <c r="AX221" s="648">
        <f t="shared" si="397"/>
        <v>-0.7</v>
      </c>
      <c r="AY221" s="115"/>
      <c r="AZ221" s="648">
        <f t="shared" si="398"/>
        <v>0</v>
      </c>
      <c r="BA221" s="648">
        <f t="shared" si="398"/>
        <v>-0.5</v>
      </c>
      <c r="BB221" s="648">
        <f t="shared" si="398"/>
        <v>-0.16666666666666663</v>
      </c>
      <c r="BC221" s="115"/>
      <c r="BD221" s="648">
        <f t="shared" si="399"/>
        <v>-0.5</v>
      </c>
      <c r="BE221" s="648">
        <f t="shared" si="399"/>
        <v>1.3330000000000002</v>
      </c>
      <c r="BF221" s="648">
        <f t="shared" si="399"/>
        <v>-0.13339999999999996</v>
      </c>
      <c r="BG221" s="115"/>
      <c r="BH221" s="648">
        <f t="shared" si="400"/>
        <v>0.5</v>
      </c>
      <c r="BI221" s="648">
        <f t="shared" si="400"/>
        <v>0.28589798542648936</v>
      </c>
      <c r="BJ221" s="648">
        <f t="shared" si="400"/>
        <v>0.38472190168474496</v>
      </c>
      <c r="BK221" s="115"/>
      <c r="BL221" s="648">
        <f t="shared" si="401"/>
        <v>0.66666666666666674</v>
      </c>
      <c r="BM221" s="648">
        <f t="shared" si="401"/>
        <v>-0.66666666666666674</v>
      </c>
      <c r="BN221" s="648">
        <f t="shared" si="401"/>
        <v>0</v>
      </c>
      <c r="BO221" s="115"/>
      <c r="BP221" s="648">
        <f t="shared" si="401"/>
        <v>-0.6</v>
      </c>
      <c r="BQ221" s="648">
        <f t="shared" si="402"/>
        <v>1</v>
      </c>
      <c r="BR221" s="648">
        <f t="shared" si="402"/>
        <v>-0.33333333333333337</v>
      </c>
      <c r="BS221" s="115"/>
      <c r="BT221" s="648">
        <f t="shared" si="403"/>
        <v>0.5</v>
      </c>
      <c r="BU221" s="648">
        <f t="shared" si="403"/>
        <v>1</v>
      </c>
      <c r="BV221" s="648">
        <f t="shared" si="403"/>
        <v>0.75</v>
      </c>
      <c r="BW221" s="115"/>
      <c r="BX221" s="648">
        <f t="shared" si="403"/>
        <v>0.33333333333333326</v>
      </c>
      <c r="BY221" s="648">
        <f t="shared" si="404"/>
        <v>0</v>
      </c>
      <c r="BZ221" s="648">
        <f t="shared" si="404"/>
        <v>0.14285714285714279</v>
      </c>
      <c r="CA221" s="115"/>
      <c r="CB221" s="648">
        <f>+CB216/BX216-1</f>
        <v>-0.25</v>
      </c>
      <c r="CC221" s="648">
        <f t="shared" si="405"/>
        <v>-0.75</v>
      </c>
      <c r="CD221" s="648">
        <f t="shared" si="406"/>
        <v>-0.5</v>
      </c>
      <c r="CE221" s="115"/>
      <c r="CF221" s="648">
        <f>+CF216/CB216-1</f>
        <v>6.666666666666667</v>
      </c>
      <c r="CG221" s="648">
        <f t="shared" si="407"/>
        <v>16</v>
      </c>
      <c r="CH221" s="648">
        <f t="shared" si="408"/>
        <v>9</v>
      </c>
      <c r="CI221" s="115"/>
      <c r="CJ221" s="648">
        <f>+CJ216/CF216-1</f>
        <v>1.1739130434782608</v>
      </c>
      <c r="CK221" s="648">
        <f t="shared" si="409"/>
        <v>2.3529411764705883</v>
      </c>
      <c r="CL221" s="648">
        <f t="shared" si="410"/>
        <v>1.6749999999999998</v>
      </c>
      <c r="CM221" s="115"/>
      <c r="CN221" s="648">
        <f>+CN216/CJ216-1</f>
        <v>0</v>
      </c>
      <c r="CO221" s="648">
        <f t="shared" si="411"/>
        <v>-0.15789473684210531</v>
      </c>
      <c r="CP221" s="648">
        <f t="shared" si="412"/>
        <v>-8.411214953271029E-2</v>
      </c>
      <c r="CQ221" s="115"/>
      <c r="CR221" s="648">
        <f>+CR216/CN216-1</f>
        <v>-0.14000000000000001</v>
      </c>
      <c r="CS221" s="648">
        <f t="shared" si="413"/>
        <v>0.20833333333333326</v>
      </c>
      <c r="CT221" s="648">
        <f t="shared" si="414"/>
        <v>3.0612244897959107E-2</v>
      </c>
      <c r="CU221" s="115"/>
      <c r="CV221" s="648">
        <f>+CV216/CR216-1</f>
        <v>0.23255813953488369</v>
      </c>
      <c r="CW221" s="648">
        <f t="shared" si="415"/>
        <v>-0.41379310344827591</v>
      </c>
      <c r="CX221" s="648">
        <f t="shared" si="416"/>
        <v>-0.13861386138613863</v>
      </c>
      <c r="CY221" s="115"/>
      <c r="CZ221" s="648">
        <f>+CZ216/CV216-1</f>
        <v>-0.1132075471698113</v>
      </c>
      <c r="DA221" s="648">
        <f t="shared" si="417"/>
        <v>0.17647058823529416</v>
      </c>
      <c r="DB221" s="648">
        <f t="shared" si="418"/>
        <v>0</v>
      </c>
      <c r="DC221" s="115"/>
      <c r="DD221" s="648">
        <f>+DD216/CZ216-1</f>
        <v>0.2127659574468086</v>
      </c>
      <c r="DE221" s="648">
        <f t="shared" si="419"/>
        <v>0.67500000000000004</v>
      </c>
      <c r="DF221" s="648">
        <f t="shared" si="420"/>
        <v>0.42528735632183912</v>
      </c>
      <c r="DG221" s="115"/>
      <c r="DH221" s="648">
        <f>+DH216/DD216-1</f>
        <v>0.14035087719298245</v>
      </c>
      <c r="DI221" s="648"/>
      <c r="DJ221" s="648"/>
      <c r="DK221" s="115"/>
      <c r="DL221" s="648"/>
      <c r="DM221" s="648"/>
      <c r="DN221" s="648"/>
      <c r="DO221" s="115"/>
      <c r="DP221" s="648"/>
      <c r="DQ221" s="648"/>
      <c r="DR221" s="648"/>
      <c r="DS221" s="115"/>
      <c r="DT221" s="115"/>
      <c r="DU221" s="115"/>
      <c r="DV221" s="115"/>
      <c r="DW221" s="1214" t="s">
        <v>514</v>
      </c>
      <c r="DX221" s="648"/>
      <c r="DY221" s="648"/>
      <c r="DZ221" s="115"/>
      <c r="EA221" s="648"/>
      <c r="EB221" s="648"/>
      <c r="EC221" s="648"/>
      <c r="ED221" s="115"/>
      <c r="EE221" s="648"/>
      <c r="EF221" s="648"/>
      <c r="EG221" s="648"/>
      <c r="EH221" s="115"/>
      <c r="EI221" s="648"/>
      <c r="EJ221" s="648"/>
      <c r="EK221" s="648"/>
      <c r="EL221" s="115"/>
      <c r="EM221" s="115"/>
      <c r="EN221" s="115"/>
      <c r="EO221" s="115"/>
      <c r="EP221" s="115"/>
      <c r="EQ221" s="115"/>
      <c r="ER221" s="115"/>
      <c r="ES221" s="115"/>
      <c r="ET221" s="115"/>
      <c r="EU221" s="115"/>
      <c r="JW221"/>
    </row>
    <row r="222" spans="1:283" s="642" customFormat="1">
      <c r="A222" s="1210" t="str">
        <f>A217</f>
        <v>Other operating expenses</v>
      </c>
      <c r="AN222" s="300"/>
      <c r="AO222" s="300"/>
      <c r="AP222" s="300"/>
      <c r="AQ222" s="300"/>
      <c r="AR222" s="643"/>
      <c r="AS222" s="643"/>
      <c r="AT222" s="643"/>
      <c r="AU222" s="300"/>
      <c r="AV222" s="643">
        <f t="shared" si="397"/>
        <v>-8.2237418902332049E-2</v>
      </c>
      <c r="AW222" s="643">
        <f t="shared" si="397"/>
        <v>-0.14986203014110755</v>
      </c>
      <c r="AX222" s="643">
        <f t="shared" si="397"/>
        <v>-0.11894792214623873</v>
      </c>
      <c r="AY222" s="300"/>
      <c r="AZ222" s="643">
        <f t="shared" si="398"/>
        <v>-6.5625000000000044E-2</v>
      </c>
      <c r="BA222" s="643">
        <f t="shared" si="398"/>
        <v>-9.9431818181818232E-2</v>
      </c>
      <c r="BB222" s="643">
        <f t="shared" si="398"/>
        <v>-8.333333333333337E-2</v>
      </c>
      <c r="BC222" s="300"/>
      <c r="BD222" s="643">
        <f t="shared" si="399"/>
        <v>-0.1705685618729097</v>
      </c>
      <c r="BE222" s="643">
        <f t="shared" si="399"/>
        <v>-0.1314403785488959</v>
      </c>
      <c r="BF222" s="643">
        <f t="shared" si="399"/>
        <v>-0.15043279220779227</v>
      </c>
      <c r="BG222" s="300"/>
      <c r="BH222" s="643">
        <f t="shared" si="400"/>
        <v>6.4516129032258007E-2</v>
      </c>
      <c r="BI222" s="643">
        <f t="shared" si="400"/>
        <v>-2.6634618248276398E-2</v>
      </c>
      <c r="BJ222" s="643">
        <f t="shared" si="400"/>
        <v>1.6560380056002577E-2</v>
      </c>
      <c r="BK222" s="300"/>
      <c r="BL222" s="643">
        <f t="shared" si="401"/>
        <v>0.10606060606060597</v>
      </c>
      <c r="BM222" s="643">
        <f t="shared" si="401"/>
        <v>-8.9552238805970186E-2</v>
      </c>
      <c r="BN222" s="643">
        <f t="shared" si="401"/>
        <v>7.5187969924812581E-3</v>
      </c>
      <c r="BO222" s="300"/>
      <c r="BP222" s="643">
        <f t="shared" si="401"/>
        <v>1.3698630136986356E-2</v>
      </c>
      <c r="BQ222" s="643">
        <f t="shared" si="402"/>
        <v>0.38524590163934436</v>
      </c>
      <c r="BR222" s="643">
        <f t="shared" si="402"/>
        <v>0.18283582089552231</v>
      </c>
      <c r="BS222" s="300"/>
      <c r="BT222" s="643">
        <f t="shared" si="403"/>
        <v>0.21621621621621623</v>
      </c>
      <c r="BU222" s="643">
        <f t="shared" si="403"/>
        <v>0.23668639053254448</v>
      </c>
      <c r="BV222" s="643">
        <f t="shared" si="403"/>
        <v>0.2271293375394321</v>
      </c>
      <c r="BW222" s="300"/>
      <c r="BX222" s="643">
        <f t="shared" si="403"/>
        <v>7.2222222222222188E-2</v>
      </c>
      <c r="BY222" s="643">
        <f t="shared" si="404"/>
        <v>-8.1339712918660267E-2</v>
      </c>
      <c r="BZ222" s="643">
        <f t="shared" si="404"/>
        <v>-1.0282776349614386E-2</v>
      </c>
      <c r="CA222" s="300"/>
      <c r="CB222" s="643">
        <f>+CB217/BX217-1</f>
        <v>4.663212435233155E-2</v>
      </c>
      <c r="CC222" s="643">
        <f t="shared" si="405"/>
        <v>9.375E-2</v>
      </c>
      <c r="CD222" s="643">
        <f t="shared" si="406"/>
        <v>7.0129870129870042E-2</v>
      </c>
      <c r="CE222" s="300"/>
      <c r="CF222" s="643">
        <f>+CF217/CB217-1</f>
        <v>0.31188118811881194</v>
      </c>
      <c r="CG222" s="643">
        <f t="shared" si="407"/>
        <v>0.38571428571428568</v>
      </c>
      <c r="CH222" s="643">
        <f t="shared" si="408"/>
        <v>0.34951456310679618</v>
      </c>
      <c r="CI222" s="300"/>
      <c r="CJ222" s="643">
        <f>+CJ217/CF217-1</f>
        <v>0.80377358490566042</v>
      </c>
      <c r="CK222" s="643">
        <f t="shared" si="409"/>
        <v>0.53608247422680422</v>
      </c>
      <c r="CL222" s="643">
        <f t="shared" si="410"/>
        <v>0.66366906474820153</v>
      </c>
      <c r="CM222" s="300"/>
      <c r="CN222" s="643">
        <f>+CN217/CJ217-1</f>
        <v>-0.15271966527196656</v>
      </c>
      <c r="CO222" s="643">
        <f t="shared" si="411"/>
        <v>0</v>
      </c>
      <c r="CP222" s="643">
        <f t="shared" si="412"/>
        <v>-7.891891891891889E-2</v>
      </c>
      <c r="CQ222" s="300"/>
      <c r="CR222" s="643">
        <f>+CR217/CN217-1</f>
        <v>-0.25185185185185188</v>
      </c>
      <c r="CS222" s="643">
        <f t="shared" si="413"/>
        <v>-0.21923937360178969</v>
      </c>
      <c r="CT222" s="643">
        <f t="shared" si="414"/>
        <v>-0.23474178403755863</v>
      </c>
      <c r="CU222" s="300"/>
      <c r="CV222" s="643">
        <f>+CV217/CR217-1</f>
        <v>0.2277227722772277</v>
      </c>
      <c r="CW222" s="643">
        <f t="shared" si="415"/>
        <v>0.18338108882521498</v>
      </c>
      <c r="CX222" s="643">
        <f t="shared" si="416"/>
        <v>0.20398773006134974</v>
      </c>
      <c r="CY222" s="300"/>
      <c r="CZ222" s="643">
        <f>+CZ217/CV217-1</f>
        <v>0.13172043010752699</v>
      </c>
      <c r="DA222" s="643">
        <f t="shared" si="417"/>
        <v>-1.2106537530266359E-2</v>
      </c>
      <c r="DB222" s="643">
        <f t="shared" si="418"/>
        <v>5.6050955414012726E-2</v>
      </c>
      <c r="DC222" s="300"/>
      <c r="DD222" s="643">
        <f>+DD217/CZ217-1</f>
        <v>-4.2755344418052288E-2</v>
      </c>
      <c r="DE222" s="643">
        <f t="shared" si="419"/>
        <v>7.5980392156862697E-2</v>
      </c>
      <c r="DF222" s="643">
        <f t="shared" si="420"/>
        <v>1.5681544028950611E-2</v>
      </c>
      <c r="DG222" s="300"/>
      <c r="DH222" s="643">
        <f>+DH217/DD217-1</f>
        <v>3.2258064516129004E-2</v>
      </c>
      <c r="DI222" s="670">
        <v>0.02</v>
      </c>
      <c r="DJ222" s="643">
        <f>+DJ217/DF217-1</f>
        <v>2.5866983372921482E-2</v>
      </c>
      <c r="DK222" s="300"/>
      <c r="DL222" s="670">
        <v>0.02</v>
      </c>
      <c r="DM222" s="670">
        <v>0.02</v>
      </c>
      <c r="DN222" s="643">
        <f>+DN217/DJ217-1</f>
        <v>2.0000000000000018E-2</v>
      </c>
      <c r="DO222" s="300"/>
      <c r="DP222" s="670">
        <v>0.02</v>
      </c>
      <c r="DQ222" s="670">
        <v>0.02</v>
      </c>
      <c r="DR222" s="643">
        <f>+DR217/DN217-1</f>
        <v>2.0000000000000018E-2</v>
      </c>
      <c r="DS222" s="300"/>
      <c r="DT222" s="300"/>
      <c r="DU222" s="300"/>
      <c r="DV222" s="300"/>
      <c r="DW222" s="1211" t="s">
        <v>175</v>
      </c>
      <c r="DX222" s="643"/>
      <c r="DY222" s="643"/>
      <c r="DZ222" s="300"/>
      <c r="EA222" s="643"/>
      <c r="EB222" s="643"/>
      <c r="EC222" s="643"/>
      <c r="ED222" s="300"/>
      <c r="EE222" s="643"/>
      <c r="EF222" s="643"/>
      <c r="EG222" s="643"/>
      <c r="EH222" s="300"/>
      <c r="EI222" s="643"/>
      <c r="EJ222" s="643"/>
      <c r="EK222" s="643"/>
      <c r="EL222" s="300"/>
      <c r="EM222" s="300"/>
      <c r="EN222" s="300"/>
      <c r="EO222" s="300"/>
      <c r="EP222" s="300"/>
      <c r="EQ222" s="300"/>
      <c r="ER222" s="300"/>
      <c r="ES222" s="300"/>
      <c r="ET222" s="300"/>
      <c r="EU222" s="300"/>
      <c r="JW222"/>
    </row>
    <row r="223" spans="1:283" s="328" customFormat="1">
      <c r="A223" s="328" t="str">
        <f>A218</f>
        <v>Total Expenses</v>
      </c>
      <c r="AN223" s="581"/>
      <c r="AO223" s="581"/>
      <c r="AP223" s="581"/>
      <c r="AQ223" s="581"/>
      <c r="AR223" s="650"/>
      <c r="AS223" s="650"/>
      <c r="AT223" s="650"/>
      <c r="AU223" s="581"/>
      <c r="AV223" s="650">
        <f t="shared" si="397"/>
        <v>-9.8090182262092762E-2</v>
      </c>
      <c r="AW223" s="650">
        <f t="shared" si="397"/>
        <v>-0.17871687885596077</v>
      </c>
      <c r="AX223" s="650">
        <f t="shared" si="397"/>
        <v>-0.14381154269109553</v>
      </c>
      <c r="AY223" s="581"/>
      <c r="AZ223" s="650">
        <f t="shared" si="398"/>
        <v>1.5060240963855609E-3</v>
      </c>
      <c r="BA223" s="650">
        <f t="shared" si="398"/>
        <v>-8.9646464646464641E-2</v>
      </c>
      <c r="BB223" s="650">
        <f t="shared" si="398"/>
        <v>-4.8076923076923128E-2</v>
      </c>
      <c r="BC223" s="581"/>
      <c r="BD223" s="650">
        <f t="shared" si="399"/>
        <v>-0.16390977443609023</v>
      </c>
      <c r="BE223" s="650">
        <f t="shared" si="399"/>
        <v>-0.1816929264909849</v>
      </c>
      <c r="BF223" s="650">
        <f t="shared" si="399"/>
        <v>-0.1731606060606059</v>
      </c>
      <c r="BG223" s="581"/>
      <c r="BH223" s="650">
        <f t="shared" si="400"/>
        <v>-6.4748201438848962E-2</v>
      </c>
      <c r="BI223" s="650">
        <f t="shared" si="400"/>
        <v>-0.12203300545729356</v>
      </c>
      <c r="BJ223" s="650">
        <f t="shared" si="400"/>
        <v>-9.4240363476630229E-2</v>
      </c>
      <c r="BK223" s="581"/>
      <c r="BL223" s="650">
        <f t="shared" si="401"/>
        <v>8.8461538461538369E-2</v>
      </c>
      <c r="BM223" s="650">
        <f t="shared" si="401"/>
        <v>2.316602316602312E-2</v>
      </c>
      <c r="BN223" s="650">
        <f t="shared" si="401"/>
        <v>5.5876685934489467E-2</v>
      </c>
      <c r="BO223" s="581"/>
      <c r="BP223" s="650">
        <f>+BP218/BL218-1</f>
        <v>2.4734982332155431E-2</v>
      </c>
      <c r="BQ223" s="650">
        <f t="shared" si="402"/>
        <v>0.27924528301886786</v>
      </c>
      <c r="BR223" s="650">
        <f t="shared" si="402"/>
        <v>0.14781021897810209</v>
      </c>
      <c r="BS223" s="581"/>
      <c r="BT223" s="650">
        <f t="shared" si="403"/>
        <v>0.19310344827586201</v>
      </c>
      <c r="BU223" s="650">
        <f t="shared" si="403"/>
        <v>0.13864306784660774</v>
      </c>
      <c r="BV223" s="650">
        <f t="shared" si="403"/>
        <v>0.16375198728139906</v>
      </c>
      <c r="BW223" s="581"/>
      <c r="BX223" s="650">
        <f t="shared" si="403"/>
        <v>8.381502890173409E-2</v>
      </c>
      <c r="BY223" s="650">
        <f t="shared" si="404"/>
        <v>-0.10103626943005184</v>
      </c>
      <c r="BZ223" s="650">
        <f t="shared" si="404"/>
        <v>-1.3661202185792365E-2</v>
      </c>
      <c r="CA223" s="581"/>
      <c r="CB223" s="650">
        <f>+CB218/BX218-1</f>
        <v>-2.6666666666666616E-2</v>
      </c>
      <c r="CC223" s="650">
        <f t="shared" si="405"/>
        <v>7.7809798270893404E-2</v>
      </c>
      <c r="CD223" s="650">
        <f t="shared" si="406"/>
        <v>2.3545706371191244E-2</v>
      </c>
      <c r="CE223" s="581"/>
      <c r="CF223" s="650">
        <f>+CF218/CB218-1</f>
        <v>0.38082191780821928</v>
      </c>
      <c r="CG223" s="650">
        <f t="shared" si="407"/>
        <v>0.52139037433155089</v>
      </c>
      <c r="CH223" s="650">
        <f t="shared" si="408"/>
        <v>0.45196211096075789</v>
      </c>
      <c r="CI223" s="581"/>
      <c r="CJ223" s="650">
        <f>+CJ218/CF218-1</f>
        <v>0.81150793650793651</v>
      </c>
      <c r="CK223" s="650">
        <f t="shared" si="409"/>
        <v>0.49736379613356774</v>
      </c>
      <c r="CL223" s="650">
        <f t="shared" si="410"/>
        <v>0.64492078285181731</v>
      </c>
      <c r="CM223" s="581"/>
      <c r="CN223" s="650">
        <f>+CN218/CJ218-1</f>
        <v>-0.10624315443592547</v>
      </c>
      <c r="CO223" s="650">
        <f t="shared" si="411"/>
        <v>-6.3380281690140872E-2</v>
      </c>
      <c r="CP223" s="650">
        <f t="shared" si="412"/>
        <v>-8.5552407932011354E-2</v>
      </c>
      <c r="CQ223" s="581"/>
      <c r="CR223" s="650">
        <f>+CR218/CN218-1</f>
        <v>-0.26470588235294112</v>
      </c>
      <c r="CS223" s="650">
        <f t="shared" si="413"/>
        <v>-0.16040100250626566</v>
      </c>
      <c r="CT223" s="650">
        <f t="shared" si="414"/>
        <v>-0.21313506815365546</v>
      </c>
      <c r="CU223" s="581"/>
      <c r="CV223" s="650">
        <f>+CV218/CR218-1</f>
        <v>0.18500000000000005</v>
      </c>
      <c r="CW223" s="650">
        <f t="shared" si="415"/>
        <v>0.11194029850746268</v>
      </c>
      <c r="CX223" s="650">
        <f t="shared" si="416"/>
        <v>0.14645669291338592</v>
      </c>
      <c r="CY223" s="581"/>
      <c r="CZ223" s="650">
        <f>+CZ218/CV218-1</f>
        <v>0.10829817158931077</v>
      </c>
      <c r="DA223" s="650">
        <f t="shared" si="417"/>
        <v>6.7114093959732557E-3</v>
      </c>
      <c r="DB223" s="650">
        <f t="shared" si="418"/>
        <v>5.6318681318681341E-2</v>
      </c>
      <c r="DC223" s="581"/>
      <c r="DD223" s="650">
        <f>+DD218/CZ218-1</f>
        <v>-2.1573604060913687E-2</v>
      </c>
      <c r="DE223" s="650">
        <f t="shared" si="419"/>
        <v>8.4000000000000075E-2</v>
      </c>
      <c r="DF223" s="650">
        <f t="shared" si="420"/>
        <v>2.9908972691807589E-2</v>
      </c>
      <c r="DG223" s="581"/>
      <c r="DH223" s="650">
        <f>+DH218/DD218-1</f>
        <v>3.8910505836575737E-3</v>
      </c>
      <c r="DI223" s="650">
        <f>+DI218/DE218-1</f>
        <v>5.5092250922510466E-3</v>
      </c>
      <c r="DJ223" s="650">
        <f>+DJ218/DF218-1</f>
        <v>4.7215909090907449E-3</v>
      </c>
      <c r="DK223" s="581"/>
      <c r="DL223" s="650">
        <f>+DL218/DH218-1</f>
        <v>9.9789922480619797E-3</v>
      </c>
      <c r="DM223" s="650">
        <f>+DM218/DI218-1</f>
        <v>3.0048237569405334E-2</v>
      </c>
      <c r="DN223" s="650">
        <f>+DN218/DJ218-1</f>
        <v>2.0287759499182823E-2</v>
      </c>
      <c r="DO223" s="581"/>
      <c r="DP223" s="650">
        <f>+DP218/DL218-1</f>
        <v>2.9083530066516872E-2</v>
      </c>
      <c r="DQ223" s="650">
        <f>+DQ218/DM218-1</f>
        <v>2.7746135809358252E-2</v>
      </c>
      <c r="DR223" s="650">
        <f>+DR218/DN218-1</f>
        <v>2.8389992430828181E-2</v>
      </c>
      <c r="DS223" s="581"/>
      <c r="DT223" s="581"/>
      <c r="DU223" s="581"/>
      <c r="DV223" s="581"/>
      <c r="DW223" s="1212"/>
      <c r="DX223" s="682"/>
      <c r="DY223" s="682"/>
      <c r="DZ223" s="581"/>
      <c r="EA223" s="682"/>
      <c r="EB223" s="682"/>
      <c r="EC223" s="682"/>
      <c r="ED223" s="581"/>
      <c r="EE223" s="682"/>
      <c r="EF223" s="682"/>
      <c r="EG223" s="682"/>
      <c r="EH223" s="581"/>
      <c r="EI223" s="682"/>
      <c r="EJ223" s="682"/>
      <c r="EK223" s="682"/>
      <c r="EL223" s="581"/>
      <c r="EM223" s="581"/>
      <c r="EN223" s="581"/>
      <c r="EO223" s="581"/>
      <c r="EP223" s="581"/>
      <c r="EQ223" s="581"/>
      <c r="ER223" s="581"/>
      <c r="ES223" s="581"/>
      <c r="ET223" s="581"/>
      <c r="EU223" s="581"/>
      <c r="JW223"/>
    </row>
    <row r="224" spans="1:283">
      <c r="CR224" s="103"/>
      <c r="CS224" s="103"/>
      <c r="CT224" s="103"/>
      <c r="CV224" s="103"/>
      <c r="CW224" s="103"/>
      <c r="CX224" s="103"/>
      <c r="CZ224" s="103"/>
      <c r="DA224" s="103"/>
      <c r="DB224" s="103"/>
      <c r="DD224" s="103"/>
      <c r="DE224" s="103"/>
      <c r="DF224" s="103"/>
      <c r="DH224" s="103"/>
      <c r="DI224" s="103"/>
      <c r="DJ224" s="103"/>
      <c r="DL224" s="103"/>
      <c r="DM224" s="103"/>
      <c r="DN224" s="103"/>
      <c r="DP224" s="103"/>
      <c r="DQ224" s="103"/>
      <c r="DR224" s="103"/>
      <c r="DW224" s="1101"/>
    </row>
    <row r="225" spans="1:283" s="642" customFormat="1">
      <c r="A225" s="642" t="s">
        <v>1060</v>
      </c>
      <c r="AN225" s="668"/>
      <c r="AO225" s="668"/>
      <c r="AP225" s="668"/>
      <c r="AQ225" s="300"/>
      <c r="AR225" s="668"/>
      <c r="AS225" s="668"/>
      <c r="AT225" s="668"/>
      <c r="AU225" s="300"/>
      <c r="AV225" s="668">
        <f>-AV216/AV149</f>
        <v>0.2857142857142857</v>
      </c>
      <c r="AW225" s="668">
        <f>-AW216/AW149</f>
        <v>0.10526315789473684</v>
      </c>
      <c r="AX225" s="668">
        <f>-AX216/AX149</f>
        <v>0.18181818181818182</v>
      </c>
      <c r="AY225" s="300"/>
      <c r="AZ225" s="668">
        <f>-AZ216/AZ149</f>
        <v>0.19047619047619047</v>
      </c>
      <c r="BA225" s="668">
        <f>-BA216/BA149</f>
        <v>4.5454545454545456E-2</v>
      </c>
      <c r="BB225" s="668">
        <f>-BB216/BB149</f>
        <v>0.11627906976744186</v>
      </c>
      <c r="BC225" s="300"/>
      <c r="BD225" s="668">
        <f>-BD216/BD149</f>
        <v>9.5238095238095233E-2</v>
      </c>
      <c r="BE225" s="668">
        <f>-BE216/BE149</f>
        <v>0.12961111111111112</v>
      </c>
      <c r="BF225" s="668">
        <f>-BF216/BF149</f>
        <v>0.11110256410256411</v>
      </c>
      <c r="BG225" s="300"/>
      <c r="BH225" s="668">
        <f>-BH216/BH149</f>
        <v>0.1875</v>
      </c>
      <c r="BI225" s="668">
        <f>-BI216/BI149</f>
        <v>0.16666666666666666</v>
      </c>
      <c r="BJ225" s="668">
        <f>-BJ216/BJ149</f>
        <v>0.17647058823529413</v>
      </c>
      <c r="BK225" s="300"/>
      <c r="BL225" s="668">
        <f>-BL216/BL149</f>
        <v>0.20833333333333334</v>
      </c>
      <c r="BM225" s="668">
        <f>-BM216/BM149</f>
        <v>4.5454545454545456E-2</v>
      </c>
      <c r="BN225" s="668">
        <f>-BN216/BN149</f>
        <v>0.13043478260869565</v>
      </c>
      <c r="BO225" s="300"/>
      <c r="BP225" s="668">
        <f>-BP216/BP149</f>
        <v>0.1111111111111111</v>
      </c>
      <c r="BQ225" s="668">
        <f>-BQ216/BQ149</f>
        <v>0.08</v>
      </c>
      <c r="BR225" s="668">
        <f>-BR216/BR149</f>
        <v>9.3023255813953487E-2</v>
      </c>
      <c r="BS225" s="300"/>
      <c r="BT225" s="668">
        <f>-BT216/BT149</f>
        <v>9.375E-2</v>
      </c>
      <c r="BU225" s="668">
        <f>-BU216/BU149</f>
        <v>0.25</v>
      </c>
      <c r="BV225" s="668">
        <f>-BV216/BV149</f>
        <v>0.14583333333333334</v>
      </c>
      <c r="BW225" s="300"/>
      <c r="BX225" s="668">
        <f>-BX216/BX149</f>
        <v>0.17427884615384615</v>
      </c>
      <c r="BY225" s="668">
        <f>-BY216/BY149</f>
        <v>0.15392781316348195</v>
      </c>
      <c r="BZ225" s="668">
        <f>-BZ216/BZ149</f>
        <v>0.16347237880496054</v>
      </c>
      <c r="CA225" s="300"/>
      <c r="CB225" s="668">
        <f>-CB216/CB149</f>
        <v>0.12885071090047392</v>
      </c>
      <c r="CC225" s="668">
        <f>-CC216/CC149</f>
        <v>4.284869976359338E-2</v>
      </c>
      <c r="CD225" s="668">
        <f>-CD216/CD149</f>
        <v>8.5798816568047345E-2</v>
      </c>
      <c r="CE225" s="300"/>
      <c r="CF225" s="668">
        <f>-CF216/CF153</f>
        <v>4.3726235741444866E-2</v>
      </c>
      <c r="CG225" s="668">
        <f>-CG216/CG153</f>
        <v>3.4205231388329982E-2</v>
      </c>
      <c r="CH225" s="668">
        <f>-CH216/CH153</f>
        <v>3.9100684261974585E-2</v>
      </c>
      <c r="CI225" s="300"/>
      <c r="CJ225" s="668">
        <f>-CJ216/CJ153</f>
        <v>6.7750677506775062E-2</v>
      </c>
      <c r="CK225" s="668">
        <f>-CK216/CK153</f>
        <v>6.6744730679156913E-2</v>
      </c>
      <c r="CL225" s="668">
        <f>-CL216/CL153</f>
        <v>6.7211055276381909E-2</v>
      </c>
      <c r="CM225" s="300"/>
      <c r="CN225" s="668">
        <f>-CN216/CN153</f>
        <v>7.5187969924812026E-2</v>
      </c>
      <c r="CO225" s="668">
        <f>-CO216/CO153</f>
        <v>6.6481994459833799E-2</v>
      </c>
      <c r="CP225" s="668">
        <f>-CP216/CP153</f>
        <v>7.0656092285508287E-2</v>
      </c>
      <c r="CQ225" s="300"/>
      <c r="CR225" s="668">
        <f>-CR216/CR153</f>
        <v>4.971098265895954E-2</v>
      </c>
      <c r="CS225" s="668">
        <f>-CS216/CS153</f>
        <v>5.782652043868395E-2</v>
      </c>
      <c r="CT225" s="668">
        <f>-CT216/CT153</f>
        <v>5.4068522483940042E-2</v>
      </c>
      <c r="CU225" s="300"/>
      <c r="CV225" s="668">
        <f>-CV216/CV153</f>
        <v>7.9819277108433728E-2</v>
      </c>
      <c r="CW225" s="668">
        <f>-CW216/CW153</f>
        <v>4.9132947976878616E-2</v>
      </c>
      <c r="CX225" s="668">
        <f>-CX216/CX153</f>
        <v>6.4159292035398233E-2</v>
      </c>
      <c r="CY225" s="300"/>
      <c r="CZ225" s="668">
        <f>-CZ216/CZ153</f>
        <v>7.4840764331210188E-2</v>
      </c>
      <c r="DA225" s="668">
        <f>-DA216/DA153</f>
        <v>6.9808027923211169E-2</v>
      </c>
      <c r="DB225" s="668">
        <f>-DB216/DB153</f>
        <v>7.2439633638634468E-2</v>
      </c>
      <c r="DC225" s="300"/>
      <c r="DD225" s="668">
        <f>-DD216/DD153</f>
        <v>8.4947839046199708E-2</v>
      </c>
      <c r="DE225" s="668">
        <f>-DE216/DE153</f>
        <v>8.5677749360613814E-2</v>
      </c>
      <c r="DF225" s="668">
        <f>-DF216/DF153</f>
        <v>8.5340674466620789E-2</v>
      </c>
      <c r="DG225" s="300"/>
      <c r="DH225" s="668">
        <f>-DH216/DH153</f>
        <v>7.6470588235294124E-2</v>
      </c>
      <c r="DI225" s="670">
        <v>0.06</v>
      </c>
      <c r="DJ225" s="668"/>
      <c r="DK225" s="300"/>
      <c r="DL225" s="670">
        <v>0.06</v>
      </c>
      <c r="DM225" s="670">
        <v>0.06</v>
      </c>
      <c r="DN225" s="668"/>
      <c r="DO225" s="300"/>
      <c r="DP225" s="670">
        <v>0.06</v>
      </c>
      <c r="DQ225" s="670">
        <v>0.06</v>
      </c>
      <c r="DR225" s="668"/>
      <c r="DS225" s="300"/>
      <c r="DT225" s="300"/>
      <c r="DU225" s="300"/>
      <c r="DV225" s="300"/>
      <c r="DW225" s="1215" t="s">
        <v>175</v>
      </c>
      <c r="DX225" s="300"/>
      <c r="DY225" s="300"/>
      <c r="DZ225" s="300"/>
      <c r="EA225" s="300"/>
      <c r="EB225" s="300"/>
      <c r="EC225" s="300"/>
      <c r="ED225" s="300"/>
      <c r="EE225" s="300"/>
      <c r="EF225" s="300"/>
      <c r="EG225" s="300"/>
      <c r="EH225" s="300"/>
      <c r="EI225" s="300"/>
      <c r="EJ225" s="300"/>
      <c r="EK225" s="300"/>
      <c r="EL225" s="300"/>
      <c r="EM225" s="300"/>
      <c r="EN225" s="300"/>
      <c r="EO225" s="300"/>
      <c r="EP225" s="300"/>
      <c r="EQ225" s="300"/>
      <c r="ER225" s="300"/>
      <c r="ES225" s="300"/>
      <c r="ET225" s="300"/>
      <c r="EU225" s="300"/>
      <c r="JW225"/>
    </row>
    <row r="226" spans="1:283">
      <c r="CR226" s="103"/>
      <c r="CS226" s="103"/>
      <c r="CT226" s="103"/>
      <c r="CV226" s="103"/>
      <c r="CW226" s="103"/>
      <c r="CX226" s="103"/>
      <c r="CZ226" s="103"/>
      <c r="DA226" s="103"/>
      <c r="DB226" s="103"/>
      <c r="DD226" s="103"/>
      <c r="DE226" s="103"/>
      <c r="DF226" s="103"/>
      <c r="DH226" s="103"/>
      <c r="DI226" s="103"/>
      <c r="DJ226" s="103"/>
      <c r="DL226" s="103"/>
      <c r="DM226" s="103"/>
      <c r="DN226" s="103"/>
      <c r="DP226" s="103"/>
      <c r="DQ226" s="103"/>
      <c r="DR226" s="103"/>
      <c r="DW226" s="667"/>
    </row>
    <row r="227" spans="1:283">
      <c r="CR227" s="103"/>
      <c r="CS227" s="103"/>
      <c r="CT227" s="103"/>
      <c r="CV227" s="103"/>
      <c r="CW227" s="103"/>
      <c r="CX227" s="103"/>
      <c r="CZ227" s="103"/>
      <c r="DA227" s="103"/>
      <c r="DB227" s="103"/>
      <c r="DD227" s="103"/>
      <c r="DE227" s="103"/>
      <c r="DF227" s="103"/>
      <c r="DH227" s="103"/>
      <c r="DI227" s="103"/>
      <c r="DJ227" s="103"/>
      <c r="DL227" s="103"/>
      <c r="DM227" s="103"/>
      <c r="DN227" s="103"/>
      <c r="DP227" s="103"/>
      <c r="DQ227" s="103"/>
      <c r="DR227" s="103"/>
      <c r="DW227" s="1101"/>
    </row>
    <row r="228" spans="1:283" s="1193" customFormat="1">
      <c r="A228" s="1225" t="s">
        <v>1023</v>
      </c>
      <c r="AN228" s="1194"/>
      <c r="AO228" s="1194"/>
      <c r="AP228" s="1195"/>
      <c r="AQ228" s="1194"/>
      <c r="AR228" s="1194"/>
      <c r="AS228" s="1194"/>
      <c r="AT228" s="1195"/>
      <c r="AU228" s="1194"/>
      <c r="AV228" s="1194"/>
      <c r="AW228" s="1194"/>
      <c r="AX228" s="1195"/>
      <c r="AY228" s="1194"/>
      <c r="AZ228" s="1194"/>
      <c r="BA228" s="1194"/>
      <c r="BB228" s="1195"/>
      <c r="BC228" s="1194"/>
      <c r="BD228" s="1194"/>
      <c r="BE228" s="1194"/>
      <c r="BF228" s="1195"/>
      <c r="BG228" s="1194"/>
      <c r="BH228" s="1194"/>
      <c r="BI228" s="1194"/>
      <c r="BJ228" s="1195"/>
      <c r="BK228" s="1194"/>
      <c r="BL228" s="1194"/>
      <c r="BM228" s="1194"/>
      <c r="BN228" s="1195"/>
      <c r="BO228" s="1194"/>
      <c r="BP228" s="1194"/>
      <c r="BQ228" s="1194"/>
      <c r="BR228" s="1195"/>
      <c r="BS228" s="1194"/>
      <c r="BT228" s="1194"/>
      <c r="BU228" s="1194"/>
      <c r="BV228" s="1195"/>
      <c r="BW228" s="1194"/>
      <c r="BX228" s="1194"/>
      <c r="BY228" s="1194"/>
      <c r="BZ228" s="1195"/>
      <c r="CA228" s="1194"/>
      <c r="CB228" s="1194"/>
      <c r="CC228" s="1194"/>
      <c r="CD228" s="1195"/>
      <c r="CE228" s="1194"/>
      <c r="CF228" s="1194"/>
      <c r="CG228" s="1194"/>
      <c r="CH228" s="1195"/>
      <c r="CI228" s="1194"/>
      <c r="CJ228" s="1194"/>
      <c r="CK228" s="1194"/>
      <c r="CL228" s="1195"/>
      <c r="CM228" s="1194"/>
      <c r="CN228" s="1194"/>
      <c r="CO228" s="1194"/>
      <c r="CP228" s="1195"/>
      <c r="CQ228" s="1194"/>
      <c r="CR228" s="1194"/>
      <c r="CS228" s="1194"/>
      <c r="CT228" s="1195"/>
      <c r="CU228" s="1194"/>
      <c r="CV228" s="1194"/>
      <c r="CW228" s="1194"/>
      <c r="CX228" s="1195"/>
      <c r="CY228" s="1194"/>
      <c r="CZ228" s="1194"/>
      <c r="DA228" s="1194"/>
      <c r="DB228" s="1195"/>
      <c r="DC228" s="1194"/>
      <c r="DD228" s="1194"/>
      <c r="DE228" s="1194"/>
      <c r="DF228" s="1195"/>
      <c r="DG228" s="1194"/>
      <c r="DH228" s="1194"/>
      <c r="DI228" s="1194"/>
      <c r="DJ228" s="1195"/>
      <c r="DK228" s="1194"/>
      <c r="DL228" s="1194"/>
      <c r="DM228" s="1194"/>
      <c r="DN228" s="1195"/>
      <c r="DO228" s="1194"/>
      <c r="DP228" s="1194"/>
      <c r="DQ228" s="1194"/>
      <c r="DR228" s="1195"/>
      <c r="DS228" s="1194"/>
      <c r="DT228" s="1194"/>
      <c r="DU228" s="1194"/>
      <c r="DV228" s="1194"/>
      <c r="DW228" s="1196"/>
      <c r="DX228" s="1194"/>
      <c r="DY228" s="1194"/>
      <c r="DZ228" s="1194"/>
      <c r="EA228" s="1194"/>
      <c r="EB228" s="1194"/>
      <c r="EC228" s="1194"/>
      <c r="ED228" s="1194"/>
      <c r="EE228" s="1194"/>
      <c r="EF228" s="1194"/>
      <c r="EG228" s="1194"/>
      <c r="EH228" s="1194"/>
      <c r="EI228" s="1194"/>
      <c r="EJ228" s="1194"/>
      <c r="EK228" s="1194"/>
      <c r="EL228" s="1194"/>
      <c r="EM228" s="1194"/>
      <c r="EN228" s="1194"/>
      <c r="EO228" s="1194"/>
      <c r="EP228" s="1194"/>
      <c r="EQ228" s="1194"/>
      <c r="ER228" s="1194"/>
      <c r="ES228" s="1194"/>
      <c r="ET228" s="1194"/>
      <c r="EU228" s="1194"/>
      <c r="JW228"/>
    </row>
    <row r="229" spans="1:283" s="332" customFormat="1">
      <c r="AN229" s="293"/>
      <c r="AO229" s="293"/>
      <c r="AP229" s="293"/>
      <c r="AQ229" s="293"/>
      <c r="AR229" s="293"/>
      <c r="AS229" s="293"/>
      <c r="AT229" s="293"/>
      <c r="AU229" s="293"/>
      <c r="AV229" s="293"/>
      <c r="AW229" s="293"/>
      <c r="AX229" s="293"/>
      <c r="AY229" s="293"/>
      <c r="AZ229" s="293"/>
      <c r="BA229" s="293"/>
      <c r="BB229" s="293"/>
      <c r="BC229" s="293"/>
      <c r="BD229" s="293"/>
      <c r="BE229" s="293"/>
      <c r="BF229" s="293"/>
      <c r="BG229" s="293"/>
      <c r="BH229" s="293"/>
      <c r="BI229" s="293"/>
      <c r="BJ229" s="293"/>
      <c r="BK229" s="293"/>
      <c r="BL229" s="293"/>
      <c r="BM229" s="293"/>
      <c r="BN229" s="293"/>
      <c r="BO229" s="293"/>
      <c r="BP229" s="293"/>
      <c r="BQ229" s="293"/>
      <c r="BR229" s="293"/>
      <c r="BS229" s="293"/>
      <c r="BT229" s="293"/>
      <c r="BU229" s="293"/>
      <c r="BV229" s="293"/>
      <c r="BW229" s="293"/>
      <c r="BX229" s="293"/>
      <c r="BY229" s="293"/>
      <c r="BZ229" s="293"/>
      <c r="CA229" s="293"/>
      <c r="CB229" s="293"/>
      <c r="CC229" s="293"/>
      <c r="CD229" s="293"/>
      <c r="CE229" s="293"/>
      <c r="CF229" s="293"/>
      <c r="CG229" s="293"/>
      <c r="CH229" s="295"/>
      <c r="CI229" s="293"/>
      <c r="CJ229" s="293"/>
      <c r="CK229" s="293"/>
      <c r="CL229" s="295"/>
      <c r="CM229" s="293"/>
      <c r="CN229" s="626"/>
      <c r="CO229" s="293"/>
      <c r="CP229" s="295"/>
      <c r="CQ229" s="293"/>
      <c r="CR229" s="293"/>
      <c r="CS229" s="293"/>
      <c r="CT229" s="293"/>
      <c r="CU229" s="293"/>
      <c r="CV229" s="293"/>
      <c r="CW229" s="293"/>
      <c r="CX229" s="360"/>
      <c r="CY229" s="293"/>
      <c r="CZ229" s="293"/>
      <c r="DA229" s="1010"/>
      <c r="DB229" s="293"/>
      <c r="DC229" s="293"/>
      <c r="DD229" s="293"/>
      <c r="DE229" s="293"/>
      <c r="DF229" s="293"/>
      <c r="DG229" s="293"/>
      <c r="DH229" s="293"/>
      <c r="DI229" s="293"/>
      <c r="DJ229" s="293"/>
      <c r="DK229" s="293"/>
      <c r="DL229" s="293"/>
      <c r="DM229" s="293"/>
      <c r="DN229" s="293"/>
      <c r="DO229" s="293"/>
      <c r="DP229" s="293"/>
      <c r="DQ229" s="293"/>
      <c r="DR229" s="293"/>
      <c r="DS229" s="293"/>
      <c r="DT229" s="293"/>
      <c r="DU229" s="293"/>
      <c r="DV229" s="293"/>
      <c r="DW229" s="293"/>
      <c r="DX229" s="293"/>
      <c r="DY229" s="293"/>
      <c r="DZ229" s="293"/>
      <c r="EA229" s="293"/>
      <c r="EB229" s="293"/>
      <c r="EC229" s="293"/>
      <c r="ED229" s="293"/>
      <c r="EE229" s="293"/>
      <c r="EF229" s="293"/>
      <c r="EG229" s="293"/>
      <c r="EH229" s="293"/>
      <c r="EI229" s="293"/>
      <c r="EJ229" s="293"/>
      <c r="EK229" s="293"/>
      <c r="EL229" s="293"/>
      <c r="EM229" s="293"/>
      <c r="EN229" s="293"/>
      <c r="EO229" s="293"/>
      <c r="EP229" s="293"/>
      <c r="EQ229" s="293"/>
      <c r="ER229" s="293"/>
      <c r="ES229" s="293"/>
      <c r="ET229" s="293"/>
      <c r="EU229" s="293"/>
      <c r="JW229"/>
    </row>
    <row r="230" spans="1:283" s="332" customFormat="1">
      <c r="A230" s="332" t="s">
        <v>1395</v>
      </c>
      <c r="AN230" s="626">
        <f t="shared" ref="AN230:AO235" si="421">AN797+AN876</f>
        <v>24</v>
      </c>
      <c r="AO230" s="626">
        <f t="shared" si="421"/>
        <v>-214</v>
      </c>
      <c r="AP230" s="293">
        <f t="shared" ref="AP230:AP236" si="422">AN230+AO230</f>
        <v>-190</v>
      </c>
      <c r="AQ230" s="293"/>
      <c r="AR230" s="626">
        <f t="shared" ref="AR230:AS235" si="423">AR797+AR876</f>
        <v>26</v>
      </c>
      <c r="AS230" s="626">
        <f t="shared" si="423"/>
        <v>21</v>
      </c>
      <c r="AT230" s="293">
        <f>AR230+AS230</f>
        <v>47</v>
      </c>
      <c r="AU230" s="626"/>
      <c r="AV230" s="626">
        <f t="shared" ref="AV230:AW235" si="424">AV797+AV876</f>
        <v>21</v>
      </c>
      <c r="AW230" s="626">
        <f t="shared" si="424"/>
        <v>49</v>
      </c>
      <c r="AX230" s="293">
        <f>AV230+AW230</f>
        <v>70</v>
      </c>
      <c r="AY230" s="626"/>
      <c r="AZ230" s="626">
        <f t="shared" ref="AZ230:BA235" si="425">AZ797+AZ876</f>
        <v>-53</v>
      </c>
      <c r="BA230" s="626">
        <f t="shared" si="425"/>
        <v>5</v>
      </c>
      <c r="BB230" s="293">
        <f>AZ230+BA230</f>
        <v>-48</v>
      </c>
      <c r="BC230" s="293"/>
      <c r="BD230" s="626">
        <f t="shared" ref="BD230:BE235" si="426">BD797+BD876</f>
        <v>-23</v>
      </c>
      <c r="BE230" s="626">
        <f t="shared" si="426"/>
        <v>18</v>
      </c>
      <c r="BF230" s="293">
        <f>BD230+BE230</f>
        <v>-5</v>
      </c>
      <c r="BG230" s="293"/>
      <c r="BH230" s="626">
        <f>BH797+BH876</f>
        <v>0</v>
      </c>
      <c r="BI230" s="626">
        <f>BI797+BI876</f>
        <v>0</v>
      </c>
      <c r="BJ230" s="293">
        <f>BH230+BI230</f>
        <v>0</v>
      </c>
      <c r="BK230" s="487"/>
      <c r="BL230" s="626">
        <f>BL797+BL876</f>
        <v>0</v>
      </c>
      <c r="BM230" s="626">
        <f>BM797+BM876</f>
        <v>0</v>
      </c>
      <c r="BN230" s="293">
        <f>BL230+BM230</f>
        <v>0</v>
      </c>
      <c r="BO230" s="671"/>
      <c r="BP230" s="626">
        <f>BP797+BP876</f>
        <v>0</v>
      </c>
      <c r="BQ230" s="626">
        <f>BQ797+BQ876</f>
        <v>0</v>
      </c>
      <c r="BR230" s="293">
        <f>BP230+BQ230</f>
        <v>0</v>
      </c>
      <c r="BS230" s="671"/>
      <c r="BT230" s="626">
        <f>BT797+BT876</f>
        <v>0</v>
      </c>
      <c r="BU230" s="626">
        <f>BU797+BU876</f>
        <v>0</v>
      </c>
      <c r="BV230" s="293">
        <f t="shared" ref="BV230:BV236" si="427">BT230+BU230</f>
        <v>0</v>
      </c>
      <c r="BW230" s="671"/>
      <c r="BX230" s="626">
        <v>0</v>
      </c>
      <c r="BY230" s="626">
        <v>0</v>
      </c>
      <c r="BZ230" s="293">
        <f t="shared" ref="BZ230:BZ236" si="428">BX230+BY230</f>
        <v>0</v>
      </c>
      <c r="CA230" s="671"/>
      <c r="CB230" s="626">
        <v>0</v>
      </c>
      <c r="CC230" s="626">
        <v>0</v>
      </c>
      <c r="CD230" s="293">
        <f t="shared" ref="CD230:CD236" si="429">CB230+CC230</f>
        <v>0</v>
      </c>
      <c r="CE230" s="671"/>
      <c r="CF230" s="626">
        <v>97</v>
      </c>
      <c r="CG230" s="626">
        <v>54</v>
      </c>
      <c r="CH230" s="293">
        <f t="shared" ref="CH230:CH235" si="430">CF230+CG230</f>
        <v>151</v>
      </c>
      <c r="CI230" s="671"/>
      <c r="CJ230" s="626">
        <v>78</v>
      </c>
      <c r="CK230" s="626">
        <v>88</v>
      </c>
      <c r="CL230" s="293">
        <f t="shared" ref="CL230:CL235" si="431">CJ230+CK230</f>
        <v>166</v>
      </c>
      <c r="CM230" s="671"/>
      <c r="CN230" s="1388">
        <v>70</v>
      </c>
      <c r="CO230" s="1388">
        <v>74</v>
      </c>
      <c r="CP230" s="1010">
        <f t="shared" ref="CP230:CP235" si="432">CN230+CO230</f>
        <v>144</v>
      </c>
      <c r="CQ230" s="1417"/>
      <c r="CR230" s="1388">
        <v>65</v>
      </c>
      <c r="CS230" s="1497">
        <v>61</v>
      </c>
      <c r="CT230" s="293">
        <f t="shared" ref="CT230:CT235" si="433">CR230+CS230</f>
        <v>126</v>
      </c>
      <c r="CU230" s="671">
        <f>+CT230/CP230-1</f>
        <v>-0.125</v>
      </c>
      <c r="CV230" s="1388">
        <v>63</v>
      </c>
      <c r="CW230" s="1488">
        <v>59</v>
      </c>
      <c r="CX230" s="1010">
        <f t="shared" ref="CX230:CX235" si="434">CV230+CW230</f>
        <v>122</v>
      </c>
      <c r="CY230" s="671">
        <f>+CX230/CT230-1</f>
        <v>-3.1746031746031744E-2</v>
      </c>
      <c r="CZ230" s="1863">
        <v>34</v>
      </c>
      <c r="DA230" s="1488">
        <v>44</v>
      </c>
      <c r="DB230" s="1010">
        <f t="shared" ref="DB230:DB235" si="435">CZ230+DA230</f>
        <v>78</v>
      </c>
      <c r="DC230" s="671">
        <f>+DB230/CX230-1</f>
        <v>-0.36065573770491799</v>
      </c>
      <c r="DD230" s="2107">
        <v>28</v>
      </c>
      <c r="DE230" s="2176">
        <v>54</v>
      </c>
      <c r="DF230" s="1010">
        <f t="shared" ref="DF230:DF235" si="436">DD230+DE230</f>
        <v>82</v>
      </c>
      <c r="DG230" s="671"/>
      <c r="DH230" s="2107">
        <v>54</v>
      </c>
      <c r="DI230" s="293">
        <f t="shared" ref="DI230" si="437">+DI249</f>
        <v>62.639999999999993</v>
      </c>
      <c r="DJ230" s="293">
        <f t="shared" ref="DJ230" si="438">+DI230+DH230</f>
        <v>116.63999999999999</v>
      </c>
      <c r="DK230" s="671"/>
      <c r="DL230" s="293">
        <f t="shared" ref="DL230:DM230" si="439">+DL249</f>
        <v>63.179999999999993</v>
      </c>
      <c r="DM230" s="293">
        <f t="shared" si="439"/>
        <v>70.156800000000004</v>
      </c>
      <c r="DN230" s="293">
        <f t="shared" ref="DN230" si="440">+DM230+DL230</f>
        <v>133.33679999999998</v>
      </c>
      <c r="DO230" s="671"/>
      <c r="DP230" s="293">
        <f t="shared" ref="DP230:DQ230" si="441">+DP249</f>
        <v>70.761600000000001</v>
      </c>
      <c r="DQ230" s="293">
        <f t="shared" si="441"/>
        <v>78.575616000000011</v>
      </c>
      <c r="DR230" s="293">
        <f t="shared" ref="DR230" si="442">+DQ230+DP230</f>
        <v>149.33721600000001</v>
      </c>
      <c r="DS230" s="671"/>
      <c r="DT230" s="671"/>
      <c r="DU230" s="671"/>
      <c r="DV230" s="671"/>
      <c r="DW230" s="1197" t="s">
        <v>513</v>
      </c>
      <c r="DX230" s="293"/>
      <c r="DY230" s="293"/>
      <c r="DZ230" s="293"/>
      <c r="EA230" s="293"/>
      <c r="EB230" s="293"/>
      <c r="EC230" s="293"/>
      <c r="ED230" s="293"/>
      <c r="EE230" s="293"/>
      <c r="EF230" s="293"/>
      <c r="EG230" s="293"/>
      <c r="EH230" s="293"/>
      <c r="EI230" s="293"/>
      <c r="EJ230" s="293"/>
      <c r="EK230" s="293"/>
      <c r="EL230" s="293"/>
      <c r="EM230" s="293"/>
      <c r="EN230" s="293"/>
      <c r="EO230" s="293"/>
      <c r="EP230" s="293"/>
      <c r="EQ230" s="293"/>
      <c r="ER230" s="293"/>
      <c r="ES230" s="293"/>
      <c r="ET230" s="293"/>
      <c r="EU230" s="293"/>
      <c r="JW230"/>
    </row>
    <row r="231" spans="1:283" s="332" customFormat="1">
      <c r="A231" s="332" t="s">
        <v>566</v>
      </c>
      <c r="AN231" s="293">
        <f t="shared" si="421"/>
        <v>486</v>
      </c>
      <c r="AO231" s="293">
        <f t="shared" si="421"/>
        <v>560</v>
      </c>
      <c r="AP231" s="293">
        <f t="shared" si="422"/>
        <v>1046</v>
      </c>
      <c r="AQ231" s="293"/>
      <c r="AR231" s="293">
        <f t="shared" si="423"/>
        <v>539</v>
      </c>
      <c r="AS231" s="293">
        <f t="shared" si="423"/>
        <v>471</v>
      </c>
      <c r="AT231" s="293">
        <f t="shared" ref="AT231:AT236" si="443">AR231+AS231</f>
        <v>1010</v>
      </c>
      <c r="AU231" s="293"/>
      <c r="AV231" s="293">
        <f t="shared" si="424"/>
        <v>570</v>
      </c>
      <c r="AW231" s="293">
        <f t="shared" si="424"/>
        <v>562</v>
      </c>
      <c r="AX231" s="293">
        <f t="shared" ref="AX231:AX236" si="444">AV231+AW231</f>
        <v>1132</v>
      </c>
      <c r="AY231" s="293"/>
      <c r="AZ231" s="293">
        <f t="shared" si="425"/>
        <v>549.5</v>
      </c>
      <c r="BA231" s="293">
        <f t="shared" si="425"/>
        <v>547.5</v>
      </c>
      <c r="BB231" s="293">
        <f t="shared" ref="BB231:BB236" si="445">AZ231+BA231</f>
        <v>1097</v>
      </c>
      <c r="BC231" s="293"/>
      <c r="BD231" s="293">
        <f t="shared" si="426"/>
        <v>451.5</v>
      </c>
      <c r="BE231" s="293">
        <f t="shared" si="426"/>
        <v>361</v>
      </c>
      <c r="BF231" s="293">
        <f t="shared" ref="BF231:BF236" si="446">BD231+BE231</f>
        <v>812.5</v>
      </c>
      <c r="BG231" s="293"/>
      <c r="BH231" s="293">
        <f>BH301</f>
        <v>322</v>
      </c>
      <c r="BI231" s="293">
        <f>BI301</f>
        <v>351</v>
      </c>
      <c r="BJ231" s="293">
        <f t="shared" ref="BJ231:BJ236" si="447">BH231+BI231</f>
        <v>673</v>
      </c>
      <c r="BK231" s="487"/>
      <c r="BL231" s="293">
        <f>BL301</f>
        <v>396</v>
      </c>
      <c r="BM231" s="293">
        <f>BM301</f>
        <v>399</v>
      </c>
      <c r="BN231" s="293">
        <f t="shared" ref="BN231:BN236" si="448">BL231+BM231</f>
        <v>795</v>
      </c>
      <c r="BO231" s="671">
        <f t="shared" ref="BO231:BO236" si="449">+BN231/BJ231-1</f>
        <v>0.18127786032689452</v>
      </c>
      <c r="BP231" s="293">
        <f>BP301</f>
        <v>416</v>
      </c>
      <c r="BQ231" s="293">
        <f>BQ301</f>
        <v>654</v>
      </c>
      <c r="BR231" s="293">
        <f t="shared" ref="BR231:BR236" si="450">BP231+BQ231</f>
        <v>1070</v>
      </c>
      <c r="BS231" s="671">
        <f>+BR231/BN231-1</f>
        <v>0.34591194968553451</v>
      </c>
      <c r="BT231" s="293">
        <f>BT301</f>
        <v>486</v>
      </c>
      <c r="BU231" s="293">
        <f>BU301</f>
        <v>436</v>
      </c>
      <c r="BV231" s="293">
        <f t="shared" si="427"/>
        <v>922</v>
      </c>
      <c r="BW231" s="671">
        <f>+BV231/BR231-1</f>
        <v>-0.13831775700934579</v>
      </c>
      <c r="BX231" s="293">
        <f>BX301</f>
        <v>447</v>
      </c>
      <c r="BY231" s="293">
        <f>BY301</f>
        <v>410</v>
      </c>
      <c r="BZ231" s="293">
        <f t="shared" si="428"/>
        <v>857</v>
      </c>
      <c r="CA231" s="671">
        <f>+BZ231/BV231-1</f>
        <v>-7.0498915401301487E-2</v>
      </c>
      <c r="CB231" s="293">
        <f>CB301</f>
        <v>436</v>
      </c>
      <c r="CC231" s="293">
        <f>CC301</f>
        <v>457</v>
      </c>
      <c r="CD231" s="293">
        <f t="shared" si="429"/>
        <v>893</v>
      </c>
      <c r="CE231" s="671">
        <f>+CD231/BZ231-1</f>
        <v>4.200700116686118E-2</v>
      </c>
      <c r="CF231" s="293">
        <f>CF301</f>
        <v>611</v>
      </c>
      <c r="CG231" s="293">
        <f>CG301</f>
        <v>611</v>
      </c>
      <c r="CH231" s="293">
        <f t="shared" si="430"/>
        <v>1222</v>
      </c>
      <c r="CI231" s="671">
        <f>+CH231/CD231-1</f>
        <v>0.36842105263157898</v>
      </c>
      <c r="CJ231" s="1324">
        <f>CJ301</f>
        <v>283</v>
      </c>
      <c r="CK231" s="1324">
        <f>CK301</f>
        <v>347</v>
      </c>
      <c r="CL231" s="1324">
        <f t="shared" si="431"/>
        <v>630</v>
      </c>
      <c r="CM231" s="671">
        <f>+CL231/CH231-1</f>
        <v>-0.48445171849427171</v>
      </c>
      <c r="CN231" s="1010">
        <f>CN301</f>
        <v>257</v>
      </c>
      <c r="CO231" s="1010">
        <f>CO301</f>
        <v>228</v>
      </c>
      <c r="CP231" s="1010">
        <f t="shared" si="432"/>
        <v>485</v>
      </c>
      <c r="CQ231" s="1417">
        <f>+CP231/CL231-1</f>
        <v>-0.23015873015873012</v>
      </c>
      <c r="CR231" s="1010">
        <f>CR301</f>
        <v>228</v>
      </c>
      <c r="CS231" s="1495">
        <f>CS301</f>
        <v>279</v>
      </c>
      <c r="CT231" s="293">
        <f t="shared" si="433"/>
        <v>507</v>
      </c>
      <c r="CU231" s="671">
        <f t="shared" ref="CU231:CU235" si="451">+CT231/CP231-1</f>
        <v>4.5360824742268102E-2</v>
      </c>
      <c r="CV231" s="1010">
        <f>CV301</f>
        <v>201</v>
      </c>
      <c r="CW231" s="1490">
        <f>CW301</f>
        <v>338</v>
      </c>
      <c r="CX231" s="1010">
        <f t="shared" si="434"/>
        <v>539</v>
      </c>
      <c r="CY231" s="671">
        <f t="shared" ref="CY231:CY235" si="452">+CX231/CT231-1</f>
        <v>6.3116370808678601E-2</v>
      </c>
      <c r="CZ231" s="1010">
        <f>CZ301</f>
        <v>283</v>
      </c>
      <c r="DA231" s="1490">
        <f>DA301</f>
        <v>303</v>
      </c>
      <c r="DB231" s="1010">
        <f t="shared" si="435"/>
        <v>586</v>
      </c>
      <c r="DC231" s="671">
        <f t="shared" ref="DC231:DC235" si="453">+DB231/CX231-1</f>
        <v>8.7198515769944418E-2</v>
      </c>
      <c r="DD231" s="293">
        <f>DD301</f>
        <v>289</v>
      </c>
      <c r="DE231" s="1490">
        <f>DE301</f>
        <v>240</v>
      </c>
      <c r="DF231" s="1010">
        <f t="shared" si="436"/>
        <v>529</v>
      </c>
      <c r="DG231" s="671">
        <f>+DF231/DB231-1</f>
        <v>-9.7269624573378843E-2</v>
      </c>
      <c r="DH231" s="293">
        <f>DH301</f>
        <v>318</v>
      </c>
      <c r="DI231" s="293">
        <f>DI301</f>
        <v>304.27999999999997</v>
      </c>
      <c r="DJ231" s="293">
        <f>DH231+DI231</f>
        <v>622.28</v>
      </c>
      <c r="DK231" s="671">
        <f>+DJ231/DF231-1</f>
        <v>0.17633270321361061</v>
      </c>
      <c r="DL231" s="293">
        <f>DL301</f>
        <v>317.68560000000002</v>
      </c>
      <c r="DM231" s="293">
        <f>DM301</f>
        <v>304.56082400000003</v>
      </c>
      <c r="DN231" s="293">
        <f>DL231+DM231</f>
        <v>622.24642400000005</v>
      </c>
      <c r="DO231" s="671">
        <f>+DN231/DJ231-1</f>
        <v>-5.3956418332501421E-5</v>
      </c>
      <c r="DP231" s="293">
        <f>DP301</f>
        <v>317.51948352000005</v>
      </c>
      <c r="DQ231" s="293">
        <f>DQ301</f>
        <v>304.98607686079998</v>
      </c>
      <c r="DR231" s="293">
        <f>DP231+DQ231</f>
        <v>622.50556038080003</v>
      </c>
      <c r="DS231" s="671">
        <f>+DR231/DN231-1</f>
        <v>4.1645298519221718E-4</v>
      </c>
      <c r="DT231" s="671"/>
      <c r="DU231" s="671"/>
      <c r="DV231" s="671"/>
      <c r="DW231" s="1197" t="s">
        <v>513</v>
      </c>
      <c r="DX231" s="293"/>
      <c r="DY231" s="293"/>
      <c r="DZ231" s="293"/>
      <c r="EA231" s="293"/>
      <c r="EB231" s="293"/>
      <c r="EC231" s="293"/>
      <c r="ED231" s="293"/>
      <c r="EE231" s="293"/>
      <c r="EF231" s="293"/>
      <c r="EG231" s="293"/>
      <c r="EH231" s="293"/>
      <c r="EI231" s="293"/>
      <c r="EJ231" s="293"/>
      <c r="EK231" s="293"/>
      <c r="EL231" s="293"/>
      <c r="EM231" s="293"/>
      <c r="EN231" s="293"/>
      <c r="EO231" s="293"/>
      <c r="EP231" s="293"/>
      <c r="EQ231" s="293"/>
      <c r="ER231" s="293"/>
      <c r="ES231" s="293"/>
      <c r="ET231" s="293"/>
      <c r="EU231" s="293"/>
      <c r="JW231"/>
    </row>
    <row r="232" spans="1:283" s="332" customFormat="1">
      <c r="A232" s="332" t="s">
        <v>1184</v>
      </c>
      <c r="AN232" s="492">
        <f t="shared" si="421"/>
        <v>553</v>
      </c>
      <c r="AO232" s="492">
        <f t="shared" si="421"/>
        <v>525</v>
      </c>
      <c r="AP232" s="293">
        <f t="shared" si="422"/>
        <v>1078</v>
      </c>
      <c r="AQ232" s="293"/>
      <c r="AR232" s="492">
        <f t="shared" si="423"/>
        <v>787</v>
      </c>
      <c r="AS232" s="492">
        <f t="shared" si="423"/>
        <v>468</v>
      </c>
      <c r="AT232" s="293">
        <f t="shared" si="443"/>
        <v>1255</v>
      </c>
      <c r="AU232" s="626"/>
      <c r="AV232" s="492">
        <f t="shared" si="424"/>
        <v>805</v>
      </c>
      <c r="AW232" s="492">
        <f t="shared" si="424"/>
        <v>762</v>
      </c>
      <c r="AX232" s="293">
        <f t="shared" si="444"/>
        <v>1567</v>
      </c>
      <c r="AY232" s="293"/>
      <c r="AZ232" s="492">
        <f t="shared" si="425"/>
        <v>534</v>
      </c>
      <c r="BA232" s="492">
        <f t="shared" si="425"/>
        <v>814</v>
      </c>
      <c r="BB232" s="293">
        <v>954</v>
      </c>
      <c r="BC232" s="293"/>
      <c r="BD232" s="492">
        <f t="shared" si="426"/>
        <v>480</v>
      </c>
      <c r="BE232" s="492">
        <f t="shared" si="426"/>
        <v>635</v>
      </c>
      <c r="BF232" s="293">
        <v>902</v>
      </c>
      <c r="BG232" s="293"/>
      <c r="BH232" s="492">
        <f>BH287</f>
        <v>599</v>
      </c>
      <c r="BI232" s="492">
        <f>BI287</f>
        <v>707</v>
      </c>
      <c r="BJ232" s="293">
        <f t="shared" si="447"/>
        <v>1306</v>
      </c>
      <c r="BK232" s="487"/>
      <c r="BL232" s="492">
        <f>BL287</f>
        <v>741</v>
      </c>
      <c r="BM232" s="492">
        <f>BM287</f>
        <v>1073</v>
      </c>
      <c r="BN232" s="293">
        <f t="shared" si="448"/>
        <v>1814</v>
      </c>
      <c r="BO232" s="671">
        <f t="shared" si="449"/>
        <v>0.38897396630934145</v>
      </c>
      <c r="BP232" s="492">
        <f>BP287</f>
        <v>784</v>
      </c>
      <c r="BQ232" s="492">
        <f>BQ287</f>
        <v>1198</v>
      </c>
      <c r="BR232" s="293">
        <f t="shared" si="450"/>
        <v>1982</v>
      </c>
      <c r="BS232" s="671">
        <f>+BR232/BN232-1</f>
        <v>9.2613009922822398E-2</v>
      </c>
      <c r="BT232" s="492">
        <f>BT287</f>
        <v>1204</v>
      </c>
      <c r="BU232" s="492">
        <f>BU287</f>
        <v>1081</v>
      </c>
      <c r="BV232" s="293">
        <f t="shared" si="427"/>
        <v>2285</v>
      </c>
      <c r="BW232" s="671">
        <f>+BV232/BR232-1</f>
        <v>0.15287588294651866</v>
      </c>
      <c r="BX232" s="492">
        <f>BX287</f>
        <v>935</v>
      </c>
      <c r="BY232" s="492">
        <f>BY287</f>
        <v>1125</v>
      </c>
      <c r="BZ232" s="293">
        <f t="shared" si="428"/>
        <v>2060</v>
      </c>
      <c r="CA232" s="671">
        <f>+BZ232/BV232-1</f>
        <v>-9.8468271334792079E-2</v>
      </c>
      <c r="CB232" s="492">
        <f>CB287</f>
        <v>904</v>
      </c>
      <c r="CC232" s="492">
        <f>CC287</f>
        <v>1056</v>
      </c>
      <c r="CD232" s="293">
        <f t="shared" si="429"/>
        <v>1960</v>
      </c>
      <c r="CE232" s="671">
        <f>+CD232/BZ232-1</f>
        <v>-4.8543689320388328E-2</v>
      </c>
      <c r="CF232" s="492">
        <f>CF287</f>
        <v>1260</v>
      </c>
      <c r="CG232" s="492">
        <f>CG287</f>
        <v>1529</v>
      </c>
      <c r="CH232" s="293">
        <f t="shared" si="430"/>
        <v>2789</v>
      </c>
      <c r="CI232" s="671">
        <f>+CH232/CD232-1</f>
        <v>0.42295918367346941</v>
      </c>
      <c r="CJ232" s="1325">
        <f>CJ287</f>
        <v>1612</v>
      </c>
      <c r="CK232" s="1325">
        <f>CK287</f>
        <v>1179</v>
      </c>
      <c r="CL232" s="1324">
        <f t="shared" si="431"/>
        <v>2791</v>
      </c>
      <c r="CM232" s="671">
        <f t="shared" ref="CM232" si="454">+CL232/CH232-1</f>
        <v>7.1710290426674206E-4</v>
      </c>
      <c r="CN232" s="1419">
        <f>CN287</f>
        <v>1667</v>
      </c>
      <c r="CO232" s="1419">
        <f>CO287</f>
        <v>2045</v>
      </c>
      <c r="CP232" s="1010">
        <f t="shared" si="432"/>
        <v>3712</v>
      </c>
      <c r="CQ232" s="1417">
        <f t="shared" ref="CQ232" si="455">+CP232/CL232-1</f>
        <v>0.3299892511644571</v>
      </c>
      <c r="CR232" s="1419">
        <f>CR287</f>
        <v>1813</v>
      </c>
      <c r="CS232" s="1503">
        <f>CS287</f>
        <v>2793</v>
      </c>
      <c r="CT232" s="293">
        <f t="shared" si="433"/>
        <v>4606</v>
      </c>
      <c r="CU232" s="1529">
        <f t="shared" si="451"/>
        <v>0.24084051724137923</v>
      </c>
      <c r="CV232" s="1419">
        <f>CV287</f>
        <v>2789</v>
      </c>
      <c r="CW232" s="1865">
        <f>CW287</f>
        <v>4728</v>
      </c>
      <c r="CX232" s="1010">
        <f t="shared" si="434"/>
        <v>7517</v>
      </c>
      <c r="CY232" s="1529">
        <f t="shared" si="452"/>
        <v>0.63200173686495864</v>
      </c>
      <c r="CZ232" s="1419">
        <f>CZ287</f>
        <v>2329</v>
      </c>
      <c r="DA232" s="1865">
        <f>DA287</f>
        <v>2749</v>
      </c>
      <c r="DB232" s="1010">
        <f t="shared" si="435"/>
        <v>5078</v>
      </c>
      <c r="DC232" s="1529">
        <f t="shared" si="453"/>
        <v>-0.32446454702673944</v>
      </c>
      <c r="DD232" s="492">
        <f>DD287</f>
        <v>2241</v>
      </c>
      <c r="DE232" s="1865">
        <f>DE287</f>
        <v>2567</v>
      </c>
      <c r="DF232" s="1010">
        <f t="shared" si="436"/>
        <v>4808</v>
      </c>
      <c r="DG232" s="671">
        <f t="shared" ref="DG232" si="456">+DF232/DB232-1</f>
        <v>-5.3170539582512832E-2</v>
      </c>
      <c r="DH232" s="492">
        <f>DH287</f>
        <v>2267</v>
      </c>
      <c r="DI232" s="492">
        <f t="shared" ref="DI232" si="457">DI287</f>
        <v>2940.76</v>
      </c>
      <c r="DJ232" s="293">
        <f t="shared" ref="DJ232" si="458">DH232+DI232</f>
        <v>5207.76</v>
      </c>
      <c r="DK232" s="671">
        <f t="shared" ref="DK232" si="459">+DJ232/DF232-1</f>
        <v>8.3144758735441027E-2</v>
      </c>
      <c r="DL232" s="492">
        <f t="shared" ref="DL232:DM232" si="460">DL287</f>
        <v>2296.5549999999998</v>
      </c>
      <c r="DM232" s="492">
        <f t="shared" si="460"/>
        <v>2981.9783000000002</v>
      </c>
      <c r="DN232" s="293">
        <f t="shared" ref="DN232" si="461">DL232+DM232</f>
        <v>5278.5333000000001</v>
      </c>
      <c r="DO232" s="671">
        <f t="shared" ref="DO232" si="462">+DN232/DJ232-1</f>
        <v>1.3589969583851724E-2</v>
      </c>
      <c r="DP232" s="492">
        <f t="shared" ref="DP232:DQ232" si="463">DP287</f>
        <v>2326.8008500000001</v>
      </c>
      <c r="DQ232" s="492">
        <f t="shared" si="463"/>
        <v>3032.3699489999999</v>
      </c>
      <c r="DR232" s="293">
        <f t="shared" ref="DR232" si="464">DP232+DQ232</f>
        <v>5359.1707989999995</v>
      </c>
      <c r="DS232" s="671">
        <f t="shared" ref="DS232" si="465">+DR232/DN232-1</f>
        <v>1.5276497166362368E-2</v>
      </c>
      <c r="DT232" s="671"/>
      <c r="DU232" s="671"/>
      <c r="DV232" s="671"/>
      <c r="DW232" s="992" t="s">
        <v>513</v>
      </c>
      <c r="DX232" s="293"/>
      <c r="DY232" s="293"/>
      <c r="DZ232" s="293"/>
      <c r="EA232" s="293"/>
      <c r="EB232" s="293"/>
      <c r="EC232" s="293"/>
      <c r="ED232" s="293"/>
      <c r="EE232" s="293"/>
      <c r="EF232" s="293"/>
      <c r="EG232" s="293"/>
      <c r="EH232" s="293"/>
      <c r="EI232" s="293"/>
      <c r="EJ232" s="293"/>
      <c r="EK232" s="293"/>
      <c r="EL232" s="293"/>
      <c r="EM232" s="293"/>
      <c r="EN232" s="293"/>
      <c r="EO232" s="293"/>
      <c r="EP232" s="293"/>
      <c r="EQ232" s="293"/>
      <c r="ER232" s="293"/>
      <c r="ES232" s="293"/>
      <c r="ET232" s="293"/>
      <c r="EU232" s="293"/>
      <c r="JW232"/>
    </row>
    <row r="233" spans="1:283" s="332" customFormat="1">
      <c r="A233" s="332" t="s">
        <v>652</v>
      </c>
      <c r="AN233" s="626">
        <f t="shared" si="421"/>
        <v>0</v>
      </c>
      <c r="AO233" s="626">
        <f t="shared" si="421"/>
        <v>0</v>
      </c>
      <c r="AP233" s="293">
        <f t="shared" si="422"/>
        <v>0</v>
      </c>
      <c r="AQ233" s="293"/>
      <c r="AR233" s="626">
        <f t="shared" si="423"/>
        <v>11</v>
      </c>
      <c r="AS233" s="626">
        <f t="shared" si="423"/>
        <v>61</v>
      </c>
      <c r="AT233" s="293">
        <f>AR233+AS233</f>
        <v>72</v>
      </c>
      <c r="AU233" s="626"/>
      <c r="AV233" s="626">
        <f t="shared" si="424"/>
        <v>4</v>
      </c>
      <c r="AW233" s="626">
        <f t="shared" si="424"/>
        <v>9</v>
      </c>
      <c r="AX233" s="293">
        <f>AV233+AW233</f>
        <v>13</v>
      </c>
      <c r="AY233" s="626"/>
      <c r="AZ233" s="626">
        <f t="shared" si="425"/>
        <v>15</v>
      </c>
      <c r="BA233" s="626">
        <f t="shared" si="425"/>
        <v>1</v>
      </c>
      <c r="BB233" s="293">
        <f>AZ233+BA233</f>
        <v>16</v>
      </c>
      <c r="BC233" s="293"/>
      <c r="BD233" s="626">
        <f t="shared" si="426"/>
        <v>9</v>
      </c>
      <c r="BE233" s="626">
        <f t="shared" si="426"/>
        <v>10</v>
      </c>
      <c r="BF233" s="293">
        <f>BD233+BE233</f>
        <v>19</v>
      </c>
      <c r="BG233" s="293"/>
      <c r="BH233" s="626">
        <f>BH879+BH800</f>
        <v>15</v>
      </c>
      <c r="BI233" s="626">
        <f>BI879+BI800</f>
        <v>13</v>
      </c>
      <c r="BJ233" s="293">
        <f>BH233+BI233</f>
        <v>28</v>
      </c>
      <c r="BK233" s="487"/>
      <c r="BL233" s="626">
        <f>BL879+BL800</f>
        <v>15</v>
      </c>
      <c r="BM233" s="626">
        <f>BM879+BM800</f>
        <v>8</v>
      </c>
      <c r="BN233" s="293">
        <f>BL233+BM233</f>
        <v>23</v>
      </c>
      <c r="BO233" s="671"/>
      <c r="BP233" s="626">
        <f>BP879+BP800</f>
        <v>2</v>
      </c>
      <c r="BQ233" s="626">
        <f>BQ879+BQ800</f>
        <v>-3</v>
      </c>
      <c r="BR233" s="293">
        <f>BP233+BQ233</f>
        <v>-1</v>
      </c>
      <c r="BS233" s="671"/>
      <c r="BT233" s="626">
        <f>BT879+BT800</f>
        <v>-7</v>
      </c>
      <c r="BU233" s="626">
        <f>BU879+BU800</f>
        <v>8</v>
      </c>
      <c r="BV233" s="293">
        <f>BT233+BU233</f>
        <v>1</v>
      </c>
      <c r="BW233" s="671"/>
      <c r="BX233" s="626">
        <v>-10</v>
      </c>
      <c r="BY233" s="626">
        <v>10</v>
      </c>
      <c r="BZ233" s="293">
        <f t="shared" si="428"/>
        <v>0</v>
      </c>
      <c r="CA233" s="671"/>
      <c r="CB233" s="626">
        <v>8</v>
      </c>
      <c r="CC233" s="626">
        <v>13</v>
      </c>
      <c r="CD233" s="293">
        <f t="shared" si="429"/>
        <v>21</v>
      </c>
      <c r="CE233" s="671"/>
      <c r="CF233" s="626">
        <v>10</v>
      </c>
      <c r="CG233" s="626">
        <v>10</v>
      </c>
      <c r="CH233" s="293">
        <f t="shared" si="430"/>
        <v>20</v>
      </c>
      <c r="CI233" s="671"/>
      <c r="CJ233" s="626">
        <v>9</v>
      </c>
      <c r="CK233" s="626">
        <f>14+1</f>
        <v>15</v>
      </c>
      <c r="CL233" s="293">
        <f t="shared" si="431"/>
        <v>24</v>
      </c>
      <c r="CM233" s="671"/>
      <c r="CN233" s="1388">
        <v>13</v>
      </c>
      <c r="CO233" s="1388">
        <v>30</v>
      </c>
      <c r="CP233" s="1010">
        <f t="shared" si="432"/>
        <v>43</v>
      </c>
      <c r="CQ233" s="1417"/>
      <c r="CR233" s="1388">
        <v>15</v>
      </c>
      <c r="CS233" s="1497">
        <v>25</v>
      </c>
      <c r="CT233" s="293">
        <f t="shared" si="433"/>
        <v>40</v>
      </c>
      <c r="CU233" s="671">
        <f t="shared" si="451"/>
        <v>-6.9767441860465129E-2</v>
      </c>
      <c r="CV233" s="1388">
        <v>16</v>
      </c>
      <c r="CW233" s="1488">
        <v>16</v>
      </c>
      <c r="CX233" s="1010">
        <f t="shared" si="434"/>
        <v>32</v>
      </c>
      <c r="CY233" s="671">
        <f t="shared" si="452"/>
        <v>-0.19999999999999996</v>
      </c>
      <c r="CZ233" s="1863">
        <v>16</v>
      </c>
      <c r="DA233" s="1488">
        <v>26</v>
      </c>
      <c r="DB233" s="1010">
        <f t="shared" si="435"/>
        <v>42</v>
      </c>
      <c r="DC233" s="671">
        <f t="shared" si="453"/>
        <v>0.3125</v>
      </c>
      <c r="DD233" s="2107">
        <v>7</v>
      </c>
      <c r="DE233" s="2176">
        <v>33</v>
      </c>
      <c r="DF233" s="1010">
        <f t="shared" si="436"/>
        <v>40</v>
      </c>
      <c r="DG233" s="671"/>
      <c r="DH233" s="2107">
        <v>22</v>
      </c>
      <c r="DI233" s="841">
        <f>'P&amp;L'!DI418</f>
        <v>22.66</v>
      </c>
      <c r="DJ233" s="293">
        <f>DH233+DI233</f>
        <v>44.66</v>
      </c>
      <c r="DK233" s="671"/>
      <c r="DL233" s="841">
        <f>'P&amp;L'!DL418</f>
        <v>23.3398</v>
      </c>
      <c r="DM233" s="841">
        <f>'P&amp;L'!DM418</f>
        <v>24.039994</v>
      </c>
      <c r="DN233" s="293">
        <f>DL233+DM233</f>
        <v>47.379794000000004</v>
      </c>
      <c r="DO233" s="671"/>
      <c r="DP233" s="841">
        <f>'P&amp;L'!DP418</f>
        <v>24.761193819999999</v>
      </c>
      <c r="DQ233" s="841">
        <f>'P&amp;L'!DQ418</f>
        <v>25.504029634599998</v>
      </c>
      <c r="DR233" s="293">
        <f>DP233+DQ233</f>
        <v>50.265223454599997</v>
      </c>
      <c r="DS233" s="671"/>
      <c r="DT233" s="671"/>
      <c r="DU233" s="671"/>
      <c r="DV233" s="671"/>
      <c r="DW233" s="1198" t="s">
        <v>174</v>
      </c>
      <c r="DX233" s="293"/>
      <c r="DY233" s="293"/>
      <c r="DZ233" s="293"/>
      <c r="EA233" s="293"/>
      <c r="EB233" s="293"/>
      <c r="EC233" s="293"/>
      <c r="ED233" s="293"/>
      <c r="EE233" s="293"/>
      <c r="EF233" s="293"/>
      <c r="EG233" s="293"/>
      <c r="EH233" s="293"/>
      <c r="EI233" s="293"/>
      <c r="EJ233" s="293"/>
      <c r="EK233" s="293"/>
      <c r="EL233" s="293"/>
      <c r="EM233" s="293"/>
      <c r="EN233" s="293"/>
      <c r="EO233" s="293"/>
      <c r="EP233" s="293"/>
      <c r="EQ233" s="293"/>
      <c r="ER233" s="293"/>
      <c r="ES233" s="293"/>
      <c r="ET233" s="293"/>
      <c r="EU233" s="293"/>
      <c r="JW233"/>
    </row>
    <row r="234" spans="1:283" s="332" customFormat="1">
      <c r="A234" s="332" t="s">
        <v>621</v>
      </c>
      <c r="AN234" s="293">
        <f t="shared" si="421"/>
        <v>157</v>
      </c>
      <c r="AO234" s="293">
        <f t="shared" si="421"/>
        <v>263</v>
      </c>
      <c r="AP234" s="293">
        <f t="shared" si="422"/>
        <v>420</v>
      </c>
      <c r="AQ234" s="626"/>
      <c r="AR234" s="293">
        <f t="shared" si="423"/>
        <v>51</v>
      </c>
      <c r="AS234" s="293">
        <f t="shared" si="423"/>
        <v>-241</v>
      </c>
      <c r="AT234" s="293">
        <f t="shared" si="443"/>
        <v>-190</v>
      </c>
      <c r="AU234" s="626"/>
      <c r="AV234" s="293">
        <f t="shared" si="424"/>
        <v>-12</v>
      </c>
      <c r="AW234" s="293">
        <f t="shared" si="424"/>
        <v>49</v>
      </c>
      <c r="AX234" s="293">
        <f t="shared" si="444"/>
        <v>37</v>
      </c>
      <c r="AY234" s="626"/>
      <c r="AZ234" s="293">
        <f t="shared" si="425"/>
        <v>104</v>
      </c>
      <c r="BA234" s="293">
        <f t="shared" si="425"/>
        <v>157</v>
      </c>
      <c r="BB234" s="293">
        <f t="shared" si="445"/>
        <v>261</v>
      </c>
      <c r="BC234" s="293"/>
      <c r="BD234" s="293">
        <f t="shared" si="426"/>
        <v>31</v>
      </c>
      <c r="BE234" s="293">
        <f t="shared" si="426"/>
        <v>266</v>
      </c>
      <c r="BF234" s="293">
        <f t="shared" si="446"/>
        <v>297</v>
      </c>
      <c r="BG234" s="293"/>
      <c r="BH234" s="293">
        <f>BH322</f>
        <v>-59</v>
      </c>
      <c r="BI234" s="293">
        <f>BI322</f>
        <v>-5</v>
      </c>
      <c r="BJ234" s="293">
        <f t="shared" si="447"/>
        <v>-64</v>
      </c>
      <c r="BK234" s="487"/>
      <c r="BL234" s="293">
        <f>BL322</f>
        <v>-68</v>
      </c>
      <c r="BM234" s="293">
        <f>BM322</f>
        <v>-11</v>
      </c>
      <c r="BN234" s="293">
        <f t="shared" si="448"/>
        <v>-79</v>
      </c>
      <c r="BO234" s="671"/>
      <c r="BP234" s="293">
        <f>BP322</f>
        <v>-40</v>
      </c>
      <c r="BQ234" s="293">
        <f>BQ322</f>
        <v>-242</v>
      </c>
      <c r="BR234" s="293">
        <f t="shared" si="450"/>
        <v>-282</v>
      </c>
      <c r="BS234" s="671"/>
      <c r="BT234" s="293">
        <f>BT322</f>
        <v>-150</v>
      </c>
      <c r="BU234" s="293">
        <f>BU322</f>
        <v>-140</v>
      </c>
      <c r="BV234" s="293">
        <f t="shared" si="427"/>
        <v>-290</v>
      </c>
      <c r="BW234" s="671"/>
      <c r="BX234" s="293">
        <f>BX322</f>
        <v>105</v>
      </c>
      <c r="BY234" s="293">
        <f>BY322</f>
        <v>-73</v>
      </c>
      <c r="BZ234" s="293">
        <f t="shared" si="428"/>
        <v>32</v>
      </c>
      <c r="CA234" s="671"/>
      <c r="CB234" s="293">
        <f>CB322</f>
        <v>-34</v>
      </c>
      <c r="CC234" s="293">
        <f>CC322</f>
        <v>55</v>
      </c>
      <c r="CD234" s="293">
        <f t="shared" si="429"/>
        <v>21</v>
      </c>
      <c r="CE234" s="671"/>
      <c r="CF234" s="293">
        <f>CF322</f>
        <v>168</v>
      </c>
      <c r="CG234" s="293">
        <f>CG322</f>
        <v>88</v>
      </c>
      <c r="CH234" s="293">
        <f t="shared" si="430"/>
        <v>256</v>
      </c>
      <c r="CI234" s="671"/>
      <c r="CJ234" s="293">
        <f>CJ322</f>
        <v>174</v>
      </c>
      <c r="CK234" s="293">
        <f>CK322</f>
        <v>40</v>
      </c>
      <c r="CL234" s="293">
        <f t="shared" si="431"/>
        <v>214</v>
      </c>
      <c r="CM234" s="671"/>
      <c r="CN234" s="1010">
        <f>CN322</f>
        <v>122</v>
      </c>
      <c r="CO234" s="1010">
        <f>CO322</f>
        <v>177</v>
      </c>
      <c r="CP234" s="1010">
        <f t="shared" si="432"/>
        <v>299</v>
      </c>
      <c r="CQ234" s="1417"/>
      <c r="CR234" s="1010">
        <f>CR322</f>
        <v>614</v>
      </c>
      <c r="CS234" s="1495">
        <f>CS322</f>
        <v>281</v>
      </c>
      <c r="CT234" s="293">
        <f t="shared" si="433"/>
        <v>895</v>
      </c>
      <c r="CU234" s="671">
        <f t="shared" si="451"/>
        <v>1.9933110367892977</v>
      </c>
      <c r="CV234" s="1010">
        <f>CV322</f>
        <v>171</v>
      </c>
      <c r="CW234" s="1490">
        <f>CW322</f>
        <v>307</v>
      </c>
      <c r="CX234" s="1010">
        <f t="shared" si="434"/>
        <v>478</v>
      </c>
      <c r="CY234" s="671">
        <f t="shared" si="452"/>
        <v>-0.46592178770949721</v>
      </c>
      <c r="CZ234" s="1010">
        <f>CZ322</f>
        <v>268</v>
      </c>
      <c r="DA234" s="1490">
        <f>DA322</f>
        <v>251</v>
      </c>
      <c r="DB234" s="1010">
        <f t="shared" si="435"/>
        <v>519</v>
      </c>
      <c r="DC234" s="671">
        <f t="shared" si="453"/>
        <v>8.5774058577405832E-2</v>
      </c>
      <c r="DD234" s="293">
        <f>DD322</f>
        <v>324</v>
      </c>
      <c r="DE234" s="1490">
        <f>DE322</f>
        <v>224</v>
      </c>
      <c r="DF234" s="1010">
        <f t="shared" si="436"/>
        <v>548</v>
      </c>
      <c r="DG234" s="671"/>
      <c r="DH234" s="293">
        <f>DH322</f>
        <v>220</v>
      </c>
      <c r="DI234" s="293">
        <f>DI322</f>
        <v>263.58999999999997</v>
      </c>
      <c r="DJ234" s="293">
        <f>DH234+DI234</f>
        <v>483.59</v>
      </c>
      <c r="DK234" s="671"/>
      <c r="DL234" s="293">
        <f>DL322</f>
        <v>257.82049999999998</v>
      </c>
      <c r="DM234" s="293">
        <f>DM322</f>
        <v>294.311915</v>
      </c>
      <c r="DN234" s="293">
        <f>DL234+DM234</f>
        <v>552.13241500000004</v>
      </c>
      <c r="DO234" s="671"/>
      <c r="DP234" s="293">
        <f>DP322</f>
        <v>289.34869644999998</v>
      </c>
      <c r="DQ234" s="293">
        <f>DQ322</f>
        <v>328.62685334349999</v>
      </c>
      <c r="DR234" s="293">
        <f>DP234+DQ234</f>
        <v>617.97554979350002</v>
      </c>
      <c r="DS234" s="671"/>
      <c r="DT234" s="671"/>
      <c r="DU234" s="671"/>
      <c r="DV234" s="671"/>
      <c r="DW234" s="992" t="s">
        <v>513</v>
      </c>
      <c r="DX234" s="293"/>
      <c r="DY234" s="293"/>
      <c r="DZ234" s="293"/>
      <c r="EA234" s="293"/>
      <c r="EB234" s="293"/>
      <c r="EC234" s="293"/>
      <c r="ED234" s="293"/>
      <c r="EE234" s="293"/>
      <c r="EF234" s="293"/>
      <c r="EG234" s="293"/>
      <c r="EH234" s="293"/>
      <c r="EI234" s="293"/>
      <c r="EJ234" s="293"/>
      <c r="EK234" s="293"/>
      <c r="EL234" s="293"/>
      <c r="EM234" s="293"/>
      <c r="EN234" s="293"/>
      <c r="EO234" s="293"/>
      <c r="EP234" s="293"/>
      <c r="EQ234" s="293"/>
      <c r="ER234" s="293"/>
      <c r="ES234" s="293"/>
      <c r="ET234" s="293"/>
      <c r="EU234" s="293"/>
      <c r="JW234"/>
    </row>
    <row r="235" spans="1:283" s="332" customFormat="1">
      <c r="A235" s="332" t="s">
        <v>567</v>
      </c>
      <c r="AN235" s="626">
        <f t="shared" si="421"/>
        <v>0</v>
      </c>
      <c r="AO235" s="626">
        <f t="shared" si="421"/>
        <v>0</v>
      </c>
      <c r="AP235" s="293">
        <f t="shared" si="422"/>
        <v>0</v>
      </c>
      <c r="AQ235" s="293"/>
      <c r="AR235" s="626">
        <f t="shared" si="423"/>
        <v>46</v>
      </c>
      <c r="AS235" s="626">
        <f t="shared" si="423"/>
        <v>141</v>
      </c>
      <c r="AT235" s="293">
        <f t="shared" si="443"/>
        <v>187</v>
      </c>
      <c r="AU235" s="626"/>
      <c r="AV235" s="626">
        <f t="shared" si="424"/>
        <v>39</v>
      </c>
      <c r="AW235" s="626">
        <f t="shared" si="424"/>
        <v>63</v>
      </c>
      <c r="AX235" s="293">
        <f t="shared" si="444"/>
        <v>102</v>
      </c>
      <c r="AY235" s="293"/>
      <c r="AZ235" s="626">
        <f t="shared" si="425"/>
        <v>21</v>
      </c>
      <c r="BA235" s="626">
        <f t="shared" si="425"/>
        <v>28</v>
      </c>
      <c r="BB235" s="293">
        <f t="shared" si="445"/>
        <v>49</v>
      </c>
      <c r="BC235" s="293"/>
      <c r="BD235" s="626">
        <f t="shared" si="426"/>
        <v>7</v>
      </c>
      <c r="BE235" s="626">
        <f t="shared" si="426"/>
        <v>11</v>
      </c>
      <c r="BF235" s="293">
        <f t="shared" si="446"/>
        <v>18</v>
      </c>
      <c r="BG235" s="293"/>
      <c r="BH235" s="626">
        <f>BH881+BH802</f>
        <v>9</v>
      </c>
      <c r="BI235" s="626">
        <f>BI881+BI802</f>
        <v>14</v>
      </c>
      <c r="BJ235" s="293">
        <f t="shared" si="447"/>
        <v>23</v>
      </c>
      <c r="BK235" s="487"/>
      <c r="BL235" s="626">
        <f>BL881+BL802</f>
        <v>5</v>
      </c>
      <c r="BM235" s="626">
        <f>BM881+BM802</f>
        <v>-11</v>
      </c>
      <c r="BN235" s="293">
        <f t="shared" si="448"/>
        <v>-6</v>
      </c>
      <c r="BO235" s="671"/>
      <c r="BP235" s="626">
        <f>BP881+BP802</f>
        <v>-6</v>
      </c>
      <c r="BQ235" s="626">
        <f>BQ881+BQ802</f>
        <v>-14</v>
      </c>
      <c r="BR235" s="293">
        <f t="shared" si="450"/>
        <v>-20</v>
      </c>
      <c r="BS235" s="671"/>
      <c r="BT235" s="626">
        <f>BT881+BT802</f>
        <v>-4</v>
      </c>
      <c r="BU235" s="626">
        <f>BU881+BU802</f>
        <v>1</v>
      </c>
      <c r="BV235" s="293">
        <f t="shared" si="427"/>
        <v>-3</v>
      </c>
      <c r="BW235" s="671"/>
      <c r="BX235" s="626">
        <v>8</v>
      </c>
      <c r="BY235" s="626">
        <v>-9</v>
      </c>
      <c r="BZ235" s="293">
        <f t="shared" si="428"/>
        <v>-1</v>
      </c>
      <c r="CA235" s="671"/>
      <c r="CB235" s="626">
        <v>7</v>
      </c>
      <c r="CC235" s="626">
        <v>5</v>
      </c>
      <c r="CD235" s="293">
        <f t="shared" si="429"/>
        <v>12</v>
      </c>
      <c r="CE235" s="671"/>
      <c r="CF235" s="626">
        <v>5</v>
      </c>
      <c r="CG235" s="626">
        <v>-9</v>
      </c>
      <c r="CH235" s="293">
        <f t="shared" si="430"/>
        <v>-4</v>
      </c>
      <c r="CI235" s="671"/>
      <c r="CJ235" s="626">
        <v>2</v>
      </c>
      <c r="CK235" s="1323">
        <f>10+3</f>
        <v>13</v>
      </c>
      <c r="CL235" s="293">
        <f t="shared" si="431"/>
        <v>15</v>
      </c>
      <c r="CM235" s="671"/>
      <c r="CN235" s="1388">
        <v>1</v>
      </c>
      <c r="CO235" s="1388">
        <v>-6</v>
      </c>
      <c r="CP235" s="1010">
        <f t="shared" si="432"/>
        <v>-5</v>
      </c>
      <c r="CQ235" s="1417"/>
      <c r="CR235" s="1388">
        <v>34</v>
      </c>
      <c r="CS235" s="1497">
        <v>-29</v>
      </c>
      <c r="CT235" s="293">
        <f t="shared" si="433"/>
        <v>5</v>
      </c>
      <c r="CU235" s="671">
        <f t="shared" si="451"/>
        <v>-2</v>
      </c>
      <c r="CV235" s="1388">
        <v>-1</v>
      </c>
      <c r="CW235" s="1488">
        <v>30</v>
      </c>
      <c r="CX235" s="1010">
        <f t="shared" si="434"/>
        <v>29</v>
      </c>
      <c r="CY235" s="671">
        <f t="shared" si="452"/>
        <v>4.8</v>
      </c>
      <c r="CZ235" s="1863">
        <v>-1</v>
      </c>
      <c r="DA235" s="1488">
        <v>20</v>
      </c>
      <c r="DB235" s="1010">
        <f t="shared" si="435"/>
        <v>19</v>
      </c>
      <c r="DC235" s="671">
        <f t="shared" si="453"/>
        <v>-0.34482758620689657</v>
      </c>
      <c r="DD235" s="2107">
        <v>5</v>
      </c>
      <c r="DE235" s="2176">
        <v>6</v>
      </c>
      <c r="DF235" s="1010">
        <f t="shared" si="436"/>
        <v>11</v>
      </c>
      <c r="DG235" s="671"/>
      <c r="DH235" s="2107">
        <v>2</v>
      </c>
      <c r="DI235" s="841">
        <f>'P&amp;L'!DI672</f>
        <v>2.06</v>
      </c>
      <c r="DJ235" s="293">
        <f>DH235+DI235</f>
        <v>4.0600000000000005</v>
      </c>
      <c r="DK235" s="671"/>
      <c r="DL235" s="841">
        <f>'P&amp;L'!DL672</f>
        <v>2.1217999999999999</v>
      </c>
      <c r="DM235" s="841">
        <f>'P&amp;L'!DM672</f>
        <v>2.185454</v>
      </c>
      <c r="DN235" s="293">
        <f>DL235+DM235</f>
        <v>4.3072540000000004</v>
      </c>
      <c r="DO235" s="671"/>
      <c r="DP235" s="841">
        <f>'P&amp;L'!DP672</f>
        <v>2.2510176200000003</v>
      </c>
      <c r="DQ235" s="841">
        <f>'P&amp;L'!DQ672</f>
        <v>2.3185481486000001</v>
      </c>
      <c r="DR235" s="293">
        <f>DP235+DQ235</f>
        <v>4.5695657686000004</v>
      </c>
      <c r="DS235" s="671"/>
      <c r="DT235" s="671"/>
      <c r="DU235" s="671"/>
      <c r="DV235" s="671"/>
      <c r="DW235" s="1198" t="s">
        <v>174</v>
      </c>
      <c r="DX235" s="293"/>
      <c r="DY235" s="293"/>
      <c r="DZ235" s="293"/>
      <c r="EA235" s="293"/>
      <c r="EB235" s="293"/>
      <c r="EC235" s="293"/>
      <c r="ED235" s="293"/>
      <c r="EE235" s="293"/>
      <c r="EF235" s="293"/>
      <c r="EG235" s="293"/>
      <c r="EH235" s="293"/>
      <c r="EI235" s="293"/>
      <c r="EJ235" s="293"/>
      <c r="EK235" s="293"/>
      <c r="EL235" s="293"/>
      <c r="EM235" s="293"/>
      <c r="EN235" s="293"/>
      <c r="EO235" s="293"/>
      <c r="EP235" s="293"/>
      <c r="EQ235" s="293"/>
      <c r="ER235" s="293"/>
      <c r="ES235" s="293"/>
      <c r="ET235" s="293"/>
      <c r="EU235" s="293"/>
      <c r="JW235"/>
    </row>
    <row r="236" spans="1:283" s="332" customFormat="1">
      <c r="A236" s="327" t="s">
        <v>568</v>
      </c>
      <c r="AN236" s="295">
        <f>SUM(AN230:AN235)</f>
        <v>1220</v>
      </c>
      <c r="AO236" s="295">
        <f>SUM(AO230:AO235)</f>
        <v>1134</v>
      </c>
      <c r="AP236" s="295">
        <f t="shared" si="422"/>
        <v>2354</v>
      </c>
      <c r="AQ236" s="295"/>
      <c r="AR236" s="295">
        <f>SUM(AR230:AR235)</f>
        <v>1460</v>
      </c>
      <c r="AS236" s="295">
        <f>SUM(AS230:AS235)</f>
        <v>921</v>
      </c>
      <c r="AT236" s="295">
        <f t="shared" si="443"/>
        <v>2381</v>
      </c>
      <c r="AU236" s="295"/>
      <c r="AV236" s="295">
        <f>SUM(AV230:AV235)</f>
        <v>1427</v>
      </c>
      <c r="AW236" s="295">
        <f>SUM(AW230:AW235)</f>
        <v>1494</v>
      </c>
      <c r="AX236" s="295">
        <f t="shared" si="444"/>
        <v>2921</v>
      </c>
      <c r="AY236" s="295"/>
      <c r="AZ236" s="295">
        <f>SUM(AZ230:AZ235)</f>
        <v>1170.5</v>
      </c>
      <c r="BA236" s="295">
        <f>SUM(BA230:BA235)</f>
        <v>1552.5</v>
      </c>
      <c r="BB236" s="295">
        <f t="shared" si="445"/>
        <v>2723</v>
      </c>
      <c r="BC236" s="295"/>
      <c r="BD236" s="295">
        <f>SUM(BD230:BD235)</f>
        <v>955.5</v>
      </c>
      <c r="BE236" s="295">
        <f>SUM(BE230:BE235)</f>
        <v>1301</v>
      </c>
      <c r="BF236" s="295">
        <f t="shared" si="446"/>
        <v>2256.5</v>
      </c>
      <c r="BG236" s="293"/>
      <c r="BH236" s="295">
        <f>SUM(BH230:BH235)</f>
        <v>886</v>
      </c>
      <c r="BI236" s="295">
        <f>SUM(BI230:BI235)</f>
        <v>1080</v>
      </c>
      <c r="BJ236" s="295">
        <f t="shared" si="447"/>
        <v>1966</v>
      </c>
      <c r="BK236" s="487"/>
      <c r="BL236" s="295">
        <f>SUM(BL230:BL235)</f>
        <v>1089</v>
      </c>
      <c r="BM236" s="295">
        <f>SUM(BM230:BM235)</f>
        <v>1458</v>
      </c>
      <c r="BN236" s="295">
        <f t="shared" si="448"/>
        <v>2547</v>
      </c>
      <c r="BO236" s="672">
        <f t="shared" si="449"/>
        <v>0.2955239064089521</v>
      </c>
      <c r="BP236" s="295">
        <f>SUM(BP230:BP235)</f>
        <v>1156</v>
      </c>
      <c r="BQ236" s="295">
        <f>SUM(BQ230:BQ235)</f>
        <v>1593</v>
      </c>
      <c r="BR236" s="295">
        <f t="shared" si="450"/>
        <v>2749</v>
      </c>
      <c r="BS236" s="672">
        <f>+BR236/BN236-1</f>
        <v>7.93089909697684E-2</v>
      </c>
      <c r="BT236" s="295">
        <f>SUM(BT230:BT235)</f>
        <v>1529</v>
      </c>
      <c r="BU236" s="295">
        <f>SUM(BU230:BU235)</f>
        <v>1386</v>
      </c>
      <c r="BV236" s="295">
        <f t="shared" si="427"/>
        <v>2915</v>
      </c>
      <c r="BW236" s="672">
        <f>+BV236/BR236-1</f>
        <v>6.0385594761731554E-2</v>
      </c>
      <c r="BX236" s="295">
        <f>SUM(BX230:BX235)</f>
        <v>1485</v>
      </c>
      <c r="BY236" s="295">
        <f>SUM(BY230:BY235)</f>
        <v>1463</v>
      </c>
      <c r="BZ236" s="295">
        <f t="shared" si="428"/>
        <v>2948</v>
      </c>
      <c r="CA236" s="672">
        <f>+BZ236/BV236-1</f>
        <v>1.132075471698113E-2</v>
      </c>
      <c r="CB236" s="295">
        <f>SUM(CB230:CB235)</f>
        <v>1321</v>
      </c>
      <c r="CC236" s="295">
        <f>SUM(CC230:CC235)</f>
        <v>1586</v>
      </c>
      <c r="CD236" s="295">
        <f t="shared" si="429"/>
        <v>2907</v>
      </c>
      <c r="CE236" s="672">
        <f>+CD236/BZ236-1</f>
        <v>-1.3907734056987753E-2</v>
      </c>
      <c r="CF236" s="295">
        <f>SUM(CF230:CF235)</f>
        <v>2151</v>
      </c>
      <c r="CG236" s="295">
        <f>SUM(CG230:CG235)</f>
        <v>2283</v>
      </c>
      <c r="CH236" s="295">
        <f>CF236+CG236</f>
        <v>4434</v>
      </c>
      <c r="CI236" s="672">
        <f>+CH236/CD236-1</f>
        <v>0.52528379772961808</v>
      </c>
      <c r="CJ236" s="295">
        <f>SUM(CJ230:CJ235)</f>
        <v>2158</v>
      </c>
      <c r="CK236" s="295">
        <f>SUM(CK230:CK235)</f>
        <v>1682</v>
      </c>
      <c r="CL236" s="295">
        <f>CJ236+CK236</f>
        <v>3840</v>
      </c>
      <c r="CM236" s="672">
        <f>+CL236/CH236-1</f>
        <v>-0.13396481732070364</v>
      </c>
      <c r="CN236" s="1412">
        <f>SUM(CN230:CN235)</f>
        <v>2130</v>
      </c>
      <c r="CO236" s="1412">
        <f>SUM(CO230:CO235)</f>
        <v>2548</v>
      </c>
      <c r="CP236" s="1412">
        <f>CN236+CO236</f>
        <v>4678</v>
      </c>
      <c r="CQ236" s="1420">
        <f>+CP236/CL236-1</f>
        <v>0.2182291666666667</v>
      </c>
      <c r="CR236" s="1412">
        <f>SUM(CR230:CR235)</f>
        <v>2769</v>
      </c>
      <c r="CS236" s="1390">
        <f>SUM(CS230:CS235)</f>
        <v>3410</v>
      </c>
      <c r="CT236" s="295">
        <f>CR236+CS236</f>
        <v>6179</v>
      </c>
      <c r="CU236" s="672">
        <f>+CT236/CP236-1</f>
        <v>0.32086361693031207</v>
      </c>
      <c r="CV236" s="1412">
        <f>SUM(CV230:CV235)</f>
        <v>3239</v>
      </c>
      <c r="CW236" s="1491">
        <f>SUM(CW230:CW235)</f>
        <v>5478</v>
      </c>
      <c r="CX236" s="1412">
        <f>CV236+CW236</f>
        <v>8717</v>
      </c>
      <c r="CY236" s="672">
        <f>+CX236/CT236-1</f>
        <v>0.41074607541673402</v>
      </c>
      <c r="CZ236" s="1412">
        <f>SUM(CZ230:CZ235)</f>
        <v>2929</v>
      </c>
      <c r="DA236" s="1491">
        <f>SUM(DA230:DA235)</f>
        <v>3393</v>
      </c>
      <c r="DB236" s="1412">
        <f>CZ236+DA236</f>
        <v>6322</v>
      </c>
      <c r="DC236" s="672">
        <f>+DB236/CX236-1</f>
        <v>-0.2747504875530572</v>
      </c>
      <c r="DD236" s="295">
        <f>SUM(DD230:DD235)</f>
        <v>2894</v>
      </c>
      <c r="DE236" s="1491">
        <f>SUM(DE230:DE235)</f>
        <v>3124</v>
      </c>
      <c r="DF236" s="1412">
        <f>DD236+DE236</f>
        <v>6018</v>
      </c>
      <c r="DG236" s="672">
        <f>+DF236/DB236-1</f>
        <v>-4.8086048718759877E-2</v>
      </c>
      <c r="DH236" s="295">
        <f>SUM(DH230:DH235)</f>
        <v>2883</v>
      </c>
      <c r="DI236" s="295">
        <f>SUM(DI230:DI235)</f>
        <v>3595.9900000000002</v>
      </c>
      <c r="DJ236" s="295">
        <f>DH236+DI236</f>
        <v>6478.99</v>
      </c>
      <c r="DK236" s="672">
        <f>+DJ236/DF236-1</f>
        <v>7.6601861083416489E-2</v>
      </c>
      <c r="DL236" s="295">
        <f>SUM(DL230:DL235)</f>
        <v>2960.7026999999998</v>
      </c>
      <c r="DM236" s="295">
        <f>SUM(DM230:DM235)</f>
        <v>3677.2332870000005</v>
      </c>
      <c r="DN236" s="295">
        <f>DL236+DM236</f>
        <v>6637.9359870000008</v>
      </c>
      <c r="DO236" s="672">
        <f>+DN236/DJ236-1</f>
        <v>2.4532525439922015E-2</v>
      </c>
      <c r="DP236" s="295">
        <f>SUM(DP230:DP235)</f>
        <v>3031.4428414099998</v>
      </c>
      <c r="DQ236" s="295">
        <f>SUM(DQ230:DQ235)</f>
        <v>3772.3810729874999</v>
      </c>
      <c r="DR236" s="295">
        <f>DP236+DQ236</f>
        <v>6803.8239143974997</v>
      </c>
      <c r="DS236" s="672">
        <f>+DR236/DN236-1</f>
        <v>2.4990889897459123E-2</v>
      </c>
      <c r="DT236" s="672"/>
      <c r="DU236" s="672"/>
      <c r="DV236" s="672"/>
      <c r="DW236" s="1199"/>
      <c r="DX236" s="295"/>
      <c r="DY236" s="295"/>
      <c r="DZ236" s="295"/>
      <c r="EA236" s="295"/>
      <c r="EB236" s="295"/>
      <c r="EC236" s="295"/>
      <c r="ED236" s="295"/>
      <c r="EE236" s="295"/>
      <c r="EF236" s="295"/>
      <c r="EG236" s="295"/>
      <c r="EH236" s="295"/>
      <c r="EI236" s="295"/>
      <c r="EJ236" s="295"/>
      <c r="EK236" s="295"/>
      <c r="EL236" s="295"/>
      <c r="EM236" s="295"/>
      <c r="EN236" s="295"/>
      <c r="EO236" s="295"/>
      <c r="EP236" s="295"/>
      <c r="EQ236" s="295"/>
      <c r="ER236" s="295"/>
      <c r="ES236" s="295"/>
      <c r="ET236" s="295"/>
      <c r="EU236" s="295"/>
      <c r="EV236" s="327"/>
      <c r="EW236" s="327"/>
      <c r="EX236" s="327"/>
      <c r="EY236" s="327"/>
      <c r="EZ236" s="327"/>
      <c r="FA236" s="327"/>
      <c r="FB236" s="327"/>
      <c r="FC236" s="327"/>
      <c r="FD236" s="327"/>
      <c r="FE236" s="327"/>
      <c r="FF236" s="327"/>
      <c r="FG236" s="327"/>
      <c r="FH236" s="327"/>
      <c r="FI236" s="327"/>
      <c r="FJ236" s="327"/>
      <c r="FK236" s="327"/>
      <c r="FL236" s="327"/>
      <c r="FM236" s="327"/>
      <c r="FN236" s="327"/>
      <c r="FO236" s="327"/>
      <c r="FP236" s="327"/>
      <c r="FQ236" s="327"/>
      <c r="FR236" s="327"/>
      <c r="FS236" s="327"/>
      <c r="FT236" s="327"/>
      <c r="FU236" s="327"/>
      <c r="FV236" s="327"/>
      <c r="FW236" s="327"/>
      <c r="FX236" s="327"/>
      <c r="FY236" s="327"/>
      <c r="FZ236" s="327"/>
      <c r="GA236" s="327"/>
      <c r="GB236" s="327"/>
      <c r="GC236" s="327"/>
      <c r="GD236" s="327"/>
      <c r="GE236" s="327"/>
      <c r="GF236" s="327"/>
      <c r="GG236" s="327"/>
      <c r="GH236" s="327"/>
      <c r="GI236" s="327"/>
      <c r="GJ236" s="327"/>
      <c r="GK236" s="327"/>
      <c r="GL236" s="327"/>
      <c r="GM236" s="327"/>
      <c r="GN236" s="327"/>
      <c r="GO236" s="327"/>
      <c r="GP236" s="327"/>
      <c r="GQ236" s="327"/>
      <c r="GR236" s="327"/>
      <c r="GS236" s="327"/>
      <c r="GT236" s="327"/>
      <c r="GU236" s="327"/>
      <c r="GV236" s="327"/>
      <c r="GW236" s="327"/>
      <c r="GX236" s="327"/>
      <c r="GY236" s="327"/>
      <c r="GZ236" s="327"/>
      <c r="HA236" s="327"/>
      <c r="HB236" s="327"/>
      <c r="HC236" s="327"/>
      <c r="HD236" s="327"/>
      <c r="HE236" s="327"/>
      <c r="HF236" s="327"/>
      <c r="HG236" s="327"/>
      <c r="HH236" s="327"/>
      <c r="HI236" s="327"/>
      <c r="HJ236" s="327"/>
      <c r="HK236" s="327"/>
      <c r="HL236" s="327"/>
      <c r="HM236" s="327"/>
      <c r="HN236" s="327"/>
      <c r="HO236" s="327"/>
      <c r="HP236" s="327"/>
      <c r="HQ236" s="327"/>
      <c r="HR236" s="327"/>
      <c r="HS236" s="327"/>
      <c r="HT236" s="327"/>
      <c r="HU236" s="327"/>
      <c r="HV236" s="327"/>
      <c r="HW236" s="327"/>
      <c r="HX236" s="327"/>
      <c r="HY236" s="327"/>
      <c r="HZ236" s="327"/>
      <c r="IA236" s="327"/>
      <c r="IB236" s="327"/>
      <c r="IC236" s="327"/>
      <c r="ID236" s="327"/>
      <c r="IE236" s="327"/>
      <c r="IF236" s="327"/>
      <c r="IG236" s="327"/>
      <c r="IH236" s="327"/>
      <c r="II236" s="327"/>
      <c r="IJ236" s="327"/>
      <c r="IK236" s="327"/>
      <c r="IL236" s="327"/>
      <c r="IM236" s="327"/>
      <c r="IN236" s="327"/>
      <c r="IO236" s="327"/>
      <c r="IP236" s="327"/>
      <c r="IQ236" s="327"/>
      <c r="IR236" s="327"/>
      <c r="IS236" s="327"/>
      <c r="IT236" s="327"/>
      <c r="IU236" s="327"/>
      <c r="IV236" s="327"/>
      <c r="IW236" s="327"/>
      <c r="IX236" s="327"/>
      <c r="IY236" s="327"/>
      <c r="IZ236" s="327"/>
      <c r="JA236" s="327"/>
      <c r="JB236" s="327"/>
      <c r="JC236" s="327"/>
      <c r="JD236" s="327"/>
      <c r="JE236" s="327"/>
      <c r="JF236" s="327"/>
      <c r="JG236" s="327"/>
      <c r="JH236" s="327"/>
      <c r="JI236" s="327"/>
      <c r="JJ236" s="327"/>
      <c r="JK236" s="327"/>
      <c r="JL236" s="327"/>
      <c r="JM236" s="327"/>
      <c r="JN236" s="327"/>
      <c r="JO236" s="327"/>
      <c r="JP236" s="327"/>
      <c r="JQ236" s="327"/>
      <c r="JR236" s="327"/>
      <c r="JS236" s="327"/>
      <c r="JT236" s="327"/>
      <c r="JU236" s="327"/>
      <c r="JV236" s="327"/>
      <c r="JW236"/>
    </row>
    <row r="237" spans="1:283" s="332" customFormat="1">
      <c r="AN237" s="293"/>
      <c r="AO237" s="293"/>
      <c r="AR237" s="293"/>
      <c r="AS237" s="293"/>
      <c r="AV237" s="293"/>
      <c r="AW237" s="293"/>
      <c r="AZ237" s="293"/>
      <c r="BA237" s="293"/>
      <c r="BD237" s="293"/>
      <c r="BE237" s="293"/>
      <c r="BH237" s="293"/>
      <c r="BI237" s="293"/>
      <c r="BL237" s="293"/>
      <c r="BM237" s="293"/>
      <c r="BP237" s="293"/>
      <c r="BQ237" s="293"/>
      <c r="BT237" s="293"/>
      <c r="BU237" s="293"/>
      <c r="BW237" s="293"/>
      <c r="BX237" s="293"/>
      <c r="BY237" s="293"/>
      <c r="BZ237" s="293"/>
      <c r="CA237" s="293"/>
      <c r="CB237" s="293"/>
      <c r="CC237" s="293"/>
      <c r="CD237" s="293"/>
      <c r="CE237" s="293"/>
      <c r="CF237" s="293"/>
      <c r="CG237" s="293"/>
      <c r="CH237" s="293"/>
      <c r="CI237" s="293"/>
      <c r="CJ237" s="293"/>
      <c r="CK237" s="293"/>
      <c r="CL237" s="293"/>
      <c r="CM237" s="293"/>
      <c r="CN237" s="1010"/>
      <c r="CO237" s="1010"/>
      <c r="CP237" s="1010"/>
      <c r="CQ237" s="1010"/>
      <c r="CR237" s="1010"/>
      <c r="CS237" s="1495"/>
      <c r="CT237" s="293"/>
      <c r="CU237" s="293"/>
      <c r="CV237" s="1010"/>
      <c r="CW237" s="1490"/>
      <c r="CX237" s="1010"/>
      <c r="CY237" s="293"/>
      <c r="CZ237" s="1010"/>
      <c r="DA237" s="1490"/>
      <c r="DB237" s="1010"/>
      <c r="DC237" s="293"/>
      <c r="DD237" s="293"/>
      <c r="DE237" s="1490"/>
      <c r="DF237" s="1010"/>
      <c r="DG237" s="293"/>
      <c r="DH237" s="293"/>
      <c r="DI237" s="293"/>
      <c r="DJ237" s="293"/>
      <c r="DK237" s="293"/>
      <c r="DL237" s="293"/>
      <c r="DM237" s="293"/>
      <c r="DN237" s="293"/>
      <c r="DO237" s="293"/>
      <c r="DP237" s="293"/>
      <c r="DQ237" s="293"/>
      <c r="DR237" s="293"/>
      <c r="DS237" s="293"/>
      <c r="DT237" s="293"/>
      <c r="DU237" s="293"/>
      <c r="DV237" s="293"/>
      <c r="DW237" s="1201"/>
      <c r="DX237" s="293"/>
      <c r="DY237" s="293"/>
      <c r="DZ237" s="293"/>
      <c r="EA237" s="293"/>
      <c r="EB237" s="293"/>
      <c r="EC237" s="293"/>
      <c r="ED237" s="293"/>
      <c r="EE237" s="293"/>
      <c r="EF237" s="293"/>
      <c r="EG237" s="293"/>
      <c r="EH237" s="293"/>
      <c r="EI237" s="293"/>
      <c r="EJ237" s="293"/>
      <c r="EK237" s="293"/>
      <c r="EL237" s="293"/>
      <c r="EM237" s="293"/>
      <c r="EN237" s="293"/>
      <c r="EO237" s="293"/>
      <c r="EP237" s="293"/>
      <c r="EQ237" s="293"/>
      <c r="ER237" s="293"/>
      <c r="ES237" s="293"/>
      <c r="ET237" s="293"/>
      <c r="EU237" s="293"/>
      <c r="JW237"/>
    </row>
    <row r="238" spans="1:283" s="332" customFormat="1">
      <c r="A238" s="332" t="s">
        <v>604</v>
      </c>
      <c r="AN238" s="626">
        <f t="shared" ref="AN238:AO240" si="466">AN805+AN884</f>
        <v>-119</v>
      </c>
      <c r="AO238" s="626">
        <f t="shared" si="466"/>
        <v>-133</v>
      </c>
      <c r="AP238" s="293">
        <f t="shared" ref="AP238:AP245" si="467">AN238+AO238</f>
        <v>-252</v>
      </c>
      <c r="AQ238" s="293"/>
      <c r="AR238" s="626">
        <f t="shared" ref="AR238:AS240" si="468">AR805+AR884</f>
        <v>-214</v>
      </c>
      <c r="AS238" s="626">
        <f t="shared" si="468"/>
        <v>-300</v>
      </c>
      <c r="AT238" s="293">
        <f t="shared" ref="AT238:AT245" si="469">AR238+AS238</f>
        <v>-514</v>
      </c>
      <c r="AU238" s="626"/>
      <c r="AV238" s="626">
        <f t="shared" ref="AV238:AW240" si="470">AV805+AV884</f>
        <v>-224</v>
      </c>
      <c r="AW238" s="626">
        <f t="shared" si="470"/>
        <v>-263</v>
      </c>
      <c r="AX238" s="293">
        <f t="shared" ref="AX238:AX245" si="471">AV238+AW238</f>
        <v>-487</v>
      </c>
      <c r="AY238" s="293"/>
      <c r="AZ238" s="626">
        <f t="shared" ref="AZ238:BA240" si="472">AZ805+AZ884</f>
        <v>-297</v>
      </c>
      <c r="BA238" s="626">
        <f t="shared" si="472"/>
        <v>-387</v>
      </c>
      <c r="BB238" s="293">
        <f t="shared" ref="BB238:BB245" si="473">AZ238+BA238</f>
        <v>-684</v>
      </c>
      <c r="BC238" s="293"/>
      <c r="BD238" s="626">
        <f t="shared" ref="BD238:BE240" si="474">BD805+BD884</f>
        <v>-270.66669999999999</v>
      </c>
      <c r="BE238" s="626">
        <f t="shared" si="474"/>
        <v>-294</v>
      </c>
      <c r="BF238" s="293">
        <f t="shared" ref="BF238:BF245" si="475">BD238+BE238</f>
        <v>-564.66669999999999</v>
      </c>
      <c r="BG238" s="293"/>
      <c r="BH238" s="626">
        <f t="shared" ref="BH238:BI240" si="476">BH805+BH884</f>
        <v>-232</v>
      </c>
      <c r="BI238" s="626">
        <f t="shared" si="476"/>
        <v>-230</v>
      </c>
      <c r="BJ238" s="293">
        <f t="shared" ref="BJ238:BJ245" si="477">BH238+BI238</f>
        <v>-462</v>
      </c>
      <c r="BK238" s="487"/>
      <c r="BL238" s="626">
        <f t="shared" ref="BL238:BM240" si="478">BL805+BL884</f>
        <v>-239</v>
      </c>
      <c r="BM238" s="626">
        <f t="shared" si="478"/>
        <v>-265</v>
      </c>
      <c r="BN238" s="293">
        <f t="shared" ref="BN238:BN245" si="479">BL238+BM238</f>
        <v>-504</v>
      </c>
      <c r="BO238" s="487"/>
      <c r="BP238" s="626">
        <f t="shared" ref="BP238:BQ240" si="480">BP805+BP884</f>
        <v>-260</v>
      </c>
      <c r="BQ238" s="626">
        <f t="shared" si="480"/>
        <v>-274</v>
      </c>
      <c r="BR238" s="293">
        <f t="shared" ref="BR238:BR245" si="481">BP238+BQ238</f>
        <v>-534</v>
      </c>
      <c r="BS238" s="487"/>
      <c r="BT238" s="626">
        <f t="shared" ref="BT238:BU240" si="482">BT805+BT884</f>
        <v>-293</v>
      </c>
      <c r="BU238" s="626">
        <f t="shared" si="482"/>
        <v>-321</v>
      </c>
      <c r="BV238" s="293">
        <f t="shared" ref="BV238:BV245" si="483">BT238+BU238</f>
        <v>-614</v>
      </c>
      <c r="BW238" s="293"/>
      <c r="BX238" s="626">
        <v>-290</v>
      </c>
      <c r="BY238" s="626">
        <v>-275</v>
      </c>
      <c r="BZ238" s="293">
        <f t="shared" ref="BZ238:BZ245" si="484">BX238+BY238</f>
        <v>-565</v>
      </c>
      <c r="CA238" s="293"/>
      <c r="CB238" s="626">
        <v>-278</v>
      </c>
      <c r="CC238" s="626">
        <v>-320</v>
      </c>
      <c r="CD238" s="293">
        <f t="shared" ref="CD238:CD245" si="485">CB238+CC238</f>
        <v>-598</v>
      </c>
      <c r="CE238" s="293"/>
      <c r="CF238" s="626">
        <v>-361</v>
      </c>
      <c r="CG238" s="626">
        <v>-420</v>
      </c>
      <c r="CH238" s="293">
        <f t="shared" ref="CH238:CH245" si="486">CF238+CG238</f>
        <v>-781</v>
      </c>
      <c r="CI238" s="293"/>
      <c r="CJ238" s="1323">
        <f>-389+113</f>
        <v>-276</v>
      </c>
      <c r="CK238" s="1323">
        <f>-389+81</f>
        <v>-308</v>
      </c>
      <c r="CL238" s="1324">
        <f t="shared" ref="CL238:CL245" si="487">CJ238+CK238</f>
        <v>-584</v>
      </c>
      <c r="CM238" s="293"/>
      <c r="CN238" s="1388">
        <v>-298</v>
      </c>
      <c r="CO238" s="1388">
        <v>-284</v>
      </c>
      <c r="CP238" s="1010">
        <f t="shared" ref="CP238:CP245" si="488">CN238+CO238</f>
        <v>-582</v>
      </c>
      <c r="CQ238" s="1010"/>
      <c r="CR238" s="1388">
        <v>-286</v>
      </c>
      <c r="CS238" s="1497">
        <v>-305</v>
      </c>
      <c r="CT238" s="293">
        <f t="shared" ref="CT238:CT245" si="489">CR238+CS238</f>
        <v>-591</v>
      </c>
      <c r="CU238" s="671">
        <f t="shared" ref="CU238:CU243" si="490">+CT238/CP238-1</f>
        <v>1.5463917525773141E-2</v>
      </c>
      <c r="CV238" s="1863">
        <v>-336</v>
      </c>
      <c r="CW238" s="1488">
        <v>-388</v>
      </c>
      <c r="CX238" s="1010">
        <f t="shared" ref="CX238:CX245" si="491">CV238+CW238</f>
        <v>-724</v>
      </c>
      <c r="CY238" s="671">
        <f t="shared" ref="CY238:CY243" si="492">+CX238/CT238-1</f>
        <v>0.22504230118443314</v>
      </c>
      <c r="CZ238" s="1863">
        <v>-401</v>
      </c>
      <c r="DA238" s="1488">
        <v>-410</v>
      </c>
      <c r="DB238" s="1010">
        <f t="shared" ref="DB238:DB245" si="493">CZ238+DA238</f>
        <v>-811</v>
      </c>
      <c r="DC238" s="671">
        <f t="shared" ref="DC238:DC240" si="494">+DB238/CX238-1</f>
        <v>0.12016574585635365</v>
      </c>
      <c r="DD238" s="2107">
        <v>-403</v>
      </c>
      <c r="DE238" s="2176">
        <v>-401</v>
      </c>
      <c r="DF238" s="1010">
        <f t="shared" ref="DF238:DF241" si="495">DD238+DE238</f>
        <v>-804</v>
      </c>
      <c r="DG238" s="293"/>
      <c r="DH238" s="2107">
        <v>-438</v>
      </c>
      <c r="DI238" s="293">
        <f t="shared" ref="DI238" si="496">DI327</f>
        <v>-423.05499999999995</v>
      </c>
      <c r="DJ238" s="293">
        <f t="shared" ref="DJ238:DJ245" si="497">DH238+DI238</f>
        <v>-861.05499999999995</v>
      </c>
      <c r="DK238" s="293"/>
      <c r="DL238" s="293">
        <f t="shared" ref="DL238:DM238" si="498">DL327</f>
        <v>-418.28999999999996</v>
      </c>
      <c r="DM238" s="293">
        <f t="shared" si="498"/>
        <v>-433.63137499999993</v>
      </c>
      <c r="DN238" s="293">
        <f t="shared" ref="DN238:DN245" si="499">DL238+DM238</f>
        <v>-851.9213749999999</v>
      </c>
      <c r="DO238" s="293"/>
      <c r="DP238" s="293">
        <f t="shared" ref="DP238:DQ238" si="500">DP327</f>
        <v>-432.93014999999991</v>
      </c>
      <c r="DQ238" s="293">
        <f t="shared" si="500"/>
        <v>-448.80847312499992</v>
      </c>
      <c r="DR238" s="293">
        <f t="shared" ref="DR238:DR241" si="501">DP238+DQ238</f>
        <v>-881.73862312499978</v>
      </c>
      <c r="DS238" s="293"/>
      <c r="DT238" s="293"/>
      <c r="DU238" s="293"/>
      <c r="DV238" s="293"/>
      <c r="DW238" s="1197" t="s">
        <v>513</v>
      </c>
      <c r="DX238" s="293"/>
      <c r="DY238" s="293"/>
      <c r="DZ238" s="293"/>
      <c r="EA238" s="293"/>
      <c r="EB238" s="293"/>
      <c r="EC238" s="293"/>
      <c r="ED238" s="293"/>
      <c r="EE238" s="293"/>
      <c r="EF238" s="293"/>
      <c r="EG238" s="293"/>
      <c r="EH238" s="293"/>
      <c r="EI238" s="293"/>
      <c r="EJ238" s="293"/>
      <c r="EK238" s="293"/>
      <c r="EL238" s="293"/>
      <c r="EM238" s="293"/>
      <c r="EN238" s="293"/>
      <c r="EO238" s="293"/>
      <c r="EP238" s="293"/>
      <c r="EQ238" s="293"/>
      <c r="ER238" s="293"/>
      <c r="ES238" s="293"/>
      <c r="ET238" s="293"/>
      <c r="EU238" s="293"/>
      <c r="JW238"/>
    </row>
    <row r="239" spans="1:283" s="332" customFormat="1">
      <c r="A239" s="332" t="s">
        <v>605</v>
      </c>
      <c r="AN239" s="626">
        <f t="shared" si="466"/>
        <v>-137</v>
      </c>
      <c r="AO239" s="626">
        <f t="shared" si="466"/>
        <v>-223</v>
      </c>
      <c r="AP239" s="293">
        <f t="shared" si="467"/>
        <v>-360</v>
      </c>
      <c r="AQ239" s="293"/>
      <c r="AR239" s="626">
        <f t="shared" si="468"/>
        <v>-187</v>
      </c>
      <c r="AS239" s="626">
        <f t="shared" si="468"/>
        <v>-160</v>
      </c>
      <c r="AT239" s="293">
        <f t="shared" si="469"/>
        <v>-347</v>
      </c>
      <c r="AU239" s="626"/>
      <c r="AV239" s="626">
        <f t="shared" si="470"/>
        <v>-195</v>
      </c>
      <c r="AW239" s="626">
        <f t="shared" si="470"/>
        <v>-161</v>
      </c>
      <c r="AX239" s="293">
        <f t="shared" si="471"/>
        <v>-356</v>
      </c>
      <c r="AY239" s="293"/>
      <c r="AZ239" s="626">
        <f t="shared" si="472"/>
        <v>-197</v>
      </c>
      <c r="BA239" s="626">
        <f t="shared" si="472"/>
        <v>-218</v>
      </c>
      <c r="BB239" s="293">
        <f t="shared" si="473"/>
        <v>-415</v>
      </c>
      <c r="BC239" s="293"/>
      <c r="BD239" s="626">
        <f t="shared" si="474"/>
        <v>-219</v>
      </c>
      <c r="BE239" s="626">
        <f t="shared" si="474"/>
        <v>-173.33330000000001</v>
      </c>
      <c r="BF239" s="293">
        <f t="shared" si="475"/>
        <v>-392.33330000000001</v>
      </c>
      <c r="BG239" s="293"/>
      <c r="BH239" s="626">
        <f t="shared" si="476"/>
        <v>-146</v>
      </c>
      <c r="BI239" s="626">
        <f t="shared" si="476"/>
        <v>-127</v>
      </c>
      <c r="BJ239" s="293">
        <f t="shared" si="477"/>
        <v>-273</v>
      </c>
      <c r="BK239" s="487"/>
      <c r="BL239" s="626">
        <f t="shared" si="478"/>
        <v>-190</v>
      </c>
      <c r="BM239" s="626">
        <f t="shared" si="478"/>
        <v>-221</v>
      </c>
      <c r="BN239" s="293">
        <f t="shared" si="479"/>
        <v>-411</v>
      </c>
      <c r="BO239" s="487"/>
      <c r="BP239" s="626">
        <f t="shared" si="480"/>
        <v>-195</v>
      </c>
      <c r="BQ239" s="626">
        <f t="shared" si="480"/>
        <v>-221</v>
      </c>
      <c r="BR239" s="293">
        <f t="shared" si="481"/>
        <v>-416</v>
      </c>
      <c r="BS239" s="487"/>
      <c r="BT239" s="626">
        <f t="shared" si="482"/>
        <v>-227</v>
      </c>
      <c r="BU239" s="626">
        <f t="shared" si="482"/>
        <v>-216</v>
      </c>
      <c r="BV239" s="293">
        <f t="shared" si="483"/>
        <v>-443</v>
      </c>
      <c r="BW239" s="293"/>
      <c r="BX239" s="626">
        <v>-205</v>
      </c>
      <c r="BY239" s="626">
        <v>-218</v>
      </c>
      <c r="BZ239" s="293">
        <f t="shared" si="484"/>
        <v>-423</v>
      </c>
      <c r="CA239" s="293"/>
      <c r="CB239" s="626">
        <v>-190</v>
      </c>
      <c r="CC239" s="626">
        <v>-208</v>
      </c>
      <c r="CD239" s="293">
        <f t="shared" si="485"/>
        <v>-398</v>
      </c>
      <c r="CE239" s="293"/>
      <c r="CF239" s="626">
        <v>-320</v>
      </c>
      <c r="CG239" s="626">
        <v>-316</v>
      </c>
      <c r="CH239" s="293">
        <f t="shared" si="486"/>
        <v>-636</v>
      </c>
      <c r="CI239" s="293"/>
      <c r="CJ239" s="1323">
        <f>-257+39</f>
        <v>-218</v>
      </c>
      <c r="CK239" s="1323">
        <f>-242+42</f>
        <v>-200</v>
      </c>
      <c r="CL239" s="1324">
        <f t="shared" si="487"/>
        <v>-418</v>
      </c>
      <c r="CM239" s="293"/>
      <c r="CN239" s="1388">
        <v>-216</v>
      </c>
      <c r="CO239" s="1388">
        <v>-172</v>
      </c>
      <c r="CP239" s="1010">
        <f t="shared" si="488"/>
        <v>-388</v>
      </c>
      <c r="CQ239" s="1010"/>
      <c r="CR239" s="1388">
        <v>-195</v>
      </c>
      <c r="CS239" s="1497">
        <v>-194</v>
      </c>
      <c r="CT239" s="293">
        <f t="shared" si="489"/>
        <v>-389</v>
      </c>
      <c r="CU239" s="671">
        <f t="shared" si="490"/>
        <v>2.5773195876288568E-3</v>
      </c>
      <c r="CV239" s="1863">
        <v>-193</v>
      </c>
      <c r="CW239" s="1488">
        <v>-222</v>
      </c>
      <c r="CX239" s="1010">
        <f t="shared" si="491"/>
        <v>-415</v>
      </c>
      <c r="CY239" s="671">
        <f t="shared" si="492"/>
        <v>6.6838046272493568E-2</v>
      </c>
      <c r="CZ239" s="1863">
        <v>-222</v>
      </c>
      <c r="DA239" s="1488">
        <v>-229</v>
      </c>
      <c r="DB239" s="1010">
        <f t="shared" si="493"/>
        <v>-451</v>
      </c>
      <c r="DC239" s="671">
        <f t="shared" si="494"/>
        <v>8.6746987951807242E-2</v>
      </c>
      <c r="DD239" s="2107">
        <v>-244</v>
      </c>
      <c r="DE239" s="2176">
        <v>-237</v>
      </c>
      <c r="DF239" s="1010">
        <f t="shared" si="495"/>
        <v>-481</v>
      </c>
      <c r="DG239" s="293"/>
      <c r="DH239" s="2107">
        <v>-248</v>
      </c>
      <c r="DI239" s="293">
        <f t="shared" ref="DI239" si="502">DI328</f>
        <v>-250.035</v>
      </c>
      <c r="DJ239" s="293">
        <f t="shared" si="497"/>
        <v>-498.03499999999997</v>
      </c>
      <c r="DK239" s="293"/>
      <c r="DL239" s="293">
        <f t="shared" ref="DL239:DM239" si="503">DL328</f>
        <v>-236.84</v>
      </c>
      <c r="DM239" s="293">
        <f t="shared" si="503"/>
        <v>-256.28587499999998</v>
      </c>
      <c r="DN239" s="293">
        <f t="shared" si="499"/>
        <v>-493.12587499999995</v>
      </c>
      <c r="DO239" s="293"/>
      <c r="DP239" s="293">
        <f t="shared" ref="DP239:DQ239" si="504">DP328</f>
        <v>-243.9452</v>
      </c>
      <c r="DQ239" s="293">
        <f t="shared" si="504"/>
        <v>-263.97445124999996</v>
      </c>
      <c r="DR239" s="293">
        <f t="shared" si="501"/>
        <v>-507.91965124999996</v>
      </c>
      <c r="DS239" s="293"/>
      <c r="DT239" s="293"/>
      <c r="DU239" s="293"/>
      <c r="DV239" s="293"/>
      <c r="DW239" s="1197" t="s">
        <v>513</v>
      </c>
      <c r="DX239" s="293"/>
      <c r="DY239" s="293"/>
      <c r="DZ239" s="293"/>
      <c r="EA239" s="293"/>
      <c r="EB239" s="293"/>
      <c r="EC239" s="293"/>
      <c r="ED239" s="293"/>
      <c r="EE239" s="293"/>
      <c r="EF239" s="293"/>
      <c r="EG239" s="293"/>
      <c r="EH239" s="293"/>
      <c r="EI239" s="293"/>
      <c r="EJ239" s="293"/>
      <c r="EK239" s="293"/>
      <c r="EL239" s="293"/>
      <c r="EM239" s="293"/>
      <c r="EN239" s="293"/>
      <c r="EO239" s="293"/>
      <c r="EP239" s="293"/>
      <c r="EQ239" s="293"/>
      <c r="ER239" s="293"/>
      <c r="ES239" s="293"/>
      <c r="ET239" s="293"/>
      <c r="EU239" s="293"/>
      <c r="JW239"/>
    </row>
    <row r="240" spans="1:283" s="332" customFormat="1">
      <c r="A240" s="332" t="s">
        <v>606</v>
      </c>
      <c r="AN240" s="626">
        <f t="shared" si="466"/>
        <v>-144</v>
      </c>
      <c r="AO240" s="626">
        <f t="shared" si="466"/>
        <v>-194</v>
      </c>
      <c r="AP240" s="293">
        <f t="shared" si="467"/>
        <v>-338</v>
      </c>
      <c r="AQ240" s="293"/>
      <c r="AR240" s="626">
        <f t="shared" si="468"/>
        <v>-332</v>
      </c>
      <c r="AS240" s="626">
        <f t="shared" si="468"/>
        <v>-405</v>
      </c>
      <c r="AT240" s="293">
        <f t="shared" si="469"/>
        <v>-737</v>
      </c>
      <c r="AU240" s="626"/>
      <c r="AV240" s="626">
        <f t="shared" si="470"/>
        <v>-321</v>
      </c>
      <c r="AW240" s="626">
        <f t="shared" si="470"/>
        <v>-350</v>
      </c>
      <c r="AX240" s="293">
        <f t="shared" si="471"/>
        <v>-671</v>
      </c>
      <c r="AY240" s="293"/>
      <c r="AZ240" s="626">
        <f t="shared" si="472"/>
        <v>-411.5</v>
      </c>
      <c r="BA240" s="626">
        <f t="shared" si="472"/>
        <v>-453.5</v>
      </c>
      <c r="BB240" s="293">
        <f t="shared" si="473"/>
        <v>-865</v>
      </c>
      <c r="BC240" s="293"/>
      <c r="BD240" s="626">
        <f t="shared" si="474"/>
        <v>-479.33330000000001</v>
      </c>
      <c r="BE240" s="626">
        <f t="shared" si="474"/>
        <v>-476</v>
      </c>
      <c r="BF240" s="293">
        <f t="shared" si="475"/>
        <v>-955.33330000000001</v>
      </c>
      <c r="BG240" s="293"/>
      <c r="BH240" s="626">
        <f t="shared" si="476"/>
        <v>-353</v>
      </c>
      <c r="BI240" s="626">
        <f t="shared" si="476"/>
        <v>-365</v>
      </c>
      <c r="BJ240" s="293">
        <f t="shared" si="477"/>
        <v>-718</v>
      </c>
      <c r="BK240" s="487"/>
      <c r="BL240" s="626">
        <f t="shared" si="478"/>
        <v>-386</v>
      </c>
      <c r="BM240" s="626">
        <f t="shared" si="478"/>
        <v>-413</v>
      </c>
      <c r="BN240" s="293">
        <f t="shared" si="479"/>
        <v>-799</v>
      </c>
      <c r="BO240" s="487"/>
      <c r="BP240" s="626">
        <f t="shared" si="480"/>
        <v>-434</v>
      </c>
      <c r="BQ240" s="626">
        <f t="shared" si="480"/>
        <v>-466</v>
      </c>
      <c r="BR240" s="293">
        <f t="shared" si="481"/>
        <v>-900</v>
      </c>
      <c r="BS240" s="487"/>
      <c r="BT240" s="626">
        <f t="shared" si="482"/>
        <v>-487</v>
      </c>
      <c r="BU240" s="626">
        <f t="shared" si="482"/>
        <v>-527</v>
      </c>
      <c r="BV240" s="293">
        <f t="shared" si="483"/>
        <v>-1014</v>
      </c>
      <c r="BW240" s="293"/>
      <c r="BX240" s="626">
        <v>-499</v>
      </c>
      <c r="BY240" s="626">
        <v>-489</v>
      </c>
      <c r="BZ240" s="293">
        <f t="shared" si="484"/>
        <v>-988</v>
      </c>
      <c r="CA240" s="293"/>
      <c r="CB240" s="626">
        <v>-475</v>
      </c>
      <c r="CC240" s="626">
        <v>-526</v>
      </c>
      <c r="CD240" s="293">
        <f t="shared" si="485"/>
        <v>-1001</v>
      </c>
      <c r="CE240" s="293"/>
      <c r="CF240" s="626">
        <v>-605</v>
      </c>
      <c r="CG240" s="626">
        <v>-667</v>
      </c>
      <c r="CH240" s="293">
        <f t="shared" si="486"/>
        <v>-1272</v>
      </c>
      <c r="CI240" s="293"/>
      <c r="CJ240" s="1323">
        <f>-692+168</f>
        <v>-524</v>
      </c>
      <c r="CK240" s="1323">
        <f>-730+154</f>
        <v>-576</v>
      </c>
      <c r="CL240" s="1324">
        <f t="shared" si="487"/>
        <v>-1100</v>
      </c>
      <c r="CM240" s="293"/>
      <c r="CN240" s="1388">
        <v>-534</v>
      </c>
      <c r="CO240" s="1388">
        <v>-573</v>
      </c>
      <c r="CP240" s="1010">
        <f t="shared" si="488"/>
        <v>-1107</v>
      </c>
      <c r="CQ240" s="1010"/>
      <c r="CR240" s="1388">
        <v>-559</v>
      </c>
      <c r="CS240" s="1497">
        <v>-729</v>
      </c>
      <c r="CT240" s="293">
        <f t="shared" si="489"/>
        <v>-1288</v>
      </c>
      <c r="CU240" s="671">
        <f t="shared" si="490"/>
        <v>0.1635049683830172</v>
      </c>
      <c r="CV240" s="1863">
        <v>-714</v>
      </c>
      <c r="CW240" s="1488">
        <v>-857</v>
      </c>
      <c r="CX240" s="1010">
        <f t="shared" si="491"/>
        <v>-1571</v>
      </c>
      <c r="CY240" s="671">
        <f t="shared" si="492"/>
        <v>0.21972049689440998</v>
      </c>
      <c r="CZ240" s="1863">
        <v>-922</v>
      </c>
      <c r="DA240" s="1488">
        <v>-924</v>
      </c>
      <c r="DB240" s="1010">
        <f t="shared" si="493"/>
        <v>-1846</v>
      </c>
      <c r="DC240" s="671">
        <f t="shared" si="494"/>
        <v>0.17504774029280723</v>
      </c>
      <c r="DD240" s="2107">
        <v>-931</v>
      </c>
      <c r="DE240" s="2176">
        <v>-974</v>
      </c>
      <c r="DF240" s="1010">
        <f t="shared" si="495"/>
        <v>-1905</v>
      </c>
      <c r="DG240" s="293"/>
      <c r="DH240" s="2107">
        <v>-1085</v>
      </c>
      <c r="DI240" s="293">
        <f t="shared" ref="DI240" si="505">DI329</f>
        <v>-1027.57</v>
      </c>
      <c r="DJ240" s="293">
        <f t="shared" si="497"/>
        <v>-2112.5699999999997</v>
      </c>
      <c r="DK240" s="293"/>
      <c r="DL240" s="293">
        <f t="shared" ref="DL240:DM240" si="506">DL329</f>
        <v>-1036.175</v>
      </c>
      <c r="DM240" s="293">
        <f t="shared" si="506"/>
        <v>-1053.2592499999998</v>
      </c>
      <c r="DN240" s="293">
        <f t="shared" si="499"/>
        <v>-2089.4342499999998</v>
      </c>
      <c r="DO240" s="293"/>
      <c r="DP240" s="293">
        <f t="shared" ref="DP240:DQ240" si="507">DP329</f>
        <v>-1067.26025</v>
      </c>
      <c r="DQ240" s="293">
        <f t="shared" si="507"/>
        <v>-1084.8570275</v>
      </c>
      <c r="DR240" s="293">
        <f t="shared" si="501"/>
        <v>-2152.1172775</v>
      </c>
      <c r="DS240" s="293"/>
      <c r="DT240" s="293"/>
      <c r="DU240" s="293"/>
      <c r="DV240" s="293"/>
      <c r="DW240" s="1197" t="s">
        <v>513</v>
      </c>
      <c r="DX240" s="293"/>
      <c r="DY240" s="293"/>
      <c r="DZ240" s="293"/>
      <c r="EA240" s="293"/>
      <c r="EB240" s="293"/>
      <c r="EC240" s="293"/>
      <c r="ED240" s="293"/>
      <c r="EE240" s="293"/>
      <c r="EF240" s="293"/>
      <c r="EG240" s="293"/>
      <c r="EH240" s="293"/>
      <c r="EI240" s="293"/>
      <c r="EJ240" s="293"/>
      <c r="EK240" s="293"/>
      <c r="EL240" s="293"/>
      <c r="EM240" s="293"/>
      <c r="EN240" s="293"/>
      <c r="EO240" s="293"/>
      <c r="EP240" s="293"/>
      <c r="EQ240" s="293"/>
      <c r="ER240" s="293"/>
      <c r="ES240" s="293"/>
      <c r="ET240" s="293"/>
      <c r="EU240" s="293"/>
      <c r="JW240"/>
    </row>
    <row r="241" spans="1:283" s="332" customFormat="1">
      <c r="A241" s="327" t="s">
        <v>569</v>
      </c>
      <c r="AN241" s="295">
        <f>SUM(AN238:AN240)</f>
        <v>-400</v>
      </c>
      <c r="AO241" s="295">
        <f>SUM(AO238:AO240)</f>
        <v>-550</v>
      </c>
      <c r="AP241" s="295">
        <f t="shared" si="467"/>
        <v>-950</v>
      </c>
      <c r="AQ241" s="295"/>
      <c r="AR241" s="295">
        <f>SUM(AR238:AR240)</f>
        <v>-733</v>
      </c>
      <c r="AS241" s="295">
        <f>SUM(AS238:AS240)</f>
        <v>-865</v>
      </c>
      <c r="AT241" s="295">
        <f t="shared" si="469"/>
        <v>-1598</v>
      </c>
      <c r="AU241" s="295"/>
      <c r="AV241" s="295">
        <f>SUM(AV238:AV240)</f>
        <v>-740</v>
      </c>
      <c r="AW241" s="295">
        <f>SUM(AW238:AW240)</f>
        <v>-774</v>
      </c>
      <c r="AX241" s="295">
        <f t="shared" si="471"/>
        <v>-1514</v>
      </c>
      <c r="AY241" s="295"/>
      <c r="AZ241" s="295">
        <f>SUM(AZ238:AZ240)</f>
        <v>-905.5</v>
      </c>
      <c r="BA241" s="295">
        <f>SUM(BA238:BA240)</f>
        <v>-1058.5</v>
      </c>
      <c r="BB241" s="295">
        <f t="shared" si="473"/>
        <v>-1964</v>
      </c>
      <c r="BC241" s="295"/>
      <c r="BD241" s="295">
        <f>SUM(BD238:BD240)</f>
        <v>-969</v>
      </c>
      <c r="BE241" s="295">
        <f>SUM(BE238:BE240)</f>
        <v>-943.33330000000001</v>
      </c>
      <c r="BF241" s="295">
        <f t="shared" si="475"/>
        <v>-1912.3333</v>
      </c>
      <c r="BG241" s="295"/>
      <c r="BH241" s="295">
        <f>SUM(BH238:BH240)</f>
        <v>-731</v>
      </c>
      <c r="BI241" s="295">
        <f>SUM(BI238:BI240)</f>
        <v>-722</v>
      </c>
      <c r="BJ241" s="295">
        <f t="shared" si="477"/>
        <v>-1453</v>
      </c>
      <c r="BK241" s="487"/>
      <c r="BL241" s="295">
        <f>SUM(BL238:BL240)</f>
        <v>-815</v>
      </c>
      <c r="BM241" s="295">
        <f>SUM(BM238:BM240)</f>
        <v>-899</v>
      </c>
      <c r="BN241" s="295">
        <f t="shared" si="479"/>
        <v>-1714</v>
      </c>
      <c r="BO241" s="487"/>
      <c r="BP241" s="295">
        <f>SUM(BP238:BP240)</f>
        <v>-889</v>
      </c>
      <c r="BQ241" s="295">
        <f>SUM(BQ238:BQ240)</f>
        <v>-961</v>
      </c>
      <c r="BR241" s="295">
        <f t="shared" si="481"/>
        <v>-1850</v>
      </c>
      <c r="BS241" s="672">
        <f>+BR241/BN241-1</f>
        <v>7.9346557759626624E-2</v>
      </c>
      <c r="BT241" s="295">
        <f>SUM(BT238:BT240)</f>
        <v>-1007</v>
      </c>
      <c r="BU241" s="295">
        <f>SUM(BU238:BU240)</f>
        <v>-1064</v>
      </c>
      <c r="BV241" s="295">
        <f t="shared" si="483"/>
        <v>-2071</v>
      </c>
      <c r="BW241" s="672">
        <f>+BV241/BR241-1</f>
        <v>0.11945945945945935</v>
      </c>
      <c r="BX241" s="295">
        <f>SUM(BX238:BX240)</f>
        <v>-994</v>
      </c>
      <c r="BY241" s="295">
        <f>SUM(BY238:BY240)</f>
        <v>-982</v>
      </c>
      <c r="BZ241" s="295">
        <f t="shared" si="484"/>
        <v>-1976</v>
      </c>
      <c r="CA241" s="672">
        <f>+BZ241/BV241-1</f>
        <v>-4.587155963302747E-2</v>
      </c>
      <c r="CB241" s="295">
        <f>SUM(CB238:CB240)</f>
        <v>-943</v>
      </c>
      <c r="CC241" s="295">
        <f>SUM(CC238:CC240)</f>
        <v>-1054</v>
      </c>
      <c r="CD241" s="295">
        <f t="shared" si="485"/>
        <v>-1997</v>
      </c>
      <c r="CE241" s="672">
        <f>+CD241/BZ241-1</f>
        <v>1.0627530364372362E-2</v>
      </c>
      <c r="CF241" s="295">
        <f>SUM(CF238:CF240)</f>
        <v>-1286</v>
      </c>
      <c r="CG241" s="295">
        <f>SUM(CG238:CG240)</f>
        <v>-1403</v>
      </c>
      <c r="CH241" s="295">
        <f t="shared" si="486"/>
        <v>-2689</v>
      </c>
      <c r="CI241" s="672">
        <f>+CH241/CD241-1</f>
        <v>0.34651977966950431</v>
      </c>
      <c r="CJ241" s="295">
        <f>SUM(CJ238:CJ240)</f>
        <v>-1018</v>
      </c>
      <c r="CK241" s="295">
        <f>SUM(CK238:CK240)</f>
        <v>-1084</v>
      </c>
      <c r="CL241" s="295">
        <f t="shared" si="487"/>
        <v>-2102</v>
      </c>
      <c r="CM241" s="672">
        <f>+CL241/CH241-1</f>
        <v>-0.21829676459650427</v>
      </c>
      <c r="CN241" s="1412">
        <f>SUM(CN238:CN240)</f>
        <v>-1048</v>
      </c>
      <c r="CO241" s="1412">
        <f>SUM(CO238:CO240)</f>
        <v>-1029</v>
      </c>
      <c r="CP241" s="1412">
        <f t="shared" si="488"/>
        <v>-2077</v>
      </c>
      <c r="CQ241" s="1420">
        <f>+CP241/CL241-1</f>
        <v>-1.18934348239772E-2</v>
      </c>
      <c r="CR241" s="1412">
        <f>SUM(CR238:CR240)</f>
        <v>-1040</v>
      </c>
      <c r="CS241" s="1390">
        <f>SUM(CS238:CS240)</f>
        <v>-1228</v>
      </c>
      <c r="CT241" s="295">
        <f t="shared" si="489"/>
        <v>-2268</v>
      </c>
      <c r="CU241" s="672">
        <f>+CT241/CP241-1</f>
        <v>9.1959557053442387E-2</v>
      </c>
      <c r="CV241" s="1412">
        <f>SUM(CV238:CV240)</f>
        <v>-1243</v>
      </c>
      <c r="CW241" s="1491">
        <f>SUM(CW238:CW240)</f>
        <v>-1467</v>
      </c>
      <c r="CX241" s="1412">
        <f t="shared" si="491"/>
        <v>-2710</v>
      </c>
      <c r="CY241" s="672">
        <f>+CX241/CT241-1</f>
        <v>0.19488536155202829</v>
      </c>
      <c r="CZ241" s="1412">
        <f>SUM(CZ238:CZ240)</f>
        <v>-1545</v>
      </c>
      <c r="DA241" s="1491">
        <f>SUM(DA238:DA240)</f>
        <v>-1563</v>
      </c>
      <c r="DB241" s="1412">
        <f t="shared" si="493"/>
        <v>-3108</v>
      </c>
      <c r="DC241" s="672">
        <f>+DB241/CX241-1</f>
        <v>0.14686346863468636</v>
      </c>
      <c r="DD241" s="295">
        <f>SUM(DD238:DD240)</f>
        <v>-1578</v>
      </c>
      <c r="DE241" s="1491">
        <f>SUM(DE238:DE240)</f>
        <v>-1612</v>
      </c>
      <c r="DF241" s="1412">
        <f t="shared" si="495"/>
        <v>-3190</v>
      </c>
      <c r="DG241" s="672">
        <f>+DF241/DB241-1</f>
        <v>2.6383526383526368E-2</v>
      </c>
      <c r="DH241" s="295">
        <f>SUM(DH238:DH240)</f>
        <v>-1771</v>
      </c>
      <c r="DI241" s="295">
        <f>SUM(DI238:DI240)</f>
        <v>-1700.6599999999999</v>
      </c>
      <c r="DJ241" s="295">
        <f t="shared" si="497"/>
        <v>-3471.66</v>
      </c>
      <c r="DK241" s="672">
        <f>+DJ241/DF241-1</f>
        <v>8.8294670846394974E-2</v>
      </c>
      <c r="DL241" s="295">
        <f>SUM(DL238:DL240)</f>
        <v>-1691.3049999999998</v>
      </c>
      <c r="DM241" s="295">
        <f>SUM(DM238:DM240)</f>
        <v>-1743.1764999999998</v>
      </c>
      <c r="DN241" s="295">
        <f t="shared" si="499"/>
        <v>-3434.4814999999999</v>
      </c>
      <c r="DO241" s="672">
        <f>+DN241/DJ241-1</f>
        <v>-1.070914202427653E-2</v>
      </c>
      <c r="DP241" s="295">
        <f>SUM(DP238:DP240)</f>
        <v>-1744.1356000000001</v>
      </c>
      <c r="DQ241" s="295">
        <f>SUM(DQ238:DQ240)</f>
        <v>-1797.639951875</v>
      </c>
      <c r="DR241" s="295">
        <f t="shared" si="501"/>
        <v>-3541.775551875</v>
      </c>
      <c r="DS241" s="672">
        <f>+DR241/DN241-1</f>
        <v>3.1240247436185031E-2</v>
      </c>
      <c r="DT241" s="672"/>
      <c r="DU241" s="672"/>
      <c r="DV241" s="672"/>
      <c r="DW241" s="1199"/>
      <c r="DX241" s="295"/>
      <c r="DY241" s="295"/>
      <c r="DZ241" s="295"/>
      <c r="EA241" s="295"/>
      <c r="EB241" s="295"/>
      <c r="EC241" s="295"/>
      <c r="ED241" s="295"/>
      <c r="EE241" s="295"/>
      <c r="EF241" s="295"/>
      <c r="EG241" s="295"/>
      <c r="EH241" s="295"/>
      <c r="EI241" s="295"/>
      <c r="EJ241" s="295"/>
      <c r="EK241" s="295"/>
      <c r="EL241" s="295"/>
      <c r="EM241" s="295"/>
      <c r="EN241" s="295"/>
      <c r="EO241" s="295"/>
      <c r="EP241" s="295"/>
      <c r="EQ241" s="295"/>
      <c r="ER241" s="295"/>
      <c r="ES241" s="295"/>
      <c r="ET241" s="295"/>
      <c r="EU241" s="295"/>
      <c r="EV241" s="327"/>
      <c r="EW241" s="327"/>
      <c r="EX241" s="327"/>
      <c r="EY241" s="327"/>
      <c r="EZ241" s="327"/>
      <c r="FA241" s="327"/>
      <c r="FB241" s="327"/>
      <c r="FC241" s="327"/>
      <c r="FD241" s="327"/>
      <c r="FE241" s="327"/>
      <c r="FF241" s="327"/>
      <c r="FG241" s="327"/>
      <c r="FH241" s="327"/>
      <c r="FI241" s="327"/>
      <c r="FJ241" s="327"/>
      <c r="FK241" s="327"/>
      <c r="FL241" s="327"/>
      <c r="FM241" s="327"/>
      <c r="FN241" s="327"/>
      <c r="FO241" s="327"/>
      <c r="FP241" s="327"/>
      <c r="FQ241" s="327"/>
      <c r="FR241" s="327"/>
      <c r="FS241" s="327"/>
      <c r="FT241" s="327"/>
      <c r="FU241" s="327"/>
      <c r="FV241" s="327"/>
      <c r="FW241" s="327"/>
      <c r="FX241" s="327"/>
      <c r="FY241" s="327"/>
      <c r="FZ241" s="327"/>
      <c r="GA241" s="327"/>
      <c r="GB241" s="327"/>
      <c r="GC241" s="327"/>
      <c r="GD241" s="327"/>
      <c r="GE241" s="327"/>
      <c r="GF241" s="327"/>
      <c r="GG241" s="327"/>
      <c r="GH241" s="327"/>
      <c r="GI241" s="327"/>
      <c r="GJ241" s="327"/>
      <c r="GK241" s="327"/>
      <c r="GL241" s="327"/>
      <c r="GM241" s="327"/>
      <c r="GN241" s="327"/>
      <c r="GO241" s="327"/>
      <c r="GP241" s="327"/>
      <c r="GQ241" s="327"/>
      <c r="GR241" s="327"/>
      <c r="GS241" s="327"/>
      <c r="GT241" s="327"/>
      <c r="GU241" s="327"/>
      <c r="GV241" s="327"/>
      <c r="GW241" s="327"/>
      <c r="GX241" s="327"/>
      <c r="GY241" s="327"/>
      <c r="GZ241" s="327"/>
      <c r="HA241" s="327"/>
      <c r="HB241" s="327"/>
      <c r="HC241" s="327"/>
      <c r="HD241" s="327"/>
      <c r="HE241" s="327"/>
      <c r="HF241" s="327"/>
      <c r="HG241" s="327"/>
      <c r="HH241" s="327"/>
      <c r="HI241" s="327"/>
      <c r="HJ241" s="327"/>
      <c r="HK241" s="327"/>
      <c r="HL241" s="327"/>
      <c r="HM241" s="327"/>
      <c r="HN241" s="327"/>
      <c r="HO241" s="327"/>
      <c r="HP241" s="327"/>
      <c r="HQ241" s="327"/>
      <c r="HR241" s="327"/>
      <c r="HS241" s="327"/>
      <c r="HT241" s="327"/>
      <c r="HU241" s="327"/>
      <c r="HV241" s="327"/>
      <c r="HW241" s="327"/>
      <c r="HX241" s="327"/>
      <c r="HY241" s="327"/>
      <c r="HZ241" s="327"/>
      <c r="IA241" s="327"/>
      <c r="IB241" s="327"/>
      <c r="IC241" s="327"/>
      <c r="ID241" s="327"/>
      <c r="IE241" s="327"/>
      <c r="IF241" s="327"/>
      <c r="IG241" s="327"/>
      <c r="IH241" s="327"/>
      <c r="II241" s="327"/>
      <c r="IJ241" s="327"/>
      <c r="IK241" s="327"/>
      <c r="IL241" s="327"/>
      <c r="IM241" s="327"/>
      <c r="IN241" s="327"/>
      <c r="IO241" s="327"/>
      <c r="IP241" s="327"/>
      <c r="IQ241" s="327"/>
      <c r="IR241" s="327"/>
      <c r="IS241" s="327"/>
      <c r="IT241" s="327"/>
      <c r="IU241" s="327"/>
      <c r="IV241" s="327"/>
      <c r="IW241" s="327"/>
      <c r="IX241" s="327"/>
      <c r="IY241" s="327"/>
      <c r="IZ241" s="327"/>
      <c r="JA241" s="327"/>
      <c r="JB241" s="327"/>
      <c r="JC241" s="327"/>
      <c r="JD241" s="327"/>
      <c r="JE241" s="327"/>
      <c r="JF241" s="327"/>
      <c r="JG241" s="327"/>
      <c r="JH241" s="327"/>
      <c r="JI241" s="327"/>
      <c r="JJ241" s="327"/>
      <c r="JK241" s="327"/>
      <c r="JL241" s="327"/>
      <c r="JM241" s="327"/>
      <c r="JN241" s="327"/>
      <c r="JO241" s="327"/>
      <c r="JP241" s="327"/>
      <c r="JQ241" s="327"/>
      <c r="JR241" s="327"/>
      <c r="JS241" s="327"/>
      <c r="JT241" s="327"/>
      <c r="JU241" s="327"/>
      <c r="JV241" s="327"/>
      <c r="JW241"/>
    </row>
    <row r="242" spans="1:283" s="332" customFormat="1">
      <c r="A242" s="327"/>
      <c r="AN242" s="295"/>
      <c r="AO242" s="295"/>
      <c r="AP242" s="295"/>
      <c r="AQ242" s="295"/>
      <c r="AR242" s="295"/>
      <c r="AS242" s="295"/>
      <c r="AT242" s="295"/>
      <c r="AU242" s="295"/>
      <c r="AV242" s="295"/>
      <c r="AW242" s="295"/>
      <c r="AX242" s="295"/>
      <c r="AY242" s="295"/>
      <c r="AZ242" s="295"/>
      <c r="BA242" s="295"/>
      <c r="BB242" s="295"/>
      <c r="BC242" s="295"/>
      <c r="BD242" s="295"/>
      <c r="BE242" s="295"/>
      <c r="BF242" s="295"/>
      <c r="BG242" s="295"/>
      <c r="BH242" s="295"/>
      <c r="BI242" s="295"/>
      <c r="BJ242" s="295"/>
      <c r="BK242" s="487"/>
      <c r="BL242" s="295"/>
      <c r="BM242" s="295"/>
      <c r="BN242" s="295"/>
      <c r="BO242" s="487"/>
      <c r="BP242" s="295"/>
      <c r="BQ242" s="295"/>
      <c r="BR242" s="295"/>
      <c r="BS242" s="672"/>
      <c r="BT242" s="295"/>
      <c r="BU242" s="295"/>
      <c r="BV242" s="295"/>
      <c r="BW242" s="672"/>
      <c r="BX242" s="295"/>
      <c r="BY242" s="295"/>
      <c r="BZ242" s="295"/>
      <c r="CA242" s="672"/>
      <c r="CB242" s="295"/>
      <c r="CC242" s="295"/>
      <c r="CD242" s="295"/>
      <c r="CE242" s="672"/>
      <c r="CF242" s="295"/>
      <c r="CG242" s="295"/>
      <c r="CH242" s="295"/>
      <c r="CI242" s="672"/>
      <c r="CJ242" s="295"/>
      <c r="CK242" s="295"/>
      <c r="CL242" s="295"/>
      <c r="CM242" s="672"/>
      <c r="CN242" s="1412"/>
      <c r="CO242" s="1412"/>
      <c r="CP242" s="1412"/>
      <c r="CQ242" s="1420"/>
      <c r="CR242" s="1412"/>
      <c r="CS242" s="1390"/>
      <c r="CT242" s="295"/>
      <c r="CU242" s="672"/>
      <c r="CV242" s="1412"/>
      <c r="CW242" s="1491"/>
      <c r="CX242" s="1412"/>
      <c r="CY242" s="672"/>
      <c r="CZ242" s="1412"/>
      <c r="DA242" s="1491"/>
      <c r="DB242" s="1412"/>
      <c r="DC242" s="672"/>
      <c r="DD242" s="295"/>
      <c r="DE242" s="1491"/>
      <c r="DF242" s="1412"/>
      <c r="DG242" s="672"/>
      <c r="DH242" s="295"/>
      <c r="DI242" s="295"/>
      <c r="DJ242" s="295"/>
      <c r="DK242" s="672"/>
      <c r="DL242" s="295"/>
      <c r="DM242" s="295"/>
      <c r="DN242" s="295"/>
      <c r="DO242" s="672"/>
      <c r="DP242" s="295"/>
      <c r="DQ242" s="295"/>
      <c r="DR242" s="295"/>
      <c r="DS242" s="672"/>
      <c r="DT242" s="672"/>
      <c r="DU242" s="672"/>
      <c r="DV242" s="672"/>
      <c r="DW242" s="1199"/>
      <c r="DX242" s="295"/>
      <c r="DY242" s="295"/>
      <c r="DZ242" s="295"/>
      <c r="EA242" s="295"/>
      <c r="EB242" s="295"/>
      <c r="EC242" s="295"/>
      <c r="ED242" s="295"/>
      <c r="EE242" s="295"/>
      <c r="EF242" s="295"/>
      <c r="EG242" s="295"/>
      <c r="EH242" s="295"/>
      <c r="EI242" s="295"/>
      <c r="EJ242" s="295"/>
      <c r="EK242" s="295"/>
      <c r="EL242" s="295"/>
      <c r="EM242" s="295"/>
      <c r="EN242" s="295"/>
      <c r="EO242" s="295"/>
      <c r="EP242" s="295"/>
      <c r="EQ242" s="295"/>
      <c r="ER242" s="295"/>
      <c r="ES242" s="295"/>
      <c r="ET242" s="295"/>
      <c r="EU242" s="295"/>
      <c r="EV242" s="327"/>
      <c r="EW242" s="327"/>
      <c r="EX242" s="327"/>
      <c r="EY242" s="327"/>
      <c r="EZ242" s="327"/>
      <c r="FA242" s="327"/>
      <c r="FB242" s="327"/>
      <c r="FC242" s="327"/>
      <c r="FD242" s="327"/>
      <c r="FE242" s="327"/>
      <c r="FF242" s="327"/>
      <c r="FG242" s="327"/>
      <c r="FH242" s="327"/>
      <c r="FI242" s="327"/>
      <c r="FJ242" s="327"/>
      <c r="FK242" s="327"/>
      <c r="FL242" s="327"/>
      <c r="FM242" s="327"/>
      <c r="FN242" s="327"/>
      <c r="FO242" s="327"/>
      <c r="FP242" s="327"/>
      <c r="FQ242" s="327"/>
      <c r="FR242" s="327"/>
      <c r="FS242" s="327"/>
      <c r="FT242" s="327"/>
      <c r="FU242" s="327"/>
      <c r="FV242" s="327"/>
      <c r="FW242" s="327"/>
      <c r="FX242" s="327"/>
      <c r="FY242" s="327"/>
      <c r="FZ242" s="327"/>
      <c r="GA242" s="327"/>
      <c r="GB242" s="327"/>
      <c r="GC242" s="327"/>
      <c r="GD242" s="327"/>
      <c r="GE242" s="327"/>
      <c r="GF242" s="327"/>
      <c r="GG242" s="327"/>
      <c r="GH242" s="327"/>
      <c r="GI242" s="327"/>
      <c r="GJ242" s="327"/>
      <c r="GK242" s="327"/>
      <c r="GL242" s="327"/>
      <c r="GM242" s="327"/>
      <c r="GN242" s="327"/>
      <c r="GO242" s="327"/>
      <c r="GP242" s="327"/>
      <c r="GQ242" s="327"/>
      <c r="GR242" s="327"/>
      <c r="GS242" s="327"/>
      <c r="GT242" s="327"/>
      <c r="GU242" s="327"/>
      <c r="GV242" s="327"/>
      <c r="GW242" s="327"/>
      <c r="GX242" s="327"/>
      <c r="GY242" s="327"/>
      <c r="GZ242" s="327"/>
      <c r="HA242" s="327"/>
      <c r="HB242" s="327"/>
      <c r="HC242" s="327"/>
      <c r="HD242" s="327"/>
      <c r="HE242" s="327"/>
      <c r="HF242" s="327"/>
      <c r="HG242" s="327"/>
      <c r="HH242" s="327"/>
      <c r="HI242" s="327"/>
      <c r="HJ242" s="327"/>
      <c r="HK242" s="327"/>
      <c r="HL242" s="327"/>
      <c r="HM242" s="327"/>
      <c r="HN242" s="327"/>
      <c r="HO242" s="327"/>
      <c r="HP242" s="327"/>
      <c r="HQ242" s="327"/>
      <c r="HR242" s="327"/>
      <c r="HS242" s="327"/>
      <c r="HT242" s="327"/>
      <c r="HU242" s="327"/>
      <c r="HV242" s="327"/>
      <c r="HW242" s="327"/>
      <c r="HX242" s="327"/>
      <c r="HY242" s="327"/>
      <c r="HZ242" s="327"/>
      <c r="IA242" s="327"/>
      <c r="IB242" s="327"/>
      <c r="IC242" s="327"/>
      <c r="ID242" s="327"/>
      <c r="IE242" s="327"/>
      <c r="IF242" s="327"/>
      <c r="IG242" s="327"/>
      <c r="IH242" s="327"/>
      <c r="II242" s="327"/>
      <c r="IJ242" s="327"/>
      <c r="IK242" s="327"/>
      <c r="IL242" s="327"/>
      <c r="IM242" s="327"/>
      <c r="IN242" s="327"/>
      <c r="IO242" s="327"/>
      <c r="IP242" s="327"/>
      <c r="IQ242" s="327"/>
      <c r="IR242" s="327"/>
      <c r="IS242" s="327"/>
      <c r="IT242" s="327"/>
      <c r="IU242" s="327"/>
      <c r="IV242" s="327"/>
      <c r="IW242" s="327"/>
      <c r="IX242" s="327"/>
      <c r="IY242" s="327"/>
      <c r="IZ242" s="327"/>
      <c r="JA242" s="327"/>
      <c r="JB242" s="327"/>
      <c r="JC242" s="327"/>
      <c r="JD242" s="327"/>
      <c r="JE242" s="327"/>
      <c r="JF242" s="327"/>
      <c r="JG242" s="327"/>
      <c r="JH242" s="327"/>
      <c r="JI242" s="327"/>
      <c r="JJ242" s="327"/>
      <c r="JK242" s="327"/>
      <c r="JL242" s="327"/>
      <c r="JM242" s="327"/>
      <c r="JN242" s="327"/>
      <c r="JO242" s="327"/>
      <c r="JP242" s="327"/>
      <c r="JQ242" s="327"/>
      <c r="JR242" s="327"/>
      <c r="JS242" s="327"/>
      <c r="JT242" s="327"/>
      <c r="JU242" s="327"/>
      <c r="JV242" s="327"/>
      <c r="JW242"/>
    </row>
    <row r="243" spans="1:283" s="332" customFormat="1">
      <c r="A243" s="327" t="s">
        <v>572</v>
      </c>
      <c r="AN243" s="295">
        <f>AN236+AN241</f>
        <v>820</v>
      </c>
      <c r="AO243" s="295">
        <f>AO236+AO241</f>
        <v>584</v>
      </c>
      <c r="AP243" s="295">
        <f t="shared" si="467"/>
        <v>1404</v>
      </c>
      <c r="AQ243" s="295"/>
      <c r="AR243" s="295">
        <f>AR236+AR241</f>
        <v>727</v>
      </c>
      <c r="AS243" s="295">
        <f>AS236+AS241</f>
        <v>56</v>
      </c>
      <c r="AT243" s="295">
        <f t="shared" si="469"/>
        <v>783</v>
      </c>
      <c r="AU243" s="295"/>
      <c r="AV243" s="295">
        <f>AV236+AV241</f>
        <v>687</v>
      </c>
      <c r="AW243" s="295">
        <f>AW236+AW241</f>
        <v>720</v>
      </c>
      <c r="AX243" s="295">
        <f t="shared" si="471"/>
        <v>1407</v>
      </c>
      <c r="AY243" s="295" t="s">
        <v>671</v>
      </c>
      <c r="AZ243" s="295">
        <f>AZ236+AZ241</f>
        <v>265</v>
      </c>
      <c r="BA243" s="295">
        <f>BA236+BA241</f>
        <v>494</v>
      </c>
      <c r="BB243" s="295">
        <f t="shared" si="473"/>
        <v>759</v>
      </c>
      <c r="BC243" s="295"/>
      <c r="BD243" s="295">
        <f>BD236+BD241</f>
        <v>-13.5</v>
      </c>
      <c r="BE243" s="295">
        <f>BE236+BE241</f>
        <v>357.66669999999999</v>
      </c>
      <c r="BF243" s="295">
        <f t="shared" si="475"/>
        <v>344.16669999999999</v>
      </c>
      <c r="BG243" s="295"/>
      <c r="BH243" s="295">
        <f>BH236+BH241</f>
        <v>155</v>
      </c>
      <c r="BI243" s="295">
        <f>BI236+BI241</f>
        <v>358</v>
      </c>
      <c r="BJ243" s="295">
        <f t="shared" si="477"/>
        <v>513</v>
      </c>
      <c r="BK243" s="487"/>
      <c r="BL243" s="295">
        <f>BL236+BL241</f>
        <v>274</v>
      </c>
      <c r="BM243" s="295">
        <f>BM236+BM241</f>
        <v>559</v>
      </c>
      <c r="BN243" s="295">
        <f t="shared" si="479"/>
        <v>833</v>
      </c>
      <c r="BO243" s="487"/>
      <c r="BP243" s="295">
        <f>BP236+BP241</f>
        <v>267</v>
      </c>
      <c r="BQ243" s="295">
        <f>BQ236+BQ241</f>
        <v>632</v>
      </c>
      <c r="BR243" s="295">
        <f t="shared" si="481"/>
        <v>899</v>
      </c>
      <c r="BS243" s="487"/>
      <c r="BT243" s="295">
        <f>BT236+BT241</f>
        <v>522</v>
      </c>
      <c r="BU243" s="295">
        <f>BU236+BU241</f>
        <v>322</v>
      </c>
      <c r="BV243" s="295">
        <f t="shared" si="483"/>
        <v>844</v>
      </c>
      <c r="BW243" s="295"/>
      <c r="BX243" s="295">
        <f>BX236+BX241</f>
        <v>491</v>
      </c>
      <c r="BY243" s="295">
        <f>BY236+BY241</f>
        <v>481</v>
      </c>
      <c r="BZ243" s="295">
        <f t="shared" si="484"/>
        <v>972</v>
      </c>
      <c r="CA243" s="295"/>
      <c r="CB243" s="295">
        <f>CB236+CB241</f>
        <v>378</v>
      </c>
      <c r="CC243" s="295">
        <f>CC236+CC241</f>
        <v>532</v>
      </c>
      <c r="CD243" s="295">
        <f t="shared" si="485"/>
        <v>910</v>
      </c>
      <c r="CE243" s="295"/>
      <c r="CF243" s="295">
        <f>CF236+CF241</f>
        <v>865</v>
      </c>
      <c r="CG243" s="295">
        <f>CG236+CG241</f>
        <v>880</v>
      </c>
      <c r="CH243" s="295">
        <f t="shared" si="486"/>
        <v>1745</v>
      </c>
      <c r="CI243" s="295"/>
      <c r="CJ243" s="295">
        <f>CJ236+CJ241</f>
        <v>1140</v>
      </c>
      <c r="CK243" s="295">
        <f>CK236+CK241</f>
        <v>598</v>
      </c>
      <c r="CL243" s="295">
        <f t="shared" si="487"/>
        <v>1738</v>
      </c>
      <c r="CM243" s="295"/>
      <c r="CN243" s="1412">
        <f>CN236+CN241</f>
        <v>1082</v>
      </c>
      <c r="CO243" s="1412">
        <f>CO236+CO241</f>
        <v>1519</v>
      </c>
      <c r="CP243" s="1412">
        <f t="shared" si="488"/>
        <v>2601</v>
      </c>
      <c r="CQ243" s="1412"/>
      <c r="CR243" s="1412">
        <f>CR236+CR241</f>
        <v>1729</v>
      </c>
      <c r="CS243" s="1390">
        <f>CS236+CS241</f>
        <v>2182</v>
      </c>
      <c r="CT243" s="295">
        <f t="shared" si="489"/>
        <v>3911</v>
      </c>
      <c r="CU243" s="649">
        <f t="shared" si="490"/>
        <v>0.50365244136870424</v>
      </c>
      <c r="CV243" s="1412">
        <f>CV236+CV241</f>
        <v>1996</v>
      </c>
      <c r="CW243" s="1491">
        <f>CW236+CW241</f>
        <v>4011</v>
      </c>
      <c r="CX243" s="1412">
        <f t="shared" si="491"/>
        <v>6007</v>
      </c>
      <c r="CY243" s="649">
        <f t="shared" si="492"/>
        <v>0.53592431603170554</v>
      </c>
      <c r="CZ243" s="1412">
        <f>CZ236+CZ241</f>
        <v>1384</v>
      </c>
      <c r="DA243" s="1491">
        <f>DA236+DA241</f>
        <v>1830</v>
      </c>
      <c r="DB243" s="1412">
        <f t="shared" si="493"/>
        <v>3214</v>
      </c>
      <c r="DC243" s="649">
        <f t="shared" ref="DC243" si="508">+DB243/CX243-1</f>
        <v>-0.46495754952555357</v>
      </c>
      <c r="DD243" s="295">
        <f>DD236+DD241</f>
        <v>1316</v>
      </c>
      <c r="DE243" s="1491">
        <f>DE236+DE241</f>
        <v>1512</v>
      </c>
      <c r="DF243" s="1412">
        <f t="shared" ref="DF243:DF245" si="509">DD243+DE243</f>
        <v>2828</v>
      </c>
      <c r="DG243" s="295"/>
      <c r="DH243" s="295">
        <f>DH236+DH241</f>
        <v>1112</v>
      </c>
      <c r="DI243" s="295">
        <f>DI236+DI241</f>
        <v>1895.3300000000004</v>
      </c>
      <c r="DJ243" s="295">
        <f t="shared" si="497"/>
        <v>3007.3300000000004</v>
      </c>
      <c r="DK243" s="295"/>
      <c r="DL243" s="295">
        <f>DL236+DL241</f>
        <v>1269.3977</v>
      </c>
      <c r="DM243" s="295">
        <f>DM236+DM241</f>
        <v>1934.0567870000007</v>
      </c>
      <c r="DN243" s="295">
        <f t="shared" si="499"/>
        <v>3203.4544870000009</v>
      </c>
      <c r="DO243" s="295"/>
      <c r="DP243" s="295">
        <f>DP236+DP241</f>
        <v>1287.3072414099997</v>
      </c>
      <c r="DQ243" s="295">
        <f>DQ236+DQ241</f>
        <v>1974.7411211125</v>
      </c>
      <c r="DR243" s="295">
        <f t="shared" ref="DR243:DR245" si="510">DP243+DQ243</f>
        <v>3262.0483625224997</v>
      </c>
      <c r="DS243" s="295"/>
      <c r="DT243" s="295"/>
      <c r="DU243" s="295"/>
      <c r="DV243" s="295"/>
      <c r="DW243" s="1199"/>
      <c r="DX243" s="295"/>
      <c r="DY243" s="295"/>
      <c r="DZ243" s="295"/>
      <c r="EA243" s="295"/>
      <c r="EB243" s="295"/>
      <c r="EC243" s="295"/>
      <c r="ED243" s="295"/>
      <c r="EE243" s="295"/>
      <c r="EF243" s="295"/>
      <c r="EG243" s="295"/>
      <c r="EH243" s="295"/>
      <c r="EI243" s="295"/>
      <c r="EJ243" s="295"/>
      <c r="EK243" s="295"/>
      <c r="EL243" s="295"/>
      <c r="EM243" s="295"/>
      <c r="EN243" s="295"/>
      <c r="EO243" s="295"/>
      <c r="EP243" s="295"/>
      <c r="EQ243" s="295"/>
      <c r="ER243" s="295"/>
      <c r="ES243" s="295"/>
      <c r="ET243" s="295"/>
      <c r="EU243" s="295"/>
      <c r="EV243" s="327"/>
      <c r="EW243" s="327"/>
      <c r="EX243" s="327"/>
      <c r="EY243" s="327"/>
      <c r="EZ243" s="327"/>
      <c r="FA243" s="327"/>
      <c r="FB243" s="327"/>
      <c r="FC243" s="327"/>
      <c r="FD243" s="327"/>
      <c r="FE243" s="327"/>
      <c r="FF243" s="327"/>
      <c r="FG243" s="327"/>
      <c r="FH243" s="327"/>
      <c r="FI243" s="327"/>
      <c r="FJ243" s="327"/>
      <c r="FK243" s="327"/>
      <c r="FL243" s="327"/>
      <c r="FM243" s="327"/>
      <c r="FN243" s="327"/>
      <c r="FO243" s="327"/>
      <c r="FP243" s="327"/>
      <c r="FQ243" s="327"/>
      <c r="FR243" s="327"/>
      <c r="FS243" s="327"/>
      <c r="FT243" s="327"/>
      <c r="FU243" s="327"/>
      <c r="FV243" s="327"/>
      <c r="FW243" s="327"/>
      <c r="FX243" s="327"/>
      <c r="FY243" s="327"/>
      <c r="FZ243" s="327"/>
      <c r="GA243" s="327"/>
      <c r="GB243" s="327"/>
      <c r="GC243" s="327"/>
      <c r="GD243" s="327"/>
      <c r="GE243" s="327"/>
      <c r="GF243" s="327"/>
      <c r="GG243" s="327"/>
      <c r="GH243" s="327"/>
      <c r="GI243" s="327"/>
      <c r="GJ243" s="327"/>
      <c r="GK243" s="327"/>
      <c r="GL243" s="327"/>
      <c r="GM243" s="327"/>
      <c r="GN243" s="327"/>
      <c r="GO243" s="327"/>
      <c r="GP243" s="327"/>
      <c r="GQ243" s="327"/>
      <c r="GR243" s="327"/>
      <c r="GS243" s="327"/>
      <c r="GT243" s="327"/>
      <c r="GU243" s="327"/>
      <c r="GV243" s="327"/>
      <c r="GW243" s="327"/>
      <c r="GX243" s="327"/>
      <c r="GY243" s="327"/>
      <c r="GZ243" s="327"/>
      <c r="HA243" s="327"/>
      <c r="HB243" s="327"/>
      <c r="HC243" s="327"/>
      <c r="HD243" s="327"/>
      <c r="HE243" s="327"/>
      <c r="HF243" s="327"/>
      <c r="HG243" s="327"/>
      <c r="HH243" s="327"/>
      <c r="HI243" s="327"/>
      <c r="HJ243" s="327"/>
      <c r="HK243" s="327"/>
      <c r="HL243" s="327"/>
      <c r="HM243" s="327"/>
      <c r="HN243" s="327"/>
      <c r="HO243" s="327"/>
      <c r="HP243" s="327"/>
      <c r="HQ243" s="327"/>
      <c r="HR243" s="327"/>
      <c r="HS243" s="327"/>
      <c r="HT243" s="327"/>
      <c r="HU243" s="327"/>
      <c r="HV243" s="327"/>
      <c r="HW243" s="327"/>
      <c r="HX243" s="327"/>
      <c r="HY243" s="327"/>
      <c r="HZ243" s="327"/>
      <c r="IA243" s="327"/>
      <c r="IB243" s="327"/>
      <c r="IC243" s="327"/>
      <c r="ID243" s="327"/>
      <c r="IE243" s="327"/>
      <c r="IF243" s="327"/>
      <c r="IG243" s="327"/>
      <c r="IH243" s="327"/>
      <c r="II243" s="327"/>
      <c r="IJ243" s="327"/>
      <c r="IK243" s="327"/>
      <c r="IL243" s="327"/>
      <c r="IM243" s="327"/>
      <c r="IN243" s="327"/>
      <c r="IO243" s="327"/>
      <c r="IP243" s="327"/>
      <c r="IQ243" s="327"/>
      <c r="IR243" s="327"/>
      <c r="IS243" s="327"/>
      <c r="IT243" s="327"/>
      <c r="IU243" s="327"/>
      <c r="IV243" s="327"/>
      <c r="IW243" s="327"/>
      <c r="IX243" s="327"/>
      <c r="IY243" s="327"/>
      <c r="IZ243" s="327"/>
      <c r="JA243" s="327"/>
      <c r="JB243" s="327"/>
      <c r="JC243" s="327"/>
      <c r="JD243" s="327"/>
      <c r="JE243" s="327"/>
      <c r="JF243" s="327"/>
      <c r="JG243" s="327"/>
      <c r="JH243" s="327"/>
      <c r="JI243" s="327"/>
      <c r="JJ243" s="327"/>
      <c r="JK243" s="327"/>
      <c r="JL243" s="327"/>
      <c r="JM243" s="327"/>
      <c r="JN243" s="327"/>
      <c r="JO243" s="327"/>
      <c r="JP243" s="327"/>
      <c r="JQ243" s="327"/>
      <c r="JR243" s="327"/>
      <c r="JS243" s="327"/>
      <c r="JT243" s="327"/>
      <c r="JU243" s="327"/>
      <c r="JV243" s="327"/>
      <c r="JW243"/>
    </row>
    <row r="244" spans="1:283" s="332" customFormat="1">
      <c r="A244" s="332" t="s">
        <v>664</v>
      </c>
      <c r="AN244" s="626">
        <f>AN810+AN889</f>
        <v>0</v>
      </c>
      <c r="AO244" s="626">
        <f>AO810+AO889</f>
        <v>0</v>
      </c>
      <c r="AP244" s="293">
        <f t="shared" si="467"/>
        <v>0</v>
      </c>
      <c r="AQ244" s="293"/>
      <c r="AR244" s="626">
        <f>AR810+AR889</f>
        <v>0</v>
      </c>
      <c r="AS244" s="626">
        <f>AS810+AS889</f>
        <v>0</v>
      </c>
      <c r="AT244" s="293">
        <f t="shared" si="469"/>
        <v>0</v>
      </c>
      <c r="AU244" s="293"/>
      <c r="AV244" s="626">
        <f>AV810+AV889</f>
        <v>0</v>
      </c>
      <c r="AW244" s="626">
        <f>AW810+AW889</f>
        <v>0</v>
      </c>
      <c r="AX244" s="293">
        <f t="shared" si="471"/>
        <v>0</v>
      </c>
      <c r="AY244" s="293"/>
      <c r="AZ244" s="626">
        <f>AZ810+AZ889</f>
        <v>0</v>
      </c>
      <c r="BA244" s="626">
        <f>BA810+BA889</f>
        <v>0</v>
      </c>
      <c r="BB244" s="293">
        <f t="shared" si="473"/>
        <v>0</v>
      </c>
      <c r="BC244" s="293"/>
      <c r="BD244" s="626">
        <f>BD810+BD889</f>
        <v>0</v>
      </c>
      <c r="BE244" s="626">
        <f>BE810+BE889</f>
        <v>0</v>
      </c>
      <c r="BF244" s="293">
        <f t="shared" si="475"/>
        <v>0</v>
      </c>
      <c r="BG244" s="293"/>
      <c r="BH244" s="626">
        <f>BH810+BH889</f>
        <v>0</v>
      </c>
      <c r="BI244" s="626">
        <f>BI810+BI889</f>
        <v>0</v>
      </c>
      <c r="BJ244" s="293">
        <f t="shared" si="477"/>
        <v>0</v>
      </c>
      <c r="BK244" s="487"/>
      <c r="BL244" s="626">
        <f>BL810+BL889</f>
        <v>0</v>
      </c>
      <c r="BM244" s="626">
        <f>BM810+BM889</f>
        <v>0</v>
      </c>
      <c r="BN244" s="293">
        <f t="shared" si="479"/>
        <v>0</v>
      </c>
      <c r="BO244" s="487"/>
      <c r="BP244" s="626">
        <f>BP810+BP889</f>
        <v>0</v>
      </c>
      <c r="BQ244" s="626">
        <f>BQ810+BQ889</f>
        <v>0</v>
      </c>
      <c r="BR244" s="293">
        <f t="shared" si="481"/>
        <v>0</v>
      </c>
      <c r="BS244" s="487"/>
      <c r="BT244" s="626">
        <f>BT810+BT889</f>
        <v>0</v>
      </c>
      <c r="BU244" s="626">
        <f>BU810+BU889</f>
        <v>0</v>
      </c>
      <c r="BV244" s="293">
        <f t="shared" si="483"/>
        <v>0</v>
      </c>
      <c r="BW244" s="293"/>
      <c r="BX244" s="626">
        <v>-1</v>
      </c>
      <c r="BY244" s="626">
        <v>0</v>
      </c>
      <c r="BZ244" s="293">
        <f t="shared" si="484"/>
        <v>-1</v>
      </c>
      <c r="CA244" s="293"/>
      <c r="CB244" s="626">
        <v>0</v>
      </c>
      <c r="CC244" s="626">
        <v>0</v>
      </c>
      <c r="CD244" s="293">
        <f t="shared" si="485"/>
        <v>0</v>
      </c>
      <c r="CE244" s="293"/>
      <c r="CF244" s="626">
        <v>-1</v>
      </c>
      <c r="CG244" s="626">
        <v>-1</v>
      </c>
      <c r="CH244" s="293">
        <f t="shared" si="486"/>
        <v>-2</v>
      </c>
      <c r="CI244" s="293"/>
      <c r="CJ244" s="626">
        <v>0</v>
      </c>
      <c r="CK244" s="626">
        <v>0</v>
      </c>
      <c r="CL244" s="293">
        <f t="shared" si="487"/>
        <v>0</v>
      </c>
      <c r="CM244" s="293"/>
      <c r="CN244" s="1388">
        <v>0</v>
      </c>
      <c r="CO244" s="1388">
        <v>0</v>
      </c>
      <c r="CP244" s="1010">
        <f t="shared" si="488"/>
        <v>0</v>
      </c>
      <c r="CQ244" s="1010"/>
      <c r="CR244" s="1388">
        <v>0</v>
      </c>
      <c r="CS244" s="1497">
        <v>0</v>
      </c>
      <c r="CT244" s="293">
        <f t="shared" si="489"/>
        <v>0</v>
      </c>
      <c r="CU244" s="293"/>
      <c r="CV244" s="1388">
        <v>0</v>
      </c>
      <c r="CW244" s="1488">
        <v>0</v>
      </c>
      <c r="CX244" s="1010">
        <f t="shared" si="491"/>
        <v>0</v>
      </c>
      <c r="CY244" s="1010"/>
      <c r="CZ244" s="1863">
        <v>-1</v>
      </c>
      <c r="DA244" s="1488">
        <v>0</v>
      </c>
      <c r="DB244" s="1010">
        <f t="shared" si="493"/>
        <v>-1</v>
      </c>
      <c r="DC244" s="1010"/>
      <c r="DD244" s="2107">
        <v>0</v>
      </c>
      <c r="DE244" s="2176">
        <v>1</v>
      </c>
      <c r="DF244" s="1010">
        <f t="shared" si="509"/>
        <v>1</v>
      </c>
      <c r="DG244" s="293"/>
      <c r="DH244" s="2107">
        <v>1</v>
      </c>
      <c r="DI244" s="841">
        <f>'P&amp;L'!DI1203</f>
        <v>0</v>
      </c>
      <c r="DJ244" s="293">
        <f t="shared" si="497"/>
        <v>1</v>
      </c>
      <c r="DK244" s="293"/>
      <c r="DL244" s="841">
        <f>'P&amp;L'!DL1203</f>
        <v>0</v>
      </c>
      <c r="DM244" s="841">
        <f>'P&amp;L'!DM1203</f>
        <v>0</v>
      </c>
      <c r="DN244" s="293">
        <f t="shared" si="499"/>
        <v>0</v>
      </c>
      <c r="DO244" s="293"/>
      <c r="DP244" s="841">
        <f>'P&amp;L'!DP1203</f>
        <v>0</v>
      </c>
      <c r="DQ244" s="841">
        <f>'P&amp;L'!DQ1203</f>
        <v>0</v>
      </c>
      <c r="DR244" s="293">
        <f t="shared" si="510"/>
        <v>0</v>
      </c>
      <c r="DS244" s="293"/>
      <c r="DT244" s="293"/>
      <c r="DU244" s="293"/>
      <c r="DV244" s="293"/>
      <c r="DW244" s="1198" t="s">
        <v>174</v>
      </c>
      <c r="DX244" s="293"/>
      <c r="DY244" s="293"/>
      <c r="DZ244" s="293"/>
      <c r="EA244" s="293"/>
      <c r="EB244" s="293"/>
      <c r="EC244" s="293"/>
      <c r="ED244" s="293"/>
      <c r="EE244" s="293"/>
      <c r="EF244" s="293"/>
      <c r="EG244" s="293"/>
      <c r="EH244" s="293"/>
      <c r="EI244" s="293"/>
      <c r="EJ244" s="293"/>
      <c r="EK244" s="293"/>
      <c r="EL244" s="293"/>
      <c r="EM244" s="293"/>
      <c r="EN244" s="293"/>
      <c r="EO244" s="293"/>
      <c r="EP244" s="293"/>
      <c r="EQ244" s="293"/>
      <c r="ER244" s="293"/>
      <c r="ES244" s="293"/>
      <c r="ET244" s="293"/>
      <c r="EU244" s="293"/>
      <c r="JW244"/>
    </row>
    <row r="245" spans="1:283" s="1203" customFormat="1">
      <c r="A245" s="1203" t="s">
        <v>653</v>
      </c>
      <c r="AN245" s="695">
        <f>SUM(AN243:AN244)</f>
        <v>820</v>
      </c>
      <c r="AO245" s="695">
        <f>SUM(AO243:AO244)</f>
        <v>584</v>
      </c>
      <c r="AP245" s="695">
        <f t="shared" si="467"/>
        <v>1404</v>
      </c>
      <c r="AQ245" s="695"/>
      <c r="AR245" s="695">
        <f>SUM(AR243:AR244)</f>
        <v>727</v>
      </c>
      <c r="AS245" s="695">
        <f>SUM(AS243:AS244)</f>
        <v>56</v>
      </c>
      <c r="AT245" s="695">
        <f t="shared" si="469"/>
        <v>783</v>
      </c>
      <c r="AU245" s="695"/>
      <c r="AV245" s="695">
        <f>SUM(AV243:AV244)</f>
        <v>687</v>
      </c>
      <c r="AW245" s="695">
        <f>SUM(AW243:AW244)</f>
        <v>720</v>
      </c>
      <c r="AX245" s="695">
        <f t="shared" si="471"/>
        <v>1407</v>
      </c>
      <c r="AY245" s="1226">
        <f>+AX245/AT245-1</f>
        <v>0.7969348659003832</v>
      </c>
      <c r="AZ245" s="695">
        <f>SUM(AZ243:AZ244)</f>
        <v>265</v>
      </c>
      <c r="BA245" s="695">
        <f>SUM(BA243:BA244)</f>
        <v>494</v>
      </c>
      <c r="BB245" s="695">
        <f t="shared" si="473"/>
        <v>759</v>
      </c>
      <c r="BC245" s="1226">
        <f>+BB245/AX245-1</f>
        <v>-0.46055437100213215</v>
      </c>
      <c r="BD245" s="695">
        <f>SUM(BD243:BD244)</f>
        <v>-13.5</v>
      </c>
      <c r="BE245" s="695">
        <f>SUM(BE243:BE244)</f>
        <v>357.66669999999999</v>
      </c>
      <c r="BF245" s="695">
        <f t="shared" si="475"/>
        <v>344.16669999999999</v>
      </c>
      <c r="BG245" s="1226">
        <f>+BF245/BB245-1</f>
        <v>-0.5465524374176548</v>
      </c>
      <c r="BH245" s="695">
        <f>SUM(BH243:BH244)</f>
        <v>155</v>
      </c>
      <c r="BI245" s="695">
        <f>SUM(BI243:BI244)</f>
        <v>358</v>
      </c>
      <c r="BJ245" s="695">
        <f t="shared" si="477"/>
        <v>513</v>
      </c>
      <c r="BK245" s="1226">
        <f>+BJ245/BF245-1</f>
        <v>0.4905567563625417</v>
      </c>
      <c r="BL245" s="695">
        <f>SUM(BL243:BL244)</f>
        <v>274</v>
      </c>
      <c r="BM245" s="695">
        <f>SUM(BM243:BM244)</f>
        <v>559</v>
      </c>
      <c r="BN245" s="695">
        <f t="shared" si="479"/>
        <v>833</v>
      </c>
      <c r="BO245" s="1226">
        <f>+BN245/BJ245-1</f>
        <v>0.62378167641325533</v>
      </c>
      <c r="BP245" s="695">
        <f>SUM(BP243:BP244)</f>
        <v>267</v>
      </c>
      <c r="BQ245" s="695">
        <f>SUM(BQ243:BQ244)</f>
        <v>632</v>
      </c>
      <c r="BR245" s="695">
        <f t="shared" si="481"/>
        <v>899</v>
      </c>
      <c r="BS245" s="1226">
        <f>+BR245/BN245-1</f>
        <v>7.9231692677070864E-2</v>
      </c>
      <c r="BT245" s="695">
        <f>SUM(BT243:BT244)</f>
        <v>522</v>
      </c>
      <c r="BU245" s="695">
        <f>SUM(BU243:BU244)</f>
        <v>322</v>
      </c>
      <c r="BV245" s="695">
        <f t="shared" si="483"/>
        <v>844</v>
      </c>
      <c r="BW245" s="1226">
        <f>+BV245/BR245-1</f>
        <v>-6.1179087875417149E-2</v>
      </c>
      <c r="BX245" s="695">
        <f>SUM(BX243:BX244)</f>
        <v>490</v>
      </c>
      <c r="BY245" s="695">
        <f>SUM(BY243:BY244)</f>
        <v>481</v>
      </c>
      <c r="BZ245" s="695">
        <f t="shared" si="484"/>
        <v>971</v>
      </c>
      <c r="CA245" s="1218">
        <f>+BZ245/BV245-1</f>
        <v>0.15047393364928907</v>
      </c>
      <c r="CB245" s="695">
        <f>SUM(CB243:CB244)</f>
        <v>378</v>
      </c>
      <c r="CC245" s="695">
        <f>SUM(CC243:CC244)</f>
        <v>532</v>
      </c>
      <c r="CD245" s="695">
        <f t="shared" si="485"/>
        <v>910</v>
      </c>
      <c r="CE245" s="1218">
        <f>+CD245/BZ245-1</f>
        <v>-6.2821833161688989E-2</v>
      </c>
      <c r="CF245" s="695">
        <f>SUM(CF243:CF244)</f>
        <v>864</v>
      </c>
      <c r="CG245" s="695">
        <f>SUM(CG243:CG244)</f>
        <v>879</v>
      </c>
      <c r="CH245" s="695">
        <f t="shared" si="486"/>
        <v>1743</v>
      </c>
      <c r="CI245" s="1218">
        <f>+CH245/CD245-1</f>
        <v>0.91538461538461546</v>
      </c>
      <c r="CJ245" s="695">
        <f>SUM(CJ243:CJ244)</f>
        <v>1140</v>
      </c>
      <c r="CK245" s="695">
        <f>SUM(CK243:CK244)</f>
        <v>598</v>
      </c>
      <c r="CL245" s="695">
        <f t="shared" si="487"/>
        <v>1738</v>
      </c>
      <c r="CM245" s="1226">
        <f>+CL245/CH245-1</f>
        <v>-2.8686173264486081E-3</v>
      </c>
      <c r="CN245" s="695">
        <f>SUM(CN243:CN244)</f>
        <v>1082</v>
      </c>
      <c r="CO245" s="695">
        <f>SUM(CO243:CO244)</f>
        <v>1519</v>
      </c>
      <c r="CP245" s="695">
        <f t="shared" si="488"/>
        <v>2601</v>
      </c>
      <c r="CQ245" s="1226">
        <f>+CP245/CL245-1</f>
        <v>0.49654775604142687</v>
      </c>
      <c r="CR245" s="695">
        <f>SUM(CR243:CR244)</f>
        <v>1729</v>
      </c>
      <c r="CS245" s="695">
        <f>SUM(CS243:CS244)</f>
        <v>2182</v>
      </c>
      <c r="CT245" s="695">
        <f t="shared" si="489"/>
        <v>3911</v>
      </c>
      <c r="CU245" s="1226">
        <f>+CT245/CP245-1</f>
        <v>0.50365244136870424</v>
      </c>
      <c r="CV245" s="695">
        <f>SUM(CV243:CV244)</f>
        <v>1996</v>
      </c>
      <c r="CW245" s="695">
        <f>SUM(CW243:CW244)</f>
        <v>4011</v>
      </c>
      <c r="CX245" s="695">
        <f t="shared" si="491"/>
        <v>6007</v>
      </c>
      <c r="CY245" s="1226">
        <f>+CX245/CT245-1</f>
        <v>0.53592431603170554</v>
      </c>
      <c r="CZ245" s="695">
        <f>SUM(CZ243:CZ244)</f>
        <v>1383</v>
      </c>
      <c r="DA245" s="695">
        <f>SUM(DA243:DA244)</f>
        <v>1830</v>
      </c>
      <c r="DB245" s="695">
        <f t="shared" si="493"/>
        <v>3213</v>
      </c>
      <c r="DC245" s="1226">
        <f>+DB245/CX245-1</f>
        <v>-0.4651240219743632</v>
      </c>
      <c r="DD245" s="695">
        <f>SUM(DD243:DD244)</f>
        <v>1316</v>
      </c>
      <c r="DE245" s="695">
        <f>SUM(DE243:DE244)</f>
        <v>1513</v>
      </c>
      <c r="DF245" s="695">
        <f t="shared" si="509"/>
        <v>2829</v>
      </c>
      <c r="DG245" s="1226">
        <f>+DF245/DB245-1</f>
        <v>-0.11951447245564895</v>
      </c>
      <c r="DH245" s="695">
        <f>SUM(DH243:DH244)</f>
        <v>1113</v>
      </c>
      <c r="DI245" s="695">
        <f>SUM(DI243:DI244)</f>
        <v>1895.3300000000004</v>
      </c>
      <c r="DJ245" s="695">
        <f t="shared" si="497"/>
        <v>3008.3300000000004</v>
      </c>
      <c r="DK245" s="1226">
        <f>+DJ245/DF245-1</f>
        <v>6.338989042064358E-2</v>
      </c>
      <c r="DL245" s="695">
        <f>SUM(DL243:DL244)</f>
        <v>1269.3977</v>
      </c>
      <c r="DM245" s="695">
        <f>SUM(DM243:DM244)</f>
        <v>1934.0567870000007</v>
      </c>
      <c r="DN245" s="695">
        <f t="shared" si="499"/>
        <v>3203.4544870000009</v>
      </c>
      <c r="DO245" s="1226">
        <f>+DN245/DJ245-1</f>
        <v>6.4861397187143899E-2</v>
      </c>
      <c r="DP245" s="695">
        <f>SUM(DP243:DP244)</f>
        <v>1287.3072414099997</v>
      </c>
      <c r="DQ245" s="695">
        <f>SUM(DQ243:DQ244)</f>
        <v>1974.7411211125</v>
      </c>
      <c r="DR245" s="695">
        <f t="shared" si="510"/>
        <v>3262.0483625224997</v>
      </c>
      <c r="DS245" s="1226">
        <f>+DR245/DN245-1</f>
        <v>1.8290840641026707E-2</v>
      </c>
      <c r="DT245" s="1226"/>
      <c r="DU245" s="1226"/>
      <c r="DV245" s="1226"/>
      <c r="DW245" s="1205"/>
      <c r="DX245" s="695"/>
      <c r="DY245" s="695"/>
      <c r="DZ245" s="695"/>
      <c r="EA245" s="695"/>
      <c r="EB245" s="695"/>
      <c r="EC245" s="695"/>
      <c r="ED245" s="695"/>
      <c r="EE245" s="695"/>
      <c r="EF245" s="695"/>
      <c r="EG245" s="695"/>
      <c r="EH245" s="695"/>
      <c r="EI245" s="695"/>
      <c r="EJ245" s="695"/>
      <c r="EK245" s="695"/>
      <c r="EL245" s="695"/>
      <c r="EM245" s="695"/>
      <c r="EN245" s="695"/>
      <c r="EO245" s="695"/>
      <c r="EP245" s="695"/>
      <c r="EQ245" s="695"/>
      <c r="ER245" s="695"/>
      <c r="ES245" s="695"/>
      <c r="ET245" s="695"/>
      <c r="EU245" s="695"/>
      <c r="JW245"/>
    </row>
    <row r="246" spans="1:283" s="327" customFormat="1">
      <c r="A246" s="327" t="s">
        <v>844</v>
      </c>
      <c r="AN246" s="295"/>
      <c r="AO246" s="295"/>
      <c r="AP246" s="295"/>
      <c r="AQ246" s="295"/>
      <c r="AR246" s="295">
        <f>AR245-AR234</f>
        <v>676</v>
      </c>
      <c r="AS246" s="295">
        <f>AS245-AS234</f>
        <v>297</v>
      </c>
      <c r="AT246" s="295">
        <f>AT245-AT234</f>
        <v>973</v>
      </c>
      <c r="AU246" s="295"/>
      <c r="AV246" s="295">
        <f>AV245-AV234</f>
        <v>699</v>
      </c>
      <c r="AW246" s="295">
        <f>AW245-AW234</f>
        <v>671</v>
      </c>
      <c r="AX246" s="295">
        <f>AX245-AX234</f>
        <v>1370</v>
      </c>
      <c r="AY246" s="1227">
        <f>+AX246/AT246-1</f>
        <v>0.40801644398766701</v>
      </c>
      <c r="AZ246" s="295">
        <f>AZ245-AZ234</f>
        <v>161</v>
      </c>
      <c r="BA246" s="295">
        <f>BA245-BA234</f>
        <v>337</v>
      </c>
      <c r="BB246" s="295">
        <f>BB245-BB234</f>
        <v>498</v>
      </c>
      <c r="BC246" s="1227">
        <f>+BB246/AX246-1</f>
        <v>-0.63649635036496344</v>
      </c>
      <c r="BD246" s="295">
        <f>BD245-BD234</f>
        <v>-44.5</v>
      </c>
      <c r="BE246" s="295">
        <f>BE245-BE234</f>
        <v>91.666699999999992</v>
      </c>
      <c r="BF246" s="295">
        <f>BF245-BF234</f>
        <v>47.166699999999992</v>
      </c>
      <c r="BG246" s="1227">
        <f>+BF246/BB246-1</f>
        <v>-0.90528775100401604</v>
      </c>
      <c r="BH246" s="295">
        <f>BH245-BH234</f>
        <v>214</v>
      </c>
      <c r="BI246" s="295">
        <f>BI245-BI234</f>
        <v>363</v>
      </c>
      <c r="BJ246" s="295">
        <f>BJ245-BJ234</f>
        <v>577</v>
      </c>
      <c r="BK246" s="1227">
        <f>+BJ246/BF246-1</f>
        <v>11.23320690232728</v>
      </c>
      <c r="BL246" s="295">
        <f>BL245-BL234</f>
        <v>342</v>
      </c>
      <c r="BM246" s="295">
        <f>BM245-BM234</f>
        <v>570</v>
      </c>
      <c r="BN246" s="295">
        <f>BN245-BN234</f>
        <v>912</v>
      </c>
      <c r="BO246" s="1227">
        <f>+BN246/BJ246-1</f>
        <v>0.58058925476603118</v>
      </c>
      <c r="BP246" s="295">
        <f>BP245-BP234</f>
        <v>307</v>
      </c>
      <c r="BQ246" s="295">
        <f>BQ245-BQ234</f>
        <v>874</v>
      </c>
      <c r="BR246" s="295">
        <f>BR245-BR234</f>
        <v>1181</v>
      </c>
      <c r="BS246" s="1227">
        <f>+BR246/BN246-1</f>
        <v>0.29495614035087714</v>
      </c>
      <c r="BT246" s="295">
        <f>BT245-BT234</f>
        <v>672</v>
      </c>
      <c r="BU246" s="295">
        <f>BU245-BU234</f>
        <v>462</v>
      </c>
      <c r="BV246" s="295">
        <f>BV245-BV234</f>
        <v>1134</v>
      </c>
      <c r="BW246" s="1227">
        <f>+BV246/BR246-1</f>
        <v>-3.9796782387806928E-2</v>
      </c>
      <c r="BX246" s="295">
        <f>BX245-BX234</f>
        <v>385</v>
      </c>
      <c r="BY246" s="295">
        <f>BY245-BY234</f>
        <v>554</v>
      </c>
      <c r="BZ246" s="295">
        <f>BZ245-BZ234</f>
        <v>939</v>
      </c>
      <c r="CA246" s="1227">
        <f>+BZ246/BV246-1</f>
        <v>-0.17195767195767198</v>
      </c>
      <c r="CB246" s="295">
        <f>CB245-CB234</f>
        <v>412</v>
      </c>
      <c r="CC246" s="295">
        <f>CC245-CC234</f>
        <v>477</v>
      </c>
      <c r="CD246" s="295">
        <f>CD245-CD234</f>
        <v>889</v>
      </c>
      <c r="CE246" s="1227">
        <f>+CD246/BZ246-1</f>
        <v>-5.3248136315228956E-2</v>
      </c>
      <c r="CF246" s="295">
        <f>CF245-CF234</f>
        <v>696</v>
      </c>
      <c r="CG246" s="295">
        <f>CG245-CG234</f>
        <v>791</v>
      </c>
      <c r="CH246" s="295">
        <f>CH245-CH234</f>
        <v>1487</v>
      </c>
      <c r="CI246" s="1227">
        <f>+CH246/CD246-1</f>
        <v>0.67266591676040499</v>
      </c>
      <c r="CJ246" s="295">
        <f>CJ245-CJ234</f>
        <v>966</v>
      </c>
      <c r="CK246" s="295">
        <f>CK245-CK234</f>
        <v>558</v>
      </c>
      <c r="CL246" s="295">
        <f>CL245-CL234</f>
        <v>1524</v>
      </c>
      <c r="CM246" s="1227">
        <f>+CL246/CH246-1</f>
        <v>2.4882313382649679E-2</v>
      </c>
      <c r="CN246" s="295">
        <f>CN245-CN234</f>
        <v>960</v>
      </c>
      <c r="CO246" s="295">
        <f>CO245-CO234</f>
        <v>1342</v>
      </c>
      <c r="CP246" s="295">
        <f>CP245-CP234</f>
        <v>2302</v>
      </c>
      <c r="CQ246" s="1227">
        <f>+CP246/CL246-1</f>
        <v>0.51049868766404205</v>
      </c>
      <c r="CR246" s="295">
        <f>CR245-CR234</f>
        <v>1115</v>
      </c>
      <c r="CS246" s="295">
        <f>CS245-CS234</f>
        <v>1901</v>
      </c>
      <c r="CT246" s="295">
        <f>CT245-CT234</f>
        <v>3016</v>
      </c>
      <c r="CU246" s="1227">
        <f>+CT246/CP246-1</f>
        <v>0.31016507384882708</v>
      </c>
      <c r="CV246" s="295">
        <f>CV245-CV234</f>
        <v>1825</v>
      </c>
      <c r="CW246" s="295">
        <f>CW245-CW234</f>
        <v>3704</v>
      </c>
      <c r="CX246" s="295">
        <f>CX245-CX234</f>
        <v>5529</v>
      </c>
      <c r="CY246" s="1227">
        <f>+CX246/CT246-1</f>
        <v>0.83322281167108758</v>
      </c>
      <c r="CZ246" s="295">
        <f>CZ245-CZ234</f>
        <v>1115</v>
      </c>
      <c r="DA246" s="295">
        <f>DA245-DA234</f>
        <v>1579</v>
      </c>
      <c r="DB246" s="295">
        <f>DB245-DB234</f>
        <v>2694</v>
      </c>
      <c r="DC246" s="1227">
        <f>+DB246/CX246-1</f>
        <v>-0.51275094953879541</v>
      </c>
      <c r="DD246" s="295">
        <f>DD245-DD234</f>
        <v>992</v>
      </c>
      <c r="DE246" s="295">
        <f>DE245-DE234</f>
        <v>1289</v>
      </c>
      <c r="DF246" s="295">
        <f>DF245-DF234</f>
        <v>2281</v>
      </c>
      <c r="DG246" s="1227">
        <f>+DF246/DB246-1</f>
        <v>-0.15330363771343725</v>
      </c>
      <c r="DH246" s="295">
        <f>DH245-DH234</f>
        <v>893</v>
      </c>
      <c r="DI246" s="295">
        <f>DI245-DI234</f>
        <v>1631.7400000000005</v>
      </c>
      <c r="DJ246" s="295">
        <f>DJ245-DJ234</f>
        <v>2524.7400000000002</v>
      </c>
      <c r="DK246" s="1227">
        <f>+DJ246/DF246-1</f>
        <v>0.10685664182376153</v>
      </c>
      <c r="DL246" s="295">
        <f>DL245-DL234</f>
        <v>1011.5771999999999</v>
      </c>
      <c r="DM246" s="295">
        <f>DM245-DM234</f>
        <v>1639.7448720000007</v>
      </c>
      <c r="DN246" s="295">
        <f>DN245-DN234</f>
        <v>2651.3220720000008</v>
      </c>
      <c r="DO246" s="1227">
        <f>+DN246/DJ246-1</f>
        <v>5.0136676251812284E-2</v>
      </c>
      <c r="DP246" s="295">
        <f>DP245-DP234</f>
        <v>997.9585449599997</v>
      </c>
      <c r="DQ246" s="295">
        <f>DQ245-DQ234</f>
        <v>1646.114267769</v>
      </c>
      <c r="DR246" s="295">
        <f>DR245-DR234</f>
        <v>2644.0728127289995</v>
      </c>
      <c r="DS246" s="1227">
        <f>+DR246/DN246-1</f>
        <v>-2.7342054545387295E-3</v>
      </c>
      <c r="DT246" s="1078"/>
      <c r="DU246" s="1078"/>
      <c r="DV246" s="1078"/>
      <c r="DW246" s="1199"/>
      <c r="DX246" s="295"/>
      <c r="DY246" s="295"/>
      <c r="DZ246" s="295"/>
      <c r="EA246" s="295"/>
      <c r="EB246" s="295"/>
      <c r="EC246" s="295"/>
      <c r="ED246" s="295"/>
      <c r="EE246" s="295"/>
      <c r="EF246" s="295"/>
      <c r="EG246" s="295"/>
      <c r="EH246" s="295"/>
      <c r="EI246" s="295"/>
      <c r="EJ246" s="295"/>
      <c r="EK246" s="295"/>
      <c r="EL246" s="295"/>
      <c r="EM246" s="295"/>
      <c r="EN246" s="295"/>
      <c r="EO246" s="295"/>
      <c r="EP246" s="295"/>
      <c r="EQ246" s="295"/>
      <c r="ER246" s="295"/>
      <c r="ES246" s="295"/>
      <c r="ET246" s="295"/>
      <c r="EU246" s="295"/>
      <c r="JW246"/>
    </row>
    <row r="247" spans="1:283" s="332" customFormat="1">
      <c r="AN247" s="924"/>
      <c r="AO247" s="924"/>
      <c r="AR247" s="924"/>
      <c r="AS247" s="924"/>
      <c r="AV247" s="924"/>
      <c r="AW247" s="924"/>
      <c r="AZ247" s="924"/>
      <c r="BA247" s="924"/>
      <c r="BD247" s="924"/>
      <c r="BE247" s="924"/>
      <c r="BH247" s="924"/>
      <c r="BI247" s="924"/>
      <c r="BL247" s="924"/>
      <c r="BM247" s="924"/>
      <c r="BP247" s="924"/>
      <c r="BQ247" s="924"/>
      <c r="BT247" s="924"/>
      <c r="BU247" s="924"/>
      <c r="BW247" s="924"/>
      <c r="BX247" s="924"/>
      <c r="BY247" s="924"/>
      <c r="BZ247" s="924"/>
      <c r="CA247" s="293"/>
      <c r="CB247" s="924"/>
      <c r="CC247" s="924"/>
      <c r="CD247" s="924"/>
      <c r="CE247" s="293"/>
      <c r="CF247" s="293"/>
      <c r="CG247" s="924"/>
      <c r="CH247" s="924"/>
      <c r="CI247" s="293"/>
      <c r="CJ247" s="293"/>
      <c r="CK247" s="924"/>
      <c r="CL247" s="924"/>
      <c r="CM247" s="293"/>
      <c r="CN247" s="917"/>
      <c r="CO247" s="924"/>
      <c r="CP247" s="924"/>
      <c r="CQ247" s="293"/>
      <c r="CR247" s="293"/>
      <c r="CS247" s="293"/>
      <c r="CT247" s="293"/>
      <c r="CU247" s="293"/>
      <c r="CV247" s="293"/>
      <c r="CW247" s="293"/>
      <c r="CX247" s="293"/>
      <c r="CY247" s="293"/>
      <c r="CZ247" s="293"/>
      <c r="DA247" s="293"/>
      <c r="DB247" s="293"/>
      <c r="DC247" s="293"/>
      <c r="DD247" s="293"/>
      <c r="DE247" s="293"/>
      <c r="DF247" s="293"/>
      <c r="DG247" s="293"/>
      <c r="DH247" s="293"/>
      <c r="DI247" s="293"/>
      <c r="DJ247" s="293"/>
      <c r="DK247" s="293"/>
      <c r="DL247" s="293"/>
      <c r="DM247" s="293"/>
      <c r="DN247" s="293"/>
      <c r="DO247" s="293"/>
      <c r="DP247" s="293"/>
      <c r="DQ247" s="293"/>
      <c r="DR247" s="293"/>
      <c r="DS247" s="293"/>
      <c r="DT247" s="293"/>
      <c r="DU247" s="293"/>
      <c r="DV247" s="293"/>
      <c r="DW247" s="293"/>
      <c r="DX247" s="293"/>
      <c r="DY247" s="293"/>
      <c r="DZ247" s="293"/>
      <c r="EA247" s="293"/>
      <c r="EB247" s="293"/>
      <c r="EC247" s="293"/>
      <c r="ED247" s="293"/>
      <c r="EE247" s="293"/>
      <c r="EF247" s="293"/>
      <c r="EG247" s="293"/>
      <c r="EH247" s="293"/>
      <c r="EI247" s="293"/>
      <c r="EJ247" s="293"/>
      <c r="EK247" s="293"/>
      <c r="EL247" s="293"/>
      <c r="EM247" s="293"/>
      <c r="EN247" s="293"/>
      <c r="EO247" s="293"/>
      <c r="EP247" s="293"/>
      <c r="EQ247" s="293"/>
      <c r="ER247" s="293"/>
      <c r="ES247" s="293"/>
      <c r="ET247" s="293"/>
      <c r="EU247" s="293"/>
      <c r="JW247"/>
    </row>
    <row r="248" spans="1:283" s="332" customFormat="1">
      <c r="A248" s="327" t="s">
        <v>1396</v>
      </c>
      <c r="AN248" s="924"/>
      <c r="AO248" s="924"/>
      <c r="AR248" s="924"/>
      <c r="AS248" s="924"/>
      <c r="AV248" s="924"/>
      <c r="AW248" s="924"/>
      <c r="AZ248" s="924"/>
      <c r="BA248" s="924"/>
      <c r="BD248" s="924"/>
      <c r="BE248" s="924"/>
      <c r="BH248" s="924"/>
      <c r="BI248" s="924"/>
      <c r="BL248" s="924"/>
      <c r="BM248" s="924"/>
      <c r="BP248" s="924"/>
      <c r="BQ248" s="924"/>
      <c r="BT248" s="924"/>
      <c r="BU248" s="924"/>
      <c r="BW248" s="924"/>
      <c r="BX248" s="924"/>
      <c r="BY248" s="924"/>
      <c r="BZ248" s="924"/>
      <c r="CA248" s="293"/>
      <c r="CB248" s="924"/>
      <c r="CC248" s="924"/>
      <c r="CD248" s="924"/>
      <c r="CE248" s="293"/>
      <c r="CF248" s="293"/>
      <c r="CG248" s="924"/>
      <c r="CH248" s="924"/>
      <c r="CI248" s="293"/>
      <c r="CJ248" s="293"/>
      <c r="CK248" s="924"/>
      <c r="CL248" s="924"/>
      <c r="CM248" s="293"/>
      <c r="CN248" s="917"/>
      <c r="CO248" s="924"/>
      <c r="CP248" s="924"/>
      <c r="CQ248" s="293"/>
      <c r="CR248" s="293"/>
      <c r="CS248" s="293"/>
      <c r="CT248" s="293"/>
      <c r="CU248" s="293"/>
      <c r="CV248" s="293"/>
      <c r="CW248" s="293"/>
      <c r="CX248" s="293"/>
      <c r="CY248" s="293"/>
      <c r="CZ248" s="293"/>
      <c r="DA248" s="293"/>
      <c r="DB248" s="293"/>
      <c r="DC248" s="293"/>
      <c r="DD248" s="293"/>
      <c r="DE248" s="293"/>
      <c r="DF248" s="293"/>
      <c r="DG248" s="293"/>
      <c r="DH248" s="293"/>
      <c r="DI248" s="293"/>
      <c r="DJ248" s="293"/>
      <c r="DK248" s="293"/>
      <c r="DL248" s="293"/>
      <c r="DM248" s="293"/>
      <c r="DN248" s="293"/>
      <c r="DO248" s="293"/>
      <c r="DP248" s="293"/>
      <c r="DQ248" s="293"/>
      <c r="DR248" s="293"/>
      <c r="DS248" s="293"/>
      <c r="DT248" s="293"/>
      <c r="DU248" s="293"/>
      <c r="DV248" s="293"/>
      <c r="DW248" s="293"/>
      <c r="DX248" s="293"/>
      <c r="DY248" s="293"/>
      <c r="DZ248" s="293"/>
      <c r="EA248" s="293"/>
      <c r="EB248" s="293"/>
      <c r="EC248" s="293"/>
      <c r="ED248" s="293"/>
      <c r="EE248" s="293"/>
      <c r="EF248" s="293"/>
      <c r="EG248" s="293"/>
      <c r="EH248" s="293"/>
      <c r="EI248" s="293"/>
      <c r="EJ248" s="293"/>
      <c r="EK248" s="293"/>
      <c r="EL248" s="293"/>
      <c r="EM248" s="293"/>
      <c r="EN248" s="293"/>
      <c r="EO248" s="293"/>
      <c r="EP248" s="293"/>
      <c r="EQ248" s="293"/>
      <c r="ER248" s="293"/>
      <c r="ES248" s="293"/>
      <c r="ET248" s="293"/>
      <c r="EU248" s="293"/>
      <c r="JW248"/>
    </row>
    <row r="249" spans="1:283" s="332" customFormat="1">
      <c r="A249" s="332" t="s">
        <v>1395</v>
      </c>
      <c r="AN249" s="924"/>
      <c r="AO249" s="924"/>
      <c r="AR249" s="924"/>
      <c r="AS249" s="924"/>
      <c r="AV249" s="924"/>
      <c r="AW249" s="924"/>
      <c r="AZ249" s="924"/>
      <c r="BA249" s="924"/>
      <c r="BD249" s="924"/>
      <c r="BE249" s="924"/>
      <c r="BH249" s="924"/>
      <c r="BI249" s="924"/>
      <c r="BL249" s="924"/>
      <c r="BM249" s="924"/>
      <c r="BP249" s="924"/>
      <c r="BQ249" s="924"/>
      <c r="BT249" s="924"/>
      <c r="BU249" s="924"/>
      <c r="BW249" s="924"/>
      <c r="BX249" s="924"/>
      <c r="BY249" s="924"/>
      <c r="BZ249" s="924"/>
      <c r="CA249" s="293"/>
      <c r="CB249" s="293"/>
      <c r="CC249" s="293"/>
      <c r="CD249" s="293"/>
      <c r="CE249" s="294"/>
      <c r="CF249" s="293">
        <f t="shared" ref="CF249:CH249" si="511">CF230</f>
        <v>97</v>
      </c>
      <c r="CG249" s="293">
        <f t="shared" si="511"/>
        <v>54</v>
      </c>
      <c r="CH249" s="293">
        <f t="shared" si="511"/>
        <v>151</v>
      </c>
      <c r="CI249" s="294"/>
      <c r="CJ249" s="293">
        <f t="shared" ref="CJ249:CL249" si="512">CJ230</f>
        <v>78</v>
      </c>
      <c r="CK249" s="293">
        <f t="shared" si="512"/>
        <v>88</v>
      </c>
      <c r="CL249" s="293">
        <f t="shared" si="512"/>
        <v>166</v>
      </c>
      <c r="CM249" s="294">
        <f>+CL249/CH249-1</f>
        <v>9.9337748344370924E-2</v>
      </c>
      <c r="CN249" s="293">
        <f t="shared" ref="CN249:CP249" si="513">CN230</f>
        <v>70</v>
      </c>
      <c r="CO249" s="293">
        <f t="shared" si="513"/>
        <v>74</v>
      </c>
      <c r="CP249" s="293">
        <f t="shared" si="513"/>
        <v>144</v>
      </c>
      <c r="CQ249" s="294">
        <f>+CP249/CL249-1</f>
        <v>-0.13253012048192769</v>
      </c>
      <c r="CR249" s="293">
        <f t="shared" ref="CR249:CT249" si="514">CR230</f>
        <v>65</v>
      </c>
      <c r="CS249" s="293">
        <f t="shared" si="514"/>
        <v>61</v>
      </c>
      <c r="CT249" s="293">
        <f t="shared" si="514"/>
        <v>126</v>
      </c>
      <c r="CU249" s="294">
        <f>+CT249/CP249-1</f>
        <v>-0.125</v>
      </c>
      <c r="CV249" s="293">
        <f t="shared" ref="CV249:CX249" si="515">CV230</f>
        <v>63</v>
      </c>
      <c r="CW249" s="293">
        <f t="shared" si="515"/>
        <v>59</v>
      </c>
      <c r="CX249" s="293">
        <f t="shared" si="515"/>
        <v>122</v>
      </c>
      <c r="CY249" s="294">
        <f>+CX249/CT249-1</f>
        <v>-3.1746031746031744E-2</v>
      </c>
      <c r="CZ249" s="293">
        <f t="shared" ref="CZ249:DB249" si="516">CZ230</f>
        <v>34</v>
      </c>
      <c r="DA249" s="293">
        <f t="shared" si="516"/>
        <v>44</v>
      </c>
      <c r="DB249" s="293">
        <f t="shared" si="516"/>
        <v>78</v>
      </c>
      <c r="DC249" s="294">
        <f t="shared" ref="DC249:DC250" si="517">+DB249/CX249-1</f>
        <v>-0.36065573770491799</v>
      </c>
      <c r="DD249" s="293">
        <f t="shared" ref="DD249:DF249" si="518">DD230</f>
        <v>28</v>
      </c>
      <c r="DE249" s="293">
        <f t="shared" si="518"/>
        <v>54</v>
      </c>
      <c r="DF249" s="293">
        <f t="shared" si="518"/>
        <v>82</v>
      </c>
      <c r="DG249" s="294"/>
      <c r="DH249" s="293">
        <f t="shared" ref="DH249" si="519">DH230</f>
        <v>54</v>
      </c>
      <c r="DI249" s="293">
        <f>+DE249*(1+DI252)</f>
        <v>62.639999999999993</v>
      </c>
      <c r="DJ249" s="293">
        <f t="shared" ref="DJ249" si="520">DJ230</f>
        <v>116.63999999999999</v>
      </c>
      <c r="DK249" s="294"/>
      <c r="DL249" s="293">
        <f>+DH249*(1+DL252)</f>
        <v>63.179999999999993</v>
      </c>
      <c r="DM249" s="293">
        <f>+DI249*(1+DM252)</f>
        <v>70.156800000000004</v>
      </c>
      <c r="DN249" s="293">
        <f t="shared" ref="DN249" si="521">DN230</f>
        <v>133.33679999999998</v>
      </c>
      <c r="DO249" s="294"/>
      <c r="DP249" s="293">
        <f>+DL249*(1+DP252)</f>
        <v>70.761600000000001</v>
      </c>
      <c r="DQ249" s="293">
        <f>+DM249*(1+DQ252)</f>
        <v>78.575616000000011</v>
      </c>
      <c r="DR249" s="293">
        <f t="shared" ref="DR249" si="522">DR230</f>
        <v>149.33721600000001</v>
      </c>
      <c r="DS249" s="294"/>
      <c r="DT249" s="293"/>
      <c r="DU249" s="293"/>
      <c r="DV249" s="293"/>
      <c r="DW249" s="293"/>
      <c r="DX249" s="293"/>
      <c r="DY249" s="293"/>
      <c r="DZ249" s="293"/>
      <c r="EA249" s="293"/>
      <c r="EB249" s="293"/>
      <c r="EC249" s="293"/>
      <c r="ED249" s="293"/>
      <c r="EE249" s="293"/>
      <c r="EF249" s="293"/>
      <c r="EG249" s="293"/>
      <c r="EH249" s="293"/>
      <c r="EI249" s="293"/>
      <c r="EJ249" s="293"/>
      <c r="EK249" s="293"/>
      <c r="EL249" s="293"/>
      <c r="EM249" s="293"/>
      <c r="EN249" s="293"/>
      <c r="EO249" s="293"/>
      <c r="EP249" s="293"/>
      <c r="EQ249" s="293"/>
      <c r="ER249" s="293"/>
      <c r="ES249" s="293"/>
      <c r="ET249" s="293"/>
      <c r="EU249" s="293"/>
      <c r="JW249"/>
    </row>
    <row r="250" spans="1:283" s="332" customFormat="1">
      <c r="A250" s="332" t="s">
        <v>726</v>
      </c>
      <c r="AN250" s="924"/>
      <c r="AO250" s="924"/>
      <c r="AR250" s="924"/>
      <c r="AS250" s="924"/>
      <c r="AV250" s="924"/>
      <c r="AW250" s="924"/>
      <c r="AZ250" s="924"/>
      <c r="BA250" s="924"/>
      <c r="BD250" s="924"/>
      <c r="BE250" s="924"/>
      <c r="BH250" s="924"/>
      <c r="BI250" s="924"/>
      <c r="BL250" s="924"/>
      <c r="BM250" s="924"/>
      <c r="BP250" s="924"/>
      <c r="BQ250" s="924"/>
      <c r="BT250" s="924"/>
      <c r="BU250" s="924"/>
      <c r="BW250" s="924"/>
      <c r="BX250" s="924"/>
      <c r="BY250" s="924"/>
      <c r="BZ250" s="924"/>
      <c r="CA250" s="293"/>
      <c r="CB250" s="293"/>
      <c r="CC250" s="293"/>
      <c r="CD250" s="293"/>
      <c r="CE250" s="294"/>
      <c r="CF250" s="293">
        <f>CF313</f>
        <v>132</v>
      </c>
      <c r="CG250" s="293">
        <f>CG313</f>
        <v>153</v>
      </c>
      <c r="CH250" s="293">
        <f>CH313</f>
        <v>285</v>
      </c>
      <c r="CI250" s="294"/>
      <c r="CJ250" s="293">
        <f>CJ313</f>
        <v>157</v>
      </c>
      <c r="CK250" s="293">
        <f>CK313</f>
        <v>203</v>
      </c>
      <c r="CL250" s="293">
        <f>CL313</f>
        <v>360</v>
      </c>
      <c r="CM250" s="294">
        <f>+CL250/CH250-1</f>
        <v>0.26315789473684204</v>
      </c>
      <c r="CN250" s="293">
        <f>CN313</f>
        <v>198</v>
      </c>
      <c r="CO250" s="293">
        <f>CO313</f>
        <v>185</v>
      </c>
      <c r="CP250" s="293">
        <f>CP313</f>
        <v>383</v>
      </c>
      <c r="CQ250" s="294">
        <f>+CP250/CL250-1</f>
        <v>6.3888888888888884E-2</v>
      </c>
      <c r="CR250" s="293">
        <f>CR313</f>
        <v>152</v>
      </c>
      <c r="CS250" s="293">
        <f>CS313</f>
        <v>183</v>
      </c>
      <c r="CT250" s="293">
        <f>CT313</f>
        <v>335</v>
      </c>
      <c r="CU250" s="294">
        <f>+CT250/CP250-1</f>
        <v>-0.12532637075718012</v>
      </c>
      <c r="CV250" s="293">
        <f>CV313</f>
        <v>174</v>
      </c>
      <c r="CW250" s="293">
        <f>CW313</f>
        <v>203</v>
      </c>
      <c r="CX250" s="293">
        <f>CX313</f>
        <v>377</v>
      </c>
      <c r="CY250" s="294">
        <f>+CX250/CT250-1</f>
        <v>0.12537313432835817</v>
      </c>
      <c r="CZ250" s="293">
        <f t="shared" ref="CZ250:DB250" si="523">CZ313</f>
        <v>213</v>
      </c>
      <c r="DA250" s="293">
        <f t="shared" si="523"/>
        <v>218</v>
      </c>
      <c r="DB250" s="293">
        <f t="shared" si="523"/>
        <v>431</v>
      </c>
      <c r="DC250" s="294">
        <f t="shared" si="517"/>
        <v>0.14323607427055696</v>
      </c>
      <c r="DD250" s="293">
        <f t="shared" ref="DD250:DF250" si="524">DD313</f>
        <v>211</v>
      </c>
      <c r="DE250" s="293">
        <f t="shared" si="524"/>
        <v>207</v>
      </c>
      <c r="DF250" s="293">
        <f t="shared" si="524"/>
        <v>418</v>
      </c>
      <c r="DG250" s="294"/>
      <c r="DH250" s="293">
        <f t="shared" ref="DH250" si="525">DH313</f>
        <v>216</v>
      </c>
      <c r="DI250" s="293">
        <f>+DE250*(1+DI252)</f>
        <v>240.11999999999998</v>
      </c>
      <c r="DJ250" s="293">
        <f t="shared" ref="DJ250" si="526">DJ313</f>
        <v>456.12</v>
      </c>
      <c r="DK250" s="294"/>
      <c r="DL250" s="293">
        <f>+DH250*(1+DL252)</f>
        <v>252.71999999999997</v>
      </c>
      <c r="DM250" s="293">
        <f>+DI250*(1+DM252)</f>
        <v>268.93439999999998</v>
      </c>
      <c r="DN250" s="293">
        <f t="shared" ref="DN250" si="527">DN313</f>
        <v>521.6543999999999</v>
      </c>
      <c r="DO250" s="294"/>
      <c r="DP250" s="293">
        <f>+DL250*(1+DP252)</f>
        <v>283.04640000000001</v>
      </c>
      <c r="DQ250" s="293">
        <f>+DM250*(1+DQ252)</f>
        <v>301.20652799999999</v>
      </c>
      <c r="DR250" s="293">
        <f t="shared" ref="DR250" si="528">DR313</f>
        <v>584.252928</v>
      </c>
      <c r="DS250" s="294"/>
      <c r="DT250" s="293"/>
      <c r="DU250" s="293"/>
      <c r="DV250" s="293"/>
      <c r="DW250" s="293"/>
      <c r="DX250" s="293"/>
      <c r="DY250" s="293"/>
      <c r="DZ250" s="293"/>
      <c r="EA250" s="293"/>
      <c r="EB250" s="293"/>
      <c r="EC250" s="293"/>
      <c r="ED250" s="293"/>
      <c r="EE250" s="293"/>
      <c r="EF250" s="293"/>
      <c r="EG250" s="293"/>
      <c r="EH250" s="293"/>
      <c r="EI250" s="293"/>
      <c r="EJ250" s="293"/>
      <c r="EK250" s="293"/>
      <c r="EL250" s="293"/>
      <c r="EM250" s="293"/>
      <c r="EN250" s="293"/>
      <c r="EO250" s="293"/>
      <c r="EP250" s="293"/>
      <c r="EQ250" s="293"/>
      <c r="ER250" s="293"/>
      <c r="ES250" s="293"/>
      <c r="ET250" s="293"/>
      <c r="EU250" s="293"/>
      <c r="JW250"/>
    </row>
    <row r="251" spans="1:283" s="332" customFormat="1">
      <c r="A251" s="327" t="s">
        <v>588</v>
      </c>
      <c r="AN251" s="924"/>
      <c r="AO251" s="924"/>
      <c r="AR251" s="924"/>
      <c r="AS251" s="924"/>
      <c r="AV251" s="924"/>
      <c r="AW251" s="924"/>
      <c r="AZ251" s="924"/>
      <c r="BA251" s="924"/>
      <c r="BD251" s="924"/>
      <c r="BE251" s="924"/>
      <c r="BH251" s="924"/>
      <c r="BI251" s="924"/>
      <c r="BL251" s="924"/>
      <c r="BM251" s="924"/>
      <c r="BP251" s="924"/>
      <c r="BQ251" s="924"/>
      <c r="BT251" s="924"/>
      <c r="BU251" s="924"/>
      <c r="BW251" s="924"/>
      <c r="BX251" s="924"/>
      <c r="BY251" s="924"/>
      <c r="BZ251" s="924"/>
      <c r="CA251" s="293"/>
      <c r="CB251" s="295"/>
      <c r="CC251" s="295"/>
      <c r="CD251" s="295"/>
      <c r="CE251" s="294"/>
      <c r="CF251" s="295">
        <f>SUM(CF249:CF250)</f>
        <v>229</v>
      </c>
      <c r="CG251" s="295">
        <f>SUM(CG249:CG250)</f>
        <v>207</v>
      </c>
      <c r="CH251" s="295">
        <f>SUM(CH249:CH250)</f>
        <v>436</v>
      </c>
      <c r="CI251" s="294"/>
      <c r="CJ251" s="295">
        <f>SUM(CJ249:CJ250)</f>
        <v>235</v>
      </c>
      <c r="CK251" s="295">
        <f>SUM(CK249:CK250)</f>
        <v>291</v>
      </c>
      <c r="CL251" s="295">
        <f>SUM(CL249:CL250)</f>
        <v>526</v>
      </c>
      <c r="CM251" s="294">
        <f>+CL251/CH251-1</f>
        <v>0.20642201834862384</v>
      </c>
      <c r="CN251" s="295">
        <f>SUM(CN249:CN250)</f>
        <v>268</v>
      </c>
      <c r="CO251" s="295">
        <f>SUM(CO249:CO250)</f>
        <v>259</v>
      </c>
      <c r="CP251" s="295">
        <f>SUM(CP249:CP250)</f>
        <v>527</v>
      </c>
      <c r="CQ251" s="294">
        <f>+CP251/CL251-1</f>
        <v>1.9011406844107182E-3</v>
      </c>
      <c r="CR251" s="295">
        <f>SUM(CR249:CR250)</f>
        <v>217</v>
      </c>
      <c r="CS251" s="295">
        <f>SUM(CS249:CS250)</f>
        <v>244</v>
      </c>
      <c r="CT251" s="295">
        <f>SUM(CT249:CT250)</f>
        <v>461</v>
      </c>
      <c r="CU251" s="294"/>
      <c r="CV251" s="295">
        <f>SUM(CV249:CV250)</f>
        <v>237</v>
      </c>
      <c r="CW251" s="295">
        <f>SUM(CW249:CW250)</f>
        <v>262</v>
      </c>
      <c r="CX251" s="295">
        <f>SUM(CX249:CX250)</f>
        <v>499</v>
      </c>
      <c r="CY251" s="294"/>
      <c r="CZ251" s="295">
        <f t="shared" ref="CZ251:DB251" si="529">SUM(CZ249:CZ250)</f>
        <v>247</v>
      </c>
      <c r="DA251" s="295">
        <f t="shared" si="529"/>
        <v>262</v>
      </c>
      <c r="DB251" s="295">
        <f t="shared" si="529"/>
        <v>509</v>
      </c>
      <c r="DD251" s="295">
        <f t="shared" ref="DD251:DF251" si="530">SUM(DD249:DD250)</f>
        <v>239</v>
      </c>
      <c r="DE251" s="295">
        <f t="shared" si="530"/>
        <v>261</v>
      </c>
      <c r="DF251" s="295">
        <f t="shared" si="530"/>
        <v>500</v>
      </c>
      <c r="DG251" s="294"/>
      <c r="DH251" s="295">
        <f t="shared" ref="DH251" si="531">SUM(DH249:DH250)</f>
        <v>270</v>
      </c>
      <c r="DI251" s="295">
        <f t="shared" ref="DI251" si="532">SUM(DI249:DI250)</f>
        <v>302.76</v>
      </c>
      <c r="DJ251" s="295">
        <f t="shared" ref="DJ251" si="533">SUM(DJ249:DJ250)</f>
        <v>572.76</v>
      </c>
      <c r="DK251" s="294"/>
      <c r="DL251" s="295">
        <f t="shared" ref="DL251" si="534">SUM(DL249:DL250)</f>
        <v>315.89999999999998</v>
      </c>
      <c r="DM251" s="295">
        <f t="shared" ref="DM251" si="535">SUM(DM249:DM250)</f>
        <v>339.09119999999996</v>
      </c>
      <c r="DN251" s="295">
        <f t="shared" ref="DN251" si="536">SUM(DN249:DN250)</f>
        <v>654.99119999999994</v>
      </c>
      <c r="DO251" s="294"/>
      <c r="DP251" s="295">
        <f t="shared" ref="DP251:DR251" si="537">SUM(DP249:DP250)</f>
        <v>353.80799999999999</v>
      </c>
      <c r="DQ251" s="295">
        <f t="shared" si="537"/>
        <v>379.78214400000002</v>
      </c>
      <c r="DR251" s="295">
        <f t="shared" si="537"/>
        <v>733.59014400000001</v>
      </c>
      <c r="DS251" s="294"/>
      <c r="DT251" s="293"/>
      <c r="DU251" s="293"/>
      <c r="DV251" s="293"/>
      <c r="DW251" s="293"/>
      <c r="DX251" s="293"/>
      <c r="DY251" s="293"/>
      <c r="DZ251" s="293"/>
      <c r="EA251" s="293"/>
      <c r="EB251" s="293"/>
      <c r="EC251" s="293"/>
      <c r="ED251" s="293"/>
      <c r="EE251" s="293"/>
      <c r="EF251" s="293"/>
      <c r="EG251" s="293"/>
      <c r="EH251" s="293"/>
      <c r="EI251" s="293"/>
      <c r="EJ251" s="293"/>
      <c r="EK251" s="293"/>
      <c r="EL251" s="293"/>
      <c r="EM251" s="293"/>
      <c r="EN251" s="293"/>
      <c r="EO251" s="293"/>
      <c r="EP251" s="293"/>
      <c r="EQ251" s="293"/>
      <c r="ER251" s="293"/>
      <c r="ES251" s="293"/>
      <c r="ET251" s="293"/>
      <c r="EU251" s="293"/>
      <c r="JW251"/>
    </row>
    <row r="252" spans="1:283" s="332" customFormat="1">
      <c r="A252" s="1092" t="s">
        <v>835</v>
      </c>
      <c r="AN252" s="924"/>
      <c r="AO252" s="924"/>
      <c r="AR252" s="924"/>
      <c r="AS252" s="924"/>
      <c r="AV252" s="924"/>
      <c r="AW252" s="924"/>
      <c r="AZ252" s="924"/>
      <c r="BA252" s="924"/>
      <c r="BD252" s="924"/>
      <c r="BE252" s="924"/>
      <c r="BH252" s="924"/>
      <c r="BI252" s="924"/>
      <c r="BL252" s="924"/>
      <c r="BM252" s="924"/>
      <c r="BP252" s="924"/>
      <c r="BQ252" s="924"/>
      <c r="BT252" s="924"/>
      <c r="BU252" s="924"/>
      <c r="BW252" s="924"/>
      <c r="BX252" s="924"/>
      <c r="BY252" s="924"/>
      <c r="BZ252" s="924"/>
      <c r="CA252" s="293"/>
      <c r="CB252" s="924"/>
      <c r="CC252" s="924"/>
      <c r="CD252" s="924"/>
      <c r="CE252" s="293"/>
      <c r="CF252" s="293"/>
      <c r="CG252" s="924"/>
      <c r="CH252" s="924"/>
      <c r="CI252" s="293"/>
      <c r="CJ252" s="293"/>
      <c r="CK252" s="924"/>
      <c r="CL252" s="924"/>
      <c r="CM252" s="293"/>
      <c r="CN252" s="917"/>
      <c r="CO252" s="924"/>
      <c r="CP252" s="924"/>
      <c r="CQ252" s="293"/>
      <c r="CR252" s="811">
        <f>+CR251/CN251-1</f>
        <v>-0.19029850746268662</v>
      </c>
      <c r="CS252" s="811">
        <f>+CS251/CO251-1</f>
        <v>-5.791505791505791E-2</v>
      </c>
      <c r="CT252" s="811">
        <f>+CT251/CP251-1</f>
        <v>-0.1252371916508539</v>
      </c>
      <c r="CU252" s="293"/>
      <c r="CV252" s="811">
        <f>+CV251/CR251-1</f>
        <v>9.2165898617511566E-2</v>
      </c>
      <c r="CW252" s="811">
        <f>+CW251/CS251-1</f>
        <v>7.3770491803278659E-2</v>
      </c>
      <c r="CX252" s="811">
        <f>+CX251/CT251-1</f>
        <v>8.2429501084598789E-2</v>
      </c>
      <c r="CY252" s="293"/>
      <c r="CZ252" s="811">
        <f>+CZ251/CV251-1</f>
        <v>4.2194092827004148E-2</v>
      </c>
      <c r="DA252" s="811">
        <f>+DA251/CW251-1</f>
        <v>0</v>
      </c>
      <c r="DB252" s="811">
        <f>+DB251/CX251-1</f>
        <v>2.0040080160320661E-2</v>
      </c>
      <c r="DC252" s="293"/>
      <c r="DD252" s="811">
        <f>+DD251/CZ251-1</f>
        <v>-3.2388663967611309E-2</v>
      </c>
      <c r="DE252" s="811">
        <f>+DE251/DA251-1</f>
        <v>-3.8167938931297218E-3</v>
      </c>
      <c r="DF252" s="811">
        <f>+DF251/DB251-1</f>
        <v>-1.7681728880157177E-2</v>
      </c>
      <c r="DG252" s="115"/>
      <c r="DH252" s="811">
        <f>+DH251/DD251-1</f>
        <v>0.12970711297071125</v>
      </c>
      <c r="DI252" s="1398">
        <f>12%+4%</f>
        <v>0.16</v>
      </c>
      <c r="DJ252" s="811">
        <f>+DJ251/DF251-1</f>
        <v>0.14551999999999987</v>
      </c>
      <c r="DK252" s="115"/>
      <c r="DL252" s="1398">
        <f>12%+5%</f>
        <v>0.16999999999999998</v>
      </c>
      <c r="DM252" s="1975">
        <v>0.12</v>
      </c>
      <c r="DN252" s="811">
        <f>+DN251/DJ251-1</f>
        <v>0.1435700817096166</v>
      </c>
      <c r="DO252" s="293"/>
      <c r="DP252" s="1975">
        <v>0.12</v>
      </c>
      <c r="DQ252" s="1975">
        <v>0.12</v>
      </c>
      <c r="DR252" s="811">
        <f>+DR251/DN251-1</f>
        <v>0.12000000000000011</v>
      </c>
      <c r="DS252" s="293"/>
      <c r="DT252" s="293"/>
      <c r="DU252" s="293"/>
      <c r="DV252" s="293"/>
      <c r="DW252" s="293"/>
      <c r="DX252" s="293"/>
      <c r="DY252" s="293"/>
      <c r="DZ252" s="293"/>
      <c r="EA252" s="293"/>
      <c r="EB252" s="293"/>
      <c r="EC252" s="293"/>
      <c r="ED252" s="293"/>
      <c r="EE252" s="293"/>
      <c r="EF252" s="293"/>
      <c r="EG252" s="293"/>
      <c r="EH252" s="293"/>
      <c r="EI252" s="293"/>
      <c r="EJ252" s="293"/>
      <c r="EK252" s="293"/>
      <c r="EL252" s="293"/>
      <c r="EM252" s="293"/>
      <c r="EN252" s="293"/>
      <c r="EO252" s="293"/>
      <c r="EP252" s="293"/>
      <c r="EQ252" s="293"/>
      <c r="ER252" s="293"/>
      <c r="ES252" s="293"/>
      <c r="ET252" s="293"/>
      <c r="EU252" s="293"/>
      <c r="JW252"/>
    </row>
    <row r="253" spans="1:283" s="332" customFormat="1">
      <c r="AN253" s="924"/>
      <c r="AO253" s="924"/>
      <c r="AR253" s="924"/>
      <c r="AS253" s="924"/>
      <c r="AV253" s="924"/>
      <c r="AW253" s="924"/>
      <c r="AZ253" s="924"/>
      <c r="BA253" s="924"/>
      <c r="BD253" s="924"/>
      <c r="BE253" s="924"/>
      <c r="BH253" s="924"/>
      <c r="BI253" s="924"/>
      <c r="BL253" s="924"/>
      <c r="BM253" s="924"/>
      <c r="BP253" s="924"/>
      <c r="BQ253" s="924"/>
      <c r="BT253" s="924"/>
      <c r="BU253" s="924"/>
      <c r="BW253" s="924"/>
      <c r="BX253" s="924"/>
      <c r="BY253" s="924"/>
      <c r="BZ253" s="924"/>
      <c r="CA253" s="293"/>
      <c r="CB253" s="924"/>
      <c r="CC253" s="924"/>
      <c r="CD253" s="924"/>
      <c r="CE253" s="293"/>
      <c r="CF253" s="293"/>
      <c r="CG253" s="924"/>
      <c r="CH253" s="924"/>
      <c r="CI253" s="293"/>
      <c r="CJ253" s="293"/>
      <c r="CK253" s="924"/>
      <c r="CL253" s="924"/>
      <c r="CM253" s="293"/>
      <c r="CN253" s="917"/>
      <c r="CO253" s="924"/>
      <c r="CP253" s="924"/>
      <c r="CQ253" s="293"/>
      <c r="CR253" s="293"/>
      <c r="CS253" s="293"/>
      <c r="CT253" s="293"/>
      <c r="CU253" s="293"/>
      <c r="CV253" s="293"/>
      <c r="CW253" s="293"/>
      <c r="CX253" s="293"/>
      <c r="CY253" s="293"/>
      <c r="CZ253" s="293"/>
      <c r="DA253" s="293"/>
      <c r="DB253" s="293"/>
      <c r="DC253" s="293"/>
      <c r="DD253" s="293"/>
      <c r="DE253" s="293"/>
      <c r="DF253" s="293"/>
      <c r="DG253" s="115"/>
      <c r="DH253" s="293"/>
      <c r="DI253" s="2054"/>
      <c r="DJ253" s="2054"/>
      <c r="DK253" s="115"/>
      <c r="DL253" s="2054"/>
      <c r="DM253" s="2054"/>
      <c r="DN253" s="2054"/>
      <c r="DO253" s="293"/>
      <c r="DP253" s="2054"/>
      <c r="DQ253" s="2054"/>
      <c r="DR253" s="2054"/>
      <c r="DS253" s="293"/>
      <c r="DT253" s="293"/>
      <c r="DU253" s="293"/>
      <c r="DV253" s="293"/>
      <c r="DW253" s="293"/>
      <c r="DX253" s="293"/>
      <c r="DY253" s="293"/>
      <c r="DZ253" s="293"/>
      <c r="EA253" s="293"/>
      <c r="EB253" s="293"/>
      <c r="EC253" s="293"/>
      <c r="ED253" s="293"/>
      <c r="EE253" s="293"/>
      <c r="EF253" s="293"/>
      <c r="EG253" s="293"/>
      <c r="EH253" s="293"/>
      <c r="EI253" s="293"/>
      <c r="EJ253" s="293"/>
      <c r="EK253" s="293"/>
      <c r="EL253" s="293"/>
      <c r="EM253" s="293"/>
      <c r="EN253" s="293"/>
      <c r="EO253" s="293"/>
      <c r="EP253" s="293"/>
      <c r="EQ253" s="293"/>
      <c r="ER253" s="293"/>
      <c r="ES253" s="293"/>
      <c r="ET253" s="293"/>
      <c r="EU253" s="293"/>
      <c r="JW253"/>
    </row>
    <row r="254" spans="1:283" s="332" customFormat="1">
      <c r="A254" s="1092" t="s">
        <v>835</v>
      </c>
      <c r="AN254" s="293"/>
      <c r="AO254" s="293"/>
      <c r="AP254" s="293"/>
      <c r="AQ254" s="293"/>
      <c r="AR254" s="293"/>
      <c r="AS254" s="293"/>
      <c r="AT254" s="293"/>
      <c r="AU254" s="293"/>
      <c r="AV254" s="293"/>
      <c r="AW254" s="293"/>
      <c r="AX254" s="293"/>
      <c r="AY254" s="293"/>
      <c r="AZ254" s="293"/>
      <c r="BA254" s="293"/>
      <c r="BB254" s="293"/>
      <c r="BC254" s="293"/>
      <c r="BD254" s="293"/>
      <c r="BE254" s="293"/>
      <c r="BF254" s="293"/>
      <c r="BG254" s="293"/>
      <c r="BH254" s="293"/>
      <c r="BI254" s="293"/>
      <c r="BJ254" s="293"/>
      <c r="BK254" s="293"/>
      <c r="BL254" s="293"/>
      <c r="BM254" s="293"/>
      <c r="BN254" s="293"/>
      <c r="BO254" s="293"/>
      <c r="BP254" s="293"/>
      <c r="BQ254" s="293"/>
      <c r="BR254" s="293"/>
      <c r="BS254" s="293"/>
      <c r="BT254" s="293"/>
      <c r="BU254" s="293"/>
      <c r="BV254" s="293"/>
      <c r="BW254" s="293"/>
      <c r="BX254" s="293"/>
      <c r="BY254" s="293"/>
      <c r="BZ254" s="293"/>
      <c r="CA254" s="293"/>
      <c r="CB254" s="293"/>
      <c r="CC254" s="293"/>
      <c r="CD254" s="293"/>
      <c r="CE254" s="293"/>
      <c r="CF254" s="293"/>
      <c r="CG254" s="293"/>
      <c r="CH254" s="293"/>
      <c r="CI254" s="293"/>
      <c r="CJ254" s="293"/>
      <c r="CK254" s="293"/>
      <c r="CL254" s="293"/>
      <c r="CM254" s="293"/>
      <c r="CN254" s="293"/>
      <c r="CO254" s="293"/>
      <c r="CP254" s="293"/>
      <c r="CQ254" s="293"/>
      <c r="CR254" s="293"/>
      <c r="CS254" s="293"/>
      <c r="CT254" s="293"/>
      <c r="CU254" s="293"/>
      <c r="CV254" s="293"/>
      <c r="CW254" s="293"/>
      <c r="CX254" s="293"/>
      <c r="CY254" s="293"/>
      <c r="CZ254" s="293"/>
      <c r="DA254" s="293"/>
      <c r="DB254" s="293"/>
      <c r="DC254" s="293"/>
      <c r="DD254" s="293"/>
      <c r="DE254" s="293"/>
      <c r="DF254" s="293"/>
      <c r="DG254" s="293"/>
      <c r="DH254" s="293"/>
      <c r="DI254" s="293"/>
      <c r="DJ254" s="293"/>
      <c r="DK254" s="293"/>
      <c r="DL254" s="293"/>
      <c r="DM254" s="293"/>
      <c r="DN254" s="293"/>
      <c r="DO254" s="293"/>
      <c r="DP254" s="293"/>
      <c r="DQ254" s="293"/>
      <c r="DR254" s="293"/>
      <c r="DS254" s="293"/>
      <c r="DT254" s="293"/>
      <c r="DU254" s="293"/>
      <c r="DV254" s="293"/>
      <c r="DW254" s="293"/>
      <c r="DX254" s="293"/>
      <c r="DY254" s="293"/>
      <c r="DZ254" s="293"/>
      <c r="EA254" s="293"/>
      <c r="EB254" s="293"/>
      <c r="EC254" s="293"/>
      <c r="ED254" s="293"/>
      <c r="EE254" s="293"/>
      <c r="EF254" s="293"/>
      <c r="EG254" s="293"/>
      <c r="EH254" s="293"/>
      <c r="EI254" s="293"/>
      <c r="EJ254" s="293"/>
      <c r="EK254" s="293"/>
      <c r="EL254" s="293"/>
      <c r="EM254" s="293"/>
      <c r="EN254" s="293"/>
      <c r="EO254" s="293"/>
      <c r="EP254" s="293"/>
      <c r="EQ254" s="293"/>
      <c r="ER254" s="293"/>
      <c r="ES254" s="293"/>
      <c r="ET254" s="293"/>
      <c r="EU254" s="293"/>
      <c r="JW254"/>
    </row>
    <row r="255" spans="1:283" s="332" customFormat="1">
      <c r="A255" s="1079" t="str">
        <f>+A236</f>
        <v>Total operating income</v>
      </c>
      <c r="AN255" s="294"/>
      <c r="AO255" s="294"/>
      <c r="AP255" s="293"/>
      <c r="AQ255" s="293"/>
      <c r="AR255" s="294"/>
      <c r="AS255" s="294"/>
      <c r="AT255" s="293"/>
      <c r="AU255" s="293"/>
      <c r="AV255" s="294"/>
      <c r="AW255" s="294"/>
      <c r="AX255" s="294"/>
      <c r="AY255" s="293"/>
      <c r="AZ255" s="294">
        <f>AZ236/AV236-1</f>
        <v>-0.17974772249474424</v>
      </c>
      <c r="BA255" s="294">
        <f>BA236/AW236-1</f>
        <v>3.9156626506024139E-2</v>
      </c>
      <c r="BB255" s="294">
        <f>BB236/AX236-1</f>
        <v>-6.7785005135227672E-2</v>
      </c>
      <c r="BC255" s="293"/>
      <c r="BD255" s="294">
        <f>BD236/AZ236-1</f>
        <v>-0.1836821870995301</v>
      </c>
      <c r="BE255" s="294">
        <f>BE236/BA236-1</f>
        <v>-0.16199677938808377</v>
      </c>
      <c r="BF255" s="294">
        <f>BF236/BB236-1</f>
        <v>-0.17131839882482558</v>
      </c>
      <c r="BG255" s="331"/>
      <c r="BH255" s="294">
        <f>BH236/BD236-1</f>
        <v>-7.2736787022501304E-2</v>
      </c>
      <c r="BI255" s="294">
        <f>BI236/BE236-1</f>
        <v>-0.16986933128362802</v>
      </c>
      <c r="BJ255" s="294">
        <f>BJ236/BF236-1</f>
        <v>-0.12873919787281185</v>
      </c>
      <c r="BK255" s="293"/>
      <c r="BL255" s="294">
        <f>BL236/BH236-1</f>
        <v>0.22911963882618513</v>
      </c>
      <c r="BM255" s="294">
        <f>BM236/BI236-1</f>
        <v>0.35000000000000009</v>
      </c>
      <c r="BN255" s="294">
        <f>BN236/BJ236-1</f>
        <v>0.2955239064089521</v>
      </c>
      <c r="BO255" s="293"/>
      <c r="BP255" s="294">
        <f>BP236/BL236-1</f>
        <v>6.1524334251606971E-2</v>
      </c>
      <c r="BQ255" s="294">
        <f>BQ236/BM236-1</f>
        <v>9.259259259259256E-2</v>
      </c>
      <c r="BR255" s="294">
        <f>BR236/BN236-1</f>
        <v>7.93089909697684E-2</v>
      </c>
      <c r="BS255" s="293"/>
      <c r="BT255" s="294">
        <f>BT236/BP236-1</f>
        <v>0.3226643598615917</v>
      </c>
      <c r="BU255" s="294">
        <f>BU236/BQ236-1</f>
        <v>-0.12994350282485878</v>
      </c>
      <c r="BV255" s="294">
        <f>BV236/BR236-1</f>
        <v>6.0385594761731554E-2</v>
      </c>
      <c r="BW255" s="293"/>
      <c r="BX255" s="294">
        <f>BX236/BT236-1</f>
        <v>-2.877697841726623E-2</v>
      </c>
      <c r="BY255" s="294">
        <f>BY236/BU236-1</f>
        <v>5.555555555555558E-2</v>
      </c>
      <c r="BZ255" s="294">
        <f>BZ236/BV236-1</f>
        <v>1.132075471698113E-2</v>
      </c>
      <c r="CA255" s="293"/>
      <c r="CB255" s="294">
        <f>CB236/BX236-1</f>
        <v>-0.11043771043771045</v>
      </c>
      <c r="CC255" s="294">
        <f>CC236/BY236-1</f>
        <v>8.407382091592619E-2</v>
      </c>
      <c r="CD255" s="294">
        <f>CD236/BZ236-1</f>
        <v>-1.3907734056987753E-2</v>
      </c>
      <c r="CE255" s="293"/>
      <c r="CF255" s="294">
        <f>CF236/CB236-1</f>
        <v>0.62831188493565482</v>
      </c>
      <c r="CG255" s="294">
        <f>CG236/CC236-1</f>
        <v>0.43947036569987397</v>
      </c>
      <c r="CH255" s="294">
        <f>CH236/CD236-1</f>
        <v>0.52528379772961808</v>
      </c>
      <c r="CI255" s="293"/>
      <c r="CJ255" s="294">
        <f>CJ236/CF236-1</f>
        <v>3.2543003254299485E-3</v>
      </c>
      <c r="CK255" s="294">
        <f>CK236/CG236-1</f>
        <v>-0.26325010950503724</v>
      </c>
      <c r="CL255" s="294">
        <f>CL236/CH236-1</f>
        <v>-0.13396481732070364</v>
      </c>
      <c r="CM255" s="293"/>
      <c r="CN255" s="294">
        <f>CN236/CJ236-1</f>
        <v>-1.2974976830398499E-2</v>
      </c>
      <c r="CO255" s="294">
        <f>CO236/CK236-1</f>
        <v>0.5148632580261594</v>
      </c>
      <c r="CP255" s="294">
        <f>CP236/CL236-1</f>
        <v>0.2182291666666667</v>
      </c>
      <c r="CQ255" s="293"/>
      <c r="CR255" s="294">
        <f>CR236/CN236-1</f>
        <v>0.30000000000000004</v>
      </c>
      <c r="CS255" s="294">
        <f>CS236/CO236-1</f>
        <v>0.33830455259026682</v>
      </c>
      <c r="CT255" s="294">
        <f>CT236/CP236-1</f>
        <v>0.32086361693031207</v>
      </c>
      <c r="CU255" s="293"/>
      <c r="CV255" s="294">
        <f>CV236/CR236-1</f>
        <v>0.16973636691946559</v>
      </c>
      <c r="CW255" s="294">
        <f>CW236/CS236-1</f>
        <v>0.6064516129032258</v>
      </c>
      <c r="CX255" s="294">
        <f>CX236/CT236-1</f>
        <v>0.41074607541673402</v>
      </c>
      <c r="CY255" s="293"/>
      <c r="CZ255" s="294">
        <f>CZ236/CV236-1</f>
        <v>-9.5708552022229054E-2</v>
      </c>
      <c r="DA255" s="294">
        <f>DA236/CW236-1</f>
        <v>-0.38061336254107336</v>
      </c>
      <c r="DB255" s="294">
        <f>DB236/CX236-1</f>
        <v>-0.2747504875530572</v>
      </c>
      <c r="DC255" s="293"/>
      <c r="DD255" s="294">
        <f>DD236/CZ236-1</f>
        <v>-1.1949470809149876E-2</v>
      </c>
      <c r="DE255" s="294">
        <f>DE236/DA236-1</f>
        <v>-7.9280872384320689E-2</v>
      </c>
      <c r="DF255" s="294">
        <f>DF236/DB236-1</f>
        <v>-4.8086048718759877E-2</v>
      </c>
      <c r="DG255" s="293"/>
      <c r="DH255" s="294">
        <f>DH236/DD236-1</f>
        <v>-3.8009675190048275E-3</v>
      </c>
      <c r="DI255" s="294">
        <f>DI236/DE236-1</f>
        <v>0.15108514724711908</v>
      </c>
      <c r="DJ255" s="294">
        <f>DJ236/DF236-1</f>
        <v>7.6601861083416489E-2</v>
      </c>
      <c r="DK255" s="293"/>
      <c r="DL255" s="294">
        <f>DL236/DH236-1</f>
        <v>2.6952029136316336E-2</v>
      </c>
      <c r="DM255" s="294">
        <f>DM236/DI236-1</f>
        <v>2.2592745530438219E-2</v>
      </c>
      <c r="DN255" s="294">
        <f>DN236/DJ236-1</f>
        <v>2.4532525439922015E-2</v>
      </c>
      <c r="DO255" s="293"/>
      <c r="DP255" s="294">
        <f>DP236/DL236-1</f>
        <v>2.3893024250628114E-2</v>
      </c>
      <c r="DQ255" s="294">
        <f>DQ236/DM236-1</f>
        <v>2.5874829949971367E-2</v>
      </c>
      <c r="DR255" s="294">
        <f>DR236/DN236-1</f>
        <v>2.4990889897459123E-2</v>
      </c>
      <c r="DS255" s="293"/>
      <c r="DT255" s="293"/>
      <c r="DU255" s="293"/>
      <c r="DV255" s="293"/>
      <c r="DW255" s="294"/>
      <c r="DX255" s="294"/>
      <c r="DY255" s="294"/>
      <c r="DZ255" s="293"/>
      <c r="EA255" s="294"/>
      <c r="EB255" s="294"/>
      <c r="EC255" s="294"/>
      <c r="ED255" s="293"/>
      <c r="EE255" s="294"/>
      <c r="EF255" s="294"/>
      <c r="EG255" s="294"/>
      <c r="EH255" s="293"/>
      <c r="EI255" s="294"/>
      <c r="EJ255" s="294"/>
      <c r="EK255" s="294"/>
      <c r="EL255" s="293"/>
      <c r="EM255" s="293"/>
      <c r="EN255" s="293"/>
      <c r="EO255" s="293"/>
      <c r="EP255" s="293"/>
      <c r="EQ255" s="293"/>
      <c r="ER255" s="293"/>
      <c r="ES255" s="293"/>
      <c r="ET255" s="293"/>
      <c r="EU255" s="293"/>
      <c r="JW255"/>
    </row>
    <row r="256" spans="1:283" s="332" customFormat="1">
      <c r="A256" s="1079" t="str">
        <f>A241</f>
        <v>Total operating expenses</v>
      </c>
      <c r="AN256" s="294"/>
      <c r="AO256" s="294"/>
      <c r="AP256" s="293"/>
      <c r="AQ256" s="293"/>
      <c r="AR256" s="294"/>
      <c r="AS256" s="294"/>
      <c r="AT256" s="293"/>
      <c r="AU256" s="293"/>
      <c r="AV256" s="294"/>
      <c r="AW256" s="294"/>
      <c r="AX256" s="294"/>
      <c r="AY256" s="293"/>
      <c r="AZ256" s="294">
        <f>AZ241/AV241-1</f>
        <v>0.22364864864864864</v>
      </c>
      <c r="BA256" s="294">
        <f>BA241/AW241-1</f>
        <v>0.36757105943152446</v>
      </c>
      <c r="BB256" s="294">
        <f>BB241/AX241-1</f>
        <v>0.2972258916776751</v>
      </c>
      <c r="BC256" s="293"/>
      <c r="BD256" s="294">
        <f>BD241/AZ241-1</f>
        <v>7.0127001656543397E-2</v>
      </c>
      <c r="BE256" s="294">
        <f>BE241/BA241-1</f>
        <v>-0.10880179499291454</v>
      </c>
      <c r="BF256" s="294">
        <f>BF241/BB241-1</f>
        <v>-2.6306873727087621E-2</v>
      </c>
      <c r="BG256" s="331"/>
      <c r="BH256" s="294">
        <f>BH241/BD241-1</f>
        <v>-0.24561403508771928</v>
      </c>
      <c r="BI256" s="294">
        <f>BI241/BE241-1</f>
        <v>-0.23462894822010416</v>
      </c>
      <c r="BJ256" s="294">
        <f>BJ241/BF241-1</f>
        <v>-0.24019521074072181</v>
      </c>
      <c r="BK256" s="293"/>
      <c r="BL256" s="294">
        <f>BL241/BH241-1</f>
        <v>0.11491108071135425</v>
      </c>
      <c r="BM256" s="294">
        <f>BM241/BI241-1</f>
        <v>0.24515235457063711</v>
      </c>
      <c r="BN256" s="294">
        <f>BN241/BJ241-1</f>
        <v>0.17962835512732278</v>
      </c>
      <c r="BO256" s="293"/>
      <c r="BP256" s="294">
        <f>BP241/BL241-1</f>
        <v>9.0797546012269859E-2</v>
      </c>
      <c r="BQ256" s="294">
        <f>BQ241/BM241-1</f>
        <v>6.8965517241379226E-2</v>
      </c>
      <c r="BR256" s="294">
        <f>BR241/BN241-1</f>
        <v>7.9346557759626624E-2</v>
      </c>
      <c r="BS256" s="293"/>
      <c r="BT256" s="294">
        <f>BT241/BP241-1</f>
        <v>0.13273340832395952</v>
      </c>
      <c r="BU256" s="294">
        <f>BU241/BQ241-1</f>
        <v>0.10718002081165445</v>
      </c>
      <c r="BV256" s="294">
        <f>BV241/BR241-1</f>
        <v>0.11945945945945935</v>
      </c>
      <c r="BW256" s="293"/>
      <c r="BX256" s="294">
        <f>BX241/BT241-1</f>
        <v>-1.2909632571996066E-2</v>
      </c>
      <c r="BY256" s="294">
        <f>BY241/BU241-1</f>
        <v>-7.7067669172932285E-2</v>
      </c>
      <c r="BZ256" s="294">
        <f>BZ241/BV241-1</f>
        <v>-4.587155963302747E-2</v>
      </c>
      <c r="CA256" s="293"/>
      <c r="CB256" s="294">
        <f>CB241/BX241-1</f>
        <v>-5.1307847082494917E-2</v>
      </c>
      <c r="CC256" s="294">
        <f>CC241/BY241-1</f>
        <v>7.3319755600814718E-2</v>
      </c>
      <c r="CD256" s="294">
        <f>CD241/BZ241-1</f>
        <v>1.0627530364372362E-2</v>
      </c>
      <c r="CE256" s="293"/>
      <c r="CF256" s="294">
        <f>CF241/CB241-1</f>
        <v>0.36373276776246022</v>
      </c>
      <c r="CG256" s="294">
        <f>CG241/CC241-1</f>
        <v>0.3311195445920303</v>
      </c>
      <c r="CH256" s="294">
        <f>CH241/CD241-1</f>
        <v>0.34651977966950431</v>
      </c>
      <c r="CI256" s="293"/>
      <c r="CJ256" s="294">
        <f>CJ241/CF241-1</f>
        <v>-0.20839813374805594</v>
      </c>
      <c r="CK256" s="294">
        <f>CK241/CG241-1</f>
        <v>-0.22736992159657876</v>
      </c>
      <c r="CL256" s="294">
        <f>CL241/CH241-1</f>
        <v>-0.21829676459650427</v>
      </c>
      <c r="CM256" s="293"/>
      <c r="CN256" s="294">
        <f>CN241/CJ241-1</f>
        <v>2.9469548133595369E-2</v>
      </c>
      <c r="CO256" s="294">
        <f>CO241/CK241-1</f>
        <v>-5.0738007380073835E-2</v>
      </c>
      <c r="CP256" s="294">
        <f>CP241/CL241-1</f>
        <v>-1.18934348239772E-2</v>
      </c>
      <c r="CQ256" s="293"/>
      <c r="CR256" s="294">
        <f>CR241/CN241-1</f>
        <v>-7.6335877862595547E-3</v>
      </c>
      <c r="CS256" s="294">
        <f>CS241/CO241-1</f>
        <v>0.1933916423712343</v>
      </c>
      <c r="CT256" s="294">
        <f>CT241/CP241-1</f>
        <v>9.1959557053442387E-2</v>
      </c>
      <c r="CU256" s="293"/>
      <c r="CV256" s="294">
        <f>CV241/CR241-1</f>
        <v>0.19519230769230766</v>
      </c>
      <c r="CW256" s="294">
        <f>CW241/CS241-1</f>
        <v>0.19462540716612375</v>
      </c>
      <c r="CX256" s="294">
        <f>CX241/CT241-1</f>
        <v>0.19488536155202829</v>
      </c>
      <c r="CY256" s="293"/>
      <c r="CZ256" s="294">
        <f>CZ241/CV241-1</f>
        <v>0.24296057924376502</v>
      </c>
      <c r="DA256" s="294">
        <f>DA241/CW241-1</f>
        <v>6.5439672801635984E-2</v>
      </c>
      <c r="DB256" s="294">
        <f>DB241/CX241-1</f>
        <v>0.14686346863468636</v>
      </c>
      <c r="DC256" s="293"/>
      <c r="DD256" s="294">
        <f>DD241/CZ241-1</f>
        <v>2.1359223300970953E-2</v>
      </c>
      <c r="DE256" s="294">
        <f>DE241/DA241-1</f>
        <v>3.1349968010236706E-2</v>
      </c>
      <c r="DF256" s="294">
        <f>DF241/DB241-1</f>
        <v>2.6383526383526368E-2</v>
      </c>
      <c r="DG256" s="293"/>
      <c r="DH256" s="294">
        <f>DH241/DD241-1</f>
        <v>0.12230671736375154</v>
      </c>
      <c r="DI256" s="294">
        <f>DI241/DE241-1</f>
        <v>5.4999999999999938E-2</v>
      </c>
      <c r="DJ256" s="294">
        <f>DJ241/DF241-1</f>
        <v>8.8294670846394974E-2</v>
      </c>
      <c r="DK256" s="293"/>
      <c r="DL256" s="294">
        <f>DL241/DH241-1</f>
        <v>-4.500000000000004E-2</v>
      </c>
      <c r="DM256" s="294">
        <f>DM241/DI241-1</f>
        <v>2.4999999999999911E-2</v>
      </c>
      <c r="DN256" s="294">
        <f>DN241/DJ241-1</f>
        <v>-1.070914202427653E-2</v>
      </c>
      <c r="DO256" s="293"/>
      <c r="DP256" s="294">
        <f>DP241/DL241-1</f>
        <v>3.1236589497459111E-2</v>
      </c>
      <c r="DQ256" s="294">
        <f>DQ241/DM241-1</f>
        <v>3.1243796526054579E-2</v>
      </c>
      <c r="DR256" s="294">
        <f>DR241/DN241-1</f>
        <v>3.1240247436185031E-2</v>
      </c>
      <c r="DS256" s="293"/>
      <c r="DT256" s="293"/>
      <c r="DU256" s="293"/>
      <c r="DV256" s="293"/>
      <c r="DW256" s="294"/>
      <c r="DX256" s="294"/>
      <c r="DY256" s="294"/>
      <c r="DZ256" s="293"/>
      <c r="EA256" s="294"/>
      <c r="EB256" s="294"/>
      <c r="EC256" s="294"/>
      <c r="ED256" s="293"/>
      <c r="EE256" s="294"/>
      <c r="EF256" s="294"/>
      <c r="EG256" s="294"/>
      <c r="EH256" s="293"/>
      <c r="EI256" s="294"/>
      <c r="EJ256" s="294"/>
      <c r="EK256" s="294"/>
      <c r="EL256" s="293"/>
      <c r="EM256" s="293"/>
      <c r="EN256" s="293"/>
      <c r="EO256" s="293"/>
      <c r="EP256" s="293"/>
      <c r="EQ256" s="293"/>
      <c r="ER256" s="293"/>
      <c r="ES256" s="293"/>
      <c r="ET256" s="293"/>
      <c r="EU256" s="293"/>
      <c r="JW256"/>
    </row>
    <row r="257" spans="1:283" s="332" customFormat="1">
      <c r="A257" s="1079" t="str">
        <f>A243</f>
        <v>Profit before tax</v>
      </c>
      <c r="AN257" s="294"/>
      <c r="AO257" s="294"/>
      <c r="AP257" s="293"/>
      <c r="AQ257" s="293"/>
      <c r="AR257" s="294"/>
      <c r="AS257" s="294"/>
      <c r="AT257" s="293"/>
      <c r="AU257" s="293"/>
      <c r="AV257" s="294"/>
      <c r="AW257" s="294"/>
      <c r="AX257" s="294"/>
      <c r="AY257" s="293"/>
      <c r="AZ257" s="294">
        <f>AZ243/AV243-1</f>
        <v>-0.61426491994177579</v>
      </c>
      <c r="BA257" s="294">
        <f>BA243/AW243-1</f>
        <v>-0.31388888888888888</v>
      </c>
      <c r="BB257" s="294">
        <f>BB243/AX243-1</f>
        <v>-0.46055437100213215</v>
      </c>
      <c r="BC257" s="293"/>
      <c r="BD257" s="294">
        <f>BD243/AZ243-1</f>
        <v>-1.0509433962264152</v>
      </c>
      <c r="BE257" s="294">
        <f>BE243/BA243-1</f>
        <v>-0.27597834008097166</v>
      </c>
      <c r="BF257" s="294">
        <f>BF243/BB243-1</f>
        <v>-0.5465524374176548</v>
      </c>
      <c r="BG257" s="331"/>
      <c r="BH257" s="294">
        <f>BH243/BD243-1</f>
        <v>-12.481481481481481</v>
      </c>
      <c r="BI257" s="294">
        <f>BI243/BE243-1</f>
        <v>9.3187316571552437E-4</v>
      </c>
      <c r="BJ257" s="294">
        <f>BJ243/BF243-1</f>
        <v>0.4905567563625417</v>
      </c>
      <c r="BK257" s="293"/>
      <c r="BL257" s="294">
        <f>BL243/BH243-1</f>
        <v>0.76774193548387104</v>
      </c>
      <c r="BM257" s="294">
        <f>BM243/BI243-1</f>
        <v>0.56145251396648055</v>
      </c>
      <c r="BN257" s="294">
        <f>BN243/BJ243-1</f>
        <v>0.62378167641325533</v>
      </c>
      <c r="BO257" s="293"/>
      <c r="BP257" s="294">
        <f>BP243/BL243-1</f>
        <v>-2.5547445255474477E-2</v>
      </c>
      <c r="BQ257" s="294">
        <f>BQ243/BM243-1</f>
        <v>0.13059033989266555</v>
      </c>
      <c r="BR257" s="294">
        <f>BR243/BN243-1</f>
        <v>7.9231692677070864E-2</v>
      </c>
      <c r="BS257" s="293"/>
      <c r="BT257" s="294">
        <f>BT243/BP243-1</f>
        <v>0.95505617977528079</v>
      </c>
      <c r="BU257" s="294">
        <f>BU243/BQ243-1</f>
        <v>-0.490506329113924</v>
      </c>
      <c r="BV257" s="294">
        <f>BV243/BR243-1</f>
        <v>-6.1179087875417149E-2</v>
      </c>
      <c r="BW257" s="293"/>
      <c r="BX257" s="294">
        <f>BX243/BT243-1</f>
        <v>-5.9386973180076574E-2</v>
      </c>
      <c r="BY257" s="294">
        <f>BY243/BU243-1</f>
        <v>0.4937888198757765</v>
      </c>
      <c r="BZ257" s="294">
        <f>BZ243/BV243-1</f>
        <v>0.15165876777251186</v>
      </c>
      <c r="CA257" s="293"/>
      <c r="CB257" s="294">
        <f>CB243/BX243-1</f>
        <v>-0.23014256619144602</v>
      </c>
      <c r="CC257" s="294">
        <f>CC243/BY243-1</f>
        <v>0.10602910602910609</v>
      </c>
      <c r="CD257" s="294">
        <f>CD243/BZ243-1</f>
        <v>-6.3786008230452662E-2</v>
      </c>
      <c r="CE257" s="293"/>
      <c r="CF257" s="294">
        <f>CF243/CB243-1</f>
        <v>1.2883597883597884</v>
      </c>
      <c r="CG257" s="294">
        <f>CG243/CC243-1</f>
        <v>0.65413533834586457</v>
      </c>
      <c r="CH257" s="294">
        <f>CH243/CD243-1</f>
        <v>0.91758241758241765</v>
      </c>
      <c r="CI257" s="293"/>
      <c r="CJ257" s="294">
        <f>CJ243/CF243-1</f>
        <v>0.31791907514450868</v>
      </c>
      <c r="CK257" s="294">
        <f>CK243/CG243-1</f>
        <v>-0.32045454545454544</v>
      </c>
      <c r="CL257" s="294">
        <f>CL243/CH243-1</f>
        <v>-4.0114613180515235E-3</v>
      </c>
      <c r="CM257" s="293"/>
      <c r="CN257" s="294">
        <f>CN243/CJ243-1</f>
        <v>-5.0877192982456187E-2</v>
      </c>
      <c r="CO257" s="294">
        <f>CO243/CK243-1</f>
        <v>1.540133779264214</v>
      </c>
      <c r="CP257" s="294">
        <f>CP243/CL243-1</f>
        <v>0.49654775604142687</v>
      </c>
      <c r="CQ257" s="293"/>
      <c r="CR257" s="294">
        <f>CR243/CN243-1</f>
        <v>0.59796672828096109</v>
      </c>
      <c r="CS257" s="294">
        <f>CS243/CO243-1</f>
        <v>0.43647136273864384</v>
      </c>
      <c r="CT257" s="294">
        <f>CT243/CP243-1</f>
        <v>0.50365244136870424</v>
      </c>
      <c r="CU257" s="293"/>
      <c r="CV257" s="294">
        <f>CV243/CR243-1</f>
        <v>0.1544245228455754</v>
      </c>
      <c r="CW257" s="294">
        <f>CW243/CS243-1</f>
        <v>0.83822181484876257</v>
      </c>
      <c r="CX257" s="294">
        <f>CX243/CT243-1</f>
        <v>0.53592431603170554</v>
      </c>
      <c r="CY257" s="293"/>
      <c r="CZ257" s="294">
        <f>CZ243/CV243-1</f>
        <v>-0.30661322645290578</v>
      </c>
      <c r="DA257" s="294">
        <f>DA243/CW243-1</f>
        <v>-0.54375467464472704</v>
      </c>
      <c r="DB257" s="294">
        <f>DB243/CX243-1</f>
        <v>-0.46495754952555357</v>
      </c>
      <c r="DC257" s="293"/>
      <c r="DD257" s="294">
        <f>DD243/CZ243-1</f>
        <v>-4.9132947976878616E-2</v>
      </c>
      <c r="DE257" s="294">
        <f>DE243/DA243-1</f>
        <v>-0.17377049180327864</v>
      </c>
      <c r="DF257" s="294">
        <f>DF243/DB243-1</f>
        <v>-0.120099564405725</v>
      </c>
      <c r="DG257" s="293"/>
      <c r="DH257" s="294">
        <f>DH243/DD243-1</f>
        <v>-0.15501519756838911</v>
      </c>
      <c r="DI257" s="294">
        <f>DI243/DE243-1</f>
        <v>0.25352513227513263</v>
      </c>
      <c r="DJ257" s="294">
        <f>DJ243/DF243-1</f>
        <v>6.3412305516266088E-2</v>
      </c>
      <c r="DK257" s="293"/>
      <c r="DL257" s="294">
        <f>DL243/DH243-1</f>
        <v>0.14154469424460436</v>
      </c>
      <c r="DM257" s="294">
        <f>DM243/DI243-1</f>
        <v>2.0432741000248056E-2</v>
      </c>
      <c r="DN257" s="294">
        <f>DN243/DJ243-1</f>
        <v>6.5215485829623221E-2</v>
      </c>
      <c r="DO257" s="293"/>
      <c r="DP257" s="294">
        <f>DP243/DL243-1</f>
        <v>1.4108692185277993E-2</v>
      </c>
      <c r="DQ257" s="294">
        <f>DQ243/DM243-1</f>
        <v>2.103574951157805E-2</v>
      </c>
      <c r="DR257" s="294">
        <f>DR243/DN243-1</f>
        <v>1.8290840641026707E-2</v>
      </c>
      <c r="DS257" s="293"/>
      <c r="DT257" s="293"/>
      <c r="DU257" s="293"/>
      <c r="DV257" s="293"/>
      <c r="DW257" s="294"/>
      <c r="DX257" s="294"/>
      <c r="DY257" s="294"/>
      <c r="DZ257" s="293"/>
      <c r="EA257" s="294"/>
      <c r="EB257" s="294"/>
      <c r="EC257" s="294"/>
      <c r="ED257" s="293"/>
      <c r="EE257" s="294"/>
      <c r="EF257" s="294"/>
      <c r="EG257" s="294"/>
      <c r="EH257" s="293"/>
      <c r="EI257" s="294"/>
      <c r="EJ257" s="294"/>
      <c r="EK257" s="294"/>
      <c r="EL257" s="293"/>
      <c r="EM257" s="293"/>
      <c r="EN257" s="293"/>
      <c r="EO257" s="293"/>
      <c r="EP257" s="293"/>
      <c r="EQ257" s="293"/>
      <c r="ER257" s="293"/>
      <c r="ES257" s="293"/>
      <c r="ET257" s="293"/>
      <c r="EU257" s="293"/>
      <c r="JW257"/>
    </row>
    <row r="258" spans="1:283" s="332" customFormat="1">
      <c r="AN258" s="293"/>
      <c r="AO258" s="293"/>
      <c r="AP258" s="293"/>
      <c r="AQ258" s="293"/>
      <c r="AR258" s="293"/>
      <c r="AS258" s="293"/>
      <c r="AT258" s="293"/>
      <c r="AU258" s="293"/>
      <c r="AV258" s="293"/>
      <c r="AW258" s="293"/>
      <c r="AX258" s="293"/>
      <c r="AY258" s="293"/>
      <c r="AZ258" s="293"/>
      <c r="BA258" s="293"/>
      <c r="BB258" s="293"/>
      <c r="BC258" s="293"/>
      <c r="BD258" s="293"/>
      <c r="BE258" s="293"/>
      <c r="BF258" s="293"/>
      <c r="BG258" s="293"/>
      <c r="BH258" s="293"/>
      <c r="BI258" s="293"/>
      <c r="BJ258" s="293"/>
      <c r="BK258" s="293"/>
      <c r="BL258" s="293"/>
      <c r="BM258" s="293"/>
      <c r="BN258" s="293"/>
      <c r="BO258" s="293"/>
      <c r="BP258" s="293"/>
      <c r="BQ258" s="293"/>
      <c r="BR258" s="293"/>
      <c r="BS258" s="293"/>
      <c r="BT258" s="293"/>
      <c r="BU258" s="293"/>
      <c r="BV258" s="293"/>
      <c r="BW258" s="293"/>
      <c r="BX258" s="293"/>
      <c r="BY258" s="293"/>
      <c r="BZ258" s="293"/>
      <c r="CA258" s="293"/>
      <c r="CB258" s="293"/>
      <c r="CC258" s="293"/>
      <c r="CD258" s="293"/>
      <c r="CE258" s="293"/>
      <c r="CF258" s="293"/>
      <c r="CG258" s="293"/>
      <c r="CH258" s="293"/>
      <c r="CI258" s="293"/>
      <c r="CJ258" s="293"/>
      <c r="CK258" s="293"/>
      <c r="CL258" s="293"/>
      <c r="CM258" s="293"/>
      <c r="CN258" s="293"/>
      <c r="CO258" s="293"/>
      <c r="CP258" s="293"/>
      <c r="CQ258" s="293"/>
      <c r="CR258" s="293"/>
      <c r="CS258" s="293"/>
      <c r="CT258" s="293"/>
      <c r="CU258" s="293"/>
      <c r="CV258" s="293"/>
      <c r="CW258" s="293"/>
      <c r="CX258" s="293"/>
      <c r="CY258" s="293"/>
      <c r="CZ258" s="293"/>
      <c r="DA258" s="293"/>
      <c r="DB258" s="293"/>
      <c r="DC258" s="293"/>
      <c r="DD258" s="293"/>
      <c r="DE258" s="293"/>
      <c r="DF258" s="293"/>
      <c r="DG258" s="293"/>
      <c r="DH258" s="293"/>
      <c r="DI258" s="293"/>
      <c r="DJ258" s="293"/>
      <c r="DK258" s="293"/>
      <c r="DL258" s="293"/>
      <c r="DM258" s="293"/>
      <c r="DN258" s="293"/>
      <c r="DO258" s="293"/>
      <c r="DP258" s="293"/>
      <c r="DQ258" s="293"/>
      <c r="DR258" s="293"/>
      <c r="DS258" s="293"/>
      <c r="DT258" s="293"/>
      <c r="DU258" s="293"/>
      <c r="DV258" s="293"/>
      <c r="DW258" s="293"/>
      <c r="DX258" s="293"/>
      <c r="DY258" s="293"/>
      <c r="DZ258" s="293"/>
      <c r="EA258" s="293"/>
      <c r="EB258" s="293"/>
      <c r="EC258" s="293"/>
      <c r="ED258" s="293"/>
      <c r="EE258" s="293"/>
      <c r="EF258" s="293"/>
      <c r="EG258" s="293"/>
      <c r="EH258" s="293"/>
      <c r="EI258" s="293"/>
      <c r="EJ258" s="293"/>
      <c r="EK258" s="293"/>
      <c r="EL258" s="293"/>
      <c r="EM258" s="293"/>
      <c r="EN258" s="293"/>
      <c r="EO258" s="293"/>
      <c r="EP258" s="293"/>
      <c r="EQ258" s="293"/>
      <c r="ER258" s="293"/>
      <c r="ES258" s="293"/>
      <c r="ET258" s="293"/>
      <c r="EU258" s="293"/>
      <c r="JW258"/>
    </row>
    <row r="259" spans="1:283" s="332" customFormat="1">
      <c r="A259" s="327" t="s">
        <v>1110</v>
      </c>
      <c r="AN259" s="924"/>
      <c r="AO259" s="924"/>
      <c r="AR259" s="924"/>
      <c r="AS259" s="924"/>
      <c r="AV259" s="924"/>
      <c r="AW259" s="924"/>
      <c r="AZ259" s="924"/>
      <c r="BA259" s="924"/>
      <c r="BD259" s="924"/>
      <c r="BE259" s="924"/>
      <c r="BH259" s="924"/>
      <c r="BI259" s="924"/>
      <c r="BL259" s="924"/>
      <c r="BM259" s="924"/>
      <c r="BP259" s="924"/>
      <c r="BQ259" s="924"/>
      <c r="BT259" s="924"/>
      <c r="BU259" s="924"/>
      <c r="BW259" s="924"/>
      <c r="BX259" s="924"/>
      <c r="BY259" s="924"/>
      <c r="BZ259" s="924"/>
      <c r="CA259" s="293"/>
      <c r="CB259" s="924"/>
      <c r="CC259" s="924"/>
      <c r="CD259" s="924"/>
      <c r="CE259" s="293"/>
      <c r="CF259" s="924"/>
      <c r="CG259" s="924"/>
      <c r="CH259" s="924"/>
      <c r="CI259" s="293"/>
      <c r="CJ259" s="924"/>
      <c r="CK259" s="924"/>
      <c r="CL259" s="924"/>
      <c r="CM259" s="293"/>
      <c r="CN259" s="924"/>
      <c r="CO259" s="924"/>
      <c r="CP259" s="924"/>
      <c r="CQ259" s="293"/>
      <c r="CR259" s="924"/>
      <c r="CS259" s="924"/>
      <c r="CT259" s="924"/>
      <c r="CU259" s="293"/>
      <c r="CV259" s="924"/>
      <c r="CW259" s="924"/>
      <c r="CX259" s="924"/>
      <c r="CY259" s="293"/>
      <c r="CZ259" s="924"/>
      <c r="DA259" s="924"/>
      <c r="DB259" s="924"/>
      <c r="DC259" s="293"/>
      <c r="DD259" s="924"/>
      <c r="DE259" s="924"/>
      <c r="DF259" s="924"/>
      <c r="DG259" s="293"/>
      <c r="DH259" s="924"/>
      <c r="DI259" s="293"/>
      <c r="DJ259" s="293"/>
      <c r="DK259" s="293"/>
      <c r="DL259" s="293"/>
      <c r="DM259" s="293"/>
      <c r="DN259" s="293"/>
      <c r="DO259" s="293"/>
      <c r="DP259" s="293"/>
      <c r="DQ259" s="293"/>
      <c r="DR259" s="293"/>
      <c r="DS259" s="293"/>
      <c r="DT259" s="293"/>
      <c r="DU259" s="293"/>
      <c r="DV259" s="293"/>
      <c r="DW259" s="293"/>
      <c r="DX259" s="293"/>
      <c r="DY259" s="293"/>
      <c r="DZ259" s="293"/>
      <c r="EA259" s="293"/>
      <c r="EB259" s="293"/>
      <c r="EC259" s="293"/>
      <c r="ED259" s="293"/>
      <c r="EE259" s="293"/>
      <c r="EF259" s="293"/>
      <c r="EG259" s="293"/>
      <c r="EH259" s="293"/>
      <c r="EI259" s="293"/>
      <c r="EJ259" s="293"/>
      <c r="EK259" s="293"/>
      <c r="EL259" s="293"/>
      <c r="EM259" s="293"/>
      <c r="EN259" s="293"/>
      <c r="EO259" s="293"/>
      <c r="EP259" s="293"/>
      <c r="EQ259" s="293"/>
      <c r="ER259" s="293"/>
      <c r="ES259" s="293"/>
      <c r="ET259" s="293"/>
      <c r="EU259" s="293"/>
      <c r="JW259"/>
    </row>
    <row r="260" spans="1:283" s="332" customFormat="1">
      <c r="A260" s="332" t="s">
        <v>591</v>
      </c>
      <c r="AN260" s="924"/>
      <c r="AO260" s="924"/>
      <c r="AR260" s="924"/>
      <c r="AS260" s="924"/>
      <c r="AZ260" s="492">
        <f t="shared" ref="AZ260:BB260" si="538">AZ301*15%+AZ284</f>
        <v>279.42500000000001</v>
      </c>
      <c r="BA260" s="492">
        <f t="shared" si="538"/>
        <v>503.125</v>
      </c>
      <c r="BB260" s="492">
        <f t="shared" si="538"/>
        <v>782.55</v>
      </c>
      <c r="BC260" s="293"/>
      <c r="BD260" s="492">
        <f t="shared" ref="BD260:BF260" si="539">BD301*15%+BD284</f>
        <v>327.72500000000002</v>
      </c>
      <c r="BE260" s="492">
        <f t="shared" si="539"/>
        <v>351.15</v>
      </c>
      <c r="BF260" s="492">
        <f t="shared" si="539"/>
        <v>678.875</v>
      </c>
      <c r="BG260" s="293"/>
      <c r="BH260" s="492">
        <f t="shared" ref="BH260:BJ260" si="540">BH301*15%+BH284</f>
        <v>395.3</v>
      </c>
      <c r="BI260" s="492">
        <f t="shared" si="540"/>
        <v>418.65</v>
      </c>
      <c r="BJ260" s="492">
        <f t="shared" si="540"/>
        <v>813.95</v>
      </c>
      <c r="BK260" s="293"/>
      <c r="BL260" s="492">
        <f t="shared" ref="BL260:BN260" si="541">BL301*15%+BL284</f>
        <v>452.4</v>
      </c>
      <c r="BM260" s="492">
        <f t="shared" si="541"/>
        <v>790.85</v>
      </c>
      <c r="BN260" s="492">
        <f t="shared" si="541"/>
        <v>1243.25</v>
      </c>
      <c r="BO260" s="293"/>
      <c r="BP260" s="492">
        <f t="shared" ref="BP260:BR260" si="542">BP301*15%+BP284</f>
        <v>480.4</v>
      </c>
      <c r="BQ260" s="492">
        <f t="shared" si="542"/>
        <v>805.1</v>
      </c>
      <c r="BR260" s="492">
        <f t="shared" si="542"/>
        <v>1285.5</v>
      </c>
      <c r="BS260" s="293"/>
      <c r="BT260" s="492">
        <f t="shared" ref="BT260:BV260" si="543">BT301*15%+BT284</f>
        <v>655.9</v>
      </c>
      <c r="BU260" s="492">
        <f t="shared" si="543"/>
        <v>797.4</v>
      </c>
      <c r="BV260" s="492">
        <f t="shared" si="543"/>
        <v>1453.3</v>
      </c>
      <c r="BW260" s="293"/>
      <c r="BX260" s="492">
        <f t="shared" ref="BX260:BZ260" si="544">BX301*15%+BX284</f>
        <v>572.04999999999995</v>
      </c>
      <c r="BY260" s="492">
        <f t="shared" si="544"/>
        <v>688.5</v>
      </c>
      <c r="BZ260" s="492">
        <f t="shared" si="544"/>
        <v>1260.55</v>
      </c>
      <c r="CA260" s="293"/>
      <c r="CB260" s="492">
        <f t="shared" ref="CB260:CD260" si="545">CB301*15%+CB284</f>
        <v>500.4</v>
      </c>
      <c r="CC260" s="492">
        <f t="shared" si="545"/>
        <v>726.55</v>
      </c>
      <c r="CD260" s="492">
        <f t="shared" si="545"/>
        <v>1226.95</v>
      </c>
      <c r="CE260" s="293"/>
      <c r="CF260" s="492">
        <f t="shared" ref="CF260:CH260" si="546">CF301*15%+CF284</f>
        <v>897.65</v>
      </c>
      <c r="CG260" s="492">
        <f t="shared" si="546"/>
        <v>1268.6500000000001</v>
      </c>
      <c r="CH260" s="492">
        <f t="shared" si="546"/>
        <v>2166.3000000000002</v>
      </c>
      <c r="CI260" s="325"/>
      <c r="CJ260" s="492">
        <f t="shared" ref="CJ260:CL260" si="547">CJ301*15%+CJ284</f>
        <v>1091.45</v>
      </c>
      <c r="CK260" s="492">
        <f t="shared" si="547"/>
        <v>741.05</v>
      </c>
      <c r="CL260" s="492">
        <f t="shared" si="547"/>
        <v>1832.5</v>
      </c>
      <c r="CM260" s="293"/>
      <c r="CN260" s="492">
        <f t="shared" ref="CN260:CP260" si="548">CN301*15%+CN284</f>
        <v>1150.55</v>
      </c>
      <c r="CO260" s="492">
        <f t="shared" si="548"/>
        <v>1593.2</v>
      </c>
      <c r="CP260" s="492">
        <f t="shared" si="548"/>
        <v>2743.75</v>
      </c>
      <c r="CQ260" s="293"/>
      <c r="CR260" s="492">
        <f t="shared" ref="CR260:CT260" si="549">CR301*15%+CR284</f>
        <v>1288.2</v>
      </c>
      <c r="CS260" s="492">
        <f t="shared" si="549"/>
        <v>2111.85</v>
      </c>
      <c r="CT260" s="492">
        <f t="shared" si="549"/>
        <v>3400.05</v>
      </c>
      <c r="CU260" s="293"/>
      <c r="CV260" s="492">
        <f t="shared" ref="CV260:CX260" si="550">CV301*15%+CV284</f>
        <v>1997.15</v>
      </c>
      <c r="CW260" s="492">
        <f t="shared" si="550"/>
        <v>4204.7</v>
      </c>
      <c r="CX260" s="492">
        <f t="shared" si="550"/>
        <v>6201.85</v>
      </c>
      <c r="CY260" s="293"/>
      <c r="CZ260" s="492">
        <f t="shared" ref="CZ260:DB260" si="551">CZ301*15%+CZ284</f>
        <v>1576.45</v>
      </c>
      <c r="DA260" s="492">
        <f t="shared" si="551"/>
        <v>2027.45</v>
      </c>
      <c r="DB260" s="492">
        <f t="shared" si="551"/>
        <v>3603.9</v>
      </c>
      <c r="DC260" s="293"/>
      <c r="DD260" s="492">
        <f t="shared" ref="DD260:DF260" si="552">DD301*15%+DD284</f>
        <v>1449.35</v>
      </c>
      <c r="DE260" s="492">
        <f t="shared" si="552"/>
        <v>1650</v>
      </c>
      <c r="DF260" s="492">
        <f t="shared" si="552"/>
        <v>3099.35</v>
      </c>
      <c r="DG260" s="293"/>
      <c r="DH260" s="492">
        <f t="shared" ref="DH260" si="553">DH301*15%+DH284</f>
        <v>1427.7</v>
      </c>
      <c r="DI260" s="492">
        <f t="shared" ref="DI260:DJ260" si="554">DI301*15%+DI284</f>
        <v>2049.7420000000002</v>
      </c>
      <c r="DJ260" s="492">
        <f t="shared" si="554"/>
        <v>3477.4420000000005</v>
      </c>
      <c r="DK260" s="293"/>
      <c r="DL260" s="492">
        <f t="shared" ref="DL260:DN260" si="555">DL301*15%+DL284</f>
        <v>1474.9478399999998</v>
      </c>
      <c r="DM260" s="492">
        <f t="shared" si="555"/>
        <v>2109.7356236000001</v>
      </c>
      <c r="DN260" s="492">
        <f t="shared" si="555"/>
        <v>3584.6834635999999</v>
      </c>
      <c r="DO260" s="293"/>
      <c r="DP260" s="492">
        <f t="shared" ref="DP260:DR260" si="556">DP301*15%+DP284</f>
        <v>1522.553972528</v>
      </c>
      <c r="DQ260" s="492">
        <f t="shared" si="556"/>
        <v>2178.5495965291198</v>
      </c>
      <c r="DR260" s="492">
        <f t="shared" si="556"/>
        <v>3701.1035690571193</v>
      </c>
      <c r="DS260" s="293"/>
      <c r="DT260" s="293"/>
      <c r="DU260" s="293"/>
      <c r="DV260" s="293"/>
      <c r="DW260" s="293"/>
      <c r="DX260" s="293"/>
      <c r="DY260" s="293"/>
      <c r="DZ260" s="293"/>
      <c r="EA260" s="293"/>
      <c r="EB260" s="293"/>
      <c r="EC260" s="293"/>
      <c r="ED260" s="293"/>
      <c r="EE260" s="293"/>
      <c r="EF260" s="293"/>
      <c r="EG260" s="293"/>
      <c r="EH260" s="293"/>
      <c r="EI260" s="293"/>
      <c r="EJ260" s="293"/>
      <c r="EK260" s="293"/>
      <c r="EL260" s="293"/>
      <c r="EM260" s="293"/>
      <c r="EN260" s="293"/>
      <c r="EO260" s="293"/>
      <c r="EP260" s="293"/>
      <c r="EQ260" s="293"/>
      <c r="ER260" s="293"/>
      <c r="ES260" s="293"/>
      <c r="ET260" s="293"/>
      <c r="EU260" s="293"/>
      <c r="JW260"/>
    </row>
    <row r="261" spans="1:283" s="332" customFormat="1">
      <c r="A261" s="332" t="s">
        <v>1109</v>
      </c>
      <c r="AN261" s="924"/>
      <c r="AO261" s="924"/>
      <c r="AR261" s="924"/>
      <c r="AS261" s="924"/>
      <c r="AZ261" s="492">
        <f t="shared" ref="AZ261:BB261" si="557">AZ285 + AZ301*15%</f>
        <v>213.42500000000001</v>
      </c>
      <c r="BA261" s="492">
        <f t="shared" si="557"/>
        <v>258.125</v>
      </c>
      <c r="BB261" s="492">
        <f t="shared" si="557"/>
        <v>471.54999999999995</v>
      </c>
      <c r="BC261" s="293"/>
      <c r="BD261" s="492">
        <f t="shared" ref="BD261:BF261" si="558">BD285 + BD301*15%</f>
        <v>94.724999999999994</v>
      </c>
      <c r="BE261" s="492">
        <f t="shared" si="558"/>
        <v>353.15</v>
      </c>
      <c r="BF261" s="492">
        <f t="shared" si="558"/>
        <v>447.875</v>
      </c>
      <c r="BG261" s="293"/>
      <c r="BH261" s="492">
        <f t="shared" ref="BH261:BJ261" si="559">BH285 + BH301*15%</f>
        <v>238.3</v>
      </c>
      <c r="BI261" s="492">
        <f t="shared" si="559"/>
        <v>323.64999999999998</v>
      </c>
      <c r="BJ261" s="492">
        <f t="shared" si="559"/>
        <v>561.95000000000005</v>
      </c>
      <c r="BK261" s="293"/>
      <c r="BL261" s="492">
        <f t="shared" ref="BL261:BN261" si="560">BL285 + BL301*15%</f>
        <v>282.39999999999998</v>
      </c>
      <c r="BM261" s="492">
        <f t="shared" si="560"/>
        <v>292.85000000000002</v>
      </c>
      <c r="BN261" s="492">
        <f t="shared" si="560"/>
        <v>575.25</v>
      </c>
      <c r="BO261" s="293"/>
      <c r="BP261" s="492">
        <f t="shared" ref="BP261:BR261" si="561">BP285 + BP301*15%</f>
        <v>315.39999999999998</v>
      </c>
      <c r="BQ261" s="492">
        <f t="shared" si="561"/>
        <v>413.1</v>
      </c>
      <c r="BR261" s="492">
        <f t="shared" si="561"/>
        <v>728.5</v>
      </c>
      <c r="BS261" s="293"/>
      <c r="BT261" s="492">
        <f t="shared" ref="BT261:BV261" si="562">BT285 + BT301*15%</f>
        <v>318.89999999999998</v>
      </c>
      <c r="BU261" s="492">
        <f t="shared" si="562"/>
        <v>249.39999999999998</v>
      </c>
      <c r="BV261" s="492">
        <f t="shared" si="562"/>
        <v>568.29999999999995</v>
      </c>
      <c r="BW261" s="293"/>
      <c r="BX261" s="492">
        <f t="shared" ref="BX261:BZ261" si="563">BX285 + BX301*15%</f>
        <v>336.05</v>
      </c>
      <c r="BY261" s="492">
        <f t="shared" si="563"/>
        <v>413.5</v>
      </c>
      <c r="BZ261" s="492">
        <f t="shared" si="563"/>
        <v>749.55</v>
      </c>
      <c r="CA261" s="293"/>
      <c r="CB261" s="492">
        <f t="shared" ref="CB261:CD261" si="564">CB285 + CB301*15%</f>
        <v>348.4</v>
      </c>
      <c r="CC261" s="492">
        <f t="shared" si="564"/>
        <v>293.55</v>
      </c>
      <c r="CD261" s="492">
        <f t="shared" si="564"/>
        <v>641.95000000000005</v>
      </c>
      <c r="CE261" s="293"/>
      <c r="CF261" s="492">
        <f t="shared" ref="CF261:CH261" si="565">CF285 + CF301*15%</f>
        <v>382.65</v>
      </c>
      <c r="CG261" s="492">
        <f t="shared" si="565"/>
        <v>364.65</v>
      </c>
      <c r="CH261" s="492">
        <f t="shared" si="565"/>
        <v>747.3</v>
      </c>
      <c r="CI261" s="325"/>
      <c r="CJ261" s="492">
        <f t="shared" ref="CJ261:CL261" si="566">CJ285 + CJ301*15%</f>
        <v>387.45</v>
      </c>
      <c r="CK261" s="492">
        <f t="shared" si="566"/>
        <v>389.05</v>
      </c>
      <c r="CL261" s="492">
        <f t="shared" si="566"/>
        <v>776.5</v>
      </c>
      <c r="CM261" s="293"/>
      <c r="CN261" s="492">
        <f t="shared" ref="CN261:CP261" si="567">CN285 + CN301*15%</f>
        <v>387.55</v>
      </c>
      <c r="CO261" s="492">
        <f t="shared" si="567"/>
        <v>387.2</v>
      </c>
      <c r="CP261" s="492">
        <f t="shared" si="567"/>
        <v>774.75</v>
      </c>
      <c r="CQ261" s="293"/>
      <c r="CR261" s="492">
        <f t="shared" ref="CR261:CT261" si="568">CR285 + CR301*15%</f>
        <v>410.2</v>
      </c>
      <c r="CS261" s="492">
        <f t="shared" si="568"/>
        <v>553.85</v>
      </c>
      <c r="CT261" s="492">
        <f t="shared" si="568"/>
        <v>964.05</v>
      </c>
      <c r="CU261" s="293"/>
      <c r="CV261" s="492">
        <f t="shared" ref="CV261:CX261" si="569">CV285 + CV301*15%</f>
        <v>674.15</v>
      </c>
      <c r="CW261" s="492">
        <f t="shared" si="569"/>
        <v>431.7</v>
      </c>
      <c r="CX261" s="492">
        <f t="shared" si="569"/>
        <v>1105.8499999999999</v>
      </c>
      <c r="CY261" s="293"/>
      <c r="CZ261" s="492">
        <f t="shared" ref="CZ261:DB261" si="570">CZ285 + CZ301*15%</f>
        <v>647.45000000000005</v>
      </c>
      <c r="DA261" s="492">
        <f t="shared" si="570"/>
        <v>671.45</v>
      </c>
      <c r="DB261" s="492">
        <f t="shared" si="570"/>
        <v>1318.9</v>
      </c>
      <c r="DC261" s="293"/>
      <c r="DD261" s="492">
        <f t="shared" ref="DD261:DF261" si="571">DD285 + DD301*15%</f>
        <v>675.35</v>
      </c>
      <c r="DE261" s="492">
        <f t="shared" si="571"/>
        <v>744</v>
      </c>
      <c r="DF261" s="492">
        <f t="shared" si="571"/>
        <v>1419.35</v>
      </c>
      <c r="DG261" s="293"/>
      <c r="DH261" s="492">
        <f t="shared" ref="DH261" si="572">DH285 + DH301*15%</f>
        <v>705.7</v>
      </c>
      <c r="DI261" s="492">
        <f t="shared" ref="DI261:DJ261" si="573">DI285 + DI301*15%</f>
        <v>732.40200000000004</v>
      </c>
      <c r="DJ261" s="492">
        <f t="shared" si="573"/>
        <v>1438.1020000000001</v>
      </c>
      <c r="DK261" s="293"/>
      <c r="DL261" s="492">
        <f t="shared" ref="DL261:DN261" si="574">DL285 + DL301*15%</f>
        <v>692.49284</v>
      </c>
      <c r="DM261" s="492">
        <f t="shared" si="574"/>
        <v>718.70892360000005</v>
      </c>
      <c r="DN261" s="492">
        <f t="shared" si="574"/>
        <v>1411.2017636</v>
      </c>
      <c r="DO261" s="293"/>
      <c r="DP261" s="492">
        <f t="shared" ref="DP261:DR261" si="575">DP285 + DP301*15%</f>
        <v>679.57112252800005</v>
      </c>
      <c r="DQ261" s="492">
        <f t="shared" si="575"/>
        <v>705.31221552911995</v>
      </c>
      <c r="DR261" s="492">
        <f t="shared" si="575"/>
        <v>1384.8833380571202</v>
      </c>
      <c r="DS261" s="293"/>
      <c r="DT261" s="293"/>
      <c r="DU261" s="293"/>
      <c r="DV261" s="293"/>
      <c r="DW261" s="293"/>
      <c r="DX261" s="293"/>
      <c r="DY261" s="293"/>
      <c r="DZ261" s="293"/>
      <c r="EA261" s="293"/>
      <c r="EB261" s="293"/>
      <c r="EC261" s="293"/>
      <c r="ED261" s="293"/>
      <c r="EE261" s="293"/>
      <c r="EF261" s="293"/>
      <c r="EG261" s="293"/>
      <c r="EH261" s="293"/>
      <c r="EI261" s="293"/>
      <c r="EJ261" s="293"/>
      <c r="EK261" s="293"/>
      <c r="EL261" s="293"/>
      <c r="EM261" s="293"/>
      <c r="EN261" s="293"/>
      <c r="EO261" s="293"/>
      <c r="EP261" s="293"/>
      <c r="EQ261" s="293"/>
      <c r="ER261" s="293"/>
      <c r="ES261" s="293"/>
      <c r="ET261" s="293"/>
      <c r="EU261" s="293"/>
      <c r="JW261"/>
    </row>
    <row r="262" spans="1:283" s="332" customFormat="1">
      <c r="A262" s="332" t="s">
        <v>1108</v>
      </c>
      <c r="AN262" s="924"/>
      <c r="AO262" s="924"/>
      <c r="AR262" s="924"/>
      <c r="AS262" s="924"/>
      <c r="AZ262" s="492">
        <f t="shared" ref="AZ262:BB262" si="576">AZ286 + AZ301*70%</f>
        <v>551.65</v>
      </c>
      <c r="BA262" s="492">
        <f t="shared" si="576"/>
        <v>610.25</v>
      </c>
      <c r="BB262" s="492">
        <f t="shared" si="576"/>
        <v>1161.9000000000001</v>
      </c>
      <c r="BC262" s="293"/>
      <c r="BD262" s="492">
        <f t="shared" ref="BD262:BF262" si="577">BD286 + BD301*70%</f>
        <v>481.04999999999995</v>
      </c>
      <c r="BE262" s="492">
        <f t="shared" si="577"/>
        <v>300.7</v>
      </c>
      <c r="BF262" s="492">
        <f t="shared" si="577"/>
        <v>781.75</v>
      </c>
      <c r="BG262" s="293"/>
      <c r="BH262" s="492">
        <f t="shared" ref="BH262:BJ262" si="578">BH286 + BH301*70%</f>
        <v>287.39999999999998</v>
      </c>
      <c r="BI262" s="492">
        <f t="shared" si="578"/>
        <v>315.7</v>
      </c>
      <c r="BJ262" s="492">
        <f t="shared" si="578"/>
        <v>603.09999999999991</v>
      </c>
      <c r="BK262" s="293"/>
      <c r="BL262" s="492">
        <f t="shared" ref="BL262:BN262" si="579">BL286 + BL301*70%</f>
        <v>402.2</v>
      </c>
      <c r="BM262" s="492">
        <f t="shared" si="579"/>
        <v>388.29999999999995</v>
      </c>
      <c r="BN262" s="492">
        <f t="shared" si="579"/>
        <v>790.5</v>
      </c>
      <c r="BO262" s="293"/>
      <c r="BP262" s="492">
        <f t="shared" ref="BP262:BR262" si="580">BP286 + BP301*70%</f>
        <v>404.2</v>
      </c>
      <c r="BQ262" s="492">
        <f t="shared" si="580"/>
        <v>633.79999999999995</v>
      </c>
      <c r="BR262" s="492">
        <f t="shared" si="580"/>
        <v>1038</v>
      </c>
      <c r="BS262" s="293"/>
      <c r="BT262" s="492">
        <f t="shared" ref="BT262:BV262" si="581">BT286 + BT301*70%</f>
        <v>715.2</v>
      </c>
      <c r="BU262" s="492">
        <f t="shared" si="581"/>
        <v>470.2</v>
      </c>
      <c r="BV262" s="492">
        <f t="shared" si="581"/>
        <v>1185.4000000000001</v>
      </c>
      <c r="BW262" s="293"/>
      <c r="BX262" s="492">
        <f t="shared" ref="BX262:BZ262" si="582">BX286 + BX301*70%</f>
        <v>473.9</v>
      </c>
      <c r="BY262" s="492">
        <f t="shared" si="582"/>
        <v>433</v>
      </c>
      <c r="BZ262" s="492">
        <f t="shared" si="582"/>
        <v>906.9</v>
      </c>
      <c r="CA262" s="293"/>
      <c r="CB262" s="492">
        <f t="shared" ref="CB262:CD262" si="583">CB286 + CB301*70%</f>
        <v>491.2</v>
      </c>
      <c r="CC262" s="492">
        <f t="shared" si="583"/>
        <v>492.9</v>
      </c>
      <c r="CD262" s="492">
        <f t="shared" si="583"/>
        <v>984.09999999999991</v>
      </c>
      <c r="CE262" s="293"/>
      <c r="CF262" s="492">
        <f t="shared" ref="CF262:CH262" si="584">CF286 + CF301*70%</f>
        <v>590.70000000000005</v>
      </c>
      <c r="CG262" s="492">
        <f t="shared" si="584"/>
        <v>506.7</v>
      </c>
      <c r="CH262" s="492">
        <f t="shared" si="584"/>
        <v>1097.4000000000001</v>
      </c>
      <c r="CI262" s="293"/>
      <c r="CJ262" s="492">
        <f t="shared" ref="CJ262:CL262" si="585">CJ286 + CJ301*70%</f>
        <v>416.1</v>
      </c>
      <c r="CK262" s="492">
        <f t="shared" si="585"/>
        <v>395.9</v>
      </c>
      <c r="CL262" s="492">
        <f t="shared" si="585"/>
        <v>812</v>
      </c>
      <c r="CM262" s="293"/>
      <c r="CN262" s="492">
        <f t="shared" ref="CN262:CP262" si="586">CN286 + CN301*70%</f>
        <v>385.9</v>
      </c>
      <c r="CO262" s="492">
        <f t="shared" si="586"/>
        <v>292.60000000000002</v>
      </c>
      <c r="CP262" s="492">
        <f t="shared" si="586"/>
        <v>678.5</v>
      </c>
      <c r="CQ262" s="293"/>
      <c r="CR262" s="492">
        <f t="shared" ref="CR262:CT262" si="587">CR286 + CR301*70%</f>
        <v>342.6</v>
      </c>
      <c r="CS262" s="492">
        <f t="shared" si="587"/>
        <v>406.29999999999995</v>
      </c>
      <c r="CT262" s="492">
        <f t="shared" si="587"/>
        <v>748.9</v>
      </c>
      <c r="CU262" s="293"/>
      <c r="CV262" s="492">
        <f t="shared" ref="CV262:CX262" si="588">CV286 + CV301*70%</f>
        <v>318.7</v>
      </c>
      <c r="CW262" s="492">
        <f t="shared" si="588"/>
        <v>429.6</v>
      </c>
      <c r="CX262" s="492">
        <f t="shared" si="588"/>
        <v>748.3</v>
      </c>
      <c r="CY262" s="293"/>
      <c r="CZ262" s="492">
        <f t="shared" ref="CZ262:DB262" si="589">CZ286 + CZ301*70%</f>
        <v>388.1</v>
      </c>
      <c r="DA262" s="492">
        <f t="shared" si="589"/>
        <v>353.1</v>
      </c>
      <c r="DB262" s="492">
        <f t="shared" si="589"/>
        <v>741.2</v>
      </c>
      <c r="DC262" s="293"/>
      <c r="DD262" s="492">
        <f t="shared" ref="DD262:DF262" si="590">DD286 + DD301*70%</f>
        <v>405.29999999999995</v>
      </c>
      <c r="DE262" s="492">
        <f t="shared" si="590"/>
        <v>413</v>
      </c>
      <c r="DF262" s="492">
        <f t="shared" si="590"/>
        <v>818.3</v>
      </c>
      <c r="DG262" s="293"/>
      <c r="DH262" s="492">
        <f t="shared" ref="DH262" si="591">DH286 + DH301*70%</f>
        <v>451.6</v>
      </c>
      <c r="DI262" s="492">
        <f t="shared" ref="DI262:DJ262" si="592">DI286 + DI301*70%</f>
        <v>462.89599999999996</v>
      </c>
      <c r="DJ262" s="492">
        <f t="shared" si="592"/>
        <v>914.49599999999987</v>
      </c>
      <c r="DK262" s="293"/>
      <c r="DL262" s="492">
        <f t="shared" ref="DL262:DN262" si="593">DL286 + DL301*70%</f>
        <v>446.79991999999999</v>
      </c>
      <c r="DM262" s="492">
        <f t="shared" si="593"/>
        <v>458.09457680000003</v>
      </c>
      <c r="DN262" s="492">
        <f t="shared" si="593"/>
        <v>904.89449680000007</v>
      </c>
      <c r="DO262" s="293"/>
      <c r="DP262" s="492">
        <f t="shared" ref="DP262:DR262" si="594">DP286 + DP301*70%</f>
        <v>442.195238464</v>
      </c>
      <c r="DQ262" s="492">
        <f t="shared" si="594"/>
        <v>453.49421380256001</v>
      </c>
      <c r="DR262" s="492">
        <f t="shared" si="594"/>
        <v>895.68945226656001</v>
      </c>
      <c r="DS262" s="293"/>
      <c r="DT262" s="293"/>
      <c r="DU262" s="293"/>
      <c r="DV262" s="293"/>
      <c r="DW262" s="293"/>
      <c r="DX262" s="293"/>
      <c r="DY262" s="293"/>
      <c r="DZ262" s="293"/>
      <c r="EA262" s="293"/>
      <c r="EB262" s="293"/>
      <c r="EC262" s="293"/>
      <c r="ED262" s="293"/>
      <c r="EE262" s="293"/>
      <c r="EF262" s="293"/>
      <c r="EG262" s="293"/>
      <c r="EH262" s="293"/>
      <c r="EI262" s="293"/>
      <c r="EJ262" s="293"/>
      <c r="EK262" s="293"/>
      <c r="EL262" s="293"/>
      <c r="EM262" s="293"/>
      <c r="EN262" s="293"/>
      <c r="EO262" s="293"/>
      <c r="EP262" s="293"/>
      <c r="EQ262" s="293"/>
      <c r="ER262" s="293"/>
      <c r="ES262" s="293"/>
      <c r="ET262" s="293"/>
      <c r="EU262" s="293"/>
      <c r="JW262"/>
    </row>
    <row r="263" spans="1:283" s="332" customFormat="1">
      <c r="A263" s="327" t="s">
        <v>588</v>
      </c>
      <c r="AN263" s="924"/>
      <c r="AO263" s="924"/>
      <c r="AR263" s="924"/>
      <c r="AS263" s="924"/>
      <c r="AZ263" s="820">
        <f t="shared" ref="AZ263:BB263" si="595">SUM(AZ260:AZ262)</f>
        <v>1044.5</v>
      </c>
      <c r="BA263" s="820">
        <f t="shared" si="595"/>
        <v>1371.5</v>
      </c>
      <c r="BB263" s="820">
        <f t="shared" si="595"/>
        <v>2416</v>
      </c>
      <c r="BC263" s="293"/>
      <c r="BD263" s="820">
        <f t="shared" ref="BD263:BF263" si="596">SUM(BD260:BD262)</f>
        <v>903.5</v>
      </c>
      <c r="BE263" s="820">
        <f t="shared" si="596"/>
        <v>1005</v>
      </c>
      <c r="BF263" s="820">
        <f t="shared" si="596"/>
        <v>1908.5</v>
      </c>
      <c r="BG263" s="293"/>
      <c r="BH263" s="820">
        <f t="shared" ref="BH263:BJ263" si="597">SUM(BH260:BH262)</f>
        <v>921</v>
      </c>
      <c r="BI263" s="820">
        <f t="shared" si="597"/>
        <v>1058</v>
      </c>
      <c r="BJ263" s="820">
        <f t="shared" si="597"/>
        <v>1979</v>
      </c>
      <c r="BK263" s="293"/>
      <c r="BL263" s="820">
        <f t="shared" ref="BL263:BN263" si="598">SUM(BL260:BL262)</f>
        <v>1137</v>
      </c>
      <c r="BM263" s="820">
        <f t="shared" si="598"/>
        <v>1472</v>
      </c>
      <c r="BN263" s="820">
        <f t="shared" si="598"/>
        <v>2609</v>
      </c>
      <c r="BO263" s="293"/>
      <c r="BP263" s="820">
        <f t="shared" ref="BP263:BR263" si="599">SUM(BP260:BP262)</f>
        <v>1200</v>
      </c>
      <c r="BQ263" s="820">
        <f t="shared" si="599"/>
        <v>1852</v>
      </c>
      <c r="BR263" s="820">
        <f t="shared" si="599"/>
        <v>3052</v>
      </c>
      <c r="BS263" s="293"/>
      <c r="BT263" s="820">
        <f t="shared" ref="BT263:BV263" si="600">SUM(BT260:BT262)</f>
        <v>1690</v>
      </c>
      <c r="BU263" s="820">
        <f t="shared" si="600"/>
        <v>1517</v>
      </c>
      <c r="BV263" s="820">
        <f t="shared" si="600"/>
        <v>3207</v>
      </c>
      <c r="BW263" s="293"/>
      <c r="BX263" s="820">
        <f t="shared" ref="BX263:BZ263" si="601">SUM(BX260:BX262)</f>
        <v>1382</v>
      </c>
      <c r="BY263" s="820">
        <f t="shared" si="601"/>
        <v>1535</v>
      </c>
      <c r="BZ263" s="820">
        <f t="shared" si="601"/>
        <v>2917</v>
      </c>
      <c r="CA263" s="293"/>
      <c r="CB263" s="820">
        <f t="shared" ref="CB263:CD263" si="602">SUM(CB260:CB262)</f>
        <v>1340</v>
      </c>
      <c r="CC263" s="820">
        <f t="shared" si="602"/>
        <v>1513</v>
      </c>
      <c r="CD263" s="820">
        <f t="shared" si="602"/>
        <v>2853</v>
      </c>
      <c r="CE263" s="293"/>
      <c r="CF263" s="820">
        <f t="shared" ref="CF263:CH263" si="603">SUM(CF260:CF262)</f>
        <v>1871</v>
      </c>
      <c r="CG263" s="820">
        <f t="shared" si="603"/>
        <v>2140</v>
      </c>
      <c r="CH263" s="820">
        <f t="shared" si="603"/>
        <v>4011.0000000000005</v>
      </c>
      <c r="CI263" s="293"/>
      <c r="CJ263" s="820">
        <f t="shared" ref="CJ263:CL263" si="604">SUM(CJ260:CJ262)</f>
        <v>1895</v>
      </c>
      <c r="CK263" s="820">
        <f t="shared" si="604"/>
        <v>1526</v>
      </c>
      <c r="CL263" s="820">
        <f t="shared" si="604"/>
        <v>3421</v>
      </c>
      <c r="CM263" s="293"/>
      <c r="CN263" s="820">
        <f t="shared" ref="CN263:CP263" si="605">SUM(CN260:CN262)</f>
        <v>1924</v>
      </c>
      <c r="CO263" s="820">
        <f t="shared" si="605"/>
        <v>2273</v>
      </c>
      <c r="CP263" s="820">
        <f t="shared" si="605"/>
        <v>4197</v>
      </c>
      <c r="CQ263" s="293"/>
      <c r="CR263" s="820">
        <f t="shared" ref="CR263:CT263" si="606">SUM(CR260:CR262)</f>
        <v>2041</v>
      </c>
      <c r="CS263" s="820">
        <f t="shared" si="606"/>
        <v>3072</v>
      </c>
      <c r="CT263" s="820">
        <f t="shared" si="606"/>
        <v>5113</v>
      </c>
      <c r="CU263" s="293"/>
      <c r="CV263" s="820">
        <f t="shared" ref="CV263:CX263" si="607">SUM(CV260:CV262)</f>
        <v>2990</v>
      </c>
      <c r="CW263" s="820">
        <f t="shared" si="607"/>
        <v>5066</v>
      </c>
      <c r="CX263" s="820">
        <f t="shared" si="607"/>
        <v>8056.0000000000009</v>
      </c>
      <c r="CY263" s="293"/>
      <c r="CZ263" s="820">
        <f t="shared" ref="CZ263:DB263" si="608">SUM(CZ260:CZ262)</f>
        <v>2612</v>
      </c>
      <c r="DA263" s="820">
        <f t="shared" si="608"/>
        <v>3052</v>
      </c>
      <c r="DB263" s="820">
        <f t="shared" si="608"/>
        <v>5664</v>
      </c>
      <c r="DC263" s="293"/>
      <c r="DD263" s="820">
        <f t="shared" ref="DD263:DF263" si="609">SUM(DD260:DD262)</f>
        <v>2530</v>
      </c>
      <c r="DE263" s="820">
        <f t="shared" si="609"/>
        <v>2807</v>
      </c>
      <c r="DF263" s="820">
        <f t="shared" si="609"/>
        <v>5337</v>
      </c>
      <c r="DG263" s="293"/>
      <c r="DH263" s="820">
        <f t="shared" ref="DH263" si="610">SUM(DH260:DH262)</f>
        <v>2585</v>
      </c>
      <c r="DI263" s="820">
        <f t="shared" ref="DI263:DJ263" si="611">SUM(DI260:DI262)</f>
        <v>3245.04</v>
      </c>
      <c r="DJ263" s="820">
        <f t="shared" si="611"/>
        <v>5830.0400000000009</v>
      </c>
      <c r="DK263" s="293"/>
      <c r="DL263" s="820">
        <f t="shared" ref="DL263:DN263" si="612">SUM(DL260:DL262)</f>
        <v>2614.2405999999996</v>
      </c>
      <c r="DM263" s="820">
        <f t="shared" si="612"/>
        <v>3286.5391240000004</v>
      </c>
      <c r="DN263" s="820">
        <f t="shared" si="612"/>
        <v>5900.779724</v>
      </c>
      <c r="DO263" s="293"/>
      <c r="DP263" s="820">
        <f t="shared" ref="DP263:DR263" si="613">SUM(DP260:DP262)</f>
        <v>2644.3203335200001</v>
      </c>
      <c r="DQ263" s="820">
        <f t="shared" si="613"/>
        <v>3337.3560258607995</v>
      </c>
      <c r="DR263" s="820">
        <f t="shared" si="613"/>
        <v>5981.6763593807991</v>
      </c>
      <c r="DS263" s="293"/>
      <c r="DT263" s="293"/>
      <c r="DU263" s="293"/>
      <c r="DV263" s="293"/>
      <c r="DW263" s="293"/>
      <c r="DX263" s="293"/>
      <c r="DY263" s="293"/>
      <c r="DZ263" s="293"/>
      <c r="EA263" s="293"/>
      <c r="EB263" s="293"/>
      <c r="EC263" s="293"/>
      <c r="ED263" s="293"/>
      <c r="EE263" s="293"/>
      <c r="EF263" s="293"/>
      <c r="EG263" s="293"/>
      <c r="EH263" s="293"/>
      <c r="EI263" s="293"/>
      <c r="EJ263" s="293"/>
      <c r="EK263" s="293"/>
      <c r="EL263" s="293"/>
      <c r="EM263" s="293"/>
      <c r="EN263" s="293"/>
      <c r="EO263" s="293"/>
      <c r="EP263" s="293"/>
      <c r="EQ263" s="293"/>
      <c r="ER263" s="293"/>
      <c r="ES263" s="293"/>
      <c r="ET263" s="293"/>
      <c r="EU263" s="293"/>
      <c r="JW263"/>
    </row>
    <row r="264" spans="1:283" s="332" customFormat="1">
      <c r="AN264" s="924"/>
      <c r="AO264" s="924"/>
      <c r="AR264" s="924"/>
      <c r="AS264" s="924"/>
      <c r="AZ264" s="924"/>
      <c r="BA264" s="924"/>
      <c r="BB264" s="924"/>
      <c r="BC264" s="293"/>
      <c r="BD264" s="924"/>
      <c r="BE264" s="924"/>
      <c r="BF264" s="924"/>
      <c r="BG264" s="293"/>
      <c r="BH264" s="924"/>
      <c r="BI264" s="924"/>
      <c r="BJ264" s="924"/>
      <c r="BK264" s="293"/>
      <c r="BL264" s="924"/>
      <c r="BM264" s="924"/>
      <c r="BN264" s="924"/>
      <c r="BO264" s="293"/>
      <c r="BP264" s="924"/>
      <c r="BQ264" s="924"/>
      <c r="BR264" s="924"/>
      <c r="BS264" s="293"/>
      <c r="BT264" s="924"/>
      <c r="BU264" s="924"/>
      <c r="BV264" s="924"/>
      <c r="BW264" s="293"/>
      <c r="BX264" s="924"/>
      <c r="BY264" s="924"/>
      <c r="BZ264" s="924"/>
      <c r="CA264" s="293"/>
      <c r="CB264" s="924"/>
      <c r="CC264" s="924"/>
      <c r="CD264" s="924"/>
      <c r="CE264" s="293"/>
      <c r="CF264" s="924"/>
      <c r="CG264" s="924"/>
      <c r="CH264" s="924"/>
      <c r="CI264" s="293"/>
      <c r="CJ264" s="924"/>
      <c r="CK264" s="924"/>
      <c r="CL264" s="924"/>
      <c r="CM264" s="293"/>
      <c r="CN264" s="924"/>
      <c r="CO264" s="924"/>
      <c r="CP264" s="924"/>
      <c r="CQ264" s="293"/>
      <c r="CR264" s="924"/>
      <c r="CS264" s="924"/>
      <c r="CT264" s="924"/>
      <c r="CU264" s="293"/>
      <c r="CV264" s="924"/>
      <c r="CW264" s="924"/>
      <c r="CX264" s="924"/>
      <c r="CY264" s="293"/>
      <c r="CZ264" s="924"/>
      <c r="DA264" s="924"/>
      <c r="DB264" s="924"/>
      <c r="DC264" s="293"/>
      <c r="DD264" s="924"/>
      <c r="DE264" s="924"/>
      <c r="DF264" s="924"/>
      <c r="DG264" s="293"/>
      <c r="DH264" s="924"/>
      <c r="DI264" s="924"/>
      <c r="DJ264" s="924"/>
      <c r="DK264" s="293"/>
      <c r="DL264" s="924"/>
      <c r="DM264" s="924"/>
      <c r="DN264" s="924"/>
      <c r="DO264" s="293"/>
      <c r="DP264" s="924"/>
      <c r="DQ264" s="924"/>
      <c r="DR264" s="924"/>
      <c r="DS264" s="293"/>
      <c r="DT264" s="293"/>
      <c r="DU264" s="293"/>
      <c r="DV264" s="293"/>
      <c r="DW264" s="293"/>
      <c r="DX264" s="293"/>
      <c r="DY264" s="293"/>
      <c r="DZ264" s="293"/>
      <c r="EA264" s="293"/>
      <c r="EB264" s="293"/>
      <c r="EC264" s="293"/>
      <c r="ED264" s="293"/>
      <c r="EE264" s="293"/>
      <c r="EF264" s="293"/>
      <c r="EG264" s="293"/>
      <c r="EH264" s="293"/>
      <c r="EI264" s="293"/>
      <c r="EJ264" s="293"/>
      <c r="EK264" s="293"/>
      <c r="EL264" s="293"/>
      <c r="EM264" s="293"/>
      <c r="EN264" s="293"/>
      <c r="EO264" s="293"/>
      <c r="EP264" s="293"/>
      <c r="EQ264" s="293"/>
      <c r="ER264" s="293"/>
      <c r="ES264" s="293"/>
      <c r="ET264" s="293"/>
      <c r="EU264" s="293"/>
      <c r="JW264"/>
    </row>
    <row r="265" spans="1:283" s="332" customFormat="1">
      <c r="A265" s="327" t="s">
        <v>1111</v>
      </c>
      <c r="AN265" s="924"/>
      <c r="AO265" s="924"/>
      <c r="AR265" s="924"/>
      <c r="AS265" s="924"/>
      <c r="AZ265" s="924"/>
      <c r="BA265" s="924"/>
      <c r="BB265" s="924"/>
      <c r="BC265" s="293"/>
      <c r="BD265" s="924"/>
      <c r="BE265" s="924"/>
      <c r="BF265" s="924"/>
      <c r="BG265" s="293"/>
      <c r="BH265" s="924"/>
      <c r="BI265" s="924"/>
      <c r="BJ265" s="924"/>
      <c r="BK265" s="293"/>
      <c r="BL265" s="924"/>
      <c r="BM265" s="924"/>
      <c r="BN265" s="924"/>
      <c r="BO265" s="293"/>
      <c r="BP265" s="924"/>
      <c r="BQ265" s="924"/>
      <c r="BR265" s="924"/>
      <c r="BS265" s="293"/>
      <c r="BT265" s="924"/>
      <c r="BU265" s="924"/>
      <c r="BV265" s="924"/>
      <c r="BW265" s="293"/>
      <c r="BX265" s="924"/>
      <c r="BY265" s="924"/>
      <c r="BZ265" s="924"/>
      <c r="CA265" s="293"/>
      <c r="CB265" s="924"/>
      <c r="CC265" s="924"/>
      <c r="CD265" s="924"/>
      <c r="CE265" s="293"/>
      <c r="CF265" s="924"/>
      <c r="CG265" s="924"/>
      <c r="CH265" s="924"/>
      <c r="CI265" s="293"/>
      <c r="CJ265" s="924"/>
      <c r="CK265" s="924"/>
      <c r="CL265" s="924"/>
      <c r="CM265" s="293"/>
      <c r="CN265" s="924"/>
      <c r="CO265" s="924"/>
      <c r="CP265" s="924"/>
      <c r="CQ265" s="293"/>
      <c r="CR265" s="924"/>
      <c r="CS265" s="924"/>
      <c r="CT265" s="924"/>
      <c r="CU265" s="293"/>
      <c r="CV265" s="924"/>
      <c r="CW265" s="924"/>
      <c r="CX265" s="924"/>
      <c r="CY265" s="293"/>
      <c r="CZ265" s="924"/>
      <c r="DA265" s="924"/>
      <c r="DB265" s="924"/>
      <c r="DC265" s="293"/>
      <c r="DD265" s="924"/>
      <c r="DE265" s="924"/>
      <c r="DF265" s="924"/>
      <c r="DG265" s="293"/>
      <c r="DH265" s="924"/>
      <c r="DI265" s="924"/>
      <c r="DJ265" s="924"/>
      <c r="DK265" s="293"/>
      <c r="DL265" s="924"/>
      <c r="DM265" s="924"/>
      <c r="DN265" s="924"/>
      <c r="DO265" s="293"/>
      <c r="DP265" s="924"/>
      <c r="DQ265" s="924"/>
      <c r="DR265" s="924"/>
      <c r="DS265" s="293"/>
      <c r="DT265" s="293"/>
      <c r="DU265" s="293"/>
      <c r="DV265" s="293"/>
      <c r="DW265" s="293"/>
      <c r="DX265" s="293"/>
      <c r="DY265" s="293"/>
      <c r="DZ265" s="293"/>
      <c r="EA265" s="293"/>
      <c r="EB265" s="293"/>
      <c r="EC265" s="293"/>
      <c r="ED265" s="293"/>
      <c r="EE265" s="293"/>
      <c r="EF265" s="293"/>
      <c r="EG265" s="293"/>
      <c r="EH265" s="293"/>
      <c r="EI265" s="293"/>
      <c r="EJ265" s="293"/>
      <c r="EK265" s="293"/>
      <c r="EL265" s="293"/>
      <c r="EM265" s="293"/>
      <c r="EN265" s="293"/>
      <c r="EO265" s="293"/>
      <c r="EP265" s="293"/>
      <c r="EQ265" s="293"/>
      <c r="ER265" s="293"/>
      <c r="ES265" s="293"/>
      <c r="ET265" s="293"/>
      <c r="EU265" s="293"/>
      <c r="JW265"/>
    </row>
    <row r="266" spans="1:283" s="332" customFormat="1">
      <c r="A266" s="332" t="s">
        <v>591</v>
      </c>
      <c r="AN266" s="924"/>
      <c r="AO266" s="924"/>
      <c r="AR266" s="924"/>
      <c r="AS266" s="924"/>
      <c r="AZ266" s="491">
        <f t="shared" ref="AZ266:BB266" si="614">AZ260/AZ$263</f>
        <v>0.26752034466251795</v>
      </c>
      <c r="BA266" s="491">
        <f t="shared" si="614"/>
        <v>0.36684287276704336</v>
      </c>
      <c r="BB266" s="491">
        <f t="shared" si="614"/>
        <v>0.32390314569536421</v>
      </c>
      <c r="BC266" s="293"/>
      <c r="BD266" s="491">
        <f t="shared" ref="BD266:BF266" si="615">BD260/BD$263</f>
        <v>0.36272827891532933</v>
      </c>
      <c r="BE266" s="491">
        <f t="shared" si="615"/>
        <v>0.34940298507462686</v>
      </c>
      <c r="BF266" s="491">
        <f t="shared" si="615"/>
        <v>0.35571129159025411</v>
      </c>
      <c r="BG266" s="293"/>
      <c r="BH266" s="491">
        <f t="shared" ref="BH266:BJ266" si="616">BH260/BH$263</f>
        <v>0.42920738327904451</v>
      </c>
      <c r="BI266" s="491">
        <f t="shared" si="616"/>
        <v>0.39569943289224951</v>
      </c>
      <c r="BJ266" s="491">
        <f t="shared" si="616"/>
        <v>0.41129358261748361</v>
      </c>
      <c r="BK266" s="293"/>
      <c r="BL266" s="491">
        <f t="shared" ref="BL266:BN266" si="617">BL260/BL$263</f>
        <v>0.39788918205804746</v>
      </c>
      <c r="BM266" s="491">
        <f t="shared" si="617"/>
        <v>0.53726222826086956</v>
      </c>
      <c r="BN266" s="491">
        <f t="shared" si="617"/>
        <v>0.47652357224990416</v>
      </c>
      <c r="BO266" s="293"/>
      <c r="BP266" s="491">
        <f t="shared" ref="BP266:BR266" si="618">BP260/BP$263</f>
        <v>0.40033333333333332</v>
      </c>
      <c r="BQ266" s="491">
        <f t="shared" si="618"/>
        <v>0.43471922246220301</v>
      </c>
      <c r="BR266" s="491">
        <f t="shared" si="618"/>
        <v>0.4211992136304063</v>
      </c>
      <c r="BS266" s="293"/>
      <c r="BT266" s="491">
        <f t="shared" ref="BT266:BV266" si="619">BT260/BT$263</f>
        <v>0.38810650887573961</v>
      </c>
      <c r="BU266" s="491">
        <f t="shared" si="619"/>
        <v>0.52564271588661826</v>
      </c>
      <c r="BV266" s="491">
        <f t="shared" si="619"/>
        <v>0.45316495166822574</v>
      </c>
      <c r="BW266" s="293"/>
      <c r="BX266" s="491">
        <f t="shared" ref="BX266:BZ266" si="620">BX260/BX$263</f>
        <v>0.41392908827785813</v>
      </c>
      <c r="BY266" s="491">
        <f t="shared" si="620"/>
        <v>0.44853420195439742</v>
      </c>
      <c r="BZ266" s="491">
        <f t="shared" si="620"/>
        <v>0.43213918409324648</v>
      </c>
      <c r="CA266" s="293"/>
      <c r="CB266" s="491">
        <f t="shared" ref="CB266:CD266" si="621">CB260/CB$263</f>
        <v>0.37343283582089548</v>
      </c>
      <c r="CC266" s="491">
        <f t="shared" si="621"/>
        <v>0.48020489094514207</v>
      </c>
      <c r="CD266" s="491">
        <f t="shared" si="621"/>
        <v>0.43005608131791101</v>
      </c>
      <c r="CE266" s="293"/>
      <c r="CF266" s="491">
        <f t="shared" ref="CF266:CH266" si="622">CF260/CF$263</f>
        <v>0.47977017637626934</v>
      </c>
      <c r="CG266" s="491">
        <f t="shared" si="622"/>
        <v>0.5928271028037384</v>
      </c>
      <c r="CH266" s="491">
        <f t="shared" si="622"/>
        <v>0.5400897531787584</v>
      </c>
      <c r="CI266" s="293"/>
      <c r="CJ266" s="491">
        <f t="shared" ref="CJ266:CL266" si="623">CJ260/CJ$263</f>
        <v>0.57596306068601588</v>
      </c>
      <c r="CK266" s="491">
        <f t="shared" si="623"/>
        <v>0.48561598951507207</v>
      </c>
      <c r="CL266" s="491">
        <f t="shared" si="623"/>
        <v>0.5356620871090324</v>
      </c>
      <c r="CM266" s="293"/>
      <c r="CN266" s="491">
        <f t="shared" ref="CN266:CP266" si="624">CN260/CN$263</f>
        <v>0.59799896049896051</v>
      </c>
      <c r="CO266" s="491">
        <f t="shared" si="624"/>
        <v>0.70092388913330406</v>
      </c>
      <c r="CP266" s="491">
        <f t="shared" si="624"/>
        <v>0.65374076721467711</v>
      </c>
      <c r="CQ266" s="293"/>
      <c r="CR266" s="491">
        <f t="shared" ref="CR266:CT266" si="625">CR260/CR$263</f>
        <v>0.63116119549240568</v>
      </c>
      <c r="CS266" s="491">
        <f t="shared" si="625"/>
        <v>0.68745117187499993</v>
      </c>
      <c r="CT266" s="491">
        <f t="shared" si="625"/>
        <v>0.66498141991003323</v>
      </c>
      <c r="CU266" s="293"/>
      <c r="CV266" s="491">
        <f t="shared" ref="CV266:CX266" si="626">CV260/CV$263</f>
        <v>0.66794314381270903</v>
      </c>
      <c r="CW266" s="491">
        <f t="shared" si="626"/>
        <v>0.82998420844847998</v>
      </c>
      <c r="CX266" s="491">
        <f t="shared" si="626"/>
        <v>0.76984235352532271</v>
      </c>
      <c r="CY266" s="293"/>
      <c r="CZ266" s="491">
        <f t="shared" ref="CZ266:DB266" si="627">CZ260/CZ$263</f>
        <v>0.60354134762634004</v>
      </c>
      <c r="DA266" s="491">
        <f t="shared" si="627"/>
        <v>0.66430209698558329</v>
      </c>
      <c r="DB266" s="491">
        <f t="shared" si="627"/>
        <v>0.63628177966101696</v>
      </c>
      <c r="DC266" s="293"/>
      <c r="DD266" s="491">
        <f t="shared" ref="DD266:DF266" si="628">DD260/DD$263</f>
        <v>0.57286561264822133</v>
      </c>
      <c r="DE266" s="491">
        <f t="shared" si="628"/>
        <v>0.58781617385108653</v>
      </c>
      <c r="DF266" s="491">
        <f t="shared" si="628"/>
        <v>0.58072887389919425</v>
      </c>
      <c r="DG266" s="293"/>
      <c r="DH266" s="491">
        <f t="shared" ref="DH266" si="629">DH260/DH$263</f>
        <v>0.55230174081237915</v>
      </c>
      <c r="DI266" s="491">
        <f t="shared" ref="DI266:DJ266" si="630">DI260/DI$263</f>
        <v>0.63165384710203887</v>
      </c>
      <c r="DJ266" s="491">
        <f t="shared" si="630"/>
        <v>0.5964696640160273</v>
      </c>
      <c r="DK266" s="293"/>
      <c r="DL266" s="491">
        <f t="shared" ref="DL266:DN266" si="631">DL260/DL$263</f>
        <v>0.56419743462021055</v>
      </c>
      <c r="DM266" s="491">
        <f t="shared" si="631"/>
        <v>0.64193230142724444</v>
      </c>
      <c r="DN266" s="491">
        <f t="shared" si="631"/>
        <v>0.60749318416685905</v>
      </c>
      <c r="DO266" s="293"/>
      <c r="DP266" s="491">
        <f t="shared" ref="DP266:DR266" si="632">DP260/DP$263</f>
        <v>0.57578272693658294</v>
      </c>
      <c r="DQ266" s="491">
        <f t="shared" si="632"/>
        <v>0.65277710248705323</v>
      </c>
      <c r="DR266" s="491">
        <f t="shared" si="632"/>
        <v>0.61874019032354399</v>
      </c>
      <c r="DS266" s="293"/>
      <c r="DT266" s="293"/>
      <c r="DU266" s="293"/>
      <c r="DV266" s="293"/>
      <c r="DW266" s="293"/>
      <c r="DX266" s="293"/>
      <c r="DY266" s="293"/>
      <c r="DZ266" s="293"/>
      <c r="EA266" s="293"/>
      <c r="EB266" s="293"/>
      <c r="EC266" s="293"/>
      <c r="ED266" s="293"/>
      <c r="EE266" s="293"/>
      <c r="EF266" s="293"/>
      <c r="EG266" s="293"/>
      <c r="EH266" s="293"/>
      <c r="EI266" s="293"/>
      <c r="EJ266" s="293"/>
      <c r="EK266" s="293"/>
      <c r="EL266" s="293"/>
      <c r="EM266" s="293"/>
      <c r="EN266" s="293"/>
      <c r="EO266" s="293"/>
      <c r="EP266" s="293"/>
      <c r="EQ266" s="293"/>
      <c r="ER266" s="293"/>
      <c r="ES266" s="293"/>
      <c r="ET266" s="293"/>
      <c r="EU266" s="293"/>
      <c r="JW266"/>
    </row>
    <row r="267" spans="1:283" s="332" customFormat="1">
      <c r="A267" s="332" t="s">
        <v>1109</v>
      </c>
      <c r="AN267" s="924"/>
      <c r="AO267" s="924"/>
      <c r="AR267" s="924"/>
      <c r="AS267" s="924"/>
      <c r="AZ267" s="491">
        <f t="shared" ref="AZ267:BB267" si="633">AZ261/AZ$263</f>
        <v>0.20433221637146962</v>
      </c>
      <c r="BA267" s="491">
        <f t="shared" si="633"/>
        <v>0.18820634341961356</v>
      </c>
      <c r="BB267" s="491">
        <f t="shared" si="633"/>
        <v>0.1951779801324503</v>
      </c>
      <c r="BC267" s="293"/>
      <c r="BD267" s="491">
        <f t="shared" ref="BD267:BF267" si="634">BD261/BD$263</f>
        <v>0.10484228002213614</v>
      </c>
      <c r="BE267" s="491">
        <f t="shared" si="634"/>
        <v>0.35139303482587064</v>
      </c>
      <c r="BF267" s="491">
        <f t="shared" si="634"/>
        <v>0.23467382761330888</v>
      </c>
      <c r="BG267" s="293"/>
      <c r="BH267" s="491">
        <f t="shared" ref="BH267:BJ267" si="635">BH261/BH$263</f>
        <v>0.25874049945711186</v>
      </c>
      <c r="BI267" s="491">
        <f t="shared" si="635"/>
        <v>0.30590737240075611</v>
      </c>
      <c r="BJ267" s="491">
        <f t="shared" si="635"/>
        <v>0.28395654370894391</v>
      </c>
      <c r="BK267" s="293"/>
      <c r="BL267" s="491">
        <f t="shared" ref="BL267:BN267" si="636">BL261/BL$263</f>
        <v>0.24837291116974491</v>
      </c>
      <c r="BM267" s="491">
        <f t="shared" si="636"/>
        <v>0.19894701086956523</v>
      </c>
      <c r="BN267" s="491">
        <f t="shared" si="636"/>
        <v>0.22048677654273668</v>
      </c>
      <c r="BO267" s="293"/>
      <c r="BP267" s="491">
        <f t="shared" ref="BP267:BR267" si="637">BP261/BP$263</f>
        <v>0.26283333333333331</v>
      </c>
      <c r="BQ267" s="491">
        <f t="shared" si="637"/>
        <v>0.22305615550755942</v>
      </c>
      <c r="BR267" s="491">
        <f t="shared" si="637"/>
        <v>0.23869593709043249</v>
      </c>
      <c r="BS267" s="293"/>
      <c r="BT267" s="491">
        <f t="shared" ref="BT267:BV267" si="638">BT261/BT$263</f>
        <v>0.18869822485207099</v>
      </c>
      <c r="BU267" s="491">
        <f t="shared" si="638"/>
        <v>0.16440342781806194</v>
      </c>
      <c r="BV267" s="491">
        <f t="shared" si="638"/>
        <v>0.1772061116308076</v>
      </c>
      <c r="BW267" s="293"/>
      <c r="BX267" s="491">
        <f t="shared" ref="BX267:BZ267" si="639">BX261/BX$263</f>
        <v>0.24316208393632419</v>
      </c>
      <c r="BY267" s="491">
        <f t="shared" si="639"/>
        <v>0.26938110749185668</v>
      </c>
      <c r="BZ267" s="491">
        <f t="shared" si="639"/>
        <v>0.2569592046623243</v>
      </c>
      <c r="CA267" s="293"/>
      <c r="CB267" s="491">
        <f t="shared" ref="CB267:CD267" si="640">CB261/CB$263</f>
        <v>0.26</v>
      </c>
      <c r="CC267" s="491">
        <f t="shared" si="640"/>
        <v>0.19401850627891606</v>
      </c>
      <c r="CD267" s="491">
        <f t="shared" si="640"/>
        <v>0.2250087627059236</v>
      </c>
      <c r="CE267" s="293"/>
      <c r="CF267" s="491">
        <f t="shared" ref="CF267:CH267" si="641">CF261/CF$263</f>
        <v>0.20451630144307856</v>
      </c>
      <c r="CG267" s="491">
        <f t="shared" si="641"/>
        <v>0.17039719626168223</v>
      </c>
      <c r="CH267" s="491">
        <f t="shared" si="641"/>
        <v>0.18631264023934177</v>
      </c>
      <c r="CI267" s="293"/>
      <c r="CJ267" s="491">
        <f t="shared" ref="CJ267:CL267" si="642">CJ261/CJ$263</f>
        <v>0.20445910290237465</v>
      </c>
      <c r="CK267" s="491">
        <f t="shared" si="642"/>
        <v>0.2549475753604194</v>
      </c>
      <c r="CL267" s="491">
        <f t="shared" si="642"/>
        <v>0.22698041508330896</v>
      </c>
      <c r="CM267" s="293"/>
      <c r="CN267" s="491">
        <f t="shared" ref="CN267:CP267" si="643">CN261/CN$263</f>
        <v>0.20142931392931393</v>
      </c>
      <c r="CO267" s="491">
        <f t="shared" si="643"/>
        <v>0.17034755829300482</v>
      </c>
      <c r="CP267" s="491">
        <f t="shared" si="643"/>
        <v>0.18459614010007147</v>
      </c>
      <c r="CQ267" s="293"/>
      <c r="CR267" s="491">
        <f t="shared" ref="CR267:CT267" si="644">CR261/CR$263</f>
        <v>0.20097991180793728</v>
      </c>
      <c r="CS267" s="491">
        <f t="shared" si="644"/>
        <v>0.18028971354166667</v>
      </c>
      <c r="CT267" s="491">
        <f t="shared" si="644"/>
        <v>0.1885487971836495</v>
      </c>
      <c r="CU267" s="293"/>
      <c r="CV267" s="491">
        <f t="shared" ref="CV267:CX267" si="645">CV261/CV$263</f>
        <v>0.22546822742474915</v>
      </c>
      <c r="CW267" s="491">
        <f t="shared" si="645"/>
        <v>8.5215159889459144E-2</v>
      </c>
      <c r="CX267" s="491">
        <f t="shared" si="645"/>
        <v>0.13727035749751734</v>
      </c>
      <c r="CY267" s="293"/>
      <c r="CZ267" s="491">
        <f t="shared" ref="CZ267:DB267" si="646">CZ261/CZ$263</f>
        <v>0.24787519142419603</v>
      </c>
      <c r="DA267" s="491">
        <f t="shared" si="646"/>
        <v>0.22000327653997381</v>
      </c>
      <c r="DB267" s="491">
        <f t="shared" si="646"/>
        <v>0.2328566384180791</v>
      </c>
      <c r="DC267" s="293"/>
      <c r="DD267" s="491">
        <f t="shared" ref="DD267:DF267" si="647">DD261/DD$263</f>
        <v>0.26693675889328067</v>
      </c>
      <c r="DE267" s="491">
        <f t="shared" si="647"/>
        <v>0.26505165657285357</v>
      </c>
      <c r="DF267" s="491">
        <f t="shared" si="647"/>
        <v>0.26594528761476482</v>
      </c>
      <c r="DG267" s="293"/>
      <c r="DH267" s="491">
        <f t="shared" ref="DH267" si="648">DH261/DH$263</f>
        <v>0.27299806576402325</v>
      </c>
      <c r="DI267" s="491">
        <f t="shared" ref="DI267:DJ267" si="649">DI261/DI$263</f>
        <v>0.22569891280230753</v>
      </c>
      <c r="DJ267" s="491">
        <f t="shared" si="649"/>
        <v>0.24667103484710223</v>
      </c>
      <c r="DK267" s="293"/>
      <c r="DL267" s="491">
        <f t="shared" ref="DL267:DN267" si="650">DL261/DL$263</f>
        <v>0.26489254279043795</v>
      </c>
      <c r="DM267" s="491">
        <f t="shared" si="650"/>
        <v>0.21868260090123912</v>
      </c>
      <c r="DN267" s="491">
        <f t="shared" si="650"/>
        <v>0.23915513366145102</v>
      </c>
      <c r="DO267" s="293"/>
      <c r="DP267" s="491">
        <f t="shared" ref="DP267:DR267" si="651">DP261/DP$263</f>
        <v>0.25699273794993877</v>
      </c>
      <c r="DQ267" s="491">
        <f t="shared" si="651"/>
        <v>0.21133861957301955</v>
      </c>
      <c r="DR267" s="491">
        <f t="shared" si="651"/>
        <v>0.23152094076191013</v>
      </c>
      <c r="DS267" s="293"/>
      <c r="DT267" s="293"/>
      <c r="DU267" s="293"/>
      <c r="DV267" s="293"/>
      <c r="DW267" s="293"/>
      <c r="DX267" s="293"/>
      <c r="DY267" s="293"/>
      <c r="DZ267" s="293"/>
      <c r="EA267" s="293"/>
      <c r="EB267" s="293"/>
      <c r="EC267" s="293"/>
      <c r="ED267" s="293"/>
      <c r="EE267" s="293"/>
      <c r="EF267" s="293"/>
      <c r="EG267" s="293"/>
      <c r="EH267" s="293"/>
      <c r="EI267" s="293"/>
      <c r="EJ267" s="293"/>
      <c r="EK267" s="293"/>
      <c r="EL267" s="293"/>
      <c r="EM267" s="293"/>
      <c r="EN267" s="293"/>
      <c r="EO267" s="293"/>
      <c r="EP267" s="293"/>
      <c r="EQ267" s="293"/>
      <c r="ER267" s="293"/>
      <c r="ES267" s="293"/>
      <c r="ET267" s="293"/>
      <c r="EU267" s="293"/>
      <c r="JW267"/>
    </row>
    <row r="268" spans="1:283" s="332" customFormat="1">
      <c r="A268" s="332" t="s">
        <v>1108</v>
      </c>
      <c r="AN268" s="924"/>
      <c r="AO268" s="924"/>
      <c r="AR268" s="924"/>
      <c r="AS268" s="924"/>
      <c r="AZ268" s="491">
        <f t="shared" ref="AZ268:BB268" si="652">AZ262/AZ$263</f>
        <v>0.52814743896601246</v>
      </c>
      <c r="BA268" s="491">
        <f t="shared" si="652"/>
        <v>0.44495078381334308</v>
      </c>
      <c r="BB268" s="491">
        <f t="shared" si="652"/>
        <v>0.48091887417218548</v>
      </c>
      <c r="BC268" s="293"/>
      <c r="BD268" s="491">
        <f t="shared" ref="BD268:BF268" si="653">BD262/BD$263</f>
        <v>0.53242944106253454</v>
      </c>
      <c r="BE268" s="491">
        <f t="shared" si="653"/>
        <v>0.2992039800995025</v>
      </c>
      <c r="BF268" s="491">
        <f t="shared" si="653"/>
        <v>0.40961488079643699</v>
      </c>
      <c r="BG268" s="293"/>
      <c r="BH268" s="491">
        <f t="shared" ref="BH268:BJ268" si="654">BH262/BH$263</f>
        <v>0.31205211726384363</v>
      </c>
      <c r="BI268" s="491">
        <f t="shared" si="654"/>
        <v>0.29839319470699432</v>
      </c>
      <c r="BJ268" s="491">
        <f t="shared" si="654"/>
        <v>0.30474987367357248</v>
      </c>
      <c r="BK268" s="293"/>
      <c r="BL268" s="491">
        <f t="shared" ref="BL268:BN268" si="655">BL262/BL$263</f>
        <v>0.35373790677220757</v>
      </c>
      <c r="BM268" s="491">
        <f t="shared" si="655"/>
        <v>0.26379076086956521</v>
      </c>
      <c r="BN268" s="491">
        <f t="shared" si="655"/>
        <v>0.30298965120735916</v>
      </c>
      <c r="BO268" s="293"/>
      <c r="BP268" s="491">
        <f t="shared" ref="BP268:BR268" si="656">BP262/BP$263</f>
        <v>0.33683333333333332</v>
      </c>
      <c r="BQ268" s="491">
        <f t="shared" si="656"/>
        <v>0.34222462203023757</v>
      </c>
      <c r="BR268" s="491">
        <f t="shared" si="656"/>
        <v>0.34010484927916118</v>
      </c>
      <c r="BS268" s="293"/>
      <c r="BT268" s="491">
        <f t="shared" ref="BT268:BV268" si="657">BT262/BT$263</f>
        <v>0.4231952662721894</v>
      </c>
      <c r="BU268" s="491">
        <f t="shared" si="657"/>
        <v>0.30995385629531969</v>
      </c>
      <c r="BV268" s="491">
        <f t="shared" si="657"/>
        <v>0.36962893670096664</v>
      </c>
      <c r="BW268" s="293"/>
      <c r="BX268" s="491">
        <f t="shared" ref="BX268:BZ268" si="658">BX262/BX$263</f>
        <v>0.34290882778581766</v>
      </c>
      <c r="BY268" s="491">
        <f t="shared" si="658"/>
        <v>0.28208469055374591</v>
      </c>
      <c r="BZ268" s="491">
        <f t="shared" si="658"/>
        <v>0.31090161124442922</v>
      </c>
      <c r="CA268" s="293"/>
      <c r="CB268" s="491">
        <f t="shared" ref="CB268:CD268" si="659">CB262/CB$263</f>
        <v>0.36656716417910445</v>
      </c>
      <c r="CC268" s="491">
        <f t="shared" si="659"/>
        <v>0.32577660277594184</v>
      </c>
      <c r="CD268" s="491">
        <f t="shared" si="659"/>
        <v>0.34493515597616542</v>
      </c>
      <c r="CE268" s="293"/>
      <c r="CF268" s="491">
        <f t="shared" ref="CF268:CH268" si="660">CF262/CF$263</f>
        <v>0.31571352218065207</v>
      </c>
      <c r="CG268" s="491">
        <f t="shared" si="660"/>
        <v>0.23677570093457945</v>
      </c>
      <c r="CH268" s="491">
        <f t="shared" si="660"/>
        <v>0.27359760658189974</v>
      </c>
      <c r="CI268" s="293"/>
      <c r="CJ268" s="491">
        <f t="shared" ref="CJ268:CL268" si="661">CJ262/CJ$263</f>
        <v>0.21957783641160952</v>
      </c>
      <c r="CK268" s="491">
        <f t="shared" si="661"/>
        <v>0.25943643512450848</v>
      </c>
      <c r="CL268" s="491">
        <f t="shared" si="661"/>
        <v>0.23735749780765858</v>
      </c>
      <c r="CM268" s="293"/>
      <c r="CN268" s="491">
        <f t="shared" ref="CN268:CP268" si="662">CN262/CN$263</f>
        <v>0.20057172557172556</v>
      </c>
      <c r="CO268" s="491">
        <f t="shared" si="662"/>
        <v>0.12872855257369117</v>
      </c>
      <c r="CP268" s="491">
        <f t="shared" si="662"/>
        <v>0.16166309268525136</v>
      </c>
      <c r="CQ268" s="293"/>
      <c r="CR268" s="491">
        <f t="shared" ref="CR268:CT268" si="663">CR262/CR$263</f>
        <v>0.16785889269965704</v>
      </c>
      <c r="CS268" s="491">
        <f t="shared" si="663"/>
        <v>0.13225911458333331</v>
      </c>
      <c r="CT268" s="491">
        <f t="shared" si="663"/>
        <v>0.14646978290631724</v>
      </c>
      <c r="CU268" s="293"/>
      <c r="CV268" s="491">
        <f t="shared" ref="CV268:CX268" si="664">CV262/CV$263</f>
        <v>0.1065886287625418</v>
      </c>
      <c r="CW268" s="491">
        <f t="shared" si="664"/>
        <v>8.4800631662060796E-2</v>
      </c>
      <c r="CX268" s="491">
        <f t="shared" si="664"/>
        <v>9.2887288977159865E-2</v>
      </c>
      <c r="CY268" s="293"/>
      <c r="CZ268" s="491">
        <f t="shared" ref="CZ268:DB268" si="665">CZ262/CZ$263</f>
        <v>0.14858346094946401</v>
      </c>
      <c r="DA268" s="491">
        <f t="shared" si="665"/>
        <v>0.11569462647444299</v>
      </c>
      <c r="DB268" s="491">
        <f t="shared" si="665"/>
        <v>0.13086158192090397</v>
      </c>
      <c r="DC268" s="293"/>
      <c r="DD268" s="491">
        <f t="shared" ref="DD268:DF268" si="666">DD262/DD$263</f>
        <v>0.160197628458498</v>
      </c>
      <c r="DE268" s="491">
        <f t="shared" si="666"/>
        <v>0.14713216957605985</v>
      </c>
      <c r="DF268" s="491">
        <f t="shared" si="666"/>
        <v>0.15332583848604084</v>
      </c>
      <c r="DG268" s="293"/>
      <c r="DH268" s="491">
        <f t="shared" ref="DH268" si="667">DH262/DH$263</f>
        <v>0.17470019342359769</v>
      </c>
      <c r="DI268" s="491">
        <f t="shared" ref="DI268:DJ268" si="668">DI262/DI$263</f>
        <v>0.14264724009565366</v>
      </c>
      <c r="DJ268" s="491">
        <f t="shared" si="668"/>
        <v>0.15685930113687038</v>
      </c>
      <c r="DK268" s="293"/>
      <c r="DL268" s="491">
        <f t="shared" ref="DL268:DN268" si="669">DL262/DL$263</f>
        <v>0.17091002258935159</v>
      </c>
      <c r="DM268" s="491">
        <f t="shared" si="669"/>
        <v>0.13938509767151641</v>
      </c>
      <c r="DN268" s="491">
        <f t="shared" si="669"/>
        <v>0.1533516821716899</v>
      </c>
      <c r="DO268" s="293"/>
      <c r="DP268" s="491">
        <f t="shared" ref="DP268:DR268" si="670">DP262/DP$263</f>
        <v>0.16722453511347835</v>
      </c>
      <c r="DQ268" s="491">
        <f t="shared" si="670"/>
        <v>0.13588427793992727</v>
      </c>
      <c r="DR268" s="491">
        <f t="shared" si="670"/>
        <v>0.14973886891454596</v>
      </c>
      <c r="DS268" s="293"/>
      <c r="DT268" s="293"/>
      <c r="DU268" s="293"/>
      <c r="DV268" s="293"/>
      <c r="DW268" s="293"/>
      <c r="DX268" s="293"/>
      <c r="DY268" s="293"/>
      <c r="DZ268" s="293"/>
      <c r="EA268" s="293"/>
      <c r="EB268" s="293"/>
      <c r="EC268" s="293"/>
      <c r="ED268" s="293"/>
      <c r="EE268" s="293"/>
      <c r="EF268" s="293"/>
      <c r="EG268" s="293"/>
      <c r="EH268" s="293"/>
      <c r="EI268" s="293"/>
      <c r="EJ268" s="293"/>
      <c r="EK268" s="293"/>
      <c r="EL268" s="293"/>
      <c r="EM268" s="293"/>
      <c r="EN268" s="293"/>
      <c r="EO268" s="293"/>
      <c r="EP268" s="293"/>
      <c r="EQ268" s="293"/>
      <c r="ER268" s="293"/>
      <c r="ES268" s="293"/>
      <c r="ET268" s="293"/>
      <c r="EU268" s="293"/>
      <c r="JW268"/>
    </row>
    <row r="269" spans="1:283" s="332" customFormat="1">
      <c r="A269" s="327" t="s">
        <v>588</v>
      </c>
      <c r="AN269" s="924"/>
      <c r="AO269" s="924"/>
      <c r="AR269" s="924"/>
      <c r="AS269" s="924"/>
      <c r="AZ269" s="821">
        <f t="shared" ref="AZ269" si="671">SUM(AZ266:AZ268)</f>
        <v>1</v>
      </c>
      <c r="BA269" s="821">
        <f t="shared" ref="BA269" si="672">SUM(BA266:BA268)</f>
        <v>1</v>
      </c>
      <c r="BB269" s="821">
        <f t="shared" ref="BB269" si="673">SUM(BB266:BB268)</f>
        <v>1</v>
      </c>
      <c r="BC269" s="293"/>
      <c r="BD269" s="821">
        <f t="shared" ref="BD269" si="674">SUM(BD266:BD268)</f>
        <v>1</v>
      </c>
      <c r="BE269" s="821">
        <f t="shared" ref="BE269" si="675">SUM(BE266:BE268)</f>
        <v>1</v>
      </c>
      <c r="BF269" s="821">
        <f t="shared" ref="BF269" si="676">SUM(BF266:BF268)</f>
        <v>1</v>
      </c>
      <c r="BG269" s="293"/>
      <c r="BH269" s="821">
        <f t="shared" ref="BH269" si="677">SUM(BH266:BH268)</f>
        <v>1</v>
      </c>
      <c r="BI269" s="821">
        <f t="shared" ref="BI269" si="678">SUM(BI266:BI268)</f>
        <v>0.99999999999999989</v>
      </c>
      <c r="BJ269" s="821">
        <f t="shared" ref="BJ269" si="679">SUM(BJ266:BJ268)</f>
        <v>1</v>
      </c>
      <c r="BK269" s="293"/>
      <c r="BL269" s="821">
        <f t="shared" ref="BL269" si="680">SUM(BL266:BL268)</f>
        <v>1</v>
      </c>
      <c r="BM269" s="821">
        <f t="shared" ref="BM269" si="681">SUM(BM266:BM268)</f>
        <v>1</v>
      </c>
      <c r="BN269" s="821">
        <f t="shared" ref="BN269" si="682">SUM(BN266:BN268)</f>
        <v>1</v>
      </c>
      <c r="BO269" s="293"/>
      <c r="BP269" s="821">
        <f t="shared" ref="BP269" si="683">SUM(BP266:BP268)</f>
        <v>1</v>
      </c>
      <c r="BQ269" s="821">
        <f t="shared" ref="BQ269" si="684">SUM(BQ266:BQ268)</f>
        <v>1</v>
      </c>
      <c r="BR269" s="821">
        <f t="shared" ref="BR269" si="685">SUM(BR266:BR268)</f>
        <v>1</v>
      </c>
      <c r="BS269" s="293"/>
      <c r="BT269" s="821">
        <f t="shared" ref="BT269" si="686">SUM(BT266:BT268)</f>
        <v>1</v>
      </c>
      <c r="BU269" s="821">
        <f t="shared" ref="BU269" si="687">SUM(BU266:BU268)</f>
        <v>0.99999999999999989</v>
      </c>
      <c r="BV269" s="821">
        <f t="shared" ref="BV269" si="688">SUM(BV266:BV268)</f>
        <v>1</v>
      </c>
      <c r="BW269" s="293"/>
      <c r="BX269" s="821">
        <f t="shared" ref="BX269" si="689">SUM(BX266:BX268)</f>
        <v>1</v>
      </c>
      <c r="BY269" s="821">
        <f t="shared" ref="BY269" si="690">SUM(BY266:BY268)</f>
        <v>1</v>
      </c>
      <c r="BZ269" s="821">
        <f t="shared" ref="BZ269" si="691">SUM(BZ266:BZ268)</f>
        <v>1</v>
      </c>
      <c r="CA269" s="293"/>
      <c r="CB269" s="821">
        <f t="shared" ref="CB269" si="692">SUM(CB266:CB268)</f>
        <v>1</v>
      </c>
      <c r="CC269" s="821">
        <f t="shared" ref="CC269" si="693">SUM(CC266:CC268)</f>
        <v>1</v>
      </c>
      <c r="CD269" s="821">
        <f t="shared" ref="CD269" si="694">SUM(CD266:CD268)</f>
        <v>1</v>
      </c>
      <c r="CE269" s="293"/>
      <c r="CF269" s="821">
        <f t="shared" ref="CF269:CH269" si="695">SUM(CF266:CF268)</f>
        <v>1</v>
      </c>
      <c r="CG269" s="821">
        <f t="shared" si="695"/>
        <v>1</v>
      </c>
      <c r="CH269" s="821">
        <f t="shared" si="695"/>
        <v>1</v>
      </c>
      <c r="CI269" s="293"/>
      <c r="CJ269" s="821">
        <f t="shared" ref="CJ269:CL269" si="696">SUM(CJ266:CJ268)</f>
        <v>1</v>
      </c>
      <c r="CK269" s="821">
        <f t="shared" si="696"/>
        <v>1</v>
      </c>
      <c r="CL269" s="821">
        <f t="shared" si="696"/>
        <v>0.99999999999999989</v>
      </c>
      <c r="CM269" s="293"/>
      <c r="CN269" s="821">
        <f t="shared" ref="CN269:CP269" si="697">SUM(CN266:CN268)</f>
        <v>1</v>
      </c>
      <c r="CO269" s="821">
        <f t="shared" si="697"/>
        <v>1</v>
      </c>
      <c r="CP269" s="821">
        <f t="shared" si="697"/>
        <v>1</v>
      </c>
      <c r="CQ269" s="293"/>
      <c r="CR269" s="821">
        <f t="shared" ref="CR269:CT269" si="698">SUM(CR266:CR268)</f>
        <v>1</v>
      </c>
      <c r="CS269" s="821">
        <f t="shared" si="698"/>
        <v>0.99999999999999989</v>
      </c>
      <c r="CT269" s="821">
        <f t="shared" si="698"/>
        <v>1</v>
      </c>
      <c r="CU269" s="293"/>
      <c r="CV269" s="821">
        <f t="shared" ref="CV269:CX269" si="699">SUM(CV266:CV268)</f>
        <v>1</v>
      </c>
      <c r="CW269" s="821">
        <f t="shared" si="699"/>
        <v>0.99999999999999989</v>
      </c>
      <c r="CX269" s="821">
        <f t="shared" si="699"/>
        <v>1</v>
      </c>
      <c r="CY269" s="293"/>
      <c r="CZ269" s="821">
        <f t="shared" ref="CZ269:DB269" si="700">SUM(CZ266:CZ268)</f>
        <v>1</v>
      </c>
      <c r="DA269" s="821">
        <f t="shared" si="700"/>
        <v>1</v>
      </c>
      <c r="DB269" s="821">
        <f t="shared" si="700"/>
        <v>1</v>
      </c>
      <c r="DC269" s="293"/>
      <c r="DD269" s="821">
        <f t="shared" ref="DD269:DF269" si="701">SUM(DD266:DD268)</f>
        <v>1</v>
      </c>
      <c r="DE269" s="821">
        <f t="shared" si="701"/>
        <v>1</v>
      </c>
      <c r="DF269" s="821">
        <f t="shared" si="701"/>
        <v>0.99999999999999989</v>
      </c>
      <c r="DG269" s="293"/>
      <c r="DH269" s="821">
        <f t="shared" ref="DH269" si="702">SUM(DH266:DH268)</f>
        <v>1</v>
      </c>
      <c r="DI269" s="821">
        <f t="shared" ref="DI269:DJ269" si="703">SUM(DI266:DI268)</f>
        <v>1</v>
      </c>
      <c r="DJ269" s="821">
        <f t="shared" si="703"/>
        <v>1</v>
      </c>
      <c r="DK269" s="293"/>
      <c r="DL269" s="821">
        <f t="shared" ref="DL269:DN269" si="704">SUM(DL266:DL268)</f>
        <v>1</v>
      </c>
      <c r="DM269" s="821">
        <f t="shared" si="704"/>
        <v>1</v>
      </c>
      <c r="DN269" s="821">
        <f t="shared" si="704"/>
        <v>1</v>
      </c>
      <c r="DO269" s="293"/>
      <c r="DP269" s="821">
        <f t="shared" ref="DP269:DR269" si="705">SUM(DP266:DP268)</f>
        <v>1</v>
      </c>
      <c r="DQ269" s="821">
        <f t="shared" si="705"/>
        <v>1</v>
      </c>
      <c r="DR269" s="821">
        <f t="shared" si="705"/>
        <v>1</v>
      </c>
      <c r="DS269" s="293"/>
      <c r="DT269" s="293"/>
      <c r="DU269" s="293"/>
      <c r="DV269" s="293"/>
      <c r="DW269" s="293"/>
      <c r="DX269" s="293"/>
      <c r="DY269" s="293"/>
      <c r="DZ269" s="293"/>
      <c r="EA269" s="293"/>
      <c r="EB269" s="293"/>
      <c r="EC269" s="293"/>
      <c r="ED269" s="293"/>
      <c r="EE269" s="293"/>
      <c r="EF269" s="293"/>
      <c r="EG269" s="293"/>
      <c r="EH269" s="293"/>
      <c r="EI269" s="293"/>
      <c r="EJ269" s="293"/>
      <c r="EK269" s="293"/>
      <c r="EL269" s="293"/>
      <c r="EM269" s="293"/>
      <c r="EN269" s="293"/>
      <c r="EO269" s="293"/>
      <c r="EP269" s="293"/>
      <c r="EQ269" s="293"/>
      <c r="ER269" s="293"/>
      <c r="ES269" s="293"/>
      <c r="ET269" s="293"/>
      <c r="EU269" s="293"/>
      <c r="JW269"/>
    </row>
    <row r="270" spans="1:283" s="332" customFormat="1">
      <c r="AN270" s="924"/>
      <c r="AO270" s="924"/>
      <c r="AR270" s="924"/>
      <c r="AS270" s="924"/>
      <c r="AV270" s="924"/>
      <c r="AW270" s="924"/>
      <c r="AZ270" s="924"/>
      <c r="BA270" s="924"/>
      <c r="BD270" s="924"/>
      <c r="BE270" s="924"/>
      <c r="BH270" s="924"/>
      <c r="BI270" s="924"/>
      <c r="BL270" s="924"/>
      <c r="BM270" s="924"/>
      <c r="BP270" s="924"/>
      <c r="BQ270" s="924"/>
      <c r="BT270" s="924"/>
      <c r="BU270" s="924"/>
      <c r="BW270" s="924"/>
      <c r="BX270" s="924"/>
      <c r="BY270" s="924"/>
      <c r="BZ270" s="924"/>
      <c r="CA270" s="293"/>
      <c r="CB270" s="924"/>
      <c r="CC270" s="924"/>
      <c r="CD270" s="924"/>
      <c r="CE270" s="293"/>
      <c r="CF270" s="924"/>
      <c r="CG270" s="924"/>
      <c r="CH270" s="924"/>
      <c r="CI270" s="293"/>
      <c r="CJ270" s="924"/>
      <c r="CK270" s="924"/>
      <c r="CL270" s="924"/>
      <c r="CM270" s="293"/>
      <c r="CN270" s="924"/>
      <c r="CO270" s="924"/>
      <c r="CP270" s="924"/>
      <c r="CQ270" s="293"/>
      <c r="CR270" s="924"/>
      <c r="CS270" s="293"/>
      <c r="CT270" s="293"/>
      <c r="CU270" s="293"/>
      <c r="CV270" s="293"/>
      <c r="CW270" s="293"/>
      <c r="CX270" s="293"/>
      <c r="CY270" s="293"/>
      <c r="CZ270" s="293"/>
      <c r="DA270" s="293"/>
      <c r="DB270" s="293"/>
      <c r="DC270" s="293"/>
      <c r="DD270" s="293"/>
      <c r="DE270" s="293"/>
      <c r="DF270" s="293"/>
      <c r="DG270" s="293"/>
      <c r="DH270" s="293"/>
      <c r="DI270" s="293"/>
      <c r="DJ270" s="293"/>
      <c r="DK270" s="293"/>
      <c r="DL270" s="293"/>
      <c r="DM270" s="293"/>
      <c r="DN270" s="293"/>
      <c r="DO270" s="293"/>
      <c r="DP270" s="293"/>
      <c r="DQ270" s="293"/>
      <c r="DR270" s="293"/>
      <c r="DS270" s="293"/>
      <c r="DT270" s="293"/>
      <c r="DU270" s="293"/>
      <c r="DV270" s="293"/>
      <c r="DW270" s="293"/>
      <c r="DX270" s="293"/>
      <c r="DY270" s="293"/>
      <c r="DZ270" s="293"/>
      <c r="EA270" s="293"/>
      <c r="EB270" s="293"/>
      <c r="EC270" s="293"/>
      <c r="ED270" s="293"/>
      <c r="EE270" s="293"/>
      <c r="EF270" s="293"/>
      <c r="EG270" s="293"/>
      <c r="EH270" s="293"/>
      <c r="EI270" s="293"/>
      <c r="EJ270" s="293"/>
      <c r="EK270" s="293"/>
      <c r="EL270" s="293"/>
      <c r="EM270" s="293"/>
      <c r="EN270" s="293"/>
      <c r="EO270" s="293"/>
      <c r="EP270" s="293"/>
      <c r="EQ270" s="293"/>
      <c r="ER270" s="293"/>
      <c r="ES270" s="293"/>
      <c r="ET270" s="293"/>
      <c r="EU270" s="293"/>
      <c r="JW270"/>
    </row>
    <row r="271" spans="1:283" s="332" customFormat="1">
      <c r="A271" s="1207" t="s">
        <v>730</v>
      </c>
      <c r="AN271" s="293"/>
      <c r="AO271" s="293"/>
      <c r="AP271" s="293"/>
      <c r="AQ271" s="293"/>
      <c r="AR271" s="293"/>
      <c r="AS271" s="293"/>
      <c r="AT271" s="293"/>
      <c r="AU271" s="293"/>
      <c r="AV271" s="293"/>
      <c r="AW271" s="293"/>
      <c r="AX271" s="293"/>
      <c r="AY271" s="293"/>
      <c r="AZ271" s="293"/>
      <c r="BA271" s="293"/>
      <c r="BB271" s="293"/>
      <c r="BC271" s="293"/>
      <c r="BD271" s="293"/>
      <c r="BE271" s="293"/>
      <c r="BF271" s="293"/>
      <c r="BG271" s="293"/>
      <c r="BH271" s="293"/>
      <c r="BI271" s="293"/>
      <c r="BJ271" s="293"/>
      <c r="BK271" s="293"/>
      <c r="BL271" s="293"/>
      <c r="BM271" s="293"/>
      <c r="BN271" s="293"/>
      <c r="BO271" s="293"/>
      <c r="BP271" s="293"/>
      <c r="BQ271" s="293"/>
      <c r="BR271" s="293"/>
      <c r="BS271" s="293"/>
      <c r="BT271" s="293"/>
      <c r="BU271" s="293"/>
      <c r="BV271" s="293"/>
      <c r="BW271" s="293"/>
      <c r="BX271" s="293"/>
      <c r="BY271" s="293"/>
      <c r="BZ271" s="293"/>
      <c r="CA271" s="293"/>
      <c r="CB271" s="293"/>
      <c r="CC271" s="293"/>
      <c r="CD271" s="293"/>
      <c r="CE271" s="293"/>
      <c r="CF271" s="293"/>
      <c r="CG271" s="293"/>
      <c r="CH271" s="293"/>
      <c r="CI271" s="293"/>
      <c r="CJ271" s="293"/>
      <c r="CK271" s="293"/>
      <c r="CL271" s="293"/>
      <c r="CM271" s="293"/>
      <c r="CN271" s="293"/>
      <c r="CO271" s="293"/>
      <c r="CP271" s="293"/>
      <c r="CQ271" s="293"/>
      <c r="CR271" s="293"/>
      <c r="CS271" s="293"/>
      <c r="CT271" s="293"/>
      <c r="CU271" s="293"/>
      <c r="CV271" s="293"/>
      <c r="CW271" s="293"/>
      <c r="CX271" s="293"/>
      <c r="CY271" s="293"/>
      <c r="CZ271" s="293"/>
      <c r="DA271" s="293"/>
      <c r="DB271" s="293"/>
      <c r="DC271" s="293"/>
      <c r="DD271" s="293"/>
      <c r="DE271" s="293"/>
      <c r="DF271" s="293"/>
      <c r="DG271" s="293"/>
      <c r="DH271" s="293"/>
      <c r="DI271" s="293"/>
      <c r="DJ271" s="293"/>
      <c r="DK271" s="293"/>
      <c r="DL271" s="293"/>
      <c r="DM271" s="293"/>
      <c r="DN271" s="293"/>
      <c r="DO271" s="293"/>
      <c r="DP271" s="293"/>
      <c r="DQ271" s="293"/>
      <c r="DR271" s="293"/>
      <c r="DS271" s="293"/>
      <c r="DT271" s="293"/>
      <c r="DU271" s="293"/>
      <c r="DV271" s="293"/>
      <c r="DW271" s="293"/>
      <c r="DX271" s="293"/>
      <c r="DY271" s="293"/>
      <c r="DZ271" s="293"/>
      <c r="EA271" s="293"/>
      <c r="EB271" s="293"/>
      <c r="EC271" s="293"/>
      <c r="ED271" s="293"/>
      <c r="EE271" s="293"/>
      <c r="EF271" s="293"/>
      <c r="EG271" s="293"/>
      <c r="EH271" s="293"/>
      <c r="EI271" s="293"/>
      <c r="EJ271" s="293"/>
      <c r="EK271" s="293"/>
      <c r="EL271" s="293"/>
      <c r="EM271" s="293"/>
      <c r="EN271" s="293"/>
      <c r="EO271" s="293"/>
      <c r="EP271" s="293"/>
      <c r="EQ271" s="293"/>
      <c r="ER271" s="293"/>
      <c r="ES271" s="293"/>
      <c r="ET271" s="293"/>
      <c r="EU271" s="293"/>
      <c r="JW271"/>
    </row>
    <row r="272" spans="1:283" s="332" customFormat="1">
      <c r="A272" s="332" t="s">
        <v>571</v>
      </c>
      <c r="AN272" s="492">
        <f>AN230</f>
        <v>24</v>
      </c>
      <c r="AO272" s="492">
        <f>AO230</f>
        <v>-214</v>
      </c>
      <c r="AP272" s="492">
        <f>AP230</f>
        <v>-190</v>
      </c>
      <c r="AQ272" s="626"/>
      <c r="AR272" s="492">
        <f>AR230</f>
        <v>26</v>
      </c>
      <c r="AS272" s="492">
        <f>AS230</f>
        <v>21</v>
      </c>
      <c r="AT272" s="492">
        <f>AT230</f>
        <v>47</v>
      </c>
      <c r="AU272" s="626"/>
      <c r="AV272" s="492">
        <f>AV230</f>
        <v>21</v>
      </c>
      <c r="AW272" s="492">
        <f>AW230</f>
        <v>49</v>
      </c>
      <c r="AX272" s="492">
        <f>AX230</f>
        <v>70</v>
      </c>
      <c r="AY272" s="293"/>
      <c r="AZ272" s="492">
        <f>AZ230</f>
        <v>-53</v>
      </c>
      <c r="BA272" s="492">
        <f>BA230</f>
        <v>5</v>
      </c>
      <c r="BB272" s="492">
        <f>BB230</f>
        <v>-48</v>
      </c>
      <c r="BC272" s="293"/>
      <c r="BD272" s="492">
        <f>BD230</f>
        <v>-23</v>
      </c>
      <c r="BE272" s="492">
        <f>BE230</f>
        <v>18</v>
      </c>
      <c r="BF272" s="492">
        <f>BF230</f>
        <v>-5</v>
      </c>
      <c r="BG272" s="360"/>
      <c r="BH272" s="492">
        <f>BH230</f>
        <v>0</v>
      </c>
      <c r="BI272" s="492">
        <f>BI230</f>
        <v>0</v>
      </c>
      <c r="BJ272" s="492">
        <f>BJ230</f>
        <v>0</v>
      </c>
      <c r="BK272" s="487"/>
      <c r="BL272" s="492">
        <f>BL230</f>
        <v>0</v>
      </c>
      <c r="BM272" s="492">
        <f>BM230</f>
        <v>0</v>
      </c>
      <c r="BN272" s="492">
        <f>BN230</f>
        <v>0</v>
      </c>
      <c r="BO272" s="487"/>
      <c r="BP272" s="492">
        <f>BP230</f>
        <v>0</v>
      </c>
      <c r="BQ272" s="492">
        <f>BQ230</f>
        <v>0</v>
      </c>
      <c r="BR272" s="492">
        <f>BR230</f>
        <v>0</v>
      </c>
      <c r="BS272" s="487"/>
      <c r="BT272" s="492">
        <f>BT230</f>
        <v>0</v>
      </c>
      <c r="BU272" s="492">
        <f>BU230</f>
        <v>0</v>
      </c>
      <c r="BV272" s="492">
        <f>BV230</f>
        <v>0</v>
      </c>
      <c r="BW272" s="293"/>
      <c r="BX272" s="492">
        <f>BX230</f>
        <v>0</v>
      </c>
      <c r="BY272" s="492">
        <f>BY230</f>
        <v>0</v>
      </c>
      <c r="BZ272" s="492">
        <f>BZ230</f>
        <v>0</v>
      </c>
      <c r="CA272" s="293"/>
      <c r="CB272" s="492">
        <f>CB230</f>
        <v>0</v>
      </c>
      <c r="CC272" s="492">
        <f>CC230</f>
        <v>0</v>
      </c>
      <c r="CD272" s="492">
        <f>CD230</f>
        <v>0</v>
      </c>
      <c r="CE272" s="293"/>
      <c r="CF272" s="492">
        <f>CF230</f>
        <v>97</v>
      </c>
      <c r="CG272" s="492">
        <f>CG230</f>
        <v>54</v>
      </c>
      <c r="CH272" s="492">
        <f>CH230</f>
        <v>151</v>
      </c>
      <c r="CI272" s="293"/>
      <c r="CJ272" s="492">
        <f>CJ230</f>
        <v>78</v>
      </c>
      <c r="CK272" s="492">
        <f>CK230</f>
        <v>88</v>
      </c>
      <c r="CL272" s="492">
        <f>CL230</f>
        <v>166</v>
      </c>
      <c r="CM272" s="293"/>
      <c r="CN272" s="492">
        <f>CN230</f>
        <v>70</v>
      </c>
      <c r="CO272" s="492">
        <f>CO230</f>
        <v>74</v>
      </c>
      <c r="CP272" s="492">
        <f>CP230</f>
        <v>144</v>
      </c>
      <c r="CQ272" s="293"/>
      <c r="CR272" s="492">
        <f>CR230</f>
        <v>65</v>
      </c>
      <c r="CS272" s="492">
        <f>CS230</f>
        <v>61</v>
      </c>
      <c r="CT272" s="492">
        <f>CT230</f>
        <v>126</v>
      </c>
      <c r="CU272" s="293"/>
      <c r="CV272" s="492">
        <f>CV230</f>
        <v>63</v>
      </c>
      <c r="CW272" s="492">
        <f>CW230</f>
        <v>59</v>
      </c>
      <c r="CX272" s="492">
        <f>CX230</f>
        <v>122</v>
      </c>
      <c r="CY272" s="293"/>
      <c r="CZ272" s="492">
        <f>CZ230</f>
        <v>34</v>
      </c>
      <c r="DA272" s="492">
        <f>DA230</f>
        <v>44</v>
      </c>
      <c r="DB272" s="492">
        <f>DB230</f>
        <v>78</v>
      </c>
      <c r="DC272" s="293"/>
      <c r="DD272" s="492">
        <f>DD230</f>
        <v>28</v>
      </c>
      <c r="DE272" s="492">
        <f>DE230</f>
        <v>54</v>
      </c>
      <c r="DF272" s="492">
        <f>DF230</f>
        <v>82</v>
      </c>
      <c r="DG272" s="293"/>
      <c r="DH272" s="492">
        <f>DH230</f>
        <v>54</v>
      </c>
      <c r="DI272" s="293">
        <f>+DI249</f>
        <v>62.639999999999993</v>
      </c>
      <c r="DJ272" s="293">
        <f>DH272+DI272</f>
        <v>116.63999999999999</v>
      </c>
      <c r="DK272" s="293"/>
      <c r="DL272" s="293">
        <f>+DL249</f>
        <v>63.179999999999993</v>
      </c>
      <c r="DM272" s="293">
        <f>+DM249</f>
        <v>70.156800000000004</v>
      </c>
      <c r="DN272" s="293">
        <f>DL272+DM272</f>
        <v>133.33679999999998</v>
      </c>
      <c r="DO272" s="293"/>
      <c r="DP272" s="293">
        <f>+DP249</f>
        <v>70.761600000000001</v>
      </c>
      <c r="DQ272" s="293">
        <f>+DQ249</f>
        <v>78.575616000000011</v>
      </c>
      <c r="DR272" s="293">
        <f>DP272+DQ272</f>
        <v>149.33721600000001</v>
      </c>
      <c r="DS272" s="293"/>
      <c r="DT272" s="293"/>
      <c r="DU272" s="293"/>
      <c r="DV272" s="293"/>
      <c r="DW272" s="1197" t="s">
        <v>175</v>
      </c>
      <c r="DX272" s="293"/>
      <c r="DY272" s="293"/>
      <c r="DZ272" s="293"/>
      <c r="EA272" s="293"/>
      <c r="EB272" s="293"/>
      <c r="EC272" s="293"/>
      <c r="ED272" s="293"/>
      <c r="EE272" s="293"/>
      <c r="EF272" s="293"/>
      <c r="EG272" s="293"/>
      <c r="EH272" s="293"/>
      <c r="EI272" s="293"/>
      <c r="EJ272" s="293"/>
      <c r="EK272" s="293"/>
      <c r="EL272" s="293"/>
      <c r="EM272" s="293"/>
      <c r="EN272" s="293"/>
      <c r="EO272" s="293"/>
      <c r="EP272" s="293"/>
      <c r="EQ272" s="293"/>
      <c r="ER272" s="293"/>
      <c r="ES272" s="293"/>
      <c r="ET272" s="293"/>
      <c r="EU272" s="293"/>
      <c r="JW272"/>
    </row>
    <row r="273" spans="1:283" s="332" customFormat="1">
      <c r="A273" s="332" t="s">
        <v>651</v>
      </c>
      <c r="AN273" s="492">
        <f>AN232</f>
        <v>553</v>
      </c>
      <c r="AO273" s="492">
        <f>AO232</f>
        <v>525</v>
      </c>
      <c r="AP273" s="492">
        <f>AP232</f>
        <v>1078</v>
      </c>
      <c r="AQ273" s="626"/>
      <c r="AR273" s="492">
        <f>AR232</f>
        <v>787</v>
      </c>
      <c r="AS273" s="492">
        <f>AS232</f>
        <v>468</v>
      </c>
      <c r="AT273" s="492">
        <f>AT232</f>
        <v>1255</v>
      </c>
      <c r="AU273" s="626"/>
      <c r="AV273" s="492">
        <f>AV232</f>
        <v>805</v>
      </c>
      <c r="AW273" s="492">
        <f>AW232</f>
        <v>762</v>
      </c>
      <c r="AX273" s="492">
        <f>AX232</f>
        <v>1567</v>
      </c>
      <c r="AY273" s="626"/>
      <c r="AZ273" s="492">
        <f>AZ232</f>
        <v>534</v>
      </c>
      <c r="BA273" s="492">
        <f>BA232</f>
        <v>814</v>
      </c>
      <c r="BB273" s="492">
        <f>BB232</f>
        <v>954</v>
      </c>
      <c r="BC273" s="293"/>
      <c r="BD273" s="492">
        <f>BD232</f>
        <v>480</v>
      </c>
      <c r="BE273" s="492">
        <f>BE232</f>
        <v>635</v>
      </c>
      <c r="BF273" s="492">
        <f>BF232</f>
        <v>902</v>
      </c>
      <c r="BG273" s="293"/>
      <c r="BH273" s="492">
        <f>BH232</f>
        <v>599</v>
      </c>
      <c r="BI273" s="492">
        <f>BI232</f>
        <v>707</v>
      </c>
      <c r="BJ273" s="492">
        <f>BJ232</f>
        <v>1306</v>
      </c>
      <c r="BK273" s="487"/>
      <c r="BL273" s="492">
        <f>BL232</f>
        <v>741</v>
      </c>
      <c r="BM273" s="492">
        <f>BM232</f>
        <v>1073</v>
      </c>
      <c r="BN273" s="492">
        <f>BN232</f>
        <v>1814</v>
      </c>
      <c r="BO273" s="487"/>
      <c r="BP273" s="492">
        <f>BP232</f>
        <v>784</v>
      </c>
      <c r="BQ273" s="492">
        <f>BQ232</f>
        <v>1198</v>
      </c>
      <c r="BR273" s="492">
        <f>BR232</f>
        <v>1982</v>
      </c>
      <c r="BS273" s="487"/>
      <c r="BT273" s="492">
        <f>BT232</f>
        <v>1204</v>
      </c>
      <c r="BU273" s="492">
        <f>BU232</f>
        <v>1081</v>
      </c>
      <c r="BV273" s="492">
        <f>BV232</f>
        <v>2285</v>
      </c>
      <c r="BW273" s="293"/>
      <c r="BX273" s="492">
        <f>BX232</f>
        <v>935</v>
      </c>
      <c r="BY273" s="492">
        <f>BY232</f>
        <v>1125</v>
      </c>
      <c r="BZ273" s="492">
        <f>BZ232</f>
        <v>2060</v>
      </c>
      <c r="CA273" s="293"/>
      <c r="CB273" s="492">
        <f>CB232</f>
        <v>904</v>
      </c>
      <c r="CC273" s="492">
        <f>CC232</f>
        <v>1056</v>
      </c>
      <c r="CD273" s="492">
        <f>CD232</f>
        <v>1960</v>
      </c>
      <c r="CE273" s="293"/>
      <c r="CF273" s="492">
        <f>CF232</f>
        <v>1260</v>
      </c>
      <c r="CG273" s="492">
        <f>CG232</f>
        <v>1529</v>
      </c>
      <c r="CH273" s="492">
        <f>CH232</f>
        <v>2789</v>
      </c>
      <c r="CI273" s="293"/>
      <c r="CJ273" s="492">
        <f>CJ232</f>
        <v>1612</v>
      </c>
      <c r="CK273" s="492">
        <f>CK232</f>
        <v>1179</v>
      </c>
      <c r="CL273" s="492">
        <f>CL232</f>
        <v>2791</v>
      </c>
      <c r="CM273" s="293"/>
      <c r="CN273" s="492">
        <f>CN232</f>
        <v>1667</v>
      </c>
      <c r="CO273" s="492">
        <f>CO232</f>
        <v>2045</v>
      </c>
      <c r="CP273" s="492">
        <f>CP232</f>
        <v>3712</v>
      </c>
      <c r="CQ273" s="293"/>
      <c r="CR273" s="492">
        <f>CR232</f>
        <v>1813</v>
      </c>
      <c r="CS273" s="492">
        <f>CS232</f>
        <v>2793</v>
      </c>
      <c r="CT273" s="492">
        <f>CT232</f>
        <v>4606</v>
      </c>
      <c r="CU273" s="293"/>
      <c r="CV273" s="492">
        <f>CV232</f>
        <v>2789</v>
      </c>
      <c r="CW273" s="492">
        <f>CW232</f>
        <v>4728</v>
      </c>
      <c r="CX273" s="492">
        <f>CX232</f>
        <v>7517</v>
      </c>
      <c r="CY273" s="293"/>
      <c r="CZ273" s="492">
        <f>CZ232</f>
        <v>2329</v>
      </c>
      <c r="DA273" s="492">
        <f>DA232</f>
        <v>2749</v>
      </c>
      <c r="DB273" s="492">
        <f>DB232</f>
        <v>5078</v>
      </c>
      <c r="DC273" s="293"/>
      <c r="DD273" s="492">
        <f>DD232</f>
        <v>2241</v>
      </c>
      <c r="DE273" s="492">
        <f>DE232</f>
        <v>2567</v>
      </c>
      <c r="DF273" s="492">
        <f>DF232</f>
        <v>4808</v>
      </c>
      <c r="DG273" s="293"/>
      <c r="DH273" s="492">
        <f>DH232</f>
        <v>2267</v>
      </c>
      <c r="DI273" s="818">
        <f>DI287</f>
        <v>2940.76</v>
      </c>
      <c r="DJ273" s="293">
        <f>DH273+DI273</f>
        <v>5207.76</v>
      </c>
      <c r="DK273" s="293"/>
      <c r="DL273" s="818">
        <f>DL287</f>
        <v>2296.5549999999998</v>
      </c>
      <c r="DM273" s="818">
        <f>DM287</f>
        <v>2981.9783000000002</v>
      </c>
      <c r="DN273" s="293">
        <f>DL273+DM273</f>
        <v>5278.5333000000001</v>
      </c>
      <c r="DO273" s="293"/>
      <c r="DP273" s="818">
        <f>DP287</f>
        <v>2326.8008500000001</v>
      </c>
      <c r="DQ273" s="818">
        <f>DQ287</f>
        <v>3032.3699489999999</v>
      </c>
      <c r="DR273" s="293">
        <f>DP273+DQ273</f>
        <v>5359.1707989999995</v>
      </c>
      <c r="DS273" s="293"/>
      <c r="DT273" s="293"/>
      <c r="DU273" s="293"/>
      <c r="DV273" s="293"/>
      <c r="DW273" s="1197" t="s">
        <v>513</v>
      </c>
      <c r="DX273" s="293"/>
      <c r="DY273" s="293"/>
      <c r="DZ273" s="293"/>
      <c r="EA273" s="293"/>
      <c r="EB273" s="293"/>
      <c r="EC273" s="293"/>
      <c r="ED273" s="293"/>
      <c r="EE273" s="293"/>
      <c r="EF273" s="293"/>
      <c r="EG273" s="293"/>
      <c r="EH273" s="293"/>
      <c r="EI273" s="293"/>
      <c r="EJ273" s="293"/>
      <c r="EK273" s="293"/>
      <c r="EL273" s="293"/>
      <c r="EM273" s="293"/>
      <c r="EN273" s="293"/>
      <c r="EO273" s="293"/>
      <c r="EP273" s="293"/>
      <c r="EQ273" s="293"/>
      <c r="ER273" s="293"/>
      <c r="ES273" s="293"/>
      <c r="ET273" s="293"/>
      <c r="EU273" s="293"/>
      <c r="JW273"/>
    </row>
    <row r="274" spans="1:283" s="327" customFormat="1">
      <c r="A274" s="327" t="s">
        <v>588</v>
      </c>
      <c r="AN274" s="820">
        <f>SUM(AN272:AN273)</f>
        <v>577</v>
      </c>
      <c r="AO274" s="820">
        <f>SUM(AO272:AO273)</f>
        <v>311</v>
      </c>
      <c r="AP274" s="820">
        <f>SUM(AP272:AP273)</f>
        <v>888</v>
      </c>
      <c r="AQ274" s="295"/>
      <c r="AR274" s="820">
        <f>SUM(AR272:AR273)</f>
        <v>813</v>
      </c>
      <c r="AS274" s="820">
        <f>SUM(AS272:AS273)</f>
        <v>489</v>
      </c>
      <c r="AT274" s="820">
        <f>SUM(AT272:AT273)</f>
        <v>1302</v>
      </c>
      <c r="AU274" s="295"/>
      <c r="AV274" s="820">
        <f>SUM(AV272:AV273)</f>
        <v>826</v>
      </c>
      <c r="AW274" s="820">
        <f>SUM(AW272:AW273)</f>
        <v>811</v>
      </c>
      <c r="AX274" s="820">
        <f>SUM(AX272:AX273)</f>
        <v>1637</v>
      </c>
      <c r="AY274" s="295"/>
      <c r="AZ274" s="820">
        <f>SUM(AZ272:AZ273)</f>
        <v>481</v>
      </c>
      <c r="BA274" s="820">
        <f>SUM(BA272:BA273)</f>
        <v>819</v>
      </c>
      <c r="BB274" s="820">
        <f>SUM(BB272:BB273)</f>
        <v>906</v>
      </c>
      <c r="BC274" s="295"/>
      <c r="BD274" s="820">
        <f>SUM(BD272:BD273)</f>
        <v>457</v>
      </c>
      <c r="BE274" s="820">
        <f>SUM(BE272:BE273)</f>
        <v>653</v>
      </c>
      <c r="BF274" s="820">
        <f>SUM(BF272:BF273)</f>
        <v>897</v>
      </c>
      <c r="BG274" s="295"/>
      <c r="BH274" s="820">
        <f>SUM(BH272:BH273)</f>
        <v>599</v>
      </c>
      <c r="BI274" s="820">
        <f>SUM(BI272:BI273)</f>
        <v>707</v>
      </c>
      <c r="BJ274" s="820">
        <f>SUM(BJ272:BJ273)</f>
        <v>1306</v>
      </c>
      <c r="BK274" s="295"/>
      <c r="BL274" s="820">
        <f>SUM(BL272:BL273)</f>
        <v>741</v>
      </c>
      <c r="BM274" s="820">
        <f>SUM(BM272:BM273)</f>
        <v>1073</v>
      </c>
      <c r="BN274" s="820">
        <f>SUM(BN272:BN273)</f>
        <v>1814</v>
      </c>
      <c r="BO274" s="685"/>
      <c r="BP274" s="820">
        <f>SUM(BP272:BP273)</f>
        <v>784</v>
      </c>
      <c r="BQ274" s="820">
        <f>SUM(BQ272:BQ273)</f>
        <v>1198</v>
      </c>
      <c r="BR274" s="820">
        <f>SUM(BR272:BR273)</f>
        <v>1982</v>
      </c>
      <c r="BS274" s="685"/>
      <c r="BT274" s="820">
        <f>SUM(BT272:BT273)</f>
        <v>1204</v>
      </c>
      <c r="BU274" s="820">
        <f>SUM(BU272:BU273)</f>
        <v>1081</v>
      </c>
      <c r="BV274" s="820">
        <f>SUM(BV272:BV273)</f>
        <v>2285</v>
      </c>
      <c r="BW274" s="295"/>
      <c r="BX274" s="820">
        <f>SUM(BX272:BX273)</f>
        <v>935</v>
      </c>
      <c r="BY274" s="820">
        <f>SUM(BY272:BY273)</f>
        <v>1125</v>
      </c>
      <c r="BZ274" s="820">
        <f>SUM(BZ272:BZ273)</f>
        <v>2060</v>
      </c>
      <c r="CA274" s="295"/>
      <c r="CB274" s="820">
        <f>SUM(CB272:CB273)</f>
        <v>904</v>
      </c>
      <c r="CC274" s="820">
        <f>SUM(CC272:CC273)</f>
        <v>1056</v>
      </c>
      <c r="CD274" s="820">
        <f>SUM(CD272:CD273)</f>
        <v>1960</v>
      </c>
      <c r="CE274" s="295"/>
      <c r="CF274" s="820">
        <f>SUM(CF272:CF273)</f>
        <v>1357</v>
      </c>
      <c r="CG274" s="820">
        <f>SUM(CG272:CG273)</f>
        <v>1583</v>
      </c>
      <c r="CH274" s="820">
        <f>SUM(CH272:CH273)</f>
        <v>2940</v>
      </c>
      <c r="CI274" s="295"/>
      <c r="CJ274" s="820">
        <f>SUM(CJ272:CJ273)</f>
        <v>1690</v>
      </c>
      <c r="CK274" s="820">
        <f>SUM(CK272:CK273)</f>
        <v>1267</v>
      </c>
      <c r="CL274" s="820">
        <f>SUM(CL272:CL273)</f>
        <v>2957</v>
      </c>
      <c r="CM274" s="295"/>
      <c r="CN274" s="820">
        <f>SUM(CN272:CN273)</f>
        <v>1737</v>
      </c>
      <c r="CO274" s="820">
        <f>SUM(CO272:CO273)</f>
        <v>2119</v>
      </c>
      <c r="CP274" s="820">
        <f>SUM(CP272:CP273)</f>
        <v>3856</v>
      </c>
      <c r="CQ274" s="295"/>
      <c r="CR274" s="820">
        <f>SUM(CR272:CR273)</f>
        <v>1878</v>
      </c>
      <c r="CS274" s="820">
        <f>SUM(CS272:CS273)</f>
        <v>2854</v>
      </c>
      <c r="CT274" s="820">
        <f>SUM(CT272:CT273)</f>
        <v>4732</v>
      </c>
      <c r="CU274" s="295"/>
      <c r="CV274" s="820">
        <f>SUM(CV272:CV273)</f>
        <v>2852</v>
      </c>
      <c r="CW274" s="820">
        <f>SUM(CW272:CW273)</f>
        <v>4787</v>
      </c>
      <c r="CX274" s="820">
        <f>SUM(CX272:CX273)</f>
        <v>7639</v>
      </c>
      <c r="CY274" s="295"/>
      <c r="CZ274" s="820">
        <f>SUM(CZ272:CZ273)</f>
        <v>2363</v>
      </c>
      <c r="DA274" s="820">
        <f>SUM(DA272:DA273)</f>
        <v>2793</v>
      </c>
      <c r="DB274" s="820">
        <f>SUM(DB272:DB273)</f>
        <v>5156</v>
      </c>
      <c r="DC274" s="295"/>
      <c r="DD274" s="820">
        <f>SUM(DD272:DD273)</f>
        <v>2269</v>
      </c>
      <c r="DE274" s="820">
        <f>SUM(DE272:DE273)</f>
        <v>2621</v>
      </c>
      <c r="DF274" s="820">
        <f>SUM(DF272:DF273)</f>
        <v>4890</v>
      </c>
      <c r="DG274" s="295"/>
      <c r="DH274" s="820">
        <f>SUM(DH272:DH273)</f>
        <v>2321</v>
      </c>
      <c r="DI274" s="295">
        <f>SUM(DI272:DI273)</f>
        <v>3003.4</v>
      </c>
      <c r="DJ274" s="295">
        <f>DH274+DI274</f>
        <v>5324.4</v>
      </c>
      <c r="DK274" s="295"/>
      <c r="DL274" s="295">
        <f>SUM(DL272:DL273)</f>
        <v>2359.7349999999997</v>
      </c>
      <c r="DM274" s="295">
        <f>SUM(DM272:DM273)</f>
        <v>3052.1351000000004</v>
      </c>
      <c r="DN274" s="295">
        <f>DL274+DM274</f>
        <v>5411.8701000000001</v>
      </c>
      <c r="DO274" s="295"/>
      <c r="DP274" s="295">
        <f>SUM(DP272:DP273)</f>
        <v>2397.5624499999999</v>
      </c>
      <c r="DQ274" s="295">
        <f>SUM(DQ272:DQ273)</f>
        <v>3110.945565</v>
      </c>
      <c r="DR274" s="295">
        <f>DP274+DQ274</f>
        <v>5508.5080149999994</v>
      </c>
      <c r="DS274" s="295"/>
      <c r="DT274" s="295"/>
      <c r="DU274" s="295"/>
      <c r="DV274" s="295"/>
      <c r="DW274" s="1199"/>
      <c r="DX274" s="295"/>
      <c r="DY274" s="295"/>
      <c r="DZ274" s="295"/>
      <c r="EA274" s="295"/>
      <c r="EB274" s="295"/>
      <c r="EC274" s="295"/>
      <c r="ED274" s="295"/>
      <c r="EE274" s="295"/>
      <c r="EF274" s="295"/>
      <c r="EG274" s="295"/>
      <c r="EH274" s="295"/>
      <c r="EI274" s="295"/>
      <c r="EJ274" s="295"/>
      <c r="EK274" s="295"/>
      <c r="EL274" s="295"/>
      <c r="EM274" s="295"/>
      <c r="EN274" s="295"/>
      <c r="EO274" s="295"/>
      <c r="EP274" s="295"/>
      <c r="EQ274" s="295"/>
      <c r="ER274" s="295"/>
      <c r="ES274" s="295"/>
      <c r="ET274" s="295"/>
      <c r="EU274" s="295"/>
      <c r="JW274"/>
    </row>
    <row r="275" spans="1:283">
      <c r="A275" s="323" t="s">
        <v>1286</v>
      </c>
      <c r="CR275" s="293"/>
      <c r="CS275" s="103"/>
      <c r="CT275" s="103"/>
      <c r="CV275" s="293"/>
      <c r="CW275" s="103"/>
      <c r="CX275" s="103"/>
      <c r="CZ275" s="293"/>
      <c r="DA275" s="103"/>
      <c r="DB275" s="103"/>
      <c r="DD275" s="293"/>
      <c r="DE275" s="103"/>
      <c r="DF275" s="103"/>
      <c r="DH275" s="293"/>
      <c r="DI275" s="293"/>
      <c r="DJ275" s="293"/>
      <c r="DL275" s="293"/>
      <c r="DM275" s="293"/>
      <c r="DN275" s="293"/>
      <c r="DP275" s="293"/>
      <c r="DQ275" s="293"/>
      <c r="DR275" s="293"/>
      <c r="DW275" s="1197"/>
      <c r="DX275" s="293"/>
      <c r="DY275" s="293"/>
      <c r="EA275" s="293"/>
      <c r="EB275" s="293"/>
      <c r="EC275" s="293"/>
      <c r="EE275" s="293"/>
      <c r="EF275" s="293"/>
      <c r="EG275" s="293"/>
      <c r="EI275" s="293"/>
      <c r="EJ275" s="293"/>
      <c r="EK275" s="293"/>
    </row>
    <row r="276" spans="1:283" s="323" customFormat="1">
      <c r="A276" s="1079" t="s">
        <v>1288</v>
      </c>
      <c r="AN276" s="648"/>
      <c r="AO276" s="648"/>
      <c r="AP276" s="115"/>
      <c r="AQ276" s="115"/>
      <c r="AR276" s="648"/>
      <c r="AS276" s="648"/>
      <c r="AT276" s="115"/>
      <c r="AU276" s="115"/>
      <c r="AV276" s="648">
        <f t="shared" ref="AV276:AX278" si="706">+AV272/AR272-1</f>
        <v>-0.19230769230769229</v>
      </c>
      <c r="AW276" s="648">
        <f t="shared" si="706"/>
        <v>1.3333333333333335</v>
      </c>
      <c r="AX276" s="648">
        <f t="shared" si="706"/>
        <v>0.4893617021276595</v>
      </c>
      <c r="AY276" s="115"/>
      <c r="AZ276" s="648">
        <f t="shared" ref="AZ276:BB278" si="707">+AZ272/AV272-1</f>
        <v>-3.5238095238095237</v>
      </c>
      <c r="BA276" s="648">
        <f t="shared" si="707"/>
        <v>-0.89795918367346939</v>
      </c>
      <c r="BB276" s="648">
        <f t="shared" si="707"/>
        <v>-1.6857142857142857</v>
      </c>
      <c r="BC276" s="115"/>
      <c r="BD276" s="648">
        <f t="shared" ref="BD276:BF278" si="708">+BD272/AZ272-1</f>
        <v>-0.56603773584905659</v>
      </c>
      <c r="BE276" s="648">
        <f t="shared" si="708"/>
        <v>2.6</v>
      </c>
      <c r="BF276" s="648">
        <f t="shared" si="708"/>
        <v>-0.89583333333333337</v>
      </c>
      <c r="BG276" s="115"/>
      <c r="BH276" s="648"/>
      <c r="BI276" s="648"/>
      <c r="BJ276" s="648"/>
      <c r="BK276" s="115"/>
      <c r="BL276" s="648"/>
      <c r="BM276" s="648"/>
      <c r="BN276" s="648"/>
      <c r="BO276" s="115"/>
      <c r="BP276" s="648"/>
      <c r="BQ276" s="648"/>
      <c r="BR276" s="648"/>
      <c r="BS276" s="115"/>
      <c r="BT276" s="648"/>
      <c r="BU276" s="648"/>
      <c r="BV276" s="648"/>
      <c r="BW276" s="115"/>
      <c r="BX276" s="648"/>
      <c r="BY276" s="648"/>
      <c r="BZ276" s="648"/>
      <c r="CA276" s="115"/>
      <c r="CB276" s="648"/>
      <c r="CC276" s="648"/>
      <c r="CD276" s="648"/>
      <c r="CE276" s="115"/>
      <c r="CF276" s="648" t="str">
        <f>IFERROR(CF272/CC272-1,"")</f>
        <v/>
      </c>
      <c r="CG276" s="648">
        <f>CG272/CF272-1</f>
        <v>-0.44329896907216493</v>
      </c>
      <c r="CH276" s="648"/>
      <c r="CI276" s="115"/>
      <c r="CJ276" s="648">
        <f>CJ272/CG272-1</f>
        <v>0.44444444444444442</v>
      </c>
      <c r="CK276" s="648">
        <f>CK272/CJ272-1</f>
        <v>0.12820512820512819</v>
      </c>
      <c r="CL276" s="648"/>
      <c r="CM276" s="115"/>
      <c r="CN276" s="648">
        <f>CN272/CK272-1</f>
        <v>-0.20454545454545459</v>
      </c>
      <c r="CO276" s="648">
        <f>CO272/CN272-1</f>
        <v>5.7142857142857162E-2</v>
      </c>
      <c r="CP276" s="648"/>
      <c r="CQ276" s="115"/>
      <c r="CR276" s="648">
        <f>CR272/CO272-1</f>
        <v>-0.1216216216216216</v>
      </c>
      <c r="CS276" s="648">
        <f>CS272/CR272-1</f>
        <v>-6.1538461538461542E-2</v>
      </c>
      <c r="CT276" s="648"/>
      <c r="CU276" s="115"/>
      <c r="CV276" s="648">
        <f>CV272/CS272-1</f>
        <v>3.2786885245901676E-2</v>
      </c>
      <c r="CW276" s="648">
        <f>CW272/CV272-1</f>
        <v>-6.3492063492063489E-2</v>
      </c>
      <c r="CX276" s="648"/>
      <c r="CY276" s="115"/>
      <c r="CZ276" s="648">
        <f>CZ272/CW272-1</f>
        <v>-0.42372881355932202</v>
      </c>
      <c r="DA276" s="648">
        <f>DA272/CZ272-1</f>
        <v>0.29411764705882359</v>
      </c>
      <c r="DB276" s="648"/>
      <c r="DC276" s="115"/>
      <c r="DD276" s="648">
        <f>DD272/DA272-1</f>
        <v>-0.36363636363636365</v>
      </c>
      <c r="DE276" s="648">
        <f>DE272/DD272-1</f>
        <v>0.9285714285714286</v>
      </c>
      <c r="DF276" s="648"/>
      <c r="DG276" s="115"/>
      <c r="DH276" s="648">
        <f>DH272/DE272-1</f>
        <v>0</v>
      </c>
      <c r="DI276" s="648">
        <f t="shared" ref="DI276" si="709">+DI272/DE272-1</f>
        <v>0.15999999999999992</v>
      </c>
      <c r="DJ276" s="648">
        <f t="shared" ref="DJ276" si="710">+DJ272/DF272-1</f>
        <v>0.42243902439024383</v>
      </c>
      <c r="DK276" s="115"/>
      <c r="DL276" s="648">
        <f t="shared" ref="DL276" si="711">+DL272/DH272-1</f>
        <v>0.16999999999999993</v>
      </c>
      <c r="DM276" s="648">
        <f t="shared" ref="DM276" si="712">+DM272/DI272-1</f>
        <v>0.12000000000000011</v>
      </c>
      <c r="DN276" s="648">
        <f t="shared" ref="DN276" si="713">+DN272/DJ272-1</f>
        <v>0.14314814814814802</v>
      </c>
      <c r="DO276" s="115"/>
      <c r="DP276" s="648">
        <f t="shared" ref="DP276:DP278" si="714">+DP272/DL272-1</f>
        <v>0.12000000000000011</v>
      </c>
      <c r="DQ276" s="648">
        <f t="shared" ref="DQ276:DQ278" si="715">+DQ272/DM272-1</f>
        <v>0.12000000000000011</v>
      </c>
      <c r="DR276" s="648">
        <f t="shared" ref="DR276:DR278" si="716">+DR272/DN272-1</f>
        <v>0.12000000000000033</v>
      </c>
      <c r="DS276" s="115"/>
      <c r="DT276" s="115"/>
      <c r="DU276" s="115"/>
      <c r="DV276" s="115"/>
      <c r="DW276" s="1214"/>
      <c r="DX276" s="648"/>
      <c r="DY276" s="648"/>
      <c r="DZ276" s="115"/>
      <c r="EA276" s="648"/>
      <c r="EB276" s="648"/>
      <c r="EC276" s="648"/>
      <c r="ED276" s="115"/>
      <c r="EE276" s="648"/>
      <c r="EF276" s="648"/>
      <c r="EG276" s="648"/>
      <c r="EH276" s="115"/>
      <c r="EI276" s="648"/>
      <c r="EJ276" s="648"/>
      <c r="EK276" s="648"/>
      <c r="EL276" s="115"/>
      <c r="EM276" s="115"/>
      <c r="EN276" s="115"/>
      <c r="EO276" s="115"/>
      <c r="EP276" s="115"/>
      <c r="EQ276" s="115"/>
      <c r="ER276" s="115"/>
      <c r="ES276" s="115"/>
      <c r="ET276" s="115"/>
      <c r="EU276" s="115"/>
      <c r="JW276"/>
    </row>
    <row r="277" spans="1:283" s="323" customFormat="1">
      <c r="A277" s="1079" t="s">
        <v>1287</v>
      </c>
      <c r="AN277" s="648"/>
      <c r="AO277" s="648"/>
      <c r="AP277" s="115"/>
      <c r="AQ277" s="115"/>
      <c r="AR277" s="648"/>
      <c r="AS277" s="648"/>
      <c r="AT277" s="115"/>
      <c r="AU277" s="115"/>
      <c r="AV277" s="648">
        <f t="shared" si="706"/>
        <v>2.2871664548919979E-2</v>
      </c>
      <c r="AW277" s="648">
        <f t="shared" si="706"/>
        <v>0.62820512820512819</v>
      </c>
      <c r="AX277" s="648">
        <f t="shared" si="706"/>
        <v>0.24860557768924307</v>
      </c>
      <c r="AY277" s="115"/>
      <c r="AZ277" s="648">
        <f t="shared" si="707"/>
        <v>-0.33664596273291925</v>
      </c>
      <c r="BA277" s="648">
        <f t="shared" si="707"/>
        <v>6.8241469816272993E-2</v>
      </c>
      <c r="BB277" s="648">
        <f t="shared" si="707"/>
        <v>-0.39119336311423103</v>
      </c>
      <c r="BC277" s="115"/>
      <c r="BD277" s="648">
        <f t="shared" si="708"/>
        <v>-0.101123595505618</v>
      </c>
      <c r="BE277" s="648">
        <f t="shared" si="708"/>
        <v>-0.21990171990171992</v>
      </c>
      <c r="BF277" s="648">
        <f t="shared" si="708"/>
        <v>-5.4507337526205402E-2</v>
      </c>
      <c r="BG277" s="115"/>
      <c r="BH277" s="648">
        <f t="shared" ref="BH277:BJ278" si="717">+BH273/BD273-1</f>
        <v>0.24791666666666656</v>
      </c>
      <c r="BI277" s="648">
        <f t="shared" si="717"/>
        <v>0.11338582677165365</v>
      </c>
      <c r="BJ277" s="648">
        <f t="shared" si="717"/>
        <v>0.44789356984478945</v>
      </c>
      <c r="BK277" s="115"/>
      <c r="BL277" s="648">
        <f t="shared" ref="BL277:BP278" si="718">+BL273/BH273-1</f>
        <v>0.23706176961602665</v>
      </c>
      <c r="BM277" s="648">
        <f t="shared" si="718"/>
        <v>0.51768033946251779</v>
      </c>
      <c r="BN277" s="648">
        <f t="shared" si="718"/>
        <v>0.38897396630934145</v>
      </c>
      <c r="BO277" s="115"/>
      <c r="BP277" s="648">
        <f t="shared" si="718"/>
        <v>5.802968960863697E-2</v>
      </c>
      <c r="BQ277" s="648">
        <f>+BQ273/BM273-1</f>
        <v>0.11649580615097865</v>
      </c>
      <c r="BR277" s="648">
        <f>+BR273/BN273-1</f>
        <v>9.2613009922822398E-2</v>
      </c>
      <c r="BS277" s="115"/>
      <c r="BT277" s="648">
        <f t="shared" ref="BT277:BV278" si="719">+BT273/BP273-1</f>
        <v>0.53571428571428581</v>
      </c>
      <c r="BU277" s="648">
        <f t="shared" si="719"/>
        <v>-9.7662771285475847E-2</v>
      </c>
      <c r="BV277" s="648">
        <f t="shared" si="719"/>
        <v>0.15287588294651866</v>
      </c>
      <c r="BW277" s="115"/>
      <c r="BX277" s="648">
        <f t="shared" ref="BX277:CB278" si="720">+BX273/BT273-1</f>
        <v>-0.22342192691029905</v>
      </c>
      <c r="BY277" s="648">
        <f t="shared" si="720"/>
        <v>4.0703052728954692E-2</v>
      </c>
      <c r="BZ277" s="648">
        <f t="shared" si="720"/>
        <v>-9.8468271334792079E-2</v>
      </c>
      <c r="CA277" s="115"/>
      <c r="CB277" s="648">
        <f t="shared" si="720"/>
        <v>-3.3155080213903787E-2</v>
      </c>
      <c r="CC277" s="648">
        <f t="shared" ref="CC277:CC278" si="721">+CC273/BY273-1</f>
        <v>-6.1333333333333351E-2</v>
      </c>
      <c r="CD277" s="648">
        <f t="shared" ref="CD277:CD278" si="722">+CD273/BZ273-1</f>
        <v>-4.8543689320388328E-2</v>
      </c>
      <c r="CE277" s="115"/>
      <c r="CF277" s="648">
        <f t="shared" ref="CF277:CF278" si="723">+CF273/CB273-1</f>
        <v>0.39380530973451333</v>
      </c>
      <c r="CG277" s="648">
        <f t="shared" ref="CG277:CG278" si="724">+CG273/CC273-1</f>
        <v>0.44791666666666674</v>
      </c>
      <c r="CH277" s="648">
        <f t="shared" ref="CH277:CH278" si="725">+CH273/CD273-1</f>
        <v>0.42295918367346941</v>
      </c>
      <c r="CI277" s="115"/>
      <c r="CJ277" s="648">
        <f t="shared" ref="CJ277:CJ278" si="726">+CJ273/CF273-1</f>
        <v>0.27936507936507926</v>
      </c>
      <c r="CK277" s="648">
        <f t="shared" ref="CK277:CK278" si="727">+CK273/CG273-1</f>
        <v>-0.22890778286461744</v>
      </c>
      <c r="CL277" s="648">
        <f t="shared" ref="CL277:CL278" si="728">+CL273/CH273-1</f>
        <v>7.1710290426674206E-4</v>
      </c>
      <c r="CM277" s="115"/>
      <c r="CN277" s="648">
        <f t="shared" ref="CN277:CN278" si="729">+CN273/CJ273-1</f>
        <v>3.4119106699751933E-2</v>
      </c>
      <c r="CO277" s="648">
        <f t="shared" ref="CO277:CO278" si="730">+CO273/CK273-1</f>
        <v>0.73452078032230705</v>
      </c>
      <c r="CP277" s="648">
        <f t="shared" ref="CP277:CP278" si="731">+CP273/CL273-1</f>
        <v>0.3299892511644571</v>
      </c>
      <c r="CQ277" s="115"/>
      <c r="CR277" s="648">
        <f t="shared" ref="CR277:CR278" si="732">+CR273/CN273-1</f>
        <v>8.7582483503299446E-2</v>
      </c>
      <c r="CS277" s="648">
        <f t="shared" ref="CS277:CS278" si="733">+CS273/CO273-1</f>
        <v>0.36577017114914434</v>
      </c>
      <c r="CT277" s="648">
        <f t="shared" ref="CT277:CT278" si="734">+CT273/CP273-1</f>
        <v>0.24084051724137923</v>
      </c>
      <c r="CU277" s="115"/>
      <c r="CV277" s="648">
        <f t="shared" ref="CV277:CV278" si="735">+CV273/CR273-1</f>
        <v>0.53833425261996681</v>
      </c>
      <c r="CW277" s="648">
        <f t="shared" ref="CW277:CW278" si="736">+CW273/CS273-1</f>
        <v>0.69280343716433945</v>
      </c>
      <c r="CX277" s="648">
        <f t="shared" ref="CX277:CX278" si="737">+CX273/CT273-1</f>
        <v>0.63200173686495864</v>
      </c>
      <c r="CY277" s="115"/>
      <c r="CZ277" s="648">
        <f t="shared" ref="CZ277:CZ278" si="738">+CZ273/CV273-1</f>
        <v>-0.16493366798135534</v>
      </c>
      <c r="DA277" s="648">
        <f t="shared" ref="DA277:DA278" si="739">+DA273/CW273-1</f>
        <v>-0.41857021996615906</v>
      </c>
      <c r="DB277" s="648">
        <f t="shared" ref="DB277:DB278" si="740">+DB273/CX273-1</f>
        <v>-0.32446454702673944</v>
      </c>
      <c r="DC277" s="115"/>
      <c r="DD277" s="648">
        <f t="shared" ref="DD277:DD278" si="741">+DD273/CZ273-1</f>
        <v>-3.778445684843279E-2</v>
      </c>
      <c r="DE277" s="648">
        <f t="shared" ref="DE277:DE278" si="742">+DE273/DA273-1</f>
        <v>-6.620589305201896E-2</v>
      </c>
      <c r="DF277" s="648">
        <f t="shared" ref="DF277:DF278" si="743">+DF273/DB273-1</f>
        <v>-5.3170539582512832E-2</v>
      </c>
      <c r="DG277" s="115"/>
      <c r="DH277" s="648">
        <f t="shared" ref="DH277:DH278" si="744">+DH273/DD273-1</f>
        <v>1.1601963409192395E-2</v>
      </c>
      <c r="DI277" s="648">
        <f t="shared" ref="DI277:DI278" si="745">+DI273/DE273-1</f>
        <v>0.14560186988702783</v>
      </c>
      <c r="DJ277" s="648">
        <f t="shared" ref="DJ277:DJ278" si="746">+DJ273/DF273-1</f>
        <v>8.3144758735441027E-2</v>
      </c>
      <c r="DK277" s="115"/>
      <c r="DL277" s="648">
        <f t="shared" ref="DL277:DL278" si="747">+DL273/DH273-1</f>
        <v>1.3037053374503671E-2</v>
      </c>
      <c r="DM277" s="648">
        <f t="shared" ref="DM277:DM278" si="748">+DM273/DI273-1</f>
        <v>1.4016206694867916E-2</v>
      </c>
      <c r="DN277" s="648">
        <f t="shared" ref="DN277:DN278" si="749">+DN273/DJ273-1</f>
        <v>1.3589969583851724E-2</v>
      </c>
      <c r="DO277" s="115"/>
      <c r="DP277" s="648">
        <f t="shared" si="714"/>
        <v>1.3170096078691795E-2</v>
      </c>
      <c r="DQ277" s="648">
        <f t="shared" si="715"/>
        <v>1.6898730953206265E-2</v>
      </c>
      <c r="DR277" s="648">
        <f t="shared" si="716"/>
        <v>1.5276497166362368E-2</v>
      </c>
      <c r="DS277" s="115"/>
      <c r="DT277" s="115"/>
      <c r="DU277" s="115"/>
      <c r="DV277" s="115"/>
      <c r="DW277" s="1214"/>
      <c r="DX277" s="648"/>
      <c r="DY277" s="648"/>
      <c r="DZ277" s="115"/>
      <c r="EA277" s="648"/>
      <c r="EB277" s="648"/>
      <c r="EC277" s="648"/>
      <c r="ED277" s="115"/>
      <c r="EE277" s="648"/>
      <c r="EF277" s="648"/>
      <c r="EG277" s="648"/>
      <c r="EH277" s="115"/>
      <c r="EI277" s="648"/>
      <c r="EJ277" s="648"/>
      <c r="EK277" s="648"/>
      <c r="EL277" s="115"/>
      <c r="EM277" s="115"/>
      <c r="EN277" s="115"/>
      <c r="EO277" s="115"/>
      <c r="EP277" s="115"/>
      <c r="EQ277" s="115"/>
      <c r="ER277" s="115"/>
      <c r="ES277" s="115"/>
      <c r="ET277" s="115"/>
      <c r="EU277" s="115"/>
      <c r="JW277"/>
    </row>
    <row r="278" spans="1:283" s="328" customFormat="1">
      <c r="A278" s="1092" t="str">
        <f>+A274</f>
        <v>Total</v>
      </c>
      <c r="AN278" s="682"/>
      <c r="AO278" s="682"/>
      <c r="AP278" s="581"/>
      <c r="AQ278" s="581"/>
      <c r="AR278" s="682"/>
      <c r="AS278" s="682"/>
      <c r="AT278" s="581"/>
      <c r="AU278" s="581"/>
      <c r="AV278" s="682">
        <f t="shared" si="706"/>
        <v>1.5990159901599021E-2</v>
      </c>
      <c r="AW278" s="682">
        <f t="shared" si="706"/>
        <v>0.65848670756646221</v>
      </c>
      <c r="AX278" s="682">
        <f t="shared" si="706"/>
        <v>0.25729646697388642</v>
      </c>
      <c r="AY278" s="581"/>
      <c r="AZ278" s="682">
        <f t="shared" si="707"/>
        <v>-0.41767554479418889</v>
      </c>
      <c r="BA278" s="682">
        <f t="shared" si="707"/>
        <v>9.8643649815042256E-3</v>
      </c>
      <c r="BB278" s="682">
        <f t="shared" si="707"/>
        <v>-0.4465485644471594</v>
      </c>
      <c r="BC278" s="581"/>
      <c r="BD278" s="682">
        <f t="shared" si="708"/>
        <v>-4.9896049896049899E-2</v>
      </c>
      <c r="BE278" s="682">
        <f t="shared" si="708"/>
        <v>-0.20268620268620263</v>
      </c>
      <c r="BF278" s="682">
        <f t="shared" si="708"/>
        <v>-9.9337748344371368E-3</v>
      </c>
      <c r="BG278" s="581"/>
      <c r="BH278" s="682">
        <f t="shared" si="717"/>
        <v>0.31072210065645511</v>
      </c>
      <c r="BI278" s="682">
        <f t="shared" si="717"/>
        <v>8.2695252679938713E-2</v>
      </c>
      <c r="BJ278" s="682">
        <f t="shared" si="717"/>
        <v>0.45596432552954291</v>
      </c>
      <c r="BK278" s="581"/>
      <c r="BL278" s="682">
        <f t="shared" si="718"/>
        <v>0.23706176961602665</v>
      </c>
      <c r="BM278" s="682">
        <f t="shared" si="718"/>
        <v>0.51768033946251779</v>
      </c>
      <c r="BN278" s="682">
        <f t="shared" si="718"/>
        <v>0.38897396630934145</v>
      </c>
      <c r="BO278" s="581"/>
      <c r="BP278" s="682">
        <f t="shared" si="718"/>
        <v>5.802968960863697E-2</v>
      </c>
      <c r="BQ278" s="682">
        <f>+BQ274/BM274-1</f>
        <v>0.11649580615097865</v>
      </c>
      <c r="BR278" s="682">
        <f>+BR274/BN274-1</f>
        <v>9.2613009922822398E-2</v>
      </c>
      <c r="BS278" s="581"/>
      <c r="BT278" s="682">
        <f t="shared" si="719"/>
        <v>0.53571428571428581</v>
      </c>
      <c r="BU278" s="682">
        <f t="shared" si="719"/>
        <v>-9.7662771285475847E-2</v>
      </c>
      <c r="BV278" s="682">
        <f t="shared" si="719"/>
        <v>0.15287588294651866</v>
      </c>
      <c r="BW278" s="581"/>
      <c r="BX278" s="682">
        <f t="shared" si="720"/>
        <v>-0.22342192691029905</v>
      </c>
      <c r="BY278" s="682">
        <f t="shared" si="720"/>
        <v>4.0703052728954692E-2</v>
      </c>
      <c r="BZ278" s="682">
        <f t="shared" si="720"/>
        <v>-9.8468271334792079E-2</v>
      </c>
      <c r="CA278" s="581"/>
      <c r="CB278" s="682">
        <f t="shared" si="720"/>
        <v>-3.3155080213903787E-2</v>
      </c>
      <c r="CC278" s="682">
        <f t="shared" si="721"/>
        <v>-6.1333333333333351E-2</v>
      </c>
      <c r="CD278" s="682">
        <f t="shared" si="722"/>
        <v>-4.8543689320388328E-2</v>
      </c>
      <c r="CE278" s="581"/>
      <c r="CF278" s="682">
        <f t="shared" si="723"/>
        <v>0.50110619469026552</v>
      </c>
      <c r="CG278" s="682">
        <f t="shared" si="724"/>
        <v>0.49905303030303028</v>
      </c>
      <c r="CH278" s="682">
        <f t="shared" si="725"/>
        <v>0.5</v>
      </c>
      <c r="CI278" s="581"/>
      <c r="CJ278" s="682">
        <f t="shared" si="726"/>
        <v>0.24539425202652909</v>
      </c>
      <c r="CK278" s="682">
        <f t="shared" si="727"/>
        <v>-0.19962097283638658</v>
      </c>
      <c r="CL278" s="682">
        <f t="shared" si="728"/>
        <v>5.7823129251701744E-3</v>
      </c>
      <c r="CM278" s="581"/>
      <c r="CN278" s="682">
        <f t="shared" si="729"/>
        <v>2.7810650887573951E-2</v>
      </c>
      <c r="CO278" s="682">
        <f t="shared" si="730"/>
        <v>0.67245461720599842</v>
      </c>
      <c r="CP278" s="682">
        <f t="shared" si="731"/>
        <v>0.3040243490023673</v>
      </c>
      <c r="CQ278" s="581"/>
      <c r="CR278" s="682">
        <f t="shared" si="732"/>
        <v>8.1174438687392048E-2</v>
      </c>
      <c r="CS278" s="682">
        <f t="shared" si="733"/>
        <v>0.34686172722982533</v>
      </c>
      <c r="CT278" s="682">
        <f t="shared" si="734"/>
        <v>0.2271784232365146</v>
      </c>
      <c r="CU278" s="581"/>
      <c r="CV278" s="682">
        <f t="shared" si="735"/>
        <v>0.51863684771033003</v>
      </c>
      <c r="CW278" s="682">
        <f t="shared" si="736"/>
        <v>0.67729502452697976</v>
      </c>
      <c r="CX278" s="682">
        <f t="shared" si="737"/>
        <v>0.61432797971259512</v>
      </c>
      <c r="CY278" s="581"/>
      <c r="CZ278" s="682">
        <f t="shared" si="738"/>
        <v>-0.17145862552594671</v>
      </c>
      <c r="DA278" s="682">
        <f t="shared" si="739"/>
        <v>-0.41654480885732192</v>
      </c>
      <c r="DB278" s="682">
        <f t="shared" si="740"/>
        <v>-0.32504254483571149</v>
      </c>
      <c r="DC278" s="581"/>
      <c r="DD278" s="682">
        <f t="shared" si="741"/>
        <v>-3.977994075327973E-2</v>
      </c>
      <c r="DE278" s="682">
        <f t="shared" si="742"/>
        <v>-6.1582527747941262E-2</v>
      </c>
      <c r="DF278" s="682">
        <f t="shared" si="743"/>
        <v>-5.1590380139643122E-2</v>
      </c>
      <c r="DG278" s="581"/>
      <c r="DH278" s="682">
        <f t="shared" si="744"/>
        <v>2.2917584839136085E-2</v>
      </c>
      <c r="DI278" s="682">
        <f t="shared" si="745"/>
        <v>0.14589851201831361</v>
      </c>
      <c r="DJ278" s="682">
        <f t="shared" si="746"/>
        <v>8.8834355828220746E-2</v>
      </c>
      <c r="DK278" s="581"/>
      <c r="DL278" s="682">
        <f t="shared" si="747"/>
        <v>1.6688927186557345E-2</v>
      </c>
      <c r="DM278" s="682">
        <f t="shared" si="748"/>
        <v>1.622664313777733E-2</v>
      </c>
      <c r="DN278" s="682">
        <f t="shared" si="749"/>
        <v>1.6428160919540247E-2</v>
      </c>
      <c r="DO278" s="581"/>
      <c r="DP278" s="682">
        <f t="shared" si="714"/>
        <v>1.6030380530017263E-2</v>
      </c>
      <c r="DQ278" s="682">
        <f t="shared" si="715"/>
        <v>1.9268630998673597E-2</v>
      </c>
      <c r="DR278" s="682">
        <f t="shared" si="716"/>
        <v>1.7856658274188586E-2</v>
      </c>
      <c r="DS278" s="581"/>
      <c r="DT278" s="581"/>
      <c r="DU278" s="581"/>
      <c r="DV278" s="581"/>
      <c r="DW278" s="682"/>
      <c r="DX278" s="682"/>
      <c r="DY278" s="682"/>
      <c r="DZ278" s="581"/>
      <c r="EA278" s="682"/>
      <c r="EB278" s="682"/>
      <c r="EC278" s="682"/>
      <c r="ED278" s="581"/>
      <c r="EE278" s="682"/>
      <c r="EF278" s="682"/>
      <c r="EG278" s="682"/>
      <c r="EH278" s="581"/>
      <c r="EI278" s="682"/>
      <c r="EJ278" s="682"/>
      <c r="EK278" s="682"/>
      <c r="EL278" s="581"/>
      <c r="EM278" s="581"/>
      <c r="EN278" s="581"/>
      <c r="EO278" s="581"/>
      <c r="EP278" s="581"/>
      <c r="EQ278" s="581"/>
      <c r="ER278" s="581"/>
      <c r="ES278" s="581"/>
      <c r="ET278" s="581"/>
      <c r="EU278" s="581"/>
      <c r="JW278"/>
    </row>
    <row r="279" spans="1:283" s="332" customFormat="1">
      <c r="AN279" s="293"/>
      <c r="AO279" s="293"/>
      <c r="AP279" s="293"/>
      <c r="AQ279" s="293"/>
      <c r="AR279" s="293"/>
      <c r="AS279" s="293"/>
      <c r="AT279" s="293"/>
      <c r="AU279" s="293"/>
      <c r="AV279" s="293"/>
      <c r="AW279" s="293"/>
      <c r="AX279" s="293"/>
      <c r="AY279" s="293"/>
      <c r="AZ279" s="293"/>
      <c r="BA279" s="293"/>
      <c r="BB279" s="293"/>
      <c r="BC279" s="293"/>
      <c r="BD279" s="293"/>
      <c r="BE279" s="293"/>
      <c r="BF279" s="293"/>
      <c r="BG279" s="293"/>
      <c r="BH279" s="293"/>
      <c r="BI279" s="293"/>
      <c r="BJ279" s="293"/>
      <c r="BK279" s="293"/>
      <c r="BL279" s="293"/>
      <c r="BM279" s="293"/>
      <c r="BN279" s="293"/>
      <c r="BO279" s="293"/>
      <c r="BP279" s="293"/>
      <c r="BQ279" s="293"/>
      <c r="BR279" s="293"/>
      <c r="BS279" s="293"/>
      <c r="BT279" s="293"/>
      <c r="BU279" s="293"/>
      <c r="BV279" s="293"/>
      <c r="BW279" s="293"/>
      <c r="BX279" s="293"/>
      <c r="BY279" s="293"/>
      <c r="BZ279" s="293"/>
      <c r="CA279" s="293"/>
      <c r="CB279" s="293"/>
      <c r="CC279" s="293"/>
      <c r="CD279" s="293"/>
      <c r="CE279" s="293"/>
      <c r="CF279" s="293"/>
      <c r="CG279" s="293"/>
      <c r="CH279" s="293"/>
      <c r="CI279" s="293"/>
      <c r="CJ279" s="293"/>
      <c r="CK279" s="293"/>
      <c r="CL279" s="293"/>
      <c r="CM279" s="293"/>
      <c r="CN279" s="293"/>
      <c r="CO279" s="293"/>
      <c r="CP279" s="293"/>
      <c r="CQ279" s="293"/>
      <c r="CR279" s="293"/>
      <c r="CS279" s="293"/>
      <c r="CT279" s="293"/>
      <c r="CU279" s="293"/>
      <c r="CV279" s="293"/>
      <c r="CW279" s="293"/>
      <c r="CX279" s="293"/>
      <c r="CY279" s="293"/>
      <c r="CZ279" s="293"/>
      <c r="DA279" s="293"/>
      <c r="DB279" s="293"/>
      <c r="DC279" s="293"/>
      <c r="DD279" s="293"/>
      <c r="DE279" s="293"/>
      <c r="DF279" s="293"/>
      <c r="DG279" s="293"/>
      <c r="DH279" s="293"/>
      <c r="DI279" s="293"/>
      <c r="DJ279" s="293"/>
      <c r="DK279" s="293"/>
      <c r="DL279" s="293"/>
      <c r="DM279" s="293"/>
      <c r="DN279" s="293"/>
      <c r="DO279" s="293"/>
      <c r="DP279" s="293"/>
      <c r="DQ279" s="293"/>
      <c r="DR279" s="293"/>
      <c r="DS279" s="293"/>
      <c r="DT279" s="293"/>
      <c r="DU279" s="293"/>
      <c r="DV279" s="293"/>
      <c r="DW279" s="293"/>
      <c r="DX279" s="293"/>
      <c r="DY279" s="293"/>
      <c r="DZ279" s="293"/>
      <c r="EA279" s="293"/>
      <c r="EB279" s="293"/>
      <c r="EC279" s="293"/>
      <c r="ED279" s="293"/>
      <c r="EE279" s="293"/>
      <c r="EF279" s="293"/>
      <c r="EG279" s="293"/>
      <c r="EH279" s="293"/>
      <c r="EI279" s="293"/>
      <c r="EJ279" s="293"/>
      <c r="EK279" s="293"/>
      <c r="EL279" s="293"/>
      <c r="EM279" s="293"/>
      <c r="EN279" s="293"/>
      <c r="EO279" s="293"/>
      <c r="EP279" s="293"/>
      <c r="EQ279" s="293"/>
      <c r="ER279" s="293"/>
      <c r="ES279" s="293"/>
      <c r="ET279" s="293"/>
      <c r="EU279" s="293"/>
      <c r="JW279"/>
    </row>
    <row r="280" spans="1:283">
      <c r="A280" s="815" t="s">
        <v>730</v>
      </c>
      <c r="AZ280" s="379">
        <f>AZ284/BB284</f>
        <v>0.31877022653721682</v>
      </c>
      <c r="BA280" s="1228">
        <f>1-AZ280</f>
        <v>0.68122977346278324</v>
      </c>
      <c r="BD280" s="379">
        <f>BD284/BF284</f>
        <v>0.46678635547576303</v>
      </c>
      <c r="BE280" s="1228">
        <f>1-BD280</f>
        <v>0.53321364452423703</v>
      </c>
      <c r="BF280" s="293"/>
      <c r="BH280" s="379">
        <f>BH284/BJ284</f>
        <v>0.48667601683029454</v>
      </c>
      <c r="BI280" s="1228">
        <f>1-BH280</f>
        <v>0.5133239831697054</v>
      </c>
      <c r="BJ280" s="293"/>
      <c r="BL280" s="379">
        <f>BL284/BN284</f>
        <v>0.34964412811387902</v>
      </c>
      <c r="BM280" s="1228">
        <f>1-BL280</f>
        <v>0.65035587188612098</v>
      </c>
      <c r="BN280" s="293"/>
      <c r="BP280" s="379">
        <f>BP284/BR284</f>
        <v>0.37155555555555553</v>
      </c>
      <c r="BQ280" s="1228">
        <f>1-BP280</f>
        <v>0.62844444444444447</v>
      </c>
      <c r="BR280" s="293"/>
      <c r="BT280" s="379">
        <f>BT284/BV284</f>
        <v>0.44334600760456272</v>
      </c>
      <c r="BU280" s="1228">
        <f>1-BT280</f>
        <v>0.55665399239543722</v>
      </c>
      <c r="BV280" s="293"/>
      <c r="BX280" s="379">
        <f>BX284/BZ284</f>
        <v>0.446113074204947</v>
      </c>
      <c r="BY280" s="1228">
        <f>1-BX280</f>
        <v>0.55388692579505294</v>
      </c>
      <c r="BZ280" s="293"/>
      <c r="CB280" s="379">
        <f>CB284/CD284</f>
        <v>0.3979871912168344</v>
      </c>
      <c r="CC280" s="1228">
        <f>1-CB280</f>
        <v>0.60201280878316554</v>
      </c>
      <c r="CD280" s="293"/>
      <c r="CF280" s="379">
        <f>CF284/CH284</f>
        <v>0.40645486636409478</v>
      </c>
      <c r="CG280" s="1228">
        <f>1-CF280</f>
        <v>0.59354513363590522</v>
      </c>
      <c r="CH280" s="293"/>
      <c r="CJ280" s="379">
        <f>CJ284/CL284</f>
        <v>0.60356731875719216</v>
      </c>
      <c r="CK280" s="1228">
        <f>1-CJ280</f>
        <v>0.39643268124280784</v>
      </c>
      <c r="CL280" s="293"/>
      <c r="CN280" s="1421">
        <f>CN284/$CP$284</f>
        <v>0.41632347435417449</v>
      </c>
      <c r="CO280" s="1422">
        <f>1-CN280</f>
        <v>0.58367652564582551</v>
      </c>
      <c r="CP280" s="1010"/>
      <c r="CQ280" s="1009"/>
      <c r="CR280" s="1421">
        <f>CR284/$CP$284</f>
        <v>0.46948708348932983</v>
      </c>
      <c r="CS280" s="1228">
        <f>1-CR280</f>
        <v>0.53051291651067012</v>
      </c>
      <c r="CT280" s="293"/>
      <c r="CV280" s="1421">
        <f>CV284/$CP$284</f>
        <v>0.73642830400599024</v>
      </c>
      <c r="CW280" s="1228">
        <f>1-CV280</f>
        <v>0.26357169599400976</v>
      </c>
      <c r="CX280" s="293"/>
      <c r="CZ280" s="1421">
        <f>CZ284/$CP$284</f>
        <v>0.57431673530512917</v>
      </c>
      <c r="DA280" s="1422">
        <f>1-CZ280</f>
        <v>0.42568326469487083</v>
      </c>
      <c r="DB280" s="293"/>
      <c r="DD280" s="1421">
        <f>DD284/$CP$284</f>
        <v>0.52639460876076372</v>
      </c>
      <c r="DE280" s="1422">
        <f>1-DD280</f>
        <v>0.47360539123923628</v>
      </c>
      <c r="DF280" s="293"/>
      <c r="DG280" s="1342"/>
      <c r="DH280" s="1421">
        <f>DH284/$CP$284</f>
        <v>0.51666042680643953</v>
      </c>
      <c r="DI280" s="1007"/>
      <c r="DJ280" s="1007"/>
      <c r="DK280" s="1342"/>
      <c r="DL280" s="1007"/>
      <c r="DM280" s="1007"/>
      <c r="DN280" s="1007"/>
      <c r="DO280" s="1342"/>
      <c r="DP280" s="1007"/>
      <c r="DQ280" s="1007"/>
      <c r="DR280" s="1007"/>
      <c r="DS280" s="1342"/>
    </row>
    <row r="281" spans="1:283">
      <c r="A281" s="102" t="s">
        <v>593</v>
      </c>
      <c r="AN281" s="730"/>
      <c r="AO281" s="730"/>
      <c r="AR281" s="730"/>
      <c r="AS281" s="730"/>
      <c r="AV281" s="730"/>
      <c r="AW281" s="730"/>
      <c r="AZ281" s="730"/>
      <c r="BA281" s="730"/>
      <c r="BD281" s="730"/>
      <c r="BE281" s="730"/>
      <c r="BF281" s="293"/>
      <c r="BH281" s="730"/>
      <c r="BI281" s="730"/>
      <c r="BJ281" s="293"/>
      <c r="BL281" s="730">
        <v>159</v>
      </c>
      <c r="BM281" s="730">
        <v>381</v>
      </c>
      <c r="BN281" s="293">
        <f>+BM281+BL281</f>
        <v>540</v>
      </c>
      <c r="BP281" s="730">
        <v>271</v>
      </c>
      <c r="BQ281" s="730">
        <v>323</v>
      </c>
      <c r="BR281" s="293">
        <f>+BQ281+BP281</f>
        <v>594</v>
      </c>
      <c r="BT281" s="730">
        <v>345</v>
      </c>
      <c r="BU281" s="730">
        <v>474</v>
      </c>
      <c r="BV281" s="293">
        <f>+BU281+BT281</f>
        <v>819</v>
      </c>
      <c r="BX281" s="730">
        <v>321</v>
      </c>
      <c r="BY281" s="730">
        <v>427</v>
      </c>
      <c r="BZ281" s="293">
        <f>+BY281+BX281</f>
        <v>748</v>
      </c>
      <c r="CB281" s="730">
        <v>285</v>
      </c>
      <c r="CC281" s="730">
        <v>420</v>
      </c>
      <c r="CD281" s="293">
        <f>+CC281+CB281</f>
        <v>705</v>
      </c>
      <c r="CF281" s="730">
        <v>457</v>
      </c>
      <c r="CG281" s="730">
        <v>621</v>
      </c>
      <c r="CH281" s="293">
        <f>+CG281+CF281</f>
        <v>1078</v>
      </c>
      <c r="CJ281" s="730">
        <v>632</v>
      </c>
      <c r="CK281" s="730">
        <v>662</v>
      </c>
      <c r="CL281" s="293">
        <f>+CK281+CJ281</f>
        <v>1294</v>
      </c>
      <c r="CM281" s="954"/>
      <c r="CN281" s="1011">
        <v>578</v>
      </c>
      <c r="CO281" s="1011">
        <v>883</v>
      </c>
      <c r="CP281" s="1010">
        <f>+CO281+CN281</f>
        <v>1461</v>
      </c>
      <c r="CQ281" s="954"/>
      <c r="CR281" s="1011">
        <v>949</v>
      </c>
      <c r="CS281" s="1504">
        <v>1084</v>
      </c>
      <c r="CT281" s="293">
        <f>+CS281+CR281</f>
        <v>2033</v>
      </c>
      <c r="CU281" s="954"/>
      <c r="CV281" s="2047">
        <f>1496+78</f>
        <v>1574</v>
      </c>
      <c r="CW281" s="1504">
        <v>1555</v>
      </c>
      <c r="CX281" s="293">
        <f>+CW281+CV281</f>
        <v>3129</v>
      </c>
      <c r="CY281" s="954"/>
      <c r="CZ281" s="1873">
        <v>1182</v>
      </c>
      <c r="DA281" s="1459">
        <v>1077</v>
      </c>
      <c r="DB281" s="293">
        <f>+DA281+CZ281</f>
        <v>2259</v>
      </c>
      <c r="DC281" s="1375">
        <f>+(DB281/BN281)^0.1-1</f>
        <v>0.15385768550027201</v>
      </c>
      <c r="DD281" s="2117">
        <v>886</v>
      </c>
      <c r="DE281" s="2178">
        <v>1078</v>
      </c>
      <c r="DF281" s="293">
        <f>+DE281+DD281</f>
        <v>1964</v>
      </c>
      <c r="DG281" s="954"/>
      <c r="DH281" s="2117">
        <v>923</v>
      </c>
      <c r="DI281" s="293">
        <f t="shared" ref="DI281:DI283" si="750">+DE281*(1+DI289)</f>
        <v>1347.5</v>
      </c>
      <c r="DJ281" s="293">
        <f>+DI281+DH281</f>
        <v>2270.5</v>
      </c>
      <c r="DK281" s="954"/>
      <c r="DL281" s="293">
        <f t="shared" ref="DL281:DL283" si="751">+DH281*(1+DL289)</f>
        <v>946.07499999999993</v>
      </c>
      <c r="DM281" s="293">
        <f t="shared" ref="DM281:DM283" si="752">+DI281*(1+DM289)</f>
        <v>1381.1874999999998</v>
      </c>
      <c r="DN281" s="293">
        <f>+DM281+DL281</f>
        <v>2327.2624999999998</v>
      </c>
      <c r="DO281" s="954"/>
      <c r="DP281" s="293">
        <f t="shared" ref="DP281:DP283" si="753">+DL281*(1+DP289)</f>
        <v>974.45724999999993</v>
      </c>
      <c r="DQ281" s="293">
        <f t="shared" ref="DQ281:DQ283" si="754">+DM281*(1+DQ289)</f>
        <v>1422.6231249999998</v>
      </c>
      <c r="DR281" s="293">
        <f>+DQ281+DP281</f>
        <v>2397.0803749999995</v>
      </c>
      <c r="DS281" s="954"/>
      <c r="DT281" s="954"/>
      <c r="DU281" s="954"/>
      <c r="DV281" s="954"/>
    </row>
    <row r="282" spans="1:283">
      <c r="A282" s="102" t="s">
        <v>594</v>
      </c>
      <c r="AN282" s="730"/>
      <c r="AO282" s="730"/>
      <c r="AR282" s="730"/>
      <c r="AS282" s="730"/>
      <c r="AV282" s="730"/>
      <c r="AW282" s="730"/>
      <c r="AZ282" s="730"/>
      <c r="BA282" s="730"/>
      <c r="BD282" s="730"/>
      <c r="BE282" s="730"/>
      <c r="BF282" s="293"/>
      <c r="BH282" s="730"/>
      <c r="BI282" s="730"/>
      <c r="BJ282" s="293"/>
      <c r="BL282" s="730">
        <v>188</v>
      </c>
      <c r="BM282" s="730">
        <v>195</v>
      </c>
      <c r="BN282" s="293">
        <f>+BM282+BL282</f>
        <v>383</v>
      </c>
      <c r="BP282" s="730">
        <v>141</v>
      </c>
      <c r="BQ282" s="730">
        <v>177</v>
      </c>
      <c r="BR282" s="293">
        <f>+BQ282+BP282</f>
        <v>318</v>
      </c>
      <c r="BT282" s="730">
        <v>148</v>
      </c>
      <c r="BU282" s="730">
        <v>144</v>
      </c>
      <c r="BV282" s="293">
        <f>+BU282+BT282</f>
        <v>292</v>
      </c>
      <c r="BX282" s="730">
        <v>142</v>
      </c>
      <c r="BY282" s="730">
        <v>118</v>
      </c>
      <c r="BZ282" s="293">
        <f>+BY282+BX282</f>
        <v>260</v>
      </c>
      <c r="CB282" s="730">
        <v>108</v>
      </c>
      <c r="CC282" s="730">
        <v>129</v>
      </c>
      <c r="CD282" s="293">
        <f>+CC282+CB282</f>
        <v>237</v>
      </c>
      <c r="CF282" s="730">
        <v>128</v>
      </c>
      <c r="CG282" s="730">
        <v>122</v>
      </c>
      <c r="CH282" s="293">
        <f>+CG282+CF282</f>
        <v>250</v>
      </c>
      <c r="CJ282" s="730">
        <v>115</v>
      </c>
      <c r="CK282" s="730">
        <v>151</v>
      </c>
      <c r="CL282" s="293">
        <f>+CK282+CJ282</f>
        <v>266</v>
      </c>
      <c r="CM282" s="954"/>
      <c r="CN282" s="1011">
        <v>118</v>
      </c>
      <c r="CO282" s="1011">
        <v>116</v>
      </c>
      <c r="CP282" s="1010">
        <f>+CO282+CN282</f>
        <v>234</v>
      </c>
      <c r="CQ282" s="954"/>
      <c r="CR282" s="1011">
        <v>116</v>
      </c>
      <c r="CS282" s="1504">
        <v>96</v>
      </c>
      <c r="CT282" s="293">
        <f>+CS282+CR282</f>
        <v>212</v>
      </c>
      <c r="CU282" s="954"/>
      <c r="CV282" s="1011">
        <v>184</v>
      </c>
      <c r="CW282" s="1504">
        <v>153</v>
      </c>
      <c r="CX282" s="293">
        <f>+CW282+CV282</f>
        <v>337</v>
      </c>
      <c r="CY282" s="954"/>
      <c r="CZ282" s="1873">
        <v>198</v>
      </c>
      <c r="DA282" s="1459">
        <v>153</v>
      </c>
      <c r="DB282" s="293">
        <f>+DA282+CZ282</f>
        <v>351</v>
      </c>
      <c r="DC282" s="1375">
        <f>+(DB282/BN282)^0.1-1</f>
        <v>-8.6869252895040994E-3</v>
      </c>
      <c r="DD282" s="2117">
        <v>187</v>
      </c>
      <c r="DE282" s="2178">
        <v>179</v>
      </c>
      <c r="DF282" s="293">
        <f>+DE282+DD282</f>
        <v>366</v>
      </c>
      <c r="DG282" s="954"/>
      <c r="DH282" s="2117">
        <v>160</v>
      </c>
      <c r="DI282" s="293">
        <f t="shared" si="750"/>
        <v>219.27500000000001</v>
      </c>
      <c r="DJ282" s="293">
        <f>+DI282+DH282</f>
        <v>379.27499999999998</v>
      </c>
      <c r="DK282" s="954"/>
      <c r="DL282" s="293">
        <f t="shared" si="751"/>
        <v>166.4</v>
      </c>
      <c r="DM282" s="293">
        <f t="shared" si="752"/>
        <v>228.04600000000002</v>
      </c>
      <c r="DN282" s="293">
        <f>+DM282+DL282</f>
        <v>394.44600000000003</v>
      </c>
      <c r="DO282" s="954"/>
      <c r="DP282" s="293">
        <f t="shared" si="753"/>
        <v>173.05600000000001</v>
      </c>
      <c r="DQ282" s="293">
        <f t="shared" si="754"/>
        <v>237.16784000000004</v>
      </c>
      <c r="DR282" s="293">
        <f>+DQ282+DP282</f>
        <v>410.22384000000005</v>
      </c>
      <c r="DS282" s="954"/>
      <c r="DT282" s="954"/>
      <c r="DU282" s="954"/>
      <c r="DV282" s="954"/>
    </row>
    <row r="283" spans="1:283">
      <c r="A283" s="102" t="s">
        <v>553</v>
      </c>
      <c r="AN283" s="293"/>
      <c r="AO283" s="293"/>
      <c r="AR283" s="293"/>
      <c r="AS283" s="293"/>
      <c r="AV283" s="293"/>
      <c r="AW283" s="293"/>
      <c r="AZ283" s="293"/>
      <c r="BA283" s="293"/>
      <c r="BD283" s="293"/>
      <c r="BE283" s="293"/>
      <c r="BF283" s="293"/>
      <c r="BH283" s="293"/>
      <c r="BI283" s="293"/>
      <c r="BJ283" s="293"/>
      <c r="BL283" s="293">
        <f>+BL284-BL281-BL282</f>
        <v>46</v>
      </c>
      <c r="BM283" s="293">
        <f>+BM284-BM281-BM282</f>
        <v>155</v>
      </c>
      <c r="BN283" s="293">
        <f>+BM283+BL283</f>
        <v>201</v>
      </c>
      <c r="BP283" s="293">
        <f>+BP284-BP281-BP282</f>
        <v>6</v>
      </c>
      <c r="BQ283" s="293">
        <f>+BQ284-BQ281-BQ282</f>
        <v>207</v>
      </c>
      <c r="BR283" s="293">
        <f>+BQ283+BP283</f>
        <v>213</v>
      </c>
      <c r="BT283" s="293">
        <f>+BT284-BT281-BT282</f>
        <v>90</v>
      </c>
      <c r="BU283" s="293">
        <f>+BU284-BU281-BU282</f>
        <v>114</v>
      </c>
      <c r="BV283" s="293">
        <f>+BU283+BT283</f>
        <v>204</v>
      </c>
      <c r="BX283" s="293">
        <f>+BX284-BX281-BX282</f>
        <v>42</v>
      </c>
      <c r="BY283" s="293">
        <f>+BY284-BY281-BY282</f>
        <v>82</v>
      </c>
      <c r="BZ283" s="293">
        <f>+BY283+BX283</f>
        <v>124</v>
      </c>
      <c r="CB283" s="293">
        <f>+CB284-CB281-CB282</f>
        <v>42</v>
      </c>
      <c r="CC283" s="293">
        <f>+CC284-CC281-CC282</f>
        <v>109</v>
      </c>
      <c r="CD283" s="293">
        <f>+CC283+CB283</f>
        <v>151</v>
      </c>
      <c r="CF283" s="293">
        <f>+CF284-CF281-CF282</f>
        <v>221</v>
      </c>
      <c r="CG283" s="293">
        <f>+CG284-CG281-CG282</f>
        <v>434</v>
      </c>
      <c r="CH283" s="293">
        <f>+CG283+CF283</f>
        <v>655</v>
      </c>
      <c r="CJ283" s="293">
        <f>+CJ284-CJ281-CJ282</f>
        <v>302</v>
      </c>
      <c r="CK283" s="293">
        <f>+CK284-CK281-CK282</f>
        <v>-124</v>
      </c>
      <c r="CL283" s="293">
        <f>+CK283+CJ283</f>
        <v>178</v>
      </c>
      <c r="CM283" s="954"/>
      <c r="CN283" s="1010">
        <f>+CN284-CN281-CN282</f>
        <v>416</v>
      </c>
      <c r="CO283" s="1010">
        <f>+CO284-CO281-CO282</f>
        <v>560</v>
      </c>
      <c r="CP283" s="1010">
        <f>+CO283+CN283</f>
        <v>976</v>
      </c>
      <c r="CQ283" s="954"/>
      <c r="CR283" s="1010">
        <f>+CR284-CR281-CR282</f>
        <v>189</v>
      </c>
      <c r="CS283" s="1495">
        <f>+CS284-CS281-CS282</f>
        <v>890</v>
      </c>
      <c r="CT283" s="293">
        <f>+CS283+CR283</f>
        <v>1079</v>
      </c>
      <c r="CU283" s="954"/>
      <c r="CV283" s="1010">
        <f>+CV284-CV281-CV282</f>
        <v>209</v>
      </c>
      <c r="CW283" s="1495">
        <f>+CW284-CW281-CW282</f>
        <v>2446</v>
      </c>
      <c r="CX283" s="293">
        <f>+CW283+CV283</f>
        <v>2655</v>
      </c>
      <c r="CY283" s="954"/>
      <c r="CZ283" s="1868">
        <f>+CZ284-CZ281-CZ282</f>
        <v>154</v>
      </c>
      <c r="DA283" s="1490">
        <f>+DA284-DA281-DA282</f>
        <v>752</v>
      </c>
      <c r="DB283" s="293">
        <f>+DA283+CZ283</f>
        <v>906</v>
      </c>
      <c r="DC283" s="1375">
        <f>+(DB283/BN283)^0.1-1</f>
        <v>0.16250067578355254</v>
      </c>
      <c r="DD283" s="2018">
        <f>+DD284-DD281-DD282</f>
        <v>333</v>
      </c>
      <c r="DE283" s="1490">
        <f>+DE284-DE281-DE282</f>
        <v>357</v>
      </c>
      <c r="DF283" s="293">
        <f>+DE283+DD283</f>
        <v>690</v>
      </c>
      <c r="DG283" s="954"/>
      <c r="DH283" s="2018">
        <f>+DH284-DH281-DH282</f>
        <v>297</v>
      </c>
      <c r="DI283" s="293">
        <f t="shared" si="750"/>
        <v>437.32500000000005</v>
      </c>
      <c r="DJ283" s="293">
        <f>+DI283+DH283</f>
        <v>734.32500000000005</v>
      </c>
      <c r="DK283" s="954"/>
      <c r="DL283" s="293">
        <f t="shared" si="751"/>
        <v>314.82</v>
      </c>
      <c r="DM283" s="293">
        <f t="shared" si="752"/>
        <v>454.81800000000004</v>
      </c>
      <c r="DN283" s="293">
        <f>+DM283+DL283</f>
        <v>769.63800000000003</v>
      </c>
      <c r="DO283" s="954"/>
      <c r="DP283" s="293">
        <f t="shared" si="753"/>
        <v>327.4128</v>
      </c>
      <c r="DQ283" s="293">
        <f t="shared" si="754"/>
        <v>473.01072000000005</v>
      </c>
      <c r="DR283" s="293">
        <f>+DQ283+DP283</f>
        <v>800.42352000000005</v>
      </c>
      <c r="DS283" s="954"/>
      <c r="DT283" s="954"/>
      <c r="DU283" s="954"/>
      <c r="DV283" s="954"/>
    </row>
    <row r="284" spans="1:283" s="1673" customFormat="1" ht="14.4" thickBot="1">
      <c r="A284" s="1673" t="s">
        <v>595</v>
      </c>
      <c r="AN284" s="1674"/>
      <c r="AO284" s="1674"/>
      <c r="AP284" s="1674">
        <v>394</v>
      </c>
      <c r="AQ284" s="1675"/>
      <c r="AR284" s="1674"/>
      <c r="AS284" s="1674"/>
      <c r="AT284" s="1674">
        <v>583</v>
      </c>
      <c r="AU284" s="1675"/>
      <c r="AV284" s="1674"/>
      <c r="AW284" s="1674"/>
      <c r="AX284" s="1674">
        <v>665</v>
      </c>
      <c r="AY284" s="1675"/>
      <c r="AZ284" s="1674">
        <v>197</v>
      </c>
      <c r="BA284" s="1674">
        <v>421</v>
      </c>
      <c r="BB284" s="1675">
        <f>AZ284+BA284</f>
        <v>618</v>
      </c>
      <c r="BC284" s="1675"/>
      <c r="BD284" s="1674">
        <f>279-19</f>
        <v>260</v>
      </c>
      <c r="BE284" s="1674">
        <v>297</v>
      </c>
      <c r="BF284" s="1675">
        <f>BD284+BE284</f>
        <v>557</v>
      </c>
      <c r="BG284" s="1675"/>
      <c r="BH284" s="1674">
        <v>347</v>
      </c>
      <c r="BI284" s="1674">
        <v>366</v>
      </c>
      <c r="BJ284" s="1675">
        <f>BH284+BI284</f>
        <v>713</v>
      </c>
      <c r="BK284" s="1675"/>
      <c r="BL284" s="1674">
        <v>393</v>
      </c>
      <c r="BM284" s="1674">
        <v>731</v>
      </c>
      <c r="BN284" s="1675">
        <f>BL284+BM284</f>
        <v>1124</v>
      </c>
      <c r="BO284" s="1676">
        <f>+BN284/BJ284-1</f>
        <v>0.57643758765778408</v>
      </c>
      <c r="BP284" s="1674">
        <v>418</v>
      </c>
      <c r="BQ284" s="1674">
        <v>707</v>
      </c>
      <c r="BR284" s="1675">
        <f>BP284+BQ284</f>
        <v>1125</v>
      </c>
      <c r="BS284" s="1676">
        <f>+BR284/BN284-1</f>
        <v>8.8967971530240497E-4</v>
      </c>
      <c r="BT284" s="1674">
        <v>583</v>
      </c>
      <c r="BU284" s="1674">
        <v>732</v>
      </c>
      <c r="BV284" s="1675">
        <f>BT284+BU284</f>
        <v>1315</v>
      </c>
      <c r="BW284" s="1676">
        <f>+BV284/BR284-1</f>
        <v>0.16888888888888887</v>
      </c>
      <c r="BX284" s="1674">
        <v>505</v>
      </c>
      <c r="BY284" s="1674">
        <v>627</v>
      </c>
      <c r="BZ284" s="1675">
        <f>BX284+BY284</f>
        <v>1132</v>
      </c>
      <c r="CA284" s="1676">
        <f>+BZ284/BV284-1</f>
        <v>-0.13916349809885931</v>
      </c>
      <c r="CB284" s="1674">
        <v>435</v>
      </c>
      <c r="CC284" s="1674">
        <v>658</v>
      </c>
      <c r="CD284" s="1675">
        <f>CB284+CC284</f>
        <v>1093</v>
      </c>
      <c r="CE284" s="1676">
        <f>+CD284/BZ284-1</f>
        <v>-3.4452296819788009E-2</v>
      </c>
      <c r="CF284" s="1674">
        <v>806</v>
      </c>
      <c r="CG284" s="1674">
        <v>1177</v>
      </c>
      <c r="CH284" s="1675">
        <f>CF284+CG284</f>
        <v>1983</v>
      </c>
      <c r="CI284" s="1676">
        <f>+CH284/CD284-1</f>
        <v>0.81427264409881062</v>
      </c>
      <c r="CJ284" s="1674">
        <v>1049</v>
      </c>
      <c r="CK284" s="1674">
        <v>689</v>
      </c>
      <c r="CL284" s="1675">
        <f>CJ284+CK284</f>
        <v>1738</v>
      </c>
      <c r="CM284" s="1676">
        <f>+CL284/CH284-1</f>
        <v>-0.12355017650025213</v>
      </c>
      <c r="CN284" s="1677">
        <v>1112</v>
      </c>
      <c r="CO284" s="1677">
        <v>1559</v>
      </c>
      <c r="CP284" s="1678">
        <f>CN284+CO284</f>
        <v>2671</v>
      </c>
      <c r="CQ284" s="1676">
        <f>+CP284/CL284-1</f>
        <v>0.53682393555811281</v>
      </c>
      <c r="CR284" s="1677">
        <v>1254</v>
      </c>
      <c r="CS284" s="1679">
        <v>2070</v>
      </c>
      <c r="CT284" s="1675">
        <f>CR284+CS284</f>
        <v>3324</v>
      </c>
      <c r="CU284" s="1676">
        <f>+CT284/CP284-1</f>
        <v>0.24447772369898924</v>
      </c>
      <c r="CV284" s="2048">
        <f>1889+78</f>
        <v>1967</v>
      </c>
      <c r="CW284" s="1679">
        <v>4154</v>
      </c>
      <c r="CX284" s="1675">
        <f>CV284+CW284</f>
        <v>6121</v>
      </c>
      <c r="CY284" s="1676">
        <f>+CX284/CT284-1</f>
        <v>0.84145607701564384</v>
      </c>
      <c r="CZ284" s="1874">
        <v>1534</v>
      </c>
      <c r="DA284" s="2025">
        <v>1982</v>
      </c>
      <c r="DB284" s="1675">
        <f>CZ284+DA284</f>
        <v>3516</v>
      </c>
      <c r="DC284" s="2124">
        <f>+(DB284/BN284)^0.1-1</f>
        <v>0.12080034385530913</v>
      </c>
      <c r="DD284" s="2118">
        <v>1406</v>
      </c>
      <c r="DE284" s="2179">
        <v>1614</v>
      </c>
      <c r="DF284" s="1675">
        <f>DD284+DE284</f>
        <v>3020</v>
      </c>
      <c r="DG284" s="1676">
        <f>+DF284/DB284-1</f>
        <v>-0.14106939704209331</v>
      </c>
      <c r="DH284" s="2118">
        <v>1380</v>
      </c>
      <c r="DI284" s="1675">
        <f>SUM(DI281:DI283)</f>
        <v>2004.1000000000001</v>
      </c>
      <c r="DJ284" s="1675">
        <f>SUM(DJ281:DJ283)</f>
        <v>3384.1000000000004</v>
      </c>
      <c r="DK284" s="1676">
        <f>+DJ284/DF284-1</f>
        <v>0.1205629139072848</v>
      </c>
      <c r="DL284" s="1675">
        <f>SUM(DL281:DL283)</f>
        <v>1427.2949999999998</v>
      </c>
      <c r="DM284" s="1675">
        <f>SUM(DM281:DM283)</f>
        <v>2064.0515</v>
      </c>
      <c r="DN284" s="1675">
        <f>SUM(DN281:DN283)</f>
        <v>3491.3464999999997</v>
      </c>
      <c r="DO284" s="1676">
        <f>+DN284/DJ284-1</f>
        <v>3.1691291628497709E-2</v>
      </c>
      <c r="DP284" s="1675">
        <f>SUM(DP281:DP283)</f>
        <v>1474.92605</v>
      </c>
      <c r="DQ284" s="1675">
        <f>SUM(DQ281:DQ283)</f>
        <v>2132.8016849999999</v>
      </c>
      <c r="DR284" s="1675">
        <f>SUM(DR281:DR283)</f>
        <v>3607.7277349999995</v>
      </c>
      <c r="DS284" s="1676">
        <f>+DR284/DN284-1</f>
        <v>3.3334197851745628E-2</v>
      </c>
      <c r="DT284" s="1676"/>
      <c r="DU284" s="1676"/>
      <c r="DV284" s="1676"/>
      <c r="DW284" s="1675" t="s">
        <v>514</v>
      </c>
      <c r="DX284" s="1675"/>
      <c r="DY284" s="1675"/>
      <c r="DZ284" s="1675"/>
      <c r="EA284" s="1675"/>
      <c r="EB284" s="1675"/>
      <c r="EC284" s="1675"/>
      <c r="ED284" s="1675"/>
      <c r="EE284" s="1675"/>
      <c r="EF284" s="1675"/>
      <c r="EG284" s="1675"/>
      <c r="EH284" s="1675"/>
      <c r="EI284" s="1675"/>
      <c r="EJ284" s="1675"/>
      <c r="EK284" s="1675"/>
      <c r="EL284" s="1675"/>
      <c r="EM284" s="1675"/>
      <c r="EN284" s="1675"/>
      <c r="EO284" s="1675"/>
      <c r="EP284" s="1675"/>
      <c r="EQ284" s="1675"/>
      <c r="ER284" s="1675"/>
      <c r="ES284" s="1675"/>
      <c r="ET284" s="1675"/>
      <c r="EU284" s="1675"/>
      <c r="JW284"/>
    </row>
    <row r="285" spans="1:283" s="332" customFormat="1" ht="14.4" thickTop="1">
      <c r="A285" s="332" t="s">
        <v>1107</v>
      </c>
      <c r="AN285" s="626"/>
      <c r="AO285" s="626"/>
      <c r="AP285" s="626">
        <f>255+19</f>
        <v>274</v>
      </c>
      <c r="AQ285" s="293"/>
      <c r="AR285" s="626"/>
      <c r="AS285" s="626"/>
      <c r="AT285" s="626">
        <f>132+307</f>
        <v>439</v>
      </c>
      <c r="AU285" s="293"/>
      <c r="AV285" s="626"/>
      <c r="AW285" s="626"/>
      <c r="AX285" s="626">
        <f>145+16</f>
        <v>161</v>
      </c>
      <c r="AY285" s="293"/>
      <c r="AZ285" s="626">
        <f>13+150-32</f>
        <v>131</v>
      </c>
      <c r="BA285" s="626">
        <f>25+136+15</f>
        <v>176</v>
      </c>
      <c r="BB285" s="293">
        <f>AZ285+BA285</f>
        <v>307</v>
      </c>
      <c r="BC285" s="293"/>
      <c r="BD285" s="626">
        <v>27</v>
      </c>
      <c r="BE285" s="626">
        <f>283+16</f>
        <v>299</v>
      </c>
      <c r="BF285" s="293">
        <f>BD285+BE285</f>
        <v>326</v>
      </c>
      <c r="BG285" s="293"/>
      <c r="BH285" s="626">
        <v>190</v>
      </c>
      <c r="BI285" s="626">
        <v>271</v>
      </c>
      <c r="BJ285" s="293">
        <f>BH285+BI285</f>
        <v>461</v>
      </c>
      <c r="BK285" s="293"/>
      <c r="BL285" s="626">
        <v>223</v>
      </c>
      <c r="BM285" s="626">
        <v>233</v>
      </c>
      <c r="BN285" s="293">
        <f>BL285+BM285</f>
        <v>456</v>
      </c>
      <c r="BO285" s="293"/>
      <c r="BP285" s="626">
        <v>253</v>
      </c>
      <c r="BQ285" s="626">
        <v>315</v>
      </c>
      <c r="BR285" s="293">
        <f>BP285+BQ285</f>
        <v>568</v>
      </c>
      <c r="BS285" s="293"/>
      <c r="BT285" s="626">
        <v>246</v>
      </c>
      <c r="BU285" s="626">
        <v>184</v>
      </c>
      <c r="BV285" s="293">
        <f>BT285+BU285</f>
        <v>430</v>
      </c>
      <c r="BW285" s="293"/>
      <c r="BX285" s="626">
        <v>269</v>
      </c>
      <c r="BY285" s="626">
        <v>352</v>
      </c>
      <c r="BZ285" s="293">
        <f>BX285+BY285</f>
        <v>621</v>
      </c>
      <c r="CA285" s="671">
        <f>+BZ285/BV285-1</f>
        <v>0.44418604651162785</v>
      </c>
      <c r="CB285" s="626">
        <v>283</v>
      </c>
      <c r="CC285" s="626">
        <v>225</v>
      </c>
      <c r="CD285" s="293">
        <f>CB285+CC285</f>
        <v>508</v>
      </c>
      <c r="CE285" s="671">
        <f>+CD285/BZ285-1</f>
        <v>-0.18196457326892113</v>
      </c>
      <c r="CF285" s="626">
        <v>291</v>
      </c>
      <c r="CG285" s="626">
        <v>273</v>
      </c>
      <c r="CH285" s="293">
        <f>CF285+CG285</f>
        <v>564</v>
      </c>
      <c r="CI285" s="671">
        <f>+CH285/CD285-1</f>
        <v>0.11023622047244097</v>
      </c>
      <c r="CJ285" s="626">
        <v>345</v>
      </c>
      <c r="CK285" s="626">
        <v>337</v>
      </c>
      <c r="CL285" s="293">
        <f>CJ285+CK285</f>
        <v>682</v>
      </c>
      <c r="CM285" s="954"/>
      <c r="CN285" s="1388">
        <v>349</v>
      </c>
      <c r="CO285" s="1388">
        <v>353</v>
      </c>
      <c r="CP285" s="1010">
        <f>CN285+CO285</f>
        <v>702</v>
      </c>
      <c r="CQ285" s="954"/>
      <c r="CR285" s="1388">
        <v>376</v>
      </c>
      <c r="CS285" s="1497">
        <v>512</v>
      </c>
      <c r="CT285" s="293">
        <f>CR285+CS285</f>
        <v>888</v>
      </c>
      <c r="CU285" s="954"/>
      <c r="CV285" s="1388">
        <v>644</v>
      </c>
      <c r="CW285" s="1497">
        <v>381</v>
      </c>
      <c r="CX285" s="293">
        <f>CV285+CW285</f>
        <v>1025</v>
      </c>
      <c r="CY285" s="954"/>
      <c r="CZ285" s="1863">
        <v>605</v>
      </c>
      <c r="DA285" s="1488">
        <v>626</v>
      </c>
      <c r="DB285" s="293">
        <f>CZ285+DA285</f>
        <v>1231</v>
      </c>
      <c r="DC285" s="954"/>
      <c r="DD285" s="2107">
        <v>632</v>
      </c>
      <c r="DE285" s="2176">
        <v>708</v>
      </c>
      <c r="DF285" s="293">
        <f>DD285+DE285</f>
        <v>1340</v>
      </c>
      <c r="DG285" s="954"/>
      <c r="DH285" s="2107">
        <v>658</v>
      </c>
      <c r="DI285" s="293">
        <f>+DE285*(1+DI293)</f>
        <v>686.76</v>
      </c>
      <c r="DJ285" s="293">
        <f>DH285+DI285</f>
        <v>1344.76</v>
      </c>
      <c r="DK285" s="954"/>
      <c r="DL285" s="293">
        <f>+DH285*(1+DL293)</f>
        <v>644.84</v>
      </c>
      <c r="DM285" s="293">
        <f>+DI285*(1+DM293)</f>
        <v>673.02480000000003</v>
      </c>
      <c r="DN285" s="293">
        <f>DL285+DM285</f>
        <v>1317.8648000000001</v>
      </c>
      <c r="DO285" s="954"/>
      <c r="DP285" s="293">
        <f>+DL285*(1+DP293)</f>
        <v>631.94320000000005</v>
      </c>
      <c r="DQ285" s="293">
        <f>+DM285*(1+DQ293)</f>
        <v>659.56430399999999</v>
      </c>
      <c r="DR285" s="293">
        <f>DP285+DQ285</f>
        <v>1291.5075040000002</v>
      </c>
      <c r="DS285" s="954"/>
      <c r="DT285" s="954"/>
      <c r="DU285" s="954"/>
      <c r="DV285" s="954"/>
      <c r="DW285" s="293" t="s">
        <v>514</v>
      </c>
      <c r="DX285" s="293"/>
      <c r="DY285" s="293"/>
      <c r="DZ285" s="293"/>
      <c r="EA285" s="293"/>
      <c r="EB285" s="293"/>
      <c r="EC285" s="293"/>
      <c r="ED285" s="293"/>
      <c r="EE285" s="293"/>
      <c r="EF285" s="293"/>
      <c r="EG285" s="293"/>
      <c r="EH285" s="293"/>
      <c r="EI285" s="293"/>
      <c r="EJ285" s="293"/>
      <c r="EK285" s="293"/>
      <c r="EL285" s="293"/>
      <c r="EM285" s="293"/>
      <c r="EN285" s="293"/>
      <c r="EO285" s="293"/>
      <c r="EP285" s="293"/>
      <c r="EQ285" s="293"/>
      <c r="ER285" s="293"/>
      <c r="ES285" s="293"/>
      <c r="ET285" s="293"/>
      <c r="EU285" s="293"/>
      <c r="JW285"/>
    </row>
    <row r="286" spans="1:283" s="332" customFormat="1">
      <c r="A286" s="332" t="s">
        <v>1079</v>
      </c>
      <c r="AN286" s="626">
        <f>AN799</f>
        <v>553</v>
      </c>
      <c r="AO286" s="626">
        <f>AO799</f>
        <v>525</v>
      </c>
      <c r="AP286" s="293">
        <f>AN286+AO286</f>
        <v>1078</v>
      </c>
      <c r="AQ286" s="293"/>
      <c r="AR286" s="626">
        <f>AR799</f>
        <v>414</v>
      </c>
      <c r="AS286" s="626">
        <f>AS799</f>
        <v>-52</v>
      </c>
      <c r="AT286" s="293">
        <f>AR286+AS286</f>
        <v>362</v>
      </c>
      <c r="AU286" s="293"/>
      <c r="AV286" s="626">
        <f>AV799</f>
        <v>291</v>
      </c>
      <c r="AW286" s="626">
        <f>AW799</f>
        <v>234</v>
      </c>
      <c r="AX286" s="293">
        <f>AV286+AW286</f>
        <v>525</v>
      </c>
      <c r="AY286" s="293"/>
      <c r="AZ286" s="626">
        <f>AZ799</f>
        <v>167</v>
      </c>
      <c r="BA286" s="626">
        <f>BA799</f>
        <v>227</v>
      </c>
      <c r="BB286" s="293">
        <f>AZ286+BA286</f>
        <v>394</v>
      </c>
      <c r="BC286" s="293"/>
      <c r="BD286" s="626">
        <f>BD799</f>
        <v>165</v>
      </c>
      <c r="BE286" s="626">
        <f>BE799</f>
        <v>48</v>
      </c>
      <c r="BF286" s="293">
        <f>BD286+BE286</f>
        <v>213</v>
      </c>
      <c r="BG286" s="293"/>
      <c r="BH286" s="626">
        <f>BH799</f>
        <v>62</v>
      </c>
      <c r="BI286" s="626">
        <f>BI799</f>
        <v>70</v>
      </c>
      <c r="BJ286" s="293">
        <f>BH286+BI286</f>
        <v>132</v>
      </c>
      <c r="BK286" s="293"/>
      <c r="BL286" s="626">
        <f>BL799</f>
        <v>125</v>
      </c>
      <c r="BM286" s="626">
        <f>BM799</f>
        <v>109</v>
      </c>
      <c r="BN286" s="293">
        <f>BL286+BM286</f>
        <v>234</v>
      </c>
      <c r="BO286" s="293"/>
      <c r="BP286" s="626">
        <f>BP799</f>
        <v>113</v>
      </c>
      <c r="BQ286" s="626">
        <f>BQ799</f>
        <v>176</v>
      </c>
      <c r="BR286" s="293">
        <f>BP286+BQ286</f>
        <v>289</v>
      </c>
      <c r="BS286" s="293"/>
      <c r="BT286" s="626">
        <f>BT799</f>
        <v>375</v>
      </c>
      <c r="BU286" s="626">
        <f>BU799</f>
        <v>165</v>
      </c>
      <c r="BV286" s="293">
        <f>BT286+BU286</f>
        <v>540</v>
      </c>
      <c r="BW286" s="293"/>
      <c r="BX286" s="626">
        <v>161</v>
      </c>
      <c r="BY286" s="626">
        <v>146</v>
      </c>
      <c r="BZ286" s="293">
        <f>BX286+BY286</f>
        <v>307</v>
      </c>
      <c r="CA286" s="671">
        <f>+BZ286/BV286-1</f>
        <v>-0.43148148148148147</v>
      </c>
      <c r="CB286" s="626">
        <v>186</v>
      </c>
      <c r="CC286" s="626">
        <v>173</v>
      </c>
      <c r="CD286" s="293">
        <f>CB286+CC286</f>
        <v>359</v>
      </c>
      <c r="CE286" s="671">
        <f>+CD286/BZ286-1</f>
        <v>0.16938110749185675</v>
      </c>
      <c r="CF286" s="626">
        <v>163</v>
      </c>
      <c r="CG286" s="626">
        <v>79</v>
      </c>
      <c r="CH286" s="293">
        <f>CF286+CG286</f>
        <v>242</v>
      </c>
      <c r="CI286" s="671">
        <f>+CH286/CD286-1</f>
        <v>-0.3259052924791086</v>
      </c>
      <c r="CJ286" s="626">
        <f>216+2</f>
        <v>218</v>
      </c>
      <c r="CK286" s="626">
        <f>137+16</f>
        <v>153</v>
      </c>
      <c r="CL286" s="293">
        <f>CJ286+CK286</f>
        <v>371</v>
      </c>
      <c r="CM286" s="293"/>
      <c r="CN286" s="1388">
        <v>206</v>
      </c>
      <c r="CO286" s="1388">
        <v>133</v>
      </c>
      <c r="CP286" s="1010">
        <f>CN286+CO286</f>
        <v>339</v>
      </c>
      <c r="CQ286" s="1423"/>
      <c r="CR286" s="1388">
        <v>183</v>
      </c>
      <c r="CS286" s="1497">
        <v>211</v>
      </c>
      <c r="CT286" s="293">
        <f>CR286+CS286</f>
        <v>394</v>
      </c>
      <c r="CU286" s="360"/>
      <c r="CV286" s="1388">
        <v>178</v>
      </c>
      <c r="CW286" s="1497">
        <v>193</v>
      </c>
      <c r="CX286" s="293">
        <f>CV286+CW286</f>
        <v>371</v>
      </c>
      <c r="CY286" s="360"/>
      <c r="CZ286" s="1863">
        <v>190</v>
      </c>
      <c r="DA286" s="1488">
        <v>141</v>
      </c>
      <c r="DB286" s="293">
        <f>CZ286+DA286</f>
        <v>331</v>
      </c>
      <c r="DC286" s="360"/>
      <c r="DD286" s="2107">
        <v>203</v>
      </c>
      <c r="DE286" s="2176">
        <v>245</v>
      </c>
      <c r="DF286" s="293">
        <f>DD286+DE286</f>
        <v>448</v>
      </c>
      <c r="DG286" s="360"/>
      <c r="DH286" s="2107">
        <v>229</v>
      </c>
      <c r="DI286" s="293">
        <f>+DE286*(1+DI294)</f>
        <v>249.9</v>
      </c>
      <c r="DJ286" s="293">
        <f>DH286+DI286</f>
        <v>478.9</v>
      </c>
      <c r="DK286" s="360"/>
      <c r="DL286" s="293">
        <f>+DH286*(1+DL294)</f>
        <v>224.42</v>
      </c>
      <c r="DM286" s="293">
        <f>+DI286*(1+DM294)</f>
        <v>244.90200000000002</v>
      </c>
      <c r="DN286" s="293">
        <f>DL286+DM286</f>
        <v>469.322</v>
      </c>
      <c r="DO286" s="360"/>
      <c r="DP286" s="293">
        <f>+DL286*(1+DP294)</f>
        <v>219.93159999999997</v>
      </c>
      <c r="DQ286" s="293">
        <f>+DM286*(1+DQ294)</f>
        <v>240.00396000000001</v>
      </c>
      <c r="DR286" s="293">
        <f>DP286+DQ286</f>
        <v>459.93556000000001</v>
      </c>
      <c r="DS286" s="360"/>
      <c r="DT286" s="360"/>
      <c r="DU286" s="360"/>
      <c r="DV286" s="360"/>
      <c r="DW286" s="293"/>
      <c r="DX286" s="293"/>
      <c r="DY286" s="293"/>
      <c r="DZ286" s="293"/>
      <c r="EA286" s="293"/>
      <c r="EB286" s="293"/>
      <c r="EC286" s="293"/>
      <c r="ED286" s="293"/>
      <c r="EE286" s="293"/>
      <c r="EF286" s="293"/>
      <c r="EG286" s="293"/>
      <c r="EH286" s="293"/>
      <c r="EI286" s="293"/>
      <c r="EJ286" s="293"/>
      <c r="EK286" s="293"/>
      <c r="EL286" s="293"/>
      <c r="EM286" s="293"/>
      <c r="EN286" s="293"/>
      <c r="EO286" s="293"/>
      <c r="EP286" s="293"/>
      <c r="EQ286" s="293"/>
      <c r="ER286" s="293"/>
      <c r="ES286" s="293"/>
      <c r="ET286" s="293"/>
      <c r="EU286" s="293"/>
      <c r="JW286"/>
    </row>
    <row r="287" spans="1:283" s="327" customFormat="1">
      <c r="A287" s="327" t="s">
        <v>588</v>
      </c>
      <c r="AN287" s="295">
        <f t="shared" ref="AN287:AP287" si="755">AN284+AN285+AN286</f>
        <v>553</v>
      </c>
      <c r="AO287" s="295">
        <f t="shared" si="755"/>
        <v>525</v>
      </c>
      <c r="AP287" s="295">
        <f t="shared" si="755"/>
        <v>1746</v>
      </c>
      <c r="AQ287" s="295"/>
      <c r="AR287" s="295">
        <f t="shared" ref="AR287:BB287" si="756">AR284+AR285+AR286</f>
        <v>414</v>
      </c>
      <c r="AS287" s="295">
        <f t="shared" si="756"/>
        <v>-52</v>
      </c>
      <c r="AT287" s="295">
        <f t="shared" si="756"/>
        <v>1384</v>
      </c>
      <c r="AU287" s="295"/>
      <c r="AV287" s="295">
        <f t="shared" si="756"/>
        <v>291</v>
      </c>
      <c r="AW287" s="295">
        <f t="shared" si="756"/>
        <v>234</v>
      </c>
      <c r="AX287" s="295">
        <f t="shared" si="756"/>
        <v>1351</v>
      </c>
      <c r="AY287" s="295"/>
      <c r="AZ287" s="295">
        <f t="shared" si="756"/>
        <v>495</v>
      </c>
      <c r="BA287" s="295">
        <f t="shared" si="756"/>
        <v>824</v>
      </c>
      <c r="BB287" s="295">
        <f t="shared" si="756"/>
        <v>1319</v>
      </c>
      <c r="BC287" s="640"/>
      <c r="BD287" s="295">
        <f>BD284+BD285+BD286</f>
        <v>452</v>
      </c>
      <c r="BE287" s="295">
        <f>BE284+BE285+BE286</f>
        <v>644</v>
      </c>
      <c r="BF287" s="295">
        <f>BF284+BF285+BF286</f>
        <v>1096</v>
      </c>
      <c r="BG287" s="640"/>
      <c r="BH287" s="295">
        <f>BH284+BH285+BH286</f>
        <v>599</v>
      </c>
      <c r="BI287" s="295">
        <f>BI284+BI285+BI286</f>
        <v>707</v>
      </c>
      <c r="BJ287" s="295">
        <f>BJ284+BJ285+BJ286</f>
        <v>1306</v>
      </c>
      <c r="BK287" s="640"/>
      <c r="BL287" s="295">
        <f>BL284+BL285+BL286</f>
        <v>741</v>
      </c>
      <c r="BM287" s="295">
        <f>BM284+BM285+BM286</f>
        <v>1073</v>
      </c>
      <c r="BN287" s="295">
        <f>BN284+BN285+BN286</f>
        <v>1814</v>
      </c>
      <c r="BO287" s="640"/>
      <c r="BP287" s="295">
        <f>BP284+BP285+BP286</f>
        <v>784</v>
      </c>
      <c r="BQ287" s="295">
        <f>BQ284+BQ285+BQ286</f>
        <v>1198</v>
      </c>
      <c r="BR287" s="295">
        <f>BR284+BR285+BR286</f>
        <v>1982</v>
      </c>
      <c r="BS287" s="640"/>
      <c r="BT287" s="295">
        <f>BT284+BT285+BT286</f>
        <v>1204</v>
      </c>
      <c r="BU287" s="295">
        <f>BU284+BU285+BU286</f>
        <v>1081</v>
      </c>
      <c r="BV287" s="295">
        <f>BV284+BV285+BV286</f>
        <v>2285</v>
      </c>
      <c r="BW287" s="640"/>
      <c r="BX287" s="295">
        <f>BX284+BX285+BX286</f>
        <v>935</v>
      </c>
      <c r="BY287" s="295">
        <f>BY284+BY285+BY286</f>
        <v>1125</v>
      </c>
      <c r="BZ287" s="295">
        <f>BZ284+BZ285+BZ286</f>
        <v>2060</v>
      </c>
      <c r="CA287" s="671">
        <f>+BZ287/BV287-1</f>
        <v>-9.8468271334792079E-2</v>
      </c>
      <c r="CB287" s="295">
        <f>CB284+CB285+CB286</f>
        <v>904</v>
      </c>
      <c r="CC287" s="295">
        <f>CC284+CC285+CC286</f>
        <v>1056</v>
      </c>
      <c r="CD287" s="295">
        <f>CD284+CD285+CD286</f>
        <v>1960</v>
      </c>
      <c r="CE287" s="671">
        <f>+CD287/BZ287-1</f>
        <v>-4.8543689320388328E-2</v>
      </c>
      <c r="CF287" s="295">
        <f>CF284+CF285+CF286</f>
        <v>1260</v>
      </c>
      <c r="CG287" s="295">
        <f>CG284+CG285+CG286</f>
        <v>1529</v>
      </c>
      <c r="CH287" s="295">
        <f>CH284+CH285+CH286</f>
        <v>2789</v>
      </c>
      <c r="CI287" s="671">
        <f>+CH287/CD287-1</f>
        <v>0.42295918367346941</v>
      </c>
      <c r="CJ287" s="295">
        <f>CJ284+CJ285+CJ286</f>
        <v>1612</v>
      </c>
      <c r="CK287" s="295">
        <f>CK284+CK285+CK286</f>
        <v>1179</v>
      </c>
      <c r="CL287" s="295">
        <f>CL284+CL285+CL286</f>
        <v>2791</v>
      </c>
      <c r="CM287" s="640"/>
      <c r="CN287" s="295">
        <f>CN284+CN285+CN286</f>
        <v>1667</v>
      </c>
      <c r="CO287" s="295">
        <f>CO284+CO285+CO286</f>
        <v>2045</v>
      </c>
      <c r="CP287" s="295">
        <f>CP284+CP285+CP286</f>
        <v>3712</v>
      </c>
      <c r="CQ287" s="640"/>
      <c r="CR287" s="295">
        <f>CR284+CR285+CR286</f>
        <v>1813</v>
      </c>
      <c r="CS287" s="295">
        <f>CS284+CS285+CS286</f>
        <v>2793</v>
      </c>
      <c r="CT287" s="295">
        <f>CT284+CT285+CT286</f>
        <v>4606</v>
      </c>
      <c r="CU287" s="640"/>
      <c r="CV287" s="1412">
        <f>CV284+CV285+CV286</f>
        <v>2789</v>
      </c>
      <c r="CW287" s="295">
        <f>CW284+CW285+CW286</f>
        <v>4728</v>
      </c>
      <c r="CX287" s="295">
        <f>CX284+CX285+CX286</f>
        <v>7517</v>
      </c>
      <c r="CY287" s="640"/>
      <c r="CZ287" s="1412">
        <f>CZ284+CZ285+CZ286</f>
        <v>2329</v>
      </c>
      <c r="DA287" s="295">
        <f>DA284+DA285+DA286</f>
        <v>2749</v>
      </c>
      <c r="DB287" s="295">
        <f>DB284+DB285+DB286</f>
        <v>5078</v>
      </c>
      <c r="DC287" s="640"/>
      <c r="DD287" s="1412">
        <f>DD284+DD285+DD286</f>
        <v>2241</v>
      </c>
      <c r="DE287" s="295">
        <f>DE284+DE285+DE286</f>
        <v>2567</v>
      </c>
      <c r="DF287" s="295">
        <f>DF284+DF285+DF286</f>
        <v>4808</v>
      </c>
      <c r="DG287" s="640"/>
      <c r="DH287" s="1412">
        <f>DH284+DH285+DH286</f>
        <v>2267</v>
      </c>
      <c r="DI287" s="295">
        <f>DI284+DI285+DI286</f>
        <v>2940.76</v>
      </c>
      <c r="DJ287" s="295">
        <f>DJ284+DJ285+DJ286</f>
        <v>5207.76</v>
      </c>
      <c r="DK287" s="640"/>
      <c r="DL287" s="295">
        <f>DL284+DL285+DL286</f>
        <v>2296.5549999999998</v>
      </c>
      <c r="DM287" s="295">
        <f>DM284+DM285+DM286</f>
        <v>2981.9783000000002</v>
      </c>
      <c r="DN287" s="295">
        <f>DN284+DN285+DN286</f>
        <v>5278.5333000000001</v>
      </c>
      <c r="DO287" s="640"/>
      <c r="DP287" s="295">
        <f>DP284+DP285+DP286</f>
        <v>2326.8008500000001</v>
      </c>
      <c r="DQ287" s="295">
        <f>DQ284+DQ285+DQ286</f>
        <v>3032.3699489999999</v>
      </c>
      <c r="DR287" s="295">
        <f>DR284+DR285+DR286</f>
        <v>5359.1707989999995</v>
      </c>
      <c r="DS287" s="640"/>
      <c r="DT287" s="640"/>
      <c r="DU287" s="640"/>
      <c r="DV287" s="640"/>
      <c r="DW287" s="1229"/>
      <c r="DX287" s="1229"/>
      <c r="DY287" s="1229"/>
      <c r="DZ287" s="290"/>
      <c r="EA287" s="1229"/>
      <c r="EB287" s="1229"/>
      <c r="EC287" s="853"/>
      <c r="ED287" s="290"/>
      <c r="EE287" s="1229"/>
      <c r="EF287" s="1229"/>
      <c r="EG287" s="295"/>
      <c r="EH287" s="295"/>
      <c r="EI287" s="295"/>
      <c r="EJ287" s="295"/>
      <c r="EK287" s="295"/>
      <c r="EL287" s="295"/>
      <c r="EM287" s="295"/>
      <c r="EN287" s="295"/>
      <c r="EO287" s="295"/>
      <c r="EP287" s="295"/>
      <c r="EQ287" s="295"/>
      <c r="ER287" s="295"/>
      <c r="ES287" s="295"/>
      <c r="ET287" s="295"/>
      <c r="EU287" s="295"/>
      <c r="JW287"/>
    </row>
    <row r="288" spans="1:283">
      <c r="A288" s="323" t="s">
        <v>835</v>
      </c>
      <c r="CG288" s="293"/>
      <c r="CH288" s="293"/>
      <c r="CK288" s="293">
        <f>+CK284/CG284</f>
        <v>0.5853865760407817</v>
      </c>
      <c r="CL288" s="293"/>
      <c r="CN288" s="655"/>
      <c r="CO288" s="293"/>
      <c r="CP288" s="293"/>
      <c r="CQ288" s="1342"/>
      <c r="CR288" s="164"/>
      <c r="CS288" s="1406"/>
      <c r="CT288" s="1406"/>
      <c r="CU288" s="1342"/>
      <c r="CW288" s="655"/>
      <c r="CX288" s="655"/>
      <c r="CY288" s="1342"/>
      <c r="DA288" s="655"/>
      <c r="DB288" s="655"/>
      <c r="DC288" s="655"/>
      <c r="DE288" s="655"/>
      <c r="DF288" s="655"/>
      <c r="DG288" s="655"/>
      <c r="DI288" s="655"/>
      <c r="DJ288" s="655"/>
      <c r="DK288" s="655"/>
      <c r="DL288" s="655"/>
      <c r="DM288" s="655"/>
      <c r="DN288" s="655"/>
      <c r="DO288" s="655"/>
      <c r="DP288" s="655"/>
      <c r="DQ288" s="655"/>
      <c r="DR288" s="655"/>
      <c r="DS288" s="655"/>
      <c r="DW288" s="1197"/>
      <c r="DX288" s="293"/>
      <c r="DY288" s="293"/>
      <c r="EA288" s="293"/>
      <c r="EB288" s="293"/>
      <c r="EC288" s="293"/>
      <c r="EE288" s="293"/>
      <c r="EF288" s="293"/>
      <c r="EG288" s="293"/>
      <c r="EI288" s="293"/>
      <c r="EJ288" s="293"/>
      <c r="EK288" s="293"/>
    </row>
    <row r="289" spans="1:283">
      <c r="A289" s="323" t="str">
        <f>A281</f>
        <v>Commodities: Risk Management</v>
      </c>
      <c r="AN289" s="648"/>
      <c r="AO289" s="648"/>
      <c r="AR289" s="648"/>
      <c r="AS289" s="648"/>
      <c r="AV289" s="648"/>
      <c r="AW289" s="648"/>
      <c r="AZ289" s="648"/>
      <c r="BA289" s="648"/>
      <c r="BD289" s="648"/>
      <c r="BE289" s="648"/>
      <c r="BH289" s="648"/>
      <c r="BI289" s="648"/>
      <c r="BL289" s="648"/>
      <c r="BM289" s="648"/>
      <c r="BP289" s="648">
        <f t="shared" ref="BP289:BR293" si="757">+BP281/BL281-1</f>
        <v>0.70440251572327051</v>
      </c>
      <c r="BQ289" s="648">
        <f t="shared" si="757"/>
        <v>-0.15223097112860895</v>
      </c>
      <c r="BR289" s="648">
        <f t="shared" si="757"/>
        <v>0.10000000000000009</v>
      </c>
      <c r="BT289" s="648">
        <f t="shared" ref="BT289:BV293" si="758">+BT281/BP281-1</f>
        <v>0.27306273062730635</v>
      </c>
      <c r="BU289" s="648">
        <f t="shared" si="758"/>
        <v>0.46749226006191957</v>
      </c>
      <c r="BV289" s="648">
        <f t="shared" si="758"/>
        <v>0.3787878787878789</v>
      </c>
      <c r="BW289" s="115"/>
      <c r="BX289" s="648">
        <f t="shared" ref="BX289:CB293" si="759">+BX281/BT281-1</f>
        <v>-6.956521739130439E-2</v>
      </c>
      <c r="BY289" s="648">
        <f t="shared" si="759"/>
        <v>-9.9156118143459926E-2</v>
      </c>
      <c r="BZ289" s="648">
        <f t="shared" si="759"/>
        <v>-8.6691086691086716E-2</v>
      </c>
      <c r="CB289" s="648">
        <f t="shared" si="759"/>
        <v>-0.11214953271028039</v>
      </c>
      <c r="CC289" s="648">
        <f t="shared" ref="CC289:CC295" si="760">+CC281/BY281-1</f>
        <v>-1.6393442622950838E-2</v>
      </c>
      <c r="CD289" s="648">
        <f t="shared" ref="CD289:CD295" si="761">+CD281/BZ281-1</f>
        <v>-5.7486631016042788E-2</v>
      </c>
      <c r="CF289" s="648">
        <f t="shared" ref="CF289:CF295" si="762">+CF281/CB281-1</f>
        <v>0.60350877192982466</v>
      </c>
      <c r="CG289" s="648">
        <f t="shared" ref="CG289:CG295" si="763">+CG281/CC281-1</f>
        <v>0.47857142857142865</v>
      </c>
      <c r="CH289" s="648">
        <f t="shared" ref="CH289:CH295" si="764">+CH281/CD281-1</f>
        <v>0.52907801418439715</v>
      </c>
      <c r="CJ289" s="648">
        <f t="shared" ref="CJ289:CJ295" si="765">+CJ281/CF281-1</f>
        <v>0.38293216630196936</v>
      </c>
      <c r="CK289" s="648">
        <f t="shared" ref="CK289:CK295" si="766">+CK281/CG281-1</f>
        <v>6.602254428341392E-2</v>
      </c>
      <c r="CL289" s="648">
        <f t="shared" ref="CL289:CL295" si="767">+CL281/CH281-1</f>
        <v>0.2003710575139146</v>
      </c>
      <c r="CN289" s="648">
        <f t="shared" ref="CN289:CN295" si="768">+CN281/CJ281-1</f>
        <v>-8.5443037974683556E-2</v>
      </c>
      <c r="CO289" s="648">
        <f t="shared" ref="CO289:CO295" si="769">+CO281/CK281-1</f>
        <v>0.33383685800604224</v>
      </c>
      <c r="CP289" s="648">
        <f t="shared" ref="CP289:CP295" si="770">+CP281/CL281-1</f>
        <v>0.12905718701700164</v>
      </c>
      <c r="CR289" s="648">
        <f t="shared" ref="CR289:CR295" si="771">+CR281/CN281-1</f>
        <v>0.6418685121107266</v>
      </c>
      <c r="CS289" s="648">
        <f t="shared" ref="CS289:CS295" si="772">+CS281/CO281-1</f>
        <v>0.22763306908267267</v>
      </c>
      <c r="CT289" s="648">
        <f t="shared" ref="CT289:CT295" si="773">+CT281/CP281-1</f>
        <v>0.39151266255989059</v>
      </c>
      <c r="CV289" s="648">
        <f t="shared" ref="CV289:CV295" si="774">+CV281/CR281-1</f>
        <v>0.65858798735511059</v>
      </c>
      <c r="CW289" s="648">
        <f t="shared" ref="CW289:CW295" si="775">+CW281/CS281-1</f>
        <v>0.43450184501845013</v>
      </c>
      <c r="CX289" s="648">
        <f t="shared" ref="CX289:CX295" si="776">+CX281/CT281-1</f>
        <v>0.53910477127397938</v>
      </c>
      <c r="CZ289" s="648">
        <f t="shared" ref="CZ289:CZ295" si="777">+CZ281/CV281-1</f>
        <v>-0.24904701397712836</v>
      </c>
      <c r="DA289" s="648">
        <f t="shared" ref="DA289:DA295" si="778">+DA281/CW281-1</f>
        <v>-0.30739549839228297</v>
      </c>
      <c r="DB289" s="648">
        <f t="shared" ref="DB289:DB295" si="779">+DB281/CX281-1</f>
        <v>-0.27804410354745923</v>
      </c>
      <c r="DD289" s="648">
        <f t="shared" ref="DD289:DD295" si="780">+DD281/CZ281-1</f>
        <v>-0.25042301184433169</v>
      </c>
      <c r="DE289" s="648">
        <f t="shared" ref="DE289:DE295" si="781">+DE281/DA281-1</f>
        <v>9.2850510677799925E-4</v>
      </c>
      <c r="DF289" s="648">
        <f t="shared" ref="DF289:DF295" si="782">+DF281/DB281-1</f>
        <v>-0.13058875608676401</v>
      </c>
      <c r="DH289" s="648">
        <f t="shared" ref="DH289:DH295" si="783">+DH281/DD281-1</f>
        <v>4.1760722347629731E-2</v>
      </c>
      <c r="DI289" s="1536">
        <v>0.25</v>
      </c>
      <c r="DJ289" s="648">
        <f t="shared" ref="DJ289:DJ295" si="784">+DJ281/DF281-1</f>
        <v>0.15605906313645623</v>
      </c>
      <c r="DL289" s="1536">
        <v>2.5000000000000001E-2</v>
      </c>
      <c r="DM289" s="1536">
        <v>2.5000000000000001E-2</v>
      </c>
      <c r="DN289" s="648">
        <f t="shared" ref="DN289:DN295" si="785">+DN281/DJ281-1</f>
        <v>2.4999999999999911E-2</v>
      </c>
      <c r="DP289" s="1536">
        <v>0.03</v>
      </c>
      <c r="DQ289" s="1536">
        <v>0.03</v>
      </c>
      <c r="DR289" s="648">
        <f t="shared" ref="DR289:DR295" si="786">+DR281/DN281-1</f>
        <v>2.9999999999999805E-2</v>
      </c>
      <c r="DW289" s="1197"/>
      <c r="DX289" s="293"/>
      <c r="DY289" s="293"/>
      <c r="EA289" s="293"/>
      <c r="EB289" s="293"/>
      <c r="EC289" s="293"/>
      <c r="EE289" s="293"/>
      <c r="EF289" s="293"/>
      <c r="EG289" s="293"/>
      <c r="EI289" s="293"/>
      <c r="EJ289" s="293"/>
      <c r="EK289" s="293"/>
    </row>
    <row r="290" spans="1:283">
      <c r="A290" s="323" t="str">
        <f>A282</f>
        <v>Commodities: Lending and Financing</v>
      </c>
      <c r="AN290" s="648"/>
      <c r="AO290" s="648"/>
      <c r="AR290" s="648"/>
      <c r="AS290" s="648"/>
      <c r="AV290" s="648"/>
      <c r="AW290" s="648"/>
      <c r="AZ290" s="648"/>
      <c r="BA290" s="648"/>
      <c r="BD290" s="648"/>
      <c r="BE290" s="648"/>
      <c r="BH290" s="648"/>
      <c r="BI290" s="648"/>
      <c r="BL290" s="648"/>
      <c r="BM290" s="648"/>
      <c r="BP290" s="648">
        <f t="shared" si="757"/>
        <v>-0.25</v>
      </c>
      <c r="BQ290" s="648">
        <f t="shared" si="757"/>
        <v>-9.2307692307692313E-2</v>
      </c>
      <c r="BR290" s="648">
        <f t="shared" si="757"/>
        <v>-0.16971279373368142</v>
      </c>
      <c r="BT290" s="648">
        <f t="shared" si="758"/>
        <v>4.9645390070921946E-2</v>
      </c>
      <c r="BU290" s="648">
        <f t="shared" si="758"/>
        <v>-0.18644067796610164</v>
      </c>
      <c r="BV290" s="648">
        <f t="shared" si="758"/>
        <v>-8.1761006289308158E-2</v>
      </c>
      <c r="BW290" s="115"/>
      <c r="BX290" s="648">
        <f t="shared" si="759"/>
        <v>-4.0540540540540571E-2</v>
      </c>
      <c r="BY290" s="648">
        <f t="shared" si="759"/>
        <v>-0.18055555555555558</v>
      </c>
      <c r="BZ290" s="648">
        <f t="shared" si="759"/>
        <v>-0.1095890410958904</v>
      </c>
      <c r="CB290" s="648">
        <f t="shared" si="759"/>
        <v>-0.23943661971830987</v>
      </c>
      <c r="CC290" s="648">
        <f t="shared" si="760"/>
        <v>9.3220338983050821E-2</v>
      </c>
      <c r="CD290" s="648">
        <f t="shared" si="761"/>
        <v>-8.846153846153848E-2</v>
      </c>
      <c r="CF290" s="648">
        <f t="shared" si="762"/>
        <v>0.18518518518518512</v>
      </c>
      <c r="CG290" s="648">
        <f t="shared" si="763"/>
        <v>-5.4263565891472854E-2</v>
      </c>
      <c r="CH290" s="648">
        <f t="shared" si="764"/>
        <v>5.4852320675105481E-2</v>
      </c>
      <c r="CJ290" s="648">
        <f t="shared" si="765"/>
        <v>-0.1015625</v>
      </c>
      <c r="CK290" s="648">
        <f t="shared" si="766"/>
        <v>0.23770491803278682</v>
      </c>
      <c r="CL290" s="648">
        <f t="shared" si="767"/>
        <v>6.4000000000000057E-2</v>
      </c>
      <c r="CN290" s="648">
        <f t="shared" si="768"/>
        <v>2.6086956521739202E-2</v>
      </c>
      <c r="CO290" s="648">
        <f t="shared" si="769"/>
        <v>-0.23178807947019864</v>
      </c>
      <c r="CP290" s="648">
        <f t="shared" si="770"/>
        <v>-0.12030075187969924</v>
      </c>
      <c r="CR290" s="648">
        <f t="shared" si="771"/>
        <v>-1.6949152542372836E-2</v>
      </c>
      <c r="CS290" s="648">
        <f t="shared" si="772"/>
        <v>-0.17241379310344829</v>
      </c>
      <c r="CT290" s="648">
        <f t="shared" si="773"/>
        <v>-9.4017094017094016E-2</v>
      </c>
      <c r="CV290" s="648">
        <f t="shared" si="774"/>
        <v>0.5862068965517242</v>
      </c>
      <c r="CW290" s="648">
        <f t="shared" si="775"/>
        <v>0.59375</v>
      </c>
      <c r="CX290" s="648">
        <f t="shared" si="776"/>
        <v>0.58962264150943389</v>
      </c>
      <c r="CZ290" s="648">
        <f t="shared" si="777"/>
        <v>7.6086956521739024E-2</v>
      </c>
      <c r="DA290" s="648">
        <f t="shared" si="778"/>
        <v>0</v>
      </c>
      <c r="DB290" s="648">
        <f t="shared" si="779"/>
        <v>4.1543026706231556E-2</v>
      </c>
      <c r="DD290" s="648">
        <f t="shared" si="780"/>
        <v>-5.555555555555558E-2</v>
      </c>
      <c r="DE290" s="648">
        <f t="shared" si="781"/>
        <v>0.16993464052287588</v>
      </c>
      <c r="DF290" s="648">
        <f t="shared" si="782"/>
        <v>4.2735042735042805E-2</v>
      </c>
      <c r="DH290" s="648">
        <f t="shared" si="783"/>
        <v>-0.14438502673796794</v>
      </c>
      <c r="DI290" s="1536">
        <v>0.22500000000000001</v>
      </c>
      <c r="DJ290" s="648">
        <f t="shared" si="784"/>
        <v>3.6270491803278571E-2</v>
      </c>
      <c r="DL290" s="1536">
        <v>0.04</v>
      </c>
      <c r="DM290" s="1536">
        <v>0.04</v>
      </c>
      <c r="DN290" s="648">
        <f t="shared" si="785"/>
        <v>4.0000000000000036E-2</v>
      </c>
      <c r="DP290" s="1536">
        <v>0.04</v>
      </c>
      <c r="DQ290" s="1536">
        <v>0.04</v>
      </c>
      <c r="DR290" s="648">
        <f t="shared" si="786"/>
        <v>4.0000000000000036E-2</v>
      </c>
      <c r="DW290" s="1197"/>
      <c r="DX290" s="293"/>
      <c r="DY290" s="293"/>
      <c r="EA290" s="293"/>
      <c r="EB290" s="293"/>
      <c r="EC290" s="293"/>
      <c r="EE290" s="293"/>
      <c r="EF290" s="293"/>
      <c r="EG290" s="293"/>
      <c r="EI290" s="293"/>
      <c r="EJ290" s="293"/>
      <c r="EK290" s="293"/>
    </row>
    <row r="291" spans="1:283">
      <c r="A291" s="323" t="str">
        <f>A283</f>
        <v>Commodities: Inventory Mgmt, Transport &amp; Storage</v>
      </c>
      <c r="AN291" s="648"/>
      <c r="AO291" s="648"/>
      <c r="AR291" s="648"/>
      <c r="AS291" s="648"/>
      <c r="AV291" s="648"/>
      <c r="AW291" s="648"/>
      <c r="AZ291" s="648"/>
      <c r="BA291" s="648"/>
      <c r="BD291" s="648"/>
      <c r="BE291" s="648"/>
      <c r="BH291" s="648"/>
      <c r="BI291" s="648"/>
      <c r="BL291" s="648"/>
      <c r="BM291" s="648"/>
      <c r="BP291" s="648">
        <f t="shared" si="757"/>
        <v>-0.86956521739130432</v>
      </c>
      <c r="BQ291" s="648">
        <f t="shared" si="757"/>
        <v>0.3354838709677419</v>
      </c>
      <c r="BR291" s="648">
        <f t="shared" si="757"/>
        <v>5.9701492537313383E-2</v>
      </c>
      <c r="BT291" s="648">
        <f t="shared" si="758"/>
        <v>14</v>
      </c>
      <c r="BU291" s="648">
        <f t="shared" si="758"/>
        <v>-0.44927536231884058</v>
      </c>
      <c r="BV291" s="648">
        <f t="shared" si="758"/>
        <v>-4.2253521126760618E-2</v>
      </c>
      <c r="BW291" s="115"/>
      <c r="BX291" s="648">
        <f t="shared" si="759"/>
        <v>-0.53333333333333333</v>
      </c>
      <c r="BY291" s="648">
        <f t="shared" si="759"/>
        <v>-0.2807017543859649</v>
      </c>
      <c r="BZ291" s="648">
        <f t="shared" si="759"/>
        <v>-0.39215686274509809</v>
      </c>
      <c r="CB291" s="648">
        <f t="shared" si="759"/>
        <v>0</v>
      </c>
      <c r="CC291" s="648">
        <f t="shared" si="760"/>
        <v>0.3292682926829269</v>
      </c>
      <c r="CD291" s="648">
        <f t="shared" si="761"/>
        <v>0.217741935483871</v>
      </c>
      <c r="CF291" s="648">
        <f t="shared" si="762"/>
        <v>4.2619047619047619</v>
      </c>
      <c r="CG291" s="648">
        <f t="shared" si="763"/>
        <v>2.9816513761467891</v>
      </c>
      <c r="CH291" s="648">
        <f t="shared" si="764"/>
        <v>3.3377483443708611</v>
      </c>
      <c r="CJ291" s="648">
        <f t="shared" si="765"/>
        <v>0.36651583710407243</v>
      </c>
      <c r="CK291" s="648">
        <f t="shared" si="766"/>
        <v>-1.2857142857142856</v>
      </c>
      <c r="CL291" s="648">
        <f t="shared" si="767"/>
        <v>-0.72824427480916032</v>
      </c>
      <c r="CN291" s="648">
        <f t="shared" si="768"/>
        <v>0.3774834437086092</v>
      </c>
      <c r="CO291" s="648">
        <f t="shared" si="769"/>
        <v>-5.5161290322580649</v>
      </c>
      <c r="CP291" s="648">
        <f t="shared" si="770"/>
        <v>4.4831460674157304</v>
      </c>
      <c r="CR291" s="648">
        <f t="shared" si="771"/>
        <v>-0.54567307692307687</v>
      </c>
      <c r="CS291" s="648">
        <f t="shared" si="772"/>
        <v>0.58928571428571419</v>
      </c>
      <c r="CT291" s="648">
        <f t="shared" si="773"/>
        <v>0.10553278688524581</v>
      </c>
      <c r="CV291" s="648">
        <f t="shared" si="774"/>
        <v>0.10582010582010581</v>
      </c>
      <c r="CW291" s="648">
        <f t="shared" si="775"/>
        <v>1.7483146067415731</v>
      </c>
      <c r="CX291" s="648">
        <f t="shared" si="776"/>
        <v>1.4606116774791476</v>
      </c>
      <c r="CZ291" s="648">
        <f t="shared" si="777"/>
        <v>-0.26315789473684215</v>
      </c>
      <c r="DA291" s="648">
        <f t="shared" si="778"/>
        <v>-0.69255928045789039</v>
      </c>
      <c r="DB291" s="648">
        <f t="shared" si="779"/>
        <v>-0.65875706214689267</v>
      </c>
      <c r="DD291" s="648">
        <f t="shared" si="780"/>
        <v>1.1623376623376624</v>
      </c>
      <c r="DE291" s="648">
        <f t="shared" si="781"/>
        <v>-0.52526595744680848</v>
      </c>
      <c r="DF291" s="648">
        <f t="shared" si="782"/>
        <v>-0.23841059602649006</v>
      </c>
      <c r="DH291" s="648">
        <f t="shared" si="783"/>
        <v>-0.10810810810810811</v>
      </c>
      <c r="DI291" s="1536">
        <v>0.22500000000000001</v>
      </c>
      <c r="DJ291" s="648">
        <f t="shared" si="784"/>
        <v>6.4239130434782687E-2</v>
      </c>
      <c r="DL291" s="1973">
        <v>0.06</v>
      </c>
      <c r="DM291" s="1536">
        <v>0.04</v>
      </c>
      <c r="DN291" s="648">
        <f t="shared" si="785"/>
        <v>4.8089061382902587E-2</v>
      </c>
      <c r="DP291" s="1536">
        <v>0.04</v>
      </c>
      <c r="DQ291" s="1536">
        <v>0.04</v>
      </c>
      <c r="DR291" s="648">
        <f t="shared" si="786"/>
        <v>4.0000000000000036E-2</v>
      </c>
      <c r="DW291" s="1197"/>
      <c r="DX291" s="293"/>
      <c r="DY291" s="293"/>
      <c r="EA291" s="293"/>
      <c r="EB291" s="293"/>
      <c r="EC291" s="293"/>
      <c r="EE291" s="293"/>
      <c r="EF291" s="293"/>
      <c r="EG291" s="293"/>
      <c r="EI291" s="293"/>
      <c r="EJ291" s="293"/>
      <c r="EK291" s="293"/>
    </row>
    <row r="292" spans="1:283" s="328" customFormat="1">
      <c r="A292" s="1092" t="str">
        <f>+A284</f>
        <v>Commodities: Total</v>
      </c>
      <c r="AN292" s="650"/>
      <c r="AO292" s="650"/>
      <c r="AP292" s="581"/>
      <c r="AQ292" s="581"/>
      <c r="AR292" s="650"/>
      <c r="AS292" s="650"/>
      <c r="AT292" s="581"/>
      <c r="AU292" s="581"/>
      <c r="AV292" s="650"/>
      <c r="AW292" s="650"/>
      <c r="AX292" s="650"/>
      <c r="AY292" s="581"/>
      <c r="AZ292" s="650"/>
      <c r="BA292" s="650"/>
      <c r="BB292" s="650"/>
      <c r="BC292" s="581"/>
      <c r="BD292" s="650"/>
      <c r="BE292" s="650"/>
      <c r="BF292" s="650"/>
      <c r="BG292" s="581"/>
      <c r="BH292" s="650"/>
      <c r="BI292" s="650"/>
      <c r="BJ292" s="650"/>
      <c r="BK292" s="581"/>
      <c r="BL292" s="650">
        <f t="shared" ref="BL292:BN293" si="787">+BL284/BH284-1</f>
        <v>0.13256484149855918</v>
      </c>
      <c r="BM292" s="650">
        <f t="shared" si="787"/>
        <v>0.99726775956284164</v>
      </c>
      <c r="BN292" s="650">
        <f t="shared" si="787"/>
        <v>0.57643758765778408</v>
      </c>
      <c r="BO292" s="581"/>
      <c r="BP292" s="650">
        <f t="shared" si="757"/>
        <v>6.3613231552162919E-2</v>
      </c>
      <c r="BQ292" s="650">
        <f t="shared" si="757"/>
        <v>-3.2831737346101231E-2</v>
      </c>
      <c r="BR292" s="650">
        <f t="shared" si="757"/>
        <v>8.8967971530240497E-4</v>
      </c>
      <c r="BS292" s="581"/>
      <c r="BT292" s="650">
        <f t="shared" si="758"/>
        <v>0.39473684210526305</v>
      </c>
      <c r="BU292" s="650">
        <f t="shared" si="758"/>
        <v>3.536067892503536E-2</v>
      </c>
      <c r="BV292" s="650">
        <f t="shared" si="758"/>
        <v>0.16888888888888887</v>
      </c>
      <c r="BW292" s="581"/>
      <c r="BX292" s="650">
        <f t="shared" si="759"/>
        <v>-0.13379073756432247</v>
      </c>
      <c r="BY292" s="650">
        <f t="shared" si="759"/>
        <v>-0.14344262295081966</v>
      </c>
      <c r="BZ292" s="650">
        <f t="shared" si="759"/>
        <v>-0.13916349809885931</v>
      </c>
      <c r="CA292" s="581"/>
      <c r="CB292" s="650">
        <f t="shared" si="759"/>
        <v>-0.13861386138613863</v>
      </c>
      <c r="CC292" s="650">
        <f t="shared" si="760"/>
        <v>4.944178628389162E-2</v>
      </c>
      <c r="CD292" s="650">
        <f t="shared" si="761"/>
        <v>-3.4452296819788009E-2</v>
      </c>
      <c r="CE292" s="581"/>
      <c r="CF292" s="650">
        <f t="shared" si="762"/>
        <v>0.85287356321839081</v>
      </c>
      <c r="CG292" s="650">
        <f t="shared" si="763"/>
        <v>0.78875379939209722</v>
      </c>
      <c r="CH292" s="650">
        <f t="shared" si="764"/>
        <v>0.81427264409881062</v>
      </c>
      <c r="CI292" s="581"/>
      <c r="CJ292" s="650">
        <f t="shared" si="765"/>
        <v>0.30148883374689817</v>
      </c>
      <c r="CK292" s="650">
        <f t="shared" si="766"/>
        <v>-0.4146134239592183</v>
      </c>
      <c r="CL292" s="650">
        <f t="shared" si="767"/>
        <v>-0.12355017650025213</v>
      </c>
      <c r="CM292" s="581"/>
      <c r="CN292" s="650">
        <f t="shared" si="768"/>
        <v>6.005719733079129E-2</v>
      </c>
      <c r="CO292" s="650">
        <f t="shared" si="769"/>
        <v>1.2626995645863572</v>
      </c>
      <c r="CP292" s="650">
        <f t="shared" si="770"/>
        <v>0.53682393555811281</v>
      </c>
      <c r="CQ292" s="581"/>
      <c r="CR292" s="650">
        <f t="shared" si="771"/>
        <v>0.1276978417266188</v>
      </c>
      <c r="CS292" s="650">
        <f t="shared" si="772"/>
        <v>0.32777421423989739</v>
      </c>
      <c r="CT292" s="650">
        <f t="shared" si="773"/>
        <v>0.24447772369898924</v>
      </c>
      <c r="CU292" s="581"/>
      <c r="CV292" s="650">
        <f t="shared" si="774"/>
        <v>0.56858054226475274</v>
      </c>
      <c r="CW292" s="650">
        <f t="shared" si="775"/>
        <v>1.0067632850241548</v>
      </c>
      <c r="CX292" s="650">
        <f t="shared" si="776"/>
        <v>0.84145607701564384</v>
      </c>
      <c r="CY292" s="581"/>
      <c r="CZ292" s="650">
        <f t="shared" si="777"/>
        <v>-0.22013218098627352</v>
      </c>
      <c r="DA292" s="650">
        <f t="shared" si="778"/>
        <v>-0.52286952335098702</v>
      </c>
      <c r="DB292" s="650">
        <f t="shared" si="779"/>
        <v>-0.42558405489299134</v>
      </c>
      <c r="DC292" s="581"/>
      <c r="DD292" s="650">
        <f t="shared" si="780"/>
        <v>-8.3441981747066518E-2</v>
      </c>
      <c r="DE292" s="650">
        <f t="shared" si="781"/>
        <v>-0.18567103935418772</v>
      </c>
      <c r="DF292" s="650">
        <f t="shared" si="782"/>
        <v>-0.14106939704209331</v>
      </c>
      <c r="DG292" s="581"/>
      <c r="DH292" s="650">
        <f t="shared" si="783"/>
        <v>-1.849217638691325E-2</v>
      </c>
      <c r="DI292" s="650">
        <f>+DI284/DE284-1</f>
        <v>0.24169764560099138</v>
      </c>
      <c r="DJ292" s="2214">
        <f t="shared" si="784"/>
        <v>0.1205629139072848</v>
      </c>
      <c r="DK292" s="581"/>
      <c r="DL292" s="650">
        <f>+DL284/DH284-1</f>
        <v>3.4271739130434575E-2</v>
      </c>
      <c r="DM292" s="650">
        <f>+DM284/DI284-1</f>
        <v>2.9914425427872704E-2</v>
      </c>
      <c r="DN292" s="650">
        <f t="shared" si="785"/>
        <v>3.1691291628497709E-2</v>
      </c>
      <c r="DO292" s="581"/>
      <c r="DP292" s="650">
        <f>+DP284/DL284-1</f>
        <v>3.3371552482142963E-2</v>
      </c>
      <c r="DQ292" s="650">
        <f>+DQ284/DM284-1</f>
        <v>3.3308367063515476E-2</v>
      </c>
      <c r="DR292" s="650">
        <f t="shared" si="786"/>
        <v>3.3334197851745628E-2</v>
      </c>
      <c r="DS292" s="581"/>
      <c r="DT292" s="581"/>
      <c r="DU292" s="581"/>
      <c r="DV292" s="581"/>
      <c r="DW292" s="1230" t="s">
        <v>175</v>
      </c>
      <c r="DX292" s="650"/>
      <c r="DY292" s="650"/>
      <c r="DZ292" s="581"/>
      <c r="EA292" s="650"/>
      <c r="EB292" s="650"/>
      <c r="EC292" s="650"/>
      <c r="ED292" s="581"/>
      <c r="EE292" s="650"/>
      <c r="EF292" s="650"/>
      <c r="EG292" s="650"/>
      <c r="EH292" s="581"/>
      <c r="EI292" s="650"/>
      <c r="EJ292" s="650"/>
      <c r="EK292" s="650"/>
      <c r="EL292" s="581"/>
      <c r="EM292" s="581"/>
      <c r="EN292" s="581"/>
      <c r="EO292" s="581"/>
      <c r="EP292" s="581"/>
      <c r="EQ292" s="581"/>
      <c r="ER292" s="581"/>
      <c r="ES292" s="581"/>
      <c r="ET292" s="581"/>
      <c r="EU292" s="581"/>
      <c r="JW292"/>
    </row>
    <row r="293" spans="1:283" s="323" customFormat="1">
      <c r="A293" s="1079" t="str">
        <f>+A285</f>
        <v>Credit, interest rates and FX (FIC)</v>
      </c>
      <c r="AN293" s="648"/>
      <c r="AO293" s="648"/>
      <c r="AP293" s="115"/>
      <c r="AQ293" s="115"/>
      <c r="AR293" s="648"/>
      <c r="AS293" s="648"/>
      <c r="AT293" s="115"/>
      <c r="AU293" s="115"/>
      <c r="AV293" s="648"/>
      <c r="AW293" s="648"/>
      <c r="AX293" s="648"/>
      <c r="AY293" s="115"/>
      <c r="AZ293" s="648"/>
      <c r="BA293" s="648"/>
      <c r="BB293" s="648"/>
      <c r="BC293" s="115"/>
      <c r="BD293" s="648"/>
      <c r="BE293" s="648"/>
      <c r="BF293" s="648"/>
      <c r="BG293" s="115"/>
      <c r="BH293" s="648"/>
      <c r="BI293" s="648"/>
      <c r="BJ293" s="648"/>
      <c r="BK293" s="115"/>
      <c r="BL293" s="648">
        <f t="shared" si="787"/>
        <v>0.17368421052631589</v>
      </c>
      <c r="BM293" s="648">
        <f t="shared" si="787"/>
        <v>-0.14022140221402213</v>
      </c>
      <c r="BN293" s="648">
        <f t="shared" si="787"/>
        <v>-1.0845986984815648E-2</v>
      </c>
      <c r="BO293" s="115"/>
      <c r="BP293" s="648">
        <f t="shared" si="757"/>
        <v>0.13452914798206272</v>
      </c>
      <c r="BQ293" s="648">
        <f t="shared" si="757"/>
        <v>0.35193133047210301</v>
      </c>
      <c r="BR293" s="648">
        <f t="shared" si="757"/>
        <v>0.2456140350877194</v>
      </c>
      <c r="BS293" s="115"/>
      <c r="BT293" s="648">
        <f t="shared" si="758"/>
        <v>-2.7667984189723271E-2</v>
      </c>
      <c r="BU293" s="648">
        <f t="shared" si="758"/>
        <v>-0.41587301587301584</v>
      </c>
      <c r="BV293" s="648">
        <f t="shared" si="758"/>
        <v>-0.24295774647887325</v>
      </c>
      <c r="BW293" s="115"/>
      <c r="BX293" s="648">
        <f t="shared" si="759"/>
        <v>9.3495934959349603E-2</v>
      </c>
      <c r="BY293" s="648">
        <f t="shared" si="759"/>
        <v>0.91304347826086962</v>
      </c>
      <c r="BZ293" s="648">
        <f t="shared" si="759"/>
        <v>0.44418604651162785</v>
      </c>
      <c r="CA293" s="115"/>
      <c r="CB293" s="648">
        <f t="shared" si="759"/>
        <v>5.2044609665427455E-2</v>
      </c>
      <c r="CC293" s="648">
        <f t="shared" si="760"/>
        <v>-0.36079545454545459</v>
      </c>
      <c r="CD293" s="648">
        <f t="shared" si="761"/>
        <v>-0.18196457326892113</v>
      </c>
      <c r="CE293" s="115"/>
      <c r="CF293" s="648">
        <f t="shared" si="762"/>
        <v>2.8268551236749095E-2</v>
      </c>
      <c r="CG293" s="648">
        <f t="shared" si="763"/>
        <v>0.21333333333333337</v>
      </c>
      <c r="CH293" s="648">
        <f t="shared" si="764"/>
        <v>0.11023622047244097</v>
      </c>
      <c r="CI293" s="115"/>
      <c r="CJ293" s="648">
        <f t="shared" si="765"/>
        <v>0.18556701030927836</v>
      </c>
      <c r="CK293" s="648">
        <f t="shared" si="766"/>
        <v>0.23443223443223449</v>
      </c>
      <c r="CL293" s="648">
        <f t="shared" si="767"/>
        <v>0.20921985815602828</v>
      </c>
      <c r="CM293" s="115"/>
      <c r="CN293" s="648">
        <f t="shared" si="768"/>
        <v>1.1594202898550732E-2</v>
      </c>
      <c r="CO293" s="648">
        <f t="shared" si="769"/>
        <v>4.7477744807121747E-2</v>
      </c>
      <c r="CP293" s="648">
        <f t="shared" si="770"/>
        <v>2.9325513196480912E-2</v>
      </c>
      <c r="CQ293" s="115"/>
      <c r="CR293" s="648">
        <f t="shared" si="771"/>
        <v>7.7363896848137603E-2</v>
      </c>
      <c r="CS293" s="648">
        <f t="shared" si="772"/>
        <v>0.45042492917847032</v>
      </c>
      <c r="CT293" s="648">
        <f t="shared" si="773"/>
        <v>0.2649572649572649</v>
      </c>
      <c r="CU293" s="115"/>
      <c r="CV293" s="648">
        <f t="shared" si="774"/>
        <v>0.7127659574468086</v>
      </c>
      <c r="CW293" s="648">
        <f t="shared" si="775"/>
        <v>-0.255859375</v>
      </c>
      <c r="CX293" s="648">
        <f t="shared" si="776"/>
        <v>0.15427927927927931</v>
      </c>
      <c r="CY293" s="115"/>
      <c r="CZ293" s="648">
        <f t="shared" si="777"/>
        <v>-6.0559006211180155E-2</v>
      </c>
      <c r="DA293" s="648">
        <f t="shared" si="778"/>
        <v>0.64304461942257207</v>
      </c>
      <c r="DB293" s="648">
        <f t="shared" si="779"/>
        <v>0.20097560975609752</v>
      </c>
      <c r="DC293" s="115"/>
      <c r="DD293" s="648">
        <f t="shared" si="780"/>
        <v>4.4628099173553704E-2</v>
      </c>
      <c r="DE293" s="648">
        <f t="shared" si="781"/>
        <v>0.13099041533546329</v>
      </c>
      <c r="DF293" s="648">
        <f t="shared" si="782"/>
        <v>8.854589764419174E-2</v>
      </c>
      <c r="DG293" s="115"/>
      <c r="DH293" s="648">
        <f t="shared" si="783"/>
        <v>4.1139240506329111E-2</v>
      </c>
      <c r="DI293" s="2146">
        <v>-0.03</v>
      </c>
      <c r="DJ293" s="648">
        <f t="shared" si="784"/>
        <v>3.5522388059701093E-3</v>
      </c>
      <c r="DK293" s="115"/>
      <c r="DL293" s="2133">
        <v>-0.02</v>
      </c>
      <c r="DM293" s="2133">
        <v>-0.02</v>
      </c>
      <c r="DN293" s="648">
        <f t="shared" si="785"/>
        <v>-1.9999999999999907E-2</v>
      </c>
      <c r="DO293" s="115"/>
      <c r="DP293" s="2133">
        <v>-0.02</v>
      </c>
      <c r="DQ293" s="2133">
        <v>-0.02</v>
      </c>
      <c r="DR293" s="648">
        <f t="shared" si="786"/>
        <v>-1.9999999999999907E-2</v>
      </c>
      <c r="DS293" s="115"/>
      <c r="DT293" s="115"/>
      <c r="DU293" s="115"/>
      <c r="DV293" s="115"/>
      <c r="DW293" s="1214" t="s">
        <v>175</v>
      </c>
      <c r="DX293" s="648"/>
      <c r="DY293" s="648"/>
      <c r="DZ293" s="115"/>
      <c r="EA293" s="648"/>
      <c r="EB293" s="648"/>
      <c r="EC293" s="648"/>
      <c r="ED293" s="115"/>
      <c r="EE293" s="648"/>
      <c r="EF293" s="648"/>
      <c r="EG293" s="648"/>
      <c r="EH293" s="115"/>
      <c r="EI293" s="648"/>
      <c r="EJ293" s="648"/>
      <c r="EK293" s="648"/>
      <c r="EL293" s="115"/>
      <c r="EM293" s="115"/>
      <c r="EN293" s="115"/>
      <c r="EO293" s="115"/>
      <c r="EP293" s="115"/>
      <c r="EQ293" s="115"/>
      <c r="ER293" s="115"/>
      <c r="ES293" s="115"/>
      <c r="ET293" s="115"/>
      <c r="EU293" s="115"/>
      <c r="JW293"/>
    </row>
    <row r="294" spans="1:283" s="323" customFormat="1">
      <c r="A294" s="1079" t="str">
        <f>+A286</f>
        <v>Equities Interest &amp; Trading Income</v>
      </c>
      <c r="AN294" s="648"/>
      <c r="AO294" s="648"/>
      <c r="AP294" s="115"/>
      <c r="AQ294" s="115"/>
      <c r="AR294" s="648"/>
      <c r="AS294" s="648"/>
      <c r="AT294" s="115"/>
      <c r="AU294" s="115"/>
      <c r="AV294" s="648"/>
      <c r="AW294" s="648"/>
      <c r="AX294" s="648"/>
      <c r="AY294" s="115"/>
      <c r="AZ294" s="648"/>
      <c r="BA294" s="648"/>
      <c r="BB294" s="648"/>
      <c r="BC294" s="115"/>
      <c r="BD294" s="648"/>
      <c r="BE294" s="648"/>
      <c r="BF294" s="648"/>
      <c r="BG294" s="115"/>
      <c r="BH294" s="648"/>
      <c r="BI294" s="648"/>
      <c r="BJ294" s="648"/>
      <c r="BK294" s="115"/>
      <c r="BL294" s="648">
        <f t="shared" ref="BL294:BN295" si="788">+BL286/BH286-1</f>
        <v>1.0161290322580645</v>
      </c>
      <c r="BM294" s="648">
        <f t="shared" si="788"/>
        <v>0.55714285714285716</v>
      </c>
      <c r="BN294" s="648">
        <f t="shared" si="788"/>
        <v>0.77272727272727271</v>
      </c>
      <c r="BO294" s="115"/>
      <c r="BP294" s="648">
        <f t="shared" ref="BP294:BR295" si="789">+BP286/BL286-1</f>
        <v>-9.5999999999999974E-2</v>
      </c>
      <c r="BQ294" s="648">
        <f t="shared" si="789"/>
        <v>0.6146788990825689</v>
      </c>
      <c r="BR294" s="648">
        <f t="shared" si="789"/>
        <v>0.2350427350427351</v>
      </c>
      <c r="BS294" s="115"/>
      <c r="BT294" s="648">
        <f t="shared" ref="BT294:BV295" si="790">+BT286/BP286-1</f>
        <v>2.3185840707964602</v>
      </c>
      <c r="BU294" s="648">
        <f t="shared" si="790"/>
        <v>-6.25E-2</v>
      </c>
      <c r="BV294" s="648">
        <f t="shared" si="790"/>
        <v>0.86851211072664358</v>
      </c>
      <c r="BW294" s="115"/>
      <c r="BX294" s="648">
        <f t="shared" ref="BX294:CB295" si="791">+BX286/BT286-1</f>
        <v>-0.57066666666666666</v>
      </c>
      <c r="BY294" s="648">
        <f t="shared" si="791"/>
        <v>-0.11515151515151512</v>
      </c>
      <c r="BZ294" s="648">
        <f t="shared" si="791"/>
        <v>-0.43148148148148147</v>
      </c>
      <c r="CA294" s="115"/>
      <c r="CB294" s="648">
        <f t="shared" si="791"/>
        <v>0.15527950310559002</v>
      </c>
      <c r="CC294" s="648">
        <f t="shared" si="760"/>
        <v>0.18493150684931514</v>
      </c>
      <c r="CD294" s="648">
        <f t="shared" si="761"/>
        <v>0.16938110749185675</v>
      </c>
      <c r="CE294" s="115"/>
      <c r="CF294" s="648">
        <f t="shared" si="762"/>
        <v>-0.12365591397849462</v>
      </c>
      <c r="CG294" s="648">
        <f t="shared" si="763"/>
        <v>-0.54335260115606943</v>
      </c>
      <c r="CH294" s="648">
        <f t="shared" si="764"/>
        <v>-0.3259052924791086</v>
      </c>
      <c r="CI294" s="115"/>
      <c r="CJ294" s="648">
        <f t="shared" si="765"/>
        <v>0.33742331288343563</v>
      </c>
      <c r="CK294" s="648">
        <f t="shared" si="766"/>
        <v>0.93670886075949378</v>
      </c>
      <c r="CL294" s="648">
        <f t="shared" si="767"/>
        <v>0.53305785123966931</v>
      </c>
      <c r="CM294" s="115"/>
      <c r="CN294" s="648">
        <f t="shared" si="768"/>
        <v>-5.5045871559633031E-2</v>
      </c>
      <c r="CO294" s="648">
        <f t="shared" si="769"/>
        <v>-0.13071895424836599</v>
      </c>
      <c r="CP294" s="648">
        <f t="shared" si="770"/>
        <v>-8.6253369272237146E-2</v>
      </c>
      <c r="CQ294" s="115"/>
      <c r="CR294" s="648">
        <f t="shared" si="771"/>
        <v>-0.11165048543689315</v>
      </c>
      <c r="CS294" s="648">
        <f t="shared" si="772"/>
        <v>0.58646616541353391</v>
      </c>
      <c r="CT294" s="648">
        <f t="shared" si="773"/>
        <v>0.16224188790560468</v>
      </c>
      <c r="CU294" s="115"/>
      <c r="CV294" s="648">
        <f t="shared" si="774"/>
        <v>-2.732240437158473E-2</v>
      </c>
      <c r="CW294" s="648">
        <f t="shared" si="775"/>
        <v>-8.5308056872037907E-2</v>
      </c>
      <c r="CX294" s="648">
        <f t="shared" si="776"/>
        <v>-5.8375634517766506E-2</v>
      </c>
      <c r="CY294" s="115"/>
      <c r="CZ294" s="648">
        <f t="shared" si="777"/>
        <v>6.7415730337078594E-2</v>
      </c>
      <c r="DA294" s="648">
        <f t="shared" si="778"/>
        <v>-0.26943005181347146</v>
      </c>
      <c r="DB294" s="648">
        <f t="shared" si="779"/>
        <v>-0.10781671159029649</v>
      </c>
      <c r="DC294" s="115"/>
      <c r="DD294" s="648">
        <f t="shared" si="780"/>
        <v>6.8421052631578938E-2</v>
      </c>
      <c r="DE294" s="648">
        <f t="shared" si="781"/>
        <v>0.73758865248226946</v>
      </c>
      <c r="DF294" s="648">
        <f t="shared" si="782"/>
        <v>0.3534743202416919</v>
      </c>
      <c r="DG294" s="115"/>
      <c r="DH294" s="648">
        <f t="shared" si="783"/>
        <v>0.12807881773399021</v>
      </c>
      <c r="DI294" s="2146">
        <v>0.02</v>
      </c>
      <c r="DJ294" s="648">
        <f t="shared" si="784"/>
        <v>6.8973214285714235E-2</v>
      </c>
      <c r="DK294" s="115"/>
      <c r="DL294" s="2133">
        <v>-0.02</v>
      </c>
      <c r="DM294" s="2133">
        <v>-0.02</v>
      </c>
      <c r="DN294" s="648">
        <f t="shared" si="785"/>
        <v>-1.9999999999999907E-2</v>
      </c>
      <c r="DO294" s="115"/>
      <c r="DP294" s="2133">
        <v>-0.02</v>
      </c>
      <c r="DQ294" s="2133">
        <v>-0.02</v>
      </c>
      <c r="DR294" s="648">
        <f t="shared" si="786"/>
        <v>-2.0000000000000018E-2</v>
      </c>
      <c r="DS294" s="115"/>
      <c r="DT294" s="115"/>
      <c r="DU294" s="115"/>
      <c r="DV294" s="115"/>
      <c r="DW294" s="1214" t="s">
        <v>175</v>
      </c>
      <c r="DX294" s="648"/>
      <c r="DY294" s="648"/>
      <c r="DZ294" s="115"/>
      <c r="EA294" s="648"/>
      <c r="EB294" s="648"/>
      <c r="EC294" s="648"/>
      <c r="ED294" s="115"/>
      <c r="EE294" s="648"/>
      <c r="EF294" s="648"/>
      <c r="EG294" s="648"/>
      <c r="EH294" s="115"/>
      <c r="EI294" s="648"/>
      <c r="EJ294" s="648"/>
      <c r="EK294" s="648"/>
      <c r="EL294" s="115"/>
      <c r="EM294" s="115"/>
      <c r="EN294" s="115"/>
      <c r="EO294" s="115"/>
      <c r="EP294" s="115"/>
      <c r="EQ294" s="115"/>
      <c r="ER294" s="115"/>
      <c r="ES294" s="115"/>
      <c r="ET294" s="115"/>
      <c r="EU294" s="115"/>
      <c r="JW294"/>
    </row>
    <row r="295" spans="1:283" s="328" customFormat="1">
      <c r="A295" s="1092" t="str">
        <f>+A287</f>
        <v>Total</v>
      </c>
      <c r="AN295" s="650"/>
      <c r="AO295" s="650"/>
      <c r="AP295" s="581"/>
      <c r="AQ295" s="581"/>
      <c r="AR295" s="650"/>
      <c r="AS295" s="650"/>
      <c r="AT295" s="581"/>
      <c r="AU295" s="581"/>
      <c r="AV295" s="650"/>
      <c r="AW295" s="650"/>
      <c r="AX295" s="650"/>
      <c r="AY295" s="581"/>
      <c r="AZ295" s="650"/>
      <c r="BA295" s="650"/>
      <c r="BB295" s="650"/>
      <c r="BC295" s="581"/>
      <c r="BD295" s="650"/>
      <c r="BE295" s="650"/>
      <c r="BF295" s="650"/>
      <c r="BG295" s="581"/>
      <c r="BH295" s="650"/>
      <c r="BI295" s="650"/>
      <c r="BJ295" s="650"/>
      <c r="BK295" s="581"/>
      <c r="BL295" s="650">
        <f t="shared" si="788"/>
        <v>0.23706176961602665</v>
      </c>
      <c r="BM295" s="650">
        <f t="shared" si="788"/>
        <v>0.51768033946251779</v>
      </c>
      <c r="BN295" s="650">
        <f t="shared" si="788"/>
        <v>0.38897396630934145</v>
      </c>
      <c r="BO295" s="581"/>
      <c r="BP295" s="650">
        <f t="shared" si="789"/>
        <v>5.802968960863697E-2</v>
      </c>
      <c r="BQ295" s="650">
        <f t="shared" si="789"/>
        <v>0.11649580615097865</v>
      </c>
      <c r="BR295" s="650">
        <f t="shared" si="789"/>
        <v>9.2613009922822398E-2</v>
      </c>
      <c r="BS295" s="581"/>
      <c r="BT295" s="650">
        <f t="shared" si="790"/>
        <v>0.53571428571428581</v>
      </c>
      <c r="BU295" s="650">
        <f t="shared" si="790"/>
        <v>-9.7662771285475847E-2</v>
      </c>
      <c r="BV295" s="650">
        <f t="shared" si="790"/>
        <v>0.15287588294651866</v>
      </c>
      <c r="BW295" s="581"/>
      <c r="BX295" s="650">
        <f t="shared" si="791"/>
        <v>-0.22342192691029905</v>
      </c>
      <c r="BY295" s="650">
        <f t="shared" si="791"/>
        <v>4.0703052728954692E-2</v>
      </c>
      <c r="BZ295" s="650">
        <f t="shared" si="791"/>
        <v>-9.8468271334792079E-2</v>
      </c>
      <c r="CA295" s="581"/>
      <c r="CB295" s="650">
        <f t="shared" si="791"/>
        <v>-3.3155080213903787E-2</v>
      </c>
      <c r="CC295" s="650">
        <f t="shared" si="760"/>
        <v>-6.1333333333333351E-2</v>
      </c>
      <c r="CD295" s="650">
        <f t="shared" si="761"/>
        <v>-4.8543689320388328E-2</v>
      </c>
      <c r="CE295" s="581"/>
      <c r="CF295" s="650">
        <f t="shared" si="762"/>
        <v>0.39380530973451333</v>
      </c>
      <c r="CG295" s="650">
        <f t="shared" si="763"/>
        <v>0.44791666666666674</v>
      </c>
      <c r="CH295" s="650">
        <f t="shared" si="764"/>
        <v>0.42295918367346941</v>
      </c>
      <c r="CI295" s="581"/>
      <c r="CJ295" s="650">
        <f t="shared" si="765"/>
        <v>0.27936507936507926</v>
      </c>
      <c r="CK295" s="650">
        <f t="shared" si="766"/>
        <v>-0.22890778286461744</v>
      </c>
      <c r="CL295" s="650">
        <f t="shared" si="767"/>
        <v>7.1710290426674206E-4</v>
      </c>
      <c r="CM295" s="581"/>
      <c r="CN295" s="650">
        <f t="shared" si="768"/>
        <v>3.4119106699751933E-2</v>
      </c>
      <c r="CO295" s="650">
        <f t="shared" si="769"/>
        <v>0.73452078032230705</v>
      </c>
      <c r="CP295" s="650">
        <f t="shared" si="770"/>
        <v>0.3299892511644571</v>
      </c>
      <c r="CQ295" s="581"/>
      <c r="CR295" s="650">
        <f t="shared" si="771"/>
        <v>8.7582483503299446E-2</v>
      </c>
      <c r="CS295" s="650">
        <f t="shared" si="772"/>
        <v>0.36577017114914434</v>
      </c>
      <c r="CT295" s="650">
        <f t="shared" si="773"/>
        <v>0.24084051724137923</v>
      </c>
      <c r="CU295" s="581"/>
      <c r="CV295" s="650">
        <f t="shared" si="774"/>
        <v>0.53833425261996681</v>
      </c>
      <c r="CW295" s="650">
        <f t="shared" si="775"/>
        <v>0.69280343716433945</v>
      </c>
      <c r="CX295" s="650">
        <f t="shared" si="776"/>
        <v>0.63200173686495864</v>
      </c>
      <c r="CY295" s="581"/>
      <c r="CZ295" s="650">
        <f t="shared" si="777"/>
        <v>-0.16493366798135534</v>
      </c>
      <c r="DA295" s="650">
        <f t="shared" si="778"/>
        <v>-0.41857021996615906</v>
      </c>
      <c r="DB295" s="650">
        <f t="shared" si="779"/>
        <v>-0.32446454702673944</v>
      </c>
      <c r="DC295" s="581"/>
      <c r="DD295" s="650">
        <f t="shared" si="780"/>
        <v>-3.778445684843279E-2</v>
      </c>
      <c r="DE295" s="650">
        <f t="shared" si="781"/>
        <v>-6.620589305201896E-2</v>
      </c>
      <c r="DF295" s="650">
        <f t="shared" si="782"/>
        <v>-5.3170539582512832E-2</v>
      </c>
      <c r="DG295" s="581"/>
      <c r="DH295" s="650">
        <f t="shared" si="783"/>
        <v>1.1601963409192395E-2</v>
      </c>
      <c r="DI295" s="650">
        <f>+DI287/DE287-1</f>
        <v>0.14560186988702783</v>
      </c>
      <c r="DJ295" s="650">
        <f t="shared" si="784"/>
        <v>8.3144758735441027E-2</v>
      </c>
      <c r="DK295" s="581"/>
      <c r="DL295" s="650">
        <f>+DL287/DH287-1</f>
        <v>1.3037053374503671E-2</v>
      </c>
      <c r="DM295" s="650">
        <f>+DM287/DI287-1</f>
        <v>1.4016206694867916E-2</v>
      </c>
      <c r="DN295" s="650">
        <f t="shared" si="785"/>
        <v>1.3589969583851724E-2</v>
      </c>
      <c r="DO295" s="581"/>
      <c r="DP295" s="650">
        <f>+DP287/DL287-1</f>
        <v>1.3170096078691795E-2</v>
      </c>
      <c r="DQ295" s="650">
        <f>+DQ287/DM287-1</f>
        <v>1.6898730953206265E-2</v>
      </c>
      <c r="DR295" s="650">
        <f t="shared" si="786"/>
        <v>1.5276497166362368E-2</v>
      </c>
      <c r="DS295" s="581"/>
      <c r="DT295" s="581"/>
      <c r="DU295" s="581"/>
      <c r="DV295" s="581"/>
      <c r="DW295" s="650"/>
      <c r="DX295" s="650"/>
      <c r="DY295" s="650"/>
      <c r="DZ295" s="581"/>
      <c r="EA295" s="650"/>
      <c r="EB295" s="650"/>
      <c r="EC295" s="650"/>
      <c r="ED295" s="581"/>
      <c r="EE295" s="650"/>
      <c r="EF295" s="650"/>
      <c r="EG295" s="650"/>
      <c r="EH295" s="581"/>
      <c r="EI295" s="650"/>
      <c r="EJ295" s="650"/>
      <c r="EK295" s="650"/>
      <c r="EL295" s="581"/>
      <c r="EM295" s="581"/>
      <c r="EN295" s="581"/>
      <c r="EO295" s="581"/>
      <c r="EP295" s="581"/>
      <c r="EQ295" s="581"/>
      <c r="ER295" s="581"/>
      <c r="ES295" s="581"/>
      <c r="ET295" s="581"/>
      <c r="EU295" s="581"/>
      <c r="JW295"/>
    </row>
    <row r="296" spans="1:283" s="332" customFormat="1">
      <c r="AN296" s="293"/>
      <c r="AO296" s="293"/>
      <c r="AP296" s="293"/>
      <c r="AQ296" s="293"/>
      <c r="AR296" s="293"/>
      <c r="AS296" s="293"/>
      <c r="AT296" s="293"/>
      <c r="AU296" s="293"/>
      <c r="AV296" s="293"/>
      <c r="AW296" s="293"/>
      <c r="AX296" s="293"/>
      <c r="AY296" s="293"/>
      <c r="AZ296" s="293"/>
      <c r="BA296" s="293"/>
      <c r="BB296" s="293"/>
      <c r="BC296" s="293"/>
      <c r="BD296" s="293"/>
      <c r="BE296" s="293"/>
      <c r="BF296" s="293"/>
      <c r="BG296" s="293"/>
      <c r="BH296" s="293"/>
      <c r="BI296" s="293"/>
      <c r="BJ296" s="293"/>
      <c r="BK296" s="293"/>
      <c r="BL296" s="293"/>
      <c r="BM296" s="293"/>
      <c r="BN296" s="293"/>
      <c r="BO296" s="293"/>
      <c r="BP296" s="293"/>
      <c r="BQ296" s="293"/>
      <c r="BR296" s="293"/>
      <c r="BS296" s="293"/>
      <c r="BT296" s="293"/>
      <c r="BU296" s="293"/>
      <c r="BV296" s="293"/>
      <c r="BW296" s="293"/>
      <c r="BX296" s="293"/>
      <c r="BY296" s="293"/>
      <c r="BZ296" s="293"/>
      <c r="CA296" s="293"/>
      <c r="CB296" s="293"/>
      <c r="CC296" s="293"/>
      <c r="CD296" s="293"/>
      <c r="CE296" s="293"/>
      <c r="CF296" s="293"/>
      <c r="CG296" s="293"/>
      <c r="CH296" s="293"/>
      <c r="CI296" s="293"/>
      <c r="CJ296" s="293"/>
      <c r="CK296" s="293"/>
      <c r="CL296" s="293"/>
      <c r="CM296" s="293"/>
      <c r="CN296" s="293"/>
      <c r="CO296" s="293"/>
      <c r="CP296" s="293"/>
      <c r="CQ296" s="293"/>
      <c r="CR296" s="293"/>
      <c r="CS296" s="293"/>
      <c r="CT296" s="293"/>
      <c r="CU296" s="293"/>
      <c r="CV296" s="293"/>
      <c r="CW296" s="293"/>
      <c r="CX296" s="293"/>
      <c r="CY296" s="293"/>
      <c r="CZ296" s="293"/>
      <c r="DA296" s="293"/>
      <c r="DB296" s="293"/>
      <c r="DC296" s="293"/>
      <c r="DD296" s="293"/>
      <c r="DE296" s="293"/>
      <c r="DF296" s="293"/>
      <c r="DG296" s="293"/>
      <c r="DH296" s="293"/>
      <c r="DI296" s="293"/>
      <c r="DJ296" s="293"/>
      <c r="DK296" s="293"/>
      <c r="DL296" s="293"/>
      <c r="DM296" s="293"/>
      <c r="DN296" s="293"/>
      <c r="DO296" s="293"/>
      <c r="DP296" s="293"/>
      <c r="DQ296" s="293"/>
      <c r="DR296" s="293"/>
      <c r="DS296" s="293"/>
      <c r="DT296" s="293"/>
      <c r="DU296" s="293"/>
      <c r="DV296" s="293"/>
      <c r="DW296" s="293"/>
      <c r="DX296" s="293"/>
      <c r="DY296" s="293"/>
      <c r="DZ296" s="293"/>
      <c r="EA296" s="293"/>
      <c r="EB296" s="293"/>
      <c r="EC296" s="293"/>
      <c r="ED296" s="293"/>
      <c r="EE296" s="293"/>
      <c r="EF296" s="293"/>
      <c r="EG296" s="293"/>
      <c r="EH296" s="293"/>
      <c r="EI296" s="293"/>
      <c r="EJ296" s="293"/>
      <c r="EK296" s="293"/>
      <c r="EL296" s="293"/>
      <c r="EM296" s="293"/>
      <c r="EN296" s="293"/>
      <c r="EO296" s="293"/>
      <c r="EP296" s="293"/>
      <c r="EQ296" s="293"/>
      <c r="ER296" s="293"/>
      <c r="ES296" s="293"/>
      <c r="ET296" s="293"/>
      <c r="EU296" s="293"/>
      <c r="JW296"/>
    </row>
    <row r="297" spans="1:283" s="327" customFormat="1">
      <c r="A297" s="1207" t="s">
        <v>566</v>
      </c>
      <c r="AN297" s="295"/>
      <c r="AO297" s="295"/>
      <c r="AP297" s="295"/>
      <c r="AQ297" s="295"/>
      <c r="AR297" s="295"/>
      <c r="AS297" s="295"/>
      <c r="AT297" s="295"/>
      <c r="AU297" s="295"/>
      <c r="AV297" s="295"/>
      <c r="AW297" s="295"/>
      <c r="AX297" s="295"/>
      <c r="AY297" s="295"/>
      <c r="AZ297" s="295"/>
      <c r="BA297" s="295"/>
      <c r="BB297" s="295"/>
      <c r="BC297" s="295"/>
      <c r="BD297" s="295"/>
      <c r="BE297" s="295"/>
      <c r="BF297" s="295"/>
      <c r="BG297" s="295"/>
      <c r="BH297" s="295"/>
      <c r="BI297" s="295"/>
      <c r="BJ297" s="295"/>
      <c r="BK297" s="295"/>
      <c r="BL297" s="295"/>
      <c r="BM297" s="295"/>
      <c r="BN297" s="295"/>
      <c r="BO297" s="295"/>
      <c r="BP297" s="295"/>
      <c r="BQ297" s="295"/>
      <c r="BR297" s="295"/>
      <c r="BS297" s="295"/>
      <c r="BT297" s="295"/>
      <c r="BU297" s="295"/>
      <c r="BV297" s="295"/>
      <c r="BW297" s="295"/>
      <c r="BX297" s="295"/>
      <c r="BY297" s="295"/>
      <c r="BZ297" s="295"/>
      <c r="CA297" s="295"/>
      <c r="CB297" s="295"/>
      <c r="CC297" s="295"/>
      <c r="CD297" s="295"/>
      <c r="CE297" s="295"/>
      <c r="CF297" s="295"/>
      <c r="CG297" s="295"/>
      <c r="CH297" s="295"/>
      <c r="CI297" s="295"/>
      <c r="CJ297" s="295"/>
      <c r="CK297" s="295"/>
      <c r="CL297" s="295"/>
      <c r="CM297" s="295"/>
      <c r="CN297" s="295"/>
      <c r="CO297" s="295"/>
      <c r="CP297" s="295"/>
      <c r="CQ297" s="295"/>
      <c r="CR297" s="295"/>
      <c r="CS297" s="295"/>
      <c r="CT297" s="295"/>
      <c r="CU297" s="295"/>
      <c r="CV297" s="295"/>
      <c r="CW297" s="295"/>
      <c r="CX297" s="295"/>
      <c r="CY297" s="295"/>
      <c r="CZ297" s="295"/>
      <c r="DA297" s="295"/>
      <c r="DB297" s="295"/>
      <c r="DC297" s="295"/>
      <c r="DD297" s="295"/>
      <c r="DE297" s="295"/>
      <c r="DF297" s="295"/>
      <c r="DG297" s="295"/>
      <c r="DH297" s="295"/>
      <c r="DI297" s="295"/>
      <c r="DJ297" s="295"/>
      <c r="DK297" s="295"/>
      <c r="DL297" s="295"/>
      <c r="DM297" s="295"/>
      <c r="DN297" s="295"/>
      <c r="DO297" s="295"/>
      <c r="DP297" s="295"/>
      <c r="DQ297" s="295"/>
      <c r="DR297" s="295"/>
      <c r="DS297" s="295"/>
      <c r="DT297" s="295"/>
      <c r="DU297" s="295"/>
      <c r="DV297" s="295"/>
      <c r="DW297" s="295"/>
      <c r="DX297" s="295"/>
      <c r="DY297" s="295"/>
      <c r="DZ297" s="295"/>
      <c r="EA297" s="295"/>
      <c r="EB297" s="295"/>
      <c r="EC297" s="295"/>
      <c r="ED297" s="295"/>
      <c r="EE297" s="295"/>
      <c r="EF297" s="295"/>
      <c r="EG297" s="295"/>
      <c r="EH297" s="295"/>
      <c r="EI297" s="295"/>
      <c r="EJ297" s="295"/>
      <c r="EK297" s="295"/>
      <c r="EL297" s="295"/>
      <c r="EM297" s="295"/>
      <c r="EN297" s="295"/>
      <c r="EO297" s="295"/>
      <c r="EP297" s="295"/>
      <c r="EQ297" s="295"/>
      <c r="ER297" s="295"/>
      <c r="ES297" s="295"/>
      <c r="ET297" s="295"/>
      <c r="EU297" s="295"/>
      <c r="JW297"/>
    </row>
    <row r="298" spans="1:283" s="332" customFormat="1">
      <c r="A298" s="332" t="s">
        <v>1149</v>
      </c>
      <c r="AN298" s="626"/>
      <c r="AO298" s="626"/>
      <c r="AP298" s="293"/>
      <c r="AQ298" s="293"/>
      <c r="AR298" s="626">
        <f>AR828+AR923</f>
        <v>444</v>
      </c>
      <c r="AS298" s="626">
        <f>AS828+AS923</f>
        <v>330</v>
      </c>
      <c r="AT298" s="293">
        <f>AR298+AS298</f>
        <v>774</v>
      </c>
      <c r="AU298" s="626"/>
      <c r="AV298" s="626">
        <f>AV828+AV923</f>
        <v>409</v>
      </c>
      <c r="AW298" s="626">
        <f>AW828+AW923</f>
        <v>374</v>
      </c>
      <c r="AX298" s="293">
        <f>AV298+AW298</f>
        <v>783</v>
      </c>
      <c r="AY298" s="626"/>
      <c r="AZ298" s="626">
        <f>AZ828+AZ923</f>
        <v>413</v>
      </c>
      <c r="BA298" s="626">
        <f>BA828+BA923</f>
        <v>390</v>
      </c>
      <c r="BB298" s="293">
        <f>AZ298+BA298</f>
        <v>803</v>
      </c>
      <c r="BC298" s="293"/>
      <c r="BD298" s="626">
        <f>BD828+BD923</f>
        <v>333.5</v>
      </c>
      <c r="BE298" s="626">
        <f>BE828+BE923</f>
        <v>291</v>
      </c>
      <c r="BF298" s="293">
        <f>BD298+BE298</f>
        <v>624.5</v>
      </c>
      <c r="BG298" s="293"/>
      <c r="BH298" s="626">
        <f>BH828+BH923</f>
        <v>260</v>
      </c>
      <c r="BI298" s="626">
        <f>BI828+BI923</f>
        <v>276</v>
      </c>
      <c r="BJ298" s="293">
        <f>BH298+BI298</f>
        <v>536</v>
      </c>
      <c r="BK298" s="293"/>
      <c r="BL298" s="626">
        <f>BL828+BL923</f>
        <v>323</v>
      </c>
      <c r="BM298" s="626">
        <f>BM828+BM923</f>
        <v>326</v>
      </c>
      <c r="BN298" s="293">
        <f>BL298+BM298</f>
        <v>649</v>
      </c>
      <c r="BO298" s="293"/>
      <c r="BP298" s="626">
        <f>BP828+BP923</f>
        <v>313</v>
      </c>
      <c r="BQ298" s="626">
        <f>BQ828+BQ923</f>
        <v>345</v>
      </c>
      <c r="BR298" s="293">
        <f>BP298+BQ298</f>
        <v>658</v>
      </c>
      <c r="BS298" s="293"/>
      <c r="BT298" s="626">
        <f>BT828+BT923</f>
        <v>380</v>
      </c>
      <c r="BU298" s="626">
        <f>BU828+BU923</f>
        <v>358</v>
      </c>
      <c r="BV298" s="293">
        <f>BT298+BU298</f>
        <v>738</v>
      </c>
      <c r="BW298" s="293"/>
      <c r="BX298" s="626">
        <v>355</v>
      </c>
      <c r="BY298" s="626">
        <v>349</v>
      </c>
      <c r="BZ298" s="293">
        <f>BX298+BY298</f>
        <v>704</v>
      </c>
      <c r="CA298" s="293"/>
      <c r="CB298" s="626">
        <v>341</v>
      </c>
      <c r="CC298" s="626">
        <v>345</v>
      </c>
      <c r="CD298" s="293">
        <f>CB298+CC298</f>
        <v>686</v>
      </c>
      <c r="CE298" s="293"/>
      <c r="CF298" s="626">
        <v>432</v>
      </c>
      <c r="CG298" s="626">
        <v>425</v>
      </c>
      <c r="CH298" s="293">
        <f>CF298+CG298</f>
        <v>857</v>
      </c>
      <c r="CI298" s="293"/>
      <c r="CJ298" s="626">
        <f>383-271</f>
        <v>112</v>
      </c>
      <c r="CK298" s="626">
        <f>426-287</f>
        <v>139</v>
      </c>
      <c r="CL298" s="1010">
        <f>CJ298+CK298</f>
        <v>251</v>
      </c>
      <c r="CM298" s="1010"/>
      <c r="CN298" s="1388">
        <v>112</v>
      </c>
      <c r="CO298" s="1388">
        <v>97</v>
      </c>
      <c r="CP298" s="1010">
        <f>CN298+CO298</f>
        <v>209</v>
      </c>
      <c r="CQ298" s="1010"/>
      <c r="CR298" s="1388">
        <v>112</v>
      </c>
      <c r="CS298" s="1497">
        <v>127</v>
      </c>
      <c r="CT298" s="293">
        <f>CR298+CS298</f>
        <v>239</v>
      </c>
      <c r="CU298" s="293"/>
      <c r="CV298" s="1388">
        <v>125</v>
      </c>
      <c r="CW298" s="1497">
        <v>127</v>
      </c>
      <c r="CX298" s="293">
        <f>CV298+CW298</f>
        <v>252</v>
      </c>
      <c r="CY298" s="293"/>
      <c r="CZ298" s="1863">
        <v>135</v>
      </c>
      <c r="DA298" s="1488">
        <v>162</v>
      </c>
      <c r="DB298" s="293">
        <f>CZ298+DA298</f>
        <v>297</v>
      </c>
      <c r="DC298" s="293"/>
      <c r="DD298" s="2107">
        <v>154</v>
      </c>
      <c r="DE298" s="2176">
        <v>153</v>
      </c>
      <c r="DF298" s="293">
        <f>DD298+DE298</f>
        <v>307</v>
      </c>
      <c r="DG298" s="293"/>
      <c r="DH298" s="2107">
        <v>177</v>
      </c>
      <c r="DI298" s="293">
        <f>+DE298*(1+DI303)</f>
        <v>156.06</v>
      </c>
      <c r="DJ298" s="293">
        <f>DH298+DI298</f>
        <v>333.06</v>
      </c>
      <c r="DK298" s="293"/>
      <c r="DL298" s="293">
        <f>+DH298*(1+DL303)</f>
        <v>173.46</v>
      </c>
      <c r="DM298" s="293">
        <f>+DI298*(1+DM303)</f>
        <v>152.93879999999999</v>
      </c>
      <c r="DN298" s="293">
        <f>DL298+DM298</f>
        <v>326.39879999999999</v>
      </c>
      <c r="DO298" s="293"/>
      <c r="DP298" s="293">
        <f>+DL298*(1+DP303)</f>
        <v>169.99080000000001</v>
      </c>
      <c r="DQ298" s="293">
        <f>+DM298*(1+DQ303)</f>
        <v>149.88002399999999</v>
      </c>
      <c r="DR298" s="293">
        <f>DP298+DQ298</f>
        <v>319.87082399999997</v>
      </c>
      <c r="DS298" s="293"/>
      <c r="DT298" s="293"/>
      <c r="DU298" s="293"/>
      <c r="DV298" s="293"/>
      <c r="DW298" s="1198" t="s">
        <v>174</v>
      </c>
      <c r="DX298" s="293"/>
      <c r="DY298" s="293"/>
      <c r="DZ298" s="293"/>
      <c r="EA298" s="293"/>
      <c r="EB298" s="293"/>
      <c r="EC298" s="293"/>
      <c r="ED298" s="293"/>
      <c r="EE298" s="293"/>
      <c r="EF298" s="293"/>
      <c r="EG298" s="293"/>
      <c r="EH298" s="293"/>
      <c r="EI298" s="293"/>
      <c r="EJ298" s="293"/>
      <c r="EK298" s="293"/>
      <c r="EL298" s="293"/>
      <c r="EM298" s="293"/>
      <c r="EN298" s="293"/>
      <c r="EO298" s="293"/>
      <c r="EP298" s="293"/>
      <c r="EQ298" s="293"/>
      <c r="ER298" s="293"/>
      <c r="ES298" s="293"/>
      <c r="ET298" s="293"/>
      <c r="EU298" s="293"/>
      <c r="JW298"/>
    </row>
    <row r="299" spans="1:283" s="332" customFormat="1">
      <c r="A299" s="332" t="s">
        <v>655</v>
      </c>
      <c r="AN299" s="626"/>
      <c r="AO299" s="626"/>
      <c r="AP299" s="293"/>
      <c r="AQ299" s="293"/>
      <c r="AR299" s="626">
        <f>AR829+AR924</f>
        <v>95</v>
      </c>
      <c r="AS299" s="626">
        <f>AS829+AS924</f>
        <v>141</v>
      </c>
      <c r="AT299" s="293">
        <f>AR299+AS299</f>
        <v>236</v>
      </c>
      <c r="AU299" s="626"/>
      <c r="AV299" s="626">
        <f>AV829+AV924</f>
        <v>161</v>
      </c>
      <c r="AW299" s="626">
        <f>AW829+AW924</f>
        <v>188</v>
      </c>
      <c r="AX299" s="293">
        <f>AV299+AW299</f>
        <v>349</v>
      </c>
      <c r="AY299" s="626"/>
      <c r="AZ299" s="626">
        <f>AZ829+AZ924</f>
        <v>136.5</v>
      </c>
      <c r="BA299" s="626">
        <f>BA829+BA924</f>
        <v>157.5</v>
      </c>
      <c r="BB299" s="293">
        <f>AZ299+BA299</f>
        <v>294</v>
      </c>
      <c r="BC299" s="293"/>
      <c r="BD299" s="626">
        <f>BD829+BD924</f>
        <v>118</v>
      </c>
      <c r="BE299" s="626">
        <f>BE829+BE924</f>
        <v>70</v>
      </c>
      <c r="BF299" s="293">
        <f>BD299+BE299</f>
        <v>188</v>
      </c>
      <c r="BG299" s="293"/>
      <c r="BH299" s="626">
        <f>BH829+BH924</f>
        <v>62</v>
      </c>
      <c r="BI299" s="626">
        <f>BI829+BI924</f>
        <v>75</v>
      </c>
      <c r="BJ299" s="293">
        <f>BH299+BI299</f>
        <v>137</v>
      </c>
      <c r="BK299" s="293"/>
      <c r="BL299" s="626">
        <f>BL829+BL924</f>
        <v>73</v>
      </c>
      <c r="BM299" s="626">
        <f>BM829+BM924</f>
        <v>73</v>
      </c>
      <c r="BN299" s="293">
        <f>BL299+BM299</f>
        <v>146</v>
      </c>
      <c r="BO299" s="293"/>
      <c r="BP299" s="626">
        <f>BP829+BP924</f>
        <v>103</v>
      </c>
      <c r="BQ299" s="626">
        <f>BQ829+BQ924</f>
        <v>309</v>
      </c>
      <c r="BR299" s="293">
        <f>BP299+BQ299</f>
        <v>412</v>
      </c>
      <c r="BS299" s="293"/>
      <c r="BT299" s="626">
        <f>BT829+BT924</f>
        <v>106</v>
      </c>
      <c r="BU299" s="626">
        <f>BU829+BU924</f>
        <v>78</v>
      </c>
      <c r="BV299" s="293">
        <f>BT299+BU299</f>
        <v>184</v>
      </c>
      <c r="BW299" s="293"/>
      <c r="BX299" s="626">
        <v>92</v>
      </c>
      <c r="BY299" s="626">
        <v>61</v>
      </c>
      <c r="BZ299" s="293">
        <f>BX299+BY299</f>
        <v>153</v>
      </c>
      <c r="CA299" s="293"/>
      <c r="CB299" s="626">
        <v>95</v>
      </c>
      <c r="CC299" s="626">
        <v>112</v>
      </c>
      <c r="CD299" s="293">
        <f>CB299+CC299</f>
        <v>207</v>
      </c>
      <c r="CE299" s="293"/>
      <c r="CF299" s="819">
        <f>179-CF300</f>
        <v>124</v>
      </c>
      <c r="CG299" s="819">
        <f>186-CG300</f>
        <v>170</v>
      </c>
      <c r="CH299" s="293">
        <f>CF299+CG299</f>
        <v>294</v>
      </c>
      <c r="CI299" s="293"/>
      <c r="CJ299" s="819">
        <f>223-CJ300-52</f>
        <v>113</v>
      </c>
      <c r="CK299" s="819">
        <f>239-CK300-31</f>
        <v>130</v>
      </c>
      <c r="CL299" s="1010">
        <f>CJ299+CK299</f>
        <v>243</v>
      </c>
      <c r="CM299" s="1010"/>
      <c r="CN299" s="1415">
        <f>145-CN300</f>
        <v>128</v>
      </c>
      <c r="CO299" s="1415">
        <f>131-CO300</f>
        <v>81</v>
      </c>
      <c r="CP299" s="1010">
        <f>CN299+CO299</f>
        <v>209</v>
      </c>
      <c r="CQ299" s="1010"/>
      <c r="CR299" s="1415">
        <f>116-CR300</f>
        <v>65</v>
      </c>
      <c r="CS299" s="1506">
        <f>152-CS300</f>
        <v>102</v>
      </c>
      <c r="CT299" s="293">
        <f>CR299+CS299</f>
        <v>167</v>
      </c>
      <c r="CU299" s="293"/>
      <c r="CV299" s="2049">
        <f>154-CV300-78</f>
        <v>25</v>
      </c>
      <c r="CW299" s="1870">
        <f>211-CW300</f>
        <v>161</v>
      </c>
      <c r="CX299" s="1010">
        <f>CV299+CW299</f>
        <v>186</v>
      </c>
      <c r="CY299" s="1010"/>
      <c r="CZ299" s="1869">
        <f>148-CZ300</f>
        <v>97</v>
      </c>
      <c r="DA299" s="1870">
        <f>141-DA300</f>
        <v>91</v>
      </c>
      <c r="DB299" s="1010">
        <f>CZ299+DA299</f>
        <v>188</v>
      </c>
      <c r="DC299" s="1010"/>
      <c r="DD299" s="2119">
        <f>135-DD300</f>
        <v>87</v>
      </c>
      <c r="DE299" s="1506">
        <f>87-DE300</f>
        <v>37</v>
      </c>
      <c r="DF299" s="1010">
        <f>DD299+DE299</f>
        <v>124</v>
      </c>
      <c r="DG299" s="293"/>
      <c r="DH299" s="2119">
        <f>141-DH300</f>
        <v>93</v>
      </c>
      <c r="DI299" s="841">
        <f>'P&amp;L'!DI152</f>
        <v>96.72</v>
      </c>
      <c r="DJ299" s="293">
        <f>DH299+DI299</f>
        <v>189.72</v>
      </c>
      <c r="DK299" s="293"/>
      <c r="DL299" s="841">
        <f>'P&amp;L'!DL152</f>
        <v>94.785600000000002</v>
      </c>
      <c r="DM299" s="841">
        <f>'P&amp;L'!DM152</f>
        <v>98.577024000000009</v>
      </c>
      <c r="DN299" s="293">
        <f>DL299+DM299</f>
        <v>193.36262400000001</v>
      </c>
      <c r="DO299" s="293"/>
      <c r="DP299" s="841">
        <f>'P&amp;L'!DP152</f>
        <v>96.605483520000007</v>
      </c>
      <c r="DQ299" s="841">
        <f>'P&amp;L'!DQ152</f>
        <v>100.46970286080001</v>
      </c>
      <c r="DR299" s="293">
        <f>DP299+DQ299</f>
        <v>197.07518638080001</v>
      </c>
      <c r="DS299" s="293"/>
      <c r="DT299" s="293"/>
      <c r="DU299" s="293"/>
      <c r="DV299" s="293"/>
      <c r="DW299" s="1198" t="s">
        <v>174</v>
      </c>
      <c r="DX299" s="293"/>
      <c r="DY299" s="293"/>
      <c r="DZ299" s="293"/>
      <c r="EA299" s="293"/>
      <c r="EB299" s="293"/>
      <c r="EC299" s="293"/>
      <c r="ED299" s="293"/>
      <c r="EE299" s="293"/>
      <c r="EF299" s="293"/>
      <c r="EG299" s="293"/>
      <c r="EH299" s="293"/>
      <c r="EI299" s="293"/>
      <c r="EJ299" s="293"/>
      <c r="EK299" s="293"/>
      <c r="EL299" s="293"/>
      <c r="EM299" s="293"/>
      <c r="EN299" s="293"/>
      <c r="EO299" s="293"/>
      <c r="EP299" s="293"/>
      <c r="EQ299" s="293"/>
      <c r="ER299" s="293"/>
      <c r="ES299" s="293"/>
      <c r="ET299" s="293"/>
      <c r="EU299" s="293"/>
      <c r="JW299"/>
    </row>
    <row r="300" spans="1:283" s="332" customFormat="1">
      <c r="A300" s="332" t="s">
        <v>1198</v>
      </c>
      <c r="AN300" s="626"/>
      <c r="AO300" s="626"/>
      <c r="AP300" s="293"/>
      <c r="AQ300" s="293"/>
      <c r="AR300" s="626"/>
      <c r="AS300" s="626"/>
      <c r="AT300" s="293"/>
      <c r="AU300" s="626"/>
      <c r="AV300" s="626"/>
      <c r="AW300" s="626"/>
      <c r="AX300" s="293"/>
      <c r="AY300" s="626"/>
      <c r="AZ300" s="626"/>
      <c r="BA300" s="626"/>
      <c r="BB300" s="293"/>
      <c r="BC300" s="293"/>
      <c r="BD300" s="626"/>
      <c r="BE300" s="626"/>
      <c r="BF300" s="293"/>
      <c r="BG300" s="293"/>
      <c r="BH300" s="626"/>
      <c r="BI300" s="626"/>
      <c r="BJ300" s="293"/>
      <c r="BK300" s="293"/>
      <c r="BL300" s="626"/>
      <c r="BM300" s="626"/>
      <c r="BN300" s="293"/>
      <c r="BO300" s="293"/>
      <c r="BP300" s="626"/>
      <c r="BQ300" s="626"/>
      <c r="BR300" s="293"/>
      <c r="BS300" s="293"/>
      <c r="BT300" s="626"/>
      <c r="BU300" s="626"/>
      <c r="BV300" s="293"/>
      <c r="BW300" s="293"/>
      <c r="BX300" s="626"/>
      <c r="BY300" s="626"/>
      <c r="BZ300" s="293"/>
      <c r="CA300" s="293"/>
      <c r="CB300" s="626"/>
      <c r="CC300" s="626"/>
      <c r="CD300" s="293"/>
      <c r="CE300" s="293"/>
      <c r="CF300" s="626">
        <v>55</v>
      </c>
      <c r="CG300" s="626">
        <v>16</v>
      </c>
      <c r="CH300" s="293">
        <f>CF300+CG300</f>
        <v>71</v>
      </c>
      <c r="CI300" s="293"/>
      <c r="CJ300" s="626">
        <v>58</v>
      </c>
      <c r="CK300" s="626">
        <v>78</v>
      </c>
      <c r="CL300" s="1010">
        <f>CJ300+CK300</f>
        <v>136</v>
      </c>
      <c r="CM300" s="1010"/>
      <c r="CN300" s="1388">
        <f>-32+49</f>
        <v>17</v>
      </c>
      <c r="CO300" s="1388">
        <v>50</v>
      </c>
      <c r="CP300" s="1010">
        <f>CN300+CO300</f>
        <v>67</v>
      </c>
      <c r="CQ300" s="1010"/>
      <c r="CR300" s="1388">
        <v>51</v>
      </c>
      <c r="CS300" s="1497">
        <v>50</v>
      </c>
      <c r="CT300" s="293">
        <f>CR300+CS300</f>
        <v>101</v>
      </c>
      <c r="CU300" s="293"/>
      <c r="CV300" s="1731">
        <v>51</v>
      </c>
      <c r="CW300" s="1488">
        <v>50</v>
      </c>
      <c r="CX300" s="1010">
        <f>CV300+CW300</f>
        <v>101</v>
      </c>
      <c r="CY300" s="1010"/>
      <c r="CZ300" s="1871">
        <v>51</v>
      </c>
      <c r="DA300" s="1488">
        <v>50</v>
      </c>
      <c r="DB300" s="1010">
        <f>CZ300+DA300</f>
        <v>101</v>
      </c>
      <c r="DC300" s="1010"/>
      <c r="DD300" s="2106">
        <v>48</v>
      </c>
      <c r="DE300" s="2149">
        <v>50</v>
      </c>
      <c r="DF300" s="1010">
        <f>DD300+DE300</f>
        <v>98</v>
      </c>
      <c r="DG300" s="293"/>
      <c r="DH300" s="2106">
        <v>48</v>
      </c>
      <c r="DI300" s="630">
        <f>+DE300*103%</f>
        <v>51.5</v>
      </c>
      <c r="DJ300" s="303">
        <f>DH300+DI300</f>
        <v>99.5</v>
      </c>
      <c r="DK300" s="293"/>
      <c r="DL300" s="630">
        <f>+DH300*103%</f>
        <v>49.44</v>
      </c>
      <c r="DM300" s="630">
        <f>+DI300*103%</f>
        <v>53.045000000000002</v>
      </c>
      <c r="DN300" s="303">
        <f>DL300+DM300</f>
        <v>102.485</v>
      </c>
      <c r="DO300" s="293"/>
      <c r="DP300" s="630">
        <f>+DL300*103%</f>
        <v>50.923200000000001</v>
      </c>
      <c r="DQ300" s="630">
        <f>+DM300*103%</f>
        <v>54.63635</v>
      </c>
      <c r="DR300" s="303">
        <f>DP300+DQ300</f>
        <v>105.55955</v>
      </c>
      <c r="DS300" s="293"/>
      <c r="DT300" s="293"/>
      <c r="DU300" s="293"/>
      <c r="DV300" s="293"/>
      <c r="DW300" s="1198"/>
      <c r="DX300" s="293"/>
      <c r="DY300" s="293"/>
      <c r="DZ300" s="293"/>
      <c r="EA300" s="293"/>
      <c r="EB300" s="293"/>
      <c r="EC300" s="293"/>
      <c r="ED300" s="293"/>
      <c r="EE300" s="293"/>
      <c r="EF300" s="293"/>
      <c r="EG300" s="293"/>
      <c r="EH300" s="293"/>
      <c r="EI300" s="293"/>
      <c r="EJ300" s="293"/>
      <c r="EK300" s="293"/>
      <c r="EL300" s="293"/>
      <c r="EM300" s="293"/>
      <c r="EN300" s="293"/>
      <c r="EO300" s="293"/>
      <c r="EP300" s="293"/>
      <c r="EQ300" s="293"/>
      <c r="ER300" s="293"/>
      <c r="ES300" s="293"/>
      <c r="ET300" s="293"/>
      <c r="EU300" s="293"/>
      <c r="JW300"/>
    </row>
    <row r="301" spans="1:283" s="327" customFormat="1">
      <c r="A301" s="327" t="s">
        <v>613</v>
      </c>
      <c r="AN301" s="295"/>
      <c r="AO301" s="295"/>
      <c r="AP301" s="655">
        <v>1253</v>
      </c>
      <c r="AQ301" s="295"/>
      <c r="AR301" s="295">
        <f>SUM(AR298:AR299)</f>
        <v>539</v>
      </c>
      <c r="AS301" s="295">
        <f>SUM(AS298:AS299)</f>
        <v>471</v>
      </c>
      <c r="AT301" s="295">
        <f>AR301+AS301</f>
        <v>1010</v>
      </c>
      <c r="AU301" s="295"/>
      <c r="AV301" s="295">
        <f>SUM(AV298:AV299)</f>
        <v>570</v>
      </c>
      <c r="AW301" s="295">
        <f>SUM(AW298:AW299)</f>
        <v>562</v>
      </c>
      <c r="AX301" s="295">
        <f>AV301+AW301</f>
        <v>1132</v>
      </c>
      <c r="AY301" s="295"/>
      <c r="AZ301" s="295">
        <f>SUM(AZ298:AZ299)</f>
        <v>549.5</v>
      </c>
      <c r="BA301" s="295">
        <f>SUM(BA298:BA299)</f>
        <v>547.5</v>
      </c>
      <c r="BB301" s="295">
        <f>AZ301+BA301</f>
        <v>1097</v>
      </c>
      <c r="BC301" s="295"/>
      <c r="BD301" s="295">
        <f>SUM(BD298:BD299)</f>
        <v>451.5</v>
      </c>
      <c r="BE301" s="295">
        <f>SUM(BE298:BE299)</f>
        <v>361</v>
      </c>
      <c r="BF301" s="295">
        <f>BD301+BE301</f>
        <v>812.5</v>
      </c>
      <c r="BG301" s="295"/>
      <c r="BH301" s="295">
        <f>SUM(BH298:BH299)</f>
        <v>322</v>
      </c>
      <c r="BI301" s="295">
        <f>SUM(BI298:BI299)</f>
        <v>351</v>
      </c>
      <c r="BJ301" s="295">
        <f>BH301+BI301</f>
        <v>673</v>
      </c>
      <c r="BK301" s="295"/>
      <c r="BL301" s="295">
        <f>SUM(BL298:BL299)</f>
        <v>396</v>
      </c>
      <c r="BM301" s="295">
        <f>SUM(BM298:BM299)</f>
        <v>399</v>
      </c>
      <c r="BN301" s="295">
        <f>BL301+BM301</f>
        <v>795</v>
      </c>
      <c r="BO301" s="295"/>
      <c r="BP301" s="295">
        <f>SUM(BP298:BP299)</f>
        <v>416</v>
      </c>
      <c r="BQ301" s="295">
        <f>SUM(BQ298:BQ299)</f>
        <v>654</v>
      </c>
      <c r="BR301" s="295">
        <f>BP301+BQ301</f>
        <v>1070</v>
      </c>
      <c r="BS301" s="295"/>
      <c r="BT301" s="295">
        <f>SUM(BT298:BT299)</f>
        <v>486</v>
      </c>
      <c r="BU301" s="295">
        <f>SUM(BU298:BU299)</f>
        <v>436</v>
      </c>
      <c r="BV301" s="295">
        <f>BT301+BU301</f>
        <v>922</v>
      </c>
      <c r="BW301" s="295"/>
      <c r="BX301" s="295">
        <f>SUM(BX298:BX299)</f>
        <v>447</v>
      </c>
      <c r="BY301" s="295">
        <f>SUM(BY298:BY299)</f>
        <v>410</v>
      </c>
      <c r="BZ301" s="295">
        <f>BX301+BY301</f>
        <v>857</v>
      </c>
      <c r="CA301" s="295"/>
      <c r="CB301" s="295">
        <f>SUM(CB298:CB299)</f>
        <v>436</v>
      </c>
      <c r="CC301" s="295">
        <f>SUM(CC298:CC299)</f>
        <v>457</v>
      </c>
      <c r="CD301" s="295">
        <f>CB301+CC301</f>
        <v>893</v>
      </c>
      <c r="CE301" s="295"/>
      <c r="CF301" s="295">
        <f>SUM(CF298:CF300)</f>
        <v>611</v>
      </c>
      <c r="CG301" s="295">
        <f>SUM(CG298:CG300)</f>
        <v>611</v>
      </c>
      <c r="CH301" s="295">
        <f>CF301+CG301</f>
        <v>1222</v>
      </c>
      <c r="CI301" s="295"/>
      <c r="CJ301" s="295">
        <f t="shared" ref="CJ301" si="792">SUM(CJ298:CJ300)</f>
        <v>283</v>
      </c>
      <c r="CK301" s="295">
        <f>SUM(CK298:CK300)</f>
        <v>347</v>
      </c>
      <c r="CL301" s="1412">
        <f>CJ301+CK301</f>
        <v>630</v>
      </c>
      <c r="CM301" s="1412"/>
      <c r="CN301" s="1412">
        <f t="shared" ref="CN301" si="793">SUM(CN298:CN300)</f>
        <v>257</v>
      </c>
      <c r="CO301" s="1412">
        <f>SUM(CO298:CO300)</f>
        <v>228</v>
      </c>
      <c r="CP301" s="1412">
        <f>CN301+CO301</f>
        <v>485</v>
      </c>
      <c r="CQ301" s="1412"/>
      <c r="CR301" s="1412">
        <f t="shared" ref="CR301" si="794">SUM(CR298:CR300)</f>
        <v>228</v>
      </c>
      <c r="CS301" s="295">
        <f>SUM(CS298:CS300)</f>
        <v>279</v>
      </c>
      <c r="CT301" s="295">
        <f>CR301+CS301</f>
        <v>507</v>
      </c>
      <c r="CU301" s="295"/>
      <c r="CV301" s="1412">
        <f t="shared" ref="CV301" si="795">SUM(CV298:CV300)</f>
        <v>201</v>
      </c>
      <c r="CW301" s="1412">
        <f>SUM(CW298:CW300)</f>
        <v>338</v>
      </c>
      <c r="CX301" s="1412">
        <f>CV301+CW301</f>
        <v>539</v>
      </c>
      <c r="CY301" s="1412"/>
      <c r="CZ301" s="1412">
        <f t="shared" ref="CZ301" si="796">SUM(CZ298:CZ300)</f>
        <v>283</v>
      </c>
      <c r="DA301" s="1412">
        <f>SUM(DA298:DA300)</f>
        <v>303</v>
      </c>
      <c r="DB301" s="1412">
        <f>CZ301+DA301</f>
        <v>586</v>
      </c>
      <c r="DC301" s="1412"/>
      <c r="DD301" s="295">
        <f t="shared" ref="DD301" si="797">SUM(DD298:DD300)</f>
        <v>289</v>
      </c>
      <c r="DE301" s="1412">
        <f>SUM(DE298:DE300)</f>
        <v>240</v>
      </c>
      <c r="DF301" s="1412">
        <f>DD301+DE301</f>
        <v>529</v>
      </c>
      <c r="DG301" s="295"/>
      <c r="DH301" s="295">
        <f t="shared" ref="DH301" si="798">SUM(DH298:DH300)</f>
        <v>318</v>
      </c>
      <c r="DI301" s="295">
        <f t="shared" ref="DI301:DJ301" si="799">SUM(DI298:DI300)</f>
        <v>304.27999999999997</v>
      </c>
      <c r="DJ301" s="295">
        <f t="shared" si="799"/>
        <v>622.28</v>
      </c>
      <c r="DK301" s="295"/>
      <c r="DL301" s="295">
        <f t="shared" ref="DL301:DN301" si="800">SUM(DL298:DL300)</f>
        <v>317.68560000000002</v>
      </c>
      <c r="DM301" s="295">
        <f t="shared" si="800"/>
        <v>304.56082400000003</v>
      </c>
      <c r="DN301" s="295">
        <f t="shared" si="800"/>
        <v>622.24642400000005</v>
      </c>
      <c r="DO301" s="295"/>
      <c r="DP301" s="295">
        <f t="shared" ref="DP301:DR301" si="801">SUM(DP298:DP300)</f>
        <v>317.51948352000005</v>
      </c>
      <c r="DQ301" s="295">
        <f t="shared" si="801"/>
        <v>304.98607686079998</v>
      </c>
      <c r="DR301" s="295">
        <f t="shared" si="801"/>
        <v>622.50556038080003</v>
      </c>
      <c r="DS301" s="295"/>
      <c r="DT301" s="295"/>
      <c r="DU301" s="295"/>
      <c r="DV301" s="295"/>
      <c r="DW301" s="295"/>
      <c r="DX301" s="295"/>
      <c r="DY301" s="295"/>
      <c r="DZ301" s="295"/>
      <c r="EA301" s="295"/>
      <c r="EB301" s="295"/>
      <c r="EC301" s="295"/>
      <c r="ED301" s="295"/>
      <c r="EE301" s="295"/>
      <c r="EF301" s="295"/>
      <c r="EG301" s="295"/>
      <c r="EH301" s="295"/>
      <c r="EI301" s="295"/>
      <c r="EJ301" s="295"/>
      <c r="EK301" s="295"/>
      <c r="EL301" s="295"/>
      <c r="EM301" s="295"/>
      <c r="EN301" s="295"/>
      <c r="EO301" s="295"/>
      <c r="EP301" s="295"/>
      <c r="EQ301" s="295"/>
      <c r="ER301" s="295"/>
      <c r="ES301" s="295"/>
      <c r="ET301" s="295"/>
      <c r="EU301" s="295"/>
      <c r="JW301"/>
    </row>
    <row r="302" spans="1:283">
      <c r="A302" s="323" t="s">
        <v>835</v>
      </c>
      <c r="CM302" s="1332"/>
      <c r="CR302" s="103"/>
      <c r="CS302" s="293"/>
      <c r="CT302" s="293"/>
      <c r="CV302" s="1009"/>
      <c r="CW302" s="1010"/>
      <c r="CX302" s="1010"/>
      <c r="CY302" s="1009"/>
      <c r="CZ302" s="1009"/>
      <c r="DA302" s="1010"/>
      <c r="DB302" s="1010"/>
      <c r="DC302" s="1009"/>
      <c r="DD302" s="103"/>
      <c r="DE302" s="1010"/>
      <c r="DF302" s="1010"/>
      <c r="DH302" s="103"/>
      <c r="DI302" s="293"/>
      <c r="DJ302" s="293"/>
      <c r="DL302" s="293"/>
      <c r="DM302" s="293"/>
      <c r="DN302" s="293"/>
      <c r="DP302" s="293"/>
      <c r="DQ302" s="293"/>
      <c r="DR302" s="293"/>
      <c r="DW302" s="1197"/>
      <c r="DX302" s="293"/>
      <c r="DY302" s="293"/>
      <c r="EA302" s="293"/>
      <c r="EB302" s="293"/>
      <c r="EC302" s="293"/>
      <c r="EE302" s="293"/>
      <c r="EF302" s="293"/>
      <c r="EG302" s="293"/>
      <c r="EI302" s="293"/>
      <c r="EJ302" s="293"/>
      <c r="EK302" s="293"/>
    </row>
    <row r="303" spans="1:283" s="323" customFormat="1">
      <c r="A303" s="1079" t="str">
        <f>+A298</f>
        <v xml:space="preserve"> - brokerage and commissions (eg ECM, Futures, Advisory, Structured Products)</v>
      </c>
      <c r="AN303" s="648"/>
      <c r="AO303" s="648"/>
      <c r="AP303" s="115"/>
      <c r="AQ303" s="115"/>
      <c r="AR303" s="648"/>
      <c r="AS303" s="648"/>
      <c r="AT303" s="115"/>
      <c r="AU303" s="115"/>
      <c r="AV303" s="648"/>
      <c r="AW303" s="648"/>
      <c r="AX303" s="648"/>
      <c r="AY303" s="115"/>
      <c r="AZ303" s="648"/>
      <c r="BA303" s="648"/>
      <c r="BB303" s="648"/>
      <c r="BC303" s="115"/>
      <c r="BD303" s="648"/>
      <c r="BE303" s="648"/>
      <c r="BF303" s="648"/>
      <c r="BG303" s="115"/>
      <c r="BH303" s="648"/>
      <c r="BI303" s="648"/>
      <c r="BJ303" s="648"/>
      <c r="BK303" s="115"/>
      <c r="BL303" s="648">
        <f>+BL298/BH298-1</f>
        <v>0.24230769230769234</v>
      </c>
      <c r="BM303" s="648"/>
      <c r="BN303" s="648"/>
      <c r="BO303" s="115"/>
      <c r="BP303" s="648">
        <f t="shared" ref="BP303:BR304" si="802">+BP298/BL298-1</f>
        <v>-3.0959752321981449E-2</v>
      </c>
      <c r="BQ303" s="648">
        <f t="shared" si="802"/>
        <v>5.8282208588957163E-2</v>
      </c>
      <c r="BR303" s="648">
        <f t="shared" si="802"/>
        <v>1.3867488443759735E-2</v>
      </c>
      <c r="BS303" s="115"/>
      <c r="BT303" s="648">
        <f t="shared" ref="BT303:BV304" si="803">+BT298/BP298-1</f>
        <v>0.21405750798722045</v>
      </c>
      <c r="BU303" s="648">
        <f t="shared" si="803"/>
        <v>3.7681159420289934E-2</v>
      </c>
      <c r="BV303" s="648">
        <f t="shared" si="803"/>
        <v>0.12158054711246202</v>
      </c>
      <c r="BW303" s="115"/>
      <c r="BX303" s="648">
        <f t="shared" ref="BX303:BZ304" si="804">+BX298/BT298-1</f>
        <v>-6.5789473684210509E-2</v>
      </c>
      <c r="BY303" s="648">
        <f t="shared" si="804"/>
        <v>-2.5139664804469275E-2</v>
      </c>
      <c r="BZ303" s="648">
        <f t="shared" si="804"/>
        <v>-4.6070460704607075E-2</v>
      </c>
      <c r="CA303" s="115"/>
      <c r="CB303" s="648">
        <f t="shared" ref="CB303:CD304" si="805">+CB298/BX298-1</f>
        <v>-3.9436619718309807E-2</v>
      </c>
      <c r="CC303" s="648">
        <f t="shared" si="805"/>
        <v>-1.1461318051575908E-2</v>
      </c>
      <c r="CD303" s="648">
        <f t="shared" si="805"/>
        <v>-2.5568181818181768E-2</v>
      </c>
      <c r="CE303" s="115"/>
      <c r="CF303" s="648">
        <f t="shared" ref="CF303:CH304" si="806">+CF298/CB298-1</f>
        <v>0.26686217008797652</v>
      </c>
      <c r="CG303" s="648">
        <f t="shared" si="806"/>
        <v>0.23188405797101441</v>
      </c>
      <c r="CH303" s="648">
        <f t="shared" si="806"/>
        <v>0.24927113702623904</v>
      </c>
      <c r="CI303" s="115"/>
      <c r="CJ303" s="648">
        <f t="shared" ref="CJ303:CJ304" si="807">+CJ298/CF298-1</f>
        <v>-0.7407407407407407</v>
      </c>
      <c r="CK303" s="648">
        <f t="shared" ref="CK303:CK304" si="808">+CK298/CG298-1</f>
        <v>-0.67294117647058815</v>
      </c>
      <c r="CL303" s="648">
        <f t="shared" ref="CL303:CL304" si="809">+CL298/CH298-1</f>
        <v>-0.7071178529754959</v>
      </c>
      <c r="CM303" s="115"/>
      <c r="CN303" s="648">
        <f t="shared" ref="CN303:CN304" si="810">+CN298/CJ298-1</f>
        <v>0</v>
      </c>
      <c r="CO303" s="648">
        <f t="shared" ref="CO303:CO304" si="811">+CO298/CK298-1</f>
        <v>-0.30215827338129497</v>
      </c>
      <c r="CP303" s="648">
        <f t="shared" ref="CP303:CP304" si="812">+CP298/CL298-1</f>
        <v>-0.16733067729083662</v>
      </c>
      <c r="CQ303" s="115"/>
      <c r="CR303" s="648">
        <f t="shared" ref="CR303:CR304" si="813">+CR298/CN298-1</f>
        <v>0</v>
      </c>
      <c r="CS303" s="648">
        <f t="shared" ref="CS303:CT304" si="814">+CS298/CO298-1</f>
        <v>0.30927835051546393</v>
      </c>
      <c r="CT303" s="648">
        <f t="shared" si="814"/>
        <v>0.14354066985645941</v>
      </c>
      <c r="CU303" s="115"/>
      <c r="CV303" s="1416">
        <f t="shared" ref="CV303:CV304" si="815">+CV298/CR298-1</f>
        <v>0.1160714285714286</v>
      </c>
      <c r="CW303" s="1416">
        <f t="shared" ref="CW303:CW304" si="816">+CW298/CS298-1</f>
        <v>0</v>
      </c>
      <c r="CX303" s="1416">
        <f t="shared" ref="CX303:CX304" si="817">+CX298/CT298-1</f>
        <v>5.439330543933063E-2</v>
      </c>
      <c r="CY303" s="999"/>
      <c r="CZ303" s="1416">
        <f t="shared" ref="CZ303:CZ304" si="818">+CZ298/CV298-1</f>
        <v>8.0000000000000071E-2</v>
      </c>
      <c r="DA303" s="1416">
        <f t="shared" ref="DA303:DA304" si="819">+DA298/CW298-1</f>
        <v>0.27559055118110232</v>
      </c>
      <c r="DB303" s="1416">
        <f t="shared" ref="DB303:DB304" si="820">+DB298/CX298-1</f>
        <v>0.1785714285714286</v>
      </c>
      <c r="DC303" s="999"/>
      <c r="DD303" s="648">
        <f t="shared" ref="DD303:DD304" si="821">+DD298/CZ298-1</f>
        <v>0.14074074074074083</v>
      </c>
      <c r="DE303" s="1416">
        <f t="shared" ref="DE303:DE304" si="822">+DE298/DA298-1</f>
        <v>-5.555555555555558E-2</v>
      </c>
      <c r="DF303" s="1416">
        <f t="shared" ref="DF303:DF304" si="823">+DF298/DB298-1</f>
        <v>3.3670033670033739E-2</v>
      </c>
      <c r="DG303" s="115"/>
      <c r="DH303" s="648">
        <f t="shared" ref="DH303:DH304" si="824">+DH298/DD298-1</f>
        <v>0.14935064935064934</v>
      </c>
      <c r="DI303" s="2146">
        <v>0.02</v>
      </c>
      <c r="DJ303" s="648">
        <f t="shared" ref="DJ303:DJ304" si="825">+DJ298/DF298-1</f>
        <v>8.4885993485342093E-2</v>
      </c>
      <c r="DK303" s="115"/>
      <c r="DL303" s="2133">
        <v>-0.02</v>
      </c>
      <c r="DM303" s="2133">
        <v>-0.02</v>
      </c>
      <c r="DN303" s="648">
        <f t="shared" ref="DN303:DN304" si="826">+DN298/DJ298-1</f>
        <v>-2.0000000000000018E-2</v>
      </c>
      <c r="DO303" s="115"/>
      <c r="DP303" s="2133">
        <v>-0.02</v>
      </c>
      <c r="DQ303" s="2133">
        <v>-0.02</v>
      </c>
      <c r="DR303" s="648">
        <f t="shared" ref="DR303:DR304" si="827">+DR298/DN298-1</f>
        <v>-2.0000000000000018E-2</v>
      </c>
      <c r="DS303" s="115"/>
      <c r="DT303" s="115"/>
      <c r="DU303" s="115"/>
      <c r="DV303" s="115"/>
      <c r="DW303" s="1198" t="s">
        <v>174</v>
      </c>
      <c r="DX303" s="648"/>
      <c r="DY303" s="648"/>
      <c r="DZ303" s="115"/>
      <c r="EA303" s="648"/>
      <c r="EB303" s="648"/>
      <c r="EC303" s="648"/>
      <c r="ED303" s="115"/>
      <c r="EE303" s="648"/>
      <c r="EF303" s="648"/>
      <c r="EG303" s="648"/>
      <c r="EH303" s="115"/>
      <c r="EI303" s="648"/>
      <c r="EJ303" s="648"/>
      <c r="EK303" s="648"/>
      <c r="EL303" s="115"/>
      <c r="EM303" s="115"/>
      <c r="EN303" s="115"/>
      <c r="EO303" s="115"/>
      <c r="EP303" s="115"/>
      <c r="EQ303" s="115"/>
      <c r="ER303" s="115"/>
      <c r="ES303" s="115"/>
      <c r="ET303" s="115"/>
      <c r="EU303" s="115"/>
      <c r="JW303"/>
    </row>
    <row r="304" spans="1:283" s="323" customFormat="1">
      <c r="A304" s="1079" t="str">
        <f>+A299</f>
        <v xml:space="preserve"> - other fee and commission income</v>
      </c>
      <c r="AN304" s="648"/>
      <c r="AO304" s="648"/>
      <c r="AP304" s="115"/>
      <c r="AQ304" s="115"/>
      <c r="AR304" s="648"/>
      <c r="AS304" s="648"/>
      <c r="AT304" s="115"/>
      <c r="AU304" s="115"/>
      <c r="AV304" s="648"/>
      <c r="AW304" s="648"/>
      <c r="AX304" s="648"/>
      <c r="AY304" s="115"/>
      <c r="AZ304" s="648"/>
      <c r="BA304" s="648"/>
      <c r="BB304" s="648"/>
      <c r="BC304" s="115"/>
      <c r="BD304" s="648"/>
      <c r="BE304" s="648"/>
      <c r="BF304" s="648"/>
      <c r="BG304" s="115"/>
      <c r="BH304" s="648"/>
      <c r="BI304" s="648"/>
      <c r="BJ304" s="648"/>
      <c r="BK304" s="115"/>
      <c r="BL304" s="648">
        <f>+BL299/BH299-1</f>
        <v>0.17741935483870974</v>
      </c>
      <c r="BM304" s="648"/>
      <c r="BN304" s="648"/>
      <c r="BO304" s="115"/>
      <c r="BP304" s="648">
        <f t="shared" si="802"/>
        <v>0.41095890410958913</v>
      </c>
      <c r="BQ304" s="648">
        <f t="shared" si="802"/>
        <v>3.2328767123287667</v>
      </c>
      <c r="BR304" s="648">
        <f t="shared" si="802"/>
        <v>1.8219178082191783</v>
      </c>
      <c r="BS304" s="115"/>
      <c r="BT304" s="648">
        <f t="shared" si="803"/>
        <v>2.9126213592232997E-2</v>
      </c>
      <c r="BU304" s="648">
        <f t="shared" si="803"/>
        <v>-0.74757281553398058</v>
      </c>
      <c r="BV304" s="648">
        <f t="shared" si="803"/>
        <v>-0.55339805825242716</v>
      </c>
      <c r="BW304" s="115"/>
      <c r="BX304" s="648">
        <f t="shared" si="804"/>
        <v>-0.13207547169811318</v>
      </c>
      <c r="BY304" s="648">
        <f t="shared" si="804"/>
        <v>-0.21794871794871795</v>
      </c>
      <c r="BZ304" s="648">
        <f t="shared" si="804"/>
        <v>-0.16847826086956519</v>
      </c>
      <c r="CA304" s="115"/>
      <c r="CB304" s="648">
        <f t="shared" si="805"/>
        <v>3.2608695652173836E-2</v>
      </c>
      <c r="CC304" s="648">
        <f t="shared" si="805"/>
        <v>0.83606557377049184</v>
      </c>
      <c r="CD304" s="648">
        <f t="shared" si="805"/>
        <v>0.35294117647058831</v>
      </c>
      <c r="CE304" s="115"/>
      <c r="CF304" s="648">
        <f t="shared" si="806"/>
        <v>0.3052631578947369</v>
      </c>
      <c r="CG304" s="648">
        <f t="shared" si="806"/>
        <v>0.51785714285714279</v>
      </c>
      <c r="CH304" s="648">
        <f t="shared" si="806"/>
        <v>0.42028985507246386</v>
      </c>
      <c r="CI304" s="115"/>
      <c r="CJ304" s="648">
        <f t="shared" si="807"/>
        <v>-8.8709677419354871E-2</v>
      </c>
      <c r="CK304" s="648">
        <f t="shared" si="808"/>
        <v>-0.23529411764705888</v>
      </c>
      <c r="CL304" s="648">
        <f t="shared" si="809"/>
        <v>-0.17346938775510201</v>
      </c>
      <c r="CM304" s="115"/>
      <c r="CN304" s="648">
        <f t="shared" si="810"/>
        <v>0.13274336283185839</v>
      </c>
      <c r="CO304" s="648">
        <f t="shared" si="811"/>
        <v>-0.37692307692307692</v>
      </c>
      <c r="CP304" s="648">
        <f t="shared" si="812"/>
        <v>-0.13991769547325106</v>
      </c>
      <c r="CQ304" s="115"/>
      <c r="CR304" s="648">
        <f t="shared" si="813"/>
        <v>-0.4921875</v>
      </c>
      <c r="CS304" s="648">
        <f t="shared" si="814"/>
        <v>0.2592592592592593</v>
      </c>
      <c r="CT304" s="648">
        <f t="shared" si="814"/>
        <v>-0.20095693779904311</v>
      </c>
      <c r="CU304" s="115"/>
      <c r="CV304" s="1416">
        <f t="shared" si="815"/>
        <v>-0.61538461538461542</v>
      </c>
      <c r="CW304" s="1416">
        <f t="shared" si="816"/>
        <v>0.57843137254901955</v>
      </c>
      <c r="CX304" s="1416">
        <f t="shared" si="817"/>
        <v>0.11377245508982026</v>
      </c>
      <c r="CY304" s="999"/>
      <c r="CZ304" s="1416">
        <f t="shared" si="818"/>
        <v>2.88</v>
      </c>
      <c r="DA304" s="1416">
        <f t="shared" si="819"/>
        <v>-0.43478260869565222</v>
      </c>
      <c r="DB304" s="1416">
        <f t="shared" si="820"/>
        <v>1.0752688172043001E-2</v>
      </c>
      <c r="DC304" s="999"/>
      <c r="DD304" s="648">
        <f t="shared" si="821"/>
        <v>-0.10309278350515461</v>
      </c>
      <c r="DE304" s="1416">
        <f t="shared" si="822"/>
        <v>-0.59340659340659341</v>
      </c>
      <c r="DF304" s="1416">
        <f t="shared" si="823"/>
        <v>-0.34042553191489366</v>
      </c>
      <c r="DG304" s="115"/>
      <c r="DH304" s="648">
        <f t="shared" si="824"/>
        <v>6.8965517241379226E-2</v>
      </c>
      <c r="DI304" s="648">
        <f t="shared" ref="DI304" si="828">+DI299/DE299-1</f>
        <v>1.614054054054054</v>
      </c>
      <c r="DJ304" s="648">
        <f t="shared" si="825"/>
        <v>0.53</v>
      </c>
      <c r="DK304" s="115"/>
      <c r="DL304" s="648">
        <f t="shared" ref="DL304" si="829">+DL299/DH299-1</f>
        <v>1.9200000000000106E-2</v>
      </c>
      <c r="DM304" s="648">
        <f t="shared" ref="DM304" si="830">+DM299/DI299-1</f>
        <v>1.9200000000000106E-2</v>
      </c>
      <c r="DN304" s="648">
        <f t="shared" si="826"/>
        <v>1.9200000000000106E-2</v>
      </c>
      <c r="DO304" s="115"/>
      <c r="DP304" s="648">
        <f t="shared" ref="DP304" si="831">+DP299/DL299-1</f>
        <v>1.9200000000000106E-2</v>
      </c>
      <c r="DQ304" s="648">
        <f t="shared" ref="DQ304" si="832">+DQ299/DM299-1</f>
        <v>1.9200000000000106E-2</v>
      </c>
      <c r="DR304" s="648">
        <f t="shared" si="827"/>
        <v>1.9199999999999884E-2</v>
      </c>
      <c r="DS304" s="115"/>
      <c r="DT304" s="115"/>
      <c r="DU304" s="115"/>
      <c r="DV304" s="115"/>
      <c r="DW304" s="1198" t="s">
        <v>174</v>
      </c>
      <c r="DX304" s="648"/>
      <c r="DY304" s="648"/>
      <c r="DZ304" s="115"/>
      <c r="EA304" s="648"/>
      <c r="EB304" s="648"/>
      <c r="EC304" s="648"/>
      <c r="ED304" s="115"/>
      <c r="EE304" s="648"/>
      <c r="EF304" s="648"/>
      <c r="EG304" s="648"/>
      <c r="EH304" s="115"/>
      <c r="EI304" s="648"/>
      <c r="EJ304" s="648"/>
      <c r="EK304" s="648"/>
      <c r="EL304" s="115"/>
      <c r="EM304" s="115"/>
      <c r="EN304" s="115"/>
      <c r="EO304" s="115"/>
      <c r="EP304" s="115"/>
      <c r="EQ304" s="115"/>
      <c r="ER304" s="115"/>
      <c r="ES304" s="115"/>
      <c r="ET304" s="115"/>
      <c r="EU304" s="115"/>
      <c r="JW304"/>
    </row>
    <row r="305" spans="1:283" s="328" customFormat="1">
      <c r="A305" s="1092" t="str">
        <f>+A301</f>
        <v xml:space="preserve"> - total</v>
      </c>
      <c r="AN305" s="650"/>
      <c r="AO305" s="650"/>
      <c r="AP305" s="581"/>
      <c r="AQ305" s="581"/>
      <c r="AR305" s="650"/>
      <c r="AS305" s="650"/>
      <c r="AT305" s="581"/>
      <c r="AU305" s="581"/>
      <c r="AV305" s="650"/>
      <c r="AW305" s="650"/>
      <c r="AX305" s="650"/>
      <c r="AY305" s="581"/>
      <c r="AZ305" s="650"/>
      <c r="BA305" s="650"/>
      <c r="BB305" s="650"/>
      <c r="BC305" s="581"/>
      <c r="BD305" s="650"/>
      <c r="BE305" s="650"/>
      <c r="BF305" s="650"/>
      <c r="BG305" s="581"/>
      <c r="BH305" s="650"/>
      <c r="BI305" s="650"/>
      <c r="BJ305" s="650"/>
      <c r="BK305" s="581"/>
      <c r="BL305" s="650">
        <f>+BL301/BH301-1</f>
        <v>0.22981366459627339</v>
      </c>
      <c r="BM305" s="650"/>
      <c r="BN305" s="650"/>
      <c r="BO305" s="581"/>
      <c r="BP305" s="650">
        <f t="shared" ref="BP305:BT305" si="833">+BP301/BL301-1</f>
        <v>5.0505050505050608E-2</v>
      </c>
      <c r="BQ305" s="650">
        <f t="shared" si="833"/>
        <v>0.63909774436090228</v>
      </c>
      <c r="BR305" s="650">
        <f t="shared" si="833"/>
        <v>0.34591194968553451</v>
      </c>
      <c r="BS305" s="581"/>
      <c r="BT305" s="650">
        <f t="shared" si="833"/>
        <v>0.16826923076923084</v>
      </c>
      <c r="BU305" s="650">
        <f t="shared" ref="BU305:BV305" si="834">+BU301/BQ301-1</f>
        <v>-0.33333333333333337</v>
      </c>
      <c r="BV305" s="650">
        <f t="shared" si="834"/>
        <v>-0.13831775700934579</v>
      </c>
      <c r="BW305" s="581"/>
      <c r="BX305" s="650">
        <f t="shared" ref="BX305:CB305" si="835">+BX301/BT301-1</f>
        <v>-8.0246913580246937E-2</v>
      </c>
      <c r="BY305" s="650">
        <f t="shared" si="835"/>
        <v>-5.9633027522935755E-2</v>
      </c>
      <c r="BZ305" s="650">
        <f t="shared" si="835"/>
        <v>-7.0498915401301487E-2</v>
      </c>
      <c r="CA305" s="581"/>
      <c r="CB305" s="650">
        <f t="shared" si="835"/>
        <v>-2.4608501118568271E-2</v>
      </c>
      <c r="CC305" s="650">
        <f t="shared" ref="CC305" si="836">+CC301/BY301-1</f>
        <v>0.11463414634146352</v>
      </c>
      <c r="CD305" s="650">
        <f t="shared" ref="CD305" si="837">+CD301/BZ301-1</f>
        <v>4.200700116686118E-2</v>
      </c>
      <c r="CE305" s="581"/>
      <c r="CF305" s="650">
        <f t="shared" ref="CF305" si="838">+CF301/CB301-1</f>
        <v>0.40137614678899092</v>
      </c>
      <c r="CG305" s="650">
        <f t="shared" ref="CG305" si="839">+CG301/CC301-1</f>
        <v>0.33698030634573306</v>
      </c>
      <c r="CH305" s="650">
        <f t="shared" ref="CH305" si="840">+CH301/CD301-1</f>
        <v>0.36842105263157898</v>
      </c>
      <c r="CI305" s="581"/>
      <c r="CJ305" s="650">
        <f t="shared" ref="CJ305" si="841">+CJ301/CF301-1</f>
        <v>-0.53682487725040917</v>
      </c>
      <c r="CK305" s="650">
        <f t="shared" ref="CK305" si="842">+CK301/CG301-1</f>
        <v>-0.43207855973813425</v>
      </c>
      <c r="CL305" s="650">
        <f t="shared" ref="CL305" si="843">+CL301/CH301-1</f>
        <v>-0.48445171849427171</v>
      </c>
      <c r="CM305" s="581"/>
      <c r="CN305" s="650">
        <f t="shared" ref="CN305" si="844">+CN301/CJ301-1</f>
        <v>-9.1872791519434616E-2</v>
      </c>
      <c r="CO305" s="650">
        <f t="shared" ref="CO305" si="845">+CO301/CK301-1</f>
        <v>-0.34293948126801155</v>
      </c>
      <c r="CP305" s="650">
        <f t="shared" ref="CP305" si="846">+CP301/CL301-1</f>
        <v>-0.23015873015873012</v>
      </c>
      <c r="CQ305" s="581"/>
      <c r="CR305" s="650">
        <f t="shared" ref="CR305" si="847">+CR301/CN301-1</f>
        <v>-0.11284046692607008</v>
      </c>
      <c r="CS305" s="650">
        <f t="shared" ref="CS305" si="848">+CS301/CO301-1</f>
        <v>0.22368421052631571</v>
      </c>
      <c r="CT305" s="650">
        <f t="shared" ref="CT305" si="849">+CT301/CP301-1</f>
        <v>4.5360824742268102E-2</v>
      </c>
      <c r="CU305" s="581"/>
      <c r="CV305" s="1435">
        <f t="shared" ref="CV305" si="850">+CV301/CR301-1</f>
        <v>-0.11842105263157898</v>
      </c>
      <c r="CW305" s="1435">
        <f t="shared" ref="CW305" si="851">+CW301/CS301-1</f>
        <v>0.21146953405017932</v>
      </c>
      <c r="CX305" s="1435">
        <f t="shared" ref="CX305" si="852">+CX301/CT301-1</f>
        <v>6.3116370808678601E-2</v>
      </c>
      <c r="CY305" s="1430"/>
      <c r="CZ305" s="1435">
        <f t="shared" ref="CZ305" si="853">+CZ301/CV301-1</f>
        <v>0.40796019900497504</v>
      </c>
      <c r="DA305" s="1435">
        <f t="shared" ref="DA305" si="854">+DA301/CW301-1</f>
        <v>-0.10355029585798814</v>
      </c>
      <c r="DB305" s="1435">
        <f t="shared" ref="DB305" si="855">+DB301/CX301-1</f>
        <v>8.7198515769944418E-2</v>
      </c>
      <c r="DC305" s="1430"/>
      <c r="DD305" s="650">
        <f t="shared" ref="DD305" si="856">+DD301/CZ301-1</f>
        <v>2.1201413427561766E-2</v>
      </c>
      <c r="DE305" s="1435">
        <f t="shared" ref="DE305" si="857">+DE301/DA301-1</f>
        <v>-0.20792079207920788</v>
      </c>
      <c r="DF305" s="1435">
        <f t="shared" ref="DF305" si="858">+DF301/DB301-1</f>
        <v>-9.7269624573378843E-2</v>
      </c>
      <c r="DG305" s="581"/>
      <c r="DH305" s="650">
        <f t="shared" ref="DH305" si="859">+DH301/DD301-1</f>
        <v>0.10034602076124566</v>
      </c>
      <c r="DI305" s="650">
        <f t="shared" ref="DI305" si="860">+DI301/DE301-1</f>
        <v>0.26783333333333315</v>
      </c>
      <c r="DJ305" s="650">
        <f t="shared" ref="DJ305" si="861">+DJ301/DF301-1</f>
        <v>0.17633270321361061</v>
      </c>
      <c r="DK305" s="581"/>
      <c r="DL305" s="650">
        <f t="shared" ref="DL305" si="862">+DL301/DH301-1</f>
        <v>-9.8867924528289741E-4</v>
      </c>
      <c r="DM305" s="650">
        <f t="shared" ref="DM305" si="863">+DM301/DI301-1</f>
        <v>9.2291310634950996E-4</v>
      </c>
      <c r="DN305" s="650">
        <f t="shared" ref="DN305" si="864">+DN301/DJ301-1</f>
        <v>-5.3956418332501421E-5</v>
      </c>
      <c r="DO305" s="581"/>
      <c r="DP305" s="650">
        <f t="shared" ref="DP305" si="865">+DP301/DL301-1</f>
        <v>-5.22895844193072E-4</v>
      </c>
      <c r="DQ305" s="650">
        <f t="shared" ref="DQ305" si="866">+DQ301/DM301-1</f>
        <v>1.3962822112667528E-3</v>
      </c>
      <c r="DR305" s="650">
        <f t="shared" ref="DR305" si="867">+DR301/DN301-1</f>
        <v>4.1645298519221718E-4</v>
      </c>
      <c r="DS305" s="581"/>
      <c r="DT305" s="581"/>
      <c r="DU305" s="581"/>
      <c r="DV305" s="581"/>
      <c r="DW305" s="650"/>
      <c r="DX305" s="650"/>
      <c r="DY305" s="650"/>
      <c r="DZ305" s="581"/>
      <c r="EA305" s="650"/>
      <c r="EB305" s="650"/>
      <c r="EC305" s="650"/>
      <c r="ED305" s="581"/>
      <c r="EE305" s="650"/>
      <c r="EF305" s="650"/>
      <c r="EG305" s="650"/>
      <c r="EH305" s="581"/>
      <c r="EI305" s="650"/>
      <c r="EJ305" s="650"/>
      <c r="EK305" s="650"/>
      <c r="EL305" s="581"/>
      <c r="EM305" s="581"/>
      <c r="EN305" s="581"/>
      <c r="EO305" s="581"/>
      <c r="EP305" s="581"/>
      <c r="EQ305" s="581"/>
      <c r="ER305" s="581"/>
      <c r="ES305" s="581"/>
      <c r="ET305" s="581"/>
      <c r="EU305" s="581"/>
      <c r="JW305"/>
    </row>
    <row r="306" spans="1:283">
      <c r="CR306" s="103"/>
      <c r="CS306" s="103"/>
      <c r="CT306" s="103"/>
      <c r="CV306" s="1009"/>
      <c r="CW306" s="1009"/>
      <c r="CX306" s="1009"/>
      <c r="CY306" s="1009"/>
      <c r="CZ306" s="1009"/>
      <c r="DA306" s="1009"/>
      <c r="DB306" s="103"/>
      <c r="DD306" s="103"/>
      <c r="DE306" s="103"/>
      <c r="DF306" s="103"/>
      <c r="DH306" s="103"/>
      <c r="DI306" s="103"/>
      <c r="DJ306" s="103"/>
      <c r="DL306" s="103"/>
      <c r="DM306" s="103"/>
      <c r="DN306" s="103"/>
      <c r="DP306" s="103"/>
      <c r="DQ306" s="103"/>
      <c r="DR306" s="103"/>
    </row>
    <row r="307" spans="1:283" s="289" customFormat="1">
      <c r="A307" s="815" t="s">
        <v>621</v>
      </c>
      <c r="AN307" s="290"/>
      <c r="AO307" s="290"/>
      <c r="AP307" s="290"/>
      <c r="AQ307" s="290"/>
      <c r="AR307" s="290"/>
      <c r="AS307" s="290"/>
      <c r="AT307" s="290"/>
      <c r="AU307" s="290"/>
      <c r="AV307" s="290"/>
      <c r="AW307" s="290"/>
      <c r="AX307" s="290"/>
      <c r="AY307" s="290"/>
      <c r="AZ307" s="290"/>
      <c r="BA307" s="290"/>
      <c r="BB307" s="290"/>
      <c r="BC307" s="290"/>
      <c r="BD307" s="290"/>
      <c r="BE307" s="290"/>
      <c r="BF307" s="290"/>
      <c r="BG307" s="290"/>
      <c r="BH307" s="290"/>
      <c r="BI307" s="290"/>
      <c r="BJ307" s="290"/>
      <c r="BK307" s="290"/>
      <c r="BL307" s="290"/>
      <c r="BM307" s="290"/>
      <c r="BN307" s="290"/>
      <c r="BO307" s="290"/>
      <c r="BP307" s="290"/>
      <c r="BQ307" s="290"/>
      <c r="BR307" s="290"/>
      <c r="BS307" s="290"/>
      <c r="BT307" s="290"/>
      <c r="BU307" s="290"/>
      <c r="BV307" s="290"/>
      <c r="BW307" s="290"/>
      <c r="BX307" s="290"/>
      <c r="BY307" s="290"/>
      <c r="BZ307" s="290"/>
      <c r="CA307" s="290"/>
      <c r="CB307" s="290"/>
      <c r="CC307" s="290"/>
      <c r="CD307" s="290"/>
      <c r="CE307" s="290"/>
      <c r="CF307" s="290"/>
      <c r="CG307" s="290"/>
      <c r="CH307" s="290"/>
      <c r="CI307" s="290"/>
      <c r="CJ307" s="290"/>
      <c r="CK307" s="290"/>
      <c r="CL307" s="290"/>
      <c r="CM307" s="290"/>
      <c r="CN307" s="290"/>
      <c r="CO307" s="290"/>
      <c r="CP307" s="290"/>
      <c r="CQ307" s="290"/>
      <c r="CR307" s="290"/>
      <c r="CS307" s="290"/>
      <c r="CT307" s="290"/>
      <c r="CU307" s="290"/>
      <c r="CV307" s="1424"/>
      <c r="CW307" s="1424"/>
      <c r="CX307" s="1424"/>
      <c r="CY307" s="1424"/>
      <c r="CZ307" s="1424"/>
      <c r="DA307" s="1424"/>
      <c r="DB307" s="290"/>
      <c r="DC307" s="290"/>
      <c r="DD307" s="290"/>
      <c r="DE307" s="290"/>
      <c r="DF307" s="290"/>
      <c r="DG307" s="290"/>
      <c r="DH307" s="290"/>
      <c r="DI307" s="290"/>
      <c r="DJ307" s="290"/>
      <c r="DK307" s="290"/>
      <c r="DL307" s="290"/>
      <c r="DM307" s="290"/>
      <c r="DN307" s="290"/>
      <c r="DO307" s="290"/>
      <c r="DP307" s="290"/>
      <c r="DQ307" s="290"/>
      <c r="DR307" s="290"/>
      <c r="DS307" s="290"/>
      <c r="DT307" s="290"/>
      <c r="DU307" s="290"/>
      <c r="DV307" s="290"/>
      <c r="DW307" s="290"/>
      <c r="DX307" s="290"/>
      <c r="DY307" s="290"/>
      <c r="DZ307" s="290"/>
      <c r="EA307" s="290"/>
      <c r="EB307" s="290"/>
      <c r="EC307" s="290"/>
      <c r="ED307" s="290"/>
      <c r="EE307" s="290"/>
      <c r="EF307" s="290"/>
      <c r="EG307" s="290"/>
      <c r="EH307" s="290"/>
      <c r="EI307" s="290"/>
      <c r="EJ307" s="290"/>
      <c r="EK307" s="290"/>
      <c r="EL307" s="290"/>
      <c r="EM307" s="290"/>
      <c r="EN307" s="290"/>
      <c r="EO307" s="290"/>
      <c r="EP307" s="290"/>
      <c r="EQ307" s="290"/>
      <c r="ER307" s="290"/>
      <c r="ES307" s="290"/>
      <c r="ET307" s="290"/>
      <c r="EU307" s="290"/>
      <c r="JW307"/>
    </row>
    <row r="308" spans="1:283">
      <c r="A308" s="102" t="s">
        <v>657</v>
      </c>
      <c r="AN308" s="626"/>
      <c r="AO308" s="626"/>
      <c r="AP308" s="1219"/>
      <c r="AR308" s="626"/>
      <c r="AS308" s="626"/>
      <c r="AT308" s="1219">
        <v>10</v>
      </c>
      <c r="AV308" s="626">
        <f t="shared" ref="AV308:AW321" si="868">AV855+AV932</f>
        <v>26</v>
      </c>
      <c r="AW308" s="626">
        <f t="shared" si="868"/>
        <v>38</v>
      </c>
      <c r="AX308" s="293">
        <f t="shared" ref="AX308:AX321" si="869">AV308+AW308</f>
        <v>64</v>
      </c>
      <c r="AZ308" s="626">
        <f t="shared" ref="AZ308:BA321" si="870">AZ855+AZ932</f>
        <v>52</v>
      </c>
      <c r="BA308" s="626">
        <f t="shared" si="870"/>
        <v>87</v>
      </c>
      <c r="BB308" s="293">
        <f t="shared" ref="BB308:BB321" si="871">AZ308+BA308</f>
        <v>139</v>
      </c>
      <c r="BD308" s="626">
        <f t="shared" ref="BD308:BE321" si="872">BD855+BD932</f>
        <v>32</v>
      </c>
      <c r="BE308" s="626">
        <f t="shared" si="872"/>
        <v>113</v>
      </c>
      <c r="BF308" s="293">
        <f t="shared" ref="BF308:BF321" si="873">BD308+BE308</f>
        <v>145</v>
      </c>
      <c r="BH308" s="626">
        <f t="shared" ref="BH308:BI321" si="874">BH855+BH932</f>
        <v>49</v>
      </c>
      <c r="BI308" s="626">
        <f t="shared" si="874"/>
        <v>65</v>
      </c>
      <c r="BJ308" s="293">
        <f t="shared" ref="BJ308:BJ321" si="875">BH308+BI308</f>
        <v>114</v>
      </c>
      <c r="BK308" s="487"/>
      <c r="BL308" s="626">
        <f t="shared" ref="BL308:BM321" si="876">BL855+BL932</f>
        <v>18</v>
      </c>
      <c r="BM308" s="626">
        <f t="shared" si="876"/>
        <v>27</v>
      </c>
      <c r="BN308" s="293">
        <f t="shared" ref="BN308:BN321" si="877">BL308+BM308</f>
        <v>45</v>
      </c>
      <c r="BO308" s="487"/>
      <c r="BP308" s="626">
        <f t="shared" ref="BP308:BQ321" si="878">BP855+BP932</f>
        <v>23</v>
      </c>
      <c r="BQ308" s="626">
        <f t="shared" si="878"/>
        <v>9</v>
      </c>
      <c r="BR308" s="293">
        <f t="shared" ref="BR308:BR321" si="879">BP308+BQ308</f>
        <v>32</v>
      </c>
      <c r="BS308" s="487"/>
      <c r="BT308" s="626">
        <f t="shared" ref="BT308:BU321" si="880">BT855+BT932</f>
        <v>30</v>
      </c>
      <c r="BU308" s="626">
        <f t="shared" si="880"/>
        <v>1</v>
      </c>
      <c r="BV308" s="293">
        <f t="shared" ref="BV308:BV321" si="881">BT308+BU308</f>
        <v>31</v>
      </c>
      <c r="BX308" s="626">
        <v>141</v>
      </c>
      <c r="BY308" s="626">
        <v>17</v>
      </c>
      <c r="BZ308" s="293">
        <f t="shared" ref="BZ308:BZ321" si="882">BX308+BY308</f>
        <v>158</v>
      </c>
      <c r="CA308" s="671">
        <f>+BZ308/BV308-1</f>
        <v>4.096774193548387</v>
      </c>
      <c r="CB308" s="626">
        <v>12</v>
      </c>
      <c r="CC308" s="626">
        <v>75</v>
      </c>
      <c r="CD308" s="293">
        <f t="shared" ref="CD308:CD321" si="883">CB308+CC308</f>
        <v>87</v>
      </c>
      <c r="CE308" s="671">
        <f>+CD308/BZ308-1</f>
        <v>-0.44936708860759489</v>
      </c>
      <c r="CF308" s="626">
        <v>14</v>
      </c>
      <c r="CG308" s="626">
        <v>59</v>
      </c>
      <c r="CH308" s="293">
        <f t="shared" ref="CH308:CH321" si="884">CF308+CG308</f>
        <v>73</v>
      </c>
      <c r="CI308" s="671">
        <f>+CH308/CD308-1</f>
        <v>-0.16091954022988508</v>
      </c>
      <c r="CJ308" s="626">
        <f>4-4</f>
        <v>0</v>
      </c>
      <c r="CK308" s="626">
        <f>8-2</f>
        <v>6</v>
      </c>
      <c r="CL308" s="293">
        <f t="shared" ref="CL308:CL321" si="885">CJ308+CK308</f>
        <v>6</v>
      </c>
      <c r="CN308" s="1388">
        <v>53</v>
      </c>
      <c r="CO308" s="1388">
        <v>28</v>
      </c>
      <c r="CP308" s="1010">
        <f t="shared" ref="CP308:CP321" si="886">CN308+CO308</f>
        <v>81</v>
      </c>
      <c r="CQ308" s="1009"/>
      <c r="CR308" s="1388">
        <v>473</v>
      </c>
      <c r="CS308" s="1497">
        <v>47</v>
      </c>
      <c r="CT308" s="293">
        <f t="shared" ref="CT308:CT321" si="887">CR308+CS308</f>
        <v>520</v>
      </c>
      <c r="CV308" s="1388">
        <v>-25</v>
      </c>
      <c r="CW308" s="1488">
        <v>74</v>
      </c>
      <c r="CX308" s="1010">
        <f t="shared" ref="CX308:CX321" si="888">CV308+CW308</f>
        <v>49</v>
      </c>
      <c r="CY308" s="1009"/>
      <c r="CZ308" s="1863">
        <v>38</v>
      </c>
      <c r="DA308" s="1488">
        <v>-36</v>
      </c>
      <c r="DB308" s="1010">
        <f t="shared" ref="DB308:DB321" si="889">CZ308+DA308</f>
        <v>2</v>
      </c>
      <c r="DC308" s="1009"/>
      <c r="DD308" s="2107">
        <v>42</v>
      </c>
      <c r="DE308" s="2176">
        <v>48</v>
      </c>
      <c r="DF308" s="1010">
        <f t="shared" ref="DF308:DF321" si="890">DD308+DE308</f>
        <v>90</v>
      </c>
      <c r="DG308" s="1009"/>
      <c r="DH308" s="2253">
        <v>27</v>
      </c>
      <c r="DI308" s="851">
        <f>'P&amp;L'!DI497</f>
        <v>49.92</v>
      </c>
      <c r="DJ308" s="293">
        <f t="shared" ref="DJ308:DJ321" si="891">DH308+DI308</f>
        <v>76.92</v>
      </c>
      <c r="DL308" s="851">
        <f>'P&amp;L'!DL497</f>
        <v>28.080000000000002</v>
      </c>
      <c r="DM308" s="851">
        <f>'P&amp;L'!DM497</f>
        <v>51.916800000000002</v>
      </c>
      <c r="DN308" s="293">
        <f t="shared" ref="DN308:DN321" si="892">DL308+DM308</f>
        <v>79.996800000000007</v>
      </c>
      <c r="DP308" s="851">
        <f>'P&amp;L'!DP497</f>
        <v>29.203200000000002</v>
      </c>
      <c r="DQ308" s="851">
        <f>'P&amp;L'!DQ497</f>
        <v>53.993472000000004</v>
      </c>
      <c r="DR308" s="293">
        <f t="shared" ref="DR308:DR321" si="893">DP308+DQ308</f>
        <v>83.196672000000007</v>
      </c>
      <c r="DW308" s="1198" t="s">
        <v>174</v>
      </c>
      <c r="DX308" s="818"/>
      <c r="DY308" s="818"/>
      <c r="EA308" s="818"/>
      <c r="EB308" s="818"/>
      <c r="EC308" s="293"/>
      <c r="EE308" s="818"/>
      <c r="EF308" s="818"/>
      <c r="EG308" s="293"/>
      <c r="EI308" s="818"/>
      <c r="EJ308" s="818"/>
      <c r="EK308" s="293"/>
    </row>
    <row r="309" spans="1:283">
      <c r="A309" s="102" t="s">
        <v>674</v>
      </c>
      <c r="AN309" s="626"/>
      <c r="AO309" s="626"/>
      <c r="AP309" s="1219"/>
      <c r="AR309" s="626"/>
      <c r="AS309" s="626"/>
      <c r="AT309" s="1219">
        <v>0</v>
      </c>
      <c r="AV309" s="626">
        <f t="shared" si="868"/>
        <v>0</v>
      </c>
      <c r="AW309" s="626">
        <f t="shared" si="868"/>
        <v>0</v>
      </c>
      <c r="AX309" s="293">
        <f t="shared" si="869"/>
        <v>0</v>
      </c>
      <c r="AZ309" s="626">
        <f t="shared" si="870"/>
        <v>0</v>
      </c>
      <c r="BA309" s="626">
        <f t="shared" si="870"/>
        <v>0</v>
      </c>
      <c r="BB309" s="293">
        <f t="shared" si="871"/>
        <v>0</v>
      </c>
      <c r="BD309" s="626">
        <f t="shared" si="872"/>
        <v>0</v>
      </c>
      <c r="BE309" s="626">
        <f t="shared" si="872"/>
        <v>0</v>
      </c>
      <c r="BF309" s="293">
        <f t="shared" si="873"/>
        <v>0</v>
      </c>
      <c r="BH309" s="626">
        <f t="shared" si="874"/>
        <v>0</v>
      </c>
      <c r="BI309" s="626">
        <f t="shared" si="874"/>
        <v>0</v>
      </c>
      <c r="BJ309" s="293">
        <f t="shared" si="875"/>
        <v>0</v>
      </c>
      <c r="BK309" s="487"/>
      <c r="BL309" s="626">
        <f t="shared" si="876"/>
        <v>0</v>
      </c>
      <c r="BM309" s="626">
        <f t="shared" si="876"/>
        <v>0</v>
      </c>
      <c r="BN309" s="293">
        <f t="shared" si="877"/>
        <v>0</v>
      </c>
      <c r="BO309" s="487"/>
      <c r="BP309" s="626">
        <f t="shared" si="878"/>
        <v>0</v>
      </c>
      <c r="BQ309" s="626">
        <f t="shared" si="878"/>
        <v>0</v>
      </c>
      <c r="BR309" s="293">
        <f t="shared" si="879"/>
        <v>0</v>
      </c>
      <c r="BS309" s="487"/>
      <c r="BT309" s="626">
        <f t="shared" si="880"/>
        <v>0</v>
      </c>
      <c r="BU309" s="626">
        <f t="shared" si="880"/>
        <v>0</v>
      </c>
      <c r="BV309" s="293">
        <f t="shared" si="881"/>
        <v>0</v>
      </c>
      <c r="BX309" s="626">
        <v>0</v>
      </c>
      <c r="BY309" s="626">
        <v>0</v>
      </c>
      <c r="BZ309" s="293">
        <f t="shared" si="882"/>
        <v>0</v>
      </c>
      <c r="CB309" s="626">
        <v>0</v>
      </c>
      <c r="CC309" s="626">
        <v>0</v>
      </c>
      <c r="CD309" s="293">
        <f t="shared" si="883"/>
        <v>0</v>
      </c>
      <c r="CF309" s="626">
        <v>0</v>
      </c>
      <c r="CG309" s="626">
        <v>0</v>
      </c>
      <c r="CH309" s="293">
        <f t="shared" si="884"/>
        <v>0</v>
      </c>
      <c r="CJ309" s="626">
        <v>0</v>
      </c>
      <c r="CK309" s="626">
        <v>0</v>
      </c>
      <c r="CL309" s="293">
        <f t="shared" si="885"/>
        <v>0</v>
      </c>
      <c r="CN309" s="1388">
        <v>0</v>
      </c>
      <c r="CO309" s="1388">
        <v>0</v>
      </c>
      <c r="CP309" s="1010">
        <f t="shared" si="886"/>
        <v>0</v>
      </c>
      <c r="CQ309" s="1009"/>
      <c r="CR309" s="1388">
        <v>0</v>
      </c>
      <c r="CS309" s="1497">
        <v>0</v>
      </c>
      <c r="CT309" s="293">
        <f t="shared" si="887"/>
        <v>0</v>
      </c>
      <c r="CV309" s="1388">
        <v>0</v>
      </c>
      <c r="CW309" s="1488">
        <v>0</v>
      </c>
      <c r="CX309" s="1010">
        <f t="shared" si="888"/>
        <v>0</v>
      </c>
      <c r="CY309" s="1009"/>
      <c r="CZ309" s="1863">
        <v>0</v>
      </c>
      <c r="DA309" s="1488">
        <v>0</v>
      </c>
      <c r="DB309" s="1010">
        <f t="shared" si="889"/>
        <v>0</v>
      </c>
      <c r="DC309" s="1009"/>
      <c r="DD309" s="2107">
        <v>0</v>
      </c>
      <c r="DE309" s="1497">
        <v>0</v>
      </c>
      <c r="DF309" s="1010">
        <f t="shared" si="890"/>
        <v>0</v>
      </c>
      <c r="DG309" s="1009"/>
      <c r="DH309" s="2107">
        <v>0</v>
      </c>
      <c r="DI309" s="851">
        <f>'P&amp;L'!DI508</f>
        <v>0</v>
      </c>
      <c r="DJ309" s="293">
        <f t="shared" si="891"/>
        <v>0</v>
      </c>
      <c r="DL309" s="851">
        <f>'P&amp;L'!DL508</f>
        <v>0</v>
      </c>
      <c r="DM309" s="851">
        <f>'P&amp;L'!DM508</f>
        <v>0</v>
      </c>
      <c r="DN309" s="293">
        <f t="shared" si="892"/>
        <v>0</v>
      </c>
      <c r="DP309" s="851">
        <f>'P&amp;L'!DP508</f>
        <v>0</v>
      </c>
      <c r="DQ309" s="851">
        <f>'P&amp;L'!DQ508</f>
        <v>0</v>
      </c>
      <c r="DR309" s="293">
        <f t="shared" si="893"/>
        <v>0</v>
      </c>
      <c r="DW309" s="1198" t="s">
        <v>174</v>
      </c>
      <c r="DX309" s="818"/>
      <c r="DY309" s="818"/>
      <c r="EA309" s="818"/>
      <c r="EB309" s="818"/>
      <c r="EC309" s="293"/>
      <c r="EE309" s="818"/>
      <c r="EF309" s="818"/>
      <c r="EG309" s="293"/>
      <c r="EI309" s="818"/>
      <c r="EJ309" s="818"/>
      <c r="EK309" s="293"/>
    </row>
    <row r="310" spans="1:283">
      <c r="A310" s="102" t="s">
        <v>659</v>
      </c>
      <c r="AN310" s="626"/>
      <c r="AO310" s="626"/>
      <c r="AP310" s="1219"/>
      <c r="AR310" s="626"/>
      <c r="AS310" s="626"/>
      <c r="AT310" s="1219">
        <v>-120</v>
      </c>
      <c r="AV310" s="626">
        <f t="shared" si="868"/>
        <v>-2</v>
      </c>
      <c r="AW310" s="626">
        <f t="shared" si="868"/>
        <v>-1</v>
      </c>
      <c r="AX310" s="293">
        <f t="shared" si="869"/>
        <v>-3</v>
      </c>
      <c r="AZ310" s="626">
        <f t="shared" si="870"/>
        <v>-2</v>
      </c>
      <c r="BA310" s="626">
        <f t="shared" si="870"/>
        <v>-7</v>
      </c>
      <c r="BB310" s="293">
        <f t="shared" si="871"/>
        <v>-9</v>
      </c>
      <c r="BD310" s="626">
        <f t="shared" si="872"/>
        <v>-23</v>
      </c>
      <c r="BE310" s="626">
        <f t="shared" si="872"/>
        <v>-29</v>
      </c>
      <c r="BF310" s="293">
        <f t="shared" si="873"/>
        <v>-52</v>
      </c>
      <c r="BH310" s="626">
        <f t="shared" si="874"/>
        <v>-90</v>
      </c>
      <c r="BI310" s="626">
        <f t="shared" si="874"/>
        <v>-81</v>
      </c>
      <c r="BJ310" s="293">
        <f t="shared" si="875"/>
        <v>-171</v>
      </c>
      <c r="BK310" s="487"/>
      <c r="BL310" s="626">
        <f t="shared" si="876"/>
        <v>-104</v>
      </c>
      <c r="BM310" s="626">
        <f t="shared" si="876"/>
        <v>-12</v>
      </c>
      <c r="BN310" s="293">
        <f t="shared" si="877"/>
        <v>-116</v>
      </c>
      <c r="BO310" s="487"/>
      <c r="BP310" s="626">
        <f t="shared" si="878"/>
        <v>-24</v>
      </c>
      <c r="BQ310" s="626">
        <f t="shared" si="878"/>
        <v>-75</v>
      </c>
      <c r="BR310" s="293">
        <f t="shared" si="879"/>
        <v>-99</v>
      </c>
      <c r="BS310" s="487"/>
      <c r="BT310" s="626">
        <f t="shared" si="880"/>
        <v>-10</v>
      </c>
      <c r="BU310" s="626">
        <f t="shared" si="880"/>
        <v>-34</v>
      </c>
      <c r="BV310" s="293">
        <f t="shared" si="881"/>
        <v>-44</v>
      </c>
      <c r="BX310" s="626">
        <v>-10</v>
      </c>
      <c r="BY310" s="626">
        <v>-10</v>
      </c>
      <c r="BZ310" s="293">
        <f t="shared" si="882"/>
        <v>-20</v>
      </c>
      <c r="CB310" s="626">
        <v>0</v>
      </c>
      <c r="CC310" s="626">
        <v>0</v>
      </c>
      <c r="CD310" s="293">
        <f t="shared" si="883"/>
        <v>0</v>
      </c>
      <c r="CE310" s="671">
        <f>+CD310/BZ310-1</f>
        <v>-1</v>
      </c>
      <c r="CF310" s="626">
        <v>0</v>
      </c>
      <c r="CG310" s="626">
        <v>0</v>
      </c>
      <c r="CH310" s="293">
        <f t="shared" si="884"/>
        <v>0</v>
      </c>
      <c r="CJ310" s="626">
        <v>0</v>
      </c>
      <c r="CK310" s="626">
        <v>0</v>
      </c>
      <c r="CL310" s="293">
        <f t="shared" si="885"/>
        <v>0</v>
      </c>
      <c r="CN310" s="1388">
        <v>0</v>
      </c>
      <c r="CO310" s="1388">
        <v>0</v>
      </c>
      <c r="CP310" s="1010">
        <f t="shared" si="886"/>
        <v>0</v>
      </c>
      <c r="CQ310" s="1009"/>
      <c r="CR310" s="1388">
        <v>0</v>
      </c>
      <c r="CS310" s="1497">
        <v>0</v>
      </c>
      <c r="CT310" s="293">
        <f t="shared" si="887"/>
        <v>0</v>
      </c>
      <c r="CV310" s="1388">
        <v>0</v>
      </c>
      <c r="CW310" s="1488">
        <v>0</v>
      </c>
      <c r="CX310" s="1010">
        <f t="shared" si="888"/>
        <v>0</v>
      </c>
      <c r="CY310" s="1009"/>
      <c r="CZ310" s="1863">
        <v>0</v>
      </c>
      <c r="DA310" s="1488">
        <v>0</v>
      </c>
      <c r="DB310" s="1010">
        <f t="shared" si="889"/>
        <v>0</v>
      </c>
      <c r="DC310" s="1009"/>
      <c r="DD310" s="2107">
        <v>0</v>
      </c>
      <c r="DE310" s="1497">
        <v>0</v>
      </c>
      <c r="DF310" s="1010">
        <f t="shared" si="890"/>
        <v>0</v>
      </c>
      <c r="DG310" s="1009"/>
      <c r="DH310" s="2107">
        <v>0</v>
      </c>
      <c r="DI310" s="851">
        <f>'P&amp;L'!DI519</f>
        <v>0</v>
      </c>
      <c r="DJ310" s="293">
        <f t="shared" si="891"/>
        <v>0</v>
      </c>
      <c r="DL310" s="851">
        <f>'P&amp;L'!DL519</f>
        <v>0</v>
      </c>
      <c r="DM310" s="851">
        <f>'P&amp;L'!DM519</f>
        <v>0</v>
      </c>
      <c r="DN310" s="293">
        <f t="shared" si="892"/>
        <v>0</v>
      </c>
      <c r="DP310" s="851">
        <f>'P&amp;L'!DP519</f>
        <v>0</v>
      </c>
      <c r="DQ310" s="851">
        <f>'P&amp;L'!DQ519</f>
        <v>0</v>
      </c>
      <c r="DR310" s="293">
        <f t="shared" si="893"/>
        <v>0</v>
      </c>
      <c r="DW310" s="1198" t="s">
        <v>174</v>
      </c>
      <c r="DX310" s="818"/>
      <c r="DY310" s="818"/>
      <c r="EA310" s="818"/>
      <c r="EB310" s="818"/>
      <c r="EC310" s="293"/>
      <c r="EE310" s="818"/>
      <c r="EF310" s="818"/>
      <c r="EG310" s="293"/>
      <c r="EI310" s="818"/>
      <c r="EJ310" s="818"/>
      <c r="EK310" s="293"/>
    </row>
    <row r="311" spans="1:283">
      <c r="A311" s="102" t="s">
        <v>660</v>
      </c>
      <c r="AN311" s="626"/>
      <c r="AO311" s="626"/>
      <c r="AP311" s="1219"/>
      <c r="AR311" s="626"/>
      <c r="AS311" s="626"/>
      <c r="AT311" s="1219">
        <v>0</v>
      </c>
      <c r="AV311" s="626">
        <f t="shared" si="868"/>
        <v>0</v>
      </c>
      <c r="AW311" s="626">
        <f t="shared" si="868"/>
        <v>0</v>
      </c>
      <c r="AX311" s="293">
        <f t="shared" si="869"/>
        <v>0</v>
      </c>
      <c r="AZ311" s="626">
        <f t="shared" si="870"/>
        <v>0</v>
      </c>
      <c r="BA311" s="626">
        <f t="shared" si="870"/>
        <v>0</v>
      </c>
      <c r="BB311" s="293">
        <f t="shared" si="871"/>
        <v>0</v>
      </c>
      <c r="BD311" s="626">
        <f t="shared" si="872"/>
        <v>0</v>
      </c>
      <c r="BE311" s="626">
        <f t="shared" si="872"/>
        <v>0</v>
      </c>
      <c r="BF311" s="293">
        <f t="shared" si="873"/>
        <v>0</v>
      </c>
      <c r="BH311" s="626">
        <f t="shared" si="874"/>
        <v>0</v>
      </c>
      <c r="BI311" s="626">
        <f t="shared" si="874"/>
        <v>0</v>
      </c>
      <c r="BJ311" s="293">
        <f t="shared" si="875"/>
        <v>0</v>
      </c>
      <c r="BK311" s="487"/>
      <c r="BL311" s="626">
        <f t="shared" si="876"/>
        <v>0</v>
      </c>
      <c r="BM311" s="626">
        <f t="shared" si="876"/>
        <v>0</v>
      </c>
      <c r="BN311" s="293">
        <f t="shared" si="877"/>
        <v>0</v>
      </c>
      <c r="BO311" s="487"/>
      <c r="BP311" s="626">
        <f t="shared" si="878"/>
        <v>0</v>
      </c>
      <c r="BQ311" s="626">
        <f t="shared" si="878"/>
        <v>0</v>
      </c>
      <c r="BR311" s="293">
        <f t="shared" si="879"/>
        <v>0</v>
      </c>
      <c r="BS311" s="487"/>
      <c r="BT311" s="626">
        <f t="shared" si="880"/>
        <v>0</v>
      </c>
      <c r="BU311" s="626">
        <f t="shared" si="880"/>
        <v>0</v>
      </c>
      <c r="BV311" s="293">
        <f t="shared" si="881"/>
        <v>0</v>
      </c>
      <c r="BX311" s="626">
        <v>0</v>
      </c>
      <c r="BY311" s="626">
        <v>0</v>
      </c>
      <c r="BZ311" s="293">
        <f t="shared" si="882"/>
        <v>0</v>
      </c>
      <c r="CB311" s="626">
        <v>0</v>
      </c>
      <c r="CC311" s="626">
        <v>0</v>
      </c>
      <c r="CD311" s="293">
        <f t="shared" si="883"/>
        <v>0</v>
      </c>
      <c r="CF311" s="626">
        <v>0</v>
      </c>
      <c r="CG311" s="626">
        <v>0</v>
      </c>
      <c r="CH311" s="293">
        <f t="shared" si="884"/>
        <v>0</v>
      </c>
      <c r="CJ311" s="626">
        <v>0</v>
      </c>
      <c r="CK311" s="626">
        <v>0</v>
      </c>
      <c r="CL311" s="293">
        <f t="shared" si="885"/>
        <v>0</v>
      </c>
      <c r="CN311" s="1388">
        <v>0</v>
      </c>
      <c r="CO311" s="1388">
        <v>0</v>
      </c>
      <c r="CP311" s="1010">
        <f t="shared" si="886"/>
        <v>0</v>
      </c>
      <c r="CQ311" s="1009"/>
      <c r="CR311" s="1388">
        <v>0</v>
      </c>
      <c r="CS311" s="1497">
        <v>0</v>
      </c>
      <c r="CT311" s="293">
        <f t="shared" si="887"/>
        <v>0</v>
      </c>
      <c r="CV311" s="1388">
        <v>0</v>
      </c>
      <c r="CW311" s="1488">
        <v>0</v>
      </c>
      <c r="CX311" s="1010">
        <f t="shared" si="888"/>
        <v>0</v>
      </c>
      <c r="CY311" s="1009"/>
      <c r="CZ311" s="1863">
        <v>0</v>
      </c>
      <c r="DA311" s="1488">
        <v>0</v>
      </c>
      <c r="DB311" s="1010">
        <f t="shared" si="889"/>
        <v>0</v>
      </c>
      <c r="DC311" s="1009"/>
      <c r="DD311" s="2107">
        <v>0</v>
      </c>
      <c r="DE311" s="1497">
        <v>0</v>
      </c>
      <c r="DF311" s="1010">
        <f t="shared" si="890"/>
        <v>0</v>
      </c>
      <c r="DG311" s="1009"/>
      <c r="DH311" s="2107">
        <v>0</v>
      </c>
      <c r="DI311" s="851">
        <f>'P&amp;L'!DI530</f>
        <v>0</v>
      </c>
      <c r="DJ311" s="293">
        <f t="shared" si="891"/>
        <v>0</v>
      </c>
      <c r="DL311" s="851">
        <f>'P&amp;L'!DL530</f>
        <v>0</v>
      </c>
      <c r="DM311" s="851">
        <f>'P&amp;L'!DM530</f>
        <v>0</v>
      </c>
      <c r="DN311" s="293">
        <f t="shared" si="892"/>
        <v>0</v>
      </c>
      <c r="DP311" s="851">
        <f>'P&amp;L'!DP530</f>
        <v>0</v>
      </c>
      <c r="DQ311" s="851">
        <f>'P&amp;L'!DQ530</f>
        <v>0</v>
      </c>
      <c r="DR311" s="293">
        <f t="shared" si="893"/>
        <v>0</v>
      </c>
      <c r="DW311" s="1198" t="s">
        <v>174</v>
      </c>
      <c r="DX311" s="818"/>
      <c r="DY311" s="818"/>
      <c r="EA311" s="818"/>
      <c r="EB311" s="818"/>
      <c r="EC311" s="293"/>
      <c r="EE311" s="818"/>
      <c r="EF311" s="818"/>
      <c r="EG311" s="293"/>
      <c r="EI311" s="818"/>
      <c r="EJ311" s="818"/>
      <c r="EK311" s="293"/>
    </row>
    <row r="312" spans="1:283">
      <c r="A312" s="102" t="s">
        <v>661</v>
      </c>
      <c r="AN312" s="626"/>
      <c r="AO312" s="626"/>
      <c r="AP312" s="1219"/>
      <c r="AR312" s="626"/>
      <c r="AS312" s="626"/>
      <c r="AT312" s="1219">
        <v>0</v>
      </c>
      <c r="AV312" s="626">
        <f t="shared" si="868"/>
        <v>0</v>
      </c>
      <c r="AW312" s="626">
        <f t="shared" si="868"/>
        <v>0</v>
      </c>
      <c r="AX312" s="293">
        <f t="shared" si="869"/>
        <v>0</v>
      </c>
      <c r="AZ312" s="626">
        <f t="shared" si="870"/>
        <v>0</v>
      </c>
      <c r="BA312" s="626">
        <f t="shared" si="870"/>
        <v>0</v>
      </c>
      <c r="BB312" s="293">
        <f t="shared" si="871"/>
        <v>0</v>
      </c>
      <c r="BD312" s="626">
        <f t="shared" si="872"/>
        <v>0</v>
      </c>
      <c r="BE312" s="626">
        <f t="shared" si="872"/>
        <v>0</v>
      </c>
      <c r="BF312" s="293">
        <f t="shared" si="873"/>
        <v>0</v>
      </c>
      <c r="BH312" s="626">
        <f t="shared" si="874"/>
        <v>0</v>
      </c>
      <c r="BI312" s="626">
        <f t="shared" si="874"/>
        <v>0</v>
      </c>
      <c r="BJ312" s="293">
        <f t="shared" si="875"/>
        <v>0</v>
      </c>
      <c r="BK312" s="487"/>
      <c r="BL312" s="626">
        <f t="shared" si="876"/>
        <v>0</v>
      </c>
      <c r="BM312" s="626">
        <f t="shared" si="876"/>
        <v>0</v>
      </c>
      <c r="BN312" s="293">
        <f t="shared" si="877"/>
        <v>0</v>
      </c>
      <c r="BO312" s="487"/>
      <c r="BP312" s="626">
        <f t="shared" si="878"/>
        <v>0</v>
      </c>
      <c r="BQ312" s="626">
        <f t="shared" si="878"/>
        <v>0</v>
      </c>
      <c r="BR312" s="293">
        <f t="shared" si="879"/>
        <v>0</v>
      </c>
      <c r="BS312" s="487"/>
      <c r="BT312" s="626">
        <f t="shared" si="880"/>
        <v>0</v>
      </c>
      <c r="BU312" s="626">
        <f t="shared" si="880"/>
        <v>0</v>
      </c>
      <c r="BV312" s="293">
        <f t="shared" si="881"/>
        <v>0</v>
      </c>
      <c r="BX312" s="626">
        <v>0</v>
      </c>
      <c r="BY312" s="626">
        <v>0</v>
      </c>
      <c r="BZ312" s="293">
        <f t="shared" si="882"/>
        <v>0</v>
      </c>
      <c r="CB312" s="626">
        <v>0</v>
      </c>
      <c r="CC312" s="626">
        <v>0</v>
      </c>
      <c r="CD312" s="293">
        <f t="shared" si="883"/>
        <v>0</v>
      </c>
      <c r="CF312" s="626">
        <v>0</v>
      </c>
      <c r="CG312" s="626">
        <v>0</v>
      </c>
      <c r="CH312" s="293">
        <f t="shared" si="884"/>
        <v>0</v>
      </c>
      <c r="CJ312" s="626">
        <v>0</v>
      </c>
      <c r="CK312" s="626">
        <v>0</v>
      </c>
      <c r="CL312" s="293">
        <f t="shared" si="885"/>
        <v>0</v>
      </c>
      <c r="CN312" s="1388">
        <v>0</v>
      </c>
      <c r="CO312" s="1388">
        <v>0</v>
      </c>
      <c r="CP312" s="1010">
        <f t="shared" si="886"/>
        <v>0</v>
      </c>
      <c r="CQ312" s="1009"/>
      <c r="CR312" s="1388">
        <v>0</v>
      </c>
      <c r="CS312" s="1497">
        <v>0</v>
      </c>
      <c r="CT312" s="293">
        <f t="shared" si="887"/>
        <v>0</v>
      </c>
      <c r="CV312" s="1388">
        <v>0</v>
      </c>
      <c r="CW312" s="1488">
        <v>0</v>
      </c>
      <c r="CX312" s="1010">
        <f t="shared" si="888"/>
        <v>0</v>
      </c>
      <c r="CY312" s="1009"/>
      <c r="CZ312" s="1863">
        <v>0</v>
      </c>
      <c r="DA312" s="1488">
        <v>0</v>
      </c>
      <c r="DB312" s="1010">
        <f t="shared" si="889"/>
        <v>0</v>
      </c>
      <c r="DC312" s="1009"/>
      <c r="DD312" s="2107">
        <v>0</v>
      </c>
      <c r="DE312" s="1497">
        <v>0</v>
      </c>
      <c r="DF312" s="1010">
        <f t="shared" si="890"/>
        <v>0</v>
      </c>
      <c r="DG312" s="1009"/>
      <c r="DH312" s="2107">
        <v>0</v>
      </c>
      <c r="DI312" s="851">
        <f>'P&amp;L'!DI541</f>
        <v>0</v>
      </c>
      <c r="DJ312" s="293">
        <f t="shared" si="891"/>
        <v>0</v>
      </c>
      <c r="DL312" s="851">
        <f>'P&amp;L'!DL541</f>
        <v>0</v>
      </c>
      <c r="DM312" s="851">
        <f>'P&amp;L'!DM541</f>
        <v>0</v>
      </c>
      <c r="DN312" s="293">
        <f t="shared" si="892"/>
        <v>0</v>
      </c>
      <c r="DP312" s="851">
        <f>'P&amp;L'!DP541</f>
        <v>0</v>
      </c>
      <c r="DQ312" s="851">
        <f>'P&amp;L'!DQ541</f>
        <v>0</v>
      </c>
      <c r="DR312" s="293">
        <f t="shared" si="893"/>
        <v>0</v>
      </c>
      <c r="DW312" s="1198" t="s">
        <v>174</v>
      </c>
      <c r="DX312" s="818"/>
      <c r="DY312" s="818"/>
      <c r="EA312" s="818"/>
      <c r="EB312" s="818"/>
      <c r="EC312" s="293"/>
      <c r="EE312" s="818"/>
      <c r="EF312" s="818"/>
      <c r="EG312" s="293"/>
      <c r="EI312" s="818"/>
      <c r="EJ312" s="818"/>
      <c r="EK312" s="293"/>
    </row>
    <row r="313" spans="1:283" s="289" customFormat="1">
      <c r="A313" s="289" t="s">
        <v>662</v>
      </c>
      <c r="AN313" s="655"/>
      <c r="AO313" s="655"/>
      <c r="AP313" s="1231"/>
      <c r="AQ313" s="290"/>
      <c r="AR313" s="655"/>
      <c r="AS313" s="655"/>
      <c r="AT313" s="1231">
        <v>0</v>
      </c>
      <c r="AU313" s="290"/>
      <c r="AV313" s="655">
        <f t="shared" si="868"/>
        <v>0</v>
      </c>
      <c r="AW313" s="655">
        <f t="shared" si="868"/>
        <v>0</v>
      </c>
      <c r="AX313" s="295">
        <f t="shared" si="869"/>
        <v>0</v>
      </c>
      <c r="AY313" s="290"/>
      <c r="AZ313" s="655">
        <f t="shared" si="870"/>
        <v>0</v>
      </c>
      <c r="BA313" s="655">
        <f t="shared" si="870"/>
        <v>0</v>
      </c>
      <c r="BB313" s="295">
        <f t="shared" si="871"/>
        <v>0</v>
      </c>
      <c r="BC313" s="290"/>
      <c r="BD313" s="655">
        <f t="shared" si="872"/>
        <v>0</v>
      </c>
      <c r="BE313" s="655">
        <f t="shared" si="872"/>
        <v>0</v>
      </c>
      <c r="BF313" s="295">
        <f t="shared" si="873"/>
        <v>0</v>
      </c>
      <c r="BG313" s="290"/>
      <c r="BH313" s="655">
        <f t="shared" si="874"/>
        <v>0</v>
      </c>
      <c r="BI313" s="655">
        <f t="shared" si="874"/>
        <v>0</v>
      </c>
      <c r="BJ313" s="295">
        <f t="shared" si="875"/>
        <v>0</v>
      </c>
      <c r="BK313" s="640"/>
      <c r="BL313" s="655">
        <f t="shared" si="876"/>
        <v>0</v>
      </c>
      <c r="BM313" s="655">
        <f t="shared" si="876"/>
        <v>0</v>
      </c>
      <c r="BN313" s="295">
        <f t="shared" si="877"/>
        <v>0</v>
      </c>
      <c r="BO313" s="640"/>
      <c r="BP313" s="655">
        <f t="shared" si="878"/>
        <v>0</v>
      </c>
      <c r="BQ313" s="655">
        <f t="shared" si="878"/>
        <v>0</v>
      </c>
      <c r="BR313" s="295">
        <f t="shared" si="879"/>
        <v>0</v>
      </c>
      <c r="BS313" s="640"/>
      <c r="BT313" s="655">
        <f t="shared" si="880"/>
        <v>0</v>
      </c>
      <c r="BU313" s="655">
        <f t="shared" si="880"/>
        <v>0</v>
      </c>
      <c r="BV313" s="295">
        <f t="shared" si="881"/>
        <v>0</v>
      </c>
      <c r="BW313" s="290"/>
      <c r="BX313" s="655">
        <v>0</v>
      </c>
      <c r="BY313" s="655">
        <v>0</v>
      </c>
      <c r="BZ313" s="295">
        <f t="shared" si="882"/>
        <v>0</v>
      </c>
      <c r="CA313" s="290"/>
      <c r="CB313" s="655">
        <v>0</v>
      </c>
      <c r="CC313" s="655">
        <v>0</v>
      </c>
      <c r="CD313" s="295">
        <f t="shared" si="883"/>
        <v>0</v>
      </c>
      <c r="CE313" s="290"/>
      <c r="CF313" s="655">
        <v>132</v>
      </c>
      <c r="CG313" s="655">
        <v>153</v>
      </c>
      <c r="CH313" s="295">
        <f t="shared" si="884"/>
        <v>285</v>
      </c>
      <c r="CI313" s="290"/>
      <c r="CJ313" s="655">
        <v>157</v>
      </c>
      <c r="CK313" s="655">
        <v>203</v>
      </c>
      <c r="CL313" s="295">
        <f t="shared" si="885"/>
        <v>360</v>
      </c>
      <c r="CM313" s="290"/>
      <c r="CN313" s="1389">
        <v>198</v>
      </c>
      <c r="CO313" s="1389">
        <v>185</v>
      </c>
      <c r="CP313" s="1412">
        <f t="shared" si="886"/>
        <v>383</v>
      </c>
      <c r="CQ313" s="1424"/>
      <c r="CR313" s="1389">
        <v>152</v>
      </c>
      <c r="CS313" s="1505">
        <v>183</v>
      </c>
      <c r="CT313" s="295">
        <f t="shared" si="887"/>
        <v>335</v>
      </c>
      <c r="CU313" s="290"/>
      <c r="CV313" s="1389">
        <v>174</v>
      </c>
      <c r="CW313" s="1489">
        <v>203</v>
      </c>
      <c r="CX313" s="1412">
        <f t="shared" si="888"/>
        <v>377</v>
      </c>
      <c r="CY313" s="1424"/>
      <c r="CZ313" s="1872">
        <v>213</v>
      </c>
      <c r="DA313" s="1489">
        <v>218</v>
      </c>
      <c r="DB313" s="1412">
        <f t="shared" si="889"/>
        <v>431</v>
      </c>
      <c r="DC313" s="1424"/>
      <c r="DD313" s="2115">
        <v>211</v>
      </c>
      <c r="DE313" s="2175">
        <v>207</v>
      </c>
      <c r="DF313" s="1412">
        <f t="shared" si="890"/>
        <v>418</v>
      </c>
      <c r="DG313" s="1424"/>
      <c r="DH313" s="2254">
        <v>216</v>
      </c>
      <c r="DI313" s="2053">
        <f t="shared" ref="DI313" si="894">+DI250</f>
        <v>240.11999999999998</v>
      </c>
      <c r="DJ313" s="295">
        <f t="shared" si="891"/>
        <v>456.12</v>
      </c>
      <c r="DK313" s="290"/>
      <c r="DL313" s="2053">
        <f t="shared" ref="DL313:DM313" si="895">+DL250</f>
        <v>252.71999999999997</v>
      </c>
      <c r="DM313" s="2053">
        <f t="shared" si="895"/>
        <v>268.93439999999998</v>
      </c>
      <c r="DN313" s="295">
        <f t="shared" si="892"/>
        <v>521.6543999999999</v>
      </c>
      <c r="DO313" s="290"/>
      <c r="DP313" s="2053">
        <f t="shared" ref="DP313:DQ313" si="896">+DP250</f>
        <v>283.04640000000001</v>
      </c>
      <c r="DQ313" s="2053">
        <f t="shared" si="896"/>
        <v>301.20652799999999</v>
      </c>
      <c r="DR313" s="295">
        <f t="shared" si="893"/>
        <v>584.252928</v>
      </c>
      <c r="DS313" s="290"/>
      <c r="DT313" s="290"/>
      <c r="DU313" s="290"/>
      <c r="DV313" s="290"/>
      <c r="DW313" s="1232" t="s">
        <v>174</v>
      </c>
      <c r="DX313" s="853"/>
      <c r="DY313" s="853"/>
      <c r="DZ313" s="290"/>
      <c r="EA313" s="853"/>
      <c r="EB313" s="853"/>
      <c r="EC313" s="295"/>
      <c r="ED313" s="290"/>
      <c r="EE313" s="853"/>
      <c r="EF313" s="853"/>
      <c r="EG313" s="295"/>
      <c r="EH313" s="290"/>
      <c r="EI313" s="853"/>
      <c r="EJ313" s="853"/>
      <c r="EK313" s="295"/>
      <c r="EL313" s="290"/>
      <c r="EM313" s="290"/>
      <c r="EN313" s="290"/>
      <c r="EO313" s="290"/>
      <c r="EP313" s="290"/>
      <c r="EQ313" s="290"/>
      <c r="ER313" s="290"/>
      <c r="ES313" s="290"/>
      <c r="ET313" s="290"/>
      <c r="EU313" s="290"/>
      <c r="JW313"/>
    </row>
    <row r="314" spans="1:283">
      <c r="A314" s="102" t="s">
        <v>658</v>
      </c>
      <c r="AN314" s="626"/>
      <c r="AO314" s="626"/>
      <c r="AP314" s="1219"/>
      <c r="AR314" s="626"/>
      <c r="AS314" s="626"/>
      <c r="AT314" s="1219">
        <v>0</v>
      </c>
      <c r="AV314" s="626">
        <f t="shared" si="868"/>
        <v>0</v>
      </c>
      <c r="AW314" s="626">
        <f t="shared" si="868"/>
        <v>0</v>
      </c>
      <c r="AX314" s="293">
        <f t="shared" si="869"/>
        <v>0</v>
      </c>
      <c r="AZ314" s="626">
        <f t="shared" si="870"/>
        <v>0</v>
      </c>
      <c r="BA314" s="626">
        <f t="shared" si="870"/>
        <v>0</v>
      </c>
      <c r="BB314" s="293">
        <f t="shared" si="871"/>
        <v>0</v>
      </c>
      <c r="BD314" s="626">
        <f t="shared" si="872"/>
        <v>0</v>
      </c>
      <c r="BE314" s="626">
        <f t="shared" si="872"/>
        <v>36</v>
      </c>
      <c r="BF314" s="293">
        <f t="shared" si="873"/>
        <v>36</v>
      </c>
      <c r="BH314" s="626">
        <f t="shared" si="874"/>
        <v>0</v>
      </c>
      <c r="BI314" s="626">
        <f t="shared" si="874"/>
        <v>0</v>
      </c>
      <c r="BJ314" s="293">
        <f t="shared" si="875"/>
        <v>0</v>
      </c>
      <c r="BK314" s="487"/>
      <c r="BL314" s="626">
        <f t="shared" si="876"/>
        <v>0</v>
      </c>
      <c r="BM314" s="626">
        <f t="shared" si="876"/>
        <v>0</v>
      </c>
      <c r="BN314" s="293">
        <f t="shared" si="877"/>
        <v>0</v>
      </c>
      <c r="BO314" s="487"/>
      <c r="BP314" s="626">
        <f t="shared" si="878"/>
        <v>0</v>
      </c>
      <c r="BQ314" s="626">
        <f t="shared" si="878"/>
        <v>0</v>
      </c>
      <c r="BR314" s="293">
        <f t="shared" si="879"/>
        <v>0</v>
      </c>
      <c r="BS314" s="487"/>
      <c r="BT314" s="626">
        <f t="shared" si="880"/>
        <v>0</v>
      </c>
      <c r="BU314" s="626">
        <f t="shared" si="880"/>
        <v>0</v>
      </c>
      <c r="BV314" s="293">
        <f t="shared" si="881"/>
        <v>0</v>
      </c>
      <c r="BX314" s="626">
        <v>0</v>
      </c>
      <c r="BY314" s="626">
        <v>0</v>
      </c>
      <c r="BZ314" s="293">
        <f t="shared" si="882"/>
        <v>0</v>
      </c>
      <c r="CB314" s="626">
        <v>0</v>
      </c>
      <c r="CC314" s="626">
        <v>0</v>
      </c>
      <c r="CD314" s="293">
        <f t="shared" si="883"/>
        <v>0</v>
      </c>
      <c r="CF314" s="626">
        <v>0</v>
      </c>
      <c r="CG314" s="626">
        <v>0</v>
      </c>
      <c r="CH314" s="293">
        <f t="shared" si="884"/>
        <v>0</v>
      </c>
      <c r="CJ314" s="626">
        <v>0</v>
      </c>
      <c r="CK314" s="626">
        <v>0</v>
      </c>
      <c r="CL314" s="293">
        <f t="shared" si="885"/>
        <v>0</v>
      </c>
      <c r="CN314" s="1388">
        <v>0</v>
      </c>
      <c r="CO314" s="1388">
        <v>0</v>
      </c>
      <c r="CP314" s="1010">
        <f t="shared" si="886"/>
        <v>0</v>
      </c>
      <c r="CQ314" s="1009"/>
      <c r="CR314" s="1388">
        <v>0</v>
      </c>
      <c r="CS314" s="1497">
        <v>0</v>
      </c>
      <c r="CT314" s="293">
        <f t="shared" si="887"/>
        <v>0</v>
      </c>
      <c r="CV314" s="1388">
        <v>0</v>
      </c>
      <c r="CW314" s="1488">
        <v>0</v>
      </c>
      <c r="CX314" s="1010">
        <f t="shared" si="888"/>
        <v>0</v>
      </c>
      <c r="CY314" s="1009"/>
      <c r="CZ314" s="1863">
        <v>0</v>
      </c>
      <c r="DA314" s="1488">
        <v>0</v>
      </c>
      <c r="DB314" s="1010">
        <f t="shared" si="889"/>
        <v>0</v>
      </c>
      <c r="DC314" s="1009"/>
      <c r="DD314" s="2107">
        <v>0</v>
      </c>
      <c r="DE314" s="1497">
        <v>0</v>
      </c>
      <c r="DF314" s="1010">
        <f t="shared" si="890"/>
        <v>0</v>
      </c>
      <c r="DG314" s="1009"/>
      <c r="DH314" s="2107">
        <v>0</v>
      </c>
      <c r="DI314" s="851">
        <f>'P&amp;L'!DI563</f>
        <v>0</v>
      </c>
      <c r="DJ314" s="293">
        <f t="shared" si="891"/>
        <v>0</v>
      </c>
      <c r="DL314" s="851">
        <f>'P&amp;L'!DL563</f>
        <v>0</v>
      </c>
      <c r="DM314" s="851">
        <f>'P&amp;L'!DM563</f>
        <v>0</v>
      </c>
      <c r="DN314" s="293">
        <f t="shared" si="892"/>
        <v>0</v>
      </c>
      <c r="DP314" s="851">
        <f>'P&amp;L'!DP563</f>
        <v>0</v>
      </c>
      <c r="DQ314" s="851">
        <f>'P&amp;L'!DQ563</f>
        <v>0</v>
      </c>
      <c r="DR314" s="293">
        <f t="shared" si="893"/>
        <v>0</v>
      </c>
      <c r="DW314" s="1198" t="s">
        <v>174</v>
      </c>
      <c r="DX314" s="818"/>
      <c r="DY314" s="818"/>
      <c r="EA314" s="818"/>
      <c r="EB314" s="818"/>
      <c r="EC314" s="293"/>
      <c r="EE314" s="818"/>
      <c r="EF314" s="818"/>
      <c r="EG314" s="293"/>
      <c r="EI314" s="818"/>
      <c r="EJ314" s="818"/>
      <c r="EK314" s="293"/>
    </row>
    <row r="315" spans="1:283">
      <c r="A315" s="102" t="s">
        <v>887</v>
      </c>
      <c r="AN315" s="626"/>
      <c r="AO315" s="626"/>
      <c r="AP315" s="1219"/>
      <c r="AR315" s="626"/>
      <c r="AS315" s="626"/>
      <c r="AT315" s="1219">
        <v>0</v>
      </c>
      <c r="AV315" s="626">
        <f t="shared" si="868"/>
        <v>0</v>
      </c>
      <c r="AW315" s="626">
        <f t="shared" si="868"/>
        <v>0</v>
      </c>
      <c r="AX315" s="293">
        <f t="shared" si="869"/>
        <v>0</v>
      </c>
      <c r="AZ315" s="626">
        <f t="shared" si="870"/>
        <v>0</v>
      </c>
      <c r="BA315" s="626">
        <f t="shared" si="870"/>
        <v>0</v>
      </c>
      <c r="BB315" s="293">
        <f t="shared" si="871"/>
        <v>0</v>
      </c>
      <c r="BD315" s="626">
        <f t="shared" si="872"/>
        <v>0</v>
      </c>
      <c r="BE315" s="626">
        <f t="shared" si="872"/>
        <v>104</v>
      </c>
      <c r="BF315" s="293">
        <f t="shared" si="873"/>
        <v>104</v>
      </c>
      <c r="BH315" s="626">
        <f t="shared" si="874"/>
        <v>0</v>
      </c>
      <c r="BI315" s="626">
        <f t="shared" si="874"/>
        <v>0</v>
      </c>
      <c r="BJ315" s="293">
        <f t="shared" si="875"/>
        <v>0</v>
      </c>
      <c r="BK315" s="487"/>
      <c r="BL315" s="626">
        <f t="shared" si="876"/>
        <v>0</v>
      </c>
      <c r="BM315" s="626">
        <f t="shared" si="876"/>
        <v>0</v>
      </c>
      <c r="BN315" s="293">
        <f t="shared" si="877"/>
        <v>0</v>
      </c>
      <c r="BO315" s="487"/>
      <c r="BP315" s="626">
        <f t="shared" si="878"/>
        <v>0</v>
      </c>
      <c r="BQ315" s="626">
        <f t="shared" si="878"/>
        <v>0</v>
      </c>
      <c r="BR315" s="293">
        <f t="shared" si="879"/>
        <v>0</v>
      </c>
      <c r="BS315" s="487"/>
      <c r="BT315" s="626">
        <f t="shared" si="880"/>
        <v>0</v>
      </c>
      <c r="BU315" s="626">
        <f t="shared" si="880"/>
        <v>0</v>
      </c>
      <c r="BV315" s="293">
        <f t="shared" si="881"/>
        <v>0</v>
      </c>
      <c r="BX315" s="626">
        <v>0</v>
      </c>
      <c r="BY315" s="626">
        <v>0</v>
      </c>
      <c r="BZ315" s="293">
        <f t="shared" si="882"/>
        <v>0</v>
      </c>
      <c r="CB315" s="626">
        <v>0</v>
      </c>
      <c r="CC315" s="626">
        <v>0</v>
      </c>
      <c r="CD315" s="293">
        <f t="shared" si="883"/>
        <v>0</v>
      </c>
      <c r="CF315" s="626">
        <v>0</v>
      </c>
      <c r="CG315" s="626">
        <v>0</v>
      </c>
      <c r="CH315" s="293">
        <f t="shared" si="884"/>
        <v>0</v>
      </c>
      <c r="CJ315" s="626">
        <v>0</v>
      </c>
      <c r="CK315" s="626">
        <v>0</v>
      </c>
      <c r="CL315" s="293">
        <f t="shared" si="885"/>
        <v>0</v>
      </c>
      <c r="CN315" s="1388">
        <v>0</v>
      </c>
      <c r="CO315" s="1388">
        <v>0</v>
      </c>
      <c r="CP315" s="1010">
        <f t="shared" si="886"/>
        <v>0</v>
      </c>
      <c r="CQ315" s="1009"/>
      <c r="CR315" s="1388">
        <v>0</v>
      </c>
      <c r="CS315" s="1497">
        <v>0</v>
      </c>
      <c r="CT315" s="293">
        <f t="shared" si="887"/>
        <v>0</v>
      </c>
      <c r="CV315" s="1388">
        <v>0</v>
      </c>
      <c r="CW315" s="1488">
        <v>0</v>
      </c>
      <c r="CX315" s="1010">
        <f t="shared" si="888"/>
        <v>0</v>
      </c>
      <c r="CY315" s="1009"/>
      <c r="CZ315" s="1863">
        <v>0</v>
      </c>
      <c r="DA315" s="1488">
        <v>0</v>
      </c>
      <c r="DB315" s="1010">
        <f t="shared" si="889"/>
        <v>0</v>
      </c>
      <c r="DC315" s="1009"/>
      <c r="DD315" s="2107">
        <v>0</v>
      </c>
      <c r="DE315" s="1497">
        <v>0</v>
      </c>
      <c r="DF315" s="1010">
        <f t="shared" si="890"/>
        <v>0</v>
      </c>
      <c r="DG315" s="1009"/>
      <c r="DH315" s="2107">
        <v>0</v>
      </c>
      <c r="DI315" s="851">
        <f>'P&amp;L'!DI574</f>
        <v>0</v>
      </c>
      <c r="DJ315" s="293">
        <f t="shared" si="891"/>
        <v>0</v>
      </c>
      <c r="DL315" s="851">
        <f>'P&amp;L'!DL574</f>
        <v>0</v>
      </c>
      <c r="DM315" s="851">
        <f>'P&amp;L'!DM574</f>
        <v>0</v>
      </c>
      <c r="DN315" s="293">
        <f t="shared" si="892"/>
        <v>0</v>
      </c>
      <c r="DP315" s="851">
        <f>'P&amp;L'!DP574</f>
        <v>0</v>
      </c>
      <c r="DQ315" s="851">
        <f>'P&amp;L'!DQ574</f>
        <v>0</v>
      </c>
      <c r="DR315" s="293">
        <f t="shared" si="893"/>
        <v>0</v>
      </c>
      <c r="DW315" s="1198" t="s">
        <v>174</v>
      </c>
      <c r="DX315" s="818"/>
      <c r="DY315" s="818"/>
      <c r="EA315" s="818"/>
      <c r="EB315" s="818"/>
      <c r="EC315" s="293"/>
      <c r="EE315" s="818"/>
      <c r="EF315" s="818"/>
      <c r="EG315" s="293"/>
      <c r="EI315" s="818"/>
      <c r="EJ315" s="818"/>
      <c r="EK315" s="293"/>
    </row>
    <row r="316" spans="1:283">
      <c r="A316" s="102" t="s">
        <v>667</v>
      </c>
      <c r="AN316" s="626"/>
      <c r="AO316" s="626"/>
      <c r="AP316" s="1219"/>
      <c r="AR316" s="626"/>
      <c r="AS316" s="626"/>
      <c r="AT316" s="1219">
        <v>0</v>
      </c>
      <c r="AV316" s="626">
        <f t="shared" si="868"/>
        <v>0</v>
      </c>
      <c r="AW316" s="626">
        <f t="shared" si="868"/>
        <v>0</v>
      </c>
      <c r="AX316" s="293">
        <f t="shared" si="869"/>
        <v>0</v>
      </c>
      <c r="AZ316" s="626">
        <f t="shared" si="870"/>
        <v>0</v>
      </c>
      <c r="BA316" s="626">
        <f t="shared" si="870"/>
        <v>0</v>
      </c>
      <c r="BB316" s="293">
        <f t="shared" si="871"/>
        <v>0</v>
      </c>
      <c r="BD316" s="626">
        <f t="shared" si="872"/>
        <v>0</v>
      </c>
      <c r="BE316" s="626">
        <f t="shared" si="872"/>
        <v>0</v>
      </c>
      <c r="BF316" s="293">
        <f t="shared" si="873"/>
        <v>0</v>
      </c>
      <c r="BH316" s="626">
        <f t="shared" si="874"/>
        <v>0</v>
      </c>
      <c r="BI316" s="626">
        <f t="shared" si="874"/>
        <v>0</v>
      </c>
      <c r="BJ316" s="293">
        <f t="shared" si="875"/>
        <v>0</v>
      </c>
      <c r="BK316" s="487"/>
      <c r="BL316" s="626">
        <f t="shared" si="876"/>
        <v>0</v>
      </c>
      <c r="BM316" s="626">
        <f t="shared" si="876"/>
        <v>0</v>
      </c>
      <c r="BN316" s="293">
        <f t="shared" si="877"/>
        <v>0</v>
      </c>
      <c r="BO316" s="487"/>
      <c r="BP316" s="626">
        <f t="shared" si="878"/>
        <v>0</v>
      </c>
      <c r="BQ316" s="626">
        <f t="shared" si="878"/>
        <v>0</v>
      </c>
      <c r="BR316" s="293">
        <f t="shared" si="879"/>
        <v>0</v>
      </c>
      <c r="BS316" s="487"/>
      <c r="BT316" s="626">
        <f t="shared" si="880"/>
        <v>0</v>
      </c>
      <c r="BU316" s="626">
        <f t="shared" si="880"/>
        <v>0</v>
      </c>
      <c r="BV316" s="293">
        <f t="shared" si="881"/>
        <v>0</v>
      </c>
      <c r="BX316" s="626">
        <v>0</v>
      </c>
      <c r="BY316" s="626">
        <v>0</v>
      </c>
      <c r="BZ316" s="293">
        <f t="shared" si="882"/>
        <v>0</v>
      </c>
      <c r="CB316" s="626">
        <v>0</v>
      </c>
      <c r="CC316" s="626">
        <v>0</v>
      </c>
      <c r="CD316" s="293">
        <f t="shared" si="883"/>
        <v>0</v>
      </c>
      <c r="CF316" s="626">
        <v>0</v>
      </c>
      <c r="CG316" s="626">
        <v>0</v>
      </c>
      <c r="CH316" s="293">
        <f t="shared" si="884"/>
        <v>0</v>
      </c>
      <c r="CJ316" s="626">
        <v>0</v>
      </c>
      <c r="CK316" s="626">
        <v>0</v>
      </c>
      <c r="CL316" s="293">
        <f t="shared" si="885"/>
        <v>0</v>
      </c>
      <c r="CN316" s="1388">
        <v>0</v>
      </c>
      <c r="CO316" s="1388">
        <v>0</v>
      </c>
      <c r="CP316" s="1010">
        <f t="shared" si="886"/>
        <v>0</v>
      </c>
      <c r="CQ316" s="1009"/>
      <c r="CR316" s="1388">
        <v>0</v>
      </c>
      <c r="CS316" s="1497">
        <v>0</v>
      </c>
      <c r="CT316" s="293">
        <f t="shared" si="887"/>
        <v>0</v>
      </c>
      <c r="CV316" s="1388">
        <v>0</v>
      </c>
      <c r="CW316" s="1488">
        <v>0</v>
      </c>
      <c r="CX316" s="1010">
        <f t="shared" si="888"/>
        <v>0</v>
      </c>
      <c r="CY316" s="1009"/>
      <c r="CZ316" s="1863">
        <v>0</v>
      </c>
      <c r="DA316" s="1488">
        <v>0</v>
      </c>
      <c r="DB316" s="1010">
        <f t="shared" si="889"/>
        <v>0</v>
      </c>
      <c r="DC316" s="1009"/>
      <c r="DD316" s="2107">
        <v>0</v>
      </c>
      <c r="DE316" s="1497">
        <v>0</v>
      </c>
      <c r="DF316" s="1010">
        <f t="shared" si="890"/>
        <v>0</v>
      </c>
      <c r="DG316" s="1009"/>
      <c r="DH316" s="2107">
        <v>0</v>
      </c>
      <c r="DI316" s="851">
        <f>'P&amp;L'!DI585</f>
        <v>0</v>
      </c>
      <c r="DJ316" s="293">
        <f t="shared" si="891"/>
        <v>0</v>
      </c>
      <c r="DL316" s="851">
        <f>'P&amp;L'!DL585</f>
        <v>0</v>
      </c>
      <c r="DM316" s="851">
        <f>'P&amp;L'!DM585</f>
        <v>0</v>
      </c>
      <c r="DN316" s="293">
        <f t="shared" si="892"/>
        <v>0</v>
      </c>
      <c r="DP316" s="851">
        <f>'P&amp;L'!DP585</f>
        <v>0</v>
      </c>
      <c r="DQ316" s="851">
        <f>'P&amp;L'!DQ585</f>
        <v>0</v>
      </c>
      <c r="DR316" s="293">
        <f t="shared" si="893"/>
        <v>0</v>
      </c>
      <c r="DW316" s="1198" t="s">
        <v>174</v>
      </c>
      <c r="DX316" s="818"/>
      <c r="DY316" s="818"/>
      <c r="EA316" s="818"/>
      <c r="EB316" s="818"/>
      <c r="EC316" s="293"/>
      <c r="EE316" s="818"/>
      <c r="EF316" s="818"/>
      <c r="EG316" s="293"/>
      <c r="EI316" s="818"/>
      <c r="EJ316" s="818"/>
      <c r="EK316" s="293"/>
    </row>
    <row r="317" spans="1:283">
      <c r="A317" s="102" t="s">
        <v>675</v>
      </c>
      <c r="AN317" s="626"/>
      <c r="AO317" s="626"/>
      <c r="AP317" s="1219"/>
      <c r="AR317" s="626"/>
      <c r="AS317" s="626"/>
      <c r="AT317" s="1219">
        <v>0</v>
      </c>
      <c r="AV317" s="626">
        <f t="shared" si="868"/>
        <v>0</v>
      </c>
      <c r="AW317" s="626">
        <f t="shared" si="868"/>
        <v>0</v>
      </c>
      <c r="AX317" s="293">
        <f t="shared" si="869"/>
        <v>0</v>
      </c>
      <c r="AZ317" s="626">
        <f t="shared" si="870"/>
        <v>0</v>
      </c>
      <c r="BA317" s="626">
        <f t="shared" si="870"/>
        <v>0</v>
      </c>
      <c r="BB317" s="293">
        <f t="shared" si="871"/>
        <v>0</v>
      </c>
      <c r="BD317" s="626">
        <f t="shared" si="872"/>
        <v>0</v>
      </c>
      <c r="BE317" s="626">
        <f t="shared" si="872"/>
        <v>0</v>
      </c>
      <c r="BF317" s="293">
        <f t="shared" si="873"/>
        <v>0</v>
      </c>
      <c r="BH317" s="626">
        <f t="shared" si="874"/>
        <v>0</v>
      </c>
      <c r="BI317" s="626">
        <f t="shared" si="874"/>
        <v>0</v>
      </c>
      <c r="BJ317" s="293">
        <f t="shared" si="875"/>
        <v>0</v>
      </c>
      <c r="BK317" s="487"/>
      <c r="BL317" s="626">
        <f t="shared" si="876"/>
        <v>0</v>
      </c>
      <c r="BM317" s="626">
        <f t="shared" si="876"/>
        <v>0</v>
      </c>
      <c r="BN317" s="293">
        <f t="shared" si="877"/>
        <v>0</v>
      </c>
      <c r="BO317" s="487"/>
      <c r="BP317" s="626">
        <f t="shared" si="878"/>
        <v>0</v>
      </c>
      <c r="BQ317" s="626">
        <f t="shared" si="878"/>
        <v>0</v>
      </c>
      <c r="BR317" s="293">
        <f t="shared" si="879"/>
        <v>0</v>
      </c>
      <c r="BS317" s="487"/>
      <c r="BT317" s="626">
        <f t="shared" si="880"/>
        <v>0</v>
      </c>
      <c r="BU317" s="626">
        <f t="shared" si="880"/>
        <v>0</v>
      </c>
      <c r="BV317" s="293">
        <f t="shared" si="881"/>
        <v>0</v>
      </c>
      <c r="BX317" s="626">
        <v>0</v>
      </c>
      <c r="BY317" s="626">
        <v>0</v>
      </c>
      <c r="BZ317" s="293">
        <f t="shared" si="882"/>
        <v>0</v>
      </c>
      <c r="CB317" s="626">
        <v>0</v>
      </c>
      <c r="CC317" s="626">
        <v>0</v>
      </c>
      <c r="CD317" s="293">
        <f t="shared" si="883"/>
        <v>0</v>
      </c>
      <c r="CF317" s="626">
        <v>0</v>
      </c>
      <c r="CG317" s="626">
        <v>0</v>
      </c>
      <c r="CH317" s="293">
        <f t="shared" si="884"/>
        <v>0</v>
      </c>
      <c r="CJ317" s="626">
        <v>0</v>
      </c>
      <c r="CK317" s="626">
        <v>0</v>
      </c>
      <c r="CL317" s="293">
        <f t="shared" si="885"/>
        <v>0</v>
      </c>
      <c r="CN317" s="1388">
        <v>0</v>
      </c>
      <c r="CO317" s="1388">
        <v>0</v>
      </c>
      <c r="CP317" s="1010">
        <f t="shared" si="886"/>
        <v>0</v>
      </c>
      <c r="CQ317" s="1009"/>
      <c r="CR317" s="1388">
        <v>0</v>
      </c>
      <c r="CS317" s="1497">
        <v>0</v>
      </c>
      <c r="CT317" s="293">
        <f t="shared" si="887"/>
        <v>0</v>
      </c>
      <c r="CV317" s="1388">
        <v>0</v>
      </c>
      <c r="CW317" s="1488">
        <v>0</v>
      </c>
      <c r="CX317" s="1010">
        <f t="shared" si="888"/>
        <v>0</v>
      </c>
      <c r="CY317" s="1009"/>
      <c r="CZ317" s="1863">
        <v>0</v>
      </c>
      <c r="DA317" s="1488">
        <v>0</v>
      </c>
      <c r="DB317" s="1010">
        <f t="shared" si="889"/>
        <v>0</v>
      </c>
      <c r="DC317" s="1009"/>
      <c r="DD317" s="2107">
        <v>0</v>
      </c>
      <c r="DE317" s="1497">
        <v>0</v>
      </c>
      <c r="DF317" s="1010">
        <f t="shared" si="890"/>
        <v>0</v>
      </c>
      <c r="DG317" s="1009"/>
      <c r="DH317" s="2107">
        <v>0</v>
      </c>
      <c r="DI317" s="851">
        <f>'P&amp;L'!DI596</f>
        <v>0</v>
      </c>
      <c r="DJ317" s="293">
        <f t="shared" si="891"/>
        <v>0</v>
      </c>
      <c r="DL317" s="851">
        <f>'P&amp;L'!DL596</f>
        <v>0</v>
      </c>
      <c r="DM317" s="851">
        <f>'P&amp;L'!DM596</f>
        <v>0</v>
      </c>
      <c r="DN317" s="293">
        <f t="shared" si="892"/>
        <v>0</v>
      </c>
      <c r="DP317" s="851">
        <f>'P&amp;L'!DP596</f>
        <v>0</v>
      </c>
      <c r="DQ317" s="851">
        <f>'P&amp;L'!DQ596</f>
        <v>0</v>
      </c>
      <c r="DR317" s="293">
        <f t="shared" si="893"/>
        <v>0</v>
      </c>
      <c r="DW317" s="1198" t="s">
        <v>174</v>
      </c>
      <c r="DX317" s="818"/>
      <c r="DY317" s="818"/>
      <c r="EA317" s="818"/>
      <c r="EB317" s="818"/>
      <c r="EC317" s="293"/>
      <c r="EE317" s="818"/>
      <c r="EF317" s="818"/>
      <c r="EG317" s="293"/>
      <c r="EI317" s="818"/>
      <c r="EJ317" s="818"/>
      <c r="EK317" s="293"/>
    </row>
    <row r="318" spans="1:283">
      <c r="A318" s="102" t="s">
        <v>1155</v>
      </c>
      <c r="AN318" s="626"/>
      <c r="AO318" s="626"/>
      <c r="AP318" s="1219">
        <v>-32</v>
      </c>
      <c r="AR318" s="626"/>
      <c r="AS318" s="626"/>
      <c r="AT318" s="1219">
        <v>-160</v>
      </c>
      <c r="AV318" s="626">
        <f t="shared" si="868"/>
        <v>-50</v>
      </c>
      <c r="AW318" s="626">
        <f t="shared" si="868"/>
        <v>-3</v>
      </c>
      <c r="AX318" s="293">
        <f t="shared" si="869"/>
        <v>-53</v>
      </c>
      <c r="AZ318" s="626">
        <f t="shared" si="870"/>
        <v>12</v>
      </c>
      <c r="BA318" s="626">
        <f t="shared" si="870"/>
        <v>1</v>
      </c>
      <c r="BB318" s="293">
        <f t="shared" si="871"/>
        <v>13</v>
      </c>
      <c r="BD318" s="626">
        <f t="shared" si="872"/>
        <v>-15</v>
      </c>
      <c r="BE318" s="626">
        <f t="shared" si="872"/>
        <v>-14</v>
      </c>
      <c r="BF318" s="293">
        <f t="shared" si="873"/>
        <v>-29</v>
      </c>
      <c r="BH318" s="626">
        <f t="shared" si="874"/>
        <v>-34</v>
      </c>
      <c r="BI318" s="626">
        <f t="shared" si="874"/>
        <v>-23</v>
      </c>
      <c r="BJ318" s="293">
        <f t="shared" si="875"/>
        <v>-57</v>
      </c>
      <c r="BK318" s="487"/>
      <c r="BL318" s="626">
        <f t="shared" si="876"/>
        <v>-29</v>
      </c>
      <c r="BM318" s="626">
        <f t="shared" si="876"/>
        <v>-60</v>
      </c>
      <c r="BN318" s="293">
        <f t="shared" si="877"/>
        <v>-89</v>
      </c>
      <c r="BO318" s="487"/>
      <c r="BP318" s="626">
        <f t="shared" si="878"/>
        <v>-48</v>
      </c>
      <c r="BQ318" s="626">
        <f t="shared" si="878"/>
        <v>-187</v>
      </c>
      <c r="BR318" s="293">
        <f t="shared" si="879"/>
        <v>-235</v>
      </c>
      <c r="BS318" s="487"/>
      <c r="BT318" s="626">
        <f t="shared" si="880"/>
        <v>-166</v>
      </c>
      <c r="BU318" s="626">
        <f t="shared" si="880"/>
        <v>-120</v>
      </c>
      <c r="BV318" s="293">
        <f t="shared" si="881"/>
        <v>-286</v>
      </c>
      <c r="BX318" s="626">
        <v>-41</v>
      </c>
      <c r="BY318" s="626">
        <v>-88</v>
      </c>
      <c r="BZ318" s="293">
        <f t="shared" si="882"/>
        <v>-129</v>
      </c>
      <c r="CB318" s="626">
        <v>-56</v>
      </c>
      <c r="CC318" s="626">
        <v>-32</v>
      </c>
      <c r="CD318" s="293">
        <f t="shared" si="883"/>
        <v>-88</v>
      </c>
      <c r="CF318" s="626">
        <v>-18</v>
      </c>
      <c r="CG318" s="626">
        <v>-147</v>
      </c>
      <c r="CH318" s="293">
        <f t="shared" si="884"/>
        <v>-165</v>
      </c>
      <c r="CI318" s="671">
        <f>+CH318/CD318-1</f>
        <v>0.875</v>
      </c>
      <c r="CJ318" s="626">
        <f>-35+3</f>
        <v>-32</v>
      </c>
      <c r="CK318" s="626">
        <f>-223+12</f>
        <v>-211</v>
      </c>
      <c r="CL318" s="293">
        <f t="shared" si="885"/>
        <v>-243</v>
      </c>
      <c r="CN318" s="1388">
        <v>-166</v>
      </c>
      <c r="CO318" s="1388">
        <v>-71</v>
      </c>
      <c r="CP318" s="1010">
        <f t="shared" si="886"/>
        <v>-237</v>
      </c>
      <c r="CQ318" s="1009"/>
      <c r="CR318" s="1388">
        <v>-58</v>
      </c>
      <c r="CS318" s="1497">
        <v>-7</v>
      </c>
      <c r="CT318" s="293">
        <f t="shared" si="887"/>
        <v>-65</v>
      </c>
      <c r="CV318" s="1388">
        <v>-35</v>
      </c>
      <c r="CW318" s="1488">
        <v>-22</v>
      </c>
      <c r="CX318" s="1010">
        <f t="shared" si="888"/>
        <v>-57</v>
      </c>
      <c r="CY318" s="1009"/>
      <c r="CZ318" s="1863">
        <v>-21</v>
      </c>
      <c r="DA318" s="1488">
        <v>32</v>
      </c>
      <c r="DB318" s="1010">
        <f t="shared" si="889"/>
        <v>11</v>
      </c>
      <c r="DC318" s="1009"/>
      <c r="DD318" s="2107">
        <v>-16</v>
      </c>
      <c r="DE318" s="2176">
        <v>-81</v>
      </c>
      <c r="DF318" s="1010">
        <f t="shared" si="890"/>
        <v>-97</v>
      </c>
      <c r="DG318" s="1009"/>
      <c r="DH318" s="2253">
        <v>-68</v>
      </c>
      <c r="DI318" s="851">
        <f>'P&amp;L'!DI607</f>
        <v>-72.8</v>
      </c>
      <c r="DJ318" s="293">
        <f t="shared" si="891"/>
        <v>-140.80000000000001</v>
      </c>
      <c r="DL318" s="851">
        <f>'P&amp;L'!DL607</f>
        <v>-70.72</v>
      </c>
      <c r="DM318" s="851">
        <f>'P&amp;L'!DM607</f>
        <v>-75.712000000000003</v>
      </c>
      <c r="DN318" s="293">
        <f t="shared" si="892"/>
        <v>-146.43200000000002</v>
      </c>
      <c r="DP318" s="851">
        <f>'P&amp;L'!DP607</f>
        <v>-73.5488</v>
      </c>
      <c r="DQ318" s="851">
        <f>'P&amp;L'!DQ607</f>
        <v>-78.740480000000005</v>
      </c>
      <c r="DR318" s="293">
        <f t="shared" si="893"/>
        <v>-152.28928000000002</v>
      </c>
      <c r="DW318" s="1198" t="s">
        <v>174</v>
      </c>
      <c r="DX318" s="818"/>
      <c r="DY318" s="818"/>
      <c r="EA318" s="818"/>
      <c r="EB318" s="818"/>
      <c r="EC318" s="293"/>
      <c r="EE318" s="818"/>
      <c r="EF318" s="818"/>
      <c r="EG318" s="293"/>
      <c r="EI318" s="818"/>
      <c r="EJ318" s="818"/>
      <c r="EK318" s="293"/>
    </row>
    <row r="319" spans="1:283">
      <c r="A319" s="102" t="s">
        <v>827</v>
      </c>
      <c r="AN319" s="626"/>
      <c r="AO319" s="626"/>
      <c r="AP319" s="1219"/>
      <c r="AR319" s="626"/>
      <c r="AS319" s="626"/>
      <c r="AT319" s="1219">
        <v>0</v>
      </c>
      <c r="AV319" s="626">
        <f t="shared" si="868"/>
        <v>0</v>
      </c>
      <c r="AW319" s="626">
        <f t="shared" si="868"/>
        <v>0</v>
      </c>
      <c r="AX319" s="293">
        <f t="shared" si="869"/>
        <v>0</v>
      </c>
      <c r="AZ319" s="626">
        <f t="shared" si="870"/>
        <v>0</v>
      </c>
      <c r="BA319" s="626">
        <f t="shared" si="870"/>
        <v>0</v>
      </c>
      <c r="BB319" s="293">
        <f t="shared" si="871"/>
        <v>0</v>
      </c>
      <c r="BD319" s="626">
        <f t="shared" si="872"/>
        <v>0</v>
      </c>
      <c r="BE319" s="626">
        <f t="shared" si="872"/>
        <v>0</v>
      </c>
      <c r="BF319" s="293">
        <f t="shared" si="873"/>
        <v>0</v>
      </c>
      <c r="BH319" s="626">
        <f t="shared" si="874"/>
        <v>0</v>
      </c>
      <c r="BI319" s="626">
        <f t="shared" si="874"/>
        <v>0</v>
      </c>
      <c r="BJ319" s="293">
        <f t="shared" si="875"/>
        <v>0</v>
      </c>
      <c r="BK319" s="487"/>
      <c r="BL319" s="626">
        <f t="shared" si="876"/>
        <v>0</v>
      </c>
      <c r="BM319" s="626">
        <f t="shared" si="876"/>
        <v>0</v>
      </c>
      <c r="BN319" s="293">
        <f t="shared" si="877"/>
        <v>0</v>
      </c>
      <c r="BO319" s="487"/>
      <c r="BP319" s="626">
        <f t="shared" si="878"/>
        <v>0</v>
      </c>
      <c r="BQ319" s="626">
        <f t="shared" si="878"/>
        <v>0</v>
      </c>
      <c r="BR319" s="293">
        <f t="shared" si="879"/>
        <v>0</v>
      </c>
      <c r="BS319" s="487"/>
      <c r="BT319" s="626">
        <f t="shared" si="880"/>
        <v>0</v>
      </c>
      <c r="BU319" s="626">
        <f t="shared" si="880"/>
        <v>0</v>
      </c>
      <c r="BV319" s="293">
        <f t="shared" si="881"/>
        <v>0</v>
      </c>
      <c r="BX319" s="626">
        <v>0</v>
      </c>
      <c r="BY319" s="626">
        <v>0</v>
      </c>
      <c r="BZ319" s="293">
        <f t="shared" si="882"/>
        <v>0</v>
      </c>
      <c r="CB319" s="626">
        <v>0</v>
      </c>
      <c r="CC319" s="626">
        <v>0</v>
      </c>
      <c r="CD319" s="293">
        <f t="shared" si="883"/>
        <v>0</v>
      </c>
      <c r="CF319" s="626">
        <v>0</v>
      </c>
      <c r="CG319" s="626">
        <v>0</v>
      </c>
      <c r="CH319" s="293">
        <f t="shared" si="884"/>
        <v>0</v>
      </c>
      <c r="CJ319" s="626">
        <v>0</v>
      </c>
      <c r="CK319" s="626">
        <v>0</v>
      </c>
      <c r="CL319" s="293">
        <f t="shared" si="885"/>
        <v>0</v>
      </c>
      <c r="CN319" s="1388">
        <v>0</v>
      </c>
      <c r="CO319" s="1388">
        <v>0</v>
      </c>
      <c r="CP319" s="1010">
        <f t="shared" si="886"/>
        <v>0</v>
      </c>
      <c r="CQ319" s="1009"/>
      <c r="CR319" s="1388">
        <v>0</v>
      </c>
      <c r="CS319" s="1497">
        <v>0</v>
      </c>
      <c r="CT319" s="293">
        <f t="shared" si="887"/>
        <v>0</v>
      </c>
      <c r="CV319" s="1388">
        <v>0</v>
      </c>
      <c r="CW319" s="1488">
        <v>0</v>
      </c>
      <c r="CX319" s="1010">
        <f t="shared" si="888"/>
        <v>0</v>
      </c>
      <c r="CY319" s="1009"/>
      <c r="CZ319" s="1863">
        <v>0</v>
      </c>
      <c r="DA319" s="1488">
        <v>0</v>
      </c>
      <c r="DB319" s="1010">
        <f t="shared" si="889"/>
        <v>0</v>
      </c>
      <c r="DC319" s="1009"/>
      <c r="DD319" s="2107">
        <v>0</v>
      </c>
      <c r="DE319" s="1497">
        <v>0</v>
      </c>
      <c r="DF319" s="1010">
        <f t="shared" si="890"/>
        <v>0</v>
      </c>
      <c r="DG319" s="1009"/>
      <c r="DH319" s="2107">
        <v>0</v>
      </c>
      <c r="DI319" s="851">
        <f>'P&amp;L'!DI629</f>
        <v>0</v>
      </c>
      <c r="DJ319" s="293">
        <f t="shared" si="891"/>
        <v>0</v>
      </c>
      <c r="DL319" s="851">
        <f>'P&amp;L'!DL629</f>
        <v>0</v>
      </c>
      <c r="DM319" s="851">
        <f>'P&amp;L'!DM629</f>
        <v>0</v>
      </c>
      <c r="DN319" s="293">
        <f t="shared" si="892"/>
        <v>0</v>
      </c>
      <c r="DP319" s="851">
        <f>'P&amp;L'!DP629</f>
        <v>0</v>
      </c>
      <c r="DQ319" s="851">
        <f>'P&amp;L'!DQ629</f>
        <v>0</v>
      </c>
      <c r="DR319" s="293">
        <f t="shared" si="893"/>
        <v>0</v>
      </c>
      <c r="DW319" s="1198" t="s">
        <v>174</v>
      </c>
      <c r="DX319" s="818"/>
      <c r="DY319" s="818"/>
      <c r="EA319" s="818"/>
      <c r="EB319" s="818"/>
      <c r="EC319" s="293"/>
      <c r="EE319" s="818"/>
      <c r="EF319" s="818"/>
      <c r="EG319" s="293"/>
      <c r="EI319" s="818"/>
      <c r="EJ319" s="818"/>
      <c r="EK319" s="293"/>
    </row>
    <row r="320" spans="1:283">
      <c r="A320" s="102" t="s">
        <v>828</v>
      </c>
      <c r="AN320" s="626"/>
      <c r="AO320" s="626"/>
      <c r="AP320" s="1219"/>
      <c r="AR320" s="626"/>
      <c r="AS320" s="626"/>
      <c r="AT320" s="1219">
        <v>0</v>
      </c>
      <c r="AV320" s="626">
        <f t="shared" si="868"/>
        <v>0</v>
      </c>
      <c r="AW320" s="626">
        <f t="shared" si="868"/>
        <v>0</v>
      </c>
      <c r="AX320" s="293">
        <f t="shared" si="869"/>
        <v>0</v>
      </c>
      <c r="AZ320" s="626">
        <f t="shared" si="870"/>
        <v>0</v>
      </c>
      <c r="BA320" s="626">
        <f t="shared" si="870"/>
        <v>0</v>
      </c>
      <c r="BB320" s="293">
        <f t="shared" si="871"/>
        <v>0</v>
      </c>
      <c r="BD320" s="626">
        <f t="shared" si="872"/>
        <v>0</v>
      </c>
      <c r="BE320" s="626">
        <f t="shared" si="872"/>
        <v>0</v>
      </c>
      <c r="BF320" s="293">
        <f t="shared" si="873"/>
        <v>0</v>
      </c>
      <c r="BH320" s="626">
        <f t="shared" si="874"/>
        <v>0</v>
      </c>
      <c r="BI320" s="626">
        <f t="shared" si="874"/>
        <v>0</v>
      </c>
      <c r="BJ320" s="293">
        <f t="shared" si="875"/>
        <v>0</v>
      </c>
      <c r="BK320" s="487"/>
      <c r="BL320" s="626">
        <f t="shared" si="876"/>
        <v>0</v>
      </c>
      <c r="BM320" s="626">
        <f t="shared" si="876"/>
        <v>0</v>
      </c>
      <c r="BN320" s="293">
        <f t="shared" si="877"/>
        <v>0</v>
      </c>
      <c r="BO320" s="487"/>
      <c r="BP320" s="626">
        <f t="shared" si="878"/>
        <v>0</v>
      </c>
      <c r="BQ320" s="626">
        <f t="shared" si="878"/>
        <v>0</v>
      </c>
      <c r="BR320" s="293">
        <f t="shared" si="879"/>
        <v>0</v>
      </c>
      <c r="BS320" s="487"/>
      <c r="BT320" s="626">
        <f t="shared" si="880"/>
        <v>0</v>
      </c>
      <c r="BU320" s="626">
        <f t="shared" si="880"/>
        <v>0</v>
      </c>
      <c r="BV320" s="293">
        <f t="shared" si="881"/>
        <v>0</v>
      </c>
      <c r="BX320" s="626">
        <v>0</v>
      </c>
      <c r="BY320" s="626">
        <v>0</v>
      </c>
      <c r="BZ320" s="293">
        <f t="shared" si="882"/>
        <v>0</v>
      </c>
      <c r="CB320" s="626">
        <v>0</v>
      </c>
      <c r="CC320" s="626">
        <v>0</v>
      </c>
      <c r="CD320" s="293">
        <f t="shared" si="883"/>
        <v>0</v>
      </c>
      <c r="CF320" s="626">
        <v>0</v>
      </c>
      <c r="CG320" s="626">
        <v>0</v>
      </c>
      <c r="CH320" s="293">
        <f t="shared" si="884"/>
        <v>0</v>
      </c>
      <c r="CJ320" s="626">
        <v>0</v>
      </c>
      <c r="CK320" s="626">
        <v>0</v>
      </c>
      <c r="CL320" s="293">
        <f t="shared" si="885"/>
        <v>0</v>
      </c>
      <c r="CN320" s="1388">
        <v>0</v>
      </c>
      <c r="CO320" s="1388">
        <v>0</v>
      </c>
      <c r="CP320" s="1010">
        <f t="shared" si="886"/>
        <v>0</v>
      </c>
      <c r="CQ320" s="1009"/>
      <c r="CR320" s="1388">
        <v>0</v>
      </c>
      <c r="CS320" s="1497">
        <v>0</v>
      </c>
      <c r="CT320" s="293">
        <f t="shared" si="887"/>
        <v>0</v>
      </c>
      <c r="CV320" s="1388">
        <v>0</v>
      </c>
      <c r="CW320" s="1488">
        <v>0</v>
      </c>
      <c r="CX320" s="1010">
        <f t="shared" si="888"/>
        <v>0</v>
      </c>
      <c r="CY320" s="1009"/>
      <c r="CZ320" s="1863">
        <v>0</v>
      </c>
      <c r="DA320" s="1488">
        <v>0</v>
      </c>
      <c r="DB320" s="1010">
        <f t="shared" si="889"/>
        <v>0</v>
      </c>
      <c r="DC320" s="1009"/>
      <c r="DD320" s="2107">
        <v>0</v>
      </c>
      <c r="DE320" s="1497">
        <v>0</v>
      </c>
      <c r="DF320" s="1010">
        <f t="shared" si="890"/>
        <v>0</v>
      </c>
      <c r="DG320" s="1009"/>
      <c r="DH320" s="2107">
        <v>0</v>
      </c>
      <c r="DI320" s="851">
        <f>'P&amp;L'!DI618</f>
        <v>0</v>
      </c>
      <c r="DJ320" s="293">
        <f t="shared" si="891"/>
        <v>0</v>
      </c>
      <c r="DL320" s="851">
        <f>'P&amp;L'!DL618</f>
        <v>0</v>
      </c>
      <c r="DM320" s="851">
        <f>'P&amp;L'!DM618</f>
        <v>0</v>
      </c>
      <c r="DN320" s="293">
        <f t="shared" si="892"/>
        <v>0</v>
      </c>
      <c r="DP320" s="851">
        <f>'P&amp;L'!DP618</f>
        <v>0</v>
      </c>
      <c r="DQ320" s="851">
        <f>'P&amp;L'!DQ618</f>
        <v>0</v>
      </c>
      <c r="DR320" s="293">
        <f t="shared" si="893"/>
        <v>0</v>
      </c>
      <c r="DW320" s="1198" t="s">
        <v>174</v>
      </c>
      <c r="DX320" s="818"/>
      <c r="DY320" s="818"/>
      <c r="EA320" s="818"/>
      <c r="EB320" s="818"/>
      <c r="EC320" s="293"/>
      <c r="EE320" s="818"/>
      <c r="EF320" s="818"/>
      <c r="EG320" s="293"/>
      <c r="EI320" s="818"/>
      <c r="EJ320" s="818"/>
      <c r="EK320" s="293"/>
    </row>
    <row r="321" spans="1:283" s="289" customFormat="1">
      <c r="A321" s="102" t="s">
        <v>663</v>
      </c>
      <c r="AN321" s="655"/>
      <c r="AO321" s="626"/>
      <c r="AP321" s="1219">
        <v>16</v>
      </c>
      <c r="AQ321" s="290"/>
      <c r="AR321" s="655"/>
      <c r="AS321" s="626"/>
      <c r="AT321" s="1219">
        <v>79</v>
      </c>
      <c r="AU321" s="290"/>
      <c r="AV321" s="655">
        <f t="shared" si="868"/>
        <v>12</v>
      </c>
      <c r="AW321" s="626">
        <f t="shared" si="868"/>
        <v>17</v>
      </c>
      <c r="AX321" s="293">
        <f t="shared" si="869"/>
        <v>29</v>
      </c>
      <c r="AY321" s="290"/>
      <c r="AZ321" s="655">
        <f t="shared" si="870"/>
        <v>42</v>
      </c>
      <c r="BA321" s="626">
        <f t="shared" si="870"/>
        <v>76</v>
      </c>
      <c r="BB321" s="293">
        <f t="shared" si="871"/>
        <v>118</v>
      </c>
      <c r="BC321" s="290"/>
      <c r="BD321" s="655">
        <f t="shared" si="872"/>
        <v>37</v>
      </c>
      <c r="BE321" s="626">
        <f t="shared" si="872"/>
        <v>56</v>
      </c>
      <c r="BF321" s="293">
        <f t="shared" si="873"/>
        <v>93</v>
      </c>
      <c r="BG321" s="290"/>
      <c r="BH321" s="655">
        <f t="shared" si="874"/>
        <v>16</v>
      </c>
      <c r="BI321" s="626">
        <f t="shared" si="874"/>
        <v>34</v>
      </c>
      <c r="BJ321" s="293">
        <f t="shared" si="875"/>
        <v>50</v>
      </c>
      <c r="BK321" s="487"/>
      <c r="BL321" s="655">
        <f t="shared" si="876"/>
        <v>47</v>
      </c>
      <c r="BM321" s="626">
        <f t="shared" si="876"/>
        <v>34</v>
      </c>
      <c r="BN321" s="293">
        <f t="shared" si="877"/>
        <v>81</v>
      </c>
      <c r="BO321" s="487"/>
      <c r="BP321" s="655">
        <f t="shared" si="878"/>
        <v>9</v>
      </c>
      <c r="BQ321" s="626">
        <f t="shared" si="878"/>
        <v>11</v>
      </c>
      <c r="BR321" s="293">
        <f t="shared" si="879"/>
        <v>20</v>
      </c>
      <c r="BS321" s="487"/>
      <c r="BT321" s="655">
        <f t="shared" si="880"/>
        <v>-4</v>
      </c>
      <c r="BU321" s="626">
        <f t="shared" si="880"/>
        <v>13</v>
      </c>
      <c r="BV321" s="293">
        <f t="shared" si="881"/>
        <v>9</v>
      </c>
      <c r="BW321" s="290"/>
      <c r="BX321" s="655">
        <v>15</v>
      </c>
      <c r="BY321" s="626">
        <v>8</v>
      </c>
      <c r="BZ321" s="293">
        <f t="shared" si="882"/>
        <v>23</v>
      </c>
      <c r="CA321" s="290"/>
      <c r="CB321" s="655">
        <v>10</v>
      </c>
      <c r="CC321" s="626">
        <v>12</v>
      </c>
      <c r="CD321" s="293">
        <f t="shared" si="883"/>
        <v>22</v>
      </c>
      <c r="CE321" s="290"/>
      <c r="CF321" s="626">
        <v>40</v>
      </c>
      <c r="CG321" s="626">
        <v>23</v>
      </c>
      <c r="CH321" s="293">
        <f t="shared" si="884"/>
        <v>63</v>
      </c>
      <c r="CI321" s="290"/>
      <c r="CJ321" s="626">
        <f>45+4</f>
        <v>49</v>
      </c>
      <c r="CK321" s="626">
        <f>41+1</f>
        <v>42</v>
      </c>
      <c r="CL321" s="293">
        <f t="shared" si="885"/>
        <v>91</v>
      </c>
      <c r="CM321" s="290"/>
      <c r="CN321" s="1388">
        <v>37</v>
      </c>
      <c r="CO321" s="1388">
        <v>35</v>
      </c>
      <c r="CP321" s="1010">
        <f t="shared" si="886"/>
        <v>72</v>
      </c>
      <c r="CQ321" s="1424"/>
      <c r="CR321" s="1388">
        <v>47</v>
      </c>
      <c r="CS321" s="1497">
        <v>58</v>
      </c>
      <c r="CT321" s="293">
        <f t="shared" si="887"/>
        <v>105</v>
      </c>
      <c r="CU321" s="290"/>
      <c r="CV321" s="1388">
        <v>57</v>
      </c>
      <c r="CW321" s="1488">
        <v>52</v>
      </c>
      <c r="CX321" s="1010">
        <f t="shared" si="888"/>
        <v>109</v>
      </c>
      <c r="CY321" s="1424"/>
      <c r="CZ321" s="1863">
        <v>38</v>
      </c>
      <c r="DA321" s="1488">
        <v>37</v>
      </c>
      <c r="DB321" s="1010">
        <f t="shared" si="889"/>
        <v>75</v>
      </c>
      <c r="DC321" s="1424"/>
      <c r="DD321" s="2107">
        <v>87</v>
      </c>
      <c r="DE321" s="2176">
        <v>50</v>
      </c>
      <c r="DF321" s="1010">
        <f t="shared" si="890"/>
        <v>137</v>
      </c>
      <c r="DG321" s="1424"/>
      <c r="DH321" s="2253">
        <v>45</v>
      </c>
      <c r="DI321" s="851">
        <f>'P&amp;L'!DI640</f>
        <v>46.35</v>
      </c>
      <c r="DJ321" s="293">
        <f t="shared" si="891"/>
        <v>91.35</v>
      </c>
      <c r="DK321" s="290"/>
      <c r="DL321" s="851">
        <f>'P&amp;L'!DL640</f>
        <v>47.740500000000004</v>
      </c>
      <c r="DM321" s="851">
        <f>'P&amp;L'!DM640</f>
        <v>49.172715000000004</v>
      </c>
      <c r="DN321" s="293">
        <f t="shared" si="892"/>
        <v>96.913215000000008</v>
      </c>
      <c r="DO321" s="290"/>
      <c r="DP321" s="851">
        <f>'P&amp;L'!DP640</f>
        <v>50.647896450000005</v>
      </c>
      <c r="DQ321" s="851">
        <f>'P&amp;L'!DQ640</f>
        <v>52.167333343500005</v>
      </c>
      <c r="DR321" s="293">
        <f t="shared" si="893"/>
        <v>102.81522979350001</v>
      </c>
      <c r="DS321" s="290"/>
      <c r="DT321" s="290"/>
      <c r="DU321" s="290"/>
      <c r="DV321" s="290"/>
      <c r="DW321" s="1198" t="s">
        <v>174</v>
      </c>
      <c r="DX321" s="818"/>
      <c r="DY321" s="818"/>
      <c r="DZ321" s="290"/>
      <c r="EA321" s="818"/>
      <c r="EB321" s="818"/>
      <c r="EC321" s="293"/>
      <c r="ED321" s="290"/>
      <c r="EE321" s="818"/>
      <c r="EF321" s="818"/>
      <c r="EG321" s="293"/>
      <c r="EH321" s="290"/>
      <c r="EI321" s="818"/>
      <c r="EJ321" s="818"/>
      <c r="EK321" s="293"/>
      <c r="EL321" s="290"/>
      <c r="EM321" s="290"/>
      <c r="EN321" s="290"/>
      <c r="EO321" s="290"/>
      <c r="EP321" s="290"/>
      <c r="EQ321" s="290"/>
      <c r="ER321" s="290"/>
      <c r="ES321" s="290"/>
      <c r="ET321" s="290"/>
      <c r="EU321" s="290"/>
      <c r="JW321"/>
    </row>
    <row r="322" spans="1:283" s="327" customFormat="1">
      <c r="A322" s="327" t="s">
        <v>613</v>
      </c>
      <c r="AN322" s="295"/>
      <c r="AO322" s="295"/>
      <c r="AP322" s="295">
        <f>SUM(AP308:AP321)</f>
        <v>-16</v>
      </c>
      <c r="AQ322" s="295"/>
      <c r="AR322" s="295"/>
      <c r="AS322" s="295"/>
      <c r="AT322" s="295">
        <f>SUM(AT308:AT321)</f>
        <v>-191</v>
      </c>
      <c r="AU322" s="295"/>
      <c r="AV322" s="295">
        <f>SUM(AV308:AV321)</f>
        <v>-14</v>
      </c>
      <c r="AW322" s="295">
        <f>SUM(AW308:AW321)</f>
        <v>51</v>
      </c>
      <c r="AX322" s="295">
        <f>SUM(AX308:AX321)</f>
        <v>37</v>
      </c>
      <c r="AY322" s="295"/>
      <c r="AZ322" s="295">
        <f>SUM(AZ308:AZ321)</f>
        <v>104</v>
      </c>
      <c r="BA322" s="295">
        <f>SUM(BA308:BA321)</f>
        <v>157</v>
      </c>
      <c r="BB322" s="295">
        <f>SUM(BB308:BB321)</f>
        <v>261</v>
      </c>
      <c r="BC322" s="295"/>
      <c r="BD322" s="295">
        <f>SUM(BD308:BD321)</f>
        <v>31</v>
      </c>
      <c r="BE322" s="295">
        <f>SUM(BE308:BE321)</f>
        <v>266</v>
      </c>
      <c r="BF322" s="295">
        <f>SUM(BF308:BF321)</f>
        <v>297</v>
      </c>
      <c r="BG322" s="295"/>
      <c r="BH322" s="295">
        <f>SUM(BH308:BH321)</f>
        <v>-59</v>
      </c>
      <c r="BI322" s="295">
        <f>SUM(BI308:BI321)</f>
        <v>-5</v>
      </c>
      <c r="BJ322" s="295">
        <f>SUM(BJ308:BJ321)</f>
        <v>-64</v>
      </c>
      <c r="BK322" s="487"/>
      <c r="BL322" s="295">
        <f>SUM(BL308:BL321)</f>
        <v>-68</v>
      </c>
      <c r="BM322" s="295">
        <f>SUM(BM308:BM321)</f>
        <v>-11</v>
      </c>
      <c r="BN322" s="295">
        <f>SUM(BN308:BN321)</f>
        <v>-79</v>
      </c>
      <c r="BO322" s="487"/>
      <c r="BP322" s="295">
        <f>SUM(BP308:BP321)</f>
        <v>-40</v>
      </c>
      <c r="BQ322" s="295">
        <f>SUM(BQ308:BQ321)</f>
        <v>-242</v>
      </c>
      <c r="BR322" s="295">
        <f>SUM(BR308:BR321)</f>
        <v>-282</v>
      </c>
      <c r="BS322" s="487"/>
      <c r="BT322" s="295">
        <f>SUM(BT308:BT321)</f>
        <v>-150</v>
      </c>
      <c r="BU322" s="295">
        <f>SUM(BU308:BU321)</f>
        <v>-140</v>
      </c>
      <c r="BV322" s="295">
        <f>SUM(BV308:BV321)</f>
        <v>-290</v>
      </c>
      <c r="BW322" s="295"/>
      <c r="BX322" s="295">
        <f>SUM(BX308:BX321)</f>
        <v>105</v>
      </c>
      <c r="BY322" s="295">
        <f>SUM(BY308:BY321)</f>
        <v>-73</v>
      </c>
      <c r="BZ322" s="295">
        <f>SUM(BZ308:BZ321)</f>
        <v>32</v>
      </c>
      <c r="CA322" s="295"/>
      <c r="CB322" s="295">
        <f>SUM(CB308:CB321)</f>
        <v>-34</v>
      </c>
      <c r="CC322" s="295">
        <f>SUM(CC308:CC321)</f>
        <v>55</v>
      </c>
      <c r="CD322" s="295">
        <f>SUM(CD308:CD321)</f>
        <v>21</v>
      </c>
      <c r="CE322" s="295"/>
      <c r="CF322" s="295">
        <f>SUM(CF308:CF321)</f>
        <v>168</v>
      </c>
      <c r="CG322" s="295">
        <f>SUM(CG308:CG321)</f>
        <v>88</v>
      </c>
      <c r="CH322" s="295">
        <f>SUM(CH308:CH321)</f>
        <v>256</v>
      </c>
      <c r="CI322" s="295"/>
      <c r="CJ322" s="295">
        <f>SUM(CJ308:CJ321)</f>
        <v>174</v>
      </c>
      <c r="CK322" s="295">
        <f>SUM(CK308:CK321)</f>
        <v>40</v>
      </c>
      <c r="CL322" s="295">
        <f>SUM(CL308:CL321)</f>
        <v>214</v>
      </c>
      <c r="CM322" s="295"/>
      <c r="CN322" s="295">
        <f>SUM(CN308:CN321)</f>
        <v>122</v>
      </c>
      <c r="CO322" s="295">
        <f>SUM(CO308:CO321)</f>
        <v>177</v>
      </c>
      <c r="CP322" s="295">
        <f>SUM(CP308:CP321)</f>
        <v>299</v>
      </c>
      <c r="CQ322" s="295"/>
      <c r="CR322" s="295">
        <f>SUM(CR308:CR321)</f>
        <v>614</v>
      </c>
      <c r="CS322" s="295">
        <f>SUM(CS308:CS321)</f>
        <v>281</v>
      </c>
      <c r="CT322" s="295">
        <f>SUM(CT308:CT321)</f>
        <v>895</v>
      </c>
      <c r="CU322" s="295"/>
      <c r="CV322" s="1412">
        <f>SUM(CV308:CV321)</f>
        <v>171</v>
      </c>
      <c r="CW322" s="1412">
        <f>SUM(CW308:CW321)</f>
        <v>307</v>
      </c>
      <c r="CX322" s="1412">
        <f>SUM(CX308:CX321)</f>
        <v>478</v>
      </c>
      <c r="CY322" s="1412"/>
      <c r="CZ322" s="1412">
        <f>SUM(CZ308:CZ321)</f>
        <v>268</v>
      </c>
      <c r="DA322" s="1412">
        <f>SUM(DA308:DA321)</f>
        <v>251</v>
      </c>
      <c r="DB322" s="1412">
        <f>SUM(DB308:DB321)</f>
        <v>519</v>
      </c>
      <c r="DC322" s="1412"/>
      <c r="DD322" s="295">
        <f>SUM(DD308:DD321)</f>
        <v>324</v>
      </c>
      <c r="DE322" s="1412">
        <f>SUM(DE308:DE321)</f>
        <v>224</v>
      </c>
      <c r="DF322" s="1412">
        <f>SUM(DF308:DF321)</f>
        <v>548</v>
      </c>
      <c r="DG322" s="1412"/>
      <c r="DH322" s="295">
        <f>SUM(DH308:DH321)</f>
        <v>220</v>
      </c>
      <c r="DI322" s="295">
        <f>SUM(DI308:DI321)</f>
        <v>263.58999999999997</v>
      </c>
      <c r="DJ322" s="295">
        <f>SUM(DJ308:DJ321)</f>
        <v>483.58999999999992</v>
      </c>
      <c r="DK322" s="295"/>
      <c r="DL322" s="295">
        <f>SUM(DL308:DL321)</f>
        <v>257.82049999999998</v>
      </c>
      <c r="DM322" s="295">
        <f>SUM(DM308:DM321)</f>
        <v>294.311915</v>
      </c>
      <c r="DN322" s="295">
        <f>SUM(DN308:DN321)</f>
        <v>552.13241499999992</v>
      </c>
      <c r="DO322" s="295"/>
      <c r="DP322" s="295">
        <f>SUM(DP308:DP321)</f>
        <v>289.34869644999998</v>
      </c>
      <c r="DQ322" s="295">
        <f>SUM(DQ308:DQ321)</f>
        <v>328.62685334349999</v>
      </c>
      <c r="DR322" s="295">
        <f>SUM(DR308:DR321)</f>
        <v>617.97554979350002</v>
      </c>
      <c r="DS322" s="295"/>
      <c r="DT322" s="295"/>
      <c r="DU322" s="295"/>
      <c r="DV322" s="295"/>
      <c r="DW322" s="295"/>
      <c r="DX322" s="295"/>
      <c r="DY322" s="295"/>
      <c r="DZ322" s="295"/>
      <c r="EA322" s="295"/>
      <c r="EB322" s="295"/>
      <c r="EC322" s="295"/>
      <c r="ED322" s="295"/>
      <c r="EE322" s="295"/>
      <c r="EF322" s="295"/>
      <c r="EG322" s="295"/>
      <c r="EH322" s="295"/>
      <c r="EI322" s="295"/>
      <c r="EJ322" s="295"/>
      <c r="EK322" s="295"/>
      <c r="EL322" s="295"/>
      <c r="EM322" s="295"/>
      <c r="EN322" s="295"/>
      <c r="EO322" s="295"/>
      <c r="EP322" s="295"/>
      <c r="EQ322" s="295"/>
      <c r="ER322" s="295"/>
      <c r="ES322" s="295"/>
      <c r="ET322" s="295"/>
      <c r="EU322" s="295"/>
      <c r="JW322"/>
    </row>
    <row r="323" spans="1:283">
      <c r="A323" s="934" t="s">
        <v>865</v>
      </c>
      <c r="AV323" s="103">
        <f>+AV308+AV309+AV312+AV314+AV315+AV316+AV317+AV319+AV321</f>
        <v>38</v>
      </c>
      <c r="AW323" s="103">
        <f>+AW308+AW309+AW312+AW314+AW315+AW316+AW317+AW319+AW321</f>
        <v>55</v>
      </c>
      <c r="AX323" s="103">
        <f>+AX308+AX309+AX312+AX314+AX315+AX316+AX317+AX319+AX321</f>
        <v>93</v>
      </c>
      <c r="AZ323" s="103">
        <f>+AZ308+AZ309+AZ312+AZ314+AZ315+AZ316+AZ317+AZ319+AZ321</f>
        <v>94</v>
      </c>
      <c r="BA323" s="103">
        <f>+BA308+BA309+BA312+BA314+BA315+BA316+BA317+BA319+BA321</f>
        <v>163</v>
      </c>
      <c r="BB323" s="103">
        <f>+BB308+BB309+BB312+BB314+BB315+BB316+BB317+BB319+BB321</f>
        <v>257</v>
      </c>
      <c r="BD323" s="103">
        <f>+BD308+BD309+BD312+BD314+BD315+BD316+BD317+BD319+BD321</f>
        <v>69</v>
      </c>
      <c r="BE323" s="103">
        <f>+BE308+BE309+BE312+BE314+BE315+BE316+BE317+BE319+BE321</f>
        <v>309</v>
      </c>
      <c r="BF323" s="103">
        <f>+BF308+BF309+BF312+BF314+BF315+BF316+BF317+BF319+BF321</f>
        <v>378</v>
      </c>
      <c r="BH323" s="103">
        <f>+BH308+BH309+BH312+BH314+BH315+BH316+BH317+BH319+BH321</f>
        <v>65</v>
      </c>
      <c r="BI323" s="103">
        <f>+BI308+BI309+BI312+BI314+BI315+BI316+BI317+BI319+BI321</f>
        <v>99</v>
      </c>
      <c r="BJ323" s="103">
        <f>+BJ308+BJ309+BJ312+BJ314+BJ315+BJ316+BJ317+BJ319+BJ321</f>
        <v>164</v>
      </c>
      <c r="BL323" s="103">
        <f>+BL308+BL309+BL312+BL314+BL315+BL316+BL317+BL319+BL321</f>
        <v>65</v>
      </c>
      <c r="BM323" s="103">
        <f>+BM308+BM309+BM312+BM314+BM315+BM316+BM317+BM319+BM321</f>
        <v>61</v>
      </c>
      <c r="BN323" s="103">
        <f>+BN308+BN309+BN312+BN314+BN315+BN316+BN317+BN319+BN321</f>
        <v>126</v>
      </c>
      <c r="BP323" s="103">
        <f>+BP308+BP309+BP312+BP314+BP315+BP316+BP317+BP319+BP321</f>
        <v>32</v>
      </c>
      <c r="BQ323" s="103">
        <f>+BQ308+BQ309+BQ312+BQ314+BQ315+BQ316+BQ317+BQ319+BQ321</f>
        <v>20</v>
      </c>
      <c r="BR323" s="103">
        <f>+BR308+BR309+BR312+BR314+BR315+BR316+BR317+BR319+BR321</f>
        <v>52</v>
      </c>
      <c r="BT323" s="103">
        <f>+BT308+BT309+BT312+BT314+BT315+BT316+BT317+BT319+BT321</f>
        <v>26</v>
      </c>
      <c r="BU323" s="103">
        <f>+BU308+BU309+BU312+BU314+BU315+BU316+BU317+BU319+BU321</f>
        <v>14</v>
      </c>
      <c r="BV323" s="103">
        <f>+BV308+BV309+BV312+BV314+BV315+BV316+BV317+BV319+BV321</f>
        <v>40</v>
      </c>
      <c r="BX323" s="103">
        <f>+BX308+BX309+BX312+BX314+BX315+BX316+BX317+BX319+BX321</f>
        <v>156</v>
      </c>
      <c r="BY323" s="103">
        <f>+BY308+BY309+BY312+BY314+BY315+BY316+BY317+BY319+BY321</f>
        <v>25</v>
      </c>
      <c r="BZ323" s="103">
        <f>+BZ308+BZ309+BZ312+BZ314+BZ315+BZ316+BZ317+BZ319+BZ321</f>
        <v>181</v>
      </c>
      <c r="CB323" s="103">
        <f>+CB308+CB309+CB312+CB314+CB315+CB316+CB317+CB319+CB321</f>
        <v>22</v>
      </c>
      <c r="CC323" s="103">
        <f>+CC308+CC309+CC312+CC314+CC315+CC316+CC317+CC319+CC321</f>
        <v>87</v>
      </c>
      <c r="CD323" s="103">
        <f>+CD308+CD309+CD312+CD314+CD315+CD316+CD317+CD319+CD321</f>
        <v>109</v>
      </c>
      <c r="CF323" s="103">
        <f>+CF308+CF309+CF312+CF314+CF315+CF316+CF317+CF319+CF321</f>
        <v>54</v>
      </c>
      <c r="CG323" s="103">
        <f>+CG308+CG309+CG312+CG314+CG315+CG316+CG317+CG319+CG321</f>
        <v>82</v>
      </c>
      <c r="CH323" s="103">
        <f>+CH308+CH309+CH312+CH314+CH315+CH316+CH317+CH319+CH321</f>
        <v>136</v>
      </c>
      <c r="CJ323" s="103">
        <f>+CJ308+CJ309+CJ312+CJ314+CJ315+CJ316+CJ317+CJ319+CJ321</f>
        <v>49</v>
      </c>
      <c r="CK323" s="103">
        <f>+CK308+CK309+CK312+CK314+CK315+CK316+CK317+CK319+CK321</f>
        <v>48</v>
      </c>
      <c r="CL323" s="103">
        <f>+CL308+CL309+CL312+CL314+CL315+CL316+CL317+CL319+CL321</f>
        <v>97</v>
      </c>
      <c r="CN323" s="103">
        <f>+CN308+CN309+CN312+CN314+CN315+CN316+CN317+CN319+CN321</f>
        <v>90</v>
      </c>
      <c r="CO323" s="103">
        <f>+CO308+CO309+CO312+CO314+CO315+CO316+CO317+CO319+CO321</f>
        <v>63</v>
      </c>
      <c r="CP323" s="103">
        <f>+CP308+CP309+CP312+CP314+CP315+CP316+CP317+CP319+CP321</f>
        <v>153</v>
      </c>
      <c r="CR323" s="103">
        <f>+CR308+CR309+CR312+CR314+CR315+CR316+CR317+CR319+CR321</f>
        <v>520</v>
      </c>
      <c r="CS323" s="103">
        <f>+CS308+CS309+CS312+CS314+CS315+CS316+CS317+CS319+CS321</f>
        <v>105</v>
      </c>
      <c r="CT323" s="103">
        <f>+CT308+CT309+CT312+CT314+CT315+CT316+CT317+CT319+CT321</f>
        <v>625</v>
      </c>
      <c r="CV323" s="103">
        <f>+CV308+CV309+CV312+CV314+CV315+CV316+CV317+CV319+CV321</f>
        <v>32</v>
      </c>
      <c r="CW323" s="103">
        <f>+CW308+CW309+CW312+CW314+CW315+CW316+CW317+CW319+CW321</f>
        <v>126</v>
      </c>
      <c r="CX323" s="103">
        <f>+CX308+CX309+CX312+CX314+CX315+CX316+CX317+CX319+CX321</f>
        <v>158</v>
      </c>
      <c r="CZ323" s="1009">
        <f>+CZ308+CZ309+CZ312+CZ314+CZ315+CZ316+CZ317+CZ319+CZ321</f>
        <v>76</v>
      </c>
      <c r="DA323" s="1009">
        <f>+DA308+DA309+DA312+DA314+DA315+DA316+DA317+DA319+DA321</f>
        <v>1</v>
      </c>
      <c r="DB323" s="103">
        <f>+DB308+DB309+DB312+DB314+DB315+DB316+DB317+DB319+DB321</f>
        <v>77</v>
      </c>
      <c r="DD323" s="103">
        <f>+DD308+DD309+DD312+DD314+DD315+DD316+DD317+DD319+DD321</f>
        <v>129</v>
      </c>
      <c r="DE323" s="1009">
        <f>+DE308+DE309+DE312+DE314+DE315+DE316+DE317+DE319+DE321</f>
        <v>98</v>
      </c>
      <c r="DF323" s="103">
        <f>+DF308+DF309+DF312+DF314+DF315+DF316+DF317+DF319+DF321</f>
        <v>227</v>
      </c>
      <c r="DH323" s="103">
        <f>+DH308+DH309+DH312+DH314+DH315+DH316+DH317+DH319+DH321</f>
        <v>72</v>
      </c>
      <c r="DI323" s="293">
        <f>+DI308+DI309+DI312+DI314+DI315+DI316+DI317+DI319+DI321</f>
        <v>96.27000000000001</v>
      </c>
      <c r="DJ323" s="293">
        <f>+DJ308+DJ309+DJ312+DJ314+DJ315+DJ316+DJ317+DJ319+DJ321</f>
        <v>168.26999999999998</v>
      </c>
      <c r="DL323" s="293">
        <f>+DL308+DL309+DL312+DL314+DL315+DL316+DL317+DL319+DL321</f>
        <v>75.82050000000001</v>
      </c>
      <c r="DM323" s="293">
        <f>+DM308+DM309+DM312+DM314+DM315+DM316+DM317+DM319+DM321</f>
        <v>101.08951500000001</v>
      </c>
      <c r="DN323" s="293">
        <f>+DN308+DN309+DN312+DN314+DN315+DN316+DN317+DN319+DN321</f>
        <v>176.91001500000002</v>
      </c>
      <c r="DP323" s="293">
        <f>+DP308+DP309+DP312+DP314+DP315+DP316+DP317+DP319+DP321</f>
        <v>79.85109645</v>
      </c>
      <c r="DQ323" s="293">
        <f>+DQ308+DQ309+DQ312+DQ314+DQ315+DQ316+DQ317+DQ319+DQ321</f>
        <v>106.16080534350002</v>
      </c>
      <c r="DR323" s="293">
        <f>+DR308+DR309+DR312+DR314+DR315+DR316+DR317+DR319+DR321</f>
        <v>186.01190179350002</v>
      </c>
    </row>
    <row r="324" spans="1:283">
      <c r="A324" s="934" t="s">
        <v>1088</v>
      </c>
      <c r="BT324" s="293">
        <f>+BT318+BT310</f>
        <v>-176</v>
      </c>
      <c r="BU324" s="293">
        <f>+BU318+BU310</f>
        <v>-154</v>
      </c>
      <c r="BV324" s="293">
        <f>+BV318+BV310</f>
        <v>-330</v>
      </c>
      <c r="BX324" s="293">
        <f>+BX318+BX310</f>
        <v>-51</v>
      </c>
      <c r="BY324" s="293">
        <f>+BY318+BY310</f>
        <v>-98</v>
      </c>
      <c r="BZ324" s="293">
        <f>+BZ318+BZ310</f>
        <v>-149</v>
      </c>
      <c r="CA324" s="671">
        <f>+BZ324/BV324-1</f>
        <v>-0.54848484848484846</v>
      </c>
      <c r="CB324" s="293">
        <f>+CB318+CB310</f>
        <v>-56</v>
      </c>
      <c r="CC324" s="293">
        <f>+CC318+CC310</f>
        <v>-32</v>
      </c>
      <c r="CD324" s="293">
        <f>+CD318+CD310</f>
        <v>-88</v>
      </c>
      <c r="CE324" s="671">
        <f>+CD324/BZ324-1</f>
        <v>-0.40939597315436238</v>
      </c>
      <c r="CF324" s="293">
        <f>+CF318+CF310</f>
        <v>-18</v>
      </c>
      <c r="CG324" s="293">
        <f>+CG318+CG310</f>
        <v>-147</v>
      </c>
      <c r="CH324" s="293">
        <f>+CH318+CH310</f>
        <v>-165</v>
      </c>
      <c r="CI324" s="671">
        <f>+CH324/CD324-1</f>
        <v>0.875</v>
      </c>
      <c r="CJ324" s="293">
        <f>+CJ318+CJ310</f>
        <v>-32</v>
      </c>
      <c r="CK324" s="293">
        <f>+CK318+CK310</f>
        <v>-211</v>
      </c>
      <c r="CL324" s="293">
        <f>+CL318+CL310</f>
        <v>-243</v>
      </c>
      <c r="CM324" s="671">
        <f>+CL324/CH324-1</f>
        <v>0.47272727272727266</v>
      </c>
      <c r="CN324" s="293">
        <f>+CN318+CN310</f>
        <v>-166</v>
      </c>
      <c r="CO324" s="293">
        <f>+CO318+CO310</f>
        <v>-71</v>
      </c>
      <c r="CP324" s="293">
        <f>+CP318+CP310</f>
        <v>-237</v>
      </c>
      <c r="CQ324" s="671">
        <f>+CP324/CL324-1</f>
        <v>-2.4691358024691357E-2</v>
      </c>
      <c r="CR324" s="293">
        <f>+CR318+CR310</f>
        <v>-58</v>
      </c>
      <c r="CS324" s="293">
        <f>+CS318+CS310</f>
        <v>-7</v>
      </c>
      <c r="CT324" s="293">
        <f>+CT318+CT310</f>
        <v>-65</v>
      </c>
      <c r="CU324" s="671">
        <f>+CT324/CP324-1</f>
        <v>-0.72573839662447259</v>
      </c>
      <c r="CV324" s="293">
        <f>+CV318+CV310</f>
        <v>-35</v>
      </c>
      <c r="CW324" s="293">
        <f>+CW318+CW310</f>
        <v>-22</v>
      </c>
      <c r="CX324" s="293">
        <f>+CX318+CX310</f>
        <v>-57</v>
      </c>
      <c r="CY324" s="671">
        <f>+CX324/CT324-1</f>
        <v>-0.12307692307692308</v>
      </c>
      <c r="CZ324" s="1010">
        <f>+CZ318+CZ310</f>
        <v>-21</v>
      </c>
      <c r="DA324" s="1010">
        <f>+DA318+DA310</f>
        <v>32</v>
      </c>
      <c r="DB324" s="293">
        <f>+DB318+DB310</f>
        <v>11</v>
      </c>
      <c r="DC324" s="671">
        <f>+DB324/CX324-1</f>
        <v>-1.1929824561403508</v>
      </c>
      <c r="DD324" s="1010">
        <f>+DD318+DD310</f>
        <v>-16</v>
      </c>
      <c r="DE324" s="1010">
        <f>+DE318+DE310</f>
        <v>-81</v>
      </c>
      <c r="DF324" s="293">
        <f>+DF318+DF310</f>
        <v>-97</v>
      </c>
      <c r="DG324" s="671">
        <f>+DF324/DB324-1</f>
        <v>-9.8181818181818183</v>
      </c>
      <c r="DH324" s="1010">
        <f>+DH318+DH310</f>
        <v>-68</v>
      </c>
      <c r="DI324" s="293">
        <f>+DI318+DI310</f>
        <v>-72.8</v>
      </c>
      <c r="DJ324" s="293">
        <f>+DJ318+DJ310</f>
        <v>-140.80000000000001</v>
      </c>
      <c r="DK324" s="671">
        <f>+DJ324/DF324-1</f>
        <v>0.45154639175257749</v>
      </c>
      <c r="DL324" s="293">
        <f>+DL318+DL310</f>
        <v>-70.72</v>
      </c>
      <c r="DM324" s="293">
        <f>+DM318+DM310</f>
        <v>-75.712000000000003</v>
      </c>
      <c r="DN324" s="293">
        <f>+DN318+DN310</f>
        <v>-146.43200000000002</v>
      </c>
      <c r="DO324" s="671">
        <f>+DN324/DJ324-1</f>
        <v>4.0000000000000036E-2</v>
      </c>
      <c r="DP324" s="293">
        <f>+DP318+DP310</f>
        <v>-73.5488</v>
      </c>
      <c r="DQ324" s="293">
        <f>+DQ318+DQ310</f>
        <v>-78.740480000000005</v>
      </c>
      <c r="DR324" s="293">
        <f>+DR318+DR310</f>
        <v>-152.28928000000002</v>
      </c>
      <c r="DS324" s="671">
        <f>+DR324/DN324-1</f>
        <v>4.0000000000000036E-2</v>
      </c>
      <c r="DT324" s="671"/>
      <c r="DU324" s="671"/>
      <c r="DV324" s="671"/>
    </row>
    <row r="325" spans="1:283">
      <c r="CR325" s="103"/>
      <c r="CS325" s="103"/>
      <c r="CT325" s="103"/>
      <c r="CV325" s="103"/>
      <c r="CW325" s="103"/>
      <c r="CX325" s="103"/>
      <c r="CZ325" s="1009"/>
      <c r="DA325" s="1009"/>
      <c r="DB325" s="103"/>
      <c r="DD325" s="1009"/>
      <c r="DE325" s="103"/>
      <c r="DF325" s="103"/>
      <c r="DH325" s="1009"/>
      <c r="DI325" s="103"/>
      <c r="DJ325" s="103"/>
      <c r="DL325" s="103"/>
      <c r="DM325" s="103"/>
      <c r="DN325" s="103"/>
      <c r="DP325" s="103"/>
      <c r="DQ325" s="103"/>
      <c r="DR325" s="103"/>
    </row>
    <row r="326" spans="1:283" s="332" customFormat="1">
      <c r="A326" s="1207" t="s">
        <v>899</v>
      </c>
      <c r="AN326" s="293"/>
      <c r="AO326" s="293"/>
      <c r="AP326" s="293"/>
      <c r="AQ326" s="293"/>
      <c r="AR326" s="293"/>
      <c r="AS326" s="293"/>
      <c r="AT326" s="293"/>
      <c r="AU326" s="293"/>
      <c r="AV326" s="293"/>
      <c r="AW326" s="293"/>
      <c r="AX326" s="293"/>
      <c r="AY326" s="293"/>
      <c r="AZ326" s="293"/>
      <c r="BA326" s="293"/>
      <c r="BB326" s="293"/>
      <c r="BC326" s="293"/>
      <c r="BD326" s="293"/>
      <c r="BE326" s="293"/>
      <c r="BF326" s="293"/>
      <c r="BG326" s="293"/>
      <c r="BH326" s="293"/>
      <c r="BI326" s="293"/>
      <c r="BJ326" s="293"/>
      <c r="BK326" s="293"/>
      <c r="BL326" s="293"/>
      <c r="BM326" s="293"/>
      <c r="BN326" s="293"/>
      <c r="BO326" s="293"/>
      <c r="BP326" s="293"/>
      <c r="BQ326" s="293"/>
      <c r="BR326" s="293"/>
      <c r="BS326" s="293"/>
      <c r="BT326" s="293"/>
      <c r="BU326" s="293"/>
      <c r="BV326" s="293"/>
      <c r="BW326" s="293"/>
      <c r="BX326" s="293"/>
      <c r="BY326" s="293"/>
      <c r="BZ326" s="293"/>
      <c r="CA326" s="293"/>
      <c r="CB326" s="293"/>
      <c r="CC326" s="293"/>
      <c r="CD326" s="293"/>
      <c r="CE326" s="293"/>
      <c r="CF326" s="293"/>
      <c r="CG326" s="293"/>
      <c r="CH326" s="293"/>
      <c r="CI326" s="293"/>
      <c r="CJ326" s="293"/>
      <c r="CK326" s="293"/>
      <c r="CL326" s="293"/>
      <c r="CM326" s="293"/>
      <c r="CN326" s="293"/>
      <c r="CO326" s="293"/>
      <c r="CP326" s="293"/>
      <c r="CQ326" s="293"/>
      <c r="CR326" s="293"/>
      <c r="CS326" s="293"/>
      <c r="CT326" s="293"/>
      <c r="CU326" s="293"/>
      <c r="CV326" s="293"/>
      <c r="CW326" s="293"/>
      <c r="CX326" s="293"/>
      <c r="CY326" s="293"/>
      <c r="CZ326" s="1010"/>
      <c r="DA326" s="1010"/>
      <c r="DB326" s="293"/>
      <c r="DC326" s="293"/>
      <c r="DD326" s="1010"/>
      <c r="DE326" s="293"/>
      <c r="DF326" s="293"/>
      <c r="DG326" s="293"/>
      <c r="DH326" s="1010"/>
      <c r="DI326" s="293"/>
      <c r="DJ326" s="293"/>
      <c r="DK326" s="293"/>
      <c r="DL326" s="293"/>
      <c r="DM326" s="293"/>
      <c r="DN326" s="293"/>
      <c r="DO326" s="293"/>
      <c r="DP326" s="293"/>
      <c r="DQ326" s="293"/>
      <c r="DR326" s="293"/>
      <c r="DS326" s="293"/>
      <c r="DT326" s="293"/>
      <c r="DU326" s="293"/>
      <c r="DV326" s="293"/>
      <c r="DW326" s="828"/>
      <c r="DX326" s="293"/>
      <c r="DY326" s="293"/>
      <c r="DZ326" s="293"/>
      <c r="EA326" s="293"/>
      <c r="EB326" s="293"/>
      <c r="EC326" s="293"/>
      <c r="ED326" s="293"/>
      <c r="EE326" s="293"/>
      <c r="EF326" s="293"/>
      <c r="EG326" s="293"/>
      <c r="EH326" s="293"/>
      <c r="EI326" s="293"/>
      <c r="EJ326" s="293"/>
      <c r="EK326" s="293"/>
      <c r="EL326" s="293"/>
      <c r="EM326" s="293"/>
      <c r="EN326" s="293"/>
      <c r="EO326" s="293"/>
      <c r="EP326" s="293"/>
      <c r="EQ326" s="293"/>
      <c r="ER326" s="293"/>
      <c r="ES326" s="293"/>
      <c r="ET326" s="293"/>
      <c r="EU326" s="293"/>
      <c r="JW326"/>
    </row>
    <row r="327" spans="1:283" s="332" customFormat="1">
      <c r="A327" s="332" t="str">
        <f>A238</f>
        <v>Employment expenses</v>
      </c>
      <c r="AN327" s="492">
        <f t="shared" ref="AN327:AP329" si="897">AN238</f>
        <v>-119</v>
      </c>
      <c r="AO327" s="492">
        <f t="shared" si="897"/>
        <v>-133</v>
      </c>
      <c r="AP327" s="492">
        <f t="shared" si="897"/>
        <v>-252</v>
      </c>
      <c r="AQ327" s="293"/>
      <c r="AR327" s="492">
        <f t="shared" ref="AR327:AT329" si="898">AR238</f>
        <v>-214</v>
      </c>
      <c r="AS327" s="492">
        <f t="shared" si="898"/>
        <v>-300</v>
      </c>
      <c r="AT327" s="492">
        <f t="shared" si="898"/>
        <v>-514</v>
      </c>
      <c r="AU327" s="626"/>
      <c r="AV327" s="492">
        <f t="shared" ref="AV327:AX329" si="899">AV238</f>
        <v>-224</v>
      </c>
      <c r="AW327" s="492">
        <f t="shared" si="899"/>
        <v>-263</v>
      </c>
      <c r="AX327" s="492">
        <f t="shared" si="899"/>
        <v>-487</v>
      </c>
      <c r="AY327" s="626"/>
      <c r="AZ327" s="492">
        <f t="shared" ref="AZ327:BB329" si="900">AZ238</f>
        <v>-297</v>
      </c>
      <c r="BA327" s="492">
        <f t="shared" si="900"/>
        <v>-387</v>
      </c>
      <c r="BB327" s="492">
        <f t="shared" si="900"/>
        <v>-684</v>
      </c>
      <c r="BC327" s="293"/>
      <c r="BD327" s="492">
        <f t="shared" ref="BD327:BF329" si="901">BD238</f>
        <v>-270.66669999999999</v>
      </c>
      <c r="BE327" s="492">
        <f t="shared" si="901"/>
        <v>-294</v>
      </c>
      <c r="BF327" s="492">
        <f t="shared" si="901"/>
        <v>-564.66669999999999</v>
      </c>
      <c r="BG327" s="293"/>
      <c r="BH327" s="492">
        <f t="shared" ref="BH327:BJ329" si="902">BH238</f>
        <v>-232</v>
      </c>
      <c r="BI327" s="492">
        <f t="shared" si="902"/>
        <v>-230</v>
      </c>
      <c r="BJ327" s="492">
        <f t="shared" si="902"/>
        <v>-462</v>
      </c>
      <c r="BK327" s="487"/>
      <c r="BL327" s="492">
        <f t="shared" ref="BL327:BN329" si="903">BL238</f>
        <v>-239</v>
      </c>
      <c r="BM327" s="492">
        <f t="shared" si="903"/>
        <v>-265</v>
      </c>
      <c r="BN327" s="492">
        <f t="shared" si="903"/>
        <v>-504</v>
      </c>
      <c r="BO327" s="487"/>
      <c r="BP327" s="492">
        <f t="shared" ref="BP327:BR329" si="904">BP238</f>
        <v>-260</v>
      </c>
      <c r="BQ327" s="492">
        <f t="shared" si="904"/>
        <v>-274</v>
      </c>
      <c r="BR327" s="492">
        <f t="shared" si="904"/>
        <v>-534</v>
      </c>
      <c r="BS327" s="487"/>
      <c r="BT327" s="492">
        <f t="shared" ref="BT327:BV329" si="905">BT238</f>
        <v>-293</v>
      </c>
      <c r="BU327" s="492">
        <f t="shared" si="905"/>
        <v>-321</v>
      </c>
      <c r="BV327" s="492">
        <f t="shared" si="905"/>
        <v>-614</v>
      </c>
      <c r="BW327" s="293"/>
      <c r="BX327" s="492">
        <f t="shared" ref="BX327:BZ329" si="906">BX238</f>
        <v>-290</v>
      </c>
      <c r="BY327" s="492">
        <f t="shared" si="906"/>
        <v>-275</v>
      </c>
      <c r="BZ327" s="492">
        <f t="shared" si="906"/>
        <v>-565</v>
      </c>
      <c r="CA327" s="293"/>
      <c r="CB327" s="492">
        <f t="shared" ref="CB327:CD329" si="907">CB238</f>
        <v>-278</v>
      </c>
      <c r="CC327" s="492">
        <f t="shared" si="907"/>
        <v>-320</v>
      </c>
      <c r="CD327" s="492">
        <f t="shared" si="907"/>
        <v>-598</v>
      </c>
      <c r="CE327" s="293"/>
      <c r="CF327" s="492">
        <f t="shared" ref="CF327:CH329" si="908">CF238</f>
        <v>-361</v>
      </c>
      <c r="CG327" s="492">
        <f t="shared" si="908"/>
        <v>-420</v>
      </c>
      <c r="CH327" s="492">
        <f t="shared" si="908"/>
        <v>-781</v>
      </c>
      <c r="CI327" s="293"/>
      <c r="CJ327" s="492">
        <f t="shared" ref="CJ327:CL329" si="909">CJ238</f>
        <v>-276</v>
      </c>
      <c r="CK327" s="492">
        <f t="shared" si="909"/>
        <v>-308</v>
      </c>
      <c r="CL327" s="492">
        <f t="shared" si="909"/>
        <v>-584</v>
      </c>
      <c r="CM327" s="293"/>
      <c r="CN327" s="492">
        <f t="shared" ref="CN327:CP329" si="910">CN238</f>
        <v>-298</v>
      </c>
      <c r="CO327" s="492">
        <f t="shared" si="910"/>
        <v>-284</v>
      </c>
      <c r="CP327" s="492">
        <f t="shared" si="910"/>
        <v>-582</v>
      </c>
      <c r="CQ327" s="293"/>
      <c r="CR327" s="492">
        <f t="shared" ref="CR327:CT329" si="911">CR238</f>
        <v>-286</v>
      </c>
      <c r="CS327" s="492">
        <f t="shared" si="911"/>
        <v>-305</v>
      </c>
      <c r="CT327" s="492">
        <f t="shared" si="911"/>
        <v>-591</v>
      </c>
      <c r="CU327" s="293"/>
      <c r="CV327" s="492">
        <f t="shared" ref="CV327:CX329" si="912">CV238</f>
        <v>-336</v>
      </c>
      <c r="CW327" s="492">
        <f t="shared" si="912"/>
        <v>-388</v>
      </c>
      <c r="CX327" s="492">
        <f t="shared" si="912"/>
        <v>-724</v>
      </c>
      <c r="CY327" s="293"/>
      <c r="CZ327" s="1419">
        <f t="shared" ref="CZ327:DB329" si="913">CZ238</f>
        <v>-401</v>
      </c>
      <c r="DA327" s="1419">
        <f t="shared" si="913"/>
        <v>-410</v>
      </c>
      <c r="DB327" s="492">
        <f t="shared" si="913"/>
        <v>-811</v>
      </c>
      <c r="DC327" s="293"/>
      <c r="DD327" s="1419">
        <f t="shared" ref="DD327:DF327" si="914">DD238</f>
        <v>-403</v>
      </c>
      <c r="DE327" s="1419">
        <f t="shared" si="914"/>
        <v>-401</v>
      </c>
      <c r="DF327" s="492">
        <f t="shared" si="914"/>
        <v>-804</v>
      </c>
      <c r="DG327" s="293"/>
      <c r="DH327" s="1419">
        <f t="shared" ref="DH327" si="915">DH238</f>
        <v>-438</v>
      </c>
      <c r="DI327" s="293">
        <f t="shared" ref="DI327:DI329" si="916">+DE327*(1+DI332)</f>
        <v>-423.05499999999995</v>
      </c>
      <c r="DJ327" s="293">
        <f>DH327+DI327</f>
        <v>-861.05499999999995</v>
      </c>
      <c r="DK327" s="293"/>
      <c r="DL327" s="293">
        <f t="shared" ref="DL327:DL329" si="917">+DH327*(1+DL332)</f>
        <v>-418.28999999999996</v>
      </c>
      <c r="DM327" s="293">
        <f t="shared" ref="DM327:DM329" si="918">+DI327*(1+DM332)</f>
        <v>-433.63137499999993</v>
      </c>
      <c r="DN327" s="293">
        <f>DL327+DM327</f>
        <v>-851.9213749999999</v>
      </c>
      <c r="DO327" s="293"/>
      <c r="DP327" s="293">
        <f t="shared" ref="DP327:DP329" si="919">+DL327*(1+DP332)</f>
        <v>-432.93014999999991</v>
      </c>
      <c r="DQ327" s="293">
        <f t="shared" ref="DQ327:DQ329" si="920">+DM327*(1+DQ332)</f>
        <v>-448.80847312499992</v>
      </c>
      <c r="DR327" s="293">
        <f>DP327+DQ327</f>
        <v>-881.73862312499978</v>
      </c>
      <c r="DS327" s="293"/>
      <c r="DT327" s="293"/>
      <c r="DU327" s="293"/>
      <c r="DV327" s="293"/>
      <c r="DW327" s="828" t="s">
        <v>514</v>
      </c>
      <c r="DX327" s="293"/>
      <c r="DY327" s="293"/>
      <c r="DZ327" s="293"/>
      <c r="EA327" s="293"/>
      <c r="EB327" s="293"/>
      <c r="EC327" s="293"/>
      <c r="ED327" s="293"/>
      <c r="EE327" s="293"/>
      <c r="EF327" s="293"/>
      <c r="EG327" s="293"/>
      <c r="EH327" s="293"/>
      <c r="EI327" s="293"/>
      <c r="EJ327" s="293"/>
      <c r="EK327" s="293"/>
      <c r="EL327" s="293"/>
      <c r="EM327" s="293"/>
      <c r="EN327" s="293"/>
      <c r="EO327" s="293"/>
      <c r="EP327" s="293"/>
      <c r="EQ327" s="293"/>
      <c r="ER327" s="293"/>
      <c r="ES327" s="293"/>
      <c r="ET327" s="293"/>
      <c r="EU327" s="293"/>
      <c r="JW327"/>
    </row>
    <row r="328" spans="1:283" s="332" customFormat="1">
      <c r="A328" s="332" t="str">
        <f>A239</f>
        <v>Brokerage and commission expenses</v>
      </c>
      <c r="AN328" s="492">
        <f t="shared" si="897"/>
        <v>-137</v>
      </c>
      <c r="AO328" s="492">
        <f t="shared" si="897"/>
        <v>-223</v>
      </c>
      <c r="AP328" s="492">
        <f t="shared" si="897"/>
        <v>-360</v>
      </c>
      <c r="AQ328" s="293"/>
      <c r="AR328" s="492">
        <f t="shared" si="898"/>
        <v>-187</v>
      </c>
      <c r="AS328" s="492">
        <f t="shared" si="898"/>
        <v>-160</v>
      </c>
      <c r="AT328" s="492">
        <f t="shared" si="898"/>
        <v>-347</v>
      </c>
      <c r="AU328" s="626"/>
      <c r="AV328" s="492">
        <f t="shared" si="899"/>
        <v>-195</v>
      </c>
      <c r="AW328" s="492">
        <f t="shared" si="899"/>
        <v>-161</v>
      </c>
      <c r="AX328" s="492">
        <f t="shared" si="899"/>
        <v>-356</v>
      </c>
      <c r="AY328" s="626"/>
      <c r="AZ328" s="492">
        <f t="shared" si="900"/>
        <v>-197</v>
      </c>
      <c r="BA328" s="492">
        <f t="shared" si="900"/>
        <v>-218</v>
      </c>
      <c r="BB328" s="492">
        <f t="shared" si="900"/>
        <v>-415</v>
      </c>
      <c r="BC328" s="293"/>
      <c r="BD328" s="492">
        <f t="shared" si="901"/>
        <v>-219</v>
      </c>
      <c r="BE328" s="492">
        <f t="shared" si="901"/>
        <v>-173.33330000000001</v>
      </c>
      <c r="BF328" s="492">
        <f t="shared" si="901"/>
        <v>-392.33330000000001</v>
      </c>
      <c r="BG328" s="293"/>
      <c r="BH328" s="492">
        <f t="shared" si="902"/>
        <v>-146</v>
      </c>
      <c r="BI328" s="492">
        <f t="shared" si="902"/>
        <v>-127</v>
      </c>
      <c r="BJ328" s="492">
        <f t="shared" si="902"/>
        <v>-273</v>
      </c>
      <c r="BK328" s="487"/>
      <c r="BL328" s="492">
        <f t="shared" si="903"/>
        <v>-190</v>
      </c>
      <c r="BM328" s="492">
        <f t="shared" si="903"/>
        <v>-221</v>
      </c>
      <c r="BN328" s="492">
        <f t="shared" si="903"/>
        <v>-411</v>
      </c>
      <c r="BO328" s="487"/>
      <c r="BP328" s="492">
        <f t="shared" si="904"/>
        <v>-195</v>
      </c>
      <c r="BQ328" s="492">
        <f t="shared" si="904"/>
        <v>-221</v>
      </c>
      <c r="BR328" s="492">
        <f t="shared" si="904"/>
        <v>-416</v>
      </c>
      <c r="BS328" s="487"/>
      <c r="BT328" s="492">
        <f t="shared" si="905"/>
        <v>-227</v>
      </c>
      <c r="BU328" s="492">
        <f t="shared" si="905"/>
        <v>-216</v>
      </c>
      <c r="BV328" s="492">
        <f t="shared" si="905"/>
        <v>-443</v>
      </c>
      <c r="BW328" s="293"/>
      <c r="BX328" s="492">
        <f t="shared" si="906"/>
        <v>-205</v>
      </c>
      <c r="BY328" s="492">
        <f t="shared" si="906"/>
        <v>-218</v>
      </c>
      <c r="BZ328" s="492">
        <f t="shared" si="906"/>
        <v>-423</v>
      </c>
      <c r="CA328" s="293"/>
      <c r="CB328" s="492">
        <f t="shared" si="907"/>
        <v>-190</v>
      </c>
      <c r="CC328" s="492">
        <f t="shared" si="907"/>
        <v>-208</v>
      </c>
      <c r="CD328" s="492">
        <f t="shared" si="907"/>
        <v>-398</v>
      </c>
      <c r="CE328" s="293"/>
      <c r="CF328" s="492">
        <f t="shared" si="908"/>
        <v>-320</v>
      </c>
      <c r="CG328" s="492">
        <f t="shared" si="908"/>
        <v>-316</v>
      </c>
      <c r="CH328" s="492">
        <f t="shared" si="908"/>
        <v>-636</v>
      </c>
      <c r="CI328" s="293"/>
      <c r="CJ328" s="492">
        <f t="shared" si="909"/>
        <v>-218</v>
      </c>
      <c r="CK328" s="492">
        <f t="shared" si="909"/>
        <v>-200</v>
      </c>
      <c r="CL328" s="492">
        <f t="shared" si="909"/>
        <v>-418</v>
      </c>
      <c r="CM328" s="293"/>
      <c r="CN328" s="492">
        <f t="shared" si="910"/>
        <v>-216</v>
      </c>
      <c r="CO328" s="492">
        <f t="shared" si="910"/>
        <v>-172</v>
      </c>
      <c r="CP328" s="492">
        <f t="shared" si="910"/>
        <v>-388</v>
      </c>
      <c r="CQ328" s="293"/>
      <c r="CR328" s="492">
        <f t="shared" si="911"/>
        <v>-195</v>
      </c>
      <c r="CS328" s="492">
        <f t="shared" si="911"/>
        <v>-194</v>
      </c>
      <c r="CT328" s="492">
        <f t="shared" si="911"/>
        <v>-389</v>
      </c>
      <c r="CU328" s="293"/>
      <c r="CV328" s="492">
        <f t="shared" si="912"/>
        <v>-193</v>
      </c>
      <c r="CW328" s="492">
        <f t="shared" si="912"/>
        <v>-222</v>
      </c>
      <c r="CX328" s="492">
        <f t="shared" si="912"/>
        <v>-415</v>
      </c>
      <c r="CY328" s="293"/>
      <c r="CZ328" s="1419">
        <f t="shared" si="913"/>
        <v>-222</v>
      </c>
      <c r="DA328" s="1419">
        <f t="shared" si="913"/>
        <v>-229</v>
      </c>
      <c r="DB328" s="492">
        <f t="shared" si="913"/>
        <v>-451</v>
      </c>
      <c r="DC328" s="293"/>
      <c r="DD328" s="1419">
        <f t="shared" ref="DD328:DF328" si="921">DD239</f>
        <v>-244</v>
      </c>
      <c r="DE328" s="1419">
        <f t="shared" si="921"/>
        <v>-237</v>
      </c>
      <c r="DF328" s="492">
        <f t="shared" si="921"/>
        <v>-481</v>
      </c>
      <c r="DG328" s="293"/>
      <c r="DH328" s="1419">
        <f t="shared" ref="DH328" si="922">DH239</f>
        <v>-248</v>
      </c>
      <c r="DI328" s="293">
        <f t="shared" si="916"/>
        <v>-250.035</v>
      </c>
      <c r="DJ328" s="293">
        <f>DH328+DI328</f>
        <v>-498.03499999999997</v>
      </c>
      <c r="DK328" s="293"/>
      <c r="DL328" s="293">
        <f t="shared" si="917"/>
        <v>-236.84</v>
      </c>
      <c r="DM328" s="293">
        <f t="shared" si="918"/>
        <v>-256.28587499999998</v>
      </c>
      <c r="DN328" s="293">
        <f>DL328+DM328</f>
        <v>-493.12587499999995</v>
      </c>
      <c r="DO328" s="293"/>
      <c r="DP328" s="293">
        <f t="shared" si="919"/>
        <v>-243.9452</v>
      </c>
      <c r="DQ328" s="293">
        <f t="shared" si="920"/>
        <v>-263.97445124999996</v>
      </c>
      <c r="DR328" s="293">
        <f>DP328+DQ328</f>
        <v>-507.91965124999996</v>
      </c>
      <c r="DS328" s="293"/>
      <c r="DT328" s="293"/>
      <c r="DU328" s="293"/>
      <c r="DV328" s="293"/>
      <c r="DW328" s="828" t="s">
        <v>514</v>
      </c>
      <c r="DX328" s="293"/>
      <c r="DY328" s="293"/>
      <c r="DZ328" s="293"/>
      <c r="EA328" s="293"/>
      <c r="EB328" s="293"/>
      <c r="EC328" s="293"/>
      <c r="ED328" s="293"/>
      <c r="EE328" s="293"/>
      <c r="EF328" s="293"/>
      <c r="EG328" s="293"/>
      <c r="EH328" s="293"/>
      <c r="EI328" s="293"/>
      <c r="EJ328" s="293"/>
      <c r="EK328" s="293"/>
      <c r="EL328" s="293"/>
      <c r="EM328" s="293"/>
      <c r="EN328" s="293"/>
      <c r="EO328" s="293"/>
      <c r="EP328" s="293"/>
      <c r="EQ328" s="293"/>
      <c r="ER328" s="293"/>
      <c r="ES328" s="293"/>
      <c r="ET328" s="293"/>
      <c r="EU328" s="293"/>
      <c r="JW328"/>
    </row>
    <row r="329" spans="1:283" s="332" customFormat="1">
      <c r="A329" s="332" t="str">
        <f>A240</f>
        <v>Other operating expenses</v>
      </c>
      <c r="AN329" s="492">
        <f t="shared" si="897"/>
        <v>-144</v>
      </c>
      <c r="AO329" s="492">
        <f t="shared" si="897"/>
        <v>-194</v>
      </c>
      <c r="AP329" s="492">
        <f t="shared" si="897"/>
        <v>-338</v>
      </c>
      <c r="AQ329" s="293"/>
      <c r="AR329" s="492">
        <f t="shared" si="898"/>
        <v>-332</v>
      </c>
      <c r="AS329" s="492">
        <f t="shared" si="898"/>
        <v>-405</v>
      </c>
      <c r="AT329" s="492">
        <f t="shared" si="898"/>
        <v>-737</v>
      </c>
      <c r="AU329" s="626"/>
      <c r="AV329" s="492">
        <f t="shared" si="899"/>
        <v>-321</v>
      </c>
      <c r="AW329" s="492">
        <f t="shared" si="899"/>
        <v>-350</v>
      </c>
      <c r="AX329" s="492">
        <f t="shared" si="899"/>
        <v>-671</v>
      </c>
      <c r="AY329" s="626"/>
      <c r="AZ329" s="492">
        <f t="shared" si="900"/>
        <v>-411.5</v>
      </c>
      <c r="BA329" s="492">
        <f t="shared" si="900"/>
        <v>-453.5</v>
      </c>
      <c r="BB329" s="492">
        <f t="shared" si="900"/>
        <v>-865</v>
      </c>
      <c r="BC329" s="293"/>
      <c r="BD329" s="492">
        <f t="shared" si="901"/>
        <v>-479.33330000000001</v>
      </c>
      <c r="BE329" s="492">
        <f t="shared" si="901"/>
        <v>-476</v>
      </c>
      <c r="BF329" s="492">
        <f t="shared" si="901"/>
        <v>-955.33330000000001</v>
      </c>
      <c r="BG329" s="293"/>
      <c r="BH329" s="492">
        <f t="shared" si="902"/>
        <v>-353</v>
      </c>
      <c r="BI329" s="492">
        <f t="shared" si="902"/>
        <v>-365</v>
      </c>
      <c r="BJ329" s="492">
        <f t="shared" si="902"/>
        <v>-718</v>
      </c>
      <c r="BK329" s="487"/>
      <c r="BL329" s="492">
        <f t="shared" si="903"/>
        <v>-386</v>
      </c>
      <c r="BM329" s="492">
        <f t="shared" si="903"/>
        <v>-413</v>
      </c>
      <c r="BN329" s="492">
        <f t="shared" si="903"/>
        <v>-799</v>
      </c>
      <c r="BO329" s="487"/>
      <c r="BP329" s="492">
        <f t="shared" si="904"/>
        <v>-434</v>
      </c>
      <c r="BQ329" s="492">
        <f t="shared" si="904"/>
        <v>-466</v>
      </c>
      <c r="BR329" s="492">
        <f t="shared" si="904"/>
        <v>-900</v>
      </c>
      <c r="BS329" s="487"/>
      <c r="BT329" s="492">
        <f t="shared" si="905"/>
        <v>-487</v>
      </c>
      <c r="BU329" s="492">
        <f t="shared" si="905"/>
        <v>-527</v>
      </c>
      <c r="BV329" s="492">
        <f t="shared" si="905"/>
        <v>-1014</v>
      </c>
      <c r="BW329" s="293"/>
      <c r="BX329" s="492">
        <f t="shared" si="906"/>
        <v>-499</v>
      </c>
      <c r="BY329" s="492">
        <f t="shared" si="906"/>
        <v>-489</v>
      </c>
      <c r="BZ329" s="492">
        <f t="shared" si="906"/>
        <v>-988</v>
      </c>
      <c r="CA329" s="293"/>
      <c r="CB329" s="492">
        <f t="shared" si="907"/>
        <v>-475</v>
      </c>
      <c r="CC329" s="492">
        <f t="shared" si="907"/>
        <v>-526</v>
      </c>
      <c r="CD329" s="492">
        <f t="shared" si="907"/>
        <v>-1001</v>
      </c>
      <c r="CE329" s="293"/>
      <c r="CF329" s="492">
        <f t="shared" si="908"/>
        <v>-605</v>
      </c>
      <c r="CG329" s="492">
        <f t="shared" si="908"/>
        <v>-667</v>
      </c>
      <c r="CH329" s="492">
        <f t="shared" si="908"/>
        <v>-1272</v>
      </c>
      <c r="CI329" s="293"/>
      <c r="CJ329" s="492">
        <f t="shared" si="909"/>
        <v>-524</v>
      </c>
      <c r="CK329" s="492">
        <f t="shared" si="909"/>
        <v>-576</v>
      </c>
      <c r="CL329" s="492">
        <f t="shared" si="909"/>
        <v>-1100</v>
      </c>
      <c r="CM329" s="293"/>
      <c r="CN329" s="492">
        <f t="shared" si="910"/>
        <v>-534</v>
      </c>
      <c r="CO329" s="492">
        <f t="shared" si="910"/>
        <v>-573</v>
      </c>
      <c r="CP329" s="492">
        <f t="shared" si="910"/>
        <v>-1107</v>
      </c>
      <c r="CQ329" s="293"/>
      <c r="CR329" s="492">
        <f t="shared" si="911"/>
        <v>-559</v>
      </c>
      <c r="CS329" s="492">
        <f t="shared" si="911"/>
        <v>-729</v>
      </c>
      <c r="CT329" s="492">
        <f t="shared" si="911"/>
        <v>-1288</v>
      </c>
      <c r="CU329" s="293"/>
      <c r="CV329" s="492">
        <f t="shared" si="912"/>
        <v>-714</v>
      </c>
      <c r="CW329" s="492">
        <f t="shared" si="912"/>
        <v>-857</v>
      </c>
      <c r="CX329" s="492">
        <f t="shared" si="912"/>
        <v>-1571</v>
      </c>
      <c r="CY329" s="293"/>
      <c r="CZ329" s="492">
        <f t="shared" si="913"/>
        <v>-922</v>
      </c>
      <c r="DA329" s="492">
        <f t="shared" si="913"/>
        <v>-924</v>
      </c>
      <c r="DB329" s="492">
        <f t="shared" si="913"/>
        <v>-1846</v>
      </c>
      <c r="DC329" s="293"/>
      <c r="DD329" s="492">
        <f t="shared" ref="DD329:DF329" si="923">DD240</f>
        <v>-931</v>
      </c>
      <c r="DE329" s="492">
        <f t="shared" si="923"/>
        <v>-974</v>
      </c>
      <c r="DF329" s="492">
        <f t="shared" si="923"/>
        <v>-1905</v>
      </c>
      <c r="DG329" s="626"/>
      <c r="DH329" s="492">
        <f t="shared" ref="DH329" si="924">DH240</f>
        <v>-1085</v>
      </c>
      <c r="DI329" s="293">
        <f t="shared" si="916"/>
        <v>-1027.57</v>
      </c>
      <c r="DJ329" s="293">
        <f>DH329+DI329</f>
        <v>-2112.5699999999997</v>
      </c>
      <c r="DK329" s="293"/>
      <c r="DL329" s="293">
        <f t="shared" si="917"/>
        <v>-1036.175</v>
      </c>
      <c r="DM329" s="293">
        <f t="shared" si="918"/>
        <v>-1053.2592499999998</v>
      </c>
      <c r="DN329" s="293">
        <f>DL329+DM329</f>
        <v>-2089.4342499999998</v>
      </c>
      <c r="DO329" s="293"/>
      <c r="DP329" s="293">
        <f t="shared" si="919"/>
        <v>-1067.26025</v>
      </c>
      <c r="DQ329" s="293">
        <f t="shared" si="920"/>
        <v>-1084.8570275</v>
      </c>
      <c r="DR329" s="293">
        <f>DP329+DQ329</f>
        <v>-2152.1172775</v>
      </c>
      <c r="DS329" s="293"/>
      <c r="DT329" s="293"/>
      <c r="DU329" s="293"/>
      <c r="DV329" s="293"/>
      <c r="DW329" s="828" t="s">
        <v>514</v>
      </c>
      <c r="DX329" s="293"/>
      <c r="DY329" s="293"/>
      <c r="DZ329" s="293"/>
      <c r="EA329" s="293"/>
      <c r="EB329" s="293"/>
      <c r="EC329" s="293"/>
      <c r="ED329" s="293"/>
      <c r="EE329" s="293"/>
      <c r="EF329" s="293"/>
      <c r="EG329" s="293"/>
      <c r="EH329" s="293"/>
      <c r="EI329" s="293"/>
      <c r="EJ329" s="293"/>
      <c r="EK329" s="293"/>
      <c r="EL329" s="293"/>
      <c r="EM329" s="293"/>
      <c r="EN329" s="293"/>
      <c r="EO329" s="293"/>
      <c r="EP329" s="293"/>
      <c r="EQ329" s="293"/>
      <c r="ER329" s="293"/>
      <c r="ES329" s="293"/>
      <c r="ET329" s="293"/>
      <c r="EU329" s="293"/>
      <c r="JW329"/>
    </row>
    <row r="330" spans="1:283" s="332" customFormat="1">
      <c r="A330" s="327" t="s">
        <v>913</v>
      </c>
      <c r="AN330" s="820">
        <f>SUM(AN327:AN329)</f>
        <v>-400</v>
      </c>
      <c r="AO330" s="820">
        <f>SUM(AO327:AO329)</f>
        <v>-550</v>
      </c>
      <c r="AP330" s="820">
        <f>SUM(AP327:AP329)</f>
        <v>-950</v>
      </c>
      <c r="AQ330" s="293"/>
      <c r="AR330" s="820">
        <f>SUM(AR327:AR329)</f>
        <v>-733</v>
      </c>
      <c r="AS330" s="820">
        <f>SUM(AS327:AS329)</f>
        <v>-865</v>
      </c>
      <c r="AT330" s="820">
        <f>SUM(AT327:AT329)</f>
        <v>-1598</v>
      </c>
      <c r="AU330" s="626"/>
      <c r="AV330" s="820">
        <f>SUM(AV327:AV329)</f>
        <v>-740</v>
      </c>
      <c r="AW330" s="820">
        <f>SUM(AW327:AW329)</f>
        <v>-774</v>
      </c>
      <c r="AX330" s="820">
        <f>SUM(AX327:AX329)</f>
        <v>-1514</v>
      </c>
      <c r="AY330" s="626"/>
      <c r="AZ330" s="820">
        <f>SUM(AZ327:AZ329)</f>
        <v>-905.5</v>
      </c>
      <c r="BA330" s="820">
        <f>SUM(BA327:BA329)</f>
        <v>-1058.5</v>
      </c>
      <c r="BB330" s="820">
        <f>SUM(BB327:BB329)</f>
        <v>-1964</v>
      </c>
      <c r="BC330" s="293"/>
      <c r="BD330" s="820">
        <f>SUM(BD327:BD329)</f>
        <v>-969</v>
      </c>
      <c r="BE330" s="820">
        <f>SUM(BE327:BE329)</f>
        <v>-943.33330000000001</v>
      </c>
      <c r="BF330" s="820">
        <f>SUM(BF327:BF329)</f>
        <v>-1912.3333</v>
      </c>
      <c r="BG330" s="293"/>
      <c r="BH330" s="820">
        <f>SUM(BH327:BH329)</f>
        <v>-731</v>
      </c>
      <c r="BI330" s="820">
        <f>SUM(BI327:BI329)</f>
        <v>-722</v>
      </c>
      <c r="BJ330" s="820">
        <f>SUM(BJ327:BJ329)</f>
        <v>-1453</v>
      </c>
      <c r="BK330" s="487"/>
      <c r="BL330" s="820">
        <f>SUM(BL327:BL329)</f>
        <v>-815</v>
      </c>
      <c r="BM330" s="820">
        <f>SUM(BM327:BM329)</f>
        <v>-899</v>
      </c>
      <c r="BN330" s="820">
        <f>SUM(BN327:BN329)</f>
        <v>-1714</v>
      </c>
      <c r="BO330" s="487"/>
      <c r="BP330" s="820">
        <f>SUM(BP327:BP329)</f>
        <v>-889</v>
      </c>
      <c r="BQ330" s="820">
        <f>SUM(BQ327:BQ329)</f>
        <v>-961</v>
      </c>
      <c r="BR330" s="820">
        <f>SUM(BR327:BR329)</f>
        <v>-1850</v>
      </c>
      <c r="BS330" s="487"/>
      <c r="BT330" s="820">
        <f>SUM(BT327:BT329)</f>
        <v>-1007</v>
      </c>
      <c r="BU330" s="820">
        <f>SUM(BU327:BU329)</f>
        <v>-1064</v>
      </c>
      <c r="BV330" s="820">
        <f>SUM(BV327:BV329)</f>
        <v>-2071</v>
      </c>
      <c r="BW330" s="293"/>
      <c r="BX330" s="820">
        <f>SUM(BX327:BX329)</f>
        <v>-994</v>
      </c>
      <c r="BY330" s="820">
        <f>SUM(BY327:BY329)</f>
        <v>-982</v>
      </c>
      <c r="BZ330" s="820">
        <f>SUM(BZ327:BZ329)</f>
        <v>-1976</v>
      </c>
      <c r="CA330" s="293"/>
      <c r="CB330" s="820">
        <f>SUM(CB327:CB329)</f>
        <v>-943</v>
      </c>
      <c r="CC330" s="820">
        <f>SUM(CC327:CC329)</f>
        <v>-1054</v>
      </c>
      <c r="CD330" s="820">
        <f>SUM(CD327:CD329)</f>
        <v>-1997</v>
      </c>
      <c r="CE330" s="293"/>
      <c r="CF330" s="820">
        <f>SUM(CF327:CF329)</f>
        <v>-1286</v>
      </c>
      <c r="CG330" s="820">
        <f>SUM(CG327:CG329)</f>
        <v>-1403</v>
      </c>
      <c r="CH330" s="820">
        <f>SUM(CH327:CH329)</f>
        <v>-2689</v>
      </c>
      <c r="CI330" s="293"/>
      <c r="CJ330" s="820">
        <f>SUM(CJ327:CJ329)</f>
        <v>-1018</v>
      </c>
      <c r="CK330" s="820">
        <f>SUM(CK327:CK329)</f>
        <v>-1084</v>
      </c>
      <c r="CL330" s="820">
        <f>SUM(CL327:CL329)</f>
        <v>-2102</v>
      </c>
      <c r="CM330" s="293"/>
      <c r="CN330" s="820">
        <f>SUM(CN327:CN329)</f>
        <v>-1048</v>
      </c>
      <c r="CO330" s="820">
        <f>SUM(CO327:CO329)</f>
        <v>-1029</v>
      </c>
      <c r="CP330" s="820">
        <f>SUM(CP327:CP329)</f>
        <v>-2077</v>
      </c>
      <c r="CQ330" s="293"/>
      <c r="CR330" s="820">
        <f>SUM(CR327:CR329)</f>
        <v>-1040</v>
      </c>
      <c r="CS330" s="820">
        <f>SUM(CS327:CS329)</f>
        <v>-1228</v>
      </c>
      <c r="CT330" s="820">
        <f>SUM(CT327:CT329)</f>
        <v>-2268</v>
      </c>
      <c r="CU330" s="293"/>
      <c r="CV330" s="820">
        <f>SUM(CV327:CV329)</f>
        <v>-1243</v>
      </c>
      <c r="CW330" s="820">
        <f>SUM(CW327:CW329)</f>
        <v>-1467</v>
      </c>
      <c r="CX330" s="820">
        <f>SUM(CX327:CX329)</f>
        <v>-2710</v>
      </c>
      <c r="CY330" s="293"/>
      <c r="CZ330" s="820">
        <f>SUM(CZ327:CZ329)</f>
        <v>-1545</v>
      </c>
      <c r="DA330" s="820">
        <f>SUM(DA327:DA329)</f>
        <v>-1563</v>
      </c>
      <c r="DB330" s="820">
        <f>SUM(DB327:DB329)</f>
        <v>-3108</v>
      </c>
      <c r="DC330" s="293"/>
      <c r="DD330" s="820">
        <f>SUM(DD327:DD329)</f>
        <v>-1578</v>
      </c>
      <c r="DE330" s="820">
        <f>SUM(DE327:DE329)</f>
        <v>-1612</v>
      </c>
      <c r="DF330" s="820">
        <f>SUM(DF327:DF329)</f>
        <v>-3190</v>
      </c>
      <c r="DG330" s="293"/>
      <c r="DH330" s="820">
        <f>SUM(DH327:DH329)</f>
        <v>-1771</v>
      </c>
      <c r="DI330" s="820">
        <f>SUM(DI327:DI329)</f>
        <v>-1700.6599999999999</v>
      </c>
      <c r="DJ330" s="820">
        <f>SUM(DJ327:DJ329)</f>
        <v>-3471.66</v>
      </c>
      <c r="DK330" s="293"/>
      <c r="DL330" s="820">
        <f>SUM(DL327:DL329)</f>
        <v>-1691.3049999999998</v>
      </c>
      <c r="DM330" s="820">
        <f>SUM(DM327:DM329)</f>
        <v>-1743.1764999999998</v>
      </c>
      <c r="DN330" s="820">
        <f>SUM(DN327:DN329)</f>
        <v>-3434.4814999999999</v>
      </c>
      <c r="DO330" s="293"/>
      <c r="DP330" s="820">
        <f>SUM(DP327:DP329)</f>
        <v>-1744.1356000000001</v>
      </c>
      <c r="DQ330" s="820">
        <f>SUM(DQ327:DQ329)</f>
        <v>-1797.639951875</v>
      </c>
      <c r="DR330" s="820">
        <f>SUM(DR327:DR329)</f>
        <v>-3541.775551875</v>
      </c>
      <c r="DS330" s="293"/>
      <c r="DT330" s="293"/>
      <c r="DU330" s="293"/>
      <c r="DV330" s="293"/>
      <c r="DW330" s="1197"/>
      <c r="DX330" s="293"/>
      <c r="DY330" s="293"/>
      <c r="DZ330" s="293"/>
      <c r="EA330" s="293"/>
      <c r="EB330" s="293"/>
      <c r="EC330" s="293"/>
      <c r="ED330" s="293"/>
      <c r="EE330" s="293"/>
      <c r="EF330" s="293"/>
      <c r="EG330" s="293"/>
      <c r="EH330" s="293"/>
      <c r="EI330" s="293"/>
      <c r="EJ330" s="293"/>
      <c r="EK330" s="293"/>
      <c r="EL330" s="293"/>
      <c r="EM330" s="293"/>
      <c r="EN330" s="293"/>
      <c r="EO330" s="293"/>
      <c r="EP330" s="293"/>
      <c r="EQ330" s="293"/>
      <c r="ER330" s="293"/>
      <c r="ES330" s="293"/>
      <c r="ET330" s="293"/>
      <c r="EU330" s="293"/>
      <c r="JW330"/>
    </row>
    <row r="331" spans="1:283">
      <c r="A331" s="328" t="s">
        <v>835</v>
      </c>
      <c r="CR331" s="103"/>
      <c r="CS331" s="103"/>
      <c r="CT331" s="103"/>
      <c r="CV331" s="103"/>
      <c r="CW331" s="103"/>
      <c r="CX331" s="103"/>
      <c r="CZ331" s="103"/>
      <c r="DA331" s="103"/>
      <c r="DB331" s="103"/>
      <c r="DD331" s="103"/>
      <c r="DE331" s="103"/>
      <c r="DF331" s="103"/>
      <c r="DH331" s="103"/>
      <c r="DI331" s="293"/>
      <c r="DJ331" s="293"/>
      <c r="DL331" s="293"/>
      <c r="DM331" s="293"/>
      <c r="DN331" s="293"/>
      <c r="DP331" s="293"/>
      <c r="DQ331" s="293"/>
      <c r="DR331" s="293"/>
      <c r="DW331" s="1197"/>
      <c r="DX331" s="293"/>
      <c r="DY331" s="293"/>
      <c r="EA331" s="293"/>
      <c r="EB331" s="293"/>
      <c r="EC331" s="293"/>
      <c r="EE331" s="293"/>
      <c r="EF331" s="293"/>
      <c r="EG331" s="293"/>
      <c r="EI331" s="293"/>
      <c r="EJ331" s="293"/>
      <c r="EK331" s="293"/>
    </row>
    <row r="332" spans="1:283" s="323" customFormat="1">
      <c r="A332" s="1079" t="str">
        <f>A327</f>
        <v>Employment expenses</v>
      </c>
      <c r="AN332" s="648"/>
      <c r="AO332" s="648"/>
      <c r="AP332" s="115"/>
      <c r="AQ332" s="115"/>
      <c r="AR332" s="648"/>
      <c r="AS332" s="648"/>
      <c r="AT332" s="648"/>
      <c r="AU332" s="115"/>
      <c r="AV332" s="648">
        <f t="shared" ref="AV332:AX335" si="925">+AV327/AR327-1</f>
        <v>4.6728971962616717E-2</v>
      </c>
      <c r="AW332" s="648">
        <f t="shared" si="925"/>
        <v>-0.12333333333333329</v>
      </c>
      <c r="AX332" s="648">
        <f t="shared" si="925"/>
        <v>-5.2529182879377467E-2</v>
      </c>
      <c r="AY332" s="115"/>
      <c r="AZ332" s="648">
        <f t="shared" ref="AZ332:BB335" si="926">+AZ327/AV327-1</f>
        <v>0.32589285714285721</v>
      </c>
      <c r="BA332" s="648">
        <f t="shared" si="926"/>
        <v>0.47148288973384034</v>
      </c>
      <c r="BB332" s="648">
        <f t="shared" si="926"/>
        <v>0.40451745379876791</v>
      </c>
      <c r="BC332" s="115"/>
      <c r="BD332" s="648">
        <f t="shared" ref="BD332:BF335" si="927">+BD327/AZ327-1</f>
        <v>-8.8664309764309834E-2</v>
      </c>
      <c r="BE332" s="648">
        <f t="shared" si="927"/>
        <v>-0.24031007751937983</v>
      </c>
      <c r="BF332" s="648">
        <f t="shared" si="927"/>
        <v>-0.17446388888888886</v>
      </c>
      <c r="BG332" s="115"/>
      <c r="BH332" s="648">
        <f t="shared" ref="BH332:BJ335" si="928">+BH327/BD327-1</f>
        <v>-0.14285724841659497</v>
      </c>
      <c r="BI332" s="648">
        <f t="shared" si="928"/>
        <v>-0.21768707482993199</v>
      </c>
      <c r="BJ332" s="648">
        <f t="shared" si="928"/>
        <v>-0.18181823011698761</v>
      </c>
      <c r="BK332" s="115"/>
      <c r="BL332" s="648">
        <f t="shared" ref="BL332:BP335" si="929">+BL327/BH327-1</f>
        <v>3.0172413793103425E-2</v>
      </c>
      <c r="BM332" s="648">
        <f t="shared" si="929"/>
        <v>0.15217391304347827</v>
      </c>
      <c r="BN332" s="648">
        <f t="shared" si="929"/>
        <v>9.0909090909090828E-2</v>
      </c>
      <c r="BO332" s="115"/>
      <c r="BP332" s="648">
        <f t="shared" si="929"/>
        <v>8.786610878661083E-2</v>
      </c>
      <c r="BQ332" s="648">
        <f t="shared" ref="BQ332:BR335" si="930">+BQ327/BM327-1</f>
        <v>3.3962264150943389E-2</v>
      </c>
      <c r="BR332" s="648">
        <f t="shared" si="930"/>
        <v>5.9523809523809534E-2</v>
      </c>
      <c r="BS332" s="115"/>
      <c r="BT332" s="648">
        <f t="shared" ref="BT332:BV335" si="931">+BT327/BP327-1</f>
        <v>0.12692307692307692</v>
      </c>
      <c r="BU332" s="648">
        <f t="shared" si="931"/>
        <v>0.17153284671532854</v>
      </c>
      <c r="BV332" s="648">
        <f t="shared" si="931"/>
        <v>0.14981273408239693</v>
      </c>
      <c r="BW332" s="115"/>
      <c r="BX332" s="648">
        <f t="shared" ref="BX332:BY335" si="932">+BX327/BT327-1</f>
        <v>-1.0238907849829393E-2</v>
      </c>
      <c r="BY332" s="648">
        <f t="shared" si="932"/>
        <v>-0.14330218068535827</v>
      </c>
      <c r="BZ332" s="648">
        <f>+BZ327/BV327-1</f>
        <v>-7.9804560260586355E-2</v>
      </c>
      <c r="CA332" s="115"/>
      <c r="CB332" s="648">
        <f>+CB327/BX327-1</f>
        <v>-4.1379310344827558E-2</v>
      </c>
      <c r="CC332" s="648">
        <f t="shared" ref="CC332:CC335" si="933">+CC327/BY327-1</f>
        <v>0.16363636363636358</v>
      </c>
      <c r="CD332" s="648">
        <f>+CD327/BZ327-1</f>
        <v>5.8407079646017657E-2</v>
      </c>
      <c r="CE332" s="115"/>
      <c r="CF332" s="648">
        <f>+CF327/CB327-1</f>
        <v>0.29856115107913661</v>
      </c>
      <c r="CG332" s="648">
        <f t="shared" ref="CG332:CG335" si="934">+CG327/CC327-1</f>
        <v>0.3125</v>
      </c>
      <c r="CH332" s="648">
        <f>+CH327/CD327-1</f>
        <v>0.30602006688963201</v>
      </c>
      <c r="CI332" s="115"/>
      <c r="CJ332" s="648">
        <f>+CJ327/CF327-1</f>
        <v>-0.23545706371191133</v>
      </c>
      <c r="CK332" s="648">
        <f t="shared" ref="CK332:CK335" si="935">+CK327/CG327-1</f>
        <v>-0.26666666666666672</v>
      </c>
      <c r="CL332" s="648">
        <f>+CL327/CH327-1</f>
        <v>-0.25224071702944939</v>
      </c>
      <c r="CM332" s="115"/>
      <c r="CN332" s="648">
        <f>+CN327/CJ327-1</f>
        <v>7.9710144927536142E-2</v>
      </c>
      <c r="CO332" s="648">
        <f t="shared" ref="CO332:CO335" si="936">+CO327/CK327-1</f>
        <v>-7.7922077922077948E-2</v>
      </c>
      <c r="CP332" s="648">
        <f>+CP327/CL327-1</f>
        <v>-3.424657534246589E-3</v>
      </c>
      <c r="CQ332" s="115"/>
      <c r="CR332" s="684">
        <f>+CR327/CN327-1</f>
        <v>-4.0268456375838979E-2</v>
      </c>
      <c r="CS332" s="648">
        <f t="shared" ref="CS332:CS335" si="937">+CS327/CO327-1</f>
        <v>7.3943661971830998E-2</v>
      </c>
      <c r="CT332" s="648">
        <f>+CT327/CP327-1</f>
        <v>1.5463917525773141E-2</v>
      </c>
      <c r="CU332" s="817"/>
      <c r="CV332" s="684">
        <f>+CV327/CR327-1</f>
        <v>0.17482517482517479</v>
      </c>
      <c r="CW332" s="648">
        <f t="shared" ref="CW332:CW335" si="938">+CW327/CS327-1</f>
        <v>0.27213114754098355</v>
      </c>
      <c r="CX332" s="648">
        <f>+CX327/CT327-1</f>
        <v>0.22504230118443314</v>
      </c>
      <c r="CY332" s="817"/>
      <c r="CZ332" s="684">
        <f>+CZ327/CV327-1</f>
        <v>0.19345238095238093</v>
      </c>
      <c r="DA332" s="648">
        <f t="shared" ref="DA332:DA335" si="939">+DA327/CW327-1</f>
        <v>5.6701030927835072E-2</v>
      </c>
      <c r="DB332" s="648">
        <f>+DB327/CX327-1</f>
        <v>0.12016574585635365</v>
      </c>
      <c r="DC332" s="817"/>
      <c r="DD332" s="684">
        <f>+DD327/CZ327-1</f>
        <v>4.9875311720697368E-3</v>
      </c>
      <c r="DE332" s="648">
        <f t="shared" ref="DE332:DE335" si="940">+DE327/DA327-1</f>
        <v>-2.1951219512195141E-2</v>
      </c>
      <c r="DF332" s="648">
        <f>+DF327/DB327-1</f>
        <v>-8.6313193588162251E-3</v>
      </c>
      <c r="DG332" s="115"/>
      <c r="DH332" s="684">
        <f>+DH327/DD327-1</f>
        <v>8.6848635235732052E-2</v>
      </c>
      <c r="DI332" s="1973">
        <v>5.5E-2</v>
      </c>
      <c r="DJ332" s="684">
        <f>+DJ327/DF327-1</f>
        <v>7.0963930348258542E-2</v>
      </c>
      <c r="DK332" s="115"/>
      <c r="DL332" s="1398">
        <v>-4.4999999999999998E-2</v>
      </c>
      <c r="DM332" s="1973">
        <v>2.5000000000000001E-2</v>
      </c>
      <c r="DN332" s="684">
        <f>+DN327/DJ327-1</f>
        <v>-1.0607481519763651E-2</v>
      </c>
      <c r="DO332" s="115"/>
      <c r="DP332" s="1973">
        <v>3.5000000000000003E-2</v>
      </c>
      <c r="DQ332" s="1973">
        <v>3.5000000000000003E-2</v>
      </c>
      <c r="DR332" s="684">
        <f>+DR327/DN327-1</f>
        <v>3.499999999999992E-2</v>
      </c>
      <c r="DS332" s="115"/>
      <c r="DT332" s="115"/>
      <c r="DU332" s="115"/>
      <c r="DV332" s="115"/>
      <c r="DW332" s="1214" t="s">
        <v>175</v>
      </c>
      <c r="DX332" s="648"/>
      <c r="DY332" s="648"/>
      <c r="DZ332" s="115"/>
      <c r="EA332" s="648"/>
      <c r="EB332" s="648"/>
      <c r="EC332" s="648"/>
      <c r="ED332" s="115"/>
      <c r="EE332" s="648"/>
      <c r="EF332" s="648"/>
      <c r="EG332" s="648"/>
      <c r="EH332" s="115"/>
      <c r="EI332" s="648"/>
      <c r="EJ332" s="648"/>
      <c r="EK332" s="648"/>
      <c r="EL332" s="115"/>
      <c r="EM332" s="115"/>
      <c r="EN332" s="115"/>
      <c r="EO332" s="115"/>
      <c r="EP332" s="115"/>
      <c r="EQ332" s="115"/>
      <c r="ER332" s="115"/>
      <c r="ES332" s="115"/>
      <c r="ET332" s="115"/>
      <c r="EU332" s="115"/>
      <c r="JW332"/>
    </row>
    <row r="333" spans="1:283" s="323" customFormat="1">
      <c r="A333" s="1079" t="str">
        <f>A328</f>
        <v>Brokerage and commission expenses</v>
      </c>
      <c r="AN333" s="648"/>
      <c r="AO333" s="648"/>
      <c r="AP333" s="115"/>
      <c r="AQ333" s="115"/>
      <c r="AR333" s="648"/>
      <c r="AS333" s="648"/>
      <c r="AT333" s="648"/>
      <c r="AU333" s="115"/>
      <c r="AV333" s="648">
        <f t="shared" si="925"/>
        <v>4.2780748663101553E-2</v>
      </c>
      <c r="AW333" s="648">
        <f t="shared" si="925"/>
        <v>6.2500000000000888E-3</v>
      </c>
      <c r="AX333" s="648">
        <f t="shared" si="925"/>
        <v>2.5936599423631135E-2</v>
      </c>
      <c r="AY333" s="115"/>
      <c r="AZ333" s="648">
        <f t="shared" si="926"/>
        <v>1.025641025641022E-2</v>
      </c>
      <c r="BA333" s="648">
        <f t="shared" si="926"/>
        <v>0.35403726708074523</v>
      </c>
      <c r="BB333" s="648">
        <f t="shared" si="926"/>
        <v>0.16573033707865159</v>
      </c>
      <c r="BC333" s="115"/>
      <c r="BD333" s="648">
        <f t="shared" si="927"/>
        <v>0.11167512690355319</v>
      </c>
      <c r="BE333" s="648">
        <f t="shared" si="927"/>
        <v>-0.20489311926605502</v>
      </c>
      <c r="BF333" s="648">
        <f t="shared" si="927"/>
        <v>-5.4618554216867454E-2</v>
      </c>
      <c r="BG333" s="115"/>
      <c r="BH333" s="648">
        <f t="shared" si="928"/>
        <v>-0.33333333333333337</v>
      </c>
      <c r="BI333" s="648">
        <f t="shared" si="928"/>
        <v>-0.26730755140529838</v>
      </c>
      <c r="BJ333" s="648">
        <f t="shared" si="928"/>
        <v>-0.30416306747349764</v>
      </c>
      <c r="BK333" s="115"/>
      <c r="BL333" s="648">
        <f t="shared" si="929"/>
        <v>0.30136986301369872</v>
      </c>
      <c r="BM333" s="648">
        <f t="shared" si="929"/>
        <v>0.74015748031496065</v>
      </c>
      <c r="BN333" s="648">
        <f t="shared" si="929"/>
        <v>0.50549450549450547</v>
      </c>
      <c r="BO333" s="115"/>
      <c r="BP333" s="648">
        <f t="shared" si="929"/>
        <v>2.6315789473684292E-2</v>
      </c>
      <c r="BQ333" s="648">
        <f t="shared" si="930"/>
        <v>0</v>
      </c>
      <c r="BR333" s="648">
        <f t="shared" si="930"/>
        <v>1.2165450121654597E-2</v>
      </c>
      <c r="BS333" s="115"/>
      <c r="BT333" s="648">
        <f t="shared" si="931"/>
        <v>0.16410256410256419</v>
      </c>
      <c r="BU333" s="648">
        <f t="shared" si="931"/>
        <v>-2.2624434389140302E-2</v>
      </c>
      <c r="BV333" s="648">
        <f t="shared" si="931"/>
        <v>6.4903846153846256E-2</v>
      </c>
      <c r="BW333" s="115"/>
      <c r="BX333" s="648">
        <f t="shared" si="932"/>
        <v>-9.6916299559471342E-2</v>
      </c>
      <c r="BY333" s="648">
        <f t="shared" si="932"/>
        <v>9.2592592592593004E-3</v>
      </c>
      <c r="BZ333" s="648">
        <f>+BZ328/BV328-1</f>
        <v>-4.5146726862302478E-2</v>
      </c>
      <c r="CA333" s="115"/>
      <c r="CB333" s="648">
        <f>+CB328/BX328-1</f>
        <v>-7.3170731707317027E-2</v>
      </c>
      <c r="CC333" s="648">
        <f t="shared" si="933"/>
        <v>-4.587155963302747E-2</v>
      </c>
      <c r="CD333" s="648">
        <f>+CD328/BZ328-1</f>
        <v>-5.9101654846335672E-2</v>
      </c>
      <c r="CE333" s="115"/>
      <c r="CF333" s="648">
        <f>+CF328/CB328-1</f>
        <v>0.68421052631578938</v>
      </c>
      <c r="CG333" s="648">
        <f t="shared" si="934"/>
        <v>0.51923076923076916</v>
      </c>
      <c r="CH333" s="648">
        <f>+CH328/CD328-1</f>
        <v>0.59798994974874375</v>
      </c>
      <c r="CI333" s="115"/>
      <c r="CJ333" s="648">
        <f>+CJ328/CF328-1</f>
        <v>-0.31874999999999998</v>
      </c>
      <c r="CK333" s="648">
        <f t="shared" si="935"/>
        <v>-0.36708860759493667</v>
      </c>
      <c r="CL333" s="648">
        <f>+CL328/CH328-1</f>
        <v>-0.34276729559748431</v>
      </c>
      <c r="CM333" s="115"/>
      <c r="CN333" s="648">
        <f>+CN328/CJ328-1</f>
        <v>-9.1743119266054496E-3</v>
      </c>
      <c r="CO333" s="648">
        <f t="shared" si="936"/>
        <v>-0.14000000000000001</v>
      </c>
      <c r="CP333" s="648">
        <f>+CP328/CL328-1</f>
        <v>-7.1770334928229707E-2</v>
      </c>
      <c r="CQ333" s="115"/>
      <c r="CR333" s="684">
        <f>+CR328/CN328-1</f>
        <v>-9.722222222222221E-2</v>
      </c>
      <c r="CS333" s="648">
        <f t="shared" si="937"/>
        <v>0.12790697674418605</v>
      </c>
      <c r="CT333" s="648">
        <f>+CT328/CP328-1</f>
        <v>2.5773195876288568E-3</v>
      </c>
      <c r="CU333" s="817"/>
      <c r="CV333" s="684">
        <f>+CV328/CR328-1</f>
        <v>-1.025641025641022E-2</v>
      </c>
      <c r="CW333" s="648">
        <f t="shared" si="938"/>
        <v>0.14432989690721643</v>
      </c>
      <c r="CX333" s="648">
        <f>+CX328/CT328-1</f>
        <v>6.6838046272493568E-2</v>
      </c>
      <c r="CY333" s="817"/>
      <c r="CZ333" s="684">
        <f>+CZ328/CV328-1</f>
        <v>0.15025906735751304</v>
      </c>
      <c r="DA333" s="648">
        <f t="shared" si="939"/>
        <v>3.1531531531531432E-2</v>
      </c>
      <c r="DB333" s="648">
        <f>+DB328/CX328-1</f>
        <v>8.6746987951807242E-2</v>
      </c>
      <c r="DC333" s="817"/>
      <c r="DD333" s="684">
        <f>+DD328/CZ328-1</f>
        <v>9.9099099099099197E-2</v>
      </c>
      <c r="DE333" s="648">
        <f t="shared" si="940"/>
        <v>3.4934497816593968E-2</v>
      </c>
      <c r="DF333" s="648">
        <f>+DF328/DB328-1</f>
        <v>6.6518847006651782E-2</v>
      </c>
      <c r="DG333" s="115"/>
      <c r="DH333" s="684">
        <f>+DH328/DD328-1</f>
        <v>1.6393442622950838E-2</v>
      </c>
      <c r="DI333" s="1973">
        <v>5.5E-2</v>
      </c>
      <c r="DJ333" s="684">
        <f>+DJ328/DF328-1</f>
        <v>3.541580041580028E-2</v>
      </c>
      <c r="DK333" s="115"/>
      <c r="DL333" s="1398">
        <v>-4.4999999999999998E-2</v>
      </c>
      <c r="DM333" s="1973">
        <v>2.5000000000000001E-2</v>
      </c>
      <c r="DN333" s="684">
        <f>+DN328/DJ328-1</f>
        <v>-9.8569879626934087E-3</v>
      </c>
      <c r="DO333" s="115"/>
      <c r="DP333" s="1973">
        <v>0.03</v>
      </c>
      <c r="DQ333" s="1973">
        <v>0.03</v>
      </c>
      <c r="DR333" s="684">
        <f>+DR328/DN328-1</f>
        <v>3.0000000000000027E-2</v>
      </c>
      <c r="DS333" s="115"/>
      <c r="DT333" s="115"/>
      <c r="DU333" s="115"/>
      <c r="DV333" s="115"/>
      <c r="DW333" s="1214" t="s">
        <v>175</v>
      </c>
      <c r="DX333" s="648"/>
      <c r="DY333" s="648"/>
      <c r="DZ333" s="115"/>
      <c r="EA333" s="648"/>
      <c r="EB333" s="648"/>
      <c r="EC333" s="648"/>
      <c r="ED333" s="115"/>
      <c r="EE333" s="648"/>
      <c r="EF333" s="648"/>
      <c r="EG333" s="648"/>
      <c r="EH333" s="115"/>
      <c r="EI333" s="648"/>
      <c r="EJ333" s="648"/>
      <c r="EK333" s="648"/>
      <c r="EL333" s="115"/>
      <c r="EM333" s="115"/>
      <c r="EN333" s="115"/>
      <c r="EO333" s="115"/>
      <c r="EP333" s="115"/>
      <c r="EQ333" s="115"/>
      <c r="ER333" s="115"/>
      <c r="ES333" s="115"/>
      <c r="ET333" s="115"/>
      <c r="EU333" s="115"/>
      <c r="JW333"/>
    </row>
    <row r="334" spans="1:283" s="323" customFormat="1">
      <c r="A334" s="1079" t="str">
        <f>A329</f>
        <v>Other operating expenses</v>
      </c>
      <c r="AN334" s="648"/>
      <c r="AO334" s="648"/>
      <c r="AP334" s="115"/>
      <c r="AQ334" s="115"/>
      <c r="AR334" s="648"/>
      <c r="AS334" s="648"/>
      <c r="AT334" s="648"/>
      <c r="AU334" s="115"/>
      <c r="AV334" s="648">
        <f t="shared" si="925"/>
        <v>-3.3132530120481896E-2</v>
      </c>
      <c r="AW334" s="648">
        <f t="shared" si="925"/>
        <v>-0.13580246913580252</v>
      </c>
      <c r="AX334" s="648">
        <f t="shared" si="925"/>
        <v>-8.9552238805970186E-2</v>
      </c>
      <c r="AY334" s="115"/>
      <c r="AZ334" s="648">
        <f t="shared" si="926"/>
        <v>0.2819314641744548</v>
      </c>
      <c r="BA334" s="648">
        <f t="shared" si="926"/>
        <v>0.29571428571428582</v>
      </c>
      <c r="BB334" s="648">
        <f t="shared" si="926"/>
        <v>0.28912071535022354</v>
      </c>
      <c r="BC334" s="115"/>
      <c r="BD334" s="648">
        <f t="shared" si="927"/>
        <v>0.16484398541919809</v>
      </c>
      <c r="BE334" s="648">
        <f t="shared" si="927"/>
        <v>4.961411245865488E-2</v>
      </c>
      <c r="BF334" s="648">
        <f t="shared" si="927"/>
        <v>0.10443156069364168</v>
      </c>
      <c r="BG334" s="115"/>
      <c r="BH334" s="648">
        <f t="shared" si="928"/>
        <v>-0.26356044948264601</v>
      </c>
      <c r="BI334" s="648">
        <f t="shared" si="928"/>
        <v>-0.23319327731092432</v>
      </c>
      <c r="BJ334" s="648">
        <f t="shared" si="928"/>
        <v>-0.24842984118736366</v>
      </c>
      <c r="BK334" s="115"/>
      <c r="BL334" s="648">
        <f t="shared" si="929"/>
        <v>9.3484419263456076E-2</v>
      </c>
      <c r="BM334" s="648">
        <f t="shared" si="929"/>
        <v>0.1315068493150684</v>
      </c>
      <c r="BN334" s="648">
        <f t="shared" si="929"/>
        <v>0.11281337047353768</v>
      </c>
      <c r="BO334" s="115"/>
      <c r="BP334" s="648">
        <f t="shared" si="929"/>
        <v>0.12435233160621761</v>
      </c>
      <c r="BQ334" s="648">
        <f t="shared" si="930"/>
        <v>0.12832929782082325</v>
      </c>
      <c r="BR334" s="648">
        <f t="shared" si="930"/>
        <v>0.12640801001251556</v>
      </c>
      <c r="BS334" s="115"/>
      <c r="BT334" s="648">
        <f t="shared" si="931"/>
        <v>0.12211981566820285</v>
      </c>
      <c r="BU334" s="648">
        <f t="shared" si="931"/>
        <v>0.13090128755364816</v>
      </c>
      <c r="BV334" s="648">
        <f t="shared" si="931"/>
        <v>0.12666666666666671</v>
      </c>
      <c r="BW334" s="115"/>
      <c r="BX334" s="648">
        <f t="shared" si="932"/>
        <v>2.4640657084188833E-2</v>
      </c>
      <c r="BY334" s="648">
        <f t="shared" si="932"/>
        <v>-7.2106261859582577E-2</v>
      </c>
      <c r="BZ334" s="648">
        <f>+BZ329/BV329-1</f>
        <v>-2.5641025641025661E-2</v>
      </c>
      <c r="CA334" s="115"/>
      <c r="CB334" s="648">
        <f>+CB329/BX329-1</f>
        <v>-4.8096192384769587E-2</v>
      </c>
      <c r="CC334" s="648">
        <f t="shared" si="933"/>
        <v>7.5664621676891697E-2</v>
      </c>
      <c r="CD334" s="648">
        <f>+CD329/BZ329-1</f>
        <v>1.3157894736842035E-2</v>
      </c>
      <c r="CE334" s="115"/>
      <c r="CF334" s="648">
        <f>+CF329/CB329-1</f>
        <v>0.27368421052631575</v>
      </c>
      <c r="CG334" s="648">
        <f t="shared" si="934"/>
        <v>0.26806083650190105</v>
      </c>
      <c r="CH334" s="648">
        <f>+CH329/CD329-1</f>
        <v>0.27072927072927078</v>
      </c>
      <c r="CI334" s="115"/>
      <c r="CJ334" s="648">
        <f>+CJ329/CF329-1</f>
        <v>-0.13388429752066111</v>
      </c>
      <c r="CK334" s="648">
        <f t="shared" si="935"/>
        <v>-0.13643178410794599</v>
      </c>
      <c r="CL334" s="648">
        <f>+CL329/CH329-1</f>
        <v>-0.13522012578616349</v>
      </c>
      <c r="CM334" s="115"/>
      <c r="CN334" s="648">
        <f>+CN329/CJ329-1</f>
        <v>1.9083969465648831E-2</v>
      </c>
      <c r="CO334" s="648">
        <f t="shared" si="936"/>
        <v>-5.2083333333333703E-3</v>
      </c>
      <c r="CP334" s="648">
        <f>+CP329/CL329-1</f>
        <v>6.3636363636363491E-3</v>
      </c>
      <c r="CQ334" s="115"/>
      <c r="CR334" s="684">
        <f>+CR329/CN329-1</f>
        <v>4.6816479400749067E-2</v>
      </c>
      <c r="CS334" s="648">
        <f t="shared" si="937"/>
        <v>0.27225130890052363</v>
      </c>
      <c r="CT334" s="648">
        <f>+CT329/CP329-1</f>
        <v>0.1635049683830172</v>
      </c>
      <c r="CU334" s="817"/>
      <c r="CV334" s="684">
        <f>+CV329/CR329-1</f>
        <v>0.27728085867620744</v>
      </c>
      <c r="CW334" s="648">
        <f t="shared" si="938"/>
        <v>0.17558299039780523</v>
      </c>
      <c r="CX334" s="648">
        <f>+CX329/CT329-1</f>
        <v>0.21972049689440998</v>
      </c>
      <c r="CY334" s="817"/>
      <c r="CZ334" s="684">
        <f>+CZ329/CV329-1</f>
        <v>0.29131652661064433</v>
      </c>
      <c r="DA334" s="648">
        <f t="shared" si="939"/>
        <v>7.8179696616102579E-2</v>
      </c>
      <c r="DB334" s="648">
        <f>+DB329/CX329-1</f>
        <v>0.17504774029280723</v>
      </c>
      <c r="DC334" s="817"/>
      <c r="DD334" s="684">
        <f>+DD329/CZ329-1</f>
        <v>9.761388286334105E-3</v>
      </c>
      <c r="DE334" s="648">
        <f t="shared" si="940"/>
        <v>5.4112554112554223E-2</v>
      </c>
      <c r="DF334" s="648">
        <f>+DF329/DB329-1</f>
        <v>3.1960996749729187E-2</v>
      </c>
      <c r="DG334" s="115"/>
      <c r="DH334" s="684">
        <f>+DH329/DD329-1</f>
        <v>0.16541353383458657</v>
      </c>
      <c r="DI334" s="1973">
        <v>5.5E-2</v>
      </c>
      <c r="DJ334" s="684">
        <f>+DJ329/DF329-1</f>
        <v>0.10896062992125977</v>
      </c>
      <c r="DK334" s="115"/>
      <c r="DL334" s="1398">
        <v>-4.4999999999999998E-2</v>
      </c>
      <c r="DM334" s="1973">
        <v>2.5000000000000001E-2</v>
      </c>
      <c r="DN334" s="684">
        <f>+DN329/DJ329-1</f>
        <v>-1.0951471430532433E-2</v>
      </c>
      <c r="DO334" s="115"/>
      <c r="DP334" s="1973">
        <v>0.03</v>
      </c>
      <c r="DQ334" s="1973">
        <v>0.03</v>
      </c>
      <c r="DR334" s="684">
        <f>+DR329/DN329-1</f>
        <v>3.0000000000000027E-2</v>
      </c>
      <c r="DS334" s="115"/>
      <c r="DT334" s="115"/>
      <c r="DU334" s="115"/>
      <c r="DV334" s="115"/>
      <c r="DW334" s="1214" t="s">
        <v>175</v>
      </c>
      <c r="DX334" s="648"/>
      <c r="DY334" s="648"/>
      <c r="DZ334" s="115"/>
      <c r="EA334" s="648"/>
      <c r="EB334" s="648"/>
      <c r="EC334" s="648"/>
      <c r="ED334" s="115"/>
      <c r="EE334" s="648"/>
      <c r="EF334" s="648"/>
      <c r="EG334" s="648"/>
      <c r="EH334" s="115"/>
      <c r="EI334" s="648"/>
      <c r="EJ334" s="648"/>
      <c r="EK334" s="648"/>
      <c r="EL334" s="115"/>
      <c r="EM334" s="115"/>
      <c r="EN334" s="115"/>
      <c r="EO334" s="115"/>
      <c r="EP334" s="115"/>
      <c r="EQ334" s="115"/>
      <c r="ER334" s="115"/>
      <c r="ES334" s="115"/>
      <c r="ET334" s="115"/>
      <c r="EU334" s="115"/>
      <c r="JW334"/>
    </row>
    <row r="335" spans="1:283" s="328" customFormat="1">
      <c r="A335" s="328" t="str">
        <f>A330</f>
        <v>Total Expenses</v>
      </c>
      <c r="AN335" s="650"/>
      <c r="AO335" s="650"/>
      <c r="AP335" s="581"/>
      <c r="AQ335" s="581"/>
      <c r="AR335" s="650"/>
      <c r="AS335" s="650"/>
      <c r="AT335" s="650"/>
      <c r="AU335" s="581"/>
      <c r="AV335" s="650">
        <f t="shared" si="925"/>
        <v>9.5497953615280018E-3</v>
      </c>
      <c r="AW335" s="650">
        <f t="shared" si="925"/>
        <v>-0.10520231213872833</v>
      </c>
      <c r="AX335" s="650">
        <f t="shared" si="925"/>
        <v>-5.2565707133917394E-2</v>
      </c>
      <c r="AY335" s="581"/>
      <c r="AZ335" s="650">
        <f t="shared" si="926"/>
        <v>0.22364864864864864</v>
      </c>
      <c r="BA335" s="650">
        <f t="shared" si="926"/>
        <v>0.36757105943152446</v>
      </c>
      <c r="BB335" s="650">
        <f t="shared" si="926"/>
        <v>0.2972258916776751</v>
      </c>
      <c r="BC335" s="581"/>
      <c r="BD335" s="650">
        <f t="shared" si="927"/>
        <v>7.0127001656543397E-2</v>
      </c>
      <c r="BE335" s="650">
        <f t="shared" si="927"/>
        <v>-0.10880179499291454</v>
      </c>
      <c r="BF335" s="650">
        <f t="shared" si="927"/>
        <v>-2.6306873727087621E-2</v>
      </c>
      <c r="BG335" s="581"/>
      <c r="BH335" s="650">
        <f t="shared" si="928"/>
        <v>-0.24561403508771928</v>
      </c>
      <c r="BI335" s="650">
        <f t="shared" si="928"/>
        <v>-0.23462894822010416</v>
      </c>
      <c r="BJ335" s="650">
        <f t="shared" si="928"/>
        <v>-0.24019521074072181</v>
      </c>
      <c r="BK335" s="581"/>
      <c r="BL335" s="650">
        <f t="shared" si="929"/>
        <v>0.11491108071135425</v>
      </c>
      <c r="BM335" s="650">
        <f t="shared" si="929"/>
        <v>0.24515235457063711</v>
      </c>
      <c r="BN335" s="650">
        <f t="shared" si="929"/>
        <v>0.17962835512732278</v>
      </c>
      <c r="BO335" s="581"/>
      <c r="BP335" s="650">
        <f t="shared" si="929"/>
        <v>9.0797546012269859E-2</v>
      </c>
      <c r="BQ335" s="650">
        <f t="shared" si="930"/>
        <v>6.8965517241379226E-2</v>
      </c>
      <c r="BR335" s="650">
        <f t="shared" si="930"/>
        <v>7.9346557759626624E-2</v>
      </c>
      <c r="BS335" s="581"/>
      <c r="BT335" s="650">
        <f t="shared" si="931"/>
        <v>0.13273340832395952</v>
      </c>
      <c r="BU335" s="650">
        <f t="shared" si="931"/>
        <v>0.10718002081165445</v>
      </c>
      <c r="BV335" s="650">
        <f t="shared" si="931"/>
        <v>0.11945945945945935</v>
      </c>
      <c r="BW335" s="581"/>
      <c r="BX335" s="650">
        <f t="shared" si="932"/>
        <v>-1.2909632571996066E-2</v>
      </c>
      <c r="BY335" s="650">
        <f t="shared" si="932"/>
        <v>-7.7067669172932285E-2</v>
      </c>
      <c r="BZ335" s="650">
        <f>+BZ330/BV330-1</f>
        <v>-4.587155963302747E-2</v>
      </c>
      <c r="CA335" s="581"/>
      <c r="CB335" s="650">
        <f>+CB330/BX330-1</f>
        <v>-5.1307847082494917E-2</v>
      </c>
      <c r="CC335" s="650">
        <f t="shared" si="933"/>
        <v>7.3319755600814718E-2</v>
      </c>
      <c r="CD335" s="650">
        <f>+CD330/BZ330-1</f>
        <v>1.0627530364372362E-2</v>
      </c>
      <c r="CE335" s="581"/>
      <c r="CF335" s="650">
        <f>+CF330/CB330-1</f>
        <v>0.36373276776246022</v>
      </c>
      <c r="CG335" s="650">
        <f t="shared" si="934"/>
        <v>0.3311195445920303</v>
      </c>
      <c r="CH335" s="650">
        <f>+CH330/CD330-1</f>
        <v>0.34651977966950431</v>
      </c>
      <c r="CI335" s="581"/>
      <c r="CJ335" s="650">
        <f>+CJ330/CF330-1</f>
        <v>-0.20839813374805594</v>
      </c>
      <c r="CK335" s="650">
        <f t="shared" si="935"/>
        <v>-0.22736992159657876</v>
      </c>
      <c r="CL335" s="650">
        <f>+CL330/CH330-1</f>
        <v>-0.21829676459650427</v>
      </c>
      <c r="CM335" s="581"/>
      <c r="CN335" s="650">
        <f>+CN330/CJ330-1</f>
        <v>2.9469548133595369E-2</v>
      </c>
      <c r="CO335" s="650">
        <f t="shared" si="936"/>
        <v>-5.0738007380073835E-2</v>
      </c>
      <c r="CP335" s="650">
        <f>+CP330/CL330-1</f>
        <v>-1.18934348239772E-2</v>
      </c>
      <c r="CQ335" s="581"/>
      <c r="CR335" s="650">
        <f>+CR330/CN330-1</f>
        <v>-7.6335877862595547E-3</v>
      </c>
      <c r="CS335" s="650">
        <f t="shared" si="937"/>
        <v>0.1933916423712343</v>
      </c>
      <c r="CT335" s="650">
        <f>+CT330/CP330-1</f>
        <v>9.1959557053442387E-2</v>
      </c>
      <c r="CU335" s="581"/>
      <c r="CV335" s="650">
        <f>+CV330/CR330-1</f>
        <v>0.19519230769230766</v>
      </c>
      <c r="CW335" s="650">
        <f t="shared" si="938"/>
        <v>0.19462540716612375</v>
      </c>
      <c r="CX335" s="650">
        <f>+CX330/CT330-1</f>
        <v>0.19488536155202829</v>
      </c>
      <c r="CY335" s="581"/>
      <c r="CZ335" s="650">
        <f>+CZ330/CV330-1</f>
        <v>0.24296057924376502</v>
      </c>
      <c r="DA335" s="650">
        <f t="shared" si="939"/>
        <v>6.5439672801635984E-2</v>
      </c>
      <c r="DB335" s="650">
        <f>+DB330/CX330-1</f>
        <v>0.14686346863468636</v>
      </c>
      <c r="DC335" s="581"/>
      <c r="DD335" s="650">
        <f>+DD330/CZ330-1</f>
        <v>2.1359223300970953E-2</v>
      </c>
      <c r="DE335" s="650">
        <f t="shared" si="940"/>
        <v>3.1349968010236706E-2</v>
      </c>
      <c r="DF335" s="650">
        <f>+DF330/DB330-1</f>
        <v>2.6383526383526368E-2</v>
      </c>
      <c r="DG335" s="581"/>
      <c r="DH335" s="650">
        <f>+DH330/DD330-1</f>
        <v>0.12230671736375154</v>
      </c>
      <c r="DI335" s="650">
        <f>+DI330/DE330-1</f>
        <v>5.4999999999999938E-2</v>
      </c>
      <c r="DJ335" s="650">
        <f>+DJ330/DF330-1</f>
        <v>8.8294670846394974E-2</v>
      </c>
      <c r="DK335" s="581"/>
      <c r="DL335" s="650">
        <f>+DL330/DH330-1</f>
        <v>-4.500000000000004E-2</v>
      </c>
      <c r="DM335" s="650">
        <f>+DM330/DI330-1</f>
        <v>2.4999999999999911E-2</v>
      </c>
      <c r="DN335" s="650">
        <f>+DN330/DJ330-1</f>
        <v>-1.070914202427653E-2</v>
      </c>
      <c r="DO335" s="581"/>
      <c r="DP335" s="650">
        <f>+DP330/DL330-1</f>
        <v>3.1236589497459111E-2</v>
      </c>
      <c r="DQ335" s="650">
        <f>+DQ330/DM330-1</f>
        <v>3.1243796526054579E-2</v>
      </c>
      <c r="DR335" s="650">
        <f>+DR330/DN330-1</f>
        <v>3.1240247436185031E-2</v>
      </c>
      <c r="DS335" s="581"/>
      <c r="DT335" s="581"/>
      <c r="DU335" s="581"/>
      <c r="DV335" s="581"/>
      <c r="DW335" s="1212"/>
      <c r="DX335" s="682"/>
      <c r="DY335" s="682"/>
      <c r="DZ335" s="581"/>
      <c r="EA335" s="682"/>
      <c r="EB335" s="682"/>
      <c r="EC335" s="682"/>
      <c r="ED335" s="581"/>
      <c r="EE335" s="682"/>
      <c r="EF335" s="682"/>
      <c r="EG335" s="682"/>
      <c r="EH335" s="581"/>
      <c r="EI335" s="682"/>
      <c r="EJ335" s="682"/>
      <c r="EK335" s="682"/>
      <c r="EL335" s="581"/>
      <c r="EM335" s="581"/>
      <c r="EN335" s="581"/>
      <c r="EO335" s="581"/>
      <c r="EP335" s="581"/>
      <c r="EQ335" s="581"/>
      <c r="ER335" s="581"/>
      <c r="ES335" s="581"/>
      <c r="ET335" s="581"/>
      <c r="EU335" s="581"/>
      <c r="JW335"/>
    </row>
    <row r="336" spans="1:283">
      <c r="CR336" s="103"/>
      <c r="CS336" s="103"/>
      <c r="CT336" s="103"/>
      <c r="CV336" s="103"/>
      <c r="CW336" s="103"/>
      <c r="CX336" s="103"/>
      <c r="CZ336" s="103"/>
      <c r="DA336" s="103"/>
      <c r="DB336" s="103"/>
      <c r="DD336" s="103"/>
      <c r="DE336" s="103"/>
      <c r="DF336" s="103"/>
      <c r="DH336" s="103"/>
      <c r="DI336" s="103"/>
      <c r="DJ336" s="103"/>
      <c r="DL336" s="103"/>
      <c r="DM336" s="103"/>
      <c r="DN336" s="103"/>
      <c r="DP336" s="103"/>
      <c r="DQ336" s="103"/>
      <c r="DR336" s="103"/>
      <c r="DW336" s="1101"/>
    </row>
    <row r="337" spans="1:283" s="642" customFormat="1">
      <c r="A337" s="642" t="s">
        <v>1060</v>
      </c>
      <c r="AN337" s="668"/>
      <c r="AO337" s="668"/>
      <c r="AP337" s="668"/>
      <c r="AQ337" s="300"/>
      <c r="AR337" s="668"/>
      <c r="AS337" s="668"/>
      <c r="AT337" s="668"/>
      <c r="AU337" s="300"/>
      <c r="AV337" s="668"/>
      <c r="AW337" s="668"/>
      <c r="AX337" s="668"/>
      <c r="AY337" s="300"/>
      <c r="AZ337" s="668"/>
      <c r="BA337" s="668"/>
      <c r="BB337" s="668"/>
      <c r="BC337" s="300"/>
      <c r="BD337" s="668"/>
      <c r="BE337" s="668"/>
      <c r="BF337" s="668"/>
      <c r="BG337" s="300"/>
      <c r="BH337" s="668"/>
      <c r="BI337" s="668"/>
      <c r="BJ337" s="668"/>
      <c r="BK337" s="300"/>
      <c r="BL337" s="668"/>
      <c r="BM337" s="668"/>
      <c r="BN337" s="668"/>
      <c r="BO337" s="300"/>
      <c r="BP337" s="668"/>
      <c r="BQ337" s="668"/>
      <c r="BR337" s="668"/>
      <c r="BS337" s="300"/>
      <c r="BT337" s="668"/>
      <c r="BU337" s="668"/>
      <c r="BV337" s="668"/>
      <c r="BW337" s="300"/>
      <c r="BX337" s="668"/>
      <c r="BY337" s="668"/>
      <c r="BZ337" s="668"/>
      <c r="CA337" s="300"/>
      <c r="CB337" s="668"/>
      <c r="CC337" s="668"/>
      <c r="CD337" s="668"/>
      <c r="CE337" s="300"/>
      <c r="CF337" s="668"/>
      <c r="CG337" s="668"/>
      <c r="CH337" s="668"/>
      <c r="CI337" s="300"/>
      <c r="CJ337" s="668"/>
      <c r="CK337" s="668"/>
      <c r="CL337" s="668"/>
      <c r="CM337" s="300"/>
      <c r="CN337" s="668"/>
      <c r="CO337" s="668"/>
      <c r="CP337" s="668"/>
      <c r="CQ337" s="300"/>
      <c r="CR337" s="668"/>
      <c r="CS337" s="668"/>
      <c r="CT337" s="668"/>
      <c r="CU337" s="300"/>
      <c r="CV337" s="668"/>
      <c r="CW337" s="668"/>
      <c r="CX337" s="668"/>
      <c r="CY337" s="300"/>
      <c r="CZ337" s="668"/>
      <c r="DA337" s="668"/>
      <c r="DB337" s="668"/>
      <c r="DC337" s="300"/>
      <c r="DD337" s="668"/>
      <c r="DE337" s="668"/>
      <c r="DF337" s="668"/>
      <c r="DG337" s="300"/>
      <c r="DH337" s="668"/>
      <c r="DI337" s="668"/>
      <c r="DJ337" s="668"/>
      <c r="DK337" s="300"/>
      <c r="DL337" s="668"/>
      <c r="DM337" s="668"/>
      <c r="DN337" s="668"/>
      <c r="DO337" s="300"/>
      <c r="DP337" s="668"/>
      <c r="DQ337" s="668"/>
      <c r="DR337" s="668"/>
      <c r="DS337" s="300"/>
      <c r="DT337" s="300"/>
      <c r="DU337" s="300"/>
      <c r="DV337" s="300"/>
      <c r="DW337" s="1215" t="s">
        <v>175</v>
      </c>
      <c r="DX337" s="300"/>
      <c r="DY337" s="300"/>
      <c r="DZ337" s="300"/>
      <c r="EA337" s="300"/>
      <c r="EB337" s="300"/>
      <c r="EC337" s="300"/>
      <c r="ED337" s="300"/>
      <c r="EE337" s="300"/>
      <c r="EF337" s="300"/>
      <c r="EG337" s="300"/>
      <c r="EH337" s="300"/>
      <c r="EI337" s="300"/>
      <c r="EJ337" s="300"/>
      <c r="EK337" s="300"/>
      <c r="EL337" s="300"/>
      <c r="EM337" s="300"/>
      <c r="EN337" s="300"/>
      <c r="EO337" s="300"/>
      <c r="EP337" s="300"/>
      <c r="EQ337" s="300"/>
      <c r="ER337" s="300"/>
      <c r="ES337" s="300"/>
      <c r="ET337" s="300"/>
      <c r="EU337" s="300"/>
      <c r="JW337"/>
    </row>
    <row r="338" spans="1:283">
      <c r="CR338" s="103"/>
      <c r="CS338" s="103"/>
      <c r="CT338" s="103"/>
      <c r="CV338" s="103"/>
      <c r="CW338" s="103"/>
      <c r="CX338" s="103"/>
      <c r="CZ338" s="103"/>
      <c r="DA338" s="103"/>
      <c r="DB338" s="103"/>
      <c r="DD338" s="103"/>
      <c r="DE338" s="103"/>
      <c r="DF338" s="103"/>
      <c r="DH338" s="103"/>
      <c r="DI338" s="103"/>
      <c r="DJ338" s="103"/>
      <c r="DL338" s="103"/>
      <c r="DM338" s="103"/>
      <c r="DN338" s="103"/>
      <c r="DP338" s="103"/>
      <c r="DQ338" s="103"/>
      <c r="DR338" s="103"/>
    </row>
    <row r="339" spans="1:283">
      <c r="CR339" s="103"/>
      <c r="CS339" s="103"/>
      <c r="CT339" s="103"/>
      <c r="CV339" s="103"/>
      <c r="CW339" s="103"/>
      <c r="CX339" s="103"/>
      <c r="CZ339" s="103"/>
      <c r="DA339" s="103"/>
      <c r="DB339" s="103"/>
      <c r="DD339" s="103"/>
      <c r="DE339" s="103"/>
      <c r="DF339" s="103"/>
      <c r="DH339" s="103"/>
      <c r="DI339" s="103"/>
      <c r="DJ339" s="103"/>
      <c r="DL339" s="103"/>
      <c r="DM339" s="103"/>
      <c r="DN339" s="103"/>
      <c r="DP339" s="103"/>
      <c r="DQ339" s="103"/>
      <c r="DR339" s="103"/>
    </row>
    <row r="340" spans="1:283" s="1193" customFormat="1">
      <c r="A340" s="1216" t="s">
        <v>597</v>
      </c>
      <c r="AN340" s="1194"/>
      <c r="AO340" s="1194"/>
      <c r="AP340" s="1195"/>
      <c r="AQ340" s="1194"/>
      <c r="AR340" s="1194"/>
      <c r="AS340" s="1194"/>
      <c r="AT340" s="1195"/>
      <c r="AU340" s="1194"/>
      <c r="AV340" s="1194"/>
      <c r="AW340" s="1194"/>
      <c r="AX340" s="1195"/>
      <c r="AY340" s="1194"/>
      <c r="AZ340" s="1194"/>
      <c r="BA340" s="1194"/>
      <c r="BB340" s="1195"/>
      <c r="BC340" s="1194"/>
      <c r="BD340" s="1194"/>
      <c r="BE340" s="1194"/>
      <c r="BF340" s="1195"/>
      <c r="BG340" s="1194"/>
      <c r="BH340" s="1194"/>
      <c r="BI340" s="1194"/>
      <c r="BJ340" s="1195"/>
      <c r="BK340" s="1194"/>
      <c r="BL340" s="1194"/>
      <c r="BM340" s="1194"/>
      <c r="BN340" s="1195"/>
      <c r="BO340" s="1194"/>
      <c r="BP340" s="1194"/>
      <c r="BQ340" s="1194"/>
      <c r="BR340" s="1195"/>
      <c r="BS340" s="1194"/>
      <c r="BT340" s="1194"/>
      <c r="BU340" s="1194"/>
      <c r="BV340" s="1195"/>
      <c r="BW340" s="1194"/>
      <c r="BX340" s="1194"/>
      <c r="BY340" s="1194"/>
      <c r="BZ340" s="1195"/>
      <c r="CA340" s="1194"/>
      <c r="CB340" s="1194"/>
      <c r="CC340" s="1194"/>
      <c r="CD340" s="1195"/>
      <c r="CE340" s="1194"/>
      <c r="CF340" s="1194"/>
      <c r="CG340" s="1194"/>
      <c r="CH340" s="1195"/>
      <c r="CI340" s="1194"/>
      <c r="CJ340" s="1194"/>
      <c r="CK340" s="1194"/>
      <c r="CL340" s="1195"/>
      <c r="CM340" s="1194"/>
      <c r="CN340" s="1194"/>
      <c r="CO340" s="1194"/>
      <c r="CP340" s="1195"/>
      <c r="CQ340" s="1194"/>
      <c r="CR340" s="1194"/>
      <c r="CS340" s="1194"/>
      <c r="CT340" s="1195"/>
      <c r="CU340" s="1194"/>
      <c r="CV340" s="1194"/>
      <c r="CW340" s="1194"/>
      <c r="CX340" s="1195"/>
      <c r="CY340" s="1194"/>
      <c r="CZ340" s="1194"/>
      <c r="DA340" s="1194"/>
      <c r="DB340" s="1195"/>
      <c r="DC340" s="1194"/>
      <c r="DD340" s="1194"/>
      <c r="DE340" s="1194"/>
      <c r="DF340" s="1195"/>
      <c r="DG340" s="1194"/>
      <c r="DH340" s="1194"/>
      <c r="DI340" s="1194"/>
      <c r="DJ340" s="1195"/>
      <c r="DK340" s="1194"/>
      <c r="DL340" s="1194"/>
      <c r="DM340" s="1194"/>
      <c r="DN340" s="1195"/>
      <c r="DO340" s="1194"/>
      <c r="DP340" s="1194"/>
      <c r="DQ340" s="1194"/>
      <c r="DR340" s="1195"/>
      <c r="DS340" s="1194"/>
      <c r="DT340" s="1194"/>
      <c r="DU340" s="1194"/>
      <c r="DV340" s="1194"/>
      <c r="DW340" s="1196"/>
      <c r="DX340" s="1194"/>
      <c r="DY340" s="1194"/>
      <c r="DZ340" s="1194"/>
      <c r="EA340" s="1194"/>
      <c r="EB340" s="1194"/>
      <c r="EC340" s="1194"/>
      <c r="ED340" s="1194"/>
      <c r="EE340" s="1194"/>
      <c r="EF340" s="1194"/>
      <c r="EG340" s="1194"/>
      <c r="EH340" s="1194"/>
      <c r="EI340" s="1194"/>
      <c r="EJ340" s="1194"/>
      <c r="EK340" s="1194"/>
      <c r="EL340" s="1194"/>
      <c r="EM340" s="1194"/>
      <c r="EN340" s="1194"/>
      <c r="EO340" s="1194"/>
      <c r="EP340" s="1194"/>
      <c r="EQ340" s="1194"/>
      <c r="ER340" s="1194"/>
      <c r="ES340" s="1194"/>
      <c r="ET340" s="1194"/>
      <c r="EU340" s="1194"/>
      <c r="JW340"/>
    </row>
    <row r="341" spans="1:283" s="332" customFormat="1">
      <c r="AN341" s="293"/>
      <c r="AO341" s="293"/>
      <c r="AP341" s="293"/>
      <c r="AQ341" s="293"/>
      <c r="AR341" s="293"/>
      <c r="AS341" s="293"/>
      <c r="AT341" s="293"/>
      <c r="AU341" s="293"/>
      <c r="AV341" s="293"/>
      <c r="AW341" s="293"/>
      <c r="AX341" s="293"/>
      <c r="AY341" s="293"/>
      <c r="AZ341" s="293"/>
      <c r="BA341" s="293"/>
      <c r="BB341" s="293"/>
      <c r="BC341" s="293"/>
      <c r="BD341" s="293"/>
      <c r="BE341" s="293"/>
      <c r="BF341" s="293"/>
      <c r="BG341" s="293"/>
      <c r="BH341" s="293"/>
      <c r="BI341" s="293"/>
      <c r="BJ341" s="293"/>
      <c r="BK341" s="293"/>
      <c r="BL341" s="293"/>
      <c r="BM341" s="293"/>
      <c r="BN341" s="293"/>
      <c r="BO341" s="293"/>
      <c r="BP341" s="293"/>
      <c r="BQ341" s="293"/>
      <c r="BR341" s="293"/>
      <c r="BS341" s="293"/>
      <c r="BT341" s="293"/>
      <c r="BU341" s="293"/>
      <c r="BV341" s="293"/>
      <c r="BW341" s="293"/>
      <c r="BX341" s="293"/>
      <c r="BY341" s="293"/>
      <c r="BZ341" s="293"/>
      <c r="CA341" s="293"/>
      <c r="CB341" s="293"/>
      <c r="CC341" s="293"/>
      <c r="CD341" s="293"/>
      <c r="CE341" s="293"/>
      <c r="CF341" s="293"/>
      <c r="CG341" s="293"/>
      <c r="CH341" s="293"/>
      <c r="CI341" s="293"/>
      <c r="CJ341" s="293"/>
      <c r="CK341" s="293"/>
      <c r="CL341" s="293"/>
      <c r="CM341" s="293"/>
      <c r="CN341" s="293"/>
      <c r="CO341" s="293"/>
      <c r="CP341" s="293"/>
      <c r="CQ341" s="293"/>
      <c r="CR341" s="293"/>
      <c r="CS341" s="293"/>
      <c r="CT341" s="952" t="s">
        <v>1419</v>
      </c>
      <c r="CU341" s="293"/>
      <c r="CV341" s="293"/>
      <c r="CW341" s="293"/>
      <c r="CX341" s="293"/>
      <c r="CY341" s="293"/>
      <c r="CZ341" s="293"/>
      <c r="DA341" s="293"/>
      <c r="DB341" s="293"/>
      <c r="DC341" s="293"/>
      <c r="DD341" s="293"/>
      <c r="DE341" s="293"/>
      <c r="DF341" s="293"/>
      <c r="DG341" s="293"/>
      <c r="DH341" s="293"/>
      <c r="DI341" s="293"/>
      <c r="DJ341" s="293"/>
      <c r="DK341" s="293"/>
      <c r="DL341" s="293"/>
      <c r="DM341" s="293"/>
      <c r="DN341" s="293"/>
      <c r="DO341" s="293"/>
      <c r="DP341" s="293"/>
      <c r="DQ341" s="293"/>
      <c r="DR341" s="293"/>
      <c r="DS341" s="293"/>
      <c r="DT341" s="293"/>
      <c r="DU341" s="293"/>
      <c r="DV341" s="293"/>
      <c r="DW341" s="828"/>
      <c r="DX341" s="293"/>
      <c r="DY341" s="293"/>
      <c r="DZ341" s="293"/>
      <c r="EA341" s="293"/>
      <c r="EB341" s="293"/>
      <c r="EC341" s="293"/>
      <c r="ED341" s="293"/>
      <c r="EE341" s="293"/>
      <c r="EF341" s="293"/>
      <c r="EG341" s="293"/>
      <c r="EH341" s="293"/>
      <c r="EI341" s="293"/>
      <c r="EJ341" s="293"/>
      <c r="EK341" s="293"/>
      <c r="EL341" s="293"/>
      <c r="EM341" s="293"/>
      <c r="EN341" s="293"/>
      <c r="EO341" s="293"/>
      <c r="EP341" s="293"/>
      <c r="EQ341" s="293"/>
      <c r="ER341" s="293"/>
      <c r="ES341" s="293"/>
      <c r="ET341" s="293"/>
      <c r="EU341" s="293"/>
      <c r="JW341"/>
    </row>
    <row r="342" spans="1:283" s="332" customFormat="1">
      <c r="A342" s="332" t="s">
        <v>571</v>
      </c>
      <c r="AN342" s="293"/>
      <c r="AO342" s="293"/>
      <c r="AP342" s="293"/>
      <c r="AQ342" s="293"/>
      <c r="AR342" s="626">
        <v>32</v>
      </c>
      <c r="AS342" s="626">
        <v>33</v>
      </c>
      <c r="AT342" s="293">
        <f t="shared" ref="AT342:AT348" si="941">AR342+AS342</f>
        <v>65</v>
      </c>
      <c r="AU342" s="626"/>
      <c r="AV342" s="626">
        <v>-44</v>
      </c>
      <c r="AW342" s="626">
        <v>-53</v>
      </c>
      <c r="AX342" s="293">
        <f t="shared" ref="AX342:AX348" si="942">AV342+AW342</f>
        <v>-97</v>
      </c>
      <c r="AY342" s="626"/>
      <c r="AZ342" s="626">
        <v>-24</v>
      </c>
      <c r="BA342" s="626">
        <v>-5</v>
      </c>
      <c r="BB342" s="293">
        <f t="shared" ref="BB342:BB348" si="943">AZ342+BA342</f>
        <v>-29</v>
      </c>
      <c r="BC342" s="293"/>
      <c r="BD342" s="626">
        <v>0</v>
      </c>
      <c r="BE342" s="626">
        <v>0</v>
      </c>
      <c r="BF342" s="293">
        <f t="shared" ref="BF342:BF348" si="944">BD342+BE342</f>
        <v>0</v>
      </c>
      <c r="BG342" s="293"/>
      <c r="BH342" s="626">
        <v>0</v>
      </c>
      <c r="BI342" s="626">
        <v>0</v>
      </c>
      <c r="BJ342" s="293">
        <f t="shared" ref="BJ342:BJ348" si="945">BH342+BI342</f>
        <v>0</v>
      </c>
      <c r="BK342" s="487"/>
      <c r="BL342" s="626">
        <v>0</v>
      </c>
      <c r="BM342" s="626">
        <v>0</v>
      </c>
      <c r="BN342" s="293">
        <f t="shared" ref="BN342:BN348" si="946">BL342+BM342</f>
        <v>0</v>
      </c>
      <c r="BO342" s="817"/>
      <c r="BP342" s="626">
        <v>0</v>
      </c>
      <c r="BQ342" s="626">
        <v>0</v>
      </c>
      <c r="BR342" s="293">
        <f t="shared" ref="BR342:BR348" si="947">BP342+BQ342</f>
        <v>0</v>
      </c>
      <c r="BS342" s="817"/>
      <c r="BT342" s="626">
        <v>0</v>
      </c>
      <c r="BU342" s="626">
        <v>0</v>
      </c>
      <c r="BV342" s="293">
        <f t="shared" ref="BV342:BV348" si="948">BT342+BU342</f>
        <v>0</v>
      </c>
      <c r="BW342" s="293"/>
      <c r="BX342" s="626">
        <v>0</v>
      </c>
      <c r="BY342" s="626">
        <v>0</v>
      </c>
      <c r="BZ342" s="293">
        <f t="shared" ref="BZ342:BZ348" si="949">BX342+BY342</f>
        <v>0</v>
      </c>
      <c r="CA342" s="293"/>
      <c r="CB342" s="626">
        <v>0</v>
      </c>
      <c r="CC342" s="626">
        <v>0</v>
      </c>
      <c r="CD342" s="293">
        <f t="shared" ref="CD342:CD348" si="950">CB342+CC342</f>
        <v>0</v>
      </c>
      <c r="CE342" s="293"/>
      <c r="CF342" s="626">
        <v>0</v>
      </c>
      <c r="CG342" s="626">
        <v>0</v>
      </c>
      <c r="CH342" s="293">
        <f t="shared" ref="CH342:CH348" si="951">CF342+CG342</f>
        <v>0</v>
      </c>
      <c r="CI342" s="293"/>
      <c r="CJ342" s="626">
        <v>0</v>
      </c>
      <c r="CK342" s="626">
        <v>0</v>
      </c>
      <c r="CL342" s="293">
        <f t="shared" ref="CL342:CL348" si="952">CJ342+CK342</f>
        <v>0</v>
      </c>
      <c r="CM342" s="293"/>
      <c r="CN342" s="1388">
        <v>0</v>
      </c>
      <c r="CO342" s="1388">
        <v>0</v>
      </c>
      <c r="CP342" s="1010">
        <f t="shared" ref="CP342:CP348" si="953">CN342+CO342</f>
        <v>0</v>
      </c>
      <c r="CQ342" s="1010"/>
      <c r="CR342" s="1388">
        <v>0</v>
      </c>
      <c r="CS342" s="1497">
        <v>0</v>
      </c>
      <c r="CT342" s="293">
        <f t="shared" ref="CT342:CT348" si="954">CR342+CS342</f>
        <v>0</v>
      </c>
      <c r="CU342" s="293"/>
      <c r="CV342" s="1388">
        <v>0</v>
      </c>
      <c r="CW342" s="1497">
        <v>0</v>
      </c>
      <c r="CX342" s="293">
        <f t="shared" ref="CX342:CX348" si="955">CV342+CW342</f>
        <v>0</v>
      </c>
      <c r="CY342" s="293"/>
      <c r="CZ342" s="1388">
        <v>0</v>
      </c>
      <c r="DA342" s="1488">
        <v>0</v>
      </c>
      <c r="DB342" s="293">
        <f t="shared" ref="DB342:DB348" si="956">CZ342+DA342</f>
        <v>0</v>
      </c>
      <c r="DC342" s="293"/>
      <c r="DD342" s="626">
        <v>0</v>
      </c>
      <c r="DE342" s="1497">
        <v>0</v>
      </c>
      <c r="DF342" s="293">
        <f t="shared" ref="DF342:DF348" si="957">DD342+DE342</f>
        <v>0</v>
      </c>
      <c r="DG342" s="293"/>
      <c r="DH342" s="626">
        <v>0</v>
      </c>
      <c r="DI342" s="293">
        <f>DI395</f>
        <v>0</v>
      </c>
      <c r="DJ342" s="293">
        <f t="shared" ref="DJ342:DJ348" si="958">DH342+DI342</f>
        <v>0</v>
      </c>
      <c r="DK342" s="293"/>
      <c r="DL342" s="293">
        <f>DL395</f>
        <v>0</v>
      </c>
      <c r="DM342" s="293">
        <f>DM395</f>
        <v>0</v>
      </c>
      <c r="DN342" s="293">
        <f t="shared" ref="DN342:DN348" si="959">DL342+DM342</f>
        <v>0</v>
      </c>
      <c r="DO342" s="293"/>
      <c r="DP342" s="293">
        <f>DP395</f>
        <v>0</v>
      </c>
      <c r="DQ342" s="293">
        <f>DQ395</f>
        <v>0</v>
      </c>
      <c r="DR342" s="293">
        <f t="shared" ref="DR342:DR348" si="960">DP342+DQ342</f>
        <v>0</v>
      </c>
      <c r="DS342" s="293"/>
      <c r="DT342" s="293"/>
      <c r="DU342" s="293"/>
      <c r="DV342" s="293"/>
      <c r="DW342" s="1197" t="s">
        <v>513</v>
      </c>
      <c r="DX342" s="293"/>
      <c r="DY342" s="293"/>
      <c r="DZ342" s="293"/>
      <c r="EA342" s="293"/>
      <c r="EB342" s="293"/>
      <c r="EC342" s="293"/>
      <c r="ED342" s="293"/>
      <c r="EE342" s="293"/>
      <c r="EF342" s="293"/>
      <c r="EG342" s="293"/>
      <c r="EH342" s="293"/>
      <c r="EI342" s="293"/>
      <c r="EJ342" s="293"/>
      <c r="EK342" s="293"/>
      <c r="EL342" s="293"/>
      <c r="EM342" s="293"/>
      <c r="EN342" s="293"/>
      <c r="EO342" s="293"/>
      <c r="EP342" s="293"/>
      <c r="EQ342" s="293"/>
      <c r="ER342" s="293"/>
      <c r="ES342" s="293"/>
      <c r="ET342" s="293"/>
      <c r="EU342" s="293"/>
      <c r="JW342"/>
    </row>
    <row r="343" spans="1:283" s="327" customFormat="1">
      <c r="A343" s="327" t="s">
        <v>1218</v>
      </c>
      <c r="AN343" s="295"/>
      <c r="AO343" s="295"/>
      <c r="AP343" s="295"/>
      <c r="AQ343" s="295"/>
      <c r="AR343" s="295">
        <f>AR411</f>
        <v>0</v>
      </c>
      <c r="AS343" s="295">
        <f>AS411</f>
        <v>0</v>
      </c>
      <c r="AT343" s="295">
        <f t="shared" si="941"/>
        <v>0</v>
      </c>
      <c r="AU343" s="295"/>
      <c r="AV343" s="295">
        <f>AV411</f>
        <v>413</v>
      </c>
      <c r="AW343" s="295">
        <f>AW411</f>
        <v>498</v>
      </c>
      <c r="AX343" s="295">
        <f t="shared" si="942"/>
        <v>911</v>
      </c>
      <c r="AY343" s="295"/>
      <c r="AZ343" s="295">
        <f>AZ411</f>
        <v>628</v>
      </c>
      <c r="BA343" s="295">
        <f>BA411</f>
        <v>574</v>
      </c>
      <c r="BB343" s="295">
        <f t="shared" si="943"/>
        <v>1202</v>
      </c>
      <c r="BC343" s="295"/>
      <c r="BD343" s="295">
        <f>BD411</f>
        <v>648.33300000000008</v>
      </c>
      <c r="BE343" s="295">
        <f>BE411</f>
        <v>605</v>
      </c>
      <c r="BF343" s="295">
        <f t="shared" si="944"/>
        <v>1253.3330000000001</v>
      </c>
      <c r="BG343" s="295"/>
      <c r="BH343" s="295">
        <f>BH411</f>
        <v>664</v>
      </c>
      <c r="BI343" s="295">
        <f>BI411</f>
        <v>778</v>
      </c>
      <c r="BJ343" s="295">
        <f t="shared" si="945"/>
        <v>1442</v>
      </c>
      <c r="BK343" s="640"/>
      <c r="BL343" s="295">
        <f>BL411</f>
        <v>805</v>
      </c>
      <c r="BM343" s="295">
        <f>BM411</f>
        <v>915</v>
      </c>
      <c r="BN343" s="295">
        <f t="shared" si="946"/>
        <v>1720</v>
      </c>
      <c r="BO343" s="811">
        <f>+BN343/BJ343-1</f>
        <v>0.19278779472954222</v>
      </c>
      <c r="BP343" s="295">
        <f>BP411</f>
        <v>1119</v>
      </c>
      <c r="BQ343" s="295">
        <f>BQ411</f>
        <v>1153</v>
      </c>
      <c r="BR343" s="295">
        <f t="shared" si="947"/>
        <v>2272</v>
      </c>
      <c r="BS343" s="811">
        <f>+BR343/BN343-1</f>
        <v>0.32093023255813957</v>
      </c>
      <c r="BT343" s="295">
        <f>BT411</f>
        <v>1517</v>
      </c>
      <c r="BU343" s="295">
        <f>BU411</f>
        <v>987</v>
      </c>
      <c r="BV343" s="295">
        <f t="shared" si="948"/>
        <v>2504</v>
      </c>
      <c r="BW343" s="811">
        <f>+BV343/BR343-1</f>
        <v>0.102112676056338</v>
      </c>
      <c r="BX343" s="295">
        <f>BX411</f>
        <v>1065</v>
      </c>
      <c r="BY343" s="295">
        <f>BY411</f>
        <v>1002</v>
      </c>
      <c r="BZ343" s="295">
        <f t="shared" si="949"/>
        <v>2067</v>
      </c>
      <c r="CA343" s="811">
        <f>+BZ343/BV343-1</f>
        <v>-0.17452076677316297</v>
      </c>
      <c r="CB343" s="295">
        <f>CB411</f>
        <v>1416</v>
      </c>
      <c r="CC343" s="295">
        <f>CC411</f>
        <v>959</v>
      </c>
      <c r="CD343" s="295">
        <f t="shared" si="950"/>
        <v>2375</v>
      </c>
      <c r="CE343" s="811">
        <f>+CD343/BZ343-1</f>
        <v>0.14900822447992268</v>
      </c>
      <c r="CF343" s="295">
        <f>CF411</f>
        <v>1292</v>
      </c>
      <c r="CG343" s="295">
        <f>CG411</f>
        <v>1538</v>
      </c>
      <c r="CH343" s="295">
        <f t="shared" si="951"/>
        <v>2830</v>
      </c>
      <c r="CI343" s="811">
        <f>+CH343/CD343-1</f>
        <v>0.19157894736842107</v>
      </c>
      <c r="CJ343" s="295">
        <f>CJ411</f>
        <v>1648</v>
      </c>
      <c r="CK343" s="295">
        <f>CK411</f>
        <v>1559</v>
      </c>
      <c r="CL343" s="295">
        <f t="shared" si="952"/>
        <v>3207</v>
      </c>
      <c r="CM343" s="811">
        <f>+CL343/CH343-1</f>
        <v>0.13321554770318023</v>
      </c>
      <c r="CN343" s="1412">
        <f>CN411</f>
        <v>1505</v>
      </c>
      <c r="CO343" s="1412">
        <f>CO411</f>
        <v>1416</v>
      </c>
      <c r="CP343" s="1412">
        <f t="shared" si="953"/>
        <v>2921</v>
      </c>
      <c r="CQ343" s="1425">
        <f>+CP343/CL343-1</f>
        <v>-8.9179918927346447E-2</v>
      </c>
      <c r="CR343" s="1412">
        <f>CR411</f>
        <v>2149</v>
      </c>
      <c r="CS343" s="1390">
        <f>CS411</f>
        <v>1939</v>
      </c>
      <c r="CT343" s="295">
        <f t="shared" si="954"/>
        <v>4088</v>
      </c>
      <c r="CU343" s="811">
        <f>+CT343/CP343-1</f>
        <v>0.39952071208490247</v>
      </c>
      <c r="CV343" s="1412">
        <f>CV411</f>
        <v>1882</v>
      </c>
      <c r="CW343" s="1390">
        <f>CW411</f>
        <v>2147</v>
      </c>
      <c r="CX343" s="295">
        <f t="shared" si="955"/>
        <v>4029</v>
      </c>
      <c r="CY343" s="811">
        <f>+CX343/CT343-1</f>
        <v>-1.4432485322896316E-2</v>
      </c>
      <c r="CZ343" s="1412">
        <f>CZ411</f>
        <v>1855</v>
      </c>
      <c r="DA343" s="1390">
        <f>DA411</f>
        <v>2086</v>
      </c>
      <c r="DB343" s="295">
        <f t="shared" si="956"/>
        <v>3941</v>
      </c>
      <c r="DC343" s="811">
        <f>+DB343/CX343-1</f>
        <v>-2.1841648051625695E-2</v>
      </c>
      <c r="DD343" s="295">
        <f>DD411</f>
        <v>2047</v>
      </c>
      <c r="DE343" s="1390">
        <f>DE411</f>
        <v>2165</v>
      </c>
      <c r="DF343" s="295">
        <f t="shared" si="957"/>
        <v>4212</v>
      </c>
      <c r="DG343" s="811">
        <f>+DF343/DB343-1</f>
        <v>6.8764273027150491E-2</v>
      </c>
      <c r="DH343" s="295">
        <f>DH411</f>
        <v>2415</v>
      </c>
      <c r="DI343" s="295">
        <f>DI411</f>
        <v>2140.3750669774481</v>
      </c>
      <c r="DJ343" s="295">
        <f t="shared" si="958"/>
        <v>4555.3750669774481</v>
      </c>
      <c r="DK343" s="811">
        <f>+DJ343/DF343-1</f>
        <v>8.1523045341274525E-2</v>
      </c>
      <c r="DL343" s="295">
        <f>DL411</f>
        <v>1933.5828788938882</v>
      </c>
      <c r="DM343" s="295">
        <f>DM411</f>
        <v>1966.8559467541349</v>
      </c>
      <c r="DN343" s="295">
        <f t="shared" si="959"/>
        <v>3900.4388256480233</v>
      </c>
      <c r="DO343" s="811">
        <f>+DN343/DJ343-1</f>
        <v>-0.14377218817329651</v>
      </c>
      <c r="DP343" s="295">
        <f>DP411</f>
        <v>2024.4484621032223</v>
      </c>
      <c r="DQ343" s="295">
        <f>DQ411</f>
        <v>2077.0967005584325</v>
      </c>
      <c r="DR343" s="295">
        <f t="shared" si="960"/>
        <v>4101.545162661655</v>
      </c>
      <c r="DS343" s="811">
        <f>+DR343/DN343-1</f>
        <v>5.1559925947619378E-2</v>
      </c>
      <c r="DT343" s="811"/>
      <c r="DU343" s="811"/>
      <c r="DV343" s="811"/>
      <c r="DW343" s="1199" t="s">
        <v>513</v>
      </c>
      <c r="DX343" s="295"/>
      <c r="DY343" s="295"/>
      <c r="DZ343" s="295"/>
      <c r="EA343" s="295"/>
      <c r="EB343" s="295"/>
      <c r="EC343" s="295"/>
      <c r="ED343" s="295"/>
      <c r="EE343" s="295"/>
      <c r="EF343" s="295"/>
      <c r="EG343" s="295"/>
      <c r="EH343" s="295"/>
      <c r="EI343" s="295"/>
      <c r="EJ343" s="295"/>
      <c r="EK343" s="295"/>
      <c r="EL343" s="295"/>
      <c r="EM343" s="295"/>
      <c r="EN343" s="295"/>
      <c r="EO343" s="295"/>
      <c r="EP343" s="295"/>
      <c r="EQ343" s="295"/>
      <c r="ER343" s="295"/>
      <c r="ES343" s="295"/>
      <c r="ET343" s="295"/>
      <c r="EU343" s="295"/>
      <c r="JW343"/>
    </row>
    <row r="344" spans="1:283" s="332" customFormat="1">
      <c r="A344" s="332" t="s">
        <v>651</v>
      </c>
      <c r="AN344" s="293"/>
      <c r="AO344" s="293"/>
      <c r="AP344" s="293"/>
      <c r="AQ344" s="293"/>
      <c r="AR344" s="626">
        <v>-4</v>
      </c>
      <c r="AS344" s="626">
        <v>-6</v>
      </c>
      <c r="AT344" s="293">
        <f t="shared" si="941"/>
        <v>-10</v>
      </c>
      <c r="AU344" s="626"/>
      <c r="AV344" s="626">
        <v>3</v>
      </c>
      <c r="AW344" s="626">
        <v>-1</v>
      </c>
      <c r="AX344" s="293">
        <f t="shared" si="942"/>
        <v>2</v>
      </c>
      <c r="AY344" s="626"/>
      <c r="AZ344" s="626">
        <v>-1</v>
      </c>
      <c r="BA344" s="927">
        <v>12</v>
      </c>
      <c r="BB344" s="293">
        <f t="shared" si="943"/>
        <v>11</v>
      </c>
      <c r="BC344" s="293"/>
      <c r="BD344" s="626">
        <f>92-BD342</f>
        <v>92</v>
      </c>
      <c r="BE344" s="626">
        <f>18-BE342</f>
        <v>18</v>
      </c>
      <c r="BF344" s="293">
        <f t="shared" si="944"/>
        <v>110</v>
      </c>
      <c r="BG344" s="293"/>
      <c r="BH344" s="626">
        <f>7-BH342</f>
        <v>7</v>
      </c>
      <c r="BI344" s="626">
        <f>-7-BI342</f>
        <v>-7</v>
      </c>
      <c r="BJ344" s="293">
        <f t="shared" si="945"/>
        <v>0</v>
      </c>
      <c r="BK344" s="487"/>
      <c r="BL344" s="626">
        <f>-5-BL342</f>
        <v>-5</v>
      </c>
      <c r="BM344" s="626">
        <v>-18</v>
      </c>
      <c r="BN344" s="293">
        <f t="shared" si="946"/>
        <v>-23</v>
      </c>
      <c r="BO344" s="817"/>
      <c r="BP344" s="626">
        <v>11</v>
      </c>
      <c r="BQ344" s="626">
        <v>0</v>
      </c>
      <c r="BR344" s="293">
        <f t="shared" si="947"/>
        <v>11</v>
      </c>
      <c r="BS344" s="817"/>
      <c r="BT344" s="626">
        <v>9</v>
      </c>
      <c r="BU344" s="626">
        <v>-24</v>
      </c>
      <c r="BV344" s="293">
        <f t="shared" si="948"/>
        <v>-15</v>
      </c>
      <c r="BW344" s="850"/>
      <c r="BX344" s="626">
        <v>-22</v>
      </c>
      <c r="BY344" s="626">
        <f>-42-BX344</f>
        <v>-20</v>
      </c>
      <c r="BZ344" s="293">
        <f t="shared" si="949"/>
        <v>-42</v>
      </c>
      <c r="CA344" s="811"/>
      <c r="CB344" s="626">
        <v>-81</v>
      </c>
      <c r="CC344" s="626">
        <v>-87</v>
      </c>
      <c r="CD344" s="293">
        <f t="shared" si="950"/>
        <v>-168</v>
      </c>
      <c r="CE344" s="811"/>
      <c r="CF344" s="626">
        <v>-217</v>
      </c>
      <c r="CG344" s="626">
        <v>-252</v>
      </c>
      <c r="CH344" s="293">
        <f t="shared" si="951"/>
        <v>-469</v>
      </c>
      <c r="CI344" s="811"/>
      <c r="CJ344" s="626">
        <v>-258</v>
      </c>
      <c r="CK344" s="626">
        <v>-144</v>
      </c>
      <c r="CL344" s="293">
        <f t="shared" si="952"/>
        <v>-402</v>
      </c>
      <c r="CM344" s="811"/>
      <c r="CN344" s="1388">
        <v>-123</v>
      </c>
      <c r="CO344" s="1388">
        <v>-126</v>
      </c>
      <c r="CP344" s="1010">
        <f t="shared" si="953"/>
        <v>-249</v>
      </c>
      <c r="CQ344" s="1425"/>
      <c r="CR344" s="1388">
        <v>-178</v>
      </c>
      <c r="CS344" s="1497">
        <v>-150</v>
      </c>
      <c r="CT344" s="293">
        <f t="shared" si="954"/>
        <v>-328</v>
      </c>
      <c r="CU344" s="811"/>
      <c r="CV344" s="1388">
        <v>-143</v>
      </c>
      <c r="CW344" s="1497">
        <v>-253</v>
      </c>
      <c r="CX344" s="293">
        <f t="shared" si="955"/>
        <v>-396</v>
      </c>
      <c r="CY344" s="811"/>
      <c r="CZ344" s="1863">
        <v>-265</v>
      </c>
      <c r="DA344" s="1488">
        <v>-292</v>
      </c>
      <c r="DB344" s="293">
        <f t="shared" si="956"/>
        <v>-557</v>
      </c>
      <c r="DC344" s="811"/>
      <c r="DD344" s="2207">
        <v>-245</v>
      </c>
      <c r="DE344" s="2207">
        <v>-269</v>
      </c>
      <c r="DF344" s="293">
        <f t="shared" si="957"/>
        <v>-514</v>
      </c>
      <c r="DG344" s="811"/>
      <c r="DH344" s="2107">
        <v>-193</v>
      </c>
      <c r="DI344" s="818">
        <f>DI396</f>
        <v>-198.79</v>
      </c>
      <c r="DJ344" s="818">
        <f t="shared" si="958"/>
        <v>-391.78999999999996</v>
      </c>
      <c r="DK344" s="811"/>
      <c r="DL344" s="818">
        <f>DL396</f>
        <v>-204.75370000000001</v>
      </c>
      <c r="DM344" s="818">
        <f>DM396</f>
        <v>-210.89631100000003</v>
      </c>
      <c r="DN344" s="818">
        <f t="shared" si="959"/>
        <v>-415.65001100000006</v>
      </c>
      <c r="DO344" s="811"/>
      <c r="DP344" s="818">
        <f>DP396</f>
        <v>-217.22320033000003</v>
      </c>
      <c r="DQ344" s="818">
        <f>DQ396</f>
        <v>-223.73989633990004</v>
      </c>
      <c r="DR344" s="818">
        <f t="shared" si="960"/>
        <v>-440.9630966699001</v>
      </c>
      <c r="DS344" s="811"/>
      <c r="DT344" s="811"/>
      <c r="DU344" s="811"/>
      <c r="DV344" s="811"/>
      <c r="DW344" s="992" t="s">
        <v>513</v>
      </c>
      <c r="DX344" s="850"/>
      <c r="DY344" s="850"/>
      <c r="DZ344" s="293"/>
      <c r="EA344" s="293"/>
      <c r="EB344" s="293"/>
      <c r="EC344" s="293"/>
      <c r="ED344" s="293"/>
      <c r="EE344" s="293"/>
      <c r="EF344" s="293"/>
      <c r="EG344" s="293"/>
      <c r="EH344" s="293"/>
      <c r="EI344" s="293"/>
      <c r="EJ344" s="293"/>
      <c r="EK344" s="293"/>
      <c r="EL344" s="293"/>
      <c r="EM344" s="293"/>
      <c r="EN344" s="293"/>
      <c r="EO344" s="293"/>
      <c r="EP344" s="293"/>
      <c r="EQ344" s="293"/>
      <c r="ER344" s="293"/>
      <c r="ES344" s="293"/>
      <c r="ET344" s="293"/>
      <c r="EU344" s="293"/>
      <c r="JW344"/>
    </row>
    <row r="345" spans="1:283" s="332" customFormat="1">
      <c r="A345" s="332" t="s">
        <v>652</v>
      </c>
      <c r="AN345" s="293"/>
      <c r="AO345" s="293"/>
      <c r="AP345" s="293"/>
      <c r="AQ345" s="293"/>
      <c r="AR345" s="626">
        <v>5</v>
      </c>
      <c r="AS345" s="626">
        <v>-17</v>
      </c>
      <c r="AT345" s="293">
        <f t="shared" si="941"/>
        <v>-12</v>
      </c>
      <c r="AU345" s="626"/>
      <c r="AV345" s="626">
        <v>-153</v>
      </c>
      <c r="AW345" s="626">
        <v>-33</v>
      </c>
      <c r="AX345" s="293">
        <f t="shared" si="942"/>
        <v>-186</v>
      </c>
      <c r="AY345" s="626"/>
      <c r="AZ345" s="626">
        <v>6</v>
      </c>
      <c r="BA345" s="927">
        <v>61</v>
      </c>
      <c r="BB345" s="293">
        <f t="shared" si="943"/>
        <v>67</v>
      </c>
      <c r="BC345" s="293"/>
      <c r="BD345" s="626">
        <v>15</v>
      </c>
      <c r="BE345" s="626">
        <v>-28</v>
      </c>
      <c r="BF345" s="293">
        <f t="shared" si="944"/>
        <v>-13</v>
      </c>
      <c r="BG345" s="293"/>
      <c r="BH345" s="626">
        <v>48</v>
      </c>
      <c r="BI345" s="626">
        <v>-12</v>
      </c>
      <c r="BJ345" s="293">
        <f t="shared" si="945"/>
        <v>36</v>
      </c>
      <c r="BK345" s="487"/>
      <c r="BL345" s="626">
        <v>47</v>
      </c>
      <c r="BM345" s="626">
        <v>56</v>
      </c>
      <c r="BN345" s="293">
        <f t="shared" si="946"/>
        <v>103</v>
      </c>
      <c r="BO345" s="817"/>
      <c r="BP345" s="626">
        <v>38</v>
      </c>
      <c r="BQ345" s="626">
        <v>-25</v>
      </c>
      <c r="BR345" s="293">
        <f t="shared" si="947"/>
        <v>13</v>
      </c>
      <c r="BS345" s="817"/>
      <c r="BT345" s="626">
        <v>-38</v>
      </c>
      <c r="BU345" s="626">
        <v>22</v>
      </c>
      <c r="BV345" s="293">
        <f t="shared" si="948"/>
        <v>-16</v>
      </c>
      <c r="BW345" s="293"/>
      <c r="BX345" s="626">
        <v>41</v>
      </c>
      <c r="BY345" s="626">
        <f>45-BX345</f>
        <v>4</v>
      </c>
      <c r="BZ345" s="293">
        <f t="shared" si="949"/>
        <v>45</v>
      </c>
      <c r="CA345" s="811"/>
      <c r="CB345" s="626">
        <v>49</v>
      </c>
      <c r="CC345" s="626">
        <v>122</v>
      </c>
      <c r="CD345" s="293">
        <f t="shared" si="950"/>
        <v>171</v>
      </c>
      <c r="CE345" s="811"/>
      <c r="CF345" s="626">
        <v>87</v>
      </c>
      <c r="CG345" s="626">
        <v>27</v>
      </c>
      <c r="CH345" s="293">
        <f t="shared" si="951"/>
        <v>114</v>
      </c>
      <c r="CI345" s="811"/>
      <c r="CJ345" s="626">
        <v>83</v>
      </c>
      <c r="CK345" s="626">
        <v>141</v>
      </c>
      <c r="CL345" s="293">
        <f t="shared" si="952"/>
        <v>224</v>
      </c>
      <c r="CM345" s="811"/>
      <c r="CN345" s="1388">
        <v>-55</v>
      </c>
      <c r="CO345" s="1388">
        <v>43</v>
      </c>
      <c r="CP345" s="1010">
        <f t="shared" si="953"/>
        <v>-12</v>
      </c>
      <c r="CQ345" s="1425"/>
      <c r="CR345" s="1388">
        <v>185</v>
      </c>
      <c r="CS345" s="1497">
        <v>71</v>
      </c>
      <c r="CT345" s="293">
        <f t="shared" si="954"/>
        <v>256</v>
      </c>
      <c r="CU345" s="811"/>
      <c r="CV345" s="1388">
        <v>-33</v>
      </c>
      <c r="CW345" s="1497">
        <v>32</v>
      </c>
      <c r="CX345" s="293">
        <f t="shared" si="955"/>
        <v>-1</v>
      </c>
      <c r="CY345" s="811"/>
      <c r="CZ345" s="1863">
        <v>29</v>
      </c>
      <c r="DA345" s="1488">
        <v>25</v>
      </c>
      <c r="DB345" s="293">
        <f t="shared" si="956"/>
        <v>54</v>
      </c>
      <c r="DC345" s="811"/>
      <c r="DD345" s="2207">
        <v>67</v>
      </c>
      <c r="DE345" s="2207">
        <v>178</v>
      </c>
      <c r="DF345" s="293">
        <f t="shared" si="957"/>
        <v>245</v>
      </c>
      <c r="DG345" s="811"/>
      <c r="DH345" s="2107">
        <v>44</v>
      </c>
      <c r="DI345" s="841">
        <f>'P&amp;L'!DI417</f>
        <v>45.32</v>
      </c>
      <c r="DJ345" s="293">
        <f t="shared" si="958"/>
        <v>89.32</v>
      </c>
      <c r="DK345" s="811"/>
      <c r="DL345" s="841">
        <f>'P&amp;L'!DL417</f>
        <v>46.679600000000001</v>
      </c>
      <c r="DM345" s="841">
        <f>'P&amp;L'!DM417</f>
        <v>48.079988</v>
      </c>
      <c r="DN345" s="293">
        <f t="shared" si="959"/>
        <v>94.759588000000008</v>
      </c>
      <c r="DO345" s="811"/>
      <c r="DP345" s="841">
        <f>'P&amp;L'!DP417</f>
        <v>49.522387639999998</v>
      </c>
      <c r="DQ345" s="841">
        <f>'P&amp;L'!DQ417</f>
        <v>51.008059269199997</v>
      </c>
      <c r="DR345" s="293">
        <f t="shared" si="960"/>
        <v>100.53044690919999</v>
      </c>
      <c r="DS345" s="811"/>
      <c r="DT345" s="811"/>
      <c r="DU345" s="811"/>
      <c r="DV345" s="811"/>
      <c r="DW345" s="1198" t="s">
        <v>174</v>
      </c>
      <c r="DX345" s="293"/>
      <c r="DY345" s="293"/>
      <c r="DZ345" s="293"/>
      <c r="EA345" s="293"/>
      <c r="EB345" s="293"/>
      <c r="EC345" s="293"/>
      <c r="ED345" s="293"/>
      <c r="EE345" s="293"/>
      <c r="EF345" s="293"/>
      <c r="EG345" s="293"/>
      <c r="EH345" s="293"/>
      <c r="EI345" s="293"/>
      <c r="EJ345" s="293"/>
      <c r="EK345" s="293"/>
      <c r="EL345" s="293"/>
      <c r="EM345" s="293"/>
      <c r="EN345" s="293"/>
      <c r="EO345" s="293"/>
      <c r="EP345" s="293"/>
      <c r="EQ345" s="293"/>
      <c r="ER345" s="293"/>
      <c r="ES345" s="293"/>
      <c r="ET345" s="293"/>
      <c r="EU345" s="293"/>
      <c r="JW345"/>
    </row>
    <row r="346" spans="1:283" s="332" customFormat="1">
      <c r="A346" s="332" t="s">
        <v>621</v>
      </c>
      <c r="AN346" s="293"/>
      <c r="AO346" s="293"/>
      <c r="AP346" s="293"/>
      <c r="AQ346" s="626"/>
      <c r="AR346" s="293"/>
      <c r="AS346" s="293"/>
      <c r="AT346" s="293">
        <f t="shared" si="941"/>
        <v>0</v>
      </c>
      <c r="AU346" s="626"/>
      <c r="AV346" s="818">
        <f>AV437</f>
        <v>494</v>
      </c>
      <c r="AW346" s="818">
        <f>AW437</f>
        <v>246</v>
      </c>
      <c r="AX346" s="293">
        <f t="shared" si="942"/>
        <v>740</v>
      </c>
      <c r="AY346" s="626"/>
      <c r="AZ346" s="818">
        <f>AZ437</f>
        <v>26</v>
      </c>
      <c r="BA346" s="818">
        <f>BA437</f>
        <v>3</v>
      </c>
      <c r="BB346" s="293">
        <f t="shared" si="943"/>
        <v>29</v>
      </c>
      <c r="BC346" s="293"/>
      <c r="BD346" s="818">
        <f>BD437</f>
        <v>11</v>
      </c>
      <c r="BE346" s="818">
        <f>BE437</f>
        <v>27</v>
      </c>
      <c r="BF346" s="293">
        <f t="shared" si="944"/>
        <v>38</v>
      </c>
      <c r="BG346" s="293"/>
      <c r="BH346" s="818">
        <f>BH437</f>
        <v>-3</v>
      </c>
      <c r="BI346" s="818">
        <f>BI437</f>
        <v>23</v>
      </c>
      <c r="BJ346" s="293">
        <f t="shared" si="945"/>
        <v>20</v>
      </c>
      <c r="BK346" s="487"/>
      <c r="BL346" s="818">
        <f>BL437</f>
        <v>54</v>
      </c>
      <c r="BM346" s="818">
        <f>BM437</f>
        <v>58</v>
      </c>
      <c r="BN346" s="293">
        <f t="shared" si="946"/>
        <v>112</v>
      </c>
      <c r="BO346" s="817"/>
      <c r="BP346" s="818">
        <f>BP437</f>
        <v>60</v>
      </c>
      <c r="BQ346" s="818">
        <f>BQ437</f>
        <v>58</v>
      </c>
      <c r="BR346" s="293">
        <f t="shared" si="947"/>
        <v>118</v>
      </c>
      <c r="BS346" s="817"/>
      <c r="BT346" s="818">
        <f>BT437</f>
        <v>181</v>
      </c>
      <c r="BU346" s="818">
        <f>BU437</f>
        <v>56</v>
      </c>
      <c r="BV346" s="293">
        <f t="shared" si="948"/>
        <v>237</v>
      </c>
      <c r="BW346" s="293"/>
      <c r="BX346" s="818">
        <f>BX437</f>
        <v>275</v>
      </c>
      <c r="BY346" s="818">
        <f>BY437</f>
        <v>207</v>
      </c>
      <c r="BZ346" s="293">
        <f t="shared" si="949"/>
        <v>482</v>
      </c>
      <c r="CA346" s="811"/>
      <c r="CB346" s="818">
        <f>CB437</f>
        <v>239</v>
      </c>
      <c r="CC346" s="818">
        <f>CC437</f>
        <v>-88</v>
      </c>
      <c r="CD346" s="293">
        <f t="shared" si="950"/>
        <v>151</v>
      </c>
      <c r="CE346" s="811"/>
      <c r="CF346" s="818">
        <f>CF437</f>
        <v>372</v>
      </c>
      <c r="CG346" s="818">
        <f>CG437</f>
        <v>373</v>
      </c>
      <c r="CH346" s="293">
        <f t="shared" si="951"/>
        <v>745</v>
      </c>
      <c r="CI346" s="811"/>
      <c r="CJ346" s="818">
        <f>CJ437</f>
        <v>406</v>
      </c>
      <c r="CK346" s="818">
        <f>CK437</f>
        <v>208</v>
      </c>
      <c r="CL346" s="293">
        <f t="shared" si="952"/>
        <v>614</v>
      </c>
      <c r="CM346" s="811"/>
      <c r="CN346" s="1426">
        <f>CN437</f>
        <v>460</v>
      </c>
      <c r="CO346" s="1426">
        <f>CO437</f>
        <v>403</v>
      </c>
      <c r="CP346" s="1010">
        <f t="shared" si="953"/>
        <v>863</v>
      </c>
      <c r="CQ346" s="1425"/>
      <c r="CR346" s="1426">
        <f>CR437</f>
        <v>215</v>
      </c>
      <c r="CS346" s="1409">
        <f>CS437</f>
        <v>1408</v>
      </c>
      <c r="CT346" s="293">
        <f t="shared" si="954"/>
        <v>1623</v>
      </c>
      <c r="CU346" s="811"/>
      <c r="CV346" s="1426">
        <f>CV437</f>
        <v>836</v>
      </c>
      <c r="CW346" s="1409">
        <f>CW437</f>
        <v>391</v>
      </c>
      <c r="CX346" s="293">
        <f t="shared" si="955"/>
        <v>1227</v>
      </c>
      <c r="CY346" s="811"/>
      <c r="CZ346" s="1866">
        <f>CZ437</f>
        <v>74</v>
      </c>
      <c r="DA346" s="1887">
        <f>DA437</f>
        <v>244</v>
      </c>
      <c r="DB346" s="293">
        <f t="shared" si="956"/>
        <v>318</v>
      </c>
      <c r="DC346" s="811"/>
      <c r="DD346" s="1887">
        <f>DD437</f>
        <v>164</v>
      </c>
      <c r="DE346" s="1887">
        <f>DE437</f>
        <v>490</v>
      </c>
      <c r="DF346" s="293">
        <f t="shared" si="957"/>
        <v>654</v>
      </c>
      <c r="DG346" s="811"/>
      <c r="DH346" s="2120">
        <f>DH437</f>
        <v>81</v>
      </c>
      <c r="DI346" s="818">
        <f>DI437</f>
        <v>602</v>
      </c>
      <c r="DJ346" s="293">
        <f t="shared" si="958"/>
        <v>683</v>
      </c>
      <c r="DK346" s="811"/>
      <c r="DL346" s="818">
        <f>DL437</f>
        <v>239.55</v>
      </c>
      <c r="DM346" s="818">
        <f>DM437</f>
        <v>244.85000000000002</v>
      </c>
      <c r="DN346" s="293">
        <f t="shared" si="959"/>
        <v>484.40000000000003</v>
      </c>
      <c r="DO346" s="811"/>
      <c r="DP346" s="818">
        <f>DP437</f>
        <v>226.23750000000001</v>
      </c>
      <c r="DQ346" s="818">
        <f>DQ437</f>
        <v>232.85250000000002</v>
      </c>
      <c r="DR346" s="293">
        <f t="shared" si="960"/>
        <v>459.09000000000003</v>
      </c>
      <c r="DS346" s="811"/>
      <c r="DT346" s="811"/>
      <c r="DU346" s="811"/>
      <c r="DV346" s="811"/>
      <c r="DW346" s="992" t="s">
        <v>513</v>
      </c>
      <c r="DX346" s="818"/>
      <c r="DY346" s="818"/>
      <c r="DZ346" s="293"/>
      <c r="EA346" s="818"/>
      <c r="EB346" s="818"/>
      <c r="EC346" s="293"/>
      <c r="ED346" s="293"/>
      <c r="EE346" s="818"/>
      <c r="EF346" s="818"/>
      <c r="EG346" s="293"/>
      <c r="EH346" s="293"/>
      <c r="EI346" s="818"/>
      <c r="EJ346" s="818"/>
      <c r="EK346" s="293"/>
      <c r="EL346" s="293"/>
      <c r="EM346" s="293"/>
      <c r="EN346" s="293"/>
      <c r="EO346" s="293"/>
      <c r="EP346" s="293"/>
      <c r="EQ346" s="293"/>
      <c r="ER346" s="293"/>
      <c r="ES346" s="293"/>
      <c r="ET346" s="293"/>
      <c r="EU346" s="293"/>
      <c r="JW346"/>
    </row>
    <row r="347" spans="1:283" s="332" customFormat="1">
      <c r="A347" s="332" t="s">
        <v>567</v>
      </c>
      <c r="AN347" s="293"/>
      <c r="AO347" s="293"/>
      <c r="AP347" s="293"/>
      <c r="AQ347" s="293"/>
      <c r="AR347" s="626">
        <v>1</v>
      </c>
      <c r="AS347" s="626">
        <v>3</v>
      </c>
      <c r="AT347" s="293">
        <f t="shared" si="941"/>
        <v>4</v>
      </c>
      <c r="AU347" s="626"/>
      <c r="AV347" s="626">
        <v>43</v>
      </c>
      <c r="AW347" s="626">
        <v>18</v>
      </c>
      <c r="AX347" s="293">
        <f t="shared" si="942"/>
        <v>61</v>
      </c>
      <c r="AY347" s="293"/>
      <c r="AZ347" s="626">
        <v>4</v>
      </c>
      <c r="BA347" s="927">
        <v>12</v>
      </c>
      <c r="BB347" s="293">
        <f t="shared" si="943"/>
        <v>16</v>
      </c>
      <c r="BC347" s="293"/>
      <c r="BD347" s="626">
        <v>17</v>
      </c>
      <c r="BE347" s="626">
        <v>4</v>
      </c>
      <c r="BF347" s="293">
        <f t="shared" si="944"/>
        <v>21</v>
      </c>
      <c r="BG347" s="293"/>
      <c r="BH347" s="626">
        <v>9</v>
      </c>
      <c r="BI347" s="626">
        <v>7</v>
      </c>
      <c r="BJ347" s="293">
        <f t="shared" si="945"/>
        <v>16</v>
      </c>
      <c r="BK347" s="487"/>
      <c r="BL347" s="626">
        <v>6</v>
      </c>
      <c r="BM347" s="626">
        <v>10</v>
      </c>
      <c r="BN347" s="293">
        <f t="shared" si="946"/>
        <v>16</v>
      </c>
      <c r="BO347" s="817"/>
      <c r="BP347" s="626">
        <v>-3</v>
      </c>
      <c r="BQ347" s="626">
        <v>5</v>
      </c>
      <c r="BR347" s="293">
        <f t="shared" si="947"/>
        <v>2</v>
      </c>
      <c r="BS347" s="817"/>
      <c r="BT347" s="626">
        <v>0</v>
      </c>
      <c r="BU347" s="626">
        <v>0</v>
      </c>
      <c r="BV347" s="293">
        <f t="shared" si="948"/>
        <v>0</v>
      </c>
      <c r="BW347" s="293"/>
      <c r="BX347" s="626">
        <v>14</v>
      </c>
      <c r="BY347" s="626">
        <f>44-BX347</f>
        <v>30</v>
      </c>
      <c r="BZ347" s="293">
        <f t="shared" si="949"/>
        <v>44</v>
      </c>
      <c r="CA347" s="811"/>
      <c r="CB347" s="626">
        <v>0</v>
      </c>
      <c r="CC347" s="626">
        <v>33</v>
      </c>
      <c r="CD347" s="293">
        <f t="shared" si="950"/>
        <v>33</v>
      </c>
      <c r="CE347" s="811"/>
      <c r="CF347" s="626">
        <v>0</v>
      </c>
      <c r="CG347" s="626">
        <v>107</v>
      </c>
      <c r="CH347" s="293">
        <f t="shared" si="951"/>
        <v>107</v>
      </c>
      <c r="CI347" s="811"/>
      <c r="CJ347" s="626">
        <v>0</v>
      </c>
      <c r="CK347" s="626">
        <v>89</v>
      </c>
      <c r="CL347" s="293">
        <f t="shared" si="952"/>
        <v>89</v>
      </c>
      <c r="CM347" s="811"/>
      <c r="CN347" s="1388">
        <v>2</v>
      </c>
      <c r="CO347" s="1388">
        <v>29</v>
      </c>
      <c r="CP347" s="1010">
        <f t="shared" si="953"/>
        <v>31</v>
      </c>
      <c r="CQ347" s="1425"/>
      <c r="CR347" s="1388">
        <v>3</v>
      </c>
      <c r="CS347" s="1497">
        <v>15</v>
      </c>
      <c r="CT347" s="293">
        <f t="shared" si="954"/>
        <v>18</v>
      </c>
      <c r="CU347" s="811"/>
      <c r="CV347" s="1388">
        <v>63</v>
      </c>
      <c r="CW347" s="1497">
        <v>29</v>
      </c>
      <c r="CX347" s="293">
        <f t="shared" si="955"/>
        <v>92</v>
      </c>
      <c r="CY347" s="811"/>
      <c r="CZ347" s="1863">
        <v>0</v>
      </c>
      <c r="DA347" s="1488">
        <v>-2</v>
      </c>
      <c r="DB347" s="293">
        <f t="shared" si="956"/>
        <v>-2</v>
      </c>
      <c r="DC347" s="811"/>
      <c r="DD347" s="2207">
        <v>9</v>
      </c>
      <c r="DE347" s="2207">
        <v>-16</v>
      </c>
      <c r="DF347" s="293">
        <f t="shared" si="957"/>
        <v>-7</v>
      </c>
      <c r="DG347" s="811"/>
      <c r="DH347" s="2107">
        <v>40</v>
      </c>
      <c r="DI347" s="841">
        <f>'P&amp;L'!DI671</f>
        <v>41.2</v>
      </c>
      <c r="DJ347" s="293">
        <f t="shared" si="958"/>
        <v>81.2</v>
      </c>
      <c r="DK347" s="811"/>
      <c r="DL347" s="841">
        <f>'P&amp;L'!DL671</f>
        <v>42.436000000000007</v>
      </c>
      <c r="DM347" s="841">
        <f>'P&amp;L'!DM671</f>
        <v>43.709080000000007</v>
      </c>
      <c r="DN347" s="293">
        <f t="shared" si="959"/>
        <v>86.145080000000007</v>
      </c>
      <c r="DO347" s="811"/>
      <c r="DP347" s="841">
        <f>'P&amp;L'!DP671</f>
        <v>45.020352400000007</v>
      </c>
      <c r="DQ347" s="841">
        <f>'P&amp;L'!DQ671</f>
        <v>46.370962972000008</v>
      </c>
      <c r="DR347" s="293">
        <f t="shared" si="960"/>
        <v>91.391315372000008</v>
      </c>
      <c r="DS347" s="811"/>
      <c r="DT347" s="811"/>
      <c r="DU347" s="811"/>
      <c r="DV347" s="811"/>
      <c r="DW347" s="1198" t="s">
        <v>174</v>
      </c>
      <c r="DX347" s="293"/>
      <c r="DY347" s="293"/>
      <c r="DZ347" s="293"/>
      <c r="EA347" s="293"/>
      <c r="EB347" s="293"/>
      <c r="EC347" s="293"/>
      <c r="ED347" s="293"/>
      <c r="EE347" s="293"/>
      <c r="EF347" s="293"/>
      <c r="EG347" s="293"/>
      <c r="EH347" s="293"/>
      <c r="EI347" s="293"/>
      <c r="EJ347" s="293"/>
      <c r="EK347" s="293"/>
      <c r="EL347" s="293"/>
      <c r="EM347" s="293"/>
      <c r="EN347" s="293"/>
      <c r="EO347" s="293"/>
      <c r="EP347" s="293"/>
      <c r="EQ347" s="293"/>
      <c r="ER347" s="293"/>
      <c r="ES347" s="293"/>
      <c r="ET347" s="293"/>
      <c r="EU347" s="293"/>
      <c r="JW347"/>
    </row>
    <row r="348" spans="1:283" s="332" customFormat="1">
      <c r="A348" s="327" t="s">
        <v>568</v>
      </c>
      <c r="AN348" s="295"/>
      <c r="AO348" s="295"/>
      <c r="AP348" s="295"/>
      <c r="AQ348" s="295"/>
      <c r="AR348" s="295">
        <f>SUM(AR342:AR347)</f>
        <v>34</v>
      </c>
      <c r="AS348" s="295">
        <f>SUM(AS342:AS347)</f>
        <v>13</v>
      </c>
      <c r="AT348" s="295">
        <f t="shared" si="941"/>
        <v>47</v>
      </c>
      <c r="AU348" s="295"/>
      <c r="AV348" s="295">
        <f>SUM(AV342:AV347)</f>
        <v>756</v>
      </c>
      <c r="AW348" s="295">
        <f>SUM(AW342:AW347)</f>
        <v>675</v>
      </c>
      <c r="AX348" s="295">
        <f t="shared" si="942"/>
        <v>1431</v>
      </c>
      <c r="AY348" s="295"/>
      <c r="AZ348" s="295">
        <f>SUM(AZ342:AZ347)</f>
        <v>639</v>
      </c>
      <c r="BA348" s="295">
        <f>SUM(BA342:BA347)</f>
        <v>657</v>
      </c>
      <c r="BB348" s="295">
        <f t="shared" si="943"/>
        <v>1296</v>
      </c>
      <c r="BC348" s="295"/>
      <c r="BD348" s="295">
        <f>SUM(BD342:BD347)</f>
        <v>783.33300000000008</v>
      </c>
      <c r="BE348" s="295">
        <f>SUM(BE342:BE347)</f>
        <v>626</v>
      </c>
      <c r="BF348" s="295">
        <f t="shared" si="944"/>
        <v>1409.3330000000001</v>
      </c>
      <c r="BG348" s="293"/>
      <c r="BH348" s="295">
        <f>SUM(BH342:BH347)</f>
        <v>725</v>
      </c>
      <c r="BI348" s="295">
        <f>SUM(BI342:BI347)</f>
        <v>789</v>
      </c>
      <c r="BJ348" s="295">
        <f t="shared" si="945"/>
        <v>1514</v>
      </c>
      <c r="BK348" s="487"/>
      <c r="BL348" s="295">
        <f>SUM(BL342:BL347)</f>
        <v>907</v>
      </c>
      <c r="BM348" s="295">
        <f>SUM(BM342:BM347)</f>
        <v>1021</v>
      </c>
      <c r="BN348" s="295">
        <f t="shared" si="946"/>
        <v>1928</v>
      </c>
      <c r="BO348" s="811">
        <f>+BN348/BJ348-1</f>
        <v>0.27344782034346093</v>
      </c>
      <c r="BP348" s="295">
        <f>SUM(BP342:BP347)</f>
        <v>1225</v>
      </c>
      <c r="BQ348" s="295">
        <f>SUM(BQ342:BQ347)</f>
        <v>1191</v>
      </c>
      <c r="BR348" s="295">
        <f t="shared" si="947"/>
        <v>2416</v>
      </c>
      <c r="BS348" s="811">
        <f>+BR348/BN348-1</f>
        <v>0.25311203319502074</v>
      </c>
      <c r="BT348" s="295">
        <f>SUM(BT342:BT347)</f>
        <v>1669</v>
      </c>
      <c r="BU348" s="295">
        <f>SUM(BU342:BU347)</f>
        <v>1041</v>
      </c>
      <c r="BV348" s="295">
        <f t="shared" si="948"/>
        <v>2710</v>
      </c>
      <c r="BW348" s="811">
        <f>+BV348/BR348-1</f>
        <v>0.1216887417218544</v>
      </c>
      <c r="BX348" s="295">
        <f>SUM(BX342:BX347)</f>
        <v>1373</v>
      </c>
      <c r="BY348" s="295">
        <f>SUM(BY342:BY347)</f>
        <v>1223</v>
      </c>
      <c r="BZ348" s="295">
        <f t="shared" si="949"/>
        <v>2596</v>
      </c>
      <c r="CA348" s="811">
        <f>+BZ348/BV348-1</f>
        <v>-4.2066420664206627E-2</v>
      </c>
      <c r="CB348" s="295">
        <f>SUM(CB342:CB347)</f>
        <v>1623</v>
      </c>
      <c r="CC348" s="295">
        <f>SUM(CC342:CC347)</f>
        <v>939</v>
      </c>
      <c r="CD348" s="295">
        <f t="shared" si="950"/>
        <v>2562</v>
      </c>
      <c r="CE348" s="811">
        <f>+CD348/BZ348-1</f>
        <v>-1.3097072419106293E-2</v>
      </c>
      <c r="CF348" s="295">
        <f>SUM(CF342:CF347)</f>
        <v>1534</v>
      </c>
      <c r="CG348" s="295">
        <f>SUM(CG342:CG347)</f>
        <v>1793</v>
      </c>
      <c r="CH348" s="295">
        <f t="shared" si="951"/>
        <v>3327</v>
      </c>
      <c r="CI348" s="811">
        <f>+CH348/CD348-1</f>
        <v>0.29859484777517564</v>
      </c>
      <c r="CJ348" s="295">
        <f>SUM(CJ342:CJ347)</f>
        <v>1879</v>
      </c>
      <c r="CK348" s="295">
        <f>SUM(CK342:CK347)</f>
        <v>1853</v>
      </c>
      <c r="CL348" s="295">
        <f t="shared" si="952"/>
        <v>3732</v>
      </c>
      <c r="CM348" s="811">
        <f>+CL348/CH348-1</f>
        <v>0.12173128944995493</v>
      </c>
      <c r="CN348" s="1412">
        <f>SUM(CN342:CN347)</f>
        <v>1789</v>
      </c>
      <c r="CO348" s="1412">
        <f>SUM(CO342:CO347)</f>
        <v>1765</v>
      </c>
      <c r="CP348" s="1412">
        <f t="shared" si="953"/>
        <v>3554</v>
      </c>
      <c r="CQ348" s="1425">
        <f>+CP348/CL348-1</f>
        <v>-4.769560557341912E-2</v>
      </c>
      <c r="CR348" s="1412">
        <f>SUM(CR342:CR347)</f>
        <v>2374</v>
      </c>
      <c r="CS348" s="1390">
        <f>SUM(CS342:CS347)</f>
        <v>3283</v>
      </c>
      <c r="CT348" s="295">
        <f t="shared" si="954"/>
        <v>5657</v>
      </c>
      <c r="CU348" s="811">
        <f>+CT348/CP348-1</f>
        <v>0.59172763083849178</v>
      </c>
      <c r="CV348" s="1412">
        <f>SUM(CV342:CV347)</f>
        <v>2605</v>
      </c>
      <c r="CW348" s="1390">
        <f>SUM(CW342:CW347)</f>
        <v>2346</v>
      </c>
      <c r="CX348" s="295">
        <f t="shared" si="955"/>
        <v>4951</v>
      </c>
      <c r="CY348" s="811">
        <f>+CX348/CT348-1</f>
        <v>-0.12480113134170057</v>
      </c>
      <c r="CZ348" s="1867">
        <f>SUM(CZ342:CZ347)</f>
        <v>1693</v>
      </c>
      <c r="DA348" s="1491">
        <f>SUM(DA342:DA347)</f>
        <v>2061</v>
      </c>
      <c r="DB348" s="295">
        <f t="shared" si="956"/>
        <v>3754</v>
      </c>
      <c r="DC348" s="811">
        <f>+DB348/CX348-1</f>
        <v>-0.24176933952736823</v>
      </c>
      <c r="DD348" s="1491">
        <f>SUM(DD342:DD347)</f>
        <v>2042</v>
      </c>
      <c r="DE348" s="1491">
        <f>SUM(DE342:DE347)</f>
        <v>2548</v>
      </c>
      <c r="DF348" s="295">
        <f t="shared" si="957"/>
        <v>4590</v>
      </c>
      <c r="DG348" s="811">
        <f>+DF348/DB348-1</f>
        <v>0.22269579115610005</v>
      </c>
      <c r="DH348" s="2121">
        <f>SUM(DH342:DH347)</f>
        <v>2387</v>
      </c>
      <c r="DI348" s="295">
        <f>SUM(DI342:DI347)</f>
        <v>2630.1050669774477</v>
      </c>
      <c r="DJ348" s="295">
        <f t="shared" si="958"/>
        <v>5017.1050669774477</v>
      </c>
      <c r="DK348" s="811">
        <f>+DJ348/DF348-1</f>
        <v>9.3051212849117215E-2</v>
      </c>
      <c r="DL348" s="295">
        <f>SUM(DL342:DL347)</f>
        <v>2057.494778893888</v>
      </c>
      <c r="DM348" s="295">
        <f>SUM(DM342:DM347)</f>
        <v>2092.5987037541349</v>
      </c>
      <c r="DN348" s="295">
        <f t="shared" si="959"/>
        <v>4150.0934826480225</v>
      </c>
      <c r="DO348" s="811">
        <f>+DN348/DJ348-1</f>
        <v>-0.17281112768319118</v>
      </c>
      <c r="DP348" s="295">
        <f>SUM(DP342:DP347)</f>
        <v>2128.0055018132221</v>
      </c>
      <c r="DQ348" s="295">
        <f>SUM(DQ342:DQ347)</f>
        <v>2183.5883264597328</v>
      </c>
      <c r="DR348" s="295">
        <f t="shared" si="960"/>
        <v>4311.5938282729549</v>
      </c>
      <c r="DS348" s="811">
        <f>+DR348/DN348-1</f>
        <v>3.8914869339734759E-2</v>
      </c>
      <c r="DT348" s="811"/>
      <c r="DU348" s="811"/>
      <c r="DV348" s="811"/>
      <c r="DW348" s="1199"/>
      <c r="DX348" s="295"/>
      <c r="DY348" s="295"/>
      <c r="DZ348" s="295"/>
      <c r="EA348" s="295"/>
      <c r="EB348" s="295"/>
      <c r="EC348" s="295"/>
      <c r="ED348" s="295"/>
      <c r="EE348" s="295"/>
      <c r="EF348" s="295"/>
      <c r="EG348" s="295"/>
      <c r="EH348" s="295"/>
      <c r="EI348" s="295"/>
      <c r="EJ348" s="295"/>
      <c r="EK348" s="295"/>
      <c r="EL348" s="295"/>
      <c r="EM348" s="295"/>
      <c r="EN348" s="295"/>
      <c r="EO348" s="295"/>
      <c r="EP348" s="295"/>
      <c r="EQ348" s="295"/>
      <c r="ER348" s="295"/>
      <c r="ES348" s="295"/>
      <c r="ET348" s="295"/>
      <c r="EU348" s="295"/>
      <c r="EV348" s="327"/>
      <c r="EW348" s="327"/>
      <c r="EX348" s="327"/>
      <c r="EY348" s="327"/>
      <c r="EZ348" s="327"/>
      <c r="FA348" s="327"/>
      <c r="FB348" s="327"/>
      <c r="FC348" s="327"/>
      <c r="FD348" s="327"/>
      <c r="FE348" s="327"/>
      <c r="FF348" s="327"/>
      <c r="FG348" s="327"/>
      <c r="FH348" s="327"/>
      <c r="FI348" s="327"/>
      <c r="FJ348" s="327"/>
      <c r="FK348" s="327"/>
      <c r="FL348" s="327"/>
      <c r="FM348" s="327"/>
      <c r="FN348" s="327"/>
      <c r="FO348" s="327"/>
      <c r="FP348" s="327"/>
      <c r="FQ348" s="327"/>
      <c r="FR348" s="327"/>
      <c r="FS348" s="327"/>
      <c r="FT348" s="327"/>
      <c r="FU348" s="327"/>
      <c r="FV348" s="327"/>
      <c r="FW348" s="327"/>
      <c r="FX348" s="327"/>
      <c r="FY348" s="327"/>
      <c r="FZ348" s="327"/>
      <c r="GA348" s="327"/>
      <c r="GB348" s="327"/>
      <c r="GC348" s="327"/>
      <c r="GD348" s="327"/>
      <c r="GE348" s="327"/>
      <c r="GF348" s="327"/>
      <c r="GG348" s="327"/>
      <c r="GH348" s="327"/>
      <c r="GI348" s="327"/>
      <c r="GJ348" s="327"/>
      <c r="GK348" s="327"/>
      <c r="GL348" s="327"/>
      <c r="GM348" s="327"/>
      <c r="GN348" s="327"/>
      <c r="GO348" s="327"/>
      <c r="GP348" s="327"/>
      <c r="GQ348" s="327"/>
      <c r="GR348" s="327"/>
      <c r="GS348" s="327"/>
      <c r="GT348" s="327"/>
      <c r="GU348" s="327"/>
      <c r="GV348" s="327"/>
      <c r="GW348" s="327"/>
      <c r="GX348" s="327"/>
      <c r="GY348" s="327"/>
      <c r="GZ348" s="327"/>
      <c r="HA348" s="327"/>
      <c r="HB348" s="327"/>
      <c r="HC348" s="327"/>
      <c r="HD348" s="327"/>
      <c r="HE348" s="327"/>
      <c r="HF348" s="327"/>
      <c r="HG348" s="327"/>
      <c r="HH348" s="327"/>
      <c r="HI348" s="327"/>
      <c r="HJ348" s="327"/>
      <c r="HK348" s="327"/>
      <c r="HL348" s="327"/>
      <c r="HM348" s="327"/>
      <c r="HN348" s="327"/>
      <c r="HO348" s="327"/>
      <c r="HP348" s="327"/>
      <c r="HQ348" s="327"/>
      <c r="HR348" s="327"/>
      <c r="HS348" s="327"/>
      <c r="HT348" s="327"/>
      <c r="HU348" s="327"/>
      <c r="HV348" s="327"/>
      <c r="HW348" s="327"/>
      <c r="HX348" s="327"/>
      <c r="HY348" s="327"/>
      <c r="HZ348" s="327"/>
      <c r="IA348" s="327"/>
      <c r="IB348" s="327"/>
      <c r="IC348" s="327"/>
      <c r="ID348" s="327"/>
      <c r="IE348" s="327"/>
      <c r="IF348" s="327"/>
      <c r="IG348" s="327"/>
      <c r="IH348" s="327"/>
      <c r="II348" s="327"/>
      <c r="IJ348" s="327"/>
      <c r="IK348" s="327"/>
      <c r="IL348" s="327"/>
      <c r="IM348" s="327"/>
      <c r="IN348" s="327"/>
      <c r="IO348" s="327"/>
      <c r="IP348" s="327"/>
      <c r="IQ348" s="327"/>
      <c r="IR348" s="327"/>
      <c r="IS348" s="327"/>
      <c r="IT348" s="327"/>
      <c r="IU348" s="327"/>
      <c r="IV348" s="327"/>
      <c r="IW348" s="327"/>
      <c r="IX348" s="327"/>
      <c r="IY348" s="327"/>
      <c r="IZ348" s="327"/>
      <c r="JA348" s="327"/>
      <c r="JB348" s="327"/>
      <c r="JC348" s="327"/>
      <c r="JD348" s="327"/>
      <c r="JE348" s="327"/>
      <c r="JF348" s="327"/>
      <c r="JG348" s="327"/>
      <c r="JH348" s="327"/>
      <c r="JI348" s="327"/>
      <c r="JJ348" s="327"/>
      <c r="JK348" s="327"/>
      <c r="JL348" s="327"/>
      <c r="JM348" s="327"/>
      <c r="JN348" s="327"/>
      <c r="JO348" s="327"/>
      <c r="JP348" s="327"/>
      <c r="JQ348" s="327"/>
      <c r="JR348" s="327"/>
      <c r="JS348" s="327"/>
      <c r="JT348" s="327"/>
      <c r="JU348" s="327"/>
      <c r="JV348" s="327"/>
      <c r="JW348"/>
    </row>
    <row r="349" spans="1:283" s="332" customFormat="1">
      <c r="AN349" s="293"/>
      <c r="AO349" s="293"/>
      <c r="AP349" s="293"/>
      <c r="AQ349" s="293"/>
      <c r="AR349" s="293"/>
      <c r="AS349" s="293"/>
      <c r="AT349" s="293"/>
      <c r="AU349" s="293"/>
      <c r="AV349" s="293"/>
      <c r="AW349" s="293"/>
      <c r="AX349" s="293"/>
      <c r="AY349" s="293"/>
      <c r="AZ349" s="293"/>
      <c r="BA349" s="293"/>
      <c r="BB349" s="293"/>
      <c r="BC349" s="293"/>
      <c r="BD349" s="293"/>
      <c r="BE349" s="293"/>
      <c r="BF349" s="293"/>
      <c r="BG349" s="293"/>
      <c r="BH349" s="293"/>
      <c r="BI349" s="293"/>
      <c r="BJ349" s="293"/>
      <c r="BK349" s="293"/>
      <c r="BL349" s="293"/>
      <c r="BM349" s="293"/>
      <c r="BN349" s="293"/>
      <c r="BO349" s="293"/>
      <c r="BP349" s="293"/>
      <c r="BQ349" s="293"/>
      <c r="BR349" s="293"/>
      <c r="BS349" s="293"/>
      <c r="BT349" s="293"/>
      <c r="BU349" s="293"/>
      <c r="BV349" s="293"/>
      <c r="BW349" s="293"/>
      <c r="BX349" s="293"/>
      <c r="BY349" s="293"/>
      <c r="BZ349" s="293"/>
      <c r="CA349" s="293"/>
      <c r="CB349" s="293"/>
      <c r="CC349" s="293"/>
      <c r="CD349" s="293"/>
      <c r="CE349" s="293"/>
      <c r="CF349" s="293"/>
      <c r="CG349" s="293"/>
      <c r="CH349" s="293"/>
      <c r="CI349" s="293"/>
      <c r="CJ349" s="293"/>
      <c r="CK349" s="293"/>
      <c r="CL349" s="293"/>
      <c r="CM349" s="293"/>
      <c r="CN349" s="1010"/>
      <c r="CO349" s="1010"/>
      <c r="CP349" s="1010"/>
      <c r="CQ349" s="1010"/>
      <c r="CR349" s="1010"/>
      <c r="CS349" s="1495"/>
      <c r="CT349" s="293"/>
      <c r="CU349" s="293"/>
      <c r="CV349" s="1010"/>
      <c r="CW349" s="1841">
        <f>+CW348-CW400</f>
        <v>942</v>
      </c>
      <c r="CX349" s="293"/>
      <c r="CY349" s="293"/>
      <c r="CZ349" s="1841">
        <f>+CZ348-CZ400</f>
        <v>286</v>
      </c>
      <c r="DA349" s="2026">
        <f>+DA348-DA400</f>
        <v>594</v>
      </c>
      <c r="DB349" s="293"/>
      <c r="DC349" s="293"/>
      <c r="DD349" s="2026">
        <f>+DD348-DD400</f>
        <v>606</v>
      </c>
      <c r="DE349" s="2026">
        <f>+DE348-DE400</f>
        <v>1059</v>
      </c>
      <c r="DF349" s="293"/>
      <c r="DG349" s="293"/>
      <c r="DH349" s="1841">
        <f>+DH348-DH400</f>
        <v>922</v>
      </c>
      <c r="DI349" s="293"/>
      <c r="DJ349" s="293"/>
      <c r="DK349" s="293"/>
      <c r="DL349" s="293"/>
      <c r="DM349" s="293"/>
      <c r="DN349" s="293"/>
      <c r="DO349" s="293"/>
      <c r="DP349" s="293"/>
      <c r="DQ349" s="293"/>
      <c r="DR349" s="293"/>
      <c r="DS349" s="293"/>
      <c r="DT349" s="293"/>
      <c r="DU349" s="293"/>
      <c r="DV349" s="293"/>
      <c r="DW349" s="1201"/>
      <c r="DX349" s="293"/>
      <c r="DY349" s="293"/>
      <c r="DZ349" s="293"/>
      <c r="EA349" s="293"/>
      <c r="EB349" s="293"/>
      <c r="EC349" s="293"/>
      <c r="ED349" s="293"/>
      <c r="EE349" s="293"/>
      <c r="EF349" s="293"/>
      <c r="EG349" s="293"/>
      <c r="EH349" s="293"/>
      <c r="EI349" s="293"/>
      <c r="EJ349" s="293"/>
      <c r="EK349" s="293"/>
      <c r="EL349" s="293"/>
      <c r="EM349" s="293"/>
      <c r="EN349" s="293"/>
      <c r="EO349" s="293"/>
      <c r="EP349" s="293"/>
      <c r="EQ349" s="293"/>
      <c r="ER349" s="293"/>
      <c r="ES349" s="293"/>
      <c r="ET349" s="293"/>
      <c r="EU349" s="293"/>
      <c r="JW349"/>
    </row>
    <row r="350" spans="1:283" s="332" customFormat="1">
      <c r="A350" s="332" t="s">
        <v>604</v>
      </c>
      <c r="AN350" s="293"/>
      <c r="AO350" s="293"/>
      <c r="AP350" s="293"/>
      <c r="AQ350" s="293"/>
      <c r="AR350" s="658">
        <f>-44-(264-192)</f>
        <v>-116</v>
      </c>
      <c r="AS350" s="658">
        <f>-61-(354-257)</f>
        <v>-158</v>
      </c>
      <c r="AT350" s="293">
        <f>AR350+AS350</f>
        <v>-274</v>
      </c>
      <c r="AU350" s="626"/>
      <c r="AV350" s="626">
        <v>-114</v>
      </c>
      <c r="AW350" s="626">
        <v>-134</v>
      </c>
      <c r="AX350" s="293">
        <f t="shared" ref="AX350:AX356" si="961">AV350+AW350</f>
        <v>-248</v>
      </c>
      <c r="AY350" s="293"/>
      <c r="AZ350" s="626">
        <v>-153</v>
      </c>
      <c r="BA350" s="626">
        <v>-158</v>
      </c>
      <c r="BB350" s="293">
        <f t="shared" ref="BB350:BB356" si="962">AZ350+BA350</f>
        <v>-311</v>
      </c>
      <c r="BC350" s="293"/>
      <c r="BD350" s="626">
        <f>-130+0.3333</f>
        <v>-129.66669999999999</v>
      </c>
      <c r="BE350" s="626">
        <v>-135</v>
      </c>
      <c r="BF350" s="293">
        <f t="shared" ref="BF350:BF356" si="963">BD350+BE350</f>
        <v>-264.66669999999999</v>
      </c>
      <c r="BG350" s="293"/>
      <c r="BH350" s="626">
        <v>-130</v>
      </c>
      <c r="BI350" s="626">
        <v>-137</v>
      </c>
      <c r="BJ350" s="293">
        <f t="shared" ref="BJ350:BJ356" si="964">BH350+BI350</f>
        <v>-267</v>
      </c>
      <c r="BK350" s="487"/>
      <c r="BL350" s="626">
        <v>-143</v>
      </c>
      <c r="BM350" s="626">
        <v>-163</v>
      </c>
      <c r="BN350" s="293">
        <f t="shared" ref="BN350:BN356" si="965">BL350+BM350</f>
        <v>-306</v>
      </c>
      <c r="BO350" s="817">
        <f>+BN350/BJ350-1</f>
        <v>0.14606741573033699</v>
      </c>
      <c r="BP350" s="626">
        <v>-147</v>
      </c>
      <c r="BQ350" s="626">
        <v>-190</v>
      </c>
      <c r="BR350" s="293">
        <f t="shared" ref="BR350:BR356" si="966">BP350+BQ350</f>
        <v>-337</v>
      </c>
      <c r="BS350" s="817">
        <f>+BR350/BN350-1</f>
        <v>0.10130718954248374</v>
      </c>
      <c r="BT350" s="626">
        <v>-175</v>
      </c>
      <c r="BU350" s="626">
        <v>-180</v>
      </c>
      <c r="BV350" s="293">
        <f t="shared" ref="BV350:BV356" si="967">BT350+BU350</f>
        <v>-355</v>
      </c>
      <c r="BW350" s="293"/>
      <c r="BX350" s="626">
        <v>-182</v>
      </c>
      <c r="BY350" s="626">
        <v>-190</v>
      </c>
      <c r="BZ350" s="293">
        <f t="shared" ref="BZ350:BZ356" si="968">BX350+BY350</f>
        <v>-372</v>
      </c>
      <c r="CA350" s="293"/>
      <c r="CB350" s="626">
        <v>-184</v>
      </c>
      <c r="CC350" s="626">
        <v>-197</v>
      </c>
      <c r="CD350" s="293">
        <f t="shared" ref="CD350:CD356" si="969">CB350+CC350</f>
        <v>-381</v>
      </c>
      <c r="CE350" s="293"/>
      <c r="CF350" s="626">
        <v>-236</v>
      </c>
      <c r="CG350" s="626">
        <v>-283</v>
      </c>
      <c r="CH350" s="293">
        <f t="shared" ref="CH350:CH356" si="970">CF350+CG350</f>
        <v>-519</v>
      </c>
      <c r="CI350" s="293"/>
      <c r="CJ350" s="626">
        <v>-243</v>
      </c>
      <c r="CK350" s="626">
        <v>-262</v>
      </c>
      <c r="CL350" s="293">
        <f t="shared" ref="CL350:CL356" si="971">CJ350+CK350</f>
        <v>-505</v>
      </c>
      <c r="CM350" s="293"/>
      <c r="CN350" s="1388">
        <v>-257</v>
      </c>
      <c r="CO350" s="1388">
        <v>-230</v>
      </c>
      <c r="CP350" s="1010">
        <f t="shared" ref="CP350:CP356" si="972">CN350+CO350</f>
        <v>-487</v>
      </c>
      <c r="CQ350" s="1010"/>
      <c r="CR350" s="1388">
        <v>-406</v>
      </c>
      <c r="CS350" s="1497">
        <v>-422</v>
      </c>
      <c r="CT350" s="293">
        <f t="shared" ref="CT350:CT356" si="973">CR350+CS350</f>
        <v>-828</v>
      </c>
      <c r="CU350" s="293"/>
      <c r="CV350" s="1388">
        <v>-381</v>
      </c>
      <c r="CW350" s="1497">
        <v>-457</v>
      </c>
      <c r="CX350" s="293">
        <f t="shared" ref="CX350:CX356" si="974">CV350+CW350</f>
        <v>-838</v>
      </c>
      <c r="CY350" s="293"/>
      <c r="CZ350" s="1863">
        <v>-415</v>
      </c>
      <c r="DA350" s="1488">
        <v>-420</v>
      </c>
      <c r="DB350" s="293">
        <f t="shared" ref="DB350:DB356" si="975">CZ350+DA350</f>
        <v>-835</v>
      </c>
      <c r="DC350" s="293"/>
      <c r="DD350" s="2207">
        <v>-419</v>
      </c>
      <c r="DE350" s="2207">
        <v>-402</v>
      </c>
      <c r="DF350" s="293">
        <f t="shared" ref="DF350:DF356" si="976">DD350+DE350</f>
        <v>-821</v>
      </c>
      <c r="DG350" s="293"/>
      <c r="DH350" s="2107">
        <v>-401</v>
      </c>
      <c r="DI350" s="293">
        <f t="shared" ref="DI350" si="977">DI454</f>
        <v>-422.1</v>
      </c>
      <c r="DJ350" s="293">
        <f t="shared" ref="DJ350:DJ356" si="978">DH350+DI350</f>
        <v>-823.1</v>
      </c>
      <c r="DK350" s="293"/>
      <c r="DL350" s="293">
        <f t="shared" ref="DL350:DM350" si="979">DL454</f>
        <v>-413.03000000000003</v>
      </c>
      <c r="DM350" s="293">
        <f t="shared" si="979"/>
        <v>-443.20500000000004</v>
      </c>
      <c r="DN350" s="293">
        <f t="shared" ref="DN350:DN356" si="980">DL350+DM350</f>
        <v>-856.23500000000013</v>
      </c>
      <c r="DO350" s="293"/>
      <c r="DP350" s="293">
        <f t="shared" ref="DP350:DQ350" si="981">DP454</f>
        <v>-437.81180000000006</v>
      </c>
      <c r="DQ350" s="293">
        <f t="shared" si="981"/>
        <v>-474.22935000000007</v>
      </c>
      <c r="DR350" s="293">
        <f t="shared" ref="DR350:DR356" si="982">DP350+DQ350</f>
        <v>-912.04115000000013</v>
      </c>
      <c r="DS350" s="293"/>
      <c r="DT350" s="293"/>
      <c r="DU350" s="293"/>
      <c r="DV350" s="293"/>
      <c r="DW350" s="1197" t="s">
        <v>513</v>
      </c>
      <c r="DX350" s="293"/>
      <c r="DY350" s="293"/>
      <c r="DZ350" s="293"/>
      <c r="EA350" s="293"/>
      <c r="EB350" s="293"/>
      <c r="EC350" s="293"/>
      <c r="ED350" s="293"/>
      <c r="EE350" s="293"/>
      <c r="EF350" s="293"/>
      <c r="EG350" s="293"/>
      <c r="EH350" s="293"/>
      <c r="EI350" s="293"/>
      <c r="EJ350" s="293"/>
      <c r="EK350" s="293"/>
      <c r="EL350" s="293"/>
      <c r="EM350" s="293"/>
      <c r="EN350" s="293"/>
      <c r="EO350" s="293"/>
      <c r="EP350" s="293"/>
      <c r="EQ350" s="293"/>
      <c r="ER350" s="293"/>
      <c r="ES350" s="293"/>
      <c r="ET350" s="293"/>
      <c r="EU350" s="293"/>
      <c r="JW350"/>
    </row>
    <row r="351" spans="1:283" s="332" customFormat="1">
      <c r="A351" s="332" t="s">
        <v>605</v>
      </c>
      <c r="AN351" s="293"/>
      <c r="AO351" s="293"/>
      <c r="AP351" s="293"/>
      <c r="AQ351" s="293"/>
      <c r="AR351" s="626">
        <f>-45-(8-2)</f>
        <v>-51</v>
      </c>
      <c r="AS351" s="626">
        <f>-27-(89-18)</f>
        <v>-98</v>
      </c>
      <c r="AT351" s="293">
        <f>AR351+AS351</f>
        <v>-149</v>
      </c>
      <c r="AU351" s="626"/>
      <c r="AV351" s="626">
        <v>-43</v>
      </c>
      <c r="AW351" s="626">
        <v>-58</v>
      </c>
      <c r="AX351" s="293">
        <f t="shared" si="961"/>
        <v>-101</v>
      </c>
      <c r="AY351" s="293"/>
      <c r="AZ351" s="626">
        <v>-67</v>
      </c>
      <c r="BA351" s="626">
        <v>-69</v>
      </c>
      <c r="BB351" s="293">
        <f t="shared" si="962"/>
        <v>-136</v>
      </c>
      <c r="BC351" s="293"/>
      <c r="BD351" s="626">
        <v>-74</v>
      </c>
      <c r="BE351" s="626">
        <v>-69</v>
      </c>
      <c r="BF351" s="293">
        <f t="shared" si="963"/>
        <v>-143</v>
      </c>
      <c r="BG351" s="293"/>
      <c r="BH351" s="626">
        <v>-77</v>
      </c>
      <c r="BI351" s="626">
        <v>-73</v>
      </c>
      <c r="BJ351" s="293">
        <f t="shared" si="964"/>
        <v>-150</v>
      </c>
      <c r="BK351" s="487"/>
      <c r="BL351" s="626">
        <v>-87</v>
      </c>
      <c r="BM351" s="626">
        <v>-86</v>
      </c>
      <c r="BN351" s="293">
        <f t="shared" si="965"/>
        <v>-173</v>
      </c>
      <c r="BO351" s="817">
        <f>+BN351/BJ351-1</f>
        <v>0.15333333333333332</v>
      </c>
      <c r="BP351" s="626">
        <v>-88</v>
      </c>
      <c r="BQ351" s="626">
        <v>-100</v>
      </c>
      <c r="BR351" s="293">
        <f t="shared" si="966"/>
        <v>-188</v>
      </c>
      <c r="BS351" s="817">
        <f>+BR351/BN351-1</f>
        <v>8.6705202312138629E-2</v>
      </c>
      <c r="BT351" s="626">
        <v>-104</v>
      </c>
      <c r="BU351" s="626">
        <v>-115</v>
      </c>
      <c r="BV351" s="293">
        <f t="shared" si="967"/>
        <v>-219</v>
      </c>
      <c r="BW351" s="293"/>
      <c r="BX351" s="626">
        <v>-97</v>
      </c>
      <c r="BY351" s="626">
        <v>-103</v>
      </c>
      <c r="BZ351" s="293">
        <f t="shared" si="968"/>
        <v>-200</v>
      </c>
      <c r="CA351" s="293"/>
      <c r="CB351" s="626">
        <v>-83</v>
      </c>
      <c r="CC351" s="626">
        <v>-74</v>
      </c>
      <c r="CD351" s="293">
        <f t="shared" si="969"/>
        <v>-157</v>
      </c>
      <c r="CE351" s="293"/>
      <c r="CF351" s="626">
        <v>-128</v>
      </c>
      <c r="CG351" s="626">
        <v>-120</v>
      </c>
      <c r="CH351" s="293">
        <f t="shared" si="970"/>
        <v>-248</v>
      </c>
      <c r="CI351" s="293"/>
      <c r="CJ351" s="626">
        <v>-127</v>
      </c>
      <c r="CK351" s="626">
        <v>-140</v>
      </c>
      <c r="CL351" s="293">
        <f t="shared" si="971"/>
        <v>-267</v>
      </c>
      <c r="CM351" s="293"/>
      <c r="CN351" s="1388">
        <v>-123</v>
      </c>
      <c r="CO351" s="1388">
        <v>-126</v>
      </c>
      <c r="CP351" s="1010">
        <f t="shared" si="972"/>
        <v>-249</v>
      </c>
      <c r="CQ351" s="1010"/>
      <c r="CR351" s="1388">
        <v>-207</v>
      </c>
      <c r="CS351" s="1497">
        <v>-225</v>
      </c>
      <c r="CT351" s="293">
        <f t="shared" si="973"/>
        <v>-432</v>
      </c>
      <c r="CU351" s="293"/>
      <c r="CV351" s="1388">
        <v>-193</v>
      </c>
      <c r="CW351" s="1497">
        <v>-206</v>
      </c>
      <c r="CX351" s="293">
        <f t="shared" si="974"/>
        <v>-399</v>
      </c>
      <c r="CY351" s="293"/>
      <c r="CZ351" s="1863">
        <v>-194</v>
      </c>
      <c r="DA351" s="1488">
        <v>-191</v>
      </c>
      <c r="DB351" s="293">
        <f t="shared" si="975"/>
        <v>-385</v>
      </c>
      <c r="DC351" s="293"/>
      <c r="DD351" s="2207">
        <v>-193</v>
      </c>
      <c r="DE351" s="2207">
        <v>-229</v>
      </c>
      <c r="DF351" s="293">
        <f t="shared" si="976"/>
        <v>-422</v>
      </c>
      <c r="DG351" s="293"/>
      <c r="DH351" s="2107">
        <v>-222</v>
      </c>
      <c r="DI351" s="293">
        <f t="shared" ref="DI351" si="983">DI455</f>
        <v>-167.03196065666813</v>
      </c>
      <c r="DJ351" s="293">
        <f t="shared" si="978"/>
        <v>-389.03196065666816</v>
      </c>
      <c r="DK351" s="293"/>
      <c r="DL351" s="293">
        <f t="shared" ref="DL351:DM351" si="984">DL455</f>
        <v>-158.93483593116875</v>
      </c>
      <c r="DM351" s="293">
        <f t="shared" si="984"/>
        <v>-161.25252548802806</v>
      </c>
      <c r="DN351" s="293">
        <f t="shared" si="980"/>
        <v>-320.1873614191968</v>
      </c>
      <c r="DO351" s="293"/>
      <c r="DP351" s="293">
        <f t="shared" ref="DP351:DQ351" si="985">DP455</f>
        <v>-165.24520209397519</v>
      </c>
      <c r="DQ351" s="293">
        <f t="shared" si="985"/>
        <v>-168.9377686892262</v>
      </c>
      <c r="DR351" s="293">
        <f t="shared" si="982"/>
        <v>-334.18297078320143</v>
      </c>
      <c r="DS351" s="293"/>
      <c r="DT351" s="293"/>
      <c r="DU351" s="293"/>
      <c r="DV351" s="293"/>
      <c r="DW351" s="1197" t="s">
        <v>513</v>
      </c>
      <c r="DX351" s="293"/>
      <c r="DY351" s="293"/>
      <c r="DZ351" s="293"/>
      <c r="EA351" s="293"/>
      <c r="EB351" s="293"/>
      <c r="EC351" s="293"/>
      <c r="ED351" s="293"/>
      <c r="EE351" s="293"/>
      <c r="EF351" s="293"/>
      <c r="EG351" s="293"/>
      <c r="EH351" s="293"/>
      <c r="EI351" s="293"/>
      <c r="EJ351" s="293"/>
      <c r="EK351" s="293"/>
      <c r="EL351" s="293"/>
      <c r="EM351" s="293"/>
      <c r="EN351" s="293"/>
      <c r="EO351" s="293"/>
      <c r="EP351" s="293"/>
      <c r="EQ351" s="293"/>
      <c r="ER351" s="293"/>
      <c r="ES351" s="293"/>
      <c r="ET351" s="293"/>
      <c r="EU351" s="293"/>
      <c r="JW351"/>
    </row>
    <row r="352" spans="1:283" s="332" customFormat="1">
      <c r="A352" s="332" t="s">
        <v>606</v>
      </c>
      <c r="AN352" s="293"/>
      <c r="AO352" s="293"/>
      <c r="AP352" s="293"/>
      <c r="AQ352" s="293"/>
      <c r="AR352" s="658">
        <f>-57-(285-207)</f>
        <v>-135</v>
      </c>
      <c r="AS352" s="658">
        <f>-58-(285-207)</f>
        <v>-136</v>
      </c>
      <c r="AT352" s="293">
        <f>AR352+AS352</f>
        <v>-271</v>
      </c>
      <c r="AU352" s="626"/>
      <c r="AV352" s="626">
        <v>-108</v>
      </c>
      <c r="AW352" s="626">
        <v>-167</v>
      </c>
      <c r="AX352" s="293">
        <f t="shared" si="961"/>
        <v>-275</v>
      </c>
      <c r="AY352" s="293"/>
      <c r="AZ352" s="626">
        <v>-192</v>
      </c>
      <c r="BA352" s="626">
        <v>-178</v>
      </c>
      <c r="BB352" s="293">
        <f t="shared" si="962"/>
        <v>-370</v>
      </c>
      <c r="BC352" s="293"/>
      <c r="BD352" s="626">
        <f>-180-0.3333</f>
        <v>-180.33330000000001</v>
      </c>
      <c r="BE352" s="626">
        <v>-179</v>
      </c>
      <c r="BF352" s="293">
        <f t="shared" si="963"/>
        <v>-359.33330000000001</v>
      </c>
      <c r="BG352" s="293"/>
      <c r="BH352" s="626">
        <v>-163</v>
      </c>
      <c r="BI352" s="626">
        <v>-180</v>
      </c>
      <c r="BJ352" s="293">
        <f t="shared" si="964"/>
        <v>-343</v>
      </c>
      <c r="BK352" s="487"/>
      <c r="BL352" s="626">
        <v>-177</v>
      </c>
      <c r="BM352" s="626">
        <v>-221</v>
      </c>
      <c r="BN352" s="293">
        <f t="shared" si="965"/>
        <v>-398</v>
      </c>
      <c r="BO352" s="817">
        <f>+BN352/BJ352-1</f>
        <v>0.16034985422740533</v>
      </c>
      <c r="BP352" s="626">
        <v>-205</v>
      </c>
      <c r="BQ352" s="626">
        <v>-236</v>
      </c>
      <c r="BR352" s="293">
        <f t="shared" si="966"/>
        <v>-441</v>
      </c>
      <c r="BS352" s="817">
        <f>+BR352/BN352-1</f>
        <v>0.1080402010050252</v>
      </c>
      <c r="BT352" s="626">
        <v>-238</v>
      </c>
      <c r="BU352" s="626">
        <v>-241</v>
      </c>
      <c r="BV352" s="293">
        <f t="shared" si="967"/>
        <v>-479</v>
      </c>
      <c r="BW352" s="293"/>
      <c r="BX352" s="626">
        <v>-237</v>
      </c>
      <c r="BY352" s="626">
        <v>-248</v>
      </c>
      <c r="BZ352" s="293">
        <f t="shared" si="968"/>
        <v>-485</v>
      </c>
      <c r="CA352" s="293"/>
      <c r="CB352" s="626">
        <v>-215</v>
      </c>
      <c r="CC352" s="626">
        <v>-250</v>
      </c>
      <c r="CD352" s="293">
        <f t="shared" si="969"/>
        <v>-465</v>
      </c>
      <c r="CE352" s="293"/>
      <c r="CF352" s="626">
        <v>-319</v>
      </c>
      <c r="CG352" s="626">
        <v>-367</v>
      </c>
      <c r="CH352" s="293">
        <f t="shared" si="970"/>
        <v>-686</v>
      </c>
      <c r="CI352" s="293"/>
      <c r="CJ352" s="626">
        <v>-385</v>
      </c>
      <c r="CK352" s="626">
        <v>-397</v>
      </c>
      <c r="CL352" s="293">
        <f t="shared" si="971"/>
        <v>-782</v>
      </c>
      <c r="CM352" s="293"/>
      <c r="CN352" s="1388">
        <v>-341</v>
      </c>
      <c r="CO352" s="1388">
        <v>-397</v>
      </c>
      <c r="CP352" s="1010">
        <f t="shared" si="972"/>
        <v>-738</v>
      </c>
      <c r="CQ352" s="1010"/>
      <c r="CR352" s="1388">
        <v>-669</v>
      </c>
      <c r="CS352" s="1497">
        <v>-702</v>
      </c>
      <c r="CT352" s="293">
        <f t="shared" si="973"/>
        <v>-1371</v>
      </c>
      <c r="CU352" s="293"/>
      <c r="CV352" s="1388">
        <v>-623</v>
      </c>
      <c r="CW352" s="1497">
        <v>-735</v>
      </c>
      <c r="CX352" s="293">
        <f t="shared" si="974"/>
        <v>-1358</v>
      </c>
      <c r="CY352" s="293"/>
      <c r="CZ352" s="1863">
        <v>-691</v>
      </c>
      <c r="DA352" s="1488">
        <v>-648</v>
      </c>
      <c r="DB352" s="293">
        <f t="shared" si="975"/>
        <v>-1339</v>
      </c>
      <c r="DC352" s="293"/>
      <c r="DD352" s="2207">
        <v>-605</v>
      </c>
      <c r="DE352" s="2207">
        <v>-667</v>
      </c>
      <c r="DF352" s="293">
        <f t="shared" si="976"/>
        <v>-1272</v>
      </c>
      <c r="DG352" s="293"/>
      <c r="DH352" s="2107">
        <v>-574</v>
      </c>
      <c r="DI352" s="293">
        <f t="shared" ref="DI352" si="986">DI456</f>
        <v>-623.64499999999998</v>
      </c>
      <c r="DJ352" s="293">
        <f t="shared" si="978"/>
        <v>-1197.645</v>
      </c>
      <c r="DK352" s="293"/>
      <c r="DL352" s="293">
        <f t="shared" ref="DL352:DM352" si="987">DL456</f>
        <v>-505.12</v>
      </c>
      <c r="DM352" s="293">
        <f t="shared" si="987"/>
        <v>-604.93565000000001</v>
      </c>
      <c r="DN352" s="293">
        <f t="shared" si="980"/>
        <v>-1110.05565</v>
      </c>
      <c r="DO352" s="293"/>
      <c r="DP352" s="293">
        <f t="shared" ref="DP352:DQ352" si="988">DP456</f>
        <v>-520.27359999999999</v>
      </c>
      <c r="DQ352" s="293">
        <f t="shared" si="988"/>
        <v>-623.08371950000003</v>
      </c>
      <c r="DR352" s="293">
        <f t="shared" si="982"/>
        <v>-1143.3573194999999</v>
      </c>
      <c r="DS352" s="293"/>
      <c r="DT352" s="293"/>
      <c r="DU352" s="293"/>
      <c r="DV352" s="293"/>
      <c r="DW352" s="1197" t="s">
        <v>513</v>
      </c>
      <c r="DX352" s="293"/>
      <c r="DY352" s="293"/>
      <c r="DZ352" s="293"/>
      <c r="EA352" s="293"/>
      <c r="EB352" s="293"/>
      <c r="EC352" s="293"/>
      <c r="ED352" s="293"/>
      <c r="EE352" s="293"/>
      <c r="EF352" s="293"/>
      <c r="EG352" s="293"/>
      <c r="EH352" s="293"/>
      <c r="EI352" s="293"/>
      <c r="EJ352" s="293"/>
      <c r="EK352" s="293"/>
      <c r="EL352" s="293"/>
      <c r="EM352" s="293"/>
      <c r="EN352" s="293"/>
      <c r="EO352" s="293"/>
      <c r="EP352" s="293"/>
      <c r="EQ352" s="293"/>
      <c r="ER352" s="293"/>
      <c r="ES352" s="293"/>
      <c r="ET352" s="293"/>
      <c r="EU352" s="293"/>
      <c r="JW352"/>
    </row>
    <row r="353" spans="1:283" s="332" customFormat="1">
      <c r="A353" s="327" t="s">
        <v>569</v>
      </c>
      <c r="AN353" s="295"/>
      <c r="AO353" s="295"/>
      <c r="AP353" s="295"/>
      <c r="AQ353" s="295"/>
      <c r="AR353" s="295">
        <f>SUM(AR350:AR352)</f>
        <v>-302</v>
      </c>
      <c r="AS353" s="295">
        <f>SUM(AS350:AS352)</f>
        <v>-392</v>
      </c>
      <c r="AT353" s="295">
        <f>AR353+AS353</f>
        <v>-694</v>
      </c>
      <c r="AU353" s="295"/>
      <c r="AV353" s="295">
        <f>SUM(AV350:AV352)</f>
        <v>-265</v>
      </c>
      <c r="AW353" s="295">
        <f>SUM(AW350:AW352)</f>
        <v>-359</v>
      </c>
      <c r="AX353" s="295">
        <f t="shared" si="961"/>
        <v>-624</v>
      </c>
      <c r="AY353" s="295"/>
      <c r="AZ353" s="295">
        <f>SUM(AZ350:AZ352)</f>
        <v>-412</v>
      </c>
      <c r="BA353" s="295">
        <f>SUM(BA350:BA352)</f>
        <v>-405</v>
      </c>
      <c r="BB353" s="295">
        <f t="shared" si="962"/>
        <v>-817</v>
      </c>
      <c r="BC353" s="295"/>
      <c r="BD353" s="295">
        <f>SUM(BD350:BD352)</f>
        <v>-384</v>
      </c>
      <c r="BE353" s="295">
        <f>SUM(BE350:BE352)</f>
        <v>-383</v>
      </c>
      <c r="BF353" s="295">
        <f t="shared" si="963"/>
        <v>-767</v>
      </c>
      <c r="BG353" s="295"/>
      <c r="BH353" s="295">
        <f>SUM(BH350:BH352)</f>
        <v>-370</v>
      </c>
      <c r="BI353" s="295">
        <f>SUM(BI350:BI352)</f>
        <v>-390</v>
      </c>
      <c r="BJ353" s="295">
        <f t="shared" si="964"/>
        <v>-760</v>
      </c>
      <c r="BK353" s="487"/>
      <c r="BL353" s="295">
        <f>SUM(BL350:BL352)</f>
        <v>-407</v>
      </c>
      <c r="BM353" s="295">
        <f>SUM(BM350:BM352)</f>
        <v>-470</v>
      </c>
      <c r="BN353" s="295">
        <f t="shared" si="965"/>
        <v>-877</v>
      </c>
      <c r="BO353" s="811">
        <f>+BN353/BJ353-1</f>
        <v>0.15394736842105261</v>
      </c>
      <c r="BP353" s="295">
        <f>SUM(BP350:BP352)</f>
        <v>-440</v>
      </c>
      <c r="BQ353" s="295">
        <f>SUM(BQ350:BQ352)</f>
        <v>-526</v>
      </c>
      <c r="BR353" s="295">
        <f t="shared" si="966"/>
        <v>-966</v>
      </c>
      <c r="BS353" s="811">
        <f>+BR353/BN353-1</f>
        <v>0.10148232611174457</v>
      </c>
      <c r="BT353" s="295">
        <f>SUM(BT350:BT352)</f>
        <v>-517</v>
      </c>
      <c r="BU353" s="295">
        <f>SUM(BU350:BU352)</f>
        <v>-536</v>
      </c>
      <c r="BV353" s="295">
        <f t="shared" si="967"/>
        <v>-1053</v>
      </c>
      <c r="BW353" s="295"/>
      <c r="BX353" s="295">
        <f>SUM(BX350:BX352)</f>
        <v>-516</v>
      </c>
      <c r="BY353" s="295">
        <f>SUM(BY350:BY352)</f>
        <v>-541</v>
      </c>
      <c r="BZ353" s="295">
        <f t="shared" si="968"/>
        <v>-1057</v>
      </c>
      <c r="CA353" s="295"/>
      <c r="CB353" s="295">
        <f>SUM(CB350:CB352)</f>
        <v>-482</v>
      </c>
      <c r="CC353" s="295">
        <f>SUM(CC350:CC352)</f>
        <v>-521</v>
      </c>
      <c r="CD353" s="295">
        <f t="shared" si="969"/>
        <v>-1003</v>
      </c>
      <c r="CE353" s="811">
        <f>+CD353/BZ353-1</f>
        <v>-5.1087984862819291E-2</v>
      </c>
      <c r="CF353" s="295">
        <f>SUM(CF350:CF352)</f>
        <v>-683</v>
      </c>
      <c r="CG353" s="295">
        <f>SUM(CG350:CG352)</f>
        <v>-770</v>
      </c>
      <c r="CH353" s="295">
        <f t="shared" si="970"/>
        <v>-1453</v>
      </c>
      <c r="CI353" s="811">
        <f>+CH353/CD353-1</f>
        <v>0.44865403788634106</v>
      </c>
      <c r="CJ353" s="295">
        <f>SUM(CJ350:CJ352)</f>
        <v>-755</v>
      </c>
      <c r="CK353" s="295">
        <f>SUM(CK350:CK352)</f>
        <v>-799</v>
      </c>
      <c r="CL353" s="295">
        <f t="shared" si="971"/>
        <v>-1554</v>
      </c>
      <c r="CM353" s="295"/>
      <c r="CN353" s="1412">
        <f>SUM(CN350:CN352)</f>
        <v>-721</v>
      </c>
      <c r="CO353" s="1412">
        <f>SUM(CO350:CO352)</f>
        <v>-753</v>
      </c>
      <c r="CP353" s="1412">
        <f t="shared" si="972"/>
        <v>-1474</v>
      </c>
      <c r="CQ353" s="1412"/>
      <c r="CR353" s="1412">
        <f>SUM(CR350:CR352)</f>
        <v>-1282</v>
      </c>
      <c r="CS353" s="295">
        <f>SUM(CS350:CS352)</f>
        <v>-1349</v>
      </c>
      <c r="CT353" s="295">
        <f t="shared" si="973"/>
        <v>-2631</v>
      </c>
      <c r="CU353" s="295"/>
      <c r="CV353" s="1412">
        <f>SUM(CV350:CV352)</f>
        <v>-1197</v>
      </c>
      <c r="CW353" s="295">
        <f>SUM(CW350:CW352)</f>
        <v>-1398</v>
      </c>
      <c r="CX353" s="295">
        <f t="shared" si="974"/>
        <v>-2595</v>
      </c>
      <c r="CY353" s="2042">
        <f>+CX353/2378</f>
        <v>-1.0912531539108494</v>
      </c>
      <c r="CZ353" s="1867">
        <f>SUM(CZ350:CZ352)</f>
        <v>-1300</v>
      </c>
      <c r="DA353" s="1867">
        <f>SUM(DA350:DA352)</f>
        <v>-1259</v>
      </c>
      <c r="DB353" s="295">
        <f t="shared" si="975"/>
        <v>-2559</v>
      </c>
      <c r="DC353" s="2042">
        <f>+DB353/2473</f>
        <v>-1.0347755762232107</v>
      </c>
      <c r="DD353" s="1867">
        <f>SUM(DD350:DD352)</f>
        <v>-1217</v>
      </c>
      <c r="DE353" s="1867">
        <f>SUM(DE350:DE352)</f>
        <v>-1298</v>
      </c>
      <c r="DF353" s="295">
        <f t="shared" si="976"/>
        <v>-2515</v>
      </c>
      <c r="DG353" s="295"/>
      <c r="DH353" s="2121">
        <f>SUM(DH350:DH352)</f>
        <v>-1197</v>
      </c>
      <c r="DI353" s="295">
        <f>SUM(DI350:DI352)</f>
        <v>-1212.7769606566681</v>
      </c>
      <c r="DJ353" s="295">
        <f t="shared" si="978"/>
        <v>-2409.7769606566681</v>
      </c>
      <c r="DK353" s="295"/>
      <c r="DL353" s="295">
        <f>SUM(DL350:DL352)</f>
        <v>-1077.0848359311688</v>
      </c>
      <c r="DM353" s="295">
        <f>SUM(DM350:DM352)</f>
        <v>-1209.3931754880282</v>
      </c>
      <c r="DN353" s="295">
        <f t="shared" si="980"/>
        <v>-2286.4780114191972</v>
      </c>
      <c r="DO353" s="295"/>
      <c r="DP353" s="295">
        <f>SUM(DP350:DP352)</f>
        <v>-1123.3306020939754</v>
      </c>
      <c r="DQ353" s="295">
        <f>SUM(DQ350:DQ352)</f>
        <v>-1266.2508381892262</v>
      </c>
      <c r="DR353" s="295">
        <f t="shared" si="982"/>
        <v>-2389.5814402832016</v>
      </c>
      <c r="DS353" s="295"/>
      <c r="DT353" s="295"/>
      <c r="DU353" s="295"/>
      <c r="DV353" s="295"/>
      <c r="DW353" s="1199"/>
      <c r="DX353" s="295"/>
      <c r="DY353" s="295"/>
      <c r="DZ353" s="295"/>
      <c r="EA353" s="295"/>
      <c r="EB353" s="295"/>
      <c r="EC353" s="295"/>
      <c r="ED353" s="295"/>
      <c r="EE353" s="295"/>
      <c r="EF353" s="295"/>
      <c r="EG353" s="295"/>
      <c r="EH353" s="295"/>
      <c r="EI353" s="295"/>
      <c r="EJ353" s="295"/>
      <c r="EK353" s="295"/>
      <c r="EL353" s="295"/>
      <c r="EM353" s="295"/>
      <c r="EN353" s="295"/>
      <c r="EO353" s="295"/>
      <c r="EP353" s="295"/>
      <c r="EQ353" s="295"/>
      <c r="ER353" s="295"/>
      <c r="ES353" s="295"/>
      <c r="ET353" s="295"/>
      <c r="EU353" s="295"/>
      <c r="EV353" s="327"/>
      <c r="EW353" s="327"/>
      <c r="EX353" s="327"/>
      <c r="EY353" s="327"/>
      <c r="EZ353" s="327"/>
      <c r="FA353" s="327"/>
      <c r="FB353" s="327"/>
      <c r="FC353" s="327"/>
      <c r="FD353" s="327"/>
      <c r="FE353" s="327"/>
      <c r="FF353" s="327"/>
      <c r="FG353" s="327"/>
      <c r="FH353" s="327"/>
      <c r="FI353" s="327"/>
      <c r="FJ353" s="327"/>
      <c r="FK353" s="327"/>
      <c r="FL353" s="327"/>
      <c r="FM353" s="327"/>
      <c r="FN353" s="327"/>
      <c r="FO353" s="327"/>
      <c r="FP353" s="327"/>
      <c r="FQ353" s="327"/>
      <c r="FR353" s="327"/>
      <c r="FS353" s="327"/>
      <c r="FT353" s="327"/>
      <c r="FU353" s="327"/>
      <c r="FV353" s="327"/>
      <c r="FW353" s="327"/>
      <c r="FX353" s="327"/>
      <c r="FY353" s="327"/>
      <c r="FZ353" s="327"/>
      <c r="GA353" s="327"/>
      <c r="GB353" s="327"/>
      <c r="GC353" s="327"/>
      <c r="GD353" s="327"/>
      <c r="GE353" s="327"/>
      <c r="GF353" s="327"/>
      <c r="GG353" s="327"/>
      <c r="GH353" s="327"/>
      <c r="GI353" s="327"/>
      <c r="GJ353" s="327"/>
      <c r="GK353" s="327"/>
      <c r="GL353" s="327"/>
      <c r="GM353" s="327"/>
      <c r="GN353" s="327"/>
      <c r="GO353" s="327"/>
      <c r="GP353" s="327"/>
      <c r="GQ353" s="327"/>
      <c r="GR353" s="327"/>
      <c r="GS353" s="327"/>
      <c r="GT353" s="327"/>
      <c r="GU353" s="327"/>
      <c r="GV353" s="327"/>
      <c r="GW353" s="327"/>
      <c r="GX353" s="327"/>
      <c r="GY353" s="327"/>
      <c r="GZ353" s="327"/>
      <c r="HA353" s="327"/>
      <c r="HB353" s="327"/>
      <c r="HC353" s="327"/>
      <c r="HD353" s="327"/>
      <c r="HE353" s="327"/>
      <c r="HF353" s="327"/>
      <c r="HG353" s="327"/>
      <c r="HH353" s="327"/>
      <c r="HI353" s="327"/>
      <c r="HJ353" s="327"/>
      <c r="HK353" s="327"/>
      <c r="HL353" s="327"/>
      <c r="HM353" s="327"/>
      <c r="HN353" s="327"/>
      <c r="HO353" s="327"/>
      <c r="HP353" s="327"/>
      <c r="HQ353" s="327"/>
      <c r="HR353" s="327"/>
      <c r="HS353" s="327"/>
      <c r="HT353" s="327"/>
      <c r="HU353" s="327"/>
      <c r="HV353" s="327"/>
      <c r="HW353" s="327"/>
      <c r="HX353" s="327"/>
      <c r="HY353" s="327"/>
      <c r="HZ353" s="327"/>
      <c r="IA353" s="327"/>
      <c r="IB353" s="327"/>
      <c r="IC353" s="327"/>
      <c r="ID353" s="327"/>
      <c r="IE353" s="327"/>
      <c r="IF353" s="327"/>
      <c r="IG353" s="327"/>
      <c r="IH353" s="327"/>
      <c r="II353" s="327"/>
      <c r="IJ353" s="327"/>
      <c r="IK353" s="327"/>
      <c r="IL353" s="327"/>
      <c r="IM353" s="327"/>
      <c r="IN353" s="327"/>
      <c r="IO353" s="327"/>
      <c r="IP353" s="327"/>
      <c r="IQ353" s="327"/>
      <c r="IR353" s="327"/>
      <c r="IS353" s="327"/>
      <c r="IT353" s="327"/>
      <c r="IU353" s="327"/>
      <c r="IV353" s="327"/>
      <c r="IW353" s="327"/>
      <c r="IX353" s="327"/>
      <c r="IY353" s="327"/>
      <c r="IZ353" s="327"/>
      <c r="JA353" s="327"/>
      <c r="JB353" s="327"/>
      <c r="JC353" s="327"/>
      <c r="JD353" s="327"/>
      <c r="JE353" s="327"/>
      <c r="JF353" s="327"/>
      <c r="JG353" s="327"/>
      <c r="JH353" s="327"/>
      <c r="JI353" s="327"/>
      <c r="JJ353" s="327"/>
      <c r="JK353" s="327"/>
      <c r="JL353" s="327"/>
      <c r="JM353" s="327"/>
      <c r="JN353" s="327"/>
      <c r="JO353" s="327"/>
      <c r="JP353" s="327"/>
      <c r="JQ353" s="327"/>
      <c r="JR353" s="327"/>
      <c r="JS353" s="327"/>
      <c r="JT353" s="327"/>
      <c r="JU353" s="327"/>
      <c r="JV353" s="327"/>
      <c r="JW353"/>
    </row>
    <row r="354" spans="1:283" s="332" customFormat="1">
      <c r="A354" s="327" t="s">
        <v>572</v>
      </c>
      <c r="AN354" s="295"/>
      <c r="AO354" s="295"/>
      <c r="AP354" s="295"/>
      <c r="AQ354" s="295"/>
      <c r="AR354" s="295">
        <f>AR348+AR353</f>
        <v>-268</v>
      </c>
      <c r="AS354" s="295">
        <f>AS348+AS353</f>
        <v>-379</v>
      </c>
      <c r="AT354" s="295">
        <f>AR354+AS354</f>
        <v>-647</v>
      </c>
      <c r="AU354" s="295"/>
      <c r="AV354" s="295">
        <f>AV348+AV353</f>
        <v>491</v>
      </c>
      <c r="AW354" s="295">
        <f>AW348+AW353</f>
        <v>316</v>
      </c>
      <c r="AX354" s="295">
        <f t="shared" si="961"/>
        <v>807</v>
      </c>
      <c r="AY354" s="295"/>
      <c r="AZ354" s="295">
        <f>AZ348+AZ353</f>
        <v>227</v>
      </c>
      <c r="BA354" s="295">
        <f>BA348+BA353</f>
        <v>252</v>
      </c>
      <c r="BB354" s="295">
        <f t="shared" si="962"/>
        <v>479</v>
      </c>
      <c r="BC354" s="295"/>
      <c r="BD354" s="295">
        <f>BD348+BD353</f>
        <v>399.33300000000008</v>
      </c>
      <c r="BE354" s="295">
        <f>BE348+BE353</f>
        <v>243</v>
      </c>
      <c r="BF354" s="295">
        <f t="shared" si="963"/>
        <v>642.33300000000008</v>
      </c>
      <c r="BG354" s="295"/>
      <c r="BH354" s="295">
        <f>BH348+BH353</f>
        <v>355</v>
      </c>
      <c r="BI354" s="295">
        <f>BI348+BI353</f>
        <v>399</v>
      </c>
      <c r="BJ354" s="295">
        <f t="shared" si="964"/>
        <v>754</v>
      </c>
      <c r="BK354" s="487"/>
      <c r="BL354" s="295">
        <f>BL348+BL353</f>
        <v>500</v>
      </c>
      <c r="BM354" s="295">
        <f>BM348+BM353</f>
        <v>551</v>
      </c>
      <c r="BN354" s="295">
        <f t="shared" si="965"/>
        <v>1051</v>
      </c>
      <c r="BO354" s="811">
        <f>+BN354/BJ354-1</f>
        <v>0.39389920424403191</v>
      </c>
      <c r="BP354" s="295">
        <f>BP348+BP353</f>
        <v>785</v>
      </c>
      <c r="BQ354" s="295">
        <f>BQ348+BQ353</f>
        <v>665</v>
      </c>
      <c r="BR354" s="295">
        <f t="shared" si="966"/>
        <v>1450</v>
      </c>
      <c r="BS354" s="811">
        <f>+BR354/BN354-1</f>
        <v>0.37963843958135102</v>
      </c>
      <c r="BT354" s="295">
        <f>BT348+BT353</f>
        <v>1152</v>
      </c>
      <c r="BU354" s="295">
        <f>BU348+BU353</f>
        <v>505</v>
      </c>
      <c r="BV354" s="295">
        <f t="shared" si="967"/>
        <v>1657</v>
      </c>
      <c r="BW354" s="295"/>
      <c r="BX354" s="295">
        <f>BX348+BX353</f>
        <v>857</v>
      </c>
      <c r="BY354" s="295">
        <f>BY348+BY353</f>
        <v>682</v>
      </c>
      <c r="BZ354" s="295">
        <f t="shared" si="968"/>
        <v>1539</v>
      </c>
      <c r="CA354" s="295"/>
      <c r="CB354" s="295">
        <f>CB348+CB353</f>
        <v>1141</v>
      </c>
      <c r="CC354" s="295">
        <f>CC348+CC353</f>
        <v>418</v>
      </c>
      <c r="CD354" s="295">
        <f t="shared" si="969"/>
        <v>1559</v>
      </c>
      <c r="CE354" s="295"/>
      <c r="CF354" s="295">
        <f>CF348+CF353</f>
        <v>851</v>
      </c>
      <c r="CG354" s="295">
        <f>CG348+CG353</f>
        <v>1023</v>
      </c>
      <c r="CH354" s="295">
        <f t="shared" si="970"/>
        <v>1874</v>
      </c>
      <c r="CI354" s="295"/>
      <c r="CJ354" s="295">
        <f>CJ348+CJ353</f>
        <v>1124</v>
      </c>
      <c r="CK354" s="295">
        <f>CK348+CK353</f>
        <v>1054</v>
      </c>
      <c r="CL354" s="295">
        <f t="shared" si="971"/>
        <v>2178</v>
      </c>
      <c r="CM354" s="295"/>
      <c r="CN354" s="1412">
        <f>CN348+CN353</f>
        <v>1068</v>
      </c>
      <c r="CO354" s="1412">
        <f>CO348+CO353</f>
        <v>1012</v>
      </c>
      <c r="CP354" s="1412">
        <f t="shared" si="972"/>
        <v>2080</v>
      </c>
      <c r="CQ354" s="1412"/>
      <c r="CR354" s="1412">
        <f>CR348+CR353</f>
        <v>1092</v>
      </c>
      <c r="CS354" s="295">
        <f>CS348+CS353</f>
        <v>1934</v>
      </c>
      <c r="CT354" s="295">
        <f t="shared" si="973"/>
        <v>3026</v>
      </c>
      <c r="CU354" s="295"/>
      <c r="CV354" s="1412">
        <f>CV348+CV353</f>
        <v>1408</v>
      </c>
      <c r="CW354" s="295">
        <f>CW348+CW353</f>
        <v>948</v>
      </c>
      <c r="CX354" s="295">
        <f t="shared" si="974"/>
        <v>2356</v>
      </c>
      <c r="CY354" s="295"/>
      <c r="CZ354" s="1867">
        <f>CZ348+CZ353</f>
        <v>393</v>
      </c>
      <c r="DA354" s="1867">
        <f>DA348+DA353</f>
        <v>802</v>
      </c>
      <c r="DB354" s="295">
        <f t="shared" si="975"/>
        <v>1195</v>
      </c>
      <c r="DC354" s="295"/>
      <c r="DD354" s="1867">
        <f>DD348+DD353</f>
        <v>825</v>
      </c>
      <c r="DE354" s="1867">
        <f>DE348+DE353</f>
        <v>1250</v>
      </c>
      <c r="DF354" s="295">
        <f t="shared" si="976"/>
        <v>2075</v>
      </c>
      <c r="DG354" s="295"/>
      <c r="DH354" s="2121">
        <f>DH348+DH353</f>
        <v>1190</v>
      </c>
      <c r="DI354" s="295">
        <f>DI348+DI353</f>
        <v>1417.3281063207796</v>
      </c>
      <c r="DJ354" s="295">
        <f t="shared" si="978"/>
        <v>2607.3281063207796</v>
      </c>
      <c r="DK354" s="295"/>
      <c r="DL354" s="295">
        <f>DL348+DL353</f>
        <v>980.40994296271924</v>
      </c>
      <c r="DM354" s="295">
        <f>DM348+DM353</f>
        <v>883.20552826610674</v>
      </c>
      <c r="DN354" s="295">
        <f t="shared" si="980"/>
        <v>1863.615471228826</v>
      </c>
      <c r="DO354" s="295"/>
      <c r="DP354" s="295">
        <f>DP348+DP353</f>
        <v>1004.6748997192467</v>
      </c>
      <c r="DQ354" s="295">
        <f>DQ348+DQ353</f>
        <v>917.33748827050658</v>
      </c>
      <c r="DR354" s="295">
        <f t="shared" si="982"/>
        <v>1922.0123879897533</v>
      </c>
      <c r="DS354" s="295"/>
      <c r="DT354" s="295"/>
      <c r="DU354" s="295"/>
      <c r="DV354" s="295"/>
      <c r="DW354" s="1199"/>
      <c r="DX354" s="295"/>
      <c r="DY354" s="295"/>
      <c r="DZ354" s="295"/>
      <c r="EA354" s="295"/>
      <c r="EB354" s="295"/>
      <c r="EC354" s="295"/>
      <c r="ED354" s="295"/>
      <c r="EE354" s="295"/>
      <c r="EF354" s="295"/>
      <c r="EG354" s="295"/>
      <c r="EH354" s="295"/>
      <c r="EI354" s="295"/>
      <c r="EJ354" s="295"/>
      <c r="EK354" s="295"/>
      <c r="EL354" s="295"/>
      <c r="EM354" s="295"/>
      <c r="EN354" s="295"/>
      <c r="EO354" s="295"/>
      <c r="EP354" s="295"/>
      <c r="EQ354" s="295"/>
      <c r="ER354" s="295"/>
      <c r="ES354" s="295"/>
      <c r="ET354" s="295"/>
      <c r="EU354" s="295"/>
      <c r="EV354" s="327"/>
      <c r="EW354" s="327"/>
      <c r="EX354" s="327"/>
      <c r="EY354" s="327"/>
      <c r="EZ354" s="327"/>
      <c r="FA354" s="327"/>
      <c r="FB354" s="327"/>
      <c r="FC354" s="327"/>
      <c r="FD354" s="327"/>
      <c r="FE354" s="327"/>
      <c r="FF354" s="327"/>
      <c r="FG354" s="327"/>
      <c r="FH354" s="327"/>
      <c r="FI354" s="327"/>
      <c r="FJ354" s="327"/>
      <c r="FK354" s="327"/>
      <c r="FL354" s="327"/>
      <c r="FM354" s="327"/>
      <c r="FN354" s="327"/>
      <c r="FO354" s="327"/>
      <c r="FP354" s="327"/>
      <c r="FQ354" s="327"/>
      <c r="FR354" s="327"/>
      <c r="FS354" s="327"/>
      <c r="FT354" s="327"/>
      <c r="FU354" s="327"/>
      <c r="FV354" s="327"/>
      <c r="FW354" s="327"/>
      <c r="FX354" s="327"/>
      <c r="FY354" s="327"/>
      <c r="FZ354" s="327"/>
      <c r="GA354" s="327"/>
      <c r="GB354" s="327"/>
      <c r="GC354" s="327"/>
      <c r="GD354" s="327"/>
      <c r="GE354" s="327"/>
      <c r="GF354" s="327"/>
      <c r="GG354" s="327"/>
      <c r="GH354" s="327"/>
      <c r="GI354" s="327"/>
      <c r="GJ354" s="327"/>
      <c r="GK354" s="327"/>
      <c r="GL354" s="327"/>
      <c r="GM354" s="327"/>
      <c r="GN354" s="327"/>
      <c r="GO354" s="327"/>
      <c r="GP354" s="327"/>
      <c r="GQ354" s="327"/>
      <c r="GR354" s="327"/>
      <c r="GS354" s="327"/>
      <c r="GT354" s="327"/>
      <c r="GU354" s="327"/>
      <c r="GV354" s="327"/>
      <c r="GW354" s="327"/>
      <c r="GX354" s="327"/>
      <c r="GY354" s="327"/>
      <c r="GZ354" s="327"/>
      <c r="HA354" s="327"/>
      <c r="HB354" s="327"/>
      <c r="HC354" s="327"/>
      <c r="HD354" s="327"/>
      <c r="HE354" s="327"/>
      <c r="HF354" s="327"/>
      <c r="HG354" s="327"/>
      <c r="HH354" s="327"/>
      <c r="HI354" s="327"/>
      <c r="HJ354" s="327"/>
      <c r="HK354" s="327"/>
      <c r="HL354" s="327"/>
      <c r="HM354" s="327"/>
      <c r="HN354" s="327"/>
      <c r="HO354" s="327"/>
      <c r="HP354" s="327"/>
      <c r="HQ354" s="327"/>
      <c r="HR354" s="327"/>
      <c r="HS354" s="327"/>
      <c r="HT354" s="327"/>
      <c r="HU354" s="327"/>
      <c r="HV354" s="327"/>
      <c r="HW354" s="327"/>
      <c r="HX354" s="327"/>
      <c r="HY354" s="327"/>
      <c r="HZ354" s="327"/>
      <c r="IA354" s="327"/>
      <c r="IB354" s="327"/>
      <c r="IC354" s="327"/>
      <c r="ID354" s="327"/>
      <c r="IE354" s="327"/>
      <c r="IF354" s="327"/>
      <c r="IG354" s="327"/>
      <c r="IH354" s="327"/>
      <c r="II354" s="327"/>
      <c r="IJ354" s="327"/>
      <c r="IK354" s="327"/>
      <c r="IL354" s="327"/>
      <c r="IM354" s="327"/>
      <c r="IN354" s="327"/>
      <c r="IO354" s="327"/>
      <c r="IP354" s="327"/>
      <c r="IQ354" s="327"/>
      <c r="IR354" s="327"/>
      <c r="IS354" s="327"/>
      <c r="IT354" s="327"/>
      <c r="IU354" s="327"/>
      <c r="IV354" s="327"/>
      <c r="IW354" s="327"/>
      <c r="IX354" s="327"/>
      <c r="IY354" s="327"/>
      <c r="IZ354" s="327"/>
      <c r="JA354" s="327"/>
      <c r="JB354" s="327"/>
      <c r="JC354" s="327"/>
      <c r="JD354" s="327"/>
      <c r="JE354" s="327"/>
      <c r="JF354" s="327"/>
      <c r="JG354" s="327"/>
      <c r="JH354" s="327"/>
      <c r="JI354" s="327"/>
      <c r="JJ354" s="327"/>
      <c r="JK354" s="327"/>
      <c r="JL354" s="327"/>
      <c r="JM354" s="327"/>
      <c r="JN354" s="327"/>
      <c r="JO354" s="327"/>
      <c r="JP354" s="327"/>
      <c r="JQ354" s="327"/>
      <c r="JR354" s="327"/>
      <c r="JS354" s="327"/>
      <c r="JT354" s="327"/>
      <c r="JU354" s="327"/>
      <c r="JV354" s="327"/>
      <c r="JW354"/>
    </row>
    <row r="355" spans="1:283" s="332" customFormat="1">
      <c r="A355" s="332" t="s">
        <v>664</v>
      </c>
      <c r="AN355" s="293"/>
      <c r="AO355" s="293"/>
      <c r="AP355" s="293"/>
      <c r="AQ355" s="626"/>
      <c r="AR355" s="293"/>
      <c r="AS355" s="293"/>
      <c r="AT355" s="293"/>
      <c r="AU355" s="626"/>
      <c r="AV355" s="626">
        <v>1</v>
      </c>
      <c r="AW355" s="626">
        <v>0</v>
      </c>
      <c r="AX355" s="293">
        <f t="shared" si="961"/>
        <v>1</v>
      </c>
      <c r="AY355" s="626"/>
      <c r="AZ355" s="626">
        <v>1</v>
      </c>
      <c r="BA355" s="626">
        <v>5</v>
      </c>
      <c r="BB355" s="293">
        <f t="shared" si="962"/>
        <v>6</v>
      </c>
      <c r="BC355" s="293"/>
      <c r="BD355" s="626">
        <v>2</v>
      </c>
      <c r="BE355" s="626">
        <v>1</v>
      </c>
      <c r="BF355" s="293">
        <f t="shared" si="963"/>
        <v>3</v>
      </c>
      <c r="BG355" s="293"/>
      <c r="BH355" s="626">
        <v>1</v>
      </c>
      <c r="BI355" s="626">
        <v>0</v>
      </c>
      <c r="BJ355" s="293">
        <f t="shared" si="964"/>
        <v>1</v>
      </c>
      <c r="BK355" s="487"/>
      <c r="BL355" s="626">
        <v>0</v>
      </c>
      <c r="BM355" s="626">
        <v>0</v>
      </c>
      <c r="BN355" s="293">
        <f t="shared" si="965"/>
        <v>0</v>
      </c>
      <c r="BO355" s="487"/>
      <c r="BP355" s="626">
        <v>0</v>
      </c>
      <c r="BQ355" s="626">
        <v>0</v>
      </c>
      <c r="BR355" s="293">
        <f t="shared" si="966"/>
        <v>0</v>
      </c>
      <c r="BS355" s="487"/>
      <c r="BT355" s="626">
        <v>-13</v>
      </c>
      <c r="BU355" s="626">
        <v>0</v>
      </c>
      <c r="BV355" s="293">
        <f t="shared" si="967"/>
        <v>-13</v>
      </c>
      <c r="BW355" s="293"/>
      <c r="BX355" s="626">
        <v>0</v>
      </c>
      <c r="BY355" s="626">
        <v>-1</v>
      </c>
      <c r="BZ355" s="293">
        <f t="shared" si="968"/>
        <v>-1</v>
      </c>
      <c r="CA355" s="293"/>
      <c r="CB355" s="626">
        <v>2</v>
      </c>
      <c r="CC355" s="626">
        <v>-3</v>
      </c>
      <c r="CD355" s="293">
        <f t="shared" si="969"/>
        <v>-1</v>
      </c>
      <c r="CE355" s="293"/>
      <c r="CF355" s="626">
        <v>-1</v>
      </c>
      <c r="CG355" s="626">
        <v>-1</v>
      </c>
      <c r="CH355" s="293">
        <f t="shared" si="970"/>
        <v>-2</v>
      </c>
      <c r="CI355" s="293"/>
      <c r="CJ355" s="626">
        <v>-2</v>
      </c>
      <c r="CK355" s="626">
        <v>1</v>
      </c>
      <c r="CL355" s="293">
        <f t="shared" si="971"/>
        <v>-1</v>
      </c>
      <c r="CM355" s="293"/>
      <c r="CN355" s="1388">
        <v>-6</v>
      </c>
      <c r="CO355" s="1388">
        <v>0</v>
      </c>
      <c r="CP355" s="1010">
        <f t="shared" si="972"/>
        <v>-6</v>
      </c>
      <c r="CQ355" s="1010"/>
      <c r="CR355" s="1388">
        <v>5</v>
      </c>
      <c r="CS355" s="1497">
        <v>-2</v>
      </c>
      <c r="CT355" s="293">
        <f t="shared" si="973"/>
        <v>3</v>
      </c>
      <c r="CU355" s="293"/>
      <c r="CV355" s="1388">
        <v>-6</v>
      </c>
      <c r="CW355" s="1497">
        <v>-8</v>
      </c>
      <c r="CX355" s="293">
        <f t="shared" si="974"/>
        <v>-14</v>
      </c>
      <c r="CY355" s="293"/>
      <c r="CZ355" s="1863">
        <v>14</v>
      </c>
      <c r="DA355" s="1488">
        <v>-1</v>
      </c>
      <c r="DB355" s="293">
        <f t="shared" si="975"/>
        <v>13</v>
      </c>
      <c r="DC355" s="293"/>
      <c r="DD355" s="2207">
        <v>-2</v>
      </c>
      <c r="DE355" s="2207">
        <v>-24</v>
      </c>
      <c r="DF355" s="293">
        <f t="shared" si="976"/>
        <v>-26</v>
      </c>
      <c r="DG355" s="293"/>
      <c r="DH355" s="2107">
        <v>-15</v>
      </c>
      <c r="DI355" s="841">
        <f>'P&amp;L'!DI1202</f>
        <v>0</v>
      </c>
      <c r="DJ355" s="293">
        <f t="shared" si="978"/>
        <v>-15</v>
      </c>
      <c r="DK355" s="293"/>
      <c r="DL355" s="841">
        <f>'P&amp;L'!DL1202</f>
        <v>0</v>
      </c>
      <c r="DM355" s="841">
        <f>'P&amp;L'!DM1202</f>
        <v>0</v>
      </c>
      <c r="DN355" s="293">
        <f t="shared" si="980"/>
        <v>0</v>
      </c>
      <c r="DO355" s="293"/>
      <c r="DP355" s="841">
        <f>'P&amp;L'!DP1202</f>
        <v>0</v>
      </c>
      <c r="DQ355" s="841">
        <f>'P&amp;L'!DQ1202</f>
        <v>0</v>
      </c>
      <c r="DR355" s="293">
        <f t="shared" si="982"/>
        <v>0</v>
      </c>
      <c r="DS355" s="293"/>
      <c r="DT355" s="293"/>
      <c r="DU355" s="293"/>
      <c r="DV355" s="293"/>
      <c r="DW355" s="1198" t="s">
        <v>174</v>
      </c>
      <c r="DX355" s="293"/>
      <c r="DY355" s="293"/>
      <c r="DZ355" s="293"/>
      <c r="EA355" s="293"/>
      <c r="EB355" s="293"/>
      <c r="EC355" s="293"/>
      <c r="ED355" s="293"/>
      <c r="EE355" s="293"/>
      <c r="EF355" s="293"/>
      <c r="EG355" s="293"/>
      <c r="EH355" s="293"/>
      <c r="EI355" s="293"/>
      <c r="EJ355" s="293"/>
      <c r="EK355" s="293"/>
      <c r="EL355" s="293"/>
      <c r="EM355" s="293"/>
      <c r="EN355" s="293"/>
      <c r="EO355" s="293"/>
      <c r="EP355" s="293"/>
      <c r="EQ355" s="293"/>
      <c r="ER355" s="293"/>
      <c r="ES355" s="293"/>
      <c r="ET355" s="293"/>
      <c r="EU355" s="293"/>
      <c r="JW355"/>
    </row>
    <row r="356" spans="1:283" s="1203" customFormat="1">
      <c r="A356" s="1203" t="s">
        <v>653</v>
      </c>
      <c r="AN356" s="695"/>
      <c r="AO356" s="695"/>
      <c r="AP356" s="695"/>
      <c r="AQ356" s="695"/>
      <c r="AR356" s="695">
        <f>SUM(AR354:AR355)</f>
        <v>-268</v>
      </c>
      <c r="AS356" s="695">
        <f>SUM(AS354:AS355)</f>
        <v>-379</v>
      </c>
      <c r="AT356" s="695">
        <f>AR356+AS356</f>
        <v>-647</v>
      </c>
      <c r="AU356" s="695"/>
      <c r="AV356" s="695">
        <f>SUM(AV354:AV355)</f>
        <v>492</v>
      </c>
      <c r="AW356" s="695">
        <f>SUM(AW354:AW355)</f>
        <v>316</v>
      </c>
      <c r="AX356" s="695">
        <f t="shared" si="961"/>
        <v>808</v>
      </c>
      <c r="AY356" s="695"/>
      <c r="AZ356" s="695">
        <f>SUM(AZ354:AZ355)</f>
        <v>228</v>
      </c>
      <c r="BA356" s="695">
        <f>SUM(BA354:BA355)</f>
        <v>257</v>
      </c>
      <c r="BB356" s="695">
        <f t="shared" si="962"/>
        <v>485</v>
      </c>
      <c r="BC356" s="695"/>
      <c r="BD356" s="695">
        <f>SUM(BD354:BD355)</f>
        <v>401.33300000000008</v>
      </c>
      <c r="BE356" s="695">
        <f>SUM(BE354:BE355)</f>
        <v>244</v>
      </c>
      <c r="BF356" s="695">
        <f t="shared" si="963"/>
        <v>645.33300000000008</v>
      </c>
      <c r="BG356" s="695"/>
      <c r="BH356" s="695">
        <f>SUM(BH354:BH355)</f>
        <v>356</v>
      </c>
      <c r="BI356" s="695">
        <f>SUM(BI354:BI355)</f>
        <v>399</v>
      </c>
      <c r="BJ356" s="695">
        <f t="shared" si="964"/>
        <v>755</v>
      </c>
      <c r="BK356" s="1204"/>
      <c r="BL356" s="695">
        <f>SUM(BL354:BL355)</f>
        <v>500</v>
      </c>
      <c r="BM356" s="695">
        <f>SUM(BM354:BM355)</f>
        <v>551</v>
      </c>
      <c r="BN356" s="695">
        <f t="shared" si="965"/>
        <v>1051</v>
      </c>
      <c r="BO356" s="1204"/>
      <c r="BP356" s="695">
        <f>SUM(BP354:BP355)</f>
        <v>785</v>
      </c>
      <c r="BQ356" s="695">
        <f>SUM(BQ354:BQ355)</f>
        <v>665</v>
      </c>
      <c r="BR356" s="695">
        <f t="shared" si="966"/>
        <v>1450</v>
      </c>
      <c r="BS356" s="1204"/>
      <c r="BT356" s="695">
        <f>SUM(BT354:BT355)</f>
        <v>1139</v>
      </c>
      <c r="BU356" s="695">
        <f>SUM(BU354:BU355)</f>
        <v>505</v>
      </c>
      <c r="BV356" s="695">
        <f t="shared" si="967"/>
        <v>1644</v>
      </c>
      <c r="BW356" s="1218">
        <f>+BV356/BR356-1</f>
        <v>0.13379310344827577</v>
      </c>
      <c r="BX356" s="695">
        <f>SUM(BX354:BX355)</f>
        <v>857</v>
      </c>
      <c r="BY356" s="695">
        <f>SUM(BY354:BY355)</f>
        <v>681</v>
      </c>
      <c r="BZ356" s="695">
        <f t="shared" si="968"/>
        <v>1538</v>
      </c>
      <c r="CA356" s="1218">
        <f>+BZ356/BV356-1</f>
        <v>-6.4476885644768833E-2</v>
      </c>
      <c r="CB356" s="695">
        <f>SUM(CB354:CB355)</f>
        <v>1143</v>
      </c>
      <c r="CC356" s="695">
        <f>SUM(CC354:CC355)</f>
        <v>415</v>
      </c>
      <c r="CD356" s="695">
        <f t="shared" si="969"/>
        <v>1558</v>
      </c>
      <c r="CE356" s="1218">
        <f>+CD356/BZ356-1</f>
        <v>1.3003901170351106E-2</v>
      </c>
      <c r="CF356" s="695">
        <f>SUM(CF354:CF355)</f>
        <v>850</v>
      </c>
      <c r="CG356" s="695">
        <f>SUM(CG354:CG355)</f>
        <v>1022</v>
      </c>
      <c r="CH356" s="695">
        <f t="shared" si="970"/>
        <v>1872</v>
      </c>
      <c r="CI356" s="1218">
        <f>+CH356/CD356-1</f>
        <v>0.20154043645699615</v>
      </c>
      <c r="CJ356" s="695">
        <f>SUM(CJ354:CJ355)</f>
        <v>1122</v>
      </c>
      <c r="CK356" s="695">
        <f>SUM(CK354:CK355)</f>
        <v>1055</v>
      </c>
      <c r="CL356" s="695">
        <f t="shared" si="971"/>
        <v>2177</v>
      </c>
      <c r="CM356" s="1218">
        <f>+CL356/CH356-1</f>
        <v>0.16292735042735051</v>
      </c>
      <c r="CN356" s="695">
        <f>SUM(CN354:CN355)</f>
        <v>1062</v>
      </c>
      <c r="CO356" s="695">
        <f>SUM(CO354:CO355)</f>
        <v>1012</v>
      </c>
      <c r="CP356" s="695">
        <f t="shared" si="972"/>
        <v>2074</v>
      </c>
      <c r="CQ356" s="1218">
        <f>+CP356/CL356-1</f>
        <v>-4.7312815801561769E-2</v>
      </c>
      <c r="CR356" s="695">
        <f>SUM(CR354:CR355)</f>
        <v>1097</v>
      </c>
      <c r="CS356" s="695">
        <f>SUM(CS354:CS355)</f>
        <v>1932</v>
      </c>
      <c r="CT356" s="695">
        <f t="shared" si="973"/>
        <v>3029</v>
      </c>
      <c r="CU356" s="1218">
        <f>+CT356/CP356-1</f>
        <v>0.46046287367405969</v>
      </c>
      <c r="CV356" s="695">
        <f>SUM(CV354:CV355)</f>
        <v>1402</v>
      </c>
      <c r="CW356" s="695">
        <f>SUM(CW354:CW355)</f>
        <v>940</v>
      </c>
      <c r="CX356" s="695">
        <f t="shared" si="974"/>
        <v>2342</v>
      </c>
      <c r="CY356" s="1218">
        <f>+CX356/CT356-1</f>
        <v>-0.22680752723671183</v>
      </c>
      <c r="CZ356" s="695">
        <f>SUM(CZ354:CZ355)</f>
        <v>407</v>
      </c>
      <c r="DA356" s="695">
        <f>SUM(DA354:DA355)</f>
        <v>801</v>
      </c>
      <c r="DB356" s="695">
        <f t="shared" si="975"/>
        <v>1208</v>
      </c>
      <c r="DC356" s="1218">
        <f>+DB356/CX356-1</f>
        <v>-0.48420153714773695</v>
      </c>
      <c r="DD356" s="695">
        <f>SUM(DD354:DD355)</f>
        <v>823</v>
      </c>
      <c r="DE356" s="695">
        <f>SUM(DE354:DE355)</f>
        <v>1226</v>
      </c>
      <c r="DF356" s="695">
        <f t="shared" si="976"/>
        <v>2049</v>
      </c>
      <c r="DG356" s="1218">
        <f>+DF356/DB356-1</f>
        <v>0.69619205298013243</v>
      </c>
      <c r="DH356" s="695">
        <f>SUM(DH354:DH355)</f>
        <v>1175</v>
      </c>
      <c r="DI356" s="695">
        <f>SUM(DI354:DI355)</f>
        <v>1417.3281063207796</v>
      </c>
      <c r="DJ356" s="695">
        <f t="shared" si="978"/>
        <v>2592.3281063207796</v>
      </c>
      <c r="DK356" s="1218">
        <f>+DJ356/DF356-1</f>
        <v>0.26516745062019509</v>
      </c>
      <c r="DL356" s="695">
        <f>SUM(DL354:DL355)</f>
        <v>980.40994296271924</v>
      </c>
      <c r="DM356" s="695">
        <f>SUM(DM354:DM355)</f>
        <v>883.20552826610674</v>
      </c>
      <c r="DN356" s="695">
        <f t="shared" si="980"/>
        <v>1863.615471228826</v>
      </c>
      <c r="DO356" s="1218">
        <f>+DN356/DJ356-1</f>
        <v>-0.28110355063279224</v>
      </c>
      <c r="DP356" s="695">
        <f>SUM(DP354:DP355)</f>
        <v>1004.6748997192467</v>
      </c>
      <c r="DQ356" s="695">
        <f>SUM(DQ354:DQ355)</f>
        <v>917.33748827050658</v>
      </c>
      <c r="DR356" s="695">
        <f t="shared" si="982"/>
        <v>1922.0123879897533</v>
      </c>
      <c r="DS356" s="1218">
        <f>+DR356/DN356-1</f>
        <v>3.1335282230953831E-2</v>
      </c>
      <c r="DT356" s="1218"/>
      <c r="DU356" s="1218"/>
      <c r="DV356" s="1218"/>
      <c r="DW356" s="1205"/>
      <c r="DX356" s="695"/>
      <c r="DY356" s="695"/>
      <c r="DZ356" s="695"/>
      <c r="EA356" s="695"/>
      <c r="EB356" s="695"/>
      <c r="EC356" s="695"/>
      <c r="ED356" s="695"/>
      <c r="EE356" s="695"/>
      <c r="EF356" s="695"/>
      <c r="EG356" s="695"/>
      <c r="EH356" s="695"/>
      <c r="EI356" s="695"/>
      <c r="EJ356" s="695"/>
      <c r="EK356" s="695"/>
      <c r="EL356" s="695"/>
      <c r="EM356" s="695"/>
      <c r="EN356" s="695"/>
      <c r="EO356" s="695"/>
      <c r="EP356" s="695"/>
      <c r="EQ356" s="695"/>
      <c r="ER356" s="695"/>
      <c r="ES356" s="695"/>
      <c r="ET356" s="695"/>
      <c r="EU356" s="695"/>
      <c r="JW356"/>
    </row>
    <row r="357" spans="1:283" s="332" customFormat="1">
      <c r="A357" s="332" t="s">
        <v>156</v>
      </c>
      <c r="AN357" s="293"/>
      <c r="AO357" s="293"/>
      <c r="AP357" s="293"/>
      <c r="AQ357" s="293"/>
      <c r="AR357" s="293"/>
      <c r="AS357" s="293"/>
      <c r="AT357" s="293"/>
      <c r="AU357" s="293"/>
      <c r="AV357" s="293">
        <f>+AV356-AV404</f>
        <v>475</v>
      </c>
      <c r="AW357" s="293">
        <f>+AW356-AW404</f>
        <v>311</v>
      </c>
      <c r="AX357" s="293">
        <f>+AX356-AX404</f>
        <v>786</v>
      </c>
      <c r="AY357" s="293"/>
      <c r="AZ357" s="293">
        <f>+AZ356-AZ404</f>
        <v>214</v>
      </c>
      <c r="BA357" s="293">
        <f>+BA356-BA404</f>
        <v>242</v>
      </c>
      <c r="BB357" s="293">
        <f>+BB356-BB404</f>
        <v>456</v>
      </c>
      <c r="BC357" s="293"/>
      <c r="BD357" s="293">
        <f>+BD356-BD404</f>
        <v>312.33300000000008</v>
      </c>
      <c r="BE357" s="293">
        <f>+BE356-BE404</f>
        <v>208</v>
      </c>
      <c r="BF357" s="293">
        <f>+BF356-BF404</f>
        <v>520.33300000000008</v>
      </c>
      <c r="BG357" s="293"/>
      <c r="BH357" s="293">
        <f>+BH356-BH404</f>
        <v>280</v>
      </c>
      <c r="BI357" s="293">
        <f>+BI356-BI404</f>
        <v>311</v>
      </c>
      <c r="BJ357" s="293">
        <f>+BJ356-BJ404</f>
        <v>591</v>
      </c>
      <c r="BK357" s="487"/>
      <c r="BL357" s="293">
        <f>+BL356-BL404</f>
        <v>425</v>
      </c>
      <c r="BM357" s="293">
        <f>+BM356-BM404</f>
        <v>409</v>
      </c>
      <c r="BN357" s="293">
        <f>+BN356-BN404</f>
        <v>834</v>
      </c>
      <c r="BO357" s="487"/>
      <c r="BP357" s="293">
        <f>+BP356-BP404</f>
        <v>412</v>
      </c>
      <c r="BQ357" s="293">
        <f>+BQ356-BQ404</f>
        <v>371</v>
      </c>
      <c r="BR357" s="293">
        <f>+BR356-BR404</f>
        <v>783</v>
      </c>
      <c r="BS357" s="487"/>
      <c r="BT357" s="293">
        <f>+BT356-BT404</f>
        <v>530</v>
      </c>
      <c r="BU357" s="293">
        <f>+BU356-BU404</f>
        <v>421</v>
      </c>
      <c r="BV357" s="293">
        <f>+BV356-BV404</f>
        <v>951</v>
      </c>
      <c r="BW357" s="293"/>
      <c r="BX357" s="293">
        <f>+BX356-BX404</f>
        <v>687</v>
      </c>
      <c r="BY357" s="293">
        <f>+BY356-BY404</f>
        <v>587</v>
      </c>
      <c r="BZ357" s="293">
        <f>+BZ356-BZ404</f>
        <v>1274</v>
      </c>
      <c r="CA357" s="293"/>
      <c r="CB357" s="293">
        <f>+CB356-CB404</f>
        <v>606</v>
      </c>
      <c r="CC357" s="293">
        <f>+CC356-CC404</f>
        <v>357</v>
      </c>
      <c r="CD357" s="293">
        <f>+CD356-CD404</f>
        <v>963</v>
      </c>
      <c r="CE357" s="293"/>
      <c r="CF357" s="293">
        <f>+CF356-CF404</f>
        <v>568</v>
      </c>
      <c r="CG357" s="293">
        <f>+CG356-CG404</f>
        <v>539</v>
      </c>
      <c r="CH357" s="293">
        <f>+CH356-CH404</f>
        <v>1107</v>
      </c>
      <c r="CI357" s="293"/>
      <c r="CJ357" s="293">
        <f>+CJ356-CJ404</f>
        <v>576</v>
      </c>
      <c r="CK357" s="293">
        <f>+CK356-CK404</f>
        <v>780</v>
      </c>
      <c r="CL357" s="293">
        <f>+CL356-CL404</f>
        <v>1356</v>
      </c>
      <c r="CM357" s="293"/>
      <c r="CN357" s="293">
        <f>+CN356-CN404</f>
        <v>649</v>
      </c>
      <c r="CO357" s="293">
        <f>+CO356-CO404</f>
        <v>772</v>
      </c>
      <c r="CP357" s="293">
        <f>+CP356-CP404</f>
        <v>1421</v>
      </c>
      <c r="CQ357" s="293"/>
      <c r="CR357" s="293">
        <f>+CR356-CR404</f>
        <v>920</v>
      </c>
      <c r="CS357" s="293">
        <f>+CS356-CS404</f>
        <v>1715</v>
      </c>
      <c r="CT357" s="293">
        <f>+CT356-CT404</f>
        <v>2635</v>
      </c>
      <c r="CU357" s="293"/>
      <c r="CV357" s="293">
        <f>+CV356-CV404</f>
        <v>1165</v>
      </c>
      <c r="CW357" s="293">
        <f>+CW356-CW404</f>
        <v>485</v>
      </c>
      <c r="CX357" s="293">
        <f>+CX356-CX404</f>
        <v>1650</v>
      </c>
      <c r="CY357" s="293"/>
      <c r="CZ357" s="293">
        <f>+CZ356-CZ404</f>
        <v>171</v>
      </c>
      <c r="DA357" s="293">
        <f>+DA356-DA404</f>
        <v>406</v>
      </c>
      <c r="DB357" s="293">
        <f>+DB356-DB404</f>
        <v>577</v>
      </c>
      <c r="DC357" s="293"/>
      <c r="DD357" s="293">
        <f>+DD356-DD404</f>
        <v>420</v>
      </c>
      <c r="DE357" s="293">
        <f>+DE356-DE404</f>
        <v>792</v>
      </c>
      <c r="DF357" s="293">
        <f>+DF356-DF404</f>
        <v>1212</v>
      </c>
      <c r="DG357" s="293"/>
      <c r="DH357" s="293">
        <f>+DH356-DH404</f>
        <v>419</v>
      </c>
      <c r="DI357" s="293">
        <f>+DI356-DI404</f>
        <v>729.40487114044572</v>
      </c>
      <c r="DJ357" s="293">
        <f>+DJ356-DJ404</f>
        <v>1148.4048711404457</v>
      </c>
      <c r="DK357" s="293"/>
      <c r="DL357" s="293">
        <f>+DL356-DL404</f>
        <v>428.86911564421132</v>
      </c>
      <c r="DM357" s="293">
        <f>+DM356-DM404</f>
        <v>318.54545532091129</v>
      </c>
      <c r="DN357" s="293">
        <f>+DN356-DN404</f>
        <v>747.41457096512272</v>
      </c>
      <c r="DO357" s="293"/>
      <c r="DP357" s="293">
        <f>+DP356-DP404</f>
        <v>417.14123843319999</v>
      </c>
      <c r="DQ357" s="293">
        <f>+DQ356-DQ404</f>
        <v>309.26486327056284</v>
      </c>
      <c r="DR357" s="293">
        <f>+DR356-DR404</f>
        <v>726.40610170376294</v>
      </c>
      <c r="DS357" s="293"/>
      <c r="DT357" s="293"/>
      <c r="DU357" s="293"/>
      <c r="DV357" s="293"/>
      <c r="DW357" s="828"/>
      <c r="DX357" s="293"/>
      <c r="DY357" s="293"/>
      <c r="DZ357" s="293"/>
      <c r="EA357" s="293"/>
      <c r="EB357" s="293"/>
      <c r="EC357" s="293"/>
      <c r="ED357" s="293"/>
      <c r="EE357" s="293"/>
      <c r="EF357" s="293"/>
      <c r="EG357" s="293"/>
      <c r="EH357" s="293"/>
      <c r="EI357" s="293"/>
      <c r="EJ357" s="293"/>
      <c r="EK357" s="293"/>
      <c r="EL357" s="293"/>
      <c r="EM357" s="293"/>
      <c r="EN357" s="293"/>
      <c r="EO357" s="293"/>
      <c r="EP357" s="293"/>
      <c r="EQ357" s="293"/>
      <c r="ER357" s="293"/>
      <c r="ES357" s="293"/>
      <c r="ET357" s="293"/>
      <c r="EU357" s="293"/>
      <c r="JW357"/>
    </row>
    <row r="358" spans="1:283" s="332" customFormat="1">
      <c r="A358" s="332" t="s">
        <v>157</v>
      </c>
      <c r="AN358" s="293"/>
      <c r="AO358" s="293"/>
      <c r="AP358" s="293"/>
      <c r="AQ358" s="293"/>
      <c r="AR358" s="293"/>
      <c r="AS358" s="293"/>
      <c r="AT358" s="293"/>
      <c r="AU358" s="293"/>
      <c r="AV358" s="293">
        <f>AV357-AV437</f>
        <v>-19</v>
      </c>
      <c r="AW358" s="293">
        <f>AW357-AW437</f>
        <v>65</v>
      </c>
      <c r="AX358" s="293">
        <f>AX357-AX437</f>
        <v>46</v>
      </c>
      <c r="AY358" s="293"/>
      <c r="AZ358" s="293">
        <f>AZ357-AZ437</f>
        <v>188</v>
      </c>
      <c r="BA358" s="293">
        <f>BA357-BA437</f>
        <v>239</v>
      </c>
      <c r="BB358" s="293">
        <f>BB357-BB437</f>
        <v>427</v>
      </c>
      <c r="BC358" s="293"/>
      <c r="BD358" s="293">
        <f>BD357-BD437</f>
        <v>301.33300000000008</v>
      </c>
      <c r="BE358" s="293">
        <f>BE357-BE437</f>
        <v>181</v>
      </c>
      <c r="BF358" s="293">
        <f>BF357-BF437</f>
        <v>482.33300000000008</v>
      </c>
      <c r="BG358" s="293"/>
      <c r="BH358" s="293">
        <f>BH357-BH437</f>
        <v>283</v>
      </c>
      <c r="BI358" s="293">
        <f>BI357-BI437</f>
        <v>288</v>
      </c>
      <c r="BJ358" s="293">
        <f>BJ357-BJ437</f>
        <v>571</v>
      </c>
      <c r="BK358" s="487"/>
      <c r="BL358" s="293">
        <f>BL357-BL437</f>
        <v>371</v>
      </c>
      <c r="BM358" s="293">
        <f>BM357-BM437</f>
        <v>351</v>
      </c>
      <c r="BN358" s="293">
        <f>BN357-BN437</f>
        <v>722</v>
      </c>
      <c r="BO358" s="487"/>
      <c r="BP358" s="293">
        <f>BP357-BP437</f>
        <v>352</v>
      </c>
      <c r="BQ358" s="293">
        <f>BQ357-BQ437</f>
        <v>313</v>
      </c>
      <c r="BR358" s="293">
        <f>BR357-BR437</f>
        <v>665</v>
      </c>
      <c r="BS358" s="487"/>
      <c r="BT358" s="293">
        <f>BT357-BT437</f>
        <v>349</v>
      </c>
      <c r="BU358" s="293">
        <f>BU357-BU437</f>
        <v>365</v>
      </c>
      <c r="BV358" s="293">
        <f>BV357-BV437</f>
        <v>714</v>
      </c>
      <c r="BW358" s="293"/>
      <c r="BX358" s="293">
        <f>BX357-BX437</f>
        <v>412</v>
      </c>
      <c r="BY358" s="293">
        <f>BY357-BY437</f>
        <v>380</v>
      </c>
      <c r="BZ358" s="293">
        <f>BZ357-BZ437</f>
        <v>792</v>
      </c>
      <c r="CA358" s="293"/>
      <c r="CB358" s="293">
        <f>CB357-CB437</f>
        <v>367</v>
      </c>
      <c r="CC358" s="293">
        <f>CC357-CC437</f>
        <v>445</v>
      </c>
      <c r="CD358" s="293">
        <f>CD357-CD437</f>
        <v>812</v>
      </c>
      <c r="CE358" s="293"/>
      <c r="CF358" s="293">
        <f>CF357-CF437</f>
        <v>196</v>
      </c>
      <c r="CG358" s="293">
        <f>CG357-CG437</f>
        <v>166</v>
      </c>
      <c r="CH358" s="293">
        <f>CH357-CH437</f>
        <v>362</v>
      </c>
      <c r="CI358" s="293"/>
      <c r="CJ358" s="293">
        <f>CJ357-CJ437</f>
        <v>170</v>
      </c>
      <c r="CK358" s="293">
        <f>CK357-CK437</f>
        <v>572</v>
      </c>
      <c r="CL358" s="293">
        <f>CL357-CL437</f>
        <v>742</v>
      </c>
      <c r="CM358" s="293"/>
      <c r="CN358" s="293">
        <f>CN357-CN437</f>
        <v>189</v>
      </c>
      <c r="CO358" s="293">
        <f>CO357-CO437</f>
        <v>369</v>
      </c>
      <c r="CP358" s="293">
        <f>CP357-CP437</f>
        <v>558</v>
      </c>
      <c r="CQ358" s="293"/>
      <c r="CR358" s="293">
        <f>CR357-CR437</f>
        <v>705</v>
      </c>
      <c r="CS358" s="293">
        <f>CS357-CS437</f>
        <v>307</v>
      </c>
      <c r="CT358" s="293">
        <f>CT357-CT437</f>
        <v>1012</v>
      </c>
      <c r="CU358" s="293"/>
      <c r="CV358" s="293">
        <f>CV357-CV437</f>
        <v>329</v>
      </c>
      <c r="CW358" s="293">
        <f>CW357-CW437</f>
        <v>94</v>
      </c>
      <c r="CX358" s="293">
        <f>CX357-CX437</f>
        <v>423</v>
      </c>
      <c r="CY358" s="293"/>
      <c r="CZ358" s="293">
        <f>CZ357-CZ437</f>
        <v>97</v>
      </c>
      <c r="DA358" s="293">
        <f>DA357-DA437</f>
        <v>162</v>
      </c>
      <c r="DB358" s="293">
        <f>DB357-DB437</f>
        <v>259</v>
      </c>
      <c r="DC358" s="293"/>
      <c r="DD358" s="293">
        <f>DD357-DD437</f>
        <v>256</v>
      </c>
      <c r="DE358" s="293">
        <f>DE357-DE437</f>
        <v>302</v>
      </c>
      <c r="DF358" s="293">
        <f>DF357-DF437</f>
        <v>558</v>
      </c>
      <c r="DG358" s="293"/>
      <c r="DH358" s="293">
        <f>DH357-DH437</f>
        <v>338</v>
      </c>
      <c r="DI358" s="293">
        <f>DI357-DI437</f>
        <v>127.40487114044572</v>
      </c>
      <c r="DJ358" s="293">
        <f>DJ357-DJ437</f>
        <v>465.40487114044572</v>
      </c>
      <c r="DK358" s="293"/>
      <c r="DL358" s="293">
        <f>DL357-DL437</f>
        <v>189.31911564421131</v>
      </c>
      <c r="DM358" s="293">
        <f>DM357-DM437</f>
        <v>73.695455320911265</v>
      </c>
      <c r="DN358" s="293">
        <f>DN357-DN437</f>
        <v>263.01457096512274</v>
      </c>
      <c r="DO358" s="293"/>
      <c r="DP358" s="293">
        <f>DP357-DP437</f>
        <v>190.90373843319998</v>
      </c>
      <c r="DQ358" s="293">
        <f>DQ357-DQ437</f>
        <v>76.412363270562821</v>
      </c>
      <c r="DR358" s="293">
        <f>DR357-DR437</f>
        <v>267.31610170376291</v>
      </c>
      <c r="DS358" s="293"/>
      <c r="DT358" s="293"/>
      <c r="DU358" s="293"/>
      <c r="DV358" s="293"/>
      <c r="DW358" s="828"/>
      <c r="DX358" s="293"/>
      <c r="DY358" s="293"/>
      <c r="DZ358" s="293"/>
      <c r="EA358" s="293"/>
      <c r="EB358" s="293"/>
      <c r="EC358" s="293"/>
      <c r="ED358" s="293"/>
      <c r="EE358" s="293"/>
      <c r="EF358" s="293"/>
      <c r="EG358" s="293"/>
      <c r="EH358" s="293"/>
      <c r="EI358" s="293"/>
      <c r="EJ358" s="293"/>
      <c r="EK358" s="293"/>
      <c r="EL358" s="293"/>
      <c r="EM358" s="293"/>
      <c r="EN358" s="293"/>
      <c r="EO358" s="293"/>
      <c r="EP358" s="293"/>
      <c r="EQ358" s="293"/>
      <c r="ER358" s="293"/>
      <c r="ES358" s="293"/>
      <c r="ET358" s="293"/>
      <c r="EU358" s="293"/>
      <c r="JW358"/>
    </row>
    <row r="359" spans="1:283" s="332" customFormat="1">
      <c r="AN359" s="293"/>
      <c r="AO359" s="293"/>
      <c r="AP359" s="293"/>
      <c r="AQ359" s="293"/>
      <c r="AR359" s="293"/>
      <c r="AS359" s="293"/>
      <c r="AT359" s="293"/>
      <c r="AU359" s="293"/>
      <c r="AV359" s="293"/>
      <c r="AW359" s="293"/>
      <c r="AX359" s="293"/>
      <c r="AY359" s="293"/>
      <c r="AZ359" s="293"/>
      <c r="BA359" s="293"/>
      <c r="BB359" s="293"/>
      <c r="BC359" s="293"/>
      <c r="BD359" s="293"/>
      <c r="BE359" s="293"/>
      <c r="BF359" s="293"/>
      <c r="BG359" s="293"/>
      <c r="BH359" s="293"/>
      <c r="BI359" s="293"/>
      <c r="BJ359" s="293"/>
      <c r="BK359" s="487"/>
      <c r="BL359" s="293"/>
      <c r="BM359" s="293"/>
      <c r="BN359" s="293"/>
      <c r="BO359" s="487"/>
      <c r="BP359" s="293"/>
      <c r="BQ359" s="293"/>
      <c r="BR359" s="293"/>
      <c r="BS359" s="487"/>
      <c r="BT359" s="293"/>
      <c r="BU359" s="293"/>
      <c r="BV359" s="293"/>
      <c r="BW359" s="293"/>
      <c r="BX359" s="293"/>
      <c r="BY359" s="293"/>
      <c r="BZ359" s="293"/>
      <c r="CA359" s="293"/>
      <c r="CB359" s="293"/>
      <c r="CC359" s="293"/>
      <c r="CD359" s="293"/>
      <c r="CE359" s="293"/>
      <c r="CF359" s="293"/>
      <c r="CG359" s="293"/>
      <c r="CH359" s="293"/>
      <c r="CI359" s="293"/>
      <c r="CJ359" s="293"/>
      <c r="CK359" s="293"/>
      <c r="CL359" s="293"/>
      <c r="CM359" s="293"/>
      <c r="CN359" s="917"/>
      <c r="CO359" s="293"/>
      <c r="CP359" s="293"/>
      <c r="CQ359" s="293"/>
      <c r="CR359" s="917"/>
      <c r="CS359" s="293"/>
      <c r="CT359" s="293"/>
      <c r="CU359" s="293"/>
      <c r="CV359" s="293"/>
      <c r="CW359" s="293"/>
      <c r="CX359" s="293"/>
      <c r="CY359" s="293"/>
      <c r="CZ359" s="293"/>
      <c r="DA359" s="293"/>
      <c r="DB359" s="293"/>
      <c r="DC359" s="293"/>
      <c r="DD359" s="293"/>
      <c r="DE359" s="293"/>
      <c r="DF359" s="293"/>
      <c r="DG359" s="293"/>
      <c r="DH359" s="293"/>
      <c r="DI359" s="293"/>
      <c r="DJ359" s="293"/>
      <c r="DK359" s="293"/>
      <c r="DL359" s="293"/>
      <c r="DM359" s="293"/>
      <c r="DN359" s="293"/>
      <c r="DO359" s="293"/>
      <c r="DP359" s="293"/>
      <c r="DQ359" s="293"/>
      <c r="DR359" s="293"/>
      <c r="DS359" s="293"/>
      <c r="DT359" s="293"/>
      <c r="DU359" s="293"/>
      <c r="DV359" s="293"/>
      <c r="DW359" s="828"/>
      <c r="DX359" s="293"/>
      <c r="DY359" s="293"/>
      <c r="DZ359" s="293"/>
      <c r="EA359" s="293"/>
      <c r="EB359" s="293"/>
      <c r="EC359" s="293"/>
      <c r="ED359" s="293"/>
      <c r="EE359" s="293"/>
      <c r="EF359" s="293"/>
      <c r="EG359" s="293"/>
      <c r="EH359" s="293"/>
      <c r="EI359" s="293"/>
      <c r="EJ359" s="293"/>
      <c r="EK359" s="293"/>
      <c r="EL359" s="293"/>
      <c r="EM359" s="293"/>
      <c r="EN359" s="293"/>
      <c r="EO359" s="293"/>
      <c r="EP359" s="293"/>
      <c r="EQ359" s="293"/>
      <c r="ER359" s="293"/>
      <c r="ES359" s="293"/>
      <c r="ET359" s="293"/>
      <c r="EU359" s="293"/>
      <c r="JW359"/>
    </row>
    <row r="360" spans="1:283" s="332" customFormat="1">
      <c r="A360" s="327" t="s">
        <v>1243</v>
      </c>
      <c r="AN360" s="293"/>
      <c r="AO360" s="293"/>
      <c r="AP360" s="293"/>
      <c r="AQ360" s="293"/>
      <c r="AR360" s="293"/>
      <c r="AS360" s="293"/>
      <c r="AT360" s="293"/>
      <c r="AU360" s="293"/>
      <c r="AV360" s="293"/>
      <c r="AW360" s="293"/>
      <c r="AX360" s="293"/>
      <c r="AY360" s="293"/>
      <c r="AZ360" s="293"/>
      <c r="BA360" s="293"/>
      <c r="BB360" s="293"/>
      <c r="BC360" s="293"/>
      <c r="BD360" s="293"/>
      <c r="BE360" s="293"/>
      <c r="BF360" s="293"/>
      <c r="BG360" s="293"/>
      <c r="BH360" s="293"/>
      <c r="BI360" s="293"/>
      <c r="BJ360" s="293"/>
      <c r="BK360" s="487"/>
      <c r="BL360" s="293"/>
      <c r="BM360" s="293"/>
      <c r="BN360" s="293"/>
      <c r="BO360" s="487"/>
      <c r="BP360" s="293"/>
      <c r="BQ360" s="293"/>
      <c r="BR360" s="293"/>
      <c r="BS360" s="487"/>
      <c r="BT360" s="293"/>
      <c r="BU360" s="293"/>
      <c r="BV360" s="293"/>
      <c r="BW360" s="293"/>
      <c r="BX360" s="293"/>
      <c r="BY360" s="293"/>
      <c r="BZ360" s="293"/>
      <c r="CA360" s="293"/>
      <c r="CB360" s="821">
        <f t="shared" ref="CB360:CV360" si="989">+CB356/CB348</f>
        <v>0.70425138632162665</v>
      </c>
      <c r="CC360" s="821">
        <f t="shared" si="989"/>
        <v>0.44195953141640043</v>
      </c>
      <c r="CD360" s="821">
        <f t="shared" si="989"/>
        <v>0.60811865729898518</v>
      </c>
      <c r="CE360" s="293"/>
      <c r="CF360" s="821">
        <f t="shared" si="989"/>
        <v>0.55410691003911339</v>
      </c>
      <c r="CG360" s="821">
        <f t="shared" si="989"/>
        <v>0.56999442275515899</v>
      </c>
      <c r="CH360" s="821">
        <f t="shared" si="989"/>
        <v>0.56266907123534715</v>
      </c>
      <c r="CI360" s="293"/>
      <c r="CJ360" s="821">
        <f t="shared" si="989"/>
        <v>0.59712613092070255</v>
      </c>
      <c r="CK360" s="821">
        <f t="shared" si="989"/>
        <v>0.56934700485698864</v>
      </c>
      <c r="CL360" s="821">
        <f t="shared" si="989"/>
        <v>0.58333333333333337</v>
      </c>
      <c r="CM360" s="293"/>
      <c r="CN360" s="821">
        <f t="shared" si="989"/>
        <v>0.59362772498602567</v>
      </c>
      <c r="CO360" s="821">
        <f t="shared" si="989"/>
        <v>0.57337110481586406</v>
      </c>
      <c r="CP360" s="821">
        <f t="shared" si="989"/>
        <v>0.58356781091727628</v>
      </c>
      <c r="CQ360" s="293"/>
      <c r="CR360" s="821">
        <f>+CR356/CR348</f>
        <v>0.46208930075821397</v>
      </c>
      <c r="CS360" s="821">
        <f t="shared" si="989"/>
        <v>0.58848614072494665</v>
      </c>
      <c r="CT360" s="821">
        <f t="shared" si="989"/>
        <v>0.53544281421248008</v>
      </c>
      <c r="CU360" s="293"/>
      <c r="CV360" s="821">
        <f t="shared" si="989"/>
        <v>0.53819577735124757</v>
      </c>
      <c r="CW360" s="821">
        <f t="shared" ref="CW360:CX360" si="990">+CW356/CW348</f>
        <v>0.40068201193520886</v>
      </c>
      <c r="CX360" s="821">
        <f t="shared" si="990"/>
        <v>0.47303575035346396</v>
      </c>
      <c r="CY360" s="293"/>
      <c r="CZ360" s="821">
        <f t="shared" ref="CZ360:DB360" si="991">+CZ356/CZ348</f>
        <v>0.24040165386887183</v>
      </c>
      <c r="DA360" s="821">
        <f t="shared" si="991"/>
        <v>0.388646288209607</v>
      </c>
      <c r="DB360" s="821">
        <f t="shared" si="991"/>
        <v>0.32179009057005858</v>
      </c>
      <c r="DC360" s="293"/>
      <c r="DD360" s="821">
        <f t="shared" ref="DD360:DF360" si="992">+DD356/DD348</f>
        <v>0.40303623898139079</v>
      </c>
      <c r="DE360" s="821">
        <f t="shared" si="992"/>
        <v>0.48116169544740972</v>
      </c>
      <c r="DF360" s="821">
        <f t="shared" si="992"/>
        <v>0.44640522875816996</v>
      </c>
      <c r="DG360" s="293"/>
      <c r="DH360" s="821">
        <f t="shared" ref="DH360" si="993">+DH356/DH348</f>
        <v>0.49224968579807288</v>
      </c>
      <c r="DI360" s="821">
        <f t="shared" ref="DI360:DJ360" si="994">+DI356/DI348</f>
        <v>0.53888649701344149</v>
      </c>
      <c r="DJ360" s="821">
        <f t="shared" si="994"/>
        <v>0.51669799051717413</v>
      </c>
      <c r="DK360" s="293"/>
      <c r="DL360" s="821">
        <f t="shared" ref="DL360:DN360" si="995">+DL356/DL348</f>
        <v>0.47650664926099545</v>
      </c>
      <c r="DM360" s="821">
        <f t="shared" si="995"/>
        <v>0.42206158623802575</v>
      </c>
      <c r="DN360" s="821">
        <f t="shared" si="995"/>
        <v>0.4490538536109604</v>
      </c>
      <c r="DO360" s="293"/>
      <c r="DP360" s="821">
        <f t="shared" ref="DP360:DR360" si="996">+DP356/DP348</f>
        <v>0.47212044276351139</v>
      </c>
      <c r="DQ360" s="821">
        <f t="shared" si="996"/>
        <v>0.4201055103448883</v>
      </c>
      <c r="DR360" s="821">
        <f t="shared" si="996"/>
        <v>0.44577770182949528</v>
      </c>
      <c r="DS360" s="293"/>
      <c r="DT360" s="293"/>
      <c r="DU360" s="293"/>
      <c r="DV360" s="293"/>
      <c r="DW360" s="828"/>
      <c r="DX360" s="293"/>
      <c r="DY360" s="293"/>
      <c r="DZ360" s="293"/>
      <c r="EA360" s="293"/>
      <c r="EB360" s="293"/>
      <c r="EC360" s="293"/>
      <c r="ED360" s="293"/>
      <c r="EE360" s="293"/>
      <c r="EF360" s="293"/>
      <c r="EG360" s="293"/>
      <c r="EH360" s="293"/>
      <c r="EI360" s="293"/>
      <c r="EJ360" s="293"/>
      <c r="EK360" s="293"/>
      <c r="EL360" s="293"/>
      <c r="EM360" s="293"/>
      <c r="EN360" s="293"/>
      <c r="EO360" s="293"/>
      <c r="EP360" s="293"/>
      <c r="EQ360" s="293"/>
      <c r="ER360" s="293"/>
      <c r="ES360" s="293"/>
      <c r="ET360" s="293"/>
      <c r="EU360" s="293"/>
      <c r="JW360"/>
    </row>
    <row r="361" spans="1:283" s="332" customFormat="1">
      <c r="A361" s="327" t="s">
        <v>1244</v>
      </c>
      <c r="AN361" s="293"/>
      <c r="AO361" s="293"/>
      <c r="AP361" s="293"/>
      <c r="AQ361" s="293"/>
      <c r="AR361" s="293"/>
      <c r="AS361" s="293"/>
      <c r="AT361" s="293"/>
      <c r="AU361" s="293"/>
      <c r="AV361" s="293"/>
      <c r="AW361" s="293"/>
      <c r="AX361" s="293"/>
      <c r="AY361" s="293"/>
      <c r="AZ361" s="293"/>
      <c r="BA361" s="293"/>
      <c r="BB361" s="293"/>
      <c r="BC361" s="293"/>
      <c r="BD361" s="293"/>
      <c r="BE361" s="293"/>
      <c r="BF361" s="293"/>
      <c r="BG361" s="293"/>
      <c r="BH361" s="293"/>
      <c r="BI361" s="293"/>
      <c r="BJ361" s="293"/>
      <c r="BK361" s="487"/>
      <c r="BL361" s="293"/>
      <c r="BM361" s="293"/>
      <c r="BN361" s="293"/>
      <c r="BO361" s="487"/>
      <c r="BP361" s="293"/>
      <c r="BQ361" s="293"/>
      <c r="BR361" s="293"/>
      <c r="BS361" s="487"/>
      <c r="BT361" s="293"/>
      <c r="BU361" s="293"/>
      <c r="BV361" s="293"/>
      <c r="BW361" s="293"/>
      <c r="BX361" s="293"/>
      <c r="BY361" s="293"/>
      <c r="BZ361" s="293"/>
      <c r="CA361" s="293"/>
      <c r="CB361" s="1367">
        <f>+(CB356*CD1/CB1)/'P&amp;L'!CB208</f>
        <v>4.7728548065752241E-3</v>
      </c>
      <c r="CC361" s="1368">
        <f>+(CC356*CD1/CC1)/'P&amp;L'!CC208</f>
        <v>1.7155111198190658E-3</v>
      </c>
      <c r="CD361" s="1367">
        <f>+(CD356*CD1/CD1)/'P&amp;L'!CD208</f>
        <v>3.2363938512671377E-3</v>
      </c>
      <c r="CE361" s="293"/>
      <c r="CF361" s="1367">
        <f>+(CF356*CH1/CF1)/'P&amp;L'!CF208</f>
        <v>3.2363371027141941E-3</v>
      </c>
      <c r="CG361" s="1368">
        <f>+(CG356*CH1/CG1)/'P&amp;L'!CG208</f>
        <v>3.7187977585328583E-3</v>
      </c>
      <c r="CH361" s="1367">
        <f>+(CH356*CH1/CH1)/'P&amp;L'!CH208</f>
        <v>3.4827906976744186E-3</v>
      </c>
      <c r="CI361" s="293"/>
      <c r="CJ361" s="1367">
        <f>+(CJ356*CL1/CJ1)/'P&amp;L'!CJ208</f>
        <v>4.0261953888938726E-3</v>
      </c>
      <c r="CK361" s="1368">
        <f>+(CK356*CL1/CK1)/'P&amp;L'!CK208</f>
        <v>3.6307321689753075E-3</v>
      </c>
      <c r="CL361" s="1367">
        <f>+(CL356*CL1/CL1)/'P&amp;L'!CL208</f>
        <v>3.8243302591128678E-3</v>
      </c>
      <c r="CM361" s="293"/>
      <c r="CN361" s="1367">
        <f>+(CN356*CP1/CN1)/'P&amp;L'!CN208</f>
        <v>3.667238090913219E-3</v>
      </c>
      <c r="CO361" s="1368">
        <f>+(CO356*CP1/CO1)/'P&amp;L'!CO208</f>
        <v>3.6248623674949806E-3</v>
      </c>
      <c r="CP361" s="1367">
        <f>+(CP356*CP1/CP1)/'P&amp;L'!CP208</f>
        <v>3.6465934065934066E-3</v>
      </c>
      <c r="CQ361" s="293"/>
      <c r="CR361" s="1367">
        <f>+(CR356*CT1/CR1)/'P&amp;L'!CR208</f>
        <v>3.3648680730194143E-3</v>
      </c>
      <c r="CS361" s="1368">
        <f>+(CS356*CT1/CS1)/'P&amp;L'!CS208</f>
        <v>5.0648567119155356E-3</v>
      </c>
      <c r="CT361" s="1367">
        <f>+(CT356*CT1/CT1)/'P&amp;L'!CT208</f>
        <v>4.280515809927575E-3</v>
      </c>
      <c r="CU361" s="293"/>
      <c r="CV361" s="1367">
        <f>+(CV356*CX1/CV1)/'P&amp;L'!CV208</f>
        <v>3.4397426629118738E-3</v>
      </c>
      <c r="CW361" s="1368">
        <f>+(CW356*CX1/CW1)/'P&amp;L'!CW208</f>
        <v>2.2029387498274443E-3</v>
      </c>
      <c r="CX361" s="1367">
        <f>+(CX356*CX1/CX1)/'P&amp;L'!CX208</f>
        <v>2.806975489902319E-3</v>
      </c>
      <c r="CY361" s="293"/>
      <c r="CZ361" s="1367">
        <f>+(CZ356*DB1/CZ1)/'P&amp;L'!CZ208</f>
        <v>9.1946232915395909E-4</v>
      </c>
      <c r="DA361" s="1368">
        <f>+(DA356*DB1/DA1)/'P&amp;L'!DA208</f>
        <v>1.7505326995574497E-3</v>
      </c>
      <c r="DB361" s="1367">
        <f>+(DB356*DB1/DB1)/'P&amp;L'!DB208</f>
        <v>1.3418867505345885E-3</v>
      </c>
      <c r="DC361" s="293"/>
      <c r="DD361" s="1367">
        <f>+(DD356*DF1/DD1)/'P&amp;L'!DD208</f>
        <v>1.7697188639323347E-3</v>
      </c>
      <c r="DE361" s="1368">
        <f>+(DE356*DF1/DE1)/'P&amp;L'!DE208</f>
        <v>2.6469332153474688E-3</v>
      </c>
      <c r="DF361" s="1367">
        <f>+(DF356*DF1/DF1)/'P&amp;L'!DF208</f>
        <v>2.207438929138948E-3</v>
      </c>
      <c r="DG361" s="293"/>
      <c r="DH361" s="1367">
        <f>+(DH356*DJ1/DH1)/'P&amp;L'!DH208</f>
        <v>2.4667956791460215E-3</v>
      </c>
      <c r="DI361" s="1368">
        <f>+(DI356*DJ1/DI1)/'P&amp;L'!DI208</f>
        <v>3.3561246114587576E-3</v>
      </c>
      <c r="DJ361" s="1367">
        <f>+(DJ356*DJ1/DJ1)/'P&amp;L'!DJ208</f>
        <v>2.885185627618349E-3</v>
      </c>
      <c r="DK361" s="293"/>
      <c r="DL361" s="1367">
        <f>+(DL356*DN1/DL1)/'P&amp;L'!DL208</f>
        <v>2.6190631794172641E-3</v>
      </c>
      <c r="DM361" s="1368">
        <f>+(DM356*DN1/DM1)/'P&amp;L'!DM208</f>
        <v>2.2948807893739503E-3</v>
      </c>
      <c r="DN361" s="1367">
        <f>+(DN356*DN1/DN1)/'P&amp;L'!DN208</f>
        <v>2.4546136693530366E-3</v>
      </c>
      <c r="DO361" s="293"/>
      <c r="DP361" s="1367">
        <f>+(DP356*DR1/DP1)/'P&amp;L'!DP208</f>
        <v>2.5183637772896077E-3</v>
      </c>
      <c r="DQ361" s="1368">
        <f>+(DQ356*DR1/DQ1)/'P&amp;L'!DQ208</f>
        <v>2.2241844798099445E-3</v>
      </c>
      <c r="DR361" s="1367">
        <f>+(DR356*DR1/DR1)/'P&amp;L'!DR208</f>
        <v>2.3688271335415008E-3</v>
      </c>
      <c r="DS361" s="293"/>
      <c r="DT361" s="293"/>
      <c r="DU361" s="293"/>
      <c r="DV361" s="293"/>
      <c r="DW361" s="828"/>
      <c r="DX361" s="293"/>
      <c r="DY361" s="293"/>
      <c r="DZ361" s="293"/>
      <c r="EA361" s="293"/>
      <c r="EB361" s="293"/>
      <c r="EC361" s="293"/>
      <c r="ED361" s="293"/>
      <c r="EE361" s="293"/>
      <c r="EF361" s="293"/>
      <c r="EG361" s="293"/>
      <c r="EH361" s="293"/>
      <c r="EI361" s="293"/>
      <c r="EJ361" s="293"/>
      <c r="EK361" s="293"/>
      <c r="EL361" s="293"/>
      <c r="EM361" s="293"/>
      <c r="EN361" s="293"/>
      <c r="EO361" s="293"/>
      <c r="EP361" s="293"/>
      <c r="EQ361" s="293"/>
      <c r="ER361" s="293"/>
      <c r="ES361" s="293"/>
      <c r="ET361" s="293"/>
      <c r="EU361" s="293"/>
      <c r="JW361"/>
    </row>
    <row r="362" spans="1:283" s="332" customFormat="1">
      <c r="AN362" s="293"/>
      <c r="AO362" s="293"/>
      <c r="AP362" s="293"/>
      <c r="AQ362" s="293"/>
      <c r="AR362" s="293"/>
      <c r="AS362" s="293"/>
      <c r="AT362" s="293"/>
      <c r="AU362" s="293"/>
      <c r="AV362" s="293"/>
      <c r="AW362" s="293"/>
      <c r="AX362" s="293"/>
      <c r="AY362" s="293"/>
      <c r="AZ362" s="293"/>
      <c r="BA362" s="293"/>
      <c r="BB362" s="293"/>
      <c r="BC362" s="293"/>
      <c r="BD362" s="293"/>
      <c r="BE362" s="293"/>
      <c r="BF362" s="293"/>
      <c r="BG362" s="293"/>
      <c r="BH362" s="293"/>
      <c r="BI362" s="293"/>
      <c r="BJ362" s="293"/>
      <c r="BK362" s="487"/>
      <c r="BL362" s="293"/>
      <c r="BM362" s="293"/>
      <c r="BN362" s="293"/>
      <c r="BO362" s="487"/>
      <c r="BP362" s="293"/>
      <c r="BQ362" s="293"/>
      <c r="BR362" s="293"/>
      <c r="BS362" s="487"/>
      <c r="BT362" s="293"/>
      <c r="BU362" s="293"/>
      <c r="BV362" s="293"/>
      <c r="BW362" s="293"/>
      <c r="BX362" s="293"/>
      <c r="BY362" s="293"/>
      <c r="BZ362" s="293"/>
      <c r="CA362" s="293"/>
      <c r="CB362" s="293"/>
      <c r="CC362" s="293"/>
      <c r="CD362" s="293"/>
      <c r="CE362" s="293"/>
      <c r="CF362" s="293"/>
      <c r="CG362" s="293"/>
      <c r="CH362" s="293"/>
      <c r="CI362" s="293"/>
      <c r="CJ362" s="293"/>
      <c r="CK362" s="293"/>
      <c r="CL362" s="293"/>
      <c r="CM362" s="293"/>
      <c r="CN362" s="917"/>
      <c r="CO362" s="293"/>
      <c r="CP362" s="293"/>
      <c r="CQ362" s="293"/>
      <c r="CR362" s="293"/>
      <c r="CS362" s="293"/>
      <c r="CT362" s="293"/>
      <c r="CU362" s="293"/>
      <c r="CV362" s="293"/>
      <c r="CW362" s="293"/>
      <c r="CX362" s="293"/>
      <c r="CY362" s="293"/>
      <c r="CZ362" s="293"/>
      <c r="DA362" s="293"/>
      <c r="DB362" s="293"/>
      <c r="DC362" s="293"/>
      <c r="DD362" s="293"/>
      <c r="DE362" s="293"/>
      <c r="DF362" s="293"/>
      <c r="DG362" s="293"/>
      <c r="DH362" s="293"/>
      <c r="DI362" s="293"/>
      <c r="DJ362" s="293"/>
      <c r="DK362" s="293"/>
      <c r="DL362" s="293"/>
      <c r="DM362" s="293"/>
      <c r="DN362" s="293"/>
      <c r="DO362" s="293"/>
      <c r="DP362" s="293"/>
      <c r="DQ362" s="293"/>
      <c r="DR362" s="293"/>
      <c r="DS362" s="293"/>
      <c r="DT362" s="293"/>
      <c r="DU362" s="293"/>
      <c r="DV362" s="293"/>
      <c r="DW362" s="828"/>
      <c r="DX362" s="293"/>
      <c r="DY362" s="293"/>
      <c r="DZ362" s="293"/>
      <c r="EA362" s="293"/>
      <c r="EB362" s="293"/>
      <c r="EC362" s="293"/>
      <c r="ED362" s="293"/>
      <c r="EE362" s="293"/>
      <c r="EF362" s="293"/>
      <c r="EG362" s="293"/>
      <c r="EH362" s="293"/>
      <c r="EI362" s="293"/>
      <c r="EJ362" s="293"/>
      <c r="EK362" s="293"/>
      <c r="EL362" s="293"/>
      <c r="EM362" s="293"/>
      <c r="EN362" s="293"/>
      <c r="EO362" s="293"/>
      <c r="EP362" s="293"/>
      <c r="EQ362" s="293"/>
      <c r="ER362" s="293"/>
      <c r="ES362" s="293"/>
      <c r="ET362" s="293"/>
      <c r="EU362" s="293"/>
      <c r="JW362"/>
    </row>
    <row r="363" spans="1:283" s="332" customFormat="1">
      <c r="A363" s="1092" t="s">
        <v>835</v>
      </c>
      <c r="AN363" s="293"/>
      <c r="AO363" s="293"/>
      <c r="AP363" s="293"/>
      <c r="AQ363" s="293"/>
      <c r="AR363" s="293"/>
      <c r="AS363" s="293"/>
      <c r="AT363" s="293"/>
      <c r="AU363" s="293"/>
      <c r="AV363" s="293"/>
      <c r="AW363" s="293"/>
      <c r="AX363" s="293"/>
      <c r="AY363" s="293"/>
      <c r="AZ363" s="293"/>
      <c r="BA363" s="293"/>
      <c r="BB363" s="293"/>
      <c r="BC363" s="293"/>
      <c r="BD363" s="293"/>
      <c r="BE363" s="293"/>
      <c r="BF363" s="293"/>
      <c r="BG363" s="293"/>
      <c r="BH363" s="293"/>
      <c r="BI363" s="293"/>
      <c r="BJ363" s="293"/>
      <c r="BK363" s="293"/>
      <c r="BL363" s="293"/>
      <c r="BM363" s="320"/>
      <c r="BN363" s="293"/>
      <c r="BO363" s="293"/>
      <c r="BP363" s="293"/>
      <c r="BQ363" s="320"/>
      <c r="BR363" s="293"/>
      <c r="BS363" s="293"/>
      <c r="BT363" s="293"/>
      <c r="BU363" s="320"/>
      <c r="BV363" s="293"/>
      <c r="BW363" s="293"/>
      <c r="BX363" s="293"/>
      <c r="BY363" s="320"/>
      <c r="BZ363" s="293"/>
      <c r="CA363" s="293"/>
      <c r="CB363" s="293"/>
      <c r="CC363" s="320"/>
      <c r="CD363" s="293"/>
      <c r="CE363" s="293"/>
      <c r="CF363" s="293"/>
      <c r="CG363" s="320"/>
      <c r="CH363" s="293"/>
      <c r="CI363" s="293"/>
      <c r="CJ363" s="293"/>
      <c r="CK363" s="320"/>
      <c r="CL363" s="293"/>
      <c r="CM363" s="293"/>
      <c r="CN363" s="293"/>
      <c r="CO363" s="320"/>
      <c r="CP363" s="293"/>
      <c r="CQ363" s="293"/>
      <c r="CR363" s="293"/>
      <c r="CS363" s="293"/>
      <c r="CT363" s="293"/>
      <c r="CU363" s="293"/>
      <c r="CV363" s="293"/>
      <c r="CW363" s="293"/>
      <c r="CX363" s="293"/>
      <c r="CY363" s="293"/>
      <c r="CZ363" s="293"/>
      <c r="DA363" s="293"/>
      <c r="DB363" s="293"/>
      <c r="DC363" s="293"/>
      <c r="DD363" s="293"/>
      <c r="DE363" s="293"/>
      <c r="DF363" s="293"/>
      <c r="DG363" s="293"/>
      <c r="DH363" s="293"/>
      <c r="DI363" s="293"/>
      <c r="DJ363" s="293"/>
      <c r="DK363" s="293"/>
      <c r="DL363" s="293"/>
      <c r="DM363" s="293"/>
      <c r="DN363" s="293"/>
      <c r="DO363" s="293"/>
      <c r="DP363" s="293"/>
      <c r="DQ363" s="293"/>
      <c r="DR363" s="293"/>
      <c r="DS363" s="293"/>
      <c r="DT363" s="293"/>
      <c r="DU363" s="293"/>
      <c r="DV363" s="293"/>
      <c r="DW363" s="828"/>
      <c r="DX363" s="293"/>
      <c r="DY363" s="293"/>
      <c r="DZ363" s="293"/>
      <c r="EA363" s="293"/>
      <c r="EB363" s="293"/>
      <c r="EC363" s="293"/>
      <c r="ED363" s="293"/>
      <c r="EE363" s="293"/>
      <c r="EF363" s="293"/>
      <c r="EG363" s="293"/>
      <c r="EH363" s="293"/>
      <c r="EI363" s="293"/>
      <c r="EJ363" s="293"/>
      <c r="EK363" s="293"/>
      <c r="EL363" s="293"/>
      <c r="EM363" s="293"/>
      <c r="EN363" s="293"/>
      <c r="EO363" s="293"/>
      <c r="EP363" s="293"/>
      <c r="EQ363" s="293"/>
      <c r="ER363" s="293"/>
      <c r="ES363" s="293"/>
      <c r="ET363" s="293"/>
      <c r="EU363" s="293"/>
      <c r="JW363"/>
    </row>
    <row r="364" spans="1:283" s="332" customFormat="1">
      <c r="A364" s="1079" t="str">
        <f>+A348</f>
        <v>Total operating income</v>
      </c>
      <c r="AN364" s="293"/>
      <c r="AO364" s="293"/>
      <c r="AP364" s="293"/>
      <c r="AQ364" s="293"/>
      <c r="AR364" s="293"/>
      <c r="AS364" s="293"/>
      <c r="AT364" s="293"/>
      <c r="AU364" s="293"/>
      <c r="AV364" s="294"/>
      <c r="AW364" s="294"/>
      <c r="AX364" s="294"/>
      <c r="AY364" s="293"/>
      <c r="AZ364" s="294">
        <f>AZ348/AV348-1</f>
        <v>-0.15476190476190477</v>
      </c>
      <c r="BA364" s="294">
        <f>BA348/AW348-1</f>
        <v>-2.6666666666666616E-2</v>
      </c>
      <c r="BB364" s="294">
        <f>BB348/AX348-1</f>
        <v>-9.4339622641509413E-2</v>
      </c>
      <c r="BC364" s="293"/>
      <c r="BD364" s="294">
        <f>BD348/AZ348-1</f>
        <v>0.22587323943661985</v>
      </c>
      <c r="BE364" s="294">
        <f>BE348/BA348-1</f>
        <v>-4.7184170471841758E-2</v>
      </c>
      <c r="BF364" s="294">
        <f>BF348/BB348-1</f>
        <v>8.744830246913593E-2</v>
      </c>
      <c r="BG364" s="331"/>
      <c r="BH364" s="294">
        <f>BH348/BD348-1</f>
        <v>-7.4467691262847469E-2</v>
      </c>
      <c r="BI364" s="294">
        <f>BI348/BE348-1</f>
        <v>0.26038338658146976</v>
      </c>
      <c r="BJ364" s="294">
        <f>BJ348/BF348-1</f>
        <v>7.4267046893814248E-2</v>
      </c>
      <c r="BK364" s="293"/>
      <c r="BL364" s="294">
        <f>BL348/BH348-1</f>
        <v>0.25103448275862061</v>
      </c>
      <c r="BM364" s="294">
        <f>BM348/BI348-1</f>
        <v>0.29404309252217997</v>
      </c>
      <c r="BN364" s="294">
        <f>BN348/BJ348-1</f>
        <v>0.27344782034346093</v>
      </c>
      <c r="BO364" s="293"/>
      <c r="BP364" s="294">
        <f>BP348/BL348-1</f>
        <v>0.35060639470782795</v>
      </c>
      <c r="BQ364" s="294">
        <f>BQ348/BM348-1</f>
        <v>0.16650342801175322</v>
      </c>
      <c r="BR364" s="294">
        <f>BR348/BN348-1</f>
        <v>0.25311203319502074</v>
      </c>
      <c r="BS364" s="293"/>
      <c r="BT364" s="294">
        <f>BT348/BP348-1</f>
        <v>0.36244897959183664</v>
      </c>
      <c r="BU364" s="294">
        <f>BU348/BQ348-1</f>
        <v>-0.12594458438287148</v>
      </c>
      <c r="BV364" s="294">
        <f>BV348/BR348-1</f>
        <v>0.1216887417218544</v>
      </c>
      <c r="BW364" s="293"/>
      <c r="BX364" s="294">
        <f>BX348/BT348-1</f>
        <v>-0.17735170760934693</v>
      </c>
      <c r="BY364" s="294">
        <f>BY348/BU348-1</f>
        <v>0.17483189241114316</v>
      </c>
      <c r="BZ364" s="294">
        <f>BZ348/BV348-1</f>
        <v>-4.2066420664206627E-2</v>
      </c>
      <c r="CA364" s="293"/>
      <c r="CB364" s="294">
        <f>CB348/BX348-1</f>
        <v>0.18208302986161695</v>
      </c>
      <c r="CC364" s="294">
        <f>CC348/BY348-1</f>
        <v>-0.23221586263286997</v>
      </c>
      <c r="CD364" s="294">
        <f>CD348/BZ348-1</f>
        <v>-1.3097072419106293E-2</v>
      </c>
      <c r="CE364" s="293"/>
      <c r="CF364" s="294">
        <f>CF348/CB348-1</f>
        <v>-5.4836722119531722E-2</v>
      </c>
      <c r="CG364" s="294">
        <f>CG348/CC348-1</f>
        <v>0.90947816826411065</v>
      </c>
      <c r="CH364" s="294">
        <f>CH348/CD348-1</f>
        <v>0.29859484777517564</v>
      </c>
      <c r="CI364" s="293"/>
      <c r="CJ364" s="294">
        <f>CJ348/CF348-1</f>
        <v>0.22490221642764019</v>
      </c>
      <c r="CK364" s="294">
        <f>CK348/CG348-1</f>
        <v>3.3463469046291161E-2</v>
      </c>
      <c r="CL364" s="294">
        <f>CL348/CH348-1</f>
        <v>0.12173128944995493</v>
      </c>
      <c r="CM364" s="293"/>
      <c r="CN364" s="294">
        <f>CN348/CJ348-1</f>
        <v>-4.7897817988291624E-2</v>
      </c>
      <c r="CO364" s="294">
        <f>CO348/CK348-1</f>
        <v>-4.7490555855369654E-2</v>
      </c>
      <c r="CP364" s="294">
        <f>CP348/CL348-1</f>
        <v>-4.769560557341912E-2</v>
      </c>
      <c r="CQ364" s="293"/>
      <c r="CR364" s="294">
        <f>CR348/CN348-1</f>
        <v>0.32699832308552268</v>
      </c>
      <c r="CS364" s="294">
        <f>CS348/CO348-1</f>
        <v>0.86005665722379598</v>
      </c>
      <c r="CT364" s="294">
        <f>CT348/CP348-1</f>
        <v>0.59172763083849178</v>
      </c>
      <c r="CU364" s="293"/>
      <c r="CV364" s="294">
        <f>CV348/CR348-1</f>
        <v>9.7304128053917527E-2</v>
      </c>
      <c r="CW364" s="294">
        <f>CW348/CS348-1</f>
        <v>-0.28540968626256469</v>
      </c>
      <c r="CX364" s="294">
        <f>CX348/CT348-1</f>
        <v>-0.12480113134170057</v>
      </c>
      <c r="CY364" s="293"/>
      <c r="CZ364" s="294">
        <f>CZ348/CV348-1</f>
        <v>-0.35009596928982722</v>
      </c>
      <c r="DA364" s="294">
        <f>DA348/CW348-1</f>
        <v>-0.12148337595907932</v>
      </c>
      <c r="DB364" s="294">
        <f>DB348/CX348-1</f>
        <v>-0.24176933952736823</v>
      </c>
      <c r="DC364" s="293"/>
      <c r="DD364" s="294">
        <f>DD348/CZ348-1</f>
        <v>0.20614294152392199</v>
      </c>
      <c r="DE364" s="294">
        <f>DE348/DA348-1</f>
        <v>0.23629306162057251</v>
      </c>
      <c r="DF364" s="294">
        <f>DF348/DB348-1</f>
        <v>0.22269579115610005</v>
      </c>
      <c r="DG364" s="293"/>
      <c r="DH364" s="294">
        <f>DH348/DD348-1</f>
        <v>0.16895200783545539</v>
      </c>
      <c r="DI364" s="294">
        <f>DI348/DE348-1</f>
        <v>3.2223338688166292E-2</v>
      </c>
      <c r="DJ364" s="294">
        <f>DJ348/DF348-1</f>
        <v>9.3051212849117215E-2</v>
      </c>
      <c r="DK364" s="293"/>
      <c r="DL364" s="294">
        <f>DL348/DH348-1</f>
        <v>-0.13804156728366657</v>
      </c>
      <c r="DM364" s="294">
        <f>DM348/DI348-1</f>
        <v>-0.20436687871219616</v>
      </c>
      <c r="DN364" s="294">
        <f>DN348/DJ348-1</f>
        <v>-0.17281112768319118</v>
      </c>
      <c r="DO364" s="293"/>
      <c r="DP364" s="294">
        <f>DP348/DL348-1</f>
        <v>3.4270183158005674E-2</v>
      </c>
      <c r="DQ364" s="294">
        <f>DQ348/DM348-1</f>
        <v>4.3481639619847856E-2</v>
      </c>
      <c r="DR364" s="294">
        <f>DR348/DN348-1</f>
        <v>3.8914869339734759E-2</v>
      </c>
      <c r="DS364" s="293"/>
      <c r="DT364" s="293"/>
      <c r="DU364" s="293"/>
      <c r="DV364" s="293"/>
      <c r="DW364" s="1233"/>
      <c r="DX364" s="294"/>
      <c r="DY364" s="294"/>
      <c r="DZ364" s="293"/>
      <c r="EA364" s="294"/>
      <c r="EB364" s="294"/>
      <c r="EC364" s="294"/>
      <c r="ED364" s="293"/>
      <c r="EE364" s="294"/>
      <c r="EF364" s="294"/>
      <c r="EG364" s="294"/>
      <c r="EH364" s="293"/>
      <c r="EI364" s="294"/>
      <c r="EJ364" s="294"/>
      <c r="EK364" s="294"/>
      <c r="EL364" s="293"/>
      <c r="EM364" s="293"/>
      <c r="EN364" s="293"/>
      <c r="EO364" s="293"/>
      <c r="EP364" s="293"/>
      <c r="EQ364" s="293"/>
      <c r="ER364" s="293"/>
      <c r="ES364" s="293"/>
      <c r="ET364" s="293"/>
      <c r="EU364" s="293"/>
      <c r="JW364"/>
    </row>
    <row r="365" spans="1:283" s="332" customFormat="1">
      <c r="A365" s="1079" t="str">
        <f>A353</f>
        <v>Total operating expenses</v>
      </c>
      <c r="AN365" s="293"/>
      <c r="AO365" s="293"/>
      <c r="AP365" s="293"/>
      <c r="AQ365" s="293"/>
      <c r="AR365" s="293"/>
      <c r="AS365" s="293"/>
      <c r="AT365" s="293"/>
      <c r="AU365" s="293"/>
      <c r="AV365" s="294"/>
      <c r="AW365" s="294"/>
      <c r="AX365" s="294"/>
      <c r="AY365" s="293"/>
      <c r="AZ365" s="294">
        <f t="shared" ref="AZ365:BB366" si="997">AZ353/AV353-1</f>
        <v>0.55471698113207557</v>
      </c>
      <c r="BA365" s="294">
        <f t="shared" si="997"/>
        <v>0.12813370473537611</v>
      </c>
      <c r="BB365" s="294">
        <f t="shared" si="997"/>
        <v>0.30929487179487181</v>
      </c>
      <c r="BC365" s="293"/>
      <c r="BD365" s="294">
        <f t="shared" ref="BD365:BF366" si="998">BD353/AZ353-1</f>
        <v>-6.7961165048543659E-2</v>
      </c>
      <c r="BE365" s="294">
        <f t="shared" si="998"/>
        <v>-5.4320987654321029E-2</v>
      </c>
      <c r="BF365" s="294">
        <f t="shared" si="998"/>
        <v>-6.1199510403916801E-2</v>
      </c>
      <c r="BG365" s="331"/>
      <c r="BH365" s="294">
        <f t="shared" ref="BH365:BJ366" si="999">BH353/BD353-1</f>
        <v>-3.645833333333337E-2</v>
      </c>
      <c r="BI365" s="294">
        <f t="shared" si="999"/>
        <v>1.8276762402088753E-2</v>
      </c>
      <c r="BJ365" s="294">
        <f t="shared" si="999"/>
        <v>-9.126466753585416E-3</v>
      </c>
      <c r="BK365" s="293"/>
      <c r="BL365" s="294">
        <f t="shared" ref="BL365:BN366" si="1000">BL353/BH353-1</f>
        <v>0.10000000000000009</v>
      </c>
      <c r="BM365" s="294">
        <f t="shared" si="1000"/>
        <v>0.20512820512820507</v>
      </c>
      <c r="BN365" s="294">
        <f t="shared" si="1000"/>
        <v>0.15394736842105261</v>
      </c>
      <c r="BO365" s="293"/>
      <c r="BP365" s="294">
        <f t="shared" ref="BP365:BR366" si="1001">BP353/BL353-1</f>
        <v>8.1081081081081141E-2</v>
      </c>
      <c r="BQ365" s="294">
        <f t="shared" si="1001"/>
        <v>0.11914893617021272</v>
      </c>
      <c r="BR365" s="294">
        <f t="shared" si="1001"/>
        <v>0.10148232611174457</v>
      </c>
      <c r="BS365" s="293"/>
      <c r="BT365" s="294">
        <f t="shared" ref="BT365:BV366" si="1002">BT353/BP353-1</f>
        <v>0.17500000000000004</v>
      </c>
      <c r="BU365" s="294">
        <f t="shared" si="1002"/>
        <v>1.9011406844106515E-2</v>
      </c>
      <c r="BV365" s="294">
        <f t="shared" si="1002"/>
        <v>9.0062111801242128E-2</v>
      </c>
      <c r="BW365" s="293"/>
      <c r="BX365" s="294">
        <f t="shared" ref="BX365:BZ366" si="1003">BX353/BT353-1</f>
        <v>-1.9342359767892114E-3</v>
      </c>
      <c r="BY365" s="294">
        <f t="shared" si="1003"/>
        <v>9.3283582089551675E-3</v>
      </c>
      <c r="BZ365" s="294">
        <f t="shared" si="1003"/>
        <v>3.7986704653372172E-3</v>
      </c>
      <c r="CA365" s="293"/>
      <c r="CB365" s="294">
        <f t="shared" ref="CB365:CD366" si="1004">CB353/BX353-1</f>
        <v>-6.589147286821706E-2</v>
      </c>
      <c r="CC365" s="294">
        <f t="shared" si="1004"/>
        <v>-3.6968576709796697E-2</v>
      </c>
      <c r="CD365" s="294">
        <f t="shared" si="1004"/>
        <v>-5.1087984862819291E-2</v>
      </c>
      <c r="CE365" s="293"/>
      <c r="CF365" s="294">
        <f t="shared" ref="CF365:CH366" si="1005">CF353/CB353-1</f>
        <v>0.41701244813278016</v>
      </c>
      <c r="CG365" s="294">
        <f t="shared" si="1005"/>
        <v>0.47792706333973123</v>
      </c>
      <c r="CH365" s="294">
        <f t="shared" si="1005"/>
        <v>0.44865403788634106</v>
      </c>
      <c r="CI365" s="293"/>
      <c r="CJ365" s="294">
        <f t="shared" ref="CJ365:CL366" si="1006">CJ353/CF353-1</f>
        <v>0.10541727672035139</v>
      </c>
      <c r="CK365" s="294">
        <f t="shared" si="1006"/>
        <v>3.766233766233773E-2</v>
      </c>
      <c r="CL365" s="294">
        <f t="shared" si="1006"/>
        <v>6.951135581555401E-2</v>
      </c>
      <c r="CM365" s="293"/>
      <c r="CN365" s="294">
        <f t="shared" ref="CN365:CP366" si="1007">CN353/CJ353-1</f>
        <v>-4.503311258278142E-2</v>
      </c>
      <c r="CO365" s="294">
        <f t="shared" si="1007"/>
        <v>-5.757196495619521E-2</v>
      </c>
      <c r="CP365" s="294">
        <f t="shared" si="1007"/>
        <v>-5.1480051480051525E-2</v>
      </c>
      <c r="CQ365" s="293"/>
      <c r="CR365" s="294">
        <f t="shared" ref="CR365:CT366" si="1008">CR353/CN353-1</f>
        <v>0.77808599167822479</v>
      </c>
      <c r="CS365" s="294">
        <f t="shared" si="1008"/>
        <v>0.79150066401062413</v>
      </c>
      <c r="CT365" s="294">
        <f t="shared" si="1008"/>
        <v>0.7849389416553596</v>
      </c>
      <c r="CU365" s="293"/>
      <c r="CV365" s="294">
        <f t="shared" ref="CV365:CX366" si="1009">CV353/CR353-1</f>
        <v>-6.6302652106084214E-2</v>
      </c>
      <c r="CW365" s="294">
        <f t="shared" si="1009"/>
        <v>3.6323202372127605E-2</v>
      </c>
      <c r="CX365" s="294">
        <f t="shared" si="1009"/>
        <v>-1.3683010262257711E-2</v>
      </c>
      <c r="CY365" s="293"/>
      <c r="CZ365" s="294">
        <f t="shared" ref="CZ365:DB366" si="1010">CZ353/CV353-1</f>
        <v>8.6048454469507041E-2</v>
      </c>
      <c r="DA365" s="294">
        <f t="shared" si="1010"/>
        <v>-9.9427753934191676E-2</v>
      </c>
      <c r="DB365" s="294">
        <f t="shared" si="1010"/>
        <v>-1.387283236994219E-2</v>
      </c>
      <c r="DC365" s="293"/>
      <c r="DD365" s="294">
        <f t="shared" ref="DD365:DH366" si="1011">DD353/CZ353-1</f>
        <v>-6.3846153846153886E-2</v>
      </c>
      <c r="DE365" s="294">
        <f t="shared" si="1011"/>
        <v>3.0976965845909366E-2</v>
      </c>
      <c r="DF365" s="294">
        <f t="shared" si="1011"/>
        <v>-1.7194216490816761E-2</v>
      </c>
      <c r="DG365" s="293"/>
      <c r="DH365" s="294">
        <f t="shared" si="1011"/>
        <v>-1.6433853738701765E-2</v>
      </c>
      <c r="DI365" s="294">
        <f t="shared" ref="DI365:DJ366" si="1012">DI353/DE353-1</f>
        <v>-6.5657195179762651E-2</v>
      </c>
      <c r="DJ365" s="294">
        <f t="shared" si="1012"/>
        <v>-4.183818661762706E-2</v>
      </c>
      <c r="DK365" s="293"/>
      <c r="DL365" s="294">
        <f t="shared" ref="DL365:DN366" si="1013">DL353/DH353-1</f>
        <v>-0.10017975277262425</v>
      </c>
      <c r="DM365" s="294">
        <f t="shared" si="1013"/>
        <v>-2.7901133336237782E-3</v>
      </c>
      <c r="DN365" s="294">
        <f t="shared" si="1013"/>
        <v>-5.1166125019251441E-2</v>
      </c>
      <c r="DO365" s="293"/>
      <c r="DP365" s="294">
        <f t="shared" ref="DP365:DR366" si="1014">DP353/DL353-1</f>
        <v>4.2936047950973055E-2</v>
      </c>
      <c r="DQ365" s="294">
        <f t="shared" si="1014"/>
        <v>4.7013381465671245E-2</v>
      </c>
      <c r="DR365" s="294">
        <f t="shared" si="1014"/>
        <v>4.5092683309912562E-2</v>
      </c>
      <c r="DS365" s="293"/>
      <c r="DT365" s="293"/>
      <c r="DU365" s="293"/>
      <c r="DV365" s="293"/>
      <c r="DW365" s="1233"/>
      <c r="DX365" s="294"/>
      <c r="DY365" s="294"/>
      <c r="DZ365" s="293"/>
      <c r="EA365" s="294"/>
      <c r="EB365" s="294"/>
      <c r="EC365" s="294"/>
      <c r="ED365" s="293"/>
      <c r="EE365" s="294"/>
      <c r="EF365" s="294"/>
      <c r="EG365" s="294"/>
      <c r="EH365" s="293"/>
      <c r="EI365" s="294"/>
      <c r="EJ365" s="294"/>
      <c r="EK365" s="294"/>
      <c r="EL365" s="293"/>
      <c r="EM365" s="293"/>
      <c r="EN365" s="293"/>
      <c r="EO365" s="293"/>
      <c r="EP365" s="293"/>
      <c r="EQ365" s="293"/>
      <c r="ER365" s="293"/>
      <c r="ES365" s="293"/>
      <c r="ET365" s="293"/>
      <c r="EU365" s="293"/>
      <c r="JW365"/>
    </row>
    <row r="366" spans="1:283" s="332" customFormat="1">
      <c r="A366" s="1079" t="str">
        <f>A354</f>
        <v>Profit before tax</v>
      </c>
      <c r="AN366" s="293"/>
      <c r="AO366" s="293"/>
      <c r="AP366" s="293"/>
      <c r="AQ366" s="293"/>
      <c r="AR366" s="293"/>
      <c r="AS366" s="293"/>
      <c r="AT366" s="293"/>
      <c r="AU366" s="293"/>
      <c r="AV366" s="294"/>
      <c r="AW366" s="294"/>
      <c r="AX366" s="294"/>
      <c r="AY366" s="293"/>
      <c r="AZ366" s="294">
        <f t="shared" si="997"/>
        <v>-0.53767820773930752</v>
      </c>
      <c r="BA366" s="294">
        <f t="shared" si="997"/>
        <v>-0.20253164556962022</v>
      </c>
      <c r="BB366" s="294">
        <f t="shared" si="997"/>
        <v>-0.40644361833952913</v>
      </c>
      <c r="BC366" s="293"/>
      <c r="BD366" s="294">
        <f t="shared" si="998"/>
        <v>0.75917621145374481</v>
      </c>
      <c r="BE366" s="294">
        <f t="shared" si="998"/>
        <v>-3.5714285714285698E-2</v>
      </c>
      <c r="BF366" s="294">
        <f t="shared" si="998"/>
        <v>0.34098747390396666</v>
      </c>
      <c r="BG366" s="331"/>
      <c r="BH366" s="294">
        <f t="shared" si="999"/>
        <v>-0.1110176218844926</v>
      </c>
      <c r="BI366" s="294">
        <f t="shared" si="999"/>
        <v>0.64197530864197527</v>
      </c>
      <c r="BJ366" s="294">
        <f t="shared" si="999"/>
        <v>0.17384596463205204</v>
      </c>
      <c r="BK366" s="293"/>
      <c r="BL366" s="294">
        <f t="shared" si="1000"/>
        <v>0.40845070422535201</v>
      </c>
      <c r="BM366" s="294">
        <f t="shared" si="1000"/>
        <v>0.38095238095238093</v>
      </c>
      <c r="BN366" s="294">
        <f t="shared" si="1000"/>
        <v>0.39389920424403191</v>
      </c>
      <c r="BO366" s="293"/>
      <c r="BP366" s="294">
        <f t="shared" si="1001"/>
        <v>0.57000000000000006</v>
      </c>
      <c r="BQ366" s="294">
        <f t="shared" si="1001"/>
        <v>0.2068965517241379</v>
      </c>
      <c r="BR366" s="294">
        <f t="shared" si="1001"/>
        <v>0.37963843958135102</v>
      </c>
      <c r="BS366" s="293"/>
      <c r="BT366" s="294">
        <f t="shared" si="1002"/>
        <v>0.46751592356687888</v>
      </c>
      <c r="BU366" s="294">
        <f t="shared" si="1002"/>
        <v>-0.24060150375939848</v>
      </c>
      <c r="BV366" s="294">
        <f t="shared" si="1002"/>
        <v>0.14275862068965517</v>
      </c>
      <c r="BW366" s="293"/>
      <c r="BX366" s="294">
        <f t="shared" si="1003"/>
        <v>-0.25607638888888884</v>
      </c>
      <c r="BY366" s="294">
        <f t="shared" si="1003"/>
        <v>0.35049504950495058</v>
      </c>
      <c r="BZ366" s="294">
        <f t="shared" si="1003"/>
        <v>-7.1213035606517816E-2</v>
      </c>
      <c r="CA366" s="293"/>
      <c r="CB366" s="294">
        <f t="shared" si="1004"/>
        <v>0.33138856476079348</v>
      </c>
      <c r="CC366" s="294">
        <f t="shared" si="1004"/>
        <v>-0.38709677419354838</v>
      </c>
      <c r="CD366" s="294">
        <f t="shared" si="1004"/>
        <v>1.2995451591942819E-2</v>
      </c>
      <c r="CE366" s="293"/>
      <c r="CF366" s="294">
        <f t="shared" si="1005"/>
        <v>-0.25416301489921123</v>
      </c>
      <c r="CG366" s="294">
        <f t="shared" si="1005"/>
        <v>1.4473684210526314</v>
      </c>
      <c r="CH366" s="294">
        <f t="shared" si="1005"/>
        <v>0.20205259781911478</v>
      </c>
      <c r="CI366" s="293"/>
      <c r="CJ366" s="294">
        <f t="shared" si="1006"/>
        <v>0.32079905992949476</v>
      </c>
      <c r="CK366" s="294">
        <f t="shared" si="1006"/>
        <v>3.0303030303030276E-2</v>
      </c>
      <c r="CL366" s="294">
        <f t="shared" si="1006"/>
        <v>0.16221985058697963</v>
      </c>
      <c r="CM366" s="293"/>
      <c r="CN366" s="294">
        <f t="shared" si="1007"/>
        <v>-4.9822064056939452E-2</v>
      </c>
      <c r="CO366" s="294">
        <f t="shared" si="1007"/>
        <v>-3.9848197343453462E-2</v>
      </c>
      <c r="CP366" s="294">
        <f t="shared" si="1007"/>
        <v>-4.4995408631772316E-2</v>
      </c>
      <c r="CQ366" s="293"/>
      <c r="CR366" s="294">
        <f t="shared" si="1008"/>
        <v>2.2471910112359605E-2</v>
      </c>
      <c r="CS366" s="294">
        <f t="shared" si="1008"/>
        <v>0.9110671936758894</v>
      </c>
      <c r="CT366" s="294">
        <f t="shared" si="1008"/>
        <v>0.45480769230769225</v>
      </c>
      <c r="CU366" s="293"/>
      <c r="CV366" s="294">
        <f t="shared" si="1009"/>
        <v>0.28937728937728946</v>
      </c>
      <c r="CW366" s="294">
        <f t="shared" si="1009"/>
        <v>-0.50982419855222338</v>
      </c>
      <c r="CX366" s="294">
        <f t="shared" si="1009"/>
        <v>-0.22141440846001326</v>
      </c>
      <c r="CY366" s="293"/>
      <c r="CZ366" s="294">
        <f t="shared" si="1010"/>
        <v>-0.72088068181818188</v>
      </c>
      <c r="DA366" s="294">
        <f t="shared" si="1010"/>
        <v>-0.15400843881856541</v>
      </c>
      <c r="DB366" s="294">
        <f t="shared" si="1010"/>
        <v>-0.49278438030560268</v>
      </c>
      <c r="DC366" s="293"/>
      <c r="DD366" s="294">
        <f t="shared" si="1011"/>
        <v>1.0992366412213741</v>
      </c>
      <c r="DE366" s="294">
        <f t="shared" si="1011"/>
        <v>0.55860349127182052</v>
      </c>
      <c r="DF366" s="294">
        <f t="shared" si="1011"/>
        <v>0.73640167364016729</v>
      </c>
      <c r="DG366" s="293"/>
      <c r="DH366" s="294">
        <f t="shared" si="1011"/>
        <v>0.44242424242424239</v>
      </c>
      <c r="DI366" s="294">
        <f t="shared" si="1012"/>
        <v>0.13386248505662368</v>
      </c>
      <c r="DJ366" s="294">
        <f t="shared" si="1012"/>
        <v>0.25654366569676124</v>
      </c>
      <c r="DK366" s="293"/>
      <c r="DL366" s="294">
        <f t="shared" si="1013"/>
        <v>-0.17612609835065607</v>
      </c>
      <c r="DM366" s="294">
        <f t="shared" si="1013"/>
        <v>-0.37685175060924569</v>
      </c>
      <c r="DN366" s="294">
        <f t="shared" si="1013"/>
        <v>-0.28523937332206806</v>
      </c>
      <c r="DO366" s="293"/>
      <c r="DP366" s="294">
        <f t="shared" si="1014"/>
        <v>2.474980688506756E-2</v>
      </c>
      <c r="DQ366" s="294">
        <f t="shared" si="1014"/>
        <v>3.8645546152102472E-2</v>
      </c>
      <c r="DR366" s="294">
        <f t="shared" si="1014"/>
        <v>3.1335282230953831E-2</v>
      </c>
      <c r="DS366" s="293"/>
      <c r="DT366" s="293"/>
      <c r="DU366" s="293"/>
      <c r="DV366" s="293"/>
      <c r="DW366" s="1233"/>
      <c r="DX366" s="294"/>
      <c r="DY366" s="294"/>
      <c r="DZ366" s="293"/>
      <c r="EA366" s="294"/>
      <c r="EB366" s="294"/>
      <c r="EC366" s="294"/>
      <c r="ED366" s="293"/>
      <c r="EE366" s="294"/>
      <c r="EF366" s="294"/>
      <c r="EG366" s="294"/>
      <c r="EH366" s="293"/>
      <c r="EI366" s="294"/>
      <c r="EJ366" s="294"/>
      <c r="EK366" s="294"/>
      <c r="EL366" s="293"/>
      <c r="EM366" s="293"/>
      <c r="EN366" s="293"/>
      <c r="EO366" s="293"/>
      <c r="EP366" s="293"/>
      <c r="EQ366" s="293"/>
      <c r="ER366" s="293"/>
      <c r="ES366" s="293"/>
      <c r="ET366" s="293"/>
      <c r="EU366" s="293"/>
      <c r="JW366"/>
    </row>
    <row r="367" spans="1:283" s="327" customFormat="1">
      <c r="A367" s="1092" t="str">
        <f>A356</f>
        <v>Net profit contribution</v>
      </c>
      <c r="AN367" s="295"/>
      <c r="AO367" s="295"/>
      <c r="AP367" s="295"/>
      <c r="AQ367" s="295"/>
      <c r="AR367" s="295"/>
      <c r="AS367" s="295"/>
      <c r="AT367" s="295"/>
      <c r="AU367" s="295"/>
      <c r="AV367" s="301"/>
      <c r="AW367" s="301"/>
      <c r="AX367" s="301"/>
      <c r="AY367" s="295"/>
      <c r="AZ367" s="301">
        <f t="shared" ref="AZ367:BB369" si="1015">+AZ356/AV356-1</f>
        <v>-0.53658536585365857</v>
      </c>
      <c r="BA367" s="301">
        <f t="shared" si="1015"/>
        <v>-0.18670886075949367</v>
      </c>
      <c r="BB367" s="301">
        <f t="shared" si="1015"/>
        <v>-0.39975247524752477</v>
      </c>
      <c r="BC367" s="295"/>
      <c r="BD367" s="301">
        <f t="shared" ref="BD367:BF369" si="1016">+BD356/AZ356-1</f>
        <v>0.76023245614035129</v>
      </c>
      <c r="BE367" s="301">
        <f t="shared" si="1016"/>
        <v>-5.058365758754868E-2</v>
      </c>
      <c r="BF367" s="301">
        <f t="shared" si="1016"/>
        <v>0.3305835051546393</v>
      </c>
      <c r="BG367" s="791"/>
      <c r="BH367" s="301">
        <f t="shared" ref="BH367:BJ369" si="1017">+BH356/BD356-1</f>
        <v>-0.11295607388378248</v>
      </c>
      <c r="BI367" s="301">
        <f t="shared" si="1017"/>
        <v>0.63524590163934436</v>
      </c>
      <c r="BJ367" s="301">
        <f t="shared" si="1017"/>
        <v>0.16993862083606426</v>
      </c>
      <c r="BK367" s="295"/>
      <c r="BL367" s="301">
        <f t="shared" ref="BL367:BN369" si="1018">+BL356/BH356-1</f>
        <v>0.40449438202247201</v>
      </c>
      <c r="BM367" s="301">
        <f t="shared" si="1018"/>
        <v>0.38095238095238093</v>
      </c>
      <c r="BN367" s="301">
        <f t="shared" si="1018"/>
        <v>0.39205298013245038</v>
      </c>
      <c r="BO367" s="295"/>
      <c r="BP367" s="301">
        <f t="shared" ref="BP367:BR369" si="1019">+BP356/BL356-1</f>
        <v>0.57000000000000006</v>
      </c>
      <c r="BQ367" s="301">
        <f t="shared" si="1019"/>
        <v>0.2068965517241379</v>
      </c>
      <c r="BR367" s="301">
        <f t="shared" si="1019"/>
        <v>0.37963843958135102</v>
      </c>
      <c r="BS367" s="295"/>
      <c r="BT367" s="301">
        <f t="shared" ref="BT367:BV369" si="1020">+BT356/BP356-1</f>
        <v>0.45095541401273875</v>
      </c>
      <c r="BU367" s="301">
        <f t="shared" si="1020"/>
        <v>-0.24060150375939848</v>
      </c>
      <c r="BV367" s="301">
        <f t="shared" si="1020"/>
        <v>0.13379310344827577</v>
      </c>
      <c r="BW367" s="295"/>
      <c r="BX367" s="301">
        <f t="shared" ref="BX367:BZ369" si="1021">+BX356/BT356-1</f>
        <v>-0.24758560140474095</v>
      </c>
      <c r="BY367" s="301">
        <f t="shared" si="1021"/>
        <v>0.3485148514851486</v>
      </c>
      <c r="BZ367" s="301">
        <f t="shared" si="1021"/>
        <v>-6.4476885644768833E-2</v>
      </c>
      <c r="CA367" s="295"/>
      <c r="CB367" s="301">
        <f t="shared" ref="CB367:CD369" si="1022">+CB356/BX356-1</f>
        <v>0.33372228704784135</v>
      </c>
      <c r="CC367" s="301">
        <f t="shared" si="1022"/>
        <v>-0.39060205580029372</v>
      </c>
      <c r="CD367" s="301">
        <f t="shared" si="1022"/>
        <v>1.3003901170351106E-2</v>
      </c>
      <c r="CE367" s="295"/>
      <c r="CF367" s="301">
        <f t="shared" ref="CF367:CH369" si="1023">+CF356/CB356-1</f>
        <v>-0.25634295713035871</v>
      </c>
      <c r="CG367" s="301">
        <f t="shared" si="1023"/>
        <v>1.4626506024096386</v>
      </c>
      <c r="CH367" s="301">
        <f t="shared" si="1023"/>
        <v>0.20154043645699615</v>
      </c>
      <c r="CI367" s="295"/>
      <c r="CJ367" s="301">
        <f t="shared" ref="CJ367:CL369" si="1024">+CJ356/CF356-1</f>
        <v>0.32000000000000006</v>
      </c>
      <c r="CK367" s="301">
        <f t="shared" si="1024"/>
        <v>3.2289628180039109E-2</v>
      </c>
      <c r="CL367" s="301">
        <f t="shared" si="1024"/>
        <v>0.16292735042735051</v>
      </c>
      <c r="CM367" s="295"/>
      <c r="CN367" s="301">
        <f t="shared" ref="CN367:CP369" si="1025">+CN356/CJ356-1</f>
        <v>-5.3475935828876997E-2</v>
      </c>
      <c r="CO367" s="301">
        <f t="shared" si="1025"/>
        <v>-4.0758293838862536E-2</v>
      </c>
      <c r="CP367" s="301">
        <f t="shared" si="1025"/>
        <v>-4.7312815801561769E-2</v>
      </c>
      <c r="CQ367" s="295"/>
      <c r="CR367" s="301">
        <f t="shared" ref="CR367:CT369" si="1026">+CR356/CN356-1</f>
        <v>3.2956685499058391E-2</v>
      </c>
      <c r="CS367" s="301">
        <f t="shared" si="1026"/>
        <v>0.90909090909090917</v>
      </c>
      <c r="CT367" s="301">
        <f t="shared" si="1026"/>
        <v>0.46046287367405969</v>
      </c>
      <c r="CU367" s="295"/>
      <c r="CV367" s="301">
        <f t="shared" ref="CV367:CX369" si="1027">+CV356/CR356-1</f>
        <v>0.27803099361896089</v>
      </c>
      <c r="CW367" s="301">
        <f t="shared" si="1027"/>
        <v>-0.51345755693581774</v>
      </c>
      <c r="CX367" s="301">
        <f t="shared" si="1027"/>
        <v>-0.22680752723671183</v>
      </c>
      <c r="CY367" s="295"/>
      <c r="CZ367" s="301">
        <f t="shared" ref="CZ367:DB369" si="1028">+CZ356/CV356-1</f>
        <v>-0.70970042796005706</v>
      </c>
      <c r="DA367" s="301">
        <f t="shared" si="1028"/>
        <v>-0.14787234042553188</v>
      </c>
      <c r="DB367" s="301">
        <f t="shared" si="1028"/>
        <v>-0.48420153714773695</v>
      </c>
      <c r="DC367" s="295"/>
      <c r="DD367" s="301">
        <f t="shared" ref="DD367:DH369" si="1029">+DD356/CZ356-1</f>
        <v>1.0221130221130221</v>
      </c>
      <c r="DE367" s="301">
        <f t="shared" si="1029"/>
        <v>0.53058676654182269</v>
      </c>
      <c r="DF367" s="301">
        <f t="shared" si="1029"/>
        <v>0.69619205298013243</v>
      </c>
      <c r="DG367" s="295"/>
      <c r="DH367" s="301">
        <f t="shared" si="1029"/>
        <v>0.42770352369380316</v>
      </c>
      <c r="DI367" s="301">
        <f t="shared" ref="DI367:DJ369" si="1030">+DI356/DE356-1</f>
        <v>0.15605881429101109</v>
      </c>
      <c r="DJ367" s="301">
        <f t="shared" si="1030"/>
        <v>0.26516745062019509</v>
      </c>
      <c r="DK367" s="295"/>
      <c r="DL367" s="301">
        <f t="shared" ref="DL367:DN369" si="1031">+DL356/DH356-1</f>
        <v>-0.16560855918066453</v>
      </c>
      <c r="DM367" s="301">
        <f t="shared" si="1031"/>
        <v>-0.37685175060924569</v>
      </c>
      <c r="DN367" s="301">
        <f t="shared" si="1031"/>
        <v>-0.28110355063279224</v>
      </c>
      <c r="DO367" s="295"/>
      <c r="DP367" s="301">
        <f t="shared" ref="DP367:DR369" si="1032">+DP356/DL356-1</f>
        <v>2.474980688506756E-2</v>
      </c>
      <c r="DQ367" s="301">
        <f t="shared" si="1032"/>
        <v>3.8645546152102472E-2</v>
      </c>
      <c r="DR367" s="301">
        <f t="shared" si="1032"/>
        <v>3.1335282230953831E-2</v>
      </c>
      <c r="DS367" s="295"/>
      <c r="DT367" s="295"/>
      <c r="DU367" s="295"/>
      <c r="DV367" s="295"/>
      <c r="DW367" s="1234"/>
      <c r="DX367" s="301"/>
      <c r="DY367" s="301"/>
      <c r="DZ367" s="295"/>
      <c r="EA367" s="301"/>
      <c r="EB367" s="301"/>
      <c r="EC367" s="301"/>
      <c r="ED367" s="295"/>
      <c r="EE367" s="301"/>
      <c r="EF367" s="301"/>
      <c r="EG367" s="301"/>
      <c r="EH367" s="295"/>
      <c r="EI367" s="301"/>
      <c r="EJ367" s="301"/>
      <c r="EK367" s="301"/>
      <c r="EL367" s="295"/>
      <c r="EM367" s="295"/>
      <c r="EN367" s="295"/>
      <c r="EO367" s="295"/>
      <c r="EP367" s="295"/>
      <c r="EQ367" s="295"/>
      <c r="ER367" s="295"/>
      <c r="ES367" s="295"/>
      <c r="ET367" s="295"/>
      <c r="EU367" s="295"/>
      <c r="JW367"/>
    </row>
    <row r="368" spans="1:283" s="332" customFormat="1">
      <c r="A368" s="1079" t="str">
        <f>A357</f>
        <v>Profit ex Performance Fees</v>
      </c>
      <c r="AN368" s="293"/>
      <c r="AO368" s="293"/>
      <c r="AP368" s="293"/>
      <c r="AQ368" s="293"/>
      <c r="AR368" s="293"/>
      <c r="AS368" s="293"/>
      <c r="AT368" s="293"/>
      <c r="AU368" s="293"/>
      <c r="AV368" s="294"/>
      <c r="AW368" s="294"/>
      <c r="AX368" s="294"/>
      <c r="AY368" s="293"/>
      <c r="AZ368" s="294">
        <f t="shared" si="1015"/>
        <v>-0.54947368421052634</v>
      </c>
      <c r="BA368" s="294">
        <f t="shared" si="1015"/>
        <v>-0.22186495176848875</v>
      </c>
      <c r="BB368" s="294">
        <f t="shared" si="1015"/>
        <v>-0.41984732824427484</v>
      </c>
      <c r="BC368" s="293"/>
      <c r="BD368" s="294">
        <f t="shared" si="1016"/>
        <v>0.45950000000000046</v>
      </c>
      <c r="BE368" s="294">
        <f t="shared" si="1016"/>
        <v>-0.14049586776859502</v>
      </c>
      <c r="BF368" s="294">
        <f t="shared" si="1016"/>
        <v>0.14108114035087738</v>
      </c>
      <c r="BG368" s="331"/>
      <c r="BH368" s="294">
        <f t="shared" si="1017"/>
        <v>-0.10352092158049286</v>
      </c>
      <c r="BI368" s="294">
        <f t="shared" si="1017"/>
        <v>0.49519230769230771</v>
      </c>
      <c r="BJ368" s="294">
        <f t="shared" si="1017"/>
        <v>0.13581110558046472</v>
      </c>
      <c r="BK368" s="293"/>
      <c r="BL368" s="294">
        <f t="shared" si="1018"/>
        <v>0.51785714285714279</v>
      </c>
      <c r="BM368" s="294">
        <f t="shared" si="1018"/>
        <v>0.31511254019292601</v>
      </c>
      <c r="BN368" s="294">
        <f t="shared" si="1018"/>
        <v>0.41116751269035534</v>
      </c>
      <c r="BO368" s="293"/>
      <c r="BP368" s="294">
        <f t="shared" si="1019"/>
        <v>-3.0588235294117694E-2</v>
      </c>
      <c r="BQ368" s="294">
        <f t="shared" si="1019"/>
        <v>-9.2909535452322722E-2</v>
      </c>
      <c r="BR368" s="294">
        <f t="shared" si="1019"/>
        <v>-6.11510791366906E-2</v>
      </c>
      <c r="BS368" s="293"/>
      <c r="BT368" s="294">
        <f t="shared" si="1020"/>
        <v>0.28640776699029136</v>
      </c>
      <c r="BU368" s="294">
        <f t="shared" si="1020"/>
        <v>0.13477088948787053</v>
      </c>
      <c r="BV368" s="294">
        <f t="shared" si="1020"/>
        <v>0.21455938697318011</v>
      </c>
      <c r="BW368" s="293"/>
      <c r="BX368" s="294">
        <f t="shared" si="1021"/>
        <v>0.29622641509433967</v>
      </c>
      <c r="BY368" s="294">
        <f t="shared" si="1021"/>
        <v>0.39429928741092635</v>
      </c>
      <c r="BZ368" s="294">
        <f t="shared" si="1021"/>
        <v>0.33964248159831767</v>
      </c>
      <c r="CA368" s="293"/>
      <c r="CB368" s="294">
        <f t="shared" si="1022"/>
        <v>-0.11790393013100442</v>
      </c>
      <c r="CC368" s="294">
        <f t="shared" si="1022"/>
        <v>-0.39182282793867118</v>
      </c>
      <c r="CD368" s="294">
        <f t="shared" si="1022"/>
        <v>-0.24411302982731553</v>
      </c>
      <c r="CE368" s="293"/>
      <c r="CF368" s="294">
        <f t="shared" si="1023"/>
        <v>-6.2706270627062688E-2</v>
      </c>
      <c r="CG368" s="294">
        <f t="shared" si="1023"/>
        <v>0.50980392156862742</v>
      </c>
      <c r="CH368" s="294">
        <f t="shared" si="1023"/>
        <v>0.14953271028037385</v>
      </c>
      <c r="CI368" s="293"/>
      <c r="CJ368" s="294">
        <f t="shared" si="1024"/>
        <v>1.4084507042253502E-2</v>
      </c>
      <c r="CK368" s="294">
        <f t="shared" si="1024"/>
        <v>0.44712430426716132</v>
      </c>
      <c r="CL368" s="294">
        <f t="shared" si="1024"/>
        <v>0.22493224932249323</v>
      </c>
      <c r="CM368" s="293"/>
      <c r="CN368" s="294">
        <f t="shared" si="1025"/>
        <v>0.12673611111111116</v>
      </c>
      <c r="CO368" s="294">
        <f t="shared" si="1025"/>
        <v>-1.025641025641022E-2</v>
      </c>
      <c r="CP368" s="294">
        <f t="shared" si="1025"/>
        <v>4.7935103244837851E-2</v>
      </c>
      <c r="CQ368" s="293"/>
      <c r="CR368" s="294">
        <f t="shared" si="1026"/>
        <v>0.41756548536209559</v>
      </c>
      <c r="CS368" s="294">
        <f t="shared" si="1026"/>
        <v>1.221502590673575</v>
      </c>
      <c r="CT368" s="294">
        <f t="shared" si="1026"/>
        <v>0.85432793807178053</v>
      </c>
      <c r="CU368" s="293"/>
      <c r="CV368" s="294">
        <f t="shared" si="1027"/>
        <v>0.26630434782608692</v>
      </c>
      <c r="CW368" s="294">
        <f t="shared" si="1027"/>
        <v>-0.71720116618075802</v>
      </c>
      <c r="CX368" s="294">
        <f t="shared" si="1027"/>
        <v>-0.37381404174573052</v>
      </c>
      <c r="CY368" s="293"/>
      <c r="CZ368" s="294">
        <f t="shared" si="1028"/>
        <v>-0.85321888412017166</v>
      </c>
      <c r="DA368" s="294">
        <f t="shared" si="1028"/>
        <v>-0.16288659793814431</v>
      </c>
      <c r="DB368" s="294">
        <f t="shared" si="1028"/>
        <v>-0.65030303030303038</v>
      </c>
      <c r="DC368" s="293"/>
      <c r="DD368" s="294">
        <f t="shared" si="1029"/>
        <v>1.4561403508771931</v>
      </c>
      <c r="DE368" s="294">
        <f t="shared" si="1029"/>
        <v>0.9507389162561577</v>
      </c>
      <c r="DF368" s="294">
        <f t="shared" si="1029"/>
        <v>1.1005199306759099</v>
      </c>
      <c r="DG368" s="293"/>
      <c r="DH368" s="294">
        <f t="shared" si="1029"/>
        <v>-2.3809523809523725E-3</v>
      </c>
      <c r="DI368" s="294">
        <f t="shared" si="1030"/>
        <v>-7.9034253610548277E-2</v>
      </c>
      <c r="DJ368" s="294">
        <f t="shared" si="1030"/>
        <v>-5.2471228431975492E-2</v>
      </c>
      <c r="DK368" s="293"/>
      <c r="DL368" s="294">
        <f t="shared" si="1031"/>
        <v>2.3553975284513973E-2</v>
      </c>
      <c r="DM368" s="294">
        <f t="shared" si="1031"/>
        <v>-0.56328032904022673</v>
      </c>
      <c r="DN368" s="294">
        <f t="shared" si="1031"/>
        <v>-0.3491715424170152</v>
      </c>
      <c r="DO368" s="293"/>
      <c r="DP368" s="294">
        <f t="shared" si="1032"/>
        <v>-2.7346052171172808E-2</v>
      </c>
      <c r="DQ368" s="294">
        <f t="shared" si="1032"/>
        <v>-2.913427862594653E-2</v>
      </c>
      <c r="DR368" s="294">
        <f t="shared" si="1032"/>
        <v>-2.8108187982249122E-2</v>
      </c>
      <c r="DS368" s="293"/>
      <c r="DT368" s="293"/>
      <c r="DU368" s="293"/>
      <c r="DV368" s="293"/>
      <c r="DW368" s="1233"/>
      <c r="DX368" s="294"/>
      <c r="DY368" s="294"/>
      <c r="DZ368" s="293"/>
      <c r="EA368" s="294"/>
      <c r="EB368" s="294"/>
      <c r="EC368" s="294"/>
      <c r="ED368" s="293"/>
      <c r="EE368" s="294"/>
      <c r="EF368" s="294"/>
      <c r="EG368" s="294"/>
      <c r="EH368" s="293"/>
      <c r="EI368" s="294"/>
      <c r="EJ368" s="294"/>
      <c r="EK368" s="294"/>
      <c r="EL368" s="293"/>
      <c r="EM368" s="293"/>
      <c r="EN368" s="293"/>
      <c r="EO368" s="293"/>
      <c r="EP368" s="293"/>
      <c r="EQ368" s="293"/>
      <c r="ER368" s="293"/>
      <c r="ES368" s="293"/>
      <c r="ET368" s="293"/>
      <c r="EU368" s="293"/>
      <c r="JW368"/>
    </row>
    <row r="369" spans="1:283" s="332" customFormat="1">
      <c r="A369" s="1079" t="str">
        <f>A358</f>
        <v>Profit ex Performance Fees and Other Income</v>
      </c>
      <c r="AN369" s="293"/>
      <c r="AO369" s="293"/>
      <c r="AP369" s="293"/>
      <c r="AQ369" s="293"/>
      <c r="AR369" s="293"/>
      <c r="AS369" s="293"/>
      <c r="AT369" s="293"/>
      <c r="AU369" s="293"/>
      <c r="AV369" s="294"/>
      <c r="AW369" s="294"/>
      <c r="AX369" s="294"/>
      <c r="AY369" s="293"/>
      <c r="AZ369" s="294">
        <f t="shared" si="1015"/>
        <v>-10.894736842105264</v>
      </c>
      <c r="BA369" s="294">
        <f t="shared" si="1015"/>
        <v>2.6769230769230767</v>
      </c>
      <c r="BB369" s="294">
        <f t="shared" si="1015"/>
        <v>8.2826086956521738</v>
      </c>
      <c r="BC369" s="293"/>
      <c r="BD369" s="294">
        <f t="shared" si="1016"/>
        <v>0.6028351063829791</v>
      </c>
      <c r="BE369" s="294">
        <f t="shared" si="1016"/>
        <v>-0.24267782426778239</v>
      </c>
      <c r="BF369" s="294">
        <f t="shared" si="1016"/>
        <v>0.1295854800936771</v>
      </c>
      <c r="BG369" s="331"/>
      <c r="BH369" s="294">
        <f t="shared" si="1017"/>
        <v>-6.0839669070430702E-2</v>
      </c>
      <c r="BI369" s="294">
        <f t="shared" si="1017"/>
        <v>0.59116022099447507</v>
      </c>
      <c r="BJ369" s="294">
        <f t="shared" si="1017"/>
        <v>0.18382942904590793</v>
      </c>
      <c r="BK369" s="293"/>
      <c r="BL369" s="294">
        <f t="shared" si="1018"/>
        <v>0.31095406360424027</v>
      </c>
      <c r="BM369" s="294">
        <f t="shared" si="1018"/>
        <v>0.21875</v>
      </c>
      <c r="BN369" s="294">
        <f t="shared" si="1018"/>
        <v>0.26444833625218922</v>
      </c>
      <c r="BO369" s="293"/>
      <c r="BP369" s="294">
        <f t="shared" si="1019"/>
        <v>-5.121293800539084E-2</v>
      </c>
      <c r="BQ369" s="294">
        <f t="shared" si="1019"/>
        <v>-0.10826210826210825</v>
      </c>
      <c r="BR369" s="294">
        <f t="shared" si="1019"/>
        <v>-7.8947368421052655E-2</v>
      </c>
      <c r="BS369" s="293"/>
      <c r="BT369" s="294">
        <f t="shared" si="1020"/>
        <v>-8.5227272727272929E-3</v>
      </c>
      <c r="BU369" s="294">
        <f t="shared" si="1020"/>
        <v>0.16613418530351431</v>
      </c>
      <c r="BV369" s="294">
        <f t="shared" si="1020"/>
        <v>7.3684210526315796E-2</v>
      </c>
      <c r="BW369" s="293"/>
      <c r="BX369" s="294">
        <f t="shared" si="1021"/>
        <v>0.180515759312321</v>
      </c>
      <c r="BY369" s="294">
        <f t="shared" si="1021"/>
        <v>4.1095890410958846E-2</v>
      </c>
      <c r="BZ369" s="294">
        <f t="shared" si="1021"/>
        <v>0.10924369747899165</v>
      </c>
      <c r="CA369" s="293"/>
      <c r="CB369" s="294">
        <f t="shared" si="1022"/>
        <v>-0.10922330097087374</v>
      </c>
      <c r="CC369" s="294">
        <f t="shared" si="1022"/>
        <v>0.17105263157894735</v>
      </c>
      <c r="CD369" s="294">
        <f t="shared" si="1022"/>
        <v>2.5252525252525304E-2</v>
      </c>
      <c r="CE369" s="293"/>
      <c r="CF369" s="294">
        <f t="shared" si="1023"/>
        <v>-0.4659400544959128</v>
      </c>
      <c r="CG369" s="294">
        <f t="shared" si="1023"/>
        <v>-0.62696629213483146</v>
      </c>
      <c r="CH369" s="294">
        <f t="shared" si="1023"/>
        <v>-0.55418719211822665</v>
      </c>
      <c r="CI369" s="293"/>
      <c r="CJ369" s="294">
        <f t="shared" si="1024"/>
        <v>-0.13265306122448983</v>
      </c>
      <c r="CK369" s="294">
        <f t="shared" si="1024"/>
        <v>2.4457831325301207</v>
      </c>
      <c r="CL369" s="294">
        <f t="shared" si="1024"/>
        <v>1.0497237569060776</v>
      </c>
      <c r="CM369" s="293"/>
      <c r="CN369" s="294">
        <f t="shared" si="1025"/>
        <v>0.11176470588235299</v>
      </c>
      <c r="CO369" s="294">
        <f t="shared" si="1025"/>
        <v>-0.3548951048951049</v>
      </c>
      <c r="CP369" s="294">
        <f t="shared" si="1025"/>
        <v>-0.24797843665768193</v>
      </c>
      <c r="CQ369" s="293"/>
      <c r="CR369" s="294">
        <f t="shared" si="1026"/>
        <v>2.7301587301587302</v>
      </c>
      <c r="CS369" s="294">
        <f t="shared" si="1026"/>
        <v>-0.16802168021680219</v>
      </c>
      <c r="CT369" s="294">
        <f t="shared" si="1026"/>
        <v>0.81362007168458783</v>
      </c>
      <c r="CU369" s="293"/>
      <c r="CV369" s="294">
        <f t="shared" si="1027"/>
        <v>-0.53333333333333333</v>
      </c>
      <c r="CW369" s="294">
        <f t="shared" si="1027"/>
        <v>-0.69381107491856675</v>
      </c>
      <c r="CX369" s="294">
        <f t="shared" si="1027"/>
        <v>-0.58201581027667992</v>
      </c>
      <c r="CY369" s="293"/>
      <c r="CZ369" s="294">
        <f t="shared" si="1028"/>
        <v>-0.70516717325227962</v>
      </c>
      <c r="DA369" s="294">
        <f t="shared" si="1028"/>
        <v>0.72340425531914887</v>
      </c>
      <c r="DB369" s="294">
        <f t="shared" si="1028"/>
        <v>-0.38770685579196218</v>
      </c>
      <c r="DC369" s="293"/>
      <c r="DD369" s="294">
        <f t="shared" si="1029"/>
        <v>1.6391752577319587</v>
      </c>
      <c r="DE369" s="294">
        <f t="shared" si="1029"/>
        <v>0.86419753086419759</v>
      </c>
      <c r="DF369" s="294">
        <f t="shared" si="1029"/>
        <v>1.1544401544401546</v>
      </c>
      <c r="DG369" s="293"/>
      <c r="DH369" s="294">
        <f t="shared" si="1029"/>
        <v>0.3203125</v>
      </c>
      <c r="DI369" s="294">
        <f t="shared" si="1030"/>
        <v>-0.57812956576011354</v>
      </c>
      <c r="DJ369" s="294">
        <f t="shared" si="1030"/>
        <v>-0.16594109114615463</v>
      </c>
      <c r="DK369" s="293"/>
      <c r="DL369" s="294">
        <f t="shared" si="1031"/>
        <v>-0.43988427324197843</v>
      </c>
      <c r="DM369" s="294">
        <f t="shared" si="1031"/>
        <v>-0.4215648533589228</v>
      </c>
      <c r="DN369" s="294">
        <f t="shared" si="1031"/>
        <v>-0.43486932072579754</v>
      </c>
      <c r="DO369" s="293"/>
      <c r="DP369" s="294">
        <f t="shared" si="1032"/>
        <v>8.3701151021995379E-3</v>
      </c>
      <c r="DQ369" s="294">
        <f t="shared" si="1032"/>
        <v>3.6866696023799772E-2</v>
      </c>
      <c r="DR369" s="294">
        <f t="shared" si="1032"/>
        <v>1.6354724085649863E-2</v>
      </c>
      <c r="DS369" s="293"/>
      <c r="DT369" s="293"/>
      <c r="DU369" s="293"/>
      <c r="DV369" s="293"/>
      <c r="DW369" s="1233"/>
      <c r="DX369" s="294"/>
      <c r="DY369" s="294"/>
      <c r="DZ369" s="293"/>
      <c r="EA369" s="294"/>
      <c r="EB369" s="294"/>
      <c r="EC369" s="294"/>
      <c r="ED369" s="293"/>
      <c r="EE369" s="294"/>
      <c r="EF369" s="294"/>
      <c r="EG369" s="294"/>
      <c r="EH369" s="293"/>
      <c r="EI369" s="294"/>
      <c r="EJ369" s="294"/>
      <c r="EK369" s="294"/>
      <c r="EL369" s="293"/>
      <c r="EM369" s="293"/>
      <c r="EN369" s="293"/>
      <c r="EO369" s="293"/>
      <c r="EP369" s="293"/>
      <c r="EQ369" s="293"/>
      <c r="ER369" s="293"/>
      <c r="ES369" s="293"/>
      <c r="ET369" s="293"/>
      <c r="EU369" s="293"/>
      <c r="JW369"/>
    </row>
    <row r="370" spans="1:283" s="332" customFormat="1">
      <c r="AN370" s="293"/>
      <c r="AO370" s="293"/>
      <c r="AP370" s="293"/>
      <c r="AQ370" s="293"/>
      <c r="AR370" s="293"/>
      <c r="AS370" s="293"/>
      <c r="AT370" s="293"/>
      <c r="AU370" s="293"/>
      <c r="AV370" s="293"/>
      <c r="AW370" s="293"/>
      <c r="AX370" s="293"/>
      <c r="AY370" s="293"/>
      <c r="AZ370" s="293"/>
      <c r="BA370" s="293"/>
      <c r="BB370" s="293"/>
      <c r="BC370" s="293"/>
      <c r="BD370" s="293"/>
      <c r="BE370" s="293"/>
      <c r="BF370" s="293"/>
      <c r="BG370" s="293"/>
      <c r="BH370" s="293"/>
      <c r="BI370" s="293"/>
      <c r="BJ370" s="293"/>
      <c r="BK370" s="293"/>
      <c r="BL370" s="293"/>
      <c r="BM370" s="293"/>
      <c r="BN370" s="293"/>
      <c r="BO370" s="293"/>
      <c r="BP370" s="293"/>
      <c r="BQ370" s="293"/>
      <c r="BR370" s="293"/>
      <c r="BS370" s="293"/>
      <c r="BT370" s="293"/>
      <c r="BU370" s="293"/>
      <c r="BV370" s="293"/>
      <c r="BW370" s="293"/>
      <c r="BX370" s="293"/>
      <c r="BY370" s="293"/>
      <c r="BZ370" s="293"/>
      <c r="CA370" s="293"/>
      <c r="CB370" s="293"/>
      <c r="CC370" s="293"/>
      <c r="CD370" s="293"/>
      <c r="CE370" s="293"/>
      <c r="CF370" s="293"/>
      <c r="CG370" s="293"/>
      <c r="CH370" s="293"/>
      <c r="CI370" s="293"/>
      <c r="CJ370" s="293"/>
      <c r="CK370" s="293"/>
      <c r="CL370" s="293"/>
      <c r="CM370" s="293"/>
      <c r="CN370" s="293"/>
      <c r="CO370" s="293"/>
      <c r="CP370" s="293"/>
      <c r="CQ370" s="293"/>
      <c r="CR370" s="293"/>
      <c r="CS370" s="293"/>
      <c r="CT370" s="293"/>
      <c r="CU370" s="293"/>
      <c r="CV370" s="293"/>
      <c r="CW370" s="293"/>
      <c r="CX370" s="293"/>
      <c r="CY370" s="293"/>
      <c r="CZ370" s="293"/>
      <c r="DA370" s="293"/>
      <c r="DB370" s="293"/>
      <c r="DC370" s="293"/>
      <c r="DD370" s="293"/>
      <c r="DE370" s="293"/>
      <c r="DF370" s="293"/>
      <c r="DG370" s="293"/>
      <c r="DH370" s="293"/>
      <c r="DI370" s="293"/>
      <c r="DJ370" s="293"/>
      <c r="DK370" s="293"/>
      <c r="DL370" s="293"/>
      <c r="DM370" s="293"/>
      <c r="DN370" s="293"/>
      <c r="DO370" s="293"/>
      <c r="DP370" s="293"/>
      <c r="DQ370" s="293"/>
      <c r="DR370" s="293"/>
      <c r="DS370" s="293"/>
      <c r="DT370" s="293"/>
      <c r="DU370" s="293"/>
      <c r="DV370" s="293"/>
      <c r="DW370" s="828"/>
      <c r="DX370" s="293"/>
      <c r="DY370" s="293"/>
      <c r="DZ370" s="293"/>
      <c r="EA370" s="293"/>
      <c r="EB370" s="293"/>
      <c r="EC370" s="293"/>
      <c r="ED370" s="293"/>
      <c r="EE370" s="293"/>
      <c r="EF370" s="293"/>
      <c r="EG370" s="293"/>
      <c r="EH370" s="293"/>
      <c r="EI370" s="293"/>
      <c r="EJ370" s="293"/>
      <c r="EK370" s="293"/>
      <c r="EL370" s="293"/>
      <c r="EM370" s="293"/>
      <c r="EN370" s="293"/>
      <c r="EO370" s="293"/>
      <c r="EP370" s="293"/>
      <c r="EQ370" s="293"/>
      <c r="ER370" s="293"/>
      <c r="ES370" s="293"/>
      <c r="ET370" s="293"/>
      <c r="EU370" s="293"/>
      <c r="JW370"/>
    </row>
    <row r="371" spans="1:283" s="2166" customFormat="1" ht="15.6">
      <c r="A371" s="2166" t="s">
        <v>1094</v>
      </c>
    </row>
    <row r="372" spans="1:283" s="332" customFormat="1">
      <c r="A372" s="332" t="s">
        <v>1440</v>
      </c>
      <c r="AN372" s="293"/>
      <c r="AO372" s="293"/>
      <c r="AP372" s="293"/>
      <c r="AQ372" s="293"/>
      <c r="AR372" s="293"/>
      <c r="AS372" s="293"/>
      <c r="AT372" s="293"/>
      <c r="AU372" s="293"/>
      <c r="AV372" s="360">
        <f t="shared" ref="AV372:AX372" si="1033">(AV401+AV405) / (AV400+AV404)</f>
        <v>0.18975903614457831</v>
      </c>
      <c r="AW372" s="360">
        <f t="shared" si="1033"/>
        <v>0.40310077519379844</v>
      </c>
      <c r="AX372" s="360">
        <f t="shared" si="1033"/>
        <v>0.30458970792767731</v>
      </c>
      <c r="AY372" s="293"/>
      <c r="AZ372" s="360">
        <f t="shared" ref="AZ372:BB372" si="1034">(AZ401+AZ405) / (AZ400+AZ404)</f>
        <v>0.56483516483516483</v>
      </c>
      <c r="BA372" s="360">
        <f t="shared" si="1034"/>
        <v>0.58744394618834084</v>
      </c>
      <c r="BB372" s="360">
        <f t="shared" si="1034"/>
        <v>0.5760266370699223</v>
      </c>
      <c r="BC372" s="293"/>
      <c r="BD372" s="360">
        <f t="shared" ref="BD372:BF372" si="1035">(BD401+BD405) / (BD400+BD404)</f>
        <v>0.50871700418244337</v>
      </c>
      <c r="BE372" s="360">
        <f t="shared" si="1035"/>
        <v>0.5696969696969697</v>
      </c>
      <c r="BF372" s="360">
        <f t="shared" si="1035"/>
        <v>0.53801343837380733</v>
      </c>
      <c r="BG372" s="293"/>
      <c r="BH372" s="360">
        <f t="shared" ref="BH372:BJ372" si="1036">(BH401+BH405) / (BH400+BH404)</f>
        <v>0.51258992805755399</v>
      </c>
      <c r="BI372" s="360">
        <f t="shared" si="1036"/>
        <v>0.55443886097152428</v>
      </c>
      <c r="BJ372" s="360">
        <f t="shared" si="1036"/>
        <v>0.53425845620121426</v>
      </c>
      <c r="BK372" s="293"/>
      <c r="BL372" s="360">
        <f t="shared" ref="BL372:BN372" si="1037">(BL401+BL405) / (BL400+BL404)</f>
        <v>0.53284671532846717</v>
      </c>
      <c r="BM372" s="360">
        <f t="shared" si="1037"/>
        <v>0.55289672544080604</v>
      </c>
      <c r="BN372" s="360">
        <f t="shared" si="1037"/>
        <v>0.54361054766734285</v>
      </c>
      <c r="BO372" s="293"/>
      <c r="BP372" s="360">
        <f t="shared" ref="BP372:BR372" si="1038">(BP401+BP405) / (BP400+BP404)</f>
        <v>0.3875739644970414</v>
      </c>
      <c r="BQ372" s="360">
        <f t="shared" si="1038"/>
        <v>0.50731707317073171</v>
      </c>
      <c r="BR372" s="360">
        <f t="shared" si="1038"/>
        <v>0.44776851397743994</v>
      </c>
      <c r="BS372" s="293"/>
      <c r="BT372" s="360">
        <f t="shared" ref="BT372:BV372" si="1039">(BT401+BT405) / (BT400+BT404)</f>
        <v>0.34529791816223976</v>
      </c>
      <c r="BU372" s="360">
        <f t="shared" si="1039"/>
        <v>0.54200230149597239</v>
      </c>
      <c r="BV372" s="360">
        <f t="shared" si="1039"/>
        <v>0.42086648983200708</v>
      </c>
      <c r="BW372" s="293"/>
      <c r="BX372" s="360">
        <f t="shared" ref="BX372:BZ372" si="1040">(BX401+BX405) / (BX400+BX404)</f>
        <v>0.47187499999999999</v>
      </c>
      <c r="BY372" s="360">
        <f t="shared" si="1040"/>
        <v>0.51025056947608205</v>
      </c>
      <c r="BZ372" s="360">
        <f t="shared" si="1040"/>
        <v>0.49020674646354734</v>
      </c>
      <c r="CA372" s="293"/>
      <c r="CB372" s="360">
        <f>(CB401+CB405) / (CB400+CB404)</f>
        <v>0.34832317073170732</v>
      </c>
      <c r="CC372" s="360">
        <f>(CC401+CC405) / (CC400+CC404)</f>
        <v>0.57461809635722683</v>
      </c>
      <c r="CD372" s="360">
        <f>(CD401+CD405) / (CD400+CD404)</f>
        <v>0.4373555247341655</v>
      </c>
      <c r="CE372" s="293"/>
      <c r="CF372" s="360">
        <f>(CF401+CF405) / (CF400+CF404)</f>
        <v>0.4280792420327304</v>
      </c>
      <c r="CG372" s="360">
        <f>(CG401+CG405) / (CG400+CG404)</f>
        <v>0.35094066570188132</v>
      </c>
      <c r="CH372" s="360">
        <f>(CH401+CH405) / (CH400+CH404)</f>
        <v>0.38615808100668503</v>
      </c>
      <c r="CI372" s="293"/>
      <c r="CJ372" s="360">
        <f>(CJ401+CJ405) / (CJ400+CJ404)</f>
        <v>0.34625668449197861</v>
      </c>
      <c r="CK372" s="360">
        <f>(CK401+CK405) / (CK400+CK404)</f>
        <v>0.42719167904903416</v>
      </c>
      <c r="CL372" s="360">
        <f>(CL401+CL405) / (CL400+CL404)</f>
        <v>0.38458831808585503</v>
      </c>
      <c r="CM372" s="293"/>
      <c r="CN372" s="360">
        <f>(CN401+CN405) / (CN400+CN404)</f>
        <v>0.36271676300578037</v>
      </c>
      <c r="CO372" s="360">
        <f>(CO401+CO405) / (CO400+CO404)</f>
        <v>0.42982456140350878</v>
      </c>
      <c r="CP372" s="360">
        <f>(CP401+CP405) / (CP400+CP404)</f>
        <v>0.39461713419257011</v>
      </c>
      <c r="CQ372" s="293"/>
      <c r="CR372" s="360">
        <f t="shared" ref="CR372:CT372" si="1041">(CR401+CR405) / (CR400+CR404)</f>
        <v>0.54191033138401556</v>
      </c>
      <c r="CS372" s="360">
        <f t="shared" si="1041"/>
        <v>0.52521525215252152</v>
      </c>
      <c r="CT372" s="360">
        <f t="shared" si="1041"/>
        <v>0.53333333333333333</v>
      </c>
      <c r="CU372" s="293"/>
      <c r="CV372" s="360">
        <f t="shared" ref="CV372:CX372" si="1042">(CV401+CV405) / (CV400+CV404)</f>
        <v>0.4873065015479876</v>
      </c>
      <c r="CW372" s="360">
        <f t="shared" si="1042"/>
        <v>0.39967724583109199</v>
      </c>
      <c r="CX372" s="360">
        <f t="shared" si="1042"/>
        <v>0.44041450777202074</v>
      </c>
      <c r="CY372" s="293"/>
      <c r="CZ372" s="360">
        <f t="shared" ref="CZ372:DB372" si="1043">(CZ401+CZ405) / (CZ400+CZ404)</f>
        <v>0.45100426049908704</v>
      </c>
      <c r="DA372" s="360">
        <f t="shared" si="1043"/>
        <v>0.3936627282491944</v>
      </c>
      <c r="DB372" s="360">
        <f t="shared" si="1043"/>
        <v>0.42054208273894439</v>
      </c>
      <c r="DC372" s="293"/>
      <c r="DD372" s="360">
        <f t="shared" ref="DD372:DF372" si="1044">(DD401+DD405) / (DD400+DD404)</f>
        <v>0.39206090266449156</v>
      </c>
      <c r="DE372" s="360">
        <f t="shared" si="1044"/>
        <v>0.38689547581903277</v>
      </c>
      <c r="DF372" s="360">
        <f t="shared" si="1044"/>
        <v>0.38942052099946839</v>
      </c>
      <c r="DG372" s="293"/>
      <c r="DH372" s="360">
        <f t="shared" ref="DH372" si="1045">(DH401+DH405) / (DH400+DH404)</f>
        <v>0.32237730751913551</v>
      </c>
      <c r="DI372" s="360">
        <f t="shared" ref="DI372:DJ372" si="1046">(DI401+DI405) / (DI400+DI404)</f>
        <v>0.25663426227949276</v>
      </c>
      <c r="DJ372" s="360">
        <f t="shared" si="1046"/>
        <v>0.29172097893401921</v>
      </c>
      <c r="DK372" s="293"/>
      <c r="DL372" s="360">
        <f t="shared" ref="DL372:DN372" si="1047">(DL401+DL405) / (DL400+DL404)</f>
        <v>0.22915324762871037</v>
      </c>
      <c r="DM372" s="360">
        <f t="shared" si="1047"/>
        <v>0.22931455530478881</v>
      </c>
      <c r="DN372" s="360">
        <f t="shared" si="1047"/>
        <v>0.22923452903994809</v>
      </c>
      <c r="DO372" s="293"/>
      <c r="DP372" s="360">
        <f t="shared" ref="DP372:DR372" si="1048">(DP401+DP405) / (DP400+DP404)</f>
        <v>0.22835579746233498</v>
      </c>
      <c r="DQ372" s="360">
        <f t="shared" si="1048"/>
        <v>0.22756328223816455</v>
      </c>
      <c r="DR372" s="360">
        <f t="shared" si="1048"/>
        <v>0.22795454665431886</v>
      </c>
      <c r="DS372" s="293"/>
      <c r="DT372" s="293"/>
      <c r="DU372" s="293"/>
      <c r="DV372" s="293"/>
      <c r="DW372" s="828"/>
      <c r="DX372" s="293"/>
      <c r="DY372" s="293"/>
      <c r="DZ372" s="293"/>
      <c r="EA372" s="293"/>
      <c r="EB372" s="293"/>
      <c r="EC372" s="293"/>
      <c r="ED372" s="293"/>
      <c r="EE372" s="293"/>
      <c r="EF372" s="293"/>
      <c r="EG372" s="293"/>
      <c r="EH372" s="293"/>
      <c r="EI372" s="293"/>
      <c r="EJ372" s="293"/>
      <c r="EK372" s="293"/>
      <c r="EL372" s="293"/>
      <c r="EM372" s="293"/>
      <c r="EN372" s="293"/>
      <c r="EO372" s="293"/>
      <c r="EP372" s="293"/>
      <c r="EQ372" s="293"/>
      <c r="ER372" s="293"/>
      <c r="ES372" s="293"/>
      <c r="ET372" s="293"/>
      <c r="EU372" s="293"/>
      <c r="JW372"/>
    </row>
    <row r="373" spans="1:283" s="332" customFormat="1">
      <c r="A373" s="332" t="s">
        <v>1442</v>
      </c>
      <c r="AN373" s="293"/>
      <c r="AO373" s="293"/>
      <c r="AP373" s="293"/>
      <c r="AQ373" s="293"/>
      <c r="AR373" s="293"/>
      <c r="AS373" s="293"/>
      <c r="AT373" s="293"/>
      <c r="AU373" s="293"/>
      <c r="AV373" s="360">
        <f t="shared" ref="AV373:AX373" si="1049">1-AV372</f>
        <v>0.81024096385542166</v>
      </c>
      <c r="AW373" s="360">
        <f t="shared" si="1049"/>
        <v>0.5968992248062015</v>
      </c>
      <c r="AX373" s="360">
        <f t="shared" si="1049"/>
        <v>0.69541029207232263</v>
      </c>
      <c r="AY373" s="293"/>
      <c r="AZ373" s="360">
        <f t="shared" ref="AZ373:BB373" si="1050">1-AZ372</f>
        <v>0.43516483516483517</v>
      </c>
      <c r="BA373" s="360">
        <f t="shared" si="1050"/>
        <v>0.41255605381165916</v>
      </c>
      <c r="BB373" s="360">
        <f t="shared" si="1050"/>
        <v>0.4239733629300777</v>
      </c>
      <c r="BC373" s="293"/>
      <c r="BD373" s="360">
        <f t="shared" ref="BD373:BF373" si="1051">1-BD372</f>
        <v>0.49128299581755663</v>
      </c>
      <c r="BE373" s="360">
        <f t="shared" si="1051"/>
        <v>0.4303030303030303</v>
      </c>
      <c r="BF373" s="360">
        <f t="shared" si="1051"/>
        <v>0.46198656162619267</v>
      </c>
      <c r="BG373" s="293"/>
      <c r="BH373" s="360">
        <f t="shared" ref="BH373:BJ373" si="1052">1-BH372</f>
        <v>0.48741007194244601</v>
      </c>
      <c r="BI373" s="360">
        <f t="shared" si="1052"/>
        <v>0.44556113902847572</v>
      </c>
      <c r="BJ373" s="360">
        <f t="shared" si="1052"/>
        <v>0.46574154379878574</v>
      </c>
      <c r="BK373" s="293"/>
      <c r="BL373" s="360">
        <f t="shared" ref="BL373:BN373" si="1053">1-BL372</f>
        <v>0.46715328467153283</v>
      </c>
      <c r="BM373" s="360">
        <f t="shared" si="1053"/>
        <v>0.44710327455919396</v>
      </c>
      <c r="BN373" s="360">
        <f t="shared" si="1053"/>
        <v>0.45638945233265715</v>
      </c>
      <c r="BO373" s="293"/>
      <c r="BP373" s="360">
        <f t="shared" ref="BP373:BR373" si="1054">1-BP372</f>
        <v>0.6124260355029586</v>
      </c>
      <c r="BQ373" s="360">
        <f t="shared" si="1054"/>
        <v>0.49268292682926829</v>
      </c>
      <c r="BR373" s="360">
        <f t="shared" si="1054"/>
        <v>0.55223148602256011</v>
      </c>
      <c r="BS373" s="293"/>
      <c r="BT373" s="360">
        <f t="shared" ref="BT373:BV373" si="1055">1-BT372</f>
        <v>0.65470208183776024</v>
      </c>
      <c r="BU373" s="360">
        <f t="shared" si="1055"/>
        <v>0.45799769850402761</v>
      </c>
      <c r="BV373" s="360">
        <f t="shared" si="1055"/>
        <v>0.57913351016799286</v>
      </c>
      <c r="BW373" s="293"/>
      <c r="BX373" s="360">
        <f t="shared" ref="BX373:BZ373" si="1056">1-BX372</f>
        <v>0.52812499999999996</v>
      </c>
      <c r="BY373" s="360">
        <f t="shared" si="1056"/>
        <v>0.48974943052391795</v>
      </c>
      <c r="BZ373" s="360">
        <f t="shared" si="1056"/>
        <v>0.50979325353645266</v>
      </c>
      <c r="CA373" s="293"/>
      <c r="CB373" s="360">
        <f>1-CB372</f>
        <v>0.65167682926829262</v>
      </c>
      <c r="CC373" s="360">
        <f>1-CC372</f>
        <v>0.42538190364277317</v>
      </c>
      <c r="CD373" s="360">
        <f>1-CD372</f>
        <v>0.5626444752658345</v>
      </c>
      <c r="CE373" s="293"/>
      <c r="CF373" s="360">
        <f>1-CF372</f>
        <v>0.5719207579672696</v>
      </c>
      <c r="CG373" s="360">
        <f>1-CG372</f>
        <v>0.64905933429811868</v>
      </c>
      <c r="CH373" s="360">
        <f>1-CH372</f>
        <v>0.61384191899331497</v>
      </c>
      <c r="CI373" s="293"/>
      <c r="CJ373" s="360">
        <f>1-CJ372</f>
        <v>0.65374331550802145</v>
      </c>
      <c r="CK373" s="360">
        <f>1-CK372</f>
        <v>0.57280832095096579</v>
      </c>
      <c r="CL373" s="360">
        <f>1-CL372</f>
        <v>0.61541168191414497</v>
      </c>
      <c r="CM373" s="293"/>
      <c r="CN373" s="360">
        <f>1-CN372</f>
        <v>0.63728323699421963</v>
      </c>
      <c r="CO373" s="360">
        <f>1-CO372</f>
        <v>0.57017543859649122</v>
      </c>
      <c r="CP373" s="360">
        <f>1-CP372</f>
        <v>0.60538286580742984</v>
      </c>
      <c r="CQ373" s="293"/>
      <c r="CR373" s="360">
        <f t="shared" ref="CR373:CT373" si="1057">1-CR372</f>
        <v>0.45808966861598444</v>
      </c>
      <c r="CS373" s="360">
        <f t="shared" si="1057"/>
        <v>0.47478474784747848</v>
      </c>
      <c r="CT373" s="360">
        <f t="shared" si="1057"/>
        <v>0.46666666666666667</v>
      </c>
      <c r="CU373" s="293"/>
      <c r="CV373" s="360">
        <f t="shared" ref="CV373:CX373" si="1058">1-CV372</f>
        <v>0.5126934984520124</v>
      </c>
      <c r="CW373" s="360">
        <f t="shared" si="1058"/>
        <v>0.60032275416890801</v>
      </c>
      <c r="CX373" s="360">
        <f t="shared" si="1058"/>
        <v>0.55958549222797926</v>
      </c>
      <c r="CY373" s="293"/>
      <c r="CZ373" s="360">
        <f t="shared" ref="CZ373:DB373" si="1059">1-CZ372</f>
        <v>0.54899573950091296</v>
      </c>
      <c r="DA373" s="360">
        <f t="shared" si="1059"/>
        <v>0.60633727175080554</v>
      </c>
      <c r="DB373" s="360">
        <f t="shared" si="1059"/>
        <v>0.57945791726105567</v>
      </c>
      <c r="DC373" s="293"/>
      <c r="DD373" s="360">
        <f t="shared" ref="DD373:DF373" si="1060">1-DD372</f>
        <v>0.60793909733550844</v>
      </c>
      <c r="DE373" s="360">
        <f t="shared" si="1060"/>
        <v>0.61310452418096717</v>
      </c>
      <c r="DF373" s="360">
        <f t="shared" si="1060"/>
        <v>0.61057947900053167</v>
      </c>
      <c r="DG373" s="293"/>
      <c r="DH373" s="360">
        <f t="shared" ref="DH373" si="1061">1-DH372</f>
        <v>0.67762269248086449</v>
      </c>
      <c r="DI373" s="360">
        <f t="shared" ref="DI373:DJ373" si="1062">1-DI372</f>
        <v>0.74336573772050718</v>
      </c>
      <c r="DJ373" s="360">
        <f t="shared" si="1062"/>
        <v>0.70827902106598084</v>
      </c>
      <c r="DK373" s="293"/>
      <c r="DL373" s="360">
        <f t="shared" ref="DL373:DN373" si="1063">1-DL372</f>
        <v>0.77084675237128963</v>
      </c>
      <c r="DM373" s="360">
        <f t="shared" si="1063"/>
        <v>0.77068544469521116</v>
      </c>
      <c r="DN373" s="360">
        <f t="shared" si="1063"/>
        <v>0.77076547096005188</v>
      </c>
      <c r="DO373" s="293"/>
      <c r="DP373" s="360">
        <f t="shared" ref="DP373:DR373" si="1064">1-DP372</f>
        <v>0.77164420253766508</v>
      </c>
      <c r="DQ373" s="360">
        <f t="shared" si="1064"/>
        <v>0.77243671776183542</v>
      </c>
      <c r="DR373" s="360">
        <f t="shared" si="1064"/>
        <v>0.77204545334568109</v>
      </c>
      <c r="DS373" s="293"/>
      <c r="DT373" s="293"/>
      <c r="DU373" s="293"/>
      <c r="DV373" s="293"/>
      <c r="DW373" s="828"/>
      <c r="DX373" s="293"/>
      <c r="DY373" s="293"/>
      <c r="DZ373" s="293"/>
      <c r="EA373" s="293"/>
      <c r="EB373" s="293"/>
      <c r="EC373" s="293"/>
      <c r="ED373" s="293"/>
      <c r="EE373" s="293"/>
      <c r="EF373" s="293"/>
      <c r="EG373" s="293"/>
      <c r="EH373" s="293"/>
      <c r="EI373" s="293"/>
      <c r="EJ373" s="293"/>
      <c r="EK373" s="293"/>
      <c r="EL373" s="293"/>
      <c r="EM373" s="293"/>
      <c r="EN373" s="293"/>
      <c r="EO373" s="293"/>
      <c r="EP373" s="293"/>
      <c r="EQ373" s="293"/>
      <c r="ER373" s="293"/>
      <c r="ES373" s="293"/>
      <c r="ET373" s="293"/>
      <c r="EU373" s="293"/>
      <c r="JW373"/>
    </row>
    <row r="374" spans="1:283" s="332" customFormat="1">
      <c r="A374" s="332" t="s">
        <v>1095</v>
      </c>
      <c r="AN374" s="293"/>
      <c r="AO374" s="293"/>
      <c r="AP374" s="293"/>
      <c r="AQ374" s="293"/>
      <c r="AR374" s="293"/>
      <c r="AS374" s="293"/>
      <c r="AT374" s="293"/>
      <c r="AU374" s="293"/>
      <c r="AV374" s="148">
        <f t="shared" ref="AV374:AX374" si="1065">AV$356*AV372</f>
        <v>93.361445783132524</v>
      </c>
      <c r="AW374" s="148">
        <f t="shared" si="1065"/>
        <v>127.37984496124031</v>
      </c>
      <c r="AX374" s="148">
        <f t="shared" si="1065"/>
        <v>246.10848400556327</v>
      </c>
      <c r="AY374" s="293"/>
      <c r="AZ374" s="148">
        <f t="shared" ref="AZ374:BA374" si="1066">AZ$356*AZ372</f>
        <v>128.78241758241759</v>
      </c>
      <c r="BA374" s="148">
        <f t="shared" si="1066"/>
        <v>150.97309417040358</v>
      </c>
      <c r="BB374" s="148">
        <f>BB$356*BB372</f>
        <v>279.37291897891231</v>
      </c>
      <c r="BC374" s="293"/>
      <c r="BD374" s="148">
        <f t="shared" ref="BD374:BF374" si="1067">BD$356*BD372</f>
        <v>204.16492143955259</v>
      </c>
      <c r="BE374" s="148">
        <f t="shared" si="1067"/>
        <v>139.0060606060606</v>
      </c>
      <c r="BF374" s="148">
        <f t="shared" si="1067"/>
        <v>347.19782622608426</v>
      </c>
      <c r="BG374" s="293"/>
      <c r="BH374" s="148">
        <f t="shared" ref="BH374:BJ374" si="1068">BH$356*BH372</f>
        <v>182.48201438848923</v>
      </c>
      <c r="BI374" s="148">
        <f t="shared" si="1068"/>
        <v>221.2211055276382</v>
      </c>
      <c r="BJ374" s="148">
        <f t="shared" si="1068"/>
        <v>403.36513443191677</v>
      </c>
      <c r="BK374" s="293"/>
      <c r="BL374" s="148">
        <f t="shared" ref="BL374:BN374" si="1069">BL$356*BL372</f>
        <v>266.42335766423361</v>
      </c>
      <c r="BM374" s="148">
        <f t="shared" si="1069"/>
        <v>304.64609571788412</v>
      </c>
      <c r="BN374" s="148">
        <f t="shared" si="1069"/>
        <v>571.33468559837729</v>
      </c>
      <c r="BO374" s="293"/>
      <c r="BP374" s="148">
        <f t="shared" ref="BP374:BR374" si="1070">BP$356*BP372</f>
        <v>304.24556213017752</v>
      </c>
      <c r="BQ374" s="148">
        <f t="shared" si="1070"/>
        <v>337.36585365853659</v>
      </c>
      <c r="BR374" s="148">
        <f t="shared" si="1070"/>
        <v>649.26434526728792</v>
      </c>
      <c r="BS374" s="293"/>
      <c r="BT374" s="148">
        <f t="shared" ref="BT374:BV374" si="1071">BT$356*BT372</f>
        <v>393.29432878679108</v>
      </c>
      <c r="BU374" s="148">
        <f t="shared" si="1071"/>
        <v>273.71116225546604</v>
      </c>
      <c r="BV374" s="148">
        <f t="shared" si="1071"/>
        <v>691.90450928381961</v>
      </c>
      <c r="BW374" s="293"/>
      <c r="BX374" s="148">
        <f t="shared" ref="BX374:BZ374" si="1072">BX$356*BX372</f>
        <v>404.39687499999997</v>
      </c>
      <c r="BY374" s="148">
        <f t="shared" si="1072"/>
        <v>347.4806378132119</v>
      </c>
      <c r="BZ374" s="148">
        <f t="shared" si="1072"/>
        <v>753.93797606093585</v>
      </c>
      <c r="CA374" s="293"/>
      <c r="CB374" s="148">
        <f t="shared" ref="CB374:CD374" si="1073">CB$356*CB372</f>
        <v>398.13338414634148</v>
      </c>
      <c r="CC374" s="148">
        <f t="shared" si="1073"/>
        <v>238.46650998824913</v>
      </c>
      <c r="CD374" s="148">
        <f t="shared" si="1073"/>
        <v>681.39990753582981</v>
      </c>
      <c r="CE374" s="293"/>
      <c r="CF374" s="148">
        <f t="shared" ref="CF374:CH374" si="1074">CF$356*CF372</f>
        <v>363.86735572782084</v>
      </c>
      <c r="CG374" s="148">
        <f t="shared" si="1074"/>
        <v>358.66136034732273</v>
      </c>
      <c r="CH374" s="148">
        <f t="shared" si="1074"/>
        <v>722.88792764451432</v>
      </c>
      <c r="CI374" s="293"/>
      <c r="CJ374" s="148">
        <f t="shared" ref="CJ374:CL374" si="1075">CJ$356*CJ372</f>
        <v>388.5</v>
      </c>
      <c r="CK374" s="148">
        <f t="shared" si="1075"/>
        <v>450.68722139673105</v>
      </c>
      <c r="CL374" s="148">
        <f t="shared" si="1075"/>
        <v>837.24876847290636</v>
      </c>
      <c r="CM374" s="293"/>
      <c r="CN374" s="148">
        <f t="shared" ref="CN374:CP374" si="1076">CN$356*CN372</f>
        <v>385.20520231213874</v>
      </c>
      <c r="CO374" s="148">
        <f t="shared" si="1076"/>
        <v>434.98245614035091</v>
      </c>
      <c r="CP374" s="148">
        <f t="shared" si="1076"/>
        <v>818.43593631539045</v>
      </c>
      <c r="CQ374" s="293"/>
      <c r="CR374" s="148">
        <f t="shared" ref="CR374:CT374" si="1077">CR$356*CR372</f>
        <v>594.47563352826512</v>
      </c>
      <c r="CS374" s="148">
        <f t="shared" si="1077"/>
        <v>1014.7158671586716</v>
      </c>
      <c r="CT374" s="148">
        <f t="shared" si="1077"/>
        <v>1615.4666666666667</v>
      </c>
      <c r="CU374" s="293"/>
      <c r="CV374" s="148">
        <f t="shared" ref="CV374:CX374" si="1078">CV$356*CV372</f>
        <v>683.20371517027866</v>
      </c>
      <c r="CW374" s="148">
        <f t="shared" si="1078"/>
        <v>375.69661108122648</v>
      </c>
      <c r="CX374" s="148">
        <f t="shared" si="1078"/>
        <v>1031.4507772020725</v>
      </c>
      <c r="CY374" s="293"/>
      <c r="CZ374" s="148">
        <f t="shared" ref="CZ374:DB374" si="1079">CZ$356*CZ372</f>
        <v>183.55873402312844</v>
      </c>
      <c r="DA374" s="148">
        <f t="shared" si="1079"/>
        <v>315.32384532760472</v>
      </c>
      <c r="DB374" s="148">
        <f t="shared" si="1079"/>
        <v>508.01483594864482</v>
      </c>
      <c r="DC374" s="293"/>
      <c r="DD374" s="148">
        <f t="shared" ref="DD374:DF374" si="1080">DD$356*DD372</f>
        <v>322.66612289287656</v>
      </c>
      <c r="DE374" s="148">
        <f t="shared" si="1080"/>
        <v>474.33385335413419</v>
      </c>
      <c r="DF374" s="148">
        <f t="shared" si="1080"/>
        <v>797.92264752791073</v>
      </c>
      <c r="DG374" s="293"/>
      <c r="DH374" s="148">
        <f t="shared" ref="DH374" si="1081">DH$356*DH372</f>
        <v>378.79333633498425</v>
      </c>
      <c r="DI374" s="148">
        <f t="shared" ref="DI374:DJ374" si="1082">DI$356*DI372</f>
        <v>363.73495297362376</v>
      </c>
      <c r="DJ374" s="148">
        <f t="shared" si="1082"/>
        <v>756.23649289407012</v>
      </c>
      <c r="DK374" s="293"/>
      <c r="DL374" s="148">
        <f t="shared" ref="DL374:DN374" si="1083">DL$356*DL372</f>
        <v>224.6641224373858</v>
      </c>
      <c r="DM374" s="148">
        <f t="shared" si="1083"/>
        <v>202.53188295707335</v>
      </c>
      <c r="DN374" s="148">
        <f t="shared" si="1083"/>
        <v>427.20501485870085</v>
      </c>
      <c r="DO374" s="293"/>
      <c r="DP374" s="148">
        <f t="shared" ref="DP374:DR374" si="1084">DP$356*DP372</f>
        <v>229.42333791578</v>
      </c>
      <c r="DQ374" s="148">
        <f t="shared" si="1084"/>
        <v>208.75232975095025</v>
      </c>
      <c r="DR374" s="148">
        <f t="shared" si="1084"/>
        <v>438.13146256818902</v>
      </c>
      <c r="DS374" s="293"/>
      <c r="DT374" s="293"/>
      <c r="DU374" s="293"/>
      <c r="DV374" s="293"/>
      <c r="DW374" s="828"/>
      <c r="DX374" s="293"/>
      <c r="DY374" s="293"/>
      <c r="DZ374" s="293"/>
      <c r="EA374" s="293"/>
      <c r="EB374" s="293"/>
      <c r="EC374" s="293"/>
      <c r="ED374" s="293"/>
      <c r="EE374" s="293"/>
      <c r="EF374" s="293"/>
      <c r="EG374" s="293"/>
      <c r="EH374" s="293"/>
      <c r="EI374" s="293"/>
      <c r="EJ374" s="293"/>
      <c r="EK374" s="293"/>
      <c r="EL374" s="293"/>
      <c r="EM374" s="293"/>
      <c r="EN374" s="293"/>
      <c r="EO374" s="293"/>
      <c r="EP374" s="293"/>
      <c r="EQ374" s="293"/>
      <c r="ER374" s="293"/>
      <c r="ES374" s="293"/>
      <c r="ET374" s="293"/>
      <c r="EU374" s="293"/>
      <c r="JW374"/>
    </row>
    <row r="375" spans="1:283" s="327" customFormat="1">
      <c r="A375" s="327" t="s">
        <v>1096</v>
      </c>
      <c r="AN375" s="295"/>
      <c r="AO375" s="295"/>
      <c r="AP375" s="295"/>
      <c r="AQ375" s="295"/>
      <c r="AR375" s="295"/>
      <c r="AS375" s="295"/>
      <c r="AT375" s="295"/>
      <c r="AU375" s="295"/>
      <c r="AV375" s="147">
        <f t="shared" ref="AV375:AX375" si="1085">AV$356*AV373</f>
        <v>398.63855421686748</v>
      </c>
      <c r="AW375" s="147">
        <f t="shared" si="1085"/>
        <v>188.62015503875966</v>
      </c>
      <c r="AX375" s="147">
        <f t="shared" si="1085"/>
        <v>561.89151599443665</v>
      </c>
      <c r="AY375" s="295"/>
      <c r="AZ375" s="147">
        <f t="shared" ref="AZ375:BA375" si="1086">AZ$356*AZ373</f>
        <v>99.21758241758242</v>
      </c>
      <c r="BA375" s="147">
        <f t="shared" si="1086"/>
        <v>106.0269058295964</v>
      </c>
      <c r="BB375" s="147">
        <f>BB$356*BB373</f>
        <v>205.62708102108769</v>
      </c>
      <c r="BC375" s="295"/>
      <c r="BD375" s="147">
        <f t="shared" ref="BD375:BF375" si="1087">BD$356*BD373</f>
        <v>197.1680785604475</v>
      </c>
      <c r="BE375" s="147">
        <f t="shared" si="1087"/>
        <v>104.9939393939394</v>
      </c>
      <c r="BF375" s="147">
        <f t="shared" si="1087"/>
        <v>298.13517377391582</v>
      </c>
      <c r="BG375" s="295"/>
      <c r="BH375" s="147">
        <f t="shared" ref="BH375:BJ375" si="1088">BH$356*BH373</f>
        <v>173.51798561151077</v>
      </c>
      <c r="BI375" s="147">
        <f t="shared" si="1088"/>
        <v>177.7788944723618</v>
      </c>
      <c r="BJ375" s="147">
        <f t="shared" si="1088"/>
        <v>351.63486556808323</v>
      </c>
      <c r="BK375" s="295"/>
      <c r="BL375" s="147">
        <f t="shared" ref="BL375:BN375" si="1089">BL$356*BL373</f>
        <v>233.57664233576642</v>
      </c>
      <c r="BM375" s="147">
        <f t="shared" si="1089"/>
        <v>246.35390428211588</v>
      </c>
      <c r="BN375" s="147">
        <f t="shared" si="1089"/>
        <v>479.66531440162265</v>
      </c>
      <c r="BO375" s="295"/>
      <c r="BP375" s="147">
        <f t="shared" ref="BP375:BR375" si="1090">BP$356*BP373</f>
        <v>480.75443786982248</v>
      </c>
      <c r="BQ375" s="147">
        <f t="shared" si="1090"/>
        <v>327.63414634146341</v>
      </c>
      <c r="BR375" s="147">
        <f t="shared" si="1090"/>
        <v>800.73565473271219</v>
      </c>
      <c r="BS375" s="295"/>
      <c r="BT375" s="147">
        <f t="shared" ref="BT375:BV375" si="1091">BT$356*BT373</f>
        <v>745.70567121320892</v>
      </c>
      <c r="BU375" s="147">
        <f t="shared" si="1091"/>
        <v>231.28883774453394</v>
      </c>
      <c r="BV375" s="147">
        <f t="shared" si="1091"/>
        <v>952.09549071618028</v>
      </c>
      <c r="BW375" s="295"/>
      <c r="BX375" s="147">
        <f t="shared" ref="BX375:BZ375" si="1092">BX$356*BX373</f>
        <v>452.60312499999998</v>
      </c>
      <c r="BY375" s="147">
        <f t="shared" si="1092"/>
        <v>333.5193621867881</v>
      </c>
      <c r="BZ375" s="147">
        <f t="shared" si="1092"/>
        <v>784.06202393906415</v>
      </c>
      <c r="CA375" s="295"/>
      <c r="CB375" s="147">
        <f t="shared" ref="CB375:CD375" si="1093">CB$356*CB373</f>
        <v>744.86661585365846</v>
      </c>
      <c r="CC375" s="147">
        <f t="shared" si="1093"/>
        <v>176.53349001175087</v>
      </c>
      <c r="CD375" s="147">
        <f t="shared" si="1093"/>
        <v>876.60009246417019</v>
      </c>
      <c r="CE375" s="295"/>
      <c r="CF375" s="147">
        <f t="shared" ref="CF375:CH375" si="1094">CF$356*CF373</f>
        <v>486.13264427217916</v>
      </c>
      <c r="CG375" s="147">
        <f t="shared" si="1094"/>
        <v>663.33863965267733</v>
      </c>
      <c r="CH375" s="147">
        <f t="shared" si="1094"/>
        <v>1149.1120723554857</v>
      </c>
      <c r="CI375" s="295"/>
      <c r="CJ375" s="147">
        <f t="shared" ref="CJ375:CL375" si="1095">CJ$356*CJ373</f>
        <v>733.50000000000011</v>
      </c>
      <c r="CK375" s="147">
        <f t="shared" si="1095"/>
        <v>604.31277860326895</v>
      </c>
      <c r="CL375" s="147">
        <f t="shared" si="1095"/>
        <v>1339.7512315270935</v>
      </c>
      <c r="CM375" s="295"/>
      <c r="CN375" s="147">
        <f t="shared" ref="CN375:CP375" si="1096">CN$356*CN373</f>
        <v>676.79479768786121</v>
      </c>
      <c r="CO375" s="147">
        <f t="shared" si="1096"/>
        <v>577.01754385964909</v>
      </c>
      <c r="CP375" s="147">
        <f t="shared" si="1096"/>
        <v>1255.5640636846094</v>
      </c>
      <c r="CQ375" s="295"/>
      <c r="CR375" s="147">
        <f t="shared" ref="CR375:CT375" si="1097">CR$356*CR373</f>
        <v>502.52436647173494</v>
      </c>
      <c r="CS375" s="147">
        <f t="shared" si="1097"/>
        <v>917.28413284132841</v>
      </c>
      <c r="CT375" s="147">
        <f t="shared" si="1097"/>
        <v>1413.5333333333333</v>
      </c>
      <c r="CU375" s="295"/>
      <c r="CV375" s="147">
        <f t="shared" ref="CV375:CX375" si="1098">CV$356*CV373</f>
        <v>718.79628482972134</v>
      </c>
      <c r="CW375" s="147">
        <f t="shared" si="1098"/>
        <v>564.30338891877352</v>
      </c>
      <c r="CX375" s="147">
        <f t="shared" si="1098"/>
        <v>1310.5492227979275</v>
      </c>
      <c r="CY375" s="295"/>
      <c r="CZ375" s="147">
        <f t="shared" ref="CZ375:DB375" si="1099">CZ$356*CZ373</f>
        <v>223.44126597687156</v>
      </c>
      <c r="DA375" s="147">
        <f t="shared" si="1099"/>
        <v>485.67615467239523</v>
      </c>
      <c r="DB375" s="147">
        <f t="shared" si="1099"/>
        <v>699.98516405135524</v>
      </c>
      <c r="DC375" s="295"/>
      <c r="DD375" s="147">
        <f t="shared" ref="DD375:DF375" si="1100">DD$356*DD373</f>
        <v>500.33387710712344</v>
      </c>
      <c r="DE375" s="147">
        <f t="shared" si="1100"/>
        <v>751.66614664586575</v>
      </c>
      <c r="DF375" s="147">
        <f t="shared" si="1100"/>
        <v>1251.0773524720894</v>
      </c>
      <c r="DG375" s="295"/>
      <c r="DH375" s="147">
        <f t="shared" ref="DH375" si="1101">DH$356*DH373</f>
        <v>796.20666366501575</v>
      </c>
      <c r="DI375" s="147">
        <f t="shared" ref="DI375:DJ375" si="1102">DI$356*DI373</f>
        <v>1053.5931533471557</v>
      </c>
      <c r="DJ375" s="147">
        <f t="shared" si="1102"/>
        <v>1836.0916134267097</v>
      </c>
      <c r="DK375" s="295"/>
      <c r="DL375" s="147">
        <f t="shared" ref="DL375:DN375" si="1103">DL$356*DL373</f>
        <v>755.74582052533344</v>
      </c>
      <c r="DM375" s="147">
        <f t="shared" si="1103"/>
        <v>680.67364530903342</v>
      </c>
      <c r="DN375" s="147">
        <f t="shared" si="1103"/>
        <v>1436.4104563701251</v>
      </c>
      <c r="DO375" s="295"/>
      <c r="DP375" s="147">
        <f t="shared" ref="DP375:DR375" si="1104">DP$356*DP373</f>
        <v>775.25156180346676</v>
      </c>
      <c r="DQ375" s="147">
        <f t="shared" si="1104"/>
        <v>708.58515851955633</v>
      </c>
      <c r="DR375" s="147">
        <f t="shared" si="1104"/>
        <v>1483.8809254215641</v>
      </c>
      <c r="DS375" s="295"/>
      <c r="DT375" s="295"/>
      <c r="DU375" s="295"/>
      <c r="DV375" s="295"/>
      <c r="DW375" s="831"/>
      <c r="DX375" s="295"/>
      <c r="DY375" s="295"/>
      <c r="DZ375" s="295"/>
      <c r="EA375" s="295"/>
      <c r="EB375" s="295"/>
      <c r="EC375" s="295"/>
      <c r="ED375" s="295"/>
      <c r="EE375" s="295"/>
      <c r="EF375" s="295"/>
      <c r="EG375" s="295"/>
      <c r="EH375" s="295"/>
      <c r="EI375" s="295"/>
      <c r="EJ375" s="295"/>
      <c r="EK375" s="295"/>
      <c r="EL375" s="295"/>
      <c r="EM375" s="295"/>
      <c r="EN375" s="295"/>
      <c r="EO375" s="295"/>
      <c r="EP375" s="295"/>
      <c r="EQ375" s="295"/>
      <c r="ER375" s="295"/>
      <c r="ES375" s="295"/>
      <c r="ET375" s="295"/>
      <c r="EU375" s="295"/>
      <c r="JW375"/>
    </row>
    <row r="376" spans="1:283" s="332" customFormat="1">
      <c r="AN376" s="293"/>
      <c r="AO376" s="293"/>
      <c r="AP376" s="293"/>
      <c r="AQ376" s="293"/>
      <c r="AR376" s="293"/>
      <c r="AS376" s="293"/>
      <c r="AT376" s="293"/>
      <c r="AU376" s="293"/>
      <c r="AV376" s="293"/>
      <c r="AW376" s="293"/>
      <c r="AX376" s="293"/>
      <c r="AY376" s="293"/>
      <c r="AZ376" s="293"/>
      <c r="BA376" s="293"/>
      <c r="BB376" s="293"/>
      <c r="BC376" s="293"/>
      <c r="BD376" s="293"/>
      <c r="BE376" s="293"/>
      <c r="BF376" s="293"/>
      <c r="BG376" s="293"/>
      <c r="BH376" s="293"/>
      <c r="BI376" s="293"/>
      <c r="BJ376" s="293"/>
      <c r="BK376" s="487"/>
      <c r="BL376" s="293"/>
      <c r="BM376" s="293"/>
      <c r="BN376" s="293"/>
      <c r="BO376" s="487"/>
      <c r="BP376" s="293"/>
      <c r="BQ376" s="293"/>
      <c r="BR376" s="293"/>
      <c r="BS376" s="487"/>
      <c r="BT376" s="293"/>
      <c r="BU376" s="293"/>
      <c r="BV376" s="293"/>
      <c r="BW376" s="293"/>
      <c r="BX376" s="293"/>
      <c r="BY376" s="293"/>
      <c r="BZ376" s="293"/>
      <c r="CA376" s="293"/>
      <c r="CB376" s="293"/>
      <c r="CC376" s="293"/>
      <c r="CD376" s="293"/>
      <c r="CE376" s="293"/>
      <c r="CF376" s="293"/>
      <c r="CG376" s="293"/>
      <c r="CH376" s="293"/>
      <c r="CI376" s="293"/>
      <c r="CJ376" s="293"/>
      <c r="CK376" s="293"/>
      <c r="CL376" s="293"/>
      <c r="CM376" s="293"/>
      <c r="CN376" s="293"/>
      <c r="CO376" s="293"/>
      <c r="CP376" s="293"/>
      <c r="CQ376" s="293"/>
      <c r="CR376" s="293"/>
      <c r="CS376" s="293"/>
      <c r="CT376" s="293"/>
      <c r="CU376" s="293"/>
      <c r="CV376" s="293"/>
      <c r="CW376" s="293"/>
      <c r="CX376" s="293"/>
      <c r="CY376" s="293"/>
      <c r="CZ376" s="293"/>
      <c r="DA376" s="293"/>
      <c r="DB376" s="293"/>
      <c r="DC376" s="293"/>
      <c r="DD376" s="293"/>
      <c r="DE376" s="293"/>
      <c r="DF376" s="293"/>
      <c r="DG376" s="293"/>
      <c r="DH376" s="293"/>
      <c r="DI376" s="293"/>
      <c r="DJ376" s="293"/>
      <c r="DK376" s="293"/>
      <c r="DL376" s="293"/>
      <c r="DM376" s="293"/>
      <c r="DN376" s="293"/>
      <c r="DO376" s="293"/>
      <c r="DP376" s="293"/>
      <c r="DQ376" s="293"/>
      <c r="DR376" s="293"/>
      <c r="DS376" s="293"/>
      <c r="DT376" s="293"/>
      <c r="DU376" s="293"/>
      <c r="DV376" s="293"/>
      <c r="DW376" s="828"/>
      <c r="DX376" s="293"/>
      <c r="DY376" s="293"/>
      <c r="DZ376" s="293"/>
      <c r="EA376" s="293"/>
      <c r="EB376" s="293"/>
      <c r="EC376" s="293"/>
      <c r="ED376" s="293"/>
      <c r="EE376" s="293"/>
      <c r="EF376" s="293"/>
      <c r="EG376" s="293"/>
      <c r="EH376" s="293"/>
      <c r="EI376" s="293"/>
      <c r="EJ376" s="293"/>
      <c r="EK376" s="293"/>
      <c r="EL376" s="293"/>
      <c r="EM376" s="293"/>
      <c r="EN376" s="293"/>
      <c r="EO376" s="293"/>
      <c r="EP376" s="293"/>
      <c r="EQ376" s="293"/>
      <c r="ER376" s="293"/>
      <c r="ES376" s="293"/>
      <c r="ET376" s="293"/>
      <c r="EU376" s="293"/>
      <c r="JW376"/>
    </row>
    <row r="377" spans="1:283" s="332" customFormat="1">
      <c r="A377" s="332" t="s">
        <v>1441</v>
      </c>
      <c r="AN377" s="293"/>
      <c r="AO377" s="293"/>
      <c r="AP377" s="293"/>
      <c r="AQ377" s="293"/>
      <c r="AR377" s="293"/>
      <c r="AS377" s="293"/>
      <c r="AT377" s="293"/>
      <c r="AU377" s="293"/>
      <c r="AV377" s="293"/>
      <c r="AW377" s="293"/>
      <c r="AX377" s="293"/>
      <c r="AY377" s="293"/>
      <c r="AZ377" s="293"/>
      <c r="BA377" s="293"/>
      <c r="BB377" s="293"/>
      <c r="BC377" s="293"/>
      <c r="BD377" s="293"/>
      <c r="BE377" s="293"/>
      <c r="BF377" s="293"/>
      <c r="BG377" s="293"/>
      <c r="BH377" s="293"/>
      <c r="BI377" s="293"/>
      <c r="BJ377" s="293"/>
      <c r="BK377" s="487"/>
      <c r="BL377" s="293"/>
      <c r="BM377" s="293"/>
      <c r="BN377" s="293"/>
      <c r="BO377" s="487"/>
      <c r="BP377" s="293"/>
      <c r="BQ377" s="293"/>
      <c r="BR377" s="293"/>
      <c r="BS377" s="487"/>
      <c r="BT377" s="293"/>
      <c r="BU377" s="293"/>
      <c r="BV377" s="293"/>
      <c r="BW377" s="293"/>
      <c r="BX377" s="293"/>
      <c r="BY377" s="293"/>
      <c r="BZ377" s="293"/>
      <c r="CA377" s="293"/>
      <c r="CB377" s="293"/>
      <c r="CC377" s="293"/>
      <c r="CD377" s="293"/>
      <c r="CE377" s="293"/>
      <c r="CF377" s="293"/>
      <c r="CG377" s="293"/>
      <c r="CH377" s="293"/>
      <c r="CI377" s="293"/>
      <c r="CJ377" s="360">
        <f>(CJ401+CJ405) / CJ348</f>
        <v>0.2756785524215008</v>
      </c>
      <c r="CK377" s="360">
        <f>(CK401+CK405) / CK348</f>
        <v>0.31030760928224499</v>
      </c>
      <c r="CL377" s="360">
        <f>(CL401+CL405) / CL348</f>
        <v>0.29287245444801713</v>
      </c>
      <c r="CM377" s="293"/>
      <c r="CN377" s="360">
        <f>(CN401+CN405) / CN348</f>
        <v>0.28060368921185019</v>
      </c>
      <c r="CO377" s="360">
        <f>(CO401+CO405) / CO348</f>
        <v>0.30538243626062322</v>
      </c>
      <c r="CP377" s="360">
        <f>(CP401+CP405) / CP348</f>
        <v>0.29290939786156445</v>
      </c>
      <c r="CQ377" s="293"/>
      <c r="CR377" s="360">
        <f>(CR401+CR405) / CR348</f>
        <v>0.35130581297388375</v>
      </c>
      <c r="CS377" s="360">
        <f>(CS401+CS405) / CS348</f>
        <v>0.26012793176972282</v>
      </c>
      <c r="CT377" s="360">
        <f>(CT401+CT405) / CT348</f>
        <v>0.29839137351953332</v>
      </c>
      <c r="CU377" s="293"/>
      <c r="CV377" s="360">
        <f>(CV401+CV405) / CV348</f>
        <v>0.30211132437619964</v>
      </c>
      <c r="CW377" s="360">
        <f>(CW401+CW405) / CW348</f>
        <v>0.31670929241261719</v>
      </c>
      <c r="CX377" s="360">
        <f>(CX401+CX405) / CX348</f>
        <v>0.30902847909513231</v>
      </c>
      <c r="CY377" s="293"/>
      <c r="CZ377" s="360">
        <f>(CZ401+CZ405) / CZ348</f>
        <v>0.43768458357944479</v>
      </c>
      <c r="DA377" s="360">
        <f>(DA401+DA405) / DA348</f>
        <v>0.35565259582726833</v>
      </c>
      <c r="DB377" s="360">
        <f>(DB401+DB405) / DB348</f>
        <v>0.39264784230154504</v>
      </c>
      <c r="DC377" s="293"/>
      <c r="DD377" s="360">
        <f>(DD401+DD405) / DD348</f>
        <v>0.35308521057786485</v>
      </c>
      <c r="DE377" s="360">
        <f>(DE401+DE405) / DE348</f>
        <v>0.29199372056514916</v>
      </c>
      <c r="DF377" s="360">
        <f>(DF401+DF405) / DF348</f>
        <v>0.31917211328976036</v>
      </c>
      <c r="DG377" s="293"/>
      <c r="DH377" s="360">
        <f>(DH401+DH405) / DH348</f>
        <v>0.29995810640971932</v>
      </c>
      <c r="DI377" s="360">
        <f>(DI401+DI405) / DI348</f>
        <v>0.18935095950323091</v>
      </c>
      <c r="DJ377" s="360">
        <f>(DJ401+DJ405) / DJ348</f>
        <v>0.24197478462572253</v>
      </c>
      <c r="DK377" s="293"/>
      <c r="DL377" s="360">
        <f>(DL401+DL405) / DL348</f>
        <v>0.19242999609031866</v>
      </c>
      <c r="DM377" s="360">
        <f>(DM401+DM405) / DM348</f>
        <v>0.19230468033747042</v>
      </c>
      <c r="DN377" s="360">
        <f>(DN401+DN405) / DN348</f>
        <v>0.19236680821682461</v>
      </c>
      <c r="DO377" s="293"/>
      <c r="DP377" s="360">
        <f>(DP401+DP405) / DP348</f>
        <v>0.19381216309498181</v>
      </c>
      <c r="DQ377" s="360">
        <f>(DQ401+DQ405) / DQ348</f>
        <v>0.19302729557838014</v>
      </c>
      <c r="DR377" s="360">
        <f>(DR401+DR405) / DR348</f>
        <v>0.19341467028482179</v>
      </c>
      <c r="DS377" s="293"/>
      <c r="DT377" s="293"/>
      <c r="DU377" s="293"/>
      <c r="DV377" s="293"/>
      <c r="DW377" s="828"/>
      <c r="DX377" s="293"/>
      <c r="DY377" s="293"/>
      <c r="DZ377" s="293"/>
      <c r="EA377" s="293"/>
      <c r="EB377" s="293"/>
      <c r="EC377" s="293"/>
      <c r="ED377" s="293"/>
      <c r="EE377" s="293"/>
      <c r="EF377" s="293"/>
      <c r="EG377" s="293"/>
      <c r="EH377" s="293"/>
      <c r="EI377" s="293"/>
      <c r="EJ377" s="293"/>
      <c r="EK377" s="293"/>
      <c r="EL377" s="293"/>
      <c r="EM377" s="293"/>
      <c r="EN377" s="293"/>
      <c r="EO377" s="293"/>
      <c r="EP377" s="293"/>
      <c r="EQ377" s="293"/>
      <c r="ER377" s="293"/>
      <c r="ES377" s="293"/>
      <c r="ET377" s="293"/>
      <c r="EU377" s="293"/>
      <c r="JW377"/>
    </row>
    <row r="378" spans="1:283" s="332" customFormat="1">
      <c r="A378" s="332" t="s">
        <v>1443</v>
      </c>
      <c r="AN378" s="293"/>
      <c r="AO378" s="293"/>
      <c r="AP378" s="293"/>
      <c r="AQ378" s="293"/>
      <c r="AR378" s="293"/>
      <c r="AS378" s="293"/>
      <c r="AT378" s="293"/>
      <c r="AU378" s="293"/>
      <c r="AV378" s="293"/>
      <c r="AW378" s="293"/>
      <c r="AX378" s="293"/>
      <c r="AY378" s="293"/>
      <c r="AZ378" s="293"/>
      <c r="BA378" s="293"/>
      <c r="BB378" s="293"/>
      <c r="BC378" s="293"/>
      <c r="BD378" s="293"/>
      <c r="BE378" s="293"/>
      <c r="BF378" s="293"/>
      <c r="BG378" s="293"/>
      <c r="BH378" s="293"/>
      <c r="BI378" s="293"/>
      <c r="BJ378" s="293"/>
      <c r="BK378" s="487"/>
      <c r="BL378" s="293"/>
      <c r="BM378" s="293"/>
      <c r="BN378" s="293"/>
      <c r="BO378" s="487"/>
      <c r="BP378" s="293"/>
      <c r="BQ378" s="293"/>
      <c r="BR378" s="293"/>
      <c r="BS378" s="487"/>
      <c r="BT378" s="293"/>
      <c r="BU378" s="293"/>
      <c r="BV378" s="293"/>
      <c r="BW378" s="293"/>
      <c r="BX378" s="293"/>
      <c r="BY378" s="293"/>
      <c r="BZ378" s="293"/>
      <c r="CA378" s="293"/>
      <c r="CB378" s="293"/>
      <c r="CC378" s="293"/>
      <c r="CD378" s="293"/>
      <c r="CE378" s="293"/>
      <c r="CF378" s="293"/>
      <c r="CG378" s="293"/>
      <c r="CH378" s="293"/>
      <c r="CI378" s="293"/>
      <c r="CJ378" s="360">
        <f t="shared" ref="CJ378" si="1105">1-CJ377</f>
        <v>0.72432144757849914</v>
      </c>
      <c r="CK378" s="360">
        <f t="shared" ref="CK378" si="1106">1-CK377</f>
        <v>0.68969239071775501</v>
      </c>
      <c r="CL378" s="360">
        <f t="shared" ref="CL378" si="1107">1-CL377</f>
        <v>0.70712754555198287</v>
      </c>
      <c r="CM378" s="360"/>
      <c r="CN378" s="360">
        <f t="shared" ref="CN378" si="1108">1-CN377</f>
        <v>0.71939631078814981</v>
      </c>
      <c r="CO378" s="360">
        <f t="shared" ref="CO378" si="1109">1-CO377</f>
        <v>0.69461756373937678</v>
      </c>
      <c r="CP378" s="360">
        <f t="shared" ref="CP378" si="1110">1-CP377</f>
        <v>0.70709060213843555</v>
      </c>
      <c r="CQ378" s="360"/>
      <c r="CR378" s="360">
        <f t="shared" ref="CR378" si="1111">1-CR377</f>
        <v>0.64869418702611625</v>
      </c>
      <c r="CS378" s="360">
        <f t="shared" ref="CS378" si="1112">1-CS377</f>
        <v>0.73987206823027718</v>
      </c>
      <c r="CT378" s="360">
        <f t="shared" ref="CT378" si="1113">1-CT377</f>
        <v>0.70160862648046662</v>
      </c>
      <c r="CU378" s="360"/>
      <c r="CV378" s="360">
        <f t="shared" ref="CV378" si="1114">1-CV377</f>
        <v>0.6978886756238003</v>
      </c>
      <c r="CW378" s="360">
        <f t="shared" ref="CW378" si="1115">1-CW377</f>
        <v>0.68329070758738286</v>
      </c>
      <c r="CX378" s="360">
        <f t="shared" ref="CX378" si="1116">1-CX377</f>
        <v>0.69097152090486769</v>
      </c>
      <c r="CY378" s="360"/>
      <c r="CZ378" s="360">
        <f>1-CZ377</f>
        <v>0.56231541642055527</v>
      </c>
      <c r="DA378" s="360">
        <f t="shared" ref="DA378:DB378" si="1117">1-DA377</f>
        <v>0.64434740417273173</v>
      </c>
      <c r="DB378" s="360">
        <f t="shared" si="1117"/>
        <v>0.60735215769845496</v>
      </c>
      <c r="DC378" s="360"/>
      <c r="DD378" s="360">
        <f t="shared" ref="DD378" si="1118">1-DD377</f>
        <v>0.64691478942213521</v>
      </c>
      <c r="DE378" s="360">
        <f t="shared" ref="DE378" si="1119">1-DE377</f>
        <v>0.70800627943485084</v>
      </c>
      <c r="DF378" s="360">
        <f t="shared" ref="DF378" si="1120">1-DF377</f>
        <v>0.68082788671023964</v>
      </c>
      <c r="DG378" s="360"/>
      <c r="DH378" s="360">
        <f t="shared" ref="DH378" si="1121">1-DH377</f>
        <v>0.70004189359028068</v>
      </c>
      <c r="DI378" s="360">
        <f t="shared" ref="DI378" si="1122">1-DI377</f>
        <v>0.81064904049676911</v>
      </c>
      <c r="DJ378" s="360">
        <f t="shared" ref="DJ378" si="1123">1-DJ377</f>
        <v>0.75802521537427747</v>
      </c>
      <c r="DK378" s="360"/>
      <c r="DL378" s="360">
        <f t="shared" ref="DL378" si="1124">1-DL377</f>
        <v>0.80757000390968137</v>
      </c>
      <c r="DM378" s="360">
        <f t="shared" ref="DM378" si="1125">1-DM377</f>
        <v>0.80769531966252961</v>
      </c>
      <c r="DN378" s="360">
        <f t="shared" ref="DN378" si="1126">1-DN377</f>
        <v>0.80763319178317539</v>
      </c>
      <c r="DO378" s="360"/>
      <c r="DP378" s="360">
        <f t="shared" ref="DP378" si="1127">1-DP377</f>
        <v>0.80618783690501816</v>
      </c>
      <c r="DQ378" s="360">
        <f t="shared" ref="DQ378" si="1128">1-DQ377</f>
        <v>0.80697270442161984</v>
      </c>
      <c r="DR378" s="360">
        <f t="shared" ref="DR378" si="1129">1-DR377</f>
        <v>0.80658532971517816</v>
      </c>
      <c r="DS378" s="360"/>
      <c r="DT378" s="293"/>
      <c r="DU378" s="293"/>
      <c r="DV378" s="293"/>
      <c r="DW378" s="828"/>
      <c r="DX378" s="293"/>
      <c r="DY378" s="293"/>
      <c r="DZ378" s="293"/>
      <c r="EA378" s="293"/>
      <c r="EB378" s="293"/>
      <c r="EC378" s="293"/>
      <c r="ED378" s="293"/>
      <c r="EE378" s="293"/>
      <c r="EF378" s="293"/>
      <c r="EG378" s="293"/>
      <c r="EH378" s="293"/>
      <c r="EI378" s="293"/>
      <c r="EJ378" s="293"/>
      <c r="EK378" s="293"/>
      <c r="EL378" s="293"/>
      <c r="EM378" s="293"/>
      <c r="EN378" s="293"/>
      <c r="EO378" s="293"/>
      <c r="EP378" s="293"/>
      <c r="EQ378" s="293"/>
      <c r="ER378" s="293"/>
      <c r="ES378" s="293"/>
      <c r="ET378" s="293"/>
      <c r="EU378" s="293"/>
      <c r="JW378"/>
    </row>
    <row r="379" spans="1:283" s="332" customFormat="1">
      <c r="AN379" s="293"/>
      <c r="AO379" s="293"/>
      <c r="AP379" s="293"/>
      <c r="AQ379" s="293"/>
      <c r="AR379" s="293"/>
      <c r="AS379" s="293"/>
      <c r="AT379" s="293"/>
      <c r="AU379" s="293"/>
      <c r="AV379" s="293"/>
      <c r="AW379" s="293"/>
      <c r="AX379" s="293"/>
      <c r="AY379" s="293"/>
      <c r="AZ379" s="293"/>
      <c r="BA379" s="293"/>
      <c r="BB379" s="293"/>
      <c r="BC379" s="293"/>
      <c r="BD379" s="293"/>
      <c r="BE379" s="293"/>
      <c r="BF379" s="293"/>
      <c r="BG379" s="293"/>
      <c r="BH379" s="293"/>
      <c r="BI379" s="293"/>
      <c r="BJ379" s="293"/>
      <c r="BK379" s="487"/>
      <c r="BL379" s="293"/>
      <c r="BM379" s="293"/>
      <c r="BN379" s="293"/>
      <c r="BO379" s="487"/>
      <c r="BP379" s="293"/>
      <c r="BQ379" s="293"/>
      <c r="BR379" s="293"/>
      <c r="BS379" s="487"/>
      <c r="BT379" s="293"/>
      <c r="BU379" s="293"/>
      <c r="BV379" s="293"/>
      <c r="BW379" s="293"/>
      <c r="BX379" s="293"/>
      <c r="BY379" s="293"/>
      <c r="BZ379" s="293"/>
      <c r="CA379" s="293"/>
      <c r="CB379" s="293"/>
      <c r="CC379" s="293"/>
      <c r="CD379" s="293"/>
      <c r="CE379" s="293"/>
      <c r="CF379" s="293"/>
      <c r="CG379" s="293"/>
      <c r="CH379" s="293"/>
      <c r="CI379" s="293"/>
      <c r="CJ379" s="293"/>
      <c r="CK379" s="293"/>
      <c r="CL379" s="293"/>
      <c r="CM379" s="293"/>
      <c r="CN379" s="293"/>
      <c r="CO379" s="293"/>
      <c r="CP379" s="293"/>
      <c r="CQ379" s="293"/>
      <c r="CR379" s="293"/>
      <c r="CS379" s="293"/>
      <c r="CT379" s="293"/>
      <c r="CU379" s="293"/>
      <c r="CV379" s="293"/>
      <c r="CW379" s="293"/>
      <c r="CX379" s="293"/>
      <c r="CY379" s="293"/>
      <c r="CZ379" s="293"/>
      <c r="DA379" s="293"/>
      <c r="DB379" s="293"/>
      <c r="DC379" s="293"/>
      <c r="DD379" s="293"/>
      <c r="DE379" s="293"/>
      <c r="DF379" s="293"/>
      <c r="DG379" s="293"/>
      <c r="DH379" s="293"/>
      <c r="DI379" s="293"/>
      <c r="DJ379" s="293"/>
      <c r="DK379" s="293"/>
      <c r="DL379" s="293"/>
      <c r="DM379" s="293"/>
      <c r="DN379" s="293"/>
      <c r="DO379" s="293"/>
      <c r="DP379" s="293"/>
      <c r="DQ379" s="293"/>
      <c r="DR379" s="293"/>
      <c r="DS379" s="293"/>
      <c r="DT379" s="293"/>
      <c r="DU379" s="293"/>
      <c r="DV379" s="293"/>
      <c r="DW379" s="828"/>
      <c r="DX379" s="293"/>
      <c r="DY379" s="293"/>
      <c r="DZ379" s="293"/>
      <c r="EA379" s="293"/>
      <c r="EB379" s="293"/>
      <c r="EC379" s="293"/>
      <c r="ED379" s="293"/>
      <c r="EE379" s="293"/>
      <c r="EF379" s="293"/>
      <c r="EG379" s="293"/>
      <c r="EH379" s="293"/>
      <c r="EI379" s="293"/>
      <c r="EJ379" s="293"/>
      <c r="EK379" s="293"/>
      <c r="EL379" s="293"/>
      <c r="EM379" s="293"/>
      <c r="EN379" s="293"/>
      <c r="EO379" s="293"/>
      <c r="EP379" s="293"/>
      <c r="EQ379" s="293"/>
      <c r="ER379" s="293"/>
      <c r="ES379" s="293"/>
      <c r="ET379" s="293"/>
      <c r="EU379" s="293"/>
      <c r="JW379"/>
    </row>
    <row r="380" spans="1:283" s="332" customFormat="1">
      <c r="AN380" s="293"/>
      <c r="AO380" s="293"/>
      <c r="AP380" s="293"/>
      <c r="AQ380" s="293"/>
      <c r="AR380" s="293"/>
      <c r="AS380" s="293"/>
      <c r="AT380" s="293"/>
      <c r="AU380" s="293"/>
      <c r="AV380" s="293"/>
      <c r="AW380" s="293"/>
      <c r="AX380" s="293"/>
      <c r="AY380" s="293"/>
      <c r="AZ380" s="293"/>
      <c r="BA380" s="293"/>
      <c r="BB380" s="293"/>
      <c r="BC380" s="293"/>
      <c r="BD380" s="293"/>
      <c r="BE380" s="293"/>
      <c r="BF380" s="293"/>
      <c r="BG380" s="293"/>
      <c r="BH380" s="293"/>
      <c r="BI380" s="293"/>
      <c r="BJ380" s="293"/>
      <c r="BK380" s="487"/>
      <c r="BL380" s="293"/>
      <c r="BM380" s="293"/>
      <c r="BN380" s="293"/>
      <c r="BO380" s="487"/>
      <c r="BP380" s="293"/>
      <c r="BQ380" s="293"/>
      <c r="BR380" s="293"/>
      <c r="BS380" s="487"/>
      <c r="BT380" s="293"/>
      <c r="BU380" s="293"/>
      <c r="BV380" s="293"/>
      <c r="BW380" s="293"/>
      <c r="BX380" s="293"/>
      <c r="BY380" s="293"/>
      <c r="BZ380" s="293"/>
      <c r="CA380" s="293"/>
      <c r="CB380" s="293"/>
      <c r="CC380" s="293"/>
      <c r="CD380" s="293"/>
      <c r="CE380" s="293"/>
      <c r="CF380" s="293"/>
      <c r="CG380" s="293"/>
      <c r="CH380" s="293"/>
      <c r="CI380" s="293"/>
      <c r="CJ380" s="293"/>
      <c r="CK380" s="293"/>
      <c r="CL380" s="293"/>
      <c r="CM380" s="293"/>
      <c r="CN380" s="293"/>
      <c r="CO380" s="293"/>
      <c r="CP380" s="293"/>
      <c r="CQ380" s="293"/>
      <c r="CR380" s="293"/>
      <c r="CS380" s="293"/>
      <c r="CT380" s="293"/>
      <c r="CU380" s="293"/>
      <c r="CV380" s="293"/>
      <c r="CW380" s="293"/>
      <c r="CX380" s="293"/>
      <c r="CY380" s="293"/>
      <c r="CZ380" s="293"/>
      <c r="DA380" s="293"/>
      <c r="DB380" s="293"/>
      <c r="DC380" s="293"/>
      <c r="DD380" s="293"/>
      <c r="DE380" s="293"/>
      <c r="DF380" s="293"/>
      <c r="DG380" s="293"/>
      <c r="DH380" s="293"/>
      <c r="DI380" s="293"/>
      <c r="DJ380" s="293"/>
      <c r="DK380" s="293"/>
      <c r="DL380" s="293"/>
      <c r="DM380" s="293"/>
      <c r="DN380" s="293"/>
      <c r="DO380" s="293"/>
      <c r="DP380" s="293"/>
      <c r="DQ380" s="293"/>
      <c r="DR380" s="293"/>
      <c r="DS380" s="293"/>
      <c r="DT380" s="293"/>
      <c r="DU380" s="293"/>
      <c r="DV380" s="293"/>
      <c r="DW380" s="828"/>
      <c r="DX380" s="293"/>
      <c r="DY380" s="293"/>
      <c r="DZ380" s="293"/>
      <c r="EA380" s="293"/>
      <c r="EB380" s="293"/>
      <c r="EC380" s="293"/>
      <c r="ED380" s="293"/>
      <c r="EE380" s="293"/>
      <c r="EF380" s="293"/>
      <c r="EG380" s="293"/>
      <c r="EH380" s="293"/>
      <c r="EI380" s="293"/>
      <c r="EJ380" s="293"/>
      <c r="EK380" s="293"/>
      <c r="EL380" s="293"/>
      <c r="EM380" s="293"/>
      <c r="EN380" s="293"/>
      <c r="EO380" s="293"/>
      <c r="EP380" s="293"/>
      <c r="EQ380" s="293"/>
      <c r="ER380" s="293"/>
      <c r="ES380" s="293"/>
      <c r="ET380" s="293"/>
      <c r="EU380" s="293"/>
      <c r="JW380"/>
    </row>
    <row r="381" spans="1:283" s="2166" customFormat="1" ht="15.6">
      <c r="A381" s="2166" t="s">
        <v>1444</v>
      </c>
    </row>
    <row r="382" spans="1:283" s="332" customFormat="1">
      <c r="A382" s="327" t="s">
        <v>1445</v>
      </c>
      <c r="AN382" s="293"/>
      <c r="AO382" s="293"/>
      <c r="AP382" s="293"/>
      <c r="AQ382" s="293"/>
      <c r="AR382" s="293"/>
      <c r="AS382" s="293"/>
      <c r="AT382" s="293"/>
      <c r="AU382" s="293"/>
      <c r="AV382" s="293"/>
      <c r="AW382" s="293"/>
      <c r="AX382" s="293"/>
      <c r="AY382" s="293"/>
      <c r="AZ382" s="293"/>
      <c r="BA382" s="293"/>
      <c r="BB382" s="293"/>
      <c r="BC382" s="293"/>
      <c r="BD382" s="293"/>
      <c r="BE382" s="293"/>
      <c r="BF382" s="293"/>
      <c r="BG382" s="293"/>
      <c r="BH382" s="293"/>
      <c r="BI382" s="293"/>
      <c r="BJ382" s="293"/>
      <c r="BK382" s="487"/>
      <c r="BL382" s="293"/>
      <c r="BM382" s="293"/>
      <c r="BN382" s="293"/>
      <c r="BO382" s="487"/>
      <c r="BP382" s="293"/>
      <c r="BQ382" s="293"/>
      <c r="BR382" s="293"/>
      <c r="BS382" s="487"/>
      <c r="BT382" s="293"/>
      <c r="BU382" s="293"/>
      <c r="BV382" s="293"/>
      <c r="BW382" s="293"/>
      <c r="BX382" s="293"/>
      <c r="BY382" s="293"/>
      <c r="BZ382" s="293"/>
      <c r="CA382" s="293"/>
      <c r="CB382" s="293"/>
      <c r="CC382" s="293"/>
      <c r="CD382" s="293"/>
      <c r="CE382" s="293"/>
      <c r="CF382" s="293"/>
      <c r="CG382" s="293"/>
      <c r="CH382" s="293"/>
      <c r="CI382" s="293"/>
      <c r="CJ382" s="295">
        <f>+CJ402+CJ406+CJ347+CJ410</f>
        <v>1130</v>
      </c>
      <c r="CK382" s="295">
        <f>+CK402+CK406+CK347+CK410</f>
        <v>1073</v>
      </c>
      <c r="CL382" s="295">
        <f>+CL402+CL406+CL347+CL410</f>
        <v>2203</v>
      </c>
      <c r="CM382" s="293"/>
      <c r="CN382" s="295">
        <f>+CN402+CN406+CN347+CN410</f>
        <v>1005</v>
      </c>
      <c r="CO382" s="295">
        <f>+CO402+CO406+CO347+CO410</f>
        <v>906</v>
      </c>
      <c r="CP382" s="295">
        <f>+CP402+CP406+CP347+CP410</f>
        <v>1911</v>
      </c>
      <c r="CQ382" s="293"/>
      <c r="CR382" s="295">
        <f>+CR402+CR406+CR347+CR410</f>
        <v>1318</v>
      </c>
      <c r="CS382" s="295">
        <f>+CS402+CS406+CS347+CS410</f>
        <v>1100</v>
      </c>
      <c r="CT382" s="295">
        <f>+CT402+CT406+CT347+CT410</f>
        <v>2418</v>
      </c>
      <c r="CU382" s="293"/>
      <c r="CV382" s="295">
        <f>+CV402+CV406+CV347+CV410</f>
        <v>1158</v>
      </c>
      <c r="CW382" s="295">
        <f>+CW402+CW406+CW347+CW410</f>
        <v>1433</v>
      </c>
      <c r="CX382" s="295">
        <f>+CX402+CX406+CX347+CX410</f>
        <v>2591</v>
      </c>
      <c r="CY382" s="293"/>
      <c r="CZ382" s="295">
        <f>+CZ402+CZ406+CZ347+CZ410</f>
        <v>1114</v>
      </c>
      <c r="DA382" s="295">
        <f>+DA402+DA406+DA347+DA410</f>
        <v>1351</v>
      </c>
      <c r="DB382" s="295">
        <f>+DB402+DB406+DB347+DB410</f>
        <v>2465</v>
      </c>
      <c r="DC382" s="293"/>
      <c r="DD382" s="295">
        <f>+DD402+DD406+DD347+DD410</f>
        <v>1335</v>
      </c>
      <c r="DE382" s="295">
        <f>+DE402+DE406+DE347+DE410</f>
        <v>1405</v>
      </c>
      <c r="DF382" s="295">
        <f>+DF402+DF406+DF347+DF410</f>
        <v>2740</v>
      </c>
      <c r="DG382" s="293"/>
      <c r="DH382" s="295">
        <f>+DH402+DH406+DH347+DH410</f>
        <v>1739</v>
      </c>
      <c r="DI382" s="295">
        <f>+DI402+DI406+DI347+DI410</f>
        <v>1683.562148950959</v>
      </c>
      <c r="DJ382" s="295">
        <f>+DJ402+DJ406+DJ347+DJ410</f>
        <v>3422.562148950959</v>
      </c>
      <c r="DK382" s="293"/>
      <c r="DL382" s="295">
        <f>+DL402+DL406+DL347+DL410</f>
        <v>1580.0951666354858</v>
      </c>
      <c r="DM382" s="295">
        <f>+DM402+DM406+DM347+DM410</f>
        <v>1608.1485019540912</v>
      </c>
      <c r="DN382" s="295">
        <f>+DN402+DN406+DN347+DN410</f>
        <v>3188.2436685895768</v>
      </c>
      <c r="DO382" s="293"/>
      <c r="DP382" s="295">
        <f>+DP402+DP406+DP347+DP410</f>
        <v>1657.0354651187795</v>
      </c>
      <c r="DQ382" s="295">
        <f>+DQ402+DQ406+DQ347+DQ410</f>
        <v>1701.9755142173892</v>
      </c>
      <c r="DR382" s="295">
        <f>+DR402+DR406+DR347+DR410</f>
        <v>3359.0109793361689</v>
      </c>
      <c r="DS382" s="293"/>
      <c r="DT382" s="293"/>
      <c r="DU382" s="293"/>
      <c r="DV382" s="293"/>
      <c r="DW382" s="828"/>
      <c r="DX382" s="293"/>
      <c r="DY382" s="293"/>
      <c r="DZ382" s="293"/>
      <c r="EA382" s="293"/>
      <c r="EB382" s="293"/>
      <c r="EC382" s="293"/>
      <c r="ED382" s="293"/>
      <c r="EE382" s="293"/>
      <c r="EF382" s="293"/>
      <c r="EG382" s="293"/>
      <c r="EH382" s="293"/>
      <c r="EI382" s="293"/>
      <c r="EJ382" s="293"/>
      <c r="EK382" s="293"/>
      <c r="EL382" s="293"/>
      <c r="EM382" s="293"/>
      <c r="EN382" s="293"/>
      <c r="EO382" s="293"/>
      <c r="EP382" s="293"/>
      <c r="EQ382" s="293"/>
      <c r="ER382" s="293"/>
      <c r="ES382" s="293"/>
      <c r="ET382" s="293"/>
      <c r="EU382" s="293"/>
      <c r="JW382"/>
    </row>
    <row r="383" spans="1:283" s="332" customFormat="1">
      <c r="A383" s="1079" t="s">
        <v>1449</v>
      </c>
      <c r="AN383" s="293"/>
      <c r="AO383" s="293"/>
      <c r="AP383" s="293"/>
      <c r="AQ383" s="293"/>
      <c r="AR383" s="293"/>
      <c r="AS383" s="293"/>
      <c r="AT383" s="293"/>
      <c r="AU383" s="293"/>
      <c r="AV383" s="293"/>
      <c r="AW383" s="293"/>
      <c r="AX383" s="293"/>
      <c r="AY383" s="293"/>
      <c r="AZ383" s="293"/>
      <c r="BA383" s="293"/>
      <c r="BB383" s="293"/>
      <c r="BC383" s="293"/>
      <c r="BD383" s="293"/>
      <c r="BE383" s="293"/>
      <c r="BF383" s="293"/>
      <c r="BG383" s="293"/>
      <c r="BH383" s="293"/>
      <c r="BI383" s="293"/>
      <c r="BJ383" s="293"/>
      <c r="BK383" s="487"/>
      <c r="BL383" s="293"/>
      <c r="BM383" s="293"/>
      <c r="BN383" s="293"/>
      <c r="BO383" s="487"/>
      <c r="BP383" s="293"/>
      <c r="BQ383" s="293"/>
      <c r="BR383" s="293"/>
      <c r="BS383" s="487"/>
      <c r="BT383" s="293"/>
      <c r="BU383" s="293"/>
      <c r="BV383" s="293"/>
      <c r="BW383" s="293"/>
      <c r="BX383" s="293"/>
      <c r="BY383" s="293"/>
      <c r="BZ383" s="293"/>
      <c r="CA383" s="293"/>
      <c r="CB383" s="293"/>
      <c r="CC383" s="293"/>
      <c r="CD383" s="293"/>
      <c r="CE383" s="293"/>
      <c r="CF383" s="293"/>
      <c r="CG383" s="293"/>
      <c r="CH383" s="293"/>
      <c r="CI383" s="293"/>
      <c r="CJ383" s="294">
        <f t="shared" ref="CJ383:CL383" si="1130">+CJ382/CJ348</f>
        <v>0.60138371474188401</v>
      </c>
      <c r="CK383" s="294">
        <f t="shared" si="1130"/>
        <v>0.57906098219104152</v>
      </c>
      <c r="CL383" s="294">
        <f t="shared" si="1130"/>
        <v>0.59030010718113612</v>
      </c>
      <c r="CM383" s="293"/>
      <c r="CN383" s="294">
        <f t="shared" ref="CN383:CP383" si="1131">+CN382/CN348</f>
        <v>0.56176634991615426</v>
      </c>
      <c r="CO383" s="294">
        <f t="shared" si="1131"/>
        <v>0.51331444759206801</v>
      </c>
      <c r="CP383" s="294">
        <f t="shared" si="1131"/>
        <v>0.53770399549803038</v>
      </c>
      <c r="CQ383" s="293"/>
      <c r="CR383" s="294">
        <f>+CR382/CR348</f>
        <v>0.55518112889637738</v>
      </c>
      <c r="CS383" s="294">
        <f>+CS382/CS348</f>
        <v>0.33505939689308561</v>
      </c>
      <c r="CT383" s="294">
        <f>+CT382/CT348</f>
        <v>0.42743503623828882</v>
      </c>
      <c r="CU383" s="293"/>
      <c r="CV383" s="294">
        <f t="shared" ref="CV383:CX383" si="1132">+CV382/CV348</f>
        <v>0.44452975047984644</v>
      </c>
      <c r="CW383" s="294">
        <f t="shared" si="1132"/>
        <v>0.61082693947144073</v>
      </c>
      <c r="CX383" s="294">
        <f t="shared" si="1132"/>
        <v>0.52332862048071094</v>
      </c>
      <c r="CY383" s="293"/>
      <c r="CZ383" s="294">
        <f t="shared" ref="CZ383:DB383" si="1133">+CZ382/CZ348</f>
        <v>0.65800354400472538</v>
      </c>
      <c r="DA383" s="294">
        <f t="shared" si="1133"/>
        <v>0.65550703541969912</v>
      </c>
      <c r="DB383" s="294">
        <f t="shared" si="1133"/>
        <v>0.65663292488012781</v>
      </c>
      <c r="DC383" s="293"/>
      <c r="DD383" s="294">
        <f t="shared" ref="DD383:DF383" si="1134">+DD382/DD348</f>
        <v>0.65377081292850148</v>
      </c>
      <c r="DE383" s="294">
        <f t="shared" si="1134"/>
        <v>0.55141287284144425</v>
      </c>
      <c r="DF383" s="294">
        <f t="shared" si="1134"/>
        <v>0.59694989106753815</v>
      </c>
      <c r="DG383" s="293"/>
      <c r="DH383" s="294">
        <f t="shared" ref="DH383" si="1135">+DH382/DH348</f>
        <v>0.72852953498114792</v>
      </c>
      <c r="DI383" s="294">
        <f t="shared" ref="DI383:DJ383" si="1136">+DI382/DI348</f>
        <v>0.64011212711199073</v>
      </c>
      <c r="DJ383" s="294">
        <f t="shared" si="1136"/>
        <v>0.68217868736260689</v>
      </c>
      <c r="DK383" s="293"/>
      <c r="DL383" s="294">
        <f t="shared" ref="DL383:DN383" si="1137">+DL382/DL348</f>
        <v>0.7679704380513408</v>
      </c>
      <c r="DM383" s="294">
        <f t="shared" si="1137"/>
        <v>0.76849350000507166</v>
      </c>
      <c r="DN383" s="294">
        <f t="shared" si="1137"/>
        <v>0.76823418121060627</v>
      </c>
      <c r="DO383" s="293"/>
      <c r="DP383" s="294">
        <f t="shared" ref="DP383:DR383" si="1138">+DP382/DP348</f>
        <v>0.77868006624365382</v>
      </c>
      <c r="DQ383" s="294">
        <f t="shared" si="1138"/>
        <v>0.77943973852288084</v>
      </c>
      <c r="DR383" s="294">
        <f t="shared" si="1138"/>
        <v>0.77906479903318004</v>
      </c>
      <c r="DS383" s="293"/>
      <c r="DT383" s="293"/>
      <c r="DU383" s="293"/>
      <c r="DV383" s="293"/>
      <c r="DW383" s="828"/>
      <c r="DX383" s="293"/>
      <c r="DY383" s="293"/>
      <c r="DZ383" s="293"/>
      <c r="EA383" s="293"/>
      <c r="EB383" s="293"/>
      <c r="EC383" s="293"/>
      <c r="ED383" s="293"/>
      <c r="EE383" s="293"/>
      <c r="EF383" s="293"/>
      <c r="EG383" s="293"/>
      <c r="EH383" s="293"/>
      <c r="EI383" s="293"/>
      <c r="EJ383" s="293"/>
      <c r="EK383" s="293"/>
      <c r="EL383" s="293"/>
      <c r="EM383" s="293"/>
      <c r="EN383" s="293"/>
      <c r="EO383" s="293"/>
      <c r="EP383" s="293"/>
      <c r="EQ383" s="293"/>
      <c r="ER383" s="293"/>
      <c r="ES383" s="293"/>
      <c r="ET383" s="293"/>
      <c r="EU383" s="293"/>
      <c r="JW383"/>
    </row>
    <row r="384" spans="1:283" s="332" customFormat="1">
      <c r="A384" s="327"/>
      <c r="AN384" s="293"/>
      <c r="AO384" s="293"/>
      <c r="AP384" s="293"/>
      <c r="AQ384" s="293"/>
      <c r="AR384" s="293"/>
      <c r="AS384" s="293"/>
      <c r="AT384" s="293"/>
      <c r="AU384" s="293"/>
      <c r="AV384" s="293"/>
      <c r="AW384" s="293"/>
      <c r="AX384" s="293"/>
      <c r="AY384" s="293"/>
      <c r="AZ384" s="293"/>
      <c r="BA384" s="293"/>
      <c r="BB384" s="293"/>
      <c r="BC384" s="293"/>
      <c r="BD384" s="293"/>
      <c r="BE384" s="293"/>
      <c r="BF384" s="293"/>
      <c r="BG384" s="293"/>
      <c r="BH384" s="293"/>
      <c r="BI384" s="293"/>
      <c r="BJ384" s="293"/>
      <c r="BK384" s="487"/>
      <c r="BL384" s="293"/>
      <c r="BM384" s="293"/>
      <c r="BN384" s="293"/>
      <c r="BO384" s="487"/>
      <c r="BP384" s="293"/>
      <c r="BQ384" s="293"/>
      <c r="BR384" s="293"/>
      <c r="BS384" s="487"/>
      <c r="BT384" s="293"/>
      <c r="BU384" s="293"/>
      <c r="BV384" s="293"/>
      <c r="BW384" s="293"/>
      <c r="BX384" s="293"/>
      <c r="BY384" s="293"/>
      <c r="BZ384" s="293"/>
      <c r="CA384" s="293"/>
      <c r="CB384" s="293"/>
      <c r="CC384" s="293"/>
      <c r="CD384" s="293"/>
      <c r="CE384" s="293"/>
      <c r="CF384" s="293"/>
      <c r="CG384" s="293"/>
      <c r="CH384" s="293"/>
      <c r="CI384" s="293"/>
      <c r="CJ384" s="295"/>
      <c r="CK384" s="295"/>
      <c r="CL384" s="295"/>
      <c r="CM384" s="293"/>
      <c r="CN384" s="295"/>
      <c r="CO384" s="295"/>
      <c r="CP384" s="295"/>
      <c r="CQ384" s="293"/>
      <c r="CR384" s="295"/>
      <c r="CS384" s="295"/>
      <c r="CT384" s="295"/>
      <c r="CU384" s="293"/>
      <c r="CV384" s="295"/>
      <c r="CW384" s="295"/>
      <c r="CX384" s="295"/>
      <c r="CY384" s="293"/>
      <c r="CZ384" s="295"/>
      <c r="DA384" s="295"/>
      <c r="DB384" s="295"/>
      <c r="DC384" s="293"/>
      <c r="DD384" s="295"/>
      <c r="DE384" s="295"/>
      <c r="DF384" s="295"/>
      <c r="DG384" s="293"/>
      <c r="DH384" s="295"/>
      <c r="DI384" s="295"/>
      <c r="DJ384" s="295"/>
      <c r="DK384" s="293"/>
      <c r="DL384" s="295"/>
      <c r="DM384" s="295"/>
      <c r="DN384" s="295"/>
      <c r="DO384" s="293"/>
      <c r="DP384" s="295"/>
      <c r="DQ384" s="295"/>
      <c r="DR384" s="295"/>
      <c r="DS384" s="293"/>
      <c r="DT384" s="293"/>
      <c r="DU384" s="293"/>
      <c r="DV384" s="293"/>
      <c r="DW384" s="828"/>
      <c r="DX384" s="293"/>
      <c r="DY384" s="293"/>
      <c r="DZ384" s="293"/>
      <c r="EA384" s="293"/>
      <c r="EB384" s="293"/>
      <c r="EC384" s="293"/>
      <c r="ED384" s="293"/>
      <c r="EE384" s="293"/>
      <c r="EF384" s="293"/>
      <c r="EG384" s="293"/>
      <c r="EH384" s="293"/>
      <c r="EI384" s="293"/>
      <c r="EJ384" s="293"/>
      <c r="EK384" s="293"/>
      <c r="EL384" s="293"/>
      <c r="EM384" s="293"/>
      <c r="EN384" s="293"/>
      <c r="EO384" s="293"/>
      <c r="EP384" s="293"/>
      <c r="EQ384" s="293"/>
      <c r="ER384" s="293"/>
      <c r="ES384" s="293"/>
      <c r="ET384" s="293"/>
      <c r="EU384" s="293"/>
      <c r="JW384"/>
    </row>
    <row r="385" spans="1:283" s="332" customFormat="1">
      <c r="A385" s="332" t="s">
        <v>1446</v>
      </c>
      <c r="AN385" s="293"/>
      <c r="AO385" s="293"/>
      <c r="AP385" s="293"/>
      <c r="AQ385" s="293"/>
      <c r="AR385" s="293"/>
      <c r="AS385" s="293"/>
      <c r="AT385" s="293"/>
      <c r="AU385" s="293"/>
      <c r="AV385" s="293"/>
      <c r="AW385" s="293"/>
      <c r="AX385" s="293"/>
      <c r="AY385" s="293"/>
      <c r="AZ385" s="293"/>
      <c r="BA385" s="293"/>
      <c r="BB385" s="293"/>
      <c r="BC385" s="293"/>
      <c r="BD385" s="293"/>
      <c r="BE385" s="293"/>
      <c r="BF385" s="293"/>
      <c r="BG385" s="293"/>
      <c r="BH385" s="293"/>
      <c r="BI385" s="293"/>
      <c r="BJ385" s="293"/>
      <c r="BK385" s="487"/>
      <c r="BL385" s="293"/>
      <c r="BM385" s="293"/>
      <c r="BN385" s="293"/>
      <c r="BO385" s="487"/>
      <c r="BP385" s="293"/>
      <c r="BQ385" s="293"/>
      <c r="BR385" s="293"/>
      <c r="BS385" s="487"/>
      <c r="BT385" s="293"/>
      <c r="BU385" s="293"/>
      <c r="BV385" s="293"/>
      <c r="BW385" s="293"/>
      <c r="BX385" s="293"/>
      <c r="BY385" s="293"/>
      <c r="BZ385" s="293"/>
      <c r="CA385" s="293"/>
      <c r="CB385" s="293"/>
      <c r="CC385" s="293"/>
      <c r="CD385" s="293"/>
      <c r="CE385" s="293"/>
      <c r="CF385" s="293"/>
      <c r="CG385" s="293"/>
      <c r="CH385" s="293"/>
      <c r="CI385" s="293"/>
      <c r="CJ385" s="293">
        <f t="shared" ref="CJ385:CK385" si="1139">+CJ378*CJ353</f>
        <v>-546.86269292176689</v>
      </c>
      <c r="CK385" s="293">
        <f t="shared" si="1139"/>
        <v>-551.06422018348621</v>
      </c>
      <c r="CL385" s="2172">
        <f t="shared" ref="CL385:CL386" si="1140">+CK385+CJ385</f>
        <v>-1097.9269131052531</v>
      </c>
      <c r="CM385" s="293"/>
      <c r="CN385" s="293">
        <f t="shared" ref="CN385:CO385" si="1141">+CN378*CN353</f>
        <v>-518.68474007825603</v>
      </c>
      <c r="CO385" s="293">
        <f t="shared" si="1141"/>
        <v>-523.04702549575074</v>
      </c>
      <c r="CP385" s="2172">
        <f t="shared" ref="CP385:CP386" si="1142">+CO385+CN385</f>
        <v>-1041.7317655740067</v>
      </c>
      <c r="CQ385" s="293"/>
      <c r="CR385" s="293">
        <f>+CR378*CR353</f>
        <v>-831.62594776748108</v>
      </c>
      <c r="CS385" s="293">
        <f>+CS378*CS353</f>
        <v>-998.08742004264388</v>
      </c>
      <c r="CT385" s="2172">
        <f>+CS385+CR385</f>
        <v>-1829.713367810125</v>
      </c>
      <c r="CU385" s="293"/>
      <c r="CV385" s="293">
        <f t="shared" ref="CV385:CW385" si="1143">+CV378*CV353</f>
        <v>-835.37274472168895</v>
      </c>
      <c r="CW385" s="293">
        <f t="shared" si="1143"/>
        <v>-955.24040920716129</v>
      </c>
      <c r="CX385" s="2172">
        <f t="shared" ref="CX385:CX386" si="1144">+CW385+CV385</f>
        <v>-1790.6131539288504</v>
      </c>
      <c r="CY385" s="293"/>
      <c r="CZ385" s="293">
        <f t="shared" ref="CZ385:DA385" si="1145">+CZ378*CZ353</f>
        <v>-731.01004134672189</v>
      </c>
      <c r="DA385" s="293">
        <f t="shared" si="1145"/>
        <v>-811.23338185346927</v>
      </c>
      <c r="DB385" s="2172">
        <f t="shared" ref="DB385:DB386" si="1146">+DA385+CZ385</f>
        <v>-1542.243423200191</v>
      </c>
      <c r="DC385" s="293"/>
      <c r="DD385" s="293">
        <f t="shared" ref="DD385:DE385" si="1147">+DD378*DD353</f>
        <v>-787.29529872673857</v>
      </c>
      <c r="DE385" s="293">
        <f t="shared" si="1147"/>
        <v>-918.99215070643641</v>
      </c>
      <c r="DF385" s="2172">
        <f t="shared" ref="DF385:DF386" si="1148">+DE385+DD385</f>
        <v>-1706.287449433175</v>
      </c>
      <c r="DG385" s="293"/>
      <c r="DH385" s="293">
        <f t="shared" ref="DH385" si="1149">+DH378*DH353</f>
        <v>-837.95014662756603</v>
      </c>
      <c r="DI385" s="293">
        <f t="shared" ref="DI385" si="1150">+DI378*DI353</f>
        <v>-983.1364794929159</v>
      </c>
      <c r="DJ385" s="2172">
        <f t="shared" ref="DJ385:DJ386" si="1151">+DI385+DH385</f>
        <v>-1821.0866261204819</v>
      </c>
      <c r="DK385" s="293"/>
      <c r="DL385" s="293">
        <f t="shared" ref="DL385:DM385" si="1152">+DL378*DL353</f>
        <v>-869.82140516399249</v>
      </c>
      <c r="DM385" s="293">
        <f t="shared" si="1152"/>
        <v>-976.82120747348472</v>
      </c>
      <c r="DN385" s="2172">
        <f t="shared" ref="DN385:DN386" si="1153">+DM385+DL385</f>
        <v>-1846.6426126374772</v>
      </c>
      <c r="DO385" s="293"/>
      <c r="DP385" s="293">
        <f t="shared" ref="DP385:DQ385" si="1154">+DP378*DP353</f>
        <v>-905.6154682313537</v>
      </c>
      <c r="DQ385" s="293">
        <f t="shared" si="1154"/>
        <v>-1021.8298633697028</v>
      </c>
      <c r="DR385" s="2172">
        <f t="shared" ref="DR385:DR386" si="1155">+DQ385+DP385</f>
        <v>-1927.4453316010565</v>
      </c>
      <c r="DS385" s="293"/>
      <c r="DT385" s="293"/>
      <c r="DU385" s="293"/>
      <c r="DV385" s="293"/>
      <c r="DW385" s="828"/>
      <c r="DX385" s="293"/>
      <c r="DY385" s="293"/>
      <c r="DZ385" s="293"/>
      <c r="EA385" s="293"/>
      <c r="EB385" s="293"/>
      <c r="EC385" s="293"/>
      <c r="ED385" s="293"/>
      <c r="EE385" s="293"/>
      <c r="EF385" s="293"/>
      <c r="EG385" s="293"/>
      <c r="EH385" s="293"/>
      <c r="EI385" s="293"/>
      <c r="EJ385" s="293"/>
      <c r="EK385" s="293"/>
      <c r="EL385" s="293"/>
      <c r="EM385" s="293"/>
      <c r="EN385" s="293"/>
      <c r="EO385" s="293"/>
      <c r="EP385" s="293"/>
      <c r="EQ385" s="293"/>
      <c r="ER385" s="293"/>
      <c r="ES385" s="293"/>
      <c r="ET385" s="293"/>
      <c r="EU385" s="293"/>
      <c r="JW385"/>
    </row>
    <row r="386" spans="1:283" s="332" customFormat="1">
      <c r="A386" s="332" t="s">
        <v>1450</v>
      </c>
      <c r="AN386" s="293"/>
      <c r="AO386" s="293"/>
      <c r="AP386" s="293"/>
      <c r="AQ386" s="293"/>
      <c r="AR386" s="293"/>
      <c r="AS386" s="293"/>
      <c r="AT386" s="293"/>
      <c r="AU386" s="293"/>
      <c r="AV386" s="293"/>
      <c r="AW386" s="293"/>
      <c r="AX386" s="293"/>
      <c r="AY386" s="293"/>
      <c r="AZ386" s="293"/>
      <c r="BA386" s="293"/>
      <c r="BB386" s="293"/>
      <c r="BC386" s="293"/>
      <c r="BD386" s="293"/>
      <c r="BE386" s="293"/>
      <c r="BF386" s="293"/>
      <c r="BG386" s="293"/>
      <c r="BH386" s="293"/>
      <c r="BI386" s="293"/>
      <c r="BJ386" s="293"/>
      <c r="BK386" s="487"/>
      <c r="BL386" s="293"/>
      <c r="BM386" s="293"/>
      <c r="BN386" s="293"/>
      <c r="BO386" s="487"/>
      <c r="BP386" s="293"/>
      <c r="BQ386" s="293"/>
      <c r="BR386" s="293"/>
      <c r="BS386" s="487"/>
      <c r="BT386" s="293"/>
      <c r="BU386" s="293"/>
      <c r="BV386" s="293"/>
      <c r="BW386" s="293"/>
      <c r="BX386" s="293"/>
      <c r="BY386" s="293"/>
      <c r="BZ386" s="293"/>
      <c r="CA386" s="293"/>
      <c r="CB386" s="293"/>
      <c r="CC386" s="293"/>
      <c r="CD386" s="293"/>
      <c r="CE386" s="293"/>
      <c r="CF386" s="293"/>
      <c r="CG386" s="293"/>
      <c r="CH386" s="293"/>
      <c r="CI386" s="293"/>
      <c r="CJ386" s="293">
        <f>-'P&amp;L'!CJ1049*CJ378</f>
        <v>-205.06988823842468</v>
      </c>
      <c r="CK386" s="293">
        <f>-'P&amp;L'!CK1049*CK378</f>
        <v>-177.14059363194821</v>
      </c>
      <c r="CL386" s="2172">
        <f t="shared" si="1140"/>
        <v>-382.21048187037286</v>
      </c>
      <c r="CM386" s="293"/>
      <c r="CN386" s="293">
        <f>-'P&amp;L'!CN1049*CN378</f>
        <v>-214.08514812744554</v>
      </c>
      <c r="CO386" s="293">
        <f>-'P&amp;L'!CO1049*CO378</f>
        <v>-220.29796033994333</v>
      </c>
      <c r="CP386" s="2172">
        <f t="shared" si="1142"/>
        <v>-434.38310846738887</v>
      </c>
      <c r="CQ386" s="293"/>
      <c r="CR386" s="293">
        <f>-'P&amp;L'!CR1049*CR378</f>
        <v>-214.03016006739676</v>
      </c>
      <c r="CS386" s="293">
        <f>-'P&amp;L'!CS1049*CS378</f>
        <v>-440.76398720682306</v>
      </c>
      <c r="CT386" s="2172">
        <f>+CS386+CR386</f>
        <v>-654.79414727421977</v>
      </c>
      <c r="CU386" s="293"/>
      <c r="CV386" s="293">
        <f>-'P&amp;L'!CV1049*CV378</f>
        <v>-297.68441458733201</v>
      </c>
      <c r="CW386" s="293">
        <f>-'P&amp;L'!CW1049*CW378</f>
        <v>-184.6661466325661</v>
      </c>
      <c r="CX386" s="2172">
        <f t="shared" si="1144"/>
        <v>-482.35056121989811</v>
      </c>
      <c r="CY386" s="293"/>
      <c r="CZ386" s="293">
        <f>-'P&amp;L'!CZ1049*CZ378</f>
        <v>-166.47910218546957</v>
      </c>
      <c r="DA386" s="293">
        <f>-'P&amp;L'!DA1049*DA378</f>
        <v>-287.13409024745272</v>
      </c>
      <c r="DB386" s="2172">
        <f t="shared" si="1146"/>
        <v>-453.61319243292229</v>
      </c>
      <c r="DC386" s="293"/>
      <c r="DD386" s="293">
        <f>-'P&amp;L'!DD1049*DD378</f>
        <v>-283.76270323212538</v>
      </c>
      <c r="DE386" s="293">
        <f>-'P&amp;L'!DE1049*DE378</f>
        <v>-473.06147566718982</v>
      </c>
      <c r="DF386" s="2172">
        <f t="shared" si="1148"/>
        <v>-756.82417889931526</v>
      </c>
      <c r="DG386" s="293"/>
      <c r="DH386" s="293">
        <f>-'P&amp;L'!DH1049*DH378</f>
        <v>-421.10320067029744</v>
      </c>
      <c r="DI386" s="293">
        <f>-'P&amp;L'!DI1049*DI378</f>
        <v>-553.30374256571645</v>
      </c>
      <c r="DJ386" s="2172">
        <f t="shared" si="1151"/>
        <v>-974.40694323601383</v>
      </c>
      <c r="DK386" s="293"/>
      <c r="DL386" s="293">
        <f>-'P&amp;L'!DL1049*DL378</f>
        <v>-380.92491993844328</v>
      </c>
      <c r="DM386" s="293">
        <f>-'P&amp;L'!DM1049*DM378</f>
        <v>-368.8037327992277</v>
      </c>
      <c r="DN386" s="2172">
        <f t="shared" si="1153"/>
        <v>-749.72865273767093</v>
      </c>
      <c r="DO386" s="293"/>
      <c r="DP386" s="293">
        <f>-'P&amp;L'!DP1049*DP378</f>
        <v>-384.73747753088259</v>
      </c>
      <c r="DQ386" s="293">
        <f>-'P&amp;L'!DQ1049*DQ378</f>
        <v>-375.01121508746951</v>
      </c>
      <c r="DR386" s="2172">
        <f t="shared" si="1155"/>
        <v>-759.74869261835215</v>
      </c>
      <c r="DS386" s="293"/>
      <c r="DT386" s="293"/>
      <c r="DU386" s="293"/>
      <c r="DV386" s="293"/>
      <c r="DW386" s="828"/>
      <c r="DX386" s="293"/>
      <c r="DY386" s="293"/>
      <c r="DZ386" s="293"/>
      <c r="EA386" s="293"/>
      <c r="EB386" s="293"/>
      <c r="EC386" s="293"/>
      <c r="ED386" s="293"/>
      <c r="EE386" s="293"/>
      <c r="EF386" s="293"/>
      <c r="EG386" s="293"/>
      <c r="EH386" s="293"/>
      <c r="EI386" s="293"/>
      <c r="EJ386" s="293"/>
      <c r="EK386" s="293"/>
      <c r="EL386" s="293"/>
      <c r="EM386" s="293"/>
      <c r="EN386" s="293"/>
      <c r="EO386" s="293"/>
      <c r="EP386" s="293"/>
      <c r="EQ386" s="293"/>
      <c r="ER386" s="293"/>
      <c r="ES386" s="293"/>
      <c r="ET386" s="293"/>
      <c r="EU386" s="293"/>
      <c r="JW386"/>
    </row>
    <row r="387" spans="1:283" s="332" customFormat="1">
      <c r="A387" s="332" t="s">
        <v>1451</v>
      </c>
      <c r="AN387" s="293"/>
      <c r="AO387" s="293"/>
      <c r="AP387" s="293"/>
      <c r="AQ387" s="293"/>
      <c r="AR387" s="293"/>
      <c r="AS387" s="293"/>
      <c r="AT387" s="293"/>
      <c r="AU387" s="293"/>
      <c r="AV387" s="293"/>
      <c r="AW387" s="293"/>
      <c r="AX387" s="293"/>
      <c r="AY387" s="293"/>
      <c r="AZ387" s="293"/>
      <c r="BA387" s="293"/>
      <c r="BB387" s="293"/>
      <c r="BC387" s="293"/>
      <c r="BD387" s="293"/>
      <c r="BE387" s="293"/>
      <c r="BF387" s="293"/>
      <c r="BG387" s="293"/>
      <c r="BH387" s="293"/>
      <c r="BI387" s="293"/>
      <c r="BJ387" s="293"/>
      <c r="BK387" s="487"/>
      <c r="BL387" s="293"/>
      <c r="BM387" s="293"/>
      <c r="BN387" s="293"/>
      <c r="BO387" s="487"/>
      <c r="BP387" s="293"/>
      <c r="BQ387" s="293"/>
      <c r="BR387" s="293"/>
      <c r="BS387" s="487"/>
      <c r="BT387" s="293"/>
      <c r="BU387" s="293"/>
      <c r="BV387" s="293"/>
      <c r="BW387" s="293"/>
      <c r="BX387" s="293"/>
      <c r="BY387" s="293"/>
      <c r="BZ387" s="293"/>
      <c r="CA387" s="293"/>
      <c r="CB387" s="293"/>
      <c r="CC387" s="293"/>
      <c r="CD387" s="293"/>
      <c r="CE387" s="293"/>
      <c r="CF387" s="293"/>
      <c r="CG387" s="293"/>
      <c r="CH387" s="293"/>
      <c r="CI387" s="293"/>
      <c r="CJ387" s="360">
        <f t="shared" ref="CJ387:CL387" si="1156">+CJ406/(CJ406+CJ423+CJ424)</f>
        <v>0.91245791245791241</v>
      </c>
      <c r="CK387" s="360">
        <f t="shared" si="1156"/>
        <v>0.57594936708860756</v>
      </c>
      <c r="CL387" s="360">
        <f t="shared" si="1156"/>
        <v>0.76310861423220977</v>
      </c>
      <c r="CM387" s="293"/>
      <c r="CN387" s="360">
        <f t="shared" ref="CN387:CP387" si="1157">+CN406/(CN406+CN423+CN424)</f>
        <v>0.50429447852760734</v>
      </c>
      <c r="CO387" s="360">
        <f t="shared" si="1157"/>
        <v>0.48827292110874199</v>
      </c>
      <c r="CP387" s="360">
        <f t="shared" si="1157"/>
        <v>0.49844236760124611</v>
      </c>
      <c r="CQ387" s="293"/>
      <c r="CR387" s="360">
        <f>+CR406/(CR406+CR423+CR424)</f>
        <v>0.73949579831932777</v>
      </c>
      <c r="CS387" s="360">
        <f>+CS406/(CS406+CS423+CS424)</f>
        <v>0.12448860315604909</v>
      </c>
      <c r="CT387" s="360">
        <f>+CT406/(CT406+CT423+CT424)</f>
        <v>0.19958953309389429</v>
      </c>
      <c r="CU387" s="293"/>
      <c r="CV387" s="360">
        <f t="shared" ref="CV387:CX387" si="1158">+CV406/(CV406+CV423+CV424)</f>
        <v>0.21274685816876121</v>
      </c>
      <c r="CW387" s="360">
        <f t="shared" si="1158"/>
        <v>0.60052910052910058</v>
      </c>
      <c r="CX387" s="360">
        <f t="shared" si="1158"/>
        <v>0.3695187165775401</v>
      </c>
      <c r="CY387" s="293"/>
      <c r="CZ387" s="360">
        <f t="shared" ref="CZ387:DB387" si="1159">+CZ406/(CZ406+CZ423+CZ424)</f>
        <v>0.82807017543859651</v>
      </c>
      <c r="DA387" s="360">
        <f t="shared" si="1159"/>
        <v>0.56998556998557004</v>
      </c>
      <c r="DB387" s="360">
        <f t="shared" si="1159"/>
        <v>0.64519427402862983</v>
      </c>
      <c r="DC387" s="293"/>
      <c r="DD387" s="360">
        <f t="shared" ref="DD387:DF387" si="1160">+DD406/(DD406+DD423+DD424)</f>
        <v>0.89555555555555555</v>
      </c>
      <c r="DE387" s="360">
        <f t="shared" si="1160"/>
        <v>0.55216284987277353</v>
      </c>
      <c r="DF387" s="360">
        <f t="shared" si="1160"/>
        <v>0.67718446601941751</v>
      </c>
      <c r="DG387" s="293"/>
      <c r="DH387" s="360">
        <f t="shared" ref="DH387" si="1161">+DH406/(DH406+DH423+DH424)</f>
        <v>0.99082568807339455</v>
      </c>
      <c r="DI387" s="360">
        <f t="shared" ref="DI387:DJ387" si="1162">+DI406/(DI406+DI423+DI424)</f>
        <v>0.5488057099949265</v>
      </c>
      <c r="DJ387" s="360">
        <f t="shared" si="1162"/>
        <v>0.71896890151163617</v>
      </c>
      <c r="DK387" s="293"/>
      <c r="DL387" s="360">
        <f t="shared" ref="DL387:DN387" si="1163">+DL406/(DL406+DL423+DL424)</f>
        <v>0.73841522135938809</v>
      </c>
      <c r="DM387" s="360">
        <f t="shared" si="1163"/>
        <v>0.74291746416015769</v>
      </c>
      <c r="DN387" s="360">
        <f t="shared" si="1163"/>
        <v>0.74068588340718899</v>
      </c>
      <c r="DO387" s="293"/>
      <c r="DP387" s="360">
        <f t="shared" ref="DP387:DR387" si="1164">+DP406/(DP406+DP423+DP424)</f>
        <v>0.76552514304188324</v>
      </c>
      <c r="DQ387" s="360">
        <f t="shared" si="1164"/>
        <v>0.77165038893979077</v>
      </c>
      <c r="DR387" s="360">
        <f t="shared" si="1164"/>
        <v>0.768628298244318</v>
      </c>
      <c r="DS387" s="293"/>
      <c r="DT387" s="293"/>
      <c r="DU387" s="293"/>
      <c r="DV387" s="293"/>
      <c r="DW387" s="828"/>
      <c r="DX387" s="293"/>
      <c r="DY387" s="293"/>
      <c r="DZ387" s="293"/>
      <c r="EA387" s="293"/>
      <c r="EB387" s="293"/>
      <c r="EC387" s="293"/>
      <c r="ED387" s="293"/>
      <c r="EE387" s="293"/>
      <c r="EF387" s="293"/>
      <c r="EG387" s="293"/>
      <c r="EH387" s="293"/>
      <c r="EI387" s="293"/>
      <c r="EJ387" s="293"/>
      <c r="EK387" s="293"/>
      <c r="EL387" s="293"/>
      <c r="EM387" s="293"/>
      <c r="EN387" s="293"/>
      <c r="EO387" s="293"/>
      <c r="EP387" s="293"/>
      <c r="EQ387" s="293"/>
      <c r="ER387" s="293"/>
      <c r="ES387" s="293"/>
      <c r="ET387" s="293"/>
      <c r="EU387" s="293"/>
      <c r="JW387"/>
    </row>
    <row r="388" spans="1:283" s="332" customFormat="1">
      <c r="A388" s="332" t="s">
        <v>1448</v>
      </c>
      <c r="AN388" s="293"/>
      <c r="AO388" s="293"/>
      <c r="AP388" s="293"/>
      <c r="AQ388" s="293"/>
      <c r="AR388" s="293"/>
      <c r="AS388" s="293"/>
      <c r="AT388" s="293"/>
      <c r="AU388" s="293"/>
      <c r="AV388" s="293"/>
      <c r="AW388" s="293"/>
      <c r="AX388" s="293"/>
      <c r="AY388" s="293"/>
      <c r="AZ388" s="293"/>
      <c r="BA388" s="293"/>
      <c r="BB388" s="293"/>
      <c r="BC388" s="293"/>
      <c r="BD388" s="293"/>
      <c r="BE388" s="293"/>
      <c r="BF388" s="293"/>
      <c r="BG388" s="293"/>
      <c r="BH388" s="293"/>
      <c r="BI388" s="293"/>
      <c r="BJ388" s="293"/>
      <c r="BK388" s="487"/>
      <c r="BL388" s="293"/>
      <c r="BM388" s="293"/>
      <c r="BN388" s="293"/>
      <c r="BO388" s="487"/>
      <c r="BP388" s="293"/>
      <c r="BQ388" s="293"/>
      <c r="BR388" s="293"/>
      <c r="BS388" s="487"/>
      <c r="BT388" s="293"/>
      <c r="BU388" s="293"/>
      <c r="BV388" s="293"/>
      <c r="BW388" s="293"/>
      <c r="BX388" s="293"/>
      <c r="BY388" s="293"/>
      <c r="BZ388" s="293"/>
      <c r="CA388" s="293"/>
      <c r="CB388" s="293"/>
      <c r="CC388" s="293"/>
      <c r="CD388" s="293"/>
      <c r="CE388" s="293"/>
      <c r="CF388" s="293"/>
      <c r="CG388" s="293"/>
      <c r="CH388" s="293"/>
      <c r="CI388" s="293"/>
      <c r="CJ388" s="293">
        <f t="shared" ref="CJ388:CK388" si="1165">+CJ387*CJ386</f>
        <v>-187.11764213001038</v>
      </c>
      <c r="CK388" s="293">
        <f t="shared" si="1165"/>
        <v>-102.0240127880208</v>
      </c>
      <c r="CL388" s="2172">
        <f t="shared" ref="CL388" si="1166">+CK388+CJ388</f>
        <v>-289.14165491803118</v>
      </c>
      <c r="CM388" s="293"/>
      <c r="CN388" s="293">
        <f t="shared" ref="CN388:CO388" si="1167">+CN387*CN386</f>
        <v>-107.96195813543572</v>
      </c>
      <c r="CO388" s="293">
        <f t="shared" si="1167"/>
        <v>-107.56552860948192</v>
      </c>
      <c r="CP388" s="2172">
        <f t="shared" ref="CP388" si="1168">+CO388+CN388</f>
        <v>-215.52748674491764</v>
      </c>
      <c r="CQ388" s="293"/>
      <c r="CR388" s="293">
        <f>+CR387*CR386</f>
        <v>-158.27440408345308</v>
      </c>
      <c r="CS388" s="293">
        <f>+CS387*CS386</f>
        <v>-54.870093088868096</v>
      </c>
      <c r="CT388" s="2172">
        <f>+CS388+CR388</f>
        <v>-213.14449717232117</v>
      </c>
      <c r="CU388" s="293"/>
      <c r="CV388" s="293">
        <f t="shared" ref="CV388:CW388" si="1169">+CV387*CV386</f>
        <v>-63.331423929261838</v>
      </c>
      <c r="CW388" s="293">
        <f t="shared" si="1169"/>
        <v>-110.89739493542992</v>
      </c>
      <c r="CX388" s="2172">
        <f t="shared" ref="CX388" si="1170">+CW388+CV388</f>
        <v>-174.22881886469176</v>
      </c>
      <c r="CY388" s="293"/>
      <c r="CZ388" s="293">
        <f t="shared" ref="CZ388:DA388" si="1171">+CZ387*CZ386</f>
        <v>-137.85637935358181</v>
      </c>
      <c r="DA388" s="293">
        <f t="shared" si="1171"/>
        <v>-163.66228809198245</v>
      </c>
      <c r="DB388" s="2172">
        <f t="shared" ref="DB388" si="1172">+DA388+CZ388</f>
        <v>-301.51866744556423</v>
      </c>
      <c r="DC388" s="293"/>
      <c r="DD388" s="293">
        <f t="shared" ref="DD388:DE388" si="1173">+DD387*DD386</f>
        <v>-254.12526533899228</v>
      </c>
      <c r="DE388" s="293">
        <f t="shared" si="1173"/>
        <v>-261.20697256941526</v>
      </c>
      <c r="DF388" s="2172">
        <f t="shared" ref="DF388" si="1174">+DE388+DD388</f>
        <v>-515.33223790840748</v>
      </c>
      <c r="DG388" s="293"/>
      <c r="DH388" s="293">
        <f t="shared" ref="DH388" si="1175">+DH387*DH386</f>
        <v>-417.23986855405622</v>
      </c>
      <c r="DI388" s="293">
        <f t="shared" ref="DI388" si="1176">+DI387*DI386</f>
        <v>-303.65625328162804</v>
      </c>
      <c r="DJ388" s="2172">
        <f t="shared" ref="DJ388" si="1177">+DI388+DH388</f>
        <v>-720.8961218356842</v>
      </c>
      <c r="DK388" s="293"/>
      <c r="DL388" s="293">
        <f t="shared" ref="DL388:DM388" si="1178">+DL387*DL386</f>
        <v>-281.28075907765276</v>
      </c>
      <c r="DM388" s="293">
        <f t="shared" si="1178"/>
        <v>-273.99073394400261</v>
      </c>
      <c r="DN388" s="2172">
        <f t="shared" ref="DN388" si="1179">+DM388+DL388</f>
        <v>-555.27149302165537</v>
      </c>
      <c r="DO388" s="293"/>
      <c r="DP388" s="293">
        <f t="shared" ref="DP388:DQ388" si="1180">+DP387*DP386</f>
        <v>-294.52621252040223</v>
      </c>
      <c r="DQ388" s="293">
        <f t="shared" si="1180"/>
        <v>-289.37754997902937</v>
      </c>
      <c r="DR388" s="2172">
        <f t="shared" ref="DR388" si="1181">+DQ388+DP388</f>
        <v>-583.90376249943165</v>
      </c>
      <c r="DS388" s="293"/>
      <c r="DT388" s="293"/>
      <c r="DU388" s="293"/>
      <c r="DV388" s="293"/>
      <c r="DW388" s="828"/>
      <c r="DX388" s="293"/>
      <c r="DY388" s="293"/>
      <c r="DZ388" s="293"/>
      <c r="EA388" s="293"/>
      <c r="EB388" s="293"/>
      <c r="EC388" s="293"/>
      <c r="ED388" s="293"/>
      <c r="EE388" s="293"/>
      <c r="EF388" s="293"/>
      <c r="EG388" s="293"/>
      <c r="EH388" s="293"/>
      <c r="EI388" s="293"/>
      <c r="EJ388" s="293"/>
      <c r="EK388" s="293"/>
      <c r="EL388" s="293"/>
      <c r="EM388" s="293"/>
      <c r="EN388" s="293"/>
      <c r="EO388" s="293"/>
      <c r="EP388" s="293"/>
      <c r="EQ388" s="293"/>
      <c r="ER388" s="293"/>
      <c r="ES388" s="293"/>
      <c r="ET388" s="293"/>
      <c r="EU388" s="293"/>
      <c r="JW388"/>
    </row>
    <row r="389" spans="1:283" s="332" customFormat="1">
      <c r="AN389" s="293"/>
      <c r="AO389" s="293"/>
      <c r="AP389" s="293"/>
      <c r="AQ389" s="293"/>
      <c r="AR389" s="293"/>
      <c r="AS389" s="293"/>
      <c r="AT389" s="293"/>
      <c r="AU389" s="293"/>
      <c r="AV389" s="293"/>
      <c r="AW389" s="293"/>
      <c r="AX389" s="293"/>
      <c r="AY389" s="293"/>
      <c r="AZ389" s="293"/>
      <c r="BA389" s="293"/>
      <c r="BB389" s="293"/>
      <c r="BC389" s="293"/>
      <c r="BD389" s="293"/>
      <c r="BE389" s="293"/>
      <c r="BF389" s="293"/>
      <c r="BG389" s="293"/>
      <c r="BH389" s="293"/>
      <c r="BI389" s="293"/>
      <c r="BJ389" s="293"/>
      <c r="BK389" s="487"/>
      <c r="BL389" s="293"/>
      <c r="BM389" s="293"/>
      <c r="BN389" s="293"/>
      <c r="BO389" s="487"/>
      <c r="BP389" s="293"/>
      <c r="BQ389" s="293"/>
      <c r="BR389" s="293"/>
      <c r="BS389" s="487"/>
      <c r="BT389" s="293"/>
      <c r="BU389" s="293"/>
      <c r="BV389" s="293"/>
      <c r="BW389" s="293"/>
      <c r="BX389" s="293"/>
      <c r="BY389" s="293"/>
      <c r="BZ389" s="293"/>
      <c r="CA389" s="293"/>
      <c r="CB389" s="293"/>
      <c r="CC389" s="293"/>
      <c r="CD389" s="293"/>
      <c r="CE389" s="293"/>
      <c r="CF389" s="293"/>
      <c r="CG389" s="293"/>
      <c r="CH389" s="293"/>
      <c r="CI389" s="293"/>
      <c r="CJ389" s="293"/>
      <c r="CK389" s="293"/>
      <c r="CL389" s="293"/>
      <c r="CM389" s="293"/>
      <c r="CN389" s="293"/>
      <c r="CO389" s="293"/>
      <c r="CP389" s="293"/>
      <c r="CQ389" s="293"/>
      <c r="CR389" s="293"/>
      <c r="CS389" s="293"/>
      <c r="CT389" s="293"/>
      <c r="CU389" s="293"/>
      <c r="CV389" s="293"/>
      <c r="CW389" s="293"/>
      <c r="CX389" s="293"/>
      <c r="CY389" s="293"/>
      <c r="CZ389" s="293"/>
      <c r="DA389" s="293"/>
      <c r="DB389" s="293"/>
      <c r="DC389" s="293"/>
      <c r="DD389" s="293"/>
      <c r="DE389" s="293"/>
      <c r="DF389" s="293"/>
      <c r="DG389" s="293"/>
      <c r="DH389" s="293"/>
      <c r="DI389" s="293"/>
      <c r="DJ389" s="293"/>
      <c r="DK389" s="293"/>
      <c r="DL389" s="293"/>
      <c r="DM389" s="293"/>
      <c r="DN389" s="293"/>
      <c r="DO389" s="293"/>
      <c r="DP389" s="293"/>
      <c r="DQ389" s="293"/>
      <c r="DR389" s="293"/>
      <c r="DS389" s="293"/>
      <c r="DT389" s="293"/>
      <c r="DU389" s="293"/>
      <c r="DV389" s="293"/>
      <c r="DW389" s="828"/>
      <c r="DX389" s="293"/>
      <c r="DY389" s="293"/>
      <c r="DZ389" s="293"/>
      <c r="EA389" s="293"/>
      <c r="EB389" s="293"/>
      <c r="EC389" s="293"/>
      <c r="ED389" s="293"/>
      <c r="EE389" s="293"/>
      <c r="EF389" s="293"/>
      <c r="EG389" s="293"/>
      <c r="EH389" s="293"/>
      <c r="EI389" s="293"/>
      <c r="EJ389" s="293"/>
      <c r="EK389" s="293"/>
      <c r="EL389" s="293"/>
      <c r="EM389" s="293"/>
      <c r="EN389" s="293"/>
      <c r="EO389" s="293"/>
      <c r="EP389" s="293"/>
      <c r="EQ389" s="293"/>
      <c r="ER389" s="293"/>
      <c r="ES389" s="293"/>
      <c r="ET389" s="293"/>
      <c r="EU389" s="293"/>
      <c r="JW389"/>
    </row>
    <row r="390" spans="1:283" s="332" customFormat="1">
      <c r="A390" s="327" t="s">
        <v>1447</v>
      </c>
      <c r="AN390" s="293"/>
      <c r="AO390" s="293"/>
      <c r="AP390" s="293"/>
      <c r="AQ390" s="293"/>
      <c r="AR390" s="293"/>
      <c r="AS390" s="293"/>
      <c r="AT390" s="293"/>
      <c r="AU390" s="293"/>
      <c r="AV390" s="293"/>
      <c r="AW390" s="293"/>
      <c r="AX390" s="293"/>
      <c r="AY390" s="293"/>
      <c r="AZ390" s="293"/>
      <c r="BA390" s="293"/>
      <c r="BB390" s="293"/>
      <c r="BC390" s="293"/>
      <c r="BD390" s="293"/>
      <c r="BE390" s="293"/>
      <c r="BF390" s="293"/>
      <c r="BG390" s="293"/>
      <c r="BH390" s="293"/>
      <c r="BI390" s="293"/>
      <c r="BJ390" s="293"/>
      <c r="BK390" s="487"/>
      <c r="BL390" s="293"/>
      <c r="BM390" s="293"/>
      <c r="BN390" s="293"/>
      <c r="BO390" s="487"/>
      <c r="BP390" s="293"/>
      <c r="BQ390" s="293"/>
      <c r="BR390" s="293"/>
      <c r="BS390" s="487"/>
      <c r="BT390" s="293"/>
      <c r="BU390" s="293"/>
      <c r="BV390" s="293"/>
      <c r="BW390" s="293"/>
      <c r="BX390" s="293"/>
      <c r="BY390" s="293"/>
      <c r="BZ390" s="293"/>
      <c r="CA390" s="293"/>
      <c r="CB390" s="293"/>
      <c r="CC390" s="293"/>
      <c r="CD390" s="293"/>
      <c r="CE390" s="293"/>
      <c r="CF390" s="293"/>
      <c r="CG390" s="293"/>
      <c r="CH390" s="293"/>
      <c r="CI390" s="293"/>
      <c r="CJ390" s="295">
        <f t="shared" ref="CJ390:CL390" si="1182">+CJ382+CJ385+CJ388</f>
        <v>396.01966494822273</v>
      </c>
      <c r="CK390" s="295">
        <f t="shared" si="1182"/>
        <v>419.91176702849299</v>
      </c>
      <c r="CL390" s="295">
        <f t="shared" si="1182"/>
        <v>815.93143197671566</v>
      </c>
      <c r="CM390" s="293"/>
      <c r="CN390" s="295">
        <f t="shared" ref="CN390:CP390" si="1183">+CN382+CN385+CN388</f>
        <v>378.35330178630824</v>
      </c>
      <c r="CO390" s="295">
        <f t="shared" si="1183"/>
        <v>275.38744589476732</v>
      </c>
      <c r="CP390" s="295">
        <f t="shared" si="1183"/>
        <v>653.74074768107573</v>
      </c>
      <c r="CQ390" s="293"/>
      <c r="CR390" s="295">
        <f t="shared" ref="CR390:CS390" si="1184">+CR382+CR385+CR388</f>
        <v>328.09964814906584</v>
      </c>
      <c r="CS390" s="295">
        <f t="shared" si="1184"/>
        <v>47.04248686848802</v>
      </c>
      <c r="CT390" s="295">
        <f>+CT382+CT385+CT388</f>
        <v>375.14213501755387</v>
      </c>
      <c r="CU390" s="293"/>
      <c r="CV390" s="295">
        <f t="shared" ref="CV390:CX390" si="1185">+CV382+CV385+CV388</f>
        <v>259.29583134904919</v>
      </c>
      <c r="CW390" s="295">
        <f t="shared" si="1185"/>
        <v>366.86219585740878</v>
      </c>
      <c r="CX390" s="295">
        <f t="shared" si="1185"/>
        <v>626.15802720645786</v>
      </c>
      <c r="CY390" s="293"/>
      <c r="CZ390" s="295">
        <f t="shared" ref="CZ390:DB390" si="1186">+CZ382+CZ385+CZ388</f>
        <v>245.13357929969629</v>
      </c>
      <c r="DA390" s="295">
        <f t="shared" si="1186"/>
        <v>376.10433005454831</v>
      </c>
      <c r="DB390" s="295">
        <f t="shared" si="1186"/>
        <v>621.23790935424472</v>
      </c>
      <c r="DC390" s="293"/>
      <c r="DD390" s="295">
        <f t="shared" ref="DD390:DF390" si="1187">+DD382+DD385+DD388</f>
        <v>293.57943593426916</v>
      </c>
      <c r="DE390" s="295">
        <f t="shared" si="1187"/>
        <v>224.80087672414834</v>
      </c>
      <c r="DF390" s="295">
        <f t="shared" si="1187"/>
        <v>518.38031265841755</v>
      </c>
      <c r="DG390" s="293"/>
      <c r="DH390" s="295">
        <f t="shared" ref="DH390" si="1188">+DH382+DH385+DH388</f>
        <v>483.80998481837776</v>
      </c>
      <c r="DI390" s="295">
        <f t="shared" ref="DI390:DJ390" si="1189">+DI382+DI385+DI388</f>
        <v>396.76941617641506</v>
      </c>
      <c r="DJ390" s="295">
        <f t="shared" si="1189"/>
        <v>880.57940099479288</v>
      </c>
      <c r="DK390" s="293"/>
      <c r="DL390" s="295">
        <f t="shared" ref="DL390:DN390" si="1190">+DL382+DL385+DL388</f>
        <v>428.99300239384058</v>
      </c>
      <c r="DM390" s="295">
        <f t="shared" si="1190"/>
        <v>357.33656053660388</v>
      </c>
      <c r="DN390" s="295">
        <f t="shared" si="1190"/>
        <v>786.32956293044424</v>
      </c>
      <c r="DO390" s="293"/>
      <c r="DP390" s="295">
        <f t="shared" ref="DP390:DR390" si="1191">+DP382+DP385+DP388</f>
        <v>456.89378436702356</v>
      </c>
      <c r="DQ390" s="295">
        <f t="shared" si="1191"/>
        <v>390.76810086865703</v>
      </c>
      <c r="DR390" s="295">
        <f t="shared" si="1191"/>
        <v>847.66188523568076</v>
      </c>
      <c r="DS390" s="293"/>
      <c r="DT390" s="293"/>
      <c r="DU390" s="293"/>
      <c r="DV390" s="293"/>
      <c r="DW390" s="828"/>
      <c r="DX390" s="293"/>
      <c r="DY390" s="293"/>
      <c r="DZ390" s="293"/>
      <c r="EA390" s="293"/>
      <c r="EB390" s="293"/>
      <c r="EC390" s="293"/>
      <c r="ED390" s="293"/>
      <c r="EE390" s="293"/>
      <c r="EF390" s="293"/>
      <c r="EG390" s="293"/>
      <c r="EH390" s="293"/>
      <c r="EI390" s="293"/>
      <c r="EJ390" s="293"/>
      <c r="EK390" s="293"/>
      <c r="EL390" s="293"/>
      <c r="EM390" s="293"/>
      <c r="EN390" s="293"/>
      <c r="EO390" s="293"/>
      <c r="EP390" s="293"/>
      <c r="EQ390" s="293"/>
      <c r="ER390" s="293"/>
      <c r="ES390" s="293"/>
      <c r="ET390" s="293"/>
      <c r="EU390" s="293"/>
      <c r="JW390"/>
    </row>
    <row r="391" spans="1:283" s="332" customFormat="1">
      <c r="A391" s="327" t="s">
        <v>1452</v>
      </c>
      <c r="AN391" s="293"/>
      <c r="AO391" s="293"/>
      <c r="AP391" s="293"/>
      <c r="AQ391" s="293"/>
      <c r="AR391" s="293"/>
      <c r="AS391" s="293"/>
      <c r="AT391" s="293"/>
      <c r="AU391" s="293"/>
      <c r="AV391" s="293"/>
      <c r="AW391" s="293"/>
      <c r="AX391" s="293"/>
      <c r="AY391" s="293"/>
      <c r="AZ391" s="293"/>
      <c r="BA391" s="293"/>
      <c r="BB391" s="293"/>
      <c r="BC391" s="293"/>
      <c r="BD391" s="293"/>
      <c r="BE391" s="293"/>
      <c r="BF391" s="293"/>
      <c r="BG391" s="293"/>
      <c r="BH391" s="293"/>
      <c r="BI391" s="293"/>
      <c r="BJ391" s="293"/>
      <c r="BK391" s="487"/>
      <c r="BL391" s="293"/>
      <c r="BM391" s="293"/>
      <c r="BN391" s="293"/>
      <c r="BO391" s="487"/>
      <c r="BP391" s="293"/>
      <c r="BQ391" s="293"/>
      <c r="BR391" s="293"/>
      <c r="BS391" s="487"/>
      <c r="BT391" s="293"/>
      <c r="BU391" s="293"/>
      <c r="BV391" s="293"/>
      <c r="BW391" s="293"/>
      <c r="BX391" s="293"/>
      <c r="BY391" s="293"/>
      <c r="BZ391" s="293"/>
      <c r="CA391" s="293"/>
      <c r="CB391" s="293"/>
      <c r="CC391" s="293"/>
      <c r="CD391" s="293"/>
      <c r="CE391" s="293"/>
      <c r="CF391" s="293"/>
      <c r="CG391" s="293"/>
      <c r="CH391" s="293"/>
      <c r="CI391" s="293"/>
      <c r="CJ391" s="379">
        <f t="shared" ref="CJ391" si="1192">+CJ390/CJ382</f>
        <v>0.35045988048515286</v>
      </c>
      <c r="CK391" s="379">
        <f t="shared" ref="CK391:CL391" si="1193">+CK390/CK382</f>
        <v>0.39134367849812951</v>
      </c>
      <c r="CL391" s="379">
        <f t="shared" si="1193"/>
        <v>0.37037286971253547</v>
      </c>
      <c r="CM391" s="293"/>
      <c r="CN391" s="379">
        <f t="shared" ref="CN391" si="1194">+CN390/CN382</f>
        <v>0.376470947051053</v>
      </c>
      <c r="CO391" s="379">
        <f t="shared" ref="CO391:CP391" si="1195">+CO390/CO382</f>
        <v>0.30395965330548269</v>
      </c>
      <c r="CP391" s="379">
        <f t="shared" si="1195"/>
        <v>0.34209353620150484</v>
      </c>
      <c r="CQ391" s="293"/>
      <c r="CR391" s="379">
        <f t="shared" ref="CR391" si="1196">+CR390/CR382</f>
        <v>0.24893751756378288</v>
      </c>
      <c r="CS391" s="379">
        <f t="shared" ref="CS391:CT391" si="1197">+CS390/CS382</f>
        <v>4.2765897153170924E-2</v>
      </c>
      <c r="CT391" s="379">
        <f t="shared" si="1197"/>
        <v>0.15514563069377746</v>
      </c>
      <c r="CU391" s="293"/>
      <c r="CV391" s="379">
        <f t="shared" ref="CV391" si="1198">+CV390/CV382</f>
        <v>0.22391695280574198</v>
      </c>
      <c r="CW391" s="379">
        <f t="shared" ref="CW391:CX391" si="1199">+CW390/CW382</f>
        <v>0.25600990639037596</v>
      </c>
      <c r="CX391" s="379">
        <f t="shared" si="1199"/>
        <v>0.24166654851657965</v>
      </c>
      <c r="CY391" s="293"/>
      <c r="CZ391" s="379">
        <f t="shared" ref="CZ391" si="1200">+CZ390/CZ382</f>
        <v>0.2200480963192965</v>
      </c>
      <c r="DA391" s="379">
        <f t="shared" ref="DA391:DB391" si="1201">+DA390/DA382</f>
        <v>0.27838958553260423</v>
      </c>
      <c r="DB391" s="379">
        <f t="shared" si="1201"/>
        <v>0.25202349263863882</v>
      </c>
      <c r="DC391" s="293"/>
      <c r="DD391" s="379">
        <f t="shared" ref="DD391:DE391" si="1202">+DD390/DD382</f>
        <v>0.21990968983840387</v>
      </c>
      <c r="DE391" s="379">
        <f t="shared" si="1202"/>
        <v>0.16000062400295256</v>
      </c>
      <c r="DF391" s="379">
        <f>+DF390/DF382</f>
        <v>0.18918989513080933</v>
      </c>
      <c r="DG391" s="293"/>
      <c r="DH391" s="379">
        <f t="shared" ref="DH391" si="1203">+DH390/DH382</f>
        <v>0.27821160714110277</v>
      </c>
      <c r="DI391" s="379">
        <f t="shared" ref="DI391:DJ391" si="1204">+DI390/DI382</f>
        <v>0.23567256868042874</v>
      </c>
      <c r="DJ391" s="379">
        <f t="shared" si="1204"/>
        <v>0.25728660654553698</v>
      </c>
      <c r="DK391" s="293"/>
      <c r="DL391" s="379">
        <f t="shared" ref="DL391" si="1205">+DL390/DL382</f>
        <v>0.27149820558422449</v>
      </c>
      <c r="DM391" s="379">
        <f t="shared" ref="DM391:DN391" si="1206">+DM390/DM382</f>
        <v>0.22220370824112173</v>
      </c>
      <c r="DN391" s="379">
        <f t="shared" si="1206"/>
        <v>0.24663408593180164</v>
      </c>
      <c r="DO391" s="293"/>
      <c r="DP391" s="379">
        <f t="shared" ref="DP391" si="1207">+DP390/DP382</f>
        <v>0.27572963523401267</v>
      </c>
      <c r="DQ391" s="379">
        <f t="shared" ref="DQ391:DR391" si="1208">+DQ390/DQ382</f>
        <v>0.22959678185989765</v>
      </c>
      <c r="DR391" s="379">
        <f t="shared" si="1208"/>
        <v>0.25235460391475162</v>
      </c>
      <c r="DS391" s="293"/>
      <c r="DT391" s="293"/>
      <c r="DU391" s="293"/>
      <c r="DV391" s="293"/>
      <c r="DW391" s="828"/>
      <c r="DX391" s="293"/>
      <c r="DY391" s="293"/>
      <c r="DZ391" s="293"/>
      <c r="EA391" s="293"/>
      <c r="EB391" s="293"/>
      <c r="EC391" s="293"/>
      <c r="ED391" s="293"/>
      <c r="EE391" s="293"/>
      <c r="EF391" s="293"/>
      <c r="EG391" s="293"/>
      <c r="EH391" s="293"/>
      <c r="EI391" s="293"/>
      <c r="EJ391" s="293"/>
      <c r="EK391" s="293"/>
      <c r="EL391" s="293"/>
      <c r="EM391" s="293"/>
      <c r="EN391" s="293"/>
      <c r="EO391" s="293"/>
      <c r="EP391" s="293"/>
      <c r="EQ391" s="293"/>
      <c r="ER391" s="293"/>
      <c r="ES391" s="293"/>
      <c r="ET391" s="293"/>
      <c r="EU391" s="293"/>
      <c r="JW391"/>
    </row>
    <row r="392" spans="1:283" s="332" customFormat="1">
      <c r="A392" s="327"/>
      <c r="AN392" s="293"/>
      <c r="AO392" s="293"/>
      <c r="AP392" s="293"/>
      <c r="AQ392" s="293"/>
      <c r="AR392" s="293"/>
      <c r="AS392" s="293"/>
      <c r="AT392" s="293"/>
      <c r="AU392" s="293"/>
      <c r="AV392" s="293"/>
      <c r="AW392" s="293"/>
      <c r="AX392" s="293"/>
      <c r="AY392" s="293"/>
      <c r="AZ392" s="293"/>
      <c r="BA392" s="293"/>
      <c r="BB392" s="293"/>
      <c r="BC392" s="293"/>
      <c r="BD392" s="293"/>
      <c r="BE392" s="293"/>
      <c r="BF392" s="293"/>
      <c r="BG392" s="293"/>
      <c r="BH392" s="293"/>
      <c r="BI392" s="293"/>
      <c r="BJ392" s="293"/>
      <c r="BK392" s="487"/>
      <c r="BL392" s="293"/>
      <c r="BM392" s="293"/>
      <c r="BN392" s="293"/>
      <c r="BO392" s="487"/>
      <c r="BP392" s="293"/>
      <c r="BQ392" s="293"/>
      <c r="BR392" s="293"/>
      <c r="BS392" s="487"/>
      <c r="BT392" s="293"/>
      <c r="BU392" s="293"/>
      <c r="BV392" s="293"/>
      <c r="BW392" s="293"/>
      <c r="BX392" s="293"/>
      <c r="BY392" s="293"/>
      <c r="BZ392" s="293"/>
      <c r="CA392" s="293"/>
      <c r="CB392" s="293"/>
      <c r="CC392" s="293"/>
      <c r="CD392" s="293"/>
      <c r="CE392" s="293"/>
      <c r="CF392" s="293"/>
      <c r="CG392" s="293"/>
      <c r="CH392" s="293"/>
      <c r="CI392" s="293"/>
      <c r="CJ392" s="379"/>
      <c r="CK392" s="379"/>
      <c r="CL392" s="379"/>
      <c r="CM392" s="293"/>
      <c r="CN392" s="379"/>
      <c r="CO392" s="379"/>
      <c r="CP392" s="379"/>
      <c r="CQ392" s="293"/>
      <c r="CR392" s="379"/>
      <c r="CS392" s="379"/>
      <c r="CT392" s="379"/>
      <c r="CU392" s="293"/>
      <c r="CV392" s="379"/>
      <c r="CW392" s="379"/>
      <c r="CX392" s="379"/>
      <c r="CY392" s="293"/>
      <c r="CZ392" s="379"/>
      <c r="DA392" s="379"/>
      <c r="DB392" s="379"/>
      <c r="DC392" s="293"/>
      <c r="DD392" s="379"/>
      <c r="DE392" s="379"/>
      <c r="DF392" s="379"/>
      <c r="DG392" s="293"/>
      <c r="DH392" s="379"/>
      <c r="DI392" s="379"/>
      <c r="DJ392" s="379"/>
      <c r="DK392" s="293"/>
      <c r="DL392" s="379"/>
      <c r="DM392" s="379"/>
      <c r="DN392" s="379"/>
      <c r="DO392" s="293"/>
      <c r="DP392" s="379"/>
      <c r="DQ392" s="379"/>
      <c r="DR392" s="379"/>
      <c r="DS392" s="293"/>
      <c r="DT392" s="293"/>
      <c r="DU392" s="293"/>
      <c r="DV392" s="293"/>
      <c r="DW392" s="828"/>
      <c r="DX392" s="293"/>
      <c r="DY392" s="293"/>
      <c r="DZ392" s="293"/>
      <c r="EA392" s="293"/>
      <c r="EB392" s="293"/>
      <c r="EC392" s="293"/>
      <c r="ED392" s="293"/>
      <c r="EE392" s="293"/>
      <c r="EF392" s="293"/>
      <c r="EG392" s="293"/>
      <c r="EH392" s="293"/>
      <c r="EI392" s="293"/>
      <c r="EJ392" s="293"/>
      <c r="EK392" s="293"/>
      <c r="EL392" s="293"/>
      <c r="EM392" s="293"/>
      <c r="EN392" s="293"/>
      <c r="EO392" s="293"/>
      <c r="EP392" s="293"/>
      <c r="EQ392" s="293"/>
      <c r="ER392" s="293"/>
      <c r="ES392" s="293"/>
      <c r="ET392" s="293"/>
      <c r="EU392" s="293"/>
      <c r="JW392"/>
    </row>
    <row r="393" spans="1:283" s="332" customFormat="1">
      <c r="AN393" s="293"/>
      <c r="AO393" s="293"/>
      <c r="AP393" s="293"/>
      <c r="AQ393" s="293"/>
      <c r="AR393" s="293"/>
      <c r="AS393" s="293"/>
      <c r="AT393" s="293"/>
      <c r="AU393" s="293"/>
      <c r="AV393" s="293"/>
      <c r="AW393" s="293"/>
      <c r="AX393" s="293"/>
      <c r="AY393" s="293"/>
      <c r="AZ393" s="293"/>
      <c r="BA393" s="293"/>
      <c r="BB393" s="293"/>
      <c r="BC393" s="293"/>
      <c r="BD393" s="293"/>
      <c r="BE393" s="293"/>
      <c r="BF393" s="293"/>
      <c r="BG393" s="293"/>
      <c r="BH393" s="293"/>
      <c r="BI393" s="293"/>
      <c r="BJ393" s="293"/>
      <c r="BK393" s="293"/>
      <c r="BL393" s="293"/>
      <c r="BM393" s="293"/>
      <c r="BN393" s="293"/>
      <c r="BO393" s="293"/>
      <c r="BP393" s="293"/>
      <c r="BQ393" s="293"/>
      <c r="BR393" s="293"/>
      <c r="BS393" s="293"/>
      <c r="BT393" s="293"/>
      <c r="BU393" s="293"/>
      <c r="BV393" s="293"/>
      <c r="BW393" s="293"/>
      <c r="BX393" s="293"/>
      <c r="BY393" s="293"/>
      <c r="BZ393" s="293"/>
      <c r="CA393" s="293"/>
      <c r="CB393" s="293"/>
      <c r="CC393" s="293"/>
      <c r="CD393" s="293"/>
      <c r="CE393" s="293"/>
      <c r="CF393" s="293"/>
      <c r="CG393" s="293"/>
      <c r="CH393" s="293"/>
      <c r="CI393" s="293"/>
      <c r="CJ393" s="293"/>
      <c r="CK393" s="293"/>
      <c r="CL393" s="293"/>
      <c r="CM393" s="293"/>
      <c r="CN393" s="293"/>
      <c r="CO393" s="293"/>
      <c r="CP393" s="293"/>
      <c r="CQ393" s="293"/>
      <c r="CR393" s="293"/>
      <c r="CS393" s="293"/>
      <c r="CT393" s="293"/>
      <c r="CU393" s="293"/>
      <c r="CV393" s="293"/>
      <c r="CW393" s="293"/>
      <c r="CX393" s="293"/>
      <c r="CY393" s="293"/>
      <c r="CZ393" s="293"/>
      <c r="DA393" s="293"/>
      <c r="DB393" s="293"/>
      <c r="DC393" s="293"/>
      <c r="DD393" s="293"/>
      <c r="DE393" s="293"/>
      <c r="DF393" s="293"/>
      <c r="DG393" s="293"/>
      <c r="DH393" s="293"/>
      <c r="DI393" s="293"/>
      <c r="DJ393" s="293"/>
      <c r="DK393" s="293"/>
      <c r="DL393" s="293"/>
      <c r="DM393" s="293"/>
      <c r="DN393" s="293"/>
      <c r="DO393" s="293"/>
      <c r="DP393" s="293"/>
      <c r="DQ393" s="293"/>
      <c r="DR393" s="293"/>
      <c r="DS393" s="293"/>
      <c r="DT393" s="293"/>
      <c r="DU393" s="293"/>
      <c r="DV393" s="293"/>
      <c r="DW393" s="828"/>
      <c r="DX393" s="293"/>
      <c r="DY393" s="293"/>
      <c r="DZ393" s="293"/>
      <c r="EA393" s="293"/>
      <c r="EB393" s="293"/>
      <c r="EC393" s="293"/>
      <c r="ED393" s="293"/>
      <c r="EE393" s="293"/>
      <c r="EF393" s="293"/>
      <c r="EG393" s="293"/>
      <c r="EH393" s="293"/>
      <c r="EI393" s="293"/>
      <c r="EJ393" s="293"/>
      <c r="EK393" s="293"/>
      <c r="EL393" s="293"/>
      <c r="EM393" s="293"/>
      <c r="EN393" s="293"/>
      <c r="EO393" s="293"/>
      <c r="EP393" s="293"/>
      <c r="EQ393" s="293"/>
      <c r="ER393" s="293"/>
      <c r="ES393" s="293"/>
      <c r="ET393" s="293"/>
      <c r="EU393" s="293"/>
      <c r="JW393"/>
    </row>
    <row r="394" spans="1:283" s="332" customFormat="1">
      <c r="A394" s="1207" t="s">
        <v>730</v>
      </c>
      <c r="AN394" s="293"/>
      <c r="AO394" s="293"/>
      <c r="AP394" s="293"/>
      <c r="AQ394" s="293"/>
      <c r="AR394" s="293"/>
      <c r="AS394" s="293"/>
      <c r="AT394" s="293"/>
      <c r="AU394" s="293"/>
      <c r="AV394" s="293"/>
      <c r="AW394" s="293"/>
      <c r="AX394" s="293"/>
      <c r="AY394" s="293"/>
      <c r="AZ394" s="293"/>
      <c r="BA394" s="293"/>
      <c r="BB394" s="293"/>
      <c r="BC394" s="293"/>
      <c r="BD394" s="293"/>
      <c r="BE394" s="293"/>
      <c r="BF394" s="293"/>
      <c r="BG394" s="293"/>
      <c r="BH394" s="293"/>
      <c r="BI394" s="293"/>
      <c r="BJ394" s="293"/>
      <c r="BK394" s="293"/>
      <c r="BL394" s="293"/>
      <c r="BM394" s="293"/>
      <c r="BN394" s="293"/>
      <c r="BO394" s="293"/>
      <c r="BP394" s="293"/>
      <c r="BQ394" s="293"/>
      <c r="BR394" s="293"/>
      <c r="BS394" s="293"/>
      <c r="BT394" s="293"/>
      <c r="BU394" s="293"/>
      <c r="BV394" s="293"/>
      <c r="BW394" s="293"/>
      <c r="BX394" s="293"/>
      <c r="BY394" s="293"/>
      <c r="BZ394" s="293"/>
      <c r="CA394" s="293"/>
      <c r="CB394" s="293"/>
      <c r="CC394" s="293"/>
      <c r="CD394" s="293"/>
      <c r="CE394" s="293"/>
      <c r="CF394" s="293"/>
      <c r="CG394" s="293"/>
      <c r="CH394" s="293"/>
      <c r="CI394" s="293"/>
      <c r="CJ394" s="293"/>
      <c r="CK394" s="293"/>
      <c r="CL394" s="293"/>
      <c r="CM394" s="293"/>
      <c r="CN394" s="293"/>
      <c r="CO394" s="293"/>
      <c r="CP394" s="293"/>
      <c r="CQ394" s="293"/>
      <c r="CR394" s="293"/>
      <c r="CS394" s="293"/>
      <c r="CT394" s="293"/>
      <c r="CU394" s="293"/>
      <c r="CV394" s="293"/>
      <c r="CW394" s="293"/>
      <c r="CX394" s="293"/>
      <c r="CY394" s="293"/>
      <c r="CZ394" s="293"/>
      <c r="DA394" s="293"/>
      <c r="DB394" s="293"/>
      <c r="DC394" s="293"/>
      <c r="DD394" s="293"/>
      <c r="DE394" s="293"/>
      <c r="DF394" s="293"/>
      <c r="DG394" s="293"/>
      <c r="DH394" s="293"/>
      <c r="DI394" s="293"/>
      <c r="DJ394" s="293"/>
      <c r="DK394" s="293"/>
      <c r="DL394" s="293"/>
      <c r="DM394" s="293"/>
      <c r="DN394" s="293"/>
      <c r="DO394" s="293"/>
      <c r="DP394" s="293"/>
      <c r="DQ394" s="293"/>
      <c r="DR394" s="293"/>
      <c r="DS394" s="293"/>
      <c r="DT394" s="293"/>
      <c r="DU394" s="293"/>
      <c r="DV394" s="293"/>
      <c r="DW394" s="828"/>
      <c r="DX394" s="293"/>
      <c r="DY394" s="293"/>
      <c r="DZ394" s="293"/>
      <c r="EA394" s="293"/>
      <c r="EB394" s="293"/>
      <c r="EC394" s="293"/>
      <c r="ED394" s="293"/>
      <c r="EE394" s="293"/>
      <c r="EF394" s="293"/>
      <c r="EG394" s="293"/>
      <c r="EH394" s="293"/>
      <c r="EI394" s="293"/>
      <c r="EJ394" s="293"/>
      <c r="EK394" s="293"/>
      <c r="EL394" s="293"/>
      <c r="EM394" s="293"/>
      <c r="EN394" s="293"/>
      <c r="EO394" s="293"/>
      <c r="EP394" s="293"/>
      <c r="EQ394" s="293"/>
      <c r="ER394" s="293"/>
      <c r="ES394" s="293"/>
      <c r="ET394" s="293"/>
      <c r="EU394" s="293"/>
      <c r="JW394"/>
    </row>
    <row r="395" spans="1:283" s="332" customFormat="1">
      <c r="A395" s="332" t="s">
        <v>571</v>
      </c>
      <c r="AN395" s="492"/>
      <c r="AO395" s="492"/>
      <c r="AP395" s="492"/>
      <c r="AQ395" s="293"/>
      <c r="AR395" s="492">
        <f>AR342</f>
        <v>32</v>
      </c>
      <c r="AS395" s="492">
        <f>AS342</f>
        <v>33</v>
      </c>
      <c r="AT395" s="492">
        <f>AT342</f>
        <v>65</v>
      </c>
      <c r="AU395" s="626"/>
      <c r="AV395" s="492">
        <f>AV342</f>
        <v>-44</v>
      </c>
      <c r="AW395" s="492">
        <f>AW342</f>
        <v>-53</v>
      </c>
      <c r="AX395" s="492">
        <f>AX342</f>
        <v>-97</v>
      </c>
      <c r="AY395" s="293"/>
      <c r="AZ395" s="492">
        <f>AZ342</f>
        <v>-24</v>
      </c>
      <c r="BA395" s="492">
        <f>BA342</f>
        <v>-5</v>
      </c>
      <c r="BB395" s="492">
        <f>BB342</f>
        <v>-29</v>
      </c>
      <c r="BC395" s="293"/>
      <c r="BD395" s="492">
        <f>BD342</f>
        <v>0</v>
      </c>
      <c r="BE395" s="492">
        <f>BE342</f>
        <v>0</v>
      </c>
      <c r="BF395" s="492">
        <f>BF342</f>
        <v>0</v>
      </c>
      <c r="BG395" s="360"/>
      <c r="BH395" s="492">
        <f>BH342</f>
        <v>0</v>
      </c>
      <c r="BI395" s="492">
        <f>BI342</f>
        <v>0</v>
      </c>
      <c r="BJ395" s="492">
        <f>BJ342</f>
        <v>0</v>
      </c>
      <c r="BK395" s="487"/>
      <c r="BL395" s="492">
        <f>BL342</f>
        <v>0</v>
      </c>
      <c r="BM395" s="492">
        <f>BM342</f>
        <v>0</v>
      </c>
      <c r="BN395" s="492">
        <f>BN342</f>
        <v>0</v>
      </c>
      <c r="BO395" s="487"/>
      <c r="BP395" s="492">
        <f>BP342</f>
        <v>0</v>
      </c>
      <c r="BQ395" s="492">
        <f>BQ342</f>
        <v>0</v>
      </c>
      <c r="BR395" s="492">
        <f>BR342</f>
        <v>0</v>
      </c>
      <c r="BS395" s="487"/>
      <c r="BT395" s="492">
        <f>BT342</f>
        <v>0</v>
      </c>
      <c r="BU395" s="492">
        <f>BU342</f>
        <v>0</v>
      </c>
      <c r="BV395" s="492">
        <f>BV342</f>
        <v>0</v>
      </c>
      <c r="BW395" s="293"/>
      <c r="BX395" s="492">
        <f>BX342</f>
        <v>0</v>
      </c>
      <c r="BY395" s="492">
        <f>BY342</f>
        <v>0</v>
      </c>
      <c r="BZ395" s="492">
        <f>BZ342</f>
        <v>0</v>
      </c>
      <c r="CA395" s="293"/>
      <c r="CB395" s="492">
        <f>CB342</f>
        <v>0</v>
      </c>
      <c r="CC395" s="492">
        <f>CC342</f>
        <v>0</v>
      </c>
      <c r="CD395" s="492">
        <f>CD342</f>
        <v>0</v>
      </c>
      <c r="CE395" s="293"/>
      <c r="CF395" s="492">
        <f>CF342</f>
        <v>0</v>
      </c>
      <c r="CG395" s="492">
        <f>CG342</f>
        <v>0</v>
      </c>
      <c r="CH395" s="492">
        <f>CH342</f>
        <v>0</v>
      </c>
      <c r="CI395" s="293"/>
      <c r="CJ395" s="492">
        <f>CJ342</f>
        <v>0</v>
      </c>
      <c r="CK395" s="492">
        <f>CK342</f>
        <v>0</v>
      </c>
      <c r="CL395" s="492">
        <f>CL342</f>
        <v>0</v>
      </c>
      <c r="CM395" s="293"/>
      <c r="CN395" s="492">
        <f>CN342</f>
        <v>0</v>
      </c>
      <c r="CO395" s="492">
        <f>CO342</f>
        <v>0</v>
      </c>
      <c r="CP395" s="492">
        <f>CP342</f>
        <v>0</v>
      </c>
      <c r="CQ395" s="293"/>
      <c r="CR395" s="492">
        <f>CR342</f>
        <v>0</v>
      </c>
      <c r="CS395" s="492">
        <f>CS342</f>
        <v>0</v>
      </c>
      <c r="CT395" s="492">
        <f>CT342</f>
        <v>0</v>
      </c>
      <c r="CU395" s="293"/>
      <c r="CV395" s="492">
        <f>CV342</f>
        <v>0</v>
      </c>
      <c r="CW395" s="492">
        <f>CW342</f>
        <v>0</v>
      </c>
      <c r="CX395" s="492">
        <f>CX342</f>
        <v>0</v>
      </c>
      <c r="CY395" s="293"/>
      <c r="CZ395" s="492">
        <f>CZ342</f>
        <v>0</v>
      </c>
      <c r="DA395" s="492">
        <f>DA342</f>
        <v>0</v>
      </c>
      <c r="DB395" s="492">
        <f>DB342</f>
        <v>0</v>
      </c>
      <c r="DC395" s="293"/>
      <c r="DD395" s="492">
        <f>DD342</f>
        <v>0</v>
      </c>
      <c r="DE395" s="492">
        <f>DE342</f>
        <v>0</v>
      </c>
      <c r="DF395" s="492">
        <f>DF342</f>
        <v>0</v>
      </c>
      <c r="DG395" s="293"/>
      <c r="DH395" s="492">
        <f>DH342</f>
        <v>0</v>
      </c>
      <c r="DI395" s="487">
        <v>0</v>
      </c>
      <c r="DJ395" s="293">
        <f>DH395+DI395</f>
        <v>0</v>
      </c>
      <c r="DK395" s="293"/>
      <c r="DL395" s="487">
        <v>0</v>
      </c>
      <c r="DM395" s="487">
        <v>0</v>
      </c>
      <c r="DN395" s="293">
        <f>DL395+DM395</f>
        <v>0</v>
      </c>
      <c r="DO395" s="293"/>
      <c r="DP395" s="487">
        <v>0</v>
      </c>
      <c r="DQ395" s="487">
        <v>0</v>
      </c>
      <c r="DR395" s="293">
        <f>DP395+DQ395</f>
        <v>0</v>
      </c>
      <c r="DS395" s="293"/>
      <c r="DT395" s="293"/>
      <c r="DU395" s="293"/>
      <c r="DV395" s="293"/>
      <c r="DW395" s="1197" t="s">
        <v>175</v>
      </c>
      <c r="DX395" s="293"/>
      <c r="DY395" s="293"/>
      <c r="DZ395" s="293"/>
      <c r="EA395" s="293"/>
      <c r="EB395" s="293"/>
      <c r="EC395" s="293"/>
      <c r="ED395" s="293"/>
      <c r="EE395" s="293"/>
      <c r="EF395" s="293"/>
      <c r="EG395" s="293"/>
      <c r="EH395" s="293"/>
      <c r="EI395" s="293"/>
      <c r="EJ395" s="293"/>
      <c r="EK395" s="293"/>
      <c r="EL395" s="293"/>
      <c r="EM395" s="293"/>
      <c r="EN395" s="293"/>
      <c r="EO395" s="293"/>
      <c r="EP395" s="293"/>
      <c r="EQ395" s="293"/>
      <c r="ER395" s="293"/>
      <c r="ES395" s="293"/>
      <c r="ET395" s="293"/>
      <c r="EU395" s="293"/>
      <c r="JW395"/>
    </row>
    <row r="396" spans="1:283" s="332" customFormat="1">
      <c r="A396" s="332" t="s">
        <v>651</v>
      </c>
      <c r="AN396" s="492"/>
      <c r="AO396" s="492"/>
      <c r="AP396" s="492"/>
      <c r="AQ396" s="293"/>
      <c r="AR396" s="492">
        <f>AR344</f>
        <v>-4</v>
      </c>
      <c r="AS396" s="492">
        <f>AS344</f>
        <v>-6</v>
      </c>
      <c r="AT396" s="492">
        <f>AT344</f>
        <v>-10</v>
      </c>
      <c r="AU396" s="626"/>
      <c r="AV396" s="492">
        <f>AV344</f>
        <v>3</v>
      </c>
      <c r="AW396" s="492">
        <f>AW344</f>
        <v>-1</v>
      </c>
      <c r="AX396" s="492">
        <f>AX344</f>
        <v>2</v>
      </c>
      <c r="AY396" s="293"/>
      <c r="AZ396" s="492">
        <f>AZ344</f>
        <v>-1</v>
      </c>
      <c r="BA396" s="492">
        <f>BA344</f>
        <v>12</v>
      </c>
      <c r="BB396" s="492">
        <f>BB344</f>
        <v>11</v>
      </c>
      <c r="BC396" s="293"/>
      <c r="BD396" s="492">
        <f>BD344</f>
        <v>92</v>
      </c>
      <c r="BE396" s="492">
        <f>BE344</f>
        <v>18</v>
      </c>
      <c r="BF396" s="492">
        <f>BF344</f>
        <v>110</v>
      </c>
      <c r="BG396" s="360"/>
      <c r="BH396" s="492">
        <f>BH344</f>
        <v>7</v>
      </c>
      <c r="BI396" s="492">
        <f>BI344</f>
        <v>-7</v>
      </c>
      <c r="BJ396" s="492">
        <f>BJ344</f>
        <v>0</v>
      </c>
      <c r="BK396" s="487"/>
      <c r="BL396" s="492">
        <f>BL344</f>
        <v>-5</v>
      </c>
      <c r="BM396" s="492">
        <f>BM344</f>
        <v>-18</v>
      </c>
      <c r="BN396" s="492">
        <f>BN344</f>
        <v>-23</v>
      </c>
      <c r="BO396" s="850"/>
      <c r="BP396" s="492">
        <f>BP344</f>
        <v>11</v>
      </c>
      <c r="BQ396" s="492">
        <f>BQ344</f>
        <v>0</v>
      </c>
      <c r="BR396" s="492">
        <f>BR344</f>
        <v>11</v>
      </c>
      <c r="BS396" s="850"/>
      <c r="BT396" s="492">
        <f>BT344</f>
        <v>9</v>
      </c>
      <c r="BU396" s="492">
        <f>BU344</f>
        <v>-24</v>
      </c>
      <c r="BV396" s="492">
        <f>BV344</f>
        <v>-15</v>
      </c>
      <c r="BW396" s="850"/>
      <c r="BX396" s="492">
        <f>BX344</f>
        <v>-22</v>
      </c>
      <c r="BY396" s="492">
        <f>BY344</f>
        <v>-20</v>
      </c>
      <c r="BZ396" s="492">
        <f>BZ344</f>
        <v>-42</v>
      </c>
      <c r="CA396" s="850"/>
      <c r="CB396" s="492">
        <f>CB344</f>
        <v>-81</v>
      </c>
      <c r="CC396" s="492">
        <f>CC344</f>
        <v>-87</v>
      </c>
      <c r="CD396" s="492">
        <f>CD344</f>
        <v>-168</v>
      </c>
      <c r="CE396" s="850"/>
      <c r="CF396" s="492">
        <f>CF344</f>
        <v>-217</v>
      </c>
      <c r="CG396" s="492">
        <f>CG344</f>
        <v>-252</v>
      </c>
      <c r="CH396" s="492">
        <f>CH344</f>
        <v>-469</v>
      </c>
      <c r="CI396" s="850"/>
      <c r="CJ396" s="492">
        <f>CJ344</f>
        <v>-258</v>
      </c>
      <c r="CK396" s="492">
        <f>CK344</f>
        <v>-144</v>
      </c>
      <c r="CL396" s="492">
        <f>CL344</f>
        <v>-402</v>
      </c>
      <c r="CM396" s="850"/>
      <c r="CN396" s="492">
        <f>CN344</f>
        <v>-123</v>
      </c>
      <c r="CO396" s="492">
        <f>CO344</f>
        <v>-126</v>
      </c>
      <c r="CP396" s="492">
        <f>CP344</f>
        <v>-249</v>
      </c>
      <c r="CQ396" s="850"/>
      <c r="CR396" s="492">
        <f>CR344</f>
        <v>-178</v>
      </c>
      <c r="CS396" s="492">
        <f>CS344</f>
        <v>-150</v>
      </c>
      <c r="CT396" s="492">
        <f>CT344</f>
        <v>-328</v>
      </c>
      <c r="CU396" s="850"/>
      <c r="CV396" s="492">
        <f>CV344</f>
        <v>-143</v>
      </c>
      <c r="CW396" s="492">
        <f>CW344</f>
        <v>-253</v>
      </c>
      <c r="CX396" s="492">
        <f>CX344</f>
        <v>-396</v>
      </c>
      <c r="CY396" s="850"/>
      <c r="CZ396" s="492">
        <f>CZ344</f>
        <v>-265</v>
      </c>
      <c r="DA396" s="492">
        <f>DA344</f>
        <v>-292</v>
      </c>
      <c r="DB396" s="492">
        <f>DB344</f>
        <v>-557</v>
      </c>
      <c r="DC396" s="850"/>
      <c r="DD396" s="492">
        <f>DD344</f>
        <v>-245</v>
      </c>
      <c r="DE396" s="492">
        <f>DE344</f>
        <v>-269</v>
      </c>
      <c r="DF396" s="492">
        <f>DF344</f>
        <v>-514</v>
      </c>
      <c r="DG396" s="850"/>
      <c r="DH396" s="492">
        <f>DH344</f>
        <v>-193</v>
      </c>
      <c r="DI396" s="850">
        <f>DH396*1.03</f>
        <v>-198.79</v>
      </c>
      <c r="DJ396" s="818">
        <f>DH396+DI396</f>
        <v>-391.78999999999996</v>
      </c>
      <c r="DK396" s="850"/>
      <c r="DL396" s="850">
        <f>DI396*1.03</f>
        <v>-204.75370000000001</v>
      </c>
      <c r="DM396" s="850">
        <f>DL396*1.03</f>
        <v>-210.89631100000003</v>
      </c>
      <c r="DN396" s="818">
        <f>DL396+DM396</f>
        <v>-415.65001100000006</v>
      </c>
      <c r="DO396" s="850"/>
      <c r="DP396" s="850">
        <f>DM396*1.03</f>
        <v>-217.22320033000003</v>
      </c>
      <c r="DQ396" s="850">
        <f>DP396*1.03</f>
        <v>-223.73989633990004</v>
      </c>
      <c r="DR396" s="818">
        <f>DP396+DQ396</f>
        <v>-440.9630966699001</v>
      </c>
      <c r="DS396" s="850"/>
      <c r="DT396" s="850"/>
      <c r="DU396" s="850"/>
      <c r="DV396" s="850"/>
      <c r="DW396" s="1197" t="s">
        <v>175</v>
      </c>
      <c r="DX396" s="293"/>
      <c r="DY396" s="293"/>
      <c r="DZ396" s="293"/>
      <c r="EA396" s="293"/>
      <c r="EB396" s="293"/>
      <c r="EC396" s="293"/>
      <c r="ED396" s="293"/>
      <c r="EE396" s="293"/>
      <c r="EF396" s="293"/>
      <c r="EG396" s="293"/>
      <c r="EH396" s="293"/>
      <c r="EI396" s="293"/>
      <c r="EJ396" s="293"/>
      <c r="EK396" s="293"/>
      <c r="EL396" s="293"/>
      <c r="EM396" s="293"/>
      <c r="EN396" s="293"/>
      <c r="EO396" s="293"/>
      <c r="EP396" s="293"/>
      <c r="EQ396" s="293"/>
      <c r="ER396" s="293"/>
      <c r="ES396" s="293"/>
      <c r="ET396" s="293"/>
      <c r="EU396" s="293"/>
      <c r="JW396"/>
    </row>
    <row r="397" spans="1:283" s="327" customFormat="1">
      <c r="A397" s="327" t="s">
        <v>588</v>
      </c>
      <c r="AN397" s="820"/>
      <c r="AO397" s="820"/>
      <c r="AP397" s="820"/>
      <c r="AQ397" s="295"/>
      <c r="AR397" s="820">
        <f>SUM(AR395:AR396)</f>
        <v>28</v>
      </c>
      <c r="AS397" s="820">
        <f>SUM(AS395:AS396)</f>
        <v>27</v>
      </c>
      <c r="AT397" s="820">
        <f>SUM(AT395:AT396)</f>
        <v>55</v>
      </c>
      <c r="AU397" s="295"/>
      <c r="AV397" s="820">
        <f>SUM(AV395:AV396)</f>
        <v>-41</v>
      </c>
      <c r="AW397" s="820">
        <f>SUM(AW395:AW396)</f>
        <v>-54</v>
      </c>
      <c r="AX397" s="820">
        <f>SUM(AX395:AX396)</f>
        <v>-95</v>
      </c>
      <c r="AY397" s="295"/>
      <c r="AZ397" s="820">
        <f>SUM(AZ395:AZ396)</f>
        <v>-25</v>
      </c>
      <c r="BA397" s="820">
        <f>SUM(BA395:BA396)</f>
        <v>7</v>
      </c>
      <c r="BB397" s="820">
        <f>SUM(BB395:BB396)</f>
        <v>-18</v>
      </c>
      <c r="BC397" s="295"/>
      <c r="BD397" s="820">
        <f>SUM(BD395:BD396)</f>
        <v>92</v>
      </c>
      <c r="BE397" s="820">
        <f>SUM(BE395:BE396)</f>
        <v>18</v>
      </c>
      <c r="BF397" s="820">
        <f>SUM(BF395:BF396)</f>
        <v>110</v>
      </c>
      <c r="BG397" s="295"/>
      <c r="BH397" s="820">
        <f>SUM(BH395:BH396)</f>
        <v>7</v>
      </c>
      <c r="BI397" s="820">
        <f>SUM(BI395:BI396)</f>
        <v>-7</v>
      </c>
      <c r="BJ397" s="820">
        <f>SUM(BJ395:BJ396)</f>
        <v>0</v>
      </c>
      <c r="BK397" s="295"/>
      <c r="BL397" s="820">
        <f>SUM(BL395:BL396)</f>
        <v>-5</v>
      </c>
      <c r="BM397" s="820">
        <f>SUM(BM395:BM396)</f>
        <v>-18</v>
      </c>
      <c r="BN397" s="820">
        <f>SUM(BN395:BN396)</f>
        <v>-23</v>
      </c>
      <c r="BO397" s="685"/>
      <c r="BP397" s="820">
        <f>SUM(BP395:BP396)</f>
        <v>11</v>
      </c>
      <c r="BQ397" s="820">
        <f>SUM(BQ395:BQ396)</f>
        <v>0</v>
      </c>
      <c r="BR397" s="820">
        <f>SUM(BR395:BR396)</f>
        <v>11</v>
      </c>
      <c r="BS397" s="685"/>
      <c r="BT397" s="820">
        <f>SUM(BT395:BT396)</f>
        <v>9</v>
      </c>
      <c r="BU397" s="820">
        <f>SUM(BU395:BU396)</f>
        <v>-24</v>
      </c>
      <c r="BV397" s="820">
        <f>SUM(BV395:BV396)</f>
        <v>-15</v>
      </c>
      <c r="BW397" s="295"/>
      <c r="BX397" s="820">
        <f>SUM(BX395:BX396)</f>
        <v>-22</v>
      </c>
      <c r="BY397" s="820">
        <f>SUM(BY395:BY396)</f>
        <v>-20</v>
      </c>
      <c r="BZ397" s="820">
        <f>SUM(BZ395:BZ396)</f>
        <v>-42</v>
      </c>
      <c r="CA397" s="295"/>
      <c r="CB397" s="820">
        <f>SUM(CB395:CB396)</f>
        <v>-81</v>
      </c>
      <c r="CC397" s="820">
        <f>SUM(CC395:CC396)</f>
        <v>-87</v>
      </c>
      <c r="CD397" s="820">
        <f>SUM(CD395:CD396)</f>
        <v>-168</v>
      </c>
      <c r="CE397" s="295"/>
      <c r="CF397" s="820">
        <f>SUM(CF395:CF396)</f>
        <v>-217</v>
      </c>
      <c r="CG397" s="820">
        <f>SUM(CG395:CG396)</f>
        <v>-252</v>
      </c>
      <c r="CH397" s="820">
        <f>SUM(CH395:CH396)</f>
        <v>-469</v>
      </c>
      <c r="CI397" s="295"/>
      <c r="CJ397" s="820">
        <f>SUM(CJ395:CJ396)</f>
        <v>-258</v>
      </c>
      <c r="CK397" s="820">
        <f>SUM(CK395:CK396)</f>
        <v>-144</v>
      </c>
      <c r="CL397" s="820">
        <f>SUM(CL395:CL396)</f>
        <v>-402</v>
      </c>
      <c r="CM397" s="295"/>
      <c r="CN397" s="820">
        <f>SUM(CN395:CN396)</f>
        <v>-123</v>
      </c>
      <c r="CO397" s="820">
        <f>SUM(CO395:CO396)</f>
        <v>-126</v>
      </c>
      <c r="CP397" s="820">
        <f>SUM(CP395:CP396)</f>
        <v>-249</v>
      </c>
      <c r="CQ397" s="295"/>
      <c r="CR397" s="820">
        <f>SUM(CR395:CR396)</f>
        <v>-178</v>
      </c>
      <c r="CS397" s="820">
        <f>SUM(CS395:CS396)</f>
        <v>-150</v>
      </c>
      <c r="CT397" s="820">
        <f>SUM(CT395:CT396)</f>
        <v>-328</v>
      </c>
      <c r="CU397" s="295"/>
      <c r="CV397" s="820">
        <f>SUM(CV395:CV396)</f>
        <v>-143</v>
      </c>
      <c r="CW397" s="820">
        <f>SUM(CW395:CW396)</f>
        <v>-253</v>
      </c>
      <c r="CX397" s="820">
        <f>SUM(CX395:CX396)</f>
        <v>-396</v>
      </c>
      <c r="CY397" s="295"/>
      <c r="CZ397" s="820">
        <f>SUM(CZ395:CZ396)</f>
        <v>-265</v>
      </c>
      <c r="DA397" s="820">
        <f>SUM(DA395:DA396)</f>
        <v>-292</v>
      </c>
      <c r="DB397" s="820">
        <f>SUM(DB395:DB396)</f>
        <v>-557</v>
      </c>
      <c r="DC397" s="295"/>
      <c r="DD397" s="820">
        <f>SUM(DD395:DD396)</f>
        <v>-245</v>
      </c>
      <c r="DE397" s="820">
        <f>SUM(DE395:DE396)</f>
        <v>-269</v>
      </c>
      <c r="DF397" s="820">
        <f>SUM(DF395:DF396)</f>
        <v>-514</v>
      </c>
      <c r="DG397" s="295"/>
      <c r="DH397" s="820">
        <f>SUM(DH395:DH396)</f>
        <v>-193</v>
      </c>
      <c r="DI397" s="295">
        <f>SUM(DI395:DI396)</f>
        <v>-198.79</v>
      </c>
      <c r="DJ397" s="295">
        <f>DH397+DI397</f>
        <v>-391.78999999999996</v>
      </c>
      <c r="DK397" s="295"/>
      <c r="DL397" s="295">
        <f>SUM(DL395:DL396)</f>
        <v>-204.75370000000001</v>
      </c>
      <c r="DM397" s="295">
        <f>SUM(DM395:DM396)</f>
        <v>-210.89631100000003</v>
      </c>
      <c r="DN397" s="295">
        <f>DL397+DM397</f>
        <v>-415.65001100000006</v>
      </c>
      <c r="DO397" s="295"/>
      <c r="DP397" s="295">
        <f>SUM(DP395:DP396)</f>
        <v>-217.22320033000003</v>
      </c>
      <c r="DQ397" s="295">
        <f>SUM(DQ395:DQ396)</f>
        <v>-223.73989633990004</v>
      </c>
      <c r="DR397" s="295">
        <f>DP397+DQ397</f>
        <v>-440.9630966699001</v>
      </c>
      <c r="DS397" s="295"/>
      <c r="DT397" s="295"/>
      <c r="DU397" s="295"/>
      <c r="DV397" s="295"/>
      <c r="DW397" s="1199"/>
      <c r="DX397" s="295"/>
      <c r="DY397" s="295"/>
      <c r="DZ397" s="295"/>
      <c r="EA397" s="295"/>
      <c r="EB397" s="295"/>
      <c r="EC397" s="295"/>
      <c r="ED397" s="295"/>
      <c r="EE397" s="295"/>
      <c r="EF397" s="295"/>
      <c r="EG397" s="295"/>
      <c r="EH397" s="295"/>
      <c r="EI397" s="295"/>
      <c r="EJ397" s="295"/>
      <c r="EK397" s="295"/>
      <c r="EL397" s="295"/>
      <c r="EM397" s="295"/>
      <c r="EN397" s="295"/>
      <c r="EO397" s="295"/>
      <c r="EP397" s="295"/>
      <c r="EQ397" s="295"/>
      <c r="ER397" s="295"/>
      <c r="ES397" s="295"/>
      <c r="ET397" s="295"/>
      <c r="EU397" s="295"/>
      <c r="JW397"/>
    </row>
    <row r="398" spans="1:283" s="332" customFormat="1">
      <c r="AN398" s="293"/>
      <c r="AO398" s="293"/>
      <c r="AP398" s="293"/>
      <c r="AQ398" s="293"/>
      <c r="AR398" s="293"/>
      <c r="AS398" s="293"/>
      <c r="AT398" s="293"/>
      <c r="AU398" s="293"/>
      <c r="AV398" s="293"/>
      <c r="AW398" s="293"/>
      <c r="AX398" s="293"/>
      <c r="AY398" s="293"/>
      <c r="AZ398" s="293"/>
      <c r="BA398" s="293"/>
      <c r="BB398" s="293"/>
      <c r="BC398" s="293"/>
      <c r="BD398" s="293"/>
      <c r="BE398" s="293"/>
      <c r="BF398" s="293"/>
      <c r="BG398" s="293"/>
      <c r="BH398" s="293"/>
      <c r="BI398" s="293"/>
      <c r="BJ398" s="293"/>
      <c r="BK398" s="293"/>
      <c r="BL398" s="293"/>
      <c r="BM398" s="293"/>
      <c r="BN398" s="293"/>
      <c r="BO398" s="293"/>
      <c r="BP398" s="293"/>
      <c r="BQ398" s="293"/>
      <c r="BR398" s="293"/>
      <c r="BS398" s="293"/>
      <c r="BT398" s="293"/>
      <c r="BU398" s="293"/>
      <c r="BV398" s="293"/>
      <c r="BW398" s="293"/>
      <c r="BX398" s="293"/>
      <c r="BY398" s="293"/>
      <c r="BZ398" s="293"/>
      <c r="CA398" s="293"/>
      <c r="CB398" s="293"/>
      <c r="CC398" s="293"/>
      <c r="CD398" s="293"/>
      <c r="CE398" s="293"/>
      <c r="CF398" s="293"/>
      <c r="CG398" s="293"/>
      <c r="CH398" s="293"/>
      <c r="CI398" s="293"/>
      <c r="CJ398" s="293"/>
      <c r="CK398" s="293"/>
      <c r="CL398" s="293"/>
      <c r="CM398" s="293"/>
      <c r="CN398" s="293"/>
      <c r="CO398" s="293"/>
      <c r="CP398" s="293"/>
      <c r="CQ398" s="293"/>
      <c r="CR398" s="293"/>
      <c r="CS398" s="293"/>
      <c r="CT398" s="293"/>
      <c r="CU398" s="293"/>
      <c r="CV398" s="293"/>
      <c r="CW398" s="293"/>
      <c r="CX398" s="293"/>
      <c r="CY398" s="293"/>
      <c r="CZ398" s="293"/>
      <c r="DA398" s="293"/>
      <c r="DB398" s="293"/>
      <c r="DC398" s="293"/>
      <c r="DD398" s="293"/>
      <c r="DE398" s="293"/>
      <c r="DF398" s="293"/>
      <c r="DG398" s="293"/>
      <c r="DH398" s="293"/>
      <c r="DI398" s="293"/>
      <c r="DJ398" s="293"/>
      <c r="DK398" s="293"/>
      <c r="DL398" s="293"/>
      <c r="DM398" s="293"/>
      <c r="DN398" s="293"/>
      <c r="DO398" s="293"/>
      <c r="DP398" s="293"/>
      <c r="DQ398" s="293"/>
      <c r="DR398" s="293"/>
      <c r="DS398" s="293"/>
      <c r="DT398" s="293"/>
      <c r="DU398" s="293"/>
      <c r="DV398" s="293"/>
      <c r="DW398" s="828"/>
      <c r="DX398" s="293"/>
      <c r="DY398" s="293"/>
      <c r="DZ398" s="293"/>
      <c r="EA398" s="293"/>
      <c r="EB398" s="293"/>
      <c r="EC398" s="293"/>
      <c r="ED398" s="293"/>
      <c r="EE398" s="293"/>
      <c r="EF398" s="293"/>
      <c r="EG398" s="293"/>
      <c r="EH398" s="293"/>
      <c r="EI398" s="293"/>
      <c r="EJ398" s="293"/>
      <c r="EK398" s="293"/>
      <c r="EL398" s="293"/>
      <c r="EM398" s="293"/>
      <c r="EN398" s="293"/>
      <c r="EO398" s="293"/>
      <c r="EP398" s="293"/>
      <c r="EQ398" s="293"/>
      <c r="ER398" s="293"/>
      <c r="ES398" s="293"/>
      <c r="ET398" s="293"/>
      <c r="EU398" s="293"/>
      <c r="JW398"/>
    </row>
    <row r="399" spans="1:283" s="327" customFormat="1">
      <c r="A399" s="1207" t="s">
        <v>566</v>
      </c>
      <c r="AN399" s="295"/>
      <c r="AO399" s="295"/>
      <c r="AP399" s="640"/>
      <c r="AQ399" s="295"/>
      <c r="AR399" s="295"/>
      <c r="AS399" s="295"/>
      <c r="AT399" s="295"/>
      <c r="AU399" s="295"/>
      <c r="AV399" s="295"/>
      <c r="AW399" s="295"/>
      <c r="AX399" s="295"/>
      <c r="AY399" s="295"/>
      <c r="AZ399" s="295"/>
      <c r="BA399" s="295"/>
      <c r="BB399" s="295"/>
      <c r="BC399" s="295"/>
      <c r="BD399" s="295"/>
      <c r="BE399" s="295"/>
      <c r="BF399" s="295"/>
      <c r="BG399" s="295"/>
      <c r="BH399" s="295"/>
      <c r="BI399" s="295"/>
      <c r="BJ399" s="295"/>
      <c r="BK399" s="295"/>
      <c r="BL399" s="295"/>
      <c r="BM399" s="295"/>
      <c r="BN399" s="1106"/>
      <c r="BO399" s="295"/>
      <c r="BP399" s="295"/>
      <c r="BQ399" s="295"/>
      <c r="BR399" s="1106"/>
      <c r="BS399" s="295"/>
      <c r="BT399" s="295"/>
      <c r="BU399" s="295"/>
      <c r="BV399" s="1106"/>
      <c r="BW399" s="295"/>
      <c r="BX399" s="295"/>
      <c r="BY399" s="295"/>
      <c r="BZ399" s="1106"/>
      <c r="CA399" s="295"/>
      <c r="CB399" s="295"/>
      <c r="CC399" s="295"/>
      <c r="CD399" s="1106">
        <f>CD346/CD343</f>
        <v>6.3578947368421054E-2</v>
      </c>
      <c r="CE399" s="295"/>
      <c r="CF399" s="295"/>
      <c r="CG399" s="295"/>
      <c r="CH399" s="1106">
        <f>CH346/CH343</f>
        <v>0.26325088339222613</v>
      </c>
      <c r="CI399" s="376">
        <f>+CH400/CD400-1</f>
        <v>0.1339285714285714</v>
      </c>
      <c r="CJ399" s="295"/>
      <c r="CK399" s="295"/>
      <c r="CL399" s="1106">
        <f>CL346/CL343</f>
        <v>0.19145618958528218</v>
      </c>
      <c r="CM399" s="295"/>
      <c r="CN399" s="295"/>
      <c r="CO399" s="295"/>
      <c r="CP399" s="1106">
        <f>CP346/CP343</f>
        <v>0.29544676480657311</v>
      </c>
      <c r="CQ399" s="295"/>
      <c r="CR399" s="295"/>
      <c r="CS399" s="295"/>
      <c r="CT399" s="1106">
        <f>CT346/CT343</f>
        <v>0.3970156555772994</v>
      </c>
      <c r="CU399" s="295"/>
      <c r="CV399" s="295"/>
      <c r="CW399" s="295"/>
      <c r="CX399" s="1106">
        <f>CX346/CX343</f>
        <v>0.30454206999255401</v>
      </c>
      <c r="CY399" s="295"/>
      <c r="CZ399" s="295"/>
      <c r="DA399" s="295"/>
      <c r="DB399" s="1106">
        <f>DB346/DB343</f>
        <v>8.0690180157320476E-2</v>
      </c>
      <c r="DC399" s="295"/>
      <c r="DD399" s="295"/>
      <c r="DE399" s="295"/>
      <c r="DF399" s="295"/>
      <c r="DG399" s="295"/>
      <c r="DH399" s="295"/>
      <c r="DI399" s="295"/>
      <c r="DJ399" s="295"/>
      <c r="DK399" s="295"/>
      <c r="DL399" s="295"/>
      <c r="DM399" s="295"/>
      <c r="DN399" s="295"/>
      <c r="DO399" s="295"/>
      <c r="DP399" s="295"/>
      <c r="DQ399" s="295"/>
      <c r="DR399" s="295"/>
      <c r="DS399" s="295"/>
      <c r="DT399" s="295"/>
      <c r="DU399" s="295"/>
      <c r="DV399" s="295"/>
      <c r="DW399" s="831"/>
      <c r="DX399" s="295"/>
      <c r="DY399" s="295"/>
      <c r="DZ399" s="295"/>
      <c r="EA399" s="295"/>
      <c r="EB399" s="295"/>
      <c r="EC399" s="295"/>
      <c r="ED399" s="295"/>
      <c r="EE399" s="295"/>
      <c r="EF399" s="295"/>
      <c r="EG399" s="295"/>
      <c r="EH399" s="295"/>
      <c r="EI399" s="295"/>
      <c r="EJ399" s="295"/>
      <c r="EK399" s="295"/>
      <c r="EL399" s="295"/>
      <c r="EM399" s="295"/>
      <c r="EN399" s="295"/>
      <c r="EO399" s="295"/>
      <c r="EP399" s="295"/>
      <c r="EQ399" s="295"/>
      <c r="ER399" s="295"/>
      <c r="ES399" s="295"/>
      <c r="ET399" s="295"/>
      <c r="EU399" s="295"/>
      <c r="JW399"/>
    </row>
    <row r="400" spans="1:283" s="327" customFormat="1">
      <c r="A400" s="327" t="s">
        <v>615</v>
      </c>
      <c r="AN400" s="295"/>
      <c r="AO400" s="295"/>
      <c r="AP400" s="295">
        <f>SUM(AP401:AP403)</f>
        <v>681</v>
      </c>
      <c r="AQ400" s="295"/>
      <c r="AR400" s="295"/>
      <c r="AS400" s="295"/>
      <c r="AT400" s="295">
        <f>SUM(AT401:AT403)</f>
        <v>666</v>
      </c>
      <c r="AU400" s="655"/>
      <c r="AV400" s="295">
        <f>SUM(AV401:AV403)</f>
        <v>315</v>
      </c>
      <c r="AW400" s="295">
        <f>SUM(AW401:AW403)</f>
        <v>382</v>
      </c>
      <c r="AX400" s="295">
        <f t="shared" ref="AX400:AX411" si="1209">AV400+AW400</f>
        <v>697</v>
      </c>
      <c r="AY400" s="295"/>
      <c r="AZ400" s="295">
        <f>SUM(AZ401:AZ403)</f>
        <v>441</v>
      </c>
      <c r="BA400" s="295">
        <f>SUM(BA401:BA403)</f>
        <v>431</v>
      </c>
      <c r="BB400" s="295">
        <f t="shared" ref="BB400:BB411" si="1210">AZ400+BA400</f>
        <v>872</v>
      </c>
      <c r="BC400" s="295"/>
      <c r="BD400" s="295">
        <f>SUM(BD401:BD403)</f>
        <v>446.33300000000003</v>
      </c>
      <c r="BE400" s="295">
        <f>SUM(BE401:BE403)</f>
        <v>459</v>
      </c>
      <c r="BF400" s="295">
        <f t="shared" ref="BF400:BF411" si="1211">BD400+BE400</f>
        <v>905.33300000000008</v>
      </c>
      <c r="BG400" s="376"/>
      <c r="BH400" s="295">
        <f>SUM(BH401:BH403)</f>
        <v>480</v>
      </c>
      <c r="BI400" s="295">
        <f>SUM(BI401:BI403)</f>
        <v>509</v>
      </c>
      <c r="BJ400" s="295">
        <f t="shared" ref="BJ400:BJ411" si="1212">BH400+BI400</f>
        <v>989</v>
      </c>
      <c r="BK400" s="295"/>
      <c r="BL400" s="295">
        <f>SUM(BL401:BL403)</f>
        <v>610</v>
      </c>
      <c r="BM400" s="295">
        <f>SUM(BM401:BM403)</f>
        <v>652</v>
      </c>
      <c r="BN400" s="295">
        <f t="shared" ref="BN400:BN411" si="1213">BL400+BM400</f>
        <v>1262</v>
      </c>
      <c r="BO400" s="672">
        <f>+BN400/BJ400-1</f>
        <v>0.27603640040444888</v>
      </c>
      <c r="BP400" s="295">
        <f>SUM(BP401:BP403)</f>
        <v>641</v>
      </c>
      <c r="BQ400" s="295">
        <f>SUM(BQ401:BQ403)</f>
        <v>731</v>
      </c>
      <c r="BR400" s="295">
        <f t="shared" ref="BR400:BR411" si="1214">BP400+BQ400</f>
        <v>1372</v>
      </c>
      <c r="BS400" s="672">
        <f>+BR400/BN400-1</f>
        <v>8.7163232963549886E-2</v>
      </c>
      <c r="BT400" s="295">
        <f>SUM(BT401:BT403)</f>
        <v>784</v>
      </c>
      <c r="BU400" s="295">
        <f>SUM(BU401:BU403)</f>
        <v>785</v>
      </c>
      <c r="BV400" s="295">
        <f t="shared" ref="BV400:BV411" si="1215">BT400+BU400</f>
        <v>1569</v>
      </c>
      <c r="BW400" s="672">
        <f>+BV400/BR400-1</f>
        <v>0.14358600583090375</v>
      </c>
      <c r="BX400" s="295">
        <f>SUM(BX401:BX403)</f>
        <v>790</v>
      </c>
      <c r="BY400" s="295">
        <f>SUM(BY401:BY403)</f>
        <v>784</v>
      </c>
      <c r="BZ400" s="295">
        <f t="shared" ref="BZ400:BZ411" si="1216">BX400+BY400</f>
        <v>1574</v>
      </c>
      <c r="CA400" s="672">
        <f>+BZ400/BV400-1</f>
        <v>3.1867431485022024E-3</v>
      </c>
      <c r="CB400" s="295">
        <f>SUM(CB401:CB403)</f>
        <v>775</v>
      </c>
      <c r="CC400" s="295">
        <f>SUM(CC401:CC403)</f>
        <v>793</v>
      </c>
      <c r="CD400" s="295">
        <f t="shared" ref="CD400:CD411" si="1217">CB400+CC400</f>
        <v>1568</v>
      </c>
      <c r="CE400" s="672">
        <f>+CD400/BZ400-1</f>
        <v>-3.8119440914866631E-3</v>
      </c>
      <c r="CF400" s="295">
        <f>SUM(CF401:CF403)</f>
        <v>879</v>
      </c>
      <c r="CG400" s="295">
        <f>SUM(CG401:CG403)</f>
        <v>899</v>
      </c>
      <c r="CH400" s="295">
        <f t="shared" ref="CH400:CH411" si="1218">CF400+CG400</f>
        <v>1778</v>
      </c>
      <c r="CI400" s="672">
        <f>+CH400/CD400-1</f>
        <v>0.1339285714285714</v>
      </c>
      <c r="CJ400" s="295">
        <f>SUM(CJ401:CJ403)</f>
        <v>950</v>
      </c>
      <c r="CK400" s="295">
        <f>SUM(CK401:CK403)</f>
        <v>1071</v>
      </c>
      <c r="CL400" s="295">
        <f t="shared" ref="CL400:CL411" si="1219">CJ400+CK400</f>
        <v>2021</v>
      </c>
      <c r="CM400" s="672">
        <f>+CL400/CH400-1</f>
        <v>0.13667041619797526</v>
      </c>
      <c r="CN400" s="295">
        <f>SUM(CN401:CN403)</f>
        <v>971</v>
      </c>
      <c r="CO400" s="295">
        <f>SUM(CO401:CO403)</f>
        <v>1014</v>
      </c>
      <c r="CP400" s="295">
        <f t="shared" ref="CP400:CP411" si="1220">CN400+CO400</f>
        <v>1985</v>
      </c>
      <c r="CQ400" s="672">
        <f>+CP400/CL400-1</f>
        <v>-1.7812963879267674E-2</v>
      </c>
      <c r="CR400" s="295">
        <f>SUM(CR401:CR403)</f>
        <v>1362</v>
      </c>
      <c r="CS400" s="295">
        <f>SUM(CS401:CS403)</f>
        <v>1409</v>
      </c>
      <c r="CT400" s="295">
        <f t="shared" ref="CT400:CT411" si="1221">CR400+CS400</f>
        <v>2771</v>
      </c>
      <c r="CU400" s="672">
        <f>+CT400/CP400-1</f>
        <v>0.39596977329974803</v>
      </c>
      <c r="CV400" s="295">
        <f>SUM(CV401:CV403)</f>
        <v>1378</v>
      </c>
      <c r="CW400" s="295">
        <f>SUM(CW401:CW403)</f>
        <v>1404</v>
      </c>
      <c r="CX400" s="295">
        <f t="shared" ref="CX400:CX411" si="1222">CV400+CW400</f>
        <v>2782</v>
      </c>
      <c r="CY400" s="672">
        <f>+CX400/CT400-1</f>
        <v>3.9696860339226703E-3</v>
      </c>
      <c r="CZ400" s="295">
        <f>SUM(CZ401:CZ403)</f>
        <v>1407</v>
      </c>
      <c r="DA400" s="1412">
        <f>SUM(DA401:DA403)</f>
        <v>1467</v>
      </c>
      <c r="DB400" s="295">
        <f t="shared" ref="DB400:DB411" si="1223">CZ400+DA400</f>
        <v>2874</v>
      </c>
      <c r="DC400" s="672">
        <f>+DB400/CX400-1</f>
        <v>3.3069734004313345E-2</v>
      </c>
      <c r="DD400" s="295">
        <f>SUM(DD401:DD403)</f>
        <v>1436</v>
      </c>
      <c r="DE400" s="1412">
        <f>SUM(DE401:DE403)</f>
        <v>1489</v>
      </c>
      <c r="DF400" s="295">
        <f t="shared" ref="DF400:DF411" si="1224">DD400+DE400</f>
        <v>2925</v>
      </c>
      <c r="DG400" s="672">
        <f>+DF400/DB400-1</f>
        <v>1.7745302713987554E-2</v>
      </c>
      <c r="DH400" s="295">
        <f>SUM(DH401:DH403)</f>
        <v>1465</v>
      </c>
      <c r="DI400" s="295">
        <f>SUM(DI401:DI403)</f>
        <v>1252.6318317971143</v>
      </c>
      <c r="DJ400" s="295">
        <f t="shared" ref="DJ400:DJ411" si="1225">DH400+DI400</f>
        <v>2717.6318317971145</v>
      </c>
      <c r="DK400" s="672">
        <f>+DJ400/DF400-1</f>
        <v>-7.0895100240302766E-2</v>
      </c>
      <c r="DL400" s="295">
        <f>SUM(DL401:DL403)</f>
        <v>1176.2274515753802</v>
      </c>
      <c r="DM400" s="295">
        <f>SUM(DM401:DM403)</f>
        <v>1190.2068358089396</v>
      </c>
      <c r="DN400" s="295">
        <f t="shared" ref="DN400:DN411" si="1226">DL400+DM400</f>
        <v>2366.4342873843198</v>
      </c>
      <c r="DO400" s="672">
        <f>+DN400/DJ400-1</f>
        <v>-0.12922925773229366</v>
      </c>
      <c r="DP400" s="295">
        <f>SUM(DP401:DP403)</f>
        <v>1218.5660916771756</v>
      </c>
      <c r="DQ400" s="295">
        <f>SUM(DQ401:DQ403)</f>
        <v>1244.1249051442887</v>
      </c>
      <c r="DR400" s="295">
        <f t="shared" ref="DR400:DR411" si="1227">DP400+DQ400</f>
        <v>2462.6909968214641</v>
      </c>
      <c r="DS400" s="672">
        <f>+DR400/DN400-1</f>
        <v>4.0675842955072872E-2</v>
      </c>
      <c r="DT400" s="672"/>
      <c r="DU400" s="672"/>
      <c r="DV400" s="672"/>
      <c r="DW400" s="831"/>
      <c r="DX400" s="295"/>
      <c r="DY400" s="295"/>
      <c r="DZ400" s="295"/>
      <c r="EA400" s="295"/>
      <c r="EB400" s="295"/>
      <c r="EC400" s="295"/>
      <c r="ED400" s="295"/>
      <c r="EE400" s="295"/>
      <c r="EF400" s="295"/>
      <c r="EG400" s="295"/>
      <c r="EH400" s="295"/>
      <c r="EI400" s="295"/>
      <c r="EJ400" s="295"/>
      <c r="EK400" s="295"/>
      <c r="EL400" s="295"/>
      <c r="EM400" s="295"/>
      <c r="EN400" s="295"/>
      <c r="EO400" s="295"/>
      <c r="EP400" s="295"/>
      <c r="EQ400" s="295"/>
      <c r="ER400" s="295"/>
      <c r="ES400" s="295"/>
      <c r="ET400" s="295"/>
      <c r="EU400" s="295"/>
      <c r="JW400"/>
    </row>
    <row r="401" spans="1:283" s="332" customFormat="1">
      <c r="A401" s="102" t="s">
        <v>1301</v>
      </c>
      <c r="AN401" s="293"/>
      <c r="AO401" s="293"/>
      <c r="AP401" s="626">
        <v>158</v>
      </c>
      <c r="AQ401" s="293"/>
      <c r="AR401" s="655">
        <v>66</v>
      </c>
      <c r="AS401" s="655">
        <v>76</v>
      </c>
      <c r="AT401" s="295">
        <f t="shared" ref="AT401" si="1228">AR401+AS401</f>
        <v>142</v>
      </c>
      <c r="AU401" s="626"/>
      <c r="AV401" s="626">
        <v>59</v>
      </c>
      <c r="AW401" s="640">
        <v>151</v>
      </c>
      <c r="AX401" s="293">
        <f t="shared" si="1209"/>
        <v>210</v>
      </c>
      <c r="AY401" s="103"/>
      <c r="AZ401" s="626">
        <v>250</v>
      </c>
      <c r="BA401" s="626">
        <v>251</v>
      </c>
      <c r="BB401" s="293">
        <f t="shared" si="1210"/>
        <v>501</v>
      </c>
      <c r="BC401" s="293"/>
      <c r="BD401" s="626">
        <f>262+0.333</f>
        <v>262.33300000000003</v>
      </c>
      <c r="BE401" s="626">
        <f>267</f>
        <v>267</v>
      </c>
      <c r="BF401" s="293">
        <f t="shared" si="1211"/>
        <v>529.33300000000008</v>
      </c>
      <c r="BG401" s="685"/>
      <c r="BH401" s="626">
        <v>283</v>
      </c>
      <c r="BI401" s="626">
        <v>308</v>
      </c>
      <c r="BJ401" s="293">
        <f t="shared" si="1212"/>
        <v>591</v>
      </c>
      <c r="BK401" s="487"/>
      <c r="BL401" s="626">
        <v>356</v>
      </c>
      <c r="BM401" s="626">
        <v>393</v>
      </c>
      <c r="BN401" s="293">
        <f t="shared" si="1213"/>
        <v>749</v>
      </c>
      <c r="BO401" s="487"/>
      <c r="BP401" s="626">
        <v>384</v>
      </c>
      <c r="BQ401" s="626">
        <v>442</v>
      </c>
      <c r="BR401" s="293">
        <f t="shared" si="1214"/>
        <v>826</v>
      </c>
      <c r="BS401" s="817">
        <f>+BR401/BN401-1</f>
        <v>0.10280373831775691</v>
      </c>
      <c r="BT401" s="626">
        <v>472</v>
      </c>
      <c r="BU401" s="626">
        <v>447</v>
      </c>
      <c r="BV401" s="293">
        <f t="shared" si="1215"/>
        <v>919</v>
      </c>
      <c r="BW401" s="817">
        <f>+BV401/BR401-1</f>
        <v>0.11259079903147695</v>
      </c>
      <c r="BX401" s="626">
        <v>448</v>
      </c>
      <c r="BY401" s="626">
        <v>443</v>
      </c>
      <c r="BZ401" s="293">
        <f t="shared" si="1216"/>
        <v>891</v>
      </c>
      <c r="CA401" s="817">
        <f>+BZ401/BV401-1</f>
        <v>-3.0467899891186034E-2</v>
      </c>
      <c r="CB401" s="626">
        <v>450</v>
      </c>
      <c r="CC401" s="626">
        <v>468</v>
      </c>
      <c r="CD401" s="293">
        <f t="shared" si="1217"/>
        <v>918</v>
      </c>
      <c r="CE401" s="817">
        <f>+CD401/BZ401-1</f>
        <v>3.0303030303030276E-2</v>
      </c>
      <c r="CF401" s="626">
        <v>494</v>
      </c>
      <c r="CG401" s="626">
        <v>482</v>
      </c>
      <c r="CH401" s="293">
        <f t="shared" si="1218"/>
        <v>976</v>
      </c>
      <c r="CI401" s="817">
        <f>+CH401/CD401-1</f>
        <v>6.3180827886710311E-2</v>
      </c>
      <c r="CJ401" s="626">
        <v>514</v>
      </c>
      <c r="CK401" s="626">
        <v>573</v>
      </c>
      <c r="CL401" s="293">
        <f t="shared" si="1219"/>
        <v>1087</v>
      </c>
      <c r="CM401" s="817">
        <f>+CL401/CH401-1</f>
        <v>0.11372950819672134</v>
      </c>
      <c r="CN401" s="1388">
        <v>500</v>
      </c>
      <c r="CO401" s="1388">
        <v>528</v>
      </c>
      <c r="CP401" s="1010">
        <f t="shared" si="1220"/>
        <v>1028</v>
      </c>
      <c r="CQ401" s="1002">
        <f>+CP401/CL401-1</f>
        <v>-5.4277828886844515E-2</v>
      </c>
      <c r="CR401" s="1388">
        <v>833</v>
      </c>
      <c r="CS401" s="1497">
        <v>850</v>
      </c>
      <c r="CT401" s="293">
        <f t="shared" si="1221"/>
        <v>1683</v>
      </c>
      <c r="CU401" s="817">
        <f>+CT401/CP401-1</f>
        <v>0.63715953307392992</v>
      </c>
      <c r="CV401" s="1388">
        <v>787</v>
      </c>
      <c r="CW401" s="1497">
        <v>742</v>
      </c>
      <c r="CX401" s="293">
        <f t="shared" si="1222"/>
        <v>1529</v>
      </c>
      <c r="CY401" s="817">
        <f>+CX401/CT401-1</f>
        <v>-9.1503267973856217E-2</v>
      </c>
      <c r="CZ401" s="1863">
        <v>741</v>
      </c>
      <c r="DA401" s="1488">
        <v>733</v>
      </c>
      <c r="DB401" s="293">
        <f t="shared" si="1223"/>
        <v>1474</v>
      </c>
      <c r="DC401" s="817">
        <f>+DB401/CX401-1</f>
        <v>-3.5971223021582732E-2</v>
      </c>
      <c r="DD401" s="2107">
        <v>721</v>
      </c>
      <c r="DE401" s="2176">
        <v>744</v>
      </c>
      <c r="DF401" s="293">
        <f t="shared" si="1224"/>
        <v>1465</v>
      </c>
      <c r="DG401" s="817">
        <f>+DF401/DB401-1</f>
        <v>-6.105834464043447E-3</v>
      </c>
      <c r="DH401" s="2107">
        <v>716</v>
      </c>
      <c r="DI401" s="841">
        <f>'P&amp;L'!DI158</f>
        <v>479.07674049224255</v>
      </c>
      <c r="DJ401" s="293">
        <f t="shared" si="1225"/>
        <v>1195.0767404922426</v>
      </c>
      <c r="DK401" s="817">
        <f>+DJ401/DF401-1</f>
        <v>-0.18424795870836685</v>
      </c>
      <c r="DL401" s="841">
        <f>'P&amp;L'!DL158</f>
        <v>380.72484178990874</v>
      </c>
      <c r="DM401" s="841">
        <f>'P&amp;L'!DM158</f>
        <v>386.81871207141376</v>
      </c>
      <c r="DN401" s="293">
        <f t="shared" si="1226"/>
        <v>767.54355386132249</v>
      </c>
      <c r="DO401" s="817">
        <f>+DN401/DJ401-1</f>
        <v>-0.3577453833256119</v>
      </c>
      <c r="DP401" s="841">
        <f>'P&amp;L'!DP158</f>
        <v>396.24836816714878</v>
      </c>
      <c r="DQ401" s="841">
        <f>'P&amp;L'!DQ158</f>
        <v>404.78824807614319</v>
      </c>
      <c r="DR401" s="293">
        <f t="shared" si="1227"/>
        <v>801.03661624329197</v>
      </c>
      <c r="DS401" s="817">
        <f>+DR401/DN401-1</f>
        <v>4.363669294527206E-2</v>
      </c>
      <c r="DT401" s="817"/>
      <c r="DU401" s="817"/>
      <c r="DV401" s="817"/>
      <c r="DW401" s="1198" t="s">
        <v>174</v>
      </c>
      <c r="DX401" s="293"/>
      <c r="DY401" s="293"/>
      <c r="DZ401" s="293"/>
      <c r="EA401" s="293"/>
      <c r="EB401" s="293"/>
      <c r="EC401" s="293"/>
      <c r="ED401" s="293"/>
      <c r="EE401" s="293"/>
      <c r="EF401" s="293"/>
      <c r="EG401" s="293"/>
      <c r="EH401" s="293"/>
      <c r="EI401" s="293"/>
      <c r="EJ401" s="293"/>
      <c r="EK401" s="293"/>
      <c r="EL401" s="293"/>
      <c r="EM401" s="293"/>
      <c r="EN401" s="293"/>
      <c r="EO401" s="293"/>
      <c r="EP401" s="293"/>
      <c r="EQ401" s="293"/>
      <c r="ER401" s="293"/>
      <c r="ES401" s="293"/>
      <c r="ET401" s="293"/>
      <c r="EU401" s="293"/>
      <c r="JW401"/>
    </row>
    <row r="402" spans="1:283" s="332" customFormat="1">
      <c r="A402" s="102" t="s">
        <v>1300</v>
      </c>
      <c r="AN402" s="293"/>
      <c r="AO402" s="293"/>
      <c r="AP402" s="626">
        <v>523</v>
      </c>
      <c r="AQ402" s="293"/>
      <c r="AR402" s="293"/>
      <c r="AS402" s="293"/>
      <c r="AT402" s="626">
        <v>524</v>
      </c>
      <c r="AU402" s="626"/>
      <c r="AV402" s="626">
        <v>243</v>
      </c>
      <c r="AW402" s="626">
        <v>220</v>
      </c>
      <c r="AX402" s="293">
        <f t="shared" si="1209"/>
        <v>463</v>
      </c>
      <c r="AY402" s="103"/>
      <c r="AZ402" s="626">
        <v>181</v>
      </c>
      <c r="BA402" s="626">
        <v>170</v>
      </c>
      <c r="BB402" s="293">
        <f t="shared" si="1210"/>
        <v>351</v>
      </c>
      <c r="BC402" s="293"/>
      <c r="BD402" s="626">
        <f>175</f>
        <v>175</v>
      </c>
      <c r="BE402" s="626">
        <f>178</f>
        <v>178</v>
      </c>
      <c r="BF402" s="293">
        <f t="shared" si="1211"/>
        <v>353</v>
      </c>
      <c r="BG402" s="685"/>
      <c r="BH402" s="626">
        <v>190</v>
      </c>
      <c r="BI402" s="626">
        <v>193</v>
      </c>
      <c r="BJ402" s="293">
        <f t="shared" si="1212"/>
        <v>383</v>
      </c>
      <c r="BK402" s="487"/>
      <c r="BL402" s="626">
        <v>246</v>
      </c>
      <c r="BM402" s="626">
        <v>247</v>
      </c>
      <c r="BN402" s="293">
        <f t="shared" si="1213"/>
        <v>493</v>
      </c>
      <c r="BO402" s="487"/>
      <c r="BP402" s="626">
        <v>248</v>
      </c>
      <c r="BQ402" s="626">
        <v>274</v>
      </c>
      <c r="BR402" s="293">
        <f t="shared" si="1214"/>
        <v>522</v>
      </c>
      <c r="BS402" s="817">
        <f>+BR402/BN402-1</f>
        <v>5.8823529411764719E-2</v>
      </c>
      <c r="BT402" s="626">
        <v>303</v>
      </c>
      <c r="BU402" s="626">
        <v>314</v>
      </c>
      <c r="BV402" s="293">
        <f t="shared" si="1215"/>
        <v>617</v>
      </c>
      <c r="BW402" s="817">
        <f>+BV402/BR402-1</f>
        <v>0.18199233716475094</v>
      </c>
      <c r="BX402" s="626">
        <v>325</v>
      </c>
      <c r="BY402" s="626">
        <v>319</v>
      </c>
      <c r="BZ402" s="293">
        <f t="shared" si="1216"/>
        <v>644</v>
      </c>
      <c r="CA402" s="817">
        <f>+BZ402/BV402-1</f>
        <v>4.3760129659643487E-2</v>
      </c>
      <c r="CB402" s="626">
        <v>325</v>
      </c>
      <c r="CC402" s="626">
        <v>325</v>
      </c>
      <c r="CD402" s="293">
        <f t="shared" si="1217"/>
        <v>650</v>
      </c>
      <c r="CE402" s="817">
        <f>+CD402/BZ402-1</f>
        <v>9.3167701863354768E-3</v>
      </c>
      <c r="CF402" s="626">
        <v>385</v>
      </c>
      <c r="CG402" s="626">
        <v>417</v>
      </c>
      <c r="CH402" s="293">
        <f t="shared" si="1218"/>
        <v>802</v>
      </c>
      <c r="CI402" s="817">
        <f>+CH402/CD402-1</f>
        <v>0.23384615384615381</v>
      </c>
      <c r="CJ402" s="626">
        <v>436</v>
      </c>
      <c r="CK402" s="626">
        <v>498</v>
      </c>
      <c r="CL402" s="293">
        <f t="shared" si="1219"/>
        <v>934</v>
      </c>
      <c r="CM402" s="817">
        <f>+CL402/CH402-1</f>
        <v>0.1645885286783042</v>
      </c>
      <c r="CN402" s="1388">
        <v>471</v>
      </c>
      <c r="CO402" s="1388">
        <v>486</v>
      </c>
      <c r="CP402" s="1010">
        <f t="shared" si="1220"/>
        <v>957</v>
      </c>
      <c r="CQ402" s="1002">
        <f>+CP402/CL402-1</f>
        <v>2.4625267665952855E-2</v>
      </c>
      <c r="CR402" s="1388">
        <v>529</v>
      </c>
      <c r="CS402" s="1497">
        <v>559</v>
      </c>
      <c r="CT402" s="293">
        <f t="shared" si="1221"/>
        <v>1088</v>
      </c>
      <c r="CU402" s="817">
        <f>+CT402/CP402-1</f>
        <v>0.13688610240334387</v>
      </c>
      <c r="CV402" s="1388">
        <v>591</v>
      </c>
      <c r="CW402" s="1497">
        <v>662</v>
      </c>
      <c r="CX402" s="293">
        <f t="shared" si="1222"/>
        <v>1253</v>
      </c>
      <c r="CY402" s="817">
        <f>+CX402/CT402-1</f>
        <v>0.15165441176470584</v>
      </c>
      <c r="CZ402" s="1863">
        <v>666</v>
      </c>
      <c r="DA402" s="1488">
        <v>734</v>
      </c>
      <c r="DB402" s="293">
        <f t="shared" si="1223"/>
        <v>1400</v>
      </c>
      <c r="DC402" s="817">
        <f>+DB402/CX402-1</f>
        <v>0.11731843575418988</v>
      </c>
      <c r="DD402" s="2107">
        <v>715</v>
      </c>
      <c r="DE402" s="2176">
        <v>745</v>
      </c>
      <c r="DF402" s="293">
        <f t="shared" si="1224"/>
        <v>1460</v>
      </c>
      <c r="DG402" s="817">
        <f>+DF402/DB402-1</f>
        <v>4.2857142857142927E-2</v>
      </c>
      <c r="DH402" s="2107">
        <v>749</v>
      </c>
      <c r="DI402" s="841">
        <f>'P&amp;L'!DI159</f>
        <v>773.55509130487178</v>
      </c>
      <c r="DJ402" s="293">
        <f t="shared" si="1225"/>
        <v>1522.5550913048719</v>
      </c>
      <c r="DK402" s="817">
        <f>+DJ402/DF402-1</f>
        <v>4.2845952948542321E-2</v>
      </c>
      <c r="DL402" s="841">
        <f>'P&amp;L'!DL159</f>
        <v>795.50260978547135</v>
      </c>
      <c r="DM402" s="841">
        <f>'P&amp;L'!DM159</f>
        <v>803.3881237375258</v>
      </c>
      <c r="DN402" s="293">
        <f t="shared" si="1226"/>
        <v>1598.8907335229972</v>
      </c>
      <c r="DO402" s="817">
        <f>+DN402/DJ402-1</f>
        <v>5.0136538673752451E-2</v>
      </c>
      <c r="DP402" s="841">
        <f>'P&amp;L'!DP159</f>
        <v>822.31772351002678</v>
      </c>
      <c r="DQ402" s="841">
        <f>'P&amp;L'!DQ159</f>
        <v>839.33665706814566</v>
      </c>
      <c r="DR402" s="293">
        <f t="shared" si="1227"/>
        <v>1661.6543805781725</v>
      </c>
      <c r="DS402" s="817">
        <f>+DR402/DN402-1</f>
        <v>3.9254494218552427E-2</v>
      </c>
      <c r="DT402" s="817"/>
      <c r="DU402" s="817"/>
      <c r="DV402" s="817"/>
      <c r="DW402" s="1198" t="s">
        <v>174</v>
      </c>
      <c r="DX402" s="293"/>
      <c r="DY402" s="293"/>
      <c r="DZ402" s="293"/>
      <c r="EA402" s="293"/>
      <c r="EB402" s="293"/>
      <c r="EC402" s="293"/>
      <c r="ED402" s="293"/>
      <c r="EE402" s="293"/>
      <c r="EF402" s="293"/>
      <c r="EG402" s="293"/>
      <c r="EH402" s="293"/>
      <c r="EI402" s="293"/>
      <c r="EJ402" s="293"/>
      <c r="EK402" s="293"/>
      <c r="EL402" s="293"/>
      <c r="EM402" s="293"/>
      <c r="EN402" s="293"/>
      <c r="EO402" s="293"/>
      <c r="EP402" s="293"/>
      <c r="EQ402" s="293"/>
      <c r="ER402" s="293"/>
      <c r="ES402" s="293"/>
      <c r="ET402" s="293"/>
      <c r="EU402" s="293"/>
      <c r="JW402"/>
    </row>
    <row r="403" spans="1:283" s="332" customFormat="1">
      <c r="A403" s="102" t="s">
        <v>816</v>
      </c>
      <c r="AN403" s="293"/>
      <c r="AO403" s="293"/>
      <c r="AP403" s="293"/>
      <c r="AQ403" s="293"/>
      <c r="AR403" s="293"/>
      <c r="AS403" s="293"/>
      <c r="AT403" s="293"/>
      <c r="AU403" s="626"/>
      <c r="AV403" s="626">
        <v>13</v>
      </c>
      <c r="AW403" s="626">
        <v>11</v>
      </c>
      <c r="AX403" s="293">
        <f t="shared" si="1209"/>
        <v>24</v>
      </c>
      <c r="AY403" s="103"/>
      <c r="AZ403" s="626">
        <v>10</v>
      </c>
      <c r="BA403" s="626">
        <v>10</v>
      </c>
      <c r="BB403" s="293">
        <f t="shared" si="1210"/>
        <v>20</v>
      </c>
      <c r="BC403" s="293"/>
      <c r="BD403" s="626">
        <v>9</v>
      </c>
      <c r="BE403" s="626">
        <v>14</v>
      </c>
      <c r="BF403" s="293">
        <f t="shared" si="1211"/>
        <v>23</v>
      </c>
      <c r="BG403" s="685"/>
      <c r="BH403" s="626">
        <v>7</v>
      </c>
      <c r="BI403" s="626">
        <v>8</v>
      </c>
      <c r="BJ403" s="293">
        <f t="shared" si="1212"/>
        <v>15</v>
      </c>
      <c r="BK403" s="487"/>
      <c r="BL403" s="626">
        <v>8</v>
      </c>
      <c r="BM403" s="626">
        <v>12</v>
      </c>
      <c r="BN403" s="293">
        <f t="shared" si="1213"/>
        <v>20</v>
      </c>
      <c r="BO403" s="487"/>
      <c r="BP403" s="626">
        <v>9</v>
      </c>
      <c r="BQ403" s="626">
        <v>15</v>
      </c>
      <c r="BR403" s="293">
        <f t="shared" si="1214"/>
        <v>24</v>
      </c>
      <c r="BS403" s="487"/>
      <c r="BT403" s="626">
        <v>9</v>
      </c>
      <c r="BU403" s="626">
        <v>24</v>
      </c>
      <c r="BV403" s="293">
        <f t="shared" si="1215"/>
        <v>33</v>
      </c>
      <c r="BW403" s="487"/>
      <c r="BX403" s="626">
        <v>17</v>
      </c>
      <c r="BY403" s="626">
        <v>22</v>
      </c>
      <c r="BZ403" s="293">
        <f t="shared" si="1216"/>
        <v>39</v>
      </c>
      <c r="CA403" s="487"/>
      <c r="CB403" s="626">
        <v>0</v>
      </c>
      <c r="CC403" s="626">
        <v>0</v>
      </c>
      <c r="CD403" s="293">
        <f t="shared" si="1217"/>
        <v>0</v>
      </c>
      <c r="CE403" s="487"/>
      <c r="CF403" s="626">
        <v>0</v>
      </c>
      <c r="CG403" s="626">
        <v>0</v>
      </c>
      <c r="CH403" s="293">
        <f t="shared" si="1218"/>
        <v>0</v>
      </c>
      <c r="CI403" s="487"/>
      <c r="CJ403" s="626">
        <v>0</v>
      </c>
      <c r="CK403" s="626">
        <v>0</v>
      </c>
      <c r="CL403" s="293">
        <f t="shared" si="1219"/>
        <v>0</v>
      </c>
      <c r="CM403" s="487"/>
      <c r="CN403" s="1388">
        <v>0</v>
      </c>
      <c r="CO403" s="1388">
        <v>0</v>
      </c>
      <c r="CP403" s="1010">
        <f t="shared" si="1220"/>
        <v>0</v>
      </c>
      <c r="CQ403" s="1427"/>
      <c r="CR403" s="1388">
        <v>0</v>
      </c>
      <c r="CS403" s="1497">
        <v>0</v>
      </c>
      <c r="CT403" s="293">
        <f t="shared" si="1221"/>
        <v>0</v>
      </c>
      <c r="CU403" s="487"/>
      <c r="CV403" s="1388">
        <v>0</v>
      </c>
      <c r="CW403" s="1497">
        <v>0</v>
      </c>
      <c r="CX403" s="293">
        <f t="shared" si="1222"/>
        <v>0</v>
      </c>
      <c r="CY403" s="487"/>
      <c r="CZ403" s="1863">
        <v>0</v>
      </c>
      <c r="DA403" s="1488">
        <v>0</v>
      </c>
      <c r="DB403" s="293">
        <f t="shared" si="1223"/>
        <v>0</v>
      </c>
      <c r="DC403" s="487"/>
      <c r="DD403" s="2107">
        <v>0</v>
      </c>
      <c r="DE403" s="1497">
        <v>0</v>
      </c>
      <c r="DF403" s="293">
        <f t="shared" si="1224"/>
        <v>0</v>
      </c>
      <c r="DG403" s="487"/>
      <c r="DH403" s="2107">
        <v>0</v>
      </c>
      <c r="DI403" s="841">
        <f>'P&amp;L'!DI160</f>
        <v>0</v>
      </c>
      <c r="DJ403" s="293">
        <f t="shared" si="1225"/>
        <v>0</v>
      </c>
      <c r="DK403" s="487"/>
      <c r="DL403" s="841">
        <f>'P&amp;L'!DL160</f>
        <v>0</v>
      </c>
      <c r="DM403" s="841">
        <f>'P&amp;L'!DM160</f>
        <v>0</v>
      </c>
      <c r="DN403" s="293">
        <f t="shared" si="1226"/>
        <v>0</v>
      </c>
      <c r="DO403" s="487"/>
      <c r="DP403" s="841">
        <f>'P&amp;L'!DP160</f>
        <v>0</v>
      </c>
      <c r="DQ403" s="841">
        <f>'P&amp;L'!DQ160</f>
        <v>0</v>
      </c>
      <c r="DR403" s="293">
        <f t="shared" si="1227"/>
        <v>0</v>
      </c>
      <c r="DS403" s="487"/>
      <c r="DT403" s="487"/>
      <c r="DU403" s="487"/>
      <c r="DV403" s="487"/>
      <c r="DW403" s="1198" t="s">
        <v>174</v>
      </c>
      <c r="DX403" s="293"/>
      <c r="DY403" s="293"/>
      <c r="DZ403" s="293"/>
      <c r="EA403" s="293"/>
      <c r="EB403" s="293"/>
      <c r="EC403" s="293"/>
      <c r="ED403" s="293"/>
      <c r="EE403" s="293"/>
      <c r="EF403" s="293"/>
      <c r="EG403" s="293"/>
      <c r="EH403" s="293"/>
      <c r="EI403" s="293"/>
      <c r="EJ403" s="293"/>
      <c r="EK403" s="293"/>
      <c r="EL403" s="293"/>
      <c r="EM403" s="293"/>
      <c r="EN403" s="293"/>
      <c r="EO403" s="293"/>
      <c r="EP403" s="293"/>
      <c r="EQ403" s="293"/>
      <c r="ER403" s="293"/>
      <c r="ES403" s="293"/>
      <c r="ET403" s="293"/>
      <c r="EU403" s="293"/>
      <c r="JW403"/>
    </row>
    <row r="404" spans="1:283" s="327" customFormat="1">
      <c r="A404" s="327" t="s">
        <v>1219</v>
      </c>
      <c r="AN404" s="295"/>
      <c r="AO404" s="295"/>
      <c r="AP404" s="295">
        <f>SUM(AP405:AP407)</f>
        <v>366</v>
      </c>
      <c r="AQ404" s="295"/>
      <c r="AR404" s="295"/>
      <c r="AS404" s="295"/>
      <c r="AT404" s="295">
        <f>SUM(AT405:AT407)</f>
        <v>232</v>
      </c>
      <c r="AU404" s="655"/>
      <c r="AV404" s="295">
        <f>SUM(AV405:AV407)</f>
        <v>17</v>
      </c>
      <c r="AW404" s="295">
        <f>SUM(AW405:AW407)</f>
        <v>5</v>
      </c>
      <c r="AX404" s="295">
        <f t="shared" si="1209"/>
        <v>22</v>
      </c>
      <c r="AY404" s="295"/>
      <c r="AZ404" s="295">
        <f>SUM(AZ405:AZ407)</f>
        <v>14</v>
      </c>
      <c r="BA404" s="295">
        <f>SUM(BA405:BA407)</f>
        <v>15</v>
      </c>
      <c r="BB404" s="295">
        <f t="shared" si="1210"/>
        <v>29</v>
      </c>
      <c r="BC404" s="295"/>
      <c r="BD404" s="295">
        <f>SUM(BD405:BD407)</f>
        <v>89</v>
      </c>
      <c r="BE404" s="295">
        <f>SUM(BE405:BE407)</f>
        <v>36</v>
      </c>
      <c r="BF404" s="295">
        <f t="shared" si="1211"/>
        <v>125</v>
      </c>
      <c r="BG404" s="376"/>
      <c r="BH404" s="295">
        <f>SUM(BH405:BH407)</f>
        <v>76</v>
      </c>
      <c r="BI404" s="295">
        <f>SUM(BI405:BI407)</f>
        <v>88</v>
      </c>
      <c r="BJ404" s="295">
        <f t="shared" si="1212"/>
        <v>164</v>
      </c>
      <c r="BK404" s="295"/>
      <c r="BL404" s="295">
        <f>SUM(BL405:BL407)</f>
        <v>75</v>
      </c>
      <c r="BM404" s="295">
        <f>SUM(BM405:BM407)</f>
        <v>142</v>
      </c>
      <c r="BN404" s="295">
        <f t="shared" si="1213"/>
        <v>217</v>
      </c>
      <c r="BO404" s="672">
        <f>+BN404/BJ404-1</f>
        <v>0.32317073170731714</v>
      </c>
      <c r="BP404" s="295">
        <f>SUM(BP405:BP407)</f>
        <v>373</v>
      </c>
      <c r="BQ404" s="295">
        <f>SUM(BQ405:BQ407)</f>
        <v>294</v>
      </c>
      <c r="BR404" s="295">
        <f t="shared" si="1214"/>
        <v>667</v>
      </c>
      <c r="BS404" s="672">
        <f>+BR404/BN404-1</f>
        <v>2.0737327188940093</v>
      </c>
      <c r="BT404" s="295">
        <f>SUM(BT405:BT407)</f>
        <v>609</v>
      </c>
      <c r="BU404" s="295">
        <f>SUM(BU405:BU407)</f>
        <v>84</v>
      </c>
      <c r="BV404" s="295">
        <f t="shared" si="1215"/>
        <v>693</v>
      </c>
      <c r="BW404" s="672">
        <f>+BV404/BR404-1</f>
        <v>3.8980509745127456E-2</v>
      </c>
      <c r="BX404" s="295">
        <f>SUM(BX405:BX407)</f>
        <v>170</v>
      </c>
      <c r="BY404" s="295">
        <f>SUM(BY405:BY407)</f>
        <v>94</v>
      </c>
      <c r="BZ404" s="295">
        <f t="shared" si="1216"/>
        <v>264</v>
      </c>
      <c r="CA404" s="672">
        <f>+BZ404/BV404-1</f>
        <v>-0.61904761904761907</v>
      </c>
      <c r="CB404" s="295">
        <f>SUM(CB405:CB407)</f>
        <v>537</v>
      </c>
      <c r="CC404" s="295">
        <f>SUM(CC405:CC407)</f>
        <v>58</v>
      </c>
      <c r="CD404" s="295">
        <f t="shared" si="1217"/>
        <v>595</v>
      </c>
      <c r="CE404" s="672">
        <f>+CD404/BZ404-1</f>
        <v>1.2537878787878789</v>
      </c>
      <c r="CF404" s="295">
        <f>SUM(CF405:CF407)</f>
        <v>282</v>
      </c>
      <c r="CG404" s="295">
        <f>SUM(CG405:CG407)</f>
        <v>483</v>
      </c>
      <c r="CH404" s="295">
        <f t="shared" si="1218"/>
        <v>765</v>
      </c>
      <c r="CI404" s="672">
        <f>+CH404/CD404-1</f>
        <v>0.28571428571428581</v>
      </c>
      <c r="CJ404" s="295">
        <f>SUM(CJ405:CJ407)</f>
        <v>546</v>
      </c>
      <c r="CK404" s="295">
        <f>SUM(CK405:CK407)</f>
        <v>275</v>
      </c>
      <c r="CL404" s="295">
        <f t="shared" si="1219"/>
        <v>821</v>
      </c>
      <c r="CM404" s="672">
        <f>+CL404/CH404-1</f>
        <v>7.3202614379084929E-2</v>
      </c>
      <c r="CN404" s="1412">
        <f>SUM(CN405:CN407)</f>
        <v>413</v>
      </c>
      <c r="CO404" s="1412">
        <f>SUM(CO405:CO407)</f>
        <v>240</v>
      </c>
      <c r="CP404" s="1412">
        <f t="shared" si="1220"/>
        <v>653</v>
      </c>
      <c r="CQ404" s="1420">
        <f>+CP404/CL404-1</f>
        <v>-0.20462850182704018</v>
      </c>
      <c r="CR404" s="1412">
        <f>SUM(CR405:CR407)</f>
        <v>177</v>
      </c>
      <c r="CS404" s="1390">
        <f>SUM(CS405:CS407)</f>
        <v>217</v>
      </c>
      <c r="CT404" s="295">
        <f t="shared" si="1221"/>
        <v>394</v>
      </c>
      <c r="CU404" s="672">
        <f>+CT404/CP404-1</f>
        <v>-0.39663093415007655</v>
      </c>
      <c r="CV404" s="1412">
        <f>SUM(CV405:CV407)</f>
        <v>237</v>
      </c>
      <c r="CW404" s="1390">
        <f>SUM(CW405:CW407)</f>
        <v>455</v>
      </c>
      <c r="CX404" s="295">
        <f t="shared" si="1222"/>
        <v>692</v>
      </c>
      <c r="CY404" s="672">
        <f>+CX404/CT404-1</f>
        <v>0.75634517766497456</v>
      </c>
      <c r="CZ404" s="1867">
        <f>SUM(CZ405:CZ407)</f>
        <v>236</v>
      </c>
      <c r="DA404" s="1491">
        <f>SUM(DA405:DA407)</f>
        <v>395</v>
      </c>
      <c r="DB404" s="295">
        <f t="shared" si="1223"/>
        <v>631</v>
      </c>
      <c r="DC404" s="672">
        <f>+DB404/CX404-1</f>
        <v>-8.815028901734101E-2</v>
      </c>
      <c r="DD404" s="2121">
        <f>SUM(DD405:DD407)</f>
        <v>403</v>
      </c>
      <c r="DE404" s="1491">
        <f>SUM(DE405:DE407)</f>
        <v>434</v>
      </c>
      <c r="DF404" s="295">
        <f t="shared" si="1224"/>
        <v>837</v>
      </c>
      <c r="DG404" s="672">
        <f>+DF404/DB404-1</f>
        <v>0.32646592709984157</v>
      </c>
      <c r="DH404" s="2121">
        <f>SUM(DH405:DH407)</f>
        <v>756</v>
      </c>
      <c r="DI404" s="295">
        <f>SUM(DI405:DI407)</f>
        <v>687.9232351803339</v>
      </c>
      <c r="DJ404" s="295">
        <f t="shared" si="1225"/>
        <v>1443.9232351803339</v>
      </c>
      <c r="DK404" s="672">
        <f>+DJ404/DF404-1</f>
        <v>0.7251173658068506</v>
      </c>
      <c r="DL404" s="295">
        <f>SUM(DL405:DL407)</f>
        <v>551.54082731850792</v>
      </c>
      <c r="DM404" s="295">
        <f>SUM(DM405:DM407)</f>
        <v>564.66007294519545</v>
      </c>
      <c r="DN404" s="295">
        <f t="shared" si="1226"/>
        <v>1116.2009002637033</v>
      </c>
      <c r="DO404" s="672">
        <f>+DN404/DJ404-1</f>
        <v>-0.22696659138925823</v>
      </c>
      <c r="DP404" s="295">
        <f>SUM(DP405:DP407)</f>
        <v>587.53366128604671</v>
      </c>
      <c r="DQ404" s="295">
        <f>SUM(DQ405:DQ407)</f>
        <v>608.07262499994374</v>
      </c>
      <c r="DR404" s="295">
        <f t="shared" si="1227"/>
        <v>1195.6062862859903</v>
      </c>
      <c r="DS404" s="672">
        <f>+DR404/DN404-1</f>
        <v>7.1138973282970364E-2</v>
      </c>
      <c r="DT404" s="672"/>
      <c r="DU404" s="672"/>
      <c r="DV404" s="672"/>
      <c r="DW404" s="831"/>
      <c r="DX404" s="295"/>
      <c r="DY404" s="295"/>
      <c r="DZ404" s="295"/>
      <c r="EA404" s="295"/>
      <c r="EB404" s="295"/>
      <c r="EC404" s="295"/>
      <c r="ED404" s="295"/>
      <c r="EE404" s="295"/>
      <c r="EF404" s="295"/>
      <c r="EG404" s="295"/>
      <c r="EH404" s="295"/>
      <c r="EI404" s="295"/>
      <c r="EJ404" s="295"/>
      <c r="EK404" s="295"/>
      <c r="EL404" s="295"/>
      <c r="EM404" s="295"/>
      <c r="EN404" s="295"/>
      <c r="EO404" s="295"/>
      <c r="EP404" s="295"/>
      <c r="EQ404" s="295"/>
      <c r="ER404" s="295"/>
      <c r="ES404" s="295"/>
      <c r="ET404" s="295"/>
      <c r="EU404" s="295"/>
      <c r="JW404"/>
    </row>
    <row r="405" spans="1:283" s="332" customFormat="1">
      <c r="A405" s="102" t="s">
        <v>1301</v>
      </c>
      <c r="AN405" s="293"/>
      <c r="AO405" s="293"/>
      <c r="AP405" s="626">
        <v>45</v>
      </c>
      <c r="AQ405" s="293"/>
      <c r="AR405" s="293"/>
      <c r="AS405" s="293"/>
      <c r="AT405" s="626">
        <v>14</v>
      </c>
      <c r="AU405" s="626"/>
      <c r="AV405" s="927">
        <v>4</v>
      </c>
      <c r="AW405" s="927">
        <v>5</v>
      </c>
      <c r="AX405" s="293">
        <f t="shared" si="1209"/>
        <v>9</v>
      </c>
      <c r="AY405" s="927"/>
      <c r="AZ405" s="927">
        <v>7</v>
      </c>
      <c r="BA405" s="927">
        <v>11</v>
      </c>
      <c r="BB405" s="293">
        <f t="shared" si="1210"/>
        <v>18</v>
      </c>
      <c r="BC405" s="293"/>
      <c r="BD405" s="626">
        <v>10</v>
      </c>
      <c r="BE405" s="626">
        <v>15</v>
      </c>
      <c r="BF405" s="293">
        <f t="shared" si="1211"/>
        <v>25</v>
      </c>
      <c r="BG405" s="685"/>
      <c r="BH405" s="626">
        <v>2</v>
      </c>
      <c r="BI405" s="626">
        <v>23</v>
      </c>
      <c r="BJ405" s="293">
        <f t="shared" si="1212"/>
        <v>25</v>
      </c>
      <c r="BK405" s="487"/>
      <c r="BL405" s="626">
        <v>9</v>
      </c>
      <c r="BM405" s="626">
        <v>46</v>
      </c>
      <c r="BN405" s="293">
        <f t="shared" si="1213"/>
        <v>55</v>
      </c>
      <c r="BO405" s="487"/>
      <c r="BP405" s="626">
        <v>9</v>
      </c>
      <c r="BQ405" s="626">
        <v>78</v>
      </c>
      <c r="BR405" s="293">
        <f t="shared" si="1214"/>
        <v>87</v>
      </c>
      <c r="BS405" s="487"/>
      <c r="BT405" s="626">
        <v>9</v>
      </c>
      <c r="BU405" s="626">
        <v>24</v>
      </c>
      <c r="BV405" s="293">
        <f t="shared" si="1215"/>
        <v>33</v>
      </c>
      <c r="BW405" s="293"/>
      <c r="BX405" s="626">
        <v>5</v>
      </c>
      <c r="BY405" s="626">
        <v>5</v>
      </c>
      <c r="BZ405" s="293">
        <f t="shared" si="1216"/>
        <v>10</v>
      </c>
      <c r="CA405" s="293"/>
      <c r="CB405" s="626">
        <v>7</v>
      </c>
      <c r="CC405" s="626">
        <v>21</v>
      </c>
      <c r="CD405" s="293">
        <f t="shared" si="1217"/>
        <v>28</v>
      </c>
      <c r="CE405" s="293"/>
      <c r="CF405" s="626">
        <v>3</v>
      </c>
      <c r="CG405" s="626">
        <v>3</v>
      </c>
      <c r="CH405" s="293">
        <f t="shared" si="1218"/>
        <v>6</v>
      </c>
      <c r="CI405" s="293"/>
      <c r="CJ405" s="626">
        <v>4</v>
      </c>
      <c r="CK405" s="626">
        <v>2</v>
      </c>
      <c r="CL405" s="293">
        <f t="shared" si="1219"/>
        <v>6</v>
      </c>
      <c r="CM405" s="293"/>
      <c r="CN405" s="1388">
        <v>2</v>
      </c>
      <c r="CO405" s="1388">
        <v>11</v>
      </c>
      <c r="CP405" s="1010">
        <f t="shared" si="1220"/>
        <v>13</v>
      </c>
      <c r="CQ405" s="1010"/>
      <c r="CR405" s="1388">
        <v>1</v>
      </c>
      <c r="CS405" s="1497">
        <v>4</v>
      </c>
      <c r="CT405" s="293">
        <f t="shared" si="1221"/>
        <v>5</v>
      </c>
      <c r="CU405" s="293"/>
      <c r="CV405" s="1388">
        <v>0</v>
      </c>
      <c r="CW405" s="1497">
        <v>1</v>
      </c>
      <c r="CX405" s="293">
        <f t="shared" si="1222"/>
        <v>1</v>
      </c>
      <c r="CY405" s="293"/>
      <c r="CZ405" s="1863">
        <v>0</v>
      </c>
      <c r="DA405" s="1488">
        <v>0</v>
      </c>
      <c r="DB405" s="293">
        <f t="shared" si="1223"/>
        <v>0</v>
      </c>
      <c r="DC405" s="293"/>
      <c r="DD405" s="2107">
        <v>0</v>
      </c>
      <c r="DE405" s="1497">
        <v>0</v>
      </c>
      <c r="DF405" s="293">
        <f t="shared" si="1224"/>
        <v>0</v>
      </c>
      <c r="DG405" s="293"/>
      <c r="DH405" s="2107">
        <v>0</v>
      </c>
      <c r="DI405" s="841">
        <f>'P&amp;L'!DI381</f>
        <v>18.936177534246575</v>
      </c>
      <c r="DJ405" s="293">
        <f t="shared" si="1225"/>
        <v>18.936177534246575</v>
      </c>
      <c r="DK405" s="293"/>
      <c r="DL405" s="841">
        <f>'P&amp;L'!DL381</f>
        <v>15.198870468493153</v>
      </c>
      <c r="DM405" s="841">
        <f>'P&amp;L'!DM381</f>
        <v>15.597812728630135</v>
      </c>
      <c r="DN405" s="293">
        <f t="shared" si="1226"/>
        <v>30.796683197123286</v>
      </c>
      <c r="DO405" s="293"/>
      <c r="DP405" s="841">
        <f>'P&amp;L'!DP381</f>
        <v>16.184981217294037</v>
      </c>
      <c r="DQ405" s="841">
        <f>'P&amp;L'!DQ381</f>
        <v>16.703901236900069</v>
      </c>
      <c r="DR405" s="293">
        <f t="shared" si="1227"/>
        <v>32.888882454194103</v>
      </c>
      <c r="DS405" s="293"/>
      <c r="DT405" s="293"/>
      <c r="DU405" s="293"/>
      <c r="DV405" s="293"/>
      <c r="DW405" s="1198" t="s">
        <v>174</v>
      </c>
      <c r="DX405" s="293"/>
      <c r="DY405" s="293"/>
      <c r="DZ405" s="293"/>
      <c r="EA405" s="293"/>
      <c r="EB405" s="293"/>
      <c r="EC405" s="293"/>
      <c r="ED405" s="293"/>
      <c r="EE405" s="293"/>
      <c r="EF405" s="293"/>
      <c r="EG405" s="293"/>
      <c r="EH405" s="293"/>
      <c r="EI405" s="293"/>
      <c r="EJ405" s="293"/>
      <c r="EK405" s="293"/>
      <c r="EL405" s="293"/>
      <c r="EM405" s="293"/>
      <c r="EN405" s="293"/>
      <c r="EO405" s="293"/>
      <c r="EP405" s="293"/>
      <c r="EQ405" s="293"/>
      <c r="ER405" s="293"/>
      <c r="ES405" s="293"/>
      <c r="ET405" s="293"/>
      <c r="EU405" s="293"/>
      <c r="JW405"/>
    </row>
    <row r="406" spans="1:283" s="332" customFormat="1">
      <c r="A406" s="102" t="s">
        <v>1300</v>
      </c>
      <c r="AN406" s="293"/>
      <c r="AO406" s="293"/>
      <c r="AP406" s="626">
        <v>321</v>
      </c>
      <c r="AQ406" s="293"/>
      <c r="AR406" s="293"/>
      <c r="AS406" s="293"/>
      <c r="AT406" s="626">
        <v>218</v>
      </c>
      <c r="AU406" s="626"/>
      <c r="AV406" s="927">
        <v>12</v>
      </c>
      <c r="AW406" s="927">
        <v>0</v>
      </c>
      <c r="AX406" s="293">
        <f t="shared" si="1209"/>
        <v>12</v>
      </c>
      <c r="AY406" s="927"/>
      <c r="AZ406" s="927">
        <v>7</v>
      </c>
      <c r="BA406" s="927">
        <v>4</v>
      </c>
      <c r="BB406" s="293">
        <f t="shared" si="1210"/>
        <v>11</v>
      </c>
      <c r="BC406" s="293"/>
      <c r="BD406" s="626">
        <v>79</v>
      </c>
      <c r="BE406" s="626">
        <v>21</v>
      </c>
      <c r="BF406" s="293">
        <f t="shared" si="1211"/>
        <v>100</v>
      </c>
      <c r="BG406" s="685"/>
      <c r="BH406" s="626">
        <v>74</v>
      </c>
      <c r="BI406" s="626">
        <v>65</v>
      </c>
      <c r="BJ406" s="293">
        <f t="shared" si="1212"/>
        <v>139</v>
      </c>
      <c r="BK406" s="487"/>
      <c r="BL406" s="626">
        <v>66</v>
      </c>
      <c r="BM406" s="626">
        <v>96</v>
      </c>
      <c r="BN406" s="293">
        <f t="shared" si="1213"/>
        <v>162</v>
      </c>
      <c r="BO406" s="487"/>
      <c r="BP406" s="626">
        <v>364</v>
      </c>
      <c r="BQ406" s="626">
        <v>216</v>
      </c>
      <c r="BR406" s="293">
        <f t="shared" si="1214"/>
        <v>580</v>
      </c>
      <c r="BS406" s="487"/>
      <c r="BT406" s="626">
        <v>600</v>
      </c>
      <c r="BU406" s="626">
        <v>60</v>
      </c>
      <c r="BV406" s="293">
        <f t="shared" si="1215"/>
        <v>660</v>
      </c>
      <c r="BW406" s="293"/>
      <c r="BX406" s="626">
        <v>165</v>
      </c>
      <c r="BY406" s="626">
        <v>89</v>
      </c>
      <c r="BZ406" s="293">
        <f t="shared" si="1216"/>
        <v>254</v>
      </c>
      <c r="CA406" s="293"/>
      <c r="CB406" s="626">
        <v>530</v>
      </c>
      <c r="CC406" s="626">
        <v>37</v>
      </c>
      <c r="CD406" s="293">
        <f t="shared" si="1217"/>
        <v>567</v>
      </c>
      <c r="CE406" s="293"/>
      <c r="CF406" s="626">
        <v>279</v>
      </c>
      <c r="CG406" s="626">
        <v>480</v>
      </c>
      <c r="CH406" s="293">
        <f t="shared" si="1218"/>
        <v>759</v>
      </c>
      <c r="CI406" s="293"/>
      <c r="CJ406" s="626">
        <v>542</v>
      </c>
      <c r="CK406" s="626">
        <v>273</v>
      </c>
      <c r="CL406" s="293">
        <f t="shared" si="1219"/>
        <v>815</v>
      </c>
      <c r="CM406" s="293"/>
      <c r="CN406" s="1388">
        <v>411</v>
      </c>
      <c r="CO406" s="1388">
        <v>229</v>
      </c>
      <c r="CP406" s="1010">
        <f t="shared" si="1220"/>
        <v>640</v>
      </c>
      <c r="CQ406" s="1010"/>
      <c r="CR406" s="1388">
        <v>176</v>
      </c>
      <c r="CS406" s="1497">
        <v>213</v>
      </c>
      <c r="CT406" s="293">
        <f t="shared" si="1221"/>
        <v>389</v>
      </c>
      <c r="CU406" s="293"/>
      <c r="CV406" s="1388">
        <v>237</v>
      </c>
      <c r="CW406" s="1497">
        <v>454</v>
      </c>
      <c r="CX406" s="293">
        <f t="shared" si="1222"/>
        <v>691</v>
      </c>
      <c r="CY406" s="293"/>
      <c r="CZ406" s="1863">
        <v>236</v>
      </c>
      <c r="DA406" s="1488">
        <v>395</v>
      </c>
      <c r="DB406" s="293">
        <f t="shared" si="1223"/>
        <v>631</v>
      </c>
      <c r="DC406" s="293"/>
      <c r="DD406" s="2107">
        <v>403</v>
      </c>
      <c r="DE406" s="2176">
        <v>434</v>
      </c>
      <c r="DF406" s="293">
        <f t="shared" si="1224"/>
        <v>837</v>
      </c>
      <c r="DG406" s="293"/>
      <c r="DH406" s="2107">
        <v>756</v>
      </c>
      <c r="DI406" s="841">
        <f>'P&amp;L'!DI382</f>
        <v>668.98705764608735</v>
      </c>
      <c r="DJ406" s="293">
        <f t="shared" si="1225"/>
        <v>1424.9870576460874</v>
      </c>
      <c r="DK406" s="293"/>
      <c r="DL406" s="841">
        <f>'P&amp;L'!DL382</f>
        <v>536.34195685001475</v>
      </c>
      <c r="DM406" s="841">
        <f>'P&amp;L'!DM382</f>
        <v>549.06226021656528</v>
      </c>
      <c r="DN406" s="293">
        <f t="shared" si="1226"/>
        <v>1085.40421706658</v>
      </c>
      <c r="DO406" s="293"/>
      <c r="DP406" s="841">
        <f>'P&amp;L'!DP382</f>
        <v>571.34868006875263</v>
      </c>
      <c r="DQ406" s="841">
        <f>'P&amp;L'!DQ382</f>
        <v>591.3687237630437</v>
      </c>
      <c r="DR406" s="293">
        <f t="shared" si="1227"/>
        <v>1162.7174038317962</v>
      </c>
      <c r="DS406" s="293"/>
      <c r="DT406" s="293"/>
      <c r="DU406" s="293"/>
      <c r="DV406" s="293"/>
      <c r="DW406" s="1198" t="s">
        <v>174</v>
      </c>
      <c r="DX406" s="293"/>
      <c r="DY406" s="293"/>
      <c r="DZ406" s="293"/>
      <c r="EA406" s="293"/>
      <c r="EB406" s="293"/>
      <c r="EC406" s="293"/>
      <c r="ED406" s="293"/>
      <c r="EE406" s="293"/>
      <c r="EF406" s="293"/>
      <c r="EG406" s="293"/>
      <c r="EH406" s="293"/>
      <c r="EI406" s="293"/>
      <c r="EJ406" s="293"/>
      <c r="EK406" s="293"/>
      <c r="EL406" s="293"/>
      <c r="EM406" s="293"/>
      <c r="EN406" s="293"/>
      <c r="EO406" s="293"/>
      <c r="EP406" s="293"/>
      <c r="EQ406" s="293"/>
      <c r="ER406" s="293"/>
      <c r="ES406" s="293"/>
      <c r="ET406" s="293"/>
      <c r="EU406" s="293"/>
      <c r="JW406"/>
    </row>
    <row r="407" spans="1:283" s="332" customFormat="1">
      <c r="A407" s="102" t="s">
        <v>816</v>
      </c>
      <c r="AN407" s="293"/>
      <c r="AO407" s="293"/>
      <c r="AP407" s="293"/>
      <c r="AQ407" s="293"/>
      <c r="AR407" s="293"/>
      <c r="AS407" s="293"/>
      <c r="AT407" s="293"/>
      <c r="AU407" s="626"/>
      <c r="AV407" s="927">
        <v>1</v>
      </c>
      <c r="AW407" s="927">
        <v>0</v>
      </c>
      <c r="AX407" s="293">
        <f t="shared" si="1209"/>
        <v>1</v>
      </c>
      <c r="AY407" s="927"/>
      <c r="AZ407" s="927">
        <v>0</v>
      </c>
      <c r="BA407" s="927">
        <v>0</v>
      </c>
      <c r="BB407" s="293">
        <f t="shared" si="1210"/>
        <v>0</v>
      </c>
      <c r="BC407" s="293"/>
      <c r="BD407" s="626">
        <v>0</v>
      </c>
      <c r="BE407" s="626">
        <v>0</v>
      </c>
      <c r="BF407" s="293">
        <f t="shared" si="1211"/>
        <v>0</v>
      </c>
      <c r="BG407" s="685"/>
      <c r="BH407" s="626">
        <v>0</v>
      </c>
      <c r="BI407" s="626">
        <v>0</v>
      </c>
      <c r="BJ407" s="293">
        <f t="shared" si="1212"/>
        <v>0</v>
      </c>
      <c r="BK407" s="487"/>
      <c r="BL407" s="626">
        <v>0</v>
      </c>
      <c r="BM407" s="626">
        <v>0</v>
      </c>
      <c r="BN407" s="293">
        <f t="shared" si="1213"/>
        <v>0</v>
      </c>
      <c r="BO407" s="487"/>
      <c r="BP407" s="626">
        <v>0</v>
      </c>
      <c r="BQ407" s="626">
        <v>0</v>
      </c>
      <c r="BR407" s="293">
        <f t="shared" si="1214"/>
        <v>0</v>
      </c>
      <c r="BS407" s="487"/>
      <c r="BT407" s="626">
        <v>0</v>
      </c>
      <c r="BU407" s="626">
        <v>0</v>
      </c>
      <c r="BV407" s="293">
        <f t="shared" si="1215"/>
        <v>0</v>
      </c>
      <c r="BW407" s="293"/>
      <c r="BX407" s="626">
        <v>0</v>
      </c>
      <c r="BY407" s="626">
        <v>0</v>
      </c>
      <c r="BZ407" s="293">
        <f t="shared" si="1216"/>
        <v>0</v>
      </c>
      <c r="CA407" s="293"/>
      <c r="CB407" s="626">
        <v>0</v>
      </c>
      <c r="CC407" s="626">
        <v>0</v>
      </c>
      <c r="CD407" s="293">
        <f t="shared" si="1217"/>
        <v>0</v>
      </c>
      <c r="CE407" s="293"/>
      <c r="CF407" s="626">
        <v>0</v>
      </c>
      <c r="CG407" s="626">
        <v>0</v>
      </c>
      <c r="CH407" s="293">
        <f t="shared" si="1218"/>
        <v>0</v>
      </c>
      <c r="CI407" s="293"/>
      <c r="CJ407" s="626">
        <v>0</v>
      </c>
      <c r="CK407" s="626">
        <v>0</v>
      </c>
      <c r="CL407" s="293">
        <f t="shared" si="1219"/>
        <v>0</v>
      </c>
      <c r="CM407" s="293"/>
      <c r="CN407" s="1388">
        <v>0</v>
      </c>
      <c r="CO407" s="1388">
        <v>0</v>
      </c>
      <c r="CP407" s="1010">
        <f t="shared" si="1220"/>
        <v>0</v>
      </c>
      <c r="CQ407" s="1010"/>
      <c r="CR407" s="1388">
        <v>0</v>
      </c>
      <c r="CS407" s="1497">
        <v>0</v>
      </c>
      <c r="CT407" s="293">
        <f t="shared" si="1221"/>
        <v>0</v>
      </c>
      <c r="CU407" s="293"/>
      <c r="CV407" s="1388">
        <v>0</v>
      </c>
      <c r="CW407" s="1497">
        <v>0</v>
      </c>
      <c r="CX407" s="293">
        <f t="shared" si="1222"/>
        <v>0</v>
      </c>
      <c r="CY407" s="293"/>
      <c r="CZ407" s="1863">
        <v>0</v>
      </c>
      <c r="DA407" s="1488">
        <v>0</v>
      </c>
      <c r="DB407" s="293">
        <f t="shared" si="1223"/>
        <v>0</v>
      </c>
      <c r="DC407" s="293"/>
      <c r="DD407" s="2107">
        <v>0</v>
      </c>
      <c r="DE407" s="1497">
        <v>0</v>
      </c>
      <c r="DF407" s="293">
        <f t="shared" si="1224"/>
        <v>0</v>
      </c>
      <c r="DG407" s="293"/>
      <c r="DH407" s="2107">
        <v>0</v>
      </c>
      <c r="DI407" s="841">
        <f>'P&amp;L'!DI383</f>
        <v>0</v>
      </c>
      <c r="DJ407" s="293">
        <f t="shared" si="1225"/>
        <v>0</v>
      </c>
      <c r="DK407" s="293"/>
      <c r="DL407" s="841">
        <f>'P&amp;L'!DL383</f>
        <v>0</v>
      </c>
      <c r="DM407" s="841">
        <f>'P&amp;L'!DM383</f>
        <v>0</v>
      </c>
      <c r="DN407" s="293">
        <f t="shared" si="1226"/>
        <v>0</v>
      </c>
      <c r="DO407" s="293"/>
      <c r="DP407" s="841">
        <f>'P&amp;L'!DP383</f>
        <v>0</v>
      </c>
      <c r="DQ407" s="841">
        <f>'P&amp;L'!DQ383</f>
        <v>0</v>
      </c>
      <c r="DR407" s="293">
        <f t="shared" si="1227"/>
        <v>0</v>
      </c>
      <c r="DS407" s="293"/>
      <c r="DT407" s="293"/>
      <c r="DU407" s="293"/>
      <c r="DV407" s="293"/>
      <c r="DW407" s="1198" t="s">
        <v>174</v>
      </c>
      <c r="DX407" s="293"/>
      <c r="DY407" s="293"/>
      <c r="DZ407" s="293"/>
      <c r="EA407" s="293"/>
      <c r="EB407" s="293"/>
      <c r="EC407" s="293"/>
      <c r="ED407" s="293"/>
      <c r="EE407" s="293"/>
      <c r="EF407" s="293"/>
      <c r="EG407" s="293"/>
      <c r="EH407" s="293"/>
      <c r="EI407" s="293"/>
      <c r="EJ407" s="293"/>
      <c r="EK407" s="293"/>
      <c r="EL407" s="293"/>
      <c r="EM407" s="293"/>
      <c r="EN407" s="293"/>
      <c r="EO407" s="293"/>
      <c r="EP407" s="293"/>
      <c r="EQ407" s="293"/>
      <c r="ER407" s="293"/>
      <c r="ES407" s="293"/>
      <c r="ET407" s="293"/>
      <c r="EU407" s="293"/>
      <c r="JW407"/>
    </row>
    <row r="408" spans="1:283" s="845" customFormat="1">
      <c r="A408" s="845" t="s">
        <v>896</v>
      </c>
      <c r="AN408" s="303"/>
      <c r="AO408" s="303"/>
      <c r="AP408" s="303"/>
      <c r="AQ408" s="303"/>
      <c r="AR408" s="303"/>
      <c r="AS408" s="303"/>
      <c r="AT408" s="303"/>
      <c r="AU408" s="627"/>
      <c r="AV408" s="627">
        <v>20</v>
      </c>
      <c r="AW408" s="627">
        <v>19</v>
      </c>
      <c r="AX408" s="303">
        <f t="shared" si="1209"/>
        <v>39</v>
      </c>
      <c r="AY408" s="303"/>
      <c r="AZ408" s="627">
        <v>3</v>
      </c>
      <c r="BA408" s="973">
        <v>18</v>
      </c>
      <c r="BB408" s="303">
        <f t="shared" si="1210"/>
        <v>21</v>
      </c>
      <c r="BC408" s="303"/>
      <c r="BD408" s="627">
        <v>2</v>
      </c>
      <c r="BE408" s="627">
        <v>5</v>
      </c>
      <c r="BF408" s="303">
        <f t="shared" si="1211"/>
        <v>7</v>
      </c>
      <c r="BG408" s="686"/>
      <c r="BH408" s="627">
        <v>5</v>
      </c>
      <c r="BI408" s="627">
        <v>5</v>
      </c>
      <c r="BJ408" s="303">
        <f t="shared" si="1212"/>
        <v>10</v>
      </c>
      <c r="BK408" s="630"/>
      <c r="BL408" s="627">
        <v>5</v>
      </c>
      <c r="BM408" s="627">
        <v>5</v>
      </c>
      <c r="BN408" s="303">
        <f t="shared" si="1213"/>
        <v>10</v>
      </c>
      <c r="BO408" s="630"/>
      <c r="BP408" s="627">
        <v>0</v>
      </c>
      <c r="BQ408" s="627">
        <v>0</v>
      </c>
      <c r="BR408" s="303">
        <f t="shared" si="1214"/>
        <v>0</v>
      </c>
      <c r="BS408" s="630"/>
      <c r="BT408" s="627">
        <v>0</v>
      </c>
      <c r="BU408" s="627">
        <v>0</v>
      </c>
      <c r="BV408" s="303">
        <f t="shared" si="1215"/>
        <v>0</v>
      </c>
      <c r="BW408" s="303"/>
      <c r="BX408" s="627">
        <v>0</v>
      </c>
      <c r="BY408" s="627">
        <v>0</v>
      </c>
      <c r="BZ408" s="303">
        <f t="shared" si="1216"/>
        <v>0</v>
      </c>
      <c r="CA408" s="303"/>
      <c r="CB408" s="627">
        <v>0</v>
      </c>
      <c r="CC408" s="629">
        <v>0</v>
      </c>
      <c r="CD408" s="303">
        <f t="shared" si="1217"/>
        <v>0</v>
      </c>
      <c r="CE408" s="303"/>
      <c r="CF408" s="629">
        <v>0</v>
      </c>
      <c r="CG408" s="629">
        <v>0</v>
      </c>
      <c r="CH408" s="303">
        <f t="shared" si="1218"/>
        <v>0</v>
      </c>
      <c r="CI408" s="303"/>
      <c r="CJ408" s="629">
        <v>0</v>
      </c>
      <c r="CK408" s="629">
        <v>0</v>
      </c>
      <c r="CL408" s="303">
        <f t="shared" si="1219"/>
        <v>0</v>
      </c>
      <c r="CM408" s="303"/>
      <c r="CN408" s="1388">
        <v>0</v>
      </c>
      <c r="CO408" s="1388">
        <v>0</v>
      </c>
      <c r="CP408" s="1010">
        <f t="shared" si="1220"/>
        <v>0</v>
      </c>
      <c r="CQ408" s="1010"/>
      <c r="CR408" s="1388">
        <v>0</v>
      </c>
      <c r="CS408" s="1497">
        <v>0</v>
      </c>
      <c r="CT408" s="303">
        <f t="shared" si="1221"/>
        <v>0</v>
      </c>
      <c r="CU408" s="303"/>
      <c r="CV408" s="629">
        <v>0</v>
      </c>
      <c r="CW408" s="2123">
        <v>0</v>
      </c>
      <c r="CX408" s="303">
        <f t="shared" si="1222"/>
        <v>0</v>
      </c>
      <c r="CY408" s="303"/>
      <c r="CZ408" s="2122">
        <v>0</v>
      </c>
      <c r="DA408" s="2123">
        <v>0</v>
      </c>
      <c r="DB408" s="303">
        <f t="shared" si="1223"/>
        <v>0</v>
      </c>
      <c r="DC408" s="303"/>
      <c r="DD408" s="2122">
        <v>0</v>
      </c>
      <c r="DE408" s="2122">
        <v>0</v>
      </c>
      <c r="DF408" s="303">
        <f t="shared" si="1224"/>
        <v>0</v>
      </c>
      <c r="DG408" s="303"/>
      <c r="DH408" s="2122">
        <v>0</v>
      </c>
      <c r="DI408" s="630">
        <v>0</v>
      </c>
      <c r="DJ408" s="303">
        <f t="shared" si="1225"/>
        <v>0</v>
      </c>
      <c r="DK408" s="303"/>
      <c r="DL408" s="630">
        <v>0</v>
      </c>
      <c r="DM408" s="630">
        <v>0</v>
      </c>
      <c r="DN408" s="303">
        <f t="shared" si="1226"/>
        <v>0</v>
      </c>
      <c r="DO408" s="303"/>
      <c r="DP408" s="630">
        <v>0</v>
      </c>
      <c r="DQ408" s="630">
        <v>0</v>
      </c>
      <c r="DR408" s="303">
        <f t="shared" si="1227"/>
        <v>0</v>
      </c>
      <c r="DS408" s="303"/>
      <c r="DT408" s="303"/>
      <c r="DU408" s="303"/>
      <c r="DV408" s="303"/>
      <c r="DW408" s="882" t="s">
        <v>183</v>
      </c>
      <c r="DX408" s="303"/>
      <c r="DY408" s="303"/>
      <c r="DZ408" s="303"/>
      <c r="EA408" s="303"/>
      <c r="EB408" s="303"/>
      <c r="EC408" s="303"/>
      <c r="ED408" s="303"/>
      <c r="EE408" s="303"/>
      <c r="EF408" s="303"/>
      <c r="EG408" s="303"/>
      <c r="EH408" s="303"/>
      <c r="EI408" s="303"/>
      <c r="EJ408" s="303"/>
      <c r="EK408" s="303"/>
      <c r="EL408" s="303"/>
      <c r="EM408" s="303"/>
      <c r="EN408" s="303"/>
      <c r="EO408" s="303"/>
      <c r="EP408" s="303"/>
      <c r="EQ408" s="303"/>
      <c r="ER408" s="303"/>
      <c r="ES408" s="303"/>
      <c r="ET408" s="303"/>
      <c r="EU408" s="303"/>
      <c r="JW408"/>
    </row>
    <row r="409" spans="1:283" s="332" customFormat="1">
      <c r="A409" s="332" t="s">
        <v>811</v>
      </c>
      <c r="AN409" s="293"/>
      <c r="AO409" s="293"/>
      <c r="AP409" s="293"/>
      <c r="AQ409" s="293"/>
      <c r="AR409" s="626"/>
      <c r="AS409" s="626"/>
      <c r="AT409" s="293"/>
      <c r="AU409" s="626"/>
      <c r="AV409" s="626">
        <v>16</v>
      </c>
      <c r="AW409" s="626">
        <v>17</v>
      </c>
      <c r="AX409" s="293">
        <f t="shared" si="1209"/>
        <v>33</v>
      </c>
      <c r="AY409" s="293"/>
      <c r="AZ409" s="626">
        <v>18</v>
      </c>
      <c r="BA409" s="626">
        <v>13</v>
      </c>
      <c r="BB409" s="293">
        <f t="shared" si="1210"/>
        <v>31</v>
      </c>
      <c r="BC409" s="293"/>
      <c r="BD409" s="626">
        <v>14</v>
      </c>
      <c r="BE409" s="626">
        <v>12</v>
      </c>
      <c r="BF409" s="293">
        <f t="shared" si="1211"/>
        <v>26</v>
      </c>
      <c r="BG409" s="685"/>
      <c r="BH409" s="626">
        <v>15</v>
      </c>
      <c r="BI409" s="626">
        <v>12</v>
      </c>
      <c r="BJ409" s="293">
        <f t="shared" si="1212"/>
        <v>27</v>
      </c>
      <c r="BK409" s="487"/>
      <c r="BL409" s="626">
        <v>16</v>
      </c>
      <c r="BM409" s="626">
        <v>16</v>
      </c>
      <c r="BN409" s="293">
        <f t="shared" si="1213"/>
        <v>32</v>
      </c>
      <c r="BO409" s="487"/>
      <c r="BP409" s="626">
        <v>15</v>
      </c>
      <c r="BQ409" s="626">
        <v>0</v>
      </c>
      <c r="BR409" s="293">
        <f t="shared" si="1214"/>
        <v>15</v>
      </c>
      <c r="BS409" s="487"/>
      <c r="BT409" s="626">
        <v>0</v>
      </c>
      <c r="BU409" s="626">
        <v>0</v>
      </c>
      <c r="BV409" s="293">
        <f t="shared" si="1215"/>
        <v>0</v>
      </c>
      <c r="BW409" s="293"/>
      <c r="BX409" s="626">
        <v>0</v>
      </c>
      <c r="BY409" s="626">
        <v>0</v>
      </c>
      <c r="BZ409" s="293">
        <f t="shared" si="1216"/>
        <v>0</v>
      </c>
      <c r="CA409" s="293"/>
      <c r="CB409" s="626">
        <v>0</v>
      </c>
      <c r="CC409" s="626">
        <v>0</v>
      </c>
      <c r="CD409" s="293">
        <f t="shared" si="1217"/>
        <v>0</v>
      </c>
      <c r="CE409" s="293"/>
      <c r="CF409" s="626">
        <v>0</v>
      </c>
      <c r="CG409" s="626">
        <v>0</v>
      </c>
      <c r="CH409" s="293">
        <f t="shared" si="1218"/>
        <v>0</v>
      </c>
      <c r="CI409" s="293"/>
      <c r="CJ409" s="626">
        <v>0</v>
      </c>
      <c r="CK409" s="626">
        <v>0</v>
      </c>
      <c r="CL409" s="293">
        <f t="shared" si="1219"/>
        <v>0</v>
      </c>
      <c r="CM409" s="293"/>
      <c r="CN409" s="1388">
        <v>0</v>
      </c>
      <c r="CO409" s="1388">
        <v>0</v>
      </c>
      <c r="CP409" s="1010">
        <f t="shared" si="1220"/>
        <v>0</v>
      </c>
      <c r="CQ409" s="1010"/>
      <c r="CR409" s="1388">
        <v>0</v>
      </c>
      <c r="CS409" s="1497">
        <v>0</v>
      </c>
      <c r="CT409" s="293">
        <f t="shared" si="1221"/>
        <v>0</v>
      </c>
      <c r="CU409" s="293"/>
      <c r="CV409" s="1388">
        <v>0</v>
      </c>
      <c r="CW409" s="1497">
        <v>0</v>
      </c>
      <c r="CX409" s="293">
        <f t="shared" si="1222"/>
        <v>0</v>
      </c>
      <c r="CY409" s="293"/>
      <c r="CZ409" s="1863">
        <v>0</v>
      </c>
      <c r="DA409" s="1488">
        <v>0</v>
      </c>
      <c r="DB409" s="293">
        <f t="shared" si="1223"/>
        <v>0</v>
      </c>
      <c r="DC409" s="293"/>
      <c r="DD409" s="2107">
        <v>0</v>
      </c>
      <c r="DE409" s="1497">
        <v>0</v>
      </c>
      <c r="DF409" s="293">
        <f t="shared" si="1224"/>
        <v>0</v>
      </c>
      <c r="DG409" s="293"/>
      <c r="DH409" s="2107">
        <v>0</v>
      </c>
      <c r="DI409" s="293">
        <f>DH409*(1+DI416)</f>
        <v>0</v>
      </c>
      <c r="DJ409" s="293">
        <f t="shared" si="1225"/>
        <v>0</v>
      </c>
      <c r="DK409" s="293"/>
      <c r="DL409" s="293">
        <f>DI409*(1+DL416)</f>
        <v>0</v>
      </c>
      <c r="DM409" s="293">
        <f>DL409*(1+DM416)</f>
        <v>0</v>
      </c>
      <c r="DN409" s="293">
        <f t="shared" si="1226"/>
        <v>0</v>
      </c>
      <c r="DO409" s="293"/>
      <c r="DP409" s="293">
        <f>DM409*(1+DP416)</f>
        <v>0</v>
      </c>
      <c r="DQ409" s="293">
        <f>DP409*(1+DQ416)</f>
        <v>0</v>
      </c>
      <c r="DR409" s="293">
        <f t="shared" si="1227"/>
        <v>0</v>
      </c>
      <c r="DS409" s="293"/>
      <c r="DT409" s="293"/>
      <c r="DU409" s="293"/>
      <c r="DV409" s="293"/>
      <c r="DW409" s="828" t="s">
        <v>514</v>
      </c>
      <c r="DX409" s="293"/>
      <c r="DY409" s="293"/>
      <c r="DZ409" s="293"/>
      <c r="EA409" s="293"/>
      <c r="EB409" s="293"/>
      <c r="EC409" s="293"/>
      <c r="ED409" s="293"/>
      <c r="EE409" s="293"/>
      <c r="EF409" s="293"/>
      <c r="EG409" s="293"/>
      <c r="EH409" s="293"/>
      <c r="EI409" s="293"/>
      <c r="EJ409" s="293"/>
      <c r="EK409" s="293"/>
      <c r="EL409" s="293"/>
      <c r="EM409" s="293"/>
      <c r="EN409" s="293"/>
      <c r="EO409" s="293"/>
      <c r="EP409" s="293"/>
      <c r="EQ409" s="293"/>
      <c r="ER409" s="293"/>
      <c r="ES409" s="293"/>
      <c r="ET409" s="293"/>
      <c r="EU409" s="293"/>
      <c r="JW409"/>
    </row>
    <row r="410" spans="1:283" s="332" customFormat="1">
      <c r="A410" s="332" t="s">
        <v>812</v>
      </c>
      <c r="AN410" s="293"/>
      <c r="AO410" s="293"/>
      <c r="AP410" s="626">
        <v>111</v>
      </c>
      <c r="AQ410" s="293"/>
      <c r="AR410" s="626">
        <v>71</v>
      </c>
      <c r="AS410" s="626">
        <v>58</v>
      </c>
      <c r="AT410" s="295">
        <f t="shared" ref="AT410" si="1229">AR410+AS410</f>
        <v>129</v>
      </c>
      <c r="AU410" s="626"/>
      <c r="AV410" s="626">
        <v>45</v>
      </c>
      <c r="AW410" s="626">
        <v>75</v>
      </c>
      <c r="AX410" s="293">
        <f t="shared" si="1209"/>
        <v>120</v>
      </c>
      <c r="AY410" s="293"/>
      <c r="AZ410" s="626">
        <v>152</v>
      </c>
      <c r="BA410" s="626">
        <v>97</v>
      </c>
      <c r="BB410" s="293">
        <f t="shared" si="1210"/>
        <v>249</v>
      </c>
      <c r="BC410" s="293"/>
      <c r="BD410" s="626">
        <v>97</v>
      </c>
      <c r="BE410" s="626">
        <v>93</v>
      </c>
      <c r="BF410" s="293">
        <f t="shared" si="1211"/>
        <v>190</v>
      </c>
      <c r="BG410" s="685"/>
      <c r="BH410" s="626">
        <f>93-BH408</f>
        <v>88</v>
      </c>
      <c r="BI410" s="626">
        <f>169-BI408</f>
        <v>164</v>
      </c>
      <c r="BJ410" s="293">
        <f t="shared" si="1212"/>
        <v>252</v>
      </c>
      <c r="BK410" s="487"/>
      <c r="BL410" s="626">
        <f>104-BL408</f>
        <v>99</v>
      </c>
      <c r="BM410" s="626">
        <f>105-BM408</f>
        <v>100</v>
      </c>
      <c r="BN410" s="293">
        <f t="shared" si="1213"/>
        <v>199</v>
      </c>
      <c r="BO410" s="487"/>
      <c r="BP410" s="626">
        <f>105-BP409</f>
        <v>90</v>
      </c>
      <c r="BQ410" s="626">
        <v>128</v>
      </c>
      <c r="BR410" s="293">
        <f t="shared" si="1214"/>
        <v>218</v>
      </c>
      <c r="BS410" s="817">
        <f>+BR410/BN410-1</f>
        <v>9.5477386934673447E-2</v>
      </c>
      <c r="BT410" s="626">
        <v>124</v>
      </c>
      <c r="BU410" s="626">
        <v>118</v>
      </c>
      <c r="BV410" s="293">
        <f t="shared" si="1215"/>
        <v>242</v>
      </c>
      <c r="BW410" s="817">
        <f>+BV410/BR410-1</f>
        <v>0.11009174311926606</v>
      </c>
      <c r="BX410" s="626">
        <v>105</v>
      </c>
      <c r="BY410" s="626">
        <v>124</v>
      </c>
      <c r="BZ410" s="293">
        <f t="shared" si="1216"/>
        <v>229</v>
      </c>
      <c r="CA410" s="817">
        <f>+BZ410/BV410-1</f>
        <v>-5.3719008264462853E-2</v>
      </c>
      <c r="CB410" s="626">
        <v>104</v>
      </c>
      <c r="CC410" s="626">
        <v>108</v>
      </c>
      <c r="CD410" s="293">
        <f t="shared" si="1217"/>
        <v>212</v>
      </c>
      <c r="CE410" s="817">
        <f>+CD410/BZ410-1</f>
        <v>-7.423580786026196E-2</v>
      </c>
      <c r="CF410" s="626">
        <v>131</v>
      </c>
      <c r="CG410" s="626">
        <v>156</v>
      </c>
      <c r="CH410" s="293">
        <f t="shared" si="1218"/>
        <v>287</v>
      </c>
      <c r="CI410" s="817">
        <f>+CH410/CD410-1</f>
        <v>0.35377358490566047</v>
      </c>
      <c r="CJ410" s="626">
        <v>152</v>
      </c>
      <c r="CK410" s="626">
        <v>213</v>
      </c>
      <c r="CL410" s="293">
        <f t="shared" si="1219"/>
        <v>365</v>
      </c>
      <c r="CM410" s="817">
        <f>+CL410/CH410-1</f>
        <v>0.27177700348432055</v>
      </c>
      <c r="CN410" s="1388">
        <v>121</v>
      </c>
      <c r="CO410" s="1388">
        <v>162</v>
      </c>
      <c r="CP410" s="1010">
        <f t="shared" si="1220"/>
        <v>283</v>
      </c>
      <c r="CQ410" s="1002">
        <f>+CP410/CL410-1</f>
        <v>-0.22465753424657531</v>
      </c>
      <c r="CR410" s="1389">
        <v>610</v>
      </c>
      <c r="CS410" s="1505">
        <v>313</v>
      </c>
      <c r="CT410" s="293">
        <f t="shared" si="1221"/>
        <v>923</v>
      </c>
      <c r="CU410" s="817">
        <f>+CT410/CP410-1</f>
        <v>2.2614840989399294</v>
      </c>
      <c r="CV410" s="1389">
        <v>267</v>
      </c>
      <c r="CW410" s="2050">
        <f>367-79</f>
        <v>288</v>
      </c>
      <c r="CX410" s="293">
        <f t="shared" si="1222"/>
        <v>555</v>
      </c>
      <c r="CY410" s="817">
        <f>+CX410/CT410-1</f>
        <v>-0.39869989165763808</v>
      </c>
      <c r="CZ410" s="1872">
        <v>212</v>
      </c>
      <c r="DA410" s="1489">
        <v>224</v>
      </c>
      <c r="DB410" s="293">
        <f t="shared" si="1223"/>
        <v>436</v>
      </c>
      <c r="DC410" s="817">
        <f>+DB410/CX410-1</f>
        <v>-0.21441441441441444</v>
      </c>
      <c r="DD410" s="2208">
        <v>208</v>
      </c>
      <c r="DE410" s="2209">
        <v>242</v>
      </c>
      <c r="DF410" s="293">
        <f t="shared" si="1224"/>
        <v>450</v>
      </c>
      <c r="DG410" s="817">
        <f>+DF410/DB410-1</f>
        <v>3.2110091743119185E-2</v>
      </c>
      <c r="DH410" s="2115">
        <v>194</v>
      </c>
      <c r="DI410" s="293">
        <f>DH410*(1+DI417)</f>
        <v>199.82</v>
      </c>
      <c r="DJ410" s="293">
        <f t="shared" si="1225"/>
        <v>393.82</v>
      </c>
      <c r="DK410" s="817">
        <f>+DJ410/DF410-1</f>
        <v>-0.12484444444444442</v>
      </c>
      <c r="DL410" s="293">
        <f>DI410*(1+DL417)</f>
        <v>205.81459999999998</v>
      </c>
      <c r="DM410" s="293">
        <f>DL410*(1+DM417)</f>
        <v>211.98903799999999</v>
      </c>
      <c r="DN410" s="293">
        <f t="shared" si="1226"/>
        <v>417.80363799999998</v>
      </c>
      <c r="DO410" s="817">
        <f>+DN410/DJ410-1</f>
        <v>6.0899999999999954E-2</v>
      </c>
      <c r="DP410" s="293">
        <f>DM410*(1+DP417)</f>
        <v>218.34870914000001</v>
      </c>
      <c r="DQ410" s="293">
        <f>DP410*(1+DQ417)</f>
        <v>224.89917041420003</v>
      </c>
      <c r="DR410" s="293">
        <f t="shared" si="1227"/>
        <v>443.24787955420004</v>
      </c>
      <c r="DS410" s="817">
        <f>+DR410/DN410-1</f>
        <v>6.0900000000000176E-2</v>
      </c>
      <c r="DT410" s="817"/>
      <c r="DU410" s="817"/>
      <c r="DV410" s="817"/>
      <c r="DW410" s="828" t="s">
        <v>514</v>
      </c>
      <c r="DX410" s="293"/>
      <c r="DY410" s="293"/>
      <c r="DZ410" s="293"/>
      <c r="EA410" s="293"/>
      <c r="EB410" s="293"/>
      <c r="EC410" s="293"/>
      <c r="ED410" s="293"/>
      <c r="EE410" s="293"/>
      <c r="EF410" s="293"/>
      <c r="EG410" s="293"/>
      <c r="EH410" s="293"/>
      <c r="EI410" s="293"/>
      <c r="EJ410" s="293"/>
      <c r="EK410" s="293"/>
      <c r="EL410" s="293"/>
      <c r="EM410" s="293"/>
      <c r="EN410" s="293"/>
      <c r="EO410" s="293"/>
      <c r="EP410" s="293"/>
      <c r="EQ410" s="293"/>
      <c r="ER410" s="293"/>
      <c r="ES410" s="293"/>
      <c r="ET410" s="293"/>
      <c r="EU410" s="293"/>
      <c r="JW410"/>
    </row>
    <row r="411" spans="1:283" s="327" customFormat="1">
      <c r="A411" s="327" t="s">
        <v>920</v>
      </c>
      <c r="AN411" s="295"/>
      <c r="AO411" s="295"/>
      <c r="AP411" s="295">
        <f>SUM(AP400,AP404,AP408:AP410)</f>
        <v>1158</v>
      </c>
      <c r="AQ411" s="295"/>
      <c r="AR411" s="295"/>
      <c r="AS411" s="295"/>
      <c r="AT411" s="295">
        <f>SUM(AT400,AT404,AT408:AT410)</f>
        <v>1027</v>
      </c>
      <c r="AU411" s="295"/>
      <c r="AV411" s="295">
        <f>SUM(AV400,AV404,AV408:AV410)</f>
        <v>413</v>
      </c>
      <c r="AW411" s="295">
        <f>SUM(AW400,AW404,AW408:AW410)</f>
        <v>498</v>
      </c>
      <c r="AX411" s="295">
        <f t="shared" si="1209"/>
        <v>911</v>
      </c>
      <c r="AY411" s="295"/>
      <c r="AZ411" s="295">
        <f>SUM(AZ400,AZ404,AZ408:AZ410)</f>
        <v>628</v>
      </c>
      <c r="BA411" s="295">
        <f>SUM(BA400,BA404,BA408:BA410)</f>
        <v>574</v>
      </c>
      <c r="BB411" s="295">
        <f t="shared" si="1210"/>
        <v>1202</v>
      </c>
      <c r="BC411" s="295"/>
      <c r="BD411" s="295">
        <f>SUM(BD400,BD404,BD408:BD410)</f>
        <v>648.33300000000008</v>
      </c>
      <c r="BE411" s="295">
        <f>SUM(BE400,BE404,BE408:BE410)</f>
        <v>605</v>
      </c>
      <c r="BF411" s="295">
        <f t="shared" si="1211"/>
        <v>1253.3330000000001</v>
      </c>
      <c r="BG411" s="295"/>
      <c r="BH411" s="295">
        <f>SUM(BH400,BH404,BH408:BH410)</f>
        <v>664</v>
      </c>
      <c r="BI411" s="295">
        <f>SUM(BI400,BI404,BI408:BI410)</f>
        <v>778</v>
      </c>
      <c r="BJ411" s="295">
        <f t="shared" si="1212"/>
        <v>1442</v>
      </c>
      <c r="BK411" s="295"/>
      <c r="BL411" s="295">
        <f>SUM(BL400,BL404,BL408:BL410)</f>
        <v>805</v>
      </c>
      <c r="BM411" s="295">
        <f>SUM(BM400,BM404,BM408:BM410)</f>
        <v>915</v>
      </c>
      <c r="BN411" s="295">
        <f t="shared" si="1213"/>
        <v>1720</v>
      </c>
      <c r="BO411" s="487"/>
      <c r="BP411" s="295">
        <f>SUM(BP400,BP404,BP408:BP410)</f>
        <v>1119</v>
      </c>
      <c r="BQ411" s="295">
        <f>SUM(BQ400,BQ404,BQ408:BQ410)</f>
        <v>1153</v>
      </c>
      <c r="BR411" s="295">
        <f t="shared" si="1214"/>
        <v>2272</v>
      </c>
      <c r="BS411" s="817">
        <f>+BR411/BN411-1</f>
        <v>0.32093023255813957</v>
      </c>
      <c r="BT411" s="295">
        <f>SUM(BT400,BT404,BT408:BT410)</f>
        <v>1517</v>
      </c>
      <c r="BU411" s="295">
        <f>SUM(BU400,BU404,BU408:BU410)</f>
        <v>987</v>
      </c>
      <c r="BV411" s="295">
        <f t="shared" si="1215"/>
        <v>2504</v>
      </c>
      <c r="BW411" s="817">
        <f>+BV411/BR411-1</f>
        <v>0.102112676056338</v>
      </c>
      <c r="BX411" s="295">
        <f>SUM(BX400,BX404,BX408:BX410)</f>
        <v>1065</v>
      </c>
      <c r="BY411" s="295">
        <f>SUM(BY400,BY404,BY408:BY410)</f>
        <v>1002</v>
      </c>
      <c r="BZ411" s="295">
        <f t="shared" si="1216"/>
        <v>2067</v>
      </c>
      <c r="CA411" s="817">
        <f>+BZ411/BV411-1</f>
        <v>-0.17452076677316297</v>
      </c>
      <c r="CB411" s="295">
        <f>SUM(CB400,CB404,CB408:CB410)</f>
        <v>1416</v>
      </c>
      <c r="CC411" s="295">
        <f>SUM(CC400,CC404,CC408:CC410)</f>
        <v>959</v>
      </c>
      <c r="CD411" s="295">
        <f t="shared" si="1217"/>
        <v>2375</v>
      </c>
      <c r="CE411" s="817">
        <f>+CD411/BZ411-1</f>
        <v>0.14900822447992268</v>
      </c>
      <c r="CF411" s="295">
        <f>SUM(CF400,CF404,CF408:CF410)</f>
        <v>1292</v>
      </c>
      <c r="CG411" s="295">
        <f>SUM(CG400,CG404,CG408:CG410)</f>
        <v>1538</v>
      </c>
      <c r="CH411" s="295">
        <f t="shared" si="1218"/>
        <v>2830</v>
      </c>
      <c r="CI411" s="817">
        <f>+CH411/CD411-1</f>
        <v>0.19157894736842107</v>
      </c>
      <c r="CJ411" s="295">
        <f>SUM(CJ400,CJ404,CJ408:CJ410)</f>
        <v>1648</v>
      </c>
      <c r="CK411" s="295">
        <f>SUM(CK400,CK404,CK408:CK410)</f>
        <v>1559</v>
      </c>
      <c r="CL411" s="295">
        <f t="shared" si="1219"/>
        <v>3207</v>
      </c>
      <c r="CM411" s="817">
        <f>+CL411/CH411-1</f>
        <v>0.13321554770318023</v>
      </c>
      <c r="CN411" s="295">
        <f>SUM(CN400,CN404,CN408:CN410)</f>
        <v>1505</v>
      </c>
      <c r="CO411" s="295">
        <f>SUM(CO400,CO404,CO408:CO410)</f>
        <v>1416</v>
      </c>
      <c r="CP411" s="295">
        <f t="shared" si="1220"/>
        <v>2921</v>
      </c>
      <c r="CQ411" s="817">
        <f>+CP411/CL411-1</f>
        <v>-8.9179918927346447E-2</v>
      </c>
      <c r="CR411" s="295">
        <f>SUM(CR400,CR404,CR408:CR410)</f>
        <v>2149</v>
      </c>
      <c r="CS411" s="295">
        <f>SUM(CS400,CS404,CS408:CS410)</f>
        <v>1939</v>
      </c>
      <c r="CT411" s="295">
        <f t="shared" si="1221"/>
        <v>4088</v>
      </c>
      <c r="CU411" s="817">
        <f>+CT411/CP411-1</f>
        <v>0.39952071208490247</v>
      </c>
      <c r="CV411" s="295">
        <f>SUM(CV400,CV404,CV408:CV410)</f>
        <v>1882</v>
      </c>
      <c r="CW411" s="295">
        <f>SUM(CW400,CW404,CW408:CW410)</f>
        <v>2147</v>
      </c>
      <c r="CX411" s="295">
        <f t="shared" si="1222"/>
        <v>4029</v>
      </c>
      <c r="CY411" s="817">
        <f>+CX411/CT411-1</f>
        <v>-1.4432485322896316E-2</v>
      </c>
      <c r="CZ411" s="1412">
        <f>SUM(CZ400,CZ404,CZ408:CZ410)</f>
        <v>1855</v>
      </c>
      <c r="DA411" s="1412">
        <f>SUM(DA400,DA404,DA408:DA410)</f>
        <v>2086</v>
      </c>
      <c r="DB411" s="295">
        <f t="shared" si="1223"/>
        <v>3941</v>
      </c>
      <c r="DC411" s="817">
        <f>+DB411/CX411-1</f>
        <v>-2.1841648051625695E-2</v>
      </c>
      <c r="DD411" s="295">
        <f>SUM(DD400,DD404,DD408:DD410)</f>
        <v>2047</v>
      </c>
      <c r="DE411" s="1412">
        <f>SUM(DE400,DE404,DE408:DE410)</f>
        <v>2165</v>
      </c>
      <c r="DF411" s="295">
        <f t="shared" si="1224"/>
        <v>4212</v>
      </c>
      <c r="DG411" s="817">
        <f>+DF411/DB411-1</f>
        <v>6.8764273027150491E-2</v>
      </c>
      <c r="DH411" s="295">
        <f>SUM(DH400,DH404,DH408:DH410)</f>
        <v>2415</v>
      </c>
      <c r="DI411" s="295">
        <f>SUM(DI400,DI404,DI408:DI410)</f>
        <v>2140.3750669774481</v>
      </c>
      <c r="DJ411" s="295">
        <f t="shared" si="1225"/>
        <v>4555.3750669774481</v>
      </c>
      <c r="DK411" s="817">
        <f>+DJ411/DF411-1</f>
        <v>8.1523045341274525E-2</v>
      </c>
      <c r="DL411" s="295">
        <f>SUM(DL400,DL404,DL408:DL410)</f>
        <v>1933.5828788938882</v>
      </c>
      <c r="DM411" s="295">
        <f>SUM(DM400,DM404,DM408:DM410)</f>
        <v>1966.8559467541349</v>
      </c>
      <c r="DN411" s="295">
        <f t="shared" si="1226"/>
        <v>3900.4388256480233</v>
      </c>
      <c r="DO411" s="817">
        <f>+DN411/DJ411-1</f>
        <v>-0.14377218817329651</v>
      </c>
      <c r="DP411" s="295">
        <f>SUM(DP400,DP404,DP408:DP410)</f>
        <v>2024.4484621032223</v>
      </c>
      <c r="DQ411" s="295">
        <f>SUM(DQ400,DQ404,DQ408:DQ410)</f>
        <v>2077.0967005584325</v>
      </c>
      <c r="DR411" s="295">
        <f t="shared" si="1227"/>
        <v>4101.545162661655</v>
      </c>
      <c r="DS411" s="817">
        <f>+DR411/DN411-1</f>
        <v>5.1559925947619378E-2</v>
      </c>
      <c r="DT411" s="817"/>
      <c r="DU411" s="817"/>
      <c r="DV411" s="817"/>
      <c r="DW411" s="831"/>
      <c r="DX411" s="295"/>
      <c r="DY411" s="295"/>
      <c r="DZ411" s="295"/>
      <c r="EA411" s="295"/>
      <c r="EB411" s="295"/>
      <c r="EC411" s="295"/>
      <c r="ED411" s="295"/>
      <c r="EE411" s="295"/>
      <c r="EF411" s="295"/>
      <c r="EG411" s="295"/>
      <c r="EH411" s="295"/>
      <c r="EI411" s="295"/>
      <c r="EJ411" s="295"/>
      <c r="EK411" s="295"/>
      <c r="EL411" s="295"/>
      <c r="EM411" s="295"/>
      <c r="EN411" s="295"/>
      <c r="EO411" s="295"/>
      <c r="EP411" s="295"/>
      <c r="EQ411" s="295"/>
      <c r="ER411" s="295"/>
      <c r="ES411" s="295"/>
      <c r="ET411" s="295"/>
      <c r="EU411" s="295"/>
      <c r="JW411"/>
    </row>
    <row r="412" spans="1:283" s="327" customFormat="1">
      <c r="AN412" s="295"/>
      <c r="AO412" s="295"/>
      <c r="AP412" s="295"/>
      <c r="AQ412" s="295"/>
      <c r="AR412" s="295"/>
      <c r="AS412" s="295"/>
      <c r="AT412" s="295"/>
      <c r="AU412" s="295"/>
      <c r="AV412" s="295"/>
      <c r="AW412" s="295"/>
      <c r="AX412" s="295"/>
      <c r="AY412" s="295"/>
      <c r="AZ412" s="295"/>
      <c r="BA412" s="295"/>
      <c r="BB412" s="295"/>
      <c r="BC412" s="295"/>
      <c r="BD412" s="295"/>
      <c r="BE412" s="295"/>
      <c r="BF412" s="295"/>
      <c r="BG412" s="295"/>
      <c r="BH412" s="295"/>
      <c r="BI412" s="295"/>
      <c r="BJ412" s="295"/>
      <c r="BK412" s="295"/>
      <c r="BL412" s="295"/>
      <c r="BM412" s="295"/>
      <c r="BN412" s="295"/>
      <c r="BO412" s="295"/>
      <c r="BP412" s="295"/>
      <c r="BQ412" s="487"/>
      <c r="BR412" s="295"/>
      <c r="BS412" s="295"/>
      <c r="BT412" s="295"/>
      <c r="BU412" s="487"/>
      <c r="BV412" s="295"/>
      <c r="BW412" s="295"/>
      <c r="BX412" s="295"/>
      <c r="BY412" s="487"/>
      <c r="BZ412" s="295"/>
      <c r="CA412" s="295"/>
      <c r="CB412" s="295"/>
      <c r="CC412" s="487"/>
      <c r="CD412" s="295"/>
      <c r="CE412" s="295"/>
      <c r="CF412" s="295"/>
      <c r="CG412" s="295"/>
      <c r="CH412" s="295"/>
      <c r="CI412" s="295"/>
      <c r="CJ412" s="295"/>
      <c r="CK412" s="295"/>
      <c r="CL412" s="295"/>
      <c r="CM412" s="295"/>
      <c r="CN412" s="295"/>
      <c r="CO412" s="295"/>
      <c r="CP412" s="295"/>
      <c r="CQ412" s="295"/>
      <c r="CR412" s="295"/>
      <c r="CS412" s="295"/>
      <c r="CT412" s="295"/>
      <c r="CU412" s="295"/>
      <c r="CV412" s="295"/>
      <c r="CW412" s="295"/>
      <c r="CX412" s="295"/>
      <c r="CY412" s="295"/>
      <c r="CZ412" s="295"/>
      <c r="DA412" s="1412"/>
      <c r="DB412" s="295"/>
      <c r="DC412" s="295"/>
      <c r="DD412" s="295"/>
      <c r="DE412" s="295"/>
      <c r="DF412" s="295"/>
      <c r="DG412" s="295"/>
      <c r="DH412" s="295"/>
      <c r="DI412" s="295"/>
      <c r="DJ412" s="295"/>
      <c r="DK412" s="295"/>
      <c r="DL412" s="295"/>
      <c r="DM412" s="295"/>
      <c r="DN412" s="295"/>
      <c r="DO412" s="295"/>
      <c r="DP412" s="295"/>
      <c r="DQ412" s="295"/>
      <c r="DR412" s="295"/>
      <c r="DS412" s="295"/>
      <c r="DT412" s="295"/>
      <c r="DU412" s="295"/>
      <c r="DV412" s="295"/>
      <c r="DW412" s="831"/>
      <c r="DX412" s="295"/>
      <c r="DY412" s="295"/>
      <c r="DZ412" s="295"/>
      <c r="EA412" s="295"/>
      <c r="EB412" s="295"/>
      <c r="EC412" s="295"/>
      <c r="ED412" s="295"/>
      <c r="EE412" s="295"/>
      <c r="EF412" s="295"/>
      <c r="EG412" s="295"/>
      <c r="EH412" s="295"/>
      <c r="EI412" s="295"/>
      <c r="EJ412" s="295"/>
      <c r="EK412" s="295"/>
      <c r="EL412" s="295"/>
      <c r="EM412" s="295"/>
      <c r="EN412" s="295"/>
      <c r="EO412" s="295"/>
      <c r="EP412" s="295"/>
      <c r="EQ412" s="295"/>
      <c r="ER412" s="295"/>
      <c r="ES412" s="295"/>
      <c r="ET412" s="295"/>
      <c r="EU412" s="295"/>
      <c r="JW412"/>
    </row>
    <row r="413" spans="1:283" s="1092" customFormat="1">
      <c r="A413" s="1092" t="s">
        <v>155</v>
      </c>
      <c r="AN413" s="791"/>
      <c r="AO413" s="791"/>
      <c r="AP413" s="791"/>
      <c r="AQ413" s="791"/>
      <c r="AR413" s="791"/>
      <c r="AS413" s="791"/>
      <c r="AT413" s="791"/>
      <c r="AU413" s="791"/>
      <c r="AV413" s="791"/>
      <c r="AW413" s="791"/>
      <c r="AX413" s="791"/>
      <c r="AY413" s="791"/>
      <c r="AZ413" s="791"/>
      <c r="BA413" s="791"/>
      <c r="BB413" s="791"/>
      <c r="BC413" s="791"/>
      <c r="BD413" s="791"/>
      <c r="BE413" s="791"/>
      <c r="BF413" s="791"/>
      <c r="BG413" s="791"/>
      <c r="BH413" s="791"/>
      <c r="BI413" s="791"/>
      <c r="BJ413" s="791"/>
      <c r="BK413" s="791"/>
      <c r="BL413" s="791"/>
      <c r="BM413" s="791"/>
      <c r="BN413" s="791"/>
      <c r="BO413" s="791"/>
      <c r="BP413" s="791"/>
      <c r="BQ413" s="791"/>
      <c r="BR413" s="791"/>
      <c r="BS413" s="791"/>
      <c r="BT413" s="791"/>
      <c r="BU413" s="791"/>
      <c r="BV413" s="791"/>
      <c r="BW413" s="791"/>
      <c r="BX413" s="791"/>
      <c r="BY413" s="791"/>
      <c r="BZ413" s="791"/>
      <c r="CA413" s="791"/>
      <c r="CB413" s="791"/>
      <c r="CC413" s="791"/>
      <c r="CD413" s="791"/>
      <c r="CE413" s="791"/>
      <c r="CF413" s="791"/>
      <c r="CG413" s="791"/>
      <c r="CH413" s="791"/>
      <c r="CI413" s="791"/>
      <c r="CJ413" s="791"/>
      <c r="CK413" s="791"/>
      <c r="CL413" s="791"/>
      <c r="CM413" s="791"/>
      <c r="CN413" s="791"/>
      <c r="CO413" s="791"/>
      <c r="CP413" s="791"/>
      <c r="CQ413" s="791"/>
      <c r="CR413" s="791"/>
      <c r="CS413" s="791"/>
      <c r="CT413" s="791"/>
      <c r="CU413" s="791"/>
      <c r="CV413" s="791"/>
      <c r="CW413" s="791"/>
      <c r="CX413" s="791"/>
      <c r="CY413" s="791"/>
      <c r="CZ413" s="791"/>
      <c r="DA413" s="1719"/>
      <c r="DB413" s="791"/>
      <c r="DC413" s="791"/>
      <c r="DD413" s="791"/>
      <c r="DE413" s="791"/>
      <c r="DF413" s="791"/>
      <c r="DG413" s="791"/>
      <c r="DH413" s="791"/>
      <c r="DI413" s="791"/>
      <c r="DJ413" s="791"/>
      <c r="DK413" s="791"/>
      <c r="DL413" s="791"/>
      <c r="DM413" s="791"/>
      <c r="DN413" s="791"/>
      <c r="DO413" s="791"/>
      <c r="DP413" s="791"/>
      <c r="DQ413" s="791"/>
      <c r="DR413" s="791"/>
      <c r="DS413" s="791"/>
      <c r="DT413" s="791"/>
      <c r="DU413" s="791"/>
      <c r="DV413" s="791"/>
      <c r="DW413" s="1235"/>
      <c r="DX413" s="791"/>
      <c r="DY413" s="791"/>
      <c r="DZ413" s="791"/>
      <c r="EA413" s="791"/>
      <c r="EB413" s="791"/>
      <c r="EC413" s="791"/>
      <c r="ED413" s="791"/>
      <c r="EE413" s="791"/>
      <c r="EF413" s="791"/>
      <c r="EG413" s="791"/>
      <c r="EH413" s="791"/>
      <c r="EI413" s="791"/>
      <c r="EJ413" s="791"/>
      <c r="EK413" s="791"/>
      <c r="EL413" s="791"/>
      <c r="EM413" s="791"/>
      <c r="EN413" s="791"/>
      <c r="EO413" s="791"/>
      <c r="EP413" s="791"/>
      <c r="EQ413" s="791"/>
      <c r="ER413" s="791"/>
      <c r="ES413" s="791"/>
      <c r="ET413" s="791"/>
      <c r="EU413" s="791"/>
      <c r="JW413"/>
    </row>
    <row r="414" spans="1:283" s="1092" customFormat="1">
      <c r="A414" s="1079" t="str">
        <f>+A400</f>
        <v>Base fees</v>
      </c>
      <c r="AN414" s="791"/>
      <c r="AO414" s="791"/>
      <c r="AP414" s="791"/>
      <c r="AQ414" s="791"/>
      <c r="AR414" s="791"/>
      <c r="AS414" s="791"/>
      <c r="AT414" s="791"/>
      <c r="AU414" s="791"/>
      <c r="AV414" s="791"/>
      <c r="AW414" s="791"/>
      <c r="AX414" s="791"/>
      <c r="AY414" s="791"/>
      <c r="AZ414" s="791"/>
      <c r="BA414" s="791"/>
      <c r="BB414" s="791"/>
      <c r="BC414" s="791"/>
      <c r="BD414" s="791"/>
      <c r="BE414" s="791"/>
      <c r="BF414" s="791"/>
      <c r="BG414" s="791"/>
      <c r="BH414" s="671">
        <f>BH400/BE400-1</f>
        <v>4.5751633986928164E-2</v>
      </c>
      <c r="BI414" s="671">
        <f>BI400/BH400-1</f>
        <v>6.0416666666666563E-2</v>
      </c>
      <c r="BJ414" s="791"/>
      <c r="BK414" s="791"/>
      <c r="BL414" s="671">
        <f>BL400/BI400-1</f>
        <v>0.19842829076620827</v>
      </c>
      <c r="BM414" s="671">
        <f>BM400/BL400-1</f>
        <v>6.8852459016393475E-2</v>
      </c>
      <c r="BN414" s="791"/>
      <c r="BO414" s="791"/>
      <c r="BP414" s="671">
        <f>BP400/BM400-1</f>
        <v>-1.6871165644171793E-2</v>
      </c>
      <c r="BQ414" s="671">
        <f>BQ400/BP400-1</f>
        <v>0.14040561622464898</v>
      </c>
      <c r="BR414" s="791"/>
      <c r="BS414" s="791"/>
      <c r="BT414" s="671">
        <f>BT400/BQ400-1</f>
        <v>7.2503419972640204E-2</v>
      </c>
      <c r="BU414" s="671">
        <f>BU400/BT400-1</f>
        <v>1.2755102040815647E-3</v>
      </c>
      <c r="BV414" s="791"/>
      <c r="BW414" s="791"/>
      <c r="BX414" s="671">
        <f>BX400/BU400-1</f>
        <v>6.3694267515923553E-3</v>
      </c>
      <c r="BY414" s="671">
        <f>BY400/BX400-1</f>
        <v>-7.5949367088608E-3</v>
      </c>
      <c r="BZ414" s="791"/>
      <c r="CA414" s="791"/>
      <c r="CB414" s="671">
        <f>CB400/BY400-1</f>
        <v>-1.1479591836734748E-2</v>
      </c>
      <c r="CC414" s="671">
        <f>CC400/CB400-1</f>
        <v>2.3225806451612874E-2</v>
      </c>
      <c r="CD414" s="791"/>
      <c r="CE414" s="791"/>
      <c r="CF414" s="671">
        <f>CF400/CC400-1</f>
        <v>0.10844892812105922</v>
      </c>
      <c r="CG414" s="671">
        <f>CG400/CF400-1</f>
        <v>2.2753128555176305E-2</v>
      </c>
      <c r="CH414" s="791"/>
      <c r="CI414" s="791"/>
      <c r="CJ414" s="671">
        <f>CJ400/CG400-1</f>
        <v>5.6729699666295819E-2</v>
      </c>
      <c r="CK414" s="671">
        <f>CK400/CJ400-1</f>
        <v>0.12736842105263158</v>
      </c>
      <c r="CL414" s="791"/>
      <c r="CM414" s="791"/>
      <c r="CN414" s="671">
        <f>CN400/CK400-1</f>
        <v>-9.3370681605975725E-2</v>
      </c>
      <c r="CO414" s="671">
        <f>CO400/CN400-1</f>
        <v>4.4284243048403615E-2</v>
      </c>
      <c r="CP414" s="791"/>
      <c r="CQ414" s="791"/>
      <c r="CR414" s="671">
        <f>CR400/CO400-1</f>
        <v>0.34319526627218933</v>
      </c>
      <c r="CS414" s="671">
        <f>CS400/CR400-1</f>
        <v>3.4508076358296558E-2</v>
      </c>
      <c r="CT414" s="791"/>
      <c r="CU414" s="791"/>
      <c r="CV414" s="671">
        <f>CV400/CS400-1</f>
        <v>-2.2001419446415871E-2</v>
      </c>
      <c r="CW414" s="671">
        <f>CW400/CV400-1</f>
        <v>1.8867924528301883E-2</v>
      </c>
      <c r="CX414" s="791"/>
      <c r="CY414" s="791"/>
      <c r="CZ414" s="671">
        <f>CZ400/CW400-1</f>
        <v>2.1367521367521292E-3</v>
      </c>
      <c r="DA414" s="1417">
        <f>DA400/CZ400-1</f>
        <v>4.2643923240938131E-2</v>
      </c>
      <c r="DB414" s="791"/>
      <c r="DC414" s="791"/>
      <c r="DD414" s="671">
        <f>DD400/DA400-1</f>
        <v>-2.1131561008861599E-2</v>
      </c>
      <c r="DE414" s="1417">
        <f>DE400/DD400-1</f>
        <v>3.6908077994429078E-2</v>
      </c>
      <c r="DF414" s="791"/>
      <c r="DG414" s="791"/>
      <c r="DH414" s="671">
        <f>DH400/DE400-1</f>
        <v>-1.6118200134318306E-2</v>
      </c>
      <c r="DI414" s="671">
        <f>DI400/DH400-1</f>
        <v>-0.14496120696442716</v>
      </c>
      <c r="DJ414" s="791"/>
      <c r="DK414" s="791"/>
      <c r="DL414" s="671">
        <f>DL400/DI400-1</f>
        <v>-6.0995081142173224E-2</v>
      </c>
      <c r="DM414" s="671">
        <f>DM400/DL400-1</f>
        <v>1.1884932811962567E-2</v>
      </c>
      <c r="DN414" s="791"/>
      <c r="DO414" s="791"/>
      <c r="DP414" s="671">
        <f>DP400/DM400-1</f>
        <v>2.3827166014351864E-2</v>
      </c>
      <c r="DQ414" s="671">
        <f>DQ400/DP400-1</f>
        <v>2.0974499160677729E-2</v>
      </c>
      <c r="DR414" s="791"/>
      <c r="DS414" s="791"/>
      <c r="DT414" s="791"/>
      <c r="DU414" s="791"/>
      <c r="DV414" s="791"/>
      <c r="DW414" s="1236"/>
      <c r="DX414" s="671"/>
      <c r="DY414" s="671"/>
      <c r="DZ414" s="791"/>
      <c r="EA414" s="671"/>
      <c r="EB414" s="671"/>
      <c r="EC414" s="791"/>
      <c r="ED414" s="791"/>
      <c r="EE414" s="671"/>
      <c r="EF414" s="671"/>
      <c r="EG414" s="791"/>
      <c r="EH414" s="791"/>
      <c r="EI414" s="671"/>
      <c r="EJ414" s="671"/>
      <c r="EK414" s="791"/>
      <c r="EL414" s="791"/>
      <c r="EM414" s="791"/>
      <c r="EN414" s="791"/>
      <c r="EO414" s="791"/>
      <c r="EP414" s="791"/>
      <c r="EQ414" s="791"/>
      <c r="ER414" s="791"/>
      <c r="ES414" s="791"/>
      <c r="ET414" s="791"/>
      <c r="EU414" s="791"/>
      <c r="JW414"/>
    </row>
    <row r="415" spans="1:283" s="1092" customFormat="1">
      <c r="A415" s="1079" t="str">
        <f>+A404</f>
        <v xml:space="preserve">Performance fees </v>
      </c>
      <c r="AN415" s="791"/>
      <c r="AO415" s="791"/>
      <c r="AP415" s="791"/>
      <c r="AQ415" s="791"/>
      <c r="AR415" s="791"/>
      <c r="AS415" s="791"/>
      <c r="AT415" s="791"/>
      <c r="AU415" s="791"/>
      <c r="AV415" s="791"/>
      <c r="AW415" s="791"/>
      <c r="AX415" s="791"/>
      <c r="AY415" s="791"/>
      <c r="AZ415" s="791"/>
      <c r="BA415" s="791"/>
      <c r="BB415" s="791"/>
      <c r="BC415" s="791"/>
      <c r="BD415" s="791"/>
      <c r="BE415" s="791"/>
      <c r="BF415" s="791"/>
      <c r="BG415" s="791"/>
      <c r="BH415" s="671">
        <f>BH404/BE404-1</f>
        <v>1.1111111111111112</v>
      </c>
      <c r="BI415" s="671">
        <f>BI404/BH404-1</f>
        <v>0.15789473684210531</v>
      </c>
      <c r="BJ415" s="791"/>
      <c r="BK415" s="791"/>
      <c r="BL415" s="671">
        <f>BL404/BI404-1</f>
        <v>-0.14772727272727271</v>
      </c>
      <c r="BM415" s="671">
        <f>BM404/BL404-1</f>
        <v>0.89333333333333331</v>
      </c>
      <c r="BN415" s="791"/>
      <c r="BO415" s="791"/>
      <c r="BP415" s="671">
        <f>BP404/BM404-1</f>
        <v>1.6267605633802815</v>
      </c>
      <c r="BQ415" s="671">
        <f>BQ404/BP404-1</f>
        <v>-0.2117962466487936</v>
      </c>
      <c r="BR415" s="791"/>
      <c r="BS415" s="791"/>
      <c r="BT415" s="671">
        <f>BT404/BQ404-1</f>
        <v>1.0714285714285716</v>
      </c>
      <c r="BU415" s="671">
        <f>BU404/BT404-1</f>
        <v>-0.86206896551724133</v>
      </c>
      <c r="BV415" s="791"/>
      <c r="BW415" s="791"/>
      <c r="BX415" s="671">
        <f>BX404/BU404-1</f>
        <v>1.0238095238095237</v>
      </c>
      <c r="BY415" s="671">
        <f>BY404/BX404-1</f>
        <v>-0.44705882352941173</v>
      </c>
      <c r="BZ415" s="791"/>
      <c r="CA415" s="791"/>
      <c r="CB415" s="671">
        <f>CB404/BY404-1</f>
        <v>4.7127659574468082</v>
      </c>
      <c r="CC415" s="671">
        <f>CC404/CB404-1</f>
        <v>-0.89199255121042831</v>
      </c>
      <c r="CD415" s="791"/>
      <c r="CE415" s="791"/>
      <c r="CF415" s="671">
        <f>CF404/CC404-1</f>
        <v>3.8620689655172411</v>
      </c>
      <c r="CG415" s="671">
        <f>CG404/CF404-1</f>
        <v>0.7127659574468086</v>
      </c>
      <c r="CH415" s="791"/>
      <c r="CI415" s="791"/>
      <c r="CJ415" s="671">
        <f>CJ404/CG404-1</f>
        <v>0.13043478260869557</v>
      </c>
      <c r="CK415" s="671">
        <f>CK404/CJ404-1</f>
        <v>-0.49633699633699635</v>
      </c>
      <c r="CL415" s="791"/>
      <c r="CM415" s="791"/>
      <c r="CN415" s="671">
        <f>CN404/CK404-1</f>
        <v>0.50181818181818172</v>
      </c>
      <c r="CO415" s="671">
        <f>CO404/CN404-1</f>
        <v>-0.41888619854721554</v>
      </c>
      <c r="CP415" s="791"/>
      <c r="CQ415" s="791"/>
      <c r="CR415" s="671">
        <f>CR404/CO404-1</f>
        <v>-0.26249999999999996</v>
      </c>
      <c r="CS415" s="671">
        <f>CS404/CR404-1</f>
        <v>0.22598870056497167</v>
      </c>
      <c r="CT415" s="791"/>
      <c r="CU415" s="791"/>
      <c r="CV415" s="671">
        <f>CV404/CS404-1</f>
        <v>9.2165898617511566E-2</v>
      </c>
      <c r="CW415" s="671">
        <f>CW404/CV404-1</f>
        <v>0.91983122362869207</v>
      </c>
      <c r="CX415" s="791"/>
      <c r="CY415" s="791"/>
      <c r="CZ415" s="671">
        <f>CZ404/CW404-1</f>
        <v>-0.48131868131868127</v>
      </c>
      <c r="DA415" s="1417">
        <f>DA404/CZ404-1</f>
        <v>0.67372881355932202</v>
      </c>
      <c r="DB415" s="791"/>
      <c r="DC415" s="791"/>
      <c r="DD415" s="671">
        <f>DD404/DA404-1</f>
        <v>2.0253164556962133E-2</v>
      </c>
      <c r="DE415" s="1417">
        <f>DE404/DD404-1</f>
        <v>7.6923076923076872E-2</v>
      </c>
      <c r="DF415" s="791"/>
      <c r="DG415" s="791"/>
      <c r="DH415" s="671">
        <f>DH404/DE404-1</f>
        <v>0.74193548387096775</v>
      </c>
      <c r="DI415" s="671">
        <f>DI404/DH404-1</f>
        <v>-9.0048630713844058E-2</v>
      </c>
      <c r="DJ415" s="791"/>
      <c r="DK415" s="791"/>
      <c r="DL415" s="671">
        <f>DL404/DI404-1</f>
        <v>-0.19825236434421978</v>
      </c>
      <c r="DM415" s="671">
        <f>DM404/DL404-1</f>
        <v>2.3786535786427532E-2</v>
      </c>
      <c r="DN415" s="791"/>
      <c r="DO415" s="791"/>
      <c r="DP415" s="671">
        <f>DP404/DM404-1</f>
        <v>4.0508598777925897E-2</v>
      </c>
      <c r="DQ415" s="671">
        <f>DQ404/DP404-1</f>
        <v>3.4957935293340459E-2</v>
      </c>
      <c r="DR415" s="791"/>
      <c r="DS415" s="791"/>
      <c r="DT415" s="791"/>
      <c r="DU415" s="791"/>
      <c r="DV415" s="791"/>
      <c r="DW415" s="1236"/>
      <c r="DX415" s="671"/>
      <c r="DY415" s="671"/>
      <c r="DZ415" s="791"/>
      <c r="EA415" s="671"/>
      <c r="EB415" s="671"/>
      <c r="EC415" s="791"/>
      <c r="ED415" s="791"/>
      <c r="EE415" s="671"/>
      <c r="EF415" s="671"/>
      <c r="EG415" s="791"/>
      <c r="EH415" s="791"/>
      <c r="EI415" s="671"/>
      <c r="EJ415" s="671"/>
      <c r="EK415" s="791"/>
      <c r="EL415" s="791"/>
      <c r="EM415" s="791"/>
      <c r="EN415" s="791"/>
      <c r="EO415" s="791"/>
      <c r="EP415" s="791"/>
      <c r="EQ415" s="791"/>
      <c r="ER415" s="791"/>
      <c r="ES415" s="791"/>
      <c r="ET415" s="791"/>
      <c r="EU415" s="791"/>
      <c r="JW415"/>
    </row>
    <row r="416" spans="1:283" s="1079" customFormat="1">
      <c r="A416" s="1079" t="str">
        <f>A409</f>
        <v>Brokerage and commissions</v>
      </c>
      <c r="AN416" s="331"/>
      <c r="AO416" s="331"/>
      <c r="AP416" s="331"/>
      <c r="AQ416" s="331"/>
      <c r="AR416" s="331"/>
      <c r="AS416" s="331"/>
      <c r="AT416" s="331"/>
      <c r="AU416" s="331"/>
      <c r="AV416" s="817"/>
      <c r="AW416" s="817">
        <f>AW409/AV409-1</f>
        <v>6.25E-2</v>
      </c>
      <c r="AX416" s="331"/>
      <c r="AY416" s="331"/>
      <c r="AZ416" s="817">
        <f>AZ409/AW409-1</f>
        <v>5.8823529411764719E-2</v>
      </c>
      <c r="BA416" s="817">
        <f>BA409/AZ409-1</f>
        <v>-0.27777777777777779</v>
      </c>
      <c r="BB416" s="331"/>
      <c r="BC416" s="331"/>
      <c r="BD416" s="817">
        <f>BD409/BA409-1</f>
        <v>7.6923076923076872E-2</v>
      </c>
      <c r="BE416" s="817">
        <f>BE409/BD409-1</f>
        <v>-0.1428571428571429</v>
      </c>
      <c r="BF416" s="331"/>
      <c r="BG416" s="331"/>
      <c r="BH416" s="817">
        <f>BH409/BE409-1</f>
        <v>0.25</v>
      </c>
      <c r="BI416" s="817">
        <f>BI409/BH409-1</f>
        <v>-0.19999999999999996</v>
      </c>
      <c r="BJ416" s="331"/>
      <c r="BK416" s="869"/>
      <c r="BL416" s="817">
        <f>BL409/BI409-1</f>
        <v>0.33333333333333326</v>
      </c>
      <c r="BM416" s="817">
        <f>BM409/BL409-1</f>
        <v>0</v>
      </c>
      <c r="BN416" s="331"/>
      <c r="BO416" s="331"/>
      <c r="BP416" s="817">
        <f>BP409/BM409-1</f>
        <v>-6.25E-2</v>
      </c>
      <c r="BQ416" s="817">
        <f>BQ409/BP409-1</f>
        <v>-1</v>
      </c>
      <c r="BR416" s="331"/>
      <c r="BS416" s="331"/>
      <c r="BT416" s="817"/>
      <c r="BU416" s="817"/>
      <c r="BV416" s="331"/>
      <c r="BW416" s="331"/>
      <c r="BX416" s="817"/>
      <c r="BY416" s="817"/>
      <c r="BZ416" s="331"/>
      <c r="CA416" s="869"/>
      <c r="CB416" s="817"/>
      <c r="CC416" s="817"/>
      <c r="CD416" s="331"/>
      <c r="CE416" s="869"/>
      <c r="CF416" s="817"/>
      <c r="CG416" s="817"/>
      <c r="CH416" s="331"/>
      <c r="CI416" s="869"/>
      <c r="CJ416" s="817"/>
      <c r="CK416" s="817"/>
      <c r="CL416" s="331"/>
      <c r="CM416" s="869"/>
      <c r="CN416" s="817"/>
      <c r="CO416" s="817"/>
      <c r="CP416" s="331"/>
      <c r="CQ416" s="869"/>
      <c r="CR416" s="817"/>
      <c r="CS416" s="817"/>
      <c r="CT416" s="331"/>
      <c r="CU416" s="869"/>
      <c r="CV416" s="817"/>
      <c r="CW416" s="817"/>
      <c r="CX416" s="331"/>
      <c r="CY416" s="869"/>
      <c r="CZ416" s="817"/>
      <c r="DA416" s="1002"/>
      <c r="DB416" s="331"/>
      <c r="DC416" s="869"/>
      <c r="DD416" s="817"/>
      <c r="DE416" s="1002"/>
      <c r="DF416" s="331"/>
      <c r="DG416" s="869"/>
      <c r="DH416" s="817"/>
      <c r="DI416" s="869">
        <v>0.05</v>
      </c>
      <c r="DJ416" s="331"/>
      <c r="DK416" s="869"/>
      <c r="DL416" s="869">
        <v>0.05</v>
      </c>
      <c r="DM416" s="869">
        <v>0.05</v>
      </c>
      <c r="DN416" s="331"/>
      <c r="DO416" s="869"/>
      <c r="DP416" s="869">
        <v>0.05</v>
      </c>
      <c r="DQ416" s="869">
        <v>0.05</v>
      </c>
      <c r="DR416" s="331"/>
      <c r="DS416" s="869"/>
      <c r="DT416" s="869"/>
      <c r="DU416" s="869"/>
      <c r="DV416" s="869"/>
      <c r="DW416" s="1996" t="s">
        <v>175</v>
      </c>
      <c r="DX416" s="869"/>
      <c r="DY416" s="869"/>
      <c r="DZ416" s="331"/>
      <c r="EA416" s="869"/>
      <c r="EB416" s="869"/>
      <c r="EC416" s="331"/>
      <c r="ED416" s="331"/>
      <c r="EE416" s="869"/>
      <c r="EF416" s="869"/>
      <c r="EG416" s="331"/>
      <c r="EH416" s="331"/>
      <c r="EI416" s="869"/>
      <c r="EJ416" s="869"/>
      <c r="EK416" s="331"/>
      <c r="EL416" s="331"/>
      <c r="EM416" s="331"/>
      <c r="EN416" s="331"/>
      <c r="EO416" s="331"/>
      <c r="EP416" s="331"/>
      <c r="EQ416" s="331"/>
      <c r="ER416" s="331"/>
      <c r="ES416" s="331"/>
      <c r="ET416" s="331"/>
      <c r="EU416" s="331"/>
      <c r="JW416"/>
    </row>
    <row r="417" spans="1:283" s="1092" customFormat="1">
      <c r="A417" s="1079" t="str">
        <f>A410</f>
        <v>Other fee and commission income</v>
      </c>
      <c r="AN417" s="791"/>
      <c r="AO417" s="791"/>
      <c r="AP417" s="791"/>
      <c r="AQ417" s="791"/>
      <c r="AR417" s="791"/>
      <c r="AS417" s="791"/>
      <c r="AT417" s="791"/>
      <c r="AU417" s="791"/>
      <c r="AV417" s="791"/>
      <c r="AW417" s="791"/>
      <c r="AX417" s="791"/>
      <c r="AY417" s="791"/>
      <c r="AZ417" s="791"/>
      <c r="BA417" s="791"/>
      <c r="BB417" s="791"/>
      <c r="BC417" s="791"/>
      <c r="BD417" s="791"/>
      <c r="BE417" s="791"/>
      <c r="BF417" s="791"/>
      <c r="BG417" s="791"/>
      <c r="BH417" s="684">
        <f>BH410/BE410-1</f>
        <v>-5.3763440860215006E-2</v>
      </c>
      <c r="BI417" s="684">
        <f>BI410/BH410-1</f>
        <v>0.86363636363636354</v>
      </c>
      <c r="BJ417" s="791"/>
      <c r="BK417" s="791"/>
      <c r="BL417" s="684">
        <f>BL410/BI410-1</f>
        <v>-0.39634146341463417</v>
      </c>
      <c r="BM417" s="684">
        <f>BM410/BL410-1</f>
        <v>1.0101010101010166E-2</v>
      </c>
      <c r="BN417" s="791"/>
      <c r="BO417" s="1997"/>
      <c r="BP417" s="684">
        <f>BP410/BM410-1</f>
        <v>-9.9999999999999978E-2</v>
      </c>
      <c r="BQ417" s="684">
        <f>BQ410/BP410-1</f>
        <v>0.42222222222222228</v>
      </c>
      <c r="BR417" s="791"/>
      <c r="BS417" s="1997"/>
      <c r="BT417" s="684">
        <f>BT410/BQ410-1</f>
        <v>-3.125E-2</v>
      </c>
      <c r="BU417" s="684">
        <f>BU410/BT410-1</f>
        <v>-4.8387096774193505E-2</v>
      </c>
      <c r="BV417" s="791"/>
      <c r="BW417" s="1997"/>
      <c r="BX417" s="684">
        <f>BX410/BU410-1</f>
        <v>-0.11016949152542377</v>
      </c>
      <c r="BY417" s="684">
        <f>BY410/BX410-1</f>
        <v>0.18095238095238098</v>
      </c>
      <c r="BZ417" s="791"/>
      <c r="CA417" s="791"/>
      <c r="CB417" s="684">
        <f>CB410/BY410-1</f>
        <v>-0.16129032258064513</v>
      </c>
      <c r="CC417" s="684">
        <f>CC410/CB410-1</f>
        <v>3.8461538461538547E-2</v>
      </c>
      <c r="CD417" s="791"/>
      <c r="CE417" s="791"/>
      <c r="CF417" s="684">
        <f>CF410/CC410-1</f>
        <v>0.21296296296296302</v>
      </c>
      <c r="CG417" s="684">
        <f>CG410/CF410-1</f>
        <v>0.19083969465648853</v>
      </c>
      <c r="CH417" s="791"/>
      <c r="CI417" s="791"/>
      <c r="CJ417" s="684">
        <f>CJ410/CG410-1</f>
        <v>-2.5641025641025661E-2</v>
      </c>
      <c r="CK417" s="684">
        <f>CK410/CJ410-1</f>
        <v>0.40131578947368429</v>
      </c>
      <c r="CL417" s="791"/>
      <c r="CM417" s="791"/>
      <c r="CN417" s="684">
        <f>CN410/CK410-1</f>
        <v>-0.431924882629108</v>
      </c>
      <c r="CO417" s="684">
        <f>CO410/CN410-1</f>
        <v>0.33884297520661155</v>
      </c>
      <c r="CP417" s="791"/>
      <c r="CQ417" s="791"/>
      <c r="CR417" s="684">
        <f>CR410/CO410-1</f>
        <v>2.7654320987654319</v>
      </c>
      <c r="CS417" s="684">
        <f>CS410/CR410-1</f>
        <v>-0.4868852459016394</v>
      </c>
      <c r="CT417" s="791"/>
      <c r="CU417" s="791"/>
      <c r="CV417" s="684">
        <f>CV410/CS410-1</f>
        <v>-0.14696485623003197</v>
      </c>
      <c r="CW417" s="684">
        <f>CW410/CV410-1</f>
        <v>7.8651685393258397E-2</v>
      </c>
      <c r="CX417" s="791"/>
      <c r="CY417" s="791"/>
      <c r="CZ417" s="684">
        <f>CZ410/CW410-1</f>
        <v>-0.26388888888888884</v>
      </c>
      <c r="DA417" s="684">
        <f>DA410/CZ410-1</f>
        <v>5.6603773584905648E-2</v>
      </c>
      <c r="DB417" s="791"/>
      <c r="DC417" s="791"/>
      <c r="DD417" s="684">
        <f>DD410/DA410-1</f>
        <v>-7.1428571428571397E-2</v>
      </c>
      <c r="DE417" s="684">
        <f>DE410/DD410-1</f>
        <v>0.16346153846153855</v>
      </c>
      <c r="DF417" s="791"/>
      <c r="DG417" s="791"/>
      <c r="DH417" s="684">
        <f>DH410/DE410-1</f>
        <v>-0.19834710743801653</v>
      </c>
      <c r="DI417" s="1536">
        <v>0.03</v>
      </c>
      <c r="DJ417" s="1997"/>
      <c r="DK417" s="791"/>
      <c r="DL417" s="1536">
        <v>0.03</v>
      </c>
      <c r="DM417" s="1536">
        <v>0.03</v>
      </c>
      <c r="DN417" s="1997"/>
      <c r="DO417" s="791"/>
      <c r="DP417" s="1536">
        <v>0.03</v>
      </c>
      <c r="DQ417" s="1536">
        <v>0.03</v>
      </c>
      <c r="DR417" s="1997"/>
      <c r="DS417" s="791"/>
      <c r="DT417" s="791"/>
      <c r="DU417" s="791"/>
      <c r="DV417" s="791"/>
      <c r="DW417" s="1996" t="s">
        <v>175</v>
      </c>
      <c r="DX417" s="684"/>
      <c r="DY417" s="684"/>
      <c r="DZ417" s="791"/>
      <c r="EA417" s="684"/>
      <c r="EB417" s="684"/>
      <c r="EC417" s="791"/>
      <c r="ED417" s="791"/>
      <c r="EE417" s="684"/>
      <c r="EF417" s="684"/>
      <c r="EG417" s="791"/>
      <c r="EH417" s="791"/>
      <c r="EI417" s="684"/>
      <c r="EJ417" s="684"/>
      <c r="EK417" s="791"/>
      <c r="EL417" s="791"/>
      <c r="EM417" s="791"/>
      <c r="EN417" s="791"/>
      <c r="EO417" s="791"/>
      <c r="EP417" s="791"/>
      <c r="EQ417" s="791"/>
      <c r="ER417" s="791"/>
      <c r="ES417" s="791"/>
      <c r="ET417" s="791"/>
      <c r="EU417" s="791"/>
      <c r="JW417"/>
    </row>
    <row r="418" spans="1:283" s="1092" customFormat="1">
      <c r="A418" s="1092" t="str">
        <f>A411</f>
        <v xml:space="preserve">Total </v>
      </c>
      <c r="AN418" s="791"/>
      <c r="AO418" s="791"/>
      <c r="AP418" s="791"/>
      <c r="AQ418" s="791"/>
      <c r="AR418" s="791"/>
      <c r="AS418" s="791"/>
      <c r="AT418" s="791"/>
      <c r="AU418" s="791"/>
      <c r="AV418" s="791"/>
      <c r="AW418" s="791"/>
      <c r="AX418" s="791"/>
      <c r="AY418" s="791"/>
      <c r="AZ418" s="791"/>
      <c r="BA418" s="791"/>
      <c r="BB418" s="791"/>
      <c r="BC418" s="791"/>
      <c r="BD418" s="791"/>
      <c r="BE418" s="791"/>
      <c r="BF418" s="791"/>
      <c r="BG418" s="791"/>
      <c r="BH418" s="672">
        <f>BH411/BE411-1</f>
        <v>9.7520661157024735E-2</v>
      </c>
      <c r="BI418" s="672">
        <f>BI411/BH411-1</f>
        <v>0.17168674698795172</v>
      </c>
      <c r="BJ418" s="791"/>
      <c r="BK418" s="791"/>
      <c r="BL418" s="672">
        <f>BL411/BI411-1</f>
        <v>3.470437017994854E-2</v>
      </c>
      <c r="BM418" s="672">
        <f>BM411/BL411-1</f>
        <v>0.13664596273291929</v>
      </c>
      <c r="BN418" s="791"/>
      <c r="BO418" s="791"/>
      <c r="BP418" s="672">
        <f>BP411/BM411-1</f>
        <v>0.22295081967213104</v>
      </c>
      <c r="BQ418" s="672">
        <f>BQ411/BP411-1</f>
        <v>3.0384271671134888E-2</v>
      </c>
      <c r="BR418" s="791"/>
      <c r="BS418" s="791"/>
      <c r="BT418" s="672">
        <f>BT411/BQ411-1</f>
        <v>0.31569817866435379</v>
      </c>
      <c r="BU418" s="672">
        <f>BU411/BT411-1</f>
        <v>-0.34937376400791031</v>
      </c>
      <c r="BV418" s="791"/>
      <c r="BW418" s="791"/>
      <c r="BX418" s="672">
        <f>BX411/BU411-1</f>
        <v>7.9027355623100259E-2</v>
      </c>
      <c r="BY418" s="672">
        <f>BY411/BX411-1</f>
        <v>-5.9154929577464821E-2</v>
      </c>
      <c r="BZ418" s="791"/>
      <c r="CA418" s="791"/>
      <c r="CB418" s="672">
        <f>CB411/BY411-1</f>
        <v>0.41317365269461082</v>
      </c>
      <c r="CC418" s="672">
        <f>CC411/CB411-1</f>
        <v>-0.32274011299435024</v>
      </c>
      <c r="CD418" s="791"/>
      <c r="CE418" s="791"/>
      <c r="CF418" s="672">
        <f>CF411/CC411-1</f>
        <v>0.34723670490093839</v>
      </c>
      <c r="CG418" s="672">
        <f>CG411/CF411-1</f>
        <v>0.19040247678018574</v>
      </c>
      <c r="CH418" s="791"/>
      <c r="CI418" s="791"/>
      <c r="CJ418" s="672">
        <f>CJ411/CG411-1</f>
        <v>7.1521456436931086E-2</v>
      </c>
      <c r="CK418" s="672">
        <f>CK411/CJ411-1</f>
        <v>-5.4004854368931987E-2</v>
      </c>
      <c r="CL418" s="791"/>
      <c r="CM418" s="791"/>
      <c r="CN418" s="672">
        <f>CN411/CK411-1</f>
        <v>-3.4637588197562574E-2</v>
      </c>
      <c r="CO418" s="672">
        <f>CO411/CN411-1</f>
        <v>-5.9136212624584683E-2</v>
      </c>
      <c r="CP418" s="791"/>
      <c r="CQ418" s="791"/>
      <c r="CR418" s="672">
        <f>CR411/CO411-1</f>
        <v>0.51765536723163841</v>
      </c>
      <c r="CS418" s="672">
        <f>CS411/CR411-1</f>
        <v>-9.7719869706840434E-2</v>
      </c>
      <c r="CT418" s="791"/>
      <c r="CU418" s="791"/>
      <c r="CV418" s="672">
        <f>CV411/CS411-1</f>
        <v>-2.9396596183599799E-2</v>
      </c>
      <c r="CW418" s="672">
        <f>CW411/CV411-1</f>
        <v>0.14080765143464391</v>
      </c>
      <c r="CX418" s="791"/>
      <c r="CY418" s="791"/>
      <c r="CZ418" s="672">
        <f>CZ411/CW411-1</f>
        <v>-0.13600372612948297</v>
      </c>
      <c r="DA418" s="672">
        <f>DA411/CZ411-1</f>
        <v>0.12452830188679243</v>
      </c>
      <c r="DB418" s="791"/>
      <c r="DC418" s="791"/>
      <c r="DD418" s="672">
        <f>DD411/DA411-1</f>
        <v>-1.8696069031639451E-2</v>
      </c>
      <c r="DE418" s="672">
        <f>DE411/DD411-1</f>
        <v>5.7645334636052814E-2</v>
      </c>
      <c r="DF418" s="791"/>
      <c r="DG418" s="791"/>
      <c r="DH418" s="672">
        <f>DH411/DE411-1</f>
        <v>0.11547344110854496</v>
      </c>
      <c r="DI418" s="672">
        <f>DI411/DH411-1</f>
        <v>-0.11371632837372747</v>
      </c>
      <c r="DJ418" s="791"/>
      <c r="DK418" s="791"/>
      <c r="DL418" s="672">
        <f>DL411/DI411-1</f>
        <v>-9.6614930380208408E-2</v>
      </c>
      <c r="DM418" s="672">
        <f>DM411/DL411-1</f>
        <v>1.7207986388088292E-2</v>
      </c>
      <c r="DN418" s="791"/>
      <c r="DO418" s="791"/>
      <c r="DP418" s="672">
        <f>DP411/DM411-1</f>
        <v>2.928151166542281E-2</v>
      </c>
      <c r="DQ418" s="672">
        <f>DQ411/DP411-1</f>
        <v>2.6006213267841582E-2</v>
      </c>
      <c r="DR418" s="791"/>
      <c r="DS418" s="791"/>
      <c r="DT418" s="791"/>
      <c r="DU418" s="791"/>
      <c r="DV418" s="791"/>
      <c r="DW418" s="1237"/>
      <c r="DX418" s="672"/>
      <c r="DY418" s="672"/>
      <c r="DZ418" s="791"/>
      <c r="EA418" s="672"/>
      <c r="EB418" s="672"/>
      <c r="EC418" s="791"/>
      <c r="ED418" s="791"/>
      <c r="EE418" s="672"/>
      <c r="EF418" s="672"/>
      <c r="EG418" s="791"/>
      <c r="EH418" s="791"/>
      <c r="EI418" s="672"/>
      <c r="EJ418" s="672"/>
      <c r="EK418" s="791"/>
      <c r="EL418" s="791"/>
      <c r="EM418" s="791"/>
      <c r="EN418" s="791"/>
      <c r="EO418" s="791"/>
      <c r="EP418" s="791"/>
      <c r="EQ418" s="791"/>
      <c r="ER418" s="791"/>
      <c r="ES418" s="791"/>
      <c r="ET418" s="791"/>
      <c r="EU418" s="791"/>
      <c r="JW418"/>
    </row>
    <row r="419" spans="1:283" s="1092" customFormat="1">
      <c r="AN419" s="791"/>
      <c r="AO419" s="791"/>
      <c r="AP419" s="791"/>
      <c r="AQ419" s="791"/>
      <c r="AR419" s="791"/>
      <c r="AS419" s="791"/>
      <c r="AT419" s="791"/>
      <c r="AU419" s="791"/>
      <c r="AV419" s="791"/>
      <c r="AW419" s="791"/>
      <c r="AX419" s="791"/>
      <c r="AY419" s="791"/>
      <c r="AZ419" s="791"/>
      <c r="BA419" s="791"/>
      <c r="BB419" s="791"/>
      <c r="BC419" s="791"/>
      <c r="BD419" s="791"/>
      <c r="BE419" s="791"/>
      <c r="BF419" s="791"/>
      <c r="BG419" s="791"/>
      <c r="BH419" s="672"/>
      <c r="BI419" s="672"/>
      <c r="BJ419" s="791"/>
      <c r="BK419" s="791"/>
      <c r="BL419" s="672"/>
      <c r="BM419" s="672"/>
      <c r="BN419" s="791"/>
      <c r="BO419" s="791"/>
      <c r="BP419" s="672"/>
      <c r="BQ419" s="672"/>
      <c r="BR419" s="791"/>
      <c r="BS419" s="791"/>
      <c r="BT419" s="672"/>
      <c r="BU419" s="672"/>
      <c r="BV419" s="791"/>
      <c r="BW419" s="791"/>
      <c r="BX419" s="672"/>
      <c r="BY419" s="672"/>
      <c r="BZ419" s="791"/>
      <c r="CA419" s="791"/>
      <c r="CB419" s="672"/>
      <c r="CC419" s="672"/>
      <c r="CD419" s="791"/>
      <c r="CE419" s="791"/>
      <c r="CF419" s="672"/>
      <c r="CG419" s="672"/>
      <c r="CH419" s="791"/>
      <c r="CI419" s="791"/>
      <c r="CJ419" s="672"/>
      <c r="CK419" s="672"/>
      <c r="CL419" s="791"/>
      <c r="CM419" s="791"/>
      <c r="CN419" s="672"/>
      <c r="CO419" s="672"/>
      <c r="CP419" s="791"/>
      <c r="CQ419" s="791"/>
      <c r="CR419" s="672"/>
      <c r="CS419" s="672"/>
      <c r="CT419" s="791"/>
      <c r="CU419" s="791"/>
      <c r="CV419" s="672"/>
      <c r="CW419" s="672"/>
      <c r="CX419" s="791"/>
      <c r="CY419" s="791"/>
      <c r="CZ419" s="672"/>
      <c r="DA419" s="672"/>
      <c r="DB419" s="791"/>
      <c r="DC419" s="791"/>
      <c r="DD419" s="672"/>
      <c r="DE419" s="672"/>
      <c r="DF419" s="791"/>
      <c r="DG419" s="791"/>
      <c r="DH419" s="672"/>
      <c r="DI419" s="672"/>
      <c r="DJ419" s="791"/>
      <c r="DK419" s="791"/>
      <c r="DL419" s="672"/>
      <c r="DM419" s="672"/>
      <c r="DN419" s="791"/>
      <c r="DO419" s="791"/>
      <c r="DP419" s="672"/>
      <c r="DQ419" s="672"/>
      <c r="DR419" s="791"/>
      <c r="DS419" s="791"/>
      <c r="DT419" s="791"/>
      <c r="DU419" s="791"/>
      <c r="DV419" s="791"/>
      <c r="DW419" s="1237"/>
      <c r="DX419" s="672"/>
      <c r="DY419" s="672"/>
      <c r="DZ419" s="791"/>
      <c r="EA419" s="672"/>
      <c r="EB419" s="672"/>
      <c r="EC419" s="791"/>
      <c r="ED419" s="791"/>
      <c r="EE419" s="672"/>
      <c r="EF419" s="672"/>
      <c r="EG419" s="791"/>
      <c r="EH419" s="791"/>
      <c r="EI419" s="672"/>
      <c r="EJ419" s="672"/>
      <c r="EK419" s="791"/>
      <c r="EL419" s="791"/>
      <c r="EM419" s="791"/>
      <c r="EN419" s="791"/>
      <c r="EO419" s="791"/>
      <c r="EP419" s="791"/>
      <c r="EQ419" s="791"/>
      <c r="ER419" s="791"/>
      <c r="ES419" s="791"/>
      <c r="ET419" s="791"/>
      <c r="EU419" s="791"/>
      <c r="JW419"/>
    </row>
    <row r="420" spans="1:283" s="1899" customFormat="1" ht="14.4">
      <c r="A420" s="1898" t="s">
        <v>1090</v>
      </c>
      <c r="AN420" s="1900"/>
      <c r="AO420" s="1900"/>
      <c r="AP420" s="1900"/>
      <c r="AQ420" s="1900"/>
      <c r="AR420" s="1900"/>
      <c r="AS420" s="1900"/>
      <c r="AT420" s="1900"/>
      <c r="AU420" s="1900"/>
      <c r="AV420" s="1900"/>
      <c r="AW420" s="1900"/>
      <c r="AX420" s="1900"/>
      <c r="AY420" s="1900"/>
      <c r="AZ420" s="1900"/>
      <c r="BA420" s="1900"/>
      <c r="BB420" s="1900"/>
      <c r="BC420" s="1900"/>
      <c r="BD420" s="1900"/>
      <c r="BE420" s="1900"/>
      <c r="BF420" s="1900"/>
      <c r="BG420" s="1900"/>
      <c r="BH420" s="1901"/>
      <c r="BI420" s="1901"/>
      <c r="BJ420" s="1900"/>
      <c r="BK420" s="1900"/>
      <c r="BL420" s="1901"/>
      <c r="BM420" s="1901"/>
      <c r="BN420" s="1900"/>
      <c r="BO420" s="1900"/>
      <c r="BP420" s="1902">
        <f>BP423+BP404</f>
        <v>407</v>
      </c>
      <c r="BQ420" s="1902">
        <f>BQ423+BQ404</f>
        <v>311</v>
      </c>
      <c r="BR420" s="1902">
        <f>BR423+BR404</f>
        <v>718</v>
      </c>
      <c r="BS420" s="1903"/>
      <c r="BT420" s="1902">
        <f>BT423+BT404</f>
        <v>738</v>
      </c>
      <c r="BU420" s="1902">
        <f>BU423+BU404</f>
        <v>121</v>
      </c>
      <c r="BV420" s="1902">
        <f>BV423+BV404</f>
        <v>859</v>
      </c>
      <c r="BW420" s="1903">
        <f>+BV420/BR420-1</f>
        <v>0.19637883008356538</v>
      </c>
      <c r="BX420" s="1902">
        <f>BX423+BX404</f>
        <v>373</v>
      </c>
      <c r="BY420" s="1902">
        <f>BY423+BY404</f>
        <v>257</v>
      </c>
      <c r="BZ420" s="1902">
        <f>BZ423+BZ404</f>
        <v>630</v>
      </c>
      <c r="CA420" s="1903">
        <f>+BZ420/BV420-1</f>
        <v>-0.26658905704307334</v>
      </c>
      <c r="CB420" s="1902">
        <f t="shared" ref="CB420:CD420" si="1230">CB423+CB404</f>
        <v>766</v>
      </c>
      <c r="CC420" s="1902">
        <f t="shared" si="1230"/>
        <v>135</v>
      </c>
      <c r="CD420" s="1902">
        <f t="shared" si="1230"/>
        <v>901</v>
      </c>
      <c r="CE420" s="1903">
        <f t="shared" ref="CE420" si="1231">+CD420/BZ420-1</f>
        <v>0.43015873015873018</v>
      </c>
      <c r="CF420" s="1902">
        <f t="shared" ref="CF420:CH420" si="1232">CF423+CF404</f>
        <v>315</v>
      </c>
      <c r="CG420" s="1902">
        <f t="shared" si="1232"/>
        <v>528</v>
      </c>
      <c r="CH420" s="1902">
        <f t="shared" si="1232"/>
        <v>843</v>
      </c>
      <c r="CI420" s="1903">
        <f t="shared" ref="CI420" si="1233">+CH420/CD420-1</f>
        <v>-6.4372918978912286E-2</v>
      </c>
      <c r="CJ420" s="1902">
        <f t="shared" ref="CJ420:CL420" si="1234">CJ423+CJ404</f>
        <v>598</v>
      </c>
      <c r="CK420" s="1902">
        <f t="shared" si="1234"/>
        <v>476</v>
      </c>
      <c r="CL420" s="1902">
        <f t="shared" si="1234"/>
        <v>1074</v>
      </c>
      <c r="CM420" s="1903">
        <f t="shared" ref="CM420" si="1235">+CL420/CH420-1</f>
        <v>0.27402135231316715</v>
      </c>
      <c r="CN420" s="1902">
        <f t="shared" ref="CN420:CP420" si="1236">CN423+CN404</f>
        <v>817</v>
      </c>
      <c r="CO420" s="1902">
        <f t="shared" si="1236"/>
        <v>480</v>
      </c>
      <c r="CP420" s="1902">
        <f t="shared" si="1236"/>
        <v>1297</v>
      </c>
      <c r="CQ420" s="1903">
        <f t="shared" ref="CQ420" si="1237">+CP420/CL420-1</f>
        <v>0.20763500931098688</v>
      </c>
      <c r="CR420" s="1902">
        <f t="shared" ref="CR420" si="1238">CR423+CR404</f>
        <v>239</v>
      </c>
      <c r="CS420" s="1902">
        <f t="shared" ref="CS420:CT420" si="1239">CS423+CS404</f>
        <v>1715</v>
      </c>
      <c r="CT420" s="1902">
        <f t="shared" si="1239"/>
        <v>1954</v>
      </c>
      <c r="CU420" s="1903">
        <f t="shared" ref="CU420" si="1240">+CT420/CP420-1</f>
        <v>0.50655358519660765</v>
      </c>
      <c r="CV420" s="1902">
        <f t="shared" ref="CV420:CX420" si="1241">CV423+CV404</f>
        <v>1114</v>
      </c>
      <c r="CW420" s="1902">
        <f t="shared" si="1241"/>
        <v>757</v>
      </c>
      <c r="CX420" s="1902">
        <f t="shared" si="1241"/>
        <v>1871</v>
      </c>
      <c r="CY420" s="1903">
        <f t="shared" ref="CY420" si="1242">+CX420/CT420-1</f>
        <v>-4.2476970317297802E-2</v>
      </c>
      <c r="CZ420" s="1902">
        <f t="shared" ref="CZ420:DB420" si="1243">CZ423+CZ404</f>
        <v>285</v>
      </c>
      <c r="DA420" s="2027">
        <f t="shared" si="1243"/>
        <v>693</v>
      </c>
      <c r="DB420" s="1902">
        <f t="shared" si="1243"/>
        <v>978</v>
      </c>
      <c r="DC420" s="1903">
        <f t="shared" ref="DC420" si="1244">+DB420/CX420-1</f>
        <v>-0.47728487439871725</v>
      </c>
      <c r="DD420" s="1902">
        <f t="shared" ref="DD420:DF420" si="1245">DD423+DD404</f>
        <v>450</v>
      </c>
      <c r="DE420" s="2027">
        <f t="shared" si="1245"/>
        <v>786</v>
      </c>
      <c r="DF420" s="1902">
        <f t="shared" si="1245"/>
        <v>1236</v>
      </c>
      <c r="DG420" s="1903">
        <f t="shared" ref="DG420" si="1246">+DF420/DB420-1</f>
        <v>0.26380368098159512</v>
      </c>
      <c r="DH420" s="1902">
        <f t="shared" ref="DH420" si="1247">DH423+DH404</f>
        <v>763</v>
      </c>
      <c r="DI420" s="1902">
        <f t="shared" ref="DI420:DJ420" si="1248">DI423+DI404</f>
        <v>1237.9232351803339</v>
      </c>
      <c r="DJ420" s="1902">
        <f t="shared" si="1248"/>
        <v>2000.9232351803339</v>
      </c>
      <c r="DK420" s="1903">
        <f t="shared" ref="DK420" si="1249">+DJ420/DF420-1</f>
        <v>0.6188699313756747</v>
      </c>
      <c r="DL420" s="1902">
        <f t="shared" ref="DL420:DN420" si="1250">DL423+DL404</f>
        <v>741.54082731850792</v>
      </c>
      <c r="DM420" s="1902">
        <f t="shared" si="1250"/>
        <v>754.66007294519545</v>
      </c>
      <c r="DN420" s="1902">
        <f t="shared" si="1250"/>
        <v>1496.2009002637033</v>
      </c>
      <c r="DO420" s="1903">
        <f t="shared" ref="DO420" si="1251">+DN420/DJ420-1</f>
        <v>-0.25224472685537203</v>
      </c>
      <c r="DP420" s="1902">
        <f t="shared" ref="DP420:DR420" si="1252">DP423+DP404</f>
        <v>762.53366128604671</v>
      </c>
      <c r="DQ420" s="1902">
        <f t="shared" si="1252"/>
        <v>783.07262499994374</v>
      </c>
      <c r="DR420" s="1902">
        <f t="shared" si="1252"/>
        <v>1545.6062862859903</v>
      </c>
      <c r="DS420" s="1903">
        <f t="shared" ref="DS420" si="1253">+DR420/DN420-1</f>
        <v>3.3020556272609802E-2</v>
      </c>
      <c r="DT420" s="1903"/>
      <c r="DU420" s="1903"/>
      <c r="DV420" s="1903"/>
      <c r="DW420" s="1904"/>
      <c r="DX420" s="1901"/>
      <c r="DY420" s="1901"/>
      <c r="DZ420" s="1900"/>
      <c r="EA420" s="1901"/>
      <c r="EB420" s="1901"/>
      <c r="EC420" s="1900"/>
      <c r="ED420" s="1900"/>
      <c r="EE420" s="1901"/>
      <c r="EF420" s="1901"/>
      <c r="EG420" s="1900"/>
      <c r="EH420" s="1900"/>
      <c r="EI420" s="1901"/>
      <c r="EJ420" s="1901"/>
      <c r="EK420" s="1900"/>
      <c r="EL420" s="1900"/>
      <c r="EM420" s="1900"/>
      <c r="EN420" s="1900"/>
      <c r="EO420" s="1900"/>
      <c r="EP420" s="1900"/>
      <c r="EQ420" s="1900"/>
      <c r="ER420" s="1900"/>
      <c r="ES420" s="1900"/>
      <c r="ET420" s="1900"/>
      <c r="EU420" s="1900"/>
      <c r="JW420"/>
    </row>
    <row r="421" spans="1:283" s="327" customFormat="1">
      <c r="AN421" s="295"/>
      <c r="AO421" s="295"/>
      <c r="AP421" s="295"/>
      <c r="AQ421" s="295"/>
      <c r="AR421" s="295"/>
      <c r="AS421" s="295"/>
      <c r="AT421" s="295"/>
      <c r="AU421" s="295"/>
      <c r="AV421" s="295"/>
      <c r="AW421" s="295"/>
      <c r="AX421" s="295"/>
      <c r="AY421" s="295"/>
      <c r="AZ421" s="295"/>
      <c r="BA421" s="295"/>
      <c r="BB421" s="295"/>
      <c r="BC421" s="295"/>
      <c r="BD421" s="295"/>
      <c r="BE421" s="295"/>
      <c r="BF421" s="295"/>
      <c r="BG421" s="295"/>
      <c r="BH421" s="295"/>
      <c r="BI421" s="295"/>
      <c r="BJ421" s="295"/>
      <c r="BK421" s="295"/>
      <c r="BL421" s="295"/>
      <c r="BM421" s="295"/>
      <c r="BN421" s="295"/>
      <c r="BO421" s="295"/>
      <c r="BP421" s="295"/>
      <c r="BQ421" s="295"/>
      <c r="BR421" s="295"/>
      <c r="BS421" s="295"/>
      <c r="BT421" s="295"/>
      <c r="BU421" s="295"/>
      <c r="BV421" s="295"/>
      <c r="BW421" s="295"/>
      <c r="BX421" s="295"/>
      <c r="BY421" s="295"/>
      <c r="BZ421" s="295"/>
      <c r="CA421" s="295"/>
      <c r="CB421" s="295"/>
      <c r="CC421" s="295"/>
      <c r="CD421" s="295"/>
      <c r="CE421" s="295"/>
      <c r="CF421" s="295"/>
      <c r="CG421" s="295"/>
      <c r="CH421" s="295"/>
      <c r="CI421" s="295"/>
      <c r="CJ421" s="295"/>
      <c r="CK421" s="295"/>
      <c r="CL421" s="295"/>
      <c r="CM421" s="295"/>
      <c r="CN421" s="295"/>
      <c r="CO421" s="295"/>
      <c r="CP421" s="295"/>
      <c r="CQ421" s="295"/>
      <c r="CR421" s="295"/>
      <c r="CS421" s="295"/>
      <c r="CT421" s="924"/>
      <c r="CU421" s="295"/>
      <c r="CV421" s="811">
        <f t="shared" ref="CV421:CX421" si="1254">+CV420/CR420-1</f>
        <v>3.6610878661087867</v>
      </c>
      <c r="CW421" s="811">
        <f t="shared" si="1254"/>
        <v>-0.55860058309037908</v>
      </c>
      <c r="CX421" s="811">
        <f t="shared" si="1254"/>
        <v>-4.2476970317297802E-2</v>
      </c>
      <c r="CY421" s="295"/>
      <c r="CZ421" s="811">
        <f>+CZ420/CV420-1</f>
        <v>-0.74416517055655296</v>
      </c>
      <c r="DA421" s="1425">
        <f t="shared" ref="DA421" si="1255">+DA420/CW420-1</f>
        <v>-8.4544253632760857E-2</v>
      </c>
      <c r="DB421" s="811">
        <f t="shared" ref="DB421" si="1256">+DB420/CX420-1</f>
        <v>-0.47728487439871725</v>
      </c>
      <c r="DC421" s="295"/>
      <c r="DD421" s="811">
        <f>+DD420/CZ420-1</f>
        <v>0.57894736842105265</v>
      </c>
      <c r="DE421" s="1425">
        <f t="shared" ref="DE421" si="1257">+DE420/DA420-1</f>
        <v>0.13419913419913421</v>
      </c>
      <c r="DF421" s="811">
        <f t="shared" ref="DF421" si="1258">+DF420/DB420-1</f>
        <v>0.26380368098159512</v>
      </c>
      <c r="DG421" s="295"/>
      <c r="DH421" s="811">
        <f>+DH420/DD420-1</f>
        <v>0.69555555555555548</v>
      </c>
      <c r="DI421" s="811">
        <f t="shared" ref="DI421:DJ421" si="1259">+DI420/DE420-1</f>
        <v>0.57496594806658252</v>
      </c>
      <c r="DJ421" s="811">
        <f t="shared" si="1259"/>
        <v>0.6188699313756747</v>
      </c>
      <c r="DK421" s="295"/>
      <c r="DL421" s="811">
        <f t="shared" ref="DL421:DN421" si="1260">+DL420/DH420-1</f>
        <v>-2.8124734838128496E-2</v>
      </c>
      <c r="DM421" s="811">
        <f t="shared" si="1260"/>
        <v>-0.39038217274008857</v>
      </c>
      <c r="DN421" s="811">
        <f t="shared" si="1260"/>
        <v>-0.25224472685537203</v>
      </c>
      <c r="DO421" s="295"/>
      <c r="DP421" s="811">
        <f t="shared" ref="DP421" si="1261">+DP420/DL420-1</f>
        <v>2.8309748019473391E-2</v>
      </c>
      <c r="DQ421" s="811">
        <f t="shared" ref="DQ421" si="1262">+DQ420/DM420-1</f>
        <v>3.764947036864319E-2</v>
      </c>
      <c r="DR421" s="811">
        <f t="shared" ref="DR421" si="1263">+DR420/DN420-1</f>
        <v>3.3020556272609802E-2</v>
      </c>
      <c r="DS421" s="295"/>
      <c r="DT421" s="295"/>
      <c r="DU421" s="295"/>
      <c r="DV421" s="295"/>
      <c r="DW421" s="831"/>
      <c r="DX421" s="295"/>
      <c r="DY421" s="295"/>
      <c r="DZ421" s="295"/>
      <c r="EA421" s="295"/>
      <c r="EB421" s="295"/>
      <c r="EC421" s="295"/>
      <c r="ED421" s="295"/>
      <c r="EE421" s="295"/>
      <c r="EF421" s="295"/>
      <c r="EG421" s="295"/>
      <c r="EH421" s="295"/>
      <c r="EI421" s="295"/>
      <c r="EJ421" s="295"/>
      <c r="EK421" s="295"/>
      <c r="EL421" s="295"/>
      <c r="EM421" s="295"/>
      <c r="EN421" s="295"/>
      <c r="EO421" s="295"/>
      <c r="EP421" s="295"/>
      <c r="EQ421" s="295"/>
      <c r="ER421" s="295"/>
      <c r="ES421" s="295"/>
      <c r="ET421" s="295"/>
      <c r="EU421" s="295"/>
      <c r="JW421"/>
    </row>
    <row r="422" spans="1:283" s="289" customFormat="1">
      <c r="A422" s="815" t="s">
        <v>621</v>
      </c>
      <c r="AN422" s="290"/>
      <c r="AO422" s="290"/>
      <c r="AP422" s="290"/>
      <c r="AQ422" s="290"/>
      <c r="AR422" s="290"/>
      <c r="AS422" s="290"/>
      <c r="AT422" s="290"/>
      <c r="AU422" s="290"/>
      <c r="AV422" s="290"/>
      <c r="AW422" s="290"/>
      <c r="AX422" s="290"/>
      <c r="AY422" s="290"/>
      <c r="AZ422" s="290"/>
      <c r="BA422" s="290"/>
      <c r="BB422" s="290"/>
      <c r="BC422" s="290"/>
      <c r="BD422" s="290"/>
      <c r="BE422" s="290"/>
      <c r="BF422" s="290"/>
      <c r="BG422" s="290"/>
      <c r="BH422" s="290"/>
      <c r="BI422" s="290"/>
      <c r="BJ422" s="290"/>
      <c r="BK422" s="290"/>
      <c r="BL422" s="290"/>
      <c r="BM422" s="290"/>
      <c r="BN422" s="290"/>
      <c r="BO422" s="290"/>
      <c r="BP422" s="290"/>
      <c r="BQ422" s="290"/>
      <c r="BR422" s="290"/>
      <c r="BS422" s="290"/>
      <c r="BT422" s="290"/>
      <c r="BU422" s="290"/>
      <c r="BV422" s="290"/>
      <c r="BW422" s="290"/>
      <c r="BX422" s="290"/>
      <c r="BY422" s="290"/>
      <c r="BZ422" s="290"/>
      <c r="CA422" s="290"/>
      <c r="CB422" s="290"/>
      <c r="CC422" s="290"/>
      <c r="CD422" s="290"/>
      <c r="CE422" s="290"/>
      <c r="CF422" s="290"/>
      <c r="CG422" s="290"/>
      <c r="CH422" s="290"/>
      <c r="CI422" s="290"/>
      <c r="CJ422" s="290"/>
      <c r="CK422" s="290"/>
      <c r="CL422" s="290"/>
      <c r="CM422" s="290"/>
      <c r="CN422" s="290"/>
      <c r="CO422" s="290"/>
      <c r="CP422" s="290"/>
      <c r="CQ422" s="290"/>
      <c r="CR422" s="290"/>
      <c r="CS422" s="290"/>
      <c r="CT422" s="952" t="s">
        <v>1419</v>
      </c>
      <c r="CU422" s="290"/>
      <c r="CV422" s="290"/>
      <c r="CW422" s="290"/>
      <c r="CX422" s="290"/>
      <c r="CY422" s="290"/>
      <c r="CZ422" s="290"/>
      <c r="DA422" s="1424"/>
      <c r="DB422" s="290"/>
      <c r="DC422" s="290"/>
      <c r="DD422" s="290"/>
      <c r="DE422" s="1424"/>
      <c r="DF422" s="290"/>
      <c r="DG422" s="290"/>
      <c r="DH422" s="290"/>
      <c r="DI422" s="290"/>
      <c r="DJ422" s="290"/>
      <c r="DK422" s="290"/>
      <c r="DL422" s="290"/>
      <c r="DM422" s="290"/>
      <c r="DN422" s="290"/>
      <c r="DO422" s="290"/>
      <c r="DP422" s="290"/>
      <c r="DQ422" s="290"/>
      <c r="DR422" s="290"/>
      <c r="DS422" s="290"/>
      <c r="DT422" s="290"/>
      <c r="DU422" s="290"/>
      <c r="DV422" s="290"/>
      <c r="DW422" s="900"/>
      <c r="DX422" s="290"/>
      <c r="DY422" s="290"/>
      <c r="DZ422" s="290"/>
      <c r="EA422" s="290"/>
      <c r="EB422" s="290"/>
      <c r="EC422" s="290"/>
      <c r="ED422" s="290"/>
      <c r="EE422" s="290"/>
      <c r="EF422" s="290"/>
      <c r="EG422" s="290"/>
      <c r="EH422" s="290"/>
      <c r="EI422" s="290"/>
      <c r="EJ422" s="290"/>
      <c r="EK422" s="290"/>
      <c r="EL422" s="290"/>
      <c r="EM422" s="290"/>
      <c r="EN422" s="290"/>
      <c r="EO422" s="290"/>
      <c r="EP422" s="290"/>
      <c r="EQ422" s="290"/>
      <c r="ER422" s="290"/>
      <c r="ES422" s="290"/>
      <c r="ET422" s="290"/>
      <c r="EU422" s="290"/>
      <c r="JW422"/>
    </row>
    <row r="423" spans="1:283">
      <c r="A423" s="102" t="s">
        <v>657</v>
      </c>
      <c r="AP423" s="1219"/>
      <c r="AR423" s="730"/>
      <c r="AS423" s="730"/>
      <c r="AT423" s="1219">
        <v>0</v>
      </c>
      <c r="AV423" s="730">
        <v>0</v>
      </c>
      <c r="AW423" s="730">
        <v>0</v>
      </c>
      <c r="AX423" s="293">
        <f t="shared" ref="AX423:AX436" si="1264">AV423+AW423</f>
        <v>0</v>
      </c>
      <c r="AZ423" s="730">
        <v>0</v>
      </c>
      <c r="BA423" s="730">
        <v>0</v>
      </c>
      <c r="BB423" s="293">
        <f t="shared" ref="BB423:BB436" si="1265">AZ423+BA423</f>
        <v>0</v>
      </c>
      <c r="BD423" s="626">
        <v>-2</v>
      </c>
      <c r="BE423" s="927">
        <v>9</v>
      </c>
      <c r="BF423" s="293">
        <f t="shared" ref="BF423:BF436" si="1266">BD423+BE423</f>
        <v>7</v>
      </c>
      <c r="BH423" s="626">
        <v>10</v>
      </c>
      <c r="BI423" s="927">
        <v>8</v>
      </c>
      <c r="BJ423" s="293">
        <f t="shared" ref="BJ423:BJ436" si="1267">BH423+BI423</f>
        <v>18</v>
      </c>
      <c r="BL423" s="626">
        <v>23</v>
      </c>
      <c r="BM423" s="927">
        <v>19</v>
      </c>
      <c r="BN423" s="293">
        <f t="shared" ref="BN423:BN436" si="1268">BL423+BM423</f>
        <v>42</v>
      </c>
      <c r="BP423" s="626">
        <v>34</v>
      </c>
      <c r="BQ423" s="927">
        <v>17</v>
      </c>
      <c r="BR423" s="293">
        <f t="shared" ref="BR423:BR436" si="1269">BP423+BQ423</f>
        <v>51</v>
      </c>
      <c r="BT423" s="626">
        <v>129</v>
      </c>
      <c r="BU423" s="927">
        <v>37</v>
      </c>
      <c r="BV423" s="293">
        <f t="shared" ref="BV423:BV436" si="1270">BT423+BU423</f>
        <v>166</v>
      </c>
      <c r="BX423" s="626">
        <v>203</v>
      </c>
      <c r="BY423" s="626">
        <v>163</v>
      </c>
      <c r="BZ423" s="293">
        <f t="shared" ref="BZ423:BZ436" si="1271">BX423+BY423</f>
        <v>366</v>
      </c>
      <c r="CA423" s="817">
        <f>+BZ423/BV423-1</f>
        <v>1.2048192771084336</v>
      </c>
      <c r="CB423" s="626">
        <v>229</v>
      </c>
      <c r="CC423" s="626">
        <v>77</v>
      </c>
      <c r="CD423" s="293">
        <f t="shared" ref="CD423:CD436" si="1272">CB423+CC423</f>
        <v>306</v>
      </c>
      <c r="CE423" s="817">
        <f>+CD423/BZ423-1</f>
        <v>-0.16393442622950816</v>
      </c>
      <c r="CF423" s="626">
        <v>33</v>
      </c>
      <c r="CG423" s="626">
        <v>45</v>
      </c>
      <c r="CH423" s="293">
        <f t="shared" ref="CH423:CH436" si="1273">CF423+CG423</f>
        <v>78</v>
      </c>
      <c r="CI423" s="817">
        <f>+CH423/CD423-1</f>
        <v>-0.74509803921568629</v>
      </c>
      <c r="CJ423" s="626">
        <v>52</v>
      </c>
      <c r="CK423" s="626">
        <v>201</v>
      </c>
      <c r="CL423" s="293">
        <f t="shared" ref="CL423:CL436" si="1274">CJ423+CK423</f>
        <v>253</v>
      </c>
      <c r="CN423" s="1388">
        <v>404</v>
      </c>
      <c r="CO423" s="1388">
        <v>240</v>
      </c>
      <c r="CP423" s="1010">
        <f t="shared" ref="CP423:CP436" si="1275">CN423+CO423</f>
        <v>644</v>
      </c>
      <c r="CQ423" s="1009"/>
      <c r="CR423" s="1388">
        <v>62</v>
      </c>
      <c r="CS423" s="1497">
        <v>1498</v>
      </c>
      <c r="CT423" s="293">
        <f t="shared" ref="CT423:CT436" si="1276">CR423+CS423</f>
        <v>1560</v>
      </c>
      <c r="CV423" s="1388">
        <v>877</v>
      </c>
      <c r="CW423" s="1497">
        <v>302</v>
      </c>
      <c r="CX423" s="293">
        <f t="shared" ref="CX423:CX436" si="1277">CV423+CW423</f>
        <v>1179</v>
      </c>
      <c r="CZ423" s="1863">
        <v>49</v>
      </c>
      <c r="DA423" s="1488">
        <v>298</v>
      </c>
      <c r="DB423" s="293">
        <f t="shared" ref="DB423:DB436" si="1278">CZ423+DA423</f>
        <v>347</v>
      </c>
      <c r="DD423" s="2210">
        <v>47</v>
      </c>
      <c r="DE423" s="2207">
        <v>352</v>
      </c>
      <c r="DF423" s="293">
        <f t="shared" ref="DF423:DF436" si="1279">DD423+DE423</f>
        <v>399</v>
      </c>
      <c r="DH423" s="2107">
        <v>7</v>
      </c>
      <c r="DI423" s="851">
        <f>'P&amp;L'!DI496</f>
        <v>550</v>
      </c>
      <c r="DJ423" s="293">
        <f t="shared" ref="DJ423:DJ436" si="1280">DH423+DI423</f>
        <v>557</v>
      </c>
      <c r="DL423" s="851">
        <f>'P&amp;L'!DL496</f>
        <v>190</v>
      </c>
      <c r="DM423" s="851">
        <f>'P&amp;L'!DM496</f>
        <v>190</v>
      </c>
      <c r="DN423" s="293">
        <f t="shared" ref="DN423:DN436" si="1281">DL423+DM423</f>
        <v>380</v>
      </c>
      <c r="DP423" s="851">
        <f>'P&amp;L'!DP496</f>
        <v>175</v>
      </c>
      <c r="DQ423" s="851">
        <f>'P&amp;L'!DQ496</f>
        <v>175</v>
      </c>
      <c r="DR423" s="293">
        <f t="shared" ref="DR423:DR436" si="1282">DP423+DQ423</f>
        <v>350</v>
      </c>
      <c r="DW423" s="1198" t="s">
        <v>174</v>
      </c>
      <c r="DX423" s="818"/>
      <c r="DY423" s="818"/>
      <c r="EA423" s="818"/>
      <c r="EB423" s="818"/>
      <c r="EC423" s="293"/>
      <c r="EE423" s="818"/>
      <c r="EF423" s="818"/>
      <c r="EG423" s="293"/>
      <c r="EI423" s="818"/>
      <c r="EJ423" s="818"/>
      <c r="EK423" s="293"/>
    </row>
    <row r="424" spans="1:283">
      <c r="A424" s="102" t="s">
        <v>674</v>
      </c>
      <c r="AP424" s="1219"/>
      <c r="AR424" s="730"/>
      <c r="AS424" s="730"/>
      <c r="AT424" s="1219">
        <v>0</v>
      </c>
      <c r="AV424" s="730">
        <v>0</v>
      </c>
      <c r="AW424" s="730">
        <v>0</v>
      </c>
      <c r="AX424" s="293">
        <f t="shared" si="1264"/>
        <v>0</v>
      </c>
      <c r="AZ424" s="730">
        <v>0</v>
      </c>
      <c r="BA424" s="730">
        <v>0</v>
      </c>
      <c r="BB424" s="293">
        <f t="shared" si="1265"/>
        <v>0</v>
      </c>
      <c r="BD424" s="626">
        <v>0</v>
      </c>
      <c r="BE424" s="730">
        <v>0</v>
      </c>
      <c r="BF424" s="293">
        <f t="shared" si="1266"/>
        <v>0</v>
      </c>
      <c r="BH424" s="626">
        <v>0</v>
      </c>
      <c r="BI424" s="626">
        <v>0</v>
      </c>
      <c r="BJ424" s="293">
        <f t="shared" si="1267"/>
        <v>0</v>
      </c>
      <c r="BL424" s="626">
        <v>0</v>
      </c>
      <c r="BM424" s="626">
        <v>0</v>
      </c>
      <c r="BN424" s="293">
        <f t="shared" si="1268"/>
        <v>0</v>
      </c>
      <c r="BP424" s="626">
        <v>0</v>
      </c>
      <c r="BQ424" s="626">
        <v>0</v>
      </c>
      <c r="BR424" s="293">
        <f t="shared" si="1269"/>
        <v>0</v>
      </c>
      <c r="BT424" s="626">
        <v>0</v>
      </c>
      <c r="BU424" s="626">
        <v>0</v>
      </c>
      <c r="BV424" s="293">
        <f t="shared" si="1270"/>
        <v>0</v>
      </c>
      <c r="BX424" s="626">
        <v>0</v>
      </c>
      <c r="BY424" s="626">
        <v>0</v>
      </c>
      <c r="BZ424" s="293">
        <f t="shared" si="1271"/>
        <v>0</v>
      </c>
      <c r="CB424" s="626">
        <v>0</v>
      </c>
      <c r="CC424" s="626">
        <v>0</v>
      </c>
      <c r="CD424" s="293">
        <f t="shared" si="1272"/>
        <v>0</v>
      </c>
      <c r="CF424" s="626">
        <v>0</v>
      </c>
      <c r="CG424" s="626">
        <v>0</v>
      </c>
      <c r="CH424" s="293">
        <f t="shared" si="1273"/>
        <v>0</v>
      </c>
      <c r="CJ424" s="626">
        <v>0</v>
      </c>
      <c r="CK424" s="626">
        <v>0</v>
      </c>
      <c r="CL424" s="293">
        <f t="shared" si="1274"/>
        <v>0</v>
      </c>
      <c r="CN424" s="1388">
        <v>0</v>
      </c>
      <c r="CO424" s="1388">
        <v>0</v>
      </c>
      <c r="CP424" s="1010">
        <f t="shared" si="1275"/>
        <v>0</v>
      </c>
      <c r="CQ424" s="1009"/>
      <c r="CR424" s="1388">
        <v>0</v>
      </c>
      <c r="CS424" s="1497">
        <v>0</v>
      </c>
      <c r="CT424" s="293">
        <f t="shared" si="1276"/>
        <v>0</v>
      </c>
      <c r="CV424" s="1388">
        <v>0</v>
      </c>
      <c r="CW424" s="1497">
        <v>0</v>
      </c>
      <c r="CX424" s="293">
        <f t="shared" si="1277"/>
        <v>0</v>
      </c>
      <c r="CZ424" s="1863">
        <v>0</v>
      </c>
      <c r="DA424" s="1488">
        <v>0</v>
      </c>
      <c r="DB424" s="293">
        <f t="shared" si="1278"/>
        <v>0</v>
      </c>
      <c r="DD424" s="2107">
        <v>0</v>
      </c>
      <c r="DE424" s="1497">
        <v>0</v>
      </c>
      <c r="DF424" s="293">
        <f t="shared" si="1279"/>
        <v>0</v>
      </c>
      <c r="DH424" s="2107">
        <v>0</v>
      </c>
      <c r="DI424" s="851">
        <f>'P&amp;L'!DI507</f>
        <v>0</v>
      </c>
      <c r="DJ424" s="293">
        <f t="shared" si="1280"/>
        <v>0</v>
      </c>
      <c r="DL424" s="851">
        <f>'P&amp;L'!DL507</f>
        <v>0</v>
      </c>
      <c r="DM424" s="851">
        <f>'P&amp;L'!DM507</f>
        <v>0</v>
      </c>
      <c r="DN424" s="293">
        <f t="shared" si="1281"/>
        <v>0</v>
      </c>
      <c r="DP424" s="851">
        <f>'P&amp;L'!DP507</f>
        <v>0</v>
      </c>
      <c r="DQ424" s="851">
        <f>'P&amp;L'!DQ507</f>
        <v>0</v>
      </c>
      <c r="DR424" s="293">
        <f t="shared" si="1282"/>
        <v>0</v>
      </c>
      <c r="DW424" s="1198" t="s">
        <v>174</v>
      </c>
      <c r="DX424" s="818"/>
      <c r="DY424" s="818"/>
      <c r="EA424" s="818"/>
      <c r="EB424" s="818"/>
      <c r="EC424" s="293"/>
      <c r="EE424" s="818"/>
      <c r="EF424" s="818"/>
      <c r="EG424" s="293"/>
      <c r="EI424" s="818"/>
      <c r="EJ424" s="818"/>
      <c r="EK424" s="293"/>
    </row>
    <row r="425" spans="1:283">
      <c r="A425" s="102" t="s">
        <v>659</v>
      </c>
      <c r="AP425" s="1219"/>
      <c r="AR425" s="730"/>
      <c r="AS425" s="730"/>
      <c r="AT425" s="1219">
        <v>-5</v>
      </c>
      <c r="AV425" s="730">
        <v>-7</v>
      </c>
      <c r="AW425" s="730">
        <v>41</v>
      </c>
      <c r="AX425" s="293">
        <f t="shared" si="1264"/>
        <v>34</v>
      </c>
      <c r="AZ425" s="730">
        <v>4</v>
      </c>
      <c r="BA425" s="730">
        <v>-27</v>
      </c>
      <c r="BB425" s="293">
        <f t="shared" si="1265"/>
        <v>-23</v>
      </c>
      <c r="BD425" s="626">
        <v>7</v>
      </c>
      <c r="BE425" s="626">
        <v>-35</v>
      </c>
      <c r="BF425" s="293">
        <f t="shared" si="1266"/>
        <v>-28</v>
      </c>
      <c r="BH425" s="626">
        <v>-22</v>
      </c>
      <c r="BI425" s="626">
        <v>-2</v>
      </c>
      <c r="BJ425" s="293">
        <f t="shared" si="1267"/>
        <v>-24</v>
      </c>
      <c r="BL425" s="626">
        <v>1</v>
      </c>
      <c r="BM425" s="626">
        <v>-2</v>
      </c>
      <c r="BN425" s="293">
        <f t="shared" si="1268"/>
        <v>-1</v>
      </c>
      <c r="BP425" s="626">
        <v>0</v>
      </c>
      <c r="BQ425" s="626">
        <v>0</v>
      </c>
      <c r="BR425" s="293">
        <f t="shared" si="1269"/>
        <v>0</v>
      </c>
      <c r="BT425" s="626">
        <v>0</v>
      </c>
      <c r="BU425" s="626">
        <v>0</v>
      </c>
      <c r="BV425" s="293">
        <f t="shared" si="1270"/>
        <v>0</v>
      </c>
      <c r="BX425" s="626">
        <v>0</v>
      </c>
      <c r="BY425" s="626">
        <v>0</v>
      </c>
      <c r="BZ425" s="293">
        <f t="shared" si="1271"/>
        <v>0</v>
      </c>
      <c r="CB425" s="626">
        <v>0</v>
      </c>
      <c r="CC425" s="626">
        <v>0</v>
      </c>
      <c r="CD425" s="293">
        <f t="shared" si="1272"/>
        <v>0</v>
      </c>
      <c r="CF425" s="626">
        <v>0</v>
      </c>
      <c r="CG425" s="626">
        <v>0</v>
      </c>
      <c r="CH425" s="293">
        <f t="shared" si="1273"/>
        <v>0</v>
      </c>
      <c r="CJ425" s="626">
        <v>0</v>
      </c>
      <c r="CK425" s="626">
        <v>0</v>
      </c>
      <c r="CL425" s="293">
        <f t="shared" si="1274"/>
        <v>0</v>
      </c>
      <c r="CN425" s="1388">
        <v>0</v>
      </c>
      <c r="CO425" s="1388">
        <v>0</v>
      </c>
      <c r="CP425" s="1010">
        <f t="shared" si="1275"/>
        <v>0</v>
      </c>
      <c r="CQ425" s="1009"/>
      <c r="CR425" s="1388">
        <v>0</v>
      </c>
      <c r="CS425" s="1497">
        <v>0</v>
      </c>
      <c r="CT425" s="293">
        <f t="shared" si="1276"/>
        <v>0</v>
      </c>
      <c r="CV425" s="1388">
        <v>0</v>
      </c>
      <c r="CW425" s="1497">
        <v>0</v>
      </c>
      <c r="CX425" s="293">
        <f t="shared" si="1277"/>
        <v>0</v>
      </c>
      <c r="CZ425" s="1863">
        <v>0</v>
      </c>
      <c r="DA425" s="1488">
        <v>0</v>
      </c>
      <c r="DB425" s="293">
        <f t="shared" si="1278"/>
        <v>0</v>
      </c>
      <c r="DD425" s="2107">
        <v>0</v>
      </c>
      <c r="DE425" s="1497">
        <v>0</v>
      </c>
      <c r="DF425" s="293">
        <f t="shared" si="1279"/>
        <v>0</v>
      </c>
      <c r="DH425" s="2107">
        <v>0</v>
      </c>
      <c r="DI425" s="851">
        <f>'P&amp;L'!DI518</f>
        <v>0</v>
      </c>
      <c r="DJ425" s="293">
        <f t="shared" si="1280"/>
        <v>0</v>
      </c>
      <c r="DL425" s="851">
        <f>'P&amp;L'!DL518</f>
        <v>0</v>
      </c>
      <c r="DM425" s="851">
        <f>'P&amp;L'!DM518</f>
        <v>0</v>
      </c>
      <c r="DN425" s="293">
        <f t="shared" si="1281"/>
        <v>0</v>
      </c>
      <c r="DP425" s="851">
        <f>'P&amp;L'!DP518</f>
        <v>0</v>
      </c>
      <c r="DQ425" s="851">
        <f>'P&amp;L'!DQ518</f>
        <v>0</v>
      </c>
      <c r="DR425" s="293">
        <f t="shared" si="1282"/>
        <v>0</v>
      </c>
      <c r="DW425" s="1198" t="s">
        <v>174</v>
      </c>
      <c r="DX425" s="818"/>
      <c r="DY425" s="818"/>
      <c r="EA425" s="818"/>
      <c r="EB425" s="818"/>
      <c r="EC425" s="293"/>
      <c r="EE425" s="818"/>
      <c r="EF425" s="818"/>
      <c r="EG425" s="293"/>
      <c r="EI425" s="818"/>
      <c r="EJ425" s="818"/>
      <c r="EK425" s="293"/>
    </row>
    <row r="426" spans="1:283">
      <c r="A426" s="102" t="s">
        <v>660</v>
      </c>
      <c r="AP426" s="1219"/>
      <c r="AR426" s="730"/>
      <c r="AS426" s="730"/>
      <c r="AT426" s="1219">
        <v>0</v>
      </c>
      <c r="AV426" s="730">
        <v>0</v>
      </c>
      <c r="AW426" s="730">
        <v>-6</v>
      </c>
      <c r="AX426" s="293">
        <f t="shared" si="1264"/>
        <v>-6</v>
      </c>
      <c r="AZ426" s="730">
        <v>0</v>
      </c>
      <c r="BA426" s="730">
        <v>0</v>
      </c>
      <c r="BB426" s="293">
        <f t="shared" si="1265"/>
        <v>0</v>
      </c>
      <c r="BD426" s="626">
        <v>0</v>
      </c>
      <c r="BE426" s="730">
        <v>0</v>
      </c>
      <c r="BF426" s="293">
        <f t="shared" si="1266"/>
        <v>0</v>
      </c>
      <c r="BH426" s="626">
        <v>0</v>
      </c>
      <c r="BI426" s="626">
        <v>0</v>
      </c>
      <c r="BJ426" s="293">
        <f t="shared" si="1267"/>
        <v>0</v>
      </c>
      <c r="BL426" s="626">
        <v>0</v>
      </c>
      <c r="BM426" s="626">
        <v>0</v>
      </c>
      <c r="BN426" s="293">
        <f t="shared" si="1268"/>
        <v>0</v>
      </c>
      <c r="BP426" s="626">
        <v>0</v>
      </c>
      <c r="BQ426" s="626">
        <v>0</v>
      </c>
      <c r="BR426" s="293">
        <f t="shared" si="1269"/>
        <v>0</v>
      </c>
      <c r="BT426" s="626">
        <v>0</v>
      </c>
      <c r="BU426" s="626">
        <v>0</v>
      </c>
      <c r="BV426" s="293">
        <f t="shared" si="1270"/>
        <v>0</v>
      </c>
      <c r="BX426" s="626">
        <v>0</v>
      </c>
      <c r="BY426" s="626">
        <v>0</v>
      </c>
      <c r="BZ426" s="293">
        <f t="shared" si="1271"/>
        <v>0</v>
      </c>
      <c r="CB426" s="626">
        <v>0</v>
      </c>
      <c r="CC426" s="626">
        <v>0</v>
      </c>
      <c r="CD426" s="293">
        <f t="shared" si="1272"/>
        <v>0</v>
      </c>
      <c r="CF426" s="626">
        <v>0</v>
      </c>
      <c r="CG426" s="626">
        <v>0</v>
      </c>
      <c r="CH426" s="293">
        <f t="shared" si="1273"/>
        <v>0</v>
      </c>
      <c r="CJ426" s="626">
        <v>0</v>
      </c>
      <c r="CK426" s="626">
        <v>0</v>
      </c>
      <c r="CL426" s="293">
        <f t="shared" si="1274"/>
        <v>0</v>
      </c>
      <c r="CN426" s="1388">
        <v>0</v>
      </c>
      <c r="CO426" s="1388">
        <v>0</v>
      </c>
      <c r="CP426" s="1010">
        <f t="shared" si="1275"/>
        <v>0</v>
      </c>
      <c r="CQ426" s="1009"/>
      <c r="CR426" s="1388">
        <v>0</v>
      </c>
      <c r="CS426" s="1497">
        <v>0</v>
      </c>
      <c r="CT426" s="293">
        <f t="shared" si="1276"/>
        <v>0</v>
      </c>
      <c r="CV426" s="1388">
        <v>0</v>
      </c>
      <c r="CW426" s="1497">
        <v>0</v>
      </c>
      <c r="CX426" s="293">
        <f t="shared" si="1277"/>
        <v>0</v>
      </c>
      <c r="CZ426" s="1863">
        <v>0</v>
      </c>
      <c r="DA426" s="1488">
        <v>0</v>
      </c>
      <c r="DB426" s="293">
        <f t="shared" si="1278"/>
        <v>0</v>
      </c>
      <c r="DD426" s="2107">
        <v>0</v>
      </c>
      <c r="DE426" s="1497">
        <v>0</v>
      </c>
      <c r="DF426" s="293">
        <f t="shared" si="1279"/>
        <v>0</v>
      </c>
      <c r="DH426" s="2107">
        <v>0</v>
      </c>
      <c r="DI426" s="851">
        <f>'P&amp;L'!DI529</f>
        <v>0</v>
      </c>
      <c r="DJ426" s="293">
        <f t="shared" si="1280"/>
        <v>0</v>
      </c>
      <c r="DL426" s="851">
        <f>'P&amp;L'!DL529</f>
        <v>0</v>
      </c>
      <c r="DM426" s="851">
        <f>'P&amp;L'!DM529</f>
        <v>0</v>
      </c>
      <c r="DN426" s="293">
        <f t="shared" si="1281"/>
        <v>0</v>
      </c>
      <c r="DP426" s="851">
        <f>'P&amp;L'!DP529</f>
        <v>0</v>
      </c>
      <c r="DQ426" s="851">
        <f>'P&amp;L'!DQ529</f>
        <v>0</v>
      </c>
      <c r="DR426" s="293">
        <f t="shared" si="1282"/>
        <v>0</v>
      </c>
      <c r="DW426" s="1198" t="s">
        <v>174</v>
      </c>
      <c r="DX426" s="818"/>
      <c r="DY426" s="818"/>
      <c r="EA426" s="818"/>
      <c r="EB426" s="818"/>
      <c r="EC426" s="293"/>
      <c r="EE426" s="818"/>
      <c r="EF426" s="818"/>
      <c r="EG426" s="293"/>
      <c r="EI426" s="818"/>
      <c r="EJ426" s="818"/>
      <c r="EK426" s="293"/>
    </row>
    <row r="427" spans="1:283">
      <c r="A427" s="102" t="s">
        <v>661</v>
      </c>
      <c r="AP427" s="1219"/>
      <c r="AR427" s="730"/>
      <c r="AS427" s="730"/>
      <c r="AT427" s="1219">
        <v>0</v>
      </c>
      <c r="AV427" s="730">
        <v>139</v>
      </c>
      <c r="AW427" s="730">
        <v>99</v>
      </c>
      <c r="AX427" s="293">
        <f t="shared" si="1264"/>
        <v>238</v>
      </c>
      <c r="AZ427" s="730">
        <v>0</v>
      </c>
      <c r="BA427" s="730">
        <v>0</v>
      </c>
      <c r="BB427" s="293">
        <f t="shared" si="1265"/>
        <v>0</v>
      </c>
      <c r="BD427" s="626">
        <v>0</v>
      </c>
      <c r="BE427" s="730">
        <v>0</v>
      </c>
      <c r="BF427" s="293">
        <f t="shared" si="1266"/>
        <v>0</v>
      </c>
      <c r="BH427" s="626">
        <v>0</v>
      </c>
      <c r="BI427" s="626">
        <v>0</v>
      </c>
      <c r="BJ427" s="293">
        <f t="shared" si="1267"/>
        <v>0</v>
      </c>
      <c r="BL427" s="626">
        <v>0</v>
      </c>
      <c r="BM427" s="626">
        <v>0</v>
      </c>
      <c r="BN427" s="293">
        <f t="shared" si="1268"/>
        <v>0</v>
      </c>
      <c r="BP427" s="626">
        <v>0</v>
      </c>
      <c r="BQ427" s="626">
        <v>0</v>
      </c>
      <c r="BR427" s="293">
        <f t="shared" si="1269"/>
        <v>0</v>
      </c>
      <c r="BT427" s="626">
        <v>0</v>
      </c>
      <c r="BU427" s="626">
        <v>0</v>
      </c>
      <c r="BV427" s="293">
        <f t="shared" si="1270"/>
        <v>0</v>
      </c>
      <c r="BX427" s="626">
        <v>0</v>
      </c>
      <c r="BY427" s="626">
        <v>0</v>
      </c>
      <c r="BZ427" s="293">
        <f t="shared" si="1271"/>
        <v>0</v>
      </c>
      <c r="CB427" s="626">
        <v>0</v>
      </c>
      <c r="CC427" s="626">
        <v>0</v>
      </c>
      <c r="CD427" s="293">
        <f t="shared" si="1272"/>
        <v>0</v>
      </c>
      <c r="CF427" s="626">
        <v>0</v>
      </c>
      <c r="CG427" s="626">
        <v>0</v>
      </c>
      <c r="CH427" s="293">
        <f t="shared" si="1273"/>
        <v>0</v>
      </c>
      <c r="CJ427" s="626">
        <v>0</v>
      </c>
      <c r="CK427" s="626">
        <v>0</v>
      </c>
      <c r="CL427" s="293">
        <f t="shared" si="1274"/>
        <v>0</v>
      </c>
      <c r="CN427" s="1388">
        <v>0</v>
      </c>
      <c r="CO427" s="1388">
        <v>0</v>
      </c>
      <c r="CP427" s="1010">
        <f t="shared" si="1275"/>
        <v>0</v>
      </c>
      <c r="CQ427" s="1009"/>
      <c r="CR427" s="1388">
        <v>0</v>
      </c>
      <c r="CS427" s="1497">
        <v>0</v>
      </c>
      <c r="CT427" s="293">
        <f t="shared" si="1276"/>
        <v>0</v>
      </c>
      <c r="CV427" s="1388">
        <v>0</v>
      </c>
      <c r="CW427" s="1497">
        <v>0</v>
      </c>
      <c r="CX427" s="293">
        <f t="shared" si="1277"/>
        <v>0</v>
      </c>
      <c r="CZ427" s="1863">
        <v>0</v>
      </c>
      <c r="DA427" s="1488">
        <v>0</v>
      </c>
      <c r="DB427" s="293">
        <f t="shared" si="1278"/>
        <v>0</v>
      </c>
      <c r="DD427" s="2107">
        <v>0</v>
      </c>
      <c r="DE427" s="1497">
        <v>0</v>
      </c>
      <c r="DF427" s="293">
        <f t="shared" si="1279"/>
        <v>0</v>
      </c>
      <c r="DH427" s="2107">
        <v>0</v>
      </c>
      <c r="DI427" s="851">
        <f>'P&amp;L'!DI540</f>
        <v>0</v>
      </c>
      <c r="DJ427" s="293">
        <f t="shared" si="1280"/>
        <v>0</v>
      </c>
      <c r="DL427" s="851">
        <f>'P&amp;L'!DL540</f>
        <v>0</v>
      </c>
      <c r="DM427" s="851">
        <f>'P&amp;L'!DM540</f>
        <v>0</v>
      </c>
      <c r="DN427" s="293">
        <f t="shared" si="1281"/>
        <v>0</v>
      </c>
      <c r="DP427" s="851">
        <f>'P&amp;L'!DP540</f>
        <v>0</v>
      </c>
      <c r="DQ427" s="851">
        <f>'P&amp;L'!DQ540</f>
        <v>0</v>
      </c>
      <c r="DR427" s="293">
        <f t="shared" si="1282"/>
        <v>0</v>
      </c>
      <c r="DW427" s="1198" t="s">
        <v>174</v>
      </c>
      <c r="DX427" s="818"/>
      <c r="DY427" s="818"/>
      <c r="EA427" s="818"/>
      <c r="EB427" s="818"/>
      <c r="EC427" s="293"/>
      <c r="EE427" s="818"/>
      <c r="EF427" s="818"/>
      <c r="EG427" s="293"/>
      <c r="EI427" s="818"/>
      <c r="EJ427" s="818"/>
      <c r="EK427" s="293"/>
    </row>
    <row r="428" spans="1:283" s="289" customFormat="1">
      <c r="A428" s="289" t="s">
        <v>662</v>
      </c>
      <c r="AN428" s="290"/>
      <c r="AO428" s="290"/>
      <c r="AP428" s="1231"/>
      <c r="AQ428" s="290"/>
      <c r="AR428" s="674"/>
      <c r="AS428" s="674"/>
      <c r="AT428" s="1231">
        <v>0</v>
      </c>
      <c r="AU428" s="290"/>
      <c r="AV428" s="674">
        <v>0</v>
      </c>
      <c r="AW428" s="674">
        <v>0</v>
      </c>
      <c r="AX428" s="295">
        <f t="shared" si="1264"/>
        <v>0</v>
      </c>
      <c r="AY428" s="290"/>
      <c r="AZ428" s="674">
        <v>0</v>
      </c>
      <c r="BA428" s="674">
        <v>0</v>
      </c>
      <c r="BB428" s="295">
        <f t="shared" si="1265"/>
        <v>0</v>
      </c>
      <c r="BC428" s="290"/>
      <c r="BD428" s="655">
        <v>0</v>
      </c>
      <c r="BE428" s="674">
        <v>0</v>
      </c>
      <c r="BF428" s="295">
        <f t="shared" si="1266"/>
        <v>0</v>
      </c>
      <c r="BG428" s="290"/>
      <c r="BH428" s="655">
        <v>0</v>
      </c>
      <c r="BI428" s="655">
        <v>0</v>
      </c>
      <c r="BJ428" s="295">
        <f t="shared" si="1267"/>
        <v>0</v>
      </c>
      <c r="BK428" s="290"/>
      <c r="BL428" s="655">
        <v>0</v>
      </c>
      <c r="BM428" s="655">
        <v>0</v>
      </c>
      <c r="BN428" s="295">
        <f t="shared" si="1268"/>
        <v>0</v>
      </c>
      <c r="BO428" s="290"/>
      <c r="BP428" s="655">
        <v>0</v>
      </c>
      <c r="BQ428" s="655">
        <v>0</v>
      </c>
      <c r="BR428" s="295">
        <f t="shared" si="1269"/>
        <v>0</v>
      </c>
      <c r="BS428" s="290"/>
      <c r="BT428" s="655">
        <v>6</v>
      </c>
      <c r="BU428" s="655">
        <v>6</v>
      </c>
      <c r="BV428" s="295">
        <f t="shared" si="1270"/>
        <v>12</v>
      </c>
      <c r="BW428" s="290"/>
      <c r="BX428" s="655">
        <v>6</v>
      </c>
      <c r="BY428" s="655">
        <f>14-BX428</f>
        <v>8</v>
      </c>
      <c r="BZ428" s="295">
        <f t="shared" si="1271"/>
        <v>14</v>
      </c>
      <c r="CA428" s="290"/>
      <c r="CB428" s="655">
        <v>2</v>
      </c>
      <c r="CC428" s="655">
        <v>-2</v>
      </c>
      <c r="CD428" s="295">
        <f t="shared" si="1272"/>
        <v>0</v>
      </c>
      <c r="CE428" s="290"/>
      <c r="CF428" s="655">
        <v>327</v>
      </c>
      <c r="CG428" s="655">
        <v>335</v>
      </c>
      <c r="CH428" s="295">
        <f t="shared" si="1273"/>
        <v>662</v>
      </c>
      <c r="CI428" s="290"/>
      <c r="CJ428" s="655">
        <v>303</v>
      </c>
      <c r="CK428" s="655">
        <v>77</v>
      </c>
      <c r="CL428" s="295">
        <f t="shared" si="1274"/>
        <v>380</v>
      </c>
      <c r="CM428" s="290"/>
      <c r="CN428" s="1389">
        <v>46</v>
      </c>
      <c r="CO428" s="1389">
        <v>33</v>
      </c>
      <c r="CP428" s="1412">
        <f t="shared" si="1275"/>
        <v>79</v>
      </c>
      <c r="CQ428" s="1424"/>
      <c r="CR428" s="1389">
        <v>32</v>
      </c>
      <c r="CS428" s="1505">
        <v>31</v>
      </c>
      <c r="CT428" s="295">
        <f t="shared" si="1276"/>
        <v>63</v>
      </c>
      <c r="CU428" s="290"/>
      <c r="CV428" s="1389">
        <v>0</v>
      </c>
      <c r="CW428" s="1505">
        <v>0</v>
      </c>
      <c r="CX428" s="295">
        <f t="shared" si="1277"/>
        <v>0</v>
      </c>
      <c r="CY428" s="290"/>
      <c r="CZ428" s="1872">
        <v>0</v>
      </c>
      <c r="DA428" s="1489">
        <v>0</v>
      </c>
      <c r="DB428" s="295">
        <f t="shared" si="1278"/>
        <v>0</v>
      </c>
      <c r="DC428" s="290"/>
      <c r="DD428" s="2115">
        <v>0</v>
      </c>
      <c r="DE428" s="1505">
        <v>0</v>
      </c>
      <c r="DF428" s="295">
        <f t="shared" si="1279"/>
        <v>0</v>
      </c>
      <c r="DG428" s="290"/>
      <c r="DH428" s="2115">
        <v>0</v>
      </c>
      <c r="DI428" s="967">
        <f>'P&amp;L'!DI551</f>
        <v>0</v>
      </c>
      <c r="DJ428" s="295">
        <f t="shared" si="1280"/>
        <v>0</v>
      </c>
      <c r="DK428" s="290"/>
      <c r="DL428" s="967">
        <f>'P&amp;L'!DL551</f>
        <v>0</v>
      </c>
      <c r="DM428" s="967">
        <f>'P&amp;L'!DM551</f>
        <v>0</v>
      </c>
      <c r="DN428" s="295">
        <f t="shared" si="1281"/>
        <v>0</v>
      </c>
      <c r="DO428" s="290"/>
      <c r="DP428" s="967">
        <f>'P&amp;L'!DP551</f>
        <v>0</v>
      </c>
      <c r="DQ428" s="967">
        <f>'P&amp;L'!DQ551</f>
        <v>0</v>
      </c>
      <c r="DR428" s="295">
        <f t="shared" si="1282"/>
        <v>0</v>
      </c>
      <c r="DS428" s="290"/>
      <c r="DT428" s="290"/>
      <c r="DU428" s="290"/>
      <c r="DV428" s="290"/>
      <c r="DW428" s="1232" t="s">
        <v>174</v>
      </c>
      <c r="DX428" s="853"/>
      <c r="DY428" s="853"/>
      <c r="DZ428" s="290"/>
      <c r="EA428" s="853"/>
      <c r="EB428" s="853"/>
      <c r="EC428" s="295"/>
      <c r="ED428" s="290"/>
      <c r="EE428" s="853"/>
      <c r="EF428" s="853"/>
      <c r="EG428" s="295"/>
      <c r="EH428" s="290"/>
      <c r="EI428" s="853"/>
      <c r="EJ428" s="853"/>
      <c r="EK428" s="295"/>
      <c r="EL428" s="290"/>
      <c r="EM428" s="290"/>
      <c r="EN428" s="290"/>
      <c r="EO428" s="290"/>
      <c r="EP428" s="290"/>
      <c r="EQ428" s="290"/>
      <c r="ER428" s="290"/>
      <c r="ES428" s="290"/>
      <c r="ET428" s="290"/>
      <c r="EU428" s="290"/>
      <c r="JW428"/>
    </row>
    <row r="429" spans="1:283">
      <c r="A429" s="102" t="s">
        <v>658</v>
      </c>
      <c r="AP429" s="1219"/>
      <c r="AR429" s="730"/>
      <c r="AS429" s="730"/>
      <c r="AT429" s="1219">
        <v>0</v>
      </c>
      <c r="AV429" s="730">
        <v>0</v>
      </c>
      <c r="AW429" s="730">
        <v>0</v>
      </c>
      <c r="AX429" s="293">
        <f t="shared" si="1264"/>
        <v>0</v>
      </c>
      <c r="AZ429" s="730">
        <f>95-95</f>
        <v>0</v>
      </c>
      <c r="BA429" s="730">
        <v>0</v>
      </c>
      <c r="BB429" s="293">
        <f t="shared" si="1265"/>
        <v>0</v>
      </c>
      <c r="BD429" s="626">
        <v>0</v>
      </c>
      <c r="BE429" s="927">
        <v>29</v>
      </c>
      <c r="BF429" s="293">
        <f t="shared" si="1266"/>
        <v>29</v>
      </c>
      <c r="BH429" s="626">
        <v>0</v>
      </c>
      <c r="BI429" s="927">
        <v>0</v>
      </c>
      <c r="BJ429" s="293">
        <f t="shared" si="1267"/>
        <v>0</v>
      </c>
      <c r="BL429" s="626">
        <v>0</v>
      </c>
      <c r="BM429" s="626">
        <v>0</v>
      </c>
      <c r="BN429" s="293">
        <f t="shared" si="1268"/>
        <v>0</v>
      </c>
      <c r="BP429" s="626">
        <v>0</v>
      </c>
      <c r="BQ429" s="626">
        <v>0</v>
      </c>
      <c r="BR429" s="293">
        <f t="shared" si="1269"/>
        <v>0</v>
      </c>
      <c r="BT429" s="626">
        <v>0</v>
      </c>
      <c r="BU429" s="626">
        <v>0</v>
      </c>
      <c r="BV429" s="293">
        <f t="shared" si="1270"/>
        <v>0</v>
      </c>
      <c r="BX429" s="626">
        <v>0</v>
      </c>
      <c r="BY429" s="626">
        <v>0</v>
      </c>
      <c r="BZ429" s="293">
        <f t="shared" si="1271"/>
        <v>0</v>
      </c>
      <c r="CB429" s="626">
        <v>0</v>
      </c>
      <c r="CC429" s="626">
        <v>0</v>
      </c>
      <c r="CD429" s="293">
        <f t="shared" si="1272"/>
        <v>0</v>
      </c>
      <c r="CF429" s="626">
        <v>0</v>
      </c>
      <c r="CG429" s="626">
        <v>0</v>
      </c>
      <c r="CH429" s="293">
        <f t="shared" si="1273"/>
        <v>0</v>
      </c>
      <c r="CJ429" s="626">
        <v>0</v>
      </c>
      <c r="CK429" s="626">
        <v>0</v>
      </c>
      <c r="CL429" s="293">
        <f t="shared" si="1274"/>
        <v>0</v>
      </c>
      <c r="CN429" s="1388">
        <v>0</v>
      </c>
      <c r="CO429" s="1388">
        <v>0</v>
      </c>
      <c r="CP429" s="1010">
        <f t="shared" si="1275"/>
        <v>0</v>
      </c>
      <c r="CQ429" s="1009"/>
      <c r="CR429" s="1388">
        <v>0</v>
      </c>
      <c r="CS429" s="1497">
        <v>0</v>
      </c>
      <c r="CT429" s="293">
        <f t="shared" si="1276"/>
        <v>0</v>
      </c>
      <c r="CV429" s="1388">
        <v>0</v>
      </c>
      <c r="CW429" s="1497">
        <v>0</v>
      </c>
      <c r="CX429" s="293">
        <f t="shared" si="1277"/>
        <v>0</v>
      </c>
      <c r="CZ429" s="1863">
        <v>0</v>
      </c>
      <c r="DA429" s="1488">
        <v>0</v>
      </c>
      <c r="DB429" s="293">
        <f t="shared" si="1278"/>
        <v>0</v>
      </c>
      <c r="DD429" s="2107">
        <v>0</v>
      </c>
      <c r="DE429" s="1497">
        <v>0</v>
      </c>
      <c r="DF429" s="293">
        <f t="shared" si="1279"/>
        <v>0</v>
      </c>
      <c r="DH429" s="2107">
        <v>0</v>
      </c>
      <c r="DI429" s="851">
        <f>'P&amp;L'!DI562</f>
        <v>0</v>
      </c>
      <c r="DJ429" s="293">
        <f t="shared" si="1280"/>
        <v>0</v>
      </c>
      <c r="DL429" s="851">
        <f>'P&amp;L'!DL562</f>
        <v>0</v>
      </c>
      <c r="DM429" s="851">
        <f>'P&amp;L'!DM562</f>
        <v>0</v>
      </c>
      <c r="DN429" s="293">
        <f t="shared" si="1281"/>
        <v>0</v>
      </c>
      <c r="DP429" s="851">
        <f>'P&amp;L'!DP562</f>
        <v>0</v>
      </c>
      <c r="DQ429" s="851">
        <f>'P&amp;L'!DQ562</f>
        <v>0</v>
      </c>
      <c r="DR429" s="293">
        <f t="shared" si="1282"/>
        <v>0</v>
      </c>
      <c r="DW429" s="1198" t="s">
        <v>174</v>
      </c>
      <c r="DX429" s="818"/>
      <c r="DY429" s="818"/>
      <c r="EA429" s="818"/>
      <c r="EB429" s="818"/>
      <c r="EC429" s="293"/>
      <c r="EE429" s="818"/>
      <c r="EF429" s="818"/>
      <c r="EG429" s="293"/>
      <c r="EI429" s="818"/>
      <c r="EJ429" s="818"/>
      <c r="EK429" s="293"/>
    </row>
    <row r="430" spans="1:283">
      <c r="A430" s="102" t="s">
        <v>887</v>
      </c>
      <c r="AP430" s="1219"/>
      <c r="AR430" s="730"/>
      <c r="AS430" s="730"/>
      <c r="AT430" s="1219">
        <v>0</v>
      </c>
      <c r="AV430" s="730">
        <v>0</v>
      </c>
      <c r="AW430" s="730">
        <v>0</v>
      </c>
      <c r="AX430" s="293">
        <f t="shared" si="1264"/>
        <v>0</v>
      </c>
      <c r="AZ430" s="730">
        <v>0</v>
      </c>
      <c r="BA430" s="730">
        <v>0</v>
      </c>
      <c r="BB430" s="293">
        <f t="shared" si="1265"/>
        <v>0</v>
      </c>
      <c r="BD430" s="626">
        <v>0</v>
      </c>
      <c r="BE430" s="927">
        <v>0</v>
      </c>
      <c r="BF430" s="293">
        <f t="shared" si="1266"/>
        <v>0</v>
      </c>
      <c r="BH430" s="626">
        <v>0</v>
      </c>
      <c r="BI430" s="626">
        <v>0</v>
      </c>
      <c r="BJ430" s="293">
        <f t="shared" si="1267"/>
        <v>0</v>
      </c>
      <c r="BL430" s="626">
        <v>0</v>
      </c>
      <c r="BM430" s="626">
        <v>0</v>
      </c>
      <c r="BN430" s="293">
        <f t="shared" si="1268"/>
        <v>0</v>
      </c>
      <c r="BP430" s="626">
        <v>0</v>
      </c>
      <c r="BQ430" s="626">
        <v>0</v>
      </c>
      <c r="BR430" s="293">
        <f t="shared" si="1269"/>
        <v>0</v>
      </c>
      <c r="BT430" s="626">
        <v>0</v>
      </c>
      <c r="BU430" s="626">
        <v>0</v>
      </c>
      <c r="BV430" s="293">
        <f t="shared" si="1270"/>
        <v>0</v>
      </c>
      <c r="BX430" s="626">
        <v>0</v>
      </c>
      <c r="BY430" s="626">
        <v>0</v>
      </c>
      <c r="BZ430" s="293">
        <f t="shared" si="1271"/>
        <v>0</v>
      </c>
      <c r="CB430" s="626">
        <v>0</v>
      </c>
      <c r="CC430" s="626">
        <v>0</v>
      </c>
      <c r="CD430" s="293">
        <f t="shared" si="1272"/>
        <v>0</v>
      </c>
      <c r="CF430" s="626">
        <v>0</v>
      </c>
      <c r="CG430" s="626">
        <v>0</v>
      </c>
      <c r="CH430" s="293">
        <f t="shared" si="1273"/>
        <v>0</v>
      </c>
      <c r="CJ430" s="626">
        <v>0</v>
      </c>
      <c r="CK430" s="626">
        <v>0</v>
      </c>
      <c r="CL430" s="293">
        <f t="shared" si="1274"/>
        <v>0</v>
      </c>
      <c r="CN430" s="1388">
        <v>0</v>
      </c>
      <c r="CO430" s="1388">
        <v>0</v>
      </c>
      <c r="CP430" s="1010">
        <f t="shared" si="1275"/>
        <v>0</v>
      </c>
      <c r="CQ430" s="1009"/>
      <c r="CR430" s="1388">
        <v>0</v>
      </c>
      <c r="CS430" s="1497">
        <v>0</v>
      </c>
      <c r="CT430" s="293">
        <f t="shared" si="1276"/>
        <v>0</v>
      </c>
      <c r="CV430" s="1388">
        <v>0</v>
      </c>
      <c r="CW430" s="1497">
        <v>0</v>
      </c>
      <c r="CX430" s="293">
        <f t="shared" si="1277"/>
        <v>0</v>
      </c>
      <c r="CZ430" s="1863">
        <v>0</v>
      </c>
      <c r="DA430" s="1488">
        <v>0</v>
      </c>
      <c r="DB430" s="293">
        <f t="shared" si="1278"/>
        <v>0</v>
      </c>
      <c r="DD430" s="2107">
        <v>0</v>
      </c>
      <c r="DE430" s="1497">
        <v>0</v>
      </c>
      <c r="DF430" s="293">
        <f t="shared" si="1279"/>
        <v>0</v>
      </c>
      <c r="DH430" s="2107">
        <v>0</v>
      </c>
      <c r="DI430" s="851">
        <f>'P&amp;L'!DI585</f>
        <v>0</v>
      </c>
      <c r="DJ430" s="293">
        <f t="shared" si="1280"/>
        <v>0</v>
      </c>
      <c r="DL430" s="851">
        <f>'P&amp;L'!DL585</f>
        <v>0</v>
      </c>
      <c r="DM430" s="851">
        <f>'P&amp;L'!DM585</f>
        <v>0</v>
      </c>
      <c r="DN430" s="293">
        <f t="shared" si="1281"/>
        <v>0</v>
      </c>
      <c r="DP430" s="851">
        <f>'P&amp;L'!DP585</f>
        <v>0</v>
      </c>
      <c r="DQ430" s="851">
        <f>'P&amp;L'!DQ585</f>
        <v>0</v>
      </c>
      <c r="DR430" s="293">
        <f t="shared" si="1282"/>
        <v>0</v>
      </c>
      <c r="DW430" s="1198" t="s">
        <v>174</v>
      </c>
      <c r="DX430" s="818"/>
      <c r="DY430" s="818"/>
      <c r="EA430" s="818"/>
      <c r="EB430" s="818"/>
      <c r="EC430" s="293"/>
      <c r="EE430" s="818"/>
      <c r="EF430" s="818"/>
      <c r="EG430" s="293"/>
      <c r="EI430" s="818"/>
      <c r="EJ430" s="818"/>
      <c r="EK430" s="293"/>
    </row>
    <row r="431" spans="1:283">
      <c r="A431" s="102" t="s">
        <v>667</v>
      </c>
      <c r="AP431" s="1219"/>
      <c r="AR431" s="730"/>
      <c r="AS431" s="730"/>
      <c r="AT431" s="1219">
        <v>0</v>
      </c>
      <c r="AV431" s="730">
        <v>345</v>
      </c>
      <c r="AW431" s="730">
        <v>83</v>
      </c>
      <c r="AX431" s="293">
        <f t="shared" si="1264"/>
        <v>428</v>
      </c>
      <c r="AZ431" s="730">
        <v>0</v>
      </c>
      <c r="BA431" s="730">
        <v>14</v>
      </c>
      <c r="BB431" s="293">
        <f t="shared" si="1265"/>
        <v>14</v>
      </c>
      <c r="BD431" s="626">
        <v>0</v>
      </c>
      <c r="BE431" s="730">
        <v>0</v>
      </c>
      <c r="BF431" s="293">
        <f t="shared" si="1266"/>
        <v>0</v>
      </c>
      <c r="BH431" s="626">
        <v>0</v>
      </c>
      <c r="BI431" s="626">
        <v>0</v>
      </c>
      <c r="BJ431" s="293">
        <f t="shared" si="1267"/>
        <v>0</v>
      </c>
      <c r="BL431" s="626">
        <v>0</v>
      </c>
      <c r="BM431" s="626">
        <v>0</v>
      </c>
      <c r="BN431" s="293">
        <f t="shared" si="1268"/>
        <v>0</v>
      </c>
      <c r="BP431" s="626">
        <v>0</v>
      </c>
      <c r="BQ431" s="626">
        <v>0</v>
      </c>
      <c r="BR431" s="293">
        <f t="shared" si="1269"/>
        <v>0</v>
      </c>
      <c r="BT431" s="626">
        <v>0</v>
      </c>
      <c r="BU431" s="626">
        <v>0</v>
      </c>
      <c r="BV431" s="293">
        <f t="shared" si="1270"/>
        <v>0</v>
      </c>
      <c r="BX431" s="626">
        <v>0</v>
      </c>
      <c r="BY431" s="626">
        <v>0</v>
      </c>
      <c r="BZ431" s="293">
        <f t="shared" si="1271"/>
        <v>0</v>
      </c>
      <c r="CB431" s="626">
        <v>0</v>
      </c>
      <c r="CC431" s="626">
        <v>0</v>
      </c>
      <c r="CD431" s="293">
        <f t="shared" si="1272"/>
        <v>0</v>
      </c>
      <c r="CF431" s="626">
        <v>0</v>
      </c>
      <c r="CG431" s="626">
        <v>0</v>
      </c>
      <c r="CH431" s="293">
        <f t="shared" si="1273"/>
        <v>0</v>
      </c>
      <c r="CJ431" s="626">
        <v>0</v>
      </c>
      <c r="CK431" s="626">
        <v>0</v>
      </c>
      <c r="CL431" s="293">
        <f t="shared" si="1274"/>
        <v>0</v>
      </c>
      <c r="CN431" s="1388">
        <v>0</v>
      </c>
      <c r="CO431" s="1388">
        <v>0</v>
      </c>
      <c r="CP431" s="1010">
        <f t="shared" si="1275"/>
        <v>0</v>
      </c>
      <c r="CQ431" s="1009"/>
      <c r="CR431" s="1388">
        <v>0</v>
      </c>
      <c r="CS431" s="1497">
        <v>0</v>
      </c>
      <c r="CT431" s="293">
        <f t="shared" si="1276"/>
        <v>0</v>
      </c>
      <c r="CV431" s="1388">
        <v>0</v>
      </c>
      <c r="CW431" s="1497">
        <v>0</v>
      </c>
      <c r="CX431" s="293">
        <f t="shared" si="1277"/>
        <v>0</v>
      </c>
      <c r="CZ431" s="1863">
        <v>0</v>
      </c>
      <c r="DA431" s="1488">
        <v>0</v>
      </c>
      <c r="DB431" s="293">
        <f t="shared" si="1278"/>
        <v>0</v>
      </c>
      <c r="DD431" s="2107">
        <v>0</v>
      </c>
      <c r="DE431" s="1497">
        <v>0</v>
      </c>
      <c r="DF431" s="293">
        <f t="shared" si="1279"/>
        <v>0</v>
      </c>
      <c r="DH431" s="2107">
        <v>0</v>
      </c>
      <c r="DI431" s="851">
        <f>'P&amp;L'!DI584</f>
        <v>0</v>
      </c>
      <c r="DJ431" s="293">
        <f t="shared" si="1280"/>
        <v>0</v>
      </c>
      <c r="DL431" s="851">
        <f>'P&amp;L'!DL584</f>
        <v>0</v>
      </c>
      <c r="DM431" s="851">
        <f>'P&amp;L'!DM584</f>
        <v>0</v>
      </c>
      <c r="DN431" s="293">
        <f t="shared" si="1281"/>
        <v>0</v>
      </c>
      <c r="DP431" s="851">
        <f>'P&amp;L'!DP584</f>
        <v>0</v>
      </c>
      <c r="DQ431" s="851">
        <f>'P&amp;L'!DQ584</f>
        <v>0</v>
      </c>
      <c r="DR431" s="293">
        <f t="shared" si="1282"/>
        <v>0</v>
      </c>
      <c r="DW431" s="1198" t="s">
        <v>174</v>
      </c>
      <c r="DX431" s="818"/>
      <c r="DY431" s="818"/>
      <c r="EA431" s="818"/>
      <c r="EB431" s="818"/>
      <c r="EC431" s="293"/>
      <c r="EE431" s="818"/>
      <c r="EF431" s="818"/>
      <c r="EG431" s="293"/>
      <c r="EI431" s="818"/>
      <c r="EJ431" s="818"/>
      <c r="EK431" s="293"/>
    </row>
    <row r="432" spans="1:283">
      <c r="A432" s="102" t="s">
        <v>675</v>
      </c>
      <c r="AP432" s="1219"/>
      <c r="AR432" s="730"/>
      <c r="AS432" s="730"/>
      <c r="AT432" s="1219">
        <v>0</v>
      </c>
      <c r="AV432" s="730">
        <v>0</v>
      </c>
      <c r="AW432" s="730">
        <v>0</v>
      </c>
      <c r="AX432" s="293">
        <f t="shared" si="1264"/>
        <v>0</v>
      </c>
      <c r="AZ432" s="730">
        <v>0</v>
      </c>
      <c r="BA432" s="730">
        <v>0</v>
      </c>
      <c r="BB432" s="293">
        <f t="shared" si="1265"/>
        <v>0</v>
      </c>
      <c r="BD432" s="626">
        <v>0</v>
      </c>
      <c r="BE432" s="730">
        <v>0</v>
      </c>
      <c r="BF432" s="293">
        <f t="shared" si="1266"/>
        <v>0</v>
      </c>
      <c r="BH432" s="626">
        <v>0</v>
      </c>
      <c r="BI432" s="626">
        <v>0</v>
      </c>
      <c r="BJ432" s="293">
        <f t="shared" si="1267"/>
        <v>0</v>
      </c>
      <c r="BL432" s="626">
        <v>0</v>
      </c>
      <c r="BM432" s="626">
        <v>0</v>
      </c>
      <c r="BN432" s="293">
        <f t="shared" si="1268"/>
        <v>0</v>
      </c>
      <c r="BP432" s="626">
        <v>0</v>
      </c>
      <c r="BQ432" s="626">
        <v>0</v>
      </c>
      <c r="BR432" s="293">
        <f t="shared" si="1269"/>
        <v>0</v>
      </c>
      <c r="BT432" s="626">
        <v>0</v>
      </c>
      <c r="BU432" s="626">
        <v>0</v>
      </c>
      <c r="BV432" s="293">
        <f t="shared" si="1270"/>
        <v>0</v>
      </c>
      <c r="BX432" s="626">
        <v>0</v>
      </c>
      <c r="BY432" s="626">
        <v>0</v>
      </c>
      <c r="BZ432" s="293">
        <f t="shared" si="1271"/>
        <v>0</v>
      </c>
      <c r="CB432" s="626">
        <v>0</v>
      </c>
      <c r="CC432" s="626">
        <v>0</v>
      </c>
      <c r="CD432" s="293">
        <f t="shared" si="1272"/>
        <v>0</v>
      </c>
      <c r="CF432" s="626">
        <v>0</v>
      </c>
      <c r="CG432" s="626">
        <v>0</v>
      </c>
      <c r="CH432" s="293">
        <f t="shared" si="1273"/>
        <v>0</v>
      </c>
      <c r="CJ432" s="626">
        <v>0</v>
      </c>
      <c r="CK432" s="626">
        <v>0</v>
      </c>
      <c r="CL432" s="293">
        <f t="shared" si="1274"/>
        <v>0</v>
      </c>
      <c r="CN432" s="1388">
        <v>0</v>
      </c>
      <c r="CO432" s="1388">
        <v>0</v>
      </c>
      <c r="CP432" s="1010">
        <f t="shared" si="1275"/>
        <v>0</v>
      </c>
      <c r="CQ432" s="1009"/>
      <c r="CR432" s="1388">
        <v>0</v>
      </c>
      <c r="CS432" s="1497">
        <v>0</v>
      </c>
      <c r="CT432" s="293">
        <f t="shared" si="1276"/>
        <v>0</v>
      </c>
      <c r="CV432" s="1388">
        <v>0</v>
      </c>
      <c r="CW432" s="1497">
        <v>0</v>
      </c>
      <c r="CX432" s="293">
        <f t="shared" si="1277"/>
        <v>0</v>
      </c>
      <c r="CZ432" s="1863">
        <v>0</v>
      </c>
      <c r="DA432" s="1488">
        <v>0</v>
      </c>
      <c r="DB432" s="293">
        <f t="shared" si="1278"/>
        <v>0</v>
      </c>
      <c r="DD432" s="2107">
        <v>0</v>
      </c>
      <c r="DE432" s="1497">
        <v>0</v>
      </c>
      <c r="DF432" s="293">
        <f t="shared" si="1279"/>
        <v>0</v>
      </c>
      <c r="DH432" s="2107">
        <v>0</v>
      </c>
      <c r="DI432" s="851">
        <f>'P&amp;L'!DI595</f>
        <v>0</v>
      </c>
      <c r="DJ432" s="293">
        <f t="shared" si="1280"/>
        <v>0</v>
      </c>
      <c r="DL432" s="851">
        <f>'P&amp;L'!DL595</f>
        <v>0</v>
      </c>
      <c r="DM432" s="851">
        <f>'P&amp;L'!DM595</f>
        <v>0</v>
      </c>
      <c r="DN432" s="293">
        <f t="shared" si="1281"/>
        <v>0</v>
      </c>
      <c r="DP432" s="851">
        <f>'P&amp;L'!DP595</f>
        <v>0</v>
      </c>
      <c r="DQ432" s="851">
        <f>'P&amp;L'!DQ595</f>
        <v>0</v>
      </c>
      <c r="DR432" s="293">
        <f t="shared" si="1282"/>
        <v>0</v>
      </c>
      <c r="DW432" s="1198" t="s">
        <v>174</v>
      </c>
      <c r="DX432" s="818"/>
      <c r="DY432" s="818"/>
      <c r="EA432" s="818"/>
      <c r="EB432" s="818"/>
      <c r="EC432" s="293"/>
      <c r="EE432" s="818"/>
      <c r="EF432" s="818"/>
      <c r="EG432" s="293"/>
      <c r="EI432" s="818"/>
      <c r="EJ432" s="818"/>
      <c r="EK432" s="293"/>
    </row>
    <row r="433" spans="1:283">
      <c r="A433" s="102" t="s">
        <v>1153</v>
      </c>
      <c r="AP433" s="1219">
        <v>-2</v>
      </c>
      <c r="AR433" s="730"/>
      <c r="AS433" s="730"/>
      <c r="AT433" s="1219">
        <v>-9</v>
      </c>
      <c r="AV433" s="730">
        <v>-7</v>
      </c>
      <c r="AW433" s="730">
        <v>-2</v>
      </c>
      <c r="AX433" s="293">
        <f t="shared" si="1264"/>
        <v>-9</v>
      </c>
      <c r="AZ433" s="730">
        <v>-5</v>
      </c>
      <c r="BA433" s="730">
        <v>-8</v>
      </c>
      <c r="BB433" s="293">
        <f t="shared" si="1265"/>
        <v>-13</v>
      </c>
      <c r="BD433" s="626">
        <v>-7</v>
      </c>
      <c r="BE433" s="927">
        <v>-13</v>
      </c>
      <c r="BF433" s="293">
        <f t="shared" si="1266"/>
        <v>-20</v>
      </c>
      <c r="BH433" s="626">
        <v>-3</v>
      </c>
      <c r="BI433" s="927">
        <v>-8</v>
      </c>
      <c r="BJ433" s="293">
        <f t="shared" si="1267"/>
        <v>-11</v>
      </c>
      <c r="BL433" s="626">
        <v>4</v>
      </c>
      <c r="BM433" s="927">
        <v>1</v>
      </c>
      <c r="BN433" s="293">
        <f t="shared" si="1268"/>
        <v>5</v>
      </c>
      <c r="BP433" s="626">
        <v>0</v>
      </c>
      <c r="BQ433" s="626">
        <v>0</v>
      </c>
      <c r="BR433" s="293">
        <f t="shared" si="1269"/>
        <v>0</v>
      </c>
      <c r="BT433" s="626">
        <v>0</v>
      </c>
      <c r="BU433" s="626">
        <v>0</v>
      </c>
      <c r="BV433" s="293">
        <f t="shared" si="1270"/>
        <v>0</v>
      </c>
      <c r="BX433" s="626">
        <v>0</v>
      </c>
      <c r="BY433" s="626">
        <v>0</v>
      </c>
      <c r="BZ433" s="293">
        <f t="shared" si="1271"/>
        <v>0</v>
      </c>
      <c r="CB433" s="626">
        <v>-4</v>
      </c>
      <c r="CC433" s="626">
        <v>-177</v>
      </c>
      <c r="CD433" s="293">
        <f t="shared" si="1272"/>
        <v>-181</v>
      </c>
      <c r="CF433" s="626">
        <v>-18</v>
      </c>
      <c r="CG433" s="626">
        <v>-87</v>
      </c>
      <c r="CH433" s="293">
        <f t="shared" si="1273"/>
        <v>-105</v>
      </c>
      <c r="CJ433" s="626">
        <v>-5</v>
      </c>
      <c r="CK433" s="626">
        <v>-226</v>
      </c>
      <c r="CL433" s="293">
        <f t="shared" si="1274"/>
        <v>-231</v>
      </c>
      <c r="CN433" s="1388">
        <v>-11</v>
      </c>
      <c r="CO433" s="1388">
        <v>96</v>
      </c>
      <c r="CP433" s="1010">
        <f t="shared" si="1275"/>
        <v>85</v>
      </c>
      <c r="CQ433" s="1009"/>
      <c r="CR433" s="1388">
        <v>44</v>
      </c>
      <c r="CS433" s="1497">
        <v>-143</v>
      </c>
      <c r="CT433" s="293">
        <f t="shared" si="1276"/>
        <v>-99</v>
      </c>
      <c r="CV433" s="1388">
        <v>-3</v>
      </c>
      <c r="CW433" s="1497">
        <v>-11</v>
      </c>
      <c r="CX433" s="293">
        <f t="shared" si="1277"/>
        <v>-14</v>
      </c>
      <c r="CZ433" s="1863">
        <v>110</v>
      </c>
      <c r="DA433" s="1488">
        <v>12</v>
      </c>
      <c r="DB433" s="293">
        <f t="shared" si="1278"/>
        <v>122</v>
      </c>
      <c r="DD433" s="2210">
        <v>4</v>
      </c>
      <c r="DE433" s="2207">
        <v>-10</v>
      </c>
      <c r="DF433" s="293">
        <f t="shared" si="1279"/>
        <v>-6</v>
      </c>
      <c r="DH433" s="2107">
        <v>3</v>
      </c>
      <c r="DI433" s="851">
        <f>'P&amp;L'!DI606</f>
        <v>-25</v>
      </c>
      <c r="DJ433" s="293">
        <f t="shared" si="1280"/>
        <v>-22</v>
      </c>
      <c r="DL433" s="851">
        <f>'P&amp;L'!DL606</f>
        <v>-25</v>
      </c>
      <c r="DM433" s="851">
        <f>'P&amp;L'!DM606</f>
        <v>-26</v>
      </c>
      <c r="DN433" s="293">
        <f t="shared" si="1281"/>
        <v>-51</v>
      </c>
      <c r="DP433" s="851">
        <f>'P&amp;L'!DP606</f>
        <v>-27.04</v>
      </c>
      <c r="DQ433" s="851">
        <f>'P&amp;L'!DQ606</f>
        <v>-27.04</v>
      </c>
      <c r="DR433" s="293">
        <f t="shared" si="1282"/>
        <v>-54.08</v>
      </c>
      <c r="DW433" s="1198" t="s">
        <v>174</v>
      </c>
      <c r="DX433" s="818"/>
      <c r="DY433" s="818"/>
      <c r="EA433" s="818"/>
      <c r="EB433" s="818"/>
      <c r="EC433" s="293"/>
      <c r="EE433" s="818"/>
      <c r="EF433" s="818"/>
      <c r="EG433" s="293"/>
      <c r="EI433" s="818"/>
      <c r="EJ433" s="818"/>
      <c r="EK433" s="293"/>
    </row>
    <row r="434" spans="1:283">
      <c r="A434" s="102" t="s">
        <v>827</v>
      </c>
      <c r="AP434" s="1219"/>
      <c r="AR434" s="730"/>
      <c r="AS434" s="730"/>
      <c r="AT434" s="1219">
        <v>0</v>
      </c>
      <c r="AV434" s="730">
        <v>0</v>
      </c>
      <c r="AW434" s="730">
        <v>0</v>
      </c>
      <c r="AX434" s="293">
        <f t="shared" si="1264"/>
        <v>0</v>
      </c>
      <c r="AZ434" s="730">
        <v>0</v>
      </c>
      <c r="BA434" s="730">
        <v>0</v>
      </c>
      <c r="BB434" s="293">
        <f t="shared" si="1265"/>
        <v>0</v>
      </c>
      <c r="BD434" s="730">
        <v>0</v>
      </c>
      <c r="BE434" s="730">
        <v>0</v>
      </c>
      <c r="BF434" s="293">
        <f t="shared" si="1266"/>
        <v>0</v>
      </c>
      <c r="BH434" s="626">
        <v>0</v>
      </c>
      <c r="BI434" s="626">
        <v>0</v>
      </c>
      <c r="BJ434" s="293">
        <f t="shared" si="1267"/>
        <v>0</v>
      </c>
      <c r="BL434" s="626">
        <v>0</v>
      </c>
      <c r="BM434" s="626">
        <v>0</v>
      </c>
      <c r="BN434" s="293">
        <f t="shared" si="1268"/>
        <v>0</v>
      </c>
      <c r="BP434" s="626">
        <v>0</v>
      </c>
      <c r="BQ434" s="626">
        <v>0</v>
      </c>
      <c r="BR434" s="293">
        <f t="shared" si="1269"/>
        <v>0</v>
      </c>
      <c r="BT434" s="626">
        <v>0</v>
      </c>
      <c r="BU434" s="626">
        <v>0</v>
      </c>
      <c r="BV434" s="293">
        <f t="shared" si="1270"/>
        <v>0</v>
      </c>
      <c r="BX434" s="626">
        <v>0</v>
      </c>
      <c r="BY434" s="626">
        <v>0</v>
      </c>
      <c r="BZ434" s="293">
        <f t="shared" si="1271"/>
        <v>0</v>
      </c>
      <c r="CB434" s="626">
        <v>0</v>
      </c>
      <c r="CC434" s="626">
        <v>0</v>
      </c>
      <c r="CD434" s="293">
        <f t="shared" si="1272"/>
        <v>0</v>
      </c>
      <c r="CF434" s="626">
        <v>0</v>
      </c>
      <c r="CG434" s="626">
        <v>0</v>
      </c>
      <c r="CH434" s="293">
        <f t="shared" si="1273"/>
        <v>0</v>
      </c>
      <c r="CJ434" s="626">
        <v>0</v>
      </c>
      <c r="CK434" s="626">
        <v>0</v>
      </c>
      <c r="CL434" s="293">
        <f t="shared" si="1274"/>
        <v>0</v>
      </c>
      <c r="CN434" s="1388">
        <v>0</v>
      </c>
      <c r="CO434" s="1388">
        <v>0</v>
      </c>
      <c r="CP434" s="1010">
        <f t="shared" si="1275"/>
        <v>0</v>
      </c>
      <c r="CQ434" s="1009"/>
      <c r="CR434" s="1388">
        <v>0</v>
      </c>
      <c r="CS434" s="1497">
        <v>0</v>
      </c>
      <c r="CT434" s="293">
        <f t="shared" si="1276"/>
        <v>0</v>
      </c>
      <c r="CV434" s="1388">
        <v>0</v>
      </c>
      <c r="CW434" s="1497">
        <v>0</v>
      </c>
      <c r="CX434" s="293">
        <f t="shared" si="1277"/>
        <v>0</v>
      </c>
      <c r="CZ434" s="1863">
        <v>0</v>
      </c>
      <c r="DA434" s="1488">
        <v>0</v>
      </c>
      <c r="DB434" s="293">
        <f t="shared" si="1278"/>
        <v>0</v>
      </c>
      <c r="DD434" s="2107">
        <v>0</v>
      </c>
      <c r="DE434" s="1497">
        <v>0</v>
      </c>
      <c r="DF434" s="293">
        <f t="shared" si="1279"/>
        <v>0</v>
      </c>
      <c r="DH434" s="2107">
        <v>0</v>
      </c>
      <c r="DI434" s="851">
        <f>'P&amp;L'!DI628</f>
        <v>0</v>
      </c>
      <c r="DJ434" s="293">
        <f t="shared" si="1280"/>
        <v>0</v>
      </c>
      <c r="DL434" s="851">
        <f>'P&amp;L'!DL628</f>
        <v>0</v>
      </c>
      <c r="DM434" s="851">
        <f>'P&amp;L'!DM628</f>
        <v>0</v>
      </c>
      <c r="DN434" s="293">
        <f t="shared" si="1281"/>
        <v>0</v>
      </c>
      <c r="DP434" s="851">
        <f>'P&amp;L'!DP628</f>
        <v>0</v>
      </c>
      <c r="DQ434" s="851">
        <f>'P&amp;L'!DQ628</f>
        <v>0</v>
      </c>
      <c r="DR434" s="293">
        <f t="shared" si="1282"/>
        <v>0</v>
      </c>
      <c r="DW434" s="1198" t="s">
        <v>174</v>
      </c>
      <c r="DX434" s="818"/>
      <c r="DY434" s="818"/>
      <c r="EA434" s="818"/>
      <c r="EB434" s="818"/>
      <c r="EC434" s="293"/>
      <c r="EE434" s="818"/>
      <c r="EF434" s="818"/>
      <c r="EG434" s="293"/>
      <c r="EI434" s="818"/>
      <c r="EJ434" s="818"/>
      <c r="EK434" s="293"/>
    </row>
    <row r="435" spans="1:283">
      <c r="A435" s="102" t="s">
        <v>828</v>
      </c>
      <c r="AP435" s="1219"/>
      <c r="AR435" s="730"/>
      <c r="AS435" s="730"/>
      <c r="AT435" s="1219">
        <v>0</v>
      </c>
      <c r="AV435" s="730">
        <v>0</v>
      </c>
      <c r="AW435" s="730">
        <v>0</v>
      </c>
      <c r="AX435" s="293">
        <f t="shared" si="1264"/>
        <v>0</v>
      </c>
      <c r="AZ435" s="730">
        <v>0</v>
      </c>
      <c r="BA435" s="730">
        <v>0</v>
      </c>
      <c r="BB435" s="293">
        <f t="shared" si="1265"/>
        <v>0</v>
      </c>
      <c r="BD435" s="730">
        <v>0</v>
      </c>
      <c r="BE435" s="730">
        <v>0</v>
      </c>
      <c r="BF435" s="293">
        <f t="shared" si="1266"/>
        <v>0</v>
      </c>
      <c r="BH435" s="626">
        <v>0</v>
      </c>
      <c r="BI435" s="626">
        <v>0</v>
      </c>
      <c r="BJ435" s="293">
        <f t="shared" si="1267"/>
        <v>0</v>
      </c>
      <c r="BL435" s="626">
        <v>0</v>
      </c>
      <c r="BM435" s="626">
        <v>0</v>
      </c>
      <c r="BN435" s="293">
        <f t="shared" si="1268"/>
        <v>0</v>
      </c>
      <c r="BP435" s="626">
        <v>0</v>
      </c>
      <c r="BQ435" s="626">
        <v>0</v>
      </c>
      <c r="BR435" s="293">
        <f t="shared" si="1269"/>
        <v>0</v>
      </c>
      <c r="BT435" s="626">
        <v>0</v>
      </c>
      <c r="BU435" s="626">
        <v>0</v>
      </c>
      <c r="BV435" s="293">
        <f t="shared" si="1270"/>
        <v>0</v>
      </c>
      <c r="BX435" s="626">
        <v>0</v>
      </c>
      <c r="BY435" s="626">
        <v>0</v>
      </c>
      <c r="BZ435" s="293">
        <f t="shared" si="1271"/>
        <v>0</v>
      </c>
      <c r="CB435" s="626">
        <v>0</v>
      </c>
      <c r="CC435" s="626">
        <v>0</v>
      </c>
      <c r="CD435" s="293">
        <f t="shared" si="1272"/>
        <v>0</v>
      </c>
      <c r="CF435" s="626">
        <v>0</v>
      </c>
      <c r="CG435" s="626">
        <v>0</v>
      </c>
      <c r="CH435" s="293">
        <f t="shared" si="1273"/>
        <v>0</v>
      </c>
      <c r="CJ435" s="626">
        <v>0</v>
      </c>
      <c r="CK435" s="626">
        <v>0</v>
      </c>
      <c r="CL435" s="293">
        <f t="shared" si="1274"/>
        <v>0</v>
      </c>
      <c r="CN435" s="1388">
        <v>0</v>
      </c>
      <c r="CO435" s="1388">
        <v>0</v>
      </c>
      <c r="CP435" s="1010">
        <f t="shared" si="1275"/>
        <v>0</v>
      </c>
      <c r="CQ435" s="1009"/>
      <c r="CR435" s="1388">
        <v>0</v>
      </c>
      <c r="CS435" s="1497">
        <v>0</v>
      </c>
      <c r="CT435" s="293">
        <f t="shared" si="1276"/>
        <v>0</v>
      </c>
      <c r="CV435" s="1388">
        <v>0</v>
      </c>
      <c r="CW435" s="1497">
        <v>0</v>
      </c>
      <c r="CX435" s="293">
        <f t="shared" si="1277"/>
        <v>0</v>
      </c>
      <c r="CZ435" s="1863">
        <v>0</v>
      </c>
      <c r="DA435" s="1488">
        <v>0</v>
      </c>
      <c r="DB435" s="293">
        <f t="shared" si="1278"/>
        <v>0</v>
      </c>
      <c r="DD435" s="2107">
        <v>0</v>
      </c>
      <c r="DE435" s="1497">
        <v>0</v>
      </c>
      <c r="DF435" s="293">
        <f t="shared" si="1279"/>
        <v>0</v>
      </c>
      <c r="DH435" s="2107">
        <v>0</v>
      </c>
      <c r="DI435" s="851">
        <f>'P&amp;L'!DI617</f>
        <v>0</v>
      </c>
      <c r="DJ435" s="293">
        <f t="shared" si="1280"/>
        <v>0</v>
      </c>
      <c r="DL435" s="851">
        <f>'P&amp;L'!DL617</f>
        <v>0</v>
      </c>
      <c r="DM435" s="851">
        <f>'P&amp;L'!DM617</f>
        <v>0</v>
      </c>
      <c r="DN435" s="293">
        <f t="shared" si="1281"/>
        <v>0</v>
      </c>
      <c r="DP435" s="851">
        <f>'P&amp;L'!DP617</f>
        <v>0</v>
      </c>
      <c r="DQ435" s="851">
        <f>'P&amp;L'!DQ617</f>
        <v>0</v>
      </c>
      <c r="DR435" s="293">
        <f t="shared" si="1282"/>
        <v>0</v>
      </c>
      <c r="DW435" s="1198" t="s">
        <v>174</v>
      </c>
      <c r="DX435" s="818"/>
      <c r="DY435" s="818"/>
      <c r="EA435" s="818"/>
      <c r="EB435" s="818"/>
      <c r="EC435" s="293"/>
      <c r="EE435" s="818"/>
      <c r="EF435" s="818"/>
      <c r="EG435" s="293"/>
      <c r="EI435" s="818"/>
      <c r="EJ435" s="818"/>
      <c r="EK435" s="293"/>
    </row>
    <row r="436" spans="1:283" s="289" customFormat="1">
      <c r="A436" s="102" t="s">
        <v>663</v>
      </c>
      <c r="AN436" s="103"/>
      <c r="AO436" s="290"/>
      <c r="AP436" s="1219">
        <v>24</v>
      </c>
      <c r="AQ436" s="290"/>
      <c r="AR436" s="730"/>
      <c r="AS436" s="730"/>
      <c r="AT436" s="1219">
        <v>19</v>
      </c>
      <c r="AU436" s="290"/>
      <c r="AV436" s="730">
        <v>24</v>
      </c>
      <c r="AW436" s="730">
        <v>31</v>
      </c>
      <c r="AX436" s="293">
        <f t="shared" si="1264"/>
        <v>55</v>
      </c>
      <c r="AY436" s="290"/>
      <c r="AZ436" s="730">
        <v>27</v>
      </c>
      <c r="BA436" s="730">
        <v>24</v>
      </c>
      <c r="BB436" s="293">
        <f t="shared" si="1265"/>
        <v>51</v>
      </c>
      <c r="BC436" s="290"/>
      <c r="BD436" s="626">
        <v>13</v>
      </c>
      <c r="BE436" s="927">
        <v>37</v>
      </c>
      <c r="BF436" s="293">
        <f t="shared" si="1266"/>
        <v>50</v>
      </c>
      <c r="BG436" s="290"/>
      <c r="BH436" s="626">
        <v>12</v>
      </c>
      <c r="BI436" s="927">
        <v>25</v>
      </c>
      <c r="BJ436" s="293">
        <f t="shared" si="1267"/>
        <v>37</v>
      </c>
      <c r="BK436" s="290"/>
      <c r="BL436" s="626">
        <v>26</v>
      </c>
      <c r="BM436" s="927">
        <v>40</v>
      </c>
      <c r="BN436" s="293">
        <f t="shared" si="1268"/>
        <v>66</v>
      </c>
      <c r="BO436" s="290"/>
      <c r="BP436" s="626">
        <v>26</v>
      </c>
      <c r="BQ436" s="927">
        <v>41</v>
      </c>
      <c r="BR436" s="293">
        <f t="shared" si="1269"/>
        <v>67</v>
      </c>
      <c r="BS436" s="290"/>
      <c r="BT436" s="626">
        <v>46</v>
      </c>
      <c r="BU436" s="927">
        <v>13</v>
      </c>
      <c r="BV436" s="293">
        <f t="shared" si="1270"/>
        <v>59</v>
      </c>
      <c r="BW436" s="290"/>
      <c r="BX436" s="626">
        <v>66</v>
      </c>
      <c r="BY436" s="626">
        <v>36</v>
      </c>
      <c r="BZ436" s="293">
        <f t="shared" si="1271"/>
        <v>102</v>
      </c>
      <c r="CA436" s="290"/>
      <c r="CB436" s="626">
        <v>12</v>
      </c>
      <c r="CC436" s="626">
        <v>14</v>
      </c>
      <c r="CD436" s="293">
        <f t="shared" si="1272"/>
        <v>26</v>
      </c>
      <c r="CE436" s="290"/>
      <c r="CF436" s="626">
        <v>30</v>
      </c>
      <c r="CG436" s="626">
        <v>80</v>
      </c>
      <c r="CH436" s="293">
        <f t="shared" si="1273"/>
        <v>110</v>
      </c>
      <c r="CI436" s="290"/>
      <c r="CJ436" s="626">
        <v>56</v>
      </c>
      <c r="CK436" s="626">
        <v>156</v>
      </c>
      <c r="CL436" s="293">
        <f t="shared" si="1274"/>
        <v>212</v>
      </c>
      <c r="CM436" s="290"/>
      <c r="CN436" s="1388">
        <v>21</v>
      </c>
      <c r="CO436" s="1388">
        <v>34</v>
      </c>
      <c r="CP436" s="1010">
        <f t="shared" si="1275"/>
        <v>55</v>
      </c>
      <c r="CQ436" s="1424"/>
      <c r="CR436" s="1388">
        <v>77</v>
      </c>
      <c r="CS436" s="1497">
        <v>22</v>
      </c>
      <c r="CT436" s="293">
        <f t="shared" si="1276"/>
        <v>99</v>
      </c>
      <c r="CU436" s="290"/>
      <c r="CV436" s="1388">
        <v>-38</v>
      </c>
      <c r="CW436" s="2050">
        <f>51+49</f>
        <v>100</v>
      </c>
      <c r="CX436" s="293">
        <f t="shared" si="1277"/>
        <v>62</v>
      </c>
      <c r="CY436" s="290"/>
      <c r="CZ436" s="1863">
        <v>-85</v>
      </c>
      <c r="DA436" s="1488">
        <v>-66</v>
      </c>
      <c r="DB436" s="293">
        <f t="shared" si="1278"/>
        <v>-151</v>
      </c>
      <c r="DC436" s="290"/>
      <c r="DD436" s="2210">
        <v>113</v>
      </c>
      <c r="DE436" s="2207">
        <v>148</v>
      </c>
      <c r="DF436" s="293">
        <f t="shared" si="1279"/>
        <v>261</v>
      </c>
      <c r="DG436" s="290"/>
      <c r="DH436" s="2107">
        <v>71</v>
      </c>
      <c r="DI436" s="851">
        <f>'P&amp;L'!DI639</f>
        <v>77</v>
      </c>
      <c r="DJ436" s="293">
        <f t="shared" si="1280"/>
        <v>148</v>
      </c>
      <c r="DK436" s="290"/>
      <c r="DL436" s="851">
        <f>'P&amp;L'!DL639</f>
        <v>74.55</v>
      </c>
      <c r="DM436" s="851">
        <f>'P&amp;L'!DM639</f>
        <v>80.850000000000009</v>
      </c>
      <c r="DN436" s="293">
        <f t="shared" si="1281"/>
        <v>155.4</v>
      </c>
      <c r="DO436" s="290"/>
      <c r="DP436" s="851">
        <f>'P&amp;L'!DP639</f>
        <v>78.277500000000003</v>
      </c>
      <c r="DQ436" s="851">
        <f>'P&amp;L'!DQ639</f>
        <v>84.892500000000013</v>
      </c>
      <c r="DR436" s="293">
        <f t="shared" si="1282"/>
        <v>163.17000000000002</v>
      </c>
      <c r="DS436" s="290"/>
      <c r="DT436" s="290"/>
      <c r="DU436" s="290"/>
      <c r="DV436" s="290"/>
      <c r="DW436" s="1198" t="s">
        <v>174</v>
      </c>
      <c r="DX436" s="818"/>
      <c r="DY436" s="818"/>
      <c r="DZ436" s="290"/>
      <c r="EA436" s="818"/>
      <c r="EB436" s="818"/>
      <c r="EC436" s="293"/>
      <c r="ED436" s="290"/>
      <c r="EE436" s="818"/>
      <c r="EF436" s="818"/>
      <c r="EG436" s="293"/>
      <c r="EH436" s="290"/>
      <c r="EI436" s="818"/>
      <c r="EJ436" s="818"/>
      <c r="EK436" s="293"/>
      <c r="EL436" s="290"/>
      <c r="EM436" s="290"/>
      <c r="EN436" s="290"/>
      <c r="EO436" s="290"/>
      <c r="EP436" s="290"/>
      <c r="EQ436" s="290"/>
      <c r="ER436" s="290"/>
      <c r="ES436" s="290"/>
      <c r="ET436" s="290"/>
      <c r="EU436" s="290"/>
      <c r="JW436"/>
    </row>
    <row r="437" spans="1:283" s="327" customFormat="1">
      <c r="A437" s="327" t="s">
        <v>613</v>
      </c>
      <c r="AN437" s="295"/>
      <c r="AO437" s="295"/>
      <c r="AP437" s="295">
        <f>SUM(AP423:AP436)</f>
        <v>22</v>
      </c>
      <c r="AQ437" s="295"/>
      <c r="AR437" s="295"/>
      <c r="AS437" s="295"/>
      <c r="AT437" s="295">
        <f>SUM(AT423:AT436)</f>
        <v>5</v>
      </c>
      <c r="AU437" s="295"/>
      <c r="AV437" s="295">
        <f>SUM(AV423:AV436)</f>
        <v>494</v>
      </c>
      <c r="AW437" s="295">
        <f>SUM(AW423:AW436)</f>
        <v>246</v>
      </c>
      <c r="AX437" s="295">
        <f>SUM(AX423:AX436)</f>
        <v>740</v>
      </c>
      <c r="AY437" s="295"/>
      <c r="AZ437" s="295">
        <f>SUM(AZ423:AZ436)</f>
        <v>26</v>
      </c>
      <c r="BA437" s="295">
        <f>SUM(BA423:BA436)</f>
        <v>3</v>
      </c>
      <c r="BB437" s="295">
        <f>SUM(BB423:BB436)</f>
        <v>29</v>
      </c>
      <c r="BC437" s="295"/>
      <c r="BD437" s="295">
        <f>SUM(BD423:BD436)</f>
        <v>11</v>
      </c>
      <c r="BE437" s="295">
        <f>SUM(BE423:BE436)</f>
        <v>27</v>
      </c>
      <c r="BF437" s="295">
        <f>SUM(BF423:BF436)</f>
        <v>38</v>
      </c>
      <c r="BG437" s="295"/>
      <c r="BH437" s="295">
        <f>SUM(BH423:BH436)</f>
        <v>-3</v>
      </c>
      <c r="BI437" s="295">
        <f>SUM(BI423:BI436)</f>
        <v>23</v>
      </c>
      <c r="BJ437" s="295">
        <f>SUM(BJ423:BJ436)</f>
        <v>20</v>
      </c>
      <c r="BK437" s="295"/>
      <c r="BL437" s="295">
        <f>SUM(BL423:BL436)</f>
        <v>54</v>
      </c>
      <c r="BM437" s="295">
        <f>SUM(BM423:BM436)</f>
        <v>58</v>
      </c>
      <c r="BN437" s="295">
        <f>SUM(BN423:BN436)</f>
        <v>112</v>
      </c>
      <c r="BO437" s="295"/>
      <c r="BP437" s="295">
        <f>SUM(BP423:BP436)</f>
        <v>60</v>
      </c>
      <c r="BQ437" s="295">
        <f>SUM(BQ423:BQ436)</f>
        <v>58</v>
      </c>
      <c r="BR437" s="295">
        <f>SUM(BR423:BR436)</f>
        <v>118</v>
      </c>
      <c r="BS437" s="295"/>
      <c r="BT437" s="295">
        <f>SUM(BT423:BT436)</f>
        <v>181</v>
      </c>
      <c r="BU437" s="295">
        <f>SUM(BU423:BU436)</f>
        <v>56</v>
      </c>
      <c r="BV437" s="295">
        <f>SUM(BV423:BV436)</f>
        <v>237</v>
      </c>
      <c r="BW437" s="295"/>
      <c r="BX437" s="295">
        <f>SUM(BX423:BX436)</f>
        <v>275</v>
      </c>
      <c r="BY437" s="295">
        <f>SUM(BY423:BY436)</f>
        <v>207</v>
      </c>
      <c r="BZ437" s="295">
        <f>SUM(BZ423:BZ436)</f>
        <v>482</v>
      </c>
      <c r="CA437" s="295"/>
      <c r="CB437" s="295">
        <f>SUM(CB423:CB436)</f>
        <v>239</v>
      </c>
      <c r="CC437" s="295">
        <f>SUM(CC423:CC436)</f>
        <v>-88</v>
      </c>
      <c r="CD437" s="295">
        <f>SUM(CD423:CD436)</f>
        <v>151</v>
      </c>
      <c r="CE437" s="295"/>
      <c r="CF437" s="295">
        <f>SUM(CF423:CF436)</f>
        <v>372</v>
      </c>
      <c r="CG437" s="295">
        <f>SUM(CG423:CG436)</f>
        <v>373</v>
      </c>
      <c r="CH437" s="295">
        <f>SUM(CH423:CH436)</f>
        <v>745</v>
      </c>
      <c r="CI437" s="295"/>
      <c r="CJ437" s="295">
        <f>SUM(CJ423:CJ436)</f>
        <v>406</v>
      </c>
      <c r="CK437" s="295">
        <f>SUM(CK423:CK436)</f>
        <v>208</v>
      </c>
      <c r="CL437" s="295">
        <f>SUM(CL423:CL436)</f>
        <v>614</v>
      </c>
      <c r="CM437" s="295"/>
      <c r="CN437" s="1412">
        <f>SUM(CN423:CN436)</f>
        <v>460</v>
      </c>
      <c r="CO437" s="1412">
        <f>SUM(CO423:CO436)</f>
        <v>403</v>
      </c>
      <c r="CP437" s="1412">
        <f>SUM(CP423:CP436)</f>
        <v>863</v>
      </c>
      <c r="CQ437" s="1412"/>
      <c r="CR437" s="1412">
        <f>SUM(CR423:CR436)</f>
        <v>215</v>
      </c>
      <c r="CS437" s="295">
        <f>SUM(CS423:CS436)</f>
        <v>1408</v>
      </c>
      <c r="CT437" s="295">
        <f>SUM(CT423:CT436)</f>
        <v>1623</v>
      </c>
      <c r="CU437" s="295"/>
      <c r="CV437" s="1412">
        <f>SUM(CV423:CV436)</f>
        <v>836</v>
      </c>
      <c r="CW437" s="295">
        <f>SUM(CW423:CW436)</f>
        <v>391</v>
      </c>
      <c r="CX437" s="295">
        <f>SUM(CX423:CX436)</f>
        <v>1227</v>
      </c>
      <c r="CY437" s="295"/>
      <c r="CZ437" s="1412">
        <f>SUM(CZ423:CZ436)</f>
        <v>74</v>
      </c>
      <c r="DA437" s="1412">
        <f>SUM(DA423:DA436)</f>
        <v>244</v>
      </c>
      <c r="DB437" s="295">
        <f>SUM(DB423:DB436)</f>
        <v>318</v>
      </c>
      <c r="DC437" s="295"/>
      <c r="DD437" s="295">
        <f>SUM(DD423:DD436)</f>
        <v>164</v>
      </c>
      <c r="DE437" s="1412">
        <f>SUM(DE423:DE436)</f>
        <v>490</v>
      </c>
      <c r="DF437" s="295">
        <f>SUM(DF423:DF436)</f>
        <v>654</v>
      </c>
      <c r="DG437" s="295"/>
      <c r="DH437" s="295">
        <f>SUM(DH423:DH436)</f>
        <v>81</v>
      </c>
      <c r="DI437" s="295">
        <f>SUM(DI423:DI436)</f>
        <v>602</v>
      </c>
      <c r="DJ437" s="295">
        <f>SUM(DJ423:DJ436)</f>
        <v>683</v>
      </c>
      <c r="DK437" s="295"/>
      <c r="DL437" s="295">
        <f>SUM(DL423:DL436)</f>
        <v>239.55</v>
      </c>
      <c r="DM437" s="295">
        <f>SUM(DM423:DM436)</f>
        <v>244.85000000000002</v>
      </c>
      <c r="DN437" s="295">
        <f>SUM(DN423:DN436)</f>
        <v>484.4</v>
      </c>
      <c r="DO437" s="295"/>
      <c r="DP437" s="295">
        <f>SUM(DP423:DP436)</f>
        <v>226.23750000000001</v>
      </c>
      <c r="DQ437" s="295">
        <f>SUM(DQ423:DQ436)</f>
        <v>232.85250000000002</v>
      </c>
      <c r="DR437" s="295">
        <f>SUM(DR423:DR436)</f>
        <v>459.09000000000003</v>
      </c>
      <c r="DS437" s="295"/>
      <c r="DT437" s="295"/>
      <c r="DU437" s="295"/>
      <c r="DV437" s="295"/>
      <c r="DW437" s="831"/>
      <c r="DX437" s="295"/>
      <c r="DY437" s="295"/>
      <c r="DZ437" s="295"/>
      <c r="EA437" s="295"/>
      <c r="EB437" s="295"/>
      <c r="EC437" s="295"/>
      <c r="ED437" s="295"/>
      <c r="EE437" s="295"/>
      <c r="EF437" s="295"/>
      <c r="EG437" s="295"/>
      <c r="EH437" s="295"/>
      <c r="EI437" s="295"/>
      <c r="EJ437" s="295"/>
      <c r="EK437" s="295"/>
      <c r="EL437" s="295"/>
      <c r="EM437" s="295"/>
      <c r="EN437" s="295"/>
      <c r="EO437" s="295"/>
      <c r="EP437" s="295"/>
      <c r="EQ437" s="295"/>
      <c r="ER437" s="295"/>
      <c r="ES437" s="295"/>
      <c r="ET437" s="295"/>
      <c r="EU437" s="295"/>
      <c r="JW437"/>
    </row>
    <row r="438" spans="1:283">
      <c r="BR438" s="730"/>
      <c r="BV438" s="730"/>
      <c r="BZ438" s="730"/>
      <c r="CR438" s="103"/>
      <c r="CS438" s="103"/>
      <c r="CT438" s="103"/>
      <c r="CV438" s="103"/>
      <c r="CW438" s="103"/>
      <c r="CX438" s="103"/>
      <c r="CZ438" s="103"/>
      <c r="DA438" s="1009"/>
      <c r="DB438" s="103"/>
      <c r="DD438" s="103"/>
      <c r="DE438" s="103"/>
      <c r="DF438" s="103"/>
      <c r="DH438" s="103"/>
      <c r="DI438" s="103"/>
      <c r="DJ438" s="103"/>
      <c r="DL438" s="103"/>
      <c r="DM438" s="103"/>
      <c r="DN438" s="103"/>
      <c r="DP438" s="103"/>
      <c r="DQ438" s="103"/>
      <c r="DR438" s="103"/>
      <c r="DW438" s="667"/>
    </row>
    <row r="439" spans="1:283">
      <c r="A439" s="289" t="s">
        <v>57</v>
      </c>
      <c r="BR439" s="730"/>
      <c r="BV439" s="730"/>
      <c r="BZ439" s="730"/>
      <c r="CD439" s="730"/>
      <c r="CH439" s="730"/>
      <c r="CL439" s="730"/>
      <c r="CP439" s="730"/>
      <c r="CR439" s="103"/>
      <c r="CS439" s="103"/>
      <c r="CT439" s="103"/>
      <c r="CV439" s="103"/>
      <c r="CW439" s="103"/>
      <c r="CX439" s="103"/>
      <c r="CZ439" s="103"/>
      <c r="DA439" s="1009"/>
      <c r="DB439" s="103"/>
      <c r="DD439" s="103"/>
      <c r="DE439" s="103"/>
      <c r="DF439" s="103"/>
      <c r="DH439" s="103"/>
      <c r="DI439" s="103"/>
      <c r="DJ439" s="103"/>
      <c r="DL439" s="103"/>
      <c r="DM439" s="103"/>
      <c r="DN439" s="103"/>
      <c r="DP439" s="103"/>
      <c r="DQ439" s="103"/>
      <c r="DR439" s="103"/>
      <c r="DW439" s="667"/>
    </row>
    <row r="440" spans="1:283">
      <c r="A440" s="332" t="str">
        <f>+A408</f>
        <v>M&amp;A, advisory and UW fees</v>
      </c>
      <c r="AV440" s="293">
        <f t="shared" ref="AV440:AX442" si="1283">+AV408</f>
        <v>20</v>
      </c>
      <c r="AW440" s="293">
        <f t="shared" si="1283"/>
        <v>19</v>
      </c>
      <c r="AX440" s="293">
        <f t="shared" si="1283"/>
        <v>39</v>
      </c>
      <c r="AZ440" s="293">
        <f t="shared" ref="AZ440:BB442" si="1284">+AZ408</f>
        <v>3</v>
      </c>
      <c r="BA440" s="293">
        <f t="shared" si="1284"/>
        <v>18</v>
      </c>
      <c r="BB440" s="293">
        <f t="shared" si="1284"/>
        <v>21</v>
      </c>
      <c r="BD440" s="293">
        <f t="shared" ref="BD440:BF442" si="1285">+BD408</f>
        <v>2</v>
      </c>
      <c r="BE440" s="293">
        <f t="shared" si="1285"/>
        <v>5</v>
      </c>
      <c r="BF440" s="293">
        <f t="shared" si="1285"/>
        <v>7</v>
      </c>
      <c r="BH440" s="293">
        <f t="shared" ref="BH440:BJ442" si="1286">+BH408</f>
        <v>5</v>
      </c>
      <c r="BI440" s="293">
        <f t="shared" si="1286"/>
        <v>5</v>
      </c>
      <c r="BJ440" s="293">
        <f t="shared" si="1286"/>
        <v>10</v>
      </c>
      <c r="BL440" s="293">
        <f t="shared" ref="BL440:BN442" si="1287">+BL408</f>
        <v>5</v>
      </c>
      <c r="BM440" s="293">
        <f t="shared" si="1287"/>
        <v>5</v>
      </c>
      <c r="BN440" s="293">
        <f t="shared" si="1287"/>
        <v>10</v>
      </c>
      <c r="BP440" s="293">
        <f t="shared" ref="BP440:BR442" si="1288">+BP408</f>
        <v>0</v>
      </c>
      <c r="BQ440" s="293">
        <f t="shared" si="1288"/>
        <v>0</v>
      </c>
      <c r="BR440" s="293">
        <f t="shared" si="1288"/>
        <v>0</v>
      </c>
      <c r="BT440" s="293">
        <f t="shared" ref="BT440:BV442" si="1289">+BT408</f>
        <v>0</v>
      </c>
      <c r="BU440" s="293">
        <f t="shared" si="1289"/>
        <v>0</v>
      </c>
      <c r="BV440" s="293">
        <f t="shared" si="1289"/>
        <v>0</v>
      </c>
      <c r="BX440" s="293">
        <f t="shared" ref="BX440:BZ442" si="1290">+BX408</f>
        <v>0</v>
      </c>
      <c r="BY440" s="293">
        <f t="shared" si="1290"/>
        <v>0</v>
      </c>
      <c r="BZ440" s="293">
        <f t="shared" si="1290"/>
        <v>0</v>
      </c>
      <c r="CB440" s="293">
        <f>+CB408</f>
        <v>0</v>
      </c>
      <c r="CC440" s="293">
        <f t="shared" ref="CC440:CD440" si="1291">+CC408</f>
        <v>0</v>
      </c>
      <c r="CD440" s="293">
        <f t="shared" si="1291"/>
        <v>0</v>
      </c>
      <c r="CF440" s="293">
        <f>+CF408</f>
        <v>0</v>
      </c>
      <c r="CG440" s="293">
        <f t="shared" ref="CG440:CH440" si="1292">+CG408</f>
        <v>0</v>
      </c>
      <c r="CH440" s="293">
        <f t="shared" si="1292"/>
        <v>0</v>
      </c>
      <c r="CJ440" s="293">
        <f>+CJ408</f>
        <v>0</v>
      </c>
      <c r="CK440" s="293">
        <f t="shared" ref="CK440:CL440" si="1293">+CK408</f>
        <v>0</v>
      </c>
      <c r="CL440" s="293">
        <f t="shared" si="1293"/>
        <v>0</v>
      </c>
      <c r="CN440" s="293">
        <f>+CN408</f>
        <v>0</v>
      </c>
      <c r="CO440" s="293">
        <f t="shared" ref="CO440:CP440" si="1294">+CO408</f>
        <v>0</v>
      </c>
      <c r="CP440" s="293">
        <f t="shared" si="1294"/>
        <v>0</v>
      </c>
      <c r="CR440" s="293">
        <f t="shared" ref="CR440:CT440" si="1295">+CR408</f>
        <v>0</v>
      </c>
      <c r="CS440" s="293">
        <f t="shared" si="1295"/>
        <v>0</v>
      </c>
      <c r="CT440" s="293">
        <f t="shared" si="1295"/>
        <v>0</v>
      </c>
      <c r="CV440" s="293">
        <f t="shared" ref="CV440:CX440" si="1296">+CV408</f>
        <v>0</v>
      </c>
      <c r="CW440" s="293">
        <f t="shared" si="1296"/>
        <v>0</v>
      </c>
      <c r="CX440" s="293">
        <f t="shared" si="1296"/>
        <v>0</v>
      </c>
      <c r="CZ440" s="293">
        <f t="shared" ref="CZ440:DB440" si="1297">+CZ408</f>
        <v>0</v>
      </c>
      <c r="DA440" s="1010">
        <f t="shared" si="1297"/>
        <v>0</v>
      </c>
      <c r="DB440" s="293">
        <f t="shared" si="1297"/>
        <v>0</v>
      </c>
      <c r="DD440" s="293">
        <f t="shared" ref="DD440:DF440" si="1298">+DD408</f>
        <v>0</v>
      </c>
      <c r="DE440" s="1010">
        <f t="shared" si="1298"/>
        <v>0</v>
      </c>
      <c r="DF440" s="293">
        <f t="shared" si="1298"/>
        <v>0</v>
      </c>
      <c r="DH440" s="293">
        <f t="shared" ref="DH440" si="1299">+DH408</f>
        <v>0</v>
      </c>
      <c r="DI440" s="293">
        <f t="shared" ref="DI440:DJ440" si="1300">+DI408</f>
        <v>0</v>
      </c>
      <c r="DJ440" s="293">
        <f t="shared" si="1300"/>
        <v>0</v>
      </c>
      <c r="DL440" s="293">
        <f t="shared" ref="DL440:DN440" si="1301">+DL408</f>
        <v>0</v>
      </c>
      <c r="DM440" s="293">
        <f t="shared" si="1301"/>
        <v>0</v>
      </c>
      <c r="DN440" s="293">
        <f t="shared" si="1301"/>
        <v>0</v>
      </c>
      <c r="DP440" s="293">
        <f t="shared" ref="DP440:DR440" si="1302">+DP408</f>
        <v>0</v>
      </c>
      <c r="DQ440" s="293">
        <f t="shared" si="1302"/>
        <v>0</v>
      </c>
      <c r="DR440" s="293">
        <f t="shared" si="1302"/>
        <v>0</v>
      </c>
      <c r="DW440" s="667"/>
    </row>
    <row r="441" spans="1:283">
      <c r="A441" s="332" t="str">
        <f>+A409</f>
        <v>Brokerage and commissions</v>
      </c>
      <c r="AV441" s="293">
        <f t="shared" si="1283"/>
        <v>16</v>
      </c>
      <c r="AW441" s="293">
        <f t="shared" si="1283"/>
        <v>17</v>
      </c>
      <c r="AX441" s="293">
        <f t="shared" si="1283"/>
        <v>33</v>
      </c>
      <c r="AZ441" s="293">
        <f t="shared" si="1284"/>
        <v>18</v>
      </c>
      <c r="BA441" s="293">
        <f t="shared" si="1284"/>
        <v>13</v>
      </c>
      <c r="BB441" s="293">
        <f t="shared" si="1284"/>
        <v>31</v>
      </c>
      <c r="BD441" s="293">
        <f t="shared" si="1285"/>
        <v>14</v>
      </c>
      <c r="BE441" s="293">
        <f t="shared" si="1285"/>
        <v>12</v>
      </c>
      <c r="BF441" s="293">
        <f t="shared" si="1285"/>
        <v>26</v>
      </c>
      <c r="BH441" s="293">
        <f t="shared" si="1286"/>
        <v>15</v>
      </c>
      <c r="BI441" s="293">
        <f t="shared" si="1286"/>
        <v>12</v>
      </c>
      <c r="BJ441" s="293">
        <f t="shared" si="1286"/>
        <v>27</v>
      </c>
      <c r="BL441" s="293">
        <f t="shared" si="1287"/>
        <v>16</v>
      </c>
      <c r="BM441" s="293">
        <f t="shared" si="1287"/>
        <v>16</v>
      </c>
      <c r="BN441" s="293">
        <f t="shared" si="1287"/>
        <v>32</v>
      </c>
      <c r="BP441" s="293">
        <f t="shared" si="1288"/>
        <v>15</v>
      </c>
      <c r="BQ441" s="293">
        <f t="shared" si="1288"/>
        <v>0</v>
      </c>
      <c r="BR441" s="293">
        <f t="shared" si="1288"/>
        <v>15</v>
      </c>
      <c r="BT441" s="293">
        <f t="shared" si="1289"/>
        <v>0</v>
      </c>
      <c r="BU441" s="293">
        <f t="shared" si="1289"/>
        <v>0</v>
      </c>
      <c r="BV441" s="293">
        <f t="shared" si="1289"/>
        <v>0</v>
      </c>
      <c r="BX441" s="293">
        <f t="shared" si="1290"/>
        <v>0</v>
      </c>
      <c r="BY441" s="293">
        <f t="shared" si="1290"/>
        <v>0</v>
      </c>
      <c r="BZ441" s="293">
        <f t="shared" si="1290"/>
        <v>0</v>
      </c>
      <c r="CB441" s="293">
        <f>+CB409</f>
        <v>0</v>
      </c>
      <c r="CC441" s="293">
        <f t="shared" ref="CC441:CD441" si="1303">+CC409</f>
        <v>0</v>
      </c>
      <c r="CD441" s="293">
        <f t="shared" si="1303"/>
        <v>0</v>
      </c>
      <c r="CF441" s="293">
        <f>+CF409</f>
        <v>0</v>
      </c>
      <c r="CG441" s="293">
        <f t="shared" ref="CG441:CH441" si="1304">+CG409</f>
        <v>0</v>
      </c>
      <c r="CH441" s="293">
        <f t="shared" si="1304"/>
        <v>0</v>
      </c>
      <c r="CJ441" s="293">
        <f>+CJ409</f>
        <v>0</v>
      </c>
      <c r="CK441" s="293">
        <f t="shared" ref="CK441:CL441" si="1305">+CK409</f>
        <v>0</v>
      </c>
      <c r="CL441" s="293">
        <f t="shared" si="1305"/>
        <v>0</v>
      </c>
      <c r="CN441" s="293">
        <f>+CN409</f>
        <v>0</v>
      </c>
      <c r="CO441" s="293">
        <f t="shared" ref="CO441:CP441" si="1306">+CO409</f>
        <v>0</v>
      </c>
      <c r="CP441" s="293">
        <f t="shared" si="1306"/>
        <v>0</v>
      </c>
      <c r="CR441" s="293">
        <f t="shared" ref="CR441:CT441" si="1307">+CR409</f>
        <v>0</v>
      </c>
      <c r="CS441" s="293">
        <f t="shared" si="1307"/>
        <v>0</v>
      </c>
      <c r="CT441" s="293">
        <f t="shared" si="1307"/>
        <v>0</v>
      </c>
      <c r="CV441" s="293">
        <f t="shared" ref="CV441:CX441" si="1308">+CV409</f>
        <v>0</v>
      </c>
      <c r="CW441" s="293">
        <f t="shared" si="1308"/>
        <v>0</v>
      </c>
      <c r="CX441" s="293">
        <f t="shared" si="1308"/>
        <v>0</v>
      </c>
      <c r="CZ441" s="293">
        <f t="shared" ref="CZ441:DB441" si="1309">+CZ409</f>
        <v>0</v>
      </c>
      <c r="DA441" s="1010">
        <f t="shared" si="1309"/>
        <v>0</v>
      </c>
      <c r="DB441" s="293">
        <f t="shared" si="1309"/>
        <v>0</v>
      </c>
      <c r="DD441" s="293">
        <f t="shared" ref="DD441:DF441" si="1310">+DD409</f>
        <v>0</v>
      </c>
      <c r="DE441" s="1010">
        <f t="shared" si="1310"/>
        <v>0</v>
      </c>
      <c r="DF441" s="293">
        <f t="shared" si="1310"/>
        <v>0</v>
      </c>
      <c r="DH441" s="293">
        <f t="shared" ref="DH441" si="1311">+DH409</f>
        <v>0</v>
      </c>
      <c r="DI441" s="293">
        <f t="shared" ref="DI441:DJ441" si="1312">+DI409</f>
        <v>0</v>
      </c>
      <c r="DJ441" s="293">
        <f t="shared" si="1312"/>
        <v>0</v>
      </c>
      <c r="DL441" s="293">
        <f t="shared" ref="DL441:DN441" si="1313">+DL409</f>
        <v>0</v>
      </c>
      <c r="DM441" s="293">
        <f t="shared" si="1313"/>
        <v>0</v>
      </c>
      <c r="DN441" s="293">
        <f t="shared" si="1313"/>
        <v>0</v>
      </c>
      <c r="DP441" s="293">
        <f t="shared" ref="DP441:DR441" si="1314">+DP409</f>
        <v>0</v>
      </c>
      <c r="DQ441" s="293">
        <f t="shared" si="1314"/>
        <v>0</v>
      </c>
      <c r="DR441" s="293">
        <f t="shared" si="1314"/>
        <v>0</v>
      </c>
      <c r="DW441" s="667"/>
    </row>
    <row r="442" spans="1:283">
      <c r="A442" s="332" t="str">
        <f>+A410</f>
        <v>Other fee and commission income</v>
      </c>
      <c r="AV442" s="293">
        <f t="shared" si="1283"/>
        <v>45</v>
      </c>
      <c r="AW442" s="293">
        <f t="shared" si="1283"/>
        <v>75</v>
      </c>
      <c r="AX442" s="293">
        <f t="shared" si="1283"/>
        <v>120</v>
      </c>
      <c r="AZ442" s="293">
        <f t="shared" si="1284"/>
        <v>152</v>
      </c>
      <c r="BA442" s="293">
        <f t="shared" si="1284"/>
        <v>97</v>
      </c>
      <c r="BB442" s="293">
        <f t="shared" si="1284"/>
        <v>249</v>
      </c>
      <c r="BD442" s="293">
        <f t="shared" si="1285"/>
        <v>97</v>
      </c>
      <c r="BE442" s="293">
        <f t="shared" si="1285"/>
        <v>93</v>
      </c>
      <c r="BF442" s="293">
        <f t="shared" si="1285"/>
        <v>190</v>
      </c>
      <c r="BH442" s="293">
        <f t="shared" si="1286"/>
        <v>88</v>
      </c>
      <c r="BI442" s="293">
        <f t="shared" si="1286"/>
        <v>164</v>
      </c>
      <c r="BJ442" s="293">
        <f t="shared" si="1286"/>
        <v>252</v>
      </c>
      <c r="BL442" s="293">
        <f t="shared" si="1287"/>
        <v>99</v>
      </c>
      <c r="BM442" s="293">
        <f t="shared" si="1287"/>
        <v>100</v>
      </c>
      <c r="BN442" s="293">
        <f t="shared" si="1287"/>
        <v>199</v>
      </c>
      <c r="BP442" s="293">
        <f t="shared" si="1288"/>
        <v>90</v>
      </c>
      <c r="BQ442" s="293">
        <f t="shared" si="1288"/>
        <v>128</v>
      </c>
      <c r="BR442" s="293">
        <f t="shared" si="1288"/>
        <v>218</v>
      </c>
      <c r="BT442" s="293">
        <f t="shared" si="1289"/>
        <v>124</v>
      </c>
      <c r="BU442" s="293">
        <f t="shared" si="1289"/>
        <v>118</v>
      </c>
      <c r="BV442" s="293">
        <f t="shared" si="1289"/>
        <v>242</v>
      </c>
      <c r="BX442" s="293">
        <f t="shared" si="1290"/>
        <v>105</v>
      </c>
      <c r="BY442" s="293">
        <f t="shared" si="1290"/>
        <v>124</v>
      </c>
      <c r="BZ442" s="293">
        <f t="shared" si="1290"/>
        <v>229</v>
      </c>
      <c r="CB442" s="293">
        <f>+CB410</f>
        <v>104</v>
      </c>
      <c r="CC442" s="293">
        <f t="shared" ref="CC442:CD442" si="1315">+CC410</f>
        <v>108</v>
      </c>
      <c r="CD442" s="293">
        <f t="shared" si="1315"/>
        <v>212</v>
      </c>
      <c r="CF442" s="293">
        <f>+CF410</f>
        <v>131</v>
      </c>
      <c r="CG442" s="293">
        <f t="shared" ref="CG442:CH442" si="1316">+CG410</f>
        <v>156</v>
      </c>
      <c r="CH442" s="293">
        <f t="shared" si="1316"/>
        <v>287</v>
      </c>
      <c r="CJ442" s="293">
        <f>+CJ410</f>
        <v>152</v>
      </c>
      <c r="CK442" s="293">
        <f t="shared" ref="CK442:CL442" si="1317">+CK410</f>
        <v>213</v>
      </c>
      <c r="CL442" s="293">
        <f t="shared" si="1317"/>
        <v>365</v>
      </c>
      <c r="CN442" s="293">
        <f>+CN410</f>
        <v>121</v>
      </c>
      <c r="CO442" s="293">
        <f t="shared" ref="CO442:CP442" si="1318">+CO410</f>
        <v>162</v>
      </c>
      <c r="CP442" s="293">
        <f t="shared" si="1318"/>
        <v>283</v>
      </c>
      <c r="CR442" s="293">
        <f t="shared" ref="CR442:CT442" si="1319">+CR410</f>
        <v>610</v>
      </c>
      <c r="CS442" s="293">
        <f t="shared" si="1319"/>
        <v>313</v>
      </c>
      <c r="CT442" s="293">
        <f t="shared" si="1319"/>
        <v>923</v>
      </c>
      <c r="CV442" s="293">
        <f t="shared" ref="CV442:CX442" si="1320">+CV410</f>
        <v>267</v>
      </c>
      <c r="CW442" s="293">
        <f t="shared" si="1320"/>
        <v>288</v>
      </c>
      <c r="CX442" s="293">
        <f t="shared" si="1320"/>
        <v>555</v>
      </c>
      <c r="CZ442" s="293">
        <f t="shared" ref="CZ442:DB442" si="1321">+CZ410</f>
        <v>212</v>
      </c>
      <c r="DA442" s="1010">
        <f t="shared" si="1321"/>
        <v>224</v>
      </c>
      <c r="DB442" s="293">
        <f t="shared" si="1321"/>
        <v>436</v>
      </c>
      <c r="DD442" s="293">
        <f t="shared" ref="DD442:DF442" si="1322">+DD410</f>
        <v>208</v>
      </c>
      <c r="DE442" s="1010">
        <f t="shared" si="1322"/>
        <v>242</v>
      </c>
      <c r="DF442" s="293">
        <f t="shared" si="1322"/>
        <v>450</v>
      </c>
      <c r="DH442" s="293">
        <f t="shared" ref="DH442" si="1323">+DH410</f>
        <v>194</v>
      </c>
      <c r="DI442" s="293">
        <f t="shared" ref="DI442:DJ442" si="1324">+DI410</f>
        <v>199.82</v>
      </c>
      <c r="DJ442" s="293">
        <f t="shared" si="1324"/>
        <v>393.82</v>
      </c>
      <c r="DL442" s="293">
        <f t="shared" ref="DL442:DN442" si="1325">+DL410</f>
        <v>205.81459999999998</v>
      </c>
      <c r="DM442" s="293">
        <f t="shared" si="1325"/>
        <v>211.98903799999999</v>
      </c>
      <c r="DN442" s="293">
        <f t="shared" si="1325"/>
        <v>417.80363799999998</v>
      </c>
      <c r="DP442" s="293">
        <f t="shared" ref="DP442:DR442" si="1326">+DP410</f>
        <v>218.34870914000001</v>
      </c>
      <c r="DQ442" s="293">
        <f t="shared" si="1326"/>
        <v>224.89917041420003</v>
      </c>
      <c r="DR442" s="293">
        <f t="shared" si="1326"/>
        <v>443.24787955420004</v>
      </c>
      <c r="DW442" s="667"/>
    </row>
    <row r="443" spans="1:283">
      <c r="A443" s="327" t="s">
        <v>588</v>
      </c>
      <c r="B443" s="289"/>
      <c r="C443" s="289"/>
      <c r="D443" s="289"/>
      <c r="E443" s="289"/>
      <c r="F443" s="289"/>
      <c r="G443" s="289"/>
      <c r="H443" s="289"/>
      <c r="I443" s="289"/>
      <c r="J443" s="289"/>
      <c r="K443" s="289"/>
      <c r="L443" s="289"/>
      <c r="M443" s="289"/>
      <c r="N443" s="289"/>
      <c r="O443" s="289"/>
      <c r="P443" s="289"/>
      <c r="Q443" s="289"/>
      <c r="R443" s="289"/>
      <c r="S443" s="289"/>
      <c r="T443" s="289"/>
      <c r="U443" s="289"/>
      <c r="V443" s="289"/>
      <c r="W443" s="289"/>
      <c r="X443" s="289"/>
      <c r="Y443" s="289"/>
      <c r="Z443" s="289"/>
      <c r="AA443" s="289"/>
      <c r="AB443" s="289"/>
      <c r="AC443" s="289"/>
      <c r="AD443" s="289"/>
      <c r="AE443" s="289"/>
      <c r="AF443" s="289"/>
      <c r="AG443" s="289"/>
      <c r="AH443" s="289"/>
      <c r="AI443" s="289"/>
      <c r="AJ443" s="289"/>
      <c r="AK443" s="289"/>
      <c r="AL443" s="289"/>
      <c r="AM443" s="289"/>
      <c r="AN443" s="290"/>
      <c r="AO443" s="290"/>
      <c r="AP443" s="290"/>
      <c r="AQ443" s="290"/>
      <c r="AR443" s="290"/>
      <c r="AS443" s="290"/>
      <c r="AT443" s="290"/>
      <c r="AU443" s="290"/>
      <c r="AV443" s="295">
        <f>SUM(AV440:AV442)</f>
        <v>81</v>
      </c>
      <c r="AW443" s="295">
        <f>SUM(AW440:AW442)</f>
        <v>111</v>
      </c>
      <c r="AX443" s="295">
        <f>SUM(AX440:AX442)</f>
        <v>192</v>
      </c>
      <c r="AY443" s="290"/>
      <c r="AZ443" s="295">
        <f>SUM(AZ440:AZ442)</f>
        <v>173</v>
      </c>
      <c r="BA443" s="295">
        <f>SUM(BA440:BA442)</f>
        <v>128</v>
      </c>
      <c r="BB443" s="295">
        <f>SUM(BB440:BB442)</f>
        <v>301</v>
      </c>
      <c r="BD443" s="295">
        <f>SUM(BD440:BD442)</f>
        <v>113</v>
      </c>
      <c r="BE443" s="295">
        <f>SUM(BE440:BE442)</f>
        <v>110</v>
      </c>
      <c r="BF443" s="295">
        <f>SUM(BF440:BF442)</f>
        <v>223</v>
      </c>
      <c r="BH443" s="295">
        <f>SUM(BH440:BH442)</f>
        <v>108</v>
      </c>
      <c r="BI443" s="295">
        <f>SUM(BI440:BI442)</f>
        <v>181</v>
      </c>
      <c r="BJ443" s="295">
        <f>SUM(BJ440:BJ442)</f>
        <v>289</v>
      </c>
      <c r="BL443" s="295">
        <f>SUM(BL440:BL442)</f>
        <v>120</v>
      </c>
      <c r="BM443" s="295">
        <f>SUM(BM440:BM442)</f>
        <v>121</v>
      </c>
      <c r="BN443" s="295">
        <f>SUM(BN440:BN442)</f>
        <v>241</v>
      </c>
      <c r="BP443" s="295">
        <f>SUM(BP440:BP442)</f>
        <v>105</v>
      </c>
      <c r="BQ443" s="295">
        <f>SUM(BQ440:BQ442)</f>
        <v>128</v>
      </c>
      <c r="BR443" s="295">
        <f>SUM(BR440:BR442)</f>
        <v>233</v>
      </c>
      <c r="BT443" s="295">
        <f>SUM(BT440:BT442)</f>
        <v>124</v>
      </c>
      <c r="BU443" s="295">
        <f>SUM(BU440:BU442)</f>
        <v>118</v>
      </c>
      <c r="BV443" s="295">
        <f>SUM(BV440:BV442)</f>
        <v>242</v>
      </c>
      <c r="BX443" s="295">
        <f>SUM(BX440:BX442)</f>
        <v>105</v>
      </c>
      <c r="BY443" s="295">
        <f>SUM(BY440:BY442)</f>
        <v>124</v>
      </c>
      <c r="BZ443" s="295">
        <f>SUM(BZ440:BZ442)</f>
        <v>229</v>
      </c>
      <c r="CB443" s="295">
        <f>SUM(CB440:CB442)</f>
        <v>104</v>
      </c>
      <c r="CC443" s="295">
        <f>SUM(CC440:CC442)</f>
        <v>108</v>
      </c>
      <c r="CD443" s="295">
        <f>SUM(CD440:CD442)</f>
        <v>212</v>
      </c>
      <c r="CF443" s="295">
        <f>SUM(CF440:CF442)</f>
        <v>131</v>
      </c>
      <c r="CG443" s="295">
        <f>SUM(CG440:CG442)</f>
        <v>156</v>
      </c>
      <c r="CH443" s="295">
        <f>SUM(CH440:CH442)</f>
        <v>287</v>
      </c>
      <c r="CJ443" s="295">
        <f>SUM(CJ440:CJ442)</f>
        <v>152</v>
      </c>
      <c r="CK443" s="295">
        <f>SUM(CK440:CK442)</f>
        <v>213</v>
      </c>
      <c r="CL443" s="295">
        <f>SUM(CL440:CL442)</f>
        <v>365</v>
      </c>
      <c r="CN443" s="295">
        <f>SUM(CN440:CN442)</f>
        <v>121</v>
      </c>
      <c r="CO443" s="295">
        <f>SUM(CO440:CO442)</f>
        <v>162</v>
      </c>
      <c r="CP443" s="295">
        <f>SUM(CP440:CP442)</f>
        <v>283</v>
      </c>
      <c r="CR443" s="295">
        <f>SUM(CR440:CR442)</f>
        <v>610</v>
      </c>
      <c r="CS443" s="295">
        <f>SUM(CS440:CS442)</f>
        <v>313</v>
      </c>
      <c r="CT443" s="295">
        <f>SUM(CT440:CT442)</f>
        <v>923</v>
      </c>
      <c r="CV443" s="295">
        <f>SUM(CV440:CV442)</f>
        <v>267</v>
      </c>
      <c r="CW443" s="295">
        <f>SUM(CW440:CW442)</f>
        <v>288</v>
      </c>
      <c r="CX443" s="295">
        <f>SUM(CX440:CX442)</f>
        <v>555</v>
      </c>
      <c r="CZ443" s="295">
        <f>SUM(CZ440:CZ442)</f>
        <v>212</v>
      </c>
      <c r="DA443" s="1412">
        <f>SUM(DA440:DA442)</f>
        <v>224</v>
      </c>
      <c r="DB443" s="295">
        <f>SUM(DB440:DB442)</f>
        <v>436</v>
      </c>
      <c r="DD443" s="295">
        <f>SUM(DD440:DD442)</f>
        <v>208</v>
      </c>
      <c r="DE443" s="1412">
        <f>SUM(DE440:DE442)</f>
        <v>242</v>
      </c>
      <c r="DF443" s="295">
        <f>SUM(DF440:DF442)</f>
        <v>450</v>
      </c>
      <c r="DH443" s="295">
        <f>SUM(DH440:DH442)</f>
        <v>194</v>
      </c>
      <c r="DI443" s="295">
        <f>SUM(DI440:DI442)</f>
        <v>199.82</v>
      </c>
      <c r="DJ443" s="295">
        <f>SUM(DJ440:DJ442)</f>
        <v>393.82</v>
      </c>
      <c r="DL443" s="295">
        <f>SUM(DL440:DL442)</f>
        <v>205.81459999999998</v>
      </c>
      <c r="DM443" s="295">
        <f>SUM(DM440:DM442)</f>
        <v>211.98903799999999</v>
      </c>
      <c r="DN443" s="295">
        <f>SUM(DN440:DN442)</f>
        <v>417.80363799999998</v>
      </c>
      <c r="DP443" s="295">
        <f>SUM(DP440:DP442)</f>
        <v>218.34870914000001</v>
      </c>
      <c r="DQ443" s="295">
        <f>SUM(DQ440:DQ442)</f>
        <v>224.89917041420003</v>
      </c>
      <c r="DR443" s="295">
        <f>SUM(DR440:DR442)</f>
        <v>443.24787955420004</v>
      </c>
      <c r="DW443" s="667"/>
    </row>
    <row r="444" spans="1:283">
      <c r="CR444" s="103"/>
      <c r="CS444" s="103"/>
      <c r="CT444" s="103"/>
      <c r="CV444" s="103"/>
      <c r="CW444" s="103"/>
      <c r="CX444" s="103"/>
      <c r="CZ444" s="103"/>
      <c r="DA444" s="1009"/>
      <c r="DB444" s="103"/>
      <c r="DD444" s="103"/>
      <c r="DE444" s="1009"/>
      <c r="DF444" s="103"/>
      <c r="DH444" s="103"/>
      <c r="DI444" s="103"/>
      <c r="DJ444" s="103"/>
      <c r="DL444" s="103"/>
      <c r="DM444" s="103"/>
      <c r="DN444" s="103"/>
      <c r="DP444" s="103"/>
      <c r="DQ444" s="103"/>
      <c r="DR444" s="103"/>
      <c r="DW444" s="667"/>
    </row>
    <row r="445" spans="1:283">
      <c r="A445" s="289" t="s">
        <v>984</v>
      </c>
      <c r="AV445" s="102"/>
      <c r="CR445" s="103"/>
      <c r="CS445" s="103"/>
      <c r="CT445" s="103"/>
      <c r="CV445" s="103"/>
      <c r="CW445" s="103"/>
      <c r="CX445" s="103"/>
      <c r="CZ445" s="103"/>
      <c r="DA445" s="103"/>
      <c r="DB445" s="103"/>
      <c r="DD445" s="103"/>
      <c r="DE445" s="103"/>
      <c r="DF445" s="103"/>
      <c r="DH445" s="103"/>
      <c r="DI445" s="103"/>
      <c r="DJ445" s="103"/>
      <c r="DL445" s="103"/>
      <c r="DM445" s="103"/>
      <c r="DN445" s="103"/>
      <c r="DP445" s="103"/>
      <c r="DQ445" s="103"/>
      <c r="DR445" s="103"/>
      <c r="DW445" s="667"/>
    </row>
    <row r="446" spans="1:283">
      <c r="A446" s="332" t="str">
        <f>+A342</f>
        <v>Net interest income</v>
      </c>
      <c r="AV446" s="293">
        <f>+AV342</f>
        <v>-44</v>
      </c>
      <c r="AW446" s="293">
        <f>+AW342</f>
        <v>-53</v>
      </c>
      <c r="AX446" s="293">
        <f>+AX342</f>
        <v>-97</v>
      </c>
      <c r="AZ446" s="293">
        <f>+AZ342</f>
        <v>-24</v>
      </c>
      <c r="BA446" s="293">
        <f>+BA342</f>
        <v>-5</v>
      </c>
      <c r="BB446" s="293">
        <f>+BB342</f>
        <v>-29</v>
      </c>
      <c r="BD446" s="293">
        <f>+BD342</f>
        <v>0</v>
      </c>
      <c r="BE446" s="293">
        <f>+BE342</f>
        <v>0</v>
      </c>
      <c r="BF446" s="293">
        <f>+BF342</f>
        <v>0</v>
      </c>
      <c r="BH446" s="293">
        <f>+BH342</f>
        <v>0</v>
      </c>
      <c r="BI446" s="293">
        <f>+BI342</f>
        <v>0</v>
      </c>
      <c r="BJ446" s="293">
        <f>+BJ342</f>
        <v>0</v>
      </c>
      <c r="BL446" s="293">
        <f>+BL342</f>
        <v>0</v>
      </c>
      <c r="BM446" s="293">
        <f>+BM342</f>
        <v>0</v>
      </c>
      <c r="BN446" s="293">
        <f>+BN342</f>
        <v>0</v>
      </c>
      <c r="BP446" s="293">
        <f>+BP342</f>
        <v>0</v>
      </c>
      <c r="BQ446" s="293">
        <f>+BQ342</f>
        <v>0</v>
      </c>
      <c r="BR446" s="293">
        <f>+BR342</f>
        <v>0</v>
      </c>
      <c r="BT446" s="293">
        <f>+BT342</f>
        <v>0</v>
      </c>
      <c r="BU446" s="293">
        <f>+BU342</f>
        <v>0</v>
      </c>
      <c r="BV446" s="293">
        <f>+BV342</f>
        <v>0</v>
      </c>
      <c r="BX446" s="293">
        <f>+BX342</f>
        <v>0</v>
      </c>
      <c r="BY446" s="293">
        <f>+BY342</f>
        <v>0</v>
      </c>
      <c r="BZ446" s="293">
        <f>+BZ342</f>
        <v>0</v>
      </c>
      <c r="CB446" s="293">
        <f>+CB342</f>
        <v>0</v>
      </c>
      <c r="CC446" s="293">
        <f>+CC342</f>
        <v>0</v>
      </c>
      <c r="CD446" s="293">
        <f>+CD342</f>
        <v>0</v>
      </c>
      <c r="CF446" s="293">
        <f>+CF342</f>
        <v>0</v>
      </c>
      <c r="CG446" s="293">
        <f>+CG342</f>
        <v>0</v>
      </c>
      <c r="CH446" s="293">
        <f>+CH342</f>
        <v>0</v>
      </c>
      <c r="CJ446" s="293">
        <f>+CJ342</f>
        <v>0</v>
      </c>
      <c r="CK446" s="293">
        <f>+CK342</f>
        <v>0</v>
      </c>
      <c r="CL446" s="293">
        <f>+CL342</f>
        <v>0</v>
      </c>
      <c r="CN446" s="293">
        <f>+CN342</f>
        <v>0</v>
      </c>
      <c r="CO446" s="293">
        <f>+CO342</f>
        <v>0</v>
      </c>
      <c r="CP446" s="293">
        <f>+CP342</f>
        <v>0</v>
      </c>
      <c r="CR446" s="293">
        <f>+CR342</f>
        <v>0</v>
      </c>
      <c r="CS446" s="293">
        <f>+CS342</f>
        <v>0</v>
      </c>
      <c r="CT446" s="293">
        <f>+CT342</f>
        <v>0</v>
      </c>
      <c r="CV446" s="293">
        <f>+CV342</f>
        <v>0</v>
      </c>
      <c r="CW446" s="293">
        <f>+CW342</f>
        <v>0</v>
      </c>
      <c r="CX446" s="293">
        <f>+CX342</f>
        <v>0</v>
      </c>
      <c r="CZ446" s="293">
        <f>+CZ342</f>
        <v>0</v>
      </c>
      <c r="DA446" s="293">
        <f>+DA342</f>
        <v>0</v>
      </c>
      <c r="DB446" s="293">
        <f>+DB342</f>
        <v>0</v>
      </c>
      <c r="DD446" s="293">
        <f>+DD342</f>
        <v>0</v>
      </c>
      <c r="DE446" s="293">
        <f>+DE342</f>
        <v>0</v>
      </c>
      <c r="DF446" s="293">
        <f>+DF342</f>
        <v>0</v>
      </c>
      <c r="DH446" s="293">
        <f>+DH342</f>
        <v>0</v>
      </c>
      <c r="DI446" s="293">
        <f>+DI342</f>
        <v>0</v>
      </c>
      <c r="DJ446" s="293">
        <f>+DJ342</f>
        <v>0</v>
      </c>
      <c r="DL446" s="293">
        <f>+DL342</f>
        <v>0</v>
      </c>
      <c r="DM446" s="293">
        <f>+DM342</f>
        <v>0</v>
      </c>
      <c r="DN446" s="293">
        <f>+DN342</f>
        <v>0</v>
      </c>
      <c r="DP446" s="293">
        <f>+DP342</f>
        <v>0</v>
      </c>
      <c r="DQ446" s="293">
        <f>+DQ342</f>
        <v>0</v>
      </c>
      <c r="DR446" s="293">
        <f>+DR342</f>
        <v>0</v>
      </c>
      <c r="DW446" s="667"/>
    </row>
    <row r="447" spans="1:283">
      <c r="A447" s="332" t="str">
        <f>A344</f>
        <v>Net trading income</v>
      </c>
      <c r="AV447" s="293">
        <f t="shared" ref="AV447:AX448" si="1327">AV344</f>
        <v>3</v>
      </c>
      <c r="AW447" s="293">
        <f t="shared" si="1327"/>
        <v>-1</v>
      </c>
      <c r="AX447" s="293">
        <f t="shared" si="1327"/>
        <v>2</v>
      </c>
      <c r="AZ447" s="293">
        <f t="shared" ref="AZ447:BB448" si="1328">AZ344</f>
        <v>-1</v>
      </c>
      <c r="BA447" s="293">
        <f t="shared" si="1328"/>
        <v>12</v>
      </c>
      <c r="BB447" s="293">
        <f t="shared" si="1328"/>
        <v>11</v>
      </c>
      <c r="BD447" s="293">
        <f t="shared" ref="BD447:BF448" si="1329">BD344</f>
        <v>92</v>
      </c>
      <c r="BE447" s="293">
        <f t="shared" si="1329"/>
        <v>18</v>
      </c>
      <c r="BF447" s="293">
        <f t="shared" si="1329"/>
        <v>110</v>
      </c>
      <c r="BH447" s="293">
        <f t="shared" ref="BH447:BJ448" si="1330">BH344</f>
        <v>7</v>
      </c>
      <c r="BI447" s="293">
        <f t="shared" si="1330"/>
        <v>-7</v>
      </c>
      <c r="BJ447" s="293">
        <f t="shared" si="1330"/>
        <v>0</v>
      </c>
      <c r="BL447" s="293">
        <f t="shared" ref="BL447:BN448" si="1331">BL344</f>
        <v>-5</v>
      </c>
      <c r="BM447" s="293">
        <f t="shared" si="1331"/>
        <v>-18</v>
      </c>
      <c r="BN447" s="293">
        <f t="shared" si="1331"/>
        <v>-23</v>
      </c>
      <c r="BP447" s="293">
        <f t="shared" ref="BP447:BR448" si="1332">BP344</f>
        <v>11</v>
      </c>
      <c r="BQ447" s="293">
        <f t="shared" si="1332"/>
        <v>0</v>
      </c>
      <c r="BR447" s="293">
        <f t="shared" si="1332"/>
        <v>11</v>
      </c>
      <c r="BT447" s="293">
        <f t="shared" ref="BT447:BV448" si="1333">BT344</f>
        <v>9</v>
      </c>
      <c r="BU447" s="293">
        <f t="shared" si="1333"/>
        <v>-24</v>
      </c>
      <c r="BV447" s="293">
        <f t="shared" si="1333"/>
        <v>-15</v>
      </c>
      <c r="BX447" s="293">
        <f t="shared" ref="BX447:BZ448" si="1334">BX344</f>
        <v>-22</v>
      </c>
      <c r="BY447" s="293">
        <f t="shared" si="1334"/>
        <v>-20</v>
      </c>
      <c r="BZ447" s="293">
        <f t="shared" si="1334"/>
        <v>-42</v>
      </c>
      <c r="CB447" s="293">
        <f t="shared" ref="CB447:CD448" si="1335">CB344</f>
        <v>-81</v>
      </c>
      <c r="CC447" s="293">
        <f t="shared" si="1335"/>
        <v>-87</v>
      </c>
      <c r="CD447" s="293">
        <f t="shared" si="1335"/>
        <v>-168</v>
      </c>
      <c r="CF447" s="293">
        <f t="shared" ref="CF447:CH448" si="1336">CF344</f>
        <v>-217</v>
      </c>
      <c r="CG447" s="293">
        <f t="shared" si="1336"/>
        <v>-252</v>
      </c>
      <c r="CH447" s="293">
        <f t="shared" si="1336"/>
        <v>-469</v>
      </c>
      <c r="CJ447" s="293">
        <f t="shared" ref="CJ447:CL448" si="1337">CJ344</f>
        <v>-258</v>
      </c>
      <c r="CK447" s="293">
        <f t="shared" si="1337"/>
        <v>-144</v>
      </c>
      <c r="CL447" s="293">
        <f t="shared" si="1337"/>
        <v>-402</v>
      </c>
      <c r="CN447" s="293">
        <f t="shared" ref="CN447:CP448" si="1338">CN344</f>
        <v>-123</v>
      </c>
      <c r="CO447" s="293">
        <f t="shared" si="1338"/>
        <v>-126</v>
      </c>
      <c r="CP447" s="293">
        <f t="shared" si="1338"/>
        <v>-249</v>
      </c>
      <c r="CR447" s="293">
        <f t="shared" ref="CR447:CT448" si="1339">CR344</f>
        <v>-178</v>
      </c>
      <c r="CS447" s="293">
        <f t="shared" si="1339"/>
        <v>-150</v>
      </c>
      <c r="CT447" s="293">
        <f t="shared" si="1339"/>
        <v>-328</v>
      </c>
      <c r="CV447" s="293">
        <f t="shared" ref="CV447:CX448" si="1340">CV344</f>
        <v>-143</v>
      </c>
      <c r="CW447" s="293">
        <f t="shared" si="1340"/>
        <v>-253</v>
      </c>
      <c r="CX447" s="293">
        <f t="shared" si="1340"/>
        <v>-396</v>
      </c>
      <c r="CZ447" s="293">
        <f t="shared" ref="CZ447:DB448" si="1341">CZ344</f>
        <v>-265</v>
      </c>
      <c r="DA447" s="293">
        <f t="shared" si="1341"/>
        <v>-292</v>
      </c>
      <c r="DB447" s="293">
        <f t="shared" si="1341"/>
        <v>-557</v>
      </c>
      <c r="DD447" s="293">
        <f t="shared" ref="DD447:DF448" si="1342">DD344</f>
        <v>-245</v>
      </c>
      <c r="DE447" s="293">
        <f t="shared" si="1342"/>
        <v>-269</v>
      </c>
      <c r="DF447" s="293">
        <f t="shared" si="1342"/>
        <v>-514</v>
      </c>
      <c r="DH447" s="293">
        <f t="shared" ref="DH447" si="1343">DH344</f>
        <v>-193</v>
      </c>
      <c r="DI447" s="293">
        <f t="shared" ref="DI447:DJ448" si="1344">DI344</f>
        <v>-198.79</v>
      </c>
      <c r="DJ447" s="293">
        <f t="shared" si="1344"/>
        <v>-391.78999999999996</v>
      </c>
      <c r="DL447" s="293">
        <f t="shared" ref="DL447:DN448" si="1345">DL344</f>
        <v>-204.75370000000001</v>
      </c>
      <c r="DM447" s="293">
        <f t="shared" si="1345"/>
        <v>-210.89631100000003</v>
      </c>
      <c r="DN447" s="293">
        <f t="shared" si="1345"/>
        <v>-415.65001100000006</v>
      </c>
      <c r="DP447" s="293">
        <f t="shared" ref="DP447:DR448" si="1346">DP344</f>
        <v>-217.22320033000003</v>
      </c>
      <c r="DQ447" s="293">
        <f t="shared" si="1346"/>
        <v>-223.73989633990004</v>
      </c>
      <c r="DR447" s="293">
        <f t="shared" si="1346"/>
        <v>-440.9630966699001</v>
      </c>
      <c r="DW447" s="667"/>
    </row>
    <row r="448" spans="1:283">
      <c r="A448" s="332" t="str">
        <f>A345</f>
        <v>Associates and JVs</v>
      </c>
      <c r="AV448" s="293">
        <f t="shared" si="1327"/>
        <v>-153</v>
      </c>
      <c r="AW448" s="293">
        <f t="shared" si="1327"/>
        <v>-33</v>
      </c>
      <c r="AX448" s="293">
        <f t="shared" si="1327"/>
        <v>-186</v>
      </c>
      <c r="AZ448" s="293">
        <f t="shared" si="1328"/>
        <v>6</v>
      </c>
      <c r="BA448" s="293">
        <f t="shared" si="1328"/>
        <v>61</v>
      </c>
      <c r="BB448" s="293">
        <f t="shared" si="1328"/>
        <v>67</v>
      </c>
      <c r="BD448" s="293">
        <f t="shared" si="1329"/>
        <v>15</v>
      </c>
      <c r="BE448" s="293">
        <f t="shared" si="1329"/>
        <v>-28</v>
      </c>
      <c r="BF448" s="293">
        <f t="shared" si="1329"/>
        <v>-13</v>
      </c>
      <c r="BH448" s="293">
        <f t="shared" si="1330"/>
        <v>48</v>
      </c>
      <c r="BI448" s="293">
        <f t="shared" si="1330"/>
        <v>-12</v>
      </c>
      <c r="BJ448" s="293">
        <f t="shared" si="1330"/>
        <v>36</v>
      </c>
      <c r="BL448" s="293">
        <f t="shared" si="1331"/>
        <v>47</v>
      </c>
      <c r="BM448" s="293">
        <f t="shared" si="1331"/>
        <v>56</v>
      </c>
      <c r="BN448" s="293">
        <f t="shared" si="1331"/>
        <v>103</v>
      </c>
      <c r="BP448" s="293">
        <f t="shared" si="1332"/>
        <v>38</v>
      </c>
      <c r="BQ448" s="293">
        <f t="shared" si="1332"/>
        <v>-25</v>
      </c>
      <c r="BR448" s="293">
        <f t="shared" si="1332"/>
        <v>13</v>
      </c>
      <c r="BT448" s="293">
        <f t="shared" si="1333"/>
        <v>-38</v>
      </c>
      <c r="BU448" s="293">
        <f t="shared" si="1333"/>
        <v>22</v>
      </c>
      <c r="BV448" s="293">
        <f t="shared" si="1333"/>
        <v>-16</v>
      </c>
      <c r="BX448" s="293">
        <f t="shared" si="1334"/>
        <v>41</v>
      </c>
      <c r="BY448" s="293">
        <f t="shared" si="1334"/>
        <v>4</v>
      </c>
      <c r="BZ448" s="293">
        <f t="shared" si="1334"/>
        <v>45</v>
      </c>
      <c r="CB448" s="293">
        <f t="shared" si="1335"/>
        <v>49</v>
      </c>
      <c r="CC448" s="293">
        <f t="shared" si="1335"/>
        <v>122</v>
      </c>
      <c r="CD448" s="293">
        <f t="shared" si="1335"/>
        <v>171</v>
      </c>
      <c r="CF448" s="293">
        <f t="shared" si="1336"/>
        <v>87</v>
      </c>
      <c r="CG448" s="293">
        <f t="shared" si="1336"/>
        <v>27</v>
      </c>
      <c r="CH448" s="293">
        <f t="shared" si="1336"/>
        <v>114</v>
      </c>
      <c r="CJ448" s="293">
        <f t="shared" si="1337"/>
        <v>83</v>
      </c>
      <c r="CK448" s="293">
        <f t="shared" si="1337"/>
        <v>141</v>
      </c>
      <c r="CL448" s="293">
        <f t="shared" si="1337"/>
        <v>224</v>
      </c>
      <c r="CN448" s="293">
        <f t="shared" si="1338"/>
        <v>-55</v>
      </c>
      <c r="CO448" s="293">
        <f t="shared" si="1338"/>
        <v>43</v>
      </c>
      <c r="CP448" s="293">
        <f t="shared" si="1338"/>
        <v>-12</v>
      </c>
      <c r="CR448" s="293">
        <f t="shared" si="1339"/>
        <v>185</v>
      </c>
      <c r="CS448" s="293">
        <f t="shared" si="1339"/>
        <v>71</v>
      </c>
      <c r="CT448" s="293">
        <f t="shared" si="1339"/>
        <v>256</v>
      </c>
      <c r="CV448" s="293">
        <f t="shared" si="1340"/>
        <v>-33</v>
      </c>
      <c r="CW448" s="293">
        <f t="shared" si="1340"/>
        <v>32</v>
      </c>
      <c r="CX448" s="293">
        <f t="shared" si="1340"/>
        <v>-1</v>
      </c>
      <c r="CZ448" s="293">
        <f t="shared" si="1341"/>
        <v>29</v>
      </c>
      <c r="DA448" s="293">
        <f t="shared" si="1341"/>
        <v>25</v>
      </c>
      <c r="DB448" s="293">
        <f t="shared" si="1341"/>
        <v>54</v>
      </c>
      <c r="DD448" s="293">
        <f t="shared" si="1342"/>
        <v>67</v>
      </c>
      <c r="DE448" s="293">
        <f t="shared" si="1342"/>
        <v>178</v>
      </c>
      <c r="DF448" s="293">
        <f t="shared" si="1342"/>
        <v>245</v>
      </c>
      <c r="DH448" s="293">
        <f t="shared" ref="DH448" si="1347">DH345</f>
        <v>44</v>
      </c>
      <c r="DI448" s="293">
        <f t="shared" si="1344"/>
        <v>45.32</v>
      </c>
      <c r="DJ448" s="293">
        <f t="shared" si="1344"/>
        <v>89.32</v>
      </c>
      <c r="DL448" s="293">
        <f t="shared" si="1345"/>
        <v>46.679600000000001</v>
      </c>
      <c r="DM448" s="293">
        <f t="shared" si="1345"/>
        <v>48.079988</v>
      </c>
      <c r="DN448" s="293">
        <f t="shared" si="1345"/>
        <v>94.759588000000008</v>
      </c>
      <c r="DP448" s="293">
        <f t="shared" si="1346"/>
        <v>49.522387639999998</v>
      </c>
      <c r="DQ448" s="293">
        <f t="shared" si="1346"/>
        <v>51.008059269199997</v>
      </c>
      <c r="DR448" s="293">
        <f t="shared" si="1346"/>
        <v>100.53044690919999</v>
      </c>
      <c r="DW448" s="667"/>
    </row>
    <row r="449" spans="1:283">
      <c r="A449" s="332" t="str">
        <f>A346</f>
        <v>Other operating income</v>
      </c>
      <c r="AV449" s="293">
        <f>AV437</f>
        <v>494</v>
      </c>
      <c r="AW449" s="293">
        <f>AW437</f>
        <v>246</v>
      </c>
      <c r="AX449" s="293">
        <f>AX437</f>
        <v>740</v>
      </c>
      <c r="AZ449" s="293">
        <f>AZ437</f>
        <v>26</v>
      </c>
      <c r="BA449" s="293">
        <f>BA437</f>
        <v>3</v>
      </c>
      <c r="BB449" s="293">
        <f>BB437</f>
        <v>29</v>
      </c>
      <c r="BD449" s="293">
        <f>BD437</f>
        <v>11</v>
      </c>
      <c r="BE449" s="293">
        <f>BE437</f>
        <v>27</v>
      </c>
      <c r="BF449" s="293">
        <f>BF437</f>
        <v>38</v>
      </c>
      <c r="BH449" s="293">
        <f>BH437</f>
        <v>-3</v>
      </c>
      <c r="BI449" s="293">
        <f>BI437</f>
        <v>23</v>
      </c>
      <c r="BJ449" s="293">
        <f>BJ437</f>
        <v>20</v>
      </c>
      <c r="BL449" s="293">
        <f>BL437</f>
        <v>54</v>
      </c>
      <c r="BM449" s="293">
        <f>BM437</f>
        <v>58</v>
      </c>
      <c r="BN449" s="293">
        <f>BN437</f>
        <v>112</v>
      </c>
      <c r="BP449" s="293">
        <f>BP437</f>
        <v>60</v>
      </c>
      <c r="BQ449" s="293">
        <f>BQ437</f>
        <v>58</v>
      </c>
      <c r="BR449" s="293">
        <f>BR437</f>
        <v>118</v>
      </c>
      <c r="BT449" s="293">
        <f>BT437</f>
        <v>181</v>
      </c>
      <c r="BU449" s="293">
        <f>BU437</f>
        <v>56</v>
      </c>
      <c r="BV449" s="293">
        <f>BV437</f>
        <v>237</v>
      </c>
      <c r="BX449" s="293">
        <f>BX437</f>
        <v>275</v>
      </c>
      <c r="BY449" s="293">
        <f>BY437</f>
        <v>207</v>
      </c>
      <c r="BZ449" s="293">
        <f>BZ437</f>
        <v>482</v>
      </c>
      <c r="CB449" s="293">
        <f>CB437</f>
        <v>239</v>
      </c>
      <c r="CC449" s="293">
        <f>CC437</f>
        <v>-88</v>
      </c>
      <c r="CD449" s="293">
        <f>CD437</f>
        <v>151</v>
      </c>
      <c r="CF449" s="293">
        <f>CF437</f>
        <v>372</v>
      </c>
      <c r="CG449" s="293">
        <f>CG437</f>
        <v>373</v>
      </c>
      <c r="CH449" s="293">
        <f>CH437</f>
        <v>745</v>
      </c>
      <c r="CJ449" s="293">
        <f>CJ437</f>
        <v>406</v>
      </c>
      <c r="CK449" s="293">
        <f>CK437</f>
        <v>208</v>
      </c>
      <c r="CL449" s="293">
        <f>CL437</f>
        <v>614</v>
      </c>
      <c r="CN449" s="293">
        <f>CN437</f>
        <v>460</v>
      </c>
      <c r="CO449" s="293">
        <f>CO437</f>
        <v>403</v>
      </c>
      <c r="CP449" s="293">
        <f>CP437</f>
        <v>863</v>
      </c>
      <c r="CR449" s="293">
        <f>CR437</f>
        <v>215</v>
      </c>
      <c r="CS449" s="293">
        <f>CS437</f>
        <v>1408</v>
      </c>
      <c r="CT449" s="293">
        <f>CT437</f>
        <v>1623</v>
      </c>
      <c r="CV449" s="293">
        <f>CV437</f>
        <v>836</v>
      </c>
      <c r="CW449" s="293">
        <f>CW437</f>
        <v>391</v>
      </c>
      <c r="CX449" s="293">
        <f>CX437</f>
        <v>1227</v>
      </c>
      <c r="CZ449" s="293">
        <f>CZ437</f>
        <v>74</v>
      </c>
      <c r="DA449" s="293">
        <f>DA437</f>
        <v>244</v>
      </c>
      <c r="DB449" s="293">
        <f>DB437</f>
        <v>318</v>
      </c>
      <c r="DD449" s="293">
        <f>DD437</f>
        <v>164</v>
      </c>
      <c r="DE449" s="293">
        <f>DE437</f>
        <v>490</v>
      </c>
      <c r="DF449" s="293">
        <f>DF437</f>
        <v>654</v>
      </c>
      <c r="DH449" s="293">
        <f>DH437</f>
        <v>81</v>
      </c>
      <c r="DI449" s="293">
        <f>DI437</f>
        <v>602</v>
      </c>
      <c r="DJ449" s="293">
        <f>DJ437</f>
        <v>683</v>
      </c>
      <c r="DL449" s="293">
        <f>DL437</f>
        <v>239.55</v>
      </c>
      <c r="DM449" s="293">
        <f>DM437</f>
        <v>244.85000000000002</v>
      </c>
      <c r="DN449" s="293">
        <f>DN437</f>
        <v>484.4</v>
      </c>
      <c r="DP449" s="293">
        <f>DP437</f>
        <v>226.23750000000001</v>
      </c>
      <c r="DQ449" s="293">
        <f>DQ437</f>
        <v>232.85250000000002</v>
      </c>
      <c r="DR449" s="293">
        <f>DR437</f>
        <v>459.09000000000003</v>
      </c>
      <c r="DW449" s="667"/>
    </row>
    <row r="450" spans="1:283">
      <c r="A450" s="332" t="str">
        <f>A347</f>
        <v>Internal revenue</v>
      </c>
      <c r="AV450" s="293">
        <f>AV347</f>
        <v>43</v>
      </c>
      <c r="AW450" s="293">
        <f>AW347</f>
        <v>18</v>
      </c>
      <c r="AX450" s="293">
        <f>AX347</f>
        <v>61</v>
      </c>
      <c r="AZ450" s="293">
        <f>AZ347</f>
        <v>4</v>
      </c>
      <c r="BA450" s="293">
        <f>BA347</f>
        <v>12</v>
      </c>
      <c r="BB450" s="293">
        <f>BB347</f>
        <v>16</v>
      </c>
      <c r="BD450" s="293">
        <f>BD347</f>
        <v>17</v>
      </c>
      <c r="BE450" s="293">
        <f>BE347</f>
        <v>4</v>
      </c>
      <c r="BF450" s="293">
        <f>BF347</f>
        <v>21</v>
      </c>
      <c r="BH450" s="293">
        <f>BH347</f>
        <v>9</v>
      </c>
      <c r="BI450" s="293">
        <f>BI347</f>
        <v>7</v>
      </c>
      <c r="BJ450" s="293">
        <f>BJ347</f>
        <v>16</v>
      </c>
      <c r="BL450" s="293">
        <f>BL347</f>
        <v>6</v>
      </c>
      <c r="BM450" s="293">
        <f>BM347</f>
        <v>10</v>
      </c>
      <c r="BN450" s="293">
        <f>BN347</f>
        <v>16</v>
      </c>
      <c r="BP450" s="293">
        <f>BP347</f>
        <v>-3</v>
      </c>
      <c r="BQ450" s="293">
        <f>BQ347</f>
        <v>5</v>
      </c>
      <c r="BR450" s="293">
        <f>BR347</f>
        <v>2</v>
      </c>
      <c r="BT450" s="293">
        <f>BT347</f>
        <v>0</v>
      </c>
      <c r="BU450" s="293">
        <f>BU347</f>
        <v>0</v>
      </c>
      <c r="BV450" s="293">
        <f>BV347</f>
        <v>0</v>
      </c>
      <c r="BX450" s="293">
        <f>BX347</f>
        <v>14</v>
      </c>
      <c r="BY450" s="293">
        <f>BY347</f>
        <v>30</v>
      </c>
      <c r="BZ450" s="293">
        <f>BZ347</f>
        <v>44</v>
      </c>
      <c r="CB450" s="293">
        <f>CB347</f>
        <v>0</v>
      </c>
      <c r="CC450" s="293">
        <f>CC347</f>
        <v>33</v>
      </c>
      <c r="CD450" s="293">
        <f>CD347</f>
        <v>33</v>
      </c>
      <c r="CF450" s="293">
        <f>CF347</f>
        <v>0</v>
      </c>
      <c r="CG450" s="293">
        <f>CG347</f>
        <v>107</v>
      </c>
      <c r="CH450" s="293">
        <f>CH347</f>
        <v>107</v>
      </c>
      <c r="CJ450" s="293">
        <f>CJ347</f>
        <v>0</v>
      </c>
      <c r="CK450" s="293">
        <f>CK347</f>
        <v>89</v>
      </c>
      <c r="CL450" s="293">
        <f>CL347</f>
        <v>89</v>
      </c>
      <c r="CN450" s="293">
        <f>CN347</f>
        <v>2</v>
      </c>
      <c r="CO450" s="293">
        <f>CO347</f>
        <v>29</v>
      </c>
      <c r="CP450" s="293">
        <f>CP347</f>
        <v>31</v>
      </c>
      <c r="CR450" s="293">
        <f>CR347</f>
        <v>3</v>
      </c>
      <c r="CS450" s="293">
        <f>CS347</f>
        <v>15</v>
      </c>
      <c r="CT450" s="293">
        <f>CT347</f>
        <v>18</v>
      </c>
      <c r="CV450" s="293">
        <f>CV347</f>
        <v>63</v>
      </c>
      <c r="CW450" s="293">
        <f>CW347</f>
        <v>29</v>
      </c>
      <c r="CX450" s="293">
        <f>CX347</f>
        <v>92</v>
      </c>
      <c r="CZ450" s="293">
        <f>CZ347</f>
        <v>0</v>
      </c>
      <c r="DA450" s="293">
        <f>DA347</f>
        <v>-2</v>
      </c>
      <c r="DB450" s="293">
        <f>DB347</f>
        <v>-2</v>
      </c>
      <c r="DD450" s="293">
        <f>DD347</f>
        <v>9</v>
      </c>
      <c r="DE450" s="293">
        <f>DE347</f>
        <v>-16</v>
      </c>
      <c r="DF450" s="293">
        <f>DF347</f>
        <v>-7</v>
      </c>
      <c r="DH450" s="293">
        <f>DH347</f>
        <v>40</v>
      </c>
      <c r="DI450" s="293">
        <f>DI347</f>
        <v>41.2</v>
      </c>
      <c r="DJ450" s="293">
        <f>DJ347</f>
        <v>81.2</v>
      </c>
      <c r="DL450" s="293">
        <f>DL347</f>
        <v>42.436000000000007</v>
      </c>
      <c r="DM450" s="293">
        <f>DM347</f>
        <v>43.709080000000007</v>
      </c>
      <c r="DN450" s="293">
        <f>DN347</f>
        <v>86.145080000000007</v>
      </c>
      <c r="DP450" s="293">
        <f>DP347</f>
        <v>45.020352400000007</v>
      </c>
      <c r="DQ450" s="293">
        <f>DQ347</f>
        <v>46.370962972000008</v>
      </c>
      <c r="DR450" s="293">
        <f>DR347</f>
        <v>91.391315372000008</v>
      </c>
      <c r="DW450" s="667"/>
    </row>
    <row r="451" spans="1:283">
      <c r="A451" s="289" t="s">
        <v>588</v>
      </c>
      <c r="B451" s="289"/>
      <c r="C451" s="289"/>
      <c r="D451" s="289"/>
      <c r="E451" s="289"/>
      <c r="F451" s="289"/>
      <c r="G451" s="289"/>
      <c r="H451" s="289"/>
      <c r="I451" s="289"/>
      <c r="J451" s="289"/>
      <c r="K451" s="289"/>
      <c r="L451" s="289"/>
      <c r="M451" s="289"/>
      <c r="N451" s="289"/>
      <c r="O451" s="289"/>
      <c r="P451" s="289"/>
      <c r="Q451" s="289"/>
      <c r="R451" s="289"/>
      <c r="S451" s="289"/>
      <c r="T451" s="289"/>
      <c r="U451" s="289"/>
      <c r="V451" s="289"/>
      <c r="W451" s="289"/>
      <c r="X451" s="289"/>
      <c r="Y451" s="289"/>
      <c r="Z451" s="289"/>
      <c r="AA451" s="289"/>
      <c r="AB451" s="289"/>
      <c r="AC451" s="289"/>
      <c r="AD451" s="289"/>
      <c r="AE451" s="289"/>
      <c r="AF451" s="289"/>
      <c r="AG451" s="289"/>
      <c r="AH451" s="289"/>
      <c r="AI451" s="289"/>
      <c r="AJ451" s="289"/>
      <c r="AK451" s="289"/>
      <c r="AL451" s="289"/>
      <c r="AM451" s="289"/>
      <c r="AN451" s="290"/>
      <c r="AO451" s="290"/>
      <c r="AP451" s="290"/>
      <c r="AQ451" s="290"/>
      <c r="AR451" s="290"/>
      <c r="AS451" s="290"/>
      <c r="AT451" s="290"/>
      <c r="AU451" s="290"/>
      <c r="AV451" s="295">
        <f>SUM(AV446:AV450)</f>
        <v>343</v>
      </c>
      <c r="AW451" s="295">
        <f>SUM(AW446:AW450)</f>
        <v>177</v>
      </c>
      <c r="AX451" s="295">
        <f>SUM(AX446:AX450)</f>
        <v>520</v>
      </c>
      <c r="AZ451" s="295">
        <f>SUM(AZ446:AZ450)</f>
        <v>11</v>
      </c>
      <c r="BA451" s="295">
        <f>SUM(BA446:BA450)</f>
        <v>83</v>
      </c>
      <c r="BB451" s="295">
        <f>SUM(BB446:BB450)</f>
        <v>94</v>
      </c>
      <c r="BD451" s="295">
        <f>SUM(BD446:BD450)</f>
        <v>135</v>
      </c>
      <c r="BE451" s="295">
        <f>SUM(BE446:BE450)</f>
        <v>21</v>
      </c>
      <c r="BF451" s="295">
        <f>SUM(BF446:BF450)</f>
        <v>156</v>
      </c>
      <c r="BH451" s="295">
        <f>SUM(BH446:BH450)</f>
        <v>61</v>
      </c>
      <c r="BI451" s="295">
        <f>SUM(BI446:BI450)</f>
        <v>11</v>
      </c>
      <c r="BJ451" s="295">
        <f>SUM(BJ446:BJ450)</f>
        <v>72</v>
      </c>
      <c r="BL451" s="295">
        <f>SUM(BL446:BL450)</f>
        <v>102</v>
      </c>
      <c r="BM451" s="295">
        <f>SUM(BM446:BM450)</f>
        <v>106</v>
      </c>
      <c r="BN451" s="295">
        <f>SUM(BN446:BN450)</f>
        <v>208</v>
      </c>
      <c r="BP451" s="295">
        <f>SUM(BP446:BP450)</f>
        <v>106</v>
      </c>
      <c r="BQ451" s="295">
        <f>SUM(BQ446:BQ450)</f>
        <v>38</v>
      </c>
      <c r="BR451" s="295">
        <f>SUM(BR446:BR450)</f>
        <v>144</v>
      </c>
      <c r="BT451" s="295">
        <f>SUM(BT446:BT450)</f>
        <v>152</v>
      </c>
      <c r="BU451" s="295">
        <f>SUM(BU446:BU450)</f>
        <v>54</v>
      </c>
      <c r="BV451" s="295">
        <f>SUM(BV446:BV450)</f>
        <v>206</v>
      </c>
      <c r="BX451" s="295">
        <f>SUM(BX446:BX450)</f>
        <v>308</v>
      </c>
      <c r="BY451" s="295">
        <f>SUM(BY446:BY450)</f>
        <v>221</v>
      </c>
      <c r="BZ451" s="295">
        <f>SUM(BZ446:BZ450)</f>
        <v>529</v>
      </c>
      <c r="CB451" s="295">
        <f>SUM(CB446:CB450)</f>
        <v>207</v>
      </c>
      <c r="CC451" s="295">
        <f>SUM(CC446:CC450)</f>
        <v>-20</v>
      </c>
      <c r="CD451" s="295">
        <f>SUM(CD446:CD450)</f>
        <v>187</v>
      </c>
      <c r="CF451" s="295">
        <f>SUM(CF446:CF450)</f>
        <v>242</v>
      </c>
      <c r="CG451" s="295">
        <f>SUM(CG446:CG450)</f>
        <v>255</v>
      </c>
      <c r="CH451" s="295">
        <f>SUM(CH446:CH450)</f>
        <v>497</v>
      </c>
      <c r="CJ451" s="295">
        <f>SUM(CJ446:CJ450)</f>
        <v>231</v>
      </c>
      <c r="CK451" s="295">
        <f>SUM(CK446:CK450)</f>
        <v>294</v>
      </c>
      <c r="CL451" s="295">
        <f>SUM(CL446:CL450)</f>
        <v>525</v>
      </c>
      <c r="CN451" s="295">
        <f>SUM(CN446:CN450)</f>
        <v>284</v>
      </c>
      <c r="CO451" s="295">
        <f>SUM(CO446:CO450)</f>
        <v>349</v>
      </c>
      <c r="CP451" s="295">
        <f>SUM(CP446:CP450)</f>
        <v>633</v>
      </c>
      <c r="CR451" s="295">
        <f>SUM(CR446:CR450)</f>
        <v>225</v>
      </c>
      <c r="CS451" s="295">
        <f>SUM(CS446:CS450)</f>
        <v>1344</v>
      </c>
      <c r="CT451" s="295">
        <f>SUM(CT446:CT450)</f>
        <v>1569</v>
      </c>
      <c r="CV451" s="295">
        <f>SUM(CV446:CV450)</f>
        <v>723</v>
      </c>
      <c r="CW451" s="295">
        <f>SUM(CW446:CW450)</f>
        <v>199</v>
      </c>
      <c r="CX451" s="295">
        <f>SUM(CX446:CX450)</f>
        <v>922</v>
      </c>
      <c r="CZ451" s="295">
        <f>SUM(CZ446:CZ450)</f>
        <v>-162</v>
      </c>
      <c r="DA451" s="295">
        <f>SUM(DA446:DA450)</f>
        <v>-25</v>
      </c>
      <c r="DB451" s="295">
        <f>SUM(DB446:DB450)</f>
        <v>-187</v>
      </c>
      <c r="DD451" s="295">
        <f>SUM(DD446:DD450)</f>
        <v>-5</v>
      </c>
      <c r="DE451" s="295">
        <f>SUM(DE446:DE450)</f>
        <v>383</v>
      </c>
      <c r="DF451" s="295">
        <f>SUM(DF446:DF450)</f>
        <v>378</v>
      </c>
      <c r="DH451" s="295">
        <f>SUM(DH446:DH450)</f>
        <v>-28</v>
      </c>
      <c r="DI451" s="295">
        <f>SUM(DI446:DI450)</f>
        <v>489.72999999999996</v>
      </c>
      <c r="DJ451" s="295">
        <f>SUM(DJ446:DJ450)</f>
        <v>461.73</v>
      </c>
      <c r="DL451" s="295">
        <f>SUM(DL446:DL450)</f>
        <v>123.9119</v>
      </c>
      <c r="DM451" s="295">
        <f>SUM(DM446:DM450)</f>
        <v>125.74275700000001</v>
      </c>
      <c r="DN451" s="295">
        <f>SUM(DN446:DN450)</f>
        <v>249.65465699999993</v>
      </c>
      <c r="DP451" s="295">
        <f>SUM(DP446:DP450)</f>
        <v>103.55703971</v>
      </c>
      <c r="DQ451" s="295">
        <f>SUM(DQ446:DQ450)</f>
        <v>106.49162590129998</v>
      </c>
      <c r="DR451" s="295">
        <f>SUM(DR446:DR450)</f>
        <v>210.04866561129995</v>
      </c>
      <c r="DW451" s="667"/>
    </row>
    <row r="452" spans="1:283">
      <c r="CR452" s="103"/>
      <c r="CS452" s="103"/>
      <c r="CT452" s="103"/>
      <c r="CV452" s="103"/>
      <c r="CW452" s="103"/>
      <c r="CX452" s="103"/>
      <c r="CZ452" s="103"/>
      <c r="DA452" s="103"/>
      <c r="DB452" s="103"/>
      <c r="DD452" s="103"/>
      <c r="DE452" s="103"/>
      <c r="DF452" s="103"/>
      <c r="DH452" s="103"/>
      <c r="DI452" s="103"/>
      <c r="DJ452" s="103"/>
      <c r="DL452" s="103"/>
      <c r="DM452" s="103"/>
      <c r="DN452" s="103"/>
      <c r="DP452" s="103"/>
      <c r="DQ452" s="103"/>
      <c r="DR452" s="103"/>
      <c r="DW452" s="667"/>
    </row>
    <row r="453" spans="1:283" s="332" customFormat="1">
      <c r="A453" s="1207" t="s">
        <v>899</v>
      </c>
      <c r="AN453" s="293"/>
      <c r="AO453" s="293"/>
      <c r="AP453" s="293"/>
      <c r="AQ453" s="293"/>
      <c r="AR453" s="293"/>
      <c r="AS453" s="293"/>
      <c r="AT453" s="293"/>
      <c r="AU453" s="293"/>
      <c r="AV453" s="293"/>
      <c r="AW453" s="293"/>
      <c r="AX453" s="293"/>
      <c r="AY453" s="293"/>
      <c r="AZ453" s="293"/>
      <c r="BA453" s="293"/>
      <c r="BB453" s="293"/>
      <c r="BC453" s="293"/>
      <c r="BD453" s="293"/>
      <c r="BE453" s="293"/>
      <c r="BF453" s="293"/>
      <c r="BG453" s="293"/>
      <c r="BH453" s="293"/>
      <c r="BI453" s="293"/>
      <c r="BJ453" s="293"/>
      <c r="BK453" s="293"/>
      <c r="BL453" s="293"/>
      <c r="BM453" s="293"/>
      <c r="BN453" s="293"/>
      <c r="BO453" s="293"/>
      <c r="BP453" s="293"/>
      <c r="BQ453" s="293"/>
      <c r="BR453" s="293"/>
      <c r="BS453" s="293"/>
      <c r="BT453" s="293"/>
      <c r="BU453" s="293"/>
      <c r="BV453" s="293"/>
      <c r="BW453" s="293"/>
      <c r="BX453" s="293"/>
      <c r="BY453" s="293"/>
      <c r="BZ453" s="293"/>
      <c r="CA453" s="293"/>
      <c r="CB453" s="293"/>
      <c r="CC453" s="293"/>
      <c r="CD453" s="293"/>
      <c r="CE453" s="293"/>
      <c r="CF453" s="293"/>
      <c r="CG453" s="293"/>
      <c r="CH453" s="293"/>
      <c r="CI453" s="293"/>
      <c r="CJ453" s="293"/>
      <c r="CK453" s="293"/>
      <c r="CL453" s="293"/>
      <c r="CM453" s="293"/>
      <c r="CN453" s="293"/>
      <c r="CO453" s="293"/>
      <c r="CP453" s="293"/>
      <c r="CQ453" s="293"/>
      <c r="CR453" s="293"/>
      <c r="CS453" s="293"/>
      <c r="CT453" s="293"/>
      <c r="CU453" s="293"/>
      <c r="CV453" s="293"/>
      <c r="CW453" s="293"/>
      <c r="CX453" s="293"/>
      <c r="CY453" s="293"/>
      <c r="CZ453" s="293"/>
      <c r="DA453" s="293"/>
      <c r="DB453" s="293"/>
      <c r="DC453" s="293"/>
      <c r="DD453" s="293"/>
      <c r="DE453" s="293"/>
      <c r="DF453" s="293"/>
      <c r="DG453" s="293"/>
      <c r="DH453" s="626">
        <v>-574</v>
      </c>
      <c r="DI453" s="626">
        <v>-683.67499999999995</v>
      </c>
      <c r="DJ453" s="626">
        <v>-1257.675</v>
      </c>
      <c r="DK453" s="626"/>
      <c r="DL453" s="626">
        <v>-591.22</v>
      </c>
      <c r="DM453" s="626">
        <v>-704.18525</v>
      </c>
      <c r="DN453" s="626">
        <v>-1295.40525</v>
      </c>
      <c r="DO453" s="293"/>
      <c r="DP453" s="293"/>
      <c r="DQ453" s="293"/>
      <c r="DR453" s="293"/>
      <c r="DS453" s="293"/>
      <c r="DT453" s="293"/>
      <c r="DU453" s="293"/>
      <c r="DV453" s="293"/>
      <c r="DW453" s="828"/>
      <c r="DX453" s="293"/>
      <c r="DY453" s="293"/>
      <c r="DZ453" s="293"/>
      <c r="EA453" s="293"/>
      <c r="EB453" s="293"/>
      <c r="EC453" s="293"/>
      <c r="ED453" s="293"/>
      <c r="EE453" s="293"/>
      <c r="EF453" s="293"/>
      <c r="EG453" s="293"/>
      <c r="EH453" s="293"/>
      <c r="EI453" s="293"/>
      <c r="EJ453" s="293"/>
      <c r="EK453" s="293"/>
      <c r="EL453" s="293"/>
      <c r="EM453" s="293"/>
      <c r="EN453" s="293"/>
      <c r="EO453" s="293"/>
      <c r="EP453" s="293"/>
      <c r="EQ453" s="293"/>
      <c r="ER453" s="293"/>
      <c r="ES453" s="293"/>
      <c r="ET453" s="293"/>
      <c r="EU453" s="293"/>
      <c r="JW453"/>
    </row>
    <row r="454" spans="1:283" s="332" customFormat="1">
      <c r="A454" s="332" t="str">
        <f>A350</f>
        <v>Employment expenses</v>
      </c>
      <c r="AN454" s="492">
        <f t="shared" ref="AN454:AP456" si="1348">AN350</f>
        <v>0</v>
      </c>
      <c r="AO454" s="492">
        <f t="shared" si="1348"/>
        <v>0</v>
      </c>
      <c r="AP454" s="492">
        <f t="shared" si="1348"/>
        <v>0</v>
      </c>
      <c r="AQ454" s="293"/>
      <c r="AR454" s="492">
        <f t="shared" ref="AR454:AT456" si="1349">AR350</f>
        <v>-116</v>
      </c>
      <c r="AS454" s="492">
        <f t="shared" si="1349"/>
        <v>-158</v>
      </c>
      <c r="AT454" s="492">
        <f t="shared" si="1349"/>
        <v>-274</v>
      </c>
      <c r="AU454" s="626"/>
      <c r="AV454" s="492">
        <f t="shared" ref="AV454:AX456" si="1350">AV350</f>
        <v>-114</v>
      </c>
      <c r="AW454" s="492">
        <f t="shared" si="1350"/>
        <v>-134</v>
      </c>
      <c r="AX454" s="492">
        <f t="shared" si="1350"/>
        <v>-248</v>
      </c>
      <c r="AY454" s="626"/>
      <c r="AZ454" s="492">
        <f t="shared" ref="AZ454:BB456" si="1351">AZ350</f>
        <v>-153</v>
      </c>
      <c r="BA454" s="492">
        <f t="shared" si="1351"/>
        <v>-158</v>
      </c>
      <c r="BB454" s="492">
        <f t="shared" si="1351"/>
        <v>-311</v>
      </c>
      <c r="BC454" s="293"/>
      <c r="BD454" s="492">
        <f t="shared" ref="BD454:BF456" si="1352">BD350</f>
        <v>-129.66669999999999</v>
      </c>
      <c r="BE454" s="492">
        <f t="shared" si="1352"/>
        <v>-135</v>
      </c>
      <c r="BF454" s="492">
        <f t="shared" si="1352"/>
        <v>-264.66669999999999</v>
      </c>
      <c r="BG454" s="293"/>
      <c r="BH454" s="492">
        <f t="shared" ref="BH454:BJ456" si="1353">BH350</f>
        <v>-130</v>
      </c>
      <c r="BI454" s="492">
        <f t="shared" si="1353"/>
        <v>-137</v>
      </c>
      <c r="BJ454" s="492">
        <f t="shared" si="1353"/>
        <v>-267</v>
      </c>
      <c r="BK454" s="487"/>
      <c r="BL454" s="492">
        <f t="shared" ref="BL454:BN456" si="1354">BL350</f>
        <v>-143</v>
      </c>
      <c r="BM454" s="492">
        <f t="shared" si="1354"/>
        <v>-163</v>
      </c>
      <c r="BN454" s="492">
        <f t="shared" si="1354"/>
        <v>-306</v>
      </c>
      <c r="BO454" s="487"/>
      <c r="BP454" s="492">
        <f t="shared" ref="BP454:BR456" si="1355">BP350</f>
        <v>-147</v>
      </c>
      <c r="BQ454" s="492">
        <f t="shared" si="1355"/>
        <v>-190</v>
      </c>
      <c r="BR454" s="492">
        <f t="shared" si="1355"/>
        <v>-337</v>
      </c>
      <c r="BS454" s="487"/>
      <c r="BT454" s="492">
        <f t="shared" ref="BT454:BV456" si="1356">BT350</f>
        <v>-175</v>
      </c>
      <c r="BU454" s="492">
        <f t="shared" si="1356"/>
        <v>-180</v>
      </c>
      <c r="BV454" s="492">
        <f t="shared" si="1356"/>
        <v>-355</v>
      </c>
      <c r="BW454" s="293"/>
      <c r="BX454" s="492">
        <f t="shared" ref="BX454:BZ456" si="1357">BX350</f>
        <v>-182</v>
      </c>
      <c r="BY454" s="492">
        <f t="shared" si="1357"/>
        <v>-190</v>
      </c>
      <c r="BZ454" s="492">
        <f t="shared" si="1357"/>
        <v>-372</v>
      </c>
      <c r="CA454" s="293"/>
      <c r="CB454" s="492">
        <f t="shared" ref="CB454:CD456" si="1358">CB350</f>
        <v>-184</v>
      </c>
      <c r="CC454" s="492">
        <f t="shared" si="1358"/>
        <v>-197</v>
      </c>
      <c r="CD454" s="492">
        <f t="shared" si="1358"/>
        <v>-381</v>
      </c>
      <c r="CE454" s="293"/>
      <c r="CF454" s="492">
        <f t="shared" ref="CF454:CH456" si="1359">CF350</f>
        <v>-236</v>
      </c>
      <c r="CG454" s="492">
        <f t="shared" si="1359"/>
        <v>-283</v>
      </c>
      <c r="CH454" s="492">
        <f t="shared" si="1359"/>
        <v>-519</v>
      </c>
      <c r="CI454" s="293"/>
      <c r="CJ454" s="492">
        <f t="shared" ref="CJ454:CL456" si="1360">CJ350</f>
        <v>-243</v>
      </c>
      <c r="CK454" s="492">
        <f t="shared" si="1360"/>
        <v>-262</v>
      </c>
      <c r="CL454" s="492">
        <f t="shared" si="1360"/>
        <v>-505</v>
      </c>
      <c r="CM454" s="293"/>
      <c r="CN454" s="492">
        <f t="shared" ref="CN454:CP456" si="1361">CN350</f>
        <v>-257</v>
      </c>
      <c r="CO454" s="492">
        <f t="shared" si="1361"/>
        <v>-230</v>
      </c>
      <c r="CP454" s="492">
        <f t="shared" si="1361"/>
        <v>-487</v>
      </c>
      <c r="CQ454" s="293"/>
      <c r="CR454" s="492">
        <f t="shared" ref="CR454:CT456" si="1362">CR350</f>
        <v>-406</v>
      </c>
      <c r="CS454" s="492">
        <f t="shared" si="1362"/>
        <v>-422</v>
      </c>
      <c r="CT454" s="492">
        <f t="shared" si="1362"/>
        <v>-828</v>
      </c>
      <c r="CU454" s="293"/>
      <c r="CV454" s="492">
        <f t="shared" ref="CV454:CX456" si="1363">CV350</f>
        <v>-381</v>
      </c>
      <c r="CW454" s="492">
        <f t="shared" si="1363"/>
        <v>-457</v>
      </c>
      <c r="CX454" s="492">
        <f t="shared" si="1363"/>
        <v>-838</v>
      </c>
      <c r="CY454" s="293"/>
      <c r="CZ454" s="492">
        <f t="shared" ref="CZ454:DB456" si="1364">CZ350</f>
        <v>-415</v>
      </c>
      <c r="DA454" s="492">
        <f t="shared" si="1364"/>
        <v>-420</v>
      </c>
      <c r="DB454" s="492">
        <f t="shared" si="1364"/>
        <v>-835</v>
      </c>
      <c r="DC454" s="293"/>
      <c r="DD454" s="492">
        <f t="shared" ref="DD454:DF456" si="1365">DD350</f>
        <v>-419</v>
      </c>
      <c r="DE454" s="492">
        <f t="shared" si="1365"/>
        <v>-402</v>
      </c>
      <c r="DF454" s="492">
        <f t="shared" si="1365"/>
        <v>-821</v>
      </c>
      <c r="DG454" s="293"/>
      <c r="DH454" s="492">
        <f t="shared" ref="DH454" si="1366">DH350</f>
        <v>-401</v>
      </c>
      <c r="DI454" s="293">
        <f>+DE454*(1+DI459)</f>
        <v>-422.1</v>
      </c>
      <c r="DJ454" s="293">
        <f>DH454+DI454</f>
        <v>-823.1</v>
      </c>
      <c r="DK454" s="293"/>
      <c r="DL454" s="293">
        <f>+DH454*(1+DL459)</f>
        <v>-413.03000000000003</v>
      </c>
      <c r="DM454" s="293">
        <f>+DI454*(1+DM459)</f>
        <v>-443.20500000000004</v>
      </c>
      <c r="DN454" s="293">
        <f>DL454+DM454</f>
        <v>-856.23500000000013</v>
      </c>
      <c r="DO454" s="293"/>
      <c r="DP454" s="293">
        <f>+DL454*(1+DP459)</f>
        <v>-437.81180000000006</v>
      </c>
      <c r="DQ454" s="293">
        <f>+DM454*(1+DQ459)</f>
        <v>-474.22935000000007</v>
      </c>
      <c r="DR454" s="293">
        <f>DP454+DQ454</f>
        <v>-912.04115000000013</v>
      </c>
      <c r="DS454" s="293"/>
      <c r="DT454" s="293"/>
      <c r="DU454" s="293"/>
      <c r="DV454" s="293"/>
      <c r="DW454" s="828" t="s">
        <v>514</v>
      </c>
      <c r="DX454" s="293"/>
      <c r="DY454" s="293"/>
      <c r="DZ454" s="293"/>
      <c r="EA454" s="293"/>
      <c r="EB454" s="293"/>
      <c r="EC454" s="293"/>
      <c r="ED454" s="293"/>
      <c r="EE454" s="293"/>
      <c r="EF454" s="293"/>
      <c r="EG454" s="293"/>
      <c r="EH454" s="293"/>
      <c r="EI454" s="293"/>
      <c r="EJ454" s="293"/>
      <c r="EK454" s="293"/>
      <c r="EL454" s="293"/>
      <c r="EM454" s="293"/>
      <c r="EN454" s="293"/>
      <c r="EO454" s="293"/>
      <c r="EP454" s="293"/>
      <c r="EQ454" s="293"/>
      <c r="ER454" s="293"/>
      <c r="ES454" s="293"/>
      <c r="ET454" s="293"/>
      <c r="EU454" s="293"/>
      <c r="JW454"/>
    </row>
    <row r="455" spans="1:283" s="332" customFormat="1">
      <c r="A455" s="332" t="str">
        <f>A351</f>
        <v>Brokerage and commission expenses</v>
      </c>
      <c r="AN455" s="492">
        <f t="shared" si="1348"/>
        <v>0</v>
      </c>
      <c r="AO455" s="492">
        <f t="shared" si="1348"/>
        <v>0</v>
      </c>
      <c r="AP455" s="492">
        <f t="shared" si="1348"/>
        <v>0</v>
      </c>
      <c r="AQ455" s="293"/>
      <c r="AR455" s="492">
        <f t="shared" si="1349"/>
        <v>-51</v>
      </c>
      <c r="AS455" s="492">
        <f t="shared" si="1349"/>
        <v>-98</v>
      </c>
      <c r="AT455" s="492">
        <f t="shared" si="1349"/>
        <v>-149</v>
      </c>
      <c r="AU455" s="626"/>
      <c r="AV455" s="492">
        <f t="shared" si="1350"/>
        <v>-43</v>
      </c>
      <c r="AW455" s="492">
        <f t="shared" si="1350"/>
        <v>-58</v>
      </c>
      <c r="AX455" s="492">
        <f t="shared" si="1350"/>
        <v>-101</v>
      </c>
      <c r="AY455" s="626"/>
      <c r="AZ455" s="492">
        <f t="shared" si="1351"/>
        <v>-67</v>
      </c>
      <c r="BA455" s="492">
        <f t="shared" si="1351"/>
        <v>-69</v>
      </c>
      <c r="BB455" s="492">
        <f t="shared" si="1351"/>
        <v>-136</v>
      </c>
      <c r="BC455" s="293"/>
      <c r="BD455" s="492">
        <f t="shared" si="1352"/>
        <v>-74</v>
      </c>
      <c r="BE455" s="492">
        <f t="shared" si="1352"/>
        <v>-69</v>
      </c>
      <c r="BF455" s="492">
        <f t="shared" si="1352"/>
        <v>-143</v>
      </c>
      <c r="BG455" s="293"/>
      <c r="BH455" s="492">
        <f t="shared" si="1353"/>
        <v>-77</v>
      </c>
      <c r="BI455" s="492">
        <f t="shared" si="1353"/>
        <v>-73</v>
      </c>
      <c r="BJ455" s="492">
        <f t="shared" si="1353"/>
        <v>-150</v>
      </c>
      <c r="BK455" s="487"/>
      <c r="BL455" s="492">
        <f t="shared" si="1354"/>
        <v>-87</v>
      </c>
      <c r="BM455" s="492">
        <f t="shared" si="1354"/>
        <v>-86</v>
      </c>
      <c r="BN455" s="492">
        <f t="shared" si="1354"/>
        <v>-173</v>
      </c>
      <c r="BO455" s="487"/>
      <c r="BP455" s="492">
        <f t="shared" si="1355"/>
        <v>-88</v>
      </c>
      <c r="BQ455" s="492">
        <f t="shared" si="1355"/>
        <v>-100</v>
      </c>
      <c r="BR455" s="492">
        <f t="shared" si="1355"/>
        <v>-188</v>
      </c>
      <c r="BS455" s="487"/>
      <c r="BT455" s="492">
        <f t="shared" si="1356"/>
        <v>-104</v>
      </c>
      <c r="BU455" s="492">
        <f t="shared" si="1356"/>
        <v>-115</v>
      </c>
      <c r="BV455" s="492">
        <f t="shared" si="1356"/>
        <v>-219</v>
      </c>
      <c r="BW455" s="293"/>
      <c r="BX455" s="492">
        <f t="shared" si="1357"/>
        <v>-97</v>
      </c>
      <c r="BY455" s="492">
        <f t="shared" si="1357"/>
        <v>-103</v>
      </c>
      <c r="BZ455" s="492">
        <f t="shared" si="1357"/>
        <v>-200</v>
      </c>
      <c r="CA455" s="293"/>
      <c r="CB455" s="492">
        <f t="shared" si="1358"/>
        <v>-83</v>
      </c>
      <c r="CC455" s="492">
        <f t="shared" si="1358"/>
        <v>-74</v>
      </c>
      <c r="CD455" s="492">
        <f t="shared" si="1358"/>
        <v>-157</v>
      </c>
      <c r="CE455" s="293"/>
      <c r="CF455" s="492">
        <f t="shared" si="1359"/>
        <v>-128</v>
      </c>
      <c r="CG455" s="492">
        <f t="shared" si="1359"/>
        <v>-120</v>
      </c>
      <c r="CH455" s="492">
        <f t="shared" si="1359"/>
        <v>-248</v>
      </c>
      <c r="CI455" s="293"/>
      <c r="CJ455" s="492">
        <f t="shared" si="1360"/>
        <v>-127</v>
      </c>
      <c r="CK455" s="492">
        <f t="shared" si="1360"/>
        <v>-140</v>
      </c>
      <c r="CL455" s="492">
        <f t="shared" si="1360"/>
        <v>-267</v>
      </c>
      <c r="CM455" s="293"/>
      <c r="CN455" s="492">
        <f t="shared" si="1361"/>
        <v>-123</v>
      </c>
      <c r="CO455" s="492">
        <f t="shared" si="1361"/>
        <v>-126</v>
      </c>
      <c r="CP455" s="492">
        <f t="shared" si="1361"/>
        <v>-249</v>
      </c>
      <c r="CQ455" s="293"/>
      <c r="CR455" s="492">
        <f t="shared" si="1362"/>
        <v>-207</v>
      </c>
      <c r="CS455" s="492">
        <f t="shared" si="1362"/>
        <v>-225</v>
      </c>
      <c r="CT455" s="492">
        <f t="shared" si="1362"/>
        <v>-432</v>
      </c>
      <c r="CU455" s="293"/>
      <c r="CV455" s="492">
        <f t="shared" si="1363"/>
        <v>-193</v>
      </c>
      <c r="CW455" s="492">
        <f t="shared" si="1363"/>
        <v>-206</v>
      </c>
      <c r="CX455" s="492">
        <f t="shared" si="1363"/>
        <v>-399</v>
      </c>
      <c r="CY455" s="293"/>
      <c r="CZ455" s="492">
        <f t="shared" si="1364"/>
        <v>-194</v>
      </c>
      <c r="DA455" s="492">
        <f t="shared" si="1364"/>
        <v>-191</v>
      </c>
      <c r="DB455" s="492">
        <f t="shared" si="1364"/>
        <v>-385</v>
      </c>
      <c r="DC455" s="293"/>
      <c r="DD455" s="492">
        <f t="shared" si="1365"/>
        <v>-193</v>
      </c>
      <c r="DE455" s="492">
        <f t="shared" si="1365"/>
        <v>-229</v>
      </c>
      <c r="DF455" s="492">
        <f t="shared" si="1365"/>
        <v>-422</v>
      </c>
      <c r="DG455" s="293"/>
      <c r="DH455" s="492">
        <f t="shared" ref="DH455" si="1367">DH351</f>
        <v>-222</v>
      </c>
      <c r="DI455" s="293">
        <f>-DI464*(DI411-DI404)</f>
        <v>-167.03196065666813</v>
      </c>
      <c r="DJ455" s="293">
        <f>DH455+DI455</f>
        <v>-389.03196065666816</v>
      </c>
      <c r="DK455" s="293"/>
      <c r="DL455" s="293">
        <f>-DL464*(DL411-DL404)</f>
        <v>-158.93483593116875</v>
      </c>
      <c r="DM455" s="293">
        <f>-DM464*(DM411-DM404)</f>
        <v>-161.25252548802806</v>
      </c>
      <c r="DN455" s="293">
        <f>DL455+DM455</f>
        <v>-320.1873614191968</v>
      </c>
      <c r="DO455" s="293"/>
      <c r="DP455" s="293">
        <f>-DP464*(DP411-DP404)</f>
        <v>-165.24520209397519</v>
      </c>
      <c r="DQ455" s="293">
        <f>-DQ464*(DQ411-DQ404)</f>
        <v>-168.9377686892262</v>
      </c>
      <c r="DR455" s="293">
        <f>DP455+DQ455</f>
        <v>-334.18297078320143</v>
      </c>
      <c r="DS455" s="293"/>
      <c r="DT455" s="293"/>
      <c r="DU455" s="293"/>
      <c r="DV455" s="293"/>
      <c r="DW455" s="828" t="s">
        <v>514</v>
      </c>
      <c r="DX455" s="293"/>
      <c r="DY455" s="293"/>
      <c r="DZ455" s="293"/>
      <c r="EA455" s="293"/>
      <c r="EB455" s="293"/>
      <c r="EC455" s="293"/>
      <c r="ED455" s="293"/>
      <c r="EE455" s="293"/>
      <c r="EF455" s="293"/>
      <c r="EG455" s="293"/>
      <c r="EH455" s="293"/>
      <c r="EI455" s="293"/>
      <c r="EJ455" s="293"/>
      <c r="EK455" s="293"/>
      <c r="EL455" s="293"/>
      <c r="EM455" s="293"/>
      <c r="EN455" s="293"/>
      <c r="EO455" s="293"/>
      <c r="EP455" s="293"/>
      <c r="EQ455" s="293"/>
      <c r="ER455" s="293"/>
      <c r="ES455" s="293"/>
      <c r="ET455" s="293"/>
      <c r="EU455" s="293"/>
      <c r="JW455"/>
    </row>
    <row r="456" spans="1:283" s="332" customFormat="1">
      <c r="A456" s="332" t="str">
        <f>A352</f>
        <v>Other operating expenses</v>
      </c>
      <c r="AN456" s="492">
        <f t="shared" si="1348"/>
        <v>0</v>
      </c>
      <c r="AO456" s="492">
        <f t="shared" si="1348"/>
        <v>0</v>
      </c>
      <c r="AP456" s="492">
        <f t="shared" si="1348"/>
        <v>0</v>
      </c>
      <c r="AQ456" s="293"/>
      <c r="AR456" s="492">
        <f t="shared" si="1349"/>
        <v>-135</v>
      </c>
      <c r="AS456" s="492">
        <f t="shared" si="1349"/>
        <v>-136</v>
      </c>
      <c r="AT456" s="492">
        <f t="shared" si="1349"/>
        <v>-271</v>
      </c>
      <c r="AU456" s="626"/>
      <c r="AV456" s="492">
        <f t="shared" si="1350"/>
        <v>-108</v>
      </c>
      <c r="AW456" s="492">
        <f t="shared" si="1350"/>
        <v>-167</v>
      </c>
      <c r="AX456" s="492">
        <f t="shared" si="1350"/>
        <v>-275</v>
      </c>
      <c r="AY456" s="626"/>
      <c r="AZ456" s="492">
        <f t="shared" si="1351"/>
        <v>-192</v>
      </c>
      <c r="BA456" s="492">
        <f t="shared" si="1351"/>
        <v>-178</v>
      </c>
      <c r="BB456" s="492">
        <f t="shared" si="1351"/>
        <v>-370</v>
      </c>
      <c r="BC456" s="293"/>
      <c r="BD456" s="492">
        <f t="shared" si="1352"/>
        <v>-180.33330000000001</v>
      </c>
      <c r="BE456" s="492">
        <f t="shared" si="1352"/>
        <v>-179</v>
      </c>
      <c r="BF456" s="492">
        <f t="shared" si="1352"/>
        <v>-359.33330000000001</v>
      </c>
      <c r="BG456" s="293"/>
      <c r="BH456" s="492">
        <f t="shared" si="1353"/>
        <v>-163</v>
      </c>
      <c r="BI456" s="492">
        <f t="shared" si="1353"/>
        <v>-180</v>
      </c>
      <c r="BJ456" s="492">
        <f t="shared" si="1353"/>
        <v>-343</v>
      </c>
      <c r="BK456" s="487"/>
      <c r="BL456" s="492">
        <f t="shared" si="1354"/>
        <v>-177</v>
      </c>
      <c r="BM456" s="492">
        <f t="shared" si="1354"/>
        <v>-221</v>
      </c>
      <c r="BN456" s="492">
        <f t="shared" si="1354"/>
        <v>-398</v>
      </c>
      <c r="BO456" s="487"/>
      <c r="BP456" s="492">
        <f t="shared" si="1355"/>
        <v>-205</v>
      </c>
      <c r="BQ456" s="492">
        <f t="shared" si="1355"/>
        <v>-236</v>
      </c>
      <c r="BR456" s="492">
        <f t="shared" si="1355"/>
        <v>-441</v>
      </c>
      <c r="BS456" s="487"/>
      <c r="BT456" s="492">
        <f t="shared" si="1356"/>
        <v>-238</v>
      </c>
      <c r="BU456" s="492">
        <f t="shared" si="1356"/>
        <v>-241</v>
      </c>
      <c r="BV456" s="492">
        <f t="shared" si="1356"/>
        <v>-479</v>
      </c>
      <c r="BW456" s="293"/>
      <c r="BX456" s="492">
        <f t="shared" si="1357"/>
        <v>-237</v>
      </c>
      <c r="BY456" s="492">
        <f t="shared" si="1357"/>
        <v>-248</v>
      </c>
      <c r="BZ456" s="492">
        <f t="shared" si="1357"/>
        <v>-485</v>
      </c>
      <c r="CA456" s="293"/>
      <c r="CB456" s="492">
        <f t="shared" si="1358"/>
        <v>-215</v>
      </c>
      <c r="CC456" s="492">
        <f t="shared" si="1358"/>
        <v>-250</v>
      </c>
      <c r="CD456" s="492">
        <f t="shared" si="1358"/>
        <v>-465</v>
      </c>
      <c r="CE456" s="293"/>
      <c r="CF456" s="492">
        <f t="shared" si="1359"/>
        <v>-319</v>
      </c>
      <c r="CG456" s="492">
        <f t="shared" si="1359"/>
        <v>-367</v>
      </c>
      <c r="CH456" s="492">
        <f t="shared" si="1359"/>
        <v>-686</v>
      </c>
      <c r="CI456" s="293"/>
      <c r="CJ456" s="492">
        <f t="shared" si="1360"/>
        <v>-385</v>
      </c>
      <c r="CK456" s="492">
        <f t="shared" si="1360"/>
        <v>-397</v>
      </c>
      <c r="CL456" s="492">
        <f t="shared" si="1360"/>
        <v>-782</v>
      </c>
      <c r="CM456" s="293"/>
      <c r="CN456" s="492">
        <f t="shared" si="1361"/>
        <v>-341</v>
      </c>
      <c r="CO456" s="492">
        <f t="shared" si="1361"/>
        <v>-397</v>
      </c>
      <c r="CP456" s="492">
        <f t="shared" si="1361"/>
        <v>-738</v>
      </c>
      <c r="CQ456" s="293"/>
      <c r="CR456" s="492">
        <f t="shared" si="1362"/>
        <v>-669</v>
      </c>
      <c r="CS456" s="492">
        <f t="shared" si="1362"/>
        <v>-702</v>
      </c>
      <c r="CT456" s="492">
        <f t="shared" si="1362"/>
        <v>-1371</v>
      </c>
      <c r="CU456" s="293"/>
      <c r="CV456" s="492">
        <f t="shared" si="1363"/>
        <v>-623</v>
      </c>
      <c r="CW456" s="492">
        <f t="shared" si="1363"/>
        <v>-735</v>
      </c>
      <c r="CX456" s="492">
        <f t="shared" si="1363"/>
        <v>-1358</v>
      </c>
      <c r="CY456" s="293"/>
      <c r="CZ456" s="492">
        <f t="shared" si="1364"/>
        <v>-691</v>
      </c>
      <c r="DA456" s="492">
        <f t="shared" si="1364"/>
        <v>-648</v>
      </c>
      <c r="DB456" s="492">
        <f t="shared" si="1364"/>
        <v>-1339</v>
      </c>
      <c r="DC456" s="293"/>
      <c r="DD456" s="492">
        <f t="shared" si="1365"/>
        <v>-605</v>
      </c>
      <c r="DE456" s="492">
        <f t="shared" si="1365"/>
        <v>-667</v>
      </c>
      <c r="DF456" s="492">
        <f t="shared" si="1365"/>
        <v>-1272</v>
      </c>
      <c r="DG456" s="293"/>
      <c r="DH456" s="492">
        <f t="shared" ref="DH456" si="1368">DH352</f>
        <v>-574</v>
      </c>
      <c r="DI456" s="293">
        <f>+DE456*(1+DI461)</f>
        <v>-623.64499999999998</v>
      </c>
      <c r="DJ456" s="293">
        <f>DH456+DI456</f>
        <v>-1197.645</v>
      </c>
      <c r="DK456" s="293"/>
      <c r="DL456" s="293">
        <f>+DH456*(1+DL461)</f>
        <v>-505.12</v>
      </c>
      <c r="DM456" s="293">
        <f>+DI456*(1+DM461)</f>
        <v>-604.93565000000001</v>
      </c>
      <c r="DN456" s="293">
        <f>DL456+DM456</f>
        <v>-1110.05565</v>
      </c>
      <c r="DO456" s="293"/>
      <c r="DP456" s="293">
        <f>+DL456*(1+DP461)</f>
        <v>-520.27359999999999</v>
      </c>
      <c r="DQ456" s="293">
        <f>+DM456*(1+DQ461)</f>
        <v>-623.08371950000003</v>
      </c>
      <c r="DR456" s="293">
        <f>DP456+DQ456</f>
        <v>-1143.3573194999999</v>
      </c>
      <c r="DS456" s="293"/>
      <c r="DT456" s="293"/>
      <c r="DU456" s="293"/>
      <c r="DV456" s="293"/>
      <c r="DW456" s="828" t="s">
        <v>514</v>
      </c>
      <c r="DX456" s="293"/>
      <c r="DY456" s="293"/>
      <c r="DZ456" s="293"/>
      <c r="EA456" s="293"/>
      <c r="EB456" s="293"/>
      <c r="EC456" s="293"/>
      <c r="ED456" s="293"/>
      <c r="EE456" s="293"/>
      <c r="EF456" s="293"/>
      <c r="EG456" s="293"/>
      <c r="EH456" s="293"/>
      <c r="EI456" s="293"/>
      <c r="EJ456" s="293"/>
      <c r="EK456" s="293"/>
      <c r="EL456" s="293"/>
      <c r="EM456" s="293"/>
      <c r="EN456" s="293"/>
      <c r="EO456" s="293"/>
      <c r="EP456" s="293"/>
      <c r="EQ456" s="293"/>
      <c r="ER456" s="293"/>
      <c r="ES456" s="293"/>
      <c r="ET456" s="293"/>
      <c r="EU456" s="293"/>
      <c r="JW456"/>
    </row>
    <row r="457" spans="1:283" s="332" customFormat="1">
      <c r="A457" s="327" t="s">
        <v>913</v>
      </c>
      <c r="AN457" s="820">
        <f>SUM(AN454:AN456)</f>
        <v>0</v>
      </c>
      <c r="AO457" s="820">
        <f>SUM(AO454:AO456)</f>
        <v>0</v>
      </c>
      <c r="AP457" s="820">
        <f>SUM(AP454:AP456)</f>
        <v>0</v>
      </c>
      <c r="AQ457" s="293"/>
      <c r="AR457" s="820">
        <f>SUM(AR454:AR456)</f>
        <v>-302</v>
      </c>
      <c r="AS457" s="820">
        <f>SUM(AS454:AS456)</f>
        <v>-392</v>
      </c>
      <c r="AT457" s="820">
        <f>SUM(AT454:AT456)</f>
        <v>-694</v>
      </c>
      <c r="AU457" s="626"/>
      <c r="AV457" s="820">
        <f>SUM(AV454:AV456)</f>
        <v>-265</v>
      </c>
      <c r="AW457" s="820">
        <f>SUM(AW454:AW456)</f>
        <v>-359</v>
      </c>
      <c r="AX457" s="820">
        <f>SUM(AX454:AX456)</f>
        <v>-624</v>
      </c>
      <c r="AY457" s="626"/>
      <c r="AZ457" s="820">
        <f>SUM(AZ454:AZ456)</f>
        <v>-412</v>
      </c>
      <c r="BA457" s="820">
        <f>SUM(BA454:BA456)</f>
        <v>-405</v>
      </c>
      <c r="BB457" s="820">
        <f>SUM(BB454:BB456)</f>
        <v>-817</v>
      </c>
      <c r="BC457" s="293"/>
      <c r="BD457" s="820">
        <f>SUM(BD454:BD456)</f>
        <v>-384</v>
      </c>
      <c r="BE457" s="820">
        <f>SUM(BE454:BE456)</f>
        <v>-383</v>
      </c>
      <c r="BF457" s="820">
        <f>SUM(BF454:BF456)</f>
        <v>-767</v>
      </c>
      <c r="BG457" s="293"/>
      <c r="BH457" s="820">
        <f>SUM(BH454:BH456)</f>
        <v>-370</v>
      </c>
      <c r="BI457" s="820">
        <f>SUM(BI454:BI456)</f>
        <v>-390</v>
      </c>
      <c r="BJ457" s="820">
        <f>SUM(BJ454:BJ456)</f>
        <v>-760</v>
      </c>
      <c r="BK457" s="487"/>
      <c r="BL457" s="820">
        <f>SUM(BL454:BL456)</f>
        <v>-407</v>
      </c>
      <c r="BM457" s="820">
        <f>SUM(BM454:BM456)</f>
        <v>-470</v>
      </c>
      <c r="BN457" s="820">
        <f>SUM(BN454:BN456)</f>
        <v>-877</v>
      </c>
      <c r="BO457" s="487"/>
      <c r="BP457" s="820">
        <f>SUM(BP454:BP456)</f>
        <v>-440</v>
      </c>
      <c r="BQ457" s="820">
        <f>SUM(BQ454:BQ456)</f>
        <v>-526</v>
      </c>
      <c r="BR457" s="820">
        <f>SUM(BR454:BR456)</f>
        <v>-966</v>
      </c>
      <c r="BS457" s="487"/>
      <c r="BT457" s="820">
        <f>SUM(BT454:BT456)</f>
        <v>-517</v>
      </c>
      <c r="BU457" s="820">
        <f>SUM(BU454:BU456)</f>
        <v>-536</v>
      </c>
      <c r="BV457" s="820">
        <f>SUM(BV454:BV456)</f>
        <v>-1053</v>
      </c>
      <c r="BW457" s="293"/>
      <c r="BX457" s="820">
        <f>SUM(BX454:BX456)</f>
        <v>-516</v>
      </c>
      <c r="BY457" s="820">
        <f>SUM(BY454:BY456)</f>
        <v>-541</v>
      </c>
      <c r="BZ457" s="820">
        <f>SUM(BZ454:BZ456)</f>
        <v>-1057</v>
      </c>
      <c r="CA457" s="293"/>
      <c r="CB457" s="820">
        <f>SUM(CB454:CB456)</f>
        <v>-482</v>
      </c>
      <c r="CC457" s="820">
        <f>SUM(CC454:CC456)</f>
        <v>-521</v>
      </c>
      <c r="CD457" s="820">
        <f>SUM(CD454:CD456)</f>
        <v>-1003</v>
      </c>
      <c r="CE457" s="293"/>
      <c r="CF457" s="820">
        <f>SUM(CF454:CF456)</f>
        <v>-683</v>
      </c>
      <c r="CG457" s="820">
        <f>SUM(CG454:CG456)</f>
        <v>-770</v>
      </c>
      <c r="CH457" s="820">
        <f>SUM(CH454:CH456)</f>
        <v>-1453</v>
      </c>
      <c r="CI457" s="293"/>
      <c r="CJ457" s="820">
        <f>SUM(CJ454:CJ456)</f>
        <v>-755</v>
      </c>
      <c r="CK457" s="820">
        <f>SUM(CK454:CK456)</f>
        <v>-799</v>
      </c>
      <c r="CL457" s="820">
        <f>SUM(CL454:CL456)</f>
        <v>-1554</v>
      </c>
      <c r="CM457" s="293"/>
      <c r="CN457" s="820">
        <f>SUM(CN454:CN456)</f>
        <v>-721</v>
      </c>
      <c r="CO457" s="820">
        <f>SUM(CO454:CO456)</f>
        <v>-753</v>
      </c>
      <c r="CP457" s="820">
        <f>SUM(CP454:CP456)</f>
        <v>-1474</v>
      </c>
      <c r="CQ457" s="293"/>
      <c r="CR457" s="820">
        <f>SUM(CR454:CR456)</f>
        <v>-1282</v>
      </c>
      <c r="CS457" s="820">
        <f>SUM(CS454:CS456)</f>
        <v>-1349</v>
      </c>
      <c r="CT457" s="820">
        <f>SUM(CT454:CT456)</f>
        <v>-2631</v>
      </c>
      <c r="CU457" s="293"/>
      <c r="CV457" s="820">
        <f>SUM(CV454:CV456)</f>
        <v>-1197</v>
      </c>
      <c r="CW457" s="820">
        <f>SUM(CW454:CW456)</f>
        <v>-1398</v>
      </c>
      <c r="CX457" s="820">
        <f>SUM(CX454:CX456)</f>
        <v>-2595</v>
      </c>
      <c r="CY457" s="293"/>
      <c r="CZ457" s="820">
        <f>SUM(CZ454:CZ456)</f>
        <v>-1300</v>
      </c>
      <c r="DA457" s="820">
        <f>SUM(DA454:DA456)</f>
        <v>-1259</v>
      </c>
      <c r="DB457" s="820">
        <f>SUM(DB454:DB456)</f>
        <v>-2559</v>
      </c>
      <c r="DC457" s="293"/>
      <c r="DD457" s="820">
        <f>SUM(DD454:DD456)</f>
        <v>-1217</v>
      </c>
      <c r="DE457" s="820">
        <f>SUM(DE454:DE456)</f>
        <v>-1298</v>
      </c>
      <c r="DF457" s="820">
        <f>SUM(DF454:DF456)</f>
        <v>-2515</v>
      </c>
      <c r="DG457" s="293"/>
      <c r="DH457" s="820">
        <f>SUM(DH454:DH456)</f>
        <v>-1197</v>
      </c>
      <c r="DI457" s="820">
        <f>SUM(DI454:DI456)</f>
        <v>-1212.7769606566681</v>
      </c>
      <c r="DJ457" s="820">
        <f>SUM(DJ454:DJ456)</f>
        <v>-2409.7769606566681</v>
      </c>
      <c r="DK457" s="293"/>
      <c r="DL457" s="820">
        <f>SUM(DL454:DL456)</f>
        <v>-1077.0848359311688</v>
      </c>
      <c r="DM457" s="820">
        <f>SUM(DM454:DM456)</f>
        <v>-1209.3931754880282</v>
      </c>
      <c r="DN457" s="820">
        <f>SUM(DN454:DN456)</f>
        <v>-2286.4780114191972</v>
      </c>
      <c r="DO457" s="293"/>
      <c r="DP457" s="820">
        <f>SUM(DP454:DP456)</f>
        <v>-1123.3306020939754</v>
      </c>
      <c r="DQ457" s="820">
        <f>SUM(DQ454:DQ456)</f>
        <v>-1266.2508381892262</v>
      </c>
      <c r="DR457" s="820">
        <f>SUM(DR454:DR456)</f>
        <v>-2389.5814402832016</v>
      </c>
      <c r="DS457" s="293"/>
      <c r="DT457" s="293"/>
      <c r="DU457" s="293"/>
      <c r="DV457" s="293"/>
      <c r="DW457" s="1197"/>
      <c r="DX457" s="293"/>
      <c r="DY457" s="293"/>
      <c r="DZ457" s="293"/>
      <c r="EA457" s="293"/>
      <c r="EB457" s="293"/>
      <c r="EC457" s="293"/>
      <c r="ED457" s="293"/>
      <c r="EE457" s="293"/>
      <c r="EF457" s="293"/>
      <c r="EG457" s="293"/>
      <c r="EH457" s="293"/>
      <c r="EI457" s="293"/>
      <c r="EJ457" s="293"/>
      <c r="EK457" s="293"/>
      <c r="EL457" s="293"/>
      <c r="EM457" s="293"/>
      <c r="EN457" s="293"/>
      <c r="EO457" s="293"/>
      <c r="EP457" s="293"/>
      <c r="EQ457" s="293"/>
      <c r="ER457" s="293"/>
      <c r="ES457" s="293"/>
      <c r="ET457" s="293"/>
      <c r="EU457" s="293"/>
      <c r="JW457"/>
    </row>
    <row r="458" spans="1:283">
      <c r="A458" s="328" t="s">
        <v>835</v>
      </c>
      <c r="CR458" s="103"/>
      <c r="CS458" s="103"/>
      <c r="CT458" s="103"/>
      <c r="CV458" s="293"/>
      <c r="CW458" s="103"/>
      <c r="CX458" s="103"/>
      <c r="CZ458" s="293"/>
      <c r="DA458" s="103"/>
      <c r="DB458" s="103"/>
      <c r="DD458" s="293"/>
      <c r="DE458" s="103"/>
      <c r="DF458" s="103"/>
      <c r="DH458" s="293"/>
      <c r="DI458" s="293"/>
      <c r="DJ458" s="293"/>
      <c r="DL458" s="293"/>
      <c r="DM458" s="293"/>
      <c r="DN458" s="293"/>
      <c r="DP458" s="293"/>
      <c r="DQ458" s="293"/>
      <c r="DR458" s="293"/>
      <c r="DW458" s="1197"/>
      <c r="DX458" s="293"/>
      <c r="DY458" s="293"/>
      <c r="EA458" s="293"/>
      <c r="EB458" s="293"/>
      <c r="EC458" s="293"/>
      <c r="EE458" s="293"/>
      <c r="EF458" s="293"/>
      <c r="EG458" s="293"/>
      <c r="EI458" s="293"/>
      <c r="EJ458" s="293"/>
      <c r="EK458" s="293"/>
    </row>
    <row r="459" spans="1:283" s="323" customFormat="1">
      <c r="A459" s="1079" t="str">
        <f>A454</f>
        <v>Employment expenses</v>
      </c>
      <c r="AN459" s="115"/>
      <c r="AO459" s="115"/>
      <c r="AP459" s="115"/>
      <c r="AQ459" s="115"/>
      <c r="AR459" s="648"/>
      <c r="AS459" s="648"/>
      <c r="AT459" s="648"/>
      <c r="AU459" s="115"/>
      <c r="AV459" s="648">
        <f t="shared" ref="AV459:AX462" si="1369">+AV454/AR454-1</f>
        <v>-1.7241379310344862E-2</v>
      </c>
      <c r="AW459" s="648">
        <f t="shared" si="1369"/>
        <v>-0.15189873417721522</v>
      </c>
      <c r="AX459" s="648">
        <f t="shared" si="1369"/>
        <v>-9.4890510948905105E-2</v>
      </c>
      <c r="AY459" s="115"/>
      <c r="AZ459" s="648">
        <f t="shared" ref="AZ459:BB462" si="1370">+AZ454/AV454-1</f>
        <v>0.34210526315789469</v>
      </c>
      <c r="BA459" s="648">
        <f t="shared" si="1370"/>
        <v>0.17910447761194037</v>
      </c>
      <c r="BB459" s="648">
        <f t="shared" si="1370"/>
        <v>0.25403225806451624</v>
      </c>
      <c r="BC459" s="115"/>
      <c r="BD459" s="648">
        <f t="shared" ref="BD459:BF462" si="1371">+BD454/AZ454-1</f>
        <v>-0.15250522875816996</v>
      </c>
      <c r="BE459" s="648">
        <f t="shared" si="1371"/>
        <v>-0.14556962025316456</v>
      </c>
      <c r="BF459" s="648">
        <f t="shared" si="1371"/>
        <v>-0.14898167202572354</v>
      </c>
      <c r="BG459" s="115"/>
      <c r="BH459" s="648">
        <f t="shared" ref="BH459:BJ462" si="1372">+BH454/BD454-1</f>
        <v>2.570436357214323E-3</v>
      </c>
      <c r="BI459" s="648">
        <f t="shared" si="1372"/>
        <v>1.4814814814814836E-2</v>
      </c>
      <c r="BJ459" s="648">
        <f t="shared" si="1372"/>
        <v>8.8159938518899139E-3</v>
      </c>
      <c r="BK459" s="115"/>
      <c r="BL459" s="648">
        <f t="shared" ref="BL459:BP462" si="1373">+BL454/BH454-1</f>
        <v>0.10000000000000009</v>
      </c>
      <c r="BM459" s="648">
        <f t="shared" si="1373"/>
        <v>0.18978102189781021</v>
      </c>
      <c r="BN459" s="648">
        <f t="shared" si="1373"/>
        <v>0.14606741573033699</v>
      </c>
      <c r="BO459" s="115"/>
      <c r="BP459" s="648">
        <f t="shared" si="1373"/>
        <v>2.7972027972027913E-2</v>
      </c>
      <c r="BQ459" s="648">
        <f t="shared" ref="BQ459:BR462" si="1374">+BQ454/BM454-1</f>
        <v>0.16564417177914104</v>
      </c>
      <c r="BR459" s="648">
        <f t="shared" si="1374"/>
        <v>0.10130718954248374</v>
      </c>
      <c r="BS459" s="115"/>
      <c r="BT459" s="648">
        <f t="shared" ref="BT459:BX462" si="1375">+BT454/BP454-1</f>
        <v>0.19047619047619047</v>
      </c>
      <c r="BU459" s="648">
        <f t="shared" si="1375"/>
        <v>-5.2631578947368474E-2</v>
      </c>
      <c r="BV459" s="648">
        <f t="shared" si="1375"/>
        <v>5.3412462908011937E-2</v>
      </c>
      <c r="BW459" s="115"/>
      <c r="BX459" s="648">
        <f t="shared" si="1375"/>
        <v>4.0000000000000036E-2</v>
      </c>
      <c r="BY459" s="648">
        <f t="shared" ref="BY459:BZ462" si="1376">+BY454/BU454-1</f>
        <v>5.555555555555558E-2</v>
      </c>
      <c r="BZ459" s="648">
        <f t="shared" si="1376"/>
        <v>4.7887323943661908E-2</v>
      </c>
      <c r="CA459" s="115"/>
      <c r="CB459" s="648">
        <f>+CB454/BX454-1</f>
        <v>1.098901098901095E-2</v>
      </c>
      <c r="CC459" s="648">
        <f t="shared" ref="CC459:CC462" si="1377">+CC454/BY454-1</f>
        <v>3.6842105263157787E-2</v>
      </c>
      <c r="CD459" s="648">
        <f t="shared" ref="CD459:CD462" si="1378">+CD454/BZ454-1</f>
        <v>2.4193548387096753E-2</v>
      </c>
      <c r="CE459" s="115"/>
      <c r="CF459" s="648">
        <f>+CF454/CB454-1</f>
        <v>0.28260869565217384</v>
      </c>
      <c r="CG459" s="648">
        <f t="shared" ref="CG459:CG462" si="1379">+CG454/CC454-1</f>
        <v>0.43654822335025378</v>
      </c>
      <c r="CH459" s="648">
        <f t="shared" ref="CH459:CH462" si="1380">+CH454/CD454-1</f>
        <v>0.36220472440944884</v>
      </c>
      <c r="CI459" s="115"/>
      <c r="CJ459" s="648">
        <f>+CJ454/CF454-1</f>
        <v>2.9661016949152463E-2</v>
      </c>
      <c r="CK459" s="648">
        <f t="shared" ref="CK459:CK462" si="1381">+CK454/CG454-1</f>
        <v>-7.4204946996466403E-2</v>
      </c>
      <c r="CL459" s="648">
        <f t="shared" ref="CL459:CL462" si="1382">+CL454/CH454-1</f>
        <v>-2.6974951830443183E-2</v>
      </c>
      <c r="CM459" s="115"/>
      <c r="CN459" s="648">
        <f>+CN454/CJ454-1</f>
        <v>5.7613168724279795E-2</v>
      </c>
      <c r="CO459" s="648">
        <f t="shared" ref="CO459:CO462" si="1383">+CO454/CK454-1</f>
        <v>-0.12213740458015265</v>
      </c>
      <c r="CP459" s="648">
        <f t="shared" ref="CP459:CP462" si="1384">+CP454/CL454-1</f>
        <v>-3.5643564356435675E-2</v>
      </c>
      <c r="CQ459" s="115"/>
      <c r="CR459" s="648">
        <f>+CR454/CN454-1</f>
        <v>0.57976653696498048</v>
      </c>
      <c r="CS459" s="648">
        <f t="shared" ref="CS459:CS462" si="1385">+CS454/CO454-1</f>
        <v>0.83478260869565224</v>
      </c>
      <c r="CT459" s="648">
        <f t="shared" ref="CT459:CT462" si="1386">+CT454/CP454-1</f>
        <v>0.70020533880903502</v>
      </c>
      <c r="CU459" s="115"/>
      <c r="CV459" s="648">
        <f>+CV454/CR454-1</f>
        <v>-6.1576354679802936E-2</v>
      </c>
      <c r="CW459" s="648">
        <f t="shared" ref="CW459:CW462" si="1387">+CW454/CS454-1</f>
        <v>8.293838862559233E-2</v>
      </c>
      <c r="CX459" s="648">
        <f t="shared" ref="CX459:CX462" si="1388">+CX454/CT454-1</f>
        <v>1.2077294685990392E-2</v>
      </c>
      <c r="CY459" s="115"/>
      <c r="CZ459" s="648">
        <f>+CZ454/CV454-1</f>
        <v>8.9238845144356871E-2</v>
      </c>
      <c r="DA459" s="648">
        <f t="shared" ref="DA459:DA462" si="1389">+DA454/CW454-1</f>
        <v>-8.0962800875273522E-2</v>
      </c>
      <c r="DB459" s="648">
        <f t="shared" ref="DB459:DB462" si="1390">+DB454/CX454-1</f>
        <v>-3.5799522673031214E-3</v>
      </c>
      <c r="DC459" s="115"/>
      <c r="DD459" s="648">
        <f>+DD454/CZ454-1</f>
        <v>9.6385542168675453E-3</v>
      </c>
      <c r="DE459" s="648">
        <f t="shared" ref="DE459:DE462" si="1391">+DE454/DA454-1</f>
        <v>-4.2857142857142816E-2</v>
      </c>
      <c r="DF459" s="648">
        <f t="shared" ref="DF459:DF462" si="1392">+DF454/DB454-1</f>
        <v>-1.6766467065868262E-2</v>
      </c>
      <c r="DG459" s="115"/>
      <c r="DH459" s="648">
        <f>+DH454/DD454-1</f>
        <v>-4.2959427207637235E-2</v>
      </c>
      <c r="DI459" s="2133">
        <v>0.05</v>
      </c>
      <c r="DJ459" s="648">
        <f>+DJ454/DF454-1</f>
        <v>2.5578562728381105E-3</v>
      </c>
      <c r="DK459" s="115"/>
      <c r="DL459" s="2133">
        <v>0.03</v>
      </c>
      <c r="DM459" s="2133">
        <v>0.05</v>
      </c>
      <c r="DN459" s="648">
        <f>+DN454/DJ454-1</f>
        <v>4.025634795286126E-2</v>
      </c>
      <c r="DO459" s="115"/>
      <c r="DP459" s="1998">
        <v>0.06</v>
      </c>
      <c r="DQ459" s="1998">
        <v>7.0000000000000007E-2</v>
      </c>
      <c r="DR459" s="648">
        <f>+DR454/DN454-1</f>
        <v>6.5176207466408176E-2</v>
      </c>
      <c r="DS459" s="115"/>
      <c r="DT459" s="115"/>
      <c r="DU459" s="115"/>
      <c r="DV459" s="115"/>
      <c r="DW459" s="1214" t="s">
        <v>175</v>
      </c>
      <c r="DX459" s="648"/>
      <c r="DY459" s="648"/>
      <c r="DZ459" s="115"/>
      <c r="EA459" s="648"/>
      <c r="EB459" s="648"/>
      <c r="EC459" s="648"/>
      <c r="ED459" s="115"/>
      <c r="EE459" s="648"/>
      <c r="EF459" s="648"/>
      <c r="EG459" s="648"/>
      <c r="EH459" s="115"/>
      <c r="EI459" s="648"/>
      <c r="EJ459" s="648"/>
      <c r="EK459" s="648"/>
      <c r="EL459" s="115"/>
      <c r="EM459" s="115"/>
      <c r="EN459" s="115"/>
      <c r="EO459" s="115"/>
      <c r="EP459" s="115"/>
      <c r="EQ459" s="115"/>
      <c r="ER459" s="115"/>
      <c r="ES459" s="115"/>
      <c r="ET459" s="115"/>
      <c r="EU459" s="115"/>
      <c r="JW459"/>
    </row>
    <row r="460" spans="1:283" s="323" customFormat="1">
      <c r="A460" s="1079" t="str">
        <f>A455</f>
        <v>Brokerage and commission expenses</v>
      </c>
      <c r="AN460" s="115"/>
      <c r="AO460" s="115"/>
      <c r="AP460" s="115"/>
      <c r="AQ460" s="115"/>
      <c r="AR460" s="648"/>
      <c r="AS460" s="648"/>
      <c r="AT460" s="648"/>
      <c r="AU460" s="115"/>
      <c r="AV460" s="648">
        <f t="shared" si="1369"/>
        <v>-0.15686274509803921</v>
      </c>
      <c r="AW460" s="648">
        <f t="shared" si="1369"/>
        <v>-0.40816326530612246</v>
      </c>
      <c r="AX460" s="648">
        <f t="shared" si="1369"/>
        <v>-0.32214765100671139</v>
      </c>
      <c r="AY460" s="115"/>
      <c r="AZ460" s="648">
        <f t="shared" si="1370"/>
        <v>0.55813953488372103</v>
      </c>
      <c r="BA460" s="648">
        <f t="shared" si="1370"/>
        <v>0.18965517241379315</v>
      </c>
      <c r="BB460" s="648">
        <f t="shared" si="1370"/>
        <v>0.34653465346534662</v>
      </c>
      <c r="BC460" s="115"/>
      <c r="BD460" s="648">
        <f t="shared" si="1371"/>
        <v>0.10447761194029859</v>
      </c>
      <c r="BE460" s="648">
        <f t="shared" si="1371"/>
        <v>0</v>
      </c>
      <c r="BF460" s="648">
        <f t="shared" si="1371"/>
        <v>5.1470588235294157E-2</v>
      </c>
      <c r="BG460" s="115"/>
      <c r="BH460" s="648">
        <f t="shared" si="1372"/>
        <v>4.0540540540540571E-2</v>
      </c>
      <c r="BI460" s="648">
        <f t="shared" si="1372"/>
        <v>5.7971014492753659E-2</v>
      </c>
      <c r="BJ460" s="648">
        <f t="shared" si="1372"/>
        <v>4.8951048951048959E-2</v>
      </c>
      <c r="BK460" s="115"/>
      <c r="BL460" s="648">
        <f t="shared" si="1373"/>
        <v>0.12987012987012991</v>
      </c>
      <c r="BM460" s="648">
        <f t="shared" si="1373"/>
        <v>0.17808219178082196</v>
      </c>
      <c r="BN460" s="648">
        <f t="shared" si="1373"/>
        <v>0.15333333333333332</v>
      </c>
      <c r="BO460" s="115"/>
      <c r="BP460" s="648">
        <f t="shared" si="1373"/>
        <v>1.1494252873563315E-2</v>
      </c>
      <c r="BQ460" s="648">
        <f t="shared" si="1374"/>
        <v>0.16279069767441867</v>
      </c>
      <c r="BR460" s="648">
        <f t="shared" si="1374"/>
        <v>8.6705202312138629E-2</v>
      </c>
      <c r="BS460" s="115"/>
      <c r="BT460" s="648">
        <f t="shared" si="1375"/>
        <v>0.18181818181818188</v>
      </c>
      <c r="BU460" s="648">
        <f t="shared" si="1375"/>
        <v>0.14999999999999991</v>
      </c>
      <c r="BV460" s="648">
        <f t="shared" si="1375"/>
        <v>0.16489361702127669</v>
      </c>
      <c r="BW460" s="115"/>
      <c r="BX460" s="648">
        <f t="shared" si="1375"/>
        <v>-6.7307692307692291E-2</v>
      </c>
      <c r="BY460" s="648">
        <f t="shared" si="1376"/>
        <v>-0.10434782608695647</v>
      </c>
      <c r="BZ460" s="648">
        <f t="shared" si="1376"/>
        <v>-8.6757990867579959E-2</v>
      </c>
      <c r="CA460" s="115"/>
      <c r="CB460" s="648">
        <f>+CB455/BX455-1</f>
        <v>-0.14432989690721654</v>
      </c>
      <c r="CC460" s="648">
        <f t="shared" si="1377"/>
        <v>-0.28155339805825241</v>
      </c>
      <c r="CD460" s="648">
        <f t="shared" si="1378"/>
        <v>-0.21499999999999997</v>
      </c>
      <c r="CE460" s="115"/>
      <c r="CF460" s="648">
        <f>+CF455/CB455-1</f>
        <v>0.54216867469879526</v>
      </c>
      <c r="CG460" s="648">
        <f t="shared" si="1379"/>
        <v>0.62162162162162171</v>
      </c>
      <c r="CH460" s="648">
        <f t="shared" si="1380"/>
        <v>0.57961783439490455</v>
      </c>
      <c r="CI460" s="115"/>
      <c r="CJ460" s="648">
        <f>+CJ455/CF455-1</f>
        <v>-7.8125E-3</v>
      </c>
      <c r="CK460" s="648">
        <f t="shared" si="1381"/>
        <v>0.16666666666666674</v>
      </c>
      <c r="CL460" s="648">
        <f t="shared" si="1382"/>
        <v>7.6612903225806495E-2</v>
      </c>
      <c r="CM460" s="115"/>
      <c r="CN460" s="648">
        <f>+CN455/CJ455-1</f>
        <v>-3.1496062992126039E-2</v>
      </c>
      <c r="CO460" s="648">
        <f t="shared" si="1383"/>
        <v>-9.9999999999999978E-2</v>
      </c>
      <c r="CP460" s="648">
        <f>+CP455/CL455-1</f>
        <v>-6.7415730337078705E-2</v>
      </c>
      <c r="CQ460" s="115"/>
      <c r="CR460" s="648">
        <f>+CR455/CN455-1</f>
        <v>0.68292682926829262</v>
      </c>
      <c r="CS460" s="648">
        <f t="shared" si="1385"/>
        <v>0.78571428571428581</v>
      </c>
      <c r="CT460" s="648">
        <f t="shared" si="1386"/>
        <v>0.73493975903614461</v>
      </c>
      <c r="CU460" s="115"/>
      <c r="CV460" s="648">
        <f>+CV455/CR455-1</f>
        <v>-6.7632850241545861E-2</v>
      </c>
      <c r="CW460" s="648">
        <f t="shared" si="1387"/>
        <v>-8.4444444444444433E-2</v>
      </c>
      <c r="CX460" s="648">
        <f t="shared" si="1388"/>
        <v>-7.638888888888884E-2</v>
      </c>
      <c r="CY460" s="115"/>
      <c r="CZ460" s="648">
        <f>+CZ455/CV455-1</f>
        <v>5.1813471502590858E-3</v>
      </c>
      <c r="DA460" s="648">
        <f t="shared" si="1389"/>
        <v>-7.2815533980582492E-2</v>
      </c>
      <c r="DB460" s="648">
        <f t="shared" si="1390"/>
        <v>-3.5087719298245612E-2</v>
      </c>
      <c r="DC460" s="115"/>
      <c r="DD460" s="648">
        <f>+DD455/CZ455-1</f>
        <v>-5.1546391752577136E-3</v>
      </c>
      <c r="DE460" s="648">
        <f t="shared" si="1391"/>
        <v>0.19895287958115193</v>
      </c>
      <c r="DF460" s="648">
        <f t="shared" si="1392"/>
        <v>9.6103896103896025E-2</v>
      </c>
      <c r="DG460" s="115"/>
      <c r="DH460" s="648">
        <f>+DH455/DD455-1</f>
        <v>0.15025906735751304</v>
      </c>
      <c r="DI460" s="648">
        <f>+DI455/DE455-1</f>
        <v>-0.27060279189227887</v>
      </c>
      <c r="DJ460" s="648">
        <f>+DJ455/DF455-1</f>
        <v>-7.8123315979459318E-2</v>
      </c>
      <c r="DK460" s="115"/>
      <c r="DL460" s="648">
        <f>+DL455/DH455-1</f>
        <v>-0.28407731562536598</v>
      </c>
      <c r="DM460" s="648">
        <f>+DM455/DI455-1</f>
        <v>-3.4600774282471769E-2</v>
      </c>
      <c r="DN460" s="648">
        <f>+DN455/DJ455-1</f>
        <v>-0.17696386466876612</v>
      </c>
      <c r="DO460" s="115"/>
      <c r="DP460" s="648">
        <f>+DP455/DL455-1</f>
        <v>3.9704109711601099E-2</v>
      </c>
      <c r="DQ460" s="648">
        <f>+DQ455/DM455-1</f>
        <v>4.7659676510112936E-2</v>
      </c>
      <c r="DR460" s="648">
        <f>+DR455/DN455-1</f>
        <v>4.3710686461734705E-2</v>
      </c>
      <c r="DS460" s="115"/>
      <c r="DT460" s="115"/>
      <c r="DU460" s="115"/>
      <c r="DV460" s="115"/>
      <c r="DW460" s="1214" t="s">
        <v>514</v>
      </c>
      <c r="DX460" s="648"/>
      <c r="DY460" s="648"/>
      <c r="DZ460" s="115"/>
      <c r="EA460" s="648"/>
      <c r="EB460" s="648"/>
      <c r="EC460" s="648"/>
      <c r="ED460" s="115"/>
      <c r="EE460" s="648"/>
      <c r="EF460" s="648"/>
      <c r="EG460" s="648"/>
      <c r="EH460" s="115"/>
      <c r="EI460" s="648"/>
      <c r="EJ460" s="648"/>
      <c r="EK460" s="648"/>
      <c r="EL460" s="115"/>
      <c r="EM460" s="115"/>
      <c r="EN460" s="115"/>
      <c r="EO460" s="115"/>
      <c r="EP460" s="115"/>
      <c r="EQ460" s="115"/>
      <c r="ER460" s="115"/>
      <c r="ES460" s="115"/>
      <c r="ET460" s="115"/>
      <c r="EU460" s="115"/>
      <c r="JW460"/>
    </row>
    <row r="461" spans="1:283" s="323" customFormat="1">
      <c r="A461" s="1079" t="str">
        <f>A456</f>
        <v>Other operating expenses</v>
      </c>
      <c r="AN461" s="115"/>
      <c r="AO461" s="115"/>
      <c r="AP461" s="115"/>
      <c r="AQ461" s="115"/>
      <c r="AR461" s="648"/>
      <c r="AS461" s="648"/>
      <c r="AT461" s="648"/>
      <c r="AU461" s="115"/>
      <c r="AV461" s="648">
        <f t="shared" si="1369"/>
        <v>-0.19999999999999996</v>
      </c>
      <c r="AW461" s="648">
        <f t="shared" si="1369"/>
        <v>0.22794117647058831</v>
      </c>
      <c r="AX461" s="648">
        <f t="shared" si="1369"/>
        <v>1.4760147601476037E-2</v>
      </c>
      <c r="AY461" s="115"/>
      <c r="AZ461" s="648">
        <f t="shared" si="1370"/>
        <v>0.77777777777777768</v>
      </c>
      <c r="BA461" s="648">
        <f t="shared" si="1370"/>
        <v>6.5868263473053856E-2</v>
      </c>
      <c r="BB461" s="648">
        <f t="shared" si="1370"/>
        <v>0.34545454545454546</v>
      </c>
      <c r="BC461" s="115"/>
      <c r="BD461" s="648">
        <f t="shared" si="1371"/>
        <v>-6.0764062499999993E-2</v>
      </c>
      <c r="BE461" s="648">
        <f t="shared" si="1371"/>
        <v>5.6179775280897903E-3</v>
      </c>
      <c r="BF461" s="648">
        <f t="shared" si="1371"/>
        <v>-2.8828918918918922E-2</v>
      </c>
      <c r="BG461" s="115"/>
      <c r="BH461" s="648">
        <f t="shared" si="1372"/>
        <v>-9.6118132369340636E-2</v>
      </c>
      <c r="BI461" s="648">
        <f t="shared" si="1372"/>
        <v>5.5865921787709993E-3</v>
      </c>
      <c r="BJ461" s="648">
        <f t="shared" si="1372"/>
        <v>-4.5454456906721452E-2</v>
      </c>
      <c r="BK461" s="115"/>
      <c r="BL461" s="648">
        <f t="shared" si="1373"/>
        <v>8.5889570552147187E-2</v>
      </c>
      <c r="BM461" s="648">
        <f t="shared" si="1373"/>
        <v>0.22777777777777786</v>
      </c>
      <c r="BN461" s="648">
        <f t="shared" si="1373"/>
        <v>0.16034985422740533</v>
      </c>
      <c r="BO461" s="115"/>
      <c r="BP461" s="648">
        <f t="shared" si="1373"/>
        <v>0.15819209039548032</v>
      </c>
      <c r="BQ461" s="648">
        <f t="shared" si="1374"/>
        <v>6.7873303167420795E-2</v>
      </c>
      <c r="BR461" s="648">
        <f t="shared" si="1374"/>
        <v>0.1080402010050252</v>
      </c>
      <c r="BS461" s="115"/>
      <c r="BT461" s="648">
        <f t="shared" si="1375"/>
        <v>0.16097560975609748</v>
      </c>
      <c r="BU461" s="648">
        <f t="shared" si="1375"/>
        <v>2.1186440677966045E-2</v>
      </c>
      <c r="BV461" s="648">
        <f t="shared" si="1375"/>
        <v>8.6167800453514687E-2</v>
      </c>
      <c r="BW461" s="115"/>
      <c r="BX461" s="648">
        <f t="shared" si="1375"/>
        <v>-4.2016806722688926E-3</v>
      </c>
      <c r="BY461" s="648">
        <f t="shared" si="1376"/>
        <v>2.9045643153526868E-2</v>
      </c>
      <c r="BZ461" s="648">
        <f t="shared" si="1376"/>
        <v>1.2526096033402823E-2</v>
      </c>
      <c r="CA461" s="115"/>
      <c r="CB461" s="648">
        <f>+CB456/BX456-1</f>
        <v>-9.2827004219409259E-2</v>
      </c>
      <c r="CC461" s="648">
        <f t="shared" si="1377"/>
        <v>8.0645161290322509E-3</v>
      </c>
      <c r="CD461" s="648">
        <f t="shared" si="1378"/>
        <v>-4.123711340206182E-2</v>
      </c>
      <c r="CE461" s="115"/>
      <c r="CF461" s="648">
        <f>+CF456/CB456-1</f>
        <v>0.48372093023255824</v>
      </c>
      <c r="CG461" s="648">
        <f t="shared" si="1379"/>
        <v>0.46799999999999997</v>
      </c>
      <c r="CH461" s="648">
        <f t="shared" si="1380"/>
        <v>0.47526881720430114</v>
      </c>
      <c r="CI461" s="115"/>
      <c r="CJ461" s="648">
        <f>+CJ456/CF456-1</f>
        <v>0.2068965517241379</v>
      </c>
      <c r="CK461" s="648">
        <f t="shared" si="1381"/>
        <v>8.1743869209809361E-2</v>
      </c>
      <c r="CL461" s="648">
        <f t="shared" si="1382"/>
        <v>0.13994169096209919</v>
      </c>
      <c r="CM461" s="115"/>
      <c r="CN461" s="648">
        <f>+CN456/CJ456-1</f>
        <v>-0.11428571428571432</v>
      </c>
      <c r="CO461" s="648">
        <f t="shared" si="1383"/>
        <v>0</v>
      </c>
      <c r="CP461" s="648">
        <f t="shared" si="1384"/>
        <v>-5.6265984654731427E-2</v>
      </c>
      <c r="CQ461" s="115"/>
      <c r="CR461" s="648">
        <f>+CR456/CN456-1</f>
        <v>0.96187683284457481</v>
      </c>
      <c r="CS461" s="648">
        <f t="shared" si="1385"/>
        <v>0.76826196473551644</v>
      </c>
      <c r="CT461" s="648">
        <f t="shared" si="1386"/>
        <v>0.85772357723577231</v>
      </c>
      <c r="CU461" s="115"/>
      <c r="CV461" s="648">
        <f>+CV456/CR456-1</f>
        <v>-6.8759342301943249E-2</v>
      </c>
      <c r="CW461" s="648">
        <f t="shared" si="1387"/>
        <v>4.7008547008547064E-2</v>
      </c>
      <c r="CX461" s="648">
        <f t="shared" si="1388"/>
        <v>-9.4821298322392833E-3</v>
      </c>
      <c r="CY461" s="115"/>
      <c r="CZ461" s="648">
        <f>+CZ456/CV456-1</f>
        <v>0.10914927768860361</v>
      </c>
      <c r="DA461" s="648">
        <f t="shared" si="1389"/>
        <v>-0.11836734693877549</v>
      </c>
      <c r="DB461" s="648">
        <f t="shared" si="1390"/>
        <v>-1.3991163475699508E-2</v>
      </c>
      <c r="DC461" s="115"/>
      <c r="DD461" s="648">
        <f>+DD456/CZ456-1</f>
        <v>-0.12445730824891466</v>
      </c>
      <c r="DE461" s="648">
        <f t="shared" si="1391"/>
        <v>2.9320987654321007E-2</v>
      </c>
      <c r="DF461" s="648">
        <f t="shared" si="1392"/>
        <v>-5.0037341299477234E-2</v>
      </c>
      <c r="DG461" s="115"/>
      <c r="DH461" s="648">
        <f>+DH456/DD456-1</f>
        <v>-5.123966942148761E-2</v>
      </c>
      <c r="DI461" s="2133">
        <f>2.5%-9%</f>
        <v>-6.5000000000000002E-2</v>
      </c>
      <c r="DJ461" s="648">
        <f>+DJ456/DF456-1</f>
        <v>-5.8455188679245262E-2</v>
      </c>
      <c r="DK461" s="115"/>
      <c r="DL461" s="2133">
        <f>3%-15%</f>
        <v>-0.12</v>
      </c>
      <c r="DM461" s="2133">
        <f>3%-6%</f>
        <v>-0.03</v>
      </c>
      <c r="DN461" s="648">
        <f>+DN456/DJ456-1</f>
        <v>-7.3134651754067304E-2</v>
      </c>
      <c r="DO461" s="115"/>
      <c r="DP461" s="1998">
        <v>0.03</v>
      </c>
      <c r="DQ461" s="1998">
        <v>0.03</v>
      </c>
      <c r="DR461" s="648">
        <f>+DR456/DN456-1</f>
        <v>2.9999999999999805E-2</v>
      </c>
      <c r="DS461" s="115"/>
      <c r="DT461" s="115"/>
      <c r="DU461" s="115"/>
      <c r="DV461" s="115"/>
      <c r="DW461" s="1214" t="s">
        <v>175</v>
      </c>
      <c r="DX461" s="648"/>
      <c r="DY461" s="648"/>
      <c r="DZ461" s="115"/>
      <c r="EA461" s="648"/>
      <c r="EB461" s="648"/>
      <c r="EC461" s="648"/>
      <c r="ED461" s="115"/>
      <c r="EE461" s="648"/>
      <c r="EF461" s="648"/>
      <c r="EG461" s="648"/>
      <c r="EH461" s="115"/>
      <c r="EI461" s="648"/>
      <c r="EJ461" s="648"/>
      <c r="EK461" s="648"/>
      <c r="EL461" s="115"/>
      <c r="EM461" s="115"/>
      <c r="EN461" s="115"/>
      <c r="EO461" s="115"/>
      <c r="EP461" s="115"/>
      <c r="EQ461" s="115"/>
      <c r="ER461" s="115"/>
      <c r="ES461" s="115"/>
      <c r="ET461" s="115"/>
      <c r="EU461" s="115"/>
      <c r="JW461"/>
    </row>
    <row r="462" spans="1:283" s="328" customFormat="1">
      <c r="A462" s="328" t="str">
        <f>A457</f>
        <v>Total Expenses</v>
      </c>
      <c r="AN462" s="581"/>
      <c r="AO462" s="581"/>
      <c r="AP462" s="581"/>
      <c r="AQ462" s="581"/>
      <c r="AR462" s="650"/>
      <c r="AS462" s="650"/>
      <c r="AT462" s="650"/>
      <c r="AU462" s="581"/>
      <c r="AV462" s="650">
        <f t="shared" si="1369"/>
        <v>-0.12251655629139069</v>
      </c>
      <c r="AW462" s="650">
        <f t="shared" si="1369"/>
        <v>-8.418367346938771E-2</v>
      </c>
      <c r="AX462" s="650">
        <f t="shared" si="1369"/>
        <v>-0.10086455331412103</v>
      </c>
      <c r="AY462" s="581"/>
      <c r="AZ462" s="650">
        <f t="shared" si="1370"/>
        <v>0.55471698113207557</v>
      </c>
      <c r="BA462" s="650">
        <f t="shared" si="1370"/>
        <v>0.12813370473537611</v>
      </c>
      <c r="BB462" s="650">
        <f t="shared" si="1370"/>
        <v>0.30929487179487181</v>
      </c>
      <c r="BC462" s="581"/>
      <c r="BD462" s="650">
        <f t="shared" si="1371"/>
        <v>-6.7961165048543659E-2</v>
      </c>
      <c r="BE462" s="650">
        <f t="shared" si="1371"/>
        <v>-5.4320987654321029E-2</v>
      </c>
      <c r="BF462" s="650">
        <f t="shared" si="1371"/>
        <v>-6.1199510403916801E-2</v>
      </c>
      <c r="BG462" s="581"/>
      <c r="BH462" s="650">
        <f t="shared" si="1372"/>
        <v>-3.645833333333337E-2</v>
      </c>
      <c r="BI462" s="650">
        <f t="shared" si="1372"/>
        <v>1.8276762402088753E-2</v>
      </c>
      <c r="BJ462" s="650">
        <f t="shared" si="1372"/>
        <v>-9.126466753585416E-3</v>
      </c>
      <c r="BK462" s="581"/>
      <c r="BL462" s="650">
        <f t="shared" si="1373"/>
        <v>0.10000000000000009</v>
      </c>
      <c r="BM462" s="650">
        <f t="shared" si="1373"/>
        <v>0.20512820512820507</v>
      </c>
      <c r="BN462" s="650">
        <f t="shared" si="1373"/>
        <v>0.15394736842105261</v>
      </c>
      <c r="BO462" s="581"/>
      <c r="BP462" s="650">
        <f t="shared" si="1373"/>
        <v>8.1081081081081141E-2</v>
      </c>
      <c r="BQ462" s="650">
        <f t="shared" si="1374"/>
        <v>0.11914893617021272</v>
      </c>
      <c r="BR462" s="650">
        <f t="shared" si="1374"/>
        <v>0.10148232611174457</v>
      </c>
      <c r="BS462" s="581"/>
      <c r="BT462" s="650">
        <f t="shared" si="1375"/>
        <v>0.17500000000000004</v>
      </c>
      <c r="BU462" s="650">
        <f t="shared" si="1375"/>
        <v>1.9011406844106515E-2</v>
      </c>
      <c r="BV462" s="650">
        <f t="shared" si="1375"/>
        <v>9.0062111801242128E-2</v>
      </c>
      <c r="BW462" s="581"/>
      <c r="BX462" s="650">
        <f t="shared" si="1375"/>
        <v>-1.9342359767892114E-3</v>
      </c>
      <c r="BY462" s="650">
        <f t="shared" si="1376"/>
        <v>9.3283582089551675E-3</v>
      </c>
      <c r="BZ462" s="650">
        <f t="shared" si="1376"/>
        <v>3.7986704653372172E-3</v>
      </c>
      <c r="CA462" s="581"/>
      <c r="CB462" s="650">
        <f>+CB457/BX457-1</f>
        <v>-6.589147286821706E-2</v>
      </c>
      <c r="CC462" s="650">
        <f t="shared" si="1377"/>
        <v>-3.6968576709796697E-2</v>
      </c>
      <c r="CD462" s="650">
        <f t="shared" si="1378"/>
        <v>-5.1087984862819291E-2</v>
      </c>
      <c r="CE462" s="581"/>
      <c r="CF462" s="650">
        <f>+CF457/CB457-1</f>
        <v>0.41701244813278016</v>
      </c>
      <c r="CG462" s="650">
        <f t="shared" si="1379"/>
        <v>0.47792706333973123</v>
      </c>
      <c r="CH462" s="650">
        <f t="shared" si="1380"/>
        <v>0.44865403788634106</v>
      </c>
      <c r="CI462" s="581"/>
      <c r="CJ462" s="650">
        <f>+CJ457/CF457-1</f>
        <v>0.10541727672035139</v>
      </c>
      <c r="CK462" s="650">
        <f t="shared" si="1381"/>
        <v>3.766233766233773E-2</v>
      </c>
      <c r="CL462" s="650">
        <f t="shared" si="1382"/>
        <v>6.951135581555401E-2</v>
      </c>
      <c r="CM462" s="581"/>
      <c r="CN462" s="650">
        <f>+CN457/CJ457-1</f>
        <v>-4.503311258278142E-2</v>
      </c>
      <c r="CO462" s="650">
        <f t="shared" si="1383"/>
        <v>-5.757196495619521E-2</v>
      </c>
      <c r="CP462" s="650">
        <f t="shared" si="1384"/>
        <v>-5.1480051480051525E-2</v>
      </c>
      <c r="CQ462" s="581"/>
      <c r="CR462" s="650">
        <f>+CR457/CN457-1</f>
        <v>0.77808599167822479</v>
      </c>
      <c r="CS462" s="650">
        <f t="shared" si="1385"/>
        <v>0.79150066401062413</v>
      </c>
      <c r="CT462" s="650">
        <f t="shared" si="1386"/>
        <v>0.7849389416553596</v>
      </c>
      <c r="CU462" s="581"/>
      <c r="CV462" s="650">
        <f>+CV457/CR457-1</f>
        <v>-6.6302652106084214E-2</v>
      </c>
      <c r="CW462" s="650">
        <f t="shared" si="1387"/>
        <v>3.6323202372127605E-2</v>
      </c>
      <c r="CX462" s="650">
        <f t="shared" si="1388"/>
        <v>-1.3683010262257711E-2</v>
      </c>
      <c r="CY462" s="581"/>
      <c r="CZ462" s="650">
        <f>+CZ457/CV457-1</f>
        <v>8.6048454469507041E-2</v>
      </c>
      <c r="DA462" s="650">
        <f t="shared" si="1389"/>
        <v>-9.9427753934191676E-2</v>
      </c>
      <c r="DB462" s="650">
        <f t="shared" si="1390"/>
        <v>-1.387283236994219E-2</v>
      </c>
      <c r="DC462" s="581"/>
      <c r="DD462" s="650">
        <f>+DD457/CZ457-1</f>
        <v>-6.3846153846153886E-2</v>
      </c>
      <c r="DE462" s="650">
        <f t="shared" si="1391"/>
        <v>3.0976965845909366E-2</v>
      </c>
      <c r="DF462" s="650">
        <f t="shared" si="1392"/>
        <v>-1.7194216490816761E-2</v>
      </c>
      <c r="DG462" s="581"/>
      <c r="DH462" s="650">
        <f>+DH457/DD457-1</f>
        <v>-1.6433853738701765E-2</v>
      </c>
      <c r="DI462" s="650">
        <f>+DI457/DE457-1</f>
        <v>-6.5657195179762651E-2</v>
      </c>
      <c r="DJ462" s="650">
        <f>+DJ457/DF457-1</f>
        <v>-4.183818661762706E-2</v>
      </c>
      <c r="DK462" s="581"/>
      <c r="DL462" s="650">
        <f>+DL457/DH457-1</f>
        <v>-0.10017975277262425</v>
      </c>
      <c r="DM462" s="650">
        <f>+DM457/DI457-1</f>
        <v>-2.7901133336237782E-3</v>
      </c>
      <c r="DN462" s="650">
        <f>+DN457/DJ457-1</f>
        <v>-5.1166125019251441E-2</v>
      </c>
      <c r="DO462" s="581"/>
      <c r="DP462" s="650">
        <f>+DP457/DL457-1</f>
        <v>4.2936047950973055E-2</v>
      </c>
      <c r="DQ462" s="650">
        <f>+DQ457/DM457-1</f>
        <v>4.7013381465671245E-2</v>
      </c>
      <c r="DR462" s="650">
        <f>+DR457/DN457-1</f>
        <v>4.5092683309912562E-2</v>
      </c>
      <c r="DS462" s="581"/>
      <c r="DT462" s="581"/>
      <c r="DU462" s="581"/>
      <c r="DV462" s="581"/>
      <c r="DW462" s="1230"/>
      <c r="DX462" s="650"/>
      <c r="DY462" s="650"/>
      <c r="DZ462" s="581"/>
      <c r="EA462" s="650"/>
      <c r="EB462" s="650"/>
      <c r="EC462" s="650"/>
      <c r="ED462" s="581"/>
      <c r="EE462" s="650"/>
      <c r="EF462" s="650"/>
      <c r="EG462" s="650"/>
      <c r="EH462" s="581"/>
      <c r="EI462" s="650"/>
      <c r="EJ462" s="650"/>
      <c r="EK462" s="650"/>
      <c r="EL462" s="581"/>
      <c r="EM462" s="581"/>
      <c r="EN462" s="581"/>
      <c r="EO462" s="581"/>
      <c r="EP462" s="581"/>
      <c r="EQ462" s="581"/>
      <c r="ER462" s="581"/>
      <c r="ES462" s="581"/>
      <c r="ET462" s="581"/>
      <c r="EU462" s="581"/>
      <c r="JW462"/>
    </row>
    <row r="463" spans="1:283">
      <c r="CR463" s="103"/>
      <c r="CS463" s="103"/>
      <c r="CT463" s="103"/>
      <c r="CV463" s="103"/>
      <c r="CW463" s="103"/>
      <c r="CX463" s="103"/>
      <c r="CZ463" s="103"/>
      <c r="DA463" s="103"/>
      <c r="DB463" s="103"/>
      <c r="DD463" s="103"/>
      <c r="DE463" s="103"/>
      <c r="DF463" s="103"/>
      <c r="DH463" s="103"/>
      <c r="DI463" s="103"/>
      <c r="DJ463" s="103"/>
      <c r="DL463" s="103"/>
      <c r="DM463" s="103"/>
      <c r="DN463" s="103"/>
      <c r="DP463" s="103"/>
      <c r="DQ463" s="103"/>
      <c r="DR463" s="103"/>
      <c r="DW463" s="1101"/>
    </row>
    <row r="464" spans="1:283" s="323" customFormat="1">
      <c r="A464" s="323" t="s">
        <v>1061</v>
      </c>
      <c r="AN464" s="684"/>
      <c r="AO464" s="684"/>
      <c r="AP464" s="684"/>
      <c r="AQ464" s="115"/>
      <c r="AR464" s="684"/>
      <c r="AS464" s="684"/>
      <c r="AT464" s="684"/>
      <c r="AU464" s="115"/>
      <c r="AV464" s="684">
        <f>-AV455/(AV411-AV404)</f>
        <v>0.10858585858585859</v>
      </c>
      <c r="AW464" s="684">
        <f>-AW455/(AW411-AW404)</f>
        <v>0.11764705882352941</v>
      </c>
      <c r="AX464" s="684">
        <f>-AX455/(AX411-AX404)</f>
        <v>0.11361079865016872</v>
      </c>
      <c r="AY464" s="115"/>
      <c r="AZ464" s="684">
        <f>-AZ455/(AZ411-AZ404)</f>
        <v>0.10912052117263844</v>
      </c>
      <c r="BA464" s="684">
        <f>-BA455/(BA411-BA404)</f>
        <v>0.12343470483005367</v>
      </c>
      <c r="BB464" s="684">
        <f>-BB455/(BB411-BB404)</f>
        <v>0.11594202898550725</v>
      </c>
      <c r="BC464" s="115"/>
      <c r="BD464" s="684">
        <f>-BD455/(BD411-BD404)</f>
        <v>0.13230043641265576</v>
      </c>
      <c r="BE464" s="684">
        <f>-BE455/(BE411-BE404)</f>
        <v>0.12126537785588752</v>
      </c>
      <c r="BF464" s="684">
        <f>-BF455/(BF411-BF404)</f>
        <v>0.12673563566783919</v>
      </c>
      <c r="BG464" s="115"/>
      <c r="BH464" s="684">
        <f>-BH455/(BH411-BH404)</f>
        <v>0.13095238095238096</v>
      </c>
      <c r="BI464" s="684">
        <f>-BI455/(BI411-BI404)</f>
        <v>0.10579710144927536</v>
      </c>
      <c r="BJ464" s="684">
        <f>-BJ455/(BJ411-BJ404)</f>
        <v>0.11737089201877934</v>
      </c>
      <c r="BK464" s="115"/>
      <c r="BL464" s="684">
        <f>-BL455/(BL411-BL404)</f>
        <v>0.11917808219178082</v>
      </c>
      <c r="BM464" s="684">
        <f>-BM455/(BM411-BM404)</f>
        <v>0.11125485122897801</v>
      </c>
      <c r="BN464" s="684">
        <f>-BN455/(BN411-BN404)</f>
        <v>0.11510312707917499</v>
      </c>
      <c r="BO464" s="115"/>
      <c r="BP464" s="684">
        <f>-BP455/(BP411-BP404)</f>
        <v>0.11796246648793565</v>
      </c>
      <c r="BQ464" s="684">
        <f>-BQ455/(BQ411-BQ404)</f>
        <v>0.11641443538998836</v>
      </c>
      <c r="BR464" s="684">
        <f>-BR455/(BR411-BR404)</f>
        <v>0.11713395638629283</v>
      </c>
      <c r="BS464" s="115"/>
      <c r="BT464" s="684">
        <f>-BT455/(BT411-BT404)</f>
        <v>0.11453744493392071</v>
      </c>
      <c r="BU464" s="684">
        <f>-BU455/(BU411-BU404)</f>
        <v>0.1273532668881506</v>
      </c>
      <c r="BV464" s="684">
        <f>-BV455/(BV411-BV404)</f>
        <v>0.12092766427388184</v>
      </c>
      <c r="BW464" s="115"/>
      <c r="BX464" s="684">
        <f>-BX455/(BX411-BX404)</f>
        <v>0.10837988826815642</v>
      </c>
      <c r="BY464" s="684">
        <f>-BY455/(BY411-BY404)</f>
        <v>0.11343612334801761</v>
      </c>
      <c r="BZ464" s="684">
        <f>-BZ455/(BZ411-BZ404)</f>
        <v>0.11092623405435385</v>
      </c>
      <c r="CA464" s="115"/>
      <c r="CB464" s="684">
        <f>-CB455/(CB411-CB404)</f>
        <v>9.4425483503981791E-2</v>
      </c>
      <c r="CC464" s="684">
        <f>-CC455/(CC411-CC404)</f>
        <v>8.2130965593784688E-2</v>
      </c>
      <c r="CD464" s="684">
        <f>-CD455/(CD411-CD404)</f>
        <v>8.8202247191011232E-2</v>
      </c>
      <c r="CE464" s="115"/>
      <c r="CF464" s="684">
        <f>-CF455/(CF411-CF404)</f>
        <v>0.12673267326732673</v>
      </c>
      <c r="CG464" s="684">
        <f>-CG455/(CG411-CG404)</f>
        <v>0.11374407582938388</v>
      </c>
      <c r="CH464" s="684">
        <f>-CH455/(CH411-CH404)</f>
        <v>0.12009685230024213</v>
      </c>
      <c r="CI464" s="115"/>
      <c r="CJ464" s="684">
        <f>-CJ455/(CJ411-CJ404)</f>
        <v>0.11524500907441017</v>
      </c>
      <c r="CK464" s="684">
        <f>-CK455/(CK411-CK404)</f>
        <v>0.10903426791277258</v>
      </c>
      <c r="CL464" s="684">
        <f>-CL455/(CL411-CL404)</f>
        <v>0.11190276613579211</v>
      </c>
      <c r="CM464" s="115"/>
      <c r="CN464" s="684">
        <f>-CN455/(CN411-CN404)</f>
        <v>0.11263736263736264</v>
      </c>
      <c r="CO464" s="684">
        <f>-CO455/(CO411-CO404)</f>
        <v>0.10714285714285714</v>
      </c>
      <c r="CP464" s="684">
        <f>-CP455/(CP411-CP404)</f>
        <v>0.10978835978835978</v>
      </c>
      <c r="CQ464" s="115"/>
      <c r="CR464" s="684">
        <f>-CR455/(CR411-CR404)</f>
        <v>0.10496957403651115</v>
      </c>
      <c r="CS464" s="684">
        <f>-CS455/(CS411-CS404)</f>
        <v>0.13066202090592335</v>
      </c>
      <c r="CT464" s="684">
        <f>-CT455/(CT411-CT404)</f>
        <v>0.11694639956686519</v>
      </c>
      <c r="CU464" s="115"/>
      <c r="CV464" s="684">
        <f>-CV455/(CV411-CV404)</f>
        <v>0.11732522796352583</v>
      </c>
      <c r="CW464" s="684">
        <f>-CW455/(CW411-CW404)</f>
        <v>0.12174940898345153</v>
      </c>
      <c r="CX464" s="684">
        <f>-CX455/(CX411-CX404)</f>
        <v>0.11956847467785436</v>
      </c>
      <c r="CY464" s="115"/>
      <c r="CZ464" s="684">
        <f>-CZ455/(CZ411-CZ404)</f>
        <v>0.11982705373687462</v>
      </c>
      <c r="DA464" s="684">
        <f>-DA455/(DA411-DA404)</f>
        <v>0.11295091661738617</v>
      </c>
      <c r="DB464" s="684">
        <f>-DB455/(DB411-DB404)</f>
        <v>0.1163141993957704</v>
      </c>
      <c r="DC464" s="115"/>
      <c r="DD464" s="684">
        <f>-DD455/(DD411-DD404)</f>
        <v>0.11739659367396593</v>
      </c>
      <c r="DE464" s="684">
        <f>-DE455/(DE411-DE404)</f>
        <v>0.13229347198151359</v>
      </c>
      <c r="DF464" s="684">
        <f>-DF455/(DF411-DF404)</f>
        <v>0.12503703703703703</v>
      </c>
      <c r="DG464" s="115"/>
      <c r="DH464" s="684">
        <f>-DH455/(DH411-DH404)</f>
        <v>0.13381555153707053</v>
      </c>
      <c r="DI464" s="1999">
        <v>0.115</v>
      </c>
      <c r="DJ464" s="684">
        <f t="shared" ref="DJ464:DN464" si="1393">-DJ455/(DJ411-DJ404)</f>
        <v>0.12503229414673947</v>
      </c>
      <c r="DK464" s="115"/>
      <c r="DL464" s="1999">
        <v>0.115</v>
      </c>
      <c r="DM464" s="1999">
        <v>0.115</v>
      </c>
      <c r="DN464" s="684">
        <f t="shared" si="1393"/>
        <v>0.115</v>
      </c>
      <c r="DO464" s="115"/>
      <c r="DP464" s="1999">
        <v>0.115</v>
      </c>
      <c r="DQ464" s="1999">
        <v>0.115</v>
      </c>
      <c r="DR464" s="684">
        <f t="shared" ref="DR464" si="1394">-DR455/(DR411-DR404)</f>
        <v>0.11499999999999999</v>
      </c>
      <c r="DS464" s="115"/>
      <c r="DT464" s="115"/>
      <c r="DU464" s="115"/>
      <c r="DV464" s="115"/>
      <c r="DW464" s="1107" t="s">
        <v>175</v>
      </c>
      <c r="DX464" s="115"/>
      <c r="DY464" s="115"/>
      <c r="DZ464" s="115"/>
      <c r="EA464" s="115"/>
      <c r="EB464" s="115"/>
      <c r="EC464" s="115"/>
      <c r="ED464" s="115"/>
      <c r="EE464" s="115"/>
      <c r="EF464" s="115"/>
      <c r="EG464" s="115"/>
      <c r="EH464" s="115"/>
      <c r="EI464" s="115"/>
      <c r="EJ464" s="115"/>
      <c r="EK464" s="115"/>
      <c r="EL464" s="115"/>
      <c r="EM464" s="115"/>
      <c r="EN464" s="115"/>
      <c r="EO464" s="115"/>
      <c r="EP464" s="115"/>
      <c r="EQ464" s="115"/>
      <c r="ER464" s="115"/>
      <c r="ES464" s="115"/>
      <c r="ET464" s="115"/>
      <c r="EU464" s="115"/>
      <c r="JW464"/>
    </row>
    <row r="465" spans="1:283">
      <c r="CR465" s="103"/>
      <c r="CS465" s="103"/>
      <c r="CT465" s="103"/>
      <c r="CV465" s="103"/>
      <c r="CW465" s="103"/>
      <c r="CX465" s="103"/>
      <c r="CZ465" s="103"/>
      <c r="DA465" s="103"/>
      <c r="DB465" s="103"/>
      <c r="DD465" s="103"/>
      <c r="DE465" s="103"/>
      <c r="DF465" s="103"/>
      <c r="DH465" s="103"/>
      <c r="DI465" s="103"/>
      <c r="DJ465" s="103"/>
      <c r="DL465" s="103"/>
      <c r="DM465" s="103"/>
      <c r="DN465" s="103"/>
      <c r="DP465" s="103"/>
      <c r="DQ465" s="103"/>
      <c r="DR465" s="103"/>
      <c r="DW465" s="667"/>
    </row>
    <row r="466" spans="1:283">
      <c r="CR466" s="103"/>
      <c r="CS466" s="103"/>
      <c r="CT466" s="103"/>
      <c r="CV466" s="103"/>
      <c r="CW466" s="103"/>
      <c r="CX466" s="103"/>
      <c r="CZ466" s="103"/>
      <c r="DA466" s="103"/>
      <c r="DB466" s="103"/>
      <c r="DD466" s="103"/>
      <c r="DE466" s="103"/>
      <c r="DF466" s="103"/>
      <c r="DH466" s="103"/>
      <c r="DI466" s="103"/>
      <c r="DJ466" s="103"/>
      <c r="DL466" s="103"/>
      <c r="DM466" s="103"/>
      <c r="DN466" s="103"/>
      <c r="DP466" s="103"/>
      <c r="DQ466" s="103"/>
      <c r="DR466" s="103"/>
      <c r="DW466" s="1101"/>
    </row>
    <row r="467" spans="1:283" s="1193" customFormat="1">
      <c r="A467" s="1216" t="s">
        <v>1226</v>
      </c>
      <c r="AN467" s="1194"/>
      <c r="AO467" s="1194"/>
      <c r="AP467" s="1195"/>
      <c r="AQ467" s="1194"/>
      <c r="AR467" s="1194"/>
      <c r="AS467" s="1194"/>
      <c r="AT467" s="1195"/>
      <c r="AU467" s="1194"/>
      <c r="AV467" s="1194"/>
      <c r="AW467" s="1194"/>
      <c r="AX467" s="1195"/>
      <c r="AY467" s="1194"/>
      <c r="AZ467" s="1194"/>
      <c r="BA467" s="1194"/>
      <c r="BB467" s="1195"/>
      <c r="BC467" s="1194"/>
      <c r="BD467" s="1194"/>
      <c r="BE467" s="1194"/>
      <c r="BF467" s="1195"/>
      <c r="BG467" s="1194"/>
      <c r="BH467" s="1194"/>
      <c r="BI467" s="1194"/>
      <c r="BJ467" s="1195"/>
      <c r="BK467" s="1194"/>
      <c r="BL467" s="1194"/>
      <c r="BM467" s="1194"/>
      <c r="BN467" s="1195"/>
      <c r="BO467" s="1194"/>
      <c r="BP467" s="1194"/>
      <c r="BQ467" s="1194"/>
      <c r="BR467" s="1195"/>
      <c r="BS467" s="1194"/>
      <c r="BT467" s="1194"/>
      <c r="BU467" s="1194"/>
      <c r="BV467" s="1195"/>
      <c r="BW467" s="1194"/>
      <c r="BX467" s="1194"/>
      <c r="BY467" s="1194"/>
      <c r="BZ467" s="1195"/>
      <c r="CA467" s="1194"/>
      <c r="CB467" s="1194"/>
      <c r="CC467" s="1194"/>
      <c r="CD467" s="1195"/>
      <c r="CE467" s="1194"/>
      <c r="CF467" s="1194"/>
      <c r="CG467" s="1194"/>
      <c r="CH467" s="1195"/>
      <c r="CI467" s="1194"/>
      <c r="CJ467" s="1194"/>
      <c r="CK467" s="1194"/>
      <c r="CL467" s="1195"/>
      <c r="CM467" s="1194"/>
      <c r="CN467" s="1194"/>
      <c r="CO467" s="1194"/>
      <c r="CP467" s="1195"/>
      <c r="CQ467" s="1194"/>
      <c r="CR467" s="1194"/>
      <c r="CS467" s="1194"/>
      <c r="CT467" s="1195"/>
      <c r="CU467" s="1194"/>
      <c r="CV467" s="1194"/>
      <c r="CW467" s="1194"/>
      <c r="CX467" s="1195"/>
      <c r="CY467" s="1194"/>
      <c r="CZ467" s="1194"/>
      <c r="DA467" s="1194"/>
      <c r="DB467" s="1195"/>
      <c r="DC467" s="1194"/>
      <c r="DD467" s="1194"/>
      <c r="DE467" s="1194"/>
      <c r="DF467" s="1195"/>
      <c r="DG467" s="1194"/>
      <c r="DH467" s="1194"/>
      <c r="DI467" s="1194"/>
      <c r="DJ467" s="1195"/>
      <c r="DK467" s="1194"/>
      <c r="DL467" s="1194"/>
      <c r="DM467" s="1194"/>
      <c r="DN467" s="1195"/>
      <c r="DO467" s="1194"/>
      <c r="DP467" s="1194"/>
      <c r="DQ467" s="1194"/>
      <c r="DR467" s="1195"/>
      <c r="DS467" s="1194"/>
      <c r="DT467" s="1194"/>
      <c r="DU467" s="1194"/>
      <c r="DV467" s="1194"/>
      <c r="DW467" s="1196"/>
      <c r="DX467" s="1194"/>
      <c r="DY467" s="1194"/>
      <c r="DZ467" s="1194"/>
      <c r="EA467" s="1194"/>
      <c r="EB467" s="1194"/>
      <c r="EC467" s="1194"/>
      <c r="ED467" s="1194"/>
      <c r="EE467" s="1194"/>
      <c r="EF467" s="1194"/>
      <c r="EG467" s="1194"/>
      <c r="EH467" s="1194"/>
      <c r="EI467" s="1194"/>
      <c r="EJ467" s="1194"/>
      <c r="EK467" s="1194"/>
      <c r="EL467" s="1194"/>
      <c r="EM467" s="1194"/>
      <c r="EN467" s="1194"/>
      <c r="EO467" s="1194"/>
      <c r="EP467" s="1194"/>
      <c r="EQ467" s="1194"/>
      <c r="ER467" s="1194"/>
      <c r="ES467" s="1194"/>
      <c r="ET467" s="1194"/>
      <c r="EU467" s="1194"/>
      <c r="JW467"/>
    </row>
    <row r="468" spans="1:283" s="332" customFormat="1" hidden="1" outlineLevel="1">
      <c r="AN468" s="293"/>
      <c r="AO468" s="293"/>
      <c r="AP468" s="293"/>
      <c r="AQ468" s="293"/>
      <c r="AR468" s="293"/>
      <c r="AS468" s="293"/>
      <c r="AT468" s="293"/>
      <c r="AU468" s="293"/>
      <c r="AV468" s="293"/>
      <c r="AW468" s="293"/>
      <c r="AX468" s="293"/>
      <c r="AY468" s="293"/>
      <c r="AZ468" s="293"/>
      <c r="BA468" s="293"/>
      <c r="BB468" s="293"/>
      <c r="BC468" s="293"/>
      <c r="BD468" s="293"/>
      <c r="BE468" s="293"/>
      <c r="BF468" s="293"/>
      <c r="BG468" s="293"/>
      <c r="BH468" s="293"/>
      <c r="BI468" s="293"/>
      <c r="BJ468" s="293"/>
      <c r="BK468" s="293"/>
      <c r="BL468" s="293"/>
      <c r="BM468" s="293"/>
      <c r="BN468" s="293"/>
      <c r="BO468" s="293"/>
      <c r="BP468" s="293"/>
      <c r="BQ468" s="293"/>
      <c r="BR468" s="293"/>
      <c r="BS468" s="293"/>
      <c r="BT468" s="293"/>
      <c r="BU468" s="293"/>
      <c r="BV468" s="293"/>
      <c r="BW468" s="293"/>
      <c r="BX468" s="293"/>
      <c r="BY468" s="293"/>
      <c r="BZ468" s="293"/>
      <c r="CA468" s="293"/>
      <c r="CB468" s="293"/>
      <c r="CC468" s="293"/>
      <c r="CD468" s="293"/>
      <c r="CE468" s="293"/>
      <c r="CF468" s="293"/>
      <c r="CG468" s="293"/>
      <c r="CH468" s="293"/>
      <c r="CI468" s="293"/>
      <c r="CJ468" s="293"/>
      <c r="CK468" s="293"/>
      <c r="CL468" s="293"/>
      <c r="CM468" s="293"/>
      <c r="CN468" s="293"/>
      <c r="CO468" s="293"/>
      <c r="CP468" s="293"/>
      <c r="CQ468" s="293"/>
      <c r="CR468" s="293"/>
      <c r="CS468" s="293"/>
      <c r="CT468" s="293"/>
      <c r="CU468" s="293"/>
      <c r="CV468" s="293"/>
      <c r="CW468" s="293"/>
      <c r="CX468" s="293"/>
      <c r="CY468" s="293"/>
      <c r="CZ468" s="293"/>
      <c r="DA468" s="293"/>
      <c r="DB468" s="293"/>
      <c r="DC468" s="293"/>
      <c r="DD468" s="293"/>
      <c r="DE468" s="293"/>
      <c r="DF468" s="293"/>
      <c r="DG468" s="293"/>
      <c r="DH468" s="293"/>
      <c r="DI468" s="293"/>
      <c r="DJ468" s="293"/>
      <c r="DK468" s="293"/>
      <c r="DL468" s="293"/>
      <c r="DM468" s="293"/>
      <c r="DN468" s="293"/>
      <c r="DO468" s="293"/>
      <c r="DP468" s="293"/>
      <c r="DQ468" s="293"/>
      <c r="DR468" s="293"/>
      <c r="DS468" s="293"/>
      <c r="DT468" s="293"/>
      <c r="DU468" s="293"/>
      <c r="DV468" s="293"/>
      <c r="DW468" s="293"/>
      <c r="DX468" s="293"/>
      <c r="DY468" s="293"/>
      <c r="DZ468" s="293"/>
      <c r="EA468" s="293"/>
      <c r="EB468" s="293"/>
      <c r="EC468" s="293"/>
      <c r="ED468" s="293"/>
      <c r="EE468" s="293"/>
      <c r="EF468" s="293"/>
      <c r="EG468" s="293"/>
      <c r="EH468" s="293"/>
      <c r="EI468" s="293"/>
      <c r="EJ468" s="293"/>
      <c r="EK468" s="293"/>
      <c r="EL468" s="293"/>
      <c r="EM468" s="293"/>
      <c r="EN468" s="293"/>
      <c r="EO468" s="293"/>
      <c r="EP468" s="293"/>
      <c r="EQ468" s="293"/>
      <c r="ER468" s="293"/>
      <c r="ES468" s="293"/>
      <c r="ET468" s="293"/>
      <c r="EU468" s="293"/>
      <c r="JW468"/>
    </row>
    <row r="469" spans="1:283" s="332" customFormat="1" hidden="1" outlineLevel="1">
      <c r="A469" s="332" t="s">
        <v>571</v>
      </c>
      <c r="AN469" s="293"/>
      <c r="AO469" s="293"/>
      <c r="AP469" s="293"/>
      <c r="AQ469" s="293"/>
      <c r="AR469" s="626">
        <v>48</v>
      </c>
      <c r="AS469" s="626">
        <v>81</v>
      </c>
      <c r="AT469" s="293">
        <f>AR469+AS469</f>
        <v>129</v>
      </c>
      <c r="AU469" s="626"/>
      <c r="AV469" s="626">
        <v>160</v>
      </c>
      <c r="AW469" s="626">
        <v>222</v>
      </c>
      <c r="AX469" s="293">
        <f t="shared" ref="AX469:AX475" si="1395">AV469+AW469</f>
        <v>382</v>
      </c>
      <c r="AY469" s="626"/>
      <c r="AZ469" s="626">
        <v>277</v>
      </c>
      <c r="BA469" s="626">
        <v>284</v>
      </c>
      <c r="BB469" s="293">
        <f t="shared" ref="BB469:BB475" si="1396">AZ469+BA469</f>
        <v>561</v>
      </c>
      <c r="BC469" s="293"/>
      <c r="BD469" s="626">
        <v>296</v>
      </c>
      <c r="BE469" s="626">
        <v>295</v>
      </c>
      <c r="BF469" s="293">
        <f t="shared" ref="BF469:BF475" si="1397">BD469+BE469</f>
        <v>591</v>
      </c>
      <c r="BG469" s="293"/>
      <c r="BH469" s="626">
        <v>251</v>
      </c>
      <c r="BI469" s="626">
        <v>328</v>
      </c>
      <c r="BJ469" s="293">
        <f t="shared" ref="BJ469:BJ475" si="1398">BH469+BI469</f>
        <v>579</v>
      </c>
      <c r="BK469" s="817">
        <f>+BJ469/BF469-1</f>
        <v>-2.0304568527918732E-2</v>
      </c>
      <c r="BL469" s="626">
        <v>277</v>
      </c>
      <c r="BM469" s="626">
        <v>386</v>
      </c>
      <c r="BN469" s="293">
        <f t="shared" ref="BN469:BN475" si="1399">BL469+BM469</f>
        <v>663</v>
      </c>
      <c r="BO469" s="817">
        <f>+BN469/BJ469-1</f>
        <v>0.14507772020725396</v>
      </c>
      <c r="BP469" s="626">
        <v>326</v>
      </c>
      <c r="BQ469" s="626">
        <v>411</v>
      </c>
      <c r="BR469" s="293">
        <f t="shared" ref="BR469:BR475" si="1400">BP469+BQ469</f>
        <v>737</v>
      </c>
      <c r="BS469" s="817">
        <f>+BR469/BN469-1</f>
        <v>0.11161387631975872</v>
      </c>
      <c r="BT469" s="626">
        <v>460</v>
      </c>
      <c r="BU469" s="626">
        <v>388</v>
      </c>
      <c r="BV469" s="293">
        <f t="shared" ref="BV469:BV475" si="1401">BT469+BU469</f>
        <v>848</v>
      </c>
      <c r="BW469" s="817">
        <f>+BV469/BR469-1</f>
        <v>0.15061058344640443</v>
      </c>
      <c r="BX469" s="626">
        <v>354</v>
      </c>
      <c r="BY469" s="626">
        <f>712-BX469</f>
        <v>358</v>
      </c>
      <c r="BZ469" s="293">
        <f t="shared" ref="BZ469:BZ475" si="1402">BX469+BY469</f>
        <v>712</v>
      </c>
      <c r="CA469" s="817">
        <f>+BZ469/BV469-1</f>
        <v>-0.160377358490566</v>
      </c>
      <c r="CB469" s="626">
        <v>194</v>
      </c>
      <c r="CC469" s="626">
        <v>95</v>
      </c>
      <c r="CD469" s="293">
        <f t="shared" ref="CD469:CD475" si="1403">CB469+CC469</f>
        <v>289</v>
      </c>
      <c r="CE469" s="817">
        <f>+CD469/BZ469-1</f>
        <v>-0.5941011235955056</v>
      </c>
      <c r="CF469" s="626"/>
      <c r="CG469" s="626"/>
      <c r="CH469" s="293"/>
      <c r="CI469" s="817"/>
      <c r="CJ469" s="626"/>
      <c r="CK469" s="626"/>
      <c r="CL469" s="293"/>
      <c r="CM469" s="817"/>
      <c r="CN469" s="293"/>
      <c r="CO469" s="626"/>
      <c r="CP469" s="293"/>
      <c r="CQ469" s="817"/>
      <c r="CR469" s="293"/>
      <c r="CS469" s="293"/>
      <c r="CT469" s="293"/>
      <c r="CU469" s="817"/>
      <c r="CV469" s="293"/>
      <c r="CW469" s="293"/>
      <c r="CX469" s="293"/>
      <c r="CY469" s="817"/>
      <c r="CZ469" s="293"/>
      <c r="DA469" s="293"/>
      <c r="DB469" s="293"/>
      <c r="DC469" s="817"/>
      <c r="DD469" s="293"/>
      <c r="DE469" s="293"/>
      <c r="DF469" s="293"/>
      <c r="DG469" s="817"/>
      <c r="DH469" s="293"/>
      <c r="DI469" s="293"/>
      <c r="DJ469" s="293"/>
      <c r="DK469" s="817"/>
      <c r="DL469" s="293"/>
      <c r="DM469" s="293"/>
      <c r="DN469" s="293"/>
      <c r="DO469" s="817"/>
      <c r="DP469" s="293"/>
      <c r="DQ469" s="293"/>
      <c r="DR469" s="293"/>
      <c r="DS469" s="817"/>
      <c r="DT469" s="817"/>
      <c r="DU469" s="817"/>
      <c r="DV469" s="817"/>
      <c r="DW469" s="1197" t="s">
        <v>513</v>
      </c>
      <c r="DX469" s="850"/>
      <c r="DY469" s="850"/>
      <c r="DZ469" s="103"/>
      <c r="EA469" s="293"/>
      <c r="EB469" s="293"/>
      <c r="EC469" s="293"/>
      <c r="ED469" s="293"/>
      <c r="EE469" s="293"/>
      <c r="EF469" s="293"/>
      <c r="EG469" s="293"/>
      <c r="EH469" s="293"/>
      <c r="EI469" s="293"/>
      <c r="EJ469" s="293"/>
      <c r="EK469" s="293"/>
      <c r="EL469" s="293"/>
      <c r="EM469" s="293"/>
      <c r="EN469" s="293"/>
      <c r="EO469" s="293"/>
      <c r="EP469" s="293"/>
      <c r="EQ469" s="293"/>
      <c r="ER469" s="293"/>
      <c r="ES469" s="293"/>
      <c r="ET469" s="293"/>
      <c r="EU469" s="293"/>
      <c r="JW469"/>
    </row>
    <row r="470" spans="1:283" s="332" customFormat="1" hidden="1" outlineLevel="1">
      <c r="A470" s="332" t="s">
        <v>566</v>
      </c>
      <c r="AN470" s="293"/>
      <c r="AO470" s="293"/>
      <c r="AP470" s="293"/>
      <c r="AQ470" s="293"/>
      <c r="AR470" s="626">
        <v>8</v>
      </c>
      <c r="AS470" s="626">
        <v>6</v>
      </c>
      <c r="AT470" s="293">
        <f>AR470+AS470</f>
        <v>14</v>
      </c>
      <c r="AU470" s="626"/>
      <c r="AV470" s="626">
        <v>7</v>
      </c>
      <c r="AW470" s="626">
        <v>1</v>
      </c>
      <c r="AX470" s="293">
        <f t="shared" si="1395"/>
        <v>8</v>
      </c>
      <c r="AY470" s="293"/>
      <c r="AZ470" s="626">
        <v>16</v>
      </c>
      <c r="BA470" s="626">
        <v>23</v>
      </c>
      <c r="BB470" s="293">
        <f t="shared" si="1396"/>
        <v>39</v>
      </c>
      <c r="BC470" s="293"/>
      <c r="BD470" s="626">
        <f>15-0.5</f>
        <v>14.5</v>
      </c>
      <c r="BE470" s="626">
        <v>18</v>
      </c>
      <c r="BF470" s="293">
        <f t="shared" si="1397"/>
        <v>32.5</v>
      </c>
      <c r="BG470" s="293"/>
      <c r="BH470" s="626">
        <v>16</v>
      </c>
      <c r="BI470" s="626">
        <v>25</v>
      </c>
      <c r="BJ470" s="293">
        <f t="shared" si="1398"/>
        <v>41</v>
      </c>
      <c r="BK470" s="487"/>
      <c r="BL470" s="626">
        <v>7</v>
      </c>
      <c r="BM470" s="626">
        <v>29</v>
      </c>
      <c r="BN470" s="293">
        <f t="shared" si="1399"/>
        <v>36</v>
      </c>
      <c r="BO470" s="487"/>
      <c r="BP470" s="626">
        <v>21</v>
      </c>
      <c r="BQ470" s="626">
        <v>12</v>
      </c>
      <c r="BR470" s="293">
        <f t="shared" si="1400"/>
        <v>33</v>
      </c>
      <c r="BS470" s="487"/>
      <c r="BT470" s="626">
        <v>13</v>
      </c>
      <c r="BU470" s="626">
        <v>30</v>
      </c>
      <c r="BV470" s="293">
        <f t="shared" si="1401"/>
        <v>43</v>
      </c>
      <c r="BW470" s="293"/>
      <c r="BX470" s="626">
        <v>21</v>
      </c>
      <c r="BY470" s="626">
        <f>53-BX470</f>
        <v>32</v>
      </c>
      <c r="BZ470" s="293">
        <f t="shared" si="1402"/>
        <v>53</v>
      </c>
      <c r="CA470" s="293"/>
      <c r="CB470" s="626">
        <v>52</v>
      </c>
      <c r="CC470" s="626">
        <v>28</v>
      </c>
      <c r="CD470" s="293">
        <f t="shared" si="1403"/>
        <v>80</v>
      </c>
      <c r="CE470" s="293"/>
      <c r="CF470" s="626"/>
      <c r="CG470" s="626"/>
      <c r="CH470" s="293"/>
      <c r="CI470" s="293"/>
      <c r="CJ470" s="626"/>
      <c r="CK470" s="626"/>
      <c r="CL470" s="293"/>
      <c r="CM470" s="293"/>
      <c r="CN470" s="293"/>
      <c r="CO470" s="626"/>
      <c r="CP470" s="293"/>
      <c r="CQ470" s="293"/>
      <c r="CR470" s="293"/>
      <c r="CS470" s="293"/>
      <c r="CT470" s="293"/>
      <c r="CU470" s="293"/>
      <c r="CV470" s="293"/>
      <c r="CW470" s="293"/>
      <c r="CX470" s="293"/>
      <c r="CY470" s="293"/>
      <c r="CZ470" s="293"/>
      <c r="DA470" s="293"/>
      <c r="DB470" s="293"/>
      <c r="DC470" s="293"/>
      <c r="DD470" s="293"/>
      <c r="DE470" s="293"/>
      <c r="DF470" s="293"/>
      <c r="DG470" s="293"/>
      <c r="DH470" s="293"/>
      <c r="DI470" s="293"/>
      <c r="DJ470" s="293"/>
      <c r="DK470" s="293"/>
      <c r="DL470" s="293"/>
      <c r="DM470" s="293"/>
      <c r="DN470" s="293"/>
      <c r="DO470" s="293"/>
      <c r="DP470" s="293"/>
      <c r="DQ470" s="293"/>
      <c r="DR470" s="293"/>
      <c r="DS470" s="293"/>
      <c r="DT470" s="293"/>
      <c r="DU470" s="293"/>
      <c r="DV470" s="293"/>
      <c r="DW470" s="1197" t="s">
        <v>513</v>
      </c>
      <c r="DX470" s="293"/>
      <c r="DY470" s="293"/>
      <c r="DZ470" s="293"/>
      <c r="EA470" s="293"/>
      <c r="EB470" s="293"/>
      <c r="EC470" s="293"/>
      <c r="ED470" s="293"/>
      <c r="EE470" s="293"/>
      <c r="EF470" s="293"/>
      <c r="EG470" s="293"/>
      <c r="EH470" s="293"/>
      <c r="EI470" s="293"/>
      <c r="EJ470" s="293"/>
      <c r="EK470" s="293"/>
      <c r="EL470" s="293"/>
      <c r="EM470" s="293"/>
      <c r="EN470" s="293"/>
      <c r="EO470" s="293"/>
      <c r="EP470" s="293"/>
      <c r="EQ470" s="293"/>
      <c r="ER470" s="293"/>
      <c r="ES470" s="293"/>
      <c r="ET470" s="293"/>
      <c r="EU470" s="293"/>
      <c r="JW470"/>
    </row>
    <row r="471" spans="1:283" s="332" customFormat="1" hidden="1" outlineLevel="1">
      <c r="A471" s="332" t="s">
        <v>651</v>
      </c>
      <c r="AN471" s="293"/>
      <c r="AO471" s="293"/>
      <c r="AP471" s="293"/>
      <c r="AQ471" s="293"/>
      <c r="AR471" s="626">
        <v>0</v>
      </c>
      <c r="AS471" s="626">
        <v>-9</v>
      </c>
      <c r="AT471" s="293">
        <f>AR471+AS471</f>
        <v>-9</v>
      </c>
      <c r="AU471" s="626"/>
      <c r="AV471" s="626">
        <v>32</v>
      </c>
      <c r="AW471" s="626">
        <v>9</v>
      </c>
      <c r="AX471" s="293">
        <f t="shared" si="1395"/>
        <v>41</v>
      </c>
      <c r="AY471" s="626"/>
      <c r="AZ471" s="626">
        <v>0</v>
      </c>
      <c r="BA471" s="927">
        <v>1</v>
      </c>
      <c r="BB471" s="293">
        <f t="shared" si="1396"/>
        <v>1</v>
      </c>
      <c r="BC471" s="293"/>
      <c r="BD471" s="626">
        <v>-3</v>
      </c>
      <c r="BE471" s="626">
        <v>-2</v>
      </c>
      <c r="BF471" s="293">
        <f t="shared" si="1397"/>
        <v>-5</v>
      </c>
      <c r="BG471" s="293"/>
      <c r="BH471" s="626">
        <f>251-BH469</f>
        <v>0</v>
      </c>
      <c r="BI471" s="626">
        <f>328-BI469</f>
        <v>0</v>
      </c>
      <c r="BJ471" s="293">
        <f t="shared" si="1398"/>
        <v>0</v>
      </c>
      <c r="BK471" s="487"/>
      <c r="BL471" s="626">
        <f>277-BL469</f>
        <v>0</v>
      </c>
      <c r="BM471" s="626">
        <v>0</v>
      </c>
      <c r="BN471" s="293">
        <f t="shared" si="1399"/>
        <v>0</v>
      </c>
      <c r="BO471" s="487"/>
      <c r="BP471" s="626">
        <v>0</v>
      </c>
      <c r="BQ471" s="626">
        <v>0</v>
      </c>
      <c r="BR471" s="293">
        <f t="shared" si="1400"/>
        <v>0</v>
      </c>
      <c r="BS471" s="487"/>
      <c r="BT471" s="626">
        <v>0</v>
      </c>
      <c r="BU471" s="626">
        <v>0</v>
      </c>
      <c r="BV471" s="293">
        <f t="shared" si="1401"/>
        <v>0</v>
      </c>
      <c r="BW471" s="293"/>
      <c r="BX471" s="626">
        <v>0</v>
      </c>
      <c r="BY471" s="626">
        <v>0</v>
      </c>
      <c r="BZ471" s="293">
        <f t="shared" si="1402"/>
        <v>0</v>
      </c>
      <c r="CA471" s="293"/>
      <c r="CB471" s="626">
        <v>0</v>
      </c>
      <c r="CC471" s="626">
        <v>0</v>
      </c>
      <c r="CD471" s="293">
        <f t="shared" si="1403"/>
        <v>0</v>
      </c>
      <c r="CE471" s="293"/>
      <c r="CF471" s="626"/>
      <c r="CG471" s="626"/>
      <c r="CH471" s="293"/>
      <c r="CI471" s="293"/>
      <c r="CJ471" s="626"/>
      <c r="CK471" s="626"/>
      <c r="CL471" s="293"/>
      <c r="CM471" s="293"/>
      <c r="CN471" s="293"/>
      <c r="CO471" s="626"/>
      <c r="CP471" s="293"/>
      <c r="CQ471" s="293"/>
      <c r="CR471" s="293"/>
      <c r="CS471" s="293"/>
      <c r="CT471" s="293"/>
      <c r="CU471" s="293"/>
      <c r="CV471" s="293"/>
      <c r="CW471" s="293"/>
      <c r="CX471" s="293"/>
      <c r="CY471" s="293"/>
      <c r="CZ471" s="293"/>
      <c r="DA471" s="293"/>
      <c r="DB471" s="293"/>
      <c r="DC471" s="293"/>
      <c r="DD471" s="293"/>
      <c r="DE471" s="293"/>
      <c r="DF471" s="293"/>
      <c r="DG471" s="293"/>
      <c r="DH471" s="293"/>
      <c r="DI471" s="293"/>
      <c r="DJ471" s="293"/>
      <c r="DK471" s="293"/>
      <c r="DL471" s="293"/>
      <c r="DM471" s="293"/>
      <c r="DN471" s="293"/>
      <c r="DO471" s="293"/>
      <c r="DP471" s="293"/>
      <c r="DQ471" s="293"/>
      <c r="DR471" s="293"/>
      <c r="DS471" s="293"/>
      <c r="DT471" s="293"/>
      <c r="DU471" s="293"/>
      <c r="DV471" s="293"/>
      <c r="DW471" s="992" t="s">
        <v>513</v>
      </c>
      <c r="DX471" s="293"/>
      <c r="DY471" s="293"/>
      <c r="DZ471" s="293"/>
      <c r="EA471" s="293"/>
      <c r="EB471" s="293"/>
      <c r="EC471" s="293"/>
      <c r="ED471" s="293"/>
      <c r="EE471" s="293"/>
      <c r="EF471" s="293"/>
      <c r="EG471" s="293"/>
      <c r="EH471" s="293"/>
      <c r="EI471" s="293"/>
      <c r="EJ471" s="293"/>
      <c r="EK471" s="293"/>
      <c r="EL471" s="293"/>
      <c r="EM471" s="293"/>
      <c r="EN471" s="293"/>
      <c r="EO471" s="293"/>
      <c r="EP471" s="293"/>
      <c r="EQ471" s="293"/>
      <c r="ER471" s="293"/>
      <c r="ES471" s="293"/>
      <c r="ET471" s="293"/>
      <c r="EU471" s="293"/>
      <c r="JW471"/>
    </row>
    <row r="472" spans="1:283" s="332" customFormat="1" hidden="1" outlineLevel="1">
      <c r="A472" s="332" t="s">
        <v>652</v>
      </c>
      <c r="AN472" s="293"/>
      <c r="AO472" s="293"/>
      <c r="AP472" s="293"/>
      <c r="AQ472" s="293"/>
      <c r="AR472" s="626">
        <v>0</v>
      </c>
      <c r="AS472" s="626">
        <v>-1</v>
      </c>
      <c r="AT472" s="293">
        <f>AR472+AS472</f>
        <v>-1</v>
      </c>
      <c r="AU472" s="626"/>
      <c r="AV472" s="626">
        <v>1</v>
      </c>
      <c r="AW472" s="626">
        <v>-6</v>
      </c>
      <c r="AX472" s="293">
        <f t="shared" si="1395"/>
        <v>-5</v>
      </c>
      <c r="AY472" s="626"/>
      <c r="AZ472" s="626">
        <v>19</v>
      </c>
      <c r="BA472" s="927">
        <v>5</v>
      </c>
      <c r="BB472" s="293">
        <f t="shared" si="1396"/>
        <v>24</v>
      </c>
      <c r="BC472" s="293"/>
      <c r="BD472" s="626">
        <v>2</v>
      </c>
      <c r="BE472" s="626">
        <v>3</v>
      </c>
      <c r="BF472" s="293">
        <f t="shared" si="1397"/>
        <v>5</v>
      </c>
      <c r="BG472" s="293"/>
      <c r="BH472" s="626">
        <v>1</v>
      </c>
      <c r="BI472" s="626">
        <v>-4</v>
      </c>
      <c r="BJ472" s="293">
        <f t="shared" si="1398"/>
        <v>-3</v>
      </c>
      <c r="BK472" s="487"/>
      <c r="BL472" s="626">
        <v>4</v>
      </c>
      <c r="BM472" s="626">
        <v>-2</v>
      </c>
      <c r="BN472" s="293">
        <f t="shared" si="1399"/>
        <v>2</v>
      </c>
      <c r="BO472" s="487"/>
      <c r="BP472" s="626">
        <v>1</v>
      </c>
      <c r="BQ472" s="626">
        <v>2</v>
      </c>
      <c r="BR472" s="293">
        <f t="shared" si="1400"/>
        <v>3</v>
      </c>
      <c r="BS472" s="487"/>
      <c r="BT472" s="626">
        <v>2</v>
      </c>
      <c r="BU472" s="626">
        <v>5</v>
      </c>
      <c r="BV472" s="293">
        <f t="shared" si="1401"/>
        <v>7</v>
      </c>
      <c r="BW472" s="293"/>
      <c r="BX472" s="626">
        <v>0</v>
      </c>
      <c r="BY472" s="626">
        <v>0</v>
      </c>
      <c r="BZ472" s="293">
        <f t="shared" si="1402"/>
        <v>0</v>
      </c>
      <c r="CA472" s="293"/>
      <c r="CB472" s="626">
        <v>0</v>
      </c>
      <c r="CC472" s="626">
        <v>-3</v>
      </c>
      <c r="CD472" s="293">
        <f t="shared" si="1403"/>
        <v>-3</v>
      </c>
      <c r="CE472" s="293"/>
      <c r="CF472" s="626"/>
      <c r="CG472" s="626"/>
      <c r="CH472" s="293"/>
      <c r="CI472" s="293"/>
      <c r="CJ472" s="626"/>
      <c r="CK472" s="626"/>
      <c r="CL472" s="293"/>
      <c r="CM472" s="293"/>
      <c r="CN472" s="1238"/>
      <c r="CO472" s="626"/>
      <c r="CP472" s="293"/>
      <c r="CQ472" s="293"/>
      <c r="CR472" s="1238"/>
      <c r="CS472" s="1238"/>
      <c r="CT472" s="293"/>
      <c r="CU472" s="293"/>
      <c r="CV472" s="1238"/>
      <c r="CW472" s="1238"/>
      <c r="CX472" s="293"/>
      <c r="CY472" s="293"/>
      <c r="CZ472" s="1238"/>
      <c r="DA472" s="1238"/>
      <c r="DB472" s="293"/>
      <c r="DC472" s="293"/>
      <c r="DD472" s="1238"/>
      <c r="DE472" s="1238"/>
      <c r="DF472" s="293"/>
      <c r="DG472" s="293"/>
      <c r="DH472" s="1238"/>
      <c r="DI472" s="1238"/>
      <c r="DJ472" s="293"/>
      <c r="DK472" s="293"/>
      <c r="DL472" s="1238"/>
      <c r="DM472" s="1238"/>
      <c r="DN472" s="293"/>
      <c r="DO472" s="293"/>
      <c r="DP472" s="1238"/>
      <c r="DQ472" s="1238"/>
      <c r="DR472" s="293"/>
      <c r="DS472" s="293"/>
      <c r="DT472" s="293"/>
      <c r="DU472" s="293"/>
      <c r="DV472" s="293"/>
      <c r="DW472" s="1198" t="s">
        <v>174</v>
      </c>
      <c r="DX472" s="293"/>
      <c r="DY472" s="293"/>
      <c r="DZ472" s="293"/>
      <c r="EA472" s="293"/>
      <c r="EB472" s="293"/>
      <c r="EC472" s="293"/>
      <c r="ED472" s="293"/>
      <c r="EE472" s="293"/>
      <c r="EF472" s="293"/>
      <c r="EG472" s="293"/>
      <c r="EH472" s="293"/>
      <c r="EI472" s="293"/>
      <c r="EJ472" s="293"/>
      <c r="EK472" s="293"/>
      <c r="EL472" s="293"/>
      <c r="EM472" s="293"/>
      <c r="EN472" s="293"/>
      <c r="EO472" s="293"/>
      <c r="EP472" s="293"/>
      <c r="EQ472" s="293"/>
      <c r="ER472" s="293"/>
      <c r="ES472" s="293"/>
      <c r="ET472" s="293"/>
      <c r="EU472" s="293"/>
      <c r="JW472"/>
    </row>
    <row r="473" spans="1:283" s="332" customFormat="1" hidden="1" outlineLevel="1">
      <c r="A473" s="332" t="s">
        <v>621</v>
      </c>
      <c r="AN473" s="293"/>
      <c r="AO473" s="293"/>
      <c r="AP473" s="293"/>
      <c r="AQ473" s="626"/>
      <c r="AR473" s="293"/>
      <c r="AS473" s="293"/>
      <c r="AT473" s="293"/>
      <c r="AU473" s="626"/>
      <c r="AV473" s="818">
        <f>AV525</f>
        <v>17</v>
      </c>
      <c r="AW473" s="818">
        <f>AW525</f>
        <v>-10</v>
      </c>
      <c r="AX473" s="293">
        <f t="shared" si="1395"/>
        <v>7</v>
      </c>
      <c r="AY473" s="626"/>
      <c r="AZ473" s="818">
        <f>AZ525</f>
        <v>59</v>
      </c>
      <c r="BA473" s="818">
        <f>BA525</f>
        <v>172</v>
      </c>
      <c r="BB473" s="293">
        <f t="shared" si="1396"/>
        <v>231</v>
      </c>
      <c r="BC473" s="293"/>
      <c r="BD473" s="818">
        <f>BD525</f>
        <v>213</v>
      </c>
      <c r="BE473" s="818">
        <f>BE525</f>
        <v>214</v>
      </c>
      <c r="BF473" s="293">
        <f t="shared" si="1397"/>
        <v>427</v>
      </c>
      <c r="BG473" s="293"/>
      <c r="BH473" s="818">
        <f>BH525</f>
        <v>235</v>
      </c>
      <c r="BI473" s="818">
        <f>BI525</f>
        <v>192</v>
      </c>
      <c r="BJ473" s="293">
        <f t="shared" si="1398"/>
        <v>427</v>
      </c>
      <c r="BK473" s="817">
        <f>+BJ473/BF473-1</f>
        <v>0</v>
      </c>
      <c r="BL473" s="818">
        <f>BL525</f>
        <v>282</v>
      </c>
      <c r="BM473" s="818">
        <f>BM525</f>
        <v>209</v>
      </c>
      <c r="BN473" s="293">
        <f t="shared" si="1399"/>
        <v>491</v>
      </c>
      <c r="BO473" s="817">
        <f>+BN473/BJ473-1</f>
        <v>0.14988290398126458</v>
      </c>
      <c r="BP473" s="818">
        <f>BP525</f>
        <v>336</v>
      </c>
      <c r="BQ473" s="818">
        <f>BQ525</f>
        <v>488</v>
      </c>
      <c r="BR473" s="293">
        <f t="shared" si="1400"/>
        <v>824</v>
      </c>
      <c r="BS473" s="817">
        <f>+BR473/BN473-1</f>
        <v>0.67820773930753564</v>
      </c>
      <c r="BT473" s="293">
        <f>BT525</f>
        <v>386</v>
      </c>
      <c r="BU473" s="818">
        <f>BU525</f>
        <v>379</v>
      </c>
      <c r="BV473" s="293">
        <f t="shared" si="1401"/>
        <v>765</v>
      </c>
      <c r="BW473" s="817">
        <f>+BV473/BR473-1</f>
        <v>-7.1601941747572839E-2</v>
      </c>
      <c r="BX473" s="293">
        <f>BX525</f>
        <v>457</v>
      </c>
      <c r="BY473" s="293">
        <f>BY525</f>
        <v>569</v>
      </c>
      <c r="BZ473" s="293">
        <f t="shared" si="1402"/>
        <v>1026</v>
      </c>
      <c r="CA473" s="817">
        <f>+BZ473/BV473-1</f>
        <v>0.34117647058823519</v>
      </c>
      <c r="CB473" s="293">
        <f>CB525</f>
        <v>615</v>
      </c>
      <c r="CC473" s="293">
        <f>CC525</f>
        <v>778</v>
      </c>
      <c r="CD473" s="293">
        <f t="shared" si="1403"/>
        <v>1393</v>
      </c>
      <c r="CE473" s="817">
        <f>+CD473/BZ473-1</f>
        <v>0.35769980506822607</v>
      </c>
      <c r="CF473" s="293"/>
      <c r="CG473" s="293"/>
      <c r="CH473" s="293"/>
      <c r="CI473" s="817"/>
      <c r="CJ473" s="293"/>
      <c r="CK473" s="293"/>
      <c r="CL473" s="293"/>
      <c r="CM473" s="817"/>
      <c r="CN473" s="293"/>
      <c r="CO473" s="293"/>
      <c r="CP473" s="293"/>
      <c r="CQ473" s="817"/>
      <c r="CR473" s="293"/>
      <c r="CS473" s="293"/>
      <c r="CT473" s="293"/>
      <c r="CU473" s="817"/>
      <c r="CV473" s="293"/>
      <c r="CW473" s="293"/>
      <c r="CX473" s="293"/>
      <c r="CY473" s="817"/>
      <c r="CZ473" s="293"/>
      <c r="DA473" s="293"/>
      <c r="DB473" s="293"/>
      <c r="DC473" s="817"/>
      <c r="DD473" s="293"/>
      <c r="DE473" s="293"/>
      <c r="DF473" s="293"/>
      <c r="DG473" s="817"/>
      <c r="DH473" s="293"/>
      <c r="DI473" s="293"/>
      <c r="DJ473" s="293"/>
      <c r="DK473" s="817"/>
      <c r="DL473" s="293"/>
      <c r="DM473" s="293"/>
      <c r="DN473" s="293"/>
      <c r="DO473" s="817"/>
      <c r="DP473" s="293"/>
      <c r="DQ473" s="293"/>
      <c r="DR473" s="293"/>
      <c r="DS473" s="817"/>
      <c r="DT473" s="817"/>
      <c r="DU473" s="817"/>
      <c r="DV473" s="817"/>
      <c r="DW473" s="828" t="s">
        <v>513</v>
      </c>
      <c r="DX473" s="818"/>
      <c r="DY473" s="818"/>
      <c r="DZ473" s="293"/>
      <c r="EA473" s="818"/>
      <c r="EB473" s="818"/>
      <c r="EC473" s="293"/>
      <c r="ED473" s="293"/>
      <c r="EE473" s="818"/>
      <c r="EF473" s="818"/>
      <c r="EG473" s="293"/>
      <c r="EH473" s="293"/>
      <c r="EI473" s="818"/>
      <c r="EJ473" s="818"/>
      <c r="EK473" s="293"/>
      <c r="EL473" s="293"/>
      <c r="EM473" s="293"/>
      <c r="EN473" s="293"/>
      <c r="EO473" s="293"/>
      <c r="EP473" s="293"/>
      <c r="EQ473" s="293"/>
      <c r="ER473" s="293"/>
      <c r="ES473" s="293"/>
      <c r="ET473" s="293"/>
      <c r="EU473" s="293"/>
      <c r="JW473"/>
    </row>
    <row r="474" spans="1:283" s="332" customFormat="1" hidden="1" outlineLevel="1">
      <c r="A474" s="332" t="s">
        <v>567</v>
      </c>
      <c r="AN474" s="293"/>
      <c r="AO474" s="293"/>
      <c r="AP474" s="293"/>
      <c r="AQ474" s="293"/>
      <c r="AR474" s="626">
        <v>9</v>
      </c>
      <c r="AS474" s="626">
        <v>8</v>
      </c>
      <c r="AT474" s="293">
        <f>AR474+AS474</f>
        <v>17</v>
      </c>
      <c r="AU474" s="626"/>
      <c r="AV474" s="626">
        <v>18</v>
      </c>
      <c r="AW474" s="626">
        <v>14</v>
      </c>
      <c r="AX474" s="293">
        <f t="shared" si="1395"/>
        <v>32</v>
      </c>
      <c r="AY474" s="293"/>
      <c r="AZ474" s="626">
        <v>12</v>
      </c>
      <c r="BA474" s="927">
        <v>8</v>
      </c>
      <c r="BB474" s="293">
        <f t="shared" si="1396"/>
        <v>20</v>
      </c>
      <c r="BC474" s="293"/>
      <c r="BD474" s="626">
        <v>5</v>
      </c>
      <c r="BE474" s="626">
        <v>21</v>
      </c>
      <c r="BF474" s="293">
        <f t="shared" si="1397"/>
        <v>26</v>
      </c>
      <c r="BG474" s="293"/>
      <c r="BH474" s="626">
        <v>4</v>
      </c>
      <c r="BI474" s="626">
        <v>4</v>
      </c>
      <c r="BJ474" s="293">
        <f t="shared" si="1398"/>
        <v>8</v>
      </c>
      <c r="BK474" s="487"/>
      <c r="BL474" s="626">
        <v>8</v>
      </c>
      <c r="BM474" s="626">
        <v>7</v>
      </c>
      <c r="BN474" s="293">
        <f t="shared" si="1399"/>
        <v>15</v>
      </c>
      <c r="BO474" s="487"/>
      <c r="BP474" s="626">
        <v>4</v>
      </c>
      <c r="BQ474" s="626">
        <v>-7</v>
      </c>
      <c r="BR474" s="293">
        <f t="shared" si="1400"/>
        <v>-3</v>
      </c>
      <c r="BS474" s="487"/>
      <c r="BT474" s="626">
        <v>2</v>
      </c>
      <c r="BU474" s="626">
        <v>58</v>
      </c>
      <c r="BV474" s="293">
        <f t="shared" si="1401"/>
        <v>60</v>
      </c>
      <c r="BW474" s="293"/>
      <c r="BX474" s="626">
        <v>3</v>
      </c>
      <c r="BY474" s="626">
        <f>40-BX474</f>
        <v>37</v>
      </c>
      <c r="BZ474" s="293">
        <f t="shared" si="1402"/>
        <v>40</v>
      </c>
      <c r="CA474" s="293"/>
      <c r="CB474" s="626">
        <v>1</v>
      </c>
      <c r="CC474" s="626">
        <v>10</v>
      </c>
      <c r="CD474" s="293">
        <f t="shared" si="1403"/>
        <v>11</v>
      </c>
      <c r="CE474" s="293"/>
      <c r="CF474" s="626"/>
      <c r="CG474" s="626"/>
      <c r="CH474" s="293"/>
      <c r="CI474" s="293"/>
      <c r="CJ474" s="626"/>
      <c r="CK474" s="626"/>
      <c r="CL474" s="293"/>
      <c r="CM474" s="293"/>
      <c r="CN474" s="1238"/>
      <c r="CO474" s="626"/>
      <c r="CP474" s="293"/>
      <c r="CQ474" s="293"/>
      <c r="CR474" s="1238"/>
      <c r="CS474" s="1238"/>
      <c r="CT474" s="293"/>
      <c r="CU474" s="293"/>
      <c r="CV474" s="1238"/>
      <c r="CW474" s="1238"/>
      <c r="CX474" s="293"/>
      <c r="CY474" s="293"/>
      <c r="CZ474" s="1238"/>
      <c r="DA474" s="1238"/>
      <c r="DB474" s="293"/>
      <c r="DC474" s="293"/>
      <c r="DD474" s="1238"/>
      <c r="DE474" s="1238"/>
      <c r="DF474" s="293"/>
      <c r="DG474" s="293"/>
      <c r="DH474" s="1238"/>
      <c r="DI474" s="1238"/>
      <c r="DJ474" s="293"/>
      <c r="DK474" s="293"/>
      <c r="DL474" s="1238"/>
      <c r="DM474" s="1238"/>
      <c r="DN474" s="293"/>
      <c r="DO474" s="293"/>
      <c r="DP474" s="1238"/>
      <c r="DQ474" s="1238"/>
      <c r="DR474" s="293"/>
      <c r="DS474" s="293"/>
      <c r="DT474" s="293"/>
      <c r="DU474" s="293"/>
      <c r="DV474" s="293"/>
      <c r="DW474" s="1198" t="s">
        <v>174</v>
      </c>
      <c r="DX474" s="293"/>
      <c r="DY474" s="293"/>
      <c r="DZ474" s="293"/>
      <c r="EA474" s="293"/>
      <c r="EB474" s="293"/>
      <c r="EC474" s="293"/>
      <c r="ED474" s="293"/>
      <c r="EE474" s="293"/>
      <c r="EF474" s="293"/>
      <c r="EG474" s="293"/>
      <c r="EH474" s="293"/>
      <c r="EI474" s="293"/>
      <c r="EJ474" s="293"/>
      <c r="EK474" s="293"/>
      <c r="EL474" s="293"/>
      <c r="EM474" s="293"/>
      <c r="EN474" s="293"/>
      <c r="EO474" s="293"/>
      <c r="EP474" s="293"/>
      <c r="EQ474" s="293"/>
      <c r="ER474" s="293"/>
      <c r="ES474" s="293"/>
      <c r="ET474" s="293"/>
      <c r="EU474" s="293"/>
      <c r="JW474"/>
    </row>
    <row r="475" spans="1:283" s="332" customFormat="1" hidden="1" outlineLevel="1">
      <c r="A475" s="327" t="s">
        <v>568</v>
      </c>
      <c r="AN475" s="295">
        <f>SUM(AN469:AN474)</f>
        <v>0</v>
      </c>
      <c r="AO475" s="295">
        <f>SUM(AO469:AO474)</f>
        <v>0</v>
      </c>
      <c r="AP475" s="295">
        <f>AN475+AO475</f>
        <v>0</v>
      </c>
      <c r="AQ475" s="295"/>
      <c r="AR475" s="295">
        <f>SUM(AR469:AR474)</f>
        <v>65</v>
      </c>
      <c r="AS475" s="295">
        <f>SUM(AS469:AS474)</f>
        <v>85</v>
      </c>
      <c r="AT475" s="295">
        <f>AR475+AS475</f>
        <v>150</v>
      </c>
      <c r="AU475" s="295"/>
      <c r="AV475" s="295">
        <f>SUM(AV469:AV474)</f>
        <v>235</v>
      </c>
      <c r="AW475" s="295">
        <f>SUM(AW469:AW474)</f>
        <v>230</v>
      </c>
      <c r="AX475" s="295">
        <f t="shared" si="1395"/>
        <v>465</v>
      </c>
      <c r="AY475" s="295"/>
      <c r="AZ475" s="295">
        <f>SUM(AZ469:AZ474)</f>
        <v>383</v>
      </c>
      <c r="BA475" s="295">
        <f>SUM(BA469:BA474)</f>
        <v>493</v>
      </c>
      <c r="BB475" s="295">
        <f t="shared" si="1396"/>
        <v>876</v>
      </c>
      <c r="BC475" s="295"/>
      <c r="BD475" s="295">
        <f>SUM(BD469:BD474)</f>
        <v>527.5</v>
      </c>
      <c r="BE475" s="295">
        <f>SUM(BE469:BE474)</f>
        <v>549</v>
      </c>
      <c r="BF475" s="295">
        <f t="shared" si="1397"/>
        <v>1076.5</v>
      </c>
      <c r="BG475" s="293"/>
      <c r="BH475" s="295">
        <f>SUM(BH469:BH474)</f>
        <v>507</v>
      </c>
      <c r="BI475" s="295">
        <f>SUM(BI469:BI474)</f>
        <v>545</v>
      </c>
      <c r="BJ475" s="295">
        <f t="shared" si="1398"/>
        <v>1052</v>
      </c>
      <c r="BK475" s="487"/>
      <c r="BL475" s="295">
        <f>SUM(BL469:BL474)</f>
        <v>578</v>
      </c>
      <c r="BM475" s="295">
        <f>SUM(BM469:BM474)</f>
        <v>629</v>
      </c>
      <c r="BN475" s="295">
        <f t="shared" si="1399"/>
        <v>1207</v>
      </c>
      <c r="BO475" s="487"/>
      <c r="BP475" s="295">
        <f>SUM(BP469:BP474)</f>
        <v>688</v>
      </c>
      <c r="BQ475" s="295">
        <f>SUM(BQ469:BQ474)</f>
        <v>906</v>
      </c>
      <c r="BR475" s="295">
        <f t="shared" si="1400"/>
        <v>1594</v>
      </c>
      <c r="BS475" s="487"/>
      <c r="BT475" s="295">
        <f>SUM(BT469:BT474)</f>
        <v>863</v>
      </c>
      <c r="BU475" s="295">
        <f>SUM(BU469:BU474)</f>
        <v>860</v>
      </c>
      <c r="BV475" s="295">
        <f t="shared" si="1401"/>
        <v>1723</v>
      </c>
      <c r="BW475" s="295"/>
      <c r="BX475" s="295">
        <f>SUM(BX469:BX474)</f>
        <v>835</v>
      </c>
      <c r="BY475" s="295">
        <f>SUM(BY469:BY474)</f>
        <v>996</v>
      </c>
      <c r="BZ475" s="295">
        <f t="shared" si="1402"/>
        <v>1831</v>
      </c>
      <c r="CA475" s="295"/>
      <c r="CB475" s="295">
        <f>SUM(CB469:CB474)</f>
        <v>862</v>
      </c>
      <c r="CC475" s="295">
        <f>SUM(CC469:CC474)</f>
        <v>908</v>
      </c>
      <c r="CD475" s="295">
        <f t="shared" si="1403"/>
        <v>1770</v>
      </c>
      <c r="CE475" s="295"/>
      <c r="CF475" s="295"/>
      <c r="CG475" s="295"/>
      <c r="CH475" s="295"/>
      <c r="CI475" s="295"/>
      <c r="CJ475" s="295"/>
      <c r="CK475" s="295"/>
      <c r="CL475" s="295"/>
      <c r="CM475" s="295"/>
      <c r="CN475" s="295"/>
      <c r="CO475" s="295"/>
      <c r="CP475" s="295"/>
      <c r="CQ475" s="295"/>
      <c r="CR475" s="295"/>
      <c r="CS475" s="295"/>
      <c r="CT475" s="295"/>
      <c r="CU475" s="295"/>
      <c r="CV475" s="295"/>
      <c r="CW475" s="295"/>
      <c r="CX475" s="295"/>
      <c r="CY475" s="295"/>
      <c r="CZ475" s="295"/>
      <c r="DA475" s="295"/>
      <c r="DB475" s="295"/>
      <c r="DC475" s="295"/>
      <c r="DD475" s="295"/>
      <c r="DE475" s="295"/>
      <c r="DF475" s="295"/>
      <c r="DG475" s="295"/>
      <c r="DH475" s="295"/>
      <c r="DI475" s="295"/>
      <c r="DJ475" s="295"/>
      <c r="DK475" s="295"/>
      <c r="DL475" s="295"/>
      <c r="DM475" s="295"/>
      <c r="DN475" s="295"/>
      <c r="DO475" s="295"/>
      <c r="DP475" s="295"/>
      <c r="DQ475" s="295"/>
      <c r="DR475" s="295"/>
      <c r="DS475" s="295"/>
      <c r="DT475" s="295"/>
      <c r="DU475" s="295"/>
      <c r="DV475" s="295"/>
      <c r="DW475" s="1199"/>
      <c r="DX475" s="295"/>
      <c r="DY475" s="295"/>
      <c r="DZ475" s="295"/>
      <c r="EA475" s="295"/>
      <c r="EB475" s="295"/>
      <c r="EC475" s="295"/>
      <c r="ED475" s="295"/>
      <c r="EE475" s="295"/>
      <c r="EF475" s="295"/>
      <c r="EG475" s="295"/>
      <c r="EH475" s="295"/>
      <c r="EI475" s="295"/>
      <c r="EJ475" s="295"/>
      <c r="EK475" s="295"/>
      <c r="EL475" s="295"/>
      <c r="EM475" s="295"/>
      <c r="EN475" s="295"/>
      <c r="EO475" s="295"/>
      <c r="EP475" s="295"/>
      <c r="EQ475" s="295"/>
      <c r="ER475" s="295"/>
      <c r="ES475" s="295"/>
      <c r="ET475" s="295"/>
      <c r="EU475" s="295"/>
      <c r="EV475" s="327"/>
      <c r="EW475" s="327"/>
      <c r="EX475" s="327"/>
      <c r="EY475" s="327"/>
      <c r="EZ475" s="327"/>
      <c r="FA475" s="327"/>
      <c r="FB475" s="327"/>
      <c r="FC475" s="327"/>
      <c r="FD475" s="327"/>
      <c r="FE475" s="327"/>
      <c r="FF475" s="327"/>
      <c r="FG475" s="327"/>
      <c r="FH475" s="327"/>
      <c r="FI475" s="327"/>
      <c r="FJ475" s="327"/>
      <c r="FK475" s="327"/>
      <c r="FL475" s="327"/>
      <c r="FM475" s="327"/>
      <c r="FN475" s="327"/>
      <c r="FO475" s="327"/>
      <c r="FP475" s="327"/>
      <c r="FQ475" s="327"/>
      <c r="FR475" s="327"/>
      <c r="FS475" s="327"/>
      <c r="FT475" s="327"/>
      <c r="FU475" s="327"/>
      <c r="FV475" s="327"/>
      <c r="FW475" s="327"/>
      <c r="FX475" s="327"/>
      <c r="FY475" s="327"/>
      <c r="FZ475" s="327"/>
      <c r="GA475" s="327"/>
      <c r="GB475" s="327"/>
      <c r="GC475" s="327"/>
      <c r="GD475" s="327"/>
      <c r="GE475" s="327"/>
      <c r="GF475" s="327"/>
      <c r="GG475" s="327"/>
      <c r="GH475" s="327"/>
      <c r="GI475" s="327"/>
      <c r="GJ475" s="327"/>
      <c r="GK475" s="327"/>
      <c r="GL475" s="327"/>
      <c r="GM475" s="327"/>
      <c r="GN475" s="327"/>
      <c r="GO475" s="327"/>
      <c r="GP475" s="327"/>
      <c r="GQ475" s="327"/>
      <c r="GR475" s="327"/>
      <c r="GS475" s="327"/>
      <c r="GT475" s="327"/>
      <c r="GU475" s="327"/>
      <c r="GV475" s="327"/>
      <c r="GW475" s="327"/>
      <c r="GX475" s="327"/>
      <c r="GY475" s="327"/>
      <c r="GZ475" s="327"/>
      <c r="HA475" s="327"/>
      <c r="HB475" s="327"/>
      <c r="HC475" s="327"/>
      <c r="HD475" s="327"/>
      <c r="HE475" s="327"/>
      <c r="HF475" s="327"/>
      <c r="HG475" s="327"/>
      <c r="HH475" s="327"/>
      <c r="HI475" s="327"/>
      <c r="HJ475" s="327"/>
      <c r="HK475" s="327"/>
      <c r="HL475" s="327"/>
      <c r="HM475" s="327"/>
      <c r="HN475" s="327"/>
      <c r="HO475" s="327"/>
      <c r="HP475" s="327"/>
      <c r="HQ475" s="327"/>
      <c r="HR475" s="327"/>
      <c r="HS475" s="327"/>
      <c r="HT475" s="327"/>
      <c r="HU475" s="327"/>
      <c r="HV475" s="327"/>
      <c r="HW475" s="327"/>
      <c r="HX475" s="327"/>
      <c r="HY475" s="327"/>
      <c r="HZ475" s="327"/>
      <c r="IA475" s="327"/>
      <c r="IB475" s="327"/>
      <c r="IC475" s="327"/>
      <c r="ID475" s="327"/>
      <c r="IE475" s="327"/>
      <c r="IF475" s="327"/>
      <c r="IG475" s="327"/>
      <c r="IH475" s="327"/>
      <c r="II475" s="327"/>
      <c r="IJ475" s="327"/>
      <c r="IK475" s="327"/>
      <c r="IL475" s="327"/>
      <c r="IM475" s="327"/>
      <c r="IN475" s="327"/>
      <c r="IO475" s="327"/>
      <c r="IP475" s="327"/>
      <c r="IQ475" s="327"/>
      <c r="IR475" s="327"/>
      <c r="IS475" s="327"/>
      <c r="IT475" s="327"/>
      <c r="IU475" s="327"/>
      <c r="IV475" s="327"/>
      <c r="IW475" s="327"/>
      <c r="IX475" s="327"/>
      <c r="IY475" s="327"/>
      <c r="IZ475" s="327"/>
      <c r="JA475" s="327"/>
      <c r="JB475" s="327"/>
      <c r="JC475" s="327"/>
      <c r="JD475" s="327"/>
      <c r="JE475" s="327"/>
      <c r="JF475" s="327"/>
      <c r="JG475" s="327"/>
      <c r="JH475" s="327"/>
      <c r="JI475" s="327"/>
      <c r="JJ475" s="327"/>
      <c r="JK475" s="327"/>
      <c r="JL475" s="327"/>
      <c r="JM475" s="327"/>
      <c r="JN475" s="327"/>
      <c r="JO475" s="327"/>
      <c r="JP475" s="327"/>
      <c r="JQ475" s="327"/>
      <c r="JR475" s="327"/>
      <c r="JS475" s="327"/>
      <c r="JT475" s="327"/>
      <c r="JU475" s="327"/>
      <c r="JV475" s="327"/>
      <c r="JW475"/>
    </row>
    <row r="476" spans="1:283" s="332" customFormat="1" hidden="1" outlineLevel="1">
      <c r="A476" s="327"/>
      <c r="AN476" s="295"/>
      <c r="AO476" s="295"/>
      <c r="AP476" s="295"/>
      <c r="AQ476" s="295"/>
      <c r="AR476" s="295"/>
      <c r="AS476" s="295"/>
      <c r="AT476" s="295"/>
      <c r="AU476" s="295"/>
      <c r="AV476" s="295"/>
      <c r="AW476" s="295"/>
      <c r="AX476" s="295"/>
      <c r="AY476" s="295"/>
      <c r="AZ476" s="295"/>
      <c r="BA476" s="295"/>
      <c r="BB476" s="295"/>
      <c r="BC476" s="295"/>
      <c r="BD476" s="295"/>
      <c r="BE476" s="295"/>
      <c r="BF476" s="295"/>
      <c r="BG476" s="293"/>
      <c r="BH476" s="295"/>
      <c r="BI476" s="295"/>
      <c r="BJ476" s="295"/>
      <c r="BK476" s="293"/>
      <c r="BL476" s="295"/>
      <c r="BM476" s="295"/>
      <c r="BN476" s="295"/>
      <c r="BO476" s="293"/>
      <c r="BP476" s="295"/>
      <c r="BQ476" s="295"/>
      <c r="BR476" s="295"/>
      <c r="BS476" s="293"/>
      <c r="BT476" s="295"/>
      <c r="BU476" s="295"/>
      <c r="BV476" s="295"/>
      <c r="BW476" s="295"/>
      <c r="BX476" s="295"/>
      <c r="BY476" s="295"/>
      <c r="BZ476" s="295"/>
      <c r="CA476" s="295"/>
      <c r="CB476" s="295"/>
      <c r="CC476" s="295"/>
      <c r="CD476" s="295"/>
      <c r="CE476" s="295"/>
      <c r="CF476" s="295"/>
      <c r="CG476" s="295"/>
      <c r="CH476" s="295"/>
      <c r="CI476" s="295"/>
      <c r="CJ476" s="295"/>
      <c r="CK476" s="295"/>
      <c r="CL476" s="295"/>
      <c r="CM476" s="295"/>
      <c r="CN476" s="295"/>
      <c r="CO476" s="295"/>
      <c r="CP476" s="295"/>
      <c r="CQ476" s="295"/>
      <c r="CR476" s="295"/>
      <c r="CS476" s="295"/>
      <c r="CT476" s="295"/>
      <c r="CU476" s="295"/>
      <c r="CV476" s="295"/>
      <c r="CW476" s="295"/>
      <c r="CX476" s="295"/>
      <c r="CY476" s="295"/>
      <c r="CZ476" s="295"/>
      <c r="DA476" s="295"/>
      <c r="DB476" s="295"/>
      <c r="DC476" s="295"/>
      <c r="DD476" s="295"/>
      <c r="DE476" s="295"/>
      <c r="DF476" s="295"/>
      <c r="DG476" s="295"/>
      <c r="DH476" s="295"/>
      <c r="DI476" s="295"/>
      <c r="DJ476" s="295"/>
      <c r="DK476" s="295"/>
      <c r="DL476" s="295"/>
      <c r="DM476" s="295"/>
      <c r="DN476" s="295"/>
      <c r="DO476" s="295"/>
      <c r="DP476" s="295"/>
      <c r="DQ476" s="295"/>
      <c r="DR476" s="295"/>
      <c r="DS476" s="295"/>
      <c r="DT476" s="295"/>
      <c r="DU476" s="295"/>
      <c r="DV476" s="295"/>
      <c r="DW476" s="1201"/>
      <c r="DX476" s="295"/>
      <c r="DY476" s="295"/>
      <c r="DZ476" s="295"/>
      <c r="EA476" s="295"/>
      <c r="EB476" s="295"/>
      <c r="EC476" s="295"/>
      <c r="ED476" s="295"/>
      <c r="EE476" s="295"/>
      <c r="EF476" s="295"/>
      <c r="EG476" s="295"/>
      <c r="EH476" s="295"/>
      <c r="EI476" s="295"/>
      <c r="EJ476" s="295"/>
      <c r="EK476" s="295"/>
      <c r="EL476" s="295"/>
      <c r="EM476" s="295"/>
      <c r="EN476" s="295"/>
      <c r="EO476" s="295"/>
      <c r="EP476" s="295"/>
      <c r="EQ476" s="295"/>
      <c r="ER476" s="295"/>
      <c r="ES476" s="295"/>
      <c r="ET476" s="295"/>
      <c r="EU476" s="295"/>
      <c r="EV476" s="327"/>
      <c r="EW476" s="327"/>
      <c r="EX476" s="327"/>
      <c r="EY476" s="327"/>
      <c r="EZ476" s="327"/>
      <c r="FA476" s="327"/>
      <c r="FB476" s="327"/>
      <c r="FC476" s="327"/>
      <c r="FD476" s="327"/>
      <c r="FE476" s="327"/>
      <c r="FF476" s="327"/>
      <c r="FG476" s="327"/>
      <c r="FH476" s="327"/>
      <c r="FI476" s="327"/>
      <c r="FJ476" s="327"/>
      <c r="FK476" s="327"/>
      <c r="FL476" s="327"/>
      <c r="FM476" s="327"/>
      <c r="FN476" s="327"/>
      <c r="FO476" s="327"/>
      <c r="FP476" s="327"/>
      <c r="FQ476" s="327"/>
      <c r="FR476" s="327"/>
      <c r="FS476" s="327"/>
      <c r="FT476" s="327"/>
      <c r="FU476" s="327"/>
      <c r="FV476" s="327"/>
      <c r="FW476" s="327"/>
      <c r="FX476" s="327"/>
      <c r="FY476" s="327"/>
      <c r="FZ476" s="327"/>
      <c r="GA476" s="327"/>
      <c r="GB476" s="327"/>
      <c r="GC476" s="327"/>
      <c r="GD476" s="327"/>
      <c r="GE476" s="327"/>
      <c r="GF476" s="327"/>
      <c r="GG476" s="327"/>
      <c r="GH476" s="327"/>
      <c r="GI476" s="327"/>
      <c r="GJ476" s="327"/>
      <c r="GK476" s="327"/>
      <c r="GL476" s="327"/>
      <c r="GM476" s="327"/>
      <c r="GN476" s="327"/>
      <c r="GO476" s="327"/>
      <c r="GP476" s="327"/>
      <c r="GQ476" s="327"/>
      <c r="GR476" s="327"/>
      <c r="GS476" s="327"/>
      <c r="GT476" s="327"/>
      <c r="GU476" s="327"/>
      <c r="GV476" s="327"/>
      <c r="GW476" s="327"/>
      <c r="GX476" s="327"/>
      <c r="GY476" s="327"/>
      <c r="GZ476" s="327"/>
      <c r="HA476" s="327"/>
      <c r="HB476" s="327"/>
      <c r="HC476" s="327"/>
      <c r="HD476" s="327"/>
      <c r="HE476" s="327"/>
      <c r="HF476" s="327"/>
      <c r="HG476" s="327"/>
      <c r="HH476" s="327"/>
      <c r="HI476" s="327"/>
      <c r="HJ476" s="327"/>
      <c r="HK476" s="327"/>
      <c r="HL476" s="327"/>
      <c r="HM476" s="327"/>
      <c r="HN476" s="327"/>
      <c r="HO476" s="327"/>
      <c r="HP476" s="327"/>
      <c r="HQ476" s="327"/>
      <c r="HR476" s="327"/>
      <c r="HS476" s="327"/>
      <c r="HT476" s="327"/>
      <c r="HU476" s="327"/>
      <c r="HV476" s="327"/>
      <c r="HW476" s="327"/>
      <c r="HX476" s="327"/>
      <c r="HY476" s="327"/>
      <c r="HZ476" s="327"/>
      <c r="IA476" s="327"/>
      <c r="IB476" s="327"/>
      <c r="IC476" s="327"/>
      <c r="ID476" s="327"/>
      <c r="IE476" s="327"/>
      <c r="IF476" s="327"/>
      <c r="IG476" s="327"/>
      <c r="IH476" s="327"/>
      <c r="II476" s="327"/>
      <c r="IJ476" s="327"/>
      <c r="IK476" s="327"/>
      <c r="IL476" s="327"/>
      <c r="IM476" s="327"/>
      <c r="IN476" s="327"/>
      <c r="IO476" s="327"/>
      <c r="IP476" s="327"/>
      <c r="IQ476" s="327"/>
      <c r="IR476" s="327"/>
      <c r="IS476" s="327"/>
      <c r="IT476" s="327"/>
      <c r="IU476" s="327"/>
      <c r="IV476" s="327"/>
      <c r="IW476" s="327"/>
      <c r="IX476" s="327"/>
      <c r="IY476" s="327"/>
      <c r="IZ476" s="327"/>
      <c r="JA476" s="327"/>
      <c r="JB476" s="327"/>
      <c r="JC476" s="327"/>
      <c r="JD476" s="327"/>
      <c r="JE476" s="327"/>
      <c r="JF476" s="327"/>
      <c r="JG476" s="327"/>
      <c r="JH476" s="327"/>
      <c r="JI476" s="327"/>
      <c r="JJ476" s="327"/>
      <c r="JK476" s="327"/>
      <c r="JL476" s="327"/>
      <c r="JM476" s="327"/>
      <c r="JN476" s="327"/>
      <c r="JO476" s="327"/>
      <c r="JP476" s="327"/>
      <c r="JQ476" s="327"/>
      <c r="JR476" s="327"/>
      <c r="JS476" s="327"/>
      <c r="JT476" s="327"/>
      <c r="JU476" s="327"/>
      <c r="JV476" s="327"/>
      <c r="JW476"/>
    </row>
    <row r="477" spans="1:283" s="332" customFormat="1" hidden="1" outlineLevel="1">
      <c r="A477" s="332" t="s">
        <v>604</v>
      </c>
      <c r="AN477" s="293"/>
      <c r="AO477" s="293"/>
      <c r="AP477" s="293"/>
      <c r="AQ477" s="293"/>
      <c r="AR477" s="626">
        <v>-37</v>
      </c>
      <c r="AS477" s="626">
        <v>-46</v>
      </c>
      <c r="AT477" s="293">
        <f>AR477+AS477</f>
        <v>-83</v>
      </c>
      <c r="AU477" s="626"/>
      <c r="AV477" s="626">
        <v>-44</v>
      </c>
      <c r="AW477" s="626">
        <v>-55</v>
      </c>
      <c r="AX477" s="293">
        <f>AV477+AW477</f>
        <v>-99</v>
      </c>
      <c r="AY477" s="293"/>
      <c r="AZ477" s="626">
        <v>-72</v>
      </c>
      <c r="BA477" s="626">
        <v>-77</v>
      </c>
      <c r="BB477" s="293">
        <f t="shared" ref="BB477:BB483" si="1404">AZ477+BA477</f>
        <v>-149</v>
      </c>
      <c r="BC477" s="293"/>
      <c r="BD477" s="626">
        <f>-70+0.33333</f>
        <v>-69.666669999999996</v>
      </c>
      <c r="BE477" s="626">
        <v>-95</v>
      </c>
      <c r="BF477" s="293">
        <f t="shared" ref="BF477:BF483" si="1405">BD477+BE477</f>
        <v>-164.66667000000001</v>
      </c>
      <c r="BG477" s="293"/>
      <c r="BH477" s="626">
        <v>-77</v>
      </c>
      <c r="BI477" s="626">
        <v>-75</v>
      </c>
      <c r="BJ477" s="293">
        <f t="shared" ref="BJ477:BJ483" si="1406">BH477+BI477</f>
        <v>-152</v>
      </c>
      <c r="BK477" s="487"/>
      <c r="BL477" s="626">
        <v>-82</v>
      </c>
      <c r="BM477" s="626">
        <v>-94</v>
      </c>
      <c r="BN477" s="293">
        <f t="shared" ref="BN477:BN483" si="1407">BL477+BM477</f>
        <v>-176</v>
      </c>
      <c r="BO477" s="487"/>
      <c r="BP477" s="626">
        <v>-97</v>
      </c>
      <c r="BQ477" s="626">
        <v>-116</v>
      </c>
      <c r="BR477" s="293">
        <f t="shared" ref="BR477:BR483" si="1408">BP477+BQ477</f>
        <v>-213</v>
      </c>
      <c r="BS477" s="487"/>
      <c r="BT477" s="626">
        <v>-108</v>
      </c>
      <c r="BU477" s="626">
        <v>-131</v>
      </c>
      <c r="BV477" s="293">
        <f t="shared" ref="BV477:BV483" si="1409">BT477+BU477</f>
        <v>-239</v>
      </c>
      <c r="BW477" s="293"/>
      <c r="BX477" s="626">
        <v>-135</v>
      </c>
      <c r="BY477" s="626">
        <v>-132</v>
      </c>
      <c r="BZ477" s="293">
        <f t="shared" ref="BZ477:BZ483" si="1410">BX477+BY477</f>
        <v>-267</v>
      </c>
      <c r="CA477" s="293"/>
      <c r="CB477" s="626">
        <v>-102</v>
      </c>
      <c r="CC477" s="626">
        <v>-115</v>
      </c>
      <c r="CD477" s="293">
        <f t="shared" ref="CD477:CD483" si="1411">CB477+CC477</f>
        <v>-217</v>
      </c>
      <c r="CE477" s="293"/>
      <c r="CF477" s="626"/>
      <c r="CG477" s="626"/>
      <c r="CH477" s="293"/>
      <c r="CI477" s="293"/>
      <c r="CJ477" s="626"/>
      <c r="CK477" s="626"/>
      <c r="CL477" s="293"/>
      <c r="CM477" s="293"/>
      <c r="CN477" s="293"/>
      <c r="CO477" s="626"/>
      <c r="CP477" s="293"/>
      <c r="CQ477" s="293"/>
      <c r="CR477" s="293"/>
      <c r="CS477" s="293"/>
      <c r="CT477" s="293"/>
      <c r="CU477" s="293"/>
      <c r="CV477" s="293"/>
      <c r="CW477" s="293"/>
      <c r="CX477" s="293"/>
      <c r="CY477" s="293"/>
      <c r="CZ477" s="293"/>
      <c r="DA477" s="293"/>
      <c r="DB477" s="293"/>
      <c r="DC477" s="293"/>
      <c r="DD477" s="293"/>
      <c r="DE477" s="293"/>
      <c r="DF477" s="293"/>
      <c r="DG477" s="293"/>
      <c r="DH477" s="293"/>
      <c r="DI477" s="293"/>
      <c r="DJ477" s="293"/>
      <c r="DK477" s="293"/>
      <c r="DL477" s="293"/>
      <c r="DM477" s="293"/>
      <c r="DN477" s="293"/>
      <c r="DO477" s="293"/>
      <c r="DP477" s="293"/>
      <c r="DQ477" s="293"/>
      <c r="DR477" s="293"/>
      <c r="DS477" s="293"/>
      <c r="DT477" s="293"/>
      <c r="DU477" s="293"/>
      <c r="DV477" s="293"/>
      <c r="DW477" s="1197" t="s">
        <v>513</v>
      </c>
      <c r="DX477" s="293"/>
      <c r="DY477" s="293"/>
      <c r="DZ477" s="293"/>
      <c r="EA477" s="293"/>
      <c r="EB477" s="293"/>
      <c r="EC477" s="293"/>
      <c r="ED477" s="293"/>
      <c r="EE477" s="293"/>
      <c r="EF477" s="293"/>
      <c r="EG477" s="293"/>
      <c r="EH477" s="293"/>
      <c r="EI477" s="293"/>
      <c r="EJ477" s="293"/>
      <c r="EK477" s="293"/>
      <c r="EL477" s="293"/>
      <c r="EM477" s="293"/>
      <c r="EN477" s="293"/>
      <c r="EO477" s="293"/>
      <c r="EP477" s="293"/>
      <c r="EQ477" s="293"/>
      <c r="ER477" s="293"/>
      <c r="ES477" s="293"/>
      <c r="ET477" s="293"/>
      <c r="EU477" s="293"/>
      <c r="JW477"/>
    </row>
    <row r="478" spans="1:283" s="332" customFormat="1" hidden="1" outlineLevel="1">
      <c r="A478" s="332" t="s">
        <v>605</v>
      </c>
      <c r="AN478" s="293"/>
      <c r="AO478" s="293"/>
      <c r="AP478" s="293"/>
      <c r="AQ478" s="293"/>
      <c r="AR478" s="626">
        <v>0</v>
      </c>
      <c r="AS478" s="626">
        <v>0</v>
      </c>
      <c r="AT478" s="293">
        <f>AR478+AS478</f>
        <v>0</v>
      </c>
      <c r="AU478" s="626"/>
      <c r="AV478" s="626">
        <v>0</v>
      </c>
      <c r="AW478" s="626">
        <v>0</v>
      </c>
      <c r="AX478" s="293">
        <f>AV478+AW478</f>
        <v>0</v>
      </c>
      <c r="AY478" s="293"/>
      <c r="AZ478" s="626">
        <v>0</v>
      </c>
      <c r="BA478" s="626">
        <v>0</v>
      </c>
      <c r="BB478" s="293">
        <f t="shared" si="1404"/>
        <v>0</v>
      </c>
      <c r="BC478" s="293"/>
      <c r="BD478" s="626">
        <v>-11</v>
      </c>
      <c r="BE478" s="626">
        <v>-5</v>
      </c>
      <c r="BF478" s="293">
        <f t="shared" si="1405"/>
        <v>-16</v>
      </c>
      <c r="BG478" s="293"/>
      <c r="BH478" s="626">
        <v>-4</v>
      </c>
      <c r="BI478" s="626">
        <v>-10</v>
      </c>
      <c r="BJ478" s="293">
        <f t="shared" si="1406"/>
        <v>-14</v>
      </c>
      <c r="BK478" s="487"/>
      <c r="BL478" s="626">
        <v>-6</v>
      </c>
      <c r="BM478" s="626">
        <v>-7</v>
      </c>
      <c r="BN478" s="293">
        <f t="shared" si="1407"/>
        <v>-13</v>
      </c>
      <c r="BO478" s="487"/>
      <c r="BP478" s="626">
        <v>-4</v>
      </c>
      <c r="BQ478" s="626">
        <v>-7</v>
      </c>
      <c r="BR478" s="293">
        <f t="shared" si="1408"/>
        <v>-11</v>
      </c>
      <c r="BS478" s="487"/>
      <c r="BT478" s="626">
        <v>-3</v>
      </c>
      <c r="BU478" s="626">
        <v>-4</v>
      </c>
      <c r="BV478" s="293">
        <f t="shared" si="1409"/>
        <v>-7</v>
      </c>
      <c r="BW478" s="293"/>
      <c r="BX478" s="626">
        <v>-4</v>
      </c>
      <c r="BY478" s="626">
        <v>-5</v>
      </c>
      <c r="BZ478" s="293">
        <f t="shared" si="1410"/>
        <v>-9</v>
      </c>
      <c r="CA478" s="293"/>
      <c r="CB478" s="626">
        <v>-41</v>
      </c>
      <c r="CC478" s="626">
        <v>-17</v>
      </c>
      <c r="CD478" s="293">
        <f t="shared" si="1411"/>
        <v>-58</v>
      </c>
      <c r="CE478" s="293"/>
      <c r="CF478" s="626"/>
      <c r="CG478" s="626"/>
      <c r="CH478" s="293"/>
      <c r="CI478" s="293"/>
      <c r="CJ478" s="626"/>
      <c r="CK478" s="626"/>
      <c r="CL478" s="293"/>
      <c r="CM478" s="293"/>
      <c r="CN478" s="293"/>
      <c r="CO478" s="626"/>
      <c r="CP478" s="293"/>
      <c r="CQ478" s="293"/>
      <c r="CR478" s="293"/>
      <c r="CS478" s="293"/>
      <c r="CT478" s="293"/>
      <c r="CU478" s="293"/>
      <c r="CV478" s="293"/>
      <c r="CW478" s="293"/>
      <c r="CX478" s="293"/>
      <c r="CY478" s="293"/>
      <c r="CZ478" s="293"/>
      <c r="DA478" s="293"/>
      <c r="DB478" s="293"/>
      <c r="DC478" s="293"/>
      <c r="DD478" s="293"/>
      <c r="DE478" s="293"/>
      <c r="DF478" s="293"/>
      <c r="DG478" s="293"/>
      <c r="DH478" s="293"/>
      <c r="DI478" s="293"/>
      <c r="DJ478" s="293"/>
      <c r="DK478" s="293"/>
      <c r="DL478" s="293"/>
      <c r="DM478" s="293"/>
      <c r="DN478" s="293"/>
      <c r="DO478" s="293"/>
      <c r="DP478" s="293"/>
      <c r="DQ478" s="293"/>
      <c r="DR478" s="293"/>
      <c r="DS478" s="293"/>
      <c r="DT478" s="293"/>
      <c r="DU478" s="293"/>
      <c r="DV478" s="293"/>
      <c r="DW478" s="1197" t="s">
        <v>513</v>
      </c>
      <c r="DX478" s="293"/>
      <c r="DY478" s="293"/>
      <c r="DZ478" s="293"/>
      <c r="EA478" s="293"/>
      <c r="EB478" s="293"/>
      <c r="EC478" s="293"/>
      <c r="ED478" s="293"/>
      <c r="EE478" s="293"/>
      <c r="EF478" s="293"/>
      <c r="EG478" s="293"/>
      <c r="EH478" s="293"/>
      <c r="EI478" s="293"/>
      <c r="EJ478" s="293"/>
      <c r="EK478" s="293"/>
      <c r="EL478" s="293"/>
      <c r="EM478" s="293"/>
      <c r="EN478" s="293"/>
      <c r="EO478" s="293"/>
      <c r="EP478" s="293"/>
      <c r="EQ478" s="293"/>
      <c r="ER478" s="293"/>
      <c r="ES478" s="293"/>
      <c r="ET478" s="293"/>
      <c r="EU478" s="293"/>
      <c r="JW478"/>
    </row>
    <row r="479" spans="1:283" s="332" customFormat="1" hidden="1" outlineLevel="1">
      <c r="A479" s="332" t="s">
        <v>606</v>
      </c>
      <c r="AN479" s="293"/>
      <c r="AO479" s="293"/>
      <c r="AP479" s="293"/>
      <c r="AQ479" s="293"/>
      <c r="AR479" s="626">
        <f>-31-7</f>
        <v>-38</v>
      </c>
      <c r="AS479" s="626">
        <f>-37-7</f>
        <v>-44</v>
      </c>
      <c r="AT479" s="293">
        <f>AR479+AS479</f>
        <v>-82</v>
      </c>
      <c r="AU479" s="626"/>
      <c r="AV479" s="626">
        <v>-61</v>
      </c>
      <c r="AW479" s="626">
        <v>-48</v>
      </c>
      <c r="AX479" s="293">
        <f>AV479+AW479</f>
        <v>-109</v>
      </c>
      <c r="AY479" s="293"/>
      <c r="AZ479" s="626">
        <v>-65</v>
      </c>
      <c r="BA479" s="626">
        <v>-88</v>
      </c>
      <c r="BB479" s="293">
        <f t="shared" si="1404"/>
        <v>-153</v>
      </c>
      <c r="BC479" s="293"/>
      <c r="BD479" s="626">
        <f>-86-0.33</f>
        <v>-86.33</v>
      </c>
      <c r="BE479" s="626">
        <v>-109</v>
      </c>
      <c r="BF479" s="293">
        <f t="shared" si="1405"/>
        <v>-195.32999999999998</v>
      </c>
      <c r="BG479" s="293"/>
      <c r="BH479" s="626">
        <v>-91</v>
      </c>
      <c r="BI479" s="626">
        <v>-101</v>
      </c>
      <c r="BJ479" s="293">
        <f t="shared" si="1406"/>
        <v>-192</v>
      </c>
      <c r="BK479" s="487"/>
      <c r="BL479" s="626">
        <v>-94</v>
      </c>
      <c r="BM479" s="626">
        <v>-98</v>
      </c>
      <c r="BN479" s="293">
        <f t="shared" si="1407"/>
        <v>-192</v>
      </c>
      <c r="BO479" s="487"/>
      <c r="BP479" s="626">
        <v>-119</v>
      </c>
      <c r="BQ479" s="626">
        <v>-139</v>
      </c>
      <c r="BR479" s="293">
        <f t="shared" si="1408"/>
        <v>-258</v>
      </c>
      <c r="BS479" s="487"/>
      <c r="BT479" s="626">
        <v>-141</v>
      </c>
      <c r="BU479" s="626">
        <v>-207</v>
      </c>
      <c r="BV479" s="293">
        <f t="shared" si="1409"/>
        <v>-348</v>
      </c>
      <c r="BW479" s="293"/>
      <c r="BX479" s="626">
        <v>-176</v>
      </c>
      <c r="BY479" s="626">
        <v>-182</v>
      </c>
      <c r="BZ479" s="293">
        <f t="shared" si="1410"/>
        <v>-358</v>
      </c>
      <c r="CA479" s="293"/>
      <c r="CB479" s="626">
        <v>-154</v>
      </c>
      <c r="CC479" s="626">
        <v>-197</v>
      </c>
      <c r="CD479" s="293">
        <f t="shared" si="1411"/>
        <v>-351</v>
      </c>
      <c r="CE479" s="293"/>
      <c r="CF479" s="626"/>
      <c r="CG479" s="626"/>
      <c r="CH479" s="293"/>
      <c r="CI479" s="293"/>
      <c r="CJ479" s="626"/>
      <c r="CK479" s="626"/>
      <c r="CL479" s="293"/>
      <c r="CM479" s="293"/>
      <c r="CN479" s="293"/>
      <c r="CO479" s="626"/>
      <c r="CP479" s="293"/>
      <c r="CQ479" s="293"/>
      <c r="CR479" s="293"/>
      <c r="CS479" s="293"/>
      <c r="CT479" s="293"/>
      <c r="CU479" s="293"/>
      <c r="CV479" s="293"/>
      <c r="CW479" s="293"/>
      <c r="CX479" s="293"/>
      <c r="CY479" s="293"/>
      <c r="CZ479" s="293"/>
      <c r="DA479" s="293"/>
      <c r="DB479" s="293"/>
      <c r="DC479" s="293"/>
      <c r="DD479" s="293"/>
      <c r="DE479" s="293"/>
      <c r="DF479" s="293"/>
      <c r="DG479" s="293"/>
      <c r="DH479" s="293"/>
      <c r="DI479" s="293"/>
      <c r="DJ479" s="293"/>
      <c r="DK479" s="293"/>
      <c r="DL479" s="293"/>
      <c r="DM479" s="293"/>
      <c r="DN479" s="293"/>
      <c r="DO479" s="293"/>
      <c r="DP479" s="293"/>
      <c r="DQ479" s="293"/>
      <c r="DR479" s="293"/>
      <c r="DS479" s="293"/>
      <c r="DT479" s="293"/>
      <c r="DU479" s="293"/>
      <c r="DV479" s="293"/>
      <c r="DW479" s="1197" t="s">
        <v>513</v>
      </c>
      <c r="DX479" s="293"/>
      <c r="DY479" s="293"/>
      <c r="DZ479" s="293"/>
      <c r="EA479" s="293"/>
      <c r="EB479" s="293"/>
      <c r="EC479" s="293"/>
      <c r="ED479" s="293"/>
      <c r="EE479" s="293"/>
      <c r="EF479" s="293"/>
      <c r="EG479" s="293"/>
      <c r="EH479" s="293"/>
      <c r="EI479" s="293"/>
      <c r="EJ479" s="293"/>
      <c r="EK479" s="293"/>
      <c r="EL479" s="293"/>
      <c r="EM479" s="293"/>
      <c r="EN479" s="293"/>
      <c r="EO479" s="293"/>
      <c r="EP479" s="293"/>
      <c r="EQ479" s="293"/>
      <c r="ER479" s="293"/>
      <c r="ES479" s="293"/>
      <c r="ET479" s="293"/>
      <c r="EU479" s="293"/>
      <c r="JW479"/>
    </row>
    <row r="480" spans="1:283" s="332" customFormat="1" hidden="1" outlineLevel="1">
      <c r="A480" s="327" t="s">
        <v>569</v>
      </c>
      <c r="AN480" s="295">
        <f>SUM(AN477:AN479)</f>
        <v>0</v>
      </c>
      <c r="AO480" s="295">
        <f>SUM(AO477:AO479)</f>
        <v>0</v>
      </c>
      <c r="AP480" s="295">
        <f>AN480+AO480</f>
        <v>0</v>
      </c>
      <c r="AQ480" s="295"/>
      <c r="AR480" s="295">
        <f>SUM(AR477:AR479)</f>
        <v>-75</v>
      </c>
      <c r="AS480" s="295">
        <f>SUM(AS477:AS479)</f>
        <v>-90</v>
      </c>
      <c r="AT480" s="295">
        <f>AR480+AS480</f>
        <v>-165</v>
      </c>
      <c r="AU480" s="295"/>
      <c r="AV480" s="295">
        <f>SUM(AV477:AV479)</f>
        <v>-105</v>
      </c>
      <c r="AW480" s="295">
        <f>SUM(AW477:AW479)</f>
        <v>-103</v>
      </c>
      <c r="AX480" s="295">
        <f>AV480+AW480</f>
        <v>-208</v>
      </c>
      <c r="AY480" s="295"/>
      <c r="AZ480" s="295">
        <f>SUM(AZ477:AZ479)</f>
        <v>-137</v>
      </c>
      <c r="BA480" s="295">
        <f>SUM(BA477:BA479)</f>
        <v>-165</v>
      </c>
      <c r="BB480" s="295">
        <f t="shared" si="1404"/>
        <v>-302</v>
      </c>
      <c r="BC480" s="295"/>
      <c r="BD480" s="295">
        <f>SUM(BD477:BD479)</f>
        <v>-166.99666999999999</v>
      </c>
      <c r="BE480" s="295">
        <f>SUM(BE477:BE479)</f>
        <v>-209</v>
      </c>
      <c r="BF480" s="295">
        <f t="shared" si="1405"/>
        <v>-375.99666999999999</v>
      </c>
      <c r="BG480" s="295"/>
      <c r="BH480" s="295">
        <f>SUM(BH477:BH479)</f>
        <v>-172</v>
      </c>
      <c r="BI480" s="295">
        <f>SUM(BI477:BI479)</f>
        <v>-186</v>
      </c>
      <c r="BJ480" s="295">
        <f t="shared" si="1406"/>
        <v>-358</v>
      </c>
      <c r="BK480" s="487"/>
      <c r="BL480" s="295">
        <f>SUM(BL477:BL479)</f>
        <v>-182</v>
      </c>
      <c r="BM480" s="295">
        <f>SUM(BM477:BM479)</f>
        <v>-199</v>
      </c>
      <c r="BN480" s="295">
        <f t="shared" si="1407"/>
        <v>-381</v>
      </c>
      <c r="BO480" s="817">
        <f>+BN480/BJ480-1</f>
        <v>6.4245810055865826E-2</v>
      </c>
      <c r="BP480" s="295">
        <f>SUM(BP477:BP479)</f>
        <v>-220</v>
      </c>
      <c r="BQ480" s="295">
        <f>SUM(BQ477:BQ479)</f>
        <v>-262</v>
      </c>
      <c r="BR480" s="295">
        <f t="shared" si="1408"/>
        <v>-482</v>
      </c>
      <c r="BS480" s="817">
        <f>+BR480/BN480-1</f>
        <v>0.26509186351706027</v>
      </c>
      <c r="BT480" s="295">
        <f>SUM(BT477:BT479)</f>
        <v>-252</v>
      </c>
      <c r="BU480" s="295">
        <f>SUM(BU477:BU479)</f>
        <v>-342</v>
      </c>
      <c r="BV480" s="295">
        <f t="shared" si="1409"/>
        <v>-594</v>
      </c>
      <c r="BW480" s="817">
        <f>+BV480/BR480-1</f>
        <v>0.23236514522821583</v>
      </c>
      <c r="BX480" s="295">
        <f>SUM(BX477:BX479)</f>
        <v>-315</v>
      </c>
      <c r="BY480" s="295">
        <f>SUM(BY477:BY479)</f>
        <v>-319</v>
      </c>
      <c r="BZ480" s="295">
        <f t="shared" si="1410"/>
        <v>-634</v>
      </c>
      <c r="CA480" s="817">
        <f>+BZ480/BV480-1</f>
        <v>6.7340067340067256E-2</v>
      </c>
      <c r="CB480" s="295">
        <f>SUM(CB477:CB479)</f>
        <v>-297</v>
      </c>
      <c r="CC480" s="295">
        <f>SUM(CC477:CC479)</f>
        <v>-329</v>
      </c>
      <c r="CD480" s="295">
        <f t="shared" si="1411"/>
        <v>-626</v>
      </c>
      <c r="CE480" s="817">
        <f>+CD480/BZ480-1</f>
        <v>-1.2618296529968487E-2</v>
      </c>
      <c r="CF480" s="295"/>
      <c r="CG480" s="295"/>
      <c r="CH480" s="295"/>
      <c r="CI480" s="817"/>
      <c r="CJ480" s="295"/>
      <c r="CK480" s="295"/>
      <c r="CL480" s="295"/>
      <c r="CM480" s="817"/>
      <c r="CN480" s="295"/>
      <c r="CO480" s="295"/>
      <c r="CP480" s="295"/>
      <c r="CQ480" s="817"/>
      <c r="CR480" s="295"/>
      <c r="CS480" s="295"/>
      <c r="CT480" s="295"/>
      <c r="CU480" s="817"/>
      <c r="CV480" s="295"/>
      <c r="CW480" s="295"/>
      <c r="CX480" s="295"/>
      <c r="CY480" s="817"/>
      <c r="CZ480" s="295"/>
      <c r="DA480" s="295"/>
      <c r="DB480" s="295"/>
      <c r="DC480" s="817"/>
      <c r="DD480" s="295"/>
      <c r="DE480" s="295"/>
      <c r="DF480" s="295"/>
      <c r="DG480" s="817"/>
      <c r="DH480" s="295"/>
      <c r="DI480" s="295"/>
      <c r="DJ480" s="295"/>
      <c r="DK480" s="817"/>
      <c r="DL480" s="295"/>
      <c r="DM480" s="295"/>
      <c r="DN480" s="295"/>
      <c r="DO480" s="817"/>
      <c r="DP480" s="295"/>
      <c r="DQ480" s="295"/>
      <c r="DR480" s="295"/>
      <c r="DS480" s="817"/>
      <c r="DT480" s="817"/>
      <c r="DU480" s="817"/>
      <c r="DV480" s="817"/>
      <c r="DW480" s="1199"/>
      <c r="DX480" s="295"/>
      <c r="DY480" s="295"/>
      <c r="DZ480" s="295"/>
      <c r="EA480" s="295"/>
      <c r="EB480" s="295"/>
      <c r="EC480" s="295"/>
      <c r="ED480" s="295"/>
      <c r="EE480" s="295"/>
      <c r="EF480" s="295"/>
      <c r="EG480" s="295"/>
      <c r="EH480" s="295"/>
      <c r="EI480" s="295"/>
      <c r="EJ480" s="295"/>
      <c r="EK480" s="295"/>
      <c r="EL480" s="295"/>
      <c r="EM480" s="295"/>
      <c r="EN480" s="295"/>
      <c r="EO480" s="295"/>
      <c r="EP480" s="295"/>
      <c r="EQ480" s="295"/>
      <c r="ER480" s="295"/>
      <c r="ES480" s="295"/>
      <c r="ET480" s="295"/>
      <c r="EU480" s="295"/>
      <c r="EV480" s="327"/>
      <c r="EW480" s="327"/>
      <c r="EX480" s="327"/>
      <c r="EY480" s="327"/>
      <c r="EZ480" s="327"/>
      <c r="FA480" s="327"/>
      <c r="FB480" s="327"/>
      <c r="FC480" s="327"/>
      <c r="FD480" s="327"/>
      <c r="FE480" s="327"/>
      <c r="FF480" s="327"/>
      <c r="FG480" s="327"/>
      <c r="FH480" s="327"/>
      <c r="FI480" s="327"/>
      <c r="FJ480" s="327"/>
      <c r="FK480" s="327"/>
      <c r="FL480" s="327"/>
      <c r="FM480" s="327"/>
      <c r="FN480" s="327"/>
      <c r="FO480" s="327"/>
      <c r="FP480" s="327"/>
      <c r="FQ480" s="327"/>
      <c r="FR480" s="327"/>
      <c r="FS480" s="327"/>
      <c r="FT480" s="327"/>
      <c r="FU480" s="327"/>
      <c r="FV480" s="327"/>
      <c r="FW480" s="327"/>
      <c r="FX480" s="327"/>
      <c r="FY480" s="327"/>
      <c r="FZ480" s="327"/>
      <c r="GA480" s="327"/>
      <c r="GB480" s="327"/>
      <c r="GC480" s="327"/>
      <c r="GD480" s="327"/>
      <c r="GE480" s="327"/>
      <c r="GF480" s="327"/>
      <c r="GG480" s="327"/>
      <c r="GH480" s="327"/>
      <c r="GI480" s="327"/>
      <c r="GJ480" s="327"/>
      <c r="GK480" s="327"/>
      <c r="GL480" s="327"/>
      <c r="GM480" s="327"/>
      <c r="GN480" s="327"/>
      <c r="GO480" s="327"/>
      <c r="GP480" s="327"/>
      <c r="GQ480" s="327"/>
      <c r="GR480" s="327"/>
      <c r="GS480" s="327"/>
      <c r="GT480" s="327"/>
      <c r="GU480" s="327"/>
      <c r="GV480" s="327"/>
      <c r="GW480" s="327"/>
      <c r="GX480" s="327"/>
      <c r="GY480" s="327"/>
      <c r="GZ480" s="327"/>
      <c r="HA480" s="327"/>
      <c r="HB480" s="327"/>
      <c r="HC480" s="327"/>
      <c r="HD480" s="327"/>
      <c r="HE480" s="327"/>
      <c r="HF480" s="327"/>
      <c r="HG480" s="327"/>
      <c r="HH480" s="327"/>
      <c r="HI480" s="327"/>
      <c r="HJ480" s="327"/>
      <c r="HK480" s="327"/>
      <c r="HL480" s="327"/>
      <c r="HM480" s="327"/>
      <c r="HN480" s="327"/>
      <c r="HO480" s="327"/>
      <c r="HP480" s="327"/>
      <c r="HQ480" s="327"/>
      <c r="HR480" s="327"/>
      <c r="HS480" s="327"/>
      <c r="HT480" s="327"/>
      <c r="HU480" s="327"/>
      <c r="HV480" s="327"/>
      <c r="HW480" s="327"/>
      <c r="HX480" s="327"/>
      <c r="HY480" s="327"/>
      <c r="HZ480" s="327"/>
      <c r="IA480" s="327"/>
      <c r="IB480" s="327"/>
      <c r="IC480" s="327"/>
      <c r="ID480" s="327"/>
      <c r="IE480" s="327"/>
      <c r="IF480" s="327"/>
      <c r="IG480" s="327"/>
      <c r="IH480" s="327"/>
      <c r="II480" s="327"/>
      <c r="IJ480" s="327"/>
      <c r="IK480" s="327"/>
      <c r="IL480" s="327"/>
      <c r="IM480" s="327"/>
      <c r="IN480" s="327"/>
      <c r="IO480" s="327"/>
      <c r="IP480" s="327"/>
      <c r="IQ480" s="327"/>
      <c r="IR480" s="327"/>
      <c r="IS480" s="327"/>
      <c r="IT480" s="327"/>
      <c r="IU480" s="327"/>
      <c r="IV480" s="327"/>
      <c r="IW480" s="327"/>
      <c r="IX480" s="327"/>
      <c r="IY480" s="327"/>
      <c r="IZ480" s="327"/>
      <c r="JA480" s="327"/>
      <c r="JB480" s="327"/>
      <c r="JC480" s="327"/>
      <c r="JD480" s="327"/>
      <c r="JE480" s="327"/>
      <c r="JF480" s="327"/>
      <c r="JG480" s="327"/>
      <c r="JH480" s="327"/>
      <c r="JI480" s="327"/>
      <c r="JJ480" s="327"/>
      <c r="JK480" s="327"/>
      <c r="JL480" s="327"/>
      <c r="JM480" s="327"/>
      <c r="JN480" s="327"/>
      <c r="JO480" s="327"/>
      <c r="JP480" s="327"/>
      <c r="JQ480" s="327"/>
      <c r="JR480" s="327"/>
      <c r="JS480" s="327"/>
      <c r="JT480" s="327"/>
      <c r="JU480" s="327"/>
      <c r="JV480" s="327"/>
      <c r="JW480"/>
    </row>
    <row r="481" spans="1:283" s="332" customFormat="1" hidden="1" outlineLevel="1">
      <c r="A481" s="327" t="s">
        <v>572</v>
      </c>
      <c r="AN481" s="295">
        <f>AN475+AN480</f>
        <v>0</v>
      </c>
      <c r="AO481" s="295">
        <f>AO475+AO480</f>
        <v>0</v>
      </c>
      <c r="AP481" s="295">
        <f>AN481+AO481</f>
        <v>0</v>
      </c>
      <c r="AQ481" s="295"/>
      <c r="AR481" s="295">
        <f>AR475+AR480</f>
        <v>-10</v>
      </c>
      <c r="AS481" s="295">
        <f>AS475+AS480</f>
        <v>-5</v>
      </c>
      <c r="AT481" s="295">
        <f>AR481+AS481</f>
        <v>-15</v>
      </c>
      <c r="AU481" s="295"/>
      <c r="AV481" s="295">
        <f>AV475+AV480</f>
        <v>130</v>
      </c>
      <c r="AW481" s="295">
        <f>AW475+AW480</f>
        <v>127</v>
      </c>
      <c r="AX481" s="295">
        <f>AV481+AW481</f>
        <v>257</v>
      </c>
      <c r="AY481" s="295"/>
      <c r="AZ481" s="295">
        <f>AZ475+AZ480</f>
        <v>246</v>
      </c>
      <c r="BA481" s="295">
        <f>BA475+BA480</f>
        <v>328</v>
      </c>
      <c r="BB481" s="295">
        <f t="shared" si="1404"/>
        <v>574</v>
      </c>
      <c r="BC481" s="295"/>
      <c r="BD481" s="295">
        <f>BD475+BD480</f>
        <v>360.50333000000001</v>
      </c>
      <c r="BE481" s="295">
        <f>BE475+BE480</f>
        <v>340</v>
      </c>
      <c r="BF481" s="295">
        <f t="shared" si="1405"/>
        <v>700.50333000000001</v>
      </c>
      <c r="BG481" s="295"/>
      <c r="BH481" s="295">
        <f>BH475+BH480</f>
        <v>335</v>
      </c>
      <c r="BI481" s="295">
        <f>BI475+BI480</f>
        <v>359</v>
      </c>
      <c r="BJ481" s="295">
        <f t="shared" si="1406"/>
        <v>694</v>
      </c>
      <c r="BK481" s="487"/>
      <c r="BL481" s="295">
        <f>BL475+BL480</f>
        <v>396</v>
      </c>
      <c r="BM481" s="295">
        <f>BM475+BM480</f>
        <v>430</v>
      </c>
      <c r="BN481" s="295">
        <f t="shared" si="1407"/>
        <v>826</v>
      </c>
      <c r="BO481" s="487"/>
      <c r="BP481" s="295">
        <f>BP475+BP480</f>
        <v>468</v>
      </c>
      <c r="BQ481" s="295">
        <f>BQ475+BQ480</f>
        <v>644</v>
      </c>
      <c r="BR481" s="295">
        <f t="shared" si="1408"/>
        <v>1112</v>
      </c>
      <c r="BS481" s="487"/>
      <c r="BT481" s="295">
        <f>BT475+BT480</f>
        <v>611</v>
      </c>
      <c r="BU481" s="295">
        <f>BU475+BU480</f>
        <v>518</v>
      </c>
      <c r="BV481" s="295">
        <f t="shared" si="1409"/>
        <v>1129</v>
      </c>
      <c r="BW481" s="295"/>
      <c r="BX481" s="295">
        <f>BX475+BX480</f>
        <v>520</v>
      </c>
      <c r="BY481" s="295">
        <f>BY475+BY480</f>
        <v>677</v>
      </c>
      <c r="BZ481" s="295">
        <f t="shared" si="1410"/>
        <v>1197</v>
      </c>
      <c r="CA481" s="295"/>
      <c r="CB481" s="295">
        <f>CB475+CB480</f>
        <v>565</v>
      </c>
      <c r="CC481" s="295">
        <f>CC475+CC480</f>
        <v>579</v>
      </c>
      <c r="CD481" s="295">
        <f t="shared" si="1411"/>
        <v>1144</v>
      </c>
      <c r="CE481" s="295"/>
      <c r="CF481" s="295"/>
      <c r="CG481" s="295"/>
      <c r="CH481" s="295"/>
      <c r="CI481" s="295"/>
      <c r="CJ481" s="295"/>
      <c r="CK481" s="295"/>
      <c r="CL481" s="295"/>
      <c r="CM481" s="295"/>
      <c r="CN481" s="295"/>
      <c r="CO481" s="295"/>
      <c r="CP481" s="295"/>
      <c r="CQ481" s="295"/>
      <c r="CR481" s="295"/>
      <c r="CS481" s="295"/>
      <c r="CT481" s="295"/>
      <c r="CU481" s="295"/>
      <c r="CV481" s="295"/>
      <c r="CW481" s="295"/>
      <c r="CX481" s="295"/>
      <c r="CY481" s="295"/>
      <c r="CZ481" s="295"/>
      <c r="DA481" s="295"/>
      <c r="DB481" s="295"/>
      <c r="DC481" s="295"/>
      <c r="DD481" s="295"/>
      <c r="DE481" s="295"/>
      <c r="DF481" s="295"/>
      <c r="DG481" s="295"/>
      <c r="DH481" s="295"/>
      <c r="DI481" s="295"/>
      <c r="DJ481" s="295"/>
      <c r="DK481" s="295"/>
      <c r="DL481" s="295"/>
      <c r="DM481" s="295"/>
      <c r="DN481" s="295"/>
      <c r="DO481" s="295"/>
      <c r="DP481" s="295"/>
      <c r="DQ481" s="295"/>
      <c r="DR481" s="295"/>
      <c r="DS481" s="295"/>
      <c r="DT481" s="295"/>
      <c r="DU481" s="295"/>
      <c r="DV481" s="295"/>
      <c r="DW481" s="1199"/>
      <c r="DX481" s="295"/>
      <c r="DY481" s="295"/>
      <c r="DZ481" s="295"/>
      <c r="EA481" s="295"/>
      <c r="EB481" s="295"/>
      <c r="EC481" s="295"/>
      <c r="ED481" s="295"/>
      <c r="EE481" s="295"/>
      <c r="EF481" s="295"/>
      <c r="EG481" s="295"/>
      <c r="EH481" s="295"/>
      <c r="EI481" s="295"/>
      <c r="EJ481" s="295"/>
      <c r="EK481" s="295"/>
      <c r="EL481" s="295"/>
      <c r="EM481" s="295"/>
      <c r="EN481" s="295"/>
      <c r="EO481" s="295"/>
      <c r="EP481" s="295"/>
      <c r="EQ481" s="295"/>
      <c r="ER481" s="295"/>
      <c r="ES481" s="295"/>
      <c r="ET481" s="295"/>
      <c r="EU481" s="295"/>
      <c r="EV481" s="327"/>
      <c r="EW481" s="327"/>
      <c r="EX481" s="327"/>
      <c r="EY481" s="327"/>
      <c r="EZ481" s="327"/>
      <c r="FA481" s="327"/>
      <c r="FB481" s="327"/>
      <c r="FC481" s="327"/>
      <c r="FD481" s="327"/>
      <c r="FE481" s="327"/>
      <c r="FF481" s="327"/>
      <c r="FG481" s="327"/>
      <c r="FH481" s="327"/>
      <c r="FI481" s="327"/>
      <c r="FJ481" s="327"/>
      <c r="FK481" s="327"/>
      <c r="FL481" s="327"/>
      <c r="FM481" s="327"/>
      <c r="FN481" s="327"/>
      <c r="FO481" s="327"/>
      <c r="FP481" s="327"/>
      <c r="FQ481" s="327"/>
      <c r="FR481" s="327"/>
      <c r="FS481" s="327"/>
      <c r="FT481" s="327"/>
      <c r="FU481" s="327"/>
      <c r="FV481" s="327"/>
      <c r="FW481" s="327"/>
      <c r="FX481" s="327"/>
      <c r="FY481" s="327"/>
      <c r="FZ481" s="327"/>
      <c r="GA481" s="327"/>
      <c r="GB481" s="327"/>
      <c r="GC481" s="327"/>
      <c r="GD481" s="327"/>
      <c r="GE481" s="327"/>
      <c r="GF481" s="327"/>
      <c r="GG481" s="327"/>
      <c r="GH481" s="327"/>
      <c r="GI481" s="327"/>
      <c r="GJ481" s="327"/>
      <c r="GK481" s="327"/>
      <c r="GL481" s="327"/>
      <c r="GM481" s="327"/>
      <c r="GN481" s="327"/>
      <c r="GO481" s="327"/>
      <c r="GP481" s="327"/>
      <c r="GQ481" s="327"/>
      <c r="GR481" s="327"/>
      <c r="GS481" s="327"/>
      <c r="GT481" s="327"/>
      <c r="GU481" s="327"/>
      <c r="GV481" s="327"/>
      <c r="GW481" s="327"/>
      <c r="GX481" s="327"/>
      <c r="GY481" s="327"/>
      <c r="GZ481" s="327"/>
      <c r="HA481" s="327"/>
      <c r="HB481" s="327"/>
      <c r="HC481" s="327"/>
      <c r="HD481" s="327"/>
      <c r="HE481" s="327"/>
      <c r="HF481" s="327"/>
      <c r="HG481" s="327"/>
      <c r="HH481" s="327"/>
      <c r="HI481" s="327"/>
      <c r="HJ481" s="327"/>
      <c r="HK481" s="327"/>
      <c r="HL481" s="327"/>
      <c r="HM481" s="327"/>
      <c r="HN481" s="327"/>
      <c r="HO481" s="327"/>
      <c r="HP481" s="327"/>
      <c r="HQ481" s="327"/>
      <c r="HR481" s="327"/>
      <c r="HS481" s="327"/>
      <c r="HT481" s="327"/>
      <c r="HU481" s="327"/>
      <c r="HV481" s="327"/>
      <c r="HW481" s="327"/>
      <c r="HX481" s="327"/>
      <c r="HY481" s="327"/>
      <c r="HZ481" s="327"/>
      <c r="IA481" s="327"/>
      <c r="IB481" s="327"/>
      <c r="IC481" s="327"/>
      <c r="ID481" s="327"/>
      <c r="IE481" s="327"/>
      <c r="IF481" s="327"/>
      <c r="IG481" s="327"/>
      <c r="IH481" s="327"/>
      <c r="II481" s="327"/>
      <c r="IJ481" s="327"/>
      <c r="IK481" s="327"/>
      <c r="IL481" s="327"/>
      <c r="IM481" s="327"/>
      <c r="IN481" s="327"/>
      <c r="IO481" s="327"/>
      <c r="IP481" s="327"/>
      <c r="IQ481" s="327"/>
      <c r="IR481" s="327"/>
      <c r="IS481" s="327"/>
      <c r="IT481" s="327"/>
      <c r="IU481" s="327"/>
      <c r="IV481" s="327"/>
      <c r="IW481" s="327"/>
      <c r="IX481" s="327"/>
      <c r="IY481" s="327"/>
      <c r="IZ481" s="327"/>
      <c r="JA481" s="327"/>
      <c r="JB481" s="327"/>
      <c r="JC481" s="327"/>
      <c r="JD481" s="327"/>
      <c r="JE481" s="327"/>
      <c r="JF481" s="327"/>
      <c r="JG481" s="327"/>
      <c r="JH481" s="327"/>
      <c r="JI481" s="327"/>
      <c r="JJ481" s="327"/>
      <c r="JK481" s="327"/>
      <c r="JL481" s="327"/>
      <c r="JM481" s="327"/>
      <c r="JN481" s="327"/>
      <c r="JO481" s="327"/>
      <c r="JP481" s="327"/>
      <c r="JQ481" s="327"/>
      <c r="JR481" s="327"/>
      <c r="JS481" s="327"/>
      <c r="JT481" s="327"/>
      <c r="JU481" s="327"/>
      <c r="JV481" s="327"/>
      <c r="JW481"/>
    </row>
    <row r="482" spans="1:283" s="332" customFormat="1" hidden="1" outlineLevel="1">
      <c r="A482" s="332" t="s">
        <v>664</v>
      </c>
      <c r="AN482" s="293"/>
      <c r="AO482" s="293"/>
      <c r="AP482" s="293"/>
      <c r="AQ482" s="293"/>
      <c r="AR482" s="293"/>
      <c r="AS482" s="293"/>
      <c r="AT482" s="293"/>
      <c r="AU482" s="293"/>
      <c r="AV482" s="626">
        <v>-1</v>
      </c>
      <c r="AW482" s="626">
        <v>-1</v>
      </c>
      <c r="AX482" s="626"/>
      <c r="AY482" s="626"/>
      <c r="AZ482" s="626">
        <v>0</v>
      </c>
      <c r="BA482" s="626">
        <v>0</v>
      </c>
      <c r="BB482" s="293">
        <f t="shared" si="1404"/>
        <v>0</v>
      </c>
      <c r="BC482" s="293"/>
      <c r="BD482" s="626">
        <v>-3</v>
      </c>
      <c r="BE482" s="626">
        <v>0</v>
      </c>
      <c r="BF482" s="293">
        <f t="shared" si="1405"/>
        <v>-3</v>
      </c>
      <c r="BG482" s="293"/>
      <c r="BH482" s="626">
        <v>0</v>
      </c>
      <c r="BI482" s="626">
        <v>0</v>
      </c>
      <c r="BJ482" s="293">
        <f t="shared" si="1406"/>
        <v>0</v>
      </c>
      <c r="BK482" s="487"/>
      <c r="BL482" s="626">
        <v>0</v>
      </c>
      <c r="BM482" s="626">
        <v>0</v>
      </c>
      <c r="BN482" s="293">
        <f t="shared" si="1407"/>
        <v>0</v>
      </c>
      <c r="BO482" s="487"/>
      <c r="BP482" s="626">
        <v>0</v>
      </c>
      <c r="BQ482" s="626">
        <v>0</v>
      </c>
      <c r="BR482" s="293">
        <f t="shared" si="1408"/>
        <v>0</v>
      </c>
      <c r="BS482" s="487"/>
      <c r="BT482" s="626">
        <v>0</v>
      </c>
      <c r="BU482" s="626">
        <v>1</v>
      </c>
      <c r="BV482" s="293">
        <f t="shared" si="1409"/>
        <v>1</v>
      </c>
      <c r="BW482" s="293"/>
      <c r="BX482" s="626">
        <v>1</v>
      </c>
      <c r="BY482" s="626">
        <v>0</v>
      </c>
      <c r="BZ482" s="293">
        <f t="shared" si="1410"/>
        <v>1</v>
      </c>
      <c r="CA482" s="293"/>
      <c r="CB482" s="626">
        <v>0</v>
      </c>
      <c r="CC482" s="626">
        <v>-4</v>
      </c>
      <c r="CD482" s="293">
        <f t="shared" si="1411"/>
        <v>-4</v>
      </c>
      <c r="CE482" s="293"/>
      <c r="CF482" s="626"/>
      <c r="CG482" s="626"/>
      <c r="CH482" s="293"/>
      <c r="CI482" s="293"/>
      <c r="CJ482" s="626"/>
      <c r="CK482" s="626"/>
      <c r="CL482" s="293"/>
      <c r="CM482" s="293"/>
      <c r="CN482" s="1238"/>
      <c r="CO482" s="626"/>
      <c r="CP482" s="293"/>
      <c r="CQ482" s="293"/>
      <c r="CR482" s="1238"/>
      <c r="CS482" s="1238"/>
      <c r="CT482" s="293"/>
      <c r="CU482" s="293"/>
      <c r="CV482" s="1238"/>
      <c r="CW482" s="1238"/>
      <c r="CX482" s="293"/>
      <c r="CY482" s="293"/>
      <c r="CZ482" s="1238"/>
      <c r="DA482" s="1238"/>
      <c r="DB482" s="293"/>
      <c r="DC482" s="293"/>
      <c r="DD482" s="1238"/>
      <c r="DE482" s="1238"/>
      <c r="DF482" s="293"/>
      <c r="DG482" s="293"/>
      <c r="DH482" s="1238"/>
      <c r="DI482" s="1238"/>
      <c r="DJ482" s="293"/>
      <c r="DK482" s="293"/>
      <c r="DL482" s="1238"/>
      <c r="DM482" s="1238"/>
      <c r="DN482" s="293"/>
      <c r="DO482" s="293"/>
      <c r="DP482" s="1238"/>
      <c r="DQ482" s="1238"/>
      <c r="DR482" s="293"/>
      <c r="DS482" s="293"/>
      <c r="DT482" s="293"/>
      <c r="DU482" s="293"/>
      <c r="DV482" s="293"/>
      <c r="DW482" s="1198" t="s">
        <v>174</v>
      </c>
      <c r="DX482" s="293"/>
      <c r="DY482" s="293"/>
      <c r="DZ482" s="293"/>
      <c r="EA482" s="293"/>
      <c r="EB482" s="293"/>
      <c r="EC482" s="293"/>
      <c r="ED482" s="293"/>
      <c r="EE482" s="293"/>
      <c r="EF482" s="293"/>
      <c r="EG482" s="293"/>
      <c r="EH482" s="293"/>
      <c r="EI482" s="293"/>
      <c r="EJ482" s="293"/>
      <c r="EK482" s="293"/>
      <c r="EL482" s="293"/>
      <c r="EM482" s="293"/>
      <c r="EN482" s="293"/>
      <c r="EO482" s="293"/>
      <c r="EP482" s="293"/>
      <c r="EQ482" s="293"/>
      <c r="ER482" s="293"/>
      <c r="ES482" s="293"/>
      <c r="ET482" s="293"/>
      <c r="EU482" s="293"/>
      <c r="JW482"/>
    </row>
    <row r="483" spans="1:283" s="1203" customFormat="1" hidden="1" outlineLevel="1">
      <c r="A483" s="1203" t="s">
        <v>653</v>
      </c>
      <c r="AN483" s="695">
        <f>SUM(AN481:AN482)</f>
        <v>0</v>
      </c>
      <c r="AO483" s="695">
        <f>SUM(AO481:AO482)</f>
        <v>0</v>
      </c>
      <c r="AP483" s="695">
        <f>AN483+AO483</f>
        <v>0</v>
      </c>
      <c r="AQ483" s="695"/>
      <c r="AR483" s="695">
        <f>SUM(AR481:AR482)</f>
        <v>-10</v>
      </c>
      <c r="AS483" s="695">
        <f>SUM(AS481:AS482)</f>
        <v>-5</v>
      </c>
      <c r="AT483" s="695">
        <f>AR483+AS483</f>
        <v>-15</v>
      </c>
      <c r="AU483" s="695"/>
      <c r="AV483" s="695">
        <f>SUM(AV481:AV482)</f>
        <v>129</v>
      </c>
      <c r="AW483" s="695">
        <f>SUM(AW481:AW482)</f>
        <v>126</v>
      </c>
      <c r="AX483" s="695">
        <f>AV483+AW483</f>
        <v>255</v>
      </c>
      <c r="AY483" s="695"/>
      <c r="AZ483" s="695">
        <f>SUM(AZ481:AZ482)</f>
        <v>246</v>
      </c>
      <c r="BA483" s="695">
        <f>SUM(BA481:BA482)</f>
        <v>328</v>
      </c>
      <c r="BB483" s="695">
        <f t="shared" si="1404"/>
        <v>574</v>
      </c>
      <c r="BC483" s="695"/>
      <c r="BD483" s="695">
        <f>SUM(BD481:BD482)</f>
        <v>357.50333000000001</v>
      </c>
      <c r="BE483" s="695">
        <f>SUM(BE481:BE482)</f>
        <v>340</v>
      </c>
      <c r="BF483" s="695">
        <f t="shared" si="1405"/>
        <v>697.50333000000001</v>
      </c>
      <c r="BG483" s="695"/>
      <c r="BH483" s="695">
        <f>SUM(BH481:BH482)</f>
        <v>335</v>
      </c>
      <c r="BI483" s="695">
        <f>SUM(BI481:BI482)</f>
        <v>359</v>
      </c>
      <c r="BJ483" s="695">
        <f t="shared" si="1406"/>
        <v>694</v>
      </c>
      <c r="BK483" s="1204"/>
      <c r="BL483" s="695">
        <f>SUM(BL481:BL482)</f>
        <v>396</v>
      </c>
      <c r="BM483" s="695">
        <f>SUM(BM481:BM482)</f>
        <v>430</v>
      </c>
      <c r="BN483" s="695">
        <f t="shared" si="1407"/>
        <v>826</v>
      </c>
      <c r="BO483" s="1204"/>
      <c r="BP483" s="695">
        <f>SUM(BP481:BP482)</f>
        <v>468</v>
      </c>
      <c r="BQ483" s="695">
        <f>SUM(BQ481:BQ482)</f>
        <v>644</v>
      </c>
      <c r="BR483" s="695">
        <f t="shared" si="1408"/>
        <v>1112</v>
      </c>
      <c r="BS483" s="1239">
        <f>+BR483/BN483-1</f>
        <v>0.34624697336561749</v>
      </c>
      <c r="BT483" s="695">
        <f>SUM(BT481:BT482)</f>
        <v>611</v>
      </c>
      <c r="BU483" s="695">
        <f>SUM(BU481:BU482)</f>
        <v>519</v>
      </c>
      <c r="BV483" s="695">
        <f t="shared" si="1409"/>
        <v>1130</v>
      </c>
      <c r="BW483" s="1239">
        <f>+BV483/BR483-1</f>
        <v>1.618705035971213E-2</v>
      </c>
      <c r="BX483" s="695">
        <f>SUM(BX481:BX482)</f>
        <v>521</v>
      </c>
      <c r="BY483" s="695">
        <f>SUM(BY481:BY482)</f>
        <v>677</v>
      </c>
      <c r="BZ483" s="695">
        <f t="shared" si="1410"/>
        <v>1198</v>
      </c>
      <c r="CA483" s="1239">
        <f>+BZ483/BV483-1</f>
        <v>6.0176991150442394E-2</v>
      </c>
      <c r="CB483" s="695">
        <f>SUM(CB481:CB482)</f>
        <v>565</v>
      </c>
      <c r="CC483" s="695">
        <f>SUM(CC481:CC482)</f>
        <v>575</v>
      </c>
      <c r="CD483" s="695">
        <f t="shared" si="1411"/>
        <v>1140</v>
      </c>
      <c r="CE483" s="1239">
        <f>+CD483/BZ483-1</f>
        <v>-4.8414023372287174E-2</v>
      </c>
      <c r="CF483" s="695"/>
      <c r="CG483" s="695"/>
      <c r="CH483" s="695"/>
      <c r="CI483" s="1239"/>
      <c r="CJ483" s="695"/>
      <c r="CK483" s="695"/>
      <c r="CL483" s="695"/>
      <c r="CM483" s="1239"/>
      <c r="CN483" s="695"/>
      <c r="CO483" s="695"/>
      <c r="CP483" s="695"/>
      <c r="CQ483" s="1239"/>
      <c r="CR483" s="695"/>
      <c r="CS483" s="695"/>
      <c r="CT483" s="695"/>
      <c r="CU483" s="1239"/>
      <c r="CV483" s="695"/>
      <c r="CW483" s="695"/>
      <c r="CX483" s="695"/>
      <c r="CY483" s="1239"/>
      <c r="CZ483" s="695"/>
      <c r="DA483" s="695"/>
      <c r="DB483" s="695"/>
      <c r="DC483" s="1239"/>
      <c r="DD483" s="695"/>
      <c r="DE483" s="695"/>
      <c r="DF483" s="695"/>
      <c r="DG483" s="1239"/>
      <c r="DH483" s="695"/>
      <c r="DI483" s="695"/>
      <c r="DJ483" s="695"/>
      <c r="DK483" s="1239"/>
      <c r="DL483" s="695"/>
      <c r="DM483" s="695"/>
      <c r="DN483" s="695"/>
      <c r="DO483" s="1239"/>
      <c r="DP483" s="695"/>
      <c r="DQ483" s="695"/>
      <c r="DR483" s="695"/>
      <c r="DS483" s="1239"/>
      <c r="DT483" s="1239"/>
      <c r="DU483" s="1239"/>
      <c r="DV483" s="1239"/>
      <c r="DW483" s="1205"/>
      <c r="DX483" s="695"/>
      <c r="DY483" s="695"/>
      <c r="DZ483" s="695"/>
      <c r="EA483" s="695"/>
      <c r="EB483" s="695"/>
      <c r="EC483" s="695"/>
      <c r="ED483" s="695"/>
      <c r="EE483" s="695"/>
      <c r="EF483" s="695"/>
      <c r="EG483" s="695"/>
      <c r="EH483" s="695"/>
      <c r="EI483" s="695"/>
      <c r="EJ483" s="695"/>
      <c r="EK483" s="695"/>
      <c r="EL483" s="695"/>
      <c r="EM483" s="695"/>
      <c r="EN483" s="695"/>
      <c r="EO483" s="695"/>
      <c r="EP483" s="695"/>
      <c r="EQ483" s="695"/>
      <c r="ER483" s="695"/>
      <c r="ES483" s="695"/>
      <c r="ET483" s="695"/>
      <c r="EU483" s="695"/>
      <c r="JW483"/>
    </row>
    <row r="484" spans="1:283" hidden="1" outlineLevel="1">
      <c r="BV484" s="293"/>
      <c r="BY484" s="293"/>
      <c r="BZ484" s="293"/>
      <c r="CC484" s="293"/>
      <c r="CD484" s="293"/>
      <c r="CG484" s="293"/>
      <c r="CH484" s="293"/>
      <c r="CK484" s="293"/>
      <c r="CL484" s="293"/>
      <c r="CO484" s="293"/>
      <c r="CP484" s="293"/>
      <c r="CR484" s="103"/>
      <c r="CS484" s="103"/>
      <c r="CT484" s="103"/>
      <c r="CV484" s="103"/>
      <c r="CW484" s="103"/>
      <c r="CX484" s="103"/>
      <c r="CZ484" s="103"/>
      <c r="DA484" s="103"/>
      <c r="DB484" s="103"/>
      <c r="DD484" s="103"/>
      <c r="DE484" s="103"/>
      <c r="DF484" s="103"/>
      <c r="DH484" s="103"/>
      <c r="DI484" s="103"/>
      <c r="DJ484" s="103"/>
      <c r="DL484" s="103"/>
      <c r="DM484" s="103"/>
      <c r="DN484" s="103"/>
      <c r="DP484" s="103"/>
      <c r="DQ484" s="103"/>
      <c r="DR484" s="103"/>
      <c r="EV484" s="103"/>
      <c r="EW484" s="103"/>
      <c r="EX484" s="103"/>
      <c r="EY484" s="103"/>
      <c r="EZ484" s="103"/>
      <c r="FA484" s="103"/>
      <c r="FB484" s="103"/>
      <c r="FC484" s="103"/>
      <c r="FD484" s="103"/>
      <c r="FE484" s="103"/>
      <c r="FF484" s="103"/>
      <c r="FG484" s="103"/>
      <c r="FH484" s="103"/>
      <c r="FI484" s="103"/>
      <c r="FJ484" s="103"/>
      <c r="FK484" s="103"/>
      <c r="FL484" s="103"/>
      <c r="FM484" s="103"/>
      <c r="FN484" s="103"/>
      <c r="FO484" s="103"/>
      <c r="FP484" s="103"/>
      <c r="FQ484" s="103"/>
      <c r="FR484" s="103"/>
      <c r="FS484" s="103"/>
      <c r="FT484" s="103"/>
      <c r="FU484" s="103"/>
      <c r="FV484" s="103"/>
      <c r="FW484" s="103"/>
      <c r="FX484" s="103"/>
      <c r="FY484" s="103"/>
      <c r="FZ484" s="103"/>
      <c r="GA484" s="103"/>
      <c r="GB484" s="103"/>
      <c r="GC484" s="103"/>
      <c r="GD484" s="103"/>
      <c r="GE484" s="103"/>
      <c r="GF484" s="103"/>
      <c r="GG484" s="103"/>
      <c r="GH484" s="103"/>
      <c r="GI484" s="103"/>
      <c r="GJ484" s="103"/>
      <c r="GK484" s="103"/>
      <c r="GL484" s="103"/>
      <c r="GM484" s="103"/>
      <c r="GN484" s="103"/>
      <c r="GO484" s="103"/>
      <c r="GP484" s="103"/>
      <c r="GQ484" s="103"/>
      <c r="GR484" s="103"/>
      <c r="GS484" s="103"/>
      <c r="GT484" s="103"/>
      <c r="GU484" s="103"/>
      <c r="GV484" s="103"/>
      <c r="GW484" s="103"/>
      <c r="GX484" s="103"/>
      <c r="GY484" s="103"/>
      <c r="GZ484" s="103"/>
      <c r="HA484" s="103"/>
      <c r="HB484" s="103"/>
      <c r="HC484" s="103"/>
      <c r="HD484" s="103"/>
      <c r="HE484" s="103"/>
      <c r="HF484" s="103"/>
      <c r="HG484" s="103"/>
      <c r="HH484" s="103"/>
      <c r="HI484" s="103"/>
      <c r="HJ484" s="103"/>
      <c r="HK484" s="103"/>
      <c r="HL484" s="103"/>
      <c r="HM484" s="103"/>
      <c r="HN484" s="103"/>
      <c r="HO484" s="103"/>
      <c r="HP484" s="103"/>
      <c r="HQ484" s="103"/>
      <c r="HR484" s="103"/>
      <c r="HS484" s="103"/>
      <c r="HT484" s="103"/>
      <c r="HU484" s="103"/>
      <c r="HV484" s="103"/>
      <c r="HW484" s="103"/>
      <c r="HX484" s="103"/>
      <c r="HY484" s="103"/>
      <c r="HZ484" s="103"/>
      <c r="IA484" s="103"/>
      <c r="IB484" s="103"/>
      <c r="IC484" s="103"/>
      <c r="ID484" s="103"/>
      <c r="IE484" s="103"/>
      <c r="IF484" s="103"/>
      <c r="IG484" s="103"/>
      <c r="IH484" s="103"/>
      <c r="II484" s="103"/>
      <c r="IJ484" s="103"/>
      <c r="IK484" s="103"/>
      <c r="IL484" s="103"/>
      <c r="IM484" s="103"/>
      <c r="IN484" s="103"/>
      <c r="IO484" s="103"/>
      <c r="IP484" s="103"/>
      <c r="IQ484" s="103"/>
      <c r="IR484" s="103"/>
      <c r="IS484" s="103"/>
      <c r="IT484" s="103"/>
      <c r="IU484" s="103"/>
      <c r="IV484" s="103"/>
      <c r="IW484" s="103"/>
      <c r="IX484" s="103"/>
      <c r="IY484" s="103"/>
      <c r="IZ484" s="103"/>
      <c r="JA484" s="103"/>
      <c r="JB484" s="103"/>
      <c r="JC484" s="103"/>
      <c r="JD484" s="103"/>
      <c r="JE484" s="103"/>
      <c r="JF484" s="103"/>
      <c r="JG484" s="103"/>
      <c r="JH484" s="103"/>
      <c r="JI484" s="103"/>
      <c r="JJ484" s="103"/>
      <c r="JK484" s="103"/>
      <c r="JL484" s="103"/>
      <c r="JM484" s="103"/>
      <c r="JN484" s="103"/>
      <c r="JO484" s="103"/>
      <c r="JP484" s="103"/>
      <c r="JQ484" s="103"/>
      <c r="JR484" s="103"/>
      <c r="JS484" s="103"/>
      <c r="JT484" s="103"/>
      <c r="JU484" s="103"/>
      <c r="JV484" s="103"/>
    </row>
    <row r="485" spans="1:283" s="332" customFormat="1" hidden="1" outlineLevel="1">
      <c r="A485" s="1092" t="s">
        <v>835</v>
      </c>
      <c r="AN485" s="293"/>
      <c r="AO485" s="293"/>
      <c r="AP485" s="293"/>
      <c r="AQ485" s="293"/>
      <c r="AR485" s="293"/>
      <c r="AS485" s="293"/>
      <c r="AT485" s="293"/>
      <c r="AU485" s="293"/>
      <c r="AV485" s="293"/>
      <c r="AW485" s="293"/>
      <c r="AX485" s="293"/>
      <c r="AY485" s="293"/>
      <c r="AZ485" s="293"/>
      <c r="BA485" s="293"/>
      <c r="BB485" s="293"/>
      <c r="BC485" s="293"/>
      <c r="BD485" s="293"/>
      <c r="BE485" s="293"/>
      <c r="BF485" s="293"/>
      <c r="BG485" s="293"/>
      <c r="BH485" s="293"/>
      <c r="BI485" s="293"/>
      <c r="BJ485" s="293"/>
      <c r="BK485" s="293"/>
      <c r="BL485" s="293"/>
      <c r="BM485" s="293"/>
      <c r="BN485" s="293"/>
      <c r="BO485" s="293"/>
      <c r="BP485" s="293"/>
      <c r="BQ485" s="293"/>
      <c r="BR485" s="293"/>
      <c r="BS485" s="293"/>
      <c r="BT485" s="293"/>
      <c r="BU485" s="293"/>
      <c r="BV485" s="293"/>
      <c r="BW485" s="293"/>
      <c r="BX485" s="293"/>
      <c r="BY485" s="293"/>
      <c r="BZ485" s="293"/>
      <c r="CA485" s="320"/>
      <c r="CB485" s="293"/>
      <c r="CC485" s="293"/>
      <c r="CD485" s="360"/>
      <c r="CE485" s="293"/>
      <c r="CF485" s="293"/>
      <c r="CG485" s="293"/>
      <c r="CH485" s="360"/>
      <c r="CI485" s="293"/>
      <c r="CJ485" s="293"/>
      <c r="CK485" s="293"/>
      <c r="CL485" s="360"/>
      <c r="CM485" s="293"/>
      <c r="CN485" s="293"/>
      <c r="CO485" s="293"/>
      <c r="CP485" s="360"/>
      <c r="CQ485" s="293"/>
      <c r="CR485" s="293"/>
      <c r="CS485" s="293"/>
      <c r="CT485" s="293"/>
      <c r="CU485" s="293"/>
      <c r="CV485" s="293"/>
      <c r="CW485" s="293"/>
      <c r="CX485" s="293"/>
      <c r="CY485" s="293"/>
      <c r="CZ485" s="293"/>
      <c r="DA485" s="293"/>
      <c r="DB485" s="293"/>
      <c r="DC485" s="293"/>
      <c r="DD485" s="293"/>
      <c r="DE485" s="293"/>
      <c r="DF485" s="293"/>
      <c r="DG485" s="293"/>
      <c r="DH485" s="293"/>
      <c r="DI485" s="293"/>
      <c r="DJ485" s="293"/>
      <c r="DK485" s="293"/>
      <c r="DL485" s="293"/>
      <c r="DM485" s="293"/>
      <c r="DN485" s="293"/>
      <c r="DO485" s="293"/>
      <c r="DP485" s="293"/>
      <c r="DQ485" s="293"/>
      <c r="DR485" s="293"/>
      <c r="DS485" s="293"/>
      <c r="DT485" s="293"/>
      <c r="DU485" s="293"/>
      <c r="DV485" s="293"/>
      <c r="DW485" s="293"/>
      <c r="DX485" s="293"/>
      <c r="DY485" s="293"/>
      <c r="DZ485" s="293"/>
      <c r="EA485" s="293"/>
      <c r="EB485" s="293"/>
      <c r="EC485" s="293"/>
      <c r="ED485" s="293"/>
      <c r="EE485" s="293"/>
      <c r="EF485" s="293"/>
      <c r="EG485" s="293"/>
      <c r="EH485" s="293"/>
      <c r="EI485" s="293"/>
      <c r="EJ485" s="293"/>
      <c r="EK485" s="293"/>
      <c r="EL485" s="293"/>
      <c r="EM485" s="293"/>
      <c r="EN485" s="293"/>
      <c r="EO485" s="293"/>
      <c r="EP485" s="293"/>
      <c r="EQ485" s="293"/>
      <c r="ER485" s="293"/>
      <c r="ES485" s="293"/>
      <c r="ET485" s="293"/>
      <c r="EU485" s="293"/>
      <c r="JW485"/>
    </row>
    <row r="486" spans="1:283" s="332" customFormat="1" hidden="1" outlineLevel="1">
      <c r="A486" s="1079" t="str">
        <f>+A475</f>
        <v>Total operating income</v>
      </c>
      <c r="AN486" s="293"/>
      <c r="AO486" s="293"/>
      <c r="AP486" s="293"/>
      <c r="AQ486" s="293"/>
      <c r="AR486" s="293"/>
      <c r="AS486" s="293"/>
      <c r="AT486" s="293"/>
      <c r="AU486" s="293"/>
      <c r="AV486" s="294"/>
      <c r="AW486" s="294"/>
      <c r="AX486" s="294"/>
      <c r="AY486" s="293"/>
      <c r="AZ486" s="294">
        <f>AZ475/AV475-1</f>
        <v>0.62978723404255321</v>
      </c>
      <c r="BA486" s="294">
        <f>BA475/AW475-1</f>
        <v>1.1434782608695651</v>
      </c>
      <c r="BB486" s="294">
        <f>BB475/AX475-1</f>
        <v>0.88387096774193541</v>
      </c>
      <c r="BC486" s="293"/>
      <c r="BD486" s="294">
        <f>BD475/AZ475-1</f>
        <v>0.37728459530026104</v>
      </c>
      <c r="BE486" s="294">
        <f>BE475/BA475-1</f>
        <v>0.11359026369168368</v>
      </c>
      <c r="BF486" s="294">
        <f>BF475/BB475-1</f>
        <v>0.22888127853881279</v>
      </c>
      <c r="BG486" s="331"/>
      <c r="BH486" s="294">
        <f>BH475/BD475-1</f>
        <v>-3.8862559241706118E-2</v>
      </c>
      <c r="BI486" s="294">
        <f>BI475/BE475-1</f>
        <v>-7.2859744990892983E-3</v>
      </c>
      <c r="BJ486" s="294">
        <f>BJ475/BF475-1</f>
        <v>-2.2758941012540612E-2</v>
      </c>
      <c r="BK486" s="293"/>
      <c r="BL486" s="294">
        <f>BL475/BH475-1</f>
        <v>0.14003944773175547</v>
      </c>
      <c r="BM486" s="294">
        <f>BM475/BI475-1</f>
        <v>0.15412844036697249</v>
      </c>
      <c r="BN486" s="294">
        <f>BN475/BJ475-1</f>
        <v>0.14733840304182499</v>
      </c>
      <c r="BO486" s="293"/>
      <c r="BP486" s="294">
        <f>BP475/BL475-1</f>
        <v>0.19031141868512114</v>
      </c>
      <c r="BQ486" s="294">
        <f>BQ475/BM475-1</f>
        <v>0.44038155802861678</v>
      </c>
      <c r="BR486" s="294">
        <f>BR475/BN475-1</f>
        <v>0.3206296603148302</v>
      </c>
      <c r="BS486" s="293"/>
      <c r="BT486" s="294">
        <f>BT475/BP475-1</f>
        <v>0.25436046511627897</v>
      </c>
      <c r="BU486" s="294">
        <f>BU475/BQ475-1</f>
        <v>-5.0772626931567366E-2</v>
      </c>
      <c r="BV486" s="294">
        <f>BV475/BR475-1</f>
        <v>8.0928481806775476E-2</v>
      </c>
      <c r="BW486" s="293"/>
      <c r="BX486" s="294">
        <f>BX475/BT475-1</f>
        <v>-3.2444959443800658E-2</v>
      </c>
      <c r="BY486" s="294">
        <f>BY475/BU475-1</f>
        <v>0.1581395348837209</v>
      </c>
      <c r="BZ486" s="294">
        <f>BZ475/BV475-1</f>
        <v>6.268136970400473E-2</v>
      </c>
      <c r="CA486" s="293"/>
      <c r="CB486" s="294">
        <f>CB475/BX475-1</f>
        <v>3.2335329341317331E-2</v>
      </c>
      <c r="CC486" s="294">
        <f>CC475/BY475-1</f>
        <v>-8.8353413654618462E-2</v>
      </c>
      <c r="CD486" s="294">
        <f>CD475/BZ475-1</f>
        <v>-3.3315128345166589E-2</v>
      </c>
      <c r="CE486" s="293"/>
      <c r="CF486" s="294"/>
      <c r="CG486" s="294"/>
      <c r="CH486" s="294"/>
      <c r="CI486" s="293"/>
      <c r="CJ486" s="294"/>
      <c r="CK486" s="294"/>
      <c r="CL486" s="294"/>
      <c r="CM486" s="293"/>
      <c r="CN486" s="294"/>
      <c r="CO486" s="294"/>
      <c r="CP486" s="294"/>
      <c r="CQ486" s="293"/>
      <c r="CR486" s="294"/>
      <c r="CS486" s="294"/>
      <c r="CT486" s="294"/>
      <c r="CU486" s="293"/>
      <c r="CV486" s="294"/>
      <c r="CW486" s="294"/>
      <c r="CX486" s="294"/>
      <c r="CY486" s="293"/>
      <c r="CZ486" s="294"/>
      <c r="DA486" s="294"/>
      <c r="DB486" s="294"/>
      <c r="DC486" s="293"/>
      <c r="DD486" s="294"/>
      <c r="DE486" s="294"/>
      <c r="DF486" s="294"/>
      <c r="DG486" s="293"/>
      <c r="DH486" s="294"/>
      <c r="DI486" s="294"/>
      <c r="DJ486" s="294"/>
      <c r="DK486" s="293"/>
      <c r="DL486" s="294"/>
      <c r="DM486" s="294"/>
      <c r="DN486" s="294"/>
      <c r="DO486" s="293"/>
      <c r="DP486" s="294"/>
      <c r="DQ486" s="294"/>
      <c r="DR486" s="294"/>
      <c r="DS486" s="293"/>
      <c r="DT486" s="293"/>
      <c r="DU486" s="293"/>
      <c r="DV486" s="293"/>
      <c r="DW486" s="294"/>
      <c r="DX486" s="294"/>
      <c r="DY486" s="294"/>
      <c r="DZ486" s="293"/>
      <c r="EA486" s="294"/>
      <c r="EB486" s="294"/>
      <c r="EC486" s="294"/>
      <c r="ED486" s="293"/>
      <c r="EE486" s="294"/>
      <c r="EF486" s="294"/>
      <c r="EG486" s="294"/>
      <c r="EH486" s="293"/>
      <c r="EI486" s="294"/>
      <c r="EJ486" s="294"/>
      <c r="EK486" s="294"/>
      <c r="EL486" s="293"/>
      <c r="EM486" s="293"/>
      <c r="EN486" s="293"/>
      <c r="EO486" s="293"/>
      <c r="EP486" s="293"/>
      <c r="EQ486" s="293"/>
      <c r="ER486" s="293"/>
      <c r="ES486" s="293"/>
      <c r="ET486" s="293"/>
      <c r="EU486" s="293"/>
      <c r="JW486"/>
    </row>
    <row r="487" spans="1:283" s="332" customFormat="1" hidden="1" outlineLevel="1">
      <c r="A487" s="1079" t="str">
        <f>A480</f>
        <v>Total operating expenses</v>
      </c>
      <c r="AN487" s="293"/>
      <c r="AO487" s="293"/>
      <c r="AP487" s="293"/>
      <c r="AQ487" s="293"/>
      <c r="AR487" s="293"/>
      <c r="AS487" s="293"/>
      <c r="AT487" s="293"/>
      <c r="AU487" s="293"/>
      <c r="AV487" s="294"/>
      <c r="AW487" s="294"/>
      <c r="AX487" s="294"/>
      <c r="AY487" s="293"/>
      <c r="AZ487" s="294">
        <f t="shared" ref="AZ487:BB488" si="1412">AZ480/AV480-1</f>
        <v>0.30476190476190479</v>
      </c>
      <c r="BA487" s="294">
        <f t="shared" si="1412"/>
        <v>0.60194174757281549</v>
      </c>
      <c r="BB487" s="294">
        <f t="shared" si="1412"/>
        <v>0.45192307692307687</v>
      </c>
      <c r="BC487" s="293"/>
      <c r="BD487" s="294">
        <f t="shared" ref="BD487:BF488" si="1413">BD480/AZ480-1</f>
        <v>0.21895379562043793</v>
      </c>
      <c r="BE487" s="294">
        <f t="shared" si="1413"/>
        <v>0.26666666666666661</v>
      </c>
      <c r="BF487" s="294">
        <f t="shared" si="1413"/>
        <v>0.24502208609271525</v>
      </c>
      <c r="BG487" s="331"/>
      <c r="BH487" s="294">
        <f t="shared" ref="BH487:BJ488" si="1414">BH480/BD480-1</f>
        <v>2.9960657299334281E-2</v>
      </c>
      <c r="BI487" s="294">
        <f t="shared" si="1414"/>
        <v>-0.11004784688995217</v>
      </c>
      <c r="BJ487" s="294">
        <f t="shared" si="1414"/>
        <v>-4.7863907943652806E-2</v>
      </c>
      <c r="BK487" s="293"/>
      <c r="BL487" s="294">
        <f t="shared" ref="BL487:BP488" si="1415">BL480/BH480-1</f>
        <v>5.8139534883721034E-2</v>
      </c>
      <c r="BM487" s="294">
        <f t="shared" si="1415"/>
        <v>6.9892473118279508E-2</v>
      </c>
      <c r="BN487" s="294">
        <f t="shared" si="1415"/>
        <v>6.4245810055865826E-2</v>
      </c>
      <c r="BO487" s="293"/>
      <c r="BP487" s="294">
        <f t="shared" si="1415"/>
        <v>0.20879120879120872</v>
      </c>
      <c r="BQ487" s="294">
        <f>BQ480/BM480-1</f>
        <v>0.31658291457286425</v>
      </c>
      <c r="BR487" s="294">
        <f>BR480/BN480-1</f>
        <v>0.26509186351706027</v>
      </c>
      <c r="BS487" s="293"/>
      <c r="BT487" s="294">
        <f t="shared" ref="BT487:BX488" si="1416">BT480/BP480-1</f>
        <v>0.1454545454545455</v>
      </c>
      <c r="BU487" s="294">
        <f t="shared" si="1416"/>
        <v>0.30534351145038174</v>
      </c>
      <c r="BV487" s="294">
        <f t="shared" si="1416"/>
        <v>0.23236514522821583</v>
      </c>
      <c r="BW487" s="293"/>
      <c r="BX487" s="294">
        <f t="shared" si="1416"/>
        <v>0.25</v>
      </c>
      <c r="BY487" s="294">
        <f>BY480/BU480-1</f>
        <v>-6.7251461988304118E-2</v>
      </c>
      <c r="BZ487" s="294">
        <f>BZ480/BV480-1</f>
        <v>6.7340067340067256E-2</v>
      </c>
      <c r="CA487" s="293"/>
      <c r="CB487" s="294">
        <f t="shared" ref="CB487:CB488" si="1417">CB480/BX480-1</f>
        <v>-5.7142857142857162E-2</v>
      </c>
      <c r="CC487" s="294">
        <f>CC480/BY480-1</f>
        <v>3.1347962382445083E-2</v>
      </c>
      <c r="CD487" s="294">
        <f>CD480/BZ480-1</f>
        <v>-1.2618296529968487E-2</v>
      </c>
      <c r="CE487" s="293"/>
      <c r="CF487" s="294"/>
      <c r="CG487" s="294"/>
      <c r="CH487" s="294"/>
      <c r="CI487" s="293"/>
      <c r="CJ487" s="294"/>
      <c r="CK487" s="294"/>
      <c r="CL487" s="294"/>
      <c r="CM487" s="293"/>
      <c r="CN487" s="294"/>
      <c r="CO487" s="294"/>
      <c r="CP487" s="294"/>
      <c r="CQ487" s="293"/>
      <c r="CR487" s="294"/>
      <c r="CS487" s="294"/>
      <c r="CT487" s="294"/>
      <c r="CU487" s="293"/>
      <c r="CV487" s="294"/>
      <c r="CW487" s="294"/>
      <c r="CX487" s="294"/>
      <c r="CY487" s="293"/>
      <c r="CZ487" s="294"/>
      <c r="DA487" s="294"/>
      <c r="DB487" s="294"/>
      <c r="DC487" s="293"/>
      <c r="DD487" s="294"/>
      <c r="DE487" s="294"/>
      <c r="DF487" s="294"/>
      <c r="DG487" s="293"/>
      <c r="DH487" s="294"/>
      <c r="DI487" s="294"/>
      <c r="DJ487" s="294"/>
      <c r="DK487" s="293"/>
      <c r="DL487" s="294"/>
      <c r="DM487" s="294"/>
      <c r="DN487" s="294"/>
      <c r="DO487" s="293"/>
      <c r="DP487" s="294"/>
      <c r="DQ487" s="294"/>
      <c r="DR487" s="294"/>
      <c r="DS487" s="293"/>
      <c r="DT487" s="293"/>
      <c r="DU487" s="293"/>
      <c r="DV487" s="293"/>
      <c r="DW487" s="294"/>
      <c r="DX487" s="294"/>
      <c r="DY487" s="294"/>
      <c r="DZ487" s="293"/>
      <c r="EA487" s="294"/>
      <c r="EB487" s="294"/>
      <c r="EC487" s="294"/>
      <c r="ED487" s="293"/>
      <c r="EE487" s="294"/>
      <c r="EF487" s="294"/>
      <c r="EG487" s="294"/>
      <c r="EH487" s="293"/>
      <c r="EI487" s="294"/>
      <c r="EJ487" s="294"/>
      <c r="EK487" s="294"/>
      <c r="EL487" s="293"/>
      <c r="EM487" s="293"/>
      <c r="EN487" s="293"/>
      <c r="EO487" s="293"/>
      <c r="EP487" s="293"/>
      <c r="EQ487" s="293"/>
      <c r="ER487" s="293"/>
      <c r="ES487" s="293"/>
      <c r="ET487" s="293"/>
      <c r="EU487" s="293"/>
      <c r="JW487"/>
    </row>
    <row r="488" spans="1:283" s="332" customFormat="1" hidden="1" outlineLevel="1">
      <c r="A488" s="1079" t="str">
        <f>A481</f>
        <v>Profit before tax</v>
      </c>
      <c r="AN488" s="293"/>
      <c r="AO488" s="293"/>
      <c r="AP488" s="293"/>
      <c r="AQ488" s="293"/>
      <c r="AR488" s="293"/>
      <c r="AS488" s="293"/>
      <c r="AT488" s="293"/>
      <c r="AU488" s="293"/>
      <c r="AV488" s="294"/>
      <c r="AW488" s="294"/>
      <c r="AX488" s="294"/>
      <c r="AY488" s="293"/>
      <c r="AZ488" s="294">
        <f t="shared" si="1412"/>
        <v>0.89230769230769225</v>
      </c>
      <c r="BA488" s="294">
        <f t="shared" si="1412"/>
        <v>1.5826771653543306</v>
      </c>
      <c r="BB488" s="294">
        <f t="shared" si="1412"/>
        <v>1.2334630350194553</v>
      </c>
      <c r="BC488" s="293"/>
      <c r="BD488" s="294">
        <f t="shared" si="1413"/>
        <v>0.46546069105691057</v>
      </c>
      <c r="BE488" s="294">
        <f t="shared" si="1413"/>
        <v>3.6585365853658569E-2</v>
      </c>
      <c r="BF488" s="294">
        <f t="shared" si="1413"/>
        <v>0.22038907665505225</v>
      </c>
      <c r="BG488" s="331"/>
      <c r="BH488" s="294">
        <f t="shared" si="1414"/>
        <v>-7.0743673851778266E-2</v>
      </c>
      <c r="BI488" s="294">
        <f t="shared" si="1414"/>
        <v>5.5882352941176494E-2</v>
      </c>
      <c r="BJ488" s="294">
        <f t="shared" si="1414"/>
        <v>-9.2837959813838467E-3</v>
      </c>
      <c r="BK488" s="293"/>
      <c r="BL488" s="294">
        <f t="shared" si="1415"/>
        <v>0.18208955223880596</v>
      </c>
      <c r="BM488" s="294">
        <f t="shared" si="1415"/>
        <v>0.19777158774373249</v>
      </c>
      <c r="BN488" s="294">
        <f t="shared" si="1415"/>
        <v>0.19020172910662825</v>
      </c>
      <c r="BO488" s="293"/>
      <c r="BP488" s="294">
        <f t="shared" si="1415"/>
        <v>0.18181818181818188</v>
      </c>
      <c r="BQ488" s="294">
        <f>BQ481/BM481-1</f>
        <v>0.49767441860465111</v>
      </c>
      <c r="BR488" s="294">
        <f>BR481/BN481-1</f>
        <v>0.34624697336561749</v>
      </c>
      <c r="BS488" s="293"/>
      <c r="BT488" s="294">
        <f t="shared" si="1416"/>
        <v>0.30555555555555558</v>
      </c>
      <c r="BU488" s="294">
        <f t="shared" si="1416"/>
        <v>-0.19565217391304346</v>
      </c>
      <c r="BV488" s="294">
        <f t="shared" si="1416"/>
        <v>1.5287769784172678E-2</v>
      </c>
      <c r="BW488" s="293"/>
      <c r="BX488" s="294">
        <f t="shared" si="1416"/>
        <v>-0.14893617021276595</v>
      </c>
      <c r="BY488" s="294">
        <f>BY481/BU481-1</f>
        <v>0.30694980694980689</v>
      </c>
      <c r="BZ488" s="294">
        <f>BZ481/BV481-1</f>
        <v>6.0230292294065624E-2</v>
      </c>
      <c r="CA488" s="293"/>
      <c r="CB488" s="294">
        <f t="shared" si="1417"/>
        <v>8.6538461538461453E-2</v>
      </c>
      <c r="CC488" s="294">
        <f>CC481/BY481-1</f>
        <v>-0.14475627769571642</v>
      </c>
      <c r="CD488" s="294">
        <f>CD481/BZ481-1</f>
        <v>-4.4277360066833804E-2</v>
      </c>
      <c r="CE488" s="293"/>
      <c r="CF488" s="294"/>
      <c r="CG488" s="294"/>
      <c r="CH488" s="294"/>
      <c r="CI488" s="293"/>
      <c r="CJ488" s="294"/>
      <c r="CK488" s="294"/>
      <c r="CL488" s="294"/>
      <c r="CM488" s="293"/>
      <c r="CN488" s="294"/>
      <c r="CO488" s="294"/>
      <c r="CP488" s="294"/>
      <c r="CQ488" s="293"/>
      <c r="CR488" s="294"/>
      <c r="CS488" s="294"/>
      <c r="CT488" s="294"/>
      <c r="CU488" s="293"/>
      <c r="CV488" s="294"/>
      <c r="CW488" s="294"/>
      <c r="CX488" s="294"/>
      <c r="CY488" s="293"/>
      <c r="CZ488" s="294"/>
      <c r="DA488" s="294"/>
      <c r="DB488" s="294"/>
      <c r="DC488" s="293"/>
      <c r="DD488" s="294"/>
      <c r="DE488" s="294"/>
      <c r="DF488" s="294"/>
      <c r="DG488" s="293"/>
      <c r="DH488" s="294"/>
      <c r="DI488" s="294"/>
      <c r="DJ488" s="294"/>
      <c r="DK488" s="293"/>
      <c r="DL488" s="294"/>
      <c r="DM488" s="294"/>
      <c r="DN488" s="294"/>
      <c r="DO488" s="293"/>
      <c r="DP488" s="294"/>
      <c r="DQ488" s="294"/>
      <c r="DR488" s="294"/>
      <c r="DS488" s="293"/>
      <c r="DT488" s="293"/>
      <c r="DU488" s="293"/>
      <c r="DV488" s="293"/>
      <c r="DW488" s="294"/>
      <c r="DX488" s="294"/>
      <c r="DY488" s="294"/>
      <c r="DZ488" s="293"/>
      <c r="EA488" s="294"/>
      <c r="EB488" s="294"/>
      <c r="EC488" s="294"/>
      <c r="ED488" s="293"/>
      <c r="EE488" s="294"/>
      <c r="EF488" s="294"/>
      <c r="EG488" s="294"/>
      <c r="EH488" s="293"/>
      <c r="EI488" s="294"/>
      <c r="EJ488" s="294"/>
      <c r="EK488" s="294"/>
      <c r="EL488" s="293"/>
      <c r="EM488" s="293"/>
      <c r="EN488" s="293"/>
      <c r="EO488" s="293"/>
      <c r="EP488" s="293"/>
      <c r="EQ488" s="293"/>
      <c r="ER488" s="293"/>
      <c r="ES488" s="293"/>
      <c r="ET488" s="293"/>
      <c r="EU488" s="293"/>
      <c r="JW488"/>
    </row>
    <row r="489" spans="1:283" s="332" customFormat="1" hidden="1" outlineLevel="1">
      <c r="A489" s="1079"/>
      <c r="AN489" s="293"/>
      <c r="AO489" s="293"/>
      <c r="AP489" s="293"/>
      <c r="AQ489" s="293"/>
      <c r="AR489" s="293"/>
      <c r="AS489" s="293"/>
      <c r="AT489" s="293"/>
      <c r="AU489" s="293"/>
      <c r="AV489" s="294"/>
      <c r="AW489" s="294"/>
      <c r="AX489" s="294"/>
      <c r="AY489" s="293"/>
      <c r="AZ489" s="294"/>
      <c r="BA489" s="294"/>
      <c r="BB489" s="294"/>
      <c r="BC489" s="293"/>
      <c r="BD489" s="294"/>
      <c r="BE489" s="294"/>
      <c r="BF489" s="294"/>
      <c r="BG489" s="331"/>
      <c r="BH489" s="294"/>
      <c r="BI489" s="294"/>
      <c r="BJ489" s="294"/>
      <c r="BK489" s="293"/>
      <c r="BL489" s="294"/>
      <c r="BM489" s="294"/>
      <c r="BN489" s="294"/>
      <c r="BO489" s="293"/>
      <c r="BP489" s="294"/>
      <c r="BQ489" s="294"/>
      <c r="BR489" s="294"/>
      <c r="BS489" s="293"/>
      <c r="BT489" s="294"/>
      <c r="BU489" s="294"/>
      <c r="BV489" s="294"/>
      <c r="BW489" s="293"/>
      <c r="BX489" s="294"/>
      <c r="BY489" s="294"/>
      <c r="BZ489" s="294"/>
      <c r="CA489" s="293"/>
      <c r="CB489" s="294"/>
      <c r="CC489" s="294"/>
      <c r="CD489" s="294"/>
      <c r="CE489" s="293"/>
      <c r="CF489" s="294"/>
      <c r="CG489" s="294"/>
      <c r="CH489" s="294"/>
      <c r="CI489" s="293"/>
      <c r="CJ489" s="294"/>
      <c r="CK489" s="294"/>
      <c r="CL489" s="294"/>
      <c r="CM489" s="293"/>
      <c r="CN489" s="294"/>
      <c r="CO489" s="294"/>
      <c r="CP489" s="294"/>
      <c r="CQ489" s="293"/>
      <c r="CR489" s="294"/>
      <c r="CS489" s="294"/>
      <c r="CT489" s="294"/>
      <c r="CU489" s="293"/>
      <c r="CV489" s="294"/>
      <c r="CW489" s="294"/>
      <c r="CX489" s="294"/>
      <c r="CY489" s="293"/>
      <c r="CZ489" s="294"/>
      <c r="DA489" s="294"/>
      <c r="DB489" s="294"/>
      <c r="DC489" s="293"/>
      <c r="DD489" s="294"/>
      <c r="DE489" s="294"/>
      <c r="DF489" s="294"/>
      <c r="DG489" s="293"/>
      <c r="DH489" s="294"/>
      <c r="DI489" s="294"/>
      <c r="DJ489" s="294"/>
      <c r="DK489" s="293"/>
      <c r="DL489" s="294"/>
      <c r="DM489" s="294"/>
      <c r="DN489" s="294"/>
      <c r="DO489" s="293"/>
      <c r="DP489" s="294"/>
      <c r="DQ489" s="294"/>
      <c r="DR489" s="294"/>
      <c r="DS489" s="293"/>
      <c r="DT489" s="293"/>
      <c r="DU489" s="293"/>
      <c r="DV489" s="293"/>
      <c r="DW489" s="294"/>
      <c r="DX489" s="294"/>
      <c r="DY489" s="294"/>
      <c r="DZ489" s="293"/>
      <c r="EA489" s="294"/>
      <c r="EB489" s="294"/>
      <c r="EC489" s="294"/>
      <c r="ED489" s="293"/>
      <c r="EE489" s="294"/>
      <c r="EF489" s="294"/>
      <c r="EG489" s="294"/>
      <c r="EH489" s="293"/>
      <c r="EI489" s="294"/>
      <c r="EJ489" s="294"/>
      <c r="EK489" s="294"/>
      <c r="EL489" s="293"/>
      <c r="EM489" s="293"/>
      <c r="EN489" s="293"/>
      <c r="EO489" s="293"/>
      <c r="EP489" s="293"/>
      <c r="EQ489" s="293"/>
      <c r="ER489" s="293"/>
      <c r="ES489" s="293"/>
      <c r="ET489" s="293"/>
      <c r="EU489" s="293"/>
      <c r="JW489"/>
    </row>
    <row r="490" spans="1:283" s="332" customFormat="1" hidden="1" outlineLevel="1">
      <c r="A490" s="1207" t="s">
        <v>1141</v>
      </c>
      <c r="AN490" s="293"/>
      <c r="AO490" s="293"/>
      <c r="AP490" s="293"/>
      <c r="AQ490" s="293"/>
      <c r="AR490" s="293"/>
      <c r="AS490" s="293"/>
      <c r="AT490" s="293"/>
      <c r="AU490" s="293"/>
      <c r="AV490" s="294"/>
      <c r="AW490" s="294"/>
      <c r="AX490" s="294"/>
      <c r="AY490" s="293"/>
      <c r="AZ490" s="294"/>
      <c r="BA490" s="294"/>
      <c r="BB490" s="294"/>
      <c r="BC490" s="293"/>
      <c r="BD490" s="294"/>
      <c r="BE490" s="294"/>
      <c r="BF490" s="294"/>
      <c r="BG490" s="331"/>
      <c r="BH490" s="294"/>
      <c r="BI490" s="294"/>
      <c r="BJ490" s="294"/>
      <c r="BK490" s="293"/>
      <c r="BL490" s="294"/>
      <c r="BM490" s="294"/>
      <c r="BN490" s="294"/>
      <c r="BO490" s="293"/>
      <c r="BP490" s="294"/>
      <c r="BQ490" s="294"/>
      <c r="BR490" s="294"/>
      <c r="BS490" s="293"/>
      <c r="BT490" s="294"/>
      <c r="BU490" s="294"/>
      <c r="BV490" s="294"/>
      <c r="BW490" s="293"/>
      <c r="BX490" s="294"/>
      <c r="BY490" s="294"/>
      <c r="BZ490" s="294"/>
      <c r="CA490" s="293"/>
      <c r="CB490" s="294"/>
      <c r="CC490" s="294"/>
      <c r="CD490" s="294"/>
      <c r="CE490" s="293"/>
      <c r="CF490" s="294"/>
      <c r="CG490" s="294"/>
      <c r="CH490" s="294"/>
      <c r="CI490" s="293"/>
      <c r="CJ490" s="294"/>
      <c r="CK490" s="294"/>
      <c r="CL490" s="294"/>
      <c r="CM490" s="293"/>
      <c r="CN490" s="294"/>
      <c r="CO490" s="294"/>
      <c r="CP490" s="294"/>
      <c r="CQ490" s="293"/>
      <c r="CR490" s="294"/>
      <c r="CS490" s="294"/>
      <c r="CT490" s="294"/>
      <c r="CU490" s="293"/>
      <c r="CV490" s="294"/>
      <c r="CW490" s="294"/>
      <c r="CX490" s="294"/>
      <c r="CY490" s="293"/>
      <c r="CZ490" s="294"/>
      <c r="DA490" s="294"/>
      <c r="DB490" s="294"/>
      <c r="DC490" s="293"/>
      <c r="DD490" s="294"/>
      <c r="DE490" s="294"/>
      <c r="DF490" s="294"/>
      <c r="DG490" s="293"/>
      <c r="DH490" s="294"/>
      <c r="DI490" s="294"/>
      <c r="DJ490" s="294"/>
      <c r="DK490" s="293"/>
      <c r="DL490" s="294"/>
      <c r="DM490" s="294"/>
      <c r="DN490" s="294"/>
      <c r="DO490" s="293"/>
      <c r="DP490" s="294"/>
      <c r="DQ490" s="294"/>
      <c r="DR490" s="294"/>
      <c r="DS490" s="293"/>
      <c r="DT490" s="293"/>
      <c r="DU490" s="293"/>
      <c r="DV490" s="293"/>
      <c r="DW490" s="294"/>
      <c r="DX490" s="294"/>
      <c r="DY490" s="294"/>
      <c r="DZ490" s="293"/>
      <c r="EA490" s="294"/>
      <c r="EB490" s="294"/>
      <c r="EC490" s="294"/>
      <c r="ED490" s="293"/>
      <c r="EE490" s="294"/>
      <c r="EF490" s="294"/>
      <c r="EG490" s="294"/>
      <c r="EH490" s="293"/>
      <c r="EI490" s="294"/>
      <c r="EJ490" s="294"/>
      <c r="EK490" s="294"/>
      <c r="EL490" s="293"/>
      <c r="EM490" s="293"/>
      <c r="EN490" s="293"/>
      <c r="EO490" s="293"/>
      <c r="EP490" s="293"/>
      <c r="EQ490" s="293"/>
      <c r="ER490" s="293"/>
      <c r="ES490" s="293"/>
      <c r="ET490" s="293"/>
      <c r="EU490" s="293"/>
      <c r="JW490"/>
    </row>
    <row r="491" spans="1:283" s="332" customFormat="1" hidden="1" outlineLevel="1">
      <c r="A491" s="332" t="s">
        <v>1136</v>
      </c>
      <c r="AN491" s="293"/>
      <c r="AO491" s="293"/>
      <c r="AP491" s="293"/>
      <c r="AQ491" s="293"/>
      <c r="AR491" s="293"/>
      <c r="AS491" s="293"/>
      <c r="AT491" s="293"/>
      <c r="AU491" s="293"/>
      <c r="AV491" s="293">
        <f t="shared" ref="AV491:AW491" si="1418">AV516+66%*AV469+AV470+AV515+AV474/2</f>
        <v>154.60000000000002</v>
      </c>
      <c r="AW491" s="293">
        <f t="shared" si="1418"/>
        <v>189.52</v>
      </c>
      <c r="AX491" s="293">
        <f t="shared" ref="AX491:AX492" si="1419">SUM(AV491:AW491)</f>
        <v>344.12</v>
      </c>
      <c r="AY491" s="293"/>
      <c r="AZ491" s="293">
        <f t="shared" ref="AZ491:BA491" si="1420">AZ516+66%*AZ469+AZ470+AZ515+AZ474/2</f>
        <v>245.82000000000002</v>
      </c>
      <c r="BA491" s="293">
        <f t="shared" si="1420"/>
        <v>373.44</v>
      </c>
      <c r="BB491" s="293">
        <f t="shared" ref="BB491:BB492" si="1421">SUM(AZ491:BA491)</f>
        <v>619.26</v>
      </c>
      <c r="BC491" s="293"/>
      <c r="BD491" s="293">
        <f t="shared" ref="BD491:BE491" si="1422">BD516+66%*BD469+BD470+BD515+BD474/2</f>
        <v>395.36</v>
      </c>
      <c r="BE491" s="293">
        <f t="shared" si="1422"/>
        <v>421.20000000000005</v>
      </c>
      <c r="BF491" s="293">
        <f t="shared" ref="BF491:BF492" si="1423">SUM(BD491:BE491)</f>
        <v>816.56000000000006</v>
      </c>
      <c r="BG491" s="293"/>
      <c r="BH491" s="293">
        <f t="shared" ref="BH491:BI491" si="1424">BH516+66%*BH469+BH470+BH515+BH474/2</f>
        <v>386.65999999999997</v>
      </c>
      <c r="BI491" s="293">
        <f t="shared" si="1424"/>
        <v>455.48</v>
      </c>
      <c r="BJ491" s="293">
        <f t="shared" ref="BJ491:BJ492" si="1425">SUM(BH491:BI491)</f>
        <v>842.14</v>
      </c>
      <c r="BK491" s="293"/>
      <c r="BL491" s="293">
        <f t="shared" ref="BL491:BM491" si="1426">BL516+66%*BL469+BL470+BL515+BL474/2</f>
        <v>448.82000000000005</v>
      </c>
      <c r="BM491" s="293">
        <f t="shared" si="1426"/>
        <v>552.26</v>
      </c>
      <c r="BN491" s="293">
        <f t="shared" ref="BN491:BN492" si="1427">SUM(BL491:BM491)</f>
        <v>1001.08</v>
      </c>
      <c r="BO491" s="293"/>
      <c r="BP491" s="293">
        <f t="shared" ref="BP491:BQ491" si="1428">BP516+66%*BP469+BP470+BP515+BP474/2</f>
        <v>503.15999999999997</v>
      </c>
      <c r="BQ491" s="293">
        <f t="shared" si="1428"/>
        <v>716.76</v>
      </c>
      <c r="BR491" s="293">
        <f t="shared" ref="BR491:BR492" si="1429">SUM(BP491:BQ491)</f>
        <v>1219.92</v>
      </c>
      <c r="BS491" s="293"/>
      <c r="BT491" s="293">
        <f t="shared" ref="BT491:BU491" si="1430">BT516+66%*BT469+BT470+BT515+BT474/2</f>
        <v>699.6</v>
      </c>
      <c r="BU491" s="293">
        <f t="shared" si="1430"/>
        <v>806.07999999999993</v>
      </c>
      <c r="BV491" s="293">
        <f t="shared" ref="BV491:BV492" si="1431">SUM(BT491:BU491)</f>
        <v>1505.6799999999998</v>
      </c>
      <c r="BW491" s="293"/>
      <c r="BX491" s="293">
        <f t="shared" ref="BX491:BY491" si="1432">BX516+66%*BX469+BX470+BX515+BX474/2</f>
        <v>738.14</v>
      </c>
      <c r="BY491" s="293">
        <f t="shared" si="1432"/>
        <v>724.78</v>
      </c>
      <c r="BZ491" s="293">
        <f t="shared" ref="BZ491:BZ492" si="1433">SUM(BX491:BY491)</f>
        <v>1462.92</v>
      </c>
      <c r="CA491" s="293"/>
      <c r="CB491" s="293">
        <f>CB516+66%*CB469+CB470+CB515+CB474/2</f>
        <v>652.54</v>
      </c>
      <c r="CC491" s="293">
        <f>CC516+66%*CC469+CC470+CC515+CC474/2</f>
        <v>582.70000000000005</v>
      </c>
      <c r="CD491" s="293">
        <f>SUM(CB491:CC491)</f>
        <v>1235.24</v>
      </c>
      <c r="CE491" s="293"/>
      <c r="CF491" s="293"/>
      <c r="CG491" s="293"/>
      <c r="CH491" s="293"/>
      <c r="CI491" s="293"/>
      <c r="CJ491" s="293"/>
      <c r="CK491" s="293"/>
      <c r="CL491" s="293"/>
      <c r="CM491" s="293"/>
      <c r="CN491" s="293"/>
      <c r="CO491" s="293"/>
      <c r="CP491" s="293"/>
      <c r="CQ491" s="293"/>
      <c r="CR491" s="293"/>
      <c r="CS491" s="293"/>
      <c r="CT491" s="293"/>
      <c r="CU491" s="293"/>
      <c r="CV491" s="293"/>
      <c r="CW491" s="293"/>
      <c r="CX491" s="293"/>
      <c r="CY491" s="293"/>
      <c r="CZ491" s="293"/>
      <c r="DA491" s="293"/>
      <c r="DB491" s="293"/>
      <c r="DC491" s="293"/>
      <c r="DD491" s="293"/>
      <c r="DE491" s="293"/>
      <c r="DF491" s="293"/>
      <c r="DG491" s="293"/>
      <c r="DH491" s="293"/>
      <c r="DI491" s="293"/>
      <c r="DJ491" s="293"/>
      <c r="DK491" s="293"/>
      <c r="DL491" s="293"/>
      <c r="DM491" s="293"/>
      <c r="DN491" s="293"/>
      <c r="DO491" s="293"/>
      <c r="DP491" s="293"/>
      <c r="DQ491" s="293"/>
      <c r="DR491" s="293"/>
      <c r="DS491" s="293"/>
      <c r="DT491" s="293"/>
      <c r="DU491" s="293"/>
      <c r="DV491" s="293"/>
      <c r="DW491" s="294"/>
      <c r="DX491" s="294"/>
      <c r="DY491" s="294"/>
      <c r="DZ491" s="293"/>
      <c r="EA491" s="294"/>
      <c r="EB491" s="294"/>
      <c r="EC491" s="294"/>
      <c r="ED491" s="293"/>
      <c r="EE491" s="294"/>
      <c r="EF491" s="294"/>
      <c r="EG491" s="294"/>
      <c r="EH491" s="293"/>
      <c r="EI491" s="294"/>
      <c r="EJ491" s="294"/>
      <c r="EK491" s="294"/>
      <c r="EL491" s="293"/>
      <c r="EM491" s="293"/>
      <c r="EN491" s="293"/>
      <c r="EO491" s="293"/>
      <c r="EP491" s="293"/>
      <c r="EQ491" s="293"/>
      <c r="ER491" s="293"/>
      <c r="ES491" s="293"/>
      <c r="ET491" s="293"/>
      <c r="EU491" s="293"/>
      <c r="JW491"/>
    </row>
    <row r="492" spans="1:283" s="332" customFormat="1" hidden="1" outlineLevel="1">
      <c r="A492" s="332" t="s">
        <v>1137</v>
      </c>
      <c r="AN492" s="293"/>
      <c r="AO492" s="293"/>
      <c r="AP492" s="293"/>
      <c r="AQ492" s="293"/>
      <c r="AR492" s="293"/>
      <c r="AS492" s="293"/>
      <c r="AT492" s="293"/>
      <c r="AU492" s="293"/>
      <c r="AV492" s="293">
        <f t="shared" ref="AV492:AW492" si="1434">AV469*34%+AV471+AV472+AV511+AV512+AV513+AV514+SUM(AV517:AV524)+AV474/2</f>
        <v>80.400000000000006</v>
      </c>
      <c r="AW492" s="293">
        <f t="shared" si="1434"/>
        <v>40.480000000000004</v>
      </c>
      <c r="AX492" s="293">
        <f t="shared" si="1419"/>
        <v>120.88000000000001</v>
      </c>
      <c r="AY492" s="293"/>
      <c r="AZ492" s="293">
        <f t="shared" ref="AZ492:BA492" si="1435">AZ469*34%+AZ471+AZ472+AZ511+AZ512+AZ513+AZ514+SUM(AZ517:AZ524)+AZ474/2</f>
        <v>137.18</v>
      </c>
      <c r="BA492" s="293">
        <f t="shared" si="1435"/>
        <v>119.56</v>
      </c>
      <c r="BB492" s="293">
        <f t="shared" si="1421"/>
        <v>256.74</v>
      </c>
      <c r="BC492" s="293"/>
      <c r="BD492" s="293">
        <f t="shared" ref="BD492:BE492" si="1436">BD469*34%+BD471+BD472+BD511+BD512+BD513+BD514+SUM(BD517:BD524)+BD474/2</f>
        <v>132.13999999999999</v>
      </c>
      <c r="BE492" s="293">
        <f t="shared" si="1436"/>
        <v>127.80000000000001</v>
      </c>
      <c r="BF492" s="293">
        <f t="shared" si="1423"/>
        <v>259.94</v>
      </c>
      <c r="BG492" s="293"/>
      <c r="BH492" s="293">
        <f t="shared" ref="BH492:BI492" si="1437">BH469*34%+BH471+BH472+BH511+BH512+BH513+BH514+SUM(BH517:BH524)+BH474/2</f>
        <v>120.34</v>
      </c>
      <c r="BI492" s="293">
        <f t="shared" si="1437"/>
        <v>89.52000000000001</v>
      </c>
      <c r="BJ492" s="293">
        <f t="shared" si="1425"/>
        <v>209.86</v>
      </c>
      <c r="BK492" s="293"/>
      <c r="BL492" s="293">
        <f t="shared" ref="BL492:BM492" si="1438">BL469*34%+BL471+BL472+BL511+BL512+BL513+BL514+SUM(BL517:BL524)+BL474/2</f>
        <v>129.18</v>
      </c>
      <c r="BM492" s="293">
        <f t="shared" si="1438"/>
        <v>76.740000000000009</v>
      </c>
      <c r="BN492" s="293">
        <f t="shared" si="1427"/>
        <v>205.92000000000002</v>
      </c>
      <c r="BO492" s="293"/>
      <c r="BP492" s="293">
        <f t="shared" ref="BP492:BQ492" si="1439">BP469*34%+BP471+BP472+BP511+BP512+BP513+BP514+SUM(BP517:BP524)+BP474/2</f>
        <v>184.84</v>
      </c>
      <c r="BQ492" s="293">
        <f t="shared" si="1439"/>
        <v>189.24</v>
      </c>
      <c r="BR492" s="293">
        <f t="shared" si="1429"/>
        <v>374.08000000000004</v>
      </c>
      <c r="BS492" s="293"/>
      <c r="BT492" s="293">
        <f t="shared" ref="BT492:BU492" si="1440">BT469*34%+BT471+BT472+BT511+BT512+BT513+BT514+SUM(BT517:BT524)+BT474/2</f>
        <v>163.4</v>
      </c>
      <c r="BU492" s="293">
        <f t="shared" si="1440"/>
        <v>53.920000000000016</v>
      </c>
      <c r="BV492" s="293">
        <f t="shared" si="1431"/>
        <v>217.32000000000002</v>
      </c>
      <c r="BW492" s="293"/>
      <c r="BX492" s="293">
        <f t="shared" ref="BX492:BY492" si="1441">BX469*34%+BX471+BX472+BX511+BX512+BX513+BX514+SUM(BX517:BX524)+BX474/2</f>
        <v>96.860000000000014</v>
      </c>
      <c r="BY492" s="293">
        <f t="shared" si="1441"/>
        <v>271.22000000000003</v>
      </c>
      <c r="BZ492" s="293">
        <f t="shared" si="1433"/>
        <v>368.08000000000004</v>
      </c>
      <c r="CA492" s="293"/>
      <c r="CB492" s="293">
        <f>CB469*34%+CB471+CB472+CB511+CB512+CB513+CB514+SUM(CB517:CB524)+CB474/2</f>
        <v>209.46</v>
      </c>
      <c r="CC492" s="293">
        <f>CC469*34%+CC471+CC472+CC511+CC512+CC513+CC514+SUM(CC517:CC524)+CC474/2</f>
        <v>325.3</v>
      </c>
      <c r="CD492" s="293">
        <f>SUM(CB492:CC492)</f>
        <v>534.76</v>
      </c>
      <c r="CE492" s="293"/>
      <c r="CF492" s="293"/>
      <c r="CG492" s="293"/>
      <c r="CH492" s="293"/>
      <c r="CI492" s="293"/>
      <c r="CJ492" s="293"/>
      <c r="CK492" s="293"/>
      <c r="CL492" s="293"/>
      <c r="CM492" s="293"/>
      <c r="CN492" s="293"/>
      <c r="CO492" s="293"/>
      <c r="CP492" s="293"/>
      <c r="CQ492" s="293"/>
      <c r="CR492" s="293"/>
      <c r="CS492" s="293"/>
      <c r="CT492" s="293"/>
      <c r="CU492" s="293"/>
      <c r="CV492" s="293"/>
      <c r="CW492" s="293"/>
      <c r="CX492" s="293"/>
      <c r="CY492" s="293"/>
      <c r="CZ492" s="293"/>
      <c r="DA492" s="293"/>
      <c r="DB492" s="293"/>
      <c r="DC492" s="293"/>
      <c r="DD492" s="293"/>
      <c r="DE492" s="293"/>
      <c r="DF492" s="293"/>
      <c r="DG492" s="293"/>
      <c r="DH492" s="293"/>
      <c r="DI492" s="293"/>
      <c r="DJ492" s="293"/>
      <c r="DK492" s="293"/>
      <c r="DL492" s="293"/>
      <c r="DM492" s="293"/>
      <c r="DN492" s="293"/>
      <c r="DO492" s="293"/>
      <c r="DP492" s="293"/>
      <c r="DQ492" s="293"/>
      <c r="DR492" s="293"/>
      <c r="DS492" s="293"/>
      <c r="DT492" s="293"/>
      <c r="DU492" s="293"/>
      <c r="DV492" s="293"/>
      <c r="DW492" s="294"/>
      <c r="DX492" s="294"/>
      <c r="DY492" s="294"/>
      <c r="DZ492" s="293"/>
      <c r="EA492" s="294"/>
      <c r="EB492" s="294"/>
      <c r="EC492" s="294"/>
      <c r="ED492" s="293"/>
      <c r="EE492" s="294"/>
      <c r="EF492" s="294"/>
      <c r="EG492" s="294"/>
      <c r="EH492" s="293"/>
      <c r="EI492" s="294"/>
      <c r="EJ492" s="294"/>
      <c r="EK492" s="294"/>
      <c r="EL492" s="293"/>
      <c r="EM492" s="293"/>
      <c r="EN492" s="293"/>
      <c r="EO492" s="293"/>
      <c r="EP492" s="293"/>
      <c r="EQ492" s="293"/>
      <c r="ER492" s="293"/>
      <c r="ES492" s="293"/>
      <c r="ET492" s="293"/>
      <c r="EU492" s="293"/>
      <c r="JW492"/>
    </row>
    <row r="493" spans="1:283" s="332" customFormat="1" hidden="1" outlineLevel="1">
      <c r="A493" s="332" t="s">
        <v>1139</v>
      </c>
      <c r="AN493" s="293"/>
      <c r="AO493" s="293"/>
      <c r="AP493" s="293"/>
      <c r="AQ493" s="293"/>
      <c r="AR493" s="293"/>
      <c r="AS493" s="293"/>
      <c r="AT493" s="293"/>
      <c r="AU493" s="293"/>
      <c r="AV493" s="360">
        <f t="shared" ref="AV493:AX493" si="1442">AV491/AV$475</f>
        <v>0.657872340425532</v>
      </c>
      <c r="AW493" s="360">
        <f t="shared" si="1442"/>
        <v>0.82400000000000007</v>
      </c>
      <c r="AX493" s="360">
        <f t="shared" si="1442"/>
        <v>0.74004301075268819</v>
      </c>
      <c r="AY493" s="293"/>
      <c r="AZ493" s="360">
        <f t="shared" ref="AZ493:BB493" si="1443">AZ491/AZ$475</f>
        <v>0.64182767624020898</v>
      </c>
      <c r="BA493" s="360">
        <f t="shared" si="1443"/>
        <v>0.75748478701825561</v>
      </c>
      <c r="BB493" s="360">
        <f t="shared" si="1443"/>
        <v>0.70691780821917805</v>
      </c>
      <c r="BC493" s="293"/>
      <c r="BD493" s="360">
        <f t="shared" ref="BD493:BF493" si="1444">BD491/BD$475</f>
        <v>0.74949763033175354</v>
      </c>
      <c r="BE493" s="360">
        <f t="shared" si="1444"/>
        <v>0.76721311475409848</v>
      </c>
      <c r="BF493" s="360">
        <f t="shared" si="1444"/>
        <v>0.75853228053878319</v>
      </c>
      <c r="BG493" s="293"/>
      <c r="BH493" s="360">
        <f t="shared" ref="BH493:BJ493" si="1445">BH491/BH$475</f>
        <v>0.76264299802761337</v>
      </c>
      <c r="BI493" s="360">
        <f t="shared" si="1445"/>
        <v>0.83574311926605505</v>
      </c>
      <c r="BJ493" s="360">
        <f t="shared" si="1445"/>
        <v>0.80051330798479081</v>
      </c>
      <c r="BK493" s="293"/>
      <c r="BL493" s="360">
        <f t="shared" ref="BL493:BN493" si="1446">BL491/BL$475</f>
        <v>0.77650519031141874</v>
      </c>
      <c r="BM493" s="360">
        <f t="shared" si="1446"/>
        <v>0.87799682034976156</v>
      </c>
      <c r="BN493" s="360">
        <f t="shared" si="1446"/>
        <v>0.82939519469759737</v>
      </c>
      <c r="BO493" s="293"/>
      <c r="BP493" s="360">
        <f t="shared" ref="BP493:BR493" si="1447">BP491/BP$475</f>
        <v>0.73133720930232549</v>
      </c>
      <c r="BQ493" s="360">
        <f t="shared" si="1447"/>
        <v>0.79112582781456953</v>
      </c>
      <c r="BR493" s="360">
        <f t="shared" si="1447"/>
        <v>0.7653199498117943</v>
      </c>
      <c r="BS493" s="293"/>
      <c r="BT493" s="360">
        <f t="shared" ref="BT493:BV493" si="1448">BT491/BT$475</f>
        <v>0.81066048667439172</v>
      </c>
      <c r="BU493" s="360">
        <f t="shared" si="1448"/>
        <v>0.93730232558139526</v>
      </c>
      <c r="BV493" s="360">
        <f t="shared" si="1448"/>
        <v>0.87387115496227497</v>
      </c>
      <c r="BW493" s="293"/>
      <c r="BX493" s="360">
        <f t="shared" ref="BX493:BZ493" si="1449">BX491/BX$475</f>
        <v>0.88400000000000001</v>
      </c>
      <c r="BY493" s="360">
        <f t="shared" si="1449"/>
        <v>0.72769076305220881</v>
      </c>
      <c r="BZ493" s="360">
        <f t="shared" si="1449"/>
        <v>0.79897323866739489</v>
      </c>
      <c r="CA493" s="293"/>
      <c r="CB493" s="360">
        <f>CB491/CB$475</f>
        <v>0.75700696055684447</v>
      </c>
      <c r="CC493" s="360">
        <f t="shared" ref="CC493:CD493" si="1450">CC491/CC$475</f>
        <v>0.64174008810572691</v>
      </c>
      <c r="CD493" s="360">
        <f t="shared" si="1450"/>
        <v>0.69787570621468931</v>
      </c>
      <c r="CE493" s="293"/>
      <c r="CF493" s="360"/>
      <c r="CG493" s="360"/>
      <c r="CH493" s="360"/>
      <c r="CI493" s="293"/>
      <c r="CJ493" s="360"/>
      <c r="CK493" s="360"/>
      <c r="CL493" s="360"/>
      <c r="CM493" s="293"/>
      <c r="CN493" s="360"/>
      <c r="CO493" s="360"/>
      <c r="CP493" s="360"/>
      <c r="CQ493" s="293"/>
      <c r="CR493" s="360"/>
      <c r="CS493" s="360"/>
      <c r="CT493" s="360"/>
      <c r="CU493" s="293"/>
      <c r="CV493" s="360"/>
      <c r="CW493" s="360"/>
      <c r="CX493" s="360"/>
      <c r="CY493" s="293"/>
      <c r="CZ493" s="360"/>
      <c r="DA493" s="360"/>
      <c r="DB493" s="360"/>
      <c r="DC493" s="293"/>
      <c r="DD493" s="360"/>
      <c r="DE493" s="360"/>
      <c r="DF493" s="360"/>
      <c r="DG493" s="293"/>
      <c r="DH493" s="360"/>
      <c r="DI493" s="360"/>
      <c r="DJ493" s="360"/>
      <c r="DK493" s="293"/>
      <c r="DL493" s="360"/>
      <c r="DM493" s="360"/>
      <c r="DN493" s="360"/>
      <c r="DO493" s="293"/>
      <c r="DP493" s="360"/>
      <c r="DQ493" s="360"/>
      <c r="DR493" s="360"/>
      <c r="DS493" s="293"/>
      <c r="DT493" s="293"/>
      <c r="DU493" s="293"/>
      <c r="DV493" s="293"/>
      <c r="DW493" s="294"/>
      <c r="DX493" s="294"/>
      <c r="DY493" s="294"/>
      <c r="DZ493" s="293"/>
      <c r="EA493" s="294"/>
      <c r="EB493" s="294"/>
      <c r="EC493" s="294"/>
      <c r="ED493" s="293"/>
      <c r="EE493" s="294"/>
      <c r="EF493" s="294"/>
      <c r="EG493" s="294"/>
      <c r="EH493" s="293"/>
      <c r="EI493" s="294"/>
      <c r="EJ493" s="294"/>
      <c r="EK493" s="294"/>
      <c r="EL493" s="293"/>
      <c r="EM493" s="293"/>
      <c r="EN493" s="293"/>
      <c r="EO493" s="293"/>
      <c r="EP493" s="293"/>
      <c r="EQ493" s="293"/>
      <c r="ER493" s="293"/>
      <c r="ES493" s="293"/>
      <c r="ET493" s="293"/>
      <c r="EU493" s="293"/>
      <c r="JW493"/>
    </row>
    <row r="494" spans="1:283" s="332" customFormat="1" hidden="1" outlineLevel="1">
      <c r="A494" s="332" t="s">
        <v>1140</v>
      </c>
      <c r="AN494" s="293"/>
      <c r="AO494" s="293"/>
      <c r="AP494" s="293"/>
      <c r="AQ494" s="293"/>
      <c r="AR494" s="293"/>
      <c r="AS494" s="293"/>
      <c r="AT494" s="293"/>
      <c r="AU494" s="293"/>
      <c r="AV494" s="360">
        <f t="shared" ref="AV494:AX494" si="1451">AV492/AV$475</f>
        <v>0.34212765957446811</v>
      </c>
      <c r="AW494" s="360">
        <f t="shared" si="1451"/>
        <v>0.17600000000000002</v>
      </c>
      <c r="AX494" s="360">
        <f t="shared" si="1451"/>
        <v>0.25995698924731186</v>
      </c>
      <c r="AY494" s="293"/>
      <c r="AZ494" s="360">
        <f t="shared" ref="AZ494:BB494" si="1452">AZ492/AZ$475</f>
        <v>0.35817232375979113</v>
      </c>
      <c r="BA494" s="360">
        <f t="shared" si="1452"/>
        <v>0.24251521298174442</v>
      </c>
      <c r="BB494" s="360">
        <f t="shared" si="1452"/>
        <v>0.29308219178082195</v>
      </c>
      <c r="BC494" s="293"/>
      <c r="BD494" s="360">
        <f t="shared" ref="BD494:BF494" si="1453">BD492/BD$475</f>
        <v>0.25050236966824641</v>
      </c>
      <c r="BE494" s="360">
        <f t="shared" si="1453"/>
        <v>0.23278688524590166</v>
      </c>
      <c r="BF494" s="360">
        <f t="shared" si="1453"/>
        <v>0.2414677194612169</v>
      </c>
      <c r="BG494" s="293"/>
      <c r="BH494" s="360">
        <f t="shared" ref="BH494:BJ494" si="1454">BH492/BH$475</f>
        <v>0.2373570019723866</v>
      </c>
      <c r="BI494" s="360">
        <f t="shared" si="1454"/>
        <v>0.16425688073394498</v>
      </c>
      <c r="BJ494" s="360">
        <f t="shared" si="1454"/>
        <v>0.19948669201520913</v>
      </c>
      <c r="BK494" s="293"/>
      <c r="BL494" s="360">
        <f t="shared" ref="BL494:BN494" si="1455">BL492/BL$475</f>
        <v>0.22349480968858132</v>
      </c>
      <c r="BM494" s="360">
        <f t="shared" si="1455"/>
        <v>0.12200317965023849</v>
      </c>
      <c r="BN494" s="360">
        <f t="shared" si="1455"/>
        <v>0.17060480530240266</v>
      </c>
      <c r="BO494" s="293"/>
      <c r="BP494" s="360">
        <f t="shared" ref="BP494:BR494" si="1456">BP492/BP$475</f>
        <v>0.2686627906976744</v>
      </c>
      <c r="BQ494" s="360">
        <f t="shared" si="1456"/>
        <v>0.20887417218543047</v>
      </c>
      <c r="BR494" s="360">
        <f t="shared" si="1456"/>
        <v>0.23468005018820579</v>
      </c>
      <c r="BS494" s="293"/>
      <c r="BT494" s="360">
        <f t="shared" ref="BT494:BV494" si="1457">BT492/BT$475</f>
        <v>0.18933951332560836</v>
      </c>
      <c r="BU494" s="360">
        <f t="shared" si="1457"/>
        <v>6.2697674418604674E-2</v>
      </c>
      <c r="BV494" s="360">
        <f t="shared" si="1457"/>
        <v>0.12612884503772492</v>
      </c>
      <c r="BW494" s="293"/>
      <c r="BX494" s="360">
        <f t="shared" ref="BX494:BZ494" si="1458">BX492/BX$475</f>
        <v>0.11600000000000002</v>
      </c>
      <c r="BY494" s="360">
        <f t="shared" si="1458"/>
        <v>0.27230923694779119</v>
      </c>
      <c r="BZ494" s="360">
        <f t="shared" si="1458"/>
        <v>0.20102676133260516</v>
      </c>
      <c r="CA494" s="293"/>
      <c r="CB494" s="360">
        <f>CB492/CB$475</f>
        <v>0.24299303944315545</v>
      </c>
      <c r="CC494" s="360">
        <f t="shared" ref="CC494:CD494" si="1459">CC492/CC$475</f>
        <v>0.35825991189427314</v>
      </c>
      <c r="CD494" s="360">
        <f t="shared" si="1459"/>
        <v>0.30212429378531075</v>
      </c>
      <c r="CE494" s="293"/>
      <c r="CF494" s="360"/>
      <c r="CG494" s="360"/>
      <c r="CH494" s="360"/>
      <c r="CI494" s="293"/>
      <c r="CJ494" s="360"/>
      <c r="CK494" s="360"/>
      <c r="CL494" s="360"/>
      <c r="CM494" s="293"/>
      <c r="CN494" s="360"/>
      <c r="CO494" s="360"/>
      <c r="CP494" s="360"/>
      <c r="CQ494" s="293"/>
      <c r="CR494" s="360"/>
      <c r="CS494" s="360"/>
      <c r="CT494" s="360"/>
      <c r="CU494" s="293"/>
      <c r="CV494" s="360"/>
      <c r="CW494" s="360"/>
      <c r="CX494" s="360"/>
      <c r="CY494" s="293"/>
      <c r="CZ494" s="360"/>
      <c r="DA494" s="360"/>
      <c r="DB494" s="360"/>
      <c r="DC494" s="293"/>
      <c r="DD494" s="360"/>
      <c r="DE494" s="360"/>
      <c r="DF494" s="360"/>
      <c r="DG494" s="293"/>
      <c r="DH494" s="360"/>
      <c r="DI494" s="360"/>
      <c r="DJ494" s="360"/>
      <c r="DK494" s="293"/>
      <c r="DL494" s="360"/>
      <c r="DM494" s="360"/>
      <c r="DN494" s="360"/>
      <c r="DO494" s="293"/>
      <c r="DP494" s="360"/>
      <c r="DQ494" s="360"/>
      <c r="DR494" s="360"/>
      <c r="DS494" s="293"/>
      <c r="DT494" s="293"/>
      <c r="DU494" s="293"/>
      <c r="DV494" s="293"/>
      <c r="DW494" s="294"/>
      <c r="DX494" s="294"/>
      <c r="DY494" s="294"/>
      <c r="DZ494" s="293"/>
      <c r="EA494" s="294"/>
      <c r="EB494" s="294"/>
      <c r="EC494" s="294"/>
      <c r="ED494" s="293"/>
      <c r="EE494" s="294"/>
      <c r="EF494" s="294"/>
      <c r="EG494" s="294"/>
      <c r="EH494" s="293"/>
      <c r="EI494" s="294"/>
      <c r="EJ494" s="294"/>
      <c r="EK494" s="294"/>
      <c r="EL494" s="293"/>
      <c r="EM494" s="293"/>
      <c r="EN494" s="293"/>
      <c r="EO494" s="293"/>
      <c r="EP494" s="293"/>
      <c r="EQ494" s="293"/>
      <c r="ER494" s="293"/>
      <c r="ES494" s="293"/>
      <c r="ET494" s="293"/>
      <c r="EU494" s="293"/>
      <c r="JW494"/>
    </row>
    <row r="495" spans="1:283" s="332" customFormat="1" hidden="1" outlineLevel="1">
      <c r="AN495" s="293"/>
      <c r="AO495" s="293"/>
      <c r="AP495" s="293"/>
      <c r="AQ495" s="293"/>
      <c r="AR495" s="293"/>
      <c r="AS495" s="293"/>
      <c r="AT495" s="293"/>
      <c r="AU495" s="293"/>
      <c r="AV495" s="817">
        <f t="shared" ref="AV495" si="1460">AV494+AV493</f>
        <v>1</v>
      </c>
      <c r="AW495" s="817">
        <f t="shared" ref="AW495" si="1461">AW494+AW493</f>
        <v>1</v>
      </c>
      <c r="AX495" s="817">
        <f t="shared" ref="AX495" si="1462">AX494+AX493</f>
        <v>1</v>
      </c>
      <c r="AY495" s="293"/>
      <c r="AZ495" s="817">
        <f t="shared" ref="AZ495" si="1463">AZ494+AZ493</f>
        <v>1</v>
      </c>
      <c r="BA495" s="817">
        <f t="shared" ref="BA495" si="1464">BA494+BA493</f>
        <v>1</v>
      </c>
      <c r="BB495" s="817">
        <f t="shared" ref="BB495" si="1465">BB494+BB493</f>
        <v>1</v>
      </c>
      <c r="BC495" s="293"/>
      <c r="BD495" s="817">
        <f t="shared" ref="BD495" si="1466">BD494+BD493</f>
        <v>1</v>
      </c>
      <c r="BE495" s="817">
        <f t="shared" ref="BE495" si="1467">BE494+BE493</f>
        <v>1.0000000000000002</v>
      </c>
      <c r="BF495" s="817">
        <f t="shared" ref="BF495" si="1468">BF494+BF493</f>
        <v>1</v>
      </c>
      <c r="BG495" s="293"/>
      <c r="BH495" s="817">
        <f t="shared" ref="BH495" si="1469">BH494+BH493</f>
        <v>1</v>
      </c>
      <c r="BI495" s="817">
        <f t="shared" ref="BI495" si="1470">BI494+BI493</f>
        <v>1</v>
      </c>
      <c r="BJ495" s="817">
        <f t="shared" ref="BJ495" si="1471">BJ494+BJ493</f>
        <v>1</v>
      </c>
      <c r="BK495" s="293"/>
      <c r="BL495" s="817">
        <f t="shared" ref="BL495" si="1472">BL494+BL493</f>
        <v>1</v>
      </c>
      <c r="BM495" s="817">
        <f t="shared" ref="BM495" si="1473">BM494+BM493</f>
        <v>1</v>
      </c>
      <c r="BN495" s="817">
        <f t="shared" ref="BN495" si="1474">BN494+BN493</f>
        <v>1</v>
      </c>
      <c r="BO495" s="293"/>
      <c r="BP495" s="817">
        <f t="shared" ref="BP495" si="1475">BP494+BP493</f>
        <v>0.99999999999999989</v>
      </c>
      <c r="BQ495" s="817">
        <f t="shared" ref="BQ495" si="1476">BQ494+BQ493</f>
        <v>1</v>
      </c>
      <c r="BR495" s="817">
        <f t="shared" ref="BR495" si="1477">BR494+BR493</f>
        <v>1</v>
      </c>
      <c r="BS495" s="293"/>
      <c r="BT495" s="817">
        <f t="shared" ref="BT495" si="1478">BT494+BT493</f>
        <v>1</v>
      </c>
      <c r="BU495" s="817">
        <f t="shared" ref="BU495" si="1479">BU494+BU493</f>
        <v>0.99999999999999989</v>
      </c>
      <c r="BV495" s="817">
        <f t="shared" ref="BV495" si="1480">BV494+BV493</f>
        <v>0.99999999999999989</v>
      </c>
      <c r="BW495" s="293"/>
      <c r="BX495" s="817">
        <f t="shared" ref="BX495" si="1481">BX494+BX493</f>
        <v>1</v>
      </c>
      <c r="BY495" s="817">
        <f t="shared" ref="BY495" si="1482">BY494+BY493</f>
        <v>1</v>
      </c>
      <c r="BZ495" s="817">
        <f t="shared" ref="BZ495" si="1483">BZ494+BZ493</f>
        <v>1</v>
      </c>
      <c r="CA495" s="293"/>
      <c r="CB495" s="817">
        <f>CB494+CB493</f>
        <v>0.99999999999999989</v>
      </c>
      <c r="CC495" s="817">
        <f t="shared" ref="CC495:CD495" si="1484">CC494+CC493</f>
        <v>1</v>
      </c>
      <c r="CD495" s="817">
        <f t="shared" si="1484"/>
        <v>1</v>
      </c>
      <c r="CE495" s="293"/>
      <c r="CF495" s="817"/>
      <c r="CG495" s="817"/>
      <c r="CH495" s="817"/>
      <c r="CI495" s="293"/>
      <c r="CJ495" s="817"/>
      <c r="CK495" s="817"/>
      <c r="CL495" s="817"/>
      <c r="CM495" s="293"/>
      <c r="CN495" s="817"/>
      <c r="CO495" s="817"/>
      <c r="CP495" s="817"/>
      <c r="CQ495" s="293"/>
      <c r="CR495" s="817"/>
      <c r="CS495" s="817"/>
      <c r="CT495" s="817"/>
      <c r="CU495" s="293"/>
      <c r="CV495" s="817"/>
      <c r="CW495" s="817"/>
      <c r="CX495" s="817"/>
      <c r="CY495" s="293"/>
      <c r="CZ495" s="817"/>
      <c r="DA495" s="817"/>
      <c r="DB495" s="817"/>
      <c r="DC495" s="293"/>
      <c r="DD495" s="817"/>
      <c r="DE495" s="817"/>
      <c r="DF495" s="817"/>
      <c r="DG495" s="293"/>
      <c r="DH495" s="817"/>
      <c r="DI495" s="817"/>
      <c r="DJ495" s="817"/>
      <c r="DK495" s="293"/>
      <c r="DL495" s="817"/>
      <c r="DM495" s="817"/>
      <c r="DN495" s="817"/>
      <c r="DO495" s="293"/>
      <c r="DP495" s="817"/>
      <c r="DQ495" s="817"/>
      <c r="DR495" s="817"/>
      <c r="DS495" s="293"/>
      <c r="DT495" s="293"/>
      <c r="DU495" s="293"/>
      <c r="DV495" s="293"/>
      <c r="DW495" s="294"/>
      <c r="DX495" s="294"/>
      <c r="DY495" s="294"/>
      <c r="DZ495" s="293"/>
      <c r="EA495" s="294"/>
      <c r="EB495" s="294"/>
      <c r="EC495" s="294"/>
      <c r="ED495" s="293"/>
      <c r="EE495" s="294"/>
      <c r="EF495" s="294"/>
      <c r="EG495" s="294"/>
      <c r="EH495" s="293"/>
      <c r="EI495" s="294"/>
      <c r="EJ495" s="294"/>
      <c r="EK495" s="294"/>
      <c r="EL495" s="293"/>
      <c r="EM495" s="293"/>
      <c r="EN495" s="293"/>
      <c r="EO495" s="293"/>
      <c r="EP495" s="293"/>
      <c r="EQ495" s="293"/>
      <c r="ER495" s="293"/>
      <c r="ES495" s="293"/>
      <c r="ET495" s="293"/>
      <c r="EU495" s="293"/>
      <c r="JW495"/>
    </row>
    <row r="496" spans="1:283" hidden="1" outlineLevel="1">
      <c r="CR496" s="103"/>
      <c r="CS496" s="103"/>
      <c r="CT496" s="103"/>
      <c r="CV496" s="103"/>
      <c r="CW496" s="103"/>
      <c r="CX496" s="103"/>
      <c r="CZ496" s="103"/>
      <c r="DA496" s="103"/>
      <c r="DB496" s="103"/>
      <c r="DD496" s="103"/>
      <c r="DE496" s="103"/>
      <c r="DF496" s="103"/>
      <c r="DH496" s="103"/>
      <c r="DI496" s="103"/>
      <c r="DJ496" s="103"/>
      <c r="DL496" s="103"/>
      <c r="DM496" s="103"/>
      <c r="DN496" s="103"/>
      <c r="DP496" s="103"/>
      <c r="DQ496" s="103"/>
      <c r="DR496" s="103"/>
    </row>
    <row r="497" spans="1:283" s="332" customFormat="1" hidden="1" outlineLevel="1">
      <c r="A497" s="1207" t="s">
        <v>730</v>
      </c>
      <c r="AN497" s="293"/>
      <c r="AO497" s="293"/>
      <c r="AP497" s="293"/>
      <c r="AQ497" s="293"/>
      <c r="AR497" s="293"/>
      <c r="AS497" s="293"/>
      <c r="AT497" s="293"/>
      <c r="AU497" s="293"/>
      <c r="AV497" s="293"/>
      <c r="AW497" s="293"/>
      <c r="AX497" s="293"/>
      <c r="AY497" s="293"/>
      <c r="AZ497" s="293"/>
      <c r="BA497" s="293"/>
      <c r="BB497" s="293"/>
      <c r="BC497" s="293"/>
      <c r="BD497" s="293"/>
      <c r="BE497" s="293"/>
      <c r="BF497" s="293"/>
      <c r="BG497" s="293"/>
      <c r="BH497" s="293"/>
      <c r="BI497" s="293"/>
      <c r="BJ497" s="293"/>
      <c r="BK497" s="293"/>
      <c r="BL497" s="293"/>
      <c r="BM497" s="293"/>
      <c r="BN497" s="293"/>
      <c r="BO497" s="293"/>
      <c r="BP497" s="293"/>
      <c r="BQ497" s="293"/>
      <c r="BR497" s="293"/>
      <c r="BS497" s="293"/>
      <c r="BT497" s="293"/>
      <c r="BU497" s="293"/>
      <c r="BV497" s="293"/>
      <c r="BW497" s="293"/>
      <c r="BX497" s="293"/>
      <c r="BY497" s="293"/>
      <c r="BZ497" s="293"/>
      <c r="CA497" s="293"/>
      <c r="CB497" s="293"/>
      <c r="CC497" s="293"/>
      <c r="CD497" s="293"/>
      <c r="CE497" s="293"/>
      <c r="CF497" s="293"/>
      <c r="CG497" s="293"/>
      <c r="CH497" s="293"/>
      <c r="CI497" s="293"/>
      <c r="CJ497" s="293"/>
      <c r="CK497" s="293"/>
      <c r="CL497" s="293"/>
      <c r="CM497" s="293"/>
      <c r="CN497" s="293"/>
      <c r="CO497" s="293"/>
      <c r="CP497" s="293"/>
      <c r="CQ497" s="293"/>
      <c r="CR497" s="293"/>
      <c r="CS497" s="293"/>
      <c r="CT497" s="293"/>
      <c r="CU497" s="293"/>
      <c r="CV497" s="293"/>
      <c r="CW497" s="293"/>
      <c r="CX497" s="293"/>
      <c r="CY497" s="293"/>
      <c r="CZ497" s="293"/>
      <c r="DA497" s="293"/>
      <c r="DB497" s="293"/>
      <c r="DC497" s="293"/>
      <c r="DD497" s="293"/>
      <c r="DE497" s="293"/>
      <c r="DF497" s="293"/>
      <c r="DG497" s="293"/>
      <c r="DH497" s="293"/>
      <c r="DI497" s="293"/>
      <c r="DJ497" s="293"/>
      <c r="DK497" s="293"/>
      <c r="DL497" s="293"/>
      <c r="DM497" s="293"/>
      <c r="DN497" s="293"/>
      <c r="DO497" s="293"/>
      <c r="DP497" s="293"/>
      <c r="DQ497" s="293"/>
      <c r="DR497" s="293"/>
      <c r="DS497" s="293"/>
      <c r="DT497" s="293"/>
      <c r="DU497" s="293"/>
      <c r="DV497" s="293"/>
      <c r="DW497" s="293"/>
      <c r="DX497" s="293"/>
      <c r="DY497" s="293"/>
      <c r="DZ497" s="293"/>
      <c r="EA497" s="293"/>
      <c r="EB497" s="293"/>
      <c r="EC497" s="293"/>
      <c r="ED497" s="293"/>
      <c r="EE497" s="293"/>
      <c r="EF497" s="293"/>
      <c r="EG497" s="293"/>
      <c r="EH497" s="293"/>
      <c r="EI497" s="293"/>
      <c r="EJ497" s="293"/>
      <c r="EK497" s="293"/>
      <c r="EL497" s="293"/>
      <c r="EM497" s="293"/>
      <c r="EN497" s="293"/>
      <c r="EO497" s="293"/>
      <c r="EP497" s="293"/>
      <c r="EQ497" s="293"/>
      <c r="ER497" s="293"/>
      <c r="ES497" s="293"/>
      <c r="ET497" s="293"/>
      <c r="EU497" s="293"/>
      <c r="JW497"/>
    </row>
    <row r="498" spans="1:283" s="332" customFormat="1" hidden="1" outlineLevel="1">
      <c r="A498" s="332" t="s">
        <v>571</v>
      </c>
      <c r="AN498" s="492">
        <f>AN469</f>
        <v>0</v>
      </c>
      <c r="AO498" s="492">
        <f>AO469</f>
        <v>0</v>
      </c>
      <c r="AP498" s="492">
        <f>AP469</f>
        <v>0</v>
      </c>
      <c r="AQ498" s="293"/>
      <c r="AR498" s="492">
        <f>AR469</f>
        <v>48</v>
      </c>
      <c r="AS498" s="492">
        <f>AS469</f>
        <v>81</v>
      </c>
      <c r="AT498" s="492">
        <f>AT469</f>
        <v>129</v>
      </c>
      <c r="AU498" s="626"/>
      <c r="AV498" s="492">
        <f>AV469</f>
        <v>160</v>
      </c>
      <c r="AW498" s="492">
        <f>AW469</f>
        <v>222</v>
      </c>
      <c r="AX498" s="492">
        <f>AX469</f>
        <v>382</v>
      </c>
      <c r="AY498" s="293"/>
      <c r="AZ498" s="492">
        <f>AZ469</f>
        <v>277</v>
      </c>
      <c r="BA498" s="492">
        <f>BA469</f>
        <v>284</v>
      </c>
      <c r="BB498" s="492">
        <f>BB469</f>
        <v>561</v>
      </c>
      <c r="BC498" s="293"/>
      <c r="BD498" s="492">
        <f>BD469</f>
        <v>296</v>
      </c>
      <c r="BE498" s="492">
        <f>BE469</f>
        <v>295</v>
      </c>
      <c r="BF498" s="492">
        <f>BF469</f>
        <v>591</v>
      </c>
      <c r="BG498" s="360"/>
      <c r="BH498" s="492">
        <f>BH469</f>
        <v>251</v>
      </c>
      <c r="BI498" s="492">
        <f>BI469</f>
        <v>328</v>
      </c>
      <c r="BJ498" s="492">
        <f>BJ469</f>
        <v>579</v>
      </c>
      <c r="BK498" s="487"/>
      <c r="BL498" s="492">
        <f>BL469</f>
        <v>277</v>
      </c>
      <c r="BM498" s="492">
        <f>BM469</f>
        <v>386</v>
      </c>
      <c r="BN498" s="492">
        <f>BN469</f>
        <v>663</v>
      </c>
      <c r="BO498" s="487"/>
      <c r="BP498" s="492">
        <f>BP469</f>
        <v>326</v>
      </c>
      <c r="BQ498" s="492">
        <f>BQ469</f>
        <v>411</v>
      </c>
      <c r="BR498" s="492">
        <f>BR469</f>
        <v>737</v>
      </c>
      <c r="BS498" s="487"/>
      <c r="BT498" s="492">
        <f>BT469</f>
        <v>460</v>
      </c>
      <c r="BU498" s="492">
        <f>BU469</f>
        <v>388</v>
      </c>
      <c r="BV498" s="492">
        <f>BV469</f>
        <v>848</v>
      </c>
      <c r="BW498" s="293"/>
      <c r="BX498" s="492">
        <f>BX469</f>
        <v>354</v>
      </c>
      <c r="BY498" s="492">
        <f>BY469</f>
        <v>358</v>
      </c>
      <c r="BZ498" s="492">
        <f>BZ469</f>
        <v>712</v>
      </c>
      <c r="CA498" s="293"/>
      <c r="CB498" s="492">
        <f>CB469</f>
        <v>194</v>
      </c>
      <c r="CC498" s="492">
        <f>CC469</f>
        <v>95</v>
      </c>
      <c r="CD498" s="492">
        <f>CD469</f>
        <v>289</v>
      </c>
      <c r="CE498" s="293"/>
      <c r="CF498" s="492"/>
      <c r="CG498" s="492"/>
      <c r="CH498" s="492"/>
      <c r="CI498" s="293"/>
      <c r="CJ498" s="492"/>
      <c r="CK498" s="492"/>
      <c r="CL498" s="492"/>
      <c r="CM498" s="293"/>
      <c r="CN498" s="293"/>
      <c r="CO498" s="492"/>
      <c r="CP498" s="492"/>
      <c r="CQ498" s="293"/>
      <c r="CR498" s="293"/>
      <c r="CS498" s="293"/>
      <c r="CT498" s="293"/>
      <c r="CU498" s="293"/>
      <c r="CV498" s="293"/>
      <c r="CW498" s="293"/>
      <c r="CX498" s="293"/>
      <c r="CY498" s="293"/>
      <c r="CZ498" s="293"/>
      <c r="DA498" s="293"/>
      <c r="DB498" s="293"/>
      <c r="DC498" s="293"/>
      <c r="DD498" s="293"/>
      <c r="DE498" s="293"/>
      <c r="DF498" s="293"/>
      <c r="DG498" s="293"/>
      <c r="DH498" s="293"/>
      <c r="DI498" s="293"/>
      <c r="DJ498" s="293"/>
      <c r="DK498" s="293"/>
      <c r="DL498" s="293"/>
      <c r="DM498" s="293"/>
      <c r="DN498" s="293"/>
      <c r="DO498" s="293"/>
      <c r="DP498" s="293"/>
      <c r="DQ498" s="293"/>
      <c r="DR498" s="293"/>
      <c r="DS498" s="293"/>
      <c r="DT498" s="293"/>
      <c r="DU498" s="293"/>
      <c r="DV498" s="293"/>
      <c r="DW498" s="1197" t="s">
        <v>514</v>
      </c>
      <c r="DX498" s="293"/>
      <c r="DY498" s="293"/>
      <c r="DZ498" s="293"/>
      <c r="EA498" s="293"/>
      <c r="EB498" s="293"/>
      <c r="EC498" s="293"/>
      <c r="ED498" s="293"/>
      <c r="EE498" s="293"/>
      <c r="EF498" s="293"/>
      <c r="EG498" s="293"/>
      <c r="EH498" s="293"/>
      <c r="EI498" s="293"/>
      <c r="EJ498" s="293"/>
      <c r="EK498" s="293"/>
      <c r="EL498" s="293"/>
      <c r="EM498" s="293"/>
      <c r="EN498" s="293"/>
      <c r="EO498" s="293"/>
      <c r="EP498" s="293"/>
      <c r="EQ498" s="293"/>
      <c r="ER498" s="293"/>
      <c r="ES498" s="293"/>
      <c r="ET498" s="293"/>
      <c r="EU498" s="293"/>
      <c r="JW498"/>
    </row>
    <row r="499" spans="1:283" s="845" customFormat="1" hidden="1" outlineLevel="1">
      <c r="A499" s="845" t="s">
        <v>651</v>
      </c>
      <c r="AN499" s="673">
        <f>AN471</f>
        <v>0</v>
      </c>
      <c r="AO499" s="673">
        <f>AO471</f>
        <v>0</v>
      </c>
      <c r="AP499" s="673">
        <f>AP471</f>
        <v>0</v>
      </c>
      <c r="AQ499" s="303"/>
      <c r="AR499" s="673">
        <f>AR471</f>
        <v>0</v>
      </c>
      <c r="AS499" s="673">
        <f>AS471</f>
        <v>-9</v>
      </c>
      <c r="AT499" s="673">
        <f>AT471</f>
        <v>-9</v>
      </c>
      <c r="AU499" s="627"/>
      <c r="AV499" s="673">
        <f>AV471</f>
        <v>32</v>
      </c>
      <c r="AW499" s="673">
        <f>AW471</f>
        <v>9</v>
      </c>
      <c r="AX499" s="673">
        <f>AX471</f>
        <v>41</v>
      </c>
      <c r="AY499" s="627"/>
      <c r="AZ499" s="673">
        <f>AZ471</f>
        <v>0</v>
      </c>
      <c r="BA499" s="673">
        <f>BA471</f>
        <v>1</v>
      </c>
      <c r="BB499" s="673">
        <f>BB471</f>
        <v>1</v>
      </c>
      <c r="BC499" s="303"/>
      <c r="BD499" s="673">
        <f>BD471</f>
        <v>-3</v>
      </c>
      <c r="BE499" s="673">
        <f>BE471</f>
        <v>-2</v>
      </c>
      <c r="BF499" s="673">
        <f>BF471</f>
        <v>-5</v>
      </c>
      <c r="BG499" s="303"/>
      <c r="BH499" s="673">
        <f>BH471</f>
        <v>0</v>
      </c>
      <c r="BI499" s="673">
        <f>BI471</f>
        <v>0</v>
      </c>
      <c r="BJ499" s="673">
        <f>BJ471</f>
        <v>0</v>
      </c>
      <c r="BK499" s="630"/>
      <c r="BL499" s="673">
        <f>BL471</f>
        <v>0</v>
      </c>
      <c r="BM499" s="673">
        <f>BM471</f>
        <v>0</v>
      </c>
      <c r="BN499" s="673">
        <f>BN471</f>
        <v>0</v>
      </c>
      <c r="BO499" s="630"/>
      <c r="BP499" s="673">
        <f>BP471</f>
        <v>0</v>
      </c>
      <c r="BQ499" s="673">
        <f>BQ471</f>
        <v>0</v>
      </c>
      <c r="BR499" s="673">
        <f>BR471</f>
        <v>0</v>
      </c>
      <c r="BS499" s="630"/>
      <c r="BT499" s="673">
        <f>BT471</f>
        <v>0</v>
      </c>
      <c r="BU499" s="673">
        <f>BU471</f>
        <v>0</v>
      </c>
      <c r="BV499" s="673">
        <f>BV471</f>
        <v>0</v>
      </c>
      <c r="BW499" s="303"/>
      <c r="BX499" s="673">
        <f>BX471</f>
        <v>0</v>
      </c>
      <c r="BY499" s="673">
        <f>BY471</f>
        <v>0</v>
      </c>
      <c r="BZ499" s="673">
        <f>BZ471</f>
        <v>0</v>
      </c>
      <c r="CA499" s="303"/>
      <c r="CB499" s="673">
        <f>CB471</f>
        <v>0</v>
      </c>
      <c r="CC499" s="673">
        <f>CC471</f>
        <v>0</v>
      </c>
      <c r="CD499" s="673">
        <f>CD471</f>
        <v>0</v>
      </c>
      <c r="CE499" s="303"/>
      <c r="CF499" s="673"/>
      <c r="CG499" s="673"/>
      <c r="CH499" s="673"/>
      <c r="CI499" s="303"/>
      <c r="CJ499" s="673"/>
      <c r="CK499" s="673"/>
      <c r="CL499" s="673"/>
      <c r="CM499" s="303"/>
      <c r="CN499" s="630"/>
      <c r="CO499" s="673"/>
      <c r="CP499" s="673"/>
      <c r="CQ499" s="303"/>
      <c r="CR499" s="630"/>
      <c r="CS499" s="630"/>
      <c r="CT499" s="303"/>
      <c r="CU499" s="303"/>
      <c r="CV499" s="630"/>
      <c r="CW499" s="630"/>
      <c r="CX499" s="303"/>
      <c r="CY499" s="303"/>
      <c r="CZ499" s="630"/>
      <c r="DA499" s="630"/>
      <c r="DB499" s="303"/>
      <c r="DC499" s="303"/>
      <c r="DD499" s="630"/>
      <c r="DE499" s="630"/>
      <c r="DF499" s="303"/>
      <c r="DG499" s="303"/>
      <c r="DH499" s="630"/>
      <c r="DI499" s="630"/>
      <c r="DJ499" s="303"/>
      <c r="DK499" s="303"/>
      <c r="DL499" s="630"/>
      <c r="DM499" s="630"/>
      <c r="DN499" s="303"/>
      <c r="DO499" s="303"/>
      <c r="DP499" s="630"/>
      <c r="DQ499" s="630"/>
      <c r="DR499" s="303"/>
      <c r="DS499" s="303"/>
      <c r="DT499" s="303"/>
      <c r="DU499" s="303"/>
      <c r="DV499" s="303"/>
      <c r="DW499" s="1208" t="s">
        <v>175</v>
      </c>
      <c r="DX499" s="303"/>
      <c r="DY499" s="303"/>
      <c r="DZ499" s="303"/>
      <c r="EA499" s="303"/>
      <c r="EB499" s="303"/>
      <c r="EC499" s="303"/>
      <c r="ED499" s="303"/>
      <c r="EE499" s="303"/>
      <c r="EF499" s="303"/>
      <c r="EG499" s="303"/>
      <c r="EH499" s="303"/>
      <c r="EI499" s="303"/>
      <c r="EJ499" s="303"/>
      <c r="EK499" s="303"/>
      <c r="EL499" s="303"/>
      <c r="EM499" s="303"/>
      <c r="EN499" s="303"/>
      <c r="EO499" s="303"/>
      <c r="EP499" s="303"/>
      <c r="EQ499" s="303"/>
      <c r="ER499" s="303"/>
      <c r="ES499" s="303"/>
      <c r="ET499" s="303"/>
      <c r="EU499" s="303"/>
      <c r="JW499"/>
    </row>
    <row r="500" spans="1:283" s="327" customFormat="1" hidden="1" outlineLevel="1">
      <c r="A500" s="327" t="s">
        <v>588</v>
      </c>
      <c r="AN500" s="820">
        <f>SUM(AN498:AN499)</f>
        <v>0</v>
      </c>
      <c r="AO500" s="820">
        <f>SUM(AO498:AO499)</f>
        <v>0</v>
      </c>
      <c r="AP500" s="820">
        <f>SUM(AP498:AP499)</f>
        <v>0</v>
      </c>
      <c r="AQ500" s="295"/>
      <c r="AR500" s="820">
        <f>SUM(AR498:AR499)</f>
        <v>48</v>
      </c>
      <c r="AS500" s="820">
        <f>SUM(AS498:AS499)</f>
        <v>72</v>
      </c>
      <c r="AT500" s="820">
        <f>SUM(AT498:AT499)</f>
        <v>120</v>
      </c>
      <c r="AU500" s="295"/>
      <c r="AV500" s="820">
        <f>SUM(AV498:AV499)</f>
        <v>192</v>
      </c>
      <c r="AW500" s="820">
        <f>SUM(AW498:AW499)</f>
        <v>231</v>
      </c>
      <c r="AX500" s="820">
        <f>SUM(AX498:AX499)</f>
        <v>423</v>
      </c>
      <c r="AY500" s="295"/>
      <c r="AZ500" s="820">
        <f>SUM(AZ498:AZ499)</f>
        <v>277</v>
      </c>
      <c r="BA500" s="820">
        <f>SUM(BA498:BA499)</f>
        <v>285</v>
      </c>
      <c r="BB500" s="820">
        <f>SUM(BB498:BB499)</f>
        <v>562</v>
      </c>
      <c r="BC500" s="295"/>
      <c r="BD500" s="820">
        <f>SUM(BD498:BD499)</f>
        <v>293</v>
      </c>
      <c r="BE500" s="820">
        <f>SUM(BE498:BE499)</f>
        <v>293</v>
      </c>
      <c r="BF500" s="820">
        <f>SUM(BF498:BF499)</f>
        <v>586</v>
      </c>
      <c r="BG500" s="295"/>
      <c r="BH500" s="820">
        <f>SUM(BH498:BH499)</f>
        <v>251</v>
      </c>
      <c r="BI500" s="820">
        <f>SUM(BI498:BI499)</f>
        <v>328</v>
      </c>
      <c r="BJ500" s="820">
        <f>SUM(BJ498:BJ499)</f>
        <v>579</v>
      </c>
      <c r="BK500" s="295"/>
      <c r="BL500" s="820">
        <f>SUM(BL498:BL499)</f>
        <v>277</v>
      </c>
      <c r="BM500" s="820">
        <f>SUM(BM498:BM499)</f>
        <v>386</v>
      </c>
      <c r="BN500" s="820">
        <f>SUM(BN498:BN499)</f>
        <v>663</v>
      </c>
      <c r="BO500" s="685"/>
      <c r="BP500" s="820">
        <f>SUM(BP498:BP499)</f>
        <v>326</v>
      </c>
      <c r="BQ500" s="820">
        <f>SUM(BQ498:BQ499)</f>
        <v>411</v>
      </c>
      <c r="BR500" s="820">
        <f>SUM(BR498:BR499)</f>
        <v>737</v>
      </c>
      <c r="BS500" s="685"/>
      <c r="BT500" s="820">
        <f>SUM(BT498:BT499)</f>
        <v>460</v>
      </c>
      <c r="BU500" s="820">
        <f>SUM(BU498:BU499)</f>
        <v>388</v>
      </c>
      <c r="BV500" s="820">
        <f>SUM(BV498:BV499)</f>
        <v>848</v>
      </c>
      <c r="BW500" s="295"/>
      <c r="BX500" s="820">
        <f>SUM(BX498:BX499)</f>
        <v>354</v>
      </c>
      <c r="BY500" s="820">
        <f>SUM(BY498:BY499)</f>
        <v>358</v>
      </c>
      <c r="BZ500" s="820">
        <f>SUM(BZ498:BZ499)</f>
        <v>712</v>
      </c>
      <c r="CA500" s="295"/>
      <c r="CB500" s="820">
        <f>SUM(CB498:CB499)</f>
        <v>194</v>
      </c>
      <c r="CC500" s="820">
        <f>SUM(CC498:CC499)</f>
        <v>95</v>
      </c>
      <c r="CD500" s="820">
        <f>SUM(CD498:CD499)</f>
        <v>289</v>
      </c>
      <c r="CE500" s="295"/>
      <c r="CF500" s="820"/>
      <c r="CG500" s="820"/>
      <c r="CH500" s="820"/>
      <c r="CI500" s="295"/>
      <c r="CJ500" s="820"/>
      <c r="CK500" s="820"/>
      <c r="CL500" s="820"/>
      <c r="CM500" s="295"/>
      <c r="CN500" s="295"/>
      <c r="CO500" s="820"/>
      <c r="CP500" s="820"/>
      <c r="CQ500" s="295"/>
      <c r="CR500" s="295"/>
      <c r="CS500" s="295"/>
      <c r="CT500" s="295"/>
      <c r="CU500" s="295"/>
      <c r="CV500" s="295"/>
      <c r="CW500" s="295"/>
      <c r="CX500" s="295"/>
      <c r="CY500" s="295"/>
      <c r="CZ500" s="295"/>
      <c r="DA500" s="295"/>
      <c r="DB500" s="295"/>
      <c r="DC500" s="295"/>
      <c r="DD500" s="295"/>
      <c r="DE500" s="295"/>
      <c r="DF500" s="295"/>
      <c r="DG500" s="295"/>
      <c r="DH500" s="295"/>
      <c r="DI500" s="295"/>
      <c r="DJ500" s="295"/>
      <c r="DK500" s="295"/>
      <c r="DL500" s="295"/>
      <c r="DM500" s="295"/>
      <c r="DN500" s="295"/>
      <c r="DO500" s="295"/>
      <c r="DP500" s="295"/>
      <c r="DQ500" s="295"/>
      <c r="DR500" s="295"/>
      <c r="DS500" s="295"/>
      <c r="DT500" s="295"/>
      <c r="DU500" s="295"/>
      <c r="DV500" s="295"/>
      <c r="DW500" s="1199"/>
      <c r="DX500" s="295"/>
      <c r="DY500" s="295"/>
      <c r="DZ500" s="295"/>
      <c r="EA500" s="295"/>
      <c r="EB500" s="295"/>
      <c r="EC500" s="295"/>
      <c r="ED500" s="295"/>
      <c r="EE500" s="295"/>
      <c r="EF500" s="295"/>
      <c r="EG500" s="295"/>
      <c r="EH500" s="295"/>
      <c r="EI500" s="295"/>
      <c r="EJ500" s="295"/>
      <c r="EK500" s="295"/>
      <c r="EL500" s="295"/>
      <c r="EM500" s="295"/>
      <c r="EN500" s="295"/>
      <c r="EO500" s="295"/>
      <c r="EP500" s="295"/>
      <c r="EQ500" s="295"/>
      <c r="ER500" s="295"/>
      <c r="ES500" s="295"/>
      <c r="ET500" s="295"/>
      <c r="EU500" s="295"/>
      <c r="JW500"/>
    </row>
    <row r="501" spans="1:283" hidden="1" outlineLevel="1">
      <c r="A501" s="323" t="s">
        <v>835</v>
      </c>
      <c r="CN501" s="293"/>
      <c r="CR501" s="293"/>
      <c r="CS501" s="293"/>
      <c r="CT501" s="293"/>
      <c r="CV501" s="293"/>
      <c r="CW501" s="293"/>
      <c r="CX501" s="293"/>
      <c r="CZ501" s="293"/>
      <c r="DA501" s="293"/>
      <c r="DB501" s="293"/>
      <c r="DD501" s="293"/>
      <c r="DE501" s="293"/>
      <c r="DF501" s="293"/>
      <c r="DH501" s="293"/>
      <c r="DI501" s="293"/>
      <c r="DJ501" s="293"/>
      <c r="DL501" s="293"/>
      <c r="DM501" s="293"/>
      <c r="DN501" s="293"/>
      <c r="DP501" s="293"/>
      <c r="DQ501" s="293"/>
      <c r="DR501" s="293"/>
      <c r="DW501" s="1197"/>
      <c r="DX501" s="293"/>
      <c r="DY501" s="293"/>
      <c r="EA501" s="293"/>
      <c r="EB501" s="293"/>
      <c r="EC501" s="293"/>
      <c r="EE501" s="293"/>
      <c r="EF501" s="293"/>
      <c r="EG501" s="293"/>
      <c r="EI501" s="293"/>
      <c r="EJ501" s="293"/>
      <c r="EK501" s="293"/>
    </row>
    <row r="502" spans="1:283" s="642" customFormat="1" hidden="1" outlineLevel="1">
      <c r="A502" s="1210" t="str">
        <f>+A498</f>
        <v>Net interest income</v>
      </c>
      <c r="AN502" s="300"/>
      <c r="AO502" s="300"/>
      <c r="AP502" s="300"/>
      <c r="AQ502" s="300"/>
      <c r="AR502" s="300"/>
      <c r="AS502" s="300"/>
      <c r="AT502" s="300"/>
      <c r="AU502" s="300"/>
      <c r="AV502" s="643">
        <f t="shared" ref="AV502:AX504" si="1485">+AV498/AR498-1</f>
        <v>2.3333333333333335</v>
      </c>
      <c r="AW502" s="643">
        <f t="shared" si="1485"/>
        <v>1.7407407407407409</v>
      </c>
      <c r="AX502" s="643">
        <f t="shared" si="1485"/>
        <v>1.9612403100775193</v>
      </c>
      <c r="AY502" s="300"/>
      <c r="AZ502" s="643">
        <f t="shared" ref="AZ502:BB504" si="1486">+AZ498/AV498-1</f>
        <v>0.73124999999999996</v>
      </c>
      <c r="BA502" s="643">
        <f t="shared" si="1486"/>
        <v>0.27927927927927931</v>
      </c>
      <c r="BB502" s="643">
        <f t="shared" si="1486"/>
        <v>0.46858638743455505</v>
      </c>
      <c r="BC502" s="300"/>
      <c r="BD502" s="643">
        <f>+BD498/AZ498-1</f>
        <v>6.8592057761732939E-2</v>
      </c>
      <c r="BE502" s="643">
        <f>+BE498/BA498-1</f>
        <v>3.8732394366197243E-2</v>
      </c>
      <c r="BF502" s="643">
        <f>+BF498/BB498-1</f>
        <v>5.3475935828876997E-2</v>
      </c>
      <c r="BG502" s="300"/>
      <c r="BH502" s="643">
        <f>+BH498/BD498-1</f>
        <v>-0.15202702702702697</v>
      </c>
      <c r="BI502" s="643">
        <f>+BI498/BE498-1</f>
        <v>0.11186440677966103</v>
      </c>
      <c r="BJ502" s="643">
        <f>+BJ498/BF498-1</f>
        <v>-2.0304568527918732E-2</v>
      </c>
      <c r="BK502" s="300"/>
      <c r="BL502" s="643">
        <f>+BL498/BH498-1</f>
        <v>0.10358565737051784</v>
      </c>
      <c r="BM502" s="643">
        <f>+BM498/BI498-1</f>
        <v>0.17682926829268286</v>
      </c>
      <c r="BN502" s="643">
        <f>+BN498/BJ498-1</f>
        <v>0.14507772020725396</v>
      </c>
      <c r="BO502" s="300"/>
      <c r="BP502" s="643">
        <f>+BP498/BL498-1</f>
        <v>0.17689530685920585</v>
      </c>
      <c r="BQ502" s="643">
        <f>+BQ498/BM498-1</f>
        <v>6.476683937823835E-2</v>
      </c>
      <c r="BR502" s="643">
        <f>+BR498/BN498-1</f>
        <v>0.11161387631975872</v>
      </c>
      <c r="BS502" s="300"/>
      <c r="BT502" s="643">
        <f>+BT498/BP498-1</f>
        <v>0.41104294478527614</v>
      </c>
      <c r="BU502" s="643">
        <f>+BU498/BQ498-1</f>
        <v>-5.5961070559610748E-2</v>
      </c>
      <c r="BV502" s="643">
        <f>+BV498/BR498-1</f>
        <v>0.15061058344640443</v>
      </c>
      <c r="BW502" s="300"/>
      <c r="BX502" s="643">
        <f>+BX498/BT498-1</f>
        <v>-0.23043478260869565</v>
      </c>
      <c r="BY502" s="643">
        <f>+BY498/BU498-1</f>
        <v>-7.7319587628865927E-2</v>
      </c>
      <c r="BZ502" s="643">
        <f>+BZ498/BV498-1</f>
        <v>-0.160377358490566</v>
      </c>
      <c r="CA502" s="300"/>
      <c r="CB502" s="643">
        <f>+CB498/BX498-1</f>
        <v>-0.45197740112994356</v>
      </c>
      <c r="CC502" s="643">
        <f>+CC498/BY498-1</f>
        <v>-0.73463687150837986</v>
      </c>
      <c r="CD502" s="643">
        <f>+CD498/BZ498-1</f>
        <v>-0.5941011235955056</v>
      </c>
      <c r="CE502" s="300"/>
      <c r="CF502" s="643"/>
      <c r="CG502" s="643"/>
      <c r="CH502" s="643"/>
      <c r="CI502" s="300"/>
      <c r="CJ502" s="643"/>
      <c r="CK502" s="643"/>
      <c r="CL502" s="643"/>
      <c r="CM502" s="300"/>
      <c r="CN502" s="656"/>
      <c r="CO502" s="643"/>
      <c r="CP502" s="643"/>
      <c r="CQ502" s="300"/>
      <c r="CR502" s="656"/>
      <c r="CS502" s="656"/>
      <c r="CT502" s="643"/>
      <c r="CU502" s="300"/>
      <c r="CV502" s="656"/>
      <c r="CW502" s="656"/>
      <c r="CX502" s="643"/>
      <c r="CY502" s="300"/>
      <c r="CZ502" s="656"/>
      <c r="DA502" s="656"/>
      <c r="DB502" s="643"/>
      <c r="DC502" s="300"/>
      <c r="DD502" s="656"/>
      <c r="DE502" s="656"/>
      <c r="DF502" s="643"/>
      <c r="DG502" s="300"/>
      <c r="DH502" s="656"/>
      <c r="DI502" s="656"/>
      <c r="DJ502" s="643"/>
      <c r="DK502" s="300"/>
      <c r="DL502" s="656"/>
      <c r="DM502" s="656"/>
      <c r="DN502" s="643"/>
      <c r="DO502" s="300"/>
      <c r="DP502" s="656"/>
      <c r="DQ502" s="656"/>
      <c r="DR502" s="643"/>
      <c r="DS502" s="300"/>
      <c r="DT502" s="300"/>
      <c r="DU502" s="300"/>
      <c r="DV502" s="300"/>
      <c r="DW502" s="1211" t="s">
        <v>175</v>
      </c>
      <c r="DX502" s="643"/>
      <c r="DY502" s="643"/>
      <c r="DZ502" s="300"/>
      <c r="EA502" s="643"/>
      <c r="EB502" s="643"/>
      <c r="EC502" s="643"/>
      <c r="ED502" s="300"/>
      <c r="EE502" s="643"/>
      <c r="EF502" s="643"/>
      <c r="EG502" s="643"/>
      <c r="EH502" s="300"/>
      <c r="EI502" s="643"/>
      <c r="EJ502" s="643"/>
      <c r="EK502" s="643"/>
      <c r="EL502" s="300"/>
      <c r="EM502" s="300"/>
      <c r="EN502" s="300"/>
      <c r="EO502" s="300"/>
      <c r="EP502" s="300"/>
      <c r="EQ502" s="300"/>
      <c r="ER502" s="300"/>
      <c r="ES502" s="300"/>
      <c r="ET502" s="300"/>
      <c r="EU502" s="300"/>
      <c r="JW502"/>
    </row>
    <row r="503" spans="1:283" s="323" customFormat="1" hidden="1" outlineLevel="1">
      <c r="A503" s="1079" t="str">
        <f>+A499</f>
        <v>Net trading income</v>
      </c>
      <c r="AN503" s="115"/>
      <c r="AO503" s="115"/>
      <c r="AP503" s="115"/>
      <c r="AQ503" s="115"/>
      <c r="AR503" s="115"/>
      <c r="AS503" s="115"/>
      <c r="AT503" s="115"/>
      <c r="AU503" s="115"/>
      <c r="AV503" s="648"/>
      <c r="AW503" s="648">
        <f t="shared" si="1485"/>
        <v>-2</v>
      </c>
      <c r="AX503" s="648">
        <f t="shared" si="1485"/>
        <v>-5.5555555555555554</v>
      </c>
      <c r="AY503" s="115"/>
      <c r="AZ503" s="648">
        <f t="shared" si="1486"/>
        <v>-1</v>
      </c>
      <c r="BA503" s="648">
        <f t="shared" si="1486"/>
        <v>-0.88888888888888884</v>
      </c>
      <c r="BB503" s="648">
        <f t="shared" si="1486"/>
        <v>-0.97560975609756095</v>
      </c>
      <c r="BC503" s="115"/>
      <c r="BD503" s="648"/>
      <c r="BE503" s="648">
        <f>+BE499/BA499-1</f>
        <v>-3</v>
      </c>
      <c r="BF503" s="648">
        <f>+BF499/BB499-1</f>
        <v>-6</v>
      </c>
      <c r="BG503" s="115"/>
      <c r="BH503" s="648"/>
      <c r="BI503" s="648"/>
      <c r="BJ503" s="648"/>
      <c r="BK503" s="115"/>
      <c r="BL503" s="648"/>
      <c r="BM503" s="648"/>
      <c r="BN503" s="648"/>
      <c r="BO503" s="115"/>
      <c r="BP503" s="648"/>
      <c r="BQ503" s="648"/>
      <c r="BR503" s="648"/>
      <c r="BS503" s="115"/>
      <c r="BT503" s="648"/>
      <c r="BU503" s="648"/>
      <c r="BV503" s="648"/>
      <c r="BW503" s="115"/>
      <c r="BX503" s="648"/>
      <c r="BY503" s="648"/>
      <c r="BZ503" s="648"/>
      <c r="CA503" s="115"/>
      <c r="CB503" s="648"/>
      <c r="CC503" s="648"/>
      <c r="CD503" s="648"/>
      <c r="CE503" s="115"/>
      <c r="CF503" s="648"/>
      <c r="CG503" s="648"/>
      <c r="CH503" s="648"/>
      <c r="CI503" s="115"/>
      <c r="CJ503" s="648"/>
      <c r="CK503" s="648"/>
      <c r="CL503" s="648"/>
      <c r="CM503" s="115"/>
      <c r="CN503" s="637"/>
      <c r="CO503" s="648"/>
      <c r="CP503" s="648"/>
      <c r="CQ503" s="115"/>
      <c r="CR503" s="637"/>
      <c r="CS503" s="637"/>
      <c r="CT503" s="648"/>
      <c r="CU503" s="115"/>
      <c r="CV503" s="637"/>
      <c r="CW503" s="637"/>
      <c r="CX503" s="648"/>
      <c r="CY503" s="115"/>
      <c r="CZ503" s="637"/>
      <c r="DA503" s="637"/>
      <c r="DB503" s="648"/>
      <c r="DC503" s="115"/>
      <c r="DD503" s="637"/>
      <c r="DE503" s="637"/>
      <c r="DF503" s="648"/>
      <c r="DG503" s="115"/>
      <c r="DH503" s="637"/>
      <c r="DI503" s="637"/>
      <c r="DJ503" s="648"/>
      <c r="DK503" s="115"/>
      <c r="DL503" s="637"/>
      <c r="DM503" s="637"/>
      <c r="DN503" s="648"/>
      <c r="DO503" s="115"/>
      <c r="DP503" s="637"/>
      <c r="DQ503" s="637"/>
      <c r="DR503" s="648"/>
      <c r="DS503" s="115"/>
      <c r="DT503" s="115"/>
      <c r="DU503" s="115"/>
      <c r="DV503" s="115"/>
      <c r="DW503" s="1214"/>
      <c r="DX503" s="648"/>
      <c r="DY503" s="648"/>
      <c r="DZ503" s="115"/>
      <c r="EA503" s="648"/>
      <c r="EB503" s="648"/>
      <c r="EC503" s="648"/>
      <c r="ED503" s="115"/>
      <c r="EE503" s="648"/>
      <c r="EF503" s="648"/>
      <c r="EG503" s="648"/>
      <c r="EH503" s="115"/>
      <c r="EI503" s="648"/>
      <c r="EJ503" s="648"/>
      <c r="EK503" s="648"/>
      <c r="EL503" s="115"/>
      <c r="EM503" s="115"/>
      <c r="EN503" s="115"/>
      <c r="EO503" s="115"/>
      <c r="EP503" s="115"/>
      <c r="EQ503" s="115"/>
      <c r="ER503" s="115"/>
      <c r="ES503" s="115"/>
      <c r="ET503" s="115"/>
      <c r="EU503" s="115"/>
      <c r="JW503"/>
    </row>
    <row r="504" spans="1:283" s="328" customFormat="1" hidden="1" outlineLevel="1">
      <c r="A504" s="1092" t="str">
        <f>+A500</f>
        <v>Total</v>
      </c>
      <c r="AN504" s="581"/>
      <c r="AO504" s="581"/>
      <c r="AP504" s="581"/>
      <c r="AQ504" s="581"/>
      <c r="AR504" s="581"/>
      <c r="AS504" s="581"/>
      <c r="AT504" s="581"/>
      <c r="AU504" s="581"/>
      <c r="AV504" s="682">
        <f t="shared" si="1485"/>
        <v>3</v>
      </c>
      <c r="AW504" s="682">
        <f t="shared" si="1485"/>
        <v>2.2083333333333335</v>
      </c>
      <c r="AX504" s="682">
        <f t="shared" si="1485"/>
        <v>2.5249999999999999</v>
      </c>
      <c r="AY504" s="581"/>
      <c r="AZ504" s="682">
        <f t="shared" si="1486"/>
        <v>0.44270833333333326</v>
      </c>
      <c r="BA504" s="682">
        <f t="shared" si="1486"/>
        <v>0.23376623376623384</v>
      </c>
      <c r="BB504" s="682">
        <f t="shared" si="1486"/>
        <v>0.3286052009456264</v>
      </c>
      <c r="BC504" s="581"/>
      <c r="BD504" s="682">
        <f>+BD500/AZ500-1</f>
        <v>5.7761732851985492E-2</v>
      </c>
      <c r="BE504" s="682">
        <f>+BE500/BA500-1</f>
        <v>2.8070175438596578E-2</v>
      </c>
      <c r="BF504" s="682">
        <f>+BF500/BB500-1</f>
        <v>4.2704626334519658E-2</v>
      </c>
      <c r="BG504" s="581"/>
      <c r="BH504" s="682">
        <f>+BH500/BD500-1</f>
        <v>-0.14334470989761094</v>
      </c>
      <c r="BI504" s="682">
        <f>+BI500/BE500-1</f>
        <v>0.11945392491467577</v>
      </c>
      <c r="BJ504" s="682">
        <f>+BJ500/BF500-1</f>
        <v>-1.1945392491467532E-2</v>
      </c>
      <c r="BK504" s="581"/>
      <c r="BL504" s="682">
        <f>+BL500/BH500-1</f>
        <v>0.10358565737051784</v>
      </c>
      <c r="BM504" s="682">
        <f>+BM500/BI500-1</f>
        <v>0.17682926829268286</v>
      </c>
      <c r="BN504" s="682">
        <f>+BN500/BJ500-1</f>
        <v>0.14507772020725396</v>
      </c>
      <c r="BO504" s="581"/>
      <c r="BP504" s="682">
        <f>+BP500/BL500-1</f>
        <v>0.17689530685920585</v>
      </c>
      <c r="BQ504" s="682">
        <f>+BQ500/BM500-1</f>
        <v>6.476683937823835E-2</v>
      </c>
      <c r="BR504" s="682">
        <f>+BR500/BN500-1</f>
        <v>0.11161387631975872</v>
      </c>
      <c r="BS504" s="581"/>
      <c r="BT504" s="682">
        <f>+BT500/BP500-1</f>
        <v>0.41104294478527614</v>
      </c>
      <c r="BU504" s="682">
        <f>+BU500/BQ500-1</f>
        <v>-5.5961070559610748E-2</v>
      </c>
      <c r="BV504" s="682">
        <f>+BV500/BR500-1</f>
        <v>0.15061058344640443</v>
      </c>
      <c r="BW504" s="581"/>
      <c r="BX504" s="682">
        <f>+BX500/BT500-1</f>
        <v>-0.23043478260869565</v>
      </c>
      <c r="BY504" s="682">
        <f>+BY500/BU500-1</f>
        <v>-7.7319587628865927E-2</v>
      </c>
      <c r="BZ504" s="682">
        <f>+BZ500/BV500-1</f>
        <v>-0.160377358490566</v>
      </c>
      <c r="CA504" s="581"/>
      <c r="CB504" s="682">
        <f>+CB500/BX500-1</f>
        <v>-0.45197740112994356</v>
      </c>
      <c r="CC504" s="682">
        <f>+CC500/BY500-1</f>
        <v>-0.73463687150837986</v>
      </c>
      <c r="CD504" s="682">
        <f>+CD500/BZ500-1</f>
        <v>-0.5941011235955056</v>
      </c>
      <c r="CE504" s="581"/>
      <c r="CF504" s="682"/>
      <c r="CG504" s="682"/>
      <c r="CH504" s="682"/>
      <c r="CI504" s="581"/>
      <c r="CJ504" s="682"/>
      <c r="CK504" s="682"/>
      <c r="CL504" s="682"/>
      <c r="CM504" s="581"/>
      <c r="CN504" s="682"/>
      <c r="CO504" s="682"/>
      <c r="CP504" s="682"/>
      <c r="CQ504" s="581"/>
      <c r="CR504" s="682"/>
      <c r="CS504" s="682"/>
      <c r="CT504" s="682"/>
      <c r="CU504" s="581"/>
      <c r="CV504" s="682"/>
      <c r="CW504" s="682"/>
      <c r="CX504" s="682"/>
      <c r="CY504" s="581"/>
      <c r="CZ504" s="682"/>
      <c r="DA504" s="682"/>
      <c r="DB504" s="682"/>
      <c r="DC504" s="581"/>
      <c r="DD504" s="682"/>
      <c r="DE504" s="682"/>
      <c r="DF504" s="682"/>
      <c r="DG504" s="581"/>
      <c r="DH504" s="682"/>
      <c r="DI504" s="682"/>
      <c r="DJ504" s="682"/>
      <c r="DK504" s="581"/>
      <c r="DL504" s="682"/>
      <c r="DM504" s="682"/>
      <c r="DN504" s="682"/>
      <c r="DO504" s="581"/>
      <c r="DP504" s="682"/>
      <c r="DQ504" s="682"/>
      <c r="DR504" s="682"/>
      <c r="DS504" s="581"/>
      <c r="DT504" s="581"/>
      <c r="DU504" s="581"/>
      <c r="DV504" s="581"/>
      <c r="DW504" s="682"/>
      <c r="DX504" s="682"/>
      <c r="DY504" s="682"/>
      <c r="DZ504" s="581"/>
      <c r="EA504" s="682"/>
      <c r="EB504" s="682"/>
      <c r="EC504" s="682"/>
      <c r="ED504" s="581"/>
      <c r="EE504" s="682"/>
      <c r="EF504" s="682"/>
      <c r="EG504" s="682"/>
      <c r="EH504" s="581"/>
      <c r="EI504" s="682"/>
      <c r="EJ504" s="682"/>
      <c r="EK504" s="682"/>
      <c r="EL504" s="581"/>
      <c r="EM504" s="581"/>
      <c r="EN504" s="581"/>
      <c r="EO504" s="581"/>
      <c r="EP504" s="581"/>
      <c r="EQ504" s="581"/>
      <c r="ER504" s="581"/>
      <c r="ES504" s="581"/>
      <c r="ET504" s="581"/>
      <c r="EU504" s="581"/>
      <c r="JW504"/>
    </row>
    <row r="505" spans="1:283" hidden="1" outlineLevel="1">
      <c r="CR505" s="103"/>
      <c r="CS505" s="103"/>
      <c r="CT505" s="103"/>
      <c r="CV505" s="103"/>
      <c r="CW505" s="103"/>
      <c r="CX505" s="103"/>
      <c r="CZ505" s="103"/>
      <c r="DA505" s="103"/>
      <c r="DB505" s="103"/>
      <c r="DD505" s="103"/>
      <c r="DE505" s="103"/>
      <c r="DF505" s="103"/>
      <c r="DH505" s="103"/>
      <c r="DI505" s="103"/>
      <c r="DJ505" s="103"/>
      <c r="DL505" s="103"/>
      <c r="DM505" s="103"/>
      <c r="DN505" s="103"/>
      <c r="DP505" s="103"/>
      <c r="DQ505" s="103"/>
      <c r="DR505" s="103"/>
    </row>
    <row r="506" spans="1:283" hidden="1" outlineLevel="1">
      <c r="A506" s="815" t="s">
        <v>838</v>
      </c>
      <c r="CR506" s="103"/>
      <c r="CS506" s="103"/>
      <c r="CT506" s="103"/>
      <c r="CV506" s="103"/>
      <c r="CW506" s="103"/>
      <c r="CX506" s="103"/>
      <c r="CZ506" s="103"/>
      <c r="DA506" s="103"/>
      <c r="DB506" s="103"/>
      <c r="DD506" s="103"/>
      <c r="DE506" s="103"/>
      <c r="DF506" s="103"/>
      <c r="DH506" s="103"/>
      <c r="DI506" s="103"/>
      <c r="DJ506" s="103"/>
      <c r="DL506" s="103"/>
      <c r="DM506" s="103"/>
      <c r="DN506" s="103"/>
      <c r="DP506" s="103"/>
      <c r="DQ506" s="103"/>
      <c r="DR506" s="103"/>
    </row>
    <row r="507" spans="1:283" s="332" customFormat="1" hidden="1" outlineLevel="1">
      <c r="A507" s="332" t="s">
        <v>566</v>
      </c>
      <c r="AN507" s="293"/>
      <c r="AO507" s="293"/>
      <c r="AP507" s="293"/>
      <c r="AQ507" s="293"/>
      <c r="AR507" s="293">
        <f>AR470</f>
        <v>8</v>
      </c>
      <c r="AS507" s="293">
        <f>AS470</f>
        <v>6</v>
      </c>
      <c r="AT507" s="293">
        <f>AT470</f>
        <v>14</v>
      </c>
      <c r="AU507" s="626"/>
      <c r="AV507" s="293">
        <f>AV470</f>
        <v>7</v>
      </c>
      <c r="AW507" s="293">
        <f>AW470</f>
        <v>1</v>
      </c>
      <c r="AX507" s="293">
        <f>AX470</f>
        <v>8</v>
      </c>
      <c r="AY507" s="293"/>
      <c r="AZ507" s="293">
        <f>AZ470</f>
        <v>16</v>
      </c>
      <c r="BA507" s="293">
        <f>BA470</f>
        <v>23</v>
      </c>
      <c r="BB507" s="293">
        <f>BB470</f>
        <v>39</v>
      </c>
      <c r="BC507" s="293"/>
      <c r="BD507" s="293">
        <f>BD470</f>
        <v>14.5</v>
      </c>
      <c r="BE507" s="293">
        <f>BE470</f>
        <v>18</v>
      </c>
      <c r="BF507" s="293">
        <f>BF470</f>
        <v>32.5</v>
      </c>
      <c r="BG507" s="293"/>
      <c r="BH507" s="293">
        <f>BH470</f>
        <v>16</v>
      </c>
      <c r="BI507" s="293">
        <f>BI470</f>
        <v>25</v>
      </c>
      <c r="BJ507" s="293">
        <f>BJ470</f>
        <v>41</v>
      </c>
      <c r="BK507" s="487"/>
      <c r="BL507" s="293">
        <f>BL470</f>
        <v>7</v>
      </c>
      <c r="BM507" s="293">
        <f>BM470</f>
        <v>29</v>
      </c>
      <c r="BN507" s="293">
        <f>BN470</f>
        <v>36</v>
      </c>
      <c r="BO507" s="487"/>
      <c r="BP507" s="293">
        <f>BP470</f>
        <v>21</v>
      </c>
      <c r="BQ507" s="293">
        <f>BQ470</f>
        <v>12</v>
      </c>
      <c r="BR507" s="293">
        <f>BR470</f>
        <v>33</v>
      </c>
      <c r="BS507" s="487"/>
      <c r="BT507" s="293">
        <f>BT470</f>
        <v>13</v>
      </c>
      <c r="BU507" s="293">
        <f>BU470</f>
        <v>30</v>
      </c>
      <c r="BV507" s="293">
        <f>BV470</f>
        <v>43</v>
      </c>
      <c r="BW507" s="293"/>
      <c r="BX507" s="293">
        <f>BX470</f>
        <v>21</v>
      </c>
      <c r="BY507" s="293">
        <f>BY470</f>
        <v>32</v>
      </c>
      <c r="BZ507" s="293">
        <f>BZ470</f>
        <v>53</v>
      </c>
      <c r="CA507" s="293"/>
      <c r="CB507" s="293">
        <f>CB470</f>
        <v>52</v>
      </c>
      <c r="CC507" s="293">
        <f>CC470</f>
        <v>28</v>
      </c>
      <c r="CD507" s="293">
        <f>CD470</f>
        <v>80</v>
      </c>
      <c r="CE507" s="293"/>
      <c r="CF507" s="293"/>
      <c r="CG507" s="293"/>
      <c r="CH507" s="293"/>
      <c r="CI507" s="293"/>
      <c r="CJ507" s="293"/>
      <c r="CK507" s="293"/>
      <c r="CL507" s="293"/>
      <c r="CM507" s="293"/>
      <c r="CN507" s="293"/>
      <c r="CO507" s="293"/>
      <c r="CP507" s="293"/>
      <c r="CQ507" s="293"/>
      <c r="CR507" s="293"/>
      <c r="CS507" s="293"/>
      <c r="CT507" s="293"/>
      <c r="CU507" s="293"/>
      <c r="CV507" s="293"/>
      <c r="CW507" s="293"/>
      <c r="CX507" s="293"/>
      <c r="CY507" s="293"/>
      <c r="CZ507" s="293"/>
      <c r="DA507" s="293"/>
      <c r="DB507" s="293"/>
      <c r="DC507" s="293"/>
      <c r="DD507" s="293"/>
      <c r="DE507" s="293"/>
      <c r="DF507" s="293"/>
      <c r="DG507" s="293"/>
      <c r="DH507" s="293"/>
      <c r="DI507" s="293"/>
      <c r="DJ507" s="293"/>
      <c r="DK507" s="293"/>
      <c r="DL507" s="293"/>
      <c r="DM507" s="293"/>
      <c r="DN507" s="293"/>
      <c r="DO507" s="293"/>
      <c r="DP507" s="293"/>
      <c r="DQ507" s="293"/>
      <c r="DR507" s="293"/>
      <c r="DS507" s="293"/>
      <c r="DT507" s="293"/>
      <c r="DU507" s="293"/>
      <c r="DV507" s="293"/>
      <c r="DW507" s="1197"/>
      <c r="DX507" s="293"/>
      <c r="DY507" s="293"/>
      <c r="DZ507" s="293"/>
      <c r="EA507" s="293"/>
      <c r="EB507" s="293"/>
      <c r="EC507" s="293"/>
      <c r="ED507" s="293"/>
      <c r="EE507" s="293"/>
      <c r="EF507" s="293"/>
      <c r="EG507" s="293"/>
      <c r="EH507" s="293"/>
      <c r="EI507" s="293"/>
      <c r="EJ507" s="293"/>
      <c r="EK507" s="293"/>
      <c r="EL507" s="293"/>
      <c r="EM507" s="293"/>
      <c r="EN507" s="293"/>
      <c r="EO507" s="293"/>
      <c r="EP507" s="293"/>
      <c r="EQ507" s="293"/>
      <c r="ER507" s="293"/>
      <c r="ES507" s="293"/>
      <c r="ET507" s="293"/>
      <c r="EU507" s="293"/>
      <c r="JW507"/>
    </row>
    <row r="508" spans="1:283" s="1210" customFormat="1" hidden="1" outlineLevel="1">
      <c r="A508" s="1210" t="s">
        <v>717</v>
      </c>
      <c r="AN508" s="720"/>
      <c r="AO508" s="720"/>
      <c r="AP508" s="720"/>
      <c r="AQ508" s="720"/>
      <c r="AR508" s="720"/>
      <c r="AS508" s="795">
        <f>AS470/AR470-1</f>
        <v>-0.25</v>
      </c>
      <c r="AT508" s="720"/>
      <c r="AU508" s="720"/>
      <c r="AV508" s="795">
        <f>AV470/AS470-1</f>
        <v>0.16666666666666674</v>
      </c>
      <c r="AW508" s="795">
        <f>AW470/AV470-1</f>
        <v>-0.85714285714285721</v>
      </c>
      <c r="AX508" s="720"/>
      <c r="AY508" s="720"/>
      <c r="AZ508" s="795">
        <f>AZ470/AW470-1</f>
        <v>15</v>
      </c>
      <c r="BA508" s="795">
        <f>BA470/AZ470-1</f>
        <v>0.4375</v>
      </c>
      <c r="BB508" s="720"/>
      <c r="BC508" s="720"/>
      <c r="BD508" s="795">
        <f>BD470/BA470-1</f>
        <v>-0.36956521739130432</v>
      </c>
      <c r="BE508" s="795">
        <f>BE470/BD470-1</f>
        <v>0.24137931034482762</v>
      </c>
      <c r="BF508" s="720"/>
      <c r="BG508" s="720"/>
      <c r="BH508" s="795">
        <f>BH470/BE470-1</f>
        <v>-0.11111111111111116</v>
      </c>
      <c r="BI508" s="795">
        <f>BI470/BH470-1</f>
        <v>0.5625</v>
      </c>
      <c r="BJ508" s="720"/>
      <c r="BK508" s="720"/>
      <c r="BL508" s="795">
        <f>BL470/BI470-1</f>
        <v>-0.72</v>
      </c>
      <c r="BM508" s="795">
        <f>BM470/BL470-1</f>
        <v>3.1428571428571432</v>
      </c>
      <c r="BN508" s="720"/>
      <c r="BO508" s="720"/>
      <c r="BP508" s="795">
        <f>BP470/BM470-1</f>
        <v>-0.27586206896551724</v>
      </c>
      <c r="BQ508" s="795">
        <f>BQ470/BP470-1</f>
        <v>-0.4285714285714286</v>
      </c>
      <c r="BR508" s="720"/>
      <c r="BS508" s="720"/>
      <c r="BT508" s="795">
        <f>BT470/BQ470-1</f>
        <v>8.3333333333333259E-2</v>
      </c>
      <c r="BU508" s="795">
        <f>BU470/BT470-1</f>
        <v>1.3076923076923075</v>
      </c>
      <c r="BV508" s="720"/>
      <c r="BW508" s="720"/>
      <c r="BX508" s="795">
        <f>BX470/BU470-1</f>
        <v>-0.30000000000000004</v>
      </c>
      <c r="BY508" s="795">
        <f>BY470/BX470-1</f>
        <v>0.52380952380952372</v>
      </c>
      <c r="BZ508" s="720"/>
      <c r="CA508" s="720"/>
      <c r="CB508" s="795">
        <f>CB470/BY470-1</f>
        <v>0.625</v>
      </c>
      <c r="CC508" s="795">
        <f>CC470/CB470-1</f>
        <v>-0.46153846153846156</v>
      </c>
      <c r="CD508" s="720"/>
      <c r="CE508" s="720"/>
      <c r="CF508" s="795"/>
      <c r="CG508" s="795"/>
      <c r="CH508" s="720"/>
      <c r="CI508" s="720"/>
      <c r="CJ508" s="795"/>
      <c r="CK508" s="795"/>
      <c r="CL508" s="720"/>
      <c r="CM508" s="720"/>
      <c r="CN508" s="871"/>
      <c r="CO508" s="795"/>
      <c r="CP508" s="720"/>
      <c r="CQ508" s="720"/>
      <c r="CR508" s="871"/>
      <c r="CS508" s="871"/>
      <c r="CT508" s="720"/>
      <c r="CU508" s="720"/>
      <c r="CV508" s="871"/>
      <c r="CW508" s="871"/>
      <c r="CX508" s="720"/>
      <c r="CY508" s="720"/>
      <c r="CZ508" s="871"/>
      <c r="DA508" s="871"/>
      <c r="DB508" s="720"/>
      <c r="DC508" s="720"/>
      <c r="DD508" s="871"/>
      <c r="DE508" s="871"/>
      <c r="DF508" s="720"/>
      <c r="DG508" s="720"/>
      <c r="DH508" s="871"/>
      <c r="DI508" s="871"/>
      <c r="DJ508" s="720"/>
      <c r="DK508" s="720"/>
      <c r="DL508" s="871"/>
      <c r="DM508" s="871"/>
      <c r="DN508" s="720"/>
      <c r="DO508" s="720"/>
      <c r="DP508" s="871"/>
      <c r="DQ508" s="871"/>
      <c r="DR508" s="720"/>
      <c r="DS508" s="720"/>
      <c r="DT508" s="720"/>
      <c r="DU508" s="720"/>
      <c r="DV508" s="720"/>
      <c r="DW508" s="1211" t="s">
        <v>175</v>
      </c>
      <c r="DX508" s="871"/>
      <c r="DY508" s="871"/>
      <c r="DZ508" s="720"/>
      <c r="EA508" s="871"/>
      <c r="EB508" s="871"/>
      <c r="EC508" s="720"/>
      <c r="ED508" s="720"/>
      <c r="EE508" s="871"/>
      <c r="EF508" s="871"/>
      <c r="EG508" s="720"/>
      <c r="EH508" s="720"/>
      <c r="EI508" s="871"/>
      <c r="EJ508" s="871"/>
      <c r="EK508" s="720"/>
      <c r="EL508" s="720"/>
      <c r="EM508" s="720"/>
      <c r="EN508" s="720"/>
      <c r="EO508" s="720"/>
      <c r="EP508" s="720"/>
      <c r="EQ508" s="720"/>
      <c r="ER508" s="720"/>
      <c r="ES508" s="720"/>
      <c r="ET508" s="720"/>
      <c r="EU508" s="720"/>
      <c r="JW508"/>
    </row>
    <row r="509" spans="1:283" hidden="1" outlineLevel="1">
      <c r="CR509" s="103"/>
      <c r="CS509" s="103"/>
      <c r="CT509" s="103"/>
      <c r="CV509" s="103"/>
      <c r="CW509" s="103"/>
      <c r="CX509" s="103"/>
      <c r="CZ509" s="103"/>
      <c r="DA509" s="103"/>
      <c r="DB509" s="103"/>
      <c r="DD509" s="103"/>
      <c r="DE509" s="103"/>
      <c r="DF509" s="103"/>
      <c r="DH509" s="103"/>
      <c r="DI509" s="103"/>
      <c r="DJ509" s="103"/>
      <c r="DL509" s="103"/>
      <c r="DM509" s="103"/>
      <c r="DN509" s="103"/>
      <c r="DP509" s="103"/>
      <c r="DQ509" s="103"/>
      <c r="DR509" s="103"/>
    </row>
    <row r="510" spans="1:283" s="289" customFormat="1" hidden="1" outlineLevel="1">
      <c r="A510" s="815" t="s">
        <v>621</v>
      </c>
      <c r="AN510" s="290"/>
      <c r="AO510" s="290"/>
      <c r="AP510" s="290"/>
      <c r="AQ510" s="290"/>
      <c r="AR510" s="290"/>
      <c r="AS510" s="290"/>
      <c r="AT510" s="290"/>
      <c r="AU510" s="290"/>
      <c r="AV510" s="290"/>
      <c r="AW510" s="290"/>
      <c r="AX510" s="290"/>
      <c r="AY510" s="290"/>
      <c r="AZ510" s="290"/>
      <c r="BA510" s="290"/>
      <c r="BB510" s="290"/>
      <c r="BC510" s="290"/>
      <c r="BD510" s="290"/>
      <c r="BE510" s="290"/>
      <c r="BF510" s="290"/>
      <c r="BG510" s="290"/>
      <c r="BH510" s="290"/>
      <c r="BI510" s="290"/>
      <c r="BJ510" s="290"/>
      <c r="BK510" s="290"/>
      <c r="BL510" s="290"/>
      <c r="BM510" s="290"/>
      <c r="BN510" s="290"/>
      <c r="BO510" s="290"/>
      <c r="BP510" s="290"/>
      <c r="BQ510" s="290"/>
      <c r="BR510" s="290"/>
      <c r="BS510" s="290"/>
      <c r="BT510" s="290"/>
      <c r="BU510" s="290"/>
      <c r="BV510" s="290"/>
      <c r="BW510" s="290"/>
      <c r="BX510" s="290"/>
      <c r="BY510" s="290"/>
      <c r="BZ510" s="290"/>
      <c r="CA510" s="290"/>
      <c r="CB510" s="290"/>
      <c r="CC510" s="290"/>
      <c r="CD510" s="290"/>
      <c r="CE510" s="290"/>
      <c r="CF510" s="290"/>
      <c r="CG510" s="290"/>
      <c r="CH510" s="290"/>
      <c r="CI510" s="290"/>
      <c r="CJ510" s="290"/>
      <c r="CK510" s="290"/>
      <c r="CL510" s="290"/>
      <c r="CM510" s="290"/>
      <c r="CN510" s="290"/>
      <c r="CO510" s="290"/>
      <c r="CP510" s="290"/>
      <c r="CQ510" s="290"/>
      <c r="CR510" s="290"/>
      <c r="CS510" s="290"/>
      <c r="CT510" s="290"/>
      <c r="CU510" s="290"/>
      <c r="CV510" s="290"/>
      <c r="CW510" s="290"/>
      <c r="CX510" s="290"/>
      <c r="CY510" s="290"/>
      <c r="CZ510" s="290"/>
      <c r="DA510" s="290"/>
      <c r="DB510" s="290"/>
      <c r="DC510" s="290"/>
      <c r="DD510" s="290"/>
      <c r="DE510" s="290"/>
      <c r="DF510" s="290"/>
      <c r="DG510" s="290"/>
      <c r="DH510" s="290"/>
      <c r="DI510" s="290"/>
      <c r="DJ510" s="290"/>
      <c r="DK510" s="290"/>
      <c r="DL510" s="290"/>
      <c r="DM510" s="290"/>
      <c r="DN510" s="290"/>
      <c r="DO510" s="290"/>
      <c r="DP510" s="290"/>
      <c r="DQ510" s="290"/>
      <c r="DR510" s="290"/>
      <c r="DS510" s="290"/>
      <c r="DT510" s="290"/>
      <c r="DU510" s="290"/>
      <c r="DV510" s="290"/>
      <c r="DW510" s="290"/>
      <c r="DX510" s="290"/>
      <c r="DY510" s="290"/>
      <c r="DZ510" s="290"/>
      <c r="EA510" s="290"/>
      <c r="EB510" s="290"/>
      <c r="EC510" s="290"/>
      <c r="ED510" s="290"/>
      <c r="EE510" s="290"/>
      <c r="EF510" s="290"/>
      <c r="EG510" s="290"/>
      <c r="EH510" s="290"/>
      <c r="EI510" s="290"/>
      <c r="EJ510" s="290"/>
      <c r="EK510" s="290"/>
      <c r="EL510" s="290"/>
      <c r="EM510" s="290"/>
      <c r="EN510" s="290"/>
      <c r="EO510" s="290"/>
      <c r="EP510" s="290"/>
      <c r="EQ510" s="290"/>
      <c r="ER510" s="290"/>
      <c r="ES510" s="290"/>
      <c r="ET510" s="290"/>
      <c r="EU510" s="290"/>
      <c r="JW510"/>
    </row>
    <row r="511" spans="1:283" hidden="1" outlineLevel="1">
      <c r="A511" s="102" t="s">
        <v>657</v>
      </c>
      <c r="AP511" s="1219"/>
      <c r="AR511" s="730"/>
      <c r="AS511" s="730"/>
      <c r="AT511" s="1219">
        <v>0</v>
      </c>
      <c r="AV511" s="730">
        <v>0</v>
      </c>
      <c r="AW511" s="730">
        <v>0</v>
      </c>
      <c r="AX511" s="293">
        <f t="shared" ref="AX511:AX524" si="1487">AV511+AW511</f>
        <v>0</v>
      </c>
      <c r="AZ511" s="730">
        <v>0</v>
      </c>
      <c r="BA511" s="730">
        <v>0</v>
      </c>
      <c r="BB511" s="293">
        <f t="shared" ref="BB511:BB524" si="1488">AZ511+BA511</f>
        <v>0</v>
      </c>
      <c r="BD511" s="626">
        <v>0</v>
      </c>
      <c r="BE511" s="927">
        <v>0</v>
      </c>
      <c r="BF511" s="293">
        <f t="shared" ref="BF511:BF524" si="1489">BD511+BE511</f>
        <v>0</v>
      </c>
      <c r="BH511" s="626">
        <v>0</v>
      </c>
      <c r="BI511" s="626">
        <v>0</v>
      </c>
      <c r="BJ511" s="293">
        <f t="shared" ref="BJ511:BJ524" si="1490">BH511+BI511</f>
        <v>0</v>
      </c>
      <c r="BL511" s="626">
        <v>0</v>
      </c>
      <c r="BM511" s="626">
        <v>0</v>
      </c>
      <c r="BN511" s="293">
        <f t="shared" ref="BN511:BN524" si="1491">BL511+BM511</f>
        <v>0</v>
      </c>
      <c r="BP511" s="626">
        <v>0</v>
      </c>
      <c r="BQ511" s="626">
        <v>0</v>
      </c>
      <c r="BR511" s="293">
        <f t="shared" ref="BR511:BR524" si="1492">BP511+BQ511</f>
        <v>0</v>
      </c>
      <c r="BT511" s="626">
        <v>0</v>
      </c>
      <c r="BU511" s="626">
        <v>0</v>
      </c>
      <c r="BV511" s="293">
        <f t="shared" ref="BV511:BV524" si="1493">BT511+BU511</f>
        <v>0</v>
      </c>
      <c r="BX511" s="626">
        <v>0</v>
      </c>
      <c r="BY511" s="626">
        <v>140</v>
      </c>
      <c r="BZ511" s="293">
        <f t="shared" ref="BZ511:BZ524" si="1494">BX511+BY511</f>
        <v>140</v>
      </c>
      <c r="CA511" s="671"/>
      <c r="CB511" s="626">
        <v>67</v>
      </c>
      <c r="CC511" s="626">
        <v>168</v>
      </c>
      <c r="CD511" s="293">
        <f t="shared" ref="CD511:CD524" si="1495">CB511+CC511</f>
        <v>235</v>
      </c>
      <c r="CE511" s="671">
        <f>+CD511/BZ511-1</f>
        <v>0.6785714285714286</v>
      </c>
      <c r="CF511" s="626"/>
      <c r="CG511" s="626"/>
      <c r="CH511" s="293"/>
      <c r="CI511" s="671"/>
      <c r="CJ511" s="626"/>
      <c r="CK511" s="626"/>
      <c r="CL511" s="293"/>
      <c r="CN511" s="851"/>
      <c r="CO511" s="626"/>
      <c r="CP511" s="293"/>
      <c r="CR511" s="851"/>
      <c r="CS511" s="851"/>
      <c r="CT511" s="293"/>
      <c r="CV511" s="851"/>
      <c r="CW511" s="851"/>
      <c r="CX511" s="293"/>
      <c r="CZ511" s="851"/>
      <c r="DA511" s="851"/>
      <c r="DB511" s="293"/>
      <c r="DD511" s="851"/>
      <c r="DE511" s="851"/>
      <c r="DF511" s="293"/>
      <c r="DH511" s="851"/>
      <c r="DI511" s="851"/>
      <c r="DJ511" s="293"/>
      <c r="DL511" s="851"/>
      <c r="DM511" s="851"/>
      <c r="DN511" s="293"/>
      <c r="DP511" s="851"/>
      <c r="DQ511" s="851"/>
      <c r="DR511" s="293"/>
      <c r="DW511" s="1198" t="s">
        <v>174</v>
      </c>
      <c r="DX511" s="818"/>
      <c r="DY511" s="818"/>
      <c r="EA511" s="818"/>
      <c r="EB511" s="818"/>
      <c r="EC511" s="293"/>
      <c r="EE511" s="818"/>
      <c r="EF511" s="818"/>
      <c r="EG511" s="293"/>
      <c r="EI511" s="818"/>
      <c r="EJ511" s="818"/>
      <c r="EK511" s="293"/>
    </row>
    <row r="512" spans="1:283" hidden="1" outlineLevel="1">
      <c r="A512" s="102" t="s">
        <v>674</v>
      </c>
      <c r="AP512" s="1219"/>
      <c r="AR512" s="730"/>
      <c r="AS512" s="730"/>
      <c r="AT512" s="1219">
        <v>0</v>
      </c>
      <c r="AV512" s="730">
        <v>0</v>
      </c>
      <c r="AW512" s="730">
        <v>0</v>
      </c>
      <c r="AX512" s="293">
        <f t="shared" si="1487"/>
        <v>0</v>
      </c>
      <c r="AZ512" s="730">
        <v>0</v>
      </c>
      <c r="BA512" s="730">
        <v>0</v>
      </c>
      <c r="BB512" s="293">
        <f t="shared" si="1488"/>
        <v>0</v>
      </c>
      <c r="BD512" s="626">
        <v>0</v>
      </c>
      <c r="BE512" s="927">
        <v>0</v>
      </c>
      <c r="BF512" s="293">
        <f t="shared" si="1489"/>
        <v>0</v>
      </c>
      <c r="BH512" s="626">
        <v>0</v>
      </c>
      <c r="BI512" s="626">
        <v>0</v>
      </c>
      <c r="BJ512" s="293">
        <f t="shared" si="1490"/>
        <v>0</v>
      </c>
      <c r="BL512" s="626">
        <v>0</v>
      </c>
      <c r="BM512" s="626">
        <v>0</v>
      </c>
      <c r="BN512" s="293">
        <f t="shared" si="1491"/>
        <v>0</v>
      </c>
      <c r="BP512" s="626">
        <v>0</v>
      </c>
      <c r="BQ512" s="626">
        <v>0</v>
      </c>
      <c r="BR512" s="293">
        <f t="shared" si="1492"/>
        <v>0</v>
      </c>
      <c r="BT512" s="626">
        <v>0</v>
      </c>
      <c r="BU512" s="626">
        <v>0</v>
      </c>
      <c r="BV512" s="293">
        <f t="shared" si="1493"/>
        <v>0</v>
      </c>
      <c r="BX512" s="626">
        <v>0</v>
      </c>
      <c r="BY512" s="626">
        <v>0</v>
      </c>
      <c r="BZ512" s="293">
        <f t="shared" si="1494"/>
        <v>0</v>
      </c>
      <c r="CB512" s="626">
        <v>0</v>
      </c>
      <c r="CC512" s="626">
        <v>0</v>
      </c>
      <c r="CD512" s="293">
        <f t="shared" si="1495"/>
        <v>0</v>
      </c>
      <c r="CF512" s="626"/>
      <c r="CG512" s="626"/>
      <c r="CH512" s="293"/>
      <c r="CJ512" s="626"/>
      <c r="CK512" s="626"/>
      <c r="CL512" s="293"/>
      <c r="CN512" s="851"/>
      <c r="CO512" s="626"/>
      <c r="CP512" s="293"/>
      <c r="CR512" s="851"/>
      <c r="CS512" s="851"/>
      <c r="CT512" s="293"/>
      <c r="CV512" s="851"/>
      <c r="CW512" s="851"/>
      <c r="CX512" s="293"/>
      <c r="CZ512" s="851"/>
      <c r="DA512" s="851"/>
      <c r="DB512" s="293"/>
      <c r="DD512" s="851"/>
      <c r="DE512" s="851"/>
      <c r="DF512" s="293"/>
      <c r="DH512" s="851"/>
      <c r="DI512" s="851"/>
      <c r="DJ512" s="293"/>
      <c r="DL512" s="851"/>
      <c r="DM512" s="851"/>
      <c r="DN512" s="293"/>
      <c r="DP512" s="851"/>
      <c r="DQ512" s="851"/>
      <c r="DR512" s="293"/>
      <c r="DW512" s="1198" t="s">
        <v>174</v>
      </c>
      <c r="DX512" s="818"/>
      <c r="DY512" s="818"/>
      <c r="EA512" s="818"/>
      <c r="EB512" s="818"/>
      <c r="EC512" s="293"/>
      <c r="EE512" s="818"/>
      <c r="EF512" s="818"/>
      <c r="EG512" s="293"/>
      <c r="EI512" s="818"/>
      <c r="EJ512" s="818"/>
      <c r="EK512" s="293"/>
    </row>
    <row r="513" spans="1:283" hidden="1" outlineLevel="1">
      <c r="A513" s="102" t="s">
        <v>659</v>
      </c>
      <c r="AP513" s="1219"/>
      <c r="AR513" s="730"/>
      <c r="AS513" s="730"/>
      <c r="AT513" s="1219">
        <v>0</v>
      </c>
      <c r="AV513" s="730">
        <v>-12</v>
      </c>
      <c r="AW513" s="730">
        <v>-1</v>
      </c>
      <c r="AX513" s="293">
        <f t="shared" si="1487"/>
        <v>-13</v>
      </c>
      <c r="AZ513" s="730">
        <v>-4</v>
      </c>
      <c r="BA513" s="730">
        <v>1</v>
      </c>
      <c r="BB513" s="293">
        <f t="shared" si="1488"/>
        <v>-3</v>
      </c>
      <c r="BD513" s="626">
        <v>-1</v>
      </c>
      <c r="BE513" s="927">
        <v>-12</v>
      </c>
      <c r="BF513" s="293">
        <f t="shared" si="1489"/>
        <v>-13</v>
      </c>
      <c r="BH513" s="626">
        <v>-1</v>
      </c>
      <c r="BI513" s="927">
        <v>-10</v>
      </c>
      <c r="BJ513" s="293">
        <f t="shared" si="1490"/>
        <v>-11</v>
      </c>
      <c r="BL513" s="626">
        <v>-2</v>
      </c>
      <c r="BM513" s="927">
        <v>-14</v>
      </c>
      <c r="BN513" s="293">
        <f t="shared" si="1491"/>
        <v>-16</v>
      </c>
      <c r="BP513" s="626">
        <v>-15</v>
      </c>
      <c r="BQ513" s="927">
        <v>-34</v>
      </c>
      <c r="BR513" s="293">
        <f t="shared" si="1492"/>
        <v>-49</v>
      </c>
      <c r="BT513" s="626">
        <v>-4</v>
      </c>
      <c r="BU513" s="927">
        <v>-41</v>
      </c>
      <c r="BV513" s="293">
        <f t="shared" si="1493"/>
        <v>-45</v>
      </c>
      <c r="BX513" s="626">
        <v>-17</v>
      </c>
      <c r="BY513" s="626">
        <v>-11</v>
      </c>
      <c r="BZ513" s="293">
        <f t="shared" si="1494"/>
        <v>-28</v>
      </c>
      <c r="CB513" s="626">
        <v>0</v>
      </c>
      <c r="CC513" s="626">
        <v>0</v>
      </c>
      <c r="CD513" s="293">
        <f t="shared" si="1495"/>
        <v>0</v>
      </c>
      <c r="CF513" s="626"/>
      <c r="CG513" s="626"/>
      <c r="CH513" s="293"/>
      <c r="CJ513" s="626"/>
      <c r="CK513" s="626"/>
      <c r="CL513" s="293"/>
      <c r="CN513" s="851"/>
      <c r="CO513" s="626"/>
      <c r="CP513" s="293"/>
      <c r="CR513" s="851"/>
      <c r="CS513" s="851"/>
      <c r="CT513" s="293"/>
      <c r="CV513" s="851"/>
      <c r="CW513" s="851"/>
      <c r="CX513" s="293"/>
      <c r="CZ513" s="851"/>
      <c r="DA513" s="851"/>
      <c r="DB513" s="293"/>
      <c r="DD513" s="851"/>
      <c r="DE513" s="851"/>
      <c r="DF513" s="293"/>
      <c r="DH513" s="851"/>
      <c r="DI513" s="851"/>
      <c r="DJ513" s="293"/>
      <c r="DL513" s="851"/>
      <c r="DM513" s="851"/>
      <c r="DN513" s="293"/>
      <c r="DP513" s="851"/>
      <c r="DQ513" s="851"/>
      <c r="DR513" s="293"/>
      <c r="DW513" s="1198" t="s">
        <v>174</v>
      </c>
      <c r="DX513" s="818"/>
      <c r="DY513" s="818"/>
      <c r="EA513" s="818"/>
      <c r="EB513" s="818"/>
      <c r="EC513" s="293"/>
      <c r="EE513" s="818"/>
      <c r="EF513" s="818"/>
      <c r="EG513" s="293"/>
      <c r="EI513" s="818"/>
      <c r="EJ513" s="818"/>
      <c r="EK513" s="293"/>
    </row>
    <row r="514" spans="1:283" hidden="1" outlineLevel="1">
      <c r="A514" s="102" t="s">
        <v>660</v>
      </c>
      <c r="AP514" s="1219"/>
      <c r="AR514" s="730"/>
      <c r="AS514" s="730"/>
      <c r="AT514" s="1219">
        <v>-33</v>
      </c>
      <c r="AV514" s="730">
        <v>-12</v>
      </c>
      <c r="AW514" s="730">
        <v>-4</v>
      </c>
      <c r="AX514" s="293">
        <f t="shared" si="1487"/>
        <v>-16</v>
      </c>
      <c r="AZ514" s="730">
        <v>-1</v>
      </c>
      <c r="BA514" s="730">
        <v>1</v>
      </c>
      <c r="BB514" s="293">
        <f t="shared" si="1488"/>
        <v>0</v>
      </c>
      <c r="BD514" s="626">
        <v>0</v>
      </c>
      <c r="BE514" s="927">
        <v>0</v>
      </c>
      <c r="BF514" s="293">
        <f t="shared" si="1489"/>
        <v>0</v>
      </c>
      <c r="BH514" s="626">
        <v>0</v>
      </c>
      <c r="BI514" s="626">
        <v>0</v>
      </c>
      <c r="BJ514" s="293">
        <f t="shared" si="1490"/>
        <v>0</v>
      </c>
      <c r="BL514" s="626">
        <v>0</v>
      </c>
      <c r="BM514" s="626">
        <v>0</v>
      </c>
      <c r="BN514" s="293">
        <f t="shared" si="1491"/>
        <v>0</v>
      </c>
      <c r="BP514" s="626">
        <v>0</v>
      </c>
      <c r="BQ514" s="626">
        <v>0</v>
      </c>
      <c r="BR514" s="293">
        <f t="shared" si="1492"/>
        <v>0</v>
      </c>
      <c r="BT514" s="626">
        <v>0</v>
      </c>
      <c r="BU514" s="626">
        <v>0</v>
      </c>
      <c r="BV514" s="293">
        <f t="shared" si="1493"/>
        <v>0</v>
      </c>
      <c r="BX514" s="626">
        <v>0</v>
      </c>
      <c r="BY514" s="626">
        <v>0</v>
      </c>
      <c r="BZ514" s="293">
        <f t="shared" si="1494"/>
        <v>0</v>
      </c>
      <c r="CB514" s="626">
        <v>0</v>
      </c>
      <c r="CC514" s="626">
        <v>0</v>
      </c>
      <c r="CD514" s="293">
        <f t="shared" si="1495"/>
        <v>0</v>
      </c>
      <c r="CF514" s="626"/>
      <c r="CG514" s="626"/>
      <c r="CH514" s="293"/>
      <c r="CJ514" s="626"/>
      <c r="CK514" s="626"/>
      <c r="CL514" s="293"/>
      <c r="CN514" s="851"/>
      <c r="CO514" s="626"/>
      <c r="CP514" s="293"/>
      <c r="CR514" s="851"/>
      <c r="CS514" s="851"/>
      <c r="CT514" s="293"/>
      <c r="CV514" s="851"/>
      <c r="CW514" s="851"/>
      <c r="CX514" s="293"/>
      <c r="CZ514" s="851"/>
      <c r="DA514" s="851"/>
      <c r="DB514" s="293"/>
      <c r="DD514" s="851"/>
      <c r="DE514" s="851"/>
      <c r="DF514" s="293"/>
      <c r="DH514" s="851"/>
      <c r="DI514" s="851"/>
      <c r="DJ514" s="293"/>
      <c r="DL514" s="851"/>
      <c r="DM514" s="851"/>
      <c r="DN514" s="293"/>
      <c r="DP514" s="851"/>
      <c r="DQ514" s="851"/>
      <c r="DR514" s="293"/>
      <c r="DW514" s="1198" t="s">
        <v>174</v>
      </c>
      <c r="DX514" s="818"/>
      <c r="DY514" s="818"/>
      <c r="EA514" s="818"/>
      <c r="EB514" s="818"/>
      <c r="EC514" s="293"/>
      <c r="EE514" s="818"/>
      <c r="EF514" s="818"/>
      <c r="EG514" s="293"/>
      <c r="EI514" s="818"/>
      <c r="EJ514" s="818"/>
      <c r="EK514" s="293"/>
    </row>
    <row r="515" spans="1:283" hidden="1" outlineLevel="1">
      <c r="A515" s="102" t="s">
        <v>1138</v>
      </c>
      <c r="AP515" s="1219"/>
      <c r="AR515" s="730"/>
      <c r="AS515" s="730"/>
      <c r="AT515" s="1219">
        <v>0</v>
      </c>
      <c r="AV515" s="730">
        <v>0</v>
      </c>
      <c r="AW515" s="730">
        <v>0</v>
      </c>
      <c r="AX515" s="293">
        <f t="shared" si="1487"/>
        <v>0</v>
      </c>
      <c r="AZ515" s="730">
        <v>0</v>
      </c>
      <c r="BA515" s="730">
        <v>0</v>
      </c>
      <c r="BB515" s="293">
        <f t="shared" si="1488"/>
        <v>0</v>
      </c>
      <c r="BD515" s="626">
        <v>0</v>
      </c>
      <c r="BE515" s="927">
        <v>0</v>
      </c>
      <c r="BF515" s="293">
        <f t="shared" si="1489"/>
        <v>0</v>
      </c>
      <c r="BH515" s="626">
        <v>0</v>
      </c>
      <c r="BI515" s="626">
        <v>0</v>
      </c>
      <c r="BJ515" s="293">
        <f t="shared" si="1490"/>
        <v>0</v>
      </c>
      <c r="BL515" s="626">
        <v>0</v>
      </c>
      <c r="BM515" s="626">
        <v>0</v>
      </c>
      <c r="BN515" s="293">
        <f t="shared" si="1491"/>
        <v>0</v>
      </c>
      <c r="BP515" s="626">
        <v>0</v>
      </c>
      <c r="BQ515" s="626">
        <v>141</v>
      </c>
      <c r="BR515" s="293">
        <f t="shared" si="1492"/>
        <v>141</v>
      </c>
      <c r="BT515" s="626">
        <v>3</v>
      </c>
      <c r="BU515" s="626">
        <v>5</v>
      </c>
      <c r="BV515" s="293">
        <f t="shared" si="1493"/>
        <v>8</v>
      </c>
      <c r="BX515" s="626">
        <v>15</v>
      </c>
      <c r="BY515" s="626">
        <v>1</v>
      </c>
      <c r="BZ515" s="293">
        <f t="shared" si="1494"/>
        <v>16</v>
      </c>
      <c r="CB515" s="626">
        <v>6</v>
      </c>
      <c r="CC515" s="626">
        <v>21</v>
      </c>
      <c r="CD515" s="293">
        <f t="shared" si="1495"/>
        <v>27</v>
      </c>
      <c r="CF515" s="626"/>
      <c r="CG515" s="626"/>
      <c r="CH515" s="293"/>
      <c r="CJ515" s="626"/>
      <c r="CK515" s="626"/>
      <c r="CL515" s="293"/>
      <c r="CN515" s="851"/>
      <c r="CO515" s="626"/>
      <c r="CP515" s="293"/>
      <c r="CR515" s="851"/>
      <c r="CS515" s="851"/>
      <c r="CT515" s="293"/>
      <c r="CV515" s="851"/>
      <c r="CW515" s="851"/>
      <c r="CX515" s="293"/>
      <c r="CZ515" s="851"/>
      <c r="DA515" s="851"/>
      <c r="DB515" s="293"/>
      <c r="DD515" s="851"/>
      <c r="DE515" s="851"/>
      <c r="DF515" s="293"/>
      <c r="DH515" s="851"/>
      <c r="DI515" s="851"/>
      <c r="DJ515" s="293"/>
      <c r="DL515" s="851"/>
      <c r="DM515" s="851"/>
      <c r="DN515" s="293"/>
      <c r="DP515" s="851"/>
      <c r="DQ515" s="851"/>
      <c r="DR515" s="293"/>
      <c r="DW515" s="1198" t="s">
        <v>174</v>
      </c>
      <c r="DX515" s="818"/>
      <c r="DY515" s="818"/>
      <c r="EA515" s="818"/>
      <c r="EB515" s="818"/>
      <c r="EC515" s="293"/>
      <c r="EE515" s="818"/>
      <c r="EF515" s="818"/>
      <c r="EG515" s="293"/>
      <c r="EI515" s="818"/>
      <c r="EJ515" s="818"/>
      <c r="EK515" s="293"/>
    </row>
    <row r="516" spans="1:283" s="289" customFormat="1" hidden="1" outlineLevel="1">
      <c r="A516" s="289" t="s">
        <v>662</v>
      </c>
      <c r="AN516" s="290"/>
      <c r="AO516" s="290"/>
      <c r="AP516" s="1219">
        <v>67</v>
      </c>
      <c r="AQ516" s="290"/>
      <c r="AR516" s="674"/>
      <c r="AS516" s="674"/>
      <c r="AT516" s="1219">
        <v>114</v>
      </c>
      <c r="AU516" s="290"/>
      <c r="AV516" s="674">
        <v>33</v>
      </c>
      <c r="AW516" s="674">
        <v>35</v>
      </c>
      <c r="AX516" s="295">
        <f t="shared" si="1487"/>
        <v>68</v>
      </c>
      <c r="AY516" s="290"/>
      <c r="AZ516" s="674">
        <v>41</v>
      </c>
      <c r="BA516" s="674">
        <v>159</v>
      </c>
      <c r="BB516" s="295">
        <f t="shared" si="1488"/>
        <v>200</v>
      </c>
      <c r="BC516" s="290"/>
      <c r="BD516" s="655">
        <v>183</v>
      </c>
      <c r="BE516" s="928">
        <v>198</v>
      </c>
      <c r="BF516" s="295">
        <f t="shared" si="1489"/>
        <v>381</v>
      </c>
      <c r="BG516" s="290"/>
      <c r="BH516" s="655">
        <v>203</v>
      </c>
      <c r="BI516" s="928">
        <v>212</v>
      </c>
      <c r="BJ516" s="295">
        <f t="shared" si="1490"/>
        <v>415</v>
      </c>
      <c r="BK516" s="290"/>
      <c r="BL516" s="655">
        <v>255</v>
      </c>
      <c r="BM516" s="928">
        <v>265</v>
      </c>
      <c r="BN516" s="295">
        <f t="shared" si="1491"/>
        <v>520</v>
      </c>
      <c r="BO516" s="672">
        <f>+BN516/BJ516-1</f>
        <v>0.25301204819277112</v>
      </c>
      <c r="BP516" s="655">
        <v>265</v>
      </c>
      <c r="BQ516" s="928">
        <v>296</v>
      </c>
      <c r="BR516" s="295">
        <f t="shared" si="1492"/>
        <v>561</v>
      </c>
      <c r="BS516" s="672">
        <f>+BR516/BN516-1</f>
        <v>7.8846153846153788E-2</v>
      </c>
      <c r="BT516" s="655">
        <v>379</v>
      </c>
      <c r="BU516" s="928">
        <v>486</v>
      </c>
      <c r="BV516" s="295">
        <f t="shared" si="1493"/>
        <v>865</v>
      </c>
      <c r="BW516" s="672">
        <f>+BV516/BR516-1</f>
        <v>0.54188948306595375</v>
      </c>
      <c r="BX516" s="655">
        <v>467</v>
      </c>
      <c r="BY516" s="655">
        <v>437</v>
      </c>
      <c r="BZ516" s="295">
        <f t="shared" si="1494"/>
        <v>904</v>
      </c>
      <c r="CA516" s="672">
        <f>+BZ516/BV516-1</f>
        <v>4.5086705202312061E-2</v>
      </c>
      <c r="CB516" s="655">
        <v>466</v>
      </c>
      <c r="CC516" s="655">
        <v>466</v>
      </c>
      <c r="CD516" s="295">
        <f t="shared" si="1495"/>
        <v>932</v>
      </c>
      <c r="CE516" s="672">
        <f>+CD516/BZ516-1</f>
        <v>3.0973451327433565E-2</v>
      </c>
      <c r="CF516" s="655"/>
      <c r="CG516" s="655"/>
      <c r="CH516" s="295"/>
      <c r="CI516" s="672"/>
      <c r="CJ516" s="655"/>
      <c r="CK516" s="655"/>
      <c r="CL516" s="295"/>
      <c r="CM516" s="672"/>
      <c r="CN516" s="967"/>
      <c r="CO516" s="655"/>
      <c r="CP516" s="295"/>
      <c r="CQ516" s="672"/>
      <c r="CR516" s="967"/>
      <c r="CS516" s="967"/>
      <c r="CT516" s="295"/>
      <c r="CU516" s="672"/>
      <c r="CV516" s="967"/>
      <c r="CW516" s="967"/>
      <c r="CX516" s="295"/>
      <c r="CY516" s="672"/>
      <c r="CZ516" s="967"/>
      <c r="DA516" s="967"/>
      <c r="DB516" s="295"/>
      <c r="DC516" s="672"/>
      <c r="DD516" s="967"/>
      <c r="DE516" s="967"/>
      <c r="DF516" s="295"/>
      <c r="DG516" s="672"/>
      <c r="DH516" s="967"/>
      <c r="DI516" s="967"/>
      <c r="DJ516" s="295"/>
      <c r="DK516" s="672"/>
      <c r="DL516" s="967"/>
      <c r="DM516" s="967"/>
      <c r="DN516" s="295"/>
      <c r="DO516" s="672"/>
      <c r="DP516" s="967"/>
      <c r="DQ516" s="967"/>
      <c r="DR516" s="295"/>
      <c r="DS516" s="672"/>
      <c r="DT516" s="672"/>
      <c r="DU516" s="672"/>
      <c r="DV516" s="672"/>
      <c r="DW516" s="1232" t="s">
        <v>174</v>
      </c>
      <c r="DX516" s="853"/>
      <c r="DY516" s="853"/>
      <c r="DZ516" s="290"/>
      <c r="EA516" s="853"/>
      <c r="EB516" s="853"/>
      <c r="EC516" s="295"/>
      <c r="ED516" s="290"/>
      <c r="EE516" s="853"/>
      <c r="EF516" s="853"/>
      <c r="EG516" s="295"/>
      <c r="EH516" s="290"/>
      <c r="EI516" s="853"/>
      <c r="EJ516" s="853"/>
      <c r="EK516" s="295"/>
      <c r="EL516" s="290"/>
      <c r="EM516" s="290"/>
      <c r="EN516" s="290"/>
      <c r="EO516" s="290"/>
      <c r="EP516" s="290"/>
      <c r="EQ516" s="290"/>
      <c r="ER516" s="290"/>
      <c r="ES516" s="290"/>
      <c r="ET516" s="290"/>
      <c r="EU516" s="290"/>
      <c r="JW516"/>
    </row>
    <row r="517" spans="1:283" hidden="1" outlineLevel="1">
      <c r="A517" s="102" t="s">
        <v>658</v>
      </c>
      <c r="AP517" s="1219"/>
      <c r="AR517" s="730"/>
      <c r="AS517" s="730"/>
      <c r="AT517" s="1219">
        <v>0</v>
      </c>
      <c r="AV517" s="730">
        <v>0</v>
      </c>
      <c r="AW517" s="730">
        <v>0</v>
      </c>
      <c r="AX517" s="293">
        <f t="shared" si="1487"/>
        <v>0</v>
      </c>
      <c r="AZ517" s="730">
        <v>0</v>
      </c>
      <c r="BA517" s="730">
        <v>0</v>
      </c>
      <c r="BB517" s="293">
        <f t="shared" si="1488"/>
        <v>0</v>
      </c>
      <c r="BD517" s="626">
        <v>0</v>
      </c>
      <c r="BE517" s="927">
        <v>0</v>
      </c>
      <c r="BF517" s="293">
        <f t="shared" si="1489"/>
        <v>0</v>
      </c>
      <c r="BH517" s="626">
        <v>0</v>
      </c>
      <c r="BI517" s="626">
        <v>0</v>
      </c>
      <c r="BJ517" s="293">
        <f t="shared" si="1490"/>
        <v>0</v>
      </c>
      <c r="BL517" s="626">
        <v>0</v>
      </c>
      <c r="BM517" s="626">
        <v>0</v>
      </c>
      <c r="BN517" s="293">
        <f t="shared" si="1491"/>
        <v>0</v>
      </c>
      <c r="BP517" s="626">
        <v>0</v>
      </c>
      <c r="BQ517" s="626">
        <v>0</v>
      </c>
      <c r="BR517" s="293">
        <f t="shared" si="1492"/>
        <v>0</v>
      </c>
      <c r="BT517" s="626">
        <v>0</v>
      </c>
      <c r="BU517" s="626">
        <v>0</v>
      </c>
      <c r="BV517" s="293">
        <f t="shared" si="1493"/>
        <v>0</v>
      </c>
      <c r="BX517" s="626">
        <v>0</v>
      </c>
      <c r="BY517" s="626">
        <v>0</v>
      </c>
      <c r="BZ517" s="293">
        <f t="shared" si="1494"/>
        <v>0</v>
      </c>
      <c r="CB517" s="626">
        <v>0</v>
      </c>
      <c r="CC517" s="626">
        <v>0</v>
      </c>
      <c r="CD517" s="293">
        <f t="shared" si="1495"/>
        <v>0</v>
      </c>
      <c r="CF517" s="626"/>
      <c r="CG517" s="626"/>
      <c r="CH517" s="293"/>
      <c r="CJ517" s="626"/>
      <c r="CK517" s="626"/>
      <c r="CL517" s="293"/>
      <c r="CN517" s="851"/>
      <c r="CO517" s="626"/>
      <c r="CP517" s="293"/>
      <c r="CR517" s="851"/>
      <c r="CS517" s="851"/>
      <c r="CT517" s="293"/>
      <c r="CV517" s="851"/>
      <c r="CW517" s="851"/>
      <c r="CX517" s="293"/>
      <c r="CZ517" s="851"/>
      <c r="DA517" s="851"/>
      <c r="DB517" s="293"/>
      <c r="DD517" s="851"/>
      <c r="DE517" s="851"/>
      <c r="DF517" s="293"/>
      <c r="DH517" s="851"/>
      <c r="DI517" s="851"/>
      <c r="DJ517" s="293"/>
      <c r="DL517" s="851"/>
      <c r="DM517" s="851"/>
      <c r="DN517" s="293"/>
      <c r="DP517" s="851"/>
      <c r="DQ517" s="851"/>
      <c r="DR517" s="293"/>
      <c r="DW517" s="1198" t="s">
        <v>174</v>
      </c>
      <c r="DX517" s="818"/>
      <c r="DY517" s="818"/>
      <c r="EA517" s="818"/>
      <c r="EB517" s="818"/>
      <c r="EC517" s="293"/>
      <c r="EE517" s="818"/>
      <c r="EF517" s="818"/>
      <c r="EG517" s="293"/>
      <c r="EI517" s="818"/>
      <c r="EJ517" s="818"/>
      <c r="EK517" s="293"/>
    </row>
    <row r="518" spans="1:283" hidden="1" outlineLevel="1">
      <c r="A518" s="102" t="s">
        <v>887</v>
      </c>
      <c r="AP518" s="1219"/>
      <c r="AR518" s="730"/>
      <c r="AS518" s="730"/>
      <c r="AT518" s="1219">
        <v>0</v>
      </c>
      <c r="AV518" s="730">
        <v>0</v>
      </c>
      <c r="AW518" s="730">
        <v>0</v>
      </c>
      <c r="AX518" s="293">
        <f t="shared" si="1487"/>
        <v>0</v>
      </c>
      <c r="AZ518" s="730">
        <v>0</v>
      </c>
      <c r="BA518" s="730">
        <v>0</v>
      </c>
      <c r="BB518" s="293">
        <f t="shared" si="1488"/>
        <v>0</v>
      </c>
      <c r="BD518" s="626">
        <v>0</v>
      </c>
      <c r="BE518" s="927">
        <v>0</v>
      </c>
      <c r="BF518" s="293">
        <f t="shared" si="1489"/>
        <v>0</v>
      </c>
      <c r="BH518" s="626">
        <v>0</v>
      </c>
      <c r="BI518" s="626">
        <v>0</v>
      </c>
      <c r="BJ518" s="293">
        <f t="shared" si="1490"/>
        <v>0</v>
      </c>
      <c r="BL518" s="626">
        <v>0</v>
      </c>
      <c r="BM518" s="626">
        <v>0</v>
      </c>
      <c r="BN518" s="293">
        <f t="shared" si="1491"/>
        <v>0</v>
      </c>
      <c r="BP518" s="626">
        <v>0</v>
      </c>
      <c r="BQ518" s="626">
        <v>0</v>
      </c>
      <c r="BR518" s="293">
        <f t="shared" si="1492"/>
        <v>0</v>
      </c>
      <c r="BT518" s="626">
        <v>0</v>
      </c>
      <c r="BU518" s="626">
        <v>0</v>
      </c>
      <c r="BV518" s="293">
        <f t="shared" si="1493"/>
        <v>0</v>
      </c>
      <c r="BX518" s="626">
        <v>0</v>
      </c>
      <c r="BY518" s="626">
        <v>0</v>
      </c>
      <c r="BZ518" s="293">
        <f t="shared" si="1494"/>
        <v>0</v>
      </c>
      <c r="CB518" s="626">
        <v>0</v>
      </c>
      <c r="CC518" s="626">
        <v>0</v>
      </c>
      <c r="CD518" s="293">
        <f t="shared" si="1495"/>
        <v>0</v>
      </c>
      <c r="CF518" s="626"/>
      <c r="CG518" s="626"/>
      <c r="CH518" s="293"/>
      <c r="CJ518" s="626"/>
      <c r="CK518" s="626"/>
      <c r="CL518" s="293"/>
      <c r="CN518" s="851"/>
      <c r="CO518" s="626"/>
      <c r="CP518" s="293"/>
      <c r="CR518" s="851"/>
      <c r="CS518" s="851"/>
      <c r="CT518" s="293"/>
      <c r="CV518" s="851"/>
      <c r="CW518" s="851"/>
      <c r="CX518" s="293"/>
      <c r="CZ518" s="851"/>
      <c r="DA518" s="851"/>
      <c r="DB518" s="293"/>
      <c r="DD518" s="851"/>
      <c r="DE518" s="851"/>
      <c r="DF518" s="293"/>
      <c r="DH518" s="851"/>
      <c r="DI518" s="851"/>
      <c r="DJ518" s="293"/>
      <c r="DL518" s="851"/>
      <c r="DM518" s="851"/>
      <c r="DN518" s="293"/>
      <c r="DP518" s="851"/>
      <c r="DQ518" s="851"/>
      <c r="DR518" s="293"/>
      <c r="DW518" s="1198" t="s">
        <v>174</v>
      </c>
      <c r="DX518" s="818"/>
      <c r="DY518" s="818"/>
      <c r="EA518" s="818"/>
      <c r="EB518" s="818"/>
      <c r="EC518" s="293"/>
      <c r="EE518" s="818"/>
      <c r="EF518" s="818"/>
      <c r="EG518" s="293"/>
      <c r="EI518" s="818"/>
      <c r="EJ518" s="818"/>
      <c r="EK518" s="293"/>
    </row>
    <row r="519" spans="1:283" hidden="1" outlineLevel="1">
      <c r="A519" s="102" t="s">
        <v>667</v>
      </c>
      <c r="AP519" s="1219"/>
      <c r="AR519" s="730"/>
      <c r="AS519" s="730"/>
      <c r="AT519" s="1219">
        <v>0</v>
      </c>
      <c r="AV519" s="730">
        <v>0</v>
      </c>
      <c r="AW519" s="730">
        <v>0</v>
      </c>
      <c r="AX519" s="293">
        <f t="shared" si="1487"/>
        <v>0</v>
      </c>
      <c r="AZ519" s="730">
        <v>0</v>
      </c>
      <c r="BA519" s="730">
        <v>0</v>
      </c>
      <c r="BB519" s="293">
        <f t="shared" si="1488"/>
        <v>0</v>
      </c>
      <c r="BD519" s="626">
        <v>0</v>
      </c>
      <c r="BE519" s="927">
        <v>0</v>
      </c>
      <c r="BF519" s="293">
        <f t="shared" si="1489"/>
        <v>0</v>
      </c>
      <c r="BH519" s="626">
        <v>0</v>
      </c>
      <c r="BI519" s="626">
        <v>0</v>
      </c>
      <c r="BJ519" s="293">
        <f t="shared" si="1490"/>
        <v>0</v>
      </c>
      <c r="BL519" s="626">
        <v>0</v>
      </c>
      <c r="BM519" s="626">
        <v>0</v>
      </c>
      <c r="BN519" s="293">
        <f t="shared" si="1491"/>
        <v>0</v>
      </c>
      <c r="BP519" s="626">
        <v>0</v>
      </c>
      <c r="BQ519" s="626">
        <v>0</v>
      </c>
      <c r="BR519" s="293">
        <f t="shared" si="1492"/>
        <v>0</v>
      </c>
      <c r="BT519" s="626">
        <v>0</v>
      </c>
      <c r="BU519" s="626">
        <v>0</v>
      </c>
      <c r="BV519" s="293">
        <f t="shared" si="1493"/>
        <v>0</v>
      </c>
      <c r="BX519" s="626">
        <v>0</v>
      </c>
      <c r="BY519" s="626">
        <v>0</v>
      </c>
      <c r="BZ519" s="293">
        <f t="shared" si="1494"/>
        <v>0</v>
      </c>
      <c r="CB519" s="626">
        <v>0</v>
      </c>
      <c r="CC519" s="626">
        <v>0</v>
      </c>
      <c r="CD519" s="293">
        <f t="shared" si="1495"/>
        <v>0</v>
      </c>
      <c r="CF519" s="626"/>
      <c r="CG519" s="626"/>
      <c r="CH519" s="293"/>
      <c r="CJ519" s="626"/>
      <c r="CK519" s="626"/>
      <c r="CL519" s="293"/>
      <c r="CN519" s="851"/>
      <c r="CO519" s="626"/>
      <c r="CP519" s="293"/>
      <c r="CR519" s="851"/>
      <c r="CS519" s="851"/>
      <c r="CT519" s="293"/>
      <c r="CV519" s="851"/>
      <c r="CW519" s="851"/>
      <c r="CX519" s="293"/>
      <c r="CZ519" s="851"/>
      <c r="DA519" s="851"/>
      <c r="DB519" s="293"/>
      <c r="DD519" s="851"/>
      <c r="DE519" s="851"/>
      <c r="DF519" s="293"/>
      <c r="DH519" s="851"/>
      <c r="DI519" s="851"/>
      <c r="DJ519" s="293"/>
      <c r="DL519" s="851"/>
      <c r="DM519" s="851"/>
      <c r="DN519" s="293"/>
      <c r="DP519" s="851"/>
      <c r="DQ519" s="851"/>
      <c r="DR519" s="293"/>
      <c r="DW519" s="1198" t="s">
        <v>174</v>
      </c>
      <c r="DX519" s="818"/>
      <c r="DY519" s="818"/>
      <c r="EA519" s="818"/>
      <c r="EB519" s="818"/>
      <c r="EC519" s="293"/>
      <c r="EE519" s="818"/>
      <c r="EF519" s="818"/>
      <c r="EG519" s="293"/>
      <c r="EI519" s="818"/>
      <c r="EJ519" s="818"/>
      <c r="EK519" s="293"/>
    </row>
    <row r="520" spans="1:283" hidden="1" outlineLevel="1">
      <c r="A520" s="102" t="s">
        <v>675</v>
      </c>
      <c r="AP520" s="1219"/>
      <c r="AR520" s="730"/>
      <c r="AS520" s="730"/>
      <c r="AT520" s="1219">
        <v>0</v>
      </c>
      <c r="AV520" s="730">
        <v>0</v>
      </c>
      <c r="AW520" s="730">
        <v>0</v>
      </c>
      <c r="AX520" s="293">
        <f t="shared" si="1487"/>
        <v>0</v>
      </c>
      <c r="AZ520" s="730">
        <v>0</v>
      </c>
      <c r="BA520" s="730">
        <v>0</v>
      </c>
      <c r="BB520" s="293">
        <f t="shared" si="1488"/>
        <v>0</v>
      </c>
      <c r="BD520" s="626">
        <v>0</v>
      </c>
      <c r="BE520" s="927">
        <v>0</v>
      </c>
      <c r="BF520" s="293">
        <f t="shared" si="1489"/>
        <v>0</v>
      </c>
      <c r="BH520" s="626">
        <v>0</v>
      </c>
      <c r="BI520" s="626">
        <v>0</v>
      </c>
      <c r="BJ520" s="293">
        <f t="shared" si="1490"/>
        <v>0</v>
      </c>
      <c r="BL520" s="626">
        <v>0</v>
      </c>
      <c r="BM520" s="626">
        <v>0</v>
      </c>
      <c r="BN520" s="293">
        <f t="shared" si="1491"/>
        <v>0</v>
      </c>
      <c r="BP520" s="626">
        <v>0</v>
      </c>
      <c r="BQ520" s="626">
        <v>0</v>
      </c>
      <c r="BR520" s="293">
        <f t="shared" si="1492"/>
        <v>0</v>
      </c>
      <c r="BT520" s="626">
        <v>0</v>
      </c>
      <c r="BU520" s="626">
        <v>0</v>
      </c>
      <c r="BV520" s="293">
        <f t="shared" si="1493"/>
        <v>0</v>
      </c>
      <c r="BX520" s="626">
        <v>0</v>
      </c>
      <c r="BY520" s="626">
        <v>0</v>
      </c>
      <c r="BZ520" s="293">
        <f t="shared" si="1494"/>
        <v>0</v>
      </c>
      <c r="CB520" s="626">
        <v>0</v>
      </c>
      <c r="CC520" s="626">
        <v>0</v>
      </c>
      <c r="CD520" s="293">
        <f t="shared" si="1495"/>
        <v>0</v>
      </c>
      <c r="CF520" s="626"/>
      <c r="CG520" s="626"/>
      <c r="CH520" s="293"/>
      <c r="CJ520" s="626"/>
      <c r="CK520" s="626"/>
      <c r="CL520" s="293"/>
      <c r="CN520" s="851"/>
      <c r="CO520" s="626"/>
      <c r="CP520" s="293"/>
      <c r="CR520" s="851"/>
      <c r="CS520" s="851"/>
      <c r="CT520" s="293"/>
      <c r="CV520" s="851"/>
      <c r="CW520" s="851"/>
      <c r="CX520" s="293"/>
      <c r="CZ520" s="851"/>
      <c r="DA520" s="851"/>
      <c r="DB520" s="293"/>
      <c r="DD520" s="851"/>
      <c r="DE520" s="851"/>
      <c r="DF520" s="293"/>
      <c r="DH520" s="851"/>
      <c r="DI520" s="851"/>
      <c r="DJ520" s="293"/>
      <c r="DL520" s="851"/>
      <c r="DM520" s="851"/>
      <c r="DN520" s="293"/>
      <c r="DP520" s="851"/>
      <c r="DQ520" s="851"/>
      <c r="DR520" s="293"/>
      <c r="DW520" s="1198" t="s">
        <v>174</v>
      </c>
      <c r="DX520" s="818"/>
      <c r="DY520" s="818"/>
      <c r="EA520" s="818"/>
      <c r="EB520" s="818"/>
      <c r="EC520" s="293"/>
      <c r="EE520" s="818"/>
      <c r="EF520" s="818"/>
      <c r="EG520" s="293"/>
      <c r="EI520" s="818"/>
      <c r="EJ520" s="818"/>
      <c r="EK520" s="293"/>
    </row>
    <row r="521" spans="1:283" hidden="1" outlineLevel="1">
      <c r="A521" s="102" t="s">
        <v>1155</v>
      </c>
      <c r="AP521" s="1219">
        <v>-15</v>
      </c>
      <c r="AR521" s="730"/>
      <c r="AS521" s="730"/>
      <c r="AT521" s="1219">
        <v>-44</v>
      </c>
      <c r="AV521" s="730">
        <v>-24</v>
      </c>
      <c r="AW521" s="730">
        <v>-62</v>
      </c>
      <c r="AX521" s="293">
        <f t="shared" si="1487"/>
        <v>-86</v>
      </c>
      <c r="AZ521" s="730">
        <v>-19</v>
      </c>
      <c r="BA521" s="730">
        <v>-21</v>
      </c>
      <c r="BB521" s="293">
        <f t="shared" si="1488"/>
        <v>-40</v>
      </c>
      <c r="BD521" s="626">
        <v>-18</v>
      </c>
      <c r="BE521" s="927">
        <v>-32</v>
      </c>
      <c r="BF521" s="293">
        <f t="shared" si="1489"/>
        <v>-50</v>
      </c>
      <c r="BH521" s="626">
        <v>-18</v>
      </c>
      <c r="BI521" s="927">
        <v>-29</v>
      </c>
      <c r="BJ521" s="293">
        <f t="shared" si="1490"/>
        <v>-47</v>
      </c>
      <c r="BL521" s="626">
        <v>-27</v>
      </c>
      <c r="BM521" s="927">
        <v>-42</v>
      </c>
      <c r="BN521" s="293">
        <f t="shared" si="1491"/>
        <v>-69</v>
      </c>
      <c r="BP521" s="626">
        <v>-19</v>
      </c>
      <c r="BQ521" s="927">
        <v>-85</v>
      </c>
      <c r="BR521" s="293">
        <f t="shared" si="1492"/>
        <v>-104</v>
      </c>
      <c r="BT521" s="626">
        <v>-19</v>
      </c>
      <c r="BU521" s="927">
        <v>-103</v>
      </c>
      <c r="BV521" s="293">
        <f t="shared" si="1493"/>
        <v>-122</v>
      </c>
      <c r="BX521" s="626">
        <v>-44</v>
      </c>
      <c r="BY521" s="626">
        <v>-39</v>
      </c>
      <c r="BZ521" s="293">
        <f t="shared" si="1494"/>
        <v>-83</v>
      </c>
      <c r="CB521" s="626">
        <v>28</v>
      </c>
      <c r="CC521" s="626">
        <v>6</v>
      </c>
      <c r="CD521" s="293">
        <f t="shared" si="1495"/>
        <v>34</v>
      </c>
      <c r="CF521" s="626"/>
      <c r="CG521" s="626"/>
      <c r="CH521" s="293"/>
      <c r="CJ521" s="626"/>
      <c r="CK521" s="626"/>
      <c r="CL521" s="293"/>
      <c r="CN521" s="851"/>
      <c r="CO521" s="626"/>
      <c r="CP521" s="293"/>
      <c r="CR521" s="851"/>
      <c r="CS521" s="851"/>
      <c r="CT521" s="293"/>
      <c r="CV521" s="851"/>
      <c r="CW521" s="851"/>
      <c r="CX521" s="293"/>
      <c r="CZ521" s="851"/>
      <c r="DA521" s="851"/>
      <c r="DB521" s="293"/>
      <c r="DD521" s="851"/>
      <c r="DE521" s="851"/>
      <c r="DF521" s="293"/>
      <c r="DH521" s="851"/>
      <c r="DI521" s="851"/>
      <c r="DJ521" s="293"/>
      <c r="DL521" s="851"/>
      <c r="DM521" s="851"/>
      <c r="DN521" s="293"/>
      <c r="DP521" s="851"/>
      <c r="DQ521" s="851"/>
      <c r="DR521" s="293"/>
      <c r="DW521" s="1198" t="s">
        <v>174</v>
      </c>
      <c r="DX521" s="818"/>
      <c r="DY521" s="818"/>
      <c r="EA521" s="818"/>
      <c r="EB521" s="818"/>
      <c r="EC521" s="293"/>
      <c r="EE521" s="818"/>
      <c r="EF521" s="818"/>
      <c r="EG521" s="293"/>
      <c r="EI521" s="818"/>
      <c r="EJ521" s="818"/>
      <c r="EK521" s="293"/>
    </row>
    <row r="522" spans="1:283" hidden="1" outlineLevel="1">
      <c r="A522" s="102" t="s">
        <v>827</v>
      </c>
      <c r="AP522" s="1219"/>
      <c r="AR522" s="730"/>
      <c r="AS522" s="730"/>
      <c r="AT522" s="1219">
        <v>0</v>
      </c>
      <c r="AV522" s="730">
        <v>0</v>
      </c>
      <c r="AW522" s="730">
        <v>0</v>
      </c>
      <c r="AX522" s="293">
        <f t="shared" si="1487"/>
        <v>0</v>
      </c>
      <c r="AZ522" s="730">
        <v>0</v>
      </c>
      <c r="BA522" s="730">
        <v>0</v>
      </c>
      <c r="BB522" s="293">
        <f t="shared" si="1488"/>
        <v>0</v>
      </c>
      <c r="BD522" s="730">
        <v>0</v>
      </c>
      <c r="BE522" s="927">
        <v>0</v>
      </c>
      <c r="BF522" s="293">
        <f t="shared" si="1489"/>
        <v>0</v>
      </c>
      <c r="BH522" s="626">
        <v>0</v>
      </c>
      <c r="BI522" s="626">
        <v>0</v>
      </c>
      <c r="BJ522" s="293">
        <f t="shared" si="1490"/>
        <v>0</v>
      </c>
      <c r="BL522" s="626">
        <v>0</v>
      </c>
      <c r="BM522" s="626">
        <v>0</v>
      </c>
      <c r="BN522" s="293">
        <f t="shared" si="1491"/>
        <v>0</v>
      </c>
      <c r="BP522" s="626">
        <v>0</v>
      </c>
      <c r="BQ522" s="626">
        <v>0</v>
      </c>
      <c r="BR522" s="293">
        <f t="shared" si="1492"/>
        <v>0</v>
      </c>
      <c r="BT522" s="626">
        <v>0</v>
      </c>
      <c r="BU522" s="626">
        <v>0</v>
      </c>
      <c r="BV522" s="293">
        <f t="shared" si="1493"/>
        <v>0</v>
      </c>
      <c r="BX522" s="626">
        <v>0</v>
      </c>
      <c r="BY522" s="626">
        <v>0</v>
      </c>
      <c r="BZ522" s="293">
        <f t="shared" si="1494"/>
        <v>0</v>
      </c>
      <c r="CB522" s="626">
        <v>0</v>
      </c>
      <c r="CC522" s="626">
        <v>0</v>
      </c>
      <c r="CD522" s="293">
        <f t="shared" si="1495"/>
        <v>0</v>
      </c>
      <c r="CF522" s="626"/>
      <c r="CG522" s="626"/>
      <c r="CH522" s="293"/>
      <c r="CJ522" s="626"/>
      <c r="CK522" s="626"/>
      <c r="CL522" s="293"/>
      <c r="CN522" s="851"/>
      <c r="CO522" s="626"/>
      <c r="CP522" s="293"/>
      <c r="CR522" s="851"/>
      <c r="CS522" s="851"/>
      <c r="CT522" s="293"/>
      <c r="CV522" s="851"/>
      <c r="CW522" s="851"/>
      <c r="CX522" s="293"/>
      <c r="CZ522" s="851"/>
      <c r="DA522" s="851"/>
      <c r="DB522" s="293"/>
      <c r="DD522" s="851"/>
      <c r="DE522" s="851"/>
      <c r="DF522" s="293"/>
      <c r="DH522" s="851"/>
      <c r="DI522" s="851"/>
      <c r="DJ522" s="293"/>
      <c r="DL522" s="851"/>
      <c r="DM522" s="851"/>
      <c r="DN522" s="293"/>
      <c r="DP522" s="851"/>
      <c r="DQ522" s="851"/>
      <c r="DR522" s="293"/>
      <c r="DW522" s="1198" t="s">
        <v>174</v>
      </c>
      <c r="DX522" s="818"/>
      <c r="DY522" s="818"/>
      <c r="EA522" s="818"/>
      <c r="EB522" s="818"/>
      <c r="EC522" s="293"/>
      <c r="EE522" s="818"/>
      <c r="EF522" s="818"/>
      <c r="EG522" s="293"/>
      <c r="EI522" s="818"/>
      <c r="EJ522" s="818"/>
      <c r="EK522" s="293"/>
    </row>
    <row r="523" spans="1:283" hidden="1" outlineLevel="1">
      <c r="A523" s="102" t="s">
        <v>828</v>
      </c>
      <c r="AP523" s="1219"/>
      <c r="AR523" s="730"/>
      <c r="AS523" s="730"/>
      <c r="AT523" s="1219">
        <v>0</v>
      </c>
      <c r="AV523" s="730">
        <v>0</v>
      </c>
      <c r="AW523" s="730">
        <v>0</v>
      </c>
      <c r="AX523" s="293">
        <f t="shared" si="1487"/>
        <v>0</v>
      </c>
      <c r="AZ523" s="730">
        <v>0</v>
      </c>
      <c r="BA523" s="730">
        <v>0</v>
      </c>
      <c r="BB523" s="293">
        <f t="shared" si="1488"/>
        <v>0</v>
      </c>
      <c r="BD523" s="730">
        <v>0</v>
      </c>
      <c r="BE523" s="927">
        <v>0</v>
      </c>
      <c r="BF523" s="293">
        <f t="shared" si="1489"/>
        <v>0</v>
      </c>
      <c r="BH523" s="626">
        <v>0</v>
      </c>
      <c r="BI523" s="626">
        <v>0</v>
      </c>
      <c r="BJ523" s="293">
        <f t="shared" si="1490"/>
        <v>0</v>
      </c>
      <c r="BL523" s="626">
        <v>0</v>
      </c>
      <c r="BM523" s="626">
        <v>0</v>
      </c>
      <c r="BN523" s="293">
        <f t="shared" si="1491"/>
        <v>0</v>
      </c>
      <c r="BP523" s="626">
        <v>0</v>
      </c>
      <c r="BQ523" s="626">
        <v>0</v>
      </c>
      <c r="BR523" s="293">
        <f t="shared" si="1492"/>
        <v>0</v>
      </c>
      <c r="BT523" s="626">
        <v>0</v>
      </c>
      <c r="BU523" s="626">
        <v>0</v>
      </c>
      <c r="BV523" s="293">
        <f t="shared" si="1493"/>
        <v>0</v>
      </c>
      <c r="BX523" s="626">
        <v>0</v>
      </c>
      <c r="BY523" s="626">
        <v>0</v>
      </c>
      <c r="BZ523" s="293">
        <f t="shared" si="1494"/>
        <v>0</v>
      </c>
      <c r="CB523" s="626">
        <v>0</v>
      </c>
      <c r="CC523" s="626">
        <v>0</v>
      </c>
      <c r="CD523" s="293">
        <f t="shared" si="1495"/>
        <v>0</v>
      </c>
      <c r="CF523" s="626"/>
      <c r="CG523" s="626"/>
      <c r="CH523" s="293"/>
      <c r="CJ523" s="626"/>
      <c r="CK523" s="626"/>
      <c r="CL523" s="293"/>
      <c r="CN523" s="851"/>
      <c r="CO523" s="626"/>
      <c r="CP523" s="293"/>
      <c r="CR523" s="851"/>
      <c r="CS523" s="851"/>
      <c r="CT523" s="293"/>
      <c r="CV523" s="851"/>
      <c r="CW523" s="851"/>
      <c r="CX523" s="293"/>
      <c r="CZ523" s="851"/>
      <c r="DA523" s="851"/>
      <c r="DB523" s="293"/>
      <c r="DD523" s="851"/>
      <c r="DE523" s="851"/>
      <c r="DF523" s="293"/>
      <c r="DH523" s="851"/>
      <c r="DI523" s="851"/>
      <c r="DJ523" s="293"/>
      <c r="DL523" s="851"/>
      <c r="DM523" s="851"/>
      <c r="DN523" s="293"/>
      <c r="DP523" s="851"/>
      <c r="DQ523" s="851"/>
      <c r="DR523" s="293"/>
      <c r="DW523" s="1198" t="s">
        <v>174</v>
      </c>
      <c r="DX523" s="818"/>
      <c r="DY523" s="818"/>
      <c r="EA523" s="818"/>
      <c r="EB523" s="818"/>
      <c r="EC523" s="293"/>
      <c r="EE523" s="818"/>
      <c r="EF523" s="818"/>
      <c r="EG523" s="293"/>
      <c r="EI523" s="818"/>
      <c r="EJ523" s="818"/>
      <c r="EK523" s="293"/>
    </row>
    <row r="524" spans="1:283" s="289" customFormat="1" hidden="1" outlineLevel="1">
      <c r="A524" s="102" t="s">
        <v>663</v>
      </c>
      <c r="AN524" s="290"/>
      <c r="AO524" s="290"/>
      <c r="AP524" s="1219">
        <v>41</v>
      </c>
      <c r="AQ524" s="290"/>
      <c r="AR524" s="730"/>
      <c r="AS524" s="730"/>
      <c r="AT524" s="1219">
        <v>24</v>
      </c>
      <c r="AU524" s="290"/>
      <c r="AV524" s="730">
        <v>32</v>
      </c>
      <c r="AW524" s="730">
        <v>22</v>
      </c>
      <c r="AX524" s="293">
        <f t="shared" si="1487"/>
        <v>54</v>
      </c>
      <c r="AY524" s="290"/>
      <c r="AZ524" s="730">
        <v>42</v>
      </c>
      <c r="BA524" s="730">
        <v>32</v>
      </c>
      <c r="BB524" s="293">
        <f t="shared" si="1488"/>
        <v>74</v>
      </c>
      <c r="BC524" s="290"/>
      <c r="BD524" s="626">
        <v>49</v>
      </c>
      <c r="BE524" s="927">
        <v>60</v>
      </c>
      <c r="BF524" s="293">
        <f t="shared" si="1489"/>
        <v>109</v>
      </c>
      <c r="BG524" s="290"/>
      <c r="BH524" s="626">
        <v>51</v>
      </c>
      <c r="BI524" s="927">
        <v>19</v>
      </c>
      <c r="BJ524" s="293">
        <f t="shared" si="1490"/>
        <v>70</v>
      </c>
      <c r="BK524" s="290"/>
      <c r="BL524" s="626">
        <f>42+14</f>
        <v>56</v>
      </c>
      <c r="BM524" s="927">
        <f>-13+13</f>
        <v>0</v>
      </c>
      <c r="BN524" s="293">
        <f t="shared" si="1491"/>
        <v>56</v>
      </c>
      <c r="BO524" s="290"/>
      <c r="BP524" s="626">
        <f>90+15</f>
        <v>105</v>
      </c>
      <c r="BQ524" s="927">
        <f>141+29</f>
        <v>170</v>
      </c>
      <c r="BR524" s="293">
        <f t="shared" si="1492"/>
        <v>275</v>
      </c>
      <c r="BS524" s="290"/>
      <c r="BT524" s="626">
        <v>27</v>
      </c>
      <c r="BU524" s="927">
        <v>32</v>
      </c>
      <c r="BV524" s="293">
        <f t="shared" si="1493"/>
        <v>59</v>
      </c>
      <c r="BW524" s="290"/>
      <c r="BX524" s="626">
        <v>36</v>
      </c>
      <c r="BY524" s="626">
        <v>41</v>
      </c>
      <c r="BZ524" s="293">
        <f t="shared" si="1494"/>
        <v>77</v>
      </c>
      <c r="CA524" s="290"/>
      <c r="CB524" s="626">
        <v>48</v>
      </c>
      <c r="CC524" s="626">
        <v>117</v>
      </c>
      <c r="CD524" s="293">
        <f t="shared" si="1495"/>
        <v>165</v>
      </c>
      <c r="CE524" s="290"/>
      <c r="CF524" s="626"/>
      <c r="CG524" s="626"/>
      <c r="CH524" s="293"/>
      <c r="CI524" s="290"/>
      <c r="CJ524" s="626"/>
      <c r="CK524" s="626"/>
      <c r="CL524" s="293"/>
      <c r="CM524" s="290"/>
      <c r="CN524" s="851"/>
      <c r="CO524" s="626"/>
      <c r="CP524" s="293"/>
      <c r="CQ524" s="290"/>
      <c r="CR524" s="851"/>
      <c r="CS524" s="851"/>
      <c r="CT524" s="293"/>
      <c r="CU524" s="290"/>
      <c r="CV524" s="851"/>
      <c r="CW524" s="851"/>
      <c r="CX524" s="293"/>
      <c r="CY524" s="290"/>
      <c r="CZ524" s="851"/>
      <c r="DA524" s="851"/>
      <c r="DB524" s="293"/>
      <c r="DC524" s="290"/>
      <c r="DD524" s="851"/>
      <c r="DE524" s="851"/>
      <c r="DF524" s="293"/>
      <c r="DG524" s="290"/>
      <c r="DH524" s="851"/>
      <c r="DI524" s="851"/>
      <c r="DJ524" s="293"/>
      <c r="DK524" s="290"/>
      <c r="DL524" s="851"/>
      <c r="DM524" s="851"/>
      <c r="DN524" s="293"/>
      <c r="DO524" s="290"/>
      <c r="DP524" s="851"/>
      <c r="DQ524" s="851"/>
      <c r="DR524" s="293"/>
      <c r="DS524" s="290"/>
      <c r="DT524" s="290"/>
      <c r="DU524" s="290"/>
      <c r="DV524" s="290"/>
      <c r="DW524" s="1198" t="s">
        <v>174</v>
      </c>
      <c r="DX524" s="818"/>
      <c r="DY524" s="818"/>
      <c r="DZ524" s="290"/>
      <c r="EA524" s="818"/>
      <c r="EB524" s="818"/>
      <c r="EC524" s="293"/>
      <c r="ED524" s="290"/>
      <c r="EE524" s="818"/>
      <c r="EF524" s="818"/>
      <c r="EG524" s="293"/>
      <c r="EH524" s="290"/>
      <c r="EI524" s="818"/>
      <c r="EJ524" s="818"/>
      <c r="EK524" s="293"/>
      <c r="EL524" s="290"/>
      <c r="EM524" s="290"/>
      <c r="EN524" s="290"/>
      <c r="EO524" s="290"/>
      <c r="EP524" s="290"/>
      <c r="EQ524" s="290"/>
      <c r="ER524" s="290"/>
      <c r="ES524" s="290"/>
      <c r="ET524" s="290"/>
      <c r="EU524" s="290"/>
      <c r="JW524"/>
    </row>
    <row r="525" spans="1:283" s="327" customFormat="1" hidden="1" outlineLevel="1">
      <c r="A525" s="327" t="s">
        <v>613</v>
      </c>
      <c r="AN525" s="295"/>
      <c r="AO525" s="295"/>
      <c r="AP525" s="295">
        <f>SUM(AP511:AP524)</f>
        <v>93</v>
      </c>
      <c r="AQ525" s="295"/>
      <c r="AR525" s="295"/>
      <c r="AS525" s="295"/>
      <c r="AT525" s="295">
        <f>SUM(AT511:AT524)</f>
        <v>61</v>
      </c>
      <c r="AU525" s="295"/>
      <c r="AV525" s="295">
        <f>SUM(AV511:AV524)</f>
        <v>17</v>
      </c>
      <c r="AW525" s="295">
        <f>SUM(AW511:AW524)</f>
        <v>-10</v>
      </c>
      <c r="AX525" s="295">
        <f>SUM(AX511:AX524)</f>
        <v>7</v>
      </c>
      <c r="AY525" s="295"/>
      <c r="AZ525" s="295">
        <f>SUM(AZ511:AZ524)</f>
        <v>59</v>
      </c>
      <c r="BA525" s="295">
        <f>SUM(BA511:BA524)</f>
        <v>172</v>
      </c>
      <c r="BB525" s="295">
        <f>SUM(BB511:BB524)</f>
        <v>231</v>
      </c>
      <c r="BC525" s="295"/>
      <c r="BD525" s="295">
        <f>SUM(BD511:BD524)</f>
        <v>213</v>
      </c>
      <c r="BE525" s="295">
        <f>SUM(BE511:BE524)</f>
        <v>214</v>
      </c>
      <c r="BF525" s="295">
        <f>SUM(BF511:BF524)</f>
        <v>427</v>
      </c>
      <c r="BG525" s="295"/>
      <c r="BH525" s="295">
        <f>SUM(BH511:BH524)</f>
        <v>235</v>
      </c>
      <c r="BI525" s="295">
        <f>SUM(BI511:BI524)</f>
        <v>192</v>
      </c>
      <c r="BJ525" s="295">
        <f>SUM(BJ511:BJ524)</f>
        <v>427</v>
      </c>
      <c r="BK525" s="295"/>
      <c r="BL525" s="295">
        <f>SUM(BL511:BL524)</f>
        <v>282</v>
      </c>
      <c r="BM525" s="295">
        <f>SUM(BM511:BM524)</f>
        <v>209</v>
      </c>
      <c r="BN525" s="295">
        <f>SUM(BN511:BN524)</f>
        <v>491</v>
      </c>
      <c r="BO525" s="295"/>
      <c r="BP525" s="295">
        <f>SUM(BP511:BP524)</f>
        <v>336</v>
      </c>
      <c r="BQ525" s="295">
        <f>SUM(BQ511:BQ524)</f>
        <v>488</v>
      </c>
      <c r="BR525" s="295">
        <f>SUM(BR511:BR524)</f>
        <v>824</v>
      </c>
      <c r="BS525" s="295"/>
      <c r="BT525" s="295">
        <f>SUM(BT511:BT524)</f>
        <v>386</v>
      </c>
      <c r="BU525" s="295">
        <f>SUM(BU511:BU524)</f>
        <v>379</v>
      </c>
      <c r="BV525" s="295">
        <f>SUM(BV511:BV524)</f>
        <v>765</v>
      </c>
      <c r="BW525" s="295"/>
      <c r="BX525" s="295">
        <f>SUM(BX511:BX524)</f>
        <v>457</v>
      </c>
      <c r="BY525" s="295">
        <f>SUM(BY511:BY524)</f>
        <v>569</v>
      </c>
      <c r="BZ525" s="295">
        <f>SUM(BZ511:BZ524)</f>
        <v>1026</v>
      </c>
      <c r="CA525" s="295"/>
      <c r="CB525" s="295">
        <f>SUM(CB511:CB524)</f>
        <v>615</v>
      </c>
      <c r="CC525" s="295">
        <f>SUM(CC511:CC524)</f>
        <v>778</v>
      </c>
      <c r="CD525" s="295">
        <f>SUM(CD511:CD524)</f>
        <v>1393</v>
      </c>
      <c r="CE525" s="295"/>
      <c r="CF525" s="295"/>
      <c r="CG525" s="295"/>
      <c r="CH525" s="295"/>
      <c r="CI525" s="295"/>
      <c r="CJ525" s="295"/>
      <c r="CK525" s="295"/>
      <c r="CL525" s="295"/>
      <c r="CM525" s="295"/>
      <c r="CN525" s="295"/>
      <c r="CO525" s="295"/>
      <c r="CP525" s="295"/>
      <c r="CQ525" s="295"/>
      <c r="CR525" s="295"/>
      <c r="CS525" s="295"/>
      <c r="CT525" s="295"/>
      <c r="CU525" s="295"/>
      <c r="CV525" s="295"/>
      <c r="CW525" s="295"/>
      <c r="CX525" s="295"/>
      <c r="CY525" s="295"/>
      <c r="CZ525" s="295"/>
      <c r="DA525" s="295"/>
      <c r="DB525" s="295"/>
      <c r="DC525" s="295"/>
      <c r="DD525" s="295"/>
      <c r="DE525" s="295"/>
      <c r="DF525" s="295"/>
      <c r="DG525" s="295"/>
      <c r="DH525" s="295"/>
      <c r="DI525" s="295"/>
      <c r="DJ525" s="295"/>
      <c r="DK525" s="295"/>
      <c r="DL525" s="295"/>
      <c r="DM525" s="295"/>
      <c r="DN525" s="295"/>
      <c r="DO525" s="295"/>
      <c r="DP525" s="295"/>
      <c r="DQ525" s="295"/>
      <c r="DR525" s="295"/>
      <c r="DS525" s="295"/>
      <c r="DT525" s="295"/>
      <c r="DU525" s="295"/>
      <c r="DV525" s="295"/>
      <c r="DW525" s="295"/>
      <c r="DX525" s="295"/>
      <c r="DY525" s="295"/>
      <c r="DZ525" s="295"/>
      <c r="EA525" s="295"/>
      <c r="EB525" s="295"/>
      <c r="EC525" s="295"/>
      <c r="ED525" s="295"/>
      <c r="EE525" s="295"/>
      <c r="EF525" s="295"/>
      <c r="EG525" s="295"/>
      <c r="EH525" s="295"/>
      <c r="EI525" s="295"/>
      <c r="EJ525" s="295"/>
      <c r="EK525" s="295"/>
      <c r="EL525" s="295"/>
      <c r="EM525" s="295"/>
      <c r="EN525" s="295"/>
      <c r="EO525" s="295"/>
      <c r="EP525" s="295"/>
      <c r="EQ525" s="295"/>
      <c r="ER525" s="295"/>
      <c r="ES525" s="295"/>
      <c r="ET525" s="295"/>
      <c r="EU525" s="295"/>
      <c r="JW525"/>
    </row>
    <row r="526" spans="1:283" hidden="1" outlineLevel="1">
      <c r="BN526" s="293">
        <f>+BN525-BN516</f>
        <v>-29</v>
      </c>
      <c r="BR526" s="293">
        <f>+BR525-BR516</f>
        <v>263</v>
      </c>
      <c r="BV526" s="293">
        <f>+BV525-BV516</f>
        <v>-100</v>
      </c>
      <c r="BZ526" s="293">
        <f>+BZ525-BZ516</f>
        <v>122</v>
      </c>
      <c r="CD526" s="293">
        <f>+CD525-CD516</f>
        <v>461</v>
      </c>
      <c r="CH526" s="293"/>
      <c r="CL526" s="293"/>
      <c r="CP526" s="293"/>
      <c r="CR526" s="103"/>
      <c r="CS526" s="103"/>
      <c r="CT526" s="103"/>
      <c r="CV526" s="103"/>
      <c r="CW526" s="103"/>
      <c r="CX526" s="103"/>
      <c r="CZ526" s="103"/>
      <c r="DA526" s="103"/>
      <c r="DB526" s="103"/>
      <c r="DD526" s="103"/>
      <c r="DE526" s="103"/>
      <c r="DF526" s="103"/>
      <c r="DH526" s="103"/>
      <c r="DI526" s="103"/>
      <c r="DJ526" s="103"/>
      <c r="DL526" s="103"/>
      <c r="DM526" s="103"/>
      <c r="DN526" s="103"/>
      <c r="DP526" s="103"/>
      <c r="DQ526" s="103"/>
      <c r="DR526" s="103"/>
    </row>
    <row r="527" spans="1:283" hidden="1" outlineLevel="1">
      <c r="BN527" s="293">
        <f>+BN483-BN526</f>
        <v>855</v>
      </c>
      <c r="BR527" s="293">
        <f>+BR483-BR526</f>
        <v>849</v>
      </c>
      <c r="BV527" s="293">
        <f>+BV483-BV526</f>
        <v>1230</v>
      </c>
      <c r="BZ527" s="293">
        <f>+BZ483-BZ526</f>
        <v>1076</v>
      </c>
      <c r="CD527" s="293">
        <f>+CD483-CD526</f>
        <v>679</v>
      </c>
      <c r="CH527" s="293"/>
      <c r="CL527" s="293"/>
      <c r="CP527" s="293"/>
      <c r="CR527" s="103"/>
      <c r="CS527" s="103"/>
      <c r="CT527" s="103"/>
      <c r="CV527" s="103"/>
      <c r="CW527" s="103"/>
      <c r="CX527" s="103"/>
      <c r="CZ527" s="103"/>
      <c r="DA527" s="103"/>
      <c r="DB527" s="103"/>
      <c r="DD527" s="103"/>
      <c r="DE527" s="103"/>
      <c r="DF527" s="103"/>
      <c r="DH527" s="103"/>
      <c r="DI527" s="103"/>
      <c r="DJ527" s="103"/>
      <c r="DL527" s="103"/>
      <c r="DM527" s="103"/>
      <c r="DN527" s="103"/>
      <c r="DP527" s="103"/>
      <c r="DQ527" s="103"/>
      <c r="DR527" s="103"/>
    </row>
    <row r="528" spans="1:283" hidden="1" outlineLevel="1">
      <c r="A528" s="923" t="s">
        <v>1085</v>
      </c>
      <c r="BN528" s="293"/>
      <c r="BR528" s="293"/>
      <c r="BT528" s="924">
        <f>BT524+BT511+BT512</f>
        <v>27</v>
      </c>
      <c r="BU528" s="924">
        <f>BU524+BU511+BU512</f>
        <v>32</v>
      </c>
      <c r="BV528" s="924">
        <f>BV524+BV511+BV512</f>
        <v>59</v>
      </c>
      <c r="BX528" s="924">
        <f>BX524+BX511+BX512</f>
        <v>36</v>
      </c>
      <c r="BY528" s="924">
        <f>BY524+BY511+BY512</f>
        <v>181</v>
      </c>
      <c r="BZ528" s="924">
        <f>BZ524+BZ511+BZ512</f>
        <v>217</v>
      </c>
      <c r="CA528" s="671">
        <f>+BZ528/BV528-1</f>
        <v>2.6779661016949152</v>
      </c>
      <c r="CB528" s="924">
        <f>CB524+CB511+CB512</f>
        <v>115</v>
      </c>
      <c r="CC528" s="924">
        <f>CC524+CC511+CC512</f>
        <v>285</v>
      </c>
      <c r="CD528" s="924">
        <f>CD524+CD511+CD512</f>
        <v>400</v>
      </c>
      <c r="CE528" s="671">
        <f>+CD528/BZ528-1</f>
        <v>0.84331797235023043</v>
      </c>
      <c r="CF528" s="924"/>
      <c r="CG528" s="924"/>
      <c r="CH528" s="924"/>
      <c r="CI528" s="671"/>
      <c r="CJ528" s="924"/>
      <c r="CK528" s="924"/>
      <c r="CL528" s="924"/>
      <c r="CM528" s="671"/>
      <c r="CN528" s="924"/>
      <c r="CO528" s="924"/>
      <c r="CP528" s="924"/>
      <c r="CQ528" s="671"/>
      <c r="CR528" s="924"/>
      <c r="CS528" s="924"/>
      <c r="CT528" s="924"/>
      <c r="CU528" s="671"/>
      <c r="CV528" s="924"/>
      <c r="CW528" s="924"/>
      <c r="CX528" s="924"/>
      <c r="CY528" s="671"/>
      <c r="CZ528" s="924"/>
      <c r="DA528" s="924"/>
      <c r="DB528" s="924"/>
      <c r="DC528" s="671"/>
      <c r="DD528" s="924"/>
      <c r="DE528" s="924"/>
      <c r="DF528" s="924"/>
      <c r="DG528" s="671"/>
      <c r="DH528" s="924"/>
      <c r="DI528" s="924"/>
      <c r="DJ528" s="924"/>
      <c r="DK528" s="671"/>
      <c r="DL528" s="924"/>
      <c r="DM528" s="924"/>
      <c r="DN528" s="924"/>
      <c r="DO528" s="671"/>
      <c r="DP528" s="924"/>
      <c r="DQ528" s="924"/>
      <c r="DR528" s="924"/>
      <c r="DS528" s="671"/>
      <c r="DT528" s="671"/>
      <c r="DU528" s="671"/>
      <c r="DV528" s="671"/>
    </row>
    <row r="529" spans="1:283" hidden="1" outlineLevel="1">
      <c r="BN529" s="293"/>
      <c r="BR529" s="293"/>
      <c r="BV529" s="293"/>
      <c r="BZ529" s="293"/>
      <c r="CD529" s="293"/>
      <c r="CH529" s="293"/>
      <c r="CL529" s="293"/>
      <c r="CP529" s="293"/>
      <c r="CR529" s="103"/>
      <c r="CS529" s="103"/>
      <c r="CT529" s="103"/>
      <c r="CV529" s="103"/>
      <c r="CW529" s="103"/>
      <c r="CX529" s="103"/>
      <c r="CZ529" s="103"/>
      <c r="DA529" s="103"/>
      <c r="DB529" s="103"/>
      <c r="DD529" s="103"/>
      <c r="DE529" s="103"/>
      <c r="DF529" s="103"/>
      <c r="DH529" s="103"/>
      <c r="DI529" s="103"/>
      <c r="DJ529" s="103"/>
      <c r="DL529" s="103"/>
      <c r="DM529" s="103"/>
      <c r="DN529" s="103"/>
      <c r="DP529" s="103"/>
      <c r="DQ529" s="103"/>
      <c r="DR529" s="103"/>
    </row>
    <row r="530" spans="1:283" s="332" customFormat="1" hidden="1" outlineLevel="1">
      <c r="A530" s="1207" t="s">
        <v>899</v>
      </c>
      <c r="AN530" s="293"/>
      <c r="AO530" s="293"/>
      <c r="AP530" s="293"/>
      <c r="AQ530" s="293"/>
      <c r="AR530" s="293"/>
      <c r="AS530" s="293"/>
      <c r="AT530" s="293"/>
      <c r="AU530" s="293"/>
      <c r="AV530" s="293"/>
      <c r="AW530" s="293"/>
      <c r="AX530" s="293"/>
      <c r="AY530" s="293"/>
      <c r="AZ530" s="293"/>
      <c r="BA530" s="293"/>
      <c r="BB530" s="293"/>
      <c r="BC530" s="293"/>
      <c r="BD530" s="293"/>
      <c r="BE530" s="293"/>
      <c r="BF530" s="293"/>
      <c r="BG530" s="293"/>
      <c r="BH530" s="293"/>
      <c r="BI530" s="293"/>
      <c r="BJ530" s="293"/>
      <c r="BK530" s="293"/>
      <c r="BL530" s="293"/>
      <c r="BM530" s="293"/>
      <c r="BN530" s="293"/>
      <c r="BO530" s="293"/>
      <c r="BP530" s="293"/>
      <c r="BQ530" s="293"/>
      <c r="BR530" s="293"/>
      <c r="BS530" s="293"/>
      <c r="BT530" s="293"/>
      <c r="BU530" s="293"/>
      <c r="BV530" s="293"/>
      <c r="BW530" s="293"/>
      <c r="BX530" s="293"/>
      <c r="BY530" s="293"/>
      <c r="BZ530" s="293"/>
      <c r="CA530" s="293"/>
      <c r="CB530" s="293"/>
      <c r="CC530" s="293"/>
      <c r="CD530" s="293"/>
      <c r="CE530" s="293"/>
      <c r="CF530" s="293"/>
      <c r="CG530" s="293"/>
      <c r="CH530" s="293"/>
      <c r="CI530" s="293"/>
      <c r="CJ530" s="293"/>
      <c r="CK530" s="293"/>
      <c r="CL530" s="293"/>
      <c r="CM530" s="293"/>
      <c r="CN530" s="293"/>
      <c r="CO530" s="293"/>
      <c r="CP530" s="293"/>
      <c r="CQ530" s="293"/>
      <c r="CR530" s="293"/>
      <c r="CS530" s="293"/>
      <c r="CT530" s="293"/>
      <c r="CU530" s="293"/>
      <c r="CV530" s="293"/>
      <c r="CW530" s="293"/>
      <c r="CX530" s="293"/>
      <c r="CY530" s="293"/>
      <c r="CZ530" s="293"/>
      <c r="DA530" s="293"/>
      <c r="DB530" s="293"/>
      <c r="DC530" s="293"/>
      <c r="DD530" s="293"/>
      <c r="DE530" s="293"/>
      <c r="DF530" s="293"/>
      <c r="DG530" s="293"/>
      <c r="DH530" s="293"/>
      <c r="DI530" s="293"/>
      <c r="DJ530" s="293"/>
      <c r="DK530" s="293"/>
      <c r="DL530" s="293"/>
      <c r="DM530" s="293"/>
      <c r="DN530" s="293"/>
      <c r="DO530" s="293"/>
      <c r="DP530" s="293"/>
      <c r="DQ530" s="293"/>
      <c r="DR530" s="293"/>
      <c r="DS530" s="293"/>
      <c r="DT530" s="293"/>
      <c r="DU530" s="293"/>
      <c r="DV530" s="293"/>
      <c r="DW530" s="828"/>
      <c r="DX530" s="293"/>
      <c r="DY530" s="293"/>
      <c r="DZ530" s="293"/>
      <c r="EA530" s="293"/>
      <c r="EB530" s="293"/>
      <c r="EC530" s="293"/>
      <c r="ED530" s="293"/>
      <c r="EE530" s="293"/>
      <c r="EF530" s="293"/>
      <c r="EG530" s="293"/>
      <c r="EH530" s="293"/>
      <c r="EI530" s="293"/>
      <c r="EJ530" s="293"/>
      <c r="EK530" s="293"/>
      <c r="EL530" s="293"/>
      <c r="EM530" s="293"/>
      <c r="EN530" s="293"/>
      <c r="EO530" s="293"/>
      <c r="EP530" s="293"/>
      <c r="EQ530" s="293"/>
      <c r="ER530" s="293"/>
      <c r="ES530" s="293"/>
      <c r="ET530" s="293"/>
      <c r="EU530" s="293"/>
      <c r="JW530"/>
    </row>
    <row r="531" spans="1:283" s="332" customFormat="1" hidden="1" outlineLevel="1">
      <c r="A531" s="332" t="str">
        <f>A477</f>
        <v>Employment expenses</v>
      </c>
      <c r="AN531" s="492">
        <f t="shared" ref="AN531:AP533" si="1496">AN477</f>
        <v>0</v>
      </c>
      <c r="AO531" s="492">
        <f t="shared" si="1496"/>
        <v>0</v>
      </c>
      <c r="AP531" s="492">
        <f t="shared" si="1496"/>
        <v>0</v>
      </c>
      <c r="AQ531" s="293"/>
      <c r="AR531" s="492">
        <f t="shared" ref="AR531:AT533" si="1497">AR477</f>
        <v>-37</v>
      </c>
      <c r="AS531" s="492">
        <f t="shared" si="1497"/>
        <v>-46</v>
      </c>
      <c r="AT531" s="492">
        <f t="shared" si="1497"/>
        <v>-83</v>
      </c>
      <c r="AU531" s="626"/>
      <c r="AV531" s="492">
        <f t="shared" ref="AV531:AX533" si="1498">AV477</f>
        <v>-44</v>
      </c>
      <c r="AW531" s="492">
        <f t="shared" si="1498"/>
        <v>-55</v>
      </c>
      <c r="AX531" s="492">
        <f t="shared" si="1498"/>
        <v>-99</v>
      </c>
      <c r="AY531" s="626"/>
      <c r="AZ531" s="492">
        <f t="shared" ref="AZ531:BB533" si="1499">AZ477</f>
        <v>-72</v>
      </c>
      <c r="BA531" s="492">
        <f t="shared" si="1499"/>
        <v>-77</v>
      </c>
      <c r="BB531" s="492">
        <f t="shared" si="1499"/>
        <v>-149</v>
      </c>
      <c r="BC531" s="293"/>
      <c r="BD531" s="492">
        <f t="shared" ref="BD531:BF533" si="1500">BD477</f>
        <v>-69.666669999999996</v>
      </c>
      <c r="BE531" s="492">
        <f t="shared" si="1500"/>
        <v>-95</v>
      </c>
      <c r="BF531" s="492">
        <f t="shared" si="1500"/>
        <v>-164.66667000000001</v>
      </c>
      <c r="BG531" s="293"/>
      <c r="BH531" s="492">
        <f t="shared" ref="BH531:BJ533" si="1501">BH477</f>
        <v>-77</v>
      </c>
      <c r="BI531" s="492">
        <f t="shared" si="1501"/>
        <v>-75</v>
      </c>
      <c r="BJ531" s="492">
        <f t="shared" si="1501"/>
        <v>-152</v>
      </c>
      <c r="BK531" s="487"/>
      <c r="BL531" s="492">
        <f t="shared" ref="BL531:BN533" si="1502">BL477</f>
        <v>-82</v>
      </c>
      <c r="BM531" s="492">
        <f t="shared" si="1502"/>
        <v>-94</v>
      </c>
      <c r="BN531" s="492">
        <f t="shared" si="1502"/>
        <v>-176</v>
      </c>
      <c r="BO531" s="487"/>
      <c r="BP531" s="492">
        <f t="shared" ref="BP531:BR533" si="1503">BP477</f>
        <v>-97</v>
      </c>
      <c r="BQ531" s="492">
        <f t="shared" si="1503"/>
        <v>-116</v>
      </c>
      <c r="BR531" s="492">
        <f t="shared" si="1503"/>
        <v>-213</v>
      </c>
      <c r="BS531" s="487"/>
      <c r="BT531" s="492">
        <f t="shared" ref="BT531:BV533" si="1504">BT477</f>
        <v>-108</v>
      </c>
      <c r="BU531" s="492">
        <f t="shared" si="1504"/>
        <v>-131</v>
      </c>
      <c r="BV531" s="492">
        <f t="shared" si="1504"/>
        <v>-239</v>
      </c>
      <c r="BW531" s="293"/>
      <c r="BX531" s="492">
        <f t="shared" ref="BX531:BZ533" si="1505">BX477</f>
        <v>-135</v>
      </c>
      <c r="BY531" s="492">
        <f t="shared" si="1505"/>
        <v>-132</v>
      </c>
      <c r="BZ531" s="492">
        <f t="shared" si="1505"/>
        <v>-267</v>
      </c>
      <c r="CA531" s="293"/>
      <c r="CB531" s="492">
        <f t="shared" ref="CB531:CD533" si="1506">CB477</f>
        <v>-102</v>
      </c>
      <c r="CC531" s="492">
        <f t="shared" si="1506"/>
        <v>-115</v>
      </c>
      <c r="CD531" s="492">
        <f t="shared" si="1506"/>
        <v>-217</v>
      </c>
      <c r="CE531" s="293"/>
      <c r="CF531" s="492"/>
      <c r="CG531" s="492"/>
      <c r="CH531" s="492"/>
      <c r="CI531" s="293"/>
      <c r="CJ531" s="492"/>
      <c r="CK531" s="492"/>
      <c r="CL531" s="492"/>
      <c r="CM531" s="293"/>
      <c r="CN531" s="293"/>
      <c r="CO531" s="492"/>
      <c r="CP531" s="492"/>
      <c r="CQ531" s="293"/>
      <c r="CR531" s="293"/>
      <c r="CS531" s="293"/>
      <c r="CT531" s="293"/>
      <c r="CU531" s="293"/>
      <c r="CV531" s="293"/>
      <c r="CW531" s="293"/>
      <c r="CX531" s="293"/>
      <c r="CY531" s="293"/>
      <c r="CZ531" s="293"/>
      <c r="DA531" s="293"/>
      <c r="DB531" s="293"/>
      <c r="DC531" s="293"/>
      <c r="DD531" s="293"/>
      <c r="DE531" s="293"/>
      <c r="DF531" s="293"/>
      <c r="DG531" s="293"/>
      <c r="DH531" s="293"/>
      <c r="DI531" s="293"/>
      <c r="DJ531" s="293"/>
      <c r="DK531" s="293"/>
      <c r="DL531" s="293"/>
      <c r="DM531" s="293"/>
      <c r="DN531" s="293"/>
      <c r="DO531" s="293"/>
      <c r="DP531" s="293"/>
      <c r="DQ531" s="293"/>
      <c r="DR531" s="293"/>
      <c r="DS531" s="293"/>
      <c r="DT531" s="293"/>
      <c r="DU531" s="293"/>
      <c r="DV531" s="293"/>
      <c r="DW531" s="828" t="s">
        <v>514</v>
      </c>
      <c r="DX531" s="293"/>
      <c r="DY531" s="293"/>
      <c r="DZ531" s="293"/>
      <c r="EA531" s="293"/>
      <c r="EB531" s="293"/>
      <c r="EC531" s="293"/>
      <c r="ED531" s="293"/>
      <c r="EE531" s="293"/>
      <c r="EF531" s="293"/>
      <c r="EG531" s="293"/>
      <c r="EH531" s="293"/>
      <c r="EI531" s="293"/>
      <c r="EJ531" s="293"/>
      <c r="EK531" s="293"/>
      <c r="EL531" s="293"/>
      <c r="EM531" s="293"/>
      <c r="EN531" s="293"/>
      <c r="EO531" s="293"/>
      <c r="EP531" s="293"/>
      <c r="EQ531" s="293"/>
      <c r="ER531" s="293"/>
      <c r="ES531" s="293"/>
      <c r="ET531" s="293"/>
      <c r="EU531" s="293"/>
      <c r="JW531"/>
    </row>
    <row r="532" spans="1:283" s="332" customFormat="1" hidden="1" outlineLevel="1">
      <c r="A532" s="332" t="str">
        <f>A478</f>
        <v>Brokerage and commission expenses</v>
      </c>
      <c r="AN532" s="492">
        <f t="shared" si="1496"/>
        <v>0</v>
      </c>
      <c r="AO532" s="492">
        <f t="shared" si="1496"/>
        <v>0</v>
      </c>
      <c r="AP532" s="492">
        <f t="shared" si="1496"/>
        <v>0</v>
      </c>
      <c r="AQ532" s="293"/>
      <c r="AR532" s="492">
        <f t="shared" si="1497"/>
        <v>0</v>
      </c>
      <c r="AS532" s="492">
        <f t="shared" si="1497"/>
        <v>0</v>
      </c>
      <c r="AT532" s="492">
        <f t="shared" si="1497"/>
        <v>0</v>
      </c>
      <c r="AU532" s="626"/>
      <c r="AV532" s="492">
        <f t="shared" si="1498"/>
        <v>0</v>
      </c>
      <c r="AW532" s="492">
        <f t="shared" si="1498"/>
        <v>0</v>
      </c>
      <c r="AX532" s="492">
        <f t="shared" si="1498"/>
        <v>0</v>
      </c>
      <c r="AY532" s="626"/>
      <c r="AZ532" s="492">
        <f t="shared" si="1499"/>
        <v>0</v>
      </c>
      <c r="BA532" s="492">
        <f t="shared" si="1499"/>
        <v>0</v>
      </c>
      <c r="BB532" s="492">
        <f t="shared" si="1499"/>
        <v>0</v>
      </c>
      <c r="BC532" s="293"/>
      <c r="BD532" s="492">
        <f t="shared" si="1500"/>
        <v>-11</v>
      </c>
      <c r="BE532" s="492">
        <f t="shared" si="1500"/>
        <v>-5</v>
      </c>
      <c r="BF532" s="492">
        <f t="shared" si="1500"/>
        <v>-16</v>
      </c>
      <c r="BG532" s="293"/>
      <c r="BH532" s="492">
        <f t="shared" si="1501"/>
        <v>-4</v>
      </c>
      <c r="BI532" s="492">
        <f t="shared" si="1501"/>
        <v>-10</v>
      </c>
      <c r="BJ532" s="492">
        <f t="shared" si="1501"/>
        <v>-14</v>
      </c>
      <c r="BK532" s="487"/>
      <c r="BL532" s="492">
        <f t="shared" si="1502"/>
        <v>-6</v>
      </c>
      <c r="BM532" s="492">
        <f t="shared" si="1502"/>
        <v>-7</v>
      </c>
      <c r="BN532" s="492">
        <f t="shared" si="1502"/>
        <v>-13</v>
      </c>
      <c r="BO532" s="487"/>
      <c r="BP532" s="492">
        <f t="shared" si="1503"/>
        <v>-4</v>
      </c>
      <c r="BQ532" s="492">
        <f t="shared" si="1503"/>
        <v>-7</v>
      </c>
      <c r="BR532" s="492">
        <f t="shared" si="1503"/>
        <v>-11</v>
      </c>
      <c r="BS532" s="487"/>
      <c r="BT532" s="492">
        <f t="shared" si="1504"/>
        <v>-3</v>
      </c>
      <c r="BU532" s="492">
        <f t="shared" si="1504"/>
        <v>-4</v>
      </c>
      <c r="BV532" s="492">
        <f t="shared" si="1504"/>
        <v>-7</v>
      </c>
      <c r="BW532" s="293"/>
      <c r="BX532" s="492">
        <f t="shared" si="1505"/>
        <v>-4</v>
      </c>
      <c r="BY532" s="492">
        <f t="shared" si="1505"/>
        <v>-5</v>
      </c>
      <c r="BZ532" s="492">
        <f t="shared" si="1505"/>
        <v>-9</v>
      </c>
      <c r="CA532" s="293"/>
      <c r="CB532" s="492">
        <f t="shared" si="1506"/>
        <v>-41</v>
      </c>
      <c r="CC532" s="492">
        <f t="shared" si="1506"/>
        <v>-17</v>
      </c>
      <c r="CD532" s="492">
        <f t="shared" si="1506"/>
        <v>-58</v>
      </c>
      <c r="CE532" s="293"/>
      <c r="CF532" s="492"/>
      <c r="CG532" s="492"/>
      <c r="CH532" s="492"/>
      <c r="CI532" s="293"/>
      <c r="CJ532" s="492"/>
      <c r="CK532" s="492"/>
      <c r="CL532" s="492"/>
      <c r="CM532" s="293"/>
      <c r="CN532" s="293"/>
      <c r="CO532" s="492"/>
      <c r="CP532" s="492"/>
      <c r="CQ532" s="293"/>
      <c r="CR532" s="293"/>
      <c r="CS532" s="293"/>
      <c r="CT532" s="293"/>
      <c r="CU532" s="293"/>
      <c r="CV532" s="293"/>
      <c r="CW532" s="293"/>
      <c r="CX532" s="293"/>
      <c r="CY532" s="293"/>
      <c r="CZ532" s="293"/>
      <c r="DA532" s="293"/>
      <c r="DB532" s="293"/>
      <c r="DC532" s="293"/>
      <c r="DD532" s="293"/>
      <c r="DE532" s="293"/>
      <c r="DF532" s="293"/>
      <c r="DG532" s="293"/>
      <c r="DH532" s="293"/>
      <c r="DI532" s="293"/>
      <c r="DJ532" s="293"/>
      <c r="DK532" s="293"/>
      <c r="DL532" s="293"/>
      <c r="DM532" s="293"/>
      <c r="DN532" s="293"/>
      <c r="DO532" s="293"/>
      <c r="DP532" s="293"/>
      <c r="DQ532" s="293"/>
      <c r="DR532" s="293"/>
      <c r="DS532" s="293"/>
      <c r="DT532" s="293"/>
      <c r="DU532" s="293"/>
      <c r="DV532" s="293"/>
      <c r="DW532" s="828" t="s">
        <v>514</v>
      </c>
      <c r="DX532" s="293"/>
      <c r="DY532" s="293"/>
      <c r="DZ532" s="293"/>
      <c r="EA532" s="293"/>
      <c r="EB532" s="293"/>
      <c r="EC532" s="293"/>
      <c r="ED532" s="293"/>
      <c r="EE532" s="293"/>
      <c r="EF532" s="293"/>
      <c r="EG532" s="293"/>
      <c r="EH532" s="293"/>
      <c r="EI532" s="293"/>
      <c r="EJ532" s="293"/>
      <c r="EK532" s="293"/>
      <c r="EL532" s="293"/>
      <c r="EM532" s="293"/>
      <c r="EN532" s="293"/>
      <c r="EO532" s="293"/>
      <c r="EP532" s="293"/>
      <c r="EQ532" s="293"/>
      <c r="ER532" s="293"/>
      <c r="ES532" s="293"/>
      <c r="ET532" s="293"/>
      <c r="EU532" s="293"/>
      <c r="JW532"/>
    </row>
    <row r="533" spans="1:283" s="332" customFormat="1" hidden="1" outlineLevel="1">
      <c r="A533" s="332" t="str">
        <f>A479</f>
        <v>Other operating expenses</v>
      </c>
      <c r="AN533" s="492">
        <f t="shared" si="1496"/>
        <v>0</v>
      </c>
      <c r="AO533" s="492">
        <f t="shared" si="1496"/>
        <v>0</v>
      </c>
      <c r="AP533" s="492">
        <f t="shared" si="1496"/>
        <v>0</v>
      </c>
      <c r="AQ533" s="293"/>
      <c r="AR533" s="492">
        <f t="shared" si="1497"/>
        <v>-38</v>
      </c>
      <c r="AS533" s="492">
        <f t="shared" si="1497"/>
        <v>-44</v>
      </c>
      <c r="AT533" s="492">
        <f t="shared" si="1497"/>
        <v>-82</v>
      </c>
      <c r="AU533" s="626"/>
      <c r="AV533" s="492">
        <f t="shared" si="1498"/>
        <v>-61</v>
      </c>
      <c r="AW533" s="492">
        <f t="shared" si="1498"/>
        <v>-48</v>
      </c>
      <c r="AX533" s="492">
        <f t="shared" si="1498"/>
        <v>-109</v>
      </c>
      <c r="AY533" s="626"/>
      <c r="AZ533" s="492">
        <f t="shared" si="1499"/>
        <v>-65</v>
      </c>
      <c r="BA533" s="492">
        <f t="shared" si="1499"/>
        <v>-88</v>
      </c>
      <c r="BB533" s="492">
        <f t="shared" si="1499"/>
        <v>-153</v>
      </c>
      <c r="BC533" s="293"/>
      <c r="BD533" s="492">
        <f t="shared" si="1500"/>
        <v>-86.33</v>
      </c>
      <c r="BE533" s="492">
        <f t="shared" si="1500"/>
        <v>-109</v>
      </c>
      <c r="BF533" s="492">
        <f t="shared" si="1500"/>
        <v>-195.32999999999998</v>
      </c>
      <c r="BG533" s="293"/>
      <c r="BH533" s="492">
        <f t="shared" si="1501"/>
        <v>-91</v>
      </c>
      <c r="BI533" s="492">
        <f t="shared" si="1501"/>
        <v>-101</v>
      </c>
      <c r="BJ533" s="492">
        <f t="shared" si="1501"/>
        <v>-192</v>
      </c>
      <c r="BK533" s="487"/>
      <c r="BL533" s="492">
        <f t="shared" si="1502"/>
        <v>-94</v>
      </c>
      <c r="BM533" s="492">
        <f t="shared" si="1502"/>
        <v>-98</v>
      </c>
      <c r="BN533" s="492">
        <f t="shared" si="1502"/>
        <v>-192</v>
      </c>
      <c r="BO533" s="487"/>
      <c r="BP533" s="492">
        <f t="shared" si="1503"/>
        <v>-119</v>
      </c>
      <c r="BQ533" s="492">
        <f t="shared" si="1503"/>
        <v>-139</v>
      </c>
      <c r="BR533" s="492">
        <f t="shared" si="1503"/>
        <v>-258</v>
      </c>
      <c r="BS533" s="487"/>
      <c r="BT533" s="492">
        <f t="shared" si="1504"/>
        <v>-141</v>
      </c>
      <c r="BU533" s="492">
        <f t="shared" si="1504"/>
        <v>-207</v>
      </c>
      <c r="BV533" s="492">
        <f t="shared" si="1504"/>
        <v>-348</v>
      </c>
      <c r="BW533" s="293"/>
      <c r="BX533" s="492">
        <f t="shared" si="1505"/>
        <v>-176</v>
      </c>
      <c r="BY533" s="492">
        <f t="shared" si="1505"/>
        <v>-182</v>
      </c>
      <c r="BZ533" s="492">
        <f t="shared" si="1505"/>
        <v>-358</v>
      </c>
      <c r="CA533" s="293"/>
      <c r="CB533" s="492">
        <f t="shared" si="1506"/>
        <v>-154</v>
      </c>
      <c r="CC533" s="492">
        <f t="shared" si="1506"/>
        <v>-197</v>
      </c>
      <c r="CD533" s="492">
        <f t="shared" si="1506"/>
        <v>-351</v>
      </c>
      <c r="CE533" s="293"/>
      <c r="CF533" s="492"/>
      <c r="CG533" s="492"/>
      <c r="CH533" s="492"/>
      <c r="CI533" s="293"/>
      <c r="CJ533" s="492"/>
      <c r="CK533" s="492"/>
      <c r="CL533" s="492"/>
      <c r="CM533" s="293"/>
      <c r="CN533" s="293"/>
      <c r="CO533" s="492"/>
      <c r="CP533" s="492"/>
      <c r="CQ533" s="293"/>
      <c r="CR533" s="293"/>
      <c r="CS533" s="293"/>
      <c r="CT533" s="293"/>
      <c r="CU533" s="293"/>
      <c r="CV533" s="293"/>
      <c r="CW533" s="293"/>
      <c r="CX533" s="293"/>
      <c r="CY533" s="293"/>
      <c r="CZ533" s="293"/>
      <c r="DA533" s="293"/>
      <c r="DB533" s="293"/>
      <c r="DC533" s="293"/>
      <c r="DD533" s="293"/>
      <c r="DE533" s="293"/>
      <c r="DF533" s="293"/>
      <c r="DG533" s="293"/>
      <c r="DH533" s="293"/>
      <c r="DI533" s="293"/>
      <c r="DJ533" s="293"/>
      <c r="DK533" s="293"/>
      <c r="DL533" s="293"/>
      <c r="DM533" s="293"/>
      <c r="DN533" s="293"/>
      <c r="DO533" s="293"/>
      <c r="DP533" s="293"/>
      <c r="DQ533" s="293"/>
      <c r="DR533" s="293"/>
      <c r="DS533" s="293"/>
      <c r="DT533" s="293"/>
      <c r="DU533" s="293"/>
      <c r="DV533" s="293"/>
      <c r="DW533" s="828" t="s">
        <v>514</v>
      </c>
      <c r="DX533" s="293"/>
      <c r="DY533" s="293"/>
      <c r="DZ533" s="293"/>
      <c r="EA533" s="293"/>
      <c r="EB533" s="293"/>
      <c r="EC533" s="293"/>
      <c r="ED533" s="293"/>
      <c r="EE533" s="293"/>
      <c r="EF533" s="293"/>
      <c r="EG533" s="293"/>
      <c r="EH533" s="293"/>
      <c r="EI533" s="293"/>
      <c r="EJ533" s="293"/>
      <c r="EK533" s="293"/>
      <c r="EL533" s="293"/>
      <c r="EM533" s="293"/>
      <c r="EN533" s="293"/>
      <c r="EO533" s="293"/>
      <c r="EP533" s="293"/>
      <c r="EQ533" s="293"/>
      <c r="ER533" s="293"/>
      <c r="ES533" s="293"/>
      <c r="ET533" s="293"/>
      <c r="EU533" s="293"/>
      <c r="JW533"/>
    </row>
    <row r="534" spans="1:283" s="332" customFormat="1" hidden="1" outlineLevel="1">
      <c r="A534" s="327" t="s">
        <v>913</v>
      </c>
      <c r="AN534" s="820">
        <f>SUM(AN531:AN533)</f>
        <v>0</v>
      </c>
      <c r="AO534" s="820">
        <f>SUM(AO531:AO533)</f>
        <v>0</v>
      </c>
      <c r="AP534" s="820">
        <f>SUM(AP531:AP533)</f>
        <v>0</v>
      </c>
      <c r="AQ534" s="293"/>
      <c r="AR534" s="820">
        <f>SUM(AR531:AR533)</f>
        <v>-75</v>
      </c>
      <c r="AS534" s="820">
        <f>SUM(AS531:AS533)</f>
        <v>-90</v>
      </c>
      <c r="AT534" s="820">
        <f>SUM(AT531:AT533)</f>
        <v>-165</v>
      </c>
      <c r="AU534" s="626"/>
      <c r="AV534" s="820">
        <f>SUM(AV531:AV533)</f>
        <v>-105</v>
      </c>
      <c r="AW534" s="820">
        <f>SUM(AW531:AW533)</f>
        <v>-103</v>
      </c>
      <c r="AX534" s="820">
        <f>SUM(AX531:AX533)</f>
        <v>-208</v>
      </c>
      <c r="AY534" s="626"/>
      <c r="AZ534" s="820">
        <f>SUM(AZ531:AZ533)</f>
        <v>-137</v>
      </c>
      <c r="BA534" s="820">
        <f>SUM(BA531:BA533)</f>
        <v>-165</v>
      </c>
      <c r="BB534" s="820">
        <f>SUM(BB531:BB533)</f>
        <v>-302</v>
      </c>
      <c r="BC534" s="293"/>
      <c r="BD534" s="820">
        <f>SUM(BD531:BD533)</f>
        <v>-166.99666999999999</v>
      </c>
      <c r="BE534" s="820">
        <f>SUM(BE531:BE533)</f>
        <v>-209</v>
      </c>
      <c r="BF534" s="820">
        <f>SUM(BF531:BF533)</f>
        <v>-375.99666999999999</v>
      </c>
      <c r="BG534" s="293"/>
      <c r="BH534" s="820">
        <f>SUM(BH531:BH533)</f>
        <v>-172</v>
      </c>
      <c r="BI534" s="820">
        <f>SUM(BI531:BI533)</f>
        <v>-186</v>
      </c>
      <c r="BJ534" s="820">
        <f>SUM(BJ531:BJ533)</f>
        <v>-358</v>
      </c>
      <c r="BK534" s="487"/>
      <c r="BL534" s="820">
        <f>SUM(BL531:BL533)</f>
        <v>-182</v>
      </c>
      <c r="BM534" s="820">
        <f>SUM(BM531:BM533)</f>
        <v>-199</v>
      </c>
      <c r="BN534" s="820">
        <f>SUM(BN531:BN533)</f>
        <v>-381</v>
      </c>
      <c r="BO534" s="487"/>
      <c r="BP534" s="820">
        <f>SUM(BP531:BP533)</f>
        <v>-220</v>
      </c>
      <c r="BQ534" s="820">
        <f>SUM(BQ531:BQ533)</f>
        <v>-262</v>
      </c>
      <c r="BR534" s="820">
        <f>SUM(BR531:BR533)</f>
        <v>-482</v>
      </c>
      <c r="BS534" s="487"/>
      <c r="BT534" s="820">
        <f>SUM(BT531:BT533)</f>
        <v>-252</v>
      </c>
      <c r="BU534" s="820">
        <f>SUM(BU531:BU533)</f>
        <v>-342</v>
      </c>
      <c r="BV534" s="820">
        <f>SUM(BV531:BV533)</f>
        <v>-594</v>
      </c>
      <c r="BW534" s="293"/>
      <c r="BX534" s="820">
        <f>SUM(BX531:BX533)</f>
        <v>-315</v>
      </c>
      <c r="BY534" s="820">
        <f>SUM(BY531:BY533)</f>
        <v>-319</v>
      </c>
      <c r="BZ534" s="820">
        <f>SUM(BZ531:BZ533)</f>
        <v>-634</v>
      </c>
      <c r="CA534" s="293"/>
      <c r="CB534" s="820">
        <f>SUM(CB531:CB533)</f>
        <v>-297</v>
      </c>
      <c r="CC534" s="820">
        <f>SUM(CC531:CC533)</f>
        <v>-329</v>
      </c>
      <c r="CD534" s="820">
        <f>SUM(CD531:CD533)</f>
        <v>-626</v>
      </c>
      <c r="CE534" s="293"/>
      <c r="CF534" s="820"/>
      <c r="CG534" s="820"/>
      <c r="CH534" s="820"/>
      <c r="CI534" s="293"/>
      <c r="CJ534" s="820"/>
      <c r="CK534" s="820"/>
      <c r="CL534" s="820"/>
      <c r="CM534" s="293"/>
      <c r="CN534" s="820"/>
      <c r="CO534" s="820"/>
      <c r="CP534" s="820"/>
      <c r="CQ534" s="293"/>
      <c r="CR534" s="820"/>
      <c r="CS534" s="820"/>
      <c r="CT534" s="820"/>
      <c r="CU534" s="293"/>
      <c r="CV534" s="820"/>
      <c r="CW534" s="820"/>
      <c r="CX534" s="820"/>
      <c r="CY534" s="293"/>
      <c r="CZ534" s="820"/>
      <c r="DA534" s="820"/>
      <c r="DB534" s="820"/>
      <c r="DC534" s="293"/>
      <c r="DD534" s="820"/>
      <c r="DE534" s="820"/>
      <c r="DF534" s="820"/>
      <c r="DG534" s="293"/>
      <c r="DH534" s="820"/>
      <c r="DI534" s="820"/>
      <c r="DJ534" s="820"/>
      <c r="DK534" s="293"/>
      <c r="DL534" s="820"/>
      <c r="DM534" s="820"/>
      <c r="DN534" s="820"/>
      <c r="DO534" s="293"/>
      <c r="DP534" s="820"/>
      <c r="DQ534" s="820"/>
      <c r="DR534" s="820"/>
      <c r="DS534" s="293"/>
      <c r="DT534" s="293"/>
      <c r="DU534" s="293"/>
      <c r="DV534" s="293"/>
      <c r="DW534" s="1197"/>
      <c r="DX534" s="293"/>
      <c r="DY534" s="293"/>
      <c r="DZ534" s="293"/>
      <c r="EA534" s="293"/>
      <c r="EB534" s="293"/>
      <c r="EC534" s="293"/>
      <c r="ED534" s="293"/>
      <c r="EE534" s="293"/>
      <c r="EF534" s="293"/>
      <c r="EG534" s="293"/>
      <c r="EH534" s="293"/>
      <c r="EI534" s="293"/>
      <c r="EJ534" s="293"/>
      <c r="EK534" s="293"/>
      <c r="EL534" s="293"/>
      <c r="EM534" s="293"/>
      <c r="EN534" s="293"/>
      <c r="EO534" s="293"/>
      <c r="EP534" s="293"/>
      <c r="EQ534" s="293"/>
      <c r="ER534" s="293"/>
      <c r="ES534" s="293"/>
      <c r="ET534" s="293"/>
      <c r="EU534" s="293"/>
      <c r="JW534"/>
    </row>
    <row r="535" spans="1:283" hidden="1" outlineLevel="1">
      <c r="A535" s="328" t="s">
        <v>835</v>
      </c>
      <c r="CN535" s="293"/>
      <c r="CR535" s="293"/>
      <c r="CS535" s="293"/>
      <c r="CT535" s="293"/>
      <c r="CV535" s="293"/>
      <c r="CW535" s="293"/>
      <c r="CX535" s="293"/>
      <c r="CZ535" s="293"/>
      <c r="DA535" s="293"/>
      <c r="DB535" s="293"/>
      <c r="DD535" s="293"/>
      <c r="DE535" s="293"/>
      <c r="DF535" s="293"/>
      <c r="DH535" s="293"/>
      <c r="DI535" s="293"/>
      <c r="DJ535" s="293"/>
      <c r="DL535" s="293"/>
      <c r="DM535" s="293"/>
      <c r="DN535" s="293"/>
      <c r="DP535" s="293"/>
      <c r="DQ535" s="293"/>
      <c r="DR535" s="293"/>
      <c r="DW535" s="1197"/>
      <c r="DX535" s="293"/>
      <c r="DY535" s="293"/>
      <c r="EA535" s="293"/>
      <c r="EB535" s="293"/>
      <c r="EC535" s="293"/>
      <c r="EE535" s="293"/>
      <c r="EF535" s="293"/>
      <c r="EG535" s="293"/>
      <c r="EI535" s="293"/>
      <c r="EJ535" s="293"/>
      <c r="EK535" s="293"/>
    </row>
    <row r="536" spans="1:283" s="642" customFormat="1" hidden="1" outlineLevel="1">
      <c r="A536" s="1210" t="str">
        <f>A531</f>
        <v>Employment expenses</v>
      </c>
      <c r="AN536" s="300"/>
      <c r="AO536" s="300"/>
      <c r="AP536" s="300"/>
      <c r="AQ536" s="300"/>
      <c r="AR536" s="643"/>
      <c r="AS536" s="643"/>
      <c r="AT536" s="643"/>
      <c r="AU536" s="300"/>
      <c r="AV536" s="643">
        <f>+AV531/AR531-1</f>
        <v>0.18918918918918926</v>
      </c>
      <c r="AW536" s="643">
        <f>+AW531/AS531-1</f>
        <v>0.19565217391304346</v>
      </c>
      <c r="AX536" s="643">
        <f>+AX531/AT531-1</f>
        <v>0.19277108433734935</v>
      </c>
      <c r="AY536" s="300"/>
      <c r="AZ536" s="643">
        <f>+AZ531/AV531-1</f>
        <v>0.63636363636363646</v>
      </c>
      <c r="BA536" s="643">
        <f>+BA531/AW531-1</f>
        <v>0.39999999999999991</v>
      </c>
      <c r="BB536" s="643">
        <f>+BB531/AX531-1</f>
        <v>0.50505050505050497</v>
      </c>
      <c r="BC536" s="300"/>
      <c r="BD536" s="643">
        <f>+BD531/AZ531-1</f>
        <v>-3.2407361111111199E-2</v>
      </c>
      <c r="BE536" s="643">
        <f>+BE531/BA531-1</f>
        <v>0.23376623376623384</v>
      </c>
      <c r="BF536" s="643">
        <f>+BF531/BB531-1</f>
        <v>0.10514543624161088</v>
      </c>
      <c r="BG536" s="300"/>
      <c r="BH536" s="643">
        <f t="shared" ref="BH536:BJ539" si="1507">+BH531/BD531-1</f>
        <v>0.10526310501133485</v>
      </c>
      <c r="BI536" s="643">
        <f t="shared" si="1507"/>
        <v>-0.21052631578947367</v>
      </c>
      <c r="BJ536" s="643">
        <f t="shared" si="1507"/>
        <v>-7.692309560884425E-2</v>
      </c>
      <c r="BK536" s="300"/>
      <c r="BL536" s="643">
        <f t="shared" ref="BL536:BP539" si="1508">+BL531/BH531-1</f>
        <v>6.4935064935064846E-2</v>
      </c>
      <c r="BM536" s="643">
        <f t="shared" si="1508"/>
        <v>0.25333333333333341</v>
      </c>
      <c r="BN536" s="643">
        <f t="shared" si="1508"/>
        <v>0.15789473684210531</v>
      </c>
      <c r="BO536" s="300"/>
      <c r="BP536" s="643">
        <f t="shared" si="1508"/>
        <v>0.18292682926829262</v>
      </c>
      <c r="BQ536" s="643">
        <f t="shared" ref="BQ536:BR539" si="1509">+BQ531/BM531-1</f>
        <v>0.23404255319148937</v>
      </c>
      <c r="BR536" s="643">
        <f t="shared" si="1509"/>
        <v>0.21022727272727271</v>
      </c>
      <c r="BS536" s="300"/>
      <c r="BT536" s="643">
        <f t="shared" ref="BT536:BX539" si="1510">+BT531/BP531-1</f>
        <v>0.11340206185567014</v>
      </c>
      <c r="BU536" s="643">
        <f t="shared" si="1510"/>
        <v>0.1293103448275863</v>
      </c>
      <c r="BV536" s="643">
        <f t="shared" si="1510"/>
        <v>0.1220657276995305</v>
      </c>
      <c r="BW536" s="300"/>
      <c r="BX536" s="643">
        <f t="shared" si="1510"/>
        <v>0.25</v>
      </c>
      <c r="BY536" s="643">
        <f t="shared" ref="BY536:BZ539" si="1511">+BY531/BU531-1</f>
        <v>7.6335877862594437E-3</v>
      </c>
      <c r="BZ536" s="643">
        <f t="shared" si="1511"/>
        <v>0.11715481171548126</v>
      </c>
      <c r="CA536" s="300"/>
      <c r="CB536" s="643">
        <f>+CB531/BX531-1</f>
        <v>-0.24444444444444446</v>
      </c>
      <c r="CC536" s="643">
        <f t="shared" ref="CC536:CC539" si="1512">+CC531/BY531-1</f>
        <v>-0.12878787878787878</v>
      </c>
      <c r="CD536" s="643">
        <f t="shared" ref="CD536:CD539" si="1513">+CD531/BZ531-1</f>
        <v>-0.18726591760299627</v>
      </c>
      <c r="CE536" s="300"/>
      <c r="CF536" s="643"/>
      <c r="CG536" s="643"/>
      <c r="CH536" s="643"/>
      <c r="CI536" s="300"/>
      <c r="CJ536" s="643"/>
      <c r="CK536" s="643"/>
      <c r="CL536" s="643"/>
      <c r="CM536" s="300"/>
      <c r="CN536" s="656"/>
      <c r="CO536" s="643"/>
      <c r="CP536" s="643"/>
      <c r="CQ536" s="300"/>
      <c r="CR536" s="656"/>
      <c r="CS536" s="656"/>
      <c r="CT536" s="643"/>
      <c r="CU536" s="300"/>
      <c r="CV536" s="656"/>
      <c r="CW536" s="656"/>
      <c r="CX536" s="643"/>
      <c r="CY536" s="300"/>
      <c r="CZ536" s="656"/>
      <c r="DA536" s="656"/>
      <c r="DB536" s="643"/>
      <c r="DC536" s="300"/>
      <c r="DD536" s="656"/>
      <c r="DE536" s="656"/>
      <c r="DF536" s="643"/>
      <c r="DG536" s="300"/>
      <c r="DH536" s="656"/>
      <c r="DI536" s="656"/>
      <c r="DJ536" s="643"/>
      <c r="DK536" s="300"/>
      <c r="DL536" s="656"/>
      <c r="DM536" s="656"/>
      <c r="DN536" s="643"/>
      <c r="DO536" s="300"/>
      <c r="DP536" s="656"/>
      <c r="DQ536" s="656"/>
      <c r="DR536" s="643"/>
      <c r="DS536" s="300"/>
      <c r="DT536" s="300"/>
      <c r="DU536" s="300"/>
      <c r="DV536" s="300"/>
      <c r="DW536" s="1211" t="s">
        <v>175</v>
      </c>
      <c r="DX536" s="643"/>
      <c r="DY536" s="643"/>
      <c r="DZ536" s="300"/>
      <c r="EA536" s="643"/>
      <c r="EB536" s="643"/>
      <c r="EC536" s="643"/>
      <c r="ED536" s="300"/>
      <c r="EE536" s="643"/>
      <c r="EF536" s="643"/>
      <c r="EG536" s="643"/>
      <c r="EH536" s="300"/>
      <c r="EI536" s="643"/>
      <c r="EJ536" s="643"/>
      <c r="EK536" s="643"/>
      <c r="EL536" s="300"/>
      <c r="EM536" s="300"/>
      <c r="EN536" s="300"/>
      <c r="EO536" s="300"/>
      <c r="EP536" s="300"/>
      <c r="EQ536" s="300"/>
      <c r="ER536" s="300"/>
      <c r="ES536" s="300"/>
      <c r="ET536" s="300"/>
      <c r="EU536" s="300"/>
      <c r="JW536"/>
    </row>
    <row r="537" spans="1:283" s="642" customFormat="1" hidden="1" outlineLevel="1">
      <c r="A537" s="1210" t="str">
        <f>A532</f>
        <v>Brokerage and commission expenses</v>
      </c>
      <c r="AN537" s="300"/>
      <c r="AO537" s="300"/>
      <c r="AP537" s="300"/>
      <c r="AQ537" s="300"/>
      <c r="AR537" s="643"/>
      <c r="AS537" s="643"/>
      <c r="AT537" s="643"/>
      <c r="AU537" s="300"/>
      <c r="AV537" s="643"/>
      <c r="AW537" s="643"/>
      <c r="AX537" s="643"/>
      <c r="AY537" s="300"/>
      <c r="AZ537" s="643"/>
      <c r="BA537" s="643"/>
      <c r="BB537" s="643"/>
      <c r="BC537" s="300"/>
      <c r="BD537" s="643"/>
      <c r="BE537" s="643"/>
      <c r="BF537" s="643"/>
      <c r="BG537" s="300"/>
      <c r="BH537" s="643">
        <f t="shared" si="1507"/>
        <v>-0.63636363636363635</v>
      </c>
      <c r="BI537" s="643">
        <f t="shared" si="1507"/>
        <v>1</v>
      </c>
      <c r="BJ537" s="643">
        <f t="shared" si="1507"/>
        <v>-0.125</v>
      </c>
      <c r="BK537" s="300"/>
      <c r="BL537" s="643">
        <f t="shared" si="1508"/>
        <v>0.5</v>
      </c>
      <c r="BM537" s="643">
        <f t="shared" si="1508"/>
        <v>-0.30000000000000004</v>
      </c>
      <c r="BN537" s="643">
        <f t="shared" si="1508"/>
        <v>-7.1428571428571397E-2</v>
      </c>
      <c r="BO537" s="300"/>
      <c r="BP537" s="643">
        <f t="shared" si="1508"/>
        <v>-0.33333333333333337</v>
      </c>
      <c r="BQ537" s="643">
        <f t="shared" si="1509"/>
        <v>0</v>
      </c>
      <c r="BR537" s="643">
        <f t="shared" si="1509"/>
        <v>-0.15384615384615385</v>
      </c>
      <c r="BS537" s="300"/>
      <c r="BT537" s="643">
        <f t="shared" si="1510"/>
        <v>-0.25</v>
      </c>
      <c r="BU537" s="643">
        <f t="shared" si="1510"/>
        <v>-0.4285714285714286</v>
      </c>
      <c r="BV537" s="643">
        <f t="shared" si="1510"/>
        <v>-0.36363636363636365</v>
      </c>
      <c r="BW537" s="300"/>
      <c r="BX537" s="643">
        <f t="shared" si="1510"/>
        <v>0.33333333333333326</v>
      </c>
      <c r="BY537" s="643">
        <f t="shared" si="1511"/>
        <v>0.25</v>
      </c>
      <c r="BZ537" s="643">
        <f t="shared" si="1511"/>
        <v>0.28571428571428581</v>
      </c>
      <c r="CA537" s="300"/>
      <c r="CB537" s="643">
        <f>+CB532/BX532-1</f>
        <v>9.25</v>
      </c>
      <c r="CC537" s="643">
        <f t="shared" si="1512"/>
        <v>2.4</v>
      </c>
      <c r="CD537" s="643">
        <f t="shared" si="1513"/>
        <v>5.4444444444444446</v>
      </c>
      <c r="CE537" s="300"/>
      <c r="CF537" s="643"/>
      <c r="CG537" s="643"/>
      <c r="CH537" s="643"/>
      <c r="CI537" s="300"/>
      <c r="CJ537" s="643"/>
      <c r="CK537" s="643"/>
      <c r="CL537" s="643"/>
      <c r="CM537" s="300"/>
      <c r="CN537" s="656"/>
      <c r="CO537" s="643"/>
      <c r="CP537" s="643"/>
      <c r="CQ537" s="300"/>
      <c r="CR537" s="656"/>
      <c r="CS537" s="656"/>
      <c r="CT537" s="643"/>
      <c r="CU537" s="300"/>
      <c r="CV537" s="656"/>
      <c r="CW537" s="656"/>
      <c r="CX537" s="643"/>
      <c r="CY537" s="300"/>
      <c r="CZ537" s="656"/>
      <c r="DA537" s="656"/>
      <c r="DB537" s="643"/>
      <c r="DC537" s="300"/>
      <c r="DD537" s="656"/>
      <c r="DE537" s="656"/>
      <c r="DF537" s="643"/>
      <c r="DG537" s="300"/>
      <c r="DH537" s="656"/>
      <c r="DI537" s="656"/>
      <c r="DJ537" s="643"/>
      <c r="DK537" s="300"/>
      <c r="DL537" s="656"/>
      <c r="DM537" s="656"/>
      <c r="DN537" s="643"/>
      <c r="DO537" s="300"/>
      <c r="DP537" s="656"/>
      <c r="DQ537" s="656"/>
      <c r="DR537" s="643"/>
      <c r="DS537" s="300"/>
      <c r="DT537" s="300"/>
      <c r="DU537" s="300"/>
      <c r="DV537" s="300"/>
      <c r="DW537" s="1211" t="s">
        <v>175</v>
      </c>
      <c r="DX537" s="643"/>
      <c r="DY537" s="643"/>
      <c r="DZ537" s="300"/>
      <c r="EA537" s="643"/>
      <c r="EB537" s="643"/>
      <c r="EC537" s="643"/>
      <c r="ED537" s="300"/>
      <c r="EE537" s="643"/>
      <c r="EF537" s="643"/>
      <c r="EG537" s="643"/>
      <c r="EH537" s="300"/>
      <c r="EI537" s="643"/>
      <c r="EJ537" s="643"/>
      <c r="EK537" s="643"/>
      <c r="EL537" s="300"/>
      <c r="EM537" s="300"/>
      <c r="EN537" s="300"/>
      <c r="EO537" s="300"/>
      <c r="EP537" s="300"/>
      <c r="EQ537" s="300"/>
      <c r="ER537" s="300"/>
      <c r="ES537" s="300"/>
      <c r="ET537" s="300"/>
      <c r="EU537" s="300"/>
      <c r="JW537"/>
    </row>
    <row r="538" spans="1:283" s="642" customFormat="1" hidden="1" outlineLevel="1">
      <c r="A538" s="1210" t="str">
        <f>A533</f>
        <v>Other operating expenses</v>
      </c>
      <c r="AN538" s="300"/>
      <c r="AO538" s="300"/>
      <c r="AP538" s="300"/>
      <c r="AQ538" s="300"/>
      <c r="AR538" s="643"/>
      <c r="AS538" s="643"/>
      <c r="AT538" s="643"/>
      <c r="AU538" s="300"/>
      <c r="AV538" s="643">
        <f t="shared" ref="AV538:AX539" si="1514">+AV533/AR533-1</f>
        <v>0.60526315789473695</v>
      </c>
      <c r="AW538" s="643">
        <f t="shared" si="1514"/>
        <v>9.0909090909090828E-2</v>
      </c>
      <c r="AX538" s="643">
        <f t="shared" si="1514"/>
        <v>0.3292682926829269</v>
      </c>
      <c r="AY538" s="300"/>
      <c r="AZ538" s="643">
        <f t="shared" ref="AZ538:BB539" si="1515">+AZ533/AV533-1</f>
        <v>6.5573770491803351E-2</v>
      </c>
      <c r="BA538" s="643">
        <f t="shared" si="1515"/>
        <v>0.83333333333333326</v>
      </c>
      <c r="BB538" s="643">
        <f t="shared" si="1515"/>
        <v>0.40366972477064222</v>
      </c>
      <c r="BC538" s="300"/>
      <c r="BD538" s="643">
        <f t="shared" ref="BD538:BF539" si="1516">+BD533/AZ533-1</f>
        <v>0.32815384615384602</v>
      </c>
      <c r="BE538" s="643">
        <f t="shared" si="1516"/>
        <v>0.23863636363636354</v>
      </c>
      <c r="BF538" s="643">
        <f t="shared" si="1516"/>
        <v>0.27666666666666662</v>
      </c>
      <c r="BG538" s="300"/>
      <c r="BH538" s="643">
        <f t="shared" si="1507"/>
        <v>5.4094752693154113E-2</v>
      </c>
      <c r="BI538" s="643">
        <f t="shared" si="1507"/>
        <v>-7.3394495412844041E-2</v>
      </c>
      <c r="BJ538" s="643">
        <f t="shared" si="1507"/>
        <v>-1.7048072492704569E-2</v>
      </c>
      <c r="BK538" s="300"/>
      <c r="BL538" s="643">
        <f t="shared" si="1508"/>
        <v>3.2967032967033072E-2</v>
      </c>
      <c r="BM538" s="643">
        <f t="shared" si="1508"/>
        <v>-2.9702970297029729E-2</v>
      </c>
      <c r="BN538" s="643">
        <f t="shared" si="1508"/>
        <v>0</v>
      </c>
      <c r="BO538" s="300"/>
      <c r="BP538" s="643">
        <f t="shared" si="1508"/>
        <v>0.26595744680851063</v>
      </c>
      <c r="BQ538" s="643">
        <f t="shared" si="1509"/>
        <v>0.41836734693877542</v>
      </c>
      <c r="BR538" s="643">
        <f t="shared" si="1509"/>
        <v>0.34375</v>
      </c>
      <c r="BS538" s="300"/>
      <c r="BT538" s="643">
        <f t="shared" si="1510"/>
        <v>0.18487394957983194</v>
      </c>
      <c r="BU538" s="643">
        <f t="shared" si="1510"/>
        <v>0.48920863309352525</v>
      </c>
      <c r="BV538" s="643">
        <f t="shared" si="1510"/>
        <v>0.34883720930232553</v>
      </c>
      <c r="BW538" s="300"/>
      <c r="BX538" s="643">
        <f t="shared" si="1510"/>
        <v>0.24822695035460995</v>
      </c>
      <c r="BY538" s="643">
        <f t="shared" si="1511"/>
        <v>-0.12077294685990336</v>
      </c>
      <c r="BZ538" s="643">
        <f t="shared" si="1511"/>
        <v>2.8735632183908066E-2</v>
      </c>
      <c r="CA538" s="300"/>
      <c r="CB538" s="643">
        <f>+CB533/BX533-1</f>
        <v>-0.125</v>
      </c>
      <c r="CC538" s="643">
        <f t="shared" si="1512"/>
        <v>8.2417582417582347E-2</v>
      </c>
      <c r="CD538" s="643">
        <f t="shared" si="1513"/>
        <v>-1.9553072625698276E-2</v>
      </c>
      <c r="CE538" s="300"/>
      <c r="CF538" s="643"/>
      <c r="CG538" s="643"/>
      <c r="CH538" s="643"/>
      <c r="CI538" s="300"/>
      <c r="CJ538" s="643"/>
      <c r="CK538" s="643"/>
      <c r="CL538" s="643"/>
      <c r="CM538" s="300"/>
      <c r="CN538" s="656"/>
      <c r="CO538" s="643"/>
      <c r="CP538" s="643"/>
      <c r="CQ538" s="300"/>
      <c r="CR538" s="656"/>
      <c r="CS538" s="656"/>
      <c r="CT538" s="643"/>
      <c r="CU538" s="300"/>
      <c r="CV538" s="656"/>
      <c r="CW538" s="656"/>
      <c r="CX538" s="643"/>
      <c r="CY538" s="300"/>
      <c r="CZ538" s="656"/>
      <c r="DA538" s="656"/>
      <c r="DB538" s="643"/>
      <c r="DC538" s="300"/>
      <c r="DD538" s="656"/>
      <c r="DE538" s="656"/>
      <c r="DF538" s="643"/>
      <c r="DG538" s="300"/>
      <c r="DH538" s="656"/>
      <c r="DI538" s="656"/>
      <c r="DJ538" s="643"/>
      <c r="DK538" s="300"/>
      <c r="DL538" s="656"/>
      <c r="DM538" s="656"/>
      <c r="DN538" s="643"/>
      <c r="DO538" s="300"/>
      <c r="DP538" s="656"/>
      <c r="DQ538" s="656"/>
      <c r="DR538" s="643"/>
      <c r="DS538" s="300"/>
      <c r="DT538" s="300"/>
      <c r="DU538" s="300"/>
      <c r="DV538" s="300"/>
      <c r="DW538" s="1211" t="s">
        <v>175</v>
      </c>
      <c r="DX538" s="643"/>
      <c r="DY538" s="643"/>
      <c r="DZ538" s="300"/>
      <c r="EA538" s="643"/>
      <c r="EB538" s="643"/>
      <c r="EC538" s="643"/>
      <c r="ED538" s="300"/>
      <c r="EE538" s="643"/>
      <c r="EF538" s="643"/>
      <c r="EG538" s="643"/>
      <c r="EH538" s="300"/>
      <c r="EI538" s="643"/>
      <c r="EJ538" s="643"/>
      <c r="EK538" s="643"/>
      <c r="EL538" s="300"/>
      <c r="EM538" s="300"/>
      <c r="EN538" s="300"/>
      <c r="EO538" s="300"/>
      <c r="EP538" s="300"/>
      <c r="EQ538" s="300"/>
      <c r="ER538" s="300"/>
      <c r="ES538" s="300"/>
      <c r="ET538" s="300"/>
      <c r="EU538" s="300"/>
      <c r="JW538"/>
    </row>
    <row r="539" spans="1:283" s="328" customFormat="1" hidden="1" outlineLevel="1">
      <c r="A539" s="328" t="str">
        <f>A534</f>
        <v>Total Expenses</v>
      </c>
      <c r="AN539" s="581"/>
      <c r="AO539" s="581"/>
      <c r="AP539" s="581"/>
      <c r="AQ539" s="581"/>
      <c r="AR539" s="650"/>
      <c r="AS539" s="650"/>
      <c r="AT539" s="650"/>
      <c r="AU539" s="581"/>
      <c r="AV539" s="650">
        <f t="shared" si="1514"/>
        <v>0.39999999999999991</v>
      </c>
      <c r="AW539" s="650">
        <f t="shared" si="1514"/>
        <v>0.14444444444444438</v>
      </c>
      <c r="AX539" s="650">
        <f t="shared" si="1514"/>
        <v>0.26060606060606051</v>
      </c>
      <c r="AY539" s="581"/>
      <c r="AZ539" s="650">
        <f t="shared" si="1515"/>
        <v>0.30476190476190479</v>
      </c>
      <c r="BA539" s="650">
        <f t="shared" si="1515"/>
        <v>0.60194174757281549</v>
      </c>
      <c r="BB539" s="650">
        <f t="shared" si="1515"/>
        <v>0.45192307692307687</v>
      </c>
      <c r="BC539" s="581"/>
      <c r="BD539" s="650">
        <f t="shared" si="1516"/>
        <v>0.21895379562043793</v>
      </c>
      <c r="BE539" s="650">
        <f t="shared" si="1516"/>
        <v>0.26666666666666661</v>
      </c>
      <c r="BF539" s="650">
        <f t="shared" si="1516"/>
        <v>0.24502208609271525</v>
      </c>
      <c r="BG539" s="581"/>
      <c r="BH539" s="650">
        <f t="shared" si="1507"/>
        <v>2.9960657299334281E-2</v>
      </c>
      <c r="BI539" s="650">
        <f t="shared" si="1507"/>
        <v>-0.11004784688995217</v>
      </c>
      <c r="BJ539" s="650">
        <f t="shared" si="1507"/>
        <v>-4.7863907943652806E-2</v>
      </c>
      <c r="BK539" s="581"/>
      <c r="BL539" s="650">
        <f t="shared" si="1508"/>
        <v>5.8139534883721034E-2</v>
      </c>
      <c r="BM539" s="650">
        <f t="shared" si="1508"/>
        <v>6.9892473118279508E-2</v>
      </c>
      <c r="BN539" s="650">
        <f t="shared" si="1508"/>
        <v>6.4245810055865826E-2</v>
      </c>
      <c r="BO539" s="581"/>
      <c r="BP539" s="650">
        <f t="shared" si="1508"/>
        <v>0.20879120879120872</v>
      </c>
      <c r="BQ539" s="650">
        <f t="shared" si="1509"/>
        <v>0.31658291457286425</v>
      </c>
      <c r="BR539" s="650">
        <f t="shared" si="1509"/>
        <v>0.26509186351706027</v>
      </c>
      <c r="BS539" s="581"/>
      <c r="BT539" s="650">
        <f t="shared" si="1510"/>
        <v>0.1454545454545455</v>
      </c>
      <c r="BU539" s="650">
        <f t="shared" si="1510"/>
        <v>0.30534351145038174</v>
      </c>
      <c r="BV539" s="650">
        <f t="shared" si="1510"/>
        <v>0.23236514522821583</v>
      </c>
      <c r="BW539" s="581"/>
      <c r="BX539" s="650">
        <f t="shared" si="1510"/>
        <v>0.25</v>
      </c>
      <c r="BY539" s="650">
        <f t="shared" si="1511"/>
        <v>-6.7251461988304118E-2</v>
      </c>
      <c r="BZ539" s="650">
        <f t="shared" si="1511"/>
        <v>6.7340067340067256E-2</v>
      </c>
      <c r="CA539" s="581"/>
      <c r="CB539" s="650">
        <f>+CB534/BX534-1</f>
        <v>-5.7142857142857162E-2</v>
      </c>
      <c r="CC539" s="650">
        <f t="shared" si="1512"/>
        <v>3.1347962382445083E-2</v>
      </c>
      <c r="CD539" s="650">
        <f t="shared" si="1513"/>
        <v>-1.2618296529968487E-2</v>
      </c>
      <c r="CE539" s="581"/>
      <c r="CF539" s="650"/>
      <c r="CG539" s="650"/>
      <c r="CH539" s="650"/>
      <c r="CI539" s="581"/>
      <c r="CJ539" s="650"/>
      <c r="CK539" s="650"/>
      <c r="CL539" s="650"/>
      <c r="CM539" s="581"/>
      <c r="CN539" s="650"/>
      <c r="CO539" s="650"/>
      <c r="CP539" s="650"/>
      <c r="CQ539" s="581"/>
      <c r="CR539" s="650"/>
      <c r="CS539" s="650"/>
      <c r="CT539" s="650"/>
      <c r="CU539" s="581"/>
      <c r="CV539" s="650"/>
      <c r="CW539" s="650"/>
      <c r="CX539" s="650"/>
      <c r="CY539" s="581"/>
      <c r="CZ539" s="650"/>
      <c r="DA539" s="650"/>
      <c r="DB539" s="650"/>
      <c r="DC539" s="581"/>
      <c r="DD539" s="650"/>
      <c r="DE539" s="650"/>
      <c r="DF539" s="650"/>
      <c r="DG539" s="581"/>
      <c r="DH539" s="650"/>
      <c r="DI539" s="650"/>
      <c r="DJ539" s="650"/>
      <c r="DK539" s="581"/>
      <c r="DL539" s="650"/>
      <c r="DM539" s="650"/>
      <c r="DN539" s="650"/>
      <c r="DO539" s="581"/>
      <c r="DP539" s="650"/>
      <c r="DQ539" s="650"/>
      <c r="DR539" s="650"/>
      <c r="DS539" s="581"/>
      <c r="DT539" s="581"/>
      <c r="DU539" s="581"/>
      <c r="DV539" s="581"/>
      <c r="DW539" s="1212"/>
      <c r="DX539" s="682"/>
      <c r="DY539" s="682"/>
      <c r="DZ539" s="581"/>
      <c r="EA539" s="682"/>
      <c r="EB539" s="682"/>
      <c r="EC539" s="682"/>
      <c r="ED539" s="581"/>
      <c r="EE539" s="682"/>
      <c r="EF539" s="682"/>
      <c r="EG539" s="682"/>
      <c r="EH539" s="581"/>
      <c r="EI539" s="682"/>
      <c r="EJ539" s="682"/>
      <c r="EK539" s="682"/>
      <c r="EL539" s="581"/>
      <c r="EM539" s="581"/>
      <c r="EN539" s="581"/>
      <c r="EO539" s="581"/>
      <c r="EP539" s="581"/>
      <c r="EQ539" s="581"/>
      <c r="ER539" s="581"/>
      <c r="ES539" s="581"/>
      <c r="ET539" s="581"/>
      <c r="EU539" s="581"/>
      <c r="JW539"/>
    </row>
    <row r="540" spans="1:283" hidden="1" outlineLevel="1">
      <c r="CR540" s="103"/>
      <c r="CS540" s="103"/>
      <c r="CT540" s="103"/>
      <c r="CV540" s="103"/>
      <c r="CW540" s="103"/>
      <c r="CX540" s="103"/>
      <c r="CZ540" s="103"/>
      <c r="DA540" s="103"/>
      <c r="DB540" s="103"/>
      <c r="DD540" s="103"/>
      <c r="DE540" s="103"/>
      <c r="DF540" s="103"/>
      <c r="DH540" s="103"/>
      <c r="DI540" s="103"/>
      <c r="DJ540" s="103"/>
      <c r="DL540" s="103"/>
      <c r="DM540" s="103"/>
      <c r="DN540" s="103"/>
      <c r="DP540" s="103"/>
      <c r="DQ540" s="103"/>
      <c r="DR540" s="103"/>
      <c r="DW540" s="1101"/>
    </row>
    <row r="541" spans="1:283" collapsed="1">
      <c r="CR541" s="103"/>
      <c r="CS541" s="103"/>
      <c r="CT541" s="103"/>
      <c r="CV541" s="103"/>
      <c r="CW541" s="103"/>
      <c r="CX541" s="103"/>
      <c r="CZ541" s="103"/>
      <c r="DA541" s="103"/>
      <c r="DB541" s="103"/>
      <c r="DD541" s="103"/>
      <c r="DE541" s="103"/>
      <c r="DF541" s="103"/>
      <c r="DH541" s="103"/>
      <c r="DI541" s="103"/>
      <c r="DJ541" s="103"/>
      <c r="DL541" s="103"/>
      <c r="DM541" s="103"/>
      <c r="DN541" s="103"/>
      <c r="DP541" s="103"/>
      <c r="DQ541" s="103"/>
      <c r="DR541" s="103"/>
      <c r="DW541" s="1101"/>
    </row>
    <row r="542" spans="1:283" s="1193" customFormat="1">
      <c r="A542" s="1216" t="s">
        <v>842</v>
      </c>
      <c r="AN542" s="1194"/>
      <c r="AO542" s="1194"/>
      <c r="AP542" s="1195"/>
      <c r="AQ542" s="1194"/>
      <c r="AR542" s="1194"/>
      <c r="AS542" s="1194"/>
      <c r="AT542" s="1195"/>
      <c r="AU542" s="1194"/>
      <c r="AV542" s="1194"/>
      <c r="AW542" s="1194"/>
      <c r="AX542" s="1195"/>
      <c r="AY542" s="1194"/>
      <c r="AZ542" s="1194"/>
      <c r="BA542" s="1194"/>
      <c r="BB542" s="1195"/>
      <c r="BC542" s="1194"/>
      <c r="BD542" s="1194"/>
      <c r="BE542" s="1194"/>
      <c r="BF542" s="1195"/>
      <c r="BG542" s="1194"/>
      <c r="BH542" s="1194"/>
      <c r="BI542" s="1194"/>
      <c r="BJ542" s="1195"/>
      <c r="BK542" s="1194"/>
      <c r="BL542" s="1194"/>
      <c r="BM542" s="1194"/>
      <c r="BN542" s="1195"/>
      <c r="BO542" s="1194"/>
      <c r="BP542" s="1194"/>
      <c r="BQ542" s="1194"/>
      <c r="BR542" s="1195"/>
      <c r="BS542" s="1194"/>
      <c r="BT542" s="1194"/>
      <c r="BU542" s="1194"/>
      <c r="BV542" s="1195"/>
      <c r="BW542" s="1194"/>
      <c r="BX542" s="1194"/>
      <c r="BY542" s="1194"/>
      <c r="BZ542" s="1195"/>
      <c r="CA542" s="1194"/>
      <c r="CB542" s="1194"/>
      <c r="CC542" s="1194"/>
      <c r="CD542" s="1195"/>
      <c r="CE542" s="1194"/>
      <c r="CF542" s="1194"/>
      <c r="CG542" s="1194"/>
      <c r="CH542" s="1195"/>
      <c r="CI542" s="1194"/>
      <c r="CJ542" s="1194"/>
      <c r="CK542" s="1194"/>
      <c r="CL542" s="1195"/>
      <c r="CM542" s="1194"/>
      <c r="CN542" s="1194"/>
      <c r="CO542" s="1194"/>
      <c r="CP542" s="1195"/>
      <c r="CQ542" s="1194"/>
      <c r="CR542" s="1194"/>
      <c r="CS542" s="1194"/>
      <c r="CT542" s="1195"/>
      <c r="CU542" s="1194"/>
      <c r="CV542" s="1194"/>
      <c r="CW542" s="1194"/>
      <c r="CX542" s="1195"/>
      <c r="CY542" s="1194"/>
      <c r="CZ542" s="1194"/>
      <c r="DA542" s="1194"/>
      <c r="DB542" s="1195"/>
      <c r="DC542" s="1194"/>
      <c r="DD542" s="1194"/>
      <c r="DE542" s="1194"/>
      <c r="DF542" s="1195"/>
      <c r="DG542" s="1194"/>
      <c r="DH542" s="1194"/>
      <c r="DI542" s="1194"/>
      <c r="DJ542" s="1195"/>
      <c r="DK542" s="1194"/>
      <c r="DL542" s="1194"/>
      <c r="DM542" s="1194"/>
      <c r="DN542" s="1195"/>
      <c r="DO542" s="1194"/>
      <c r="DP542" s="1194"/>
      <c r="DQ542" s="1194"/>
      <c r="DR542" s="1195"/>
      <c r="DS542" s="1194"/>
      <c r="DT542" s="1194"/>
      <c r="DU542" s="1194"/>
      <c r="DV542" s="1194"/>
      <c r="DW542" s="1196"/>
      <c r="DX542" s="1194"/>
      <c r="DY542" s="1194"/>
      <c r="DZ542" s="1194"/>
      <c r="EA542" s="1194"/>
      <c r="EB542" s="1194"/>
      <c r="EC542" s="1194"/>
      <c r="ED542" s="1194"/>
      <c r="EE542" s="1194"/>
      <c r="EF542" s="1194"/>
      <c r="EG542" s="1194"/>
      <c r="EH542" s="1194"/>
      <c r="EI542" s="1194"/>
      <c r="EJ542" s="1194"/>
      <c r="EK542" s="1194"/>
      <c r="EL542" s="1194"/>
      <c r="EM542" s="1194"/>
      <c r="EN542" s="1194"/>
      <c r="EO542" s="1194"/>
      <c r="EP542" s="1194"/>
      <c r="EQ542" s="1194"/>
      <c r="ER542" s="1194"/>
      <c r="ES542" s="1194"/>
      <c r="ET542" s="1194"/>
      <c r="EU542" s="1194"/>
      <c r="JW542"/>
    </row>
    <row r="543" spans="1:283" s="332" customFormat="1">
      <c r="AN543" s="293"/>
      <c r="AO543" s="293"/>
      <c r="AP543" s="293"/>
      <c r="AQ543" s="293"/>
      <c r="AR543" s="293"/>
      <c r="AS543" s="293"/>
      <c r="AT543" s="293"/>
      <c r="AU543" s="293"/>
      <c r="AV543" s="293"/>
      <c r="AW543" s="293"/>
      <c r="AX543" s="293"/>
      <c r="AY543" s="293"/>
      <c r="AZ543" s="293"/>
      <c r="BA543" s="293"/>
      <c r="BB543" s="293"/>
      <c r="BC543" s="293"/>
      <c r="BD543" s="293"/>
      <c r="BE543" s="293"/>
      <c r="BF543" s="293"/>
      <c r="BG543" s="293"/>
      <c r="BH543" s="293"/>
      <c r="BI543" s="293"/>
      <c r="BJ543" s="293"/>
      <c r="BK543" s="293"/>
      <c r="BL543" s="293"/>
      <c r="BM543" s="293"/>
      <c r="BN543" s="293"/>
      <c r="BO543" s="293"/>
      <c r="BP543" s="293"/>
      <c r="BQ543" s="293"/>
      <c r="BR543" s="293"/>
      <c r="BS543" s="293"/>
      <c r="BT543" s="293"/>
      <c r="BU543" s="293"/>
      <c r="BV543" s="293"/>
      <c r="BW543" s="293"/>
      <c r="BX543" s="293"/>
      <c r="BY543" s="293"/>
      <c r="BZ543" s="293"/>
      <c r="CA543" s="293"/>
      <c r="CB543" s="293"/>
      <c r="CC543" s="293"/>
      <c r="CD543" s="293"/>
      <c r="CE543" s="293"/>
      <c r="CF543" s="293"/>
      <c r="CG543" s="293"/>
      <c r="CH543" s="293"/>
      <c r="CI543" s="293"/>
      <c r="CJ543" s="293"/>
      <c r="CK543" s="293"/>
      <c r="CL543" s="293"/>
      <c r="CM543" s="293"/>
      <c r="CN543" s="293"/>
      <c r="CO543" s="293"/>
      <c r="CP543" s="293"/>
      <c r="CQ543" s="293"/>
      <c r="CR543" s="293"/>
      <c r="CS543" s="293"/>
      <c r="CT543" s="293"/>
      <c r="CU543" s="293"/>
      <c r="CV543" s="293"/>
      <c r="CW543" s="293"/>
      <c r="CX543" s="293"/>
      <c r="CY543" s="293"/>
      <c r="CZ543" s="293"/>
      <c r="DA543" s="293"/>
      <c r="DB543" s="293"/>
      <c r="DC543" s="293"/>
      <c r="DD543" s="293"/>
      <c r="DE543" s="360"/>
      <c r="DF543" s="293"/>
      <c r="DG543" s="293"/>
      <c r="DH543" s="293"/>
      <c r="DI543" s="293"/>
      <c r="DJ543" s="293"/>
      <c r="DK543" s="293"/>
      <c r="DL543" s="293"/>
      <c r="DM543" s="293"/>
      <c r="DN543" s="293"/>
      <c r="DO543" s="293"/>
      <c r="DP543" s="293"/>
      <c r="DQ543" s="293"/>
      <c r="DR543" s="293"/>
      <c r="DS543" s="293"/>
      <c r="DT543" s="293"/>
      <c r="DU543" s="293"/>
      <c r="DV543" s="293"/>
      <c r="DW543" s="293"/>
      <c r="DX543" s="293"/>
      <c r="DY543" s="293"/>
      <c r="DZ543" s="293"/>
      <c r="EA543" s="293"/>
      <c r="EB543" s="293"/>
      <c r="EC543" s="293"/>
      <c r="ED543" s="293"/>
      <c r="EE543" s="293"/>
      <c r="EF543" s="293"/>
      <c r="EG543" s="293"/>
      <c r="EH543" s="293"/>
      <c r="EI543" s="293"/>
      <c r="EJ543" s="293"/>
      <c r="EK543" s="293"/>
      <c r="EL543" s="293"/>
      <c r="EM543" s="293"/>
      <c r="EN543" s="293"/>
      <c r="EO543" s="293"/>
      <c r="EP543" s="293"/>
      <c r="EQ543" s="293"/>
      <c r="ER543" s="293"/>
      <c r="ES543" s="293"/>
      <c r="ET543" s="293"/>
      <c r="EU543" s="293"/>
      <c r="JW543"/>
    </row>
    <row r="544" spans="1:283" s="332" customFormat="1">
      <c r="A544" s="332" t="s">
        <v>571</v>
      </c>
      <c r="AN544" s="626">
        <v>173</v>
      </c>
      <c r="AO544" s="626">
        <v>165</v>
      </c>
      <c r="AP544" s="293">
        <f>AN544+AO544</f>
        <v>338</v>
      </c>
      <c r="AQ544" s="626"/>
      <c r="AR544" s="626">
        <v>202</v>
      </c>
      <c r="AS544" s="626">
        <v>223</v>
      </c>
      <c r="AT544" s="293">
        <f>AR544+AS544</f>
        <v>425</v>
      </c>
      <c r="AU544" s="626"/>
      <c r="AV544" s="626">
        <v>254</v>
      </c>
      <c r="AW544" s="626">
        <v>297</v>
      </c>
      <c r="AX544" s="293">
        <f t="shared" ref="AX544:AX550" si="1517">AV544+AW544</f>
        <v>551</v>
      </c>
      <c r="AY544" s="626"/>
      <c r="AZ544" s="626">
        <v>344</v>
      </c>
      <c r="BA544" s="626">
        <v>369</v>
      </c>
      <c r="BB544" s="293">
        <f t="shared" ref="BB544:BB550" si="1518">AZ544+BA544</f>
        <v>713</v>
      </c>
      <c r="BC544" s="293"/>
      <c r="BD544" s="626">
        <v>355</v>
      </c>
      <c r="BE544" s="626">
        <v>350</v>
      </c>
      <c r="BF544" s="293">
        <f t="shared" ref="BF544:BF550" si="1519">BD544+BE544</f>
        <v>705</v>
      </c>
      <c r="BG544" s="293"/>
      <c r="BH544" s="626">
        <v>311</v>
      </c>
      <c r="BI544" s="626">
        <v>331</v>
      </c>
      <c r="BJ544" s="293">
        <f t="shared" ref="BJ544:BJ550" si="1520">BH544+BI544</f>
        <v>642</v>
      </c>
      <c r="BK544" s="487"/>
      <c r="BL544" s="626">
        <v>366</v>
      </c>
      <c r="BM544" s="626">
        <v>372</v>
      </c>
      <c r="BN544" s="293">
        <f t="shared" ref="BN544:BN550" si="1521">BL544+BM544</f>
        <v>738</v>
      </c>
      <c r="BO544" s="817">
        <f>+BN544/BJ544-1</f>
        <v>0.14953271028037385</v>
      </c>
      <c r="BP544" s="626">
        <v>406</v>
      </c>
      <c r="BQ544" s="626">
        <v>419</v>
      </c>
      <c r="BR544" s="293">
        <f t="shared" ref="BR544:BR550" si="1522">BP544+BQ544</f>
        <v>825</v>
      </c>
      <c r="BS544" s="817">
        <f>+BR544/BN544-1</f>
        <v>0.11788617886178865</v>
      </c>
      <c r="BT544" s="626">
        <v>456</v>
      </c>
      <c r="BU544" s="626">
        <v>485</v>
      </c>
      <c r="BV544" s="293">
        <f t="shared" ref="BV544:BV550" si="1523">BT544+BU544</f>
        <v>941</v>
      </c>
      <c r="BW544" s="817">
        <f>+BV544/BR544-1</f>
        <v>0.14060606060606062</v>
      </c>
      <c r="BX544" s="626">
        <v>498</v>
      </c>
      <c r="BY544" s="626">
        <v>551</v>
      </c>
      <c r="BZ544" s="293">
        <f t="shared" ref="BZ544:BZ550" si="1524">BX544+BY544</f>
        <v>1049</v>
      </c>
      <c r="CA544" s="817">
        <f>+BZ544/BV544-1</f>
        <v>0.11477151965993615</v>
      </c>
      <c r="CB544" s="626">
        <v>787</v>
      </c>
      <c r="CC544" s="626">
        <v>797</v>
      </c>
      <c r="CD544" s="293">
        <f t="shared" ref="CD544:CD550" si="1525">CB544+CC544</f>
        <v>1584</v>
      </c>
      <c r="CE544" s="817">
        <f>+CD544/BZ544-1</f>
        <v>0.51000953288846529</v>
      </c>
      <c r="CF544" s="626">
        <v>834</v>
      </c>
      <c r="CG544" s="626">
        <v>844</v>
      </c>
      <c r="CH544" s="293">
        <f t="shared" ref="CH544:CH550" si="1526">CF544+CG544</f>
        <v>1678</v>
      </c>
      <c r="CI544" s="817">
        <f>+CH544/CD544-1</f>
        <v>5.9343434343434254E-2</v>
      </c>
      <c r="CJ544" s="626">
        <v>838</v>
      </c>
      <c r="CK544" s="626">
        <v>890</v>
      </c>
      <c r="CL544" s="293">
        <f t="shared" ref="CL544:CL550" si="1527">CJ544+CK544</f>
        <v>1728</v>
      </c>
      <c r="CM544" s="817">
        <f>+CL544/CH544-1</f>
        <v>2.9797377830750982E-2</v>
      </c>
      <c r="CN544" s="1388">
        <v>844</v>
      </c>
      <c r="CO544" s="1388">
        <v>902</v>
      </c>
      <c r="CP544" s="1010">
        <f t="shared" ref="CP544:CP550" si="1528">CN544+CO544</f>
        <v>1746</v>
      </c>
      <c r="CQ544" s="1002">
        <f>+CP544/CL544-1</f>
        <v>1.0416666666666741E-2</v>
      </c>
      <c r="CR544" s="1388">
        <v>974</v>
      </c>
      <c r="CS544" s="1497">
        <v>998</v>
      </c>
      <c r="CT544" s="293">
        <f t="shared" ref="CT544:CT550" si="1529">CR544+CS544</f>
        <v>1972</v>
      </c>
      <c r="CU544" s="817">
        <f>+CT544/CP544-1</f>
        <v>0.12943871706758303</v>
      </c>
      <c r="CV544" s="1863">
        <v>1197</v>
      </c>
      <c r="CW544" s="1488">
        <v>1323</v>
      </c>
      <c r="CX544" s="1010">
        <f t="shared" ref="CX544:CX550" si="1530">CV544+CW544</f>
        <v>2520</v>
      </c>
      <c r="CY544" s="1002">
        <f>+CX544/CT544-1</f>
        <v>0.27789046653144012</v>
      </c>
      <c r="CZ544" s="1863">
        <v>1360</v>
      </c>
      <c r="DA544" s="1488">
        <v>1285</v>
      </c>
      <c r="DB544" s="1010">
        <f t="shared" ref="DB544:DB550" si="1531">CZ544+DA544</f>
        <v>2645</v>
      </c>
      <c r="DC544" s="1002">
        <f>+DB544/CX544-1</f>
        <v>4.9603174603174649E-2</v>
      </c>
      <c r="DD544" s="1863">
        <v>1326</v>
      </c>
      <c r="DE544" s="2176">
        <v>1391</v>
      </c>
      <c r="DF544" s="1010">
        <f t="shared" ref="DF544:DF550" si="1532">DD544+DE544</f>
        <v>2717</v>
      </c>
      <c r="DG544" s="817">
        <f>+DF544/DB544-1</f>
        <v>2.7221172022684259E-2</v>
      </c>
      <c r="DH544" s="1863">
        <v>1456</v>
      </c>
      <c r="DI544" s="293">
        <f>DI566</f>
        <v>1477.8162328900316</v>
      </c>
      <c r="DJ544" s="293">
        <f t="shared" ref="DJ544:DJ550" si="1533">DH544+DI544</f>
        <v>2933.8162328900316</v>
      </c>
      <c r="DK544" s="817">
        <f>+DJ544/DF544-1</f>
        <v>7.9799864884074978E-2</v>
      </c>
      <c r="DL544" s="293">
        <f>DL566</f>
        <v>1612.8163482422478</v>
      </c>
      <c r="DM544" s="293">
        <f>DM566</f>
        <v>1684.482980897023</v>
      </c>
      <c r="DN544" s="293">
        <f t="shared" ref="DN544:DN550" si="1534">DL544+DM544</f>
        <v>3297.2993291392709</v>
      </c>
      <c r="DO544" s="817">
        <f>+DN544/DJ544-1</f>
        <v>0.12389429582342348</v>
      </c>
      <c r="DP544" s="293">
        <f>DP566</f>
        <v>1751.6685404062785</v>
      </c>
      <c r="DQ544" s="293">
        <f>DQ566</f>
        <v>1815.8387975269154</v>
      </c>
      <c r="DR544" s="293">
        <f t="shared" ref="DR544:DR550" si="1535">DP544+DQ544</f>
        <v>3567.5073379331939</v>
      </c>
      <c r="DS544" s="817">
        <f>+DR544/DN544-1</f>
        <v>8.1948280038154131E-2</v>
      </c>
      <c r="DT544" s="817"/>
      <c r="DU544" s="817"/>
      <c r="DV544" s="817"/>
      <c r="DW544" s="1197" t="s">
        <v>513</v>
      </c>
      <c r="DX544" s="841"/>
      <c r="DY544" s="293"/>
      <c r="DZ544" s="293"/>
      <c r="EA544" s="293"/>
      <c r="EB544" s="293"/>
      <c r="EC544" s="293"/>
      <c r="ED544" s="293"/>
      <c r="EE544" s="293"/>
      <c r="EF544" s="293"/>
      <c r="EG544" s="293"/>
      <c r="EH544" s="293"/>
      <c r="EI544" s="293"/>
      <c r="EJ544" s="293"/>
      <c r="EK544" s="293"/>
      <c r="EL544" s="293"/>
      <c r="EM544" s="293"/>
      <c r="EN544" s="293"/>
      <c r="EO544" s="293"/>
      <c r="EP544" s="293"/>
      <c r="EQ544" s="293"/>
      <c r="ER544" s="293"/>
      <c r="ES544" s="293"/>
      <c r="ET544" s="293"/>
      <c r="EU544" s="293"/>
      <c r="JW544"/>
    </row>
    <row r="545" spans="1:283" s="332" customFormat="1">
      <c r="A545" s="332" t="s">
        <v>566</v>
      </c>
      <c r="AN545" s="293"/>
      <c r="AO545" s="293"/>
      <c r="AP545" s="293"/>
      <c r="AQ545" s="293"/>
      <c r="AR545" s="293">
        <f>AR627</f>
        <v>265</v>
      </c>
      <c r="AS545" s="293">
        <f>AS627</f>
        <v>203</v>
      </c>
      <c r="AT545" s="293">
        <f>AR545+AS545</f>
        <v>468</v>
      </c>
      <c r="AU545" s="293"/>
      <c r="AV545" s="293">
        <f>AV627</f>
        <v>360</v>
      </c>
      <c r="AW545" s="293">
        <f>AW627</f>
        <v>367</v>
      </c>
      <c r="AX545" s="293">
        <f t="shared" si="1517"/>
        <v>727</v>
      </c>
      <c r="AY545" s="293"/>
      <c r="AZ545" s="293">
        <f>AZ627</f>
        <v>393</v>
      </c>
      <c r="BA545" s="293">
        <f>BA627</f>
        <v>359</v>
      </c>
      <c r="BB545" s="293">
        <f t="shared" si="1518"/>
        <v>752</v>
      </c>
      <c r="BC545" s="293"/>
      <c r="BD545" s="293">
        <f>BD627</f>
        <v>356.33</v>
      </c>
      <c r="BE545" s="293">
        <f>BE627</f>
        <v>333</v>
      </c>
      <c r="BF545" s="293">
        <f t="shared" si="1519"/>
        <v>689.32999999999993</v>
      </c>
      <c r="BG545" s="293"/>
      <c r="BH545" s="293">
        <f>BH627</f>
        <v>336</v>
      </c>
      <c r="BI545" s="293">
        <f>BI627</f>
        <v>309</v>
      </c>
      <c r="BJ545" s="293">
        <f t="shared" si="1520"/>
        <v>645</v>
      </c>
      <c r="BK545" s="487"/>
      <c r="BL545" s="293">
        <f>BL627</f>
        <v>317</v>
      </c>
      <c r="BM545" s="293">
        <f>BM627</f>
        <v>259</v>
      </c>
      <c r="BN545" s="293">
        <f t="shared" si="1521"/>
        <v>576</v>
      </c>
      <c r="BO545" s="817">
        <f>+BN545/BJ545-1</f>
        <v>-0.10697674418604652</v>
      </c>
      <c r="BP545" s="293">
        <f>BP627</f>
        <v>262</v>
      </c>
      <c r="BQ545" s="293">
        <f>BQ627</f>
        <v>270</v>
      </c>
      <c r="BR545" s="293">
        <f t="shared" si="1522"/>
        <v>532</v>
      </c>
      <c r="BS545" s="817">
        <f>+BR545/BN545-1</f>
        <v>-7.638888888888884E-2</v>
      </c>
      <c r="BT545" s="293">
        <f>BT627</f>
        <v>282</v>
      </c>
      <c r="BU545" s="293">
        <f>BU627</f>
        <v>244</v>
      </c>
      <c r="BV545" s="293">
        <f t="shared" si="1523"/>
        <v>526</v>
      </c>
      <c r="BW545" s="817">
        <f>+BV545/BR545-1</f>
        <v>-1.1278195488721776E-2</v>
      </c>
      <c r="BX545" s="293">
        <f>BX627</f>
        <v>256</v>
      </c>
      <c r="BY545" s="293">
        <f>BY627</f>
        <v>216</v>
      </c>
      <c r="BZ545" s="293">
        <f t="shared" si="1524"/>
        <v>472</v>
      </c>
      <c r="CA545" s="817">
        <f>+BZ545/BV545-1</f>
        <v>-0.10266159695817489</v>
      </c>
      <c r="CB545" s="293">
        <f>CB627</f>
        <v>248</v>
      </c>
      <c r="CC545" s="293">
        <f>CC627</f>
        <v>244</v>
      </c>
      <c r="CD545" s="293">
        <f t="shared" si="1525"/>
        <v>492</v>
      </c>
      <c r="CE545" s="817">
        <f>+CD545/BZ545-1</f>
        <v>4.2372881355932313E-2</v>
      </c>
      <c r="CF545" s="293">
        <f>CF627</f>
        <v>244</v>
      </c>
      <c r="CG545" s="293">
        <f>CG627</f>
        <v>232</v>
      </c>
      <c r="CH545" s="293">
        <f t="shared" si="1526"/>
        <v>476</v>
      </c>
      <c r="CI545" s="817">
        <f>+CH545/CD545-1</f>
        <v>-3.2520325203251987E-2</v>
      </c>
      <c r="CJ545" s="293">
        <f>CJ627</f>
        <v>226</v>
      </c>
      <c r="CK545" s="293">
        <f>CK627</f>
        <v>219</v>
      </c>
      <c r="CL545" s="293">
        <f t="shared" si="1527"/>
        <v>445</v>
      </c>
      <c r="CM545" s="817">
        <f>+CL545/CH545-1</f>
        <v>-6.5126050420168058E-2</v>
      </c>
      <c r="CN545" s="1010">
        <f>CN627</f>
        <v>203</v>
      </c>
      <c r="CO545" s="1010">
        <f>CO627</f>
        <v>216</v>
      </c>
      <c r="CP545" s="1010">
        <f t="shared" si="1528"/>
        <v>419</v>
      </c>
      <c r="CQ545" s="1002">
        <f>+CP545/CL545-1</f>
        <v>-5.8426966292134841E-2</v>
      </c>
      <c r="CR545" s="1010">
        <f>CR627</f>
        <v>220</v>
      </c>
      <c r="CS545" s="1495">
        <f>CS627</f>
        <v>237</v>
      </c>
      <c r="CT545" s="293">
        <f t="shared" si="1529"/>
        <v>457</v>
      </c>
      <c r="CU545" s="817">
        <f>+CT545/CP545-1</f>
        <v>9.069212410501204E-2</v>
      </c>
      <c r="CV545" s="1010">
        <f>CV627</f>
        <v>249</v>
      </c>
      <c r="CW545" s="1490">
        <f>CW627</f>
        <v>255</v>
      </c>
      <c r="CX545" s="1010">
        <f t="shared" si="1530"/>
        <v>504</v>
      </c>
      <c r="CY545" s="1002">
        <f>+CX545/CT545-1</f>
        <v>0.10284463894967177</v>
      </c>
      <c r="CZ545" s="1868">
        <f>CZ627</f>
        <v>273</v>
      </c>
      <c r="DA545" s="1490">
        <f>DA627</f>
        <v>281</v>
      </c>
      <c r="DB545" s="1010">
        <f t="shared" si="1531"/>
        <v>554</v>
      </c>
      <c r="DC545" s="1002">
        <f>+DB545/CX545-1</f>
        <v>9.9206349206349298E-2</v>
      </c>
      <c r="DD545" s="1868">
        <f>DD627</f>
        <v>304</v>
      </c>
      <c r="DE545" s="1490">
        <f>DE627</f>
        <v>307</v>
      </c>
      <c r="DF545" s="1010">
        <f t="shared" si="1532"/>
        <v>611</v>
      </c>
      <c r="DG545" s="817">
        <f>+DF545/DB545-1</f>
        <v>0.10288808664259919</v>
      </c>
      <c r="DH545" s="1868">
        <f>DH627</f>
        <v>329</v>
      </c>
      <c r="DI545" s="293">
        <f>DI627</f>
        <v>324.52</v>
      </c>
      <c r="DJ545" s="293">
        <f t="shared" si="1533"/>
        <v>653.52</v>
      </c>
      <c r="DK545" s="817">
        <f>+DJ545/DF545-1</f>
        <v>6.9590834697217607E-2</v>
      </c>
      <c r="DL545" s="293">
        <f>DL627</f>
        <v>347.69</v>
      </c>
      <c r="DM545" s="293">
        <f>DM627</f>
        <v>343.04620000000006</v>
      </c>
      <c r="DN545" s="293">
        <f t="shared" si="1534"/>
        <v>690.73620000000005</v>
      </c>
      <c r="DO545" s="817">
        <f>+DN545/DJ545-1</f>
        <v>5.6947300771208242E-2</v>
      </c>
      <c r="DP545" s="293">
        <f>DP627</f>
        <v>367.44890000000004</v>
      </c>
      <c r="DQ545" s="293">
        <f>DQ627</f>
        <v>362.63672200000008</v>
      </c>
      <c r="DR545" s="293">
        <f t="shared" si="1535"/>
        <v>730.08562200000006</v>
      </c>
      <c r="DS545" s="817">
        <f>+DR545/DN545-1</f>
        <v>5.6967366123275465E-2</v>
      </c>
      <c r="DT545" s="817"/>
      <c r="DU545" s="817"/>
      <c r="DV545" s="817"/>
      <c r="DW545" s="1197" t="s">
        <v>513</v>
      </c>
      <c r="DX545" s="293"/>
      <c r="DY545" s="293"/>
      <c r="DZ545" s="293"/>
      <c r="EA545" s="293"/>
      <c r="EB545" s="293"/>
      <c r="EC545" s="293"/>
      <c r="ED545" s="293"/>
      <c r="EE545" s="293"/>
      <c r="EF545" s="293"/>
      <c r="EG545" s="293"/>
      <c r="EH545" s="293"/>
      <c r="EI545" s="293"/>
      <c r="EJ545" s="293"/>
      <c r="EK545" s="293"/>
      <c r="EL545" s="293"/>
      <c r="EM545" s="293"/>
      <c r="EN545" s="293"/>
      <c r="EO545" s="293"/>
      <c r="EP545" s="293"/>
      <c r="EQ545" s="293"/>
      <c r="ER545" s="293"/>
      <c r="ES545" s="293"/>
      <c r="ET545" s="293"/>
      <c r="EU545" s="293"/>
      <c r="JW545"/>
    </row>
    <row r="546" spans="1:283" s="332" customFormat="1">
      <c r="A546" s="332" t="s">
        <v>651</v>
      </c>
      <c r="AN546" s="626">
        <v>15</v>
      </c>
      <c r="AO546" s="626">
        <v>14</v>
      </c>
      <c r="AP546" s="293">
        <f>AN546+AO546</f>
        <v>29</v>
      </c>
      <c r="AQ546" s="626"/>
      <c r="AR546" s="626">
        <v>-10</v>
      </c>
      <c r="AS546" s="626">
        <v>-28</v>
      </c>
      <c r="AT546" s="293">
        <f>AR546+AS546</f>
        <v>-38</v>
      </c>
      <c r="AU546" s="626"/>
      <c r="AV546" s="626">
        <v>-1</v>
      </c>
      <c r="AW546" s="626">
        <v>2</v>
      </c>
      <c r="AX546" s="293">
        <f t="shared" si="1517"/>
        <v>1</v>
      </c>
      <c r="AY546" s="626"/>
      <c r="AZ546" s="626">
        <v>-2</v>
      </c>
      <c r="BA546" s="927">
        <v>8</v>
      </c>
      <c r="BB546" s="293">
        <f t="shared" si="1518"/>
        <v>6</v>
      </c>
      <c r="BC546" s="293"/>
      <c r="BD546" s="626">
        <f>357-BD544</f>
        <v>2</v>
      </c>
      <c r="BE546" s="626">
        <f>346-BE544</f>
        <v>-4</v>
      </c>
      <c r="BF546" s="293">
        <f t="shared" si="1519"/>
        <v>-2</v>
      </c>
      <c r="BG546" s="293"/>
      <c r="BH546" s="626">
        <f>311-BH544</f>
        <v>0</v>
      </c>
      <c r="BI546" s="626">
        <f>331-BI544</f>
        <v>0</v>
      </c>
      <c r="BJ546" s="293">
        <f t="shared" si="1520"/>
        <v>0</v>
      </c>
      <c r="BK546" s="487"/>
      <c r="BL546" s="626">
        <f>366-BL544</f>
        <v>0</v>
      </c>
      <c r="BM546" s="626">
        <v>0</v>
      </c>
      <c r="BN546" s="293">
        <f t="shared" si="1521"/>
        <v>0</v>
      </c>
      <c r="BO546" s="487"/>
      <c r="BP546" s="626">
        <v>0</v>
      </c>
      <c r="BQ546" s="626">
        <v>0</v>
      </c>
      <c r="BR546" s="293">
        <f t="shared" si="1522"/>
        <v>0</v>
      </c>
      <c r="BS546" s="487"/>
      <c r="BT546" s="626">
        <v>0</v>
      </c>
      <c r="BU546" s="626">
        <v>0</v>
      </c>
      <c r="BV546" s="293">
        <f t="shared" si="1523"/>
        <v>0</v>
      </c>
      <c r="BW546" s="487"/>
      <c r="BX546" s="626">
        <v>0</v>
      </c>
      <c r="BY546" s="626">
        <v>0</v>
      </c>
      <c r="BZ546" s="293">
        <f t="shared" si="1524"/>
        <v>0</v>
      </c>
      <c r="CA546" s="487"/>
      <c r="CB546" s="626">
        <v>0</v>
      </c>
      <c r="CC546" s="626">
        <v>0</v>
      </c>
      <c r="CD546" s="293">
        <f t="shared" si="1525"/>
        <v>0</v>
      </c>
      <c r="CE546" s="487"/>
      <c r="CF546" s="626">
        <v>0</v>
      </c>
      <c r="CG546" s="626">
        <v>0</v>
      </c>
      <c r="CH546" s="293">
        <f t="shared" si="1526"/>
        <v>0</v>
      </c>
      <c r="CI546" s="487"/>
      <c r="CJ546" s="626">
        <v>0</v>
      </c>
      <c r="CK546" s="626">
        <v>0</v>
      </c>
      <c r="CL546" s="293">
        <f t="shared" si="1527"/>
        <v>0</v>
      </c>
      <c r="CM546" s="487"/>
      <c r="CN546" s="1388">
        <v>0</v>
      </c>
      <c r="CO546" s="1388">
        <v>0</v>
      </c>
      <c r="CP546" s="1010">
        <f t="shared" si="1528"/>
        <v>0</v>
      </c>
      <c r="CQ546" s="1427"/>
      <c r="CR546" s="1388">
        <v>0</v>
      </c>
      <c r="CS546" s="1497">
        <v>0</v>
      </c>
      <c r="CT546" s="293">
        <f t="shared" si="1529"/>
        <v>0</v>
      </c>
      <c r="CU546" s="487"/>
      <c r="CV546" s="1388">
        <v>0</v>
      </c>
      <c r="CW546" s="1488">
        <v>0</v>
      </c>
      <c r="CX546" s="1010">
        <f t="shared" si="1530"/>
        <v>0</v>
      </c>
      <c r="CY546" s="1427"/>
      <c r="CZ546" s="1863">
        <v>0</v>
      </c>
      <c r="DA546" s="1488">
        <v>0</v>
      </c>
      <c r="DB546" s="1010">
        <f t="shared" si="1531"/>
        <v>0</v>
      </c>
      <c r="DC546" s="1427"/>
      <c r="DD546" s="1863">
        <v>0</v>
      </c>
      <c r="DE546" s="1497">
        <v>0</v>
      </c>
      <c r="DF546" s="1010">
        <f t="shared" si="1532"/>
        <v>0</v>
      </c>
      <c r="DG546" s="487"/>
      <c r="DH546" s="1863">
        <v>0</v>
      </c>
      <c r="DI546" s="293">
        <f>DI567</f>
        <v>0</v>
      </c>
      <c r="DJ546" s="293">
        <f t="shared" si="1533"/>
        <v>0</v>
      </c>
      <c r="DK546" s="487"/>
      <c r="DL546" s="293">
        <f>DL567</f>
        <v>0</v>
      </c>
      <c r="DM546" s="293">
        <f>DM567</f>
        <v>0</v>
      </c>
      <c r="DN546" s="293">
        <f t="shared" si="1534"/>
        <v>0</v>
      </c>
      <c r="DO546" s="487"/>
      <c r="DP546" s="293">
        <f>DP567</f>
        <v>0</v>
      </c>
      <c r="DQ546" s="293">
        <f>DQ567</f>
        <v>0</v>
      </c>
      <c r="DR546" s="293">
        <f t="shared" si="1535"/>
        <v>0</v>
      </c>
      <c r="DS546" s="487"/>
      <c r="DT546" s="487"/>
      <c r="DU546" s="487"/>
      <c r="DV546" s="487"/>
      <c r="DW546" s="992" t="s">
        <v>513</v>
      </c>
      <c r="DX546" s="293"/>
      <c r="DY546" s="293"/>
      <c r="DZ546" s="293"/>
      <c r="EA546" s="293"/>
      <c r="EB546" s="293"/>
      <c r="EC546" s="293"/>
      <c r="ED546" s="293"/>
      <c r="EE546" s="293"/>
      <c r="EF546" s="293"/>
      <c r="EG546" s="293"/>
      <c r="EH546" s="293"/>
      <c r="EI546" s="293"/>
      <c r="EJ546" s="293"/>
      <c r="EK546" s="293"/>
      <c r="EL546" s="293"/>
      <c r="EM546" s="293"/>
      <c r="EN546" s="293"/>
      <c r="EO546" s="293"/>
      <c r="EP546" s="293"/>
      <c r="EQ546" s="293"/>
      <c r="ER546" s="293"/>
      <c r="ES546" s="293"/>
      <c r="ET546" s="293"/>
      <c r="EU546" s="293"/>
      <c r="JW546"/>
    </row>
    <row r="547" spans="1:283" s="332" customFormat="1">
      <c r="A547" s="332" t="s">
        <v>652</v>
      </c>
      <c r="AN547" s="293"/>
      <c r="AO547" s="293"/>
      <c r="AP547" s="293"/>
      <c r="AQ547" s="293"/>
      <c r="AR547" s="626">
        <v>-3</v>
      </c>
      <c r="AS547" s="626">
        <v>-4</v>
      </c>
      <c r="AT547" s="293">
        <f>AR547+AS547</f>
        <v>-7</v>
      </c>
      <c r="AU547" s="626"/>
      <c r="AV547" s="626">
        <v>0</v>
      </c>
      <c r="AW547" s="626">
        <v>2</v>
      </c>
      <c r="AX547" s="293">
        <f t="shared" si="1517"/>
        <v>2</v>
      </c>
      <c r="AY547" s="626"/>
      <c r="AZ547" s="626">
        <v>0</v>
      </c>
      <c r="BA547" s="927">
        <v>1</v>
      </c>
      <c r="BB547" s="293">
        <f t="shared" si="1518"/>
        <v>1</v>
      </c>
      <c r="BC547" s="293"/>
      <c r="BD547" s="626">
        <v>0</v>
      </c>
      <c r="BE547" s="626">
        <v>0</v>
      </c>
      <c r="BF547" s="293">
        <f t="shared" si="1519"/>
        <v>0</v>
      </c>
      <c r="BG547" s="293"/>
      <c r="BH547" s="626">
        <v>2</v>
      </c>
      <c r="BI547" s="626">
        <v>1</v>
      </c>
      <c r="BJ547" s="293">
        <f t="shared" si="1520"/>
        <v>3</v>
      </c>
      <c r="BK547" s="487"/>
      <c r="BL547" s="626">
        <v>1</v>
      </c>
      <c r="BM547" s="626">
        <v>0</v>
      </c>
      <c r="BN547" s="293">
        <f t="shared" si="1521"/>
        <v>1</v>
      </c>
      <c r="BO547" s="487"/>
      <c r="BP547" s="626">
        <v>1</v>
      </c>
      <c r="BQ547" s="626">
        <v>2</v>
      </c>
      <c r="BR547" s="293">
        <f t="shared" si="1522"/>
        <v>3</v>
      </c>
      <c r="BS547" s="487"/>
      <c r="BT547" s="626">
        <v>0</v>
      </c>
      <c r="BU547" s="626">
        <v>1</v>
      </c>
      <c r="BV547" s="293">
        <f t="shared" si="1523"/>
        <v>1</v>
      </c>
      <c r="BW547" s="487"/>
      <c r="BX547" s="626">
        <v>1</v>
      </c>
      <c r="BY547" s="626">
        <v>5</v>
      </c>
      <c r="BZ547" s="293">
        <f t="shared" si="1524"/>
        <v>6</v>
      </c>
      <c r="CA547" s="487"/>
      <c r="CB547" s="626">
        <v>1</v>
      </c>
      <c r="CC547" s="626">
        <v>2</v>
      </c>
      <c r="CD547" s="293">
        <f t="shared" si="1525"/>
        <v>3</v>
      </c>
      <c r="CE547" s="487"/>
      <c r="CF547" s="626">
        <v>-1</v>
      </c>
      <c r="CG547" s="626">
        <v>9</v>
      </c>
      <c r="CH547" s="293">
        <f t="shared" si="1526"/>
        <v>8</v>
      </c>
      <c r="CI547" s="487"/>
      <c r="CJ547" s="626">
        <v>-3</v>
      </c>
      <c r="CK547" s="626">
        <v>5</v>
      </c>
      <c r="CL547" s="293">
        <f t="shared" si="1527"/>
        <v>2</v>
      </c>
      <c r="CM547" s="487"/>
      <c r="CN547" s="1388">
        <v>-1</v>
      </c>
      <c r="CO547" s="1388">
        <v>-2</v>
      </c>
      <c r="CP547" s="1010">
        <f t="shared" si="1528"/>
        <v>-3</v>
      </c>
      <c r="CQ547" s="1427"/>
      <c r="CR547" s="1388">
        <v>-1</v>
      </c>
      <c r="CS547" s="1497">
        <v>-1</v>
      </c>
      <c r="CT547" s="293">
        <f t="shared" si="1529"/>
        <v>-2</v>
      </c>
      <c r="CU547" s="487"/>
      <c r="CV547" s="1388">
        <v>-2</v>
      </c>
      <c r="CW547" s="1488">
        <v>-5</v>
      </c>
      <c r="CX547" s="1010">
        <f t="shared" si="1530"/>
        <v>-7</v>
      </c>
      <c r="CY547" s="1427"/>
      <c r="CZ547" s="1863">
        <v>-2</v>
      </c>
      <c r="DA547" s="1488">
        <v>2</v>
      </c>
      <c r="DB547" s="1010">
        <f t="shared" si="1531"/>
        <v>0</v>
      </c>
      <c r="DC547" s="1427"/>
      <c r="DD547" s="2176">
        <v>-1</v>
      </c>
      <c r="DE547" s="1497">
        <v>0</v>
      </c>
      <c r="DF547" s="1010">
        <f t="shared" si="1532"/>
        <v>-1</v>
      </c>
      <c r="DG547" s="487"/>
      <c r="DH547" s="2199">
        <v>0</v>
      </c>
      <c r="DI547" s="841">
        <f>'P&amp;L'!DI420</f>
        <v>0</v>
      </c>
      <c r="DJ547" s="293">
        <f t="shared" si="1533"/>
        <v>0</v>
      </c>
      <c r="DK547" s="487"/>
      <c r="DL547" s="841">
        <f>'P&amp;L'!DL420</f>
        <v>0</v>
      </c>
      <c r="DM547" s="841">
        <f>'P&amp;L'!DM420</f>
        <v>0</v>
      </c>
      <c r="DN547" s="293">
        <f t="shared" si="1534"/>
        <v>0</v>
      </c>
      <c r="DO547" s="487"/>
      <c r="DP547" s="841">
        <f>'P&amp;L'!DP420</f>
        <v>0</v>
      </c>
      <c r="DQ547" s="841">
        <f>'P&amp;L'!DQ420</f>
        <v>0</v>
      </c>
      <c r="DR547" s="293">
        <f t="shared" si="1535"/>
        <v>0</v>
      </c>
      <c r="DS547" s="487"/>
      <c r="DT547" s="487"/>
      <c r="DU547" s="487"/>
      <c r="DV547" s="487"/>
      <c r="DW547" s="1198" t="s">
        <v>174</v>
      </c>
      <c r="DX547" s="293"/>
      <c r="DY547" s="293"/>
      <c r="DZ547" s="293"/>
      <c r="EA547" s="293"/>
      <c r="EB547" s="293"/>
      <c r="EC547" s="293"/>
      <c r="ED547" s="293"/>
      <c r="EE547" s="293"/>
      <c r="EF547" s="293"/>
      <c r="EG547" s="293"/>
      <c r="EH547" s="293"/>
      <c r="EI547" s="293"/>
      <c r="EJ547" s="293"/>
      <c r="EK547" s="293"/>
      <c r="EL547" s="293"/>
      <c r="EM547" s="293"/>
      <c r="EN547" s="293"/>
      <c r="EO547" s="293"/>
      <c r="EP547" s="293"/>
      <c r="EQ547" s="293"/>
      <c r="ER547" s="293"/>
      <c r="ES547" s="293"/>
      <c r="ET547" s="293"/>
      <c r="EU547" s="293"/>
      <c r="JW547"/>
    </row>
    <row r="548" spans="1:283" s="332" customFormat="1">
      <c r="A548" s="332" t="s">
        <v>621</v>
      </c>
      <c r="AN548" s="293"/>
      <c r="AO548" s="293"/>
      <c r="AP548" s="293"/>
      <c r="AQ548" s="626"/>
      <c r="AR548" s="293"/>
      <c r="AS548" s="293"/>
      <c r="AT548" s="293"/>
      <c r="AU548" s="626"/>
      <c r="AV548" s="293">
        <f>AV646</f>
        <v>-29</v>
      </c>
      <c r="AW548" s="293">
        <f>AW646</f>
        <v>-12</v>
      </c>
      <c r="AX548" s="293">
        <f t="shared" si="1517"/>
        <v>-41</v>
      </c>
      <c r="AY548" s="626"/>
      <c r="AZ548" s="293">
        <f>AZ646</f>
        <v>-7</v>
      </c>
      <c r="BA548" s="293">
        <f>BA646</f>
        <v>19</v>
      </c>
      <c r="BB548" s="293">
        <f t="shared" si="1518"/>
        <v>12</v>
      </c>
      <c r="BC548" s="293"/>
      <c r="BD548" s="293">
        <f>BD646</f>
        <v>-10</v>
      </c>
      <c r="BE548" s="293">
        <f>BE646</f>
        <v>-12</v>
      </c>
      <c r="BF548" s="293">
        <f t="shared" si="1519"/>
        <v>-22</v>
      </c>
      <c r="BG548" s="293"/>
      <c r="BH548" s="293">
        <f>BH646</f>
        <v>5</v>
      </c>
      <c r="BI548" s="293">
        <f>BI646</f>
        <v>-13</v>
      </c>
      <c r="BJ548" s="293">
        <f t="shared" si="1520"/>
        <v>-8</v>
      </c>
      <c r="BK548" s="487"/>
      <c r="BL548" s="293">
        <f>BL646</f>
        <v>-19</v>
      </c>
      <c r="BM548" s="293">
        <f>BM646</f>
        <v>19</v>
      </c>
      <c r="BN548" s="293">
        <f t="shared" si="1521"/>
        <v>0</v>
      </c>
      <c r="BO548" s="817"/>
      <c r="BP548" s="293">
        <f>BP646</f>
        <v>-4</v>
      </c>
      <c r="BQ548" s="293">
        <f>BQ646</f>
        <v>-14</v>
      </c>
      <c r="BR548" s="293">
        <f t="shared" si="1522"/>
        <v>-18</v>
      </c>
      <c r="BS548" s="817"/>
      <c r="BT548" s="293">
        <f>BT646</f>
        <v>-2</v>
      </c>
      <c r="BU548" s="293">
        <f>BU646</f>
        <v>-6</v>
      </c>
      <c r="BV548" s="293">
        <f t="shared" si="1523"/>
        <v>-8</v>
      </c>
      <c r="BW548" s="817"/>
      <c r="BX548" s="293">
        <f>BX646</f>
        <v>123</v>
      </c>
      <c r="BY548" s="293">
        <f>BY646</f>
        <v>-7</v>
      </c>
      <c r="BZ548" s="293">
        <f t="shared" si="1524"/>
        <v>116</v>
      </c>
      <c r="CA548" s="817"/>
      <c r="CB548" s="293">
        <f>CB646</f>
        <v>-25</v>
      </c>
      <c r="CC548" s="293">
        <f>CC646</f>
        <v>-31</v>
      </c>
      <c r="CD548" s="293">
        <f t="shared" si="1525"/>
        <v>-56</v>
      </c>
      <c r="CE548" s="817"/>
      <c r="CF548" s="293">
        <f>CF646</f>
        <v>-28</v>
      </c>
      <c r="CG548" s="293">
        <f>CG646</f>
        <v>-33</v>
      </c>
      <c r="CH548" s="293">
        <f t="shared" si="1526"/>
        <v>-61</v>
      </c>
      <c r="CI548" s="817"/>
      <c r="CJ548" s="293">
        <f>CJ646</f>
        <v>-42</v>
      </c>
      <c r="CK548" s="293">
        <f>CK646</f>
        <v>-98</v>
      </c>
      <c r="CL548" s="293">
        <f t="shared" si="1527"/>
        <v>-140</v>
      </c>
      <c r="CM548" s="817"/>
      <c r="CN548" s="1010">
        <f>CN646</f>
        <v>-62</v>
      </c>
      <c r="CO548" s="1010">
        <f>CO646</f>
        <v>-23</v>
      </c>
      <c r="CP548" s="1010">
        <f t="shared" si="1528"/>
        <v>-85</v>
      </c>
      <c r="CQ548" s="1002"/>
      <c r="CR548" s="1010">
        <f>CR646</f>
        <v>-30</v>
      </c>
      <c r="CS548" s="1495">
        <f>CS646</f>
        <v>63</v>
      </c>
      <c r="CT548" s="293">
        <f t="shared" si="1529"/>
        <v>33</v>
      </c>
      <c r="CU548" s="817"/>
      <c r="CV548" s="1010">
        <f>CV646</f>
        <v>-22</v>
      </c>
      <c r="CW548" s="1490">
        <f>CW646</f>
        <v>-25</v>
      </c>
      <c r="CX548" s="1010">
        <f t="shared" si="1530"/>
        <v>-47</v>
      </c>
      <c r="CY548" s="1002"/>
      <c r="CZ548" s="1868">
        <f>CZ646</f>
        <v>-23</v>
      </c>
      <c r="DA548" s="1490">
        <f>DA646</f>
        <v>32</v>
      </c>
      <c r="DB548" s="1010">
        <f t="shared" si="1531"/>
        <v>9</v>
      </c>
      <c r="DC548" s="1002"/>
      <c r="DD548" s="1868">
        <f>DD646</f>
        <v>-39</v>
      </c>
      <c r="DE548" s="1490">
        <f>DE646</f>
        <v>-48</v>
      </c>
      <c r="DF548" s="1010">
        <f t="shared" si="1532"/>
        <v>-87</v>
      </c>
      <c r="DG548" s="817"/>
      <c r="DH548" s="1868">
        <f>DH646</f>
        <v>-28</v>
      </c>
      <c r="DI548" s="293">
        <f>DI646</f>
        <v>-35</v>
      </c>
      <c r="DJ548" s="293">
        <f t="shared" si="1533"/>
        <v>-63</v>
      </c>
      <c r="DK548" s="817"/>
      <c r="DL548" s="293">
        <f>DL646</f>
        <v>-34.119999999999997</v>
      </c>
      <c r="DM548" s="293">
        <f>DM646</f>
        <v>-39.243600000000001</v>
      </c>
      <c r="DN548" s="293">
        <f t="shared" si="1534"/>
        <v>-73.363599999999991</v>
      </c>
      <c r="DO548" s="817"/>
      <c r="DP548" s="293">
        <f>DP646</f>
        <v>-34.370908</v>
      </c>
      <c r="DQ548" s="293">
        <f>DQ646</f>
        <v>-39.502035239999998</v>
      </c>
      <c r="DR548" s="293">
        <f t="shared" si="1535"/>
        <v>-73.872943239999998</v>
      </c>
      <c r="DS548" s="817"/>
      <c r="DT548" s="817"/>
      <c r="DU548" s="817"/>
      <c r="DV548" s="817"/>
      <c r="DW548" s="828" t="s">
        <v>513</v>
      </c>
      <c r="DX548" s="293"/>
      <c r="DY548" s="293"/>
      <c r="DZ548" s="293"/>
      <c r="EA548" s="293"/>
      <c r="EB548" s="293"/>
      <c r="EC548" s="293"/>
      <c r="ED548" s="293"/>
      <c r="EE548" s="293"/>
      <c r="EF548" s="293"/>
      <c r="EG548" s="293"/>
      <c r="EH548" s="293"/>
      <c r="EI548" s="293"/>
      <c r="EJ548" s="293"/>
      <c r="EK548" s="293"/>
      <c r="EL548" s="293"/>
      <c r="EM548" s="293"/>
      <c r="EN548" s="293"/>
      <c r="EO548" s="293"/>
      <c r="EP548" s="293"/>
      <c r="EQ548" s="293"/>
      <c r="ER548" s="293"/>
      <c r="ES548" s="293"/>
      <c r="ET548" s="293"/>
      <c r="EU548" s="293"/>
      <c r="JW548"/>
    </row>
    <row r="549" spans="1:283" s="332" customFormat="1">
      <c r="A549" s="332" t="s">
        <v>567</v>
      </c>
      <c r="AN549" s="293"/>
      <c r="AO549" s="293"/>
      <c r="AP549" s="293"/>
      <c r="AQ549" s="293"/>
      <c r="AR549" s="626">
        <v>-28</v>
      </c>
      <c r="AS549" s="626">
        <v>6</v>
      </c>
      <c r="AT549" s="293">
        <f>AR549+AS549</f>
        <v>-22</v>
      </c>
      <c r="AU549" s="626"/>
      <c r="AV549" s="626">
        <v>4</v>
      </c>
      <c r="AW549" s="626">
        <v>7</v>
      </c>
      <c r="AX549" s="293">
        <f t="shared" si="1517"/>
        <v>11</v>
      </c>
      <c r="AY549" s="293"/>
      <c r="AZ549" s="626">
        <v>2</v>
      </c>
      <c r="BA549" s="927">
        <v>8</v>
      </c>
      <c r="BB549" s="293">
        <f t="shared" si="1518"/>
        <v>10</v>
      </c>
      <c r="BC549" s="293"/>
      <c r="BD549" s="626">
        <v>1</v>
      </c>
      <c r="BE549" s="626">
        <v>0</v>
      </c>
      <c r="BF549" s="293">
        <f t="shared" si="1519"/>
        <v>1</v>
      </c>
      <c r="BG549" s="293"/>
      <c r="BH549" s="626">
        <v>1</v>
      </c>
      <c r="BI549" s="626">
        <v>8</v>
      </c>
      <c r="BJ549" s="293">
        <f t="shared" si="1520"/>
        <v>9</v>
      </c>
      <c r="BK549" s="487"/>
      <c r="BL549" s="626">
        <v>2</v>
      </c>
      <c r="BM549" s="626">
        <v>3</v>
      </c>
      <c r="BN549" s="293">
        <f t="shared" si="1521"/>
        <v>5</v>
      </c>
      <c r="BO549" s="487"/>
      <c r="BP549" s="626">
        <v>0</v>
      </c>
      <c r="BQ549" s="626">
        <v>3</v>
      </c>
      <c r="BR549" s="293">
        <f t="shared" si="1522"/>
        <v>3</v>
      </c>
      <c r="BS549" s="487"/>
      <c r="BT549" s="626">
        <v>0</v>
      </c>
      <c r="BU549" s="626">
        <v>4</v>
      </c>
      <c r="BV549" s="293">
        <f t="shared" si="1523"/>
        <v>4</v>
      </c>
      <c r="BW549" s="487"/>
      <c r="BX549" s="626">
        <v>1</v>
      </c>
      <c r="BY549" s="626">
        <v>4</v>
      </c>
      <c r="BZ549" s="293">
        <f t="shared" si="1524"/>
        <v>5</v>
      </c>
      <c r="CA549" s="487"/>
      <c r="CB549" s="626">
        <v>3</v>
      </c>
      <c r="CC549" s="626">
        <v>0</v>
      </c>
      <c r="CD549" s="293">
        <f t="shared" si="1525"/>
        <v>3</v>
      </c>
      <c r="CE549" s="487"/>
      <c r="CF549" s="626">
        <v>2</v>
      </c>
      <c r="CG549" s="626">
        <v>0</v>
      </c>
      <c r="CH549" s="293">
        <f t="shared" si="1526"/>
        <v>2</v>
      </c>
      <c r="CI549" s="487"/>
      <c r="CJ549" s="626">
        <v>2</v>
      </c>
      <c r="CK549" s="626">
        <v>0</v>
      </c>
      <c r="CL549" s="293">
        <f t="shared" si="1527"/>
        <v>2</v>
      </c>
      <c r="CM549" s="487"/>
      <c r="CN549" s="1388">
        <v>1</v>
      </c>
      <c r="CO549" s="1388">
        <v>0</v>
      </c>
      <c r="CP549" s="1010">
        <f t="shared" si="1528"/>
        <v>1</v>
      </c>
      <c r="CQ549" s="1427"/>
      <c r="CR549" s="1388">
        <v>0</v>
      </c>
      <c r="CS549" s="1497">
        <v>1</v>
      </c>
      <c r="CT549" s="293">
        <f t="shared" si="1529"/>
        <v>1</v>
      </c>
      <c r="CU549" s="487"/>
      <c r="CV549" s="1388">
        <v>1</v>
      </c>
      <c r="CW549" s="1488">
        <v>-11</v>
      </c>
      <c r="CX549" s="1010">
        <f t="shared" si="1530"/>
        <v>-10</v>
      </c>
      <c r="CY549" s="1427"/>
      <c r="CZ549" s="1863">
        <v>1</v>
      </c>
      <c r="DA549" s="1488">
        <v>0</v>
      </c>
      <c r="DB549" s="1010">
        <f t="shared" si="1531"/>
        <v>1</v>
      </c>
      <c r="DC549" s="1427"/>
      <c r="DD549" s="1863">
        <v>-4</v>
      </c>
      <c r="DE549" s="2176">
        <v>1</v>
      </c>
      <c r="DF549" s="1010">
        <f t="shared" si="1532"/>
        <v>-3</v>
      </c>
      <c r="DG549" s="487"/>
      <c r="DH549" s="1863">
        <v>1</v>
      </c>
      <c r="DI549" s="841">
        <f>'P&amp;L'!DI674</f>
        <v>1.03</v>
      </c>
      <c r="DJ549" s="293">
        <f t="shared" si="1533"/>
        <v>2.0300000000000002</v>
      </c>
      <c r="DK549" s="487"/>
      <c r="DL549" s="841">
        <f>'P&amp;L'!DL674</f>
        <v>1.0609</v>
      </c>
      <c r="DM549" s="841">
        <f>'P&amp;L'!DM674</f>
        <v>1.092727</v>
      </c>
      <c r="DN549" s="293">
        <f t="shared" si="1534"/>
        <v>2.1536270000000002</v>
      </c>
      <c r="DO549" s="487"/>
      <c r="DP549" s="841">
        <f>'P&amp;L'!DP674</f>
        <v>1.1255088100000001</v>
      </c>
      <c r="DQ549" s="841">
        <f>'P&amp;L'!DQ674</f>
        <v>1.1592740743000001</v>
      </c>
      <c r="DR549" s="293">
        <f t="shared" si="1535"/>
        <v>2.2847828843000002</v>
      </c>
      <c r="DS549" s="487"/>
      <c r="DT549" s="487"/>
      <c r="DU549" s="487"/>
      <c r="DV549" s="487"/>
      <c r="DW549" s="1198" t="s">
        <v>174</v>
      </c>
      <c r="DX549" s="293"/>
      <c r="DY549" s="293"/>
      <c r="DZ549" s="293"/>
      <c r="EA549" s="293"/>
      <c r="EB549" s="293"/>
      <c r="EC549" s="293"/>
      <c r="ED549" s="293"/>
      <c r="EE549" s="293"/>
      <c r="EF549" s="293"/>
      <c r="EG549" s="293"/>
      <c r="EH549" s="293"/>
      <c r="EI549" s="293"/>
      <c r="EJ549" s="293"/>
      <c r="EK549" s="293"/>
      <c r="EL549" s="293"/>
      <c r="EM549" s="293"/>
      <c r="EN549" s="293"/>
      <c r="EO549" s="293"/>
      <c r="EP549" s="293"/>
      <c r="EQ549" s="293"/>
      <c r="ER549" s="293"/>
      <c r="ES549" s="293"/>
      <c r="ET549" s="293"/>
      <c r="EU549" s="293"/>
      <c r="JW549"/>
    </row>
    <row r="550" spans="1:283" s="332" customFormat="1">
      <c r="A550" s="327" t="s">
        <v>568</v>
      </c>
      <c r="AN550" s="295">
        <f>SUM(AN544:AN549)</f>
        <v>188</v>
      </c>
      <c r="AO550" s="295">
        <f>SUM(AO544:AO549)</f>
        <v>179</v>
      </c>
      <c r="AP550" s="295">
        <f>AN550+AO550</f>
        <v>367</v>
      </c>
      <c r="AQ550" s="295"/>
      <c r="AR550" s="295">
        <f>SUM(AR544:AR549)</f>
        <v>426</v>
      </c>
      <c r="AS550" s="295">
        <f>SUM(AS544:AS549)</f>
        <v>400</v>
      </c>
      <c r="AT550" s="295">
        <f>AR550+AS550</f>
        <v>826</v>
      </c>
      <c r="AU550" s="295"/>
      <c r="AV550" s="295">
        <f>SUM(AV544:AV549)</f>
        <v>588</v>
      </c>
      <c r="AW550" s="295">
        <f>SUM(AW544:AW549)</f>
        <v>663</v>
      </c>
      <c r="AX550" s="295">
        <f t="shared" si="1517"/>
        <v>1251</v>
      </c>
      <c r="AY550" s="295"/>
      <c r="AZ550" s="295">
        <f>SUM(AZ544:AZ549)</f>
        <v>730</v>
      </c>
      <c r="BA550" s="295">
        <f>SUM(BA544:BA549)</f>
        <v>764</v>
      </c>
      <c r="BB550" s="295">
        <f t="shared" si="1518"/>
        <v>1494</v>
      </c>
      <c r="BC550" s="295"/>
      <c r="BD550" s="295">
        <f>SUM(BD544:BD549)</f>
        <v>704.32999999999993</v>
      </c>
      <c r="BE550" s="295">
        <f>SUM(BE544:BE549)</f>
        <v>667</v>
      </c>
      <c r="BF550" s="295">
        <f t="shared" si="1519"/>
        <v>1371.33</v>
      </c>
      <c r="BG550" s="293"/>
      <c r="BH550" s="295">
        <f>SUM(BH544:BH549)</f>
        <v>655</v>
      </c>
      <c r="BI550" s="295">
        <f>SUM(BI544:BI549)</f>
        <v>636</v>
      </c>
      <c r="BJ550" s="295">
        <f t="shared" si="1520"/>
        <v>1291</v>
      </c>
      <c r="BK550" s="487"/>
      <c r="BL550" s="295">
        <f>SUM(BL544:BL549)</f>
        <v>667</v>
      </c>
      <c r="BM550" s="295">
        <f>SUM(BM544:BM549)</f>
        <v>653</v>
      </c>
      <c r="BN550" s="295">
        <f t="shared" si="1521"/>
        <v>1320</v>
      </c>
      <c r="BO550" s="817">
        <f>+BN550/BJ550-1</f>
        <v>2.2463206816421444E-2</v>
      </c>
      <c r="BP550" s="295">
        <f>SUM(BP544:BP549)</f>
        <v>665</v>
      </c>
      <c r="BQ550" s="295">
        <f>SUM(BQ544:BQ549)</f>
        <v>680</v>
      </c>
      <c r="BR550" s="295">
        <f t="shared" si="1522"/>
        <v>1345</v>
      </c>
      <c r="BS550" s="817">
        <f>+BR550/BN550-1</f>
        <v>1.8939393939394034E-2</v>
      </c>
      <c r="BT550" s="295">
        <f>SUM(BT544:BT549)</f>
        <v>736</v>
      </c>
      <c r="BU550" s="295">
        <f>SUM(BU544:BU549)</f>
        <v>728</v>
      </c>
      <c r="BV550" s="295">
        <f t="shared" si="1523"/>
        <v>1464</v>
      </c>
      <c r="BW550" s="817">
        <f>+BV550/BR550-1</f>
        <v>8.8475836431226806E-2</v>
      </c>
      <c r="BX550" s="295">
        <f>SUM(BX544:BX549)</f>
        <v>879</v>
      </c>
      <c r="BY550" s="295">
        <f>SUM(BY544:BY549)</f>
        <v>769</v>
      </c>
      <c r="BZ550" s="295">
        <f t="shared" si="1524"/>
        <v>1648</v>
      </c>
      <c r="CA550" s="817">
        <f>+BZ550/BV550-1</f>
        <v>0.12568306010928953</v>
      </c>
      <c r="CB550" s="295">
        <f>SUM(CB544:CB549)</f>
        <v>1014</v>
      </c>
      <c r="CC550" s="295">
        <f>SUM(CC544:CC549)</f>
        <v>1012</v>
      </c>
      <c r="CD550" s="295">
        <f t="shared" si="1525"/>
        <v>2026</v>
      </c>
      <c r="CE550" s="817">
        <f>+CD550/BZ550-1</f>
        <v>0.22936893203883502</v>
      </c>
      <c r="CF550" s="295">
        <f>SUM(CF544:CF549)</f>
        <v>1051</v>
      </c>
      <c r="CG550" s="295">
        <f>SUM(CG544:CG549)</f>
        <v>1052</v>
      </c>
      <c r="CH550" s="295">
        <f t="shared" si="1526"/>
        <v>2103</v>
      </c>
      <c r="CI550" s="817">
        <f>+CH550/CD550-1</f>
        <v>3.8005923000987263E-2</v>
      </c>
      <c r="CJ550" s="295">
        <f>SUM(CJ544:CJ549)</f>
        <v>1021</v>
      </c>
      <c r="CK550" s="295">
        <f>SUM(CK544:CK549)</f>
        <v>1016</v>
      </c>
      <c r="CL550" s="295">
        <f t="shared" si="1527"/>
        <v>2037</v>
      </c>
      <c r="CM550" s="817">
        <f>+CL550/CH550-1</f>
        <v>-3.1383737517831634E-2</v>
      </c>
      <c r="CN550" s="1412">
        <f>SUM(CN544:CN549)</f>
        <v>985</v>
      </c>
      <c r="CO550" s="1412">
        <f>SUM(CO544:CO549)</f>
        <v>1093</v>
      </c>
      <c r="CP550" s="1412">
        <f t="shared" si="1528"/>
        <v>2078</v>
      </c>
      <c r="CQ550" s="1002">
        <f>+CP550/CL550-1</f>
        <v>2.0127638684339644E-2</v>
      </c>
      <c r="CR550" s="1412">
        <f>SUM(CR544:CR549)</f>
        <v>1163</v>
      </c>
      <c r="CS550" s="1390">
        <f>SUM(CS544:CS549)</f>
        <v>1298</v>
      </c>
      <c r="CT550" s="295">
        <f t="shared" si="1529"/>
        <v>2461</v>
      </c>
      <c r="CU550" s="817">
        <f>+CT550/CP550-1</f>
        <v>0.18431183830606357</v>
      </c>
      <c r="CV550" s="1412">
        <f>SUM(CV544:CV549)</f>
        <v>1423</v>
      </c>
      <c r="CW550" s="1491">
        <f>SUM(CW544:CW549)</f>
        <v>1537</v>
      </c>
      <c r="CX550" s="1412">
        <f t="shared" si="1530"/>
        <v>2960</v>
      </c>
      <c r="CY550" s="1002">
        <f>+CX550/CT550-1</f>
        <v>0.20276310442909384</v>
      </c>
      <c r="CZ550" s="1867">
        <f>SUM(CZ544:CZ549)</f>
        <v>1609</v>
      </c>
      <c r="DA550" s="1491">
        <f>SUM(DA544:DA549)</f>
        <v>1600</v>
      </c>
      <c r="DB550" s="1412">
        <f t="shared" si="1531"/>
        <v>3209</v>
      </c>
      <c r="DC550" s="1002">
        <f>+DB550/CX550-1</f>
        <v>8.4121621621621623E-2</v>
      </c>
      <c r="DD550" s="1867">
        <f>SUM(DD544:DD549)</f>
        <v>1586</v>
      </c>
      <c r="DE550" s="1491">
        <f>SUM(DE544:DE549)</f>
        <v>1651</v>
      </c>
      <c r="DF550" s="1412">
        <f t="shared" si="1532"/>
        <v>3237</v>
      </c>
      <c r="DG550" s="817">
        <f>+DF550/DB550-1</f>
        <v>8.725459644749245E-3</v>
      </c>
      <c r="DH550" s="1867">
        <f>SUM(DH544:DH549)</f>
        <v>1758</v>
      </c>
      <c r="DI550" s="295">
        <f>SUM(DI544:DI549)</f>
        <v>1768.3662328900316</v>
      </c>
      <c r="DJ550" s="295">
        <f t="shared" si="1533"/>
        <v>3526.3662328900318</v>
      </c>
      <c r="DK550" s="817">
        <f>+DJ550/DF550-1</f>
        <v>8.9393337315425425E-2</v>
      </c>
      <c r="DL550" s="295">
        <f>SUM(DL544:DL549)</f>
        <v>1927.447248242248</v>
      </c>
      <c r="DM550" s="295">
        <f>SUM(DM544:DM549)</f>
        <v>1989.378307897023</v>
      </c>
      <c r="DN550" s="295">
        <f t="shared" si="1534"/>
        <v>3916.8255561392707</v>
      </c>
      <c r="DO550" s="817">
        <f>+DN550/DJ550-1</f>
        <v>0.11072568685789563</v>
      </c>
      <c r="DP550" s="295">
        <f>SUM(DP544:DP549)</f>
        <v>2085.8720412162788</v>
      </c>
      <c r="DQ550" s="295">
        <f>SUM(DQ544:DQ549)</f>
        <v>2140.1327583612151</v>
      </c>
      <c r="DR550" s="295">
        <f t="shared" si="1535"/>
        <v>4226.0047995774939</v>
      </c>
      <c r="DS550" s="817">
        <f>+DR550/DN550-1</f>
        <v>7.8936179057965017E-2</v>
      </c>
      <c r="DT550" s="817"/>
      <c r="DU550" s="817"/>
      <c r="DV550" s="817"/>
      <c r="DW550" s="1199"/>
      <c r="DX550" s="295"/>
      <c r="DY550" s="295"/>
      <c r="DZ550" s="295"/>
      <c r="EA550" s="295"/>
      <c r="EB550" s="295"/>
      <c r="EC550" s="295"/>
      <c r="ED550" s="295"/>
      <c r="EE550" s="295"/>
      <c r="EF550" s="295"/>
      <c r="EG550" s="295"/>
      <c r="EH550" s="295"/>
      <c r="EI550" s="295"/>
      <c r="EJ550" s="295"/>
      <c r="EK550" s="295"/>
      <c r="EL550" s="295"/>
      <c r="EM550" s="295"/>
      <c r="EN550" s="295"/>
      <c r="EO550" s="295"/>
      <c r="EP550" s="295"/>
      <c r="EQ550" s="295"/>
      <c r="ER550" s="295"/>
      <c r="ES550" s="295"/>
      <c r="ET550" s="295"/>
      <c r="EU550" s="295"/>
      <c r="EV550" s="327"/>
      <c r="EW550" s="327"/>
      <c r="EX550" s="327"/>
      <c r="EY550" s="327"/>
      <c r="EZ550" s="327"/>
      <c r="FA550" s="327"/>
      <c r="FB550" s="327"/>
      <c r="FC550" s="327"/>
      <c r="FD550" s="327"/>
      <c r="FE550" s="327"/>
      <c r="FF550" s="327"/>
      <c r="FG550" s="327"/>
      <c r="FH550" s="327"/>
      <c r="FI550" s="327"/>
      <c r="FJ550" s="327"/>
      <c r="FK550" s="327"/>
      <c r="FL550" s="327"/>
      <c r="FM550" s="327"/>
      <c r="FN550" s="327"/>
      <c r="FO550" s="327"/>
      <c r="FP550" s="327"/>
      <c r="FQ550" s="327"/>
      <c r="FR550" s="327"/>
      <c r="FS550" s="327"/>
      <c r="FT550" s="327"/>
      <c r="FU550" s="327"/>
      <c r="FV550" s="327"/>
      <c r="FW550" s="327"/>
      <c r="FX550" s="327"/>
      <c r="FY550" s="327"/>
      <c r="FZ550" s="327"/>
      <c r="GA550" s="327"/>
      <c r="GB550" s="327"/>
      <c r="GC550" s="327"/>
      <c r="GD550" s="327"/>
      <c r="GE550" s="327"/>
      <c r="GF550" s="327"/>
      <c r="GG550" s="327"/>
      <c r="GH550" s="327"/>
      <c r="GI550" s="327"/>
      <c r="GJ550" s="327"/>
      <c r="GK550" s="327"/>
      <c r="GL550" s="327"/>
      <c r="GM550" s="327"/>
      <c r="GN550" s="327"/>
      <c r="GO550" s="327"/>
      <c r="GP550" s="327"/>
      <c r="GQ550" s="327"/>
      <c r="GR550" s="327"/>
      <c r="GS550" s="327"/>
      <c r="GT550" s="327"/>
      <c r="GU550" s="327"/>
      <c r="GV550" s="327"/>
      <c r="GW550" s="327"/>
      <c r="GX550" s="327"/>
      <c r="GY550" s="327"/>
      <c r="GZ550" s="327"/>
      <c r="HA550" s="327"/>
      <c r="HB550" s="327"/>
      <c r="HC550" s="327"/>
      <c r="HD550" s="327"/>
      <c r="HE550" s="327"/>
      <c r="HF550" s="327"/>
      <c r="HG550" s="327"/>
      <c r="HH550" s="327"/>
      <c r="HI550" s="327"/>
      <c r="HJ550" s="327"/>
      <c r="HK550" s="327"/>
      <c r="HL550" s="327"/>
      <c r="HM550" s="327"/>
      <c r="HN550" s="327"/>
      <c r="HO550" s="327"/>
      <c r="HP550" s="327"/>
      <c r="HQ550" s="327"/>
      <c r="HR550" s="327"/>
      <c r="HS550" s="327"/>
      <c r="HT550" s="327"/>
      <c r="HU550" s="327"/>
      <c r="HV550" s="327"/>
      <c r="HW550" s="327"/>
      <c r="HX550" s="327"/>
      <c r="HY550" s="327"/>
      <c r="HZ550" s="327"/>
      <c r="IA550" s="327"/>
      <c r="IB550" s="327"/>
      <c r="IC550" s="327"/>
      <c r="ID550" s="327"/>
      <c r="IE550" s="327"/>
      <c r="IF550" s="327"/>
      <c r="IG550" s="327"/>
      <c r="IH550" s="327"/>
      <c r="II550" s="327"/>
      <c r="IJ550" s="327"/>
      <c r="IK550" s="327"/>
      <c r="IL550" s="327"/>
      <c r="IM550" s="327"/>
      <c r="IN550" s="327"/>
      <c r="IO550" s="327"/>
      <c r="IP550" s="327"/>
      <c r="IQ550" s="327"/>
      <c r="IR550" s="327"/>
      <c r="IS550" s="327"/>
      <c r="IT550" s="327"/>
      <c r="IU550" s="327"/>
      <c r="IV550" s="327"/>
      <c r="IW550" s="327"/>
      <c r="IX550" s="327"/>
      <c r="IY550" s="327"/>
      <c r="IZ550" s="327"/>
      <c r="JA550" s="327"/>
      <c r="JB550" s="327"/>
      <c r="JC550" s="327"/>
      <c r="JD550" s="327"/>
      <c r="JE550" s="327"/>
      <c r="JF550" s="327"/>
      <c r="JG550" s="327"/>
      <c r="JH550" s="327"/>
      <c r="JI550" s="327"/>
      <c r="JJ550" s="327"/>
      <c r="JK550" s="327"/>
      <c r="JL550" s="327"/>
      <c r="JM550" s="327"/>
      <c r="JN550" s="327"/>
      <c r="JO550" s="327"/>
      <c r="JP550" s="327"/>
      <c r="JQ550" s="327"/>
      <c r="JR550" s="327"/>
      <c r="JS550" s="327"/>
      <c r="JT550" s="327"/>
      <c r="JU550" s="327"/>
      <c r="JV550" s="327"/>
      <c r="JW550"/>
    </row>
    <row r="551" spans="1:283" s="332" customFormat="1">
      <c r="A551" s="1526" t="s">
        <v>1437</v>
      </c>
      <c r="AN551" s="293"/>
      <c r="AO551" s="293"/>
      <c r="AP551" s="293"/>
      <c r="AQ551" s="293"/>
      <c r="AR551" s="293"/>
      <c r="AS551" s="293"/>
      <c r="AT551" s="293"/>
      <c r="AU551" s="293"/>
      <c r="AV551" s="293"/>
      <c r="AW551" s="293"/>
      <c r="AX551" s="293"/>
      <c r="AY551" s="293"/>
      <c r="AZ551" s="293"/>
      <c r="BA551" s="293"/>
      <c r="BB551" s="293"/>
      <c r="BC551" s="293"/>
      <c r="BD551" s="293"/>
      <c r="BE551" s="293"/>
      <c r="BF551" s="293"/>
      <c r="BG551" s="293"/>
      <c r="BH551" s="293"/>
      <c r="BI551" s="293"/>
      <c r="BJ551" s="293"/>
      <c r="BK551" s="293"/>
      <c r="BL551" s="906">
        <f>-BL555/BL550</f>
        <v>0.83358320839580213</v>
      </c>
      <c r="BM551" s="906">
        <f>-BM555/BM550</f>
        <v>0.77182235834609492</v>
      </c>
      <c r="BN551" s="906">
        <f>-BN555/BN550</f>
        <v>0.80303030303030298</v>
      </c>
      <c r="BO551" s="331"/>
      <c r="BP551" s="906">
        <f t="shared" ref="BP551:BR551" si="1536">-BP555/BP550</f>
        <v>0.7879699248120301</v>
      </c>
      <c r="BQ551" s="906">
        <f t="shared" si="1536"/>
        <v>0.78823529411764703</v>
      </c>
      <c r="BR551" s="906">
        <f t="shared" si="1536"/>
        <v>0.78810408921933084</v>
      </c>
      <c r="BS551" s="331"/>
      <c r="BT551" s="906">
        <f t="shared" ref="BT551:BV551" si="1537">-BT555/BT550</f>
        <v>0.76902173913043481</v>
      </c>
      <c r="BU551" s="906">
        <f t="shared" si="1537"/>
        <v>0.75274725274725274</v>
      </c>
      <c r="BV551" s="906">
        <f t="shared" si="1537"/>
        <v>0.76092896174863389</v>
      </c>
      <c r="BW551" s="331"/>
      <c r="BX551" s="906">
        <f t="shared" ref="BX551:BZ551" si="1538">-BX555/BX550</f>
        <v>0.70307167235494883</v>
      </c>
      <c r="BY551" s="906">
        <f t="shared" si="1538"/>
        <v>0.67230169050715216</v>
      </c>
      <c r="BZ551" s="906">
        <f t="shared" si="1538"/>
        <v>0.68871359223300976</v>
      </c>
      <c r="CA551" s="331"/>
      <c r="CB551" s="906">
        <f t="shared" ref="CB551:CD551" si="1539">-CB555/CB550</f>
        <v>0.62820512820512819</v>
      </c>
      <c r="CC551" s="906">
        <f t="shared" si="1539"/>
        <v>0.64426877470355737</v>
      </c>
      <c r="CD551" s="906">
        <f t="shared" si="1539"/>
        <v>0.63622902270483717</v>
      </c>
      <c r="CE551" s="331"/>
      <c r="CF551" s="906">
        <f t="shared" ref="CF551:CH551" si="1540">-CF555/CF550</f>
        <v>0.64034253092293059</v>
      </c>
      <c r="CG551" s="906">
        <f t="shared" si="1540"/>
        <v>0.64068441064638781</v>
      </c>
      <c r="CH551" s="906">
        <f t="shared" si="1540"/>
        <v>0.6405135520684736</v>
      </c>
      <c r="CI551" s="331"/>
      <c r="CJ551" s="906">
        <f t="shared" ref="CJ551:CL551" si="1541">-CJ555/CJ550</f>
        <v>0.62291870714985309</v>
      </c>
      <c r="CK551" s="906">
        <f t="shared" si="1541"/>
        <v>0.62106299212598426</v>
      </c>
      <c r="CL551" s="906">
        <f t="shared" si="1541"/>
        <v>0.62199312714776633</v>
      </c>
      <c r="CM551" s="331"/>
      <c r="CN551" s="906">
        <f t="shared" ref="CN551:CP551" si="1542">-CN555/CN550</f>
        <v>0.67817258883248732</v>
      </c>
      <c r="CO551" s="906">
        <f t="shared" si="1542"/>
        <v>0.58462946020128093</v>
      </c>
      <c r="CP551" s="906">
        <f t="shared" si="1542"/>
        <v>0.62897016361886426</v>
      </c>
      <c r="CQ551" s="331"/>
      <c r="CR551" s="906">
        <f t="shared" ref="CR551:CT551" si="1543">-CR555/CR550</f>
        <v>0.58555460017196903</v>
      </c>
      <c r="CS551" s="906">
        <f t="shared" si="1543"/>
        <v>0.60015408320493069</v>
      </c>
      <c r="CT551" s="906">
        <f t="shared" si="1543"/>
        <v>0.59325477448191788</v>
      </c>
      <c r="CU551" s="331"/>
      <c r="CV551" s="1875">
        <f t="shared" ref="CV551:CX551" si="1544">-CV555/CV550</f>
        <v>0.59241040056219252</v>
      </c>
      <c r="CW551" s="1875">
        <f t="shared" si="1544"/>
        <v>0.59661678594664935</v>
      </c>
      <c r="CX551" s="1875">
        <f t="shared" si="1544"/>
        <v>0.59459459459459463</v>
      </c>
      <c r="CY551" s="1718"/>
      <c r="CZ551" s="1876">
        <f t="shared" ref="CZ551:DB551" si="1545">-CZ555/CZ550</f>
        <v>0.60348042262274704</v>
      </c>
      <c r="DA551" s="1876">
        <f t="shared" si="1545"/>
        <v>0.62312500000000004</v>
      </c>
      <c r="DB551" s="1875">
        <f t="shared" si="1545"/>
        <v>0.61327516360236833</v>
      </c>
      <c r="DC551" s="1718"/>
      <c r="DD551" s="1876">
        <f t="shared" ref="DD551:DF551" si="1546">-DD555/DD550</f>
        <v>0.5901639344262295</v>
      </c>
      <c r="DE551" s="1876">
        <f t="shared" si="1546"/>
        <v>0.55784373107207752</v>
      </c>
      <c r="DF551" s="1875">
        <f t="shared" si="1546"/>
        <v>0.57367933271547733</v>
      </c>
      <c r="DG551" s="331"/>
      <c r="DH551" s="1876">
        <f t="shared" ref="DH551" si="1547">-DH555/DH550</f>
        <v>0.54891922639362911</v>
      </c>
      <c r="DI551" s="906">
        <f t="shared" ref="DI551:DJ551" si="1548">-DI555/DI550</f>
        <v>0.53440185772805771</v>
      </c>
      <c r="DJ551" s="906">
        <f t="shared" si="1548"/>
        <v>0.54163920417155464</v>
      </c>
      <c r="DK551" s="331"/>
      <c r="DL551" s="906">
        <f t="shared" ref="DL551:DN551" si="1549">-DL555/DL550</f>
        <v>0.51792942759413607</v>
      </c>
      <c r="DM551" s="906">
        <f t="shared" si="1549"/>
        <v>0.49054222775335227</v>
      </c>
      <c r="DN551" s="906">
        <f t="shared" si="1549"/>
        <v>0.50401931071596717</v>
      </c>
      <c r="DO551" s="331"/>
      <c r="DP551" s="906">
        <f t="shared" ref="DP551:DR551" si="1550">-DP555/DP550</f>
        <v>0.49422429378692162</v>
      </c>
      <c r="DQ551" s="906">
        <f t="shared" si="1550"/>
        <v>0.47090561967833855</v>
      </c>
      <c r="DR551" s="906">
        <f t="shared" si="1550"/>
        <v>0.48241525411277891</v>
      </c>
      <c r="DS551" s="331"/>
      <c r="DT551" s="293"/>
      <c r="DU551" s="293"/>
      <c r="DV551" s="293"/>
      <c r="DW551" s="1201"/>
      <c r="DX551" s="293"/>
      <c r="DY551" s="293"/>
      <c r="DZ551" s="293"/>
      <c r="EA551" s="293"/>
      <c r="EB551" s="293"/>
      <c r="EC551" s="293"/>
      <c r="ED551" s="293"/>
      <c r="EE551" s="293"/>
      <c r="EF551" s="293"/>
      <c r="EG551" s="293"/>
      <c r="EH551" s="293"/>
      <c r="EI551" s="293"/>
      <c r="EJ551" s="293"/>
      <c r="EK551" s="293"/>
      <c r="EL551" s="293"/>
      <c r="EM551" s="293"/>
      <c r="EN551" s="293"/>
      <c r="EO551" s="293"/>
      <c r="EP551" s="293"/>
      <c r="EQ551" s="293"/>
      <c r="ER551" s="293"/>
      <c r="ES551" s="293"/>
      <c r="ET551" s="293"/>
      <c r="EU551" s="293"/>
      <c r="JW551"/>
    </row>
    <row r="552" spans="1:283" s="332" customFormat="1">
      <c r="A552" s="332" t="s">
        <v>604</v>
      </c>
      <c r="AN552" s="293"/>
      <c r="AO552" s="293"/>
      <c r="AP552" s="293"/>
      <c r="AQ552" s="293"/>
      <c r="AR552" s="626">
        <v>-214</v>
      </c>
      <c r="AS552" s="626">
        <v>-180</v>
      </c>
      <c r="AT552" s="293">
        <f>AR552+AS552</f>
        <v>-394</v>
      </c>
      <c r="AU552" s="626"/>
      <c r="AV552" s="626">
        <v>-182</v>
      </c>
      <c r="AW552" s="626">
        <v>-226</v>
      </c>
      <c r="AX552" s="293">
        <f t="shared" ref="AX552:AX558" si="1551">AV552+AW552</f>
        <v>-408</v>
      </c>
      <c r="AY552" s="293"/>
      <c r="AZ552" s="626">
        <f>-253-0.333</f>
        <v>-253.333</v>
      </c>
      <c r="BA552" s="626">
        <f>-253-0.3333</f>
        <v>-253.33330000000001</v>
      </c>
      <c r="BB552" s="293">
        <f t="shared" ref="BB552:BB558" si="1552">AZ552+BA552</f>
        <v>-506.66629999999998</v>
      </c>
      <c r="BC552" s="293"/>
      <c r="BD552" s="626">
        <f>-238+0.3333</f>
        <v>-237.66669999999999</v>
      </c>
      <c r="BE552" s="626">
        <f>-216-0.333/2</f>
        <v>-216.16650000000001</v>
      </c>
      <c r="BF552" s="293">
        <f t="shared" ref="BF552:BF558" si="1553">BD552+BE552</f>
        <v>-453.83320000000003</v>
      </c>
      <c r="BG552" s="293"/>
      <c r="BH552" s="626">
        <v>-221</v>
      </c>
      <c r="BI552" s="626">
        <v>-212</v>
      </c>
      <c r="BJ552" s="293">
        <f t="shared" ref="BJ552:BJ558" si="1554">BH552+BI552</f>
        <v>-433</v>
      </c>
      <c r="BK552" s="487"/>
      <c r="BL552" s="626">
        <v>-218</v>
      </c>
      <c r="BM552" s="626">
        <v>-186</v>
      </c>
      <c r="BN552" s="293">
        <f t="shared" ref="BN552:BN558" si="1555">BL552+BM552</f>
        <v>-404</v>
      </c>
      <c r="BO552" s="487"/>
      <c r="BP552" s="626">
        <v>-190</v>
      </c>
      <c r="BQ552" s="626">
        <v>-182</v>
      </c>
      <c r="BR552" s="293">
        <f t="shared" ref="BR552:BR558" si="1556">BP552+BQ552</f>
        <v>-372</v>
      </c>
      <c r="BS552" s="487"/>
      <c r="BT552" s="626">
        <v>-177</v>
      </c>
      <c r="BU552" s="626">
        <v>-168</v>
      </c>
      <c r="BV552" s="293">
        <f t="shared" ref="BV552:BV558" si="1557">BT552+BU552</f>
        <v>-345</v>
      </c>
      <c r="BW552" s="487"/>
      <c r="BX552" s="626">
        <v>-171</v>
      </c>
      <c r="BY552" s="626">
        <v>-155</v>
      </c>
      <c r="BZ552" s="293">
        <f t="shared" ref="BZ552:BZ558" si="1558">BX552+BY552</f>
        <v>-326</v>
      </c>
      <c r="CA552" s="487"/>
      <c r="CB552" s="626">
        <v>-205</v>
      </c>
      <c r="CC552" s="626">
        <v>-218</v>
      </c>
      <c r="CD552" s="293">
        <f t="shared" ref="CD552:CD558" si="1559">CB552+CC552</f>
        <v>-423</v>
      </c>
      <c r="CE552" s="487"/>
      <c r="CF552" s="626">
        <v>-219</v>
      </c>
      <c r="CG552" s="626">
        <v>-202</v>
      </c>
      <c r="CH552" s="293">
        <f t="shared" ref="CH552:CH558" si="1560">CF552+CG552</f>
        <v>-421</v>
      </c>
      <c r="CI552" s="487"/>
      <c r="CJ552" s="626">
        <v>-183</v>
      </c>
      <c r="CK552" s="626">
        <v>-172</v>
      </c>
      <c r="CL552" s="293">
        <f t="shared" ref="CL552:CL558" si="1561">CJ552+CK552</f>
        <v>-355</v>
      </c>
      <c r="CM552" s="487"/>
      <c r="CN552" s="1388">
        <v>-197</v>
      </c>
      <c r="CO552" s="1388">
        <v>-193</v>
      </c>
      <c r="CP552" s="1010">
        <f t="shared" ref="CP552:CP558" si="1562">CN552+CO552</f>
        <v>-390</v>
      </c>
      <c r="CQ552" s="1427"/>
      <c r="CR552" s="1388">
        <v>-219</v>
      </c>
      <c r="CS552" s="1497">
        <v>-227</v>
      </c>
      <c r="CT552" s="293">
        <f t="shared" ref="CT552:CT558" si="1563">CR552+CS552</f>
        <v>-446</v>
      </c>
      <c r="CU552" s="487"/>
      <c r="CV552" s="1388">
        <v>-262</v>
      </c>
      <c r="CW552" s="1488">
        <v>-268</v>
      </c>
      <c r="CX552" s="1010">
        <f t="shared" ref="CX552:CX558" si="1564">CV552+CW552</f>
        <v>-530</v>
      </c>
      <c r="CY552" s="1427"/>
      <c r="CZ552" s="1863">
        <v>-321</v>
      </c>
      <c r="DA552" s="1488">
        <v>-314</v>
      </c>
      <c r="DB552" s="1010">
        <f t="shared" ref="DB552:DB558" si="1565">CZ552+DA552</f>
        <v>-635</v>
      </c>
      <c r="DC552" s="1427"/>
      <c r="DD552" s="1863">
        <v>-294</v>
      </c>
      <c r="DE552" s="2176">
        <v>-256</v>
      </c>
      <c r="DF552" s="1010">
        <f t="shared" ref="DF552:DF558" si="1566">DD552+DE552</f>
        <v>-550</v>
      </c>
      <c r="DG552" s="487"/>
      <c r="DH552" s="1863">
        <v>-234</v>
      </c>
      <c r="DI552" s="293">
        <f t="shared" ref="DI552" si="1567">DI651</f>
        <v>-250.88</v>
      </c>
      <c r="DJ552" s="293">
        <f t="shared" ref="DJ552:DJ558" si="1568">DH552+DI552</f>
        <v>-484.88</v>
      </c>
      <c r="DK552" s="487"/>
      <c r="DL552" s="293">
        <f t="shared" ref="DL552:DM552" si="1569">DL651</f>
        <v>-241.02</v>
      </c>
      <c r="DM552" s="293">
        <f t="shared" si="1569"/>
        <v>-258.40640000000002</v>
      </c>
      <c r="DN552" s="293">
        <f t="shared" ref="DN552:DN558" si="1570">DL552+DM552</f>
        <v>-499.42640000000006</v>
      </c>
      <c r="DO552" s="487"/>
      <c r="DP552" s="293">
        <f t="shared" ref="DP552:DQ552" si="1571">DP651</f>
        <v>-248.25060000000002</v>
      </c>
      <c r="DQ552" s="293">
        <f t="shared" si="1571"/>
        <v>-266.158592</v>
      </c>
      <c r="DR552" s="293">
        <f t="shared" ref="DR552:DR558" si="1572">DP552+DQ552</f>
        <v>-514.40919200000008</v>
      </c>
      <c r="DS552" s="487"/>
      <c r="DT552" s="487"/>
      <c r="DU552" s="487"/>
      <c r="DV552" s="487"/>
      <c r="DW552" s="1197" t="s">
        <v>513</v>
      </c>
      <c r="DX552" s="293"/>
      <c r="DY552" s="293"/>
      <c r="DZ552" s="293"/>
      <c r="EA552" s="293"/>
      <c r="EB552" s="293"/>
      <c r="EC552" s="293"/>
      <c r="ED552" s="293"/>
      <c r="EE552" s="293"/>
      <c r="EF552" s="293"/>
      <c r="EG552" s="293"/>
      <c r="EH552" s="293"/>
      <c r="EI552" s="293"/>
      <c r="EJ552" s="293"/>
      <c r="EK552" s="293"/>
      <c r="EL552" s="293"/>
      <c r="EM552" s="293"/>
      <c r="EN552" s="293"/>
      <c r="EO552" s="293"/>
      <c r="EP552" s="293"/>
      <c r="EQ552" s="293"/>
      <c r="ER552" s="293"/>
      <c r="ES552" s="293"/>
      <c r="ET552" s="293"/>
      <c r="EU552" s="293"/>
      <c r="JW552"/>
    </row>
    <row r="553" spans="1:283" s="332" customFormat="1">
      <c r="A553" s="332" t="s">
        <v>605</v>
      </c>
      <c r="AN553" s="293"/>
      <c r="AO553" s="293"/>
      <c r="AP553" s="293"/>
      <c r="AQ553" s="293"/>
      <c r="AR553" s="626">
        <v>-67</v>
      </c>
      <c r="AS553" s="626">
        <v>-73</v>
      </c>
      <c r="AT553" s="293">
        <f>AR553+AS553</f>
        <v>-140</v>
      </c>
      <c r="AU553" s="626"/>
      <c r="AV553" s="626">
        <v>-65</v>
      </c>
      <c r="AW553" s="626">
        <v>-56</v>
      </c>
      <c r="AX553" s="293">
        <f t="shared" si="1551"/>
        <v>-121</v>
      </c>
      <c r="AY553" s="293"/>
      <c r="AZ553" s="626">
        <v>-75</v>
      </c>
      <c r="BA553" s="626">
        <v>-74</v>
      </c>
      <c r="BB553" s="293">
        <f t="shared" si="1552"/>
        <v>-149</v>
      </c>
      <c r="BC553" s="293"/>
      <c r="BD553" s="626">
        <v>-79</v>
      </c>
      <c r="BE553" s="626">
        <v>-85</v>
      </c>
      <c r="BF553" s="293">
        <f t="shared" si="1553"/>
        <v>-164</v>
      </c>
      <c r="BG553" s="293"/>
      <c r="BH553" s="626">
        <v>-90</v>
      </c>
      <c r="BI553" s="626">
        <v>-68</v>
      </c>
      <c r="BJ553" s="293">
        <f t="shared" si="1554"/>
        <v>-158</v>
      </c>
      <c r="BK553" s="487"/>
      <c r="BL553" s="626">
        <v>-88</v>
      </c>
      <c r="BM553" s="626">
        <v>-80</v>
      </c>
      <c r="BN553" s="293">
        <f t="shared" si="1555"/>
        <v>-168</v>
      </c>
      <c r="BO553" s="487"/>
      <c r="BP553" s="626">
        <v>-95</v>
      </c>
      <c r="BQ553" s="626">
        <v>-103</v>
      </c>
      <c r="BR553" s="293">
        <f t="shared" si="1556"/>
        <v>-198</v>
      </c>
      <c r="BS553" s="487"/>
      <c r="BT553" s="626">
        <v>-102</v>
      </c>
      <c r="BU553" s="626">
        <v>-105</v>
      </c>
      <c r="BV553" s="293">
        <f t="shared" si="1557"/>
        <v>-207</v>
      </c>
      <c r="BW553" s="487"/>
      <c r="BX553" s="626">
        <v>-105</v>
      </c>
      <c r="BY553" s="626">
        <v>-103</v>
      </c>
      <c r="BZ553" s="293">
        <f t="shared" si="1558"/>
        <v>-208</v>
      </c>
      <c r="CA553" s="487"/>
      <c r="CB553" s="626">
        <v>-104</v>
      </c>
      <c r="CC553" s="626">
        <v>-109</v>
      </c>
      <c r="CD553" s="293">
        <f t="shared" si="1559"/>
        <v>-213</v>
      </c>
      <c r="CE553" s="487"/>
      <c r="CF553" s="626">
        <v>-108</v>
      </c>
      <c r="CG553" s="626">
        <v>-108</v>
      </c>
      <c r="CH553" s="293">
        <f t="shared" si="1560"/>
        <v>-216</v>
      </c>
      <c r="CI553" s="487"/>
      <c r="CJ553" s="626">
        <v>-87</v>
      </c>
      <c r="CK553" s="626">
        <v>-85</v>
      </c>
      <c r="CL553" s="293">
        <f t="shared" si="1561"/>
        <v>-172</v>
      </c>
      <c r="CM553" s="487"/>
      <c r="CN553" s="1388">
        <v>-81</v>
      </c>
      <c r="CO553" s="1388">
        <v>-61</v>
      </c>
      <c r="CP553" s="1010">
        <f t="shared" si="1562"/>
        <v>-142</v>
      </c>
      <c r="CQ553" s="1427"/>
      <c r="CR553" s="1388">
        <v>-53</v>
      </c>
      <c r="CS553" s="1497">
        <v>-53</v>
      </c>
      <c r="CT553" s="293">
        <f t="shared" si="1563"/>
        <v>-106</v>
      </c>
      <c r="CU553" s="487"/>
      <c r="CV553" s="1388">
        <v>-59</v>
      </c>
      <c r="CW553" s="1488">
        <v>-66</v>
      </c>
      <c r="CX553" s="1010">
        <f t="shared" si="1564"/>
        <v>-125</v>
      </c>
      <c r="CY553" s="1427"/>
      <c r="CZ553" s="1863">
        <v>-65</v>
      </c>
      <c r="DA553" s="1488">
        <v>-81</v>
      </c>
      <c r="DB553" s="1010">
        <f t="shared" si="1565"/>
        <v>-146</v>
      </c>
      <c r="DC553" s="1427"/>
      <c r="DD553" s="1863">
        <v>-84</v>
      </c>
      <c r="DE553" s="2176">
        <v>-92</v>
      </c>
      <c r="DF553" s="1010">
        <f t="shared" si="1566"/>
        <v>-176</v>
      </c>
      <c r="DG553" s="487"/>
      <c r="DH553" s="1863">
        <v>-92</v>
      </c>
      <c r="DI553" s="293">
        <f t="shared" ref="DI553" si="1573">DI652</f>
        <v>-92.488199999999992</v>
      </c>
      <c r="DJ553" s="293">
        <f t="shared" si="1568"/>
        <v>-184.48820000000001</v>
      </c>
      <c r="DK553" s="487"/>
      <c r="DL553" s="293">
        <f t="shared" ref="DL553:DM553" si="1574">DL652</f>
        <v>-99.091649999999987</v>
      </c>
      <c r="DM553" s="293">
        <f t="shared" si="1574"/>
        <v>-97.768167000000005</v>
      </c>
      <c r="DN553" s="293">
        <f t="shared" si="1570"/>
        <v>-196.85981699999999</v>
      </c>
      <c r="DO553" s="487"/>
      <c r="DP553" s="293">
        <f t="shared" ref="DP553:DQ553" si="1575">DP652</f>
        <v>-104.7229365</v>
      </c>
      <c r="DQ553" s="293">
        <f t="shared" si="1575"/>
        <v>-103.35146577000002</v>
      </c>
      <c r="DR553" s="293">
        <f t="shared" si="1572"/>
        <v>-208.07440227000001</v>
      </c>
      <c r="DS553" s="487"/>
      <c r="DT553" s="487"/>
      <c r="DU553" s="487"/>
      <c r="DV553" s="487"/>
      <c r="DW553" s="1197" t="s">
        <v>513</v>
      </c>
      <c r="DX553" s="293"/>
      <c r="DY553" s="293"/>
      <c r="DZ553" s="293"/>
      <c r="EA553" s="293"/>
      <c r="EB553" s="293"/>
      <c r="EC553" s="293"/>
      <c r="ED553" s="293"/>
      <c r="EE553" s="293"/>
      <c r="EF553" s="293"/>
      <c r="EG553" s="293"/>
      <c r="EH553" s="293"/>
      <c r="EI553" s="293"/>
      <c r="EJ553" s="293"/>
      <c r="EK553" s="293"/>
      <c r="EL553" s="293"/>
      <c r="EM553" s="293"/>
      <c r="EN553" s="293"/>
      <c r="EO553" s="293"/>
      <c r="EP553" s="293"/>
      <c r="EQ553" s="293"/>
      <c r="ER553" s="293"/>
      <c r="ES553" s="293"/>
      <c r="ET553" s="293"/>
      <c r="EU553" s="293"/>
      <c r="JW553"/>
    </row>
    <row r="554" spans="1:283" s="332" customFormat="1">
      <c r="A554" s="332" t="s">
        <v>1324</v>
      </c>
      <c r="AN554" s="293"/>
      <c r="AO554" s="293"/>
      <c r="AP554" s="293"/>
      <c r="AQ554" s="293"/>
      <c r="AR554" s="626">
        <v>-182</v>
      </c>
      <c r="AS554" s="626">
        <v>-182</v>
      </c>
      <c r="AT554" s="293">
        <f>AR554+AS554</f>
        <v>-364</v>
      </c>
      <c r="AU554" s="626"/>
      <c r="AV554" s="626">
        <v>-201</v>
      </c>
      <c r="AW554" s="626">
        <v>-254</v>
      </c>
      <c r="AX554" s="293">
        <f t="shared" si="1551"/>
        <v>-455</v>
      </c>
      <c r="AY554" s="293"/>
      <c r="AZ554" s="626">
        <v>-263</v>
      </c>
      <c r="BA554" s="626">
        <v>-296</v>
      </c>
      <c r="BB554" s="293">
        <f t="shared" si="1552"/>
        <v>-559</v>
      </c>
      <c r="BC554" s="293"/>
      <c r="BD554" s="626">
        <f>-242-0.33</f>
        <v>-242.33</v>
      </c>
      <c r="BE554" s="626">
        <v>-236</v>
      </c>
      <c r="BF554" s="293">
        <f t="shared" si="1553"/>
        <v>-478.33000000000004</v>
      </c>
      <c r="BG554" s="293"/>
      <c r="BH554" s="626">
        <v>-220</v>
      </c>
      <c r="BI554" s="626">
        <v>-237</v>
      </c>
      <c r="BJ554" s="293">
        <f t="shared" si="1554"/>
        <v>-457</v>
      </c>
      <c r="BK554" s="487"/>
      <c r="BL554" s="626">
        <v>-250</v>
      </c>
      <c r="BM554" s="626">
        <v>-238</v>
      </c>
      <c r="BN554" s="293">
        <f t="shared" si="1555"/>
        <v>-488</v>
      </c>
      <c r="BO554" s="487"/>
      <c r="BP554" s="626">
        <v>-239</v>
      </c>
      <c r="BQ554" s="626">
        <v>-251</v>
      </c>
      <c r="BR554" s="293">
        <f t="shared" si="1556"/>
        <v>-490</v>
      </c>
      <c r="BS554" s="487"/>
      <c r="BT554" s="626">
        <f>-139-148</f>
        <v>-287</v>
      </c>
      <c r="BU554" s="626">
        <f>-143-132</f>
        <v>-275</v>
      </c>
      <c r="BV554" s="293">
        <f t="shared" si="1557"/>
        <v>-562</v>
      </c>
      <c r="BW554" s="487"/>
      <c r="BX554" s="626">
        <f>-189-153</f>
        <v>-342</v>
      </c>
      <c r="BY554" s="626">
        <f>-132-127</f>
        <v>-259</v>
      </c>
      <c r="BZ554" s="293">
        <f t="shared" si="1558"/>
        <v>-601</v>
      </c>
      <c r="CA554" s="487"/>
      <c r="CB554" s="626">
        <f>-158-170</f>
        <v>-328</v>
      </c>
      <c r="CC554" s="626">
        <f>-167-158</f>
        <v>-325</v>
      </c>
      <c r="CD554" s="293">
        <f t="shared" si="1559"/>
        <v>-653</v>
      </c>
      <c r="CE554" s="487"/>
      <c r="CF554" s="626">
        <f>-182-164</f>
        <v>-346</v>
      </c>
      <c r="CG554" s="626">
        <f>-181-183</f>
        <v>-364</v>
      </c>
      <c r="CH554" s="293">
        <f t="shared" si="1560"/>
        <v>-710</v>
      </c>
      <c r="CI554" s="487"/>
      <c r="CJ554" s="819">
        <f>-191-175</f>
        <v>-366</v>
      </c>
      <c r="CK554" s="819">
        <f>-183-191</f>
        <v>-374</v>
      </c>
      <c r="CL554" s="293">
        <f t="shared" si="1561"/>
        <v>-740</v>
      </c>
      <c r="CM554" s="487"/>
      <c r="CN554" s="1415">
        <f>-202-188</f>
        <v>-390</v>
      </c>
      <c r="CO554" s="1415">
        <f>-192-193</f>
        <v>-385</v>
      </c>
      <c r="CP554" s="1010">
        <f t="shared" si="1562"/>
        <v>-775</v>
      </c>
      <c r="CQ554" s="1427"/>
      <c r="CR554" s="1415">
        <f>-214-195</f>
        <v>-409</v>
      </c>
      <c r="CS554" s="1506">
        <f>-250-249</f>
        <v>-499</v>
      </c>
      <c r="CT554" s="293">
        <f t="shared" si="1563"/>
        <v>-908</v>
      </c>
      <c r="CU554" s="487"/>
      <c r="CV554" s="1415">
        <f>-275-247</f>
        <v>-522</v>
      </c>
      <c r="CW554" s="1870">
        <f>-287-296</f>
        <v>-583</v>
      </c>
      <c r="CX554" s="1010">
        <f t="shared" si="1564"/>
        <v>-1105</v>
      </c>
      <c r="CY554" s="1427"/>
      <c r="CZ554" s="1869">
        <f>-326-259</f>
        <v>-585</v>
      </c>
      <c r="DA554" s="1870">
        <f>-305-297</f>
        <v>-602</v>
      </c>
      <c r="DB554" s="1010">
        <f t="shared" si="1565"/>
        <v>-1187</v>
      </c>
      <c r="DC554" s="1427"/>
      <c r="DD554" s="1869">
        <f>-299-259</f>
        <v>-558</v>
      </c>
      <c r="DE554" s="2176">
        <f>-313-260</f>
        <v>-573</v>
      </c>
      <c r="DF554" s="1010">
        <f t="shared" si="1566"/>
        <v>-1131</v>
      </c>
      <c r="DG554" s="487"/>
      <c r="DH554" s="2119">
        <f>-387-252</f>
        <v>-639</v>
      </c>
      <c r="DI554" s="293">
        <f t="shared" ref="DI554" si="1576">DI653</f>
        <v>-601.65</v>
      </c>
      <c r="DJ554" s="293">
        <f t="shared" si="1568"/>
        <v>-1240.6500000000001</v>
      </c>
      <c r="DK554" s="487"/>
      <c r="DL554" s="293">
        <f t="shared" ref="DL554:DM554" si="1577">DL653</f>
        <v>-658.17000000000007</v>
      </c>
      <c r="DM554" s="293">
        <f t="shared" si="1577"/>
        <v>-619.69949999999994</v>
      </c>
      <c r="DN554" s="293">
        <f t="shared" si="1570"/>
        <v>-1277.8695</v>
      </c>
      <c r="DO554" s="487"/>
      <c r="DP554" s="293">
        <f t="shared" ref="DP554:DQ554" si="1578">DP653</f>
        <v>-677.91510000000005</v>
      </c>
      <c r="DQ554" s="293">
        <f t="shared" si="1578"/>
        <v>-638.29048499999999</v>
      </c>
      <c r="DR554" s="293">
        <f t="shared" si="1572"/>
        <v>-1316.2055850000002</v>
      </c>
      <c r="DS554" s="487"/>
      <c r="DT554" s="487"/>
      <c r="DU554" s="487"/>
      <c r="DV554" s="487"/>
      <c r="DW554" s="1197" t="s">
        <v>513</v>
      </c>
      <c r="DX554" s="293"/>
      <c r="DY554" s="293"/>
      <c r="DZ554" s="293"/>
      <c r="EA554" s="293"/>
      <c r="EB554" s="293"/>
      <c r="EC554" s="293"/>
      <c r="ED554" s="293"/>
      <c r="EE554" s="293"/>
      <c r="EF554" s="293"/>
      <c r="EG554" s="293"/>
      <c r="EH554" s="293"/>
      <c r="EI554" s="293"/>
      <c r="EJ554" s="293"/>
      <c r="EK554" s="293"/>
      <c r="EL554" s="293"/>
      <c r="EM554" s="293"/>
      <c r="EN554" s="293"/>
      <c r="EO554" s="293"/>
      <c r="EP554" s="293"/>
      <c r="EQ554" s="293"/>
      <c r="ER554" s="293"/>
      <c r="ES554" s="293"/>
      <c r="ET554" s="293"/>
      <c r="EU554" s="293"/>
      <c r="JW554"/>
    </row>
    <row r="555" spans="1:283" s="332" customFormat="1">
      <c r="A555" s="327" t="s">
        <v>569</v>
      </c>
      <c r="AN555" s="295">
        <f>SUM(AN552:AN554)</f>
        <v>0</v>
      </c>
      <c r="AO555" s="295">
        <f>SUM(AO552:AO554)</f>
        <v>0</v>
      </c>
      <c r="AP555" s="295">
        <f>AN555+AO555</f>
        <v>0</v>
      </c>
      <c r="AQ555" s="295"/>
      <c r="AR555" s="295">
        <f>SUM(AR552:AR554)</f>
        <v>-463</v>
      </c>
      <c r="AS555" s="295">
        <f>SUM(AS552:AS554)</f>
        <v>-435</v>
      </c>
      <c r="AT555" s="295">
        <f>AR555+AS555</f>
        <v>-898</v>
      </c>
      <c r="AU555" s="295"/>
      <c r="AV555" s="295">
        <f>SUM(AV552:AV554)</f>
        <v>-448</v>
      </c>
      <c r="AW555" s="295">
        <f>SUM(AW552:AW554)</f>
        <v>-536</v>
      </c>
      <c r="AX555" s="295">
        <f t="shared" si="1551"/>
        <v>-984</v>
      </c>
      <c r="AY555" s="295"/>
      <c r="AZ555" s="295">
        <f>SUM(AZ552:AZ554)</f>
        <v>-591.33299999999997</v>
      </c>
      <c r="BA555" s="295">
        <f>SUM(BA552:BA554)</f>
        <v>-623.33330000000001</v>
      </c>
      <c r="BB555" s="295">
        <f t="shared" si="1552"/>
        <v>-1214.6662999999999</v>
      </c>
      <c r="BC555" s="295"/>
      <c r="BD555" s="295">
        <f>SUM(BD552:BD554)</f>
        <v>-558.99670000000003</v>
      </c>
      <c r="BE555" s="295">
        <f>SUM(BE552:BE554)</f>
        <v>-537.16650000000004</v>
      </c>
      <c r="BF555" s="295">
        <f t="shared" si="1553"/>
        <v>-1096.1632</v>
      </c>
      <c r="BG555" s="295"/>
      <c r="BH555" s="295">
        <f>SUM(BH552:BH554)</f>
        <v>-531</v>
      </c>
      <c r="BI555" s="295">
        <f>SUM(BI552:BI554)</f>
        <v>-517</v>
      </c>
      <c r="BJ555" s="295">
        <f t="shared" si="1554"/>
        <v>-1048</v>
      </c>
      <c r="BK555" s="487"/>
      <c r="BL555" s="295">
        <f>SUM(BL552:BL554)</f>
        <v>-556</v>
      </c>
      <c r="BM555" s="295">
        <f>SUM(BM552:BM554)</f>
        <v>-504</v>
      </c>
      <c r="BN555" s="295">
        <f t="shared" si="1555"/>
        <v>-1060</v>
      </c>
      <c r="BO555" s="817">
        <f>+BN555/BJ555-1</f>
        <v>1.1450381679389388E-2</v>
      </c>
      <c r="BP555" s="295">
        <f>SUM(BP552:BP554)</f>
        <v>-524</v>
      </c>
      <c r="BQ555" s="295">
        <f>SUM(BQ552:BQ554)</f>
        <v>-536</v>
      </c>
      <c r="BR555" s="295">
        <f t="shared" si="1556"/>
        <v>-1060</v>
      </c>
      <c r="BS555" s="817">
        <f>+BR555/BN555-1</f>
        <v>0</v>
      </c>
      <c r="BT555" s="295">
        <f>SUM(BT552:BT554)</f>
        <v>-566</v>
      </c>
      <c r="BU555" s="295">
        <f>SUM(BU552:BU554)</f>
        <v>-548</v>
      </c>
      <c r="BV555" s="295">
        <f t="shared" si="1557"/>
        <v>-1114</v>
      </c>
      <c r="BW555" s="817">
        <f>+BV555/BR555-1</f>
        <v>5.0943396226415194E-2</v>
      </c>
      <c r="BX555" s="295">
        <f>SUM(BX552:BX554)</f>
        <v>-618</v>
      </c>
      <c r="BY555" s="295">
        <f>SUM(BY552:BY554)</f>
        <v>-517</v>
      </c>
      <c r="BZ555" s="295">
        <f t="shared" si="1558"/>
        <v>-1135</v>
      </c>
      <c r="CA555" s="817">
        <f>+BZ555/BV555-1</f>
        <v>1.8850987432674993E-2</v>
      </c>
      <c r="CB555" s="295">
        <f>SUM(CB552:CB554)</f>
        <v>-637</v>
      </c>
      <c r="CC555" s="295">
        <f>SUM(CC552:CC554)</f>
        <v>-652</v>
      </c>
      <c r="CD555" s="295">
        <f t="shared" si="1559"/>
        <v>-1289</v>
      </c>
      <c r="CE555" s="817">
        <f>+CD555/BZ555-1</f>
        <v>0.13568281938325999</v>
      </c>
      <c r="CF555" s="295">
        <f>SUM(CF552:CF554)</f>
        <v>-673</v>
      </c>
      <c r="CG555" s="295">
        <f>SUM(CG552:CG554)</f>
        <v>-674</v>
      </c>
      <c r="CH555" s="295">
        <f t="shared" si="1560"/>
        <v>-1347</v>
      </c>
      <c r="CI555" s="817">
        <f>+CH555/CD555-1</f>
        <v>4.4996121024049707E-2</v>
      </c>
      <c r="CJ555" s="295">
        <f>SUM(CJ552:CJ554)</f>
        <v>-636</v>
      </c>
      <c r="CK555" s="295">
        <f>SUM(CK552:CK554)</f>
        <v>-631</v>
      </c>
      <c r="CL555" s="295">
        <f t="shared" si="1561"/>
        <v>-1267</v>
      </c>
      <c r="CM555" s="817">
        <f>+CL555/CH555-1</f>
        <v>-5.9391239792130679E-2</v>
      </c>
      <c r="CN555" s="1412">
        <f>SUM(CN552:CN554)</f>
        <v>-668</v>
      </c>
      <c r="CO555" s="1412">
        <f>SUM(CO552:CO554)</f>
        <v>-639</v>
      </c>
      <c r="CP555" s="1412">
        <f t="shared" si="1562"/>
        <v>-1307</v>
      </c>
      <c r="CQ555" s="1002">
        <f>+CP555/CL555-1</f>
        <v>3.1570639305446013E-2</v>
      </c>
      <c r="CR555" s="1412">
        <f>SUM(CR552:CR554)</f>
        <v>-681</v>
      </c>
      <c r="CS555" s="1390">
        <f>SUM(CS552:CS554)</f>
        <v>-779</v>
      </c>
      <c r="CT555" s="295">
        <f t="shared" si="1563"/>
        <v>-1460</v>
      </c>
      <c r="CU555" s="817">
        <f>+CT555/CP555-1</f>
        <v>0.11706197398622797</v>
      </c>
      <c r="CV555" s="1412">
        <f>SUM(CV552:CV554)</f>
        <v>-843</v>
      </c>
      <c r="CW555" s="1491">
        <f>SUM(CW552:CW554)</f>
        <v>-917</v>
      </c>
      <c r="CX555" s="1412">
        <f t="shared" si="1564"/>
        <v>-1760</v>
      </c>
      <c r="CY555" s="1002">
        <f>+CX555/CT555-1</f>
        <v>0.20547945205479445</v>
      </c>
      <c r="CZ555" s="1867">
        <f>SUM(CZ552:CZ554)</f>
        <v>-971</v>
      </c>
      <c r="DA555" s="1491">
        <f>SUM(DA552:DA554)</f>
        <v>-997</v>
      </c>
      <c r="DB555" s="1412">
        <f t="shared" si="1565"/>
        <v>-1968</v>
      </c>
      <c r="DC555" s="1002">
        <f>+DB555/CX555-1</f>
        <v>0.11818181818181817</v>
      </c>
      <c r="DD555" s="1867">
        <f>SUM(DD552:DD554)</f>
        <v>-936</v>
      </c>
      <c r="DE555" s="1491">
        <f>SUM(DE552:DE554)</f>
        <v>-921</v>
      </c>
      <c r="DF555" s="1412">
        <f t="shared" si="1566"/>
        <v>-1857</v>
      </c>
      <c r="DG555" s="817">
        <f>+DF555/DB555-1</f>
        <v>-5.6402439024390238E-2</v>
      </c>
      <c r="DH555" s="1867">
        <f>SUM(DH552:DH554)</f>
        <v>-965</v>
      </c>
      <c r="DI555" s="295">
        <f>SUM(DI552:DI554)</f>
        <v>-945.01819999999998</v>
      </c>
      <c r="DJ555" s="295">
        <f t="shared" si="1568"/>
        <v>-1910.0182</v>
      </c>
      <c r="DK555" s="817">
        <f>+DJ555/DF555-1</f>
        <v>2.855045772751752E-2</v>
      </c>
      <c r="DL555" s="295">
        <f>SUM(DL552:DL554)</f>
        <v>-998.28165000000013</v>
      </c>
      <c r="DM555" s="295">
        <f>SUM(DM552:DM554)</f>
        <v>-975.87406699999997</v>
      </c>
      <c r="DN555" s="295">
        <f t="shared" si="1570"/>
        <v>-1974.1557170000001</v>
      </c>
      <c r="DO555" s="817">
        <f>+DN555/DJ555-1</f>
        <v>3.3579531859958323E-2</v>
      </c>
      <c r="DP555" s="295">
        <f>SUM(DP552:DP554)</f>
        <v>-1030.8886365000001</v>
      </c>
      <c r="DQ555" s="295">
        <f>SUM(DQ552:DQ554)</f>
        <v>-1007.80054277</v>
      </c>
      <c r="DR555" s="295">
        <f t="shared" si="1572"/>
        <v>-2038.6891792700001</v>
      </c>
      <c r="DS555" s="817">
        <f>+DR555/DN555-1</f>
        <v>3.2689144890792887E-2</v>
      </c>
      <c r="DT555" s="817"/>
      <c r="DU555" s="817"/>
      <c r="DV555" s="817"/>
      <c r="DW555" s="1199"/>
      <c r="DX555" s="295"/>
      <c r="DY555" s="295"/>
      <c r="DZ555" s="295"/>
      <c r="EA555" s="295"/>
      <c r="EB555" s="295"/>
      <c r="EC555" s="295"/>
      <c r="ED555" s="295"/>
      <c r="EE555" s="295"/>
      <c r="EF555" s="295"/>
      <c r="EG555" s="295"/>
      <c r="EH555" s="295"/>
      <c r="EI555" s="295"/>
      <c r="EJ555" s="295"/>
      <c r="EK555" s="295"/>
      <c r="EL555" s="295"/>
      <c r="EM555" s="295"/>
      <c r="EN555" s="295"/>
      <c r="EO555" s="295"/>
      <c r="EP555" s="295"/>
      <c r="EQ555" s="295"/>
      <c r="ER555" s="295"/>
      <c r="ES555" s="295"/>
      <c r="ET555" s="295"/>
      <c r="EU555" s="295"/>
      <c r="EV555" s="327"/>
      <c r="EW555" s="327"/>
      <c r="EX555" s="327"/>
      <c r="EY555" s="327"/>
      <c r="EZ555" s="327"/>
      <c r="FA555" s="327"/>
      <c r="FB555" s="327"/>
      <c r="FC555" s="327"/>
      <c r="FD555" s="327"/>
      <c r="FE555" s="327"/>
      <c r="FF555" s="327"/>
      <c r="FG555" s="327"/>
      <c r="FH555" s="327"/>
      <c r="FI555" s="327"/>
      <c r="FJ555" s="327"/>
      <c r="FK555" s="327"/>
      <c r="FL555" s="327"/>
      <c r="FM555" s="327"/>
      <c r="FN555" s="327"/>
      <c r="FO555" s="327"/>
      <c r="FP555" s="327"/>
      <c r="FQ555" s="327"/>
      <c r="FR555" s="327"/>
      <c r="FS555" s="327"/>
      <c r="FT555" s="327"/>
      <c r="FU555" s="327"/>
      <c r="FV555" s="327"/>
      <c r="FW555" s="327"/>
      <c r="FX555" s="327"/>
      <c r="FY555" s="327"/>
      <c r="FZ555" s="327"/>
      <c r="GA555" s="327"/>
      <c r="GB555" s="327"/>
      <c r="GC555" s="327"/>
      <c r="GD555" s="327"/>
      <c r="GE555" s="327"/>
      <c r="GF555" s="327"/>
      <c r="GG555" s="327"/>
      <c r="GH555" s="327"/>
      <c r="GI555" s="327"/>
      <c r="GJ555" s="327"/>
      <c r="GK555" s="327"/>
      <c r="GL555" s="327"/>
      <c r="GM555" s="327"/>
      <c r="GN555" s="327"/>
      <c r="GO555" s="327"/>
      <c r="GP555" s="327"/>
      <c r="GQ555" s="327"/>
      <c r="GR555" s="327"/>
      <c r="GS555" s="327"/>
      <c r="GT555" s="327"/>
      <c r="GU555" s="327"/>
      <c r="GV555" s="327"/>
      <c r="GW555" s="327"/>
      <c r="GX555" s="327"/>
      <c r="GY555" s="327"/>
      <c r="GZ555" s="327"/>
      <c r="HA555" s="327"/>
      <c r="HB555" s="327"/>
      <c r="HC555" s="327"/>
      <c r="HD555" s="327"/>
      <c r="HE555" s="327"/>
      <c r="HF555" s="327"/>
      <c r="HG555" s="327"/>
      <c r="HH555" s="327"/>
      <c r="HI555" s="327"/>
      <c r="HJ555" s="327"/>
      <c r="HK555" s="327"/>
      <c r="HL555" s="327"/>
      <c r="HM555" s="327"/>
      <c r="HN555" s="327"/>
      <c r="HO555" s="327"/>
      <c r="HP555" s="327"/>
      <c r="HQ555" s="327"/>
      <c r="HR555" s="327"/>
      <c r="HS555" s="327"/>
      <c r="HT555" s="327"/>
      <c r="HU555" s="327"/>
      <c r="HV555" s="327"/>
      <c r="HW555" s="327"/>
      <c r="HX555" s="327"/>
      <c r="HY555" s="327"/>
      <c r="HZ555" s="327"/>
      <c r="IA555" s="327"/>
      <c r="IB555" s="327"/>
      <c r="IC555" s="327"/>
      <c r="ID555" s="327"/>
      <c r="IE555" s="327"/>
      <c r="IF555" s="327"/>
      <c r="IG555" s="327"/>
      <c r="IH555" s="327"/>
      <c r="II555" s="327"/>
      <c r="IJ555" s="327"/>
      <c r="IK555" s="327"/>
      <c r="IL555" s="327"/>
      <c r="IM555" s="327"/>
      <c r="IN555" s="327"/>
      <c r="IO555" s="327"/>
      <c r="IP555" s="327"/>
      <c r="IQ555" s="327"/>
      <c r="IR555" s="327"/>
      <c r="IS555" s="327"/>
      <c r="IT555" s="327"/>
      <c r="IU555" s="327"/>
      <c r="IV555" s="327"/>
      <c r="IW555" s="327"/>
      <c r="IX555" s="327"/>
      <c r="IY555" s="327"/>
      <c r="IZ555" s="327"/>
      <c r="JA555" s="327"/>
      <c r="JB555" s="327"/>
      <c r="JC555" s="327"/>
      <c r="JD555" s="327"/>
      <c r="JE555" s="327"/>
      <c r="JF555" s="327"/>
      <c r="JG555" s="327"/>
      <c r="JH555" s="327"/>
      <c r="JI555" s="327"/>
      <c r="JJ555" s="327"/>
      <c r="JK555" s="327"/>
      <c r="JL555" s="327"/>
      <c r="JM555" s="327"/>
      <c r="JN555" s="327"/>
      <c r="JO555" s="327"/>
      <c r="JP555" s="327"/>
      <c r="JQ555" s="327"/>
      <c r="JR555" s="327"/>
      <c r="JS555" s="327"/>
      <c r="JT555" s="327"/>
      <c r="JU555" s="327"/>
      <c r="JV555" s="327"/>
      <c r="JW555"/>
    </row>
    <row r="556" spans="1:283" s="332" customFormat="1">
      <c r="A556" s="327" t="s">
        <v>572</v>
      </c>
      <c r="AN556" s="295">
        <f>AN550+AN555</f>
        <v>188</v>
      </c>
      <c r="AO556" s="295">
        <f>AO550+AO555</f>
        <v>179</v>
      </c>
      <c r="AP556" s="295">
        <f>AN556+AO556</f>
        <v>367</v>
      </c>
      <c r="AQ556" s="295"/>
      <c r="AR556" s="295">
        <f>AR550+AR555</f>
        <v>-37</v>
      </c>
      <c r="AS556" s="295">
        <f>AS550+AS555</f>
        <v>-35</v>
      </c>
      <c r="AT556" s="295">
        <f>AR556+AS556</f>
        <v>-72</v>
      </c>
      <c r="AU556" s="295"/>
      <c r="AV556" s="295">
        <f>AV550+AV555</f>
        <v>140</v>
      </c>
      <c r="AW556" s="295">
        <f>AW550+AW555</f>
        <v>127</v>
      </c>
      <c r="AX556" s="295">
        <f t="shared" si="1551"/>
        <v>267</v>
      </c>
      <c r="AY556" s="295"/>
      <c r="AZ556" s="295">
        <f>AZ550+AZ555</f>
        <v>138.66700000000003</v>
      </c>
      <c r="BA556" s="295">
        <f>BA550+BA555</f>
        <v>140.66669999999999</v>
      </c>
      <c r="BB556" s="295">
        <f t="shared" si="1552"/>
        <v>279.33370000000002</v>
      </c>
      <c r="BC556" s="295"/>
      <c r="BD556" s="295">
        <f>BD550+BD555</f>
        <v>145.33329999999989</v>
      </c>
      <c r="BE556" s="295">
        <f>BE550+BE555</f>
        <v>129.83349999999996</v>
      </c>
      <c r="BF556" s="295">
        <f t="shared" si="1553"/>
        <v>275.16679999999985</v>
      </c>
      <c r="BG556" s="295"/>
      <c r="BH556" s="295">
        <f>BH550+BH555</f>
        <v>124</v>
      </c>
      <c r="BI556" s="295">
        <f>BI550+BI555</f>
        <v>119</v>
      </c>
      <c r="BJ556" s="295">
        <f t="shared" si="1554"/>
        <v>243</v>
      </c>
      <c r="BK556" s="487"/>
      <c r="BL556" s="295">
        <f>BL550+BL555</f>
        <v>111</v>
      </c>
      <c r="BM556" s="295">
        <f>BM550+BM555</f>
        <v>149</v>
      </c>
      <c r="BN556" s="295">
        <f t="shared" si="1555"/>
        <v>260</v>
      </c>
      <c r="BO556" s="295"/>
      <c r="BP556" s="295">
        <f>BP550+BP555</f>
        <v>141</v>
      </c>
      <c r="BQ556" s="295">
        <f>BQ550+BQ555</f>
        <v>144</v>
      </c>
      <c r="BR556" s="295">
        <f t="shared" si="1556"/>
        <v>285</v>
      </c>
      <c r="BS556" s="295"/>
      <c r="BT556" s="295">
        <f>BT550+BT555</f>
        <v>170</v>
      </c>
      <c r="BU556" s="295">
        <f>BU550+BU555</f>
        <v>180</v>
      </c>
      <c r="BV556" s="295">
        <f t="shared" si="1557"/>
        <v>350</v>
      </c>
      <c r="BW556" s="295"/>
      <c r="BX556" s="295">
        <f>BX550+BX555</f>
        <v>261</v>
      </c>
      <c r="BY556" s="295">
        <f>BY550+BY555</f>
        <v>252</v>
      </c>
      <c r="BZ556" s="295">
        <f t="shared" si="1558"/>
        <v>513</v>
      </c>
      <c r="CA556" s="295"/>
      <c r="CB556" s="295">
        <f>CB550+CB555</f>
        <v>377</v>
      </c>
      <c r="CC556" s="295">
        <f>CC550+CC555</f>
        <v>360</v>
      </c>
      <c r="CD556" s="295">
        <f t="shared" si="1559"/>
        <v>737</v>
      </c>
      <c r="CE556" s="295"/>
      <c r="CF556" s="295">
        <f>CF550+CF555</f>
        <v>378</v>
      </c>
      <c r="CG556" s="295">
        <f>CG550+CG555</f>
        <v>378</v>
      </c>
      <c r="CH556" s="295">
        <f t="shared" si="1560"/>
        <v>756</v>
      </c>
      <c r="CI556" s="295"/>
      <c r="CJ556" s="295">
        <f>CJ550+CJ555</f>
        <v>385</v>
      </c>
      <c r="CK556" s="295">
        <f>CK550+CK555</f>
        <v>385</v>
      </c>
      <c r="CL556" s="295">
        <f t="shared" si="1561"/>
        <v>770</v>
      </c>
      <c r="CM556" s="295"/>
      <c r="CN556" s="1412">
        <f>CN550+CN555</f>
        <v>317</v>
      </c>
      <c r="CO556" s="1412">
        <f>CO550+CO555</f>
        <v>454</v>
      </c>
      <c r="CP556" s="1412">
        <f t="shared" si="1562"/>
        <v>771</v>
      </c>
      <c r="CQ556" s="1412"/>
      <c r="CR556" s="1412">
        <f>CR550+CR555</f>
        <v>482</v>
      </c>
      <c r="CS556" s="1390">
        <f>CS550+CS555</f>
        <v>519</v>
      </c>
      <c r="CT556" s="295">
        <f t="shared" si="1563"/>
        <v>1001</v>
      </c>
      <c r="CU556" s="295"/>
      <c r="CV556" s="1412">
        <f>CV550+CV555</f>
        <v>580</v>
      </c>
      <c r="CW556" s="1491">
        <f>CW550+CW555</f>
        <v>620</v>
      </c>
      <c r="CX556" s="1412">
        <f t="shared" si="1564"/>
        <v>1200</v>
      </c>
      <c r="CY556" s="1412"/>
      <c r="CZ556" s="1867">
        <f>CZ550+CZ555</f>
        <v>638</v>
      </c>
      <c r="DA556" s="1491">
        <f>DA550+DA555</f>
        <v>603</v>
      </c>
      <c r="DB556" s="1412">
        <f t="shared" si="1565"/>
        <v>1241</v>
      </c>
      <c r="DC556" s="1421"/>
      <c r="DD556" s="1867">
        <f>DD550+DD555</f>
        <v>650</v>
      </c>
      <c r="DE556" s="1491">
        <f>DE550+DE555</f>
        <v>730</v>
      </c>
      <c r="DF556" s="1412">
        <f t="shared" si="1566"/>
        <v>1380</v>
      </c>
      <c r="DG556" s="295"/>
      <c r="DH556" s="1867">
        <f>DH550+DH555</f>
        <v>793</v>
      </c>
      <c r="DI556" s="295">
        <f>DI550+DI555</f>
        <v>823.34803289003162</v>
      </c>
      <c r="DJ556" s="295">
        <f t="shared" si="1568"/>
        <v>1616.3480328900316</v>
      </c>
      <c r="DK556" s="295"/>
      <c r="DL556" s="295">
        <f>DL550+DL555</f>
        <v>929.16559824224782</v>
      </c>
      <c r="DM556" s="295">
        <f>DM550+DM555</f>
        <v>1013.504240897023</v>
      </c>
      <c r="DN556" s="295">
        <f t="shared" si="1570"/>
        <v>1942.6698391392708</v>
      </c>
      <c r="DO556" s="295"/>
      <c r="DP556" s="295">
        <f>DP550+DP555</f>
        <v>1054.9834047162788</v>
      </c>
      <c r="DQ556" s="295">
        <f>DQ550+DQ555</f>
        <v>1132.3322155912151</v>
      </c>
      <c r="DR556" s="295">
        <f t="shared" si="1572"/>
        <v>2187.3156203074941</v>
      </c>
      <c r="DS556" s="295"/>
      <c r="DT556" s="295"/>
      <c r="DU556" s="295"/>
      <c r="DV556" s="295"/>
      <c r="DW556" s="1199"/>
      <c r="DX556" s="295"/>
      <c r="DY556" s="295"/>
      <c r="DZ556" s="295"/>
      <c r="EA556" s="295"/>
      <c r="EB556" s="295"/>
      <c r="EC556" s="295"/>
      <c r="ED556" s="295"/>
      <c r="EE556" s="295"/>
      <c r="EF556" s="295"/>
      <c r="EG556" s="295"/>
      <c r="EH556" s="295"/>
      <c r="EI556" s="295"/>
      <c r="EJ556" s="295"/>
      <c r="EK556" s="295"/>
      <c r="EL556" s="295"/>
      <c r="EM556" s="295"/>
      <c r="EN556" s="295"/>
      <c r="EO556" s="295"/>
      <c r="EP556" s="295"/>
      <c r="EQ556" s="295"/>
      <c r="ER556" s="295"/>
      <c r="ES556" s="295"/>
      <c r="ET556" s="295"/>
      <c r="EU556" s="295"/>
      <c r="EV556" s="327"/>
      <c r="EW556" s="327"/>
      <c r="EX556" s="327"/>
      <c r="EY556" s="327"/>
      <c r="EZ556" s="327"/>
      <c r="FA556" s="327"/>
      <c r="FB556" s="327"/>
      <c r="FC556" s="327"/>
      <c r="FD556" s="327"/>
      <c r="FE556" s="327"/>
      <c r="FF556" s="327"/>
      <c r="FG556" s="327"/>
      <c r="FH556" s="327"/>
      <c r="FI556" s="327"/>
      <c r="FJ556" s="327"/>
      <c r="FK556" s="327"/>
      <c r="FL556" s="327"/>
      <c r="FM556" s="327"/>
      <c r="FN556" s="327"/>
      <c r="FO556" s="327"/>
      <c r="FP556" s="327"/>
      <c r="FQ556" s="327"/>
      <c r="FR556" s="327"/>
      <c r="FS556" s="327"/>
      <c r="FT556" s="327"/>
      <c r="FU556" s="327"/>
      <c r="FV556" s="327"/>
      <c r="FW556" s="327"/>
      <c r="FX556" s="327"/>
      <c r="FY556" s="327"/>
      <c r="FZ556" s="327"/>
      <c r="GA556" s="327"/>
      <c r="GB556" s="327"/>
      <c r="GC556" s="327"/>
      <c r="GD556" s="327"/>
      <c r="GE556" s="327"/>
      <c r="GF556" s="327"/>
      <c r="GG556" s="327"/>
      <c r="GH556" s="327"/>
      <c r="GI556" s="327"/>
      <c r="GJ556" s="327"/>
      <c r="GK556" s="327"/>
      <c r="GL556" s="327"/>
      <c r="GM556" s="327"/>
      <c r="GN556" s="327"/>
      <c r="GO556" s="327"/>
      <c r="GP556" s="327"/>
      <c r="GQ556" s="327"/>
      <c r="GR556" s="327"/>
      <c r="GS556" s="327"/>
      <c r="GT556" s="327"/>
      <c r="GU556" s="327"/>
      <c r="GV556" s="327"/>
      <c r="GW556" s="327"/>
      <c r="GX556" s="327"/>
      <c r="GY556" s="327"/>
      <c r="GZ556" s="327"/>
      <c r="HA556" s="327"/>
      <c r="HB556" s="327"/>
      <c r="HC556" s="327"/>
      <c r="HD556" s="327"/>
      <c r="HE556" s="327"/>
      <c r="HF556" s="327"/>
      <c r="HG556" s="327"/>
      <c r="HH556" s="327"/>
      <c r="HI556" s="327"/>
      <c r="HJ556" s="327"/>
      <c r="HK556" s="327"/>
      <c r="HL556" s="327"/>
      <c r="HM556" s="327"/>
      <c r="HN556" s="327"/>
      <c r="HO556" s="327"/>
      <c r="HP556" s="327"/>
      <c r="HQ556" s="327"/>
      <c r="HR556" s="327"/>
      <c r="HS556" s="327"/>
      <c r="HT556" s="327"/>
      <c r="HU556" s="327"/>
      <c r="HV556" s="327"/>
      <c r="HW556" s="327"/>
      <c r="HX556" s="327"/>
      <c r="HY556" s="327"/>
      <c r="HZ556" s="327"/>
      <c r="IA556" s="327"/>
      <c r="IB556" s="327"/>
      <c r="IC556" s="327"/>
      <c r="ID556" s="327"/>
      <c r="IE556" s="327"/>
      <c r="IF556" s="327"/>
      <c r="IG556" s="327"/>
      <c r="IH556" s="327"/>
      <c r="II556" s="327"/>
      <c r="IJ556" s="327"/>
      <c r="IK556" s="327"/>
      <c r="IL556" s="327"/>
      <c r="IM556" s="327"/>
      <c r="IN556" s="327"/>
      <c r="IO556" s="327"/>
      <c r="IP556" s="327"/>
      <c r="IQ556" s="327"/>
      <c r="IR556" s="327"/>
      <c r="IS556" s="327"/>
      <c r="IT556" s="327"/>
      <c r="IU556" s="327"/>
      <c r="IV556" s="327"/>
      <c r="IW556" s="327"/>
      <c r="IX556" s="327"/>
      <c r="IY556" s="327"/>
      <c r="IZ556" s="327"/>
      <c r="JA556" s="327"/>
      <c r="JB556" s="327"/>
      <c r="JC556" s="327"/>
      <c r="JD556" s="327"/>
      <c r="JE556" s="327"/>
      <c r="JF556" s="327"/>
      <c r="JG556" s="327"/>
      <c r="JH556" s="327"/>
      <c r="JI556" s="327"/>
      <c r="JJ556" s="327"/>
      <c r="JK556" s="327"/>
      <c r="JL556" s="327"/>
      <c r="JM556" s="327"/>
      <c r="JN556" s="327"/>
      <c r="JO556" s="327"/>
      <c r="JP556" s="327"/>
      <c r="JQ556" s="327"/>
      <c r="JR556" s="327"/>
      <c r="JS556" s="327"/>
      <c r="JT556" s="327"/>
      <c r="JU556" s="327"/>
      <c r="JV556" s="327"/>
      <c r="JW556"/>
    </row>
    <row r="557" spans="1:283" s="332" customFormat="1">
      <c r="A557" s="332" t="s">
        <v>664</v>
      </c>
      <c r="AN557" s="293"/>
      <c r="AO557" s="293"/>
      <c r="AP557" s="293"/>
      <c r="AQ557" s="293"/>
      <c r="AR557" s="293"/>
      <c r="AS557" s="293"/>
      <c r="AT557" s="293"/>
      <c r="AU557" s="293"/>
      <c r="AV557" s="626">
        <v>-3</v>
      </c>
      <c r="AW557" s="626">
        <v>-3</v>
      </c>
      <c r="AX557" s="293">
        <f t="shared" si="1551"/>
        <v>-6</v>
      </c>
      <c r="AY557" s="626"/>
      <c r="AZ557" s="626">
        <v>-5</v>
      </c>
      <c r="BA557" s="626">
        <v>0</v>
      </c>
      <c r="BB557" s="293">
        <f t="shared" si="1552"/>
        <v>-5</v>
      </c>
      <c r="BC557" s="293"/>
      <c r="BD557" s="626">
        <v>0</v>
      </c>
      <c r="BE557" s="626">
        <v>0</v>
      </c>
      <c r="BF557" s="293">
        <f t="shared" si="1553"/>
        <v>0</v>
      </c>
      <c r="BG557" s="293"/>
      <c r="BH557" s="626">
        <v>0</v>
      </c>
      <c r="BI557" s="626">
        <v>0</v>
      </c>
      <c r="BJ557" s="293">
        <f t="shared" si="1554"/>
        <v>0</v>
      </c>
      <c r="BK557" s="487"/>
      <c r="BL557" s="626">
        <v>0</v>
      </c>
      <c r="BM557" s="626">
        <v>0</v>
      </c>
      <c r="BN557" s="293">
        <f t="shared" si="1555"/>
        <v>0</v>
      </c>
      <c r="BO557" s="487"/>
      <c r="BP557" s="626">
        <v>0</v>
      </c>
      <c r="BQ557" s="626">
        <v>0</v>
      </c>
      <c r="BR557" s="293">
        <f t="shared" si="1556"/>
        <v>0</v>
      </c>
      <c r="BS557" s="487"/>
      <c r="BT557" s="626">
        <v>0</v>
      </c>
      <c r="BU557" s="626">
        <v>0</v>
      </c>
      <c r="BV557" s="293">
        <f t="shared" si="1557"/>
        <v>0</v>
      </c>
      <c r="BW557" s="293"/>
      <c r="BX557" s="626">
        <v>0</v>
      </c>
      <c r="BY557" s="626">
        <v>0</v>
      </c>
      <c r="BZ557" s="293">
        <f t="shared" si="1558"/>
        <v>0</v>
      </c>
      <c r="CA557" s="293"/>
      <c r="CB557" s="626">
        <v>0</v>
      </c>
      <c r="CC557" s="626">
        <v>0</v>
      </c>
      <c r="CD557" s="293">
        <f t="shared" si="1559"/>
        <v>0</v>
      </c>
      <c r="CE557" s="293"/>
      <c r="CF557" s="626">
        <v>0</v>
      </c>
      <c r="CG557" s="626">
        <v>0</v>
      </c>
      <c r="CH557" s="293">
        <f t="shared" si="1560"/>
        <v>0</v>
      </c>
      <c r="CI557" s="293"/>
      <c r="CJ557" s="626">
        <v>0</v>
      </c>
      <c r="CK557" s="626">
        <v>0</v>
      </c>
      <c r="CL557" s="293">
        <f t="shared" si="1561"/>
        <v>0</v>
      </c>
      <c r="CM557" s="293"/>
      <c r="CN557" s="1388">
        <v>0</v>
      </c>
      <c r="CO557" s="1388">
        <v>0</v>
      </c>
      <c r="CP557" s="1010">
        <f t="shared" si="1562"/>
        <v>0</v>
      </c>
      <c r="CQ557" s="1010"/>
      <c r="CR557" s="1388">
        <v>0</v>
      </c>
      <c r="CS557" s="1497">
        <v>0</v>
      </c>
      <c r="CT557" s="293">
        <f t="shared" si="1563"/>
        <v>0</v>
      </c>
      <c r="CU557" s="293"/>
      <c r="CV557" s="1388">
        <v>0</v>
      </c>
      <c r="CW557" s="1488">
        <v>0</v>
      </c>
      <c r="CX557" s="1010">
        <f t="shared" si="1564"/>
        <v>0</v>
      </c>
      <c r="CY557" s="1010"/>
      <c r="CZ557" s="1863">
        <v>0</v>
      </c>
      <c r="DA557" s="1488">
        <v>0</v>
      </c>
      <c r="DB557" s="1010">
        <f t="shared" si="1565"/>
        <v>0</v>
      </c>
      <c r="DC557" s="1010"/>
      <c r="DD557" s="1863">
        <v>0</v>
      </c>
      <c r="DE557" s="1497">
        <v>0</v>
      </c>
      <c r="DF557" s="1010">
        <f t="shared" si="1566"/>
        <v>0</v>
      </c>
      <c r="DG557" s="293"/>
      <c r="DH557" s="1863">
        <v>0</v>
      </c>
      <c r="DI557" s="841">
        <f>'P&amp;L'!DI1205</f>
        <v>0</v>
      </c>
      <c r="DJ557" s="293">
        <f t="shared" si="1568"/>
        <v>0</v>
      </c>
      <c r="DK557" s="293"/>
      <c r="DL557" s="841">
        <f>'P&amp;L'!DL1205</f>
        <v>0</v>
      </c>
      <c r="DM557" s="841">
        <f>'P&amp;L'!DM1205</f>
        <v>0</v>
      </c>
      <c r="DN557" s="293">
        <f t="shared" si="1570"/>
        <v>0</v>
      </c>
      <c r="DO557" s="293"/>
      <c r="DP557" s="841">
        <f>'P&amp;L'!DP1205</f>
        <v>0</v>
      </c>
      <c r="DQ557" s="841">
        <f>'P&amp;L'!DQ1205</f>
        <v>0</v>
      </c>
      <c r="DR557" s="293">
        <f t="shared" si="1572"/>
        <v>0</v>
      </c>
      <c r="DS557" s="293"/>
      <c r="DT557" s="293"/>
      <c r="DU557" s="293"/>
      <c r="DV557" s="293"/>
      <c r="DW557" s="1198" t="s">
        <v>174</v>
      </c>
      <c r="DX557" s="293"/>
      <c r="DY557" s="293"/>
      <c r="DZ557" s="293"/>
      <c r="EA557" s="293"/>
      <c r="EB557" s="293"/>
      <c r="EC557" s="293"/>
      <c r="ED557" s="293"/>
      <c r="EE557" s="293"/>
      <c r="EF557" s="293"/>
      <c r="EG557" s="293"/>
      <c r="EH557" s="293"/>
      <c r="EI557" s="293"/>
      <c r="EJ557" s="293"/>
      <c r="EK557" s="293"/>
      <c r="EL557" s="293"/>
      <c r="EM557" s="293"/>
      <c r="EN557" s="293"/>
      <c r="EO557" s="293"/>
      <c r="EP557" s="293"/>
      <c r="EQ557" s="293"/>
      <c r="ER557" s="293"/>
      <c r="ES557" s="293"/>
      <c r="ET557" s="293"/>
      <c r="EU557" s="293"/>
      <c r="JW557"/>
    </row>
    <row r="558" spans="1:283" s="1203" customFormat="1">
      <c r="A558" s="1203" t="s">
        <v>653</v>
      </c>
      <c r="AN558" s="695">
        <f>SUM(AN556:AN557)</f>
        <v>188</v>
      </c>
      <c r="AO558" s="695">
        <f>SUM(AO556:AO557)</f>
        <v>179</v>
      </c>
      <c r="AP558" s="695">
        <f>AN558+AO558</f>
        <v>367</v>
      </c>
      <c r="AQ558" s="695"/>
      <c r="AR558" s="695">
        <f>SUM(AR556:AR557)</f>
        <v>-37</v>
      </c>
      <c r="AS558" s="695">
        <f>SUM(AS556:AS557)</f>
        <v>-35</v>
      </c>
      <c r="AT558" s="695">
        <f>AR558+AS558</f>
        <v>-72</v>
      </c>
      <c r="AU558" s="695"/>
      <c r="AV558" s="695">
        <f>SUM(AV556:AV557)</f>
        <v>137</v>
      </c>
      <c r="AW558" s="695">
        <f>SUM(AW556:AW557)</f>
        <v>124</v>
      </c>
      <c r="AX558" s="695">
        <f t="shared" si="1551"/>
        <v>261</v>
      </c>
      <c r="AY558" s="695"/>
      <c r="AZ558" s="695">
        <f>SUM(AZ556:AZ557)</f>
        <v>133.66700000000003</v>
      </c>
      <c r="BA558" s="695">
        <f>SUM(BA556:BA557)</f>
        <v>140.66669999999999</v>
      </c>
      <c r="BB558" s="695">
        <f t="shared" si="1552"/>
        <v>274.33370000000002</v>
      </c>
      <c r="BC558" s="695"/>
      <c r="BD558" s="695">
        <f>SUM(BD556:BD557)</f>
        <v>145.33329999999989</v>
      </c>
      <c r="BE558" s="695">
        <f>SUM(BE556:BE557)</f>
        <v>129.83349999999996</v>
      </c>
      <c r="BF558" s="695">
        <f t="shared" si="1553"/>
        <v>275.16679999999985</v>
      </c>
      <c r="BG558" s="695"/>
      <c r="BH558" s="695">
        <f>SUM(BH556:BH557)</f>
        <v>124</v>
      </c>
      <c r="BI558" s="695">
        <f>SUM(BI556:BI557)</f>
        <v>119</v>
      </c>
      <c r="BJ558" s="695">
        <f t="shared" si="1554"/>
        <v>243</v>
      </c>
      <c r="BK558" s="1204"/>
      <c r="BL558" s="695">
        <f>SUM(BL556:BL557)</f>
        <v>111</v>
      </c>
      <c r="BM558" s="695">
        <f>SUM(BM556:BM557)</f>
        <v>149</v>
      </c>
      <c r="BN558" s="695">
        <f t="shared" si="1555"/>
        <v>260</v>
      </c>
      <c r="BO558" s="1204"/>
      <c r="BP558" s="695">
        <f>SUM(BP556:BP557)</f>
        <v>141</v>
      </c>
      <c r="BQ558" s="695">
        <f>SUM(BQ556:BQ557)</f>
        <v>144</v>
      </c>
      <c r="BR558" s="695">
        <f t="shared" si="1556"/>
        <v>285</v>
      </c>
      <c r="BS558" s="1204"/>
      <c r="BT558" s="695">
        <f>SUM(BT556:BT557)</f>
        <v>170</v>
      </c>
      <c r="BU558" s="695">
        <f>SUM(BU556:BU557)</f>
        <v>180</v>
      </c>
      <c r="BV558" s="695">
        <f t="shared" si="1557"/>
        <v>350</v>
      </c>
      <c r="BW558" s="695"/>
      <c r="BX558" s="695">
        <f>SUM(BX556:BX557)</f>
        <v>261</v>
      </c>
      <c r="BY558" s="695">
        <f>SUM(BY556:BY557)</f>
        <v>252</v>
      </c>
      <c r="BZ558" s="695">
        <f t="shared" si="1558"/>
        <v>513</v>
      </c>
      <c r="CA558" s="695"/>
      <c r="CB558" s="695">
        <f>SUM(CB556:CB557)</f>
        <v>377</v>
      </c>
      <c r="CC558" s="695">
        <f>SUM(CC556:CC557)</f>
        <v>360</v>
      </c>
      <c r="CD558" s="695">
        <f t="shared" si="1559"/>
        <v>737</v>
      </c>
      <c r="CE558" s="1218">
        <f>+CD558/BZ558-1</f>
        <v>0.43664717348927873</v>
      </c>
      <c r="CF558" s="695">
        <f>SUM(CF556:CF557)</f>
        <v>378</v>
      </c>
      <c r="CG558" s="695">
        <f>SUM(CG556:CG557)</f>
        <v>378</v>
      </c>
      <c r="CH558" s="695">
        <f t="shared" si="1560"/>
        <v>756</v>
      </c>
      <c r="CI558" s="1218">
        <f>+CH558/CD558-1</f>
        <v>2.5780189959294431E-2</v>
      </c>
      <c r="CJ558" s="695">
        <f>SUM(CJ556:CJ557)</f>
        <v>385</v>
      </c>
      <c r="CK558" s="695">
        <f>SUM(CK556:CK557)</f>
        <v>385</v>
      </c>
      <c r="CL558" s="695">
        <f t="shared" si="1561"/>
        <v>770</v>
      </c>
      <c r="CM558" s="1218">
        <f>+CL558/CH558-1</f>
        <v>1.8518518518518601E-2</v>
      </c>
      <c r="CN558" s="695">
        <f>SUM(CN556:CN557)</f>
        <v>317</v>
      </c>
      <c r="CO558" s="695">
        <f>SUM(CO556:CO557)</f>
        <v>454</v>
      </c>
      <c r="CP558" s="695">
        <f t="shared" si="1562"/>
        <v>771</v>
      </c>
      <c r="CQ558" s="1218">
        <f>+CP558/CL558-1</f>
        <v>1.2987012987013546E-3</v>
      </c>
      <c r="CR558" s="695">
        <f>SUM(CR556:CR557)</f>
        <v>482</v>
      </c>
      <c r="CS558" s="695">
        <f>SUM(CS556:CS557)</f>
        <v>519</v>
      </c>
      <c r="CT558" s="695">
        <f t="shared" si="1563"/>
        <v>1001</v>
      </c>
      <c r="CU558" s="1218">
        <f>+CT558/CP558-1</f>
        <v>0.2983138780804151</v>
      </c>
      <c r="CV558" s="695">
        <f>SUM(CV556:CV557)</f>
        <v>580</v>
      </c>
      <c r="CW558" s="695">
        <f>SUM(CW556:CW557)</f>
        <v>620</v>
      </c>
      <c r="CX558" s="695">
        <f t="shared" si="1564"/>
        <v>1200</v>
      </c>
      <c r="CY558" s="1218">
        <f>+CX558/CT558-1</f>
        <v>0.19880119880119884</v>
      </c>
      <c r="CZ558" s="695">
        <f>SUM(CZ556:CZ557)</f>
        <v>638</v>
      </c>
      <c r="DA558" s="695">
        <f>SUM(DA556:DA557)</f>
        <v>603</v>
      </c>
      <c r="DB558" s="695">
        <f t="shared" si="1565"/>
        <v>1241</v>
      </c>
      <c r="DC558" s="1218">
        <f>+DB558/CX558-1</f>
        <v>3.4166666666666679E-2</v>
      </c>
      <c r="DD558" s="695">
        <f>SUM(DD556:DD557)</f>
        <v>650</v>
      </c>
      <c r="DE558" s="695">
        <f>SUM(DE556:DE557)</f>
        <v>730</v>
      </c>
      <c r="DF558" s="695">
        <f t="shared" si="1566"/>
        <v>1380</v>
      </c>
      <c r="DG558" s="1218">
        <f>+DF558/DB558-1</f>
        <v>0.11200644641418211</v>
      </c>
      <c r="DH558" s="695">
        <f>SUM(DH556:DH557)</f>
        <v>793</v>
      </c>
      <c r="DI558" s="695">
        <f>SUM(DI556:DI557)</f>
        <v>823.34803289003162</v>
      </c>
      <c r="DJ558" s="695">
        <f t="shared" si="1568"/>
        <v>1616.3480328900316</v>
      </c>
      <c r="DK558" s="1218">
        <f>+DJ558/DF558-1</f>
        <v>0.17126669050002286</v>
      </c>
      <c r="DL558" s="695">
        <f>SUM(DL556:DL557)</f>
        <v>929.16559824224782</v>
      </c>
      <c r="DM558" s="695">
        <f>SUM(DM556:DM557)</f>
        <v>1013.504240897023</v>
      </c>
      <c r="DN558" s="695">
        <f t="shared" si="1570"/>
        <v>1942.6698391392708</v>
      </c>
      <c r="DO558" s="1218">
        <f>+DN558/DJ558-1</f>
        <v>0.20188833073640433</v>
      </c>
      <c r="DP558" s="695">
        <f>SUM(DP556:DP557)</f>
        <v>1054.9834047162788</v>
      </c>
      <c r="DQ558" s="695">
        <f>SUM(DQ556:DQ557)</f>
        <v>1132.3322155912151</v>
      </c>
      <c r="DR558" s="695">
        <f t="shared" si="1572"/>
        <v>2187.3156203074941</v>
      </c>
      <c r="DS558" s="1218">
        <f>+DR558/DN558-1</f>
        <v>0.1259327633750762</v>
      </c>
      <c r="DT558" s="1218"/>
      <c r="DU558" s="1218"/>
      <c r="DV558" s="1218"/>
      <c r="DW558" s="1205"/>
      <c r="DX558" s="695"/>
      <c r="DY558" s="695"/>
      <c r="DZ558" s="695"/>
      <c r="EA558" s="695"/>
      <c r="EB558" s="695"/>
      <c r="EC558" s="695"/>
      <c r="ED558" s="695"/>
      <c r="EE558" s="695"/>
      <c r="EF558" s="695"/>
      <c r="EG558" s="695"/>
      <c r="EH558" s="695"/>
      <c r="EI558" s="695"/>
      <c r="EJ558" s="695"/>
      <c r="EK558" s="695"/>
      <c r="EL558" s="695"/>
      <c r="EM558" s="695"/>
      <c r="EN558" s="695"/>
      <c r="EO558" s="695"/>
      <c r="EP558" s="695"/>
      <c r="EQ558" s="695"/>
      <c r="ER558" s="695"/>
      <c r="ES558" s="695"/>
      <c r="ET558" s="695"/>
      <c r="EU558" s="695"/>
      <c r="JW558"/>
    </row>
    <row r="559" spans="1:283" s="332" customFormat="1">
      <c r="AN559" s="293"/>
      <c r="AO559" s="293"/>
      <c r="AP559" s="293"/>
      <c r="AQ559" s="293"/>
      <c r="AR559" s="293"/>
      <c r="AS559" s="293"/>
      <c r="AT559" s="293"/>
      <c r="AU559" s="293"/>
      <c r="AV559" s="293"/>
      <c r="AW559" s="293"/>
      <c r="AX559" s="293"/>
      <c r="AY559" s="293"/>
      <c r="AZ559" s="293"/>
      <c r="BA559" s="293"/>
      <c r="BB559" s="293"/>
      <c r="BC559" s="293"/>
      <c r="BD559" s="293"/>
      <c r="BE559" s="293"/>
      <c r="BF559" s="293"/>
      <c r="BG559" s="293"/>
      <c r="BH559" s="293"/>
      <c r="BI559" s="293"/>
      <c r="BJ559" s="293"/>
      <c r="BK559" s="293"/>
      <c r="BL559" s="293"/>
      <c r="BM559" s="293"/>
      <c r="BN559" s="293"/>
      <c r="BO559" s="293"/>
      <c r="BP559" s="293"/>
      <c r="BQ559" s="293"/>
      <c r="BR559" s="293"/>
      <c r="BS559" s="293"/>
      <c r="BT559" s="293"/>
      <c r="BU559" s="293"/>
      <c r="BV559" s="293"/>
      <c r="BW559" s="293"/>
      <c r="BX559" s="293"/>
      <c r="BY559" s="293"/>
      <c r="BZ559" s="293"/>
      <c r="CA559" s="293"/>
      <c r="CB559" s="293"/>
      <c r="CC559" s="293"/>
      <c r="CD559" s="293"/>
      <c r="CE559" s="293"/>
      <c r="CF559" s="293"/>
      <c r="CG559" s="293"/>
      <c r="CH559" s="293"/>
      <c r="CI559" s="293"/>
      <c r="CJ559" s="293"/>
      <c r="CK559" s="293"/>
      <c r="CL559" s="293"/>
      <c r="CM559" s="293"/>
      <c r="CN559" s="917"/>
      <c r="CO559" s="293"/>
      <c r="CP559" s="293"/>
      <c r="CQ559" s="293"/>
      <c r="CR559" s="293"/>
      <c r="CS559" s="293"/>
      <c r="CT559" s="293"/>
      <c r="CU559" s="293"/>
      <c r="CV559" s="293"/>
      <c r="CW559" s="293"/>
      <c r="CX559" s="293"/>
      <c r="CY559" s="293"/>
      <c r="CZ559" s="293"/>
      <c r="DA559" s="293"/>
      <c r="DB559" s="293"/>
      <c r="DC559" s="293"/>
      <c r="DD559" s="293"/>
      <c r="DE559" s="293"/>
      <c r="DF559" s="293"/>
      <c r="DG559" s="293"/>
      <c r="DH559" s="293"/>
      <c r="DI559" s="293"/>
      <c r="DJ559" s="293"/>
      <c r="DK559" s="293"/>
      <c r="DL559" s="293"/>
      <c r="DM559" s="293"/>
      <c r="DN559" s="293"/>
      <c r="DO559" s="293"/>
      <c r="DP559" s="293"/>
      <c r="DQ559" s="293"/>
      <c r="DR559" s="293"/>
      <c r="DS559" s="293"/>
      <c r="DT559" s="293"/>
      <c r="DU559" s="293"/>
      <c r="DV559" s="293"/>
      <c r="DW559" s="103"/>
      <c r="DX559" s="293"/>
      <c r="DY559" s="293"/>
      <c r="DZ559" s="293"/>
      <c r="EA559" s="293"/>
      <c r="EB559" s="293"/>
      <c r="EC559" s="293"/>
      <c r="ED559" s="293"/>
      <c r="EE559" s="293"/>
      <c r="EF559" s="293"/>
      <c r="EG559" s="293"/>
      <c r="EH559" s="293"/>
      <c r="EI559" s="293"/>
      <c r="EJ559" s="293"/>
      <c r="EK559" s="293"/>
      <c r="EL559" s="293"/>
      <c r="EM559" s="293"/>
      <c r="EN559" s="293"/>
      <c r="EO559" s="293"/>
      <c r="EP559" s="293"/>
      <c r="EQ559" s="293"/>
      <c r="ER559" s="293"/>
      <c r="ES559" s="293"/>
      <c r="ET559" s="293"/>
      <c r="EU559" s="293"/>
      <c r="EV559" s="293"/>
      <c r="EW559" s="293"/>
      <c r="EX559" s="293"/>
      <c r="EY559" s="293"/>
      <c r="EZ559" s="293"/>
      <c r="FA559" s="293"/>
      <c r="FB559" s="293"/>
      <c r="FC559" s="293"/>
      <c r="FD559" s="293"/>
      <c r="FE559" s="293"/>
      <c r="FF559" s="293"/>
      <c r="FG559" s="293"/>
      <c r="FH559" s="293"/>
      <c r="FI559" s="293"/>
      <c r="FJ559" s="293"/>
      <c r="FK559" s="293"/>
      <c r="FL559" s="293"/>
      <c r="FM559" s="293"/>
      <c r="FN559" s="293"/>
      <c r="FO559" s="293"/>
      <c r="FP559" s="293"/>
      <c r="FQ559" s="293"/>
      <c r="FR559" s="293"/>
      <c r="FS559" s="293"/>
      <c r="FT559" s="293"/>
      <c r="FU559" s="293"/>
      <c r="FV559" s="293"/>
      <c r="FW559" s="293"/>
      <c r="FX559" s="293"/>
      <c r="FY559" s="293"/>
      <c r="FZ559" s="293"/>
      <c r="GA559" s="293"/>
      <c r="GB559" s="293"/>
      <c r="GC559" s="293"/>
      <c r="GD559" s="293"/>
      <c r="GE559" s="293"/>
      <c r="GF559" s="293"/>
      <c r="GG559" s="293"/>
      <c r="GH559" s="293"/>
      <c r="GI559" s="293"/>
      <c r="GJ559" s="293"/>
      <c r="GK559" s="293"/>
      <c r="GL559" s="293"/>
      <c r="GM559" s="293"/>
      <c r="GN559" s="293"/>
      <c r="GO559" s="293"/>
      <c r="GP559" s="293"/>
      <c r="GQ559" s="293"/>
      <c r="GR559" s="293"/>
      <c r="GS559" s="293"/>
      <c r="GT559" s="293"/>
      <c r="GU559" s="293"/>
      <c r="GV559" s="293"/>
      <c r="GW559" s="293"/>
      <c r="GX559" s="293"/>
      <c r="GY559" s="293"/>
      <c r="GZ559" s="293"/>
      <c r="HA559" s="293"/>
      <c r="HB559" s="293"/>
      <c r="HC559" s="293"/>
      <c r="HD559" s="293"/>
      <c r="HE559" s="293"/>
      <c r="HF559" s="293"/>
      <c r="HG559" s="293"/>
      <c r="HH559" s="293"/>
      <c r="HI559" s="293"/>
      <c r="HJ559" s="293"/>
      <c r="HK559" s="293"/>
      <c r="HL559" s="293"/>
      <c r="HM559" s="293"/>
      <c r="HN559" s="293"/>
      <c r="HO559" s="293"/>
      <c r="HP559" s="293"/>
      <c r="HQ559" s="293"/>
      <c r="HR559" s="293"/>
      <c r="HS559" s="293"/>
      <c r="HT559" s="293"/>
      <c r="HU559" s="293"/>
      <c r="HV559" s="293"/>
      <c r="HW559" s="293"/>
      <c r="HX559" s="293"/>
      <c r="HY559" s="293"/>
      <c r="HZ559" s="293"/>
      <c r="IA559" s="293"/>
      <c r="IB559" s="293"/>
      <c r="IC559" s="293"/>
      <c r="ID559" s="293"/>
      <c r="IE559" s="293"/>
      <c r="IF559" s="293"/>
      <c r="IG559" s="293"/>
      <c r="IH559" s="293"/>
      <c r="II559" s="293"/>
      <c r="IJ559" s="293"/>
      <c r="IK559" s="293"/>
      <c r="IL559" s="293"/>
      <c r="IM559" s="293"/>
      <c r="IN559" s="293"/>
      <c r="IO559" s="293"/>
      <c r="IP559" s="293"/>
      <c r="IQ559" s="293"/>
      <c r="IR559" s="293"/>
      <c r="IS559" s="293"/>
      <c r="IT559" s="293"/>
      <c r="IU559" s="293"/>
      <c r="IV559" s="293"/>
      <c r="IW559" s="293"/>
      <c r="IX559" s="293"/>
      <c r="IY559" s="293"/>
      <c r="IZ559" s="293"/>
      <c r="JA559" s="293"/>
      <c r="JB559" s="293"/>
      <c r="JC559" s="293"/>
      <c r="JD559" s="293"/>
      <c r="JE559" s="293"/>
      <c r="JF559" s="293"/>
      <c r="JG559" s="293"/>
      <c r="JH559" s="293"/>
      <c r="JI559" s="293"/>
      <c r="JJ559" s="293"/>
      <c r="JK559" s="293"/>
      <c r="JL559" s="293"/>
      <c r="JM559" s="293"/>
      <c r="JN559" s="293"/>
      <c r="JO559" s="293"/>
      <c r="JP559" s="293"/>
      <c r="JQ559" s="293"/>
      <c r="JR559" s="293"/>
      <c r="JS559" s="293"/>
      <c r="JT559" s="293"/>
      <c r="JU559" s="293"/>
      <c r="JV559" s="293"/>
      <c r="JW559"/>
    </row>
    <row r="560" spans="1:283" s="332" customFormat="1">
      <c r="A560" s="1092" t="s">
        <v>835</v>
      </c>
      <c r="AN560" s="293"/>
      <c r="AO560" s="293"/>
      <c r="AP560" s="293"/>
      <c r="AQ560" s="293"/>
      <c r="AR560" s="293"/>
      <c r="AS560" s="293"/>
      <c r="AT560" s="293"/>
      <c r="AU560" s="293"/>
      <c r="AV560" s="293"/>
      <c r="AW560" s="293"/>
      <c r="AX560" s="293"/>
      <c r="AY560" s="293"/>
      <c r="AZ560" s="293"/>
      <c r="BA560" s="293"/>
      <c r="BB560" s="293"/>
      <c r="BC560" s="293"/>
      <c r="BD560" s="293"/>
      <c r="BE560" s="293"/>
      <c r="BF560" s="293"/>
      <c r="BG560" s="293"/>
      <c r="BH560" s="293"/>
      <c r="BI560" s="293"/>
      <c r="BJ560" s="293"/>
      <c r="BK560" s="293"/>
      <c r="BL560" s="293"/>
      <c r="BM560" s="293"/>
      <c r="BN560" s="293"/>
      <c r="BO560" s="293"/>
      <c r="BP560" s="293"/>
      <c r="BQ560" s="293"/>
      <c r="BR560" s="293"/>
      <c r="BS560" s="293"/>
      <c r="BT560" s="293"/>
      <c r="BU560" s="293"/>
      <c r="BV560" s="293"/>
      <c r="BW560" s="293"/>
      <c r="BX560" s="293"/>
      <c r="BY560" s="293"/>
      <c r="BZ560" s="293"/>
      <c r="CA560" s="293"/>
      <c r="CB560" s="293"/>
      <c r="CC560" s="293"/>
      <c r="CD560" s="293"/>
      <c r="CE560" s="293"/>
      <c r="CF560" s="293"/>
      <c r="CG560" s="293"/>
      <c r="CH560" s="293"/>
      <c r="CI560" s="293"/>
      <c r="CJ560" s="293"/>
      <c r="CK560" s="293"/>
      <c r="CL560" s="293"/>
      <c r="CM560" s="293"/>
      <c r="CN560" s="293"/>
      <c r="CO560" s="293"/>
      <c r="CP560" s="293"/>
      <c r="CQ560" s="293"/>
      <c r="CR560" s="293"/>
      <c r="CS560" s="293"/>
      <c r="CT560" s="293"/>
      <c r="CU560" s="293"/>
      <c r="CV560" s="293"/>
      <c r="CW560" s="293"/>
      <c r="CX560" s="293"/>
      <c r="CY560" s="293"/>
      <c r="CZ560" s="293"/>
      <c r="DA560" s="293"/>
      <c r="DB560" s="293"/>
      <c r="DC560" s="293"/>
      <c r="DD560" s="293"/>
      <c r="DE560" s="293"/>
      <c r="DF560" s="293"/>
      <c r="DG560" s="293"/>
      <c r="DH560" s="293"/>
      <c r="DI560" s="293"/>
      <c r="DJ560" s="293"/>
      <c r="DK560" s="293"/>
      <c r="DL560" s="293"/>
      <c r="DM560" s="293"/>
      <c r="DN560" s="293"/>
      <c r="DO560" s="293"/>
      <c r="DP560" s="293"/>
      <c r="DQ560" s="293"/>
      <c r="DR560" s="293"/>
      <c r="DS560" s="293"/>
      <c r="DT560" s="293"/>
      <c r="DU560" s="293"/>
      <c r="DV560" s="293"/>
      <c r="DW560" s="293"/>
      <c r="DX560" s="293"/>
      <c r="DY560" s="293"/>
      <c r="DZ560" s="293"/>
      <c r="EA560" s="293"/>
      <c r="EB560" s="293"/>
      <c r="EC560" s="293"/>
      <c r="ED560" s="293"/>
      <c r="EE560" s="293"/>
      <c r="EF560" s="293"/>
      <c r="EG560" s="293"/>
      <c r="EH560" s="293"/>
      <c r="EI560" s="293"/>
      <c r="EJ560" s="293"/>
      <c r="EK560" s="293"/>
      <c r="EL560" s="293"/>
      <c r="EM560" s="293"/>
      <c r="EN560" s="293"/>
      <c r="EO560" s="293"/>
      <c r="EP560" s="293"/>
      <c r="EQ560" s="293"/>
      <c r="ER560" s="293"/>
      <c r="ES560" s="293"/>
      <c r="ET560" s="293"/>
      <c r="EU560" s="293"/>
      <c r="JW560"/>
    </row>
    <row r="561" spans="1:283" s="332" customFormat="1">
      <c r="A561" s="1079" t="str">
        <f>+A550</f>
        <v>Total operating income</v>
      </c>
      <c r="AN561" s="293"/>
      <c r="AO561" s="293"/>
      <c r="AP561" s="293"/>
      <c r="AQ561" s="293"/>
      <c r="AR561" s="293"/>
      <c r="AS561" s="293"/>
      <c r="AT561" s="293"/>
      <c r="AU561" s="293"/>
      <c r="AV561" s="294"/>
      <c r="AW561" s="294"/>
      <c r="AX561" s="294"/>
      <c r="AY561" s="293"/>
      <c r="AZ561" s="294">
        <f>AZ550/AV550-1</f>
        <v>0.24149659863945572</v>
      </c>
      <c r="BA561" s="294">
        <f>BA550/AW550-1</f>
        <v>0.15233785822021106</v>
      </c>
      <c r="BB561" s="294">
        <f>BB550/AX550-1</f>
        <v>0.19424460431654667</v>
      </c>
      <c r="BC561" s="293"/>
      <c r="BD561" s="294">
        <f>BD550/AZ550-1</f>
        <v>-3.5164383561643975E-2</v>
      </c>
      <c r="BE561" s="294">
        <f>BE550/BA550-1</f>
        <v>-0.12696335078534027</v>
      </c>
      <c r="BF561" s="294">
        <f>BF550/BB550-1</f>
        <v>-8.2108433734939812E-2</v>
      </c>
      <c r="BG561" s="331"/>
      <c r="BH561" s="294">
        <f>BH550/BD550-1</f>
        <v>-7.0038192324620496E-2</v>
      </c>
      <c r="BI561" s="294">
        <f>BI550/BE550-1</f>
        <v>-4.6476761619190454E-2</v>
      </c>
      <c r="BJ561" s="294">
        <f>BJ550/BF550-1</f>
        <v>-5.8578168639204176E-2</v>
      </c>
      <c r="BK561" s="293"/>
      <c r="BL561" s="294">
        <f>BL550/BH550-1</f>
        <v>1.8320610687022842E-2</v>
      </c>
      <c r="BM561" s="294">
        <f>BM550/BI550-1</f>
        <v>2.6729559748427612E-2</v>
      </c>
      <c r="BN561" s="294">
        <f>BN550/BJ550-1</f>
        <v>2.2463206816421444E-2</v>
      </c>
      <c r="BO561" s="293"/>
      <c r="BP561" s="294">
        <f>BP550/BL550-1</f>
        <v>-2.9985007496251548E-3</v>
      </c>
      <c r="BQ561" s="294">
        <f>BQ550/BM550-1</f>
        <v>4.1347626339969468E-2</v>
      </c>
      <c r="BR561" s="294">
        <f>BR550/BN550-1</f>
        <v>1.8939393939394034E-2</v>
      </c>
      <c r="BS561" s="293"/>
      <c r="BT561" s="294">
        <f>BT550/BP550-1</f>
        <v>0.10676691729323307</v>
      </c>
      <c r="BU561" s="294">
        <f>BU550/BQ550-1</f>
        <v>7.0588235294117618E-2</v>
      </c>
      <c r="BV561" s="294">
        <f>BV550/BR550-1</f>
        <v>8.8475836431226806E-2</v>
      </c>
      <c r="BW561" s="293"/>
      <c r="BX561" s="294">
        <f>BX550/BT550-1</f>
        <v>0.19429347826086962</v>
      </c>
      <c r="BY561" s="294">
        <f>BY550/BU550-1</f>
        <v>5.6318681318681341E-2</v>
      </c>
      <c r="BZ561" s="294">
        <f>BZ550/BV550-1</f>
        <v>0.12568306010928953</v>
      </c>
      <c r="CA561" s="293"/>
      <c r="CB561" s="294">
        <f>CB550/BX550-1</f>
        <v>0.15358361774744034</v>
      </c>
      <c r="CC561" s="294">
        <f>CC550/BY550-1</f>
        <v>0.31599479843953193</v>
      </c>
      <c r="CD561" s="294">
        <f>CD550/BZ550-1</f>
        <v>0.22936893203883502</v>
      </c>
      <c r="CE561" s="293"/>
      <c r="CF561" s="294">
        <f>CF550/CB550-1</f>
        <v>3.6489151873767334E-2</v>
      </c>
      <c r="CG561" s="294">
        <f>CG550/CC550-1</f>
        <v>3.9525691699604737E-2</v>
      </c>
      <c r="CH561" s="294">
        <f>CH550/CD550-1</f>
        <v>3.8005923000987263E-2</v>
      </c>
      <c r="CI561" s="293"/>
      <c r="CJ561" s="294">
        <f>CJ550/CF550-1</f>
        <v>-2.8544243577545148E-2</v>
      </c>
      <c r="CK561" s="294">
        <f>CK550/CG550-1</f>
        <v>-3.4220532319391594E-2</v>
      </c>
      <c r="CL561" s="294">
        <f>CL550/CH550-1</f>
        <v>-3.1383737517831634E-2</v>
      </c>
      <c r="CM561" s="293"/>
      <c r="CN561" s="294">
        <f>CN550/CJ550-1</f>
        <v>-3.5259549461312489E-2</v>
      </c>
      <c r="CO561" s="294">
        <f>CO550/CK550-1</f>
        <v>7.5787401574803237E-2</v>
      </c>
      <c r="CP561" s="294">
        <f>CP550/CL550-1</f>
        <v>2.0127638684339644E-2</v>
      </c>
      <c r="CQ561" s="293"/>
      <c r="CR561" s="294">
        <f>CR550/CN550-1</f>
        <v>0.18071065989847712</v>
      </c>
      <c r="CS561" s="294">
        <f>CS550/CO550-1</f>
        <v>0.18755718206770355</v>
      </c>
      <c r="CT561" s="294">
        <f>CT550/CP550-1</f>
        <v>0.18431183830606357</v>
      </c>
      <c r="CU561" s="293"/>
      <c r="CV561" s="294">
        <f>CV550/CR550-1</f>
        <v>0.22355975924333626</v>
      </c>
      <c r="CW561" s="294">
        <f>CW550/CS550-1</f>
        <v>0.18412942989214165</v>
      </c>
      <c r="CX561" s="294">
        <f>CX550/CT550-1</f>
        <v>0.20276310442909384</v>
      </c>
      <c r="CY561" s="293"/>
      <c r="CZ561" s="294">
        <f>CZ550/CV550-1</f>
        <v>0.13070976809557266</v>
      </c>
      <c r="DA561" s="294">
        <f>DA550/CW550-1</f>
        <v>4.0988939492517806E-2</v>
      </c>
      <c r="DB561" s="294">
        <f>DB550/CX550-1</f>
        <v>8.4121621621621623E-2</v>
      </c>
      <c r="DC561" s="293"/>
      <c r="DD561" s="294">
        <f>DD550/CZ550-1</f>
        <v>-1.429459291485391E-2</v>
      </c>
      <c r="DE561" s="294">
        <f>DE550/DA550-1</f>
        <v>3.1875000000000098E-2</v>
      </c>
      <c r="DF561" s="294">
        <f>DF550/DB550-1</f>
        <v>8.725459644749245E-3</v>
      </c>
      <c r="DG561" s="293"/>
      <c r="DH561" s="294">
        <f>DH550/DD550-1</f>
        <v>0.10844892812105922</v>
      </c>
      <c r="DI561" s="294">
        <f>DI550/DE550-1</f>
        <v>7.1087966620249299E-2</v>
      </c>
      <c r="DJ561" s="294">
        <f>DJ550/DF550-1</f>
        <v>8.9393337315425425E-2</v>
      </c>
      <c r="DK561" s="293"/>
      <c r="DL561" s="294">
        <f>DL550/DH550-1</f>
        <v>9.6386375564418536E-2</v>
      </c>
      <c r="DM561" s="294">
        <f>DM550/DI550-1</f>
        <v>0.12498094054068898</v>
      </c>
      <c r="DN561" s="294">
        <f>DN550/DJ550-1</f>
        <v>0.11072568685789563</v>
      </c>
      <c r="DO561" s="293"/>
      <c r="DP561" s="294">
        <f>DP550/DL550-1</f>
        <v>8.219410057448151E-2</v>
      </c>
      <c r="DQ561" s="294">
        <f>DQ550/DM550-1</f>
        <v>7.577967944345132E-2</v>
      </c>
      <c r="DR561" s="294">
        <f>DR550/DN550-1</f>
        <v>7.8936179057965017E-2</v>
      </c>
      <c r="DS561" s="293"/>
      <c r="DT561" s="293"/>
      <c r="DU561" s="293"/>
      <c r="DV561" s="293"/>
      <c r="DW561" s="294"/>
      <c r="DX561" s="294"/>
      <c r="DY561" s="294"/>
      <c r="DZ561" s="293"/>
      <c r="EA561" s="294"/>
      <c r="EB561" s="294"/>
      <c r="EC561" s="294"/>
      <c r="ED561" s="293"/>
      <c r="EE561" s="294"/>
      <c r="EF561" s="294"/>
      <c r="EG561" s="294"/>
      <c r="EH561" s="293"/>
      <c r="EI561" s="294"/>
      <c r="EJ561" s="294"/>
      <c r="EK561" s="294"/>
      <c r="EL561" s="293"/>
      <c r="EM561" s="293"/>
      <c r="EN561" s="293"/>
      <c r="EO561" s="293"/>
      <c r="EP561" s="293"/>
      <c r="EQ561" s="293"/>
      <c r="ER561" s="293"/>
      <c r="ES561" s="293"/>
      <c r="ET561" s="293"/>
      <c r="EU561" s="293"/>
      <c r="JW561"/>
    </row>
    <row r="562" spans="1:283" s="332" customFormat="1">
      <c r="A562" s="1079" t="str">
        <f>A555</f>
        <v>Total operating expenses</v>
      </c>
      <c r="AN562" s="293"/>
      <c r="AO562" s="293"/>
      <c r="AP562" s="293"/>
      <c r="AQ562" s="293"/>
      <c r="AR562" s="293"/>
      <c r="AS562" s="293"/>
      <c r="AT562" s="293"/>
      <c r="AU562" s="293"/>
      <c r="AV562" s="294"/>
      <c r="AW562" s="294"/>
      <c r="AX562" s="294"/>
      <c r="AY562" s="293"/>
      <c r="AZ562" s="294">
        <f t="shared" ref="AZ562:BB563" si="1579">AZ555/AV555-1</f>
        <v>0.31993973214285698</v>
      </c>
      <c r="BA562" s="294">
        <f t="shared" si="1579"/>
        <v>0.16293526119402979</v>
      </c>
      <c r="BB562" s="294">
        <f t="shared" si="1579"/>
        <v>0.2344169715447153</v>
      </c>
      <c r="BC562" s="293"/>
      <c r="BD562" s="294">
        <f t="shared" ref="BD562:BF563" si="1580">BD555/AZ555-1</f>
        <v>-5.4683739957012256E-2</v>
      </c>
      <c r="BE562" s="294">
        <f t="shared" si="1580"/>
        <v>-0.13823551541366386</v>
      </c>
      <c r="BF562" s="294">
        <f t="shared" si="1580"/>
        <v>-9.7560210569767158E-2</v>
      </c>
      <c r="BG562" s="331"/>
      <c r="BH562" s="294">
        <f t="shared" ref="BH562:BJ563" si="1581">BH555/BD555-1</f>
        <v>-5.008383770422975E-2</v>
      </c>
      <c r="BI562" s="294">
        <f t="shared" si="1581"/>
        <v>-3.7542363494372899E-2</v>
      </c>
      <c r="BJ562" s="294">
        <f t="shared" si="1581"/>
        <v>-4.393798295728224E-2</v>
      </c>
      <c r="BK562" s="293"/>
      <c r="BL562" s="294">
        <f t="shared" ref="BL562:BP563" si="1582">BL555/BH555-1</f>
        <v>4.7080979284369162E-2</v>
      </c>
      <c r="BM562" s="294">
        <f t="shared" si="1582"/>
        <v>-2.5145067698259194E-2</v>
      </c>
      <c r="BN562" s="294">
        <f t="shared" si="1582"/>
        <v>1.1450381679389388E-2</v>
      </c>
      <c r="BO562" s="293"/>
      <c r="BP562" s="294">
        <f t="shared" si="1582"/>
        <v>-5.7553956834532349E-2</v>
      </c>
      <c r="BQ562" s="294">
        <f>BQ555/BM555-1</f>
        <v>6.3492063492063489E-2</v>
      </c>
      <c r="BR562" s="294">
        <f>BR555/BN555-1</f>
        <v>0</v>
      </c>
      <c r="BS562" s="293"/>
      <c r="BT562" s="294">
        <f t="shared" ref="BT562:BX563" si="1583">BT555/BP555-1</f>
        <v>8.0152671755725269E-2</v>
      </c>
      <c r="BU562" s="294">
        <f t="shared" si="1583"/>
        <v>2.2388059701492491E-2</v>
      </c>
      <c r="BV562" s="294">
        <f t="shared" si="1583"/>
        <v>5.0943396226415194E-2</v>
      </c>
      <c r="BW562" s="293"/>
      <c r="BX562" s="294">
        <f t="shared" si="1583"/>
        <v>9.1872791519434616E-2</v>
      </c>
      <c r="BY562" s="294">
        <f>BY555/BU555-1</f>
        <v>-5.6569343065693389E-2</v>
      </c>
      <c r="BZ562" s="294">
        <f>BZ555/BV555-1</f>
        <v>1.8850987432674993E-2</v>
      </c>
      <c r="CA562" s="293"/>
      <c r="CB562" s="294">
        <f t="shared" ref="CB562:CB563" si="1584">CB555/BX555-1</f>
        <v>3.07443365695792E-2</v>
      </c>
      <c r="CC562" s="294">
        <f>CC555/BY555-1</f>
        <v>0.26112185686653766</v>
      </c>
      <c r="CD562" s="294">
        <f>CD555/BZ555-1</f>
        <v>0.13568281938325999</v>
      </c>
      <c r="CE562" s="293"/>
      <c r="CF562" s="294">
        <f t="shared" ref="CF562:CF563" si="1585">CF555/CB555-1</f>
        <v>5.6514913657770727E-2</v>
      </c>
      <c r="CG562" s="294">
        <f>CG555/CC555-1</f>
        <v>3.3742331288343586E-2</v>
      </c>
      <c r="CH562" s="294">
        <f>CH555/CD555-1</f>
        <v>4.4996121024049707E-2</v>
      </c>
      <c r="CI562" s="293"/>
      <c r="CJ562" s="294">
        <f t="shared" ref="CJ562:CJ563" si="1586">CJ555/CF555-1</f>
        <v>-5.4977711738484425E-2</v>
      </c>
      <c r="CK562" s="294">
        <f>CK555/CG555-1</f>
        <v>-6.3798219584569771E-2</v>
      </c>
      <c r="CL562" s="294">
        <f>CL555/CH555-1</f>
        <v>-5.9391239792130679E-2</v>
      </c>
      <c r="CM562" s="293"/>
      <c r="CN562" s="294">
        <f t="shared" ref="CN562:CN563" si="1587">CN555/CJ555-1</f>
        <v>5.031446540880502E-2</v>
      </c>
      <c r="CO562" s="294">
        <f>CO555/CK555-1</f>
        <v>1.267828843106189E-2</v>
      </c>
      <c r="CP562" s="294">
        <f>CP555/CL555-1</f>
        <v>3.1570639305446013E-2</v>
      </c>
      <c r="CQ562" s="293"/>
      <c r="CR562" s="294">
        <f t="shared" ref="CR562:CR563" si="1588">CR555/CN555-1</f>
        <v>1.9461077844311392E-2</v>
      </c>
      <c r="CS562" s="294">
        <f t="shared" ref="CS562:CS563" si="1589">CS555/CO555-1</f>
        <v>0.21909233176838816</v>
      </c>
      <c r="CT562" s="294">
        <f t="shared" ref="CT562:CT563" si="1590">CT555/CP555-1</f>
        <v>0.11706197398622797</v>
      </c>
      <c r="CU562" s="293"/>
      <c r="CV562" s="294">
        <f t="shared" ref="CV562:CV563" si="1591">CV555/CR555-1</f>
        <v>0.23788546255506615</v>
      </c>
      <c r="CW562" s="294">
        <f t="shared" ref="CW562:CW563" si="1592">CW555/CS555-1</f>
        <v>0.17715019255455711</v>
      </c>
      <c r="CX562" s="294">
        <f t="shared" ref="CX562:CX563" si="1593">CX555/CT555-1</f>
        <v>0.20547945205479445</v>
      </c>
      <c r="CY562" s="293"/>
      <c r="CZ562" s="294">
        <f t="shared" ref="CZ562:CZ563" si="1594">CZ555/CV555-1</f>
        <v>0.1518386714116251</v>
      </c>
      <c r="DA562" s="294">
        <f t="shared" ref="DA562:DA563" si="1595">DA555/CW555-1</f>
        <v>8.7241003271537609E-2</v>
      </c>
      <c r="DB562" s="294">
        <f t="shared" ref="DB562:DB563" si="1596">DB555/CX555-1</f>
        <v>0.11818181818181817</v>
      </c>
      <c r="DC562" s="293"/>
      <c r="DD562" s="294">
        <f t="shared" ref="DD562:DD563" si="1597">DD555/CZ555-1</f>
        <v>-3.6045314109165782E-2</v>
      </c>
      <c r="DE562" s="294">
        <f t="shared" ref="DE562:DE563" si="1598">DE555/DA555-1</f>
        <v>-7.6228686058174566E-2</v>
      </c>
      <c r="DF562" s="294">
        <f t="shared" ref="DF562:DF563" si="1599">DF555/DB555-1</f>
        <v>-5.6402439024390238E-2</v>
      </c>
      <c r="DG562" s="293"/>
      <c r="DH562" s="294">
        <f t="shared" ref="DH562:DH563" si="1600">DH555/DD555-1</f>
        <v>3.0982905982905873E-2</v>
      </c>
      <c r="DI562" s="294">
        <f t="shared" ref="DI562:DI563" si="1601">DI555/DE555-1</f>
        <v>2.6078393051031545E-2</v>
      </c>
      <c r="DJ562" s="294">
        <f t="shared" ref="DJ562:DJ563" si="1602">DJ555/DF555-1</f>
        <v>2.855045772751752E-2</v>
      </c>
      <c r="DK562" s="293"/>
      <c r="DL562" s="294">
        <f t="shared" ref="DL562:DL563" si="1603">DL555/DH555-1</f>
        <v>3.4488756476684035E-2</v>
      </c>
      <c r="DM562" s="294">
        <f t="shared" ref="DM562:DM563" si="1604">DM555/DI555-1</f>
        <v>3.2651082275452437E-2</v>
      </c>
      <c r="DN562" s="294">
        <f t="shared" ref="DN562:DN563" si="1605">DN555/DJ555-1</f>
        <v>3.3579531859958323E-2</v>
      </c>
      <c r="DO562" s="293"/>
      <c r="DP562" s="294">
        <f t="shared" ref="DP562:DP563" si="1606">DP555/DL555-1</f>
        <v>3.2663113160499302E-2</v>
      </c>
      <c r="DQ562" s="294">
        <f t="shared" ref="DQ562:DQ563" si="1607">DQ555/DM555-1</f>
        <v>3.2715774350011495E-2</v>
      </c>
      <c r="DR562" s="294">
        <f t="shared" ref="DR562:DR563" si="1608">DR555/DN555-1</f>
        <v>3.2689144890792887E-2</v>
      </c>
      <c r="DS562" s="293"/>
      <c r="DT562" s="293"/>
      <c r="DU562" s="293"/>
      <c r="DV562" s="293"/>
      <c r="DW562" s="294"/>
      <c r="DX562" s="294"/>
      <c r="DY562" s="294"/>
      <c r="DZ562" s="293"/>
      <c r="EA562" s="294"/>
      <c r="EB562" s="294"/>
      <c r="EC562" s="294"/>
      <c r="ED562" s="293"/>
      <c r="EE562" s="294"/>
      <c r="EF562" s="294"/>
      <c r="EG562" s="294"/>
      <c r="EH562" s="293"/>
      <c r="EI562" s="294"/>
      <c r="EJ562" s="294"/>
      <c r="EK562" s="294"/>
      <c r="EL562" s="293"/>
      <c r="EM562" s="293"/>
      <c r="EN562" s="293"/>
      <c r="EO562" s="293"/>
      <c r="EP562" s="293"/>
      <c r="EQ562" s="293"/>
      <c r="ER562" s="293"/>
      <c r="ES562" s="293"/>
      <c r="ET562" s="293"/>
      <c r="EU562" s="293"/>
      <c r="JW562"/>
    </row>
    <row r="563" spans="1:283" s="332" customFormat="1">
      <c r="A563" s="1079" t="str">
        <f>A556</f>
        <v>Profit before tax</v>
      </c>
      <c r="AN563" s="293"/>
      <c r="AO563" s="293"/>
      <c r="AP563" s="293"/>
      <c r="AQ563" s="293"/>
      <c r="AR563" s="293"/>
      <c r="AS563" s="293"/>
      <c r="AT563" s="293"/>
      <c r="AU563" s="293"/>
      <c r="AV563" s="294"/>
      <c r="AW563" s="294"/>
      <c r="AX563" s="294"/>
      <c r="AY563" s="293"/>
      <c r="AZ563" s="294">
        <f t="shared" si="1579"/>
        <v>-9.5214285714283475E-3</v>
      </c>
      <c r="BA563" s="294">
        <f t="shared" si="1579"/>
        <v>0.10761181102362194</v>
      </c>
      <c r="BB563" s="294">
        <f t="shared" si="1579"/>
        <v>4.6193632958801523E-2</v>
      </c>
      <c r="BC563" s="293"/>
      <c r="BD563" s="294">
        <f t="shared" si="1580"/>
        <v>4.8074163283260418E-2</v>
      </c>
      <c r="BE563" s="294">
        <f t="shared" si="1580"/>
        <v>-7.7013251892594559E-2</v>
      </c>
      <c r="BF563" s="294">
        <f t="shared" si="1580"/>
        <v>-1.4917283521466151E-2</v>
      </c>
      <c r="BG563" s="331"/>
      <c r="BH563" s="294">
        <f t="shared" si="1581"/>
        <v>-0.14678879513504417</v>
      </c>
      <c r="BI563" s="294">
        <f t="shared" si="1581"/>
        <v>-8.3441484670751076E-2</v>
      </c>
      <c r="BJ563" s="294">
        <f t="shared" si="1581"/>
        <v>-0.11689927709302095</v>
      </c>
      <c r="BK563" s="293"/>
      <c r="BL563" s="294">
        <f t="shared" si="1582"/>
        <v>-0.10483870967741937</v>
      </c>
      <c r="BM563" s="294">
        <f t="shared" si="1582"/>
        <v>0.25210084033613445</v>
      </c>
      <c r="BN563" s="294">
        <f t="shared" si="1582"/>
        <v>6.9958847736625529E-2</v>
      </c>
      <c r="BO563" s="293"/>
      <c r="BP563" s="294">
        <f t="shared" si="1582"/>
        <v>0.27027027027027017</v>
      </c>
      <c r="BQ563" s="294">
        <f>BQ556/BM556-1</f>
        <v>-3.3557046979865723E-2</v>
      </c>
      <c r="BR563" s="294">
        <f>BR556/BN556-1</f>
        <v>9.6153846153846256E-2</v>
      </c>
      <c r="BS563" s="293"/>
      <c r="BT563" s="294">
        <f t="shared" si="1583"/>
        <v>0.20567375886524819</v>
      </c>
      <c r="BU563" s="294">
        <f t="shared" si="1583"/>
        <v>0.25</v>
      </c>
      <c r="BV563" s="294">
        <f t="shared" si="1583"/>
        <v>0.22807017543859653</v>
      </c>
      <c r="BW563" s="293"/>
      <c r="BX563" s="294">
        <f t="shared" si="1583"/>
        <v>0.53529411764705892</v>
      </c>
      <c r="BY563" s="294">
        <f>BY556/BU556-1</f>
        <v>0.39999999999999991</v>
      </c>
      <c r="BZ563" s="294">
        <f>BZ556/BV556-1</f>
        <v>0.46571428571428575</v>
      </c>
      <c r="CA563" s="293"/>
      <c r="CB563" s="294">
        <f t="shared" si="1584"/>
        <v>0.44444444444444442</v>
      </c>
      <c r="CC563" s="294">
        <f>CC556/BY556-1</f>
        <v>0.4285714285714286</v>
      </c>
      <c r="CD563" s="294">
        <f>CD556/BZ556-1</f>
        <v>0.43664717348927873</v>
      </c>
      <c r="CE563" s="293"/>
      <c r="CF563" s="294">
        <f t="shared" si="1585"/>
        <v>2.6525198938991412E-3</v>
      </c>
      <c r="CG563" s="294">
        <f>CG556/CC556-1</f>
        <v>5.0000000000000044E-2</v>
      </c>
      <c r="CH563" s="294">
        <f>CH556/CD556-1</f>
        <v>2.5780189959294431E-2</v>
      </c>
      <c r="CI563" s="293"/>
      <c r="CJ563" s="294">
        <f t="shared" si="1586"/>
        <v>1.8518518518518601E-2</v>
      </c>
      <c r="CK563" s="294">
        <f>CK556/CG556-1</f>
        <v>1.8518518518518601E-2</v>
      </c>
      <c r="CL563" s="294">
        <f>CL556/CH556-1</f>
        <v>1.8518518518518601E-2</v>
      </c>
      <c r="CM563" s="293"/>
      <c r="CN563" s="294">
        <f t="shared" si="1587"/>
        <v>-0.17662337662337657</v>
      </c>
      <c r="CO563" s="294">
        <f>CO556/CK556-1</f>
        <v>0.17922077922077917</v>
      </c>
      <c r="CP563" s="294">
        <f>CP556/CL556-1</f>
        <v>1.2987012987013546E-3</v>
      </c>
      <c r="CQ563" s="293"/>
      <c r="CR563" s="294">
        <f t="shared" si="1588"/>
        <v>0.52050473186119883</v>
      </c>
      <c r="CS563" s="294">
        <f t="shared" si="1589"/>
        <v>0.14317180616740077</v>
      </c>
      <c r="CT563" s="294">
        <f t="shared" si="1590"/>
        <v>0.2983138780804151</v>
      </c>
      <c r="CU563" s="293"/>
      <c r="CV563" s="294">
        <f t="shared" si="1591"/>
        <v>0.20331950207468874</v>
      </c>
      <c r="CW563" s="294">
        <f t="shared" si="1592"/>
        <v>0.19460500963391136</v>
      </c>
      <c r="CX563" s="294">
        <f t="shared" si="1593"/>
        <v>0.19880119880119884</v>
      </c>
      <c r="CY563" s="293"/>
      <c r="CZ563" s="294">
        <f t="shared" si="1594"/>
        <v>0.10000000000000009</v>
      </c>
      <c r="DA563" s="294">
        <f t="shared" si="1595"/>
        <v>-2.741935483870972E-2</v>
      </c>
      <c r="DB563" s="294">
        <f t="shared" si="1596"/>
        <v>3.4166666666666679E-2</v>
      </c>
      <c r="DC563" s="293"/>
      <c r="DD563" s="294">
        <f t="shared" si="1597"/>
        <v>1.8808777429467183E-2</v>
      </c>
      <c r="DE563" s="294">
        <f t="shared" si="1598"/>
        <v>0.21061359867330021</v>
      </c>
      <c r="DF563" s="294">
        <f t="shared" si="1599"/>
        <v>0.11200644641418211</v>
      </c>
      <c r="DG563" s="293"/>
      <c r="DH563" s="294">
        <f t="shared" si="1600"/>
        <v>0.21999999999999997</v>
      </c>
      <c r="DI563" s="294">
        <f t="shared" si="1601"/>
        <v>0.12787401765757767</v>
      </c>
      <c r="DJ563" s="294">
        <f t="shared" si="1602"/>
        <v>0.17126669050002286</v>
      </c>
      <c r="DK563" s="293"/>
      <c r="DL563" s="294">
        <f t="shared" si="1603"/>
        <v>0.17170945553877415</v>
      </c>
      <c r="DM563" s="294">
        <f t="shared" si="1604"/>
        <v>0.23095483369228997</v>
      </c>
      <c r="DN563" s="294">
        <f t="shared" si="1605"/>
        <v>0.20188833073640433</v>
      </c>
      <c r="DO563" s="293"/>
      <c r="DP563" s="294">
        <f t="shared" si="1606"/>
        <v>0.135409454151173</v>
      </c>
      <c r="DQ563" s="294">
        <f t="shared" si="1607"/>
        <v>0.11724467436763852</v>
      </c>
      <c r="DR563" s="294">
        <f t="shared" si="1608"/>
        <v>0.1259327633750762</v>
      </c>
      <c r="DS563" s="293"/>
      <c r="DT563" s="293"/>
      <c r="DU563" s="293"/>
      <c r="DV563" s="293"/>
      <c r="DW563" s="294"/>
      <c r="DX563" s="294"/>
      <c r="DY563" s="294"/>
      <c r="DZ563" s="293"/>
      <c r="EA563" s="294"/>
      <c r="EB563" s="294"/>
      <c r="EC563" s="294"/>
      <c r="ED563" s="293"/>
      <c r="EE563" s="294"/>
      <c r="EF563" s="294"/>
      <c r="EG563" s="294"/>
      <c r="EH563" s="293"/>
      <c r="EI563" s="294"/>
      <c r="EJ563" s="294"/>
      <c r="EK563" s="294"/>
      <c r="EL563" s="293"/>
      <c r="EM563" s="293"/>
      <c r="EN563" s="293"/>
      <c r="EO563" s="293"/>
      <c r="EP563" s="293"/>
      <c r="EQ563" s="293"/>
      <c r="ER563" s="293"/>
      <c r="ES563" s="293"/>
      <c r="ET563" s="293"/>
      <c r="EU563" s="293"/>
      <c r="JW563"/>
    </row>
    <row r="564" spans="1:283" s="332" customFormat="1">
      <c r="AN564" s="293"/>
      <c r="AO564" s="293"/>
      <c r="AP564" s="293"/>
      <c r="AQ564" s="293"/>
      <c r="AR564" s="293"/>
      <c r="AS564" s="293"/>
      <c r="AT564" s="293"/>
      <c r="AU564" s="293"/>
      <c r="AV564" s="293"/>
      <c r="AW564" s="293"/>
      <c r="AX564" s="293"/>
      <c r="AY564" s="293"/>
      <c r="AZ564" s="293"/>
      <c r="BA564" s="293"/>
      <c r="BB564" s="293"/>
      <c r="BC564" s="293"/>
      <c r="BD564" s="293"/>
      <c r="BE564" s="293"/>
      <c r="BF564" s="293"/>
      <c r="BG564" s="293"/>
      <c r="BH564" s="293"/>
      <c r="BI564" s="293"/>
      <c r="BJ564" s="293"/>
      <c r="BK564" s="293"/>
      <c r="BL564" s="293"/>
      <c r="BM564" s="293"/>
      <c r="BN564" s="293"/>
      <c r="BO564" s="293"/>
      <c r="BP564" s="293"/>
      <c r="BQ564" s="293"/>
      <c r="BR564" s="293"/>
      <c r="BS564" s="293"/>
      <c r="BT564" s="293"/>
      <c r="BU564" s="293"/>
      <c r="BV564" s="293"/>
      <c r="BW564" s="293"/>
      <c r="BX564" s="293"/>
      <c r="BY564" s="293"/>
      <c r="BZ564" s="293"/>
      <c r="CA564" s="293"/>
      <c r="CB564" s="293"/>
      <c r="CC564" s="293"/>
      <c r="CD564" s="293"/>
      <c r="CE564" s="293"/>
      <c r="CF564" s="293"/>
      <c r="CG564" s="293"/>
      <c r="CH564" s="293"/>
      <c r="CI564" s="293"/>
      <c r="CJ564" s="293"/>
      <c r="CK564" s="293"/>
      <c r="CL564" s="293"/>
      <c r="CM564" s="293"/>
      <c r="CN564" s="293"/>
      <c r="CO564" s="293"/>
      <c r="CP564" s="293"/>
      <c r="CQ564" s="293"/>
      <c r="CR564" s="293"/>
      <c r="CS564" s="293"/>
      <c r="CT564" s="293"/>
      <c r="CU564" s="293"/>
      <c r="CV564" s="293"/>
      <c r="CW564" s="293"/>
      <c r="CX564" s="293"/>
      <c r="CY564" s="293"/>
      <c r="CZ564" s="293"/>
      <c r="DA564" s="293"/>
      <c r="DB564" s="293"/>
      <c r="DC564" s="293"/>
      <c r="DD564" s="293"/>
      <c r="DE564" s="293"/>
      <c r="DF564" s="293"/>
      <c r="DG564" s="293"/>
      <c r="DH564" s="293"/>
      <c r="DI564" s="293"/>
      <c r="DJ564" s="293"/>
      <c r="DK564" s="293"/>
      <c r="DL564" s="293"/>
      <c r="DM564" s="293"/>
      <c r="DN564" s="293"/>
      <c r="DO564" s="293"/>
      <c r="DP564" s="293"/>
      <c r="DQ564" s="293"/>
      <c r="DR564" s="293"/>
      <c r="DS564" s="293"/>
      <c r="DT564" s="293"/>
      <c r="DU564" s="293"/>
      <c r="DV564" s="293"/>
      <c r="DW564" s="103"/>
      <c r="DX564" s="293"/>
      <c r="DY564" s="293"/>
      <c r="DZ564" s="293"/>
      <c r="EA564" s="293"/>
      <c r="EB564" s="293"/>
      <c r="EC564" s="293"/>
      <c r="ED564" s="293"/>
      <c r="EE564" s="293"/>
      <c r="EF564" s="293"/>
      <c r="EG564" s="293"/>
      <c r="EH564" s="293"/>
      <c r="EI564" s="293"/>
      <c r="EJ564" s="293"/>
      <c r="EK564" s="293"/>
      <c r="EL564" s="293"/>
      <c r="EM564" s="293"/>
      <c r="EN564" s="293"/>
      <c r="EO564" s="293"/>
      <c r="EP564" s="293"/>
      <c r="EQ564" s="293"/>
      <c r="ER564" s="293"/>
      <c r="ES564" s="293"/>
      <c r="ET564" s="293"/>
      <c r="EU564" s="293"/>
      <c r="JW564"/>
    </row>
    <row r="565" spans="1:283" s="332" customFormat="1">
      <c r="A565" s="1207" t="s">
        <v>730</v>
      </c>
      <c r="AN565" s="293"/>
      <c r="AO565" s="293"/>
      <c r="AP565" s="293"/>
      <c r="AQ565" s="293"/>
      <c r="AR565" s="293"/>
      <c r="AS565" s="293"/>
      <c r="AT565" s="293"/>
      <c r="AU565" s="293"/>
      <c r="AV565" s="293"/>
      <c r="AW565" s="293"/>
      <c r="AX565" s="293"/>
      <c r="AY565" s="293"/>
      <c r="AZ565" s="293"/>
      <c r="BA565" s="293"/>
      <c r="BB565" s="293"/>
      <c r="BC565" s="293"/>
      <c r="BD565" s="293"/>
      <c r="BE565" s="293"/>
      <c r="BF565" s="293"/>
      <c r="BG565" s="293"/>
      <c r="BH565" s="293"/>
      <c r="BI565" s="293"/>
      <c r="BJ565" s="293"/>
      <c r="BK565" s="293"/>
      <c r="BL565" s="293"/>
      <c r="BM565" s="293"/>
      <c r="BN565" s="293"/>
      <c r="BO565" s="293"/>
      <c r="BP565" s="293"/>
      <c r="BQ565" s="293"/>
      <c r="BR565" s="293"/>
      <c r="BS565" s="293"/>
      <c r="BT565" s="293"/>
      <c r="BU565" s="293"/>
      <c r="BV565" s="293"/>
      <c r="BW565" s="293"/>
      <c r="BX565" s="293"/>
      <c r="BY565" s="293"/>
      <c r="BZ565" s="293"/>
      <c r="CA565" s="293"/>
      <c r="CB565" s="293"/>
      <c r="CC565" s="293"/>
      <c r="CD565" s="293"/>
      <c r="CE565" s="293"/>
      <c r="CF565" s="293"/>
      <c r="CG565" s="293"/>
      <c r="CH565" s="293"/>
      <c r="CI565" s="293"/>
      <c r="CJ565" s="293"/>
      <c r="CK565" s="293"/>
      <c r="CL565" s="293"/>
      <c r="CM565" s="293"/>
      <c r="CN565" s="293"/>
      <c r="CO565" s="293"/>
      <c r="CP565" s="293"/>
      <c r="CQ565" s="293"/>
      <c r="CR565" s="293"/>
      <c r="CS565" s="293"/>
      <c r="CT565" s="293"/>
      <c r="CU565" s="293"/>
      <c r="CV565" s="293"/>
      <c r="CW565" s="293"/>
      <c r="CX565" s="293"/>
      <c r="CY565" s="293"/>
      <c r="CZ565" s="293"/>
      <c r="DA565" s="293"/>
      <c r="DB565" s="293"/>
      <c r="DC565" s="293"/>
      <c r="DD565" s="293"/>
      <c r="DE565" s="293"/>
      <c r="DF565" s="293"/>
      <c r="DG565" s="293"/>
      <c r="DH565" s="293"/>
      <c r="DI565" s="293"/>
      <c r="DJ565" s="293"/>
      <c r="DK565" s="293"/>
      <c r="DL565" s="293"/>
      <c r="DM565" s="293"/>
      <c r="DN565" s="293"/>
      <c r="DO565" s="293"/>
      <c r="DP565" s="293"/>
      <c r="DQ565" s="293"/>
      <c r="DR565" s="293"/>
      <c r="DS565" s="293"/>
      <c r="DT565" s="293"/>
      <c r="DU565" s="293"/>
      <c r="DV565" s="293"/>
      <c r="DW565" s="293"/>
      <c r="DX565" s="293"/>
      <c r="DY565" s="293"/>
      <c r="DZ565" s="293"/>
      <c r="EA565" s="293"/>
      <c r="EB565" s="293"/>
      <c r="EC565" s="293"/>
      <c r="ED565" s="293"/>
      <c r="EE565" s="293"/>
      <c r="EF565" s="293"/>
      <c r="EG565" s="293"/>
      <c r="EH565" s="293"/>
      <c r="EI565" s="293"/>
      <c r="EJ565" s="293"/>
      <c r="EK565" s="293"/>
      <c r="EL565" s="293"/>
      <c r="EM565" s="293"/>
      <c r="EN565" s="293"/>
      <c r="EO565" s="293"/>
      <c r="EP565" s="293"/>
      <c r="EQ565" s="293"/>
      <c r="ER565" s="293"/>
      <c r="ES565" s="293"/>
      <c r="ET565" s="293"/>
      <c r="EU565" s="293"/>
      <c r="JW565"/>
    </row>
    <row r="566" spans="1:283" s="332" customFormat="1">
      <c r="A566" s="332" t="s">
        <v>571</v>
      </c>
      <c r="AN566" s="492">
        <f>AN544</f>
        <v>173</v>
      </c>
      <c r="AO566" s="492">
        <f>AO544</f>
        <v>165</v>
      </c>
      <c r="AP566" s="492">
        <f>AP544</f>
        <v>338</v>
      </c>
      <c r="AQ566" s="293"/>
      <c r="AR566" s="492">
        <f>AR544</f>
        <v>202</v>
      </c>
      <c r="AS566" s="492">
        <f>AS544</f>
        <v>223</v>
      </c>
      <c r="AT566" s="492">
        <f>AT544</f>
        <v>425</v>
      </c>
      <c r="AU566" s="626"/>
      <c r="AV566" s="492">
        <f>AV544</f>
        <v>254</v>
      </c>
      <c r="AW566" s="492">
        <f>AW544</f>
        <v>297</v>
      </c>
      <c r="AX566" s="492">
        <f>AX544</f>
        <v>551</v>
      </c>
      <c r="AY566" s="293"/>
      <c r="AZ566" s="492">
        <f>AZ544</f>
        <v>344</v>
      </c>
      <c r="BA566" s="492">
        <f>BA544</f>
        <v>369</v>
      </c>
      <c r="BB566" s="492">
        <f>BB544</f>
        <v>713</v>
      </c>
      <c r="BC566" s="293"/>
      <c r="BD566" s="492">
        <f>BD544</f>
        <v>355</v>
      </c>
      <c r="BE566" s="492">
        <f>BE544</f>
        <v>350</v>
      </c>
      <c r="BF566" s="492">
        <f>BF544</f>
        <v>705</v>
      </c>
      <c r="BG566" s="360"/>
      <c r="BH566" s="492">
        <f>BH544</f>
        <v>311</v>
      </c>
      <c r="BI566" s="492">
        <f>BI544</f>
        <v>331</v>
      </c>
      <c r="BJ566" s="492">
        <f>BJ544</f>
        <v>642</v>
      </c>
      <c r="BK566" s="487"/>
      <c r="BL566" s="492">
        <f>BL544</f>
        <v>366</v>
      </c>
      <c r="BM566" s="492">
        <f>BM544</f>
        <v>372</v>
      </c>
      <c r="BN566" s="492">
        <f>BN544</f>
        <v>738</v>
      </c>
      <c r="BO566" s="293"/>
      <c r="BP566" s="492">
        <f>BP544</f>
        <v>406</v>
      </c>
      <c r="BQ566" s="492">
        <f>BQ544</f>
        <v>419</v>
      </c>
      <c r="BR566" s="492">
        <f>BR544</f>
        <v>825</v>
      </c>
      <c r="BS566" s="293"/>
      <c r="BT566" s="492">
        <f>BT544</f>
        <v>456</v>
      </c>
      <c r="BU566" s="492">
        <f>BU544</f>
        <v>485</v>
      </c>
      <c r="BV566" s="492">
        <f>BV544</f>
        <v>941</v>
      </c>
      <c r="BW566" s="293"/>
      <c r="BX566" s="492">
        <f>BX544</f>
        <v>498</v>
      </c>
      <c r="BY566" s="492">
        <f>BY544</f>
        <v>551</v>
      </c>
      <c r="BZ566" s="492">
        <f>BZ544</f>
        <v>1049</v>
      </c>
      <c r="CA566" s="293"/>
      <c r="CB566" s="492">
        <f>CB544</f>
        <v>787</v>
      </c>
      <c r="CC566" s="492">
        <f>CC544</f>
        <v>797</v>
      </c>
      <c r="CD566" s="492">
        <f>CD544</f>
        <v>1584</v>
      </c>
      <c r="CE566" s="817">
        <f>+CD566/BZ566-1</f>
        <v>0.51000953288846529</v>
      </c>
      <c r="CF566" s="492">
        <f>CF544</f>
        <v>834</v>
      </c>
      <c r="CG566" s="492">
        <f>CG544</f>
        <v>844</v>
      </c>
      <c r="CH566" s="492">
        <f>CH544</f>
        <v>1678</v>
      </c>
      <c r="CI566" s="817">
        <f>+CH566/CD566-1</f>
        <v>5.9343434343434254E-2</v>
      </c>
      <c r="CJ566" s="492">
        <f>CJ544</f>
        <v>838</v>
      </c>
      <c r="CK566" s="492">
        <f>CK544</f>
        <v>890</v>
      </c>
      <c r="CL566" s="492">
        <f>CL544</f>
        <v>1728</v>
      </c>
      <c r="CM566" s="817">
        <f>+CL566/CH566-1</f>
        <v>2.9797377830750982E-2</v>
      </c>
      <c r="CN566" s="492">
        <f>CN544</f>
        <v>844</v>
      </c>
      <c r="CO566" s="492">
        <f>CO544</f>
        <v>902</v>
      </c>
      <c r="CP566" s="492">
        <f>CP544</f>
        <v>1746</v>
      </c>
      <c r="CQ566" s="817">
        <f>+CP566/CL566-1</f>
        <v>1.0416666666666741E-2</v>
      </c>
      <c r="CR566" s="492">
        <f>CR544</f>
        <v>974</v>
      </c>
      <c r="CS566" s="492">
        <f>CS544</f>
        <v>998</v>
      </c>
      <c r="CT566" s="492">
        <f>CT544</f>
        <v>1972</v>
      </c>
      <c r="CU566" s="817">
        <f>+CT566/CP566-1</f>
        <v>0.12943871706758303</v>
      </c>
      <c r="CV566" s="492">
        <f>CV544</f>
        <v>1197</v>
      </c>
      <c r="CW566" s="492">
        <f>CW544</f>
        <v>1323</v>
      </c>
      <c r="CX566" s="492">
        <f>CX544</f>
        <v>2520</v>
      </c>
      <c r="CY566" s="817">
        <f>+CX566/CT566-1</f>
        <v>0.27789046653144012</v>
      </c>
      <c r="CZ566" s="492">
        <f>CZ544</f>
        <v>1360</v>
      </c>
      <c r="DA566" s="492">
        <f>DA544</f>
        <v>1285</v>
      </c>
      <c r="DB566" s="492">
        <f>DB544</f>
        <v>2645</v>
      </c>
      <c r="DC566" s="817">
        <f>+DB566/CX566-1</f>
        <v>4.9603174603174649E-2</v>
      </c>
      <c r="DD566" s="492">
        <f>DD544</f>
        <v>1326</v>
      </c>
      <c r="DE566" s="492">
        <f>DE544</f>
        <v>1391</v>
      </c>
      <c r="DF566" s="492">
        <f>DF544</f>
        <v>2717</v>
      </c>
      <c r="DG566" s="817">
        <f>+DF566/DB566-1</f>
        <v>2.7221172022684259E-2</v>
      </c>
      <c r="DH566" s="492">
        <f>DH544</f>
        <v>1456</v>
      </c>
      <c r="DI566" s="293">
        <f>(DI584*1000)*DI574*(DI1/DJ1)</f>
        <v>1477.8162328900316</v>
      </c>
      <c r="DJ566" s="293">
        <f>DH566+DI566</f>
        <v>2933.8162328900316</v>
      </c>
      <c r="DK566" s="817">
        <f>+DJ566/DF566-1</f>
        <v>7.9799864884074978E-2</v>
      </c>
      <c r="DL566" s="293">
        <f>(DL584*1000)*DL574*(DL1/DN1)</f>
        <v>1612.8163482422478</v>
      </c>
      <c r="DM566" s="293">
        <f>(DM584*1000)*DM574*(DM1/DN1)</f>
        <v>1684.482980897023</v>
      </c>
      <c r="DN566" s="293">
        <f>DL566+DM566</f>
        <v>3297.2993291392709</v>
      </c>
      <c r="DO566" s="817">
        <f>+DN566/DJ566-1</f>
        <v>0.12389429582342348</v>
      </c>
      <c r="DP566" s="293">
        <f>(DP584*1000)*DP574*(DP1/DR1)</f>
        <v>1751.6685404062785</v>
      </c>
      <c r="DQ566" s="293">
        <f>(DQ584*1000)*DQ574*(DQ1/DR1)</f>
        <v>1815.8387975269154</v>
      </c>
      <c r="DR566" s="293">
        <f>DP566+DQ566</f>
        <v>3567.5073379331939</v>
      </c>
      <c r="DS566" s="817">
        <f>+DR566/DN566-1</f>
        <v>8.1948280038154131E-2</v>
      </c>
      <c r="DT566" s="817"/>
      <c r="DU566" s="817"/>
      <c r="DV566" s="817"/>
      <c r="DW566" s="828" t="s">
        <v>514</v>
      </c>
      <c r="DX566" s="899"/>
      <c r="DY566" s="899"/>
      <c r="DZ566" s="293"/>
      <c r="EA566" s="293"/>
      <c r="EB566" s="293"/>
      <c r="EC566" s="293"/>
      <c r="ED566" s="293"/>
      <c r="EE566" s="293"/>
      <c r="EF566" s="293"/>
      <c r="EG566" s="293"/>
      <c r="EH566" s="293"/>
      <c r="EI566" s="293"/>
      <c r="EJ566" s="293"/>
      <c r="EK566" s="293"/>
      <c r="EL566" s="293"/>
      <c r="EM566" s="293"/>
      <c r="EN566" s="293"/>
      <c r="EO566" s="293"/>
      <c r="EP566" s="293"/>
      <c r="EQ566" s="293"/>
      <c r="ER566" s="293"/>
      <c r="ES566" s="293"/>
      <c r="ET566" s="293"/>
      <c r="EU566" s="293"/>
      <c r="JW566"/>
    </row>
    <row r="567" spans="1:283" s="845" customFormat="1">
      <c r="A567" s="845" t="s">
        <v>651</v>
      </c>
      <c r="AN567" s="673">
        <f>AN546</f>
        <v>15</v>
      </c>
      <c r="AO567" s="673">
        <f>AO546</f>
        <v>14</v>
      </c>
      <c r="AP567" s="673">
        <f>AP546</f>
        <v>29</v>
      </c>
      <c r="AQ567" s="303"/>
      <c r="AR567" s="673">
        <f>AR546</f>
        <v>-10</v>
      </c>
      <c r="AS567" s="673">
        <f>AS546</f>
        <v>-28</v>
      </c>
      <c r="AT567" s="673">
        <f>AT546</f>
        <v>-38</v>
      </c>
      <c r="AU567" s="627"/>
      <c r="AV567" s="673">
        <f>AV546</f>
        <v>-1</v>
      </c>
      <c r="AW567" s="673">
        <f>AW546</f>
        <v>2</v>
      </c>
      <c r="AX567" s="673">
        <f>AX546</f>
        <v>1</v>
      </c>
      <c r="AY567" s="627"/>
      <c r="AZ567" s="673">
        <f>AZ546</f>
        <v>-2</v>
      </c>
      <c r="BA567" s="673">
        <f>BA546</f>
        <v>8</v>
      </c>
      <c r="BB567" s="673">
        <f>BB546</f>
        <v>6</v>
      </c>
      <c r="BC567" s="303"/>
      <c r="BD567" s="673">
        <f>BD546</f>
        <v>2</v>
      </c>
      <c r="BE567" s="673">
        <f>BE546</f>
        <v>-4</v>
      </c>
      <c r="BF567" s="673">
        <f>BF546</f>
        <v>-2</v>
      </c>
      <c r="BG567" s="303"/>
      <c r="BH567" s="673">
        <f>BH546</f>
        <v>0</v>
      </c>
      <c r="BI567" s="673">
        <f>BI546</f>
        <v>0</v>
      </c>
      <c r="BJ567" s="673">
        <f>BJ546</f>
        <v>0</v>
      </c>
      <c r="BK567" s="630"/>
      <c r="BL567" s="673">
        <f>BL546</f>
        <v>0</v>
      </c>
      <c r="BM567" s="673">
        <f>BM546</f>
        <v>0</v>
      </c>
      <c r="BN567" s="673">
        <f>BN546</f>
        <v>0</v>
      </c>
      <c r="BO567" s="630"/>
      <c r="BP567" s="673">
        <f>BP546</f>
        <v>0</v>
      </c>
      <c r="BQ567" s="673">
        <f>BQ546</f>
        <v>0</v>
      </c>
      <c r="BR567" s="673">
        <f>BR546</f>
        <v>0</v>
      </c>
      <c r="BS567" s="630"/>
      <c r="BT567" s="673">
        <f>BT546</f>
        <v>0</v>
      </c>
      <c r="BU567" s="673">
        <f>BU546</f>
        <v>0</v>
      </c>
      <c r="BV567" s="673">
        <f>BV546</f>
        <v>0</v>
      </c>
      <c r="BW567" s="303"/>
      <c r="BX567" s="673">
        <f>BX546</f>
        <v>0</v>
      </c>
      <c r="BY567" s="673">
        <f>BY546</f>
        <v>0</v>
      </c>
      <c r="BZ567" s="673">
        <f>BZ546</f>
        <v>0</v>
      </c>
      <c r="CA567" s="303"/>
      <c r="CB567" s="673">
        <f>CB546</f>
        <v>0</v>
      </c>
      <c r="CC567" s="673">
        <f>CC546</f>
        <v>0</v>
      </c>
      <c r="CD567" s="673">
        <f>CD546</f>
        <v>0</v>
      </c>
      <c r="CE567" s="303"/>
      <c r="CF567" s="673">
        <f>CF546</f>
        <v>0</v>
      </c>
      <c r="CG567" s="673">
        <f>CG546</f>
        <v>0</v>
      </c>
      <c r="CH567" s="673">
        <f>CH546</f>
        <v>0</v>
      </c>
      <c r="CI567" s="303"/>
      <c r="CJ567" s="673">
        <f>CJ546</f>
        <v>0</v>
      </c>
      <c r="CK567" s="673">
        <f>CK546</f>
        <v>0</v>
      </c>
      <c r="CL567" s="673">
        <f>CL546</f>
        <v>0</v>
      </c>
      <c r="CM567" s="303"/>
      <c r="CN567" s="673">
        <f>CN546</f>
        <v>0</v>
      </c>
      <c r="CO567" s="673">
        <f>CO546</f>
        <v>0</v>
      </c>
      <c r="CP567" s="673">
        <f>CP546</f>
        <v>0</v>
      </c>
      <c r="CQ567" s="303"/>
      <c r="CR567" s="673">
        <f>CR546</f>
        <v>0</v>
      </c>
      <c r="CS567" s="673">
        <f>CS546</f>
        <v>0</v>
      </c>
      <c r="CT567" s="673">
        <f>CT546</f>
        <v>0</v>
      </c>
      <c r="CU567" s="303"/>
      <c r="CV567" s="673">
        <f>CV546</f>
        <v>0</v>
      </c>
      <c r="CW567" s="673">
        <f>CW546</f>
        <v>0</v>
      </c>
      <c r="CX567" s="673">
        <f>CX546</f>
        <v>0</v>
      </c>
      <c r="CY567" s="303"/>
      <c r="CZ567" s="673">
        <f>CZ546</f>
        <v>0</v>
      </c>
      <c r="DA567" s="673">
        <f>DA546</f>
        <v>0</v>
      </c>
      <c r="DB567" s="673">
        <f>DB546</f>
        <v>0</v>
      </c>
      <c r="DC567" s="303"/>
      <c r="DD567" s="673">
        <f>DD546</f>
        <v>0</v>
      </c>
      <c r="DE567" s="673">
        <f>DE546</f>
        <v>0</v>
      </c>
      <c r="DF567" s="673">
        <f>DF546</f>
        <v>0</v>
      </c>
      <c r="DG567" s="303"/>
      <c r="DH567" s="673">
        <f>DH546</f>
        <v>0</v>
      </c>
      <c r="DI567" s="630">
        <v>0</v>
      </c>
      <c r="DJ567" s="303">
        <f>DH567+DI567</f>
        <v>0</v>
      </c>
      <c r="DK567" s="303"/>
      <c r="DL567" s="630">
        <v>0</v>
      </c>
      <c r="DM567" s="630">
        <v>0</v>
      </c>
      <c r="DN567" s="303">
        <f>DL567+DM567</f>
        <v>0</v>
      </c>
      <c r="DO567" s="303"/>
      <c r="DP567" s="630">
        <v>0</v>
      </c>
      <c r="DQ567" s="630">
        <v>0</v>
      </c>
      <c r="DR567" s="303">
        <f>DP567+DQ567</f>
        <v>0</v>
      </c>
      <c r="DS567" s="303"/>
      <c r="DT567" s="303"/>
      <c r="DU567" s="303"/>
      <c r="DV567" s="303"/>
      <c r="DW567" s="1208" t="s">
        <v>175</v>
      </c>
      <c r="DX567" s="303"/>
      <c r="DY567" s="303"/>
      <c r="DZ567" s="303"/>
      <c r="EA567" s="303"/>
      <c r="EB567" s="303"/>
      <c r="EC567" s="303"/>
      <c r="ED567" s="303"/>
      <c r="EE567" s="303"/>
      <c r="EF567" s="303"/>
      <c r="EG567" s="303"/>
      <c r="EH567" s="303"/>
      <c r="EI567" s="303"/>
      <c r="EJ567" s="303"/>
      <c r="EK567" s="303"/>
      <c r="EL567" s="303"/>
      <c r="EM567" s="303"/>
      <c r="EN567" s="303"/>
      <c r="EO567" s="303"/>
      <c r="EP567" s="303"/>
      <c r="EQ567" s="303"/>
      <c r="ER567" s="303"/>
      <c r="ES567" s="303"/>
      <c r="ET567" s="303"/>
      <c r="EU567" s="303"/>
      <c r="JW567"/>
    </row>
    <row r="568" spans="1:283" s="327" customFormat="1">
      <c r="A568" s="327" t="s">
        <v>588</v>
      </c>
      <c r="AN568" s="820">
        <f>SUM(AN566:AN567)</f>
        <v>188</v>
      </c>
      <c r="AO568" s="820">
        <f>SUM(AO566:AO567)</f>
        <v>179</v>
      </c>
      <c r="AP568" s="820">
        <f>SUM(AP566:AP567)</f>
        <v>367</v>
      </c>
      <c r="AQ568" s="295"/>
      <c r="AR568" s="820">
        <f>SUM(AR566:AR567)</f>
        <v>192</v>
      </c>
      <c r="AS568" s="820">
        <f>SUM(AS566:AS567)</f>
        <v>195</v>
      </c>
      <c r="AT568" s="820">
        <f>SUM(AT566:AT567)</f>
        <v>387</v>
      </c>
      <c r="AU568" s="295"/>
      <c r="AV568" s="820">
        <f>SUM(AV566:AV567)</f>
        <v>253</v>
      </c>
      <c r="AW568" s="820">
        <f>SUM(AW566:AW567)</f>
        <v>299</v>
      </c>
      <c r="AX568" s="820">
        <f>SUM(AX566:AX567)</f>
        <v>552</v>
      </c>
      <c r="AY568" s="295"/>
      <c r="AZ568" s="820">
        <f>SUM(AZ566:AZ567)</f>
        <v>342</v>
      </c>
      <c r="BA568" s="820">
        <f>SUM(BA566:BA567)</f>
        <v>377</v>
      </c>
      <c r="BB568" s="820">
        <f>SUM(BB566:BB567)</f>
        <v>719</v>
      </c>
      <c r="BC568" s="295"/>
      <c r="BD568" s="820">
        <f>SUM(BD566:BD567)</f>
        <v>357</v>
      </c>
      <c r="BE568" s="820">
        <f>SUM(BE566:BE567)</f>
        <v>346</v>
      </c>
      <c r="BF568" s="820">
        <f>SUM(BF566:BF567)</f>
        <v>703</v>
      </c>
      <c r="BG568" s="295"/>
      <c r="BH568" s="820">
        <f>SUM(BH566:BH567)</f>
        <v>311</v>
      </c>
      <c r="BI568" s="820">
        <f>SUM(BI566:BI567)</f>
        <v>331</v>
      </c>
      <c r="BJ568" s="820">
        <f>SUM(BJ566:BJ567)</f>
        <v>642</v>
      </c>
      <c r="BK568" s="295"/>
      <c r="BL568" s="820">
        <f>SUM(BL566:BL567)</f>
        <v>366</v>
      </c>
      <c r="BM568" s="820">
        <f>SUM(BM566:BM567)</f>
        <v>372</v>
      </c>
      <c r="BN568" s="820">
        <f>SUM(BN566:BN567)</f>
        <v>738</v>
      </c>
      <c r="BO568" s="685"/>
      <c r="BP568" s="820">
        <f>SUM(BP566:BP567)</f>
        <v>406</v>
      </c>
      <c r="BQ568" s="820">
        <f>SUM(BQ566:BQ567)</f>
        <v>419</v>
      </c>
      <c r="BR568" s="820">
        <f>SUM(BR566:BR567)</f>
        <v>825</v>
      </c>
      <c r="BS568" s="685"/>
      <c r="BT568" s="820">
        <f>SUM(BT566:BT567)</f>
        <v>456</v>
      </c>
      <c r="BU568" s="820">
        <f>SUM(BU566:BU567)</f>
        <v>485</v>
      </c>
      <c r="BV568" s="820">
        <f>SUM(BV566:BV567)</f>
        <v>941</v>
      </c>
      <c r="BW568" s="295"/>
      <c r="BX568" s="820">
        <f>SUM(BX566:BX567)</f>
        <v>498</v>
      </c>
      <c r="BY568" s="820">
        <f>SUM(BY566:BY567)</f>
        <v>551</v>
      </c>
      <c r="BZ568" s="820">
        <f>SUM(BZ566:BZ567)</f>
        <v>1049</v>
      </c>
      <c r="CA568" s="295"/>
      <c r="CB568" s="820">
        <f>SUM(CB566:CB567)</f>
        <v>787</v>
      </c>
      <c r="CC568" s="820">
        <f>SUM(CC566:CC567)</f>
        <v>797</v>
      </c>
      <c r="CD568" s="820">
        <f>SUM(CD566:CD567)</f>
        <v>1584</v>
      </c>
      <c r="CE568" s="295"/>
      <c r="CF568" s="820">
        <f>SUM(CF566:CF567)</f>
        <v>834</v>
      </c>
      <c r="CG568" s="820">
        <f>SUM(CG566:CG567)</f>
        <v>844</v>
      </c>
      <c r="CH568" s="820">
        <f>SUM(CH566:CH567)</f>
        <v>1678</v>
      </c>
      <c r="CI568" s="841">
        <v>0</v>
      </c>
      <c r="CJ568" s="820">
        <f>SUM(CJ566:CJ567)</f>
        <v>838</v>
      </c>
      <c r="CK568" s="820">
        <f>SUM(CK566:CK567)</f>
        <v>890</v>
      </c>
      <c r="CL568" s="820">
        <f>SUM(CL566:CL567)</f>
        <v>1728</v>
      </c>
      <c r="CM568" s="841">
        <v>0</v>
      </c>
      <c r="CN568" s="820">
        <f>SUM(CN566:CN567)</f>
        <v>844</v>
      </c>
      <c r="CO568" s="820">
        <f>SUM(CO566:CO567)</f>
        <v>902</v>
      </c>
      <c r="CP568" s="820">
        <f>SUM(CP566:CP567)</f>
        <v>1746</v>
      </c>
      <c r="CQ568" s="295"/>
      <c r="CR568" s="820">
        <f>SUM(CR566:CR567)</f>
        <v>974</v>
      </c>
      <c r="CS568" s="820">
        <f>SUM(CS566:CS567)</f>
        <v>998</v>
      </c>
      <c r="CT568" s="820">
        <f>SUM(CT566:CT567)</f>
        <v>1972</v>
      </c>
      <c r="CU568" s="295"/>
      <c r="CV568" s="820">
        <f>SUM(CV566:CV567)</f>
        <v>1197</v>
      </c>
      <c r="CW568" s="820">
        <f>SUM(CW566:CW567)</f>
        <v>1323</v>
      </c>
      <c r="CX568" s="820">
        <f>SUM(CX566:CX567)</f>
        <v>2520</v>
      </c>
      <c r="CY568" s="295"/>
      <c r="CZ568" s="820">
        <f>SUM(CZ566:CZ567)</f>
        <v>1360</v>
      </c>
      <c r="DA568" s="820">
        <f>SUM(DA566:DA567)</f>
        <v>1285</v>
      </c>
      <c r="DB568" s="820">
        <f>SUM(DB566:DB567)</f>
        <v>2645</v>
      </c>
      <c r="DC568" s="295"/>
      <c r="DD568" s="820">
        <f>SUM(DD566:DD567)</f>
        <v>1326</v>
      </c>
      <c r="DE568" s="820">
        <f>SUM(DE566:DE567)</f>
        <v>1391</v>
      </c>
      <c r="DF568" s="820">
        <f>SUM(DF566:DF567)</f>
        <v>2717</v>
      </c>
      <c r="DG568" s="295"/>
      <c r="DH568" s="820">
        <f>SUM(DH566:DH567)</f>
        <v>1456</v>
      </c>
      <c r="DI568" s="295">
        <f>SUM(DI566:DI567)</f>
        <v>1477.8162328900316</v>
      </c>
      <c r="DJ568" s="295">
        <f>DH568+DI568</f>
        <v>2933.8162328900316</v>
      </c>
      <c r="DK568" s="295"/>
      <c r="DL568" s="295">
        <f>SUM(DL566:DL567)</f>
        <v>1612.8163482422478</v>
      </c>
      <c r="DM568" s="295">
        <f>SUM(DM566:DM567)</f>
        <v>1684.482980897023</v>
      </c>
      <c r="DN568" s="295">
        <f>DL568+DM568</f>
        <v>3297.2993291392709</v>
      </c>
      <c r="DO568" s="295"/>
      <c r="DP568" s="295">
        <f>SUM(DP566:DP567)</f>
        <v>1751.6685404062785</v>
      </c>
      <c r="DQ568" s="295">
        <f>SUM(DQ566:DQ567)</f>
        <v>1815.8387975269154</v>
      </c>
      <c r="DR568" s="295">
        <f>DP568+DQ568</f>
        <v>3567.5073379331939</v>
      </c>
      <c r="DS568" s="295"/>
      <c r="DT568" s="295"/>
      <c r="DU568" s="295"/>
      <c r="DV568" s="295"/>
      <c r="DW568" s="1199"/>
      <c r="DX568" s="295"/>
      <c r="DY568" s="295"/>
      <c r="DZ568" s="295"/>
      <c r="EA568" s="295"/>
      <c r="EB568" s="295"/>
      <c r="EC568" s="295"/>
      <c r="ED568" s="295"/>
      <c r="EE568" s="295"/>
      <c r="EF568" s="295"/>
      <c r="EG568" s="295"/>
      <c r="EH568" s="295"/>
      <c r="EI568" s="295"/>
      <c r="EJ568" s="295"/>
      <c r="EK568" s="295"/>
      <c r="EL568" s="295"/>
      <c r="EM568" s="295"/>
      <c r="EN568" s="295"/>
      <c r="EO568" s="295"/>
      <c r="EP568" s="295"/>
      <c r="EQ568" s="295"/>
      <c r="ER568" s="295"/>
      <c r="ES568" s="295"/>
      <c r="ET568" s="295"/>
      <c r="EU568" s="295"/>
      <c r="JW568"/>
    </row>
    <row r="569" spans="1:283">
      <c r="A569" s="323" t="s">
        <v>835</v>
      </c>
      <c r="CR569" s="103"/>
      <c r="CS569" s="103"/>
      <c r="CT569" s="103"/>
      <c r="CV569" s="103"/>
      <c r="CW569" s="103"/>
      <c r="CX569" s="103"/>
      <c r="CZ569" s="103"/>
      <c r="DA569" s="103"/>
      <c r="DB569" s="103"/>
      <c r="DD569" s="103"/>
      <c r="DE569" s="103"/>
      <c r="DF569" s="103"/>
      <c r="DH569" s="103"/>
      <c r="DI569" s="293"/>
      <c r="DJ569" s="293"/>
      <c r="DL569" s="293"/>
      <c r="DM569" s="293"/>
      <c r="DN569" s="293"/>
      <c r="DP569" s="293"/>
      <c r="DQ569" s="293"/>
      <c r="DR569" s="293"/>
      <c r="DW569" s="1197"/>
      <c r="DX569" s="293"/>
      <c r="DY569" s="293"/>
      <c r="EA569" s="293"/>
      <c r="EB569" s="293"/>
      <c r="EC569" s="293"/>
      <c r="EE569" s="293"/>
      <c r="EF569" s="293"/>
      <c r="EG569" s="293"/>
      <c r="EI569" s="293"/>
      <c r="EJ569" s="293"/>
      <c r="EK569" s="293"/>
    </row>
    <row r="570" spans="1:283" s="642" customFormat="1">
      <c r="A570" s="1210" t="str">
        <f>+A566</f>
        <v>Net interest income</v>
      </c>
      <c r="AN570" s="300"/>
      <c r="AO570" s="300"/>
      <c r="AP570" s="300"/>
      <c r="AQ570" s="300"/>
      <c r="AR570" s="300"/>
      <c r="AS570" s="300"/>
      <c r="AT570" s="300"/>
      <c r="AU570" s="300"/>
      <c r="AV570" s="643">
        <f t="shared" ref="AV570:AX572" si="1609">+AV566/AR566-1</f>
        <v>0.25742574257425743</v>
      </c>
      <c r="AW570" s="643">
        <f t="shared" si="1609"/>
        <v>0.33183856502242159</v>
      </c>
      <c r="AX570" s="643">
        <f t="shared" si="1609"/>
        <v>0.29647058823529404</v>
      </c>
      <c r="AY570" s="300"/>
      <c r="AZ570" s="643">
        <f t="shared" ref="AZ570:BB572" si="1610">+AZ566/AV566-1</f>
        <v>0.35433070866141736</v>
      </c>
      <c r="BA570" s="643">
        <f t="shared" si="1610"/>
        <v>0.24242424242424243</v>
      </c>
      <c r="BB570" s="643">
        <f t="shared" si="1610"/>
        <v>0.29401088929219599</v>
      </c>
      <c r="BC570" s="300"/>
      <c r="BD570" s="643">
        <f>+BD566/AZ566-1</f>
        <v>3.1976744186046568E-2</v>
      </c>
      <c r="BE570" s="643">
        <f>+BE566/BA566-1</f>
        <v>-5.1490514905148999E-2</v>
      </c>
      <c r="BF570" s="643">
        <f>+BF566/BB566-1</f>
        <v>-1.1220196353436185E-2</v>
      </c>
      <c r="BG570" s="300"/>
      <c r="BH570" s="643">
        <f>+BH566/BD566-1</f>
        <v>-0.12394366197183093</v>
      </c>
      <c r="BI570" s="643">
        <f>+BI566/BE566-1</f>
        <v>-5.428571428571427E-2</v>
      </c>
      <c r="BJ570" s="643">
        <f>+BJ566/BF566-1</f>
        <v>-8.9361702127659592E-2</v>
      </c>
      <c r="BK570" s="300"/>
      <c r="BL570" s="643">
        <f>+BL566/BH566-1</f>
        <v>0.17684887459807075</v>
      </c>
      <c r="BM570" s="643">
        <f>+BM566/BI566-1</f>
        <v>0.1238670694864048</v>
      </c>
      <c r="BN570" s="643">
        <f>+BN566/BJ566-1</f>
        <v>0.14953271028037385</v>
      </c>
      <c r="BO570" s="300"/>
      <c r="BP570" s="643">
        <f>+BP566/BL566-1</f>
        <v>0.1092896174863387</v>
      </c>
      <c r="BQ570" s="643">
        <f>+BQ566/BM566-1</f>
        <v>0.12634408602150549</v>
      </c>
      <c r="BR570" s="643">
        <f>+BR566/BN566-1</f>
        <v>0.11788617886178865</v>
      </c>
      <c r="BS570" s="300"/>
      <c r="BT570" s="643">
        <f>+BT566/BP566-1</f>
        <v>0.12315270935960587</v>
      </c>
      <c r="BU570" s="643">
        <f>+BU566/BQ566-1</f>
        <v>0.15751789976133646</v>
      </c>
      <c r="BV570" s="643">
        <f>+BV566/BR566-1</f>
        <v>0.14060606060606062</v>
      </c>
      <c r="BW570" s="300"/>
      <c r="BX570" s="643">
        <f>+BX566/BT566-1</f>
        <v>9.210526315789469E-2</v>
      </c>
      <c r="BY570" s="643">
        <f>+BY566/BU566-1</f>
        <v>0.13608247422680408</v>
      </c>
      <c r="BZ570" s="643">
        <f>+BZ566/BV566-1</f>
        <v>0.11477151965993615</v>
      </c>
      <c r="CA570" s="300"/>
      <c r="CB570" s="643">
        <f>+CB566/BX566-1</f>
        <v>0.58032128514056236</v>
      </c>
      <c r="CC570" s="643">
        <f>+CC566/BY566-1</f>
        <v>0.44646098003629775</v>
      </c>
      <c r="CD570" s="643">
        <f>+CD566/BZ566-1</f>
        <v>0.51000953288846529</v>
      </c>
      <c r="CE570" s="300"/>
      <c r="CF570" s="643">
        <f>+CF566/CB566-1</f>
        <v>5.9720457433291019E-2</v>
      </c>
      <c r="CG570" s="643">
        <f>+CG566/CC566-1</f>
        <v>5.8971141781681391E-2</v>
      </c>
      <c r="CH570" s="643">
        <f>+CH566/CD566-1</f>
        <v>5.9343434343434254E-2</v>
      </c>
      <c r="CI570" s="300"/>
      <c r="CJ570" s="643">
        <f>+CJ566/CF566-1</f>
        <v>4.7961630695443347E-3</v>
      </c>
      <c r="CK570" s="643">
        <f>+CK566/CG566-1</f>
        <v>5.4502369668246509E-2</v>
      </c>
      <c r="CL570" s="643">
        <f>+CL566/CH566-1</f>
        <v>2.9797377830750982E-2</v>
      </c>
      <c r="CM570" s="300"/>
      <c r="CN570" s="643">
        <f>+CN566/CJ566-1</f>
        <v>7.1599045346062429E-3</v>
      </c>
      <c r="CO570" s="643">
        <f>+CO566/CK566-1</f>
        <v>1.348314606741563E-2</v>
      </c>
      <c r="CP570" s="643">
        <f>+CP566/CL566-1</f>
        <v>1.0416666666666741E-2</v>
      </c>
      <c r="CQ570" s="300"/>
      <c r="CR570" s="643">
        <f>+CR566/CN566-1</f>
        <v>0.15402843601895744</v>
      </c>
      <c r="CS570" s="643">
        <f>+CS566/CO566-1</f>
        <v>0.10643015521064303</v>
      </c>
      <c r="CT570" s="643">
        <f>+CT566/CP566-1</f>
        <v>0.12943871706758303</v>
      </c>
      <c r="CU570" s="300"/>
      <c r="CV570" s="643">
        <f>+CV566/CR566-1</f>
        <v>0.22895277207392195</v>
      </c>
      <c r="CW570" s="643">
        <f>+CW566/CS566-1</f>
        <v>0.32565130260521036</v>
      </c>
      <c r="CX570" s="643">
        <f>+CX566/CT566-1</f>
        <v>0.27789046653144012</v>
      </c>
      <c r="CY570" s="300"/>
      <c r="CZ570" s="643">
        <f>+CZ566/CV566-1</f>
        <v>0.13617376775271506</v>
      </c>
      <c r="DA570" s="643">
        <f>+DA566/CW566-1</f>
        <v>-2.8722600151171562E-2</v>
      </c>
      <c r="DB570" s="643">
        <f>+DB566/CX566-1</f>
        <v>4.9603174603174649E-2</v>
      </c>
      <c r="DC570" s="300"/>
      <c r="DD570" s="643">
        <f>+DD566/CZ566-1</f>
        <v>-2.5000000000000022E-2</v>
      </c>
      <c r="DE570" s="643">
        <f>+DE566/DA566-1</f>
        <v>8.2490272373540785E-2</v>
      </c>
      <c r="DF570" s="643">
        <f>+DF566/DB566-1</f>
        <v>2.7221172022684259E-2</v>
      </c>
      <c r="DG570" s="300"/>
      <c r="DH570" s="643">
        <f>+DH566/DD566-1</f>
        <v>9.8039215686274606E-2</v>
      </c>
      <c r="DI570" s="643">
        <f>+DI566/DE566-1</f>
        <v>6.2412820194127638E-2</v>
      </c>
      <c r="DJ570" s="643">
        <f>+DJ566/DF566-1</f>
        <v>7.9799864884074978E-2</v>
      </c>
      <c r="DK570" s="300"/>
      <c r="DL570" s="643">
        <f>+DL566/DH566-1</f>
        <v>0.10770353588066484</v>
      </c>
      <c r="DM570" s="643">
        <f>+DM566/DI566-1</f>
        <v>0.13984603999296441</v>
      </c>
      <c r="DN570" s="643">
        <f>+DN566/DJ566-1</f>
        <v>0.12389429582342348</v>
      </c>
      <c r="DO570" s="300"/>
      <c r="DP570" s="643">
        <f>+DP566/DL566-1</f>
        <v>8.6092996462592053E-2</v>
      </c>
      <c r="DQ570" s="643">
        <f>+DQ566/DM566-1</f>
        <v>7.7979901322566381E-2</v>
      </c>
      <c r="DR570" s="643">
        <f>+DR566/DN566-1</f>
        <v>8.1948280038154131E-2</v>
      </c>
      <c r="DS570" s="300"/>
      <c r="DT570" s="300"/>
      <c r="DU570" s="300"/>
      <c r="DV570" s="300"/>
      <c r="DW570" s="1211" t="s">
        <v>175</v>
      </c>
      <c r="DX570" s="643"/>
      <c r="DY570" s="643"/>
      <c r="DZ570" s="300"/>
      <c r="EA570" s="643"/>
      <c r="EB570" s="643"/>
      <c r="EC570" s="643"/>
      <c r="ED570" s="300"/>
      <c r="EE570" s="643"/>
      <c r="EF570" s="643"/>
      <c r="EG570" s="643"/>
      <c r="EH570" s="300"/>
      <c r="EI570" s="643"/>
      <c r="EJ570" s="643"/>
      <c r="EK570" s="643"/>
      <c r="EL570" s="300"/>
      <c r="EM570" s="300"/>
      <c r="EN570" s="300"/>
      <c r="EO570" s="300"/>
      <c r="EP570" s="300"/>
      <c r="EQ570" s="300"/>
      <c r="ER570" s="300"/>
      <c r="ES570" s="300"/>
      <c r="ET570" s="300"/>
      <c r="EU570" s="300"/>
      <c r="JW570"/>
    </row>
    <row r="571" spans="1:283" s="323" customFormat="1">
      <c r="A571" s="1079" t="str">
        <f>+A567</f>
        <v>Net trading income</v>
      </c>
      <c r="AN571" s="115"/>
      <c r="AO571" s="115"/>
      <c r="AP571" s="115"/>
      <c r="AQ571" s="115"/>
      <c r="AR571" s="115"/>
      <c r="AS571" s="115"/>
      <c r="AT571" s="115"/>
      <c r="AU571" s="115"/>
      <c r="AV571" s="648">
        <f t="shared" si="1609"/>
        <v>-0.9</v>
      </c>
      <c r="AW571" s="648">
        <f t="shared" si="1609"/>
        <v>-1.0714285714285714</v>
      </c>
      <c r="AX571" s="648">
        <f t="shared" si="1609"/>
        <v>-1.0263157894736843</v>
      </c>
      <c r="AY571" s="115"/>
      <c r="AZ571" s="648">
        <f t="shared" si="1610"/>
        <v>1</v>
      </c>
      <c r="BA571" s="648">
        <f t="shared" si="1610"/>
        <v>3</v>
      </c>
      <c r="BB571" s="648">
        <f t="shared" si="1610"/>
        <v>5</v>
      </c>
      <c r="BC571" s="115"/>
      <c r="BD571" s="648"/>
      <c r="BE571" s="648">
        <f>+BE567/BA567-1</f>
        <v>-1.5</v>
      </c>
      <c r="BF571" s="648">
        <f>+BF567/BB567-1</f>
        <v>-1.3333333333333333</v>
      </c>
      <c r="BG571" s="115"/>
      <c r="BH571" s="648"/>
      <c r="BI571" s="648"/>
      <c r="BJ571" s="648"/>
      <c r="BK571" s="115"/>
      <c r="BL571" s="648"/>
      <c r="BM571" s="648"/>
      <c r="BN571" s="648"/>
      <c r="BO571" s="115"/>
      <c r="BP571" s="648"/>
      <c r="BQ571" s="648"/>
      <c r="BR571" s="648"/>
      <c r="BS571" s="115"/>
      <c r="BT571" s="648"/>
      <c r="BU571" s="648"/>
      <c r="BV571" s="648"/>
      <c r="BW571" s="115"/>
      <c r="BX571" s="648"/>
      <c r="BY571" s="648"/>
      <c r="BZ571" s="648"/>
      <c r="CA571" s="115"/>
      <c r="CB571" s="648"/>
      <c r="CC571" s="648"/>
      <c r="CD571" s="648"/>
      <c r="CE571" s="115"/>
      <c r="CF571" s="648"/>
      <c r="CG571" s="648"/>
      <c r="CH571" s="648"/>
      <c r="CI571" s="115"/>
      <c r="CJ571" s="648"/>
      <c r="CK571" s="648"/>
      <c r="CL571" s="648"/>
      <c r="CM571" s="115"/>
      <c r="CN571" s="648"/>
      <c r="CO571" s="648"/>
      <c r="CP571" s="648"/>
      <c r="CQ571" s="115"/>
      <c r="CR571" s="648"/>
      <c r="CS571" s="648"/>
      <c r="CT571" s="648"/>
      <c r="CU571" s="115"/>
      <c r="CV571" s="648"/>
      <c r="CW571" s="648"/>
      <c r="CX571" s="648"/>
      <c r="CY571" s="115"/>
      <c r="CZ571" s="648"/>
      <c r="DA571" s="648"/>
      <c r="DB571" s="648"/>
      <c r="DC571" s="115"/>
      <c r="DD571" s="648"/>
      <c r="DE571" s="648"/>
      <c r="DF571" s="648"/>
      <c r="DG571" s="115"/>
      <c r="DH571" s="648"/>
      <c r="DI571" s="637"/>
      <c r="DJ571" s="648"/>
      <c r="DK571" s="115"/>
      <c r="DL571" s="637"/>
      <c r="DM571" s="637"/>
      <c r="DN571" s="648"/>
      <c r="DO571" s="115"/>
      <c r="DP571" s="637"/>
      <c r="DQ571" s="637"/>
      <c r="DR571" s="648"/>
      <c r="DS571" s="115"/>
      <c r="DT571" s="115"/>
      <c r="DU571" s="115"/>
      <c r="DV571" s="115"/>
      <c r="DW571" s="1214"/>
      <c r="DX571" s="648"/>
      <c r="DY571" s="648"/>
      <c r="DZ571" s="115"/>
      <c r="EA571" s="648"/>
      <c r="EB571" s="648"/>
      <c r="EC571" s="648"/>
      <c r="ED571" s="115"/>
      <c r="EE571" s="648"/>
      <c r="EF571" s="648"/>
      <c r="EG571" s="648"/>
      <c r="EH571" s="115"/>
      <c r="EI571" s="648"/>
      <c r="EJ571" s="648"/>
      <c r="EK571" s="648"/>
      <c r="EL571" s="115"/>
      <c r="EM571" s="115"/>
      <c r="EN571" s="115"/>
      <c r="EO571" s="115"/>
      <c r="EP571" s="115"/>
      <c r="EQ571" s="115"/>
      <c r="ER571" s="115"/>
      <c r="ES571" s="115"/>
      <c r="ET571" s="115"/>
      <c r="EU571" s="115"/>
      <c r="JW571"/>
    </row>
    <row r="572" spans="1:283" s="328" customFormat="1">
      <c r="A572" s="1092" t="str">
        <f>+A568</f>
        <v>Total</v>
      </c>
      <c r="AN572" s="581"/>
      <c r="AO572" s="581"/>
      <c r="AP572" s="581"/>
      <c r="AQ572" s="581"/>
      <c r="AR572" s="581"/>
      <c r="AS572" s="581"/>
      <c r="AT572" s="581"/>
      <c r="AU572" s="581"/>
      <c r="AV572" s="682">
        <f t="shared" si="1609"/>
        <v>0.31770833333333326</v>
      </c>
      <c r="AW572" s="682">
        <f t="shared" si="1609"/>
        <v>0.53333333333333344</v>
      </c>
      <c r="AX572" s="682">
        <f t="shared" si="1609"/>
        <v>0.42635658914728691</v>
      </c>
      <c r="AY572" s="581"/>
      <c r="AZ572" s="682">
        <f t="shared" si="1610"/>
        <v>0.35177865612648218</v>
      </c>
      <c r="BA572" s="682">
        <f t="shared" si="1610"/>
        <v>0.26086956521739135</v>
      </c>
      <c r="BB572" s="682">
        <f t="shared" si="1610"/>
        <v>0.30253623188405787</v>
      </c>
      <c r="BC572" s="581"/>
      <c r="BD572" s="682">
        <f>+BD568/AZ568-1</f>
        <v>4.3859649122806932E-2</v>
      </c>
      <c r="BE572" s="682">
        <f>+BE568/BA568-1</f>
        <v>-8.2228116710875376E-2</v>
      </c>
      <c r="BF572" s="682">
        <f>+BF568/BB568-1</f>
        <v>-2.2253129346314293E-2</v>
      </c>
      <c r="BG572" s="581"/>
      <c r="BH572" s="682">
        <f>+BH568/BD568-1</f>
        <v>-0.12885154061624648</v>
      </c>
      <c r="BI572" s="682">
        <f>+BI568/BE568-1</f>
        <v>-4.3352601156069315E-2</v>
      </c>
      <c r="BJ572" s="682">
        <f>+BJ568/BF568-1</f>
        <v>-8.6770981507823586E-2</v>
      </c>
      <c r="BK572" s="581"/>
      <c r="BL572" s="682">
        <f>+BL568/BH568-1</f>
        <v>0.17684887459807075</v>
      </c>
      <c r="BM572" s="682">
        <f>+BM568/BI568-1</f>
        <v>0.1238670694864048</v>
      </c>
      <c r="BN572" s="682">
        <f>+BN568/BJ568-1</f>
        <v>0.14953271028037385</v>
      </c>
      <c r="BO572" s="581"/>
      <c r="BP572" s="682">
        <f>+BP568/BL568-1</f>
        <v>0.1092896174863387</v>
      </c>
      <c r="BQ572" s="682">
        <f>+BQ568/BM568-1</f>
        <v>0.12634408602150549</v>
      </c>
      <c r="BR572" s="682">
        <f>+BR568/BN568-1</f>
        <v>0.11788617886178865</v>
      </c>
      <c r="BS572" s="581"/>
      <c r="BT572" s="682">
        <f>+BT568/BP568-1</f>
        <v>0.12315270935960587</v>
      </c>
      <c r="BU572" s="682">
        <f>+BU568/BQ568-1</f>
        <v>0.15751789976133646</v>
      </c>
      <c r="BV572" s="682">
        <f>+BV568/BR568-1</f>
        <v>0.14060606060606062</v>
      </c>
      <c r="BW572" s="581"/>
      <c r="BX572" s="682">
        <f>+BX568/BT568-1</f>
        <v>9.210526315789469E-2</v>
      </c>
      <c r="BY572" s="682">
        <f>+BY568/BU568-1</f>
        <v>0.13608247422680408</v>
      </c>
      <c r="BZ572" s="682">
        <f>+BZ568/BV568-1</f>
        <v>0.11477151965993615</v>
      </c>
      <c r="CA572" s="581"/>
      <c r="CB572" s="682">
        <f>+CB568/BX568-1</f>
        <v>0.58032128514056236</v>
      </c>
      <c r="CC572" s="682">
        <f>+CC568/BY568-1</f>
        <v>0.44646098003629775</v>
      </c>
      <c r="CD572" s="682">
        <f>+CD568/BZ568-1</f>
        <v>0.51000953288846529</v>
      </c>
      <c r="CE572" s="581"/>
      <c r="CF572" s="682">
        <f>+CF568/CB568-1</f>
        <v>5.9720457433291019E-2</v>
      </c>
      <c r="CG572" s="682">
        <f>+CG568/CC568-1</f>
        <v>5.8971141781681391E-2</v>
      </c>
      <c r="CH572" s="682">
        <f>+CH568/CD568-1</f>
        <v>5.9343434343434254E-2</v>
      </c>
      <c r="CI572" s="581"/>
      <c r="CJ572" s="682">
        <f>+CJ568/CF568-1</f>
        <v>4.7961630695443347E-3</v>
      </c>
      <c r="CK572" s="682">
        <f>+CK568/CG568-1</f>
        <v>5.4502369668246509E-2</v>
      </c>
      <c r="CL572" s="682">
        <f>+CL568/CH568-1</f>
        <v>2.9797377830750982E-2</v>
      </c>
      <c r="CM572" s="581"/>
      <c r="CN572" s="682">
        <f>+CN568/CJ568-1</f>
        <v>7.1599045346062429E-3</v>
      </c>
      <c r="CO572" s="682">
        <f>+CO568/CK568-1</f>
        <v>1.348314606741563E-2</v>
      </c>
      <c r="CP572" s="682">
        <f>+CP568/CL568-1</f>
        <v>1.0416666666666741E-2</v>
      </c>
      <c r="CQ572" s="581"/>
      <c r="CR572" s="682">
        <f>+CR568/CN568-1</f>
        <v>0.15402843601895744</v>
      </c>
      <c r="CS572" s="682">
        <f>+CS568/CO568-1</f>
        <v>0.10643015521064303</v>
      </c>
      <c r="CT572" s="682">
        <f>+CT568/CP568-1</f>
        <v>0.12943871706758303</v>
      </c>
      <c r="CU572" s="581"/>
      <c r="CV572" s="682">
        <f>+CV568/CR568-1</f>
        <v>0.22895277207392195</v>
      </c>
      <c r="CW572" s="682">
        <f>+CW568/CS568-1</f>
        <v>0.32565130260521036</v>
      </c>
      <c r="CX572" s="682">
        <f>+CX568/CT568-1</f>
        <v>0.27789046653144012</v>
      </c>
      <c r="CY572" s="581"/>
      <c r="CZ572" s="682">
        <f>+CZ568/CV568-1</f>
        <v>0.13617376775271506</v>
      </c>
      <c r="DA572" s="682">
        <f>+DA568/CW568-1</f>
        <v>-2.8722600151171562E-2</v>
      </c>
      <c r="DB572" s="682">
        <f>+DB568/CX568-1</f>
        <v>4.9603174603174649E-2</v>
      </c>
      <c r="DC572" s="581"/>
      <c r="DD572" s="682">
        <f>+DD568/CZ568-1</f>
        <v>-2.5000000000000022E-2</v>
      </c>
      <c r="DE572" s="682">
        <f>+DE568/DA568-1</f>
        <v>8.2490272373540785E-2</v>
      </c>
      <c r="DF572" s="682">
        <f>+DF568/DB568-1</f>
        <v>2.7221172022684259E-2</v>
      </c>
      <c r="DG572" s="581"/>
      <c r="DH572" s="682">
        <f>+DH568/DD568-1</f>
        <v>9.8039215686274606E-2</v>
      </c>
      <c r="DI572" s="682">
        <f>+DI568/DE568-1</f>
        <v>6.2412820194127638E-2</v>
      </c>
      <c r="DJ572" s="682">
        <f>+DJ568/DF568-1</f>
        <v>7.9799864884074978E-2</v>
      </c>
      <c r="DK572" s="581"/>
      <c r="DL572" s="682">
        <f>+DL568/DH568-1</f>
        <v>0.10770353588066484</v>
      </c>
      <c r="DM572" s="682">
        <f>+DM568/DI568-1</f>
        <v>0.13984603999296441</v>
      </c>
      <c r="DN572" s="682">
        <f>+DN568/DJ568-1</f>
        <v>0.12389429582342348</v>
      </c>
      <c r="DO572" s="581"/>
      <c r="DP572" s="682">
        <f>+DP568/DL568-1</f>
        <v>8.6092996462592053E-2</v>
      </c>
      <c r="DQ572" s="682">
        <f>+DQ568/DM568-1</f>
        <v>7.7979901322566381E-2</v>
      </c>
      <c r="DR572" s="682">
        <f>+DR568/DN568-1</f>
        <v>8.1948280038154131E-2</v>
      </c>
      <c r="DS572" s="581"/>
      <c r="DT572" s="581"/>
      <c r="DU572" s="581"/>
      <c r="DV572" s="581"/>
      <c r="DW572" s="682"/>
      <c r="DX572" s="682"/>
      <c r="DY572" s="682"/>
      <c r="DZ572" s="581"/>
      <c r="EA572" s="682"/>
      <c r="EB572" s="682"/>
      <c r="EC572" s="682"/>
      <c r="ED572" s="581"/>
      <c r="EE572" s="682"/>
      <c r="EF572" s="682"/>
      <c r="EG572" s="682"/>
      <c r="EH572" s="581"/>
      <c r="EI572" s="682"/>
      <c r="EJ572" s="682"/>
      <c r="EK572" s="682"/>
      <c r="EL572" s="581"/>
      <c r="EM572" s="581"/>
      <c r="EN572" s="581"/>
      <c r="EO572" s="581"/>
      <c r="EP572" s="581"/>
      <c r="EQ572" s="581"/>
      <c r="ER572" s="581"/>
      <c r="ES572" s="581"/>
      <c r="ET572" s="581"/>
      <c r="EU572" s="581"/>
      <c r="JW572"/>
    </row>
    <row r="573" spans="1:283" s="328" customFormat="1">
      <c r="A573" s="1092"/>
      <c r="AN573" s="581"/>
      <c r="AO573" s="581"/>
      <c r="AP573" s="581"/>
      <c r="AQ573" s="581"/>
      <c r="AR573" s="581"/>
      <c r="AS573" s="581"/>
      <c r="AT573" s="581"/>
      <c r="AU573" s="581"/>
      <c r="AV573" s="682"/>
      <c r="AW573" s="682"/>
      <c r="AX573" s="682"/>
      <c r="AY573" s="581"/>
      <c r="AZ573" s="682"/>
      <c r="BA573" s="682"/>
      <c r="BB573" s="682"/>
      <c r="BC573" s="581"/>
      <c r="BD573" s="682"/>
      <c r="BE573" s="682"/>
      <c r="BF573" s="682"/>
      <c r="BG573" s="581"/>
      <c r="BH573" s="682"/>
      <c r="BI573" s="682"/>
      <c r="BJ573" s="682"/>
      <c r="BK573" s="581"/>
      <c r="BL573" s="682"/>
      <c r="BM573" s="682"/>
      <c r="BN573" s="682"/>
      <c r="BO573" s="581"/>
      <c r="BP573" s="682"/>
      <c r="BQ573" s="682"/>
      <c r="BR573" s="682"/>
      <c r="BS573" s="581"/>
      <c r="BT573" s="682"/>
      <c r="BU573" s="682"/>
      <c r="BV573" s="682"/>
      <c r="BW573" s="581"/>
      <c r="BX573" s="682"/>
      <c r="BY573" s="682"/>
      <c r="BZ573" s="682"/>
      <c r="CA573" s="581"/>
      <c r="CB573" s="682"/>
      <c r="CC573" s="682"/>
      <c r="CD573" s="682"/>
      <c r="CE573" s="581"/>
      <c r="CF573" s="682"/>
      <c r="CG573" s="682"/>
      <c r="CH573" s="682"/>
      <c r="CI573" s="581"/>
      <c r="CJ573" s="682"/>
      <c r="CK573" s="682"/>
      <c r="CL573" s="682"/>
      <c r="CM573" s="581"/>
      <c r="CN573" s="682"/>
      <c r="CO573" s="682"/>
      <c r="CP573" s="682"/>
      <c r="CQ573" s="581"/>
      <c r="CR573" s="682"/>
      <c r="CS573" s="682"/>
      <c r="CT573" s="682"/>
      <c r="CU573" s="581"/>
      <c r="CV573" s="682"/>
      <c r="CW573" s="682"/>
      <c r="CX573" s="682"/>
      <c r="CY573" s="581"/>
      <c r="CZ573" s="682"/>
      <c r="DA573" s="682"/>
      <c r="DB573" s="682"/>
      <c r="DC573" s="581"/>
      <c r="DD573" s="682"/>
      <c r="DE573" s="682"/>
      <c r="DF573" s="682"/>
      <c r="DG573" s="581"/>
      <c r="DH573" s="682"/>
      <c r="DI573" s="682"/>
      <c r="DJ573" s="682"/>
      <c r="DK573" s="581"/>
      <c r="DL573" s="682"/>
      <c r="DM573" s="682"/>
      <c r="DN573" s="682"/>
      <c r="DO573" s="581"/>
      <c r="DP573" s="682"/>
      <c r="DQ573" s="682"/>
      <c r="DR573" s="682"/>
      <c r="DS573" s="581"/>
      <c r="DT573" s="581"/>
      <c r="DU573" s="581"/>
      <c r="DV573" s="581"/>
      <c r="DW573" s="682"/>
      <c r="DX573" s="682"/>
      <c r="DY573" s="682"/>
      <c r="DZ573" s="581"/>
      <c r="EA573" s="682"/>
      <c r="EB573" s="682"/>
      <c r="EC573" s="682"/>
      <c r="ED573" s="581"/>
      <c r="EE573" s="682"/>
      <c r="EF573" s="682"/>
      <c r="EG573" s="682"/>
      <c r="EH573" s="581"/>
      <c r="EI573" s="682"/>
      <c r="EJ573" s="682"/>
      <c r="EK573" s="682"/>
      <c r="EL573" s="581"/>
      <c r="EM573" s="581"/>
      <c r="EN573" s="581"/>
      <c r="EO573" s="581"/>
      <c r="EP573" s="581"/>
      <c r="EQ573" s="581"/>
      <c r="ER573" s="581"/>
      <c r="ES573" s="581"/>
      <c r="ET573" s="581"/>
      <c r="EU573" s="581"/>
      <c r="JW573"/>
    </row>
    <row r="574" spans="1:283" s="328" customFormat="1">
      <c r="A574" s="1531" t="s">
        <v>1277</v>
      </c>
      <c r="B574" s="1532"/>
      <c r="C574" s="1532"/>
      <c r="D574" s="1532"/>
      <c r="E574" s="1532"/>
      <c r="F574" s="1532"/>
      <c r="G574" s="1532"/>
      <c r="H574" s="1532"/>
      <c r="I574" s="1532"/>
      <c r="J574" s="1532"/>
      <c r="K574" s="1532"/>
      <c r="L574" s="1532"/>
      <c r="M574" s="1532"/>
      <c r="N574" s="1532"/>
      <c r="O574" s="1532"/>
      <c r="P574" s="1532"/>
      <c r="Q574" s="1532"/>
      <c r="R574" s="1532"/>
      <c r="S574" s="1532"/>
      <c r="T574" s="1532"/>
      <c r="U574" s="1532"/>
      <c r="V574" s="1532"/>
      <c r="W574" s="1532"/>
      <c r="X574" s="1532"/>
      <c r="Y574" s="1532"/>
      <c r="Z574" s="1532"/>
      <c r="AA574" s="1532"/>
      <c r="AB574" s="1532"/>
      <c r="AC574" s="1532"/>
      <c r="AD574" s="1532"/>
      <c r="AE574" s="1532"/>
      <c r="AF574" s="1532"/>
      <c r="AG574" s="1532"/>
      <c r="AH574" s="1532"/>
      <c r="AI574" s="1532"/>
      <c r="AJ574" s="1532"/>
      <c r="AK574" s="1532"/>
      <c r="AL574" s="1532"/>
      <c r="AM574" s="1532"/>
      <c r="AN574" s="1533"/>
      <c r="AO574" s="1533"/>
      <c r="AP574" s="1533"/>
      <c r="AQ574" s="1533"/>
      <c r="AR574" s="1533"/>
      <c r="AS574" s="1533"/>
      <c r="AT574" s="1533"/>
      <c r="AU574" s="1533"/>
      <c r="AV574" s="1534"/>
      <c r="AW574" s="1534"/>
      <c r="AX574" s="1534"/>
      <c r="AY574" s="1533"/>
      <c r="AZ574" s="1534"/>
      <c r="BA574" s="1534"/>
      <c r="BB574" s="1534"/>
      <c r="BC574" s="1533"/>
      <c r="BD574" s="1534"/>
      <c r="BE574" s="1534"/>
      <c r="BF574" s="1534"/>
      <c r="BG574" s="1533"/>
      <c r="BH574" s="1534"/>
      <c r="BI574" s="1534"/>
      <c r="BJ574" s="1534"/>
      <c r="BK574" s="1533"/>
      <c r="BL574" s="1534"/>
      <c r="BM574" s="1534"/>
      <c r="BN574" s="1534"/>
      <c r="BO574" s="1533"/>
      <c r="BP574" s="1534"/>
      <c r="BQ574" s="1534"/>
      <c r="BR574" s="1534"/>
      <c r="BS574" s="1533"/>
      <c r="BT574" s="1535"/>
      <c r="BU574" s="1535"/>
      <c r="BV574" s="1535"/>
      <c r="BW574" s="1533"/>
      <c r="BX574" s="1535">
        <f>BX566*($BZ$1/BX1)/(BX584*1000)</f>
        <v>2.8098407030398589E-2</v>
      </c>
      <c r="BY574" s="1535">
        <f>BY566*($BZ$1/BY1)/(BY584*1000)</f>
        <v>3.0953150490965618E-2</v>
      </c>
      <c r="BZ574" s="1535">
        <f>BZ566*($BZ$1/BZ1)/(BZ584*1000)</f>
        <v>2.9528501055594646E-2</v>
      </c>
      <c r="CA574" s="1533"/>
      <c r="CB574" s="1535">
        <f>CB566*($CD$1/CB1)/(CB584*1000)</f>
        <v>4.2771102276618872E-2</v>
      </c>
      <c r="CC574" s="1535">
        <f>CC566*($CD$1/CC1)/(CC584*1000)</f>
        <v>3.393586243904715E-2</v>
      </c>
      <c r="CD574" s="1535">
        <f>CD566*($CD$1/CD1)/(CD584*1000)</f>
        <v>3.7804295942720757E-2</v>
      </c>
      <c r="CE574" s="1533"/>
      <c r="CF574" s="1535">
        <f>CF566*($CH$1/CF1)/(CF584*1000)</f>
        <v>2.8532463515451453E-2</v>
      </c>
      <c r="CG574" s="1535">
        <f>CG566*($CH$1/CG1)/(CG584*1000)</f>
        <v>2.7634895716528371E-2</v>
      </c>
      <c r="CH574" s="1535">
        <f>CH566*($CH$1/CH1)/(CH584*1000)</f>
        <v>2.807193642827269E-2</v>
      </c>
      <c r="CI574" s="1533"/>
      <c r="CJ574" s="1535">
        <f>CJ566*($CL$1/CJ1)/(CJ584*1000)</f>
        <v>2.5804464973056197E-2</v>
      </c>
      <c r="CK574" s="1535">
        <f>CK566*($CL$1/CK1)/(CK584*1000)</f>
        <v>2.4947442186405044E-2</v>
      </c>
      <c r="CL574" s="1535">
        <f>CL566*($CL$1/CL1)/(CL584*1000)</f>
        <v>2.5355832721936904E-2</v>
      </c>
      <c r="CM574" s="1533"/>
      <c r="CN574" s="1535">
        <f>CN566*($CP$1/CN1)/(CN584*1000)</f>
        <v>2.1805543758317055E-2</v>
      </c>
      <c r="CO574" s="1535">
        <f>CO566*($CP$1/CO1)/(CO584*1000)</f>
        <v>2.1509584351439286E-2</v>
      </c>
      <c r="CP574" s="1535">
        <f>CP566*($CP$1/CP1)/(CP584*1000)</f>
        <v>2.1649101053936769E-2</v>
      </c>
      <c r="CQ574" s="1533"/>
      <c r="CR574" s="1535">
        <f>CR566*($CT$1/CR1)/(CR584*1000)</f>
        <v>2.0688792285712621E-2</v>
      </c>
      <c r="CS574" s="1535">
        <f>CS566*($CT$1/CS1)/(CS584*1000)</f>
        <v>1.9162120789693791E-2</v>
      </c>
      <c r="CT574" s="1535">
        <f>CT566*($CT$1/CT1)/(CT584*1000)</f>
        <v>1.9884043357701029E-2</v>
      </c>
      <c r="CU574" s="1533"/>
      <c r="CV574" s="1535">
        <f>CV566*($CT$1/CV1)/(CV584*1000)</f>
        <v>2.0652759657382721E-2</v>
      </c>
      <c r="CW574" s="1535">
        <f>CW566*($CT$1/CW1)/(CW584*1000)</f>
        <v>2.133710680152176E-2</v>
      </c>
      <c r="CX574" s="1535">
        <f>CX566*($CT$1/CX1)/(CX584*1000)</f>
        <v>2.1004375911648259E-2</v>
      </c>
      <c r="CY574" s="1533"/>
      <c r="CZ574" s="1535">
        <f>CZ566*($CT$1/CZ1)/(CZ584*1000)</f>
        <v>2.0698728012292476E-2</v>
      </c>
      <c r="DA574" s="1535">
        <f>DA566*($CT$1/DA1)/(DA584*1000)</f>
        <v>1.866699302313549E-2</v>
      </c>
      <c r="DB574" s="1535">
        <f>DB566*($CT$1/DB1)/(DB584*1000)</f>
        <v>1.9659200477314818E-2</v>
      </c>
      <c r="DC574" s="1533"/>
      <c r="DD574" s="1535">
        <f>DD566*($CT$1/DD1)/(DD584*1000)</f>
        <v>1.8202024076811121E-2</v>
      </c>
      <c r="DE574" s="1535">
        <f>DE566*($CT$1/DE1)/(DE584*1000)</f>
        <v>1.7893796389627053E-2</v>
      </c>
      <c r="DF574" s="1535">
        <f>DF566*($CT$1/DF1)/(DF584*1000)</f>
        <v>1.8041168658698536E-2</v>
      </c>
      <c r="DG574" s="581"/>
      <c r="DH574" s="1535">
        <f>DH566*($CT$1/DH1)/(DH584*1000)</f>
        <v>1.7092664601806914E-2</v>
      </c>
      <c r="DI574" s="1535">
        <f>DH574+DI575</f>
        <v>1.5592664601806914E-2</v>
      </c>
      <c r="DJ574" s="1535">
        <f>DJ566*($CT$1/DJ1)/(DJ584*1000)</f>
        <v>1.6300178945894802E-2</v>
      </c>
      <c r="DK574" s="581"/>
      <c r="DL574" s="1535">
        <f>DI574+DL575</f>
        <v>1.5292664601806914E-2</v>
      </c>
      <c r="DM574" s="1535">
        <f>DL574+DM575</f>
        <v>1.4992664601806914E-2</v>
      </c>
      <c r="DN574" s="1535">
        <f>DN566*($CT$1/DN1)/(DN584*1000)</f>
        <v>1.5136494032423368E-2</v>
      </c>
      <c r="DO574" s="581"/>
      <c r="DP574" s="1535">
        <f>DM574+DP575</f>
        <v>1.4692664601806914E-2</v>
      </c>
      <c r="DQ574" s="1535">
        <f>DP574+DQ575</f>
        <v>1.4392664601806915E-2</v>
      </c>
      <c r="DR574" s="1535">
        <f>DR566*($CT$1/DR1)/(DR584*1000)</f>
        <v>1.4498697645049852E-2</v>
      </c>
      <c r="DS574" s="581"/>
      <c r="DT574" s="581"/>
      <c r="DU574" s="581"/>
      <c r="DV574" s="581"/>
      <c r="DW574" s="682"/>
      <c r="DX574" s="682"/>
      <c r="DY574" s="682"/>
      <c r="DZ574" s="581"/>
      <c r="EA574" s="682"/>
      <c r="EB574" s="682"/>
      <c r="EC574" s="682"/>
      <c r="ED574" s="581"/>
      <c r="EE574" s="682"/>
      <c r="EF574" s="682"/>
      <c r="EG574" s="682"/>
      <c r="EH574" s="581"/>
      <c r="EI574" s="682"/>
      <c r="EJ574" s="682"/>
      <c r="EK574" s="682"/>
      <c r="EL574" s="581"/>
      <c r="EM574" s="581"/>
      <c r="EN574" s="581"/>
      <c r="EO574" s="581"/>
      <c r="EP574" s="581"/>
      <c r="EQ574" s="581"/>
      <c r="ER574" s="581"/>
      <c r="ES574" s="581"/>
      <c r="ET574" s="581"/>
      <c r="EU574" s="581"/>
      <c r="JW574"/>
    </row>
    <row r="575" spans="1:283" s="328" customFormat="1" ht="15.6">
      <c r="A575" s="1546" t="s">
        <v>382</v>
      </c>
      <c r="B575" s="919"/>
      <c r="C575" s="919"/>
      <c r="D575" s="919"/>
      <c r="E575" s="919"/>
      <c r="F575" s="919"/>
      <c r="G575" s="919"/>
      <c r="H575" s="919"/>
      <c r="I575" s="919"/>
      <c r="J575" s="919"/>
      <c r="K575" s="919"/>
      <c r="L575" s="919"/>
      <c r="M575" s="919"/>
      <c r="N575" s="919"/>
      <c r="O575" s="919"/>
      <c r="P575" s="919"/>
      <c r="Q575" s="919"/>
      <c r="R575" s="919"/>
      <c r="S575" s="919"/>
      <c r="T575" s="919"/>
      <c r="U575" s="919"/>
      <c r="V575" s="919"/>
      <c r="W575" s="919"/>
      <c r="X575" s="919"/>
      <c r="Y575" s="919"/>
      <c r="Z575" s="919"/>
      <c r="AA575" s="919"/>
      <c r="AB575" s="919"/>
      <c r="AC575" s="919"/>
      <c r="AD575" s="919"/>
      <c r="AE575" s="919"/>
      <c r="AF575" s="919"/>
      <c r="AG575" s="919"/>
      <c r="AH575" s="919"/>
      <c r="AI575" s="919"/>
      <c r="AJ575" s="919"/>
      <c r="AK575" s="919"/>
      <c r="AL575" s="919"/>
      <c r="AM575" s="919"/>
      <c r="AN575" s="1542"/>
      <c r="AO575" s="1542"/>
      <c r="AP575" s="1542"/>
      <c r="AQ575" s="1542"/>
      <c r="AR575" s="1542"/>
      <c r="AS575" s="1542"/>
      <c r="AT575" s="1542"/>
      <c r="AU575" s="1542"/>
      <c r="AV575" s="1543"/>
      <c r="AW575" s="1543"/>
      <c r="AX575" s="1543"/>
      <c r="AY575" s="1542"/>
      <c r="AZ575" s="1543"/>
      <c r="BA575" s="1543"/>
      <c r="BB575" s="1543"/>
      <c r="BC575" s="1542"/>
      <c r="BD575" s="1543"/>
      <c r="BE575" s="1543"/>
      <c r="BF575" s="1543"/>
      <c r="BG575" s="1542"/>
      <c r="BH575" s="1543"/>
      <c r="BI575" s="1543"/>
      <c r="BJ575" s="1543"/>
      <c r="BK575" s="1542"/>
      <c r="BL575" s="1543"/>
      <c r="BM575" s="1543"/>
      <c r="BN575" s="1543"/>
      <c r="BO575" s="1542"/>
      <c r="BP575" s="1543"/>
      <c r="BQ575" s="1543"/>
      <c r="BR575" s="1543"/>
      <c r="BS575" s="1542"/>
      <c r="BT575" s="1544"/>
      <c r="BU575" s="1544"/>
      <c r="BV575" s="1544"/>
      <c r="BW575" s="1542"/>
      <c r="BX575" s="1544"/>
      <c r="BY575" s="1544"/>
      <c r="BZ575" s="1544"/>
      <c r="CA575" s="1542"/>
      <c r="CB575" s="1544"/>
      <c r="CC575" s="1544"/>
      <c r="CD575" s="1544"/>
      <c r="CE575" s="1542"/>
      <c r="CF575" s="1544"/>
      <c r="CG575" s="1544"/>
      <c r="CH575" s="1544"/>
      <c r="CI575" s="1542"/>
      <c r="CJ575" s="1545">
        <f>CJ574-CG574</f>
        <v>-1.8304307434721737E-3</v>
      </c>
      <c r="CK575" s="1545">
        <f>CK574-CJ574</f>
        <v>-8.5702278665115289E-4</v>
      </c>
      <c r="CL575" s="1544"/>
      <c r="CM575" s="1542"/>
      <c r="CN575" s="1545">
        <f>CN574-CK574</f>
        <v>-3.1418984280879893E-3</v>
      </c>
      <c r="CO575" s="1545">
        <f>CO574-CN574</f>
        <v>-2.9595940687776948E-4</v>
      </c>
      <c r="CP575" s="1544"/>
      <c r="CQ575" s="1542"/>
      <c r="CR575" s="1545">
        <f>CR574-CO574</f>
        <v>-8.2079206572666444E-4</v>
      </c>
      <c r="CS575" s="1545">
        <f>CS574-CR574</f>
        <v>-1.5266714960188305E-3</v>
      </c>
      <c r="CT575" s="1544"/>
      <c r="CU575" s="1542"/>
      <c r="CV575" s="1545">
        <f>CV574-CS574</f>
        <v>1.4906388676889301E-3</v>
      </c>
      <c r="CW575" s="1545">
        <f>CW574-CV574</f>
        <v>6.8434714413903933E-4</v>
      </c>
      <c r="CX575" s="1544"/>
      <c r="CY575" s="1542"/>
      <c r="CZ575" s="1545">
        <f>CZ574-CW574</f>
        <v>-6.3837878922928457E-4</v>
      </c>
      <c r="DA575" s="1545">
        <f>DA574-CZ574</f>
        <v>-2.0317349891569858E-3</v>
      </c>
      <c r="DB575" s="1544"/>
      <c r="DC575" s="1542"/>
      <c r="DD575" s="1545">
        <f>DD574-DA574</f>
        <v>-4.6496894632436919E-4</v>
      </c>
      <c r="DE575" s="1545">
        <f>DE574-DD574</f>
        <v>-3.0822768718406779E-4</v>
      </c>
      <c r="DF575" s="1544"/>
      <c r="DG575" s="1542"/>
      <c r="DH575" s="1545">
        <f>DH574-DE574</f>
        <v>-8.0113178782013905E-4</v>
      </c>
      <c r="DI575" s="1547">
        <v>-1.5E-3</v>
      </c>
      <c r="DJ575" s="1547"/>
      <c r="DK575" s="1542"/>
      <c r="DL575" s="1547">
        <v>-2.9999999999999997E-4</v>
      </c>
      <c r="DM575" s="1547">
        <v>-2.9999999999999997E-4</v>
      </c>
      <c r="DN575" s="1547"/>
      <c r="DO575" s="2240"/>
      <c r="DP575" s="1547">
        <v>-2.9999999999999997E-4</v>
      </c>
      <c r="DQ575" s="1547">
        <v>-2.9999999999999997E-4</v>
      </c>
      <c r="DR575" s="1547"/>
      <c r="DS575" s="1542"/>
      <c r="DT575" s="1542"/>
      <c r="DU575" s="1542"/>
      <c r="DV575" s="1542"/>
      <c r="DW575" s="1543"/>
      <c r="DX575" s="682"/>
      <c r="DY575" s="682"/>
      <c r="DZ575" s="581"/>
      <c r="EA575" s="682"/>
      <c r="EB575" s="682"/>
      <c r="EC575" s="682"/>
      <c r="ED575" s="581"/>
      <c r="EE575" s="682"/>
      <c r="EF575" s="682"/>
      <c r="EG575" s="682"/>
      <c r="EH575" s="581"/>
      <c r="EI575" s="682"/>
      <c r="EJ575" s="682"/>
      <c r="EK575" s="682"/>
      <c r="EL575" s="581"/>
      <c r="EM575" s="581"/>
      <c r="EN575" s="581"/>
      <c r="EO575" s="581"/>
      <c r="EP575" s="581"/>
      <c r="EQ575" s="581"/>
      <c r="ER575" s="581"/>
      <c r="ES575" s="581"/>
      <c r="ET575" s="581"/>
      <c r="EU575" s="581"/>
      <c r="JW575"/>
    </row>
    <row r="576" spans="1:283" s="328" customFormat="1">
      <c r="A576" s="1092"/>
      <c r="AN576" s="581"/>
      <c r="AO576" s="581"/>
      <c r="AP576" s="581"/>
      <c r="AQ576" s="581"/>
      <c r="AR576" s="581"/>
      <c r="AS576" s="581"/>
      <c r="AT576" s="581"/>
      <c r="AU576" s="581"/>
      <c r="AV576" s="682"/>
      <c r="AW576" s="682"/>
      <c r="AX576" s="682"/>
      <c r="AY576" s="581"/>
      <c r="AZ576" s="682"/>
      <c r="BA576" s="682"/>
      <c r="BB576" s="682"/>
      <c r="BC576" s="581"/>
      <c r="BD576" s="682"/>
      <c r="BE576" s="682"/>
      <c r="BF576" s="682"/>
      <c r="BG576" s="581"/>
      <c r="BH576" s="682"/>
      <c r="BI576" s="682"/>
      <c r="BJ576" s="682"/>
      <c r="BK576" s="581"/>
      <c r="BL576" s="682"/>
      <c r="BM576" s="682"/>
      <c r="BN576" s="682"/>
      <c r="BO576" s="581"/>
      <c r="BP576" s="682"/>
      <c r="BQ576" s="682"/>
      <c r="BR576" s="682"/>
      <c r="BS576" s="581"/>
      <c r="BT576" s="682"/>
      <c r="BU576" s="682"/>
      <c r="BV576" s="682"/>
      <c r="BW576" s="581"/>
      <c r="BX576" s="682"/>
      <c r="BY576" s="682"/>
      <c r="BZ576" s="682"/>
      <c r="CA576" s="581"/>
      <c r="CB576" s="682"/>
      <c r="CC576" s="682"/>
      <c r="CD576" s="682"/>
      <c r="CE576" s="581"/>
      <c r="CF576" s="672"/>
      <c r="CG576" s="682"/>
      <c r="CH576" s="682"/>
      <c r="CI576" s="581"/>
      <c r="CJ576" s="672"/>
      <c r="CK576" s="682"/>
      <c r="CL576" s="682"/>
      <c r="CM576" s="581"/>
      <c r="CN576" s="672"/>
      <c r="CO576" s="682"/>
      <c r="CP576" s="682"/>
      <c r="CQ576" s="581"/>
      <c r="CR576" s="682"/>
      <c r="CS576" s="682"/>
      <c r="CT576" s="682"/>
      <c r="CU576" s="581"/>
      <c r="CV576" s="682"/>
      <c r="CW576" s="682"/>
      <c r="CX576" s="682"/>
      <c r="CY576" s="581"/>
      <c r="CZ576" s="682"/>
      <c r="DA576" s="682"/>
      <c r="DB576" s="682"/>
      <c r="DC576" s="581"/>
      <c r="DD576" s="682"/>
      <c r="DE576" s="682"/>
      <c r="DF576" s="682"/>
      <c r="DG576" s="581"/>
      <c r="DH576" s="682"/>
      <c r="DI576" s="682"/>
      <c r="DJ576" s="682"/>
      <c r="DK576" s="581"/>
      <c r="DL576" s="682"/>
      <c r="DM576" s="682"/>
      <c r="DN576" s="682"/>
      <c r="DO576" s="581"/>
      <c r="DP576" s="682"/>
      <c r="DQ576" s="682"/>
      <c r="DR576" s="682"/>
      <c r="DS576" s="581"/>
      <c r="DT576" s="581"/>
      <c r="DU576" s="581"/>
      <c r="DV576" s="581"/>
      <c r="DW576" s="682"/>
      <c r="DX576" s="682"/>
      <c r="DY576" s="682"/>
      <c r="DZ576" s="581"/>
      <c r="EA576" s="682"/>
      <c r="EB576" s="682"/>
      <c r="EC576" s="682"/>
      <c r="ED576" s="581"/>
      <c r="EE576" s="682"/>
      <c r="EF576" s="682"/>
      <c r="EG576" s="682"/>
      <c r="EH576" s="581"/>
      <c r="EI576" s="682"/>
      <c r="EJ576" s="682"/>
      <c r="EK576" s="682"/>
      <c r="EL576" s="581"/>
      <c r="EM576" s="581"/>
      <c r="EN576" s="581"/>
      <c r="EO576" s="581"/>
      <c r="EP576" s="581"/>
      <c r="EQ576" s="581"/>
      <c r="ER576" s="581"/>
      <c r="ES576" s="581"/>
      <c r="ET576" s="581"/>
      <c r="EU576" s="581"/>
      <c r="JW576"/>
    </row>
    <row r="577" spans="1:283" s="328" customFormat="1">
      <c r="A577" s="332" t="s">
        <v>728</v>
      </c>
      <c r="AN577" s="581"/>
      <c r="AO577" s="581"/>
      <c r="AP577" s="581"/>
      <c r="AQ577" s="581"/>
      <c r="AR577" s="581"/>
      <c r="AS577" s="581"/>
      <c r="AT577" s="581"/>
      <c r="AU577" s="581"/>
      <c r="AV577" s="682"/>
      <c r="AW577" s="682"/>
      <c r="AX577" s="682"/>
      <c r="AY577" s="581"/>
      <c r="AZ577" s="682"/>
      <c r="BA577" s="682"/>
      <c r="BB577" s="682"/>
      <c r="BC577" s="581"/>
      <c r="BD577" s="682"/>
      <c r="BE577" s="682"/>
      <c r="BF577" s="682"/>
      <c r="BG577" s="581"/>
      <c r="BH577" s="682"/>
      <c r="BI577" s="682"/>
      <c r="BJ577" s="682"/>
      <c r="BK577" s="581"/>
      <c r="BL577" s="682"/>
      <c r="BM577" s="682"/>
      <c r="BN577" s="682"/>
      <c r="BO577" s="581"/>
      <c r="BP577" s="682"/>
      <c r="BQ577" s="682"/>
      <c r="BR577" s="682"/>
      <c r="BS577" s="581"/>
      <c r="BT577" s="682"/>
      <c r="BU577" s="710">
        <v>35.1</v>
      </c>
      <c r="BV577" s="1074">
        <f>BU577</f>
        <v>35.1</v>
      </c>
      <c r="BW577" s="581"/>
      <c r="BX577" s="710">
        <v>35.6</v>
      </c>
      <c r="BY577" s="710">
        <v>35.799999999999997</v>
      </c>
      <c r="BZ577" s="1074">
        <f>BY577</f>
        <v>35.799999999999997</v>
      </c>
      <c r="CA577" s="581"/>
      <c r="CB577" s="710">
        <v>37.6</v>
      </c>
      <c r="CC577" s="710">
        <v>56.6</v>
      </c>
      <c r="CD577" s="1074">
        <f>CC577</f>
        <v>56.6</v>
      </c>
      <c r="CE577" s="817">
        <f>+CD577/BZ577-1</f>
        <v>0.58100558659217905</v>
      </c>
      <c r="CF577" s="710">
        <v>60</v>
      </c>
      <c r="CG577" s="710">
        <v>62.5</v>
      </c>
      <c r="CH577" s="1074">
        <f>CG577</f>
        <v>62.5</v>
      </c>
      <c r="CI577" s="581"/>
      <c r="CJ577" s="710">
        <v>67.400000000000006</v>
      </c>
      <c r="CK577" s="710">
        <v>75.3</v>
      </c>
      <c r="CL577" s="1074">
        <f>CK577</f>
        <v>75.3</v>
      </c>
      <c r="CM577" s="581"/>
      <c r="CN577" s="1428">
        <v>79.099999999999994</v>
      </c>
      <c r="CO577" s="1418">
        <v>89.1</v>
      </c>
      <c r="CP577" s="1429">
        <f>CO577</f>
        <v>89.1</v>
      </c>
      <c r="CQ577" s="1430"/>
      <c r="CR577" s="1428">
        <v>98.7</v>
      </c>
      <c r="CS577" s="1502">
        <v>110.2</v>
      </c>
      <c r="CT577" s="1074">
        <f>CS577</f>
        <v>110.2</v>
      </c>
      <c r="CU577" s="581"/>
      <c r="CV577" s="1428">
        <v>121</v>
      </c>
      <c r="CW577" s="1732">
        <v>127.7</v>
      </c>
      <c r="CX577" s="1429">
        <f>CW577</f>
        <v>127.7</v>
      </c>
      <c r="CY577" s="1430"/>
      <c r="CZ577" s="1878">
        <v>134.4</v>
      </c>
      <c r="DA577" s="1732">
        <v>140.19999999999999</v>
      </c>
      <c r="DB577" s="1429">
        <f>DA577</f>
        <v>140.19999999999999</v>
      </c>
      <c r="DC577" s="1430"/>
      <c r="DD577" s="1878">
        <v>150.4</v>
      </c>
      <c r="DE577" s="2180">
        <v>161.4</v>
      </c>
      <c r="DF577" s="1429">
        <f>DE577</f>
        <v>161.4</v>
      </c>
      <c r="DG577" s="581"/>
      <c r="DH577" s="1878">
        <v>178.4</v>
      </c>
      <c r="DI577" s="1074">
        <f>SUM(DI578:DI579)</f>
        <v>201.74700000000004</v>
      </c>
      <c r="DJ577" s="1074">
        <f>DI577</f>
        <v>201.74700000000004</v>
      </c>
      <c r="DK577" s="581"/>
      <c r="DL577" s="1074">
        <f>SUM(DL578:DL579)</f>
        <v>218.95398000000006</v>
      </c>
      <c r="DM577" s="1074">
        <f>SUM(DM578:DM579)</f>
        <v>231.69591480000005</v>
      </c>
      <c r="DN577" s="1074">
        <f>DM577</f>
        <v>231.69591480000005</v>
      </c>
      <c r="DO577" s="581"/>
      <c r="DP577" s="1074">
        <f>SUM(DP578:DP579)</f>
        <v>245.18655352800008</v>
      </c>
      <c r="DQ577" s="1074">
        <f>SUM(DQ578:DQ579)</f>
        <v>259.47018593328011</v>
      </c>
      <c r="DR577" s="1074">
        <f>DQ577</f>
        <v>259.47018593328011</v>
      </c>
      <c r="DS577" s="581"/>
      <c r="DT577" s="581"/>
      <c r="DU577" s="581"/>
      <c r="DV577" s="581"/>
      <c r="DW577" s="682"/>
      <c r="DX577" s="682"/>
      <c r="DY577" s="682"/>
      <c r="DZ577" s="581"/>
      <c r="EA577" s="682"/>
      <c r="EB577" s="682"/>
      <c r="EC577" s="682"/>
      <c r="ED577" s="581"/>
      <c r="EE577" s="682"/>
      <c r="EF577" s="682"/>
      <c r="EG577" s="682"/>
      <c r="EH577" s="581"/>
      <c r="EI577" s="682"/>
      <c r="EJ577" s="682"/>
      <c r="EK577" s="682"/>
      <c r="EL577" s="581"/>
      <c r="EM577" s="581"/>
      <c r="EN577" s="581"/>
      <c r="EO577" s="581"/>
      <c r="EP577" s="581"/>
      <c r="EQ577" s="581"/>
      <c r="ER577" s="581"/>
      <c r="ES577" s="581"/>
      <c r="ET577" s="581"/>
      <c r="EU577" s="581"/>
      <c r="JW577"/>
    </row>
    <row r="578" spans="1:283" s="328" customFormat="1">
      <c r="A578" s="1092" t="s">
        <v>1086</v>
      </c>
      <c r="AN578" s="581"/>
      <c r="AO578" s="581"/>
      <c r="AP578" s="581"/>
      <c r="AQ578" s="581"/>
      <c r="AR578" s="581"/>
      <c r="AS578" s="581"/>
      <c r="AT578" s="581"/>
      <c r="AU578" s="581"/>
      <c r="AV578" s="682"/>
      <c r="AW578" s="682"/>
      <c r="AX578" s="682"/>
      <c r="AY578" s="581"/>
      <c r="AZ578" s="682"/>
      <c r="BA578" s="682"/>
      <c r="BB578" s="682"/>
      <c r="BC578" s="581"/>
      <c r="BD578" s="682"/>
      <c r="BE578" s="682"/>
      <c r="BF578" s="682"/>
      <c r="BG578" s="581"/>
      <c r="BH578" s="682"/>
      <c r="BI578" s="682"/>
      <c r="BJ578" s="682"/>
      <c r="BK578" s="581"/>
      <c r="BL578" s="682"/>
      <c r="BM578" s="682"/>
      <c r="BN578" s="682"/>
      <c r="BO578" s="581"/>
      <c r="BP578" s="682"/>
      <c r="BQ578" s="682"/>
      <c r="BR578" s="682"/>
      <c r="BS578" s="581"/>
      <c r="BT578" s="682"/>
      <c r="BU578" s="682"/>
      <c r="BV578" s="682"/>
      <c r="BW578" s="581"/>
      <c r="BX578" s="1738"/>
      <c r="BY578" s="1738"/>
      <c r="BZ578" s="1739"/>
      <c r="CA578" s="581"/>
      <c r="CB578" s="1738">
        <v>29.9</v>
      </c>
      <c r="CC578" s="1738">
        <v>32.700000000000003</v>
      </c>
      <c r="CD578" s="1739">
        <f>CC578</f>
        <v>32.700000000000003</v>
      </c>
      <c r="CE578" s="581"/>
      <c r="CF578" s="1738">
        <v>36.1</v>
      </c>
      <c r="CG578" s="1738">
        <v>38.5</v>
      </c>
      <c r="CH578" s="1739">
        <f>CG578</f>
        <v>38.5</v>
      </c>
      <c r="CI578" s="581"/>
      <c r="CJ578" s="1738">
        <v>43.6</v>
      </c>
      <c r="CK578" s="1738">
        <v>52.1</v>
      </c>
      <c r="CL578" s="1739">
        <f>CK578</f>
        <v>52.1</v>
      </c>
      <c r="CM578" s="581"/>
      <c r="CN578" s="1740">
        <v>57.4</v>
      </c>
      <c r="CO578" s="1740">
        <v>67</v>
      </c>
      <c r="CP578" s="1741">
        <f>CO578</f>
        <v>67</v>
      </c>
      <c r="CQ578" s="1430"/>
      <c r="CR578" s="1740">
        <v>76.400000000000006</v>
      </c>
      <c r="CS578" s="1742">
        <v>89.5</v>
      </c>
      <c r="CT578" s="1739">
        <f>CS578</f>
        <v>89.5</v>
      </c>
      <c r="CU578" s="581"/>
      <c r="CV578" s="1740">
        <v>101.8</v>
      </c>
      <c r="CW578" s="1879">
        <v>109</v>
      </c>
      <c r="CX578" s="1741">
        <f>CW578</f>
        <v>109</v>
      </c>
      <c r="CY578" s="1430"/>
      <c r="CZ578" s="1880">
        <v>114.2</v>
      </c>
      <c r="DA578" s="1879">
        <v>120.4</v>
      </c>
      <c r="DB578" s="1741">
        <f>DA578</f>
        <v>120.4</v>
      </c>
      <c r="DC578" s="1430"/>
      <c r="DD578" s="1880">
        <v>129.9</v>
      </c>
      <c r="DE578" s="2181">
        <v>143</v>
      </c>
      <c r="DF578" s="1741">
        <f>DE578</f>
        <v>143</v>
      </c>
      <c r="DG578" s="581"/>
      <c r="DH578" s="1880">
        <v>160.30000000000001</v>
      </c>
      <c r="DI578" s="1739">
        <f>DH578*(1+DI595)</f>
        <v>182.74200000000005</v>
      </c>
      <c r="DJ578" s="1739">
        <f>DI578</f>
        <v>182.74200000000005</v>
      </c>
      <c r="DK578" s="581"/>
      <c r="DL578" s="1739">
        <f>DI578*(1+DL595)</f>
        <v>199.18878000000007</v>
      </c>
      <c r="DM578" s="1739">
        <f>DL578*(1+DM595)</f>
        <v>211.14010680000007</v>
      </c>
      <c r="DN578" s="1739">
        <f>DM578</f>
        <v>211.14010680000007</v>
      </c>
      <c r="DO578" s="581"/>
      <c r="DP578" s="1739">
        <f>DM578*(1+DP595)</f>
        <v>223.80851320800008</v>
      </c>
      <c r="DQ578" s="1739">
        <f>DP578*(1+DQ595)</f>
        <v>237.23702400048009</v>
      </c>
      <c r="DR578" s="1739">
        <f>DQ578</f>
        <v>237.23702400048009</v>
      </c>
      <c r="DS578" s="581"/>
      <c r="DT578" s="581"/>
      <c r="DU578" s="581"/>
      <c r="DV578" s="581"/>
      <c r="DW578" s="682"/>
      <c r="DX578" s="682"/>
      <c r="DY578" s="682"/>
      <c r="DZ578" s="581"/>
      <c r="EA578" s="682"/>
      <c r="EB578" s="682"/>
      <c r="EC578" s="682"/>
      <c r="ED578" s="581"/>
      <c r="EE578" s="682"/>
      <c r="EF578" s="682"/>
      <c r="EG578" s="682"/>
      <c r="EH578" s="581"/>
      <c r="EI578" s="682"/>
      <c r="EJ578" s="682"/>
      <c r="EK578" s="682"/>
      <c r="EL578" s="581"/>
      <c r="EM578" s="581"/>
      <c r="EN578" s="581"/>
      <c r="EO578" s="581"/>
      <c r="EP578" s="581"/>
      <c r="EQ578" s="581"/>
      <c r="ER578" s="581"/>
      <c r="ES578" s="581"/>
      <c r="ET578" s="581"/>
      <c r="EU578" s="581"/>
      <c r="JW578"/>
    </row>
    <row r="579" spans="1:283" s="328" customFormat="1">
      <c r="A579" s="1079" t="s">
        <v>1087</v>
      </c>
      <c r="AN579" s="581"/>
      <c r="AO579" s="581"/>
      <c r="AP579" s="581"/>
      <c r="AQ579" s="581"/>
      <c r="AR579" s="581"/>
      <c r="AS579" s="581"/>
      <c r="AT579" s="581"/>
      <c r="AU579" s="581"/>
      <c r="AV579" s="682"/>
      <c r="AW579" s="682"/>
      <c r="AX579" s="682"/>
      <c r="AY579" s="581"/>
      <c r="AZ579" s="682"/>
      <c r="BA579" s="682"/>
      <c r="BB579" s="682"/>
      <c r="BC579" s="581"/>
      <c r="BD579" s="682"/>
      <c r="BE579" s="682"/>
      <c r="BF579" s="682"/>
      <c r="BG579" s="581"/>
      <c r="BH579" s="682"/>
      <c r="BI579" s="682"/>
      <c r="BJ579" s="682"/>
      <c r="BK579" s="581"/>
      <c r="BL579" s="682"/>
      <c r="BM579" s="682"/>
      <c r="BN579" s="682"/>
      <c r="BO579" s="581"/>
      <c r="BP579" s="682"/>
      <c r="BQ579" s="682"/>
      <c r="BR579" s="682"/>
      <c r="BS579" s="581"/>
      <c r="BT579" s="682"/>
      <c r="BU579" s="682"/>
      <c r="BV579" s="682"/>
      <c r="BW579" s="581"/>
      <c r="BX579" s="710"/>
      <c r="BY579" s="710"/>
      <c r="BZ579" s="1074"/>
      <c r="CA579" s="581"/>
      <c r="CB579" s="1240">
        <f>CB577-CB578</f>
        <v>7.7000000000000028</v>
      </c>
      <c r="CC579" s="1240">
        <f>CC577-CC578</f>
        <v>23.9</v>
      </c>
      <c r="CD579" s="1240">
        <f>CC579</f>
        <v>23.9</v>
      </c>
      <c r="CE579" s="581"/>
      <c r="CF579" s="1240">
        <f>CF577-CF578</f>
        <v>23.9</v>
      </c>
      <c r="CG579" s="1240">
        <f>CG577-CG578</f>
        <v>24</v>
      </c>
      <c r="CH579" s="1240">
        <f>CG579</f>
        <v>24</v>
      </c>
      <c r="CI579" s="581"/>
      <c r="CJ579" s="1240">
        <f>CJ577-CJ578</f>
        <v>23.800000000000004</v>
      </c>
      <c r="CK579" s="1240">
        <f>CK577-CK578</f>
        <v>23.199999999999996</v>
      </c>
      <c r="CL579" s="1240">
        <f>CK579</f>
        <v>23.199999999999996</v>
      </c>
      <c r="CM579" s="581"/>
      <c r="CN579" s="1432">
        <f>CN577-CN578</f>
        <v>21.699999999999996</v>
      </c>
      <c r="CO579" s="1432">
        <f>CO577-CO578</f>
        <v>22.099999999999994</v>
      </c>
      <c r="CP579" s="1432">
        <f>CO579</f>
        <v>22.099999999999994</v>
      </c>
      <c r="CQ579" s="1430"/>
      <c r="CR579" s="1432">
        <f>CR577-CR578</f>
        <v>22.299999999999997</v>
      </c>
      <c r="CS579" s="1508">
        <f>CS577-CS578</f>
        <v>20.700000000000003</v>
      </c>
      <c r="CT579" s="1240">
        <f>CS579</f>
        <v>20.700000000000003</v>
      </c>
      <c r="CU579" s="581"/>
      <c r="CV579" s="1432">
        <f>CV577-CV578</f>
        <v>19.200000000000003</v>
      </c>
      <c r="CW579" s="1881">
        <f>CW577-CW578</f>
        <v>18.700000000000003</v>
      </c>
      <c r="CX579" s="1432">
        <f>CW579</f>
        <v>18.700000000000003</v>
      </c>
      <c r="CY579" s="1430"/>
      <c r="CZ579" s="1432">
        <f>CZ577-CZ578</f>
        <v>20.200000000000003</v>
      </c>
      <c r="DA579" s="1881">
        <f>DA577-DA578</f>
        <v>19.799999999999983</v>
      </c>
      <c r="DB579" s="1432">
        <f>DA579</f>
        <v>19.799999999999983</v>
      </c>
      <c r="DC579" s="1430"/>
      <c r="DD579" s="1432">
        <f>DD577-DD578</f>
        <v>20.5</v>
      </c>
      <c r="DE579" s="1881">
        <f>DE577-DE578</f>
        <v>18.400000000000006</v>
      </c>
      <c r="DF579" s="1432">
        <f>DE579</f>
        <v>18.400000000000006</v>
      </c>
      <c r="DG579" s="581"/>
      <c r="DH579" s="1432">
        <f>DH577-DH578</f>
        <v>18.099999999999994</v>
      </c>
      <c r="DI579" s="1074">
        <f>DH579*(1+DI598)</f>
        <v>19.004999999999995</v>
      </c>
      <c r="DJ579" s="1074">
        <f>DI579</f>
        <v>19.004999999999995</v>
      </c>
      <c r="DK579" s="581"/>
      <c r="DL579" s="1074">
        <f>DI579*(1+DL598)</f>
        <v>19.765199999999997</v>
      </c>
      <c r="DM579" s="1074">
        <f>DL579*(1+DM598)</f>
        <v>20.555807999999995</v>
      </c>
      <c r="DN579" s="1074">
        <f>DM579</f>
        <v>20.555807999999995</v>
      </c>
      <c r="DO579" s="581"/>
      <c r="DP579" s="1074">
        <f>DM579*(1+DP598)</f>
        <v>21.378040319999997</v>
      </c>
      <c r="DQ579" s="1074">
        <f>DP579*(1+DQ598)</f>
        <v>22.233161932799998</v>
      </c>
      <c r="DR579" s="1074">
        <f>DQ579</f>
        <v>22.233161932799998</v>
      </c>
      <c r="DS579" s="581"/>
      <c r="DT579" s="581"/>
      <c r="DU579" s="581"/>
      <c r="DV579" s="581"/>
      <c r="DW579" s="682"/>
      <c r="DX579" s="682"/>
      <c r="DY579" s="682"/>
      <c r="DZ579" s="581"/>
      <c r="EA579" s="682"/>
      <c r="EB579" s="682"/>
      <c r="EC579" s="682"/>
      <c r="ED579" s="581"/>
      <c r="EE579" s="682"/>
      <c r="EF579" s="682"/>
      <c r="EG579" s="682"/>
      <c r="EH579" s="581"/>
      <c r="EI579" s="682"/>
      <c r="EJ579" s="682"/>
      <c r="EK579" s="682"/>
      <c r="EL579" s="581"/>
      <c r="EM579" s="581"/>
      <c r="EN579" s="581"/>
      <c r="EO579" s="581"/>
      <c r="EP579" s="581"/>
      <c r="EQ579" s="581"/>
      <c r="ER579" s="581"/>
      <c r="ES579" s="581"/>
      <c r="ET579" s="581"/>
      <c r="EU579" s="581"/>
      <c r="JW579"/>
    </row>
    <row r="580" spans="1:283" s="328" customFormat="1">
      <c r="A580" s="1079" t="s">
        <v>1171</v>
      </c>
      <c r="AN580" s="581"/>
      <c r="AO580" s="581"/>
      <c r="AP580" s="581"/>
      <c r="AQ580" s="581"/>
      <c r="AR580" s="581"/>
      <c r="AS580" s="581"/>
      <c r="AT580" s="581"/>
      <c r="AU580" s="581"/>
      <c r="AV580" s="682"/>
      <c r="AW580" s="682"/>
      <c r="AX580" s="682"/>
      <c r="AY580" s="581"/>
      <c r="AZ580" s="682"/>
      <c r="BA580" s="682"/>
      <c r="BB580" s="682"/>
      <c r="BC580" s="581"/>
      <c r="BD580" s="682"/>
      <c r="BE580" s="682"/>
      <c r="BF580" s="682"/>
      <c r="BG580" s="581"/>
      <c r="BH580" s="682"/>
      <c r="BI580" s="682"/>
      <c r="BJ580" s="682"/>
      <c r="BK580" s="581"/>
      <c r="BL580" s="682"/>
      <c r="BM580" s="682"/>
      <c r="BN580" s="682"/>
      <c r="BO580" s="581"/>
      <c r="BP580" s="682"/>
      <c r="BQ580" s="682"/>
      <c r="BR580" s="682"/>
      <c r="BS580" s="581"/>
      <c r="BT580" s="682"/>
      <c r="BU580" s="682"/>
      <c r="BV580" s="682"/>
      <c r="BW580" s="581"/>
      <c r="BX580" s="710"/>
      <c r="BY580" s="710"/>
      <c r="BZ580" s="1074"/>
      <c r="CA580" s="581"/>
      <c r="CB580" s="1240"/>
      <c r="CC580" s="1240"/>
      <c r="CD580" s="1240"/>
      <c r="CE580" s="581"/>
      <c r="CF580" s="1240"/>
      <c r="CG580" s="1240"/>
      <c r="CH580" s="1240"/>
      <c r="CI580" s="581"/>
      <c r="CJ580" s="1240"/>
      <c r="CK580" s="1240"/>
      <c r="CL580" s="1240"/>
      <c r="CM580" s="581"/>
      <c r="CN580" s="1432"/>
      <c r="CO580" s="1432"/>
      <c r="CP580" s="1432"/>
      <c r="CQ580" s="1430"/>
      <c r="CR580" s="1432"/>
      <c r="CS580" s="1508"/>
      <c r="CT580" s="1240"/>
      <c r="CU580" s="581"/>
      <c r="CV580" s="1432"/>
      <c r="CW580" s="1881"/>
      <c r="CX580" s="1432"/>
      <c r="CY580" s="1430"/>
      <c r="CZ580" s="1432"/>
      <c r="DA580" s="1881"/>
      <c r="DB580" s="1432"/>
      <c r="DC580" s="1430"/>
      <c r="DD580" s="1432"/>
      <c r="DE580" s="1881"/>
      <c r="DF580" s="1432"/>
      <c r="DG580" s="581"/>
      <c r="DH580" s="1432"/>
      <c r="DI580" s="1074"/>
      <c r="DJ580" s="1074"/>
      <c r="DK580" s="581"/>
      <c r="DL580" s="1074"/>
      <c r="DM580" s="1074"/>
      <c r="DN580" s="1074"/>
      <c r="DO580" s="581"/>
      <c r="DP580" s="1074"/>
      <c r="DQ580" s="1074"/>
      <c r="DR580" s="1074"/>
      <c r="DS580" s="581"/>
      <c r="DT580" s="581"/>
      <c r="DU580" s="581"/>
      <c r="DV580" s="581"/>
      <c r="DW580" s="682"/>
      <c r="DX580" s="682"/>
      <c r="DY580" s="682"/>
      <c r="DZ580" s="581"/>
      <c r="EA580" s="682"/>
      <c r="EB580" s="682"/>
      <c r="EC580" s="682"/>
      <c r="ED580" s="581"/>
      <c r="EE580" s="682"/>
      <c r="EF580" s="682"/>
      <c r="EG580" s="682"/>
      <c r="EH580" s="581"/>
      <c r="EI580" s="682"/>
      <c r="EJ580" s="682"/>
      <c r="EK580" s="682"/>
      <c r="EL580" s="581"/>
      <c r="EM580" s="581"/>
      <c r="EN580" s="581"/>
      <c r="EO580" s="581"/>
      <c r="EP580" s="581"/>
      <c r="EQ580" s="581"/>
      <c r="ER580" s="581"/>
      <c r="ES580" s="581"/>
      <c r="ET580" s="581"/>
      <c r="EU580" s="581"/>
      <c r="JW580"/>
    </row>
    <row r="581" spans="1:283" s="328" customFormat="1">
      <c r="A581" s="1079" t="s">
        <v>1169</v>
      </c>
      <c r="AN581" s="581"/>
      <c r="AO581" s="581"/>
      <c r="AP581" s="581"/>
      <c r="AQ581" s="581"/>
      <c r="AR581" s="581"/>
      <c r="AS581" s="581"/>
      <c r="AT581" s="581"/>
      <c r="AU581" s="581"/>
      <c r="AV581" s="682"/>
      <c r="AW581" s="682"/>
      <c r="AX581" s="682"/>
      <c r="AY581" s="581"/>
      <c r="AZ581" s="682"/>
      <c r="BA581" s="682"/>
      <c r="BB581" s="682"/>
      <c r="BC581" s="581"/>
      <c r="BD581" s="682"/>
      <c r="BE581" s="682"/>
      <c r="BF581" s="682"/>
      <c r="BG581" s="581"/>
      <c r="BH581" s="682"/>
      <c r="BI581" s="682"/>
      <c r="BJ581" s="682"/>
      <c r="BK581" s="581"/>
      <c r="BL581" s="682"/>
      <c r="BM581" s="682"/>
      <c r="BN581" s="682"/>
      <c r="BO581" s="581"/>
      <c r="BP581" s="682"/>
      <c r="BQ581" s="682"/>
      <c r="BR581" s="682"/>
      <c r="BS581" s="581"/>
      <c r="BT581" s="682"/>
      <c r="BU581" s="682"/>
      <c r="BV581" s="682"/>
      <c r="BW581" s="581"/>
      <c r="BX581" s="710"/>
      <c r="BY581" s="710"/>
      <c r="BZ581" s="1074"/>
      <c r="CA581" s="581"/>
      <c r="CB581" s="1240"/>
      <c r="CC581" s="1241">
        <f>+CG581/0.95</f>
        <v>16</v>
      </c>
      <c r="CD581" s="1240"/>
      <c r="CE581" s="581"/>
      <c r="CF581" s="1240"/>
      <c r="CG581" s="1063">
        <v>15.2</v>
      </c>
      <c r="CH581" s="830"/>
      <c r="CI581" s="581"/>
      <c r="CJ581" s="1240"/>
      <c r="CK581" s="1063">
        <v>13.7</v>
      </c>
      <c r="CL581" s="830"/>
      <c r="CM581" s="581"/>
      <c r="CN581" s="1431">
        <v>12.4</v>
      </c>
      <c r="CO581" s="1431">
        <v>11.5</v>
      </c>
      <c r="CP581" s="1433"/>
      <c r="CQ581" s="1430"/>
      <c r="CR581" s="1431">
        <v>10.9</v>
      </c>
      <c r="CS581" s="1507">
        <v>8.8000000000000007</v>
      </c>
      <c r="CT581" s="830"/>
      <c r="CU581" s="581"/>
      <c r="CV581" s="1431">
        <f>7.1+0.4</f>
        <v>7.5</v>
      </c>
      <c r="CW581" s="1882">
        <v>6</v>
      </c>
      <c r="CX581" s="1433"/>
      <c r="CY581" s="1430"/>
      <c r="CZ581" s="1431">
        <v>5.2</v>
      </c>
      <c r="DA581" s="1882">
        <v>4.5</v>
      </c>
      <c r="DB581" s="1433"/>
      <c r="DC581" s="1430"/>
      <c r="DD581" s="1431">
        <v>3.5</v>
      </c>
      <c r="DE581" s="2182">
        <v>2.7</v>
      </c>
      <c r="DF581" s="1433"/>
      <c r="DG581" s="581"/>
      <c r="DH581" s="1431">
        <v>0.3</v>
      </c>
      <c r="DI581" s="1074"/>
      <c r="DJ581" s="1074"/>
      <c r="DK581" s="581"/>
      <c r="DL581" s="1074"/>
      <c r="DM581" s="1074"/>
      <c r="DN581" s="1074"/>
      <c r="DO581" s="581"/>
      <c r="DP581" s="1074"/>
      <c r="DQ581" s="1074"/>
      <c r="DR581" s="1074"/>
      <c r="DS581" s="581"/>
      <c r="DT581" s="581"/>
      <c r="DU581" s="581"/>
      <c r="DV581" s="581"/>
      <c r="DW581" s="682"/>
      <c r="DX581" s="682"/>
      <c r="DY581" s="682"/>
      <c r="DZ581" s="581"/>
      <c r="EA581" s="682"/>
      <c r="EB581" s="682"/>
      <c r="EC581" s="682"/>
      <c r="ED581" s="581"/>
      <c r="EE581" s="682"/>
      <c r="EF581" s="682"/>
      <c r="EG581" s="682"/>
      <c r="EH581" s="581"/>
      <c r="EI581" s="682"/>
      <c r="EJ581" s="682"/>
      <c r="EK581" s="682"/>
      <c r="EL581" s="581"/>
      <c r="EM581" s="581"/>
      <c r="EN581" s="581"/>
      <c r="EO581" s="581"/>
      <c r="EP581" s="581"/>
      <c r="EQ581" s="581"/>
      <c r="ER581" s="581"/>
      <c r="ES581" s="581"/>
      <c r="ET581" s="581"/>
      <c r="EU581" s="581"/>
      <c r="JW581"/>
    </row>
    <row r="582" spans="1:283" s="328" customFormat="1">
      <c r="A582" s="1079" t="s">
        <v>1170</v>
      </c>
      <c r="AN582" s="581"/>
      <c r="AO582" s="581"/>
      <c r="AP582" s="581"/>
      <c r="AQ582" s="581"/>
      <c r="AR582" s="581"/>
      <c r="AS582" s="581"/>
      <c r="AT582" s="581"/>
      <c r="AU582" s="581"/>
      <c r="AV582" s="682"/>
      <c r="AW582" s="682"/>
      <c r="AX582" s="682"/>
      <c r="AY582" s="581"/>
      <c r="AZ582" s="682"/>
      <c r="BA582" s="682"/>
      <c r="BB582" s="682"/>
      <c r="BC582" s="581"/>
      <c r="BD582" s="682"/>
      <c r="BE582" s="682"/>
      <c r="BF582" s="682"/>
      <c r="BG582" s="581"/>
      <c r="BH582" s="682"/>
      <c r="BI582" s="682"/>
      <c r="BJ582" s="682"/>
      <c r="BK582" s="581"/>
      <c r="BL582" s="682"/>
      <c r="BM582" s="682"/>
      <c r="BN582" s="682"/>
      <c r="BO582" s="581"/>
      <c r="BP582" s="682"/>
      <c r="BQ582" s="682"/>
      <c r="BR582" s="682"/>
      <c r="BS582" s="581"/>
      <c r="BT582" s="682"/>
      <c r="BU582" s="682"/>
      <c r="BV582" s="682"/>
      <c r="BW582" s="581"/>
      <c r="BX582" s="710"/>
      <c r="BY582" s="710"/>
      <c r="BZ582" s="1074"/>
      <c r="CA582" s="581"/>
      <c r="CB582" s="1240"/>
      <c r="CC582" s="1241">
        <f>+CG582/1.12</f>
        <v>7.3214285714285703</v>
      </c>
      <c r="CD582" s="1240"/>
      <c r="CE582" s="581"/>
      <c r="CF582" s="1240"/>
      <c r="CG582" s="1063">
        <v>8.1999999999999993</v>
      </c>
      <c r="CH582" s="830"/>
      <c r="CI582" s="581"/>
      <c r="CJ582" s="1240"/>
      <c r="CK582" s="1063">
        <v>9</v>
      </c>
      <c r="CL582" s="830"/>
      <c r="CM582" s="581"/>
      <c r="CN582" s="1431">
        <v>8.9</v>
      </c>
      <c r="CO582" s="1431">
        <v>10.199999999999999</v>
      </c>
      <c r="CP582" s="1433"/>
      <c r="CQ582" s="1430"/>
      <c r="CR582" s="1431">
        <v>11</v>
      </c>
      <c r="CS582" s="1507">
        <v>11.5</v>
      </c>
      <c r="CT582" s="830"/>
      <c r="CU582" s="581"/>
      <c r="CV582" s="1431">
        <v>12.2</v>
      </c>
      <c r="CW582" s="1882">
        <v>12.9</v>
      </c>
      <c r="CX582" s="1883"/>
      <c r="CY582" s="1884"/>
      <c r="CZ582" s="1877">
        <v>14.4</v>
      </c>
      <c r="DA582" s="1882">
        <v>15.7</v>
      </c>
      <c r="DB582" s="1883"/>
      <c r="DC582" s="1884"/>
      <c r="DD582" s="1877">
        <v>16.600000000000001</v>
      </c>
      <c r="DE582" s="2182">
        <v>16.7</v>
      </c>
      <c r="DF582" s="1883"/>
      <c r="DG582" s="581"/>
      <c r="DH582" s="1877">
        <v>17.399999999999999</v>
      </c>
      <c r="DI582" s="1074"/>
      <c r="DJ582" s="1074"/>
      <c r="DK582" s="581"/>
      <c r="DL582" s="1074"/>
      <c r="DM582" s="1074"/>
      <c r="DN582" s="1074"/>
      <c r="DO582" s="581"/>
      <c r="DP582" s="1074"/>
      <c r="DQ582" s="1074"/>
      <c r="DR582" s="1074"/>
      <c r="DS582" s="581"/>
      <c r="DT582" s="581"/>
      <c r="DU582" s="581"/>
      <c r="DV582" s="581"/>
      <c r="DW582" s="682"/>
      <c r="DX582" s="682"/>
      <c r="DY582" s="682"/>
      <c r="DZ582" s="581"/>
      <c r="EA582" s="682"/>
      <c r="EB582" s="682"/>
      <c r="EC582" s="682"/>
      <c r="ED582" s="581"/>
      <c r="EE582" s="682"/>
      <c r="EF582" s="682"/>
      <c r="EG582" s="682"/>
      <c r="EH582" s="581"/>
      <c r="EI582" s="682"/>
      <c r="EJ582" s="682"/>
      <c r="EK582" s="682"/>
      <c r="EL582" s="581"/>
      <c r="EM582" s="581"/>
      <c r="EN582" s="581"/>
      <c r="EO582" s="581"/>
      <c r="EP582" s="581"/>
      <c r="EQ582" s="581"/>
      <c r="ER582" s="581"/>
      <c r="ES582" s="581"/>
      <c r="ET582" s="581"/>
      <c r="EU582" s="581"/>
      <c r="JW582"/>
    </row>
    <row r="583" spans="1:283" s="328" customFormat="1">
      <c r="A583" s="1079" t="s">
        <v>1172</v>
      </c>
      <c r="AN583" s="581"/>
      <c r="AO583" s="581"/>
      <c r="AP583" s="581"/>
      <c r="AQ583" s="581"/>
      <c r="AR583" s="581"/>
      <c r="AS583" s="581"/>
      <c r="AT583" s="581"/>
      <c r="AU583" s="581"/>
      <c r="AV583" s="682"/>
      <c r="AW583" s="682"/>
      <c r="AX583" s="682"/>
      <c r="AY583" s="581"/>
      <c r="AZ583" s="682"/>
      <c r="BA583" s="682"/>
      <c r="BB583" s="682"/>
      <c r="BC583" s="581"/>
      <c r="BD583" s="682"/>
      <c r="BE583" s="682"/>
      <c r="BF583" s="682"/>
      <c r="BG583" s="581"/>
      <c r="BH583" s="682"/>
      <c r="BI583" s="682"/>
      <c r="BJ583" s="682"/>
      <c r="BK583" s="581"/>
      <c r="BL583" s="682"/>
      <c r="BM583" s="682"/>
      <c r="BN583" s="682"/>
      <c r="BO583" s="581"/>
      <c r="BP583" s="682"/>
      <c r="BQ583" s="682"/>
      <c r="BR583" s="682"/>
      <c r="BS583" s="581"/>
      <c r="BT583" s="682"/>
      <c r="BU583" s="682"/>
      <c r="BV583" s="682"/>
      <c r="BW583" s="581"/>
      <c r="BX583" s="710"/>
      <c r="BY583" s="710"/>
      <c r="BZ583" s="1074"/>
      <c r="CA583" s="581"/>
      <c r="CB583" s="1240"/>
      <c r="CC583" s="1240">
        <f>+CC579-CC581-CC582</f>
        <v>0.57857142857142829</v>
      </c>
      <c r="CD583" s="1240"/>
      <c r="CE583" s="581"/>
      <c r="CF583" s="1240"/>
      <c r="CG583" s="1240">
        <f>+CG579-CG581-CG582</f>
        <v>0.60000000000000142</v>
      </c>
      <c r="CH583" s="1240"/>
      <c r="CI583" s="581"/>
      <c r="CJ583" s="1240"/>
      <c r="CK583" s="1240">
        <f>+CK579-CK581-CK582</f>
        <v>0.49999999999999645</v>
      </c>
      <c r="CL583" s="1240"/>
      <c r="CM583" s="581"/>
      <c r="CN583" s="1432"/>
      <c r="CO583" s="1432">
        <f>+CO579-CO581-CO582</f>
        <v>0.39999999999999503</v>
      </c>
      <c r="CP583" s="1432"/>
      <c r="CQ583" s="1430"/>
      <c r="CR583" s="1432"/>
      <c r="CS583" s="1508">
        <f>+CS579-CS581-CS582</f>
        <v>0.40000000000000213</v>
      </c>
      <c r="CT583" s="1240"/>
      <c r="CU583" s="581"/>
      <c r="CV583" s="1508">
        <f>+CV579-CV581-CV582</f>
        <v>-0.49999999999999645</v>
      </c>
      <c r="CW583" s="1881">
        <f>+CW579-CW581-CW582</f>
        <v>-0.19999999999999751</v>
      </c>
      <c r="CX583" s="1432"/>
      <c r="CY583" s="1430"/>
      <c r="CZ583" s="1881">
        <f>+CZ579-CZ581-CZ582</f>
        <v>0.6000000000000032</v>
      </c>
      <c r="DA583" s="1881">
        <f>+DA579-DA581-DA582</f>
        <v>-0.40000000000001634</v>
      </c>
      <c r="DB583" s="1432"/>
      <c r="DC583" s="1430"/>
      <c r="DD583" s="1881">
        <f>+DD579-DD581-DD582</f>
        <v>0.39999999999999858</v>
      </c>
      <c r="DE583" s="1881">
        <f>+DE579-DE581-DE582</f>
        <v>-0.99999999999999289</v>
      </c>
      <c r="DF583" s="1432"/>
      <c r="DG583" s="581"/>
      <c r="DH583" s="1881">
        <f>+DH579-DH581-DH582</f>
        <v>0.39999999999999503</v>
      </c>
      <c r="DI583" s="1074"/>
      <c r="DJ583" s="1074"/>
      <c r="DK583" s="581"/>
      <c r="DL583" s="1074"/>
      <c r="DM583" s="1074"/>
      <c r="DN583" s="1074"/>
      <c r="DO583" s="581"/>
      <c r="DP583" s="1074"/>
      <c r="DQ583" s="1074"/>
      <c r="DR583" s="1074"/>
      <c r="DS583" s="581"/>
      <c r="DT583" s="581"/>
      <c r="DU583" s="581"/>
      <c r="DV583" s="581"/>
      <c r="DW583" s="682"/>
      <c r="DX583" s="682"/>
      <c r="DY583" s="682"/>
      <c r="DZ583" s="581"/>
      <c r="EA583" s="682"/>
      <c r="EB583" s="682"/>
      <c r="EC583" s="682"/>
      <c r="ED583" s="581"/>
      <c r="EE583" s="682"/>
      <c r="EF583" s="682"/>
      <c r="EG583" s="682"/>
      <c r="EH583" s="581"/>
      <c r="EI583" s="682"/>
      <c r="EJ583" s="682"/>
      <c r="EK583" s="682"/>
      <c r="EL583" s="581"/>
      <c r="EM583" s="581"/>
      <c r="EN583" s="581"/>
      <c r="EO583" s="581"/>
      <c r="EP583" s="581"/>
      <c r="EQ583" s="581"/>
      <c r="ER583" s="581"/>
      <c r="ES583" s="581"/>
      <c r="ET583" s="581"/>
      <c r="EU583" s="581"/>
      <c r="JW583"/>
    </row>
    <row r="584" spans="1:283" s="328" customFormat="1">
      <c r="A584" s="327" t="s">
        <v>1360</v>
      </c>
      <c r="AN584" s="581"/>
      <c r="AO584" s="581"/>
      <c r="AP584" s="581"/>
      <c r="AQ584" s="581"/>
      <c r="AR584" s="581"/>
      <c r="AS584" s="581"/>
      <c r="AT584" s="581"/>
      <c r="AU584" s="581"/>
      <c r="AV584" s="682"/>
      <c r="AW584" s="682"/>
      <c r="AX584" s="682"/>
      <c r="AY584" s="581"/>
      <c r="AZ584" s="682"/>
      <c r="BA584" s="682"/>
      <c r="BB584" s="682"/>
      <c r="BC584" s="581"/>
      <c r="BD584" s="682"/>
      <c r="BE584" s="682"/>
      <c r="BF584" s="682"/>
      <c r="BG584" s="581"/>
      <c r="BH584" s="682"/>
      <c r="BI584" s="682"/>
      <c r="BJ584" s="682"/>
      <c r="BK584" s="581"/>
      <c r="BL584" s="682"/>
      <c r="BM584" s="682"/>
      <c r="BN584" s="682"/>
      <c r="BO584" s="581"/>
      <c r="BP584" s="682"/>
      <c r="BQ584" s="682"/>
      <c r="BR584" s="682"/>
      <c r="BS584" s="581"/>
      <c r="BT584" s="682"/>
      <c r="BU584" s="682"/>
      <c r="BV584" s="682"/>
      <c r="BW584" s="581"/>
      <c r="BX584" s="715">
        <f>AVERAGE(BX577,BU577)</f>
        <v>35.35</v>
      </c>
      <c r="BY584" s="715">
        <f>AVERAGE(BX577:BY577)</f>
        <v>35.700000000000003</v>
      </c>
      <c r="BZ584" s="715">
        <f>AVERAGE(BX584:BY584)</f>
        <v>35.525000000000006</v>
      </c>
      <c r="CA584" s="581"/>
      <c r="CB584" s="715">
        <f>AVERAGE(CB577,BY577)</f>
        <v>36.700000000000003</v>
      </c>
      <c r="CC584" s="715">
        <f>AVERAGE(CB577:CC577)</f>
        <v>47.1</v>
      </c>
      <c r="CD584" s="715">
        <f>AVERAGE(CB584:CC584)</f>
        <v>41.900000000000006</v>
      </c>
      <c r="CE584" s="581"/>
      <c r="CF584" s="715">
        <f>AVERAGE(CF577,CC577)</f>
        <v>58.3</v>
      </c>
      <c r="CG584" s="715">
        <f>AVERAGE(CF577:CG577)</f>
        <v>61.25</v>
      </c>
      <c r="CH584" s="715">
        <f>AVERAGE(CF584:CG584)</f>
        <v>59.774999999999999</v>
      </c>
      <c r="CI584" s="581"/>
      <c r="CJ584" s="715">
        <f>AVERAGE(CJ577,CG577)</f>
        <v>64.95</v>
      </c>
      <c r="CK584" s="715">
        <f>AVERAGE(CJ577:CK577)</f>
        <v>71.349999999999994</v>
      </c>
      <c r="CL584" s="715">
        <f>AVERAGE(CJ584:CK584)</f>
        <v>68.150000000000006</v>
      </c>
      <c r="CM584" s="581"/>
      <c r="CN584" s="715">
        <f>AVERAGE(CN577,CK577)</f>
        <v>77.199999999999989</v>
      </c>
      <c r="CO584" s="715">
        <f>AVERAGE(CN577:CO577)</f>
        <v>84.1</v>
      </c>
      <c r="CP584" s="715">
        <f>AVERAGE(CN584:CO584)</f>
        <v>80.649999999999991</v>
      </c>
      <c r="CQ584" s="1430"/>
      <c r="CR584" s="715">
        <f>AVERAGE(CR577,CO577)</f>
        <v>93.9</v>
      </c>
      <c r="CS584" s="715">
        <f>AVERAGE(CR577:CS577)</f>
        <v>104.45</v>
      </c>
      <c r="CT584" s="715">
        <f>AVERAGE(CR584:CS584)</f>
        <v>99.175000000000011</v>
      </c>
      <c r="CU584" s="581"/>
      <c r="CV584" s="715">
        <f>AVERAGE(CV577,CS577)</f>
        <v>115.6</v>
      </c>
      <c r="CW584" s="1434">
        <f>AVERAGE(CV577:CW577)</f>
        <v>124.35</v>
      </c>
      <c r="CX584" s="1434">
        <f>AVERAGE(CV584:CW584)</f>
        <v>119.97499999999999</v>
      </c>
      <c r="CY584" s="1430"/>
      <c r="CZ584" s="1434">
        <f>AVERAGE(CZ577,CW577)</f>
        <v>131.05000000000001</v>
      </c>
      <c r="DA584" s="1434">
        <f>AVERAGE(CZ577:DA577)</f>
        <v>137.30000000000001</v>
      </c>
      <c r="DB584" s="1434">
        <f>AVERAGE(CZ584:DA584)</f>
        <v>134.17500000000001</v>
      </c>
      <c r="DC584" s="1430"/>
      <c r="DD584" s="1434">
        <f>AVERAGE(DD577,DA577)</f>
        <v>145.30000000000001</v>
      </c>
      <c r="DE584" s="1434">
        <f>AVERAGE(DD577:DE577)</f>
        <v>155.9</v>
      </c>
      <c r="DF584" s="1434">
        <f>AVERAGE(DD584:DE584)</f>
        <v>150.60000000000002</v>
      </c>
      <c r="DG584" s="581"/>
      <c r="DH584" s="1434">
        <f>AVERAGE(DH577,DE577)</f>
        <v>169.9</v>
      </c>
      <c r="DI584" s="715">
        <f>AVERAGE(DH577:DI577)</f>
        <v>190.07350000000002</v>
      </c>
      <c r="DJ584" s="715">
        <f>AVERAGE(DH584:DI584)</f>
        <v>179.98675000000003</v>
      </c>
      <c r="DK584" s="581"/>
      <c r="DL584" s="715">
        <f>AVERAGE(DL577,DI577)</f>
        <v>210.35049000000004</v>
      </c>
      <c r="DM584" s="715">
        <f>AVERAGE(DL577:DM577)</f>
        <v>225.32494740000004</v>
      </c>
      <c r="DN584" s="715">
        <f>AVERAGE(DL584:DM584)</f>
        <v>217.83771870000004</v>
      </c>
      <c r="DO584" s="581"/>
      <c r="DP584" s="715">
        <f>AVERAGE(DP577,DM577)</f>
        <v>238.44123416400006</v>
      </c>
      <c r="DQ584" s="715">
        <f>AVERAGE(DP577:DQ577)</f>
        <v>252.32836973064008</v>
      </c>
      <c r="DR584" s="715">
        <f>AVERAGE(DP584:DQ584)</f>
        <v>245.38480194732006</v>
      </c>
      <c r="DS584" s="581"/>
      <c r="DT584" s="581"/>
      <c r="DU584" s="581"/>
      <c r="DV584" s="581"/>
      <c r="DW584" s="682"/>
      <c r="DX584" s="682"/>
      <c r="DY584" s="682"/>
      <c r="DZ584" s="581"/>
      <c r="EA584" s="682"/>
      <c r="EB584" s="682"/>
      <c r="EC584" s="682"/>
      <c r="ED584" s="581"/>
      <c r="EE584" s="682"/>
      <c r="EF584" s="682"/>
      <c r="EG584" s="682"/>
      <c r="EH584" s="581"/>
      <c r="EI584" s="682"/>
      <c r="EJ584" s="682"/>
      <c r="EK584" s="682"/>
      <c r="EL584" s="581"/>
      <c r="EM584" s="581"/>
      <c r="EN584" s="581"/>
      <c r="EO584" s="581"/>
      <c r="EP584" s="581"/>
      <c r="EQ584" s="581"/>
      <c r="ER584" s="581"/>
      <c r="ES584" s="581"/>
      <c r="ET584" s="581"/>
      <c r="EU584" s="581"/>
      <c r="JW584"/>
    </row>
    <row r="585" spans="1:283" s="328" customFormat="1">
      <c r="A585" s="1092" t="s">
        <v>1361</v>
      </c>
      <c r="AN585" s="581"/>
      <c r="AO585" s="581"/>
      <c r="AP585" s="581"/>
      <c r="AQ585" s="581"/>
      <c r="AR585" s="581"/>
      <c r="AS585" s="581"/>
      <c r="AT585" s="581"/>
      <c r="AU585" s="581"/>
      <c r="AV585" s="682"/>
      <c r="AW585" s="682"/>
      <c r="AX585" s="682"/>
      <c r="AY585" s="581"/>
      <c r="AZ585" s="682"/>
      <c r="BA585" s="682"/>
      <c r="BB585" s="682"/>
      <c r="BC585" s="581"/>
      <c r="BD585" s="682"/>
      <c r="BE585" s="682"/>
      <c r="BF585" s="682"/>
      <c r="BG585" s="581"/>
      <c r="BH585" s="682"/>
      <c r="BI585" s="682"/>
      <c r="BJ585" s="682"/>
      <c r="BK585" s="581"/>
      <c r="BL585" s="682"/>
      <c r="BM585" s="682"/>
      <c r="BN585" s="682"/>
      <c r="BO585" s="581"/>
      <c r="BP585" s="682"/>
      <c r="BQ585" s="682"/>
      <c r="BR585" s="682"/>
      <c r="BS585" s="581"/>
      <c r="BT585" s="682"/>
      <c r="BU585" s="682"/>
      <c r="BV585" s="682"/>
      <c r="BW585" s="581"/>
      <c r="BX585" s="1560"/>
      <c r="BY585" s="1560"/>
      <c r="BZ585" s="1560"/>
      <c r="CA585" s="581"/>
      <c r="CB585" s="1560"/>
      <c r="CC585" s="1560"/>
      <c r="CD585" s="1560"/>
      <c r="CE585" s="581"/>
      <c r="CF585" s="1560">
        <f>AVERAGE(CF578,CC578)</f>
        <v>34.400000000000006</v>
      </c>
      <c r="CG585" s="1560">
        <f>AVERAGE(CF578:CG578)</f>
        <v>37.299999999999997</v>
      </c>
      <c r="CH585" s="1560">
        <f>AVERAGE(CF585:CG585)</f>
        <v>35.85</v>
      </c>
      <c r="CI585" s="581"/>
      <c r="CJ585" s="1560">
        <f>AVERAGE(CJ578,CG578)</f>
        <v>41.05</v>
      </c>
      <c r="CK585" s="1560">
        <f>AVERAGE(CJ578:CK578)</f>
        <v>47.85</v>
      </c>
      <c r="CL585" s="1560">
        <f>AVERAGE(CJ585:CK585)</f>
        <v>44.45</v>
      </c>
      <c r="CM585" s="581"/>
      <c r="CN585" s="1560">
        <f>AVERAGE(CN578,CK578)</f>
        <v>54.75</v>
      </c>
      <c r="CO585" s="1560">
        <f>AVERAGE(CN578:CO578)</f>
        <v>62.2</v>
      </c>
      <c r="CP585" s="1560">
        <f>AVERAGE(CN585:CO585)</f>
        <v>58.475000000000001</v>
      </c>
      <c r="CQ585" s="1430"/>
      <c r="CR585" s="1560">
        <f>AVERAGE(CR578,CO578)</f>
        <v>71.7</v>
      </c>
      <c r="CS585" s="1560">
        <f>AVERAGE(CR578:CS578)</f>
        <v>82.95</v>
      </c>
      <c r="CT585" s="1560">
        <f>AVERAGE(CR585:CS585)</f>
        <v>77.325000000000003</v>
      </c>
      <c r="CU585" s="581"/>
      <c r="CV585" s="1560">
        <f>AVERAGE(CV578,CS578)</f>
        <v>95.65</v>
      </c>
      <c r="CW585" s="1885">
        <f>AVERAGE(CV578:CW578)</f>
        <v>105.4</v>
      </c>
      <c r="CX585" s="1885">
        <f>AVERAGE(CV585:CW585)</f>
        <v>100.52500000000001</v>
      </c>
      <c r="CY585" s="1430"/>
      <c r="CZ585" s="1885">
        <f>AVERAGE(CZ578,CW578)</f>
        <v>111.6</v>
      </c>
      <c r="DA585" s="1885">
        <f>AVERAGE(CZ578:DA578)</f>
        <v>117.30000000000001</v>
      </c>
      <c r="DB585" s="1885">
        <f>AVERAGE(CZ585:DA585)</f>
        <v>114.45</v>
      </c>
      <c r="DC585" s="1430"/>
      <c r="DD585" s="1885">
        <f>AVERAGE(DD578,DA578)</f>
        <v>125.15</v>
      </c>
      <c r="DE585" s="1885">
        <f>AVERAGE(DD578:DE578)</f>
        <v>136.44999999999999</v>
      </c>
      <c r="DF585" s="1885">
        <f>AVERAGE(DD585:DE585)</f>
        <v>130.80000000000001</v>
      </c>
      <c r="DG585" s="581"/>
      <c r="DH585" s="1885">
        <f>AVERAGE(DH578,DE578)</f>
        <v>151.65</v>
      </c>
      <c r="DI585" s="1560">
        <f>AVERAGE(DH578:DI578)</f>
        <v>171.52100000000002</v>
      </c>
      <c r="DJ585" s="1560">
        <f>AVERAGE(DH585:DI585)</f>
        <v>161.58550000000002</v>
      </c>
      <c r="DK585" s="581"/>
      <c r="DL585" s="1560">
        <f>AVERAGE(DL578,DI578)</f>
        <v>190.96539000000007</v>
      </c>
      <c r="DM585" s="1560">
        <f>AVERAGE(DL578:DM578)</f>
        <v>205.16444340000007</v>
      </c>
      <c r="DN585" s="1560">
        <f>AVERAGE(DL585:DM585)</f>
        <v>198.06491670000008</v>
      </c>
      <c r="DO585" s="581"/>
      <c r="DP585" s="1560">
        <f>AVERAGE(DP578,DM578)</f>
        <v>217.47431000400007</v>
      </c>
      <c r="DQ585" s="1560">
        <f>AVERAGE(DP578:DQ578)</f>
        <v>230.52276860424007</v>
      </c>
      <c r="DR585" s="1560">
        <f>AVERAGE(DP585:DQ585)</f>
        <v>223.99853930412007</v>
      </c>
      <c r="DS585" s="581"/>
      <c r="DT585" s="581"/>
      <c r="DU585" s="581"/>
      <c r="DV585" s="581"/>
      <c r="DW585" s="682"/>
      <c r="DX585" s="682"/>
      <c r="DY585" s="682"/>
      <c r="DZ585" s="581"/>
      <c r="EA585" s="682"/>
      <c r="EB585" s="682"/>
      <c r="EC585" s="682"/>
      <c r="ED585" s="581"/>
      <c r="EE585" s="682"/>
      <c r="EF585" s="682"/>
      <c r="EG585" s="682"/>
      <c r="EH585" s="581"/>
      <c r="EI585" s="682"/>
      <c r="EJ585" s="682"/>
      <c r="EK585" s="682"/>
      <c r="EL585" s="581"/>
      <c r="EM585" s="581"/>
      <c r="EN585" s="581"/>
      <c r="EO585" s="581"/>
      <c r="EP585" s="581"/>
      <c r="EQ585" s="581"/>
      <c r="ER585" s="581"/>
      <c r="ES585" s="581"/>
      <c r="ET585" s="581"/>
      <c r="EU585" s="581"/>
      <c r="JW585"/>
    </row>
    <row r="586" spans="1:283" s="328" customFormat="1">
      <c r="A586" s="332" t="s">
        <v>243</v>
      </c>
      <c r="AN586" s="581"/>
      <c r="AO586" s="581"/>
      <c r="AP586" s="581"/>
      <c r="AQ586" s="581"/>
      <c r="AR586" s="581"/>
      <c r="AS586" s="581"/>
      <c r="AT586" s="581"/>
      <c r="AU586" s="581"/>
      <c r="AV586" s="682"/>
      <c r="AW586" s="682"/>
      <c r="AX586" s="682"/>
      <c r="AY586" s="581"/>
      <c r="AZ586" s="682"/>
      <c r="BA586" s="682"/>
      <c r="BB586" s="682"/>
      <c r="BC586" s="581"/>
      <c r="BD586" s="682"/>
      <c r="BE586" s="682"/>
      <c r="BF586" s="682"/>
      <c r="BG586" s="581"/>
      <c r="BH586" s="682"/>
      <c r="BI586" s="682"/>
      <c r="BJ586" s="682"/>
      <c r="BK586" s="581"/>
      <c r="BL586" s="682"/>
      <c r="BM586" s="682"/>
      <c r="BN586" s="682"/>
      <c r="BO586" s="581"/>
      <c r="BP586" s="682"/>
      <c r="BQ586" s="682"/>
      <c r="BR586" s="682"/>
      <c r="BS586" s="581"/>
      <c r="BT586" s="682"/>
      <c r="BU586" s="710">
        <v>40.4</v>
      </c>
      <c r="BV586" s="1074">
        <f>BU586</f>
        <v>40.4</v>
      </c>
      <c r="BW586" s="581"/>
      <c r="BX586" s="710">
        <v>42.2</v>
      </c>
      <c r="BY586" s="710">
        <v>44.5</v>
      </c>
      <c r="BZ586" s="1074">
        <f>BY586</f>
        <v>44.5</v>
      </c>
      <c r="CA586" s="581"/>
      <c r="CB586" s="710">
        <v>46.4</v>
      </c>
      <c r="CC586" s="710">
        <v>45.7</v>
      </c>
      <c r="CD586" s="1074">
        <f>CC586</f>
        <v>45.7</v>
      </c>
      <c r="CE586" s="817">
        <f>+CD586/BZ586-1</f>
        <v>2.6966292134831482E-2</v>
      </c>
      <c r="CF586" s="710">
        <v>49.4</v>
      </c>
      <c r="CG586" s="710">
        <v>53.4</v>
      </c>
      <c r="CH586" s="1074">
        <f>CG586</f>
        <v>53.4</v>
      </c>
      <c r="CI586" s="581"/>
      <c r="CJ586" s="710">
        <v>56.2</v>
      </c>
      <c r="CK586" s="710">
        <v>63.9</v>
      </c>
      <c r="CL586" s="1074">
        <f>CK586</f>
        <v>63.9</v>
      </c>
      <c r="CM586" s="581"/>
      <c r="CN586" s="1418">
        <v>74.400000000000006</v>
      </c>
      <c r="CO586" s="1418">
        <v>80.7</v>
      </c>
      <c r="CP586" s="1429">
        <f>CO586</f>
        <v>80.7</v>
      </c>
      <c r="CQ586" s="1430"/>
      <c r="CR586" s="1418">
        <v>88.2</v>
      </c>
      <c r="CS586" s="1502">
        <v>98</v>
      </c>
      <c r="CT586" s="1074">
        <f>CS586</f>
        <v>98</v>
      </c>
      <c r="CU586" s="581"/>
      <c r="CV586" s="1418">
        <v>116.7</v>
      </c>
      <c r="CW586" s="1732">
        <v>129.4</v>
      </c>
      <c r="CX586" s="1429">
        <f>CW586</f>
        <v>129.4</v>
      </c>
      <c r="CY586" s="1430"/>
      <c r="CZ586" s="1886">
        <v>131.19999999999999</v>
      </c>
      <c r="DA586" s="1732">
        <v>142.69999999999999</v>
      </c>
      <c r="DB586" s="1429">
        <f>DA586</f>
        <v>142.69999999999999</v>
      </c>
      <c r="DC586" s="1430"/>
      <c r="DD586" s="1886">
        <v>153.1</v>
      </c>
      <c r="DE586" s="2180">
        <v>172.4</v>
      </c>
      <c r="DF586" s="1429">
        <f>DE586</f>
        <v>172.4</v>
      </c>
      <c r="DG586" s="581"/>
      <c r="DH586" s="1886">
        <v>192.5</v>
      </c>
      <c r="DI586" s="1074"/>
      <c r="DJ586" s="1074"/>
      <c r="DK586" s="581"/>
      <c r="DL586" s="1074"/>
      <c r="DM586" s="1074"/>
      <c r="DN586" s="1074"/>
      <c r="DO586" s="581"/>
      <c r="DP586" s="1074"/>
      <c r="DQ586" s="1074"/>
      <c r="DR586" s="1074"/>
      <c r="DS586" s="581"/>
      <c r="DT586" s="581"/>
      <c r="DU586" s="581"/>
      <c r="DV586" s="581"/>
      <c r="DW586" s="682"/>
      <c r="DX586" s="682"/>
      <c r="DY586" s="682"/>
      <c r="DZ586" s="581"/>
      <c r="EA586" s="682"/>
      <c r="EB586" s="682"/>
      <c r="EC586" s="682"/>
      <c r="ED586" s="581"/>
      <c r="EE586" s="682"/>
      <c r="EF586" s="682"/>
      <c r="EG586" s="682"/>
      <c r="EH586" s="581"/>
      <c r="EI586" s="682"/>
      <c r="EJ586" s="682"/>
      <c r="EK586" s="682"/>
      <c r="EL586" s="581"/>
      <c r="EM586" s="581"/>
      <c r="EN586" s="581"/>
      <c r="EO586" s="581"/>
      <c r="EP586" s="581"/>
      <c r="EQ586" s="581"/>
      <c r="ER586" s="581"/>
      <c r="ES586" s="581"/>
      <c r="ET586" s="581"/>
      <c r="EU586" s="581"/>
      <c r="JW586"/>
    </row>
    <row r="587" spans="1:283" s="328" customFormat="1">
      <c r="A587" s="332" t="s">
        <v>1067</v>
      </c>
      <c r="AN587" s="581"/>
      <c r="AO587" s="581"/>
      <c r="AP587" s="581"/>
      <c r="AQ587" s="581"/>
      <c r="AR587" s="581"/>
      <c r="AS587" s="581"/>
      <c r="AT587" s="581"/>
      <c r="AU587" s="581"/>
      <c r="AV587" s="682"/>
      <c r="AW587" s="682"/>
      <c r="AX587" s="682"/>
      <c r="AY587" s="581"/>
      <c r="AZ587" s="682"/>
      <c r="BA587" s="682"/>
      <c r="BB587" s="682"/>
      <c r="BC587" s="581"/>
      <c r="BD587" s="682"/>
      <c r="BE587" s="682"/>
      <c r="BF587" s="682"/>
      <c r="BG587" s="581"/>
      <c r="BH587" s="682"/>
      <c r="BI587" s="682"/>
      <c r="BJ587" s="682"/>
      <c r="BK587" s="581"/>
      <c r="BL587" s="682"/>
      <c r="BM587" s="682"/>
      <c r="BN587" s="682"/>
      <c r="BO587" s="581"/>
      <c r="BP587" s="682"/>
      <c r="BQ587" s="682"/>
      <c r="BR587" s="682"/>
      <c r="BS587" s="581"/>
      <c r="BT587" s="682"/>
      <c r="BU587" s="715">
        <f>+BU586+BU577</f>
        <v>75.5</v>
      </c>
      <c r="BV587" s="715">
        <f>SUM(BV570:BV586)</f>
        <v>75.781212121212121</v>
      </c>
      <c r="BW587" s="581"/>
      <c r="BX587" s="715">
        <f>+BX586+BX577</f>
        <v>77.800000000000011</v>
      </c>
      <c r="BY587" s="715">
        <f>+BY586+BY577</f>
        <v>80.3</v>
      </c>
      <c r="BZ587" s="715">
        <f>+BZ586+BZ577</f>
        <v>80.3</v>
      </c>
      <c r="CA587" s="581"/>
      <c r="CB587" s="715">
        <f>+CB586+CB577</f>
        <v>84</v>
      </c>
      <c r="CC587" s="715">
        <f>+CC586+CC577</f>
        <v>102.30000000000001</v>
      </c>
      <c r="CD587" s="715">
        <f>+CD586+CD577</f>
        <v>102.30000000000001</v>
      </c>
      <c r="CE587" s="581"/>
      <c r="CF587" s="715">
        <f>+CF586+CF577</f>
        <v>109.4</v>
      </c>
      <c r="CG587" s="715">
        <f>+CG586+CG577</f>
        <v>115.9</v>
      </c>
      <c r="CH587" s="715">
        <f>+CH586+CH577</f>
        <v>115.9</v>
      </c>
      <c r="CI587" s="581"/>
      <c r="CJ587" s="715">
        <f>+CJ586+CJ577</f>
        <v>123.60000000000001</v>
      </c>
      <c r="CK587" s="715">
        <f>+CK586+CK577</f>
        <v>139.19999999999999</v>
      </c>
      <c r="CL587" s="715">
        <f>+CL586+CL577</f>
        <v>139.19999999999999</v>
      </c>
      <c r="CM587" s="581"/>
      <c r="CN587" s="1434">
        <f>+CN586+CN577</f>
        <v>153.5</v>
      </c>
      <c r="CO587" s="1434">
        <f>+CO586+CO577</f>
        <v>169.8</v>
      </c>
      <c r="CP587" s="1434">
        <f>+CP586+CP577</f>
        <v>169.8</v>
      </c>
      <c r="CQ587" s="1430"/>
      <c r="CR587" s="1434">
        <f>+CR586+CR577</f>
        <v>186.9</v>
      </c>
      <c r="CS587" s="715">
        <f>+CS586+CS577</f>
        <v>208.2</v>
      </c>
      <c r="CT587" s="715">
        <f>+CT586+CT577</f>
        <v>208.2</v>
      </c>
      <c r="CU587" s="581"/>
      <c r="CV587" s="1434">
        <f>+CV586+CV577</f>
        <v>237.7</v>
      </c>
      <c r="CW587" s="1434">
        <f>+CW586+CW577</f>
        <v>257.10000000000002</v>
      </c>
      <c r="CX587" s="1434">
        <f>+CX586+CX577</f>
        <v>257.10000000000002</v>
      </c>
      <c r="CY587" s="1430"/>
      <c r="CZ587" s="1434">
        <f>+CZ586+CZ577</f>
        <v>265.60000000000002</v>
      </c>
      <c r="DA587" s="1434">
        <f>+DA586+DA577</f>
        <v>282.89999999999998</v>
      </c>
      <c r="DB587" s="1434">
        <f>+DB586+DB577</f>
        <v>282.89999999999998</v>
      </c>
      <c r="DC587" s="1430"/>
      <c r="DD587" s="1434">
        <f>+DD586+DD577</f>
        <v>303.5</v>
      </c>
      <c r="DE587" s="1434">
        <f>+DE586+DE577</f>
        <v>333.8</v>
      </c>
      <c r="DF587" s="1434">
        <f>+DF586+DF577</f>
        <v>333.8</v>
      </c>
      <c r="DG587" s="581"/>
      <c r="DH587" s="1434">
        <f>+DH586+DH577</f>
        <v>370.9</v>
      </c>
      <c r="DI587" s="1074"/>
      <c r="DJ587" s="1074"/>
      <c r="DK587" s="581"/>
      <c r="DL587" s="1074"/>
      <c r="DM587" s="1074"/>
      <c r="DN587" s="1074"/>
      <c r="DO587" s="581"/>
      <c r="DP587" s="1074"/>
      <c r="DQ587" s="1074"/>
      <c r="DR587" s="1074"/>
      <c r="DS587" s="581"/>
      <c r="DT587" s="581"/>
      <c r="DU587" s="581"/>
      <c r="DV587" s="581"/>
      <c r="DW587" s="682"/>
      <c r="DX587" s="682"/>
      <c r="DY587" s="682"/>
      <c r="DZ587" s="581"/>
      <c r="EA587" s="682"/>
      <c r="EB587" s="682"/>
      <c r="EC587" s="682"/>
      <c r="ED587" s="581"/>
      <c r="EE587" s="682"/>
      <c r="EF587" s="682"/>
      <c r="EG587" s="682"/>
      <c r="EH587" s="581"/>
      <c r="EI587" s="682"/>
      <c r="EJ587" s="682"/>
      <c r="EK587" s="682"/>
      <c r="EL587" s="581"/>
      <c r="EM587" s="581"/>
      <c r="EN587" s="581"/>
      <c r="EO587" s="581"/>
      <c r="EP587" s="581"/>
      <c r="EQ587" s="581"/>
      <c r="ER587" s="581"/>
      <c r="ES587" s="581"/>
      <c r="ET587" s="581"/>
      <c r="EU587" s="581"/>
      <c r="JW587"/>
    </row>
    <row r="588" spans="1:283" s="328" customFormat="1">
      <c r="A588" s="327" t="s">
        <v>1068</v>
      </c>
      <c r="AN588" s="581"/>
      <c r="AO588" s="581"/>
      <c r="AP588" s="581"/>
      <c r="AQ588" s="581"/>
      <c r="AR588" s="581"/>
      <c r="AS588" s="581"/>
      <c r="AT588" s="581"/>
      <c r="AU588" s="581"/>
      <c r="AV588" s="682"/>
      <c r="AW588" s="682"/>
      <c r="AX588" s="682"/>
      <c r="AY588" s="581"/>
      <c r="AZ588" s="682"/>
      <c r="BA588" s="682"/>
      <c r="BB588" s="682"/>
      <c r="BC588" s="581"/>
      <c r="BD588" s="682"/>
      <c r="BE588" s="682"/>
      <c r="BF588" s="682"/>
      <c r="BG588" s="581"/>
      <c r="BH588" s="682"/>
      <c r="BI588" s="682"/>
      <c r="BJ588" s="682"/>
      <c r="BK588" s="581"/>
      <c r="BL588" s="682"/>
      <c r="BM588" s="682"/>
      <c r="BN588" s="682"/>
      <c r="BO588" s="581"/>
      <c r="BP588" s="682"/>
      <c r="BQ588" s="682"/>
      <c r="BR588" s="682"/>
      <c r="BS588" s="581"/>
      <c r="BT588" s="682"/>
      <c r="BU588" s="682"/>
      <c r="BV588" s="682"/>
      <c r="BW588" s="581"/>
      <c r="BX588" s="682"/>
      <c r="BY588" s="715">
        <f>AVERAGE(BX587:BY587)</f>
        <v>79.050000000000011</v>
      </c>
      <c r="BZ588" s="715">
        <f>AVERAGE(BX588:BY588)</f>
        <v>79.050000000000011</v>
      </c>
      <c r="CA588" s="581"/>
      <c r="CB588" s="715">
        <f>AVERAGE(CB587,BY587)</f>
        <v>82.15</v>
      </c>
      <c r="CC588" s="715">
        <f>AVERAGE(CB587:CC587)</f>
        <v>93.15</v>
      </c>
      <c r="CD588" s="715">
        <f>AVERAGE(CB588:CC588)</f>
        <v>87.65</v>
      </c>
      <c r="CE588" s="581"/>
      <c r="CF588" s="715">
        <f>AVERAGE(CF587,CC587)</f>
        <v>105.85000000000001</v>
      </c>
      <c r="CG588" s="715">
        <f>AVERAGE(CF587:CG587)</f>
        <v>112.65</v>
      </c>
      <c r="CH588" s="715">
        <f>AVERAGE(CF588:CG588)</f>
        <v>109.25</v>
      </c>
      <c r="CI588" s="581"/>
      <c r="CJ588" s="715">
        <f>AVERAGE(CJ587,CG587)</f>
        <v>119.75</v>
      </c>
      <c r="CK588" s="715">
        <f>AVERAGE(CJ587:CK587)</f>
        <v>131.4</v>
      </c>
      <c r="CL588" s="715">
        <f>AVERAGE(CJ588:CK588)</f>
        <v>125.575</v>
      </c>
      <c r="CM588" s="581"/>
      <c r="CN588" s="1434">
        <f>AVERAGE(CN587,CK587)</f>
        <v>146.35</v>
      </c>
      <c r="CO588" s="1434">
        <f>AVERAGE(CN587:CO587)</f>
        <v>161.65</v>
      </c>
      <c r="CP588" s="715">
        <f>AVERAGE(CN588:CO588)</f>
        <v>154</v>
      </c>
      <c r="CQ588" s="1430"/>
      <c r="CR588" s="1434">
        <f>AVERAGE(CR587,CO587)</f>
        <v>178.35000000000002</v>
      </c>
      <c r="CS588" s="715">
        <f>AVERAGE(CR587:CS587)</f>
        <v>197.55</v>
      </c>
      <c r="CT588" s="715">
        <f>AVERAGE(CR588:CS588)</f>
        <v>187.95000000000002</v>
      </c>
      <c r="CU588" s="581"/>
      <c r="CV588" s="1434">
        <f>AVERAGE(CV587,CS587)</f>
        <v>222.95</v>
      </c>
      <c r="CW588" s="715">
        <f>AVERAGE(CV587:CW587)</f>
        <v>247.4</v>
      </c>
      <c r="CX588" s="715">
        <f>AVERAGE(CV588:CW588)</f>
        <v>235.17500000000001</v>
      </c>
      <c r="CY588" s="581"/>
      <c r="CZ588" s="1434">
        <f>AVERAGE(CZ587,CW587)</f>
        <v>261.35000000000002</v>
      </c>
      <c r="DA588" s="1434">
        <f>AVERAGE(CZ587:DA587)</f>
        <v>274.25</v>
      </c>
      <c r="DB588" s="715">
        <f>AVERAGE(CZ588:DA588)</f>
        <v>267.8</v>
      </c>
      <c r="DC588" s="581"/>
      <c r="DD588" s="1434">
        <f>AVERAGE(DD587,DA587)</f>
        <v>293.2</v>
      </c>
      <c r="DE588" s="1434">
        <f>AVERAGE(DD587:DE587)</f>
        <v>318.64999999999998</v>
      </c>
      <c r="DF588" s="715">
        <f>AVERAGE(DD588:DE588)</f>
        <v>305.92499999999995</v>
      </c>
      <c r="DG588" s="581"/>
      <c r="DH588" s="1434">
        <f>AVERAGE(DH587,DE587)</f>
        <v>352.35</v>
      </c>
      <c r="DI588" s="1074"/>
      <c r="DJ588" s="1074"/>
      <c r="DK588" s="581"/>
      <c r="DL588" s="1074"/>
      <c r="DM588" s="1074"/>
      <c r="DN588" s="1074"/>
      <c r="DO588" s="581"/>
      <c r="DP588" s="1074"/>
      <c r="DQ588" s="1074"/>
      <c r="DR588" s="1074"/>
      <c r="DS588" s="581"/>
      <c r="DT588" s="581"/>
      <c r="DU588" s="581"/>
      <c r="DV588" s="581"/>
      <c r="DW588" s="682"/>
      <c r="DX588" s="682"/>
      <c r="DY588" s="682"/>
      <c r="DZ588" s="581"/>
      <c r="EA588" s="682"/>
      <c r="EB588" s="682"/>
      <c r="EC588" s="682"/>
      <c r="ED588" s="581"/>
      <c r="EE588" s="682"/>
      <c r="EF588" s="682"/>
      <c r="EG588" s="682"/>
      <c r="EH588" s="581"/>
      <c r="EI588" s="682"/>
      <c r="EJ588" s="682"/>
      <c r="EK588" s="682"/>
      <c r="EL588" s="581"/>
      <c r="EM588" s="581"/>
      <c r="EN588" s="581"/>
      <c r="EO588" s="581"/>
      <c r="EP588" s="581"/>
      <c r="EQ588" s="581"/>
      <c r="ER588" s="581"/>
      <c r="ES588" s="581"/>
      <c r="ET588" s="581"/>
      <c r="EU588" s="581"/>
      <c r="JW588"/>
    </row>
    <row r="589" spans="1:283" s="328" customFormat="1">
      <c r="A589" s="1092" t="s">
        <v>1069</v>
      </c>
      <c r="AN589" s="581"/>
      <c r="AO589" s="581"/>
      <c r="AP589" s="581"/>
      <c r="AQ589" s="581"/>
      <c r="AR589" s="581"/>
      <c r="AS589" s="581"/>
      <c r="AT589" s="581"/>
      <c r="AU589" s="581"/>
      <c r="AV589" s="682"/>
      <c r="AW589" s="682"/>
      <c r="AX589" s="682"/>
      <c r="AY589" s="581"/>
      <c r="AZ589" s="682"/>
      <c r="BA589" s="682"/>
      <c r="BB589" s="682"/>
      <c r="BC589" s="581"/>
      <c r="BD589" s="682"/>
      <c r="BE589" s="682"/>
      <c r="BF589" s="682"/>
      <c r="BG589" s="581"/>
      <c r="BH589" s="682"/>
      <c r="BI589" s="682"/>
      <c r="BJ589" s="682"/>
      <c r="BK589" s="581"/>
      <c r="BL589" s="682"/>
      <c r="BM589" s="682"/>
      <c r="BN589" s="682"/>
      <c r="BO589" s="581"/>
      <c r="BP589" s="682"/>
      <c r="BQ589" s="682"/>
      <c r="BR589" s="682"/>
      <c r="BS589" s="581"/>
      <c r="BT589" s="682"/>
      <c r="BU589" s="682"/>
      <c r="BV589" s="682"/>
      <c r="BW589" s="581"/>
      <c r="BX589" s="682"/>
      <c r="BY589" s="715"/>
      <c r="BZ589" s="682"/>
      <c r="CA589" s="581"/>
      <c r="CB589" s="715"/>
      <c r="CC589" s="682"/>
      <c r="CD589" s="682"/>
      <c r="CE589" s="581"/>
      <c r="CF589" s="715"/>
      <c r="CG589" s="650"/>
      <c r="CH589" s="682"/>
      <c r="CI589" s="581"/>
      <c r="CJ589" s="715"/>
      <c r="CK589" s="650"/>
      <c r="CL589" s="682"/>
      <c r="CM589" s="581"/>
      <c r="CN589" s="1434"/>
      <c r="CO589" s="1435"/>
      <c r="CP589" s="1435"/>
      <c r="CQ589" s="1430"/>
      <c r="CR589" s="1434"/>
      <c r="CS589" s="650"/>
      <c r="CT589" s="682"/>
      <c r="CU589" s="581"/>
      <c r="CV589" s="1074"/>
      <c r="CW589" s="650"/>
      <c r="CX589" s="682"/>
      <c r="CY589" s="581"/>
      <c r="CZ589" s="1074"/>
      <c r="DA589" s="1074"/>
      <c r="DB589" s="1074"/>
      <c r="DC589" s="1074"/>
      <c r="DD589" s="1074"/>
      <c r="DE589" s="1074"/>
      <c r="DF589" s="1074"/>
      <c r="DG589" s="581"/>
      <c r="DH589" s="1074"/>
      <c r="DI589" s="1074"/>
      <c r="DJ589" s="1074"/>
      <c r="DK589" s="581"/>
      <c r="DL589" s="1074"/>
      <c r="DM589" s="1074"/>
      <c r="DN589" s="1074"/>
      <c r="DO589" s="581"/>
      <c r="DP589" s="1074"/>
      <c r="DQ589" s="1074"/>
      <c r="DR589" s="1074"/>
      <c r="DS589" s="581"/>
      <c r="DT589" s="581"/>
      <c r="DU589" s="581"/>
      <c r="DV589" s="581"/>
      <c r="DW589" s="682"/>
      <c r="DX589" s="682"/>
      <c r="DY589" s="682"/>
      <c r="DZ589" s="581"/>
      <c r="EA589" s="682"/>
      <c r="EB589" s="682"/>
      <c r="EC589" s="682"/>
      <c r="ED589" s="581"/>
      <c r="EE589" s="682"/>
      <c r="EF589" s="682"/>
      <c r="EG589" s="682"/>
      <c r="EH589" s="581"/>
      <c r="EI589" s="682"/>
      <c r="EJ589" s="682"/>
      <c r="EK589" s="682"/>
      <c r="EL589" s="581"/>
      <c r="EM589" s="581"/>
      <c r="EN589" s="581"/>
      <c r="EO589" s="581"/>
      <c r="EP589" s="581"/>
      <c r="EQ589" s="581"/>
      <c r="ER589" s="581"/>
      <c r="ES589" s="581"/>
      <c r="ET589" s="581"/>
      <c r="EU589" s="581"/>
      <c r="JW589"/>
    </row>
    <row r="590" spans="1:283" s="948" customFormat="1">
      <c r="A590" s="1526" t="s">
        <v>1275</v>
      </c>
      <c r="AN590" s="1527"/>
      <c r="AO590" s="1527"/>
      <c r="AP590" s="1527"/>
      <c r="AQ590" s="1527"/>
      <c r="AR590" s="1527"/>
      <c r="AS590" s="1527"/>
      <c r="AT590" s="1527"/>
      <c r="AU590" s="1527"/>
      <c r="AV590" s="1528"/>
      <c r="AW590" s="1528"/>
      <c r="AX590" s="1528"/>
      <c r="AY590" s="1527"/>
      <c r="AZ590" s="1528"/>
      <c r="BA590" s="1528"/>
      <c r="BB590" s="1528"/>
      <c r="BC590" s="1527"/>
      <c r="BD590" s="1528"/>
      <c r="BE590" s="1528"/>
      <c r="BF590" s="1528"/>
      <c r="BG590" s="1527"/>
      <c r="BH590" s="1528"/>
      <c r="BI590" s="1528"/>
      <c r="BJ590" s="1528"/>
      <c r="BK590" s="1527"/>
      <c r="BL590" s="1528"/>
      <c r="BM590" s="1528"/>
      <c r="BN590" s="1528"/>
      <c r="BO590" s="1527"/>
      <c r="BP590" s="1528"/>
      <c r="BQ590" s="1528"/>
      <c r="BR590" s="1528"/>
      <c r="BS590" s="1527"/>
      <c r="BT590" s="1528"/>
      <c r="BU590" s="1528"/>
      <c r="BV590" s="1528"/>
      <c r="BW590" s="1527"/>
      <c r="BX590" s="1528"/>
      <c r="BY590" s="1528"/>
      <c r="BZ590" s="1528"/>
      <c r="CA590" s="1527"/>
      <c r="CB590" s="1529">
        <f>+CB577/BX577-1</f>
        <v>5.6179775280898792E-2</v>
      </c>
      <c r="CC590" s="1529">
        <f>+CC577/BY577-1</f>
        <v>0.58100558659217905</v>
      </c>
      <c r="CD590" s="1529">
        <f>+CD577/BZ577-1</f>
        <v>0.58100558659217905</v>
      </c>
      <c r="CE590" s="1527"/>
      <c r="CF590" s="1398">
        <f t="shared" ref="CF590:CH591" si="1611">+CF577/CB577-1</f>
        <v>0.5957446808510638</v>
      </c>
      <c r="CG590" s="1398">
        <f t="shared" si="1611"/>
        <v>0.10424028268551244</v>
      </c>
      <c r="CH590" s="1529">
        <f t="shared" si="1611"/>
        <v>0.10424028268551244</v>
      </c>
      <c r="CI590" s="1527"/>
      <c r="CJ590" s="1398">
        <f t="shared" ref="CJ590:CL591" si="1612">+CJ577/CF577-1</f>
        <v>0.12333333333333352</v>
      </c>
      <c r="CK590" s="1398">
        <f t="shared" si="1612"/>
        <v>0.20479999999999987</v>
      </c>
      <c r="CL590" s="1529">
        <f t="shared" si="1612"/>
        <v>0.20479999999999987</v>
      </c>
      <c r="CM590" s="1527"/>
      <c r="CN590" s="1530">
        <f t="shared" ref="CN590:CP591" si="1613">+CN577/CJ577-1</f>
        <v>0.17359050445103841</v>
      </c>
      <c r="CO590" s="1530">
        <f t="shared" si="1613"/>
        <v>0.18326693227091639</v>
      </c>
      <c r="CP590" s="1528">
        <f t="shared" si="1613"/>
        <v>0.18326693227091639</v>
      </c>
      <c r="CQ590" s="1527"/>
      <c r="CR590" s="1398">
        <f t="shared" ref="CR590:CT591" si="1614">+CR577/CN577-1</f>
        <v>0.24778761061946919</v>
      </c>
      <c r="CS590" s="1398">
        <f t="shared" si="1614"/>
        <v>0.23681257014590362</v>
      </c>
      <c r="CT590" s="1529">
        <f t="shared" si="1614"/>
        <v>0.23681257014590362</v>
      </c>
      <c r="CU590" s="906"/>
      <c r="CV590" s="1398">
        <f>+CV577/CR577-1</f>
        <v>0.22593718338399182</v>
      </c>
      <c r="CW590" s="1398">
        <f t="shared" ref="CW590:CW591" si="1615">+CW577/CS577-1</f>
        <v>0.1588021778584392</v>
      </c>
      <c r="CX590" s="1529">
        <f t="shared" ref="CX590:CX591" si="1616">+CX577/CT577-1</f>
        <v>0.1588021778584392</v>
      </c>
      <c r="CY590" s="906"/>
      <c r="CZ590" s="1398">
        <f>+CZ577/CV577-1</f>
        <v>0.11074380165289255</v>
      </c>
      <c r="DA590" s="1398">
        <f t="shared" ref="DA590:DA591" si="1617">+DA577/CW577-1</f>
        <v>9.7885669537979503E-2</v>
      </c>
      <c r="DB590" s="1529">
        <f t="shared" ref="DB590:DB591" si="1618">+DB577/CX577-1</f>
        <v>9.7885669537979503E-2</v>
      </c>
      <c r="DC590" s="1527"/>
      <c r="DD590" s="1398">
        <f>+DD577/CZ577-1</f>
        <v>0.11904761904761907</v>
      </c>
      <c r="DE590" s="1398">
        <f t="shared" ref="DE590:DE591" si="1619">+DE577/DA577-1</f>
        <v>0.15121255349500728</v>
      </c>
      <c r="DF590" s="1529">
        <f t="shared" ref="DF590:DF591" si="1620">+DF577/DB577-1</f>
        <v>0.15121255349500728</v>
      </c>
      <c r="DG590" s="1527"/>
      <c r="DH590" s="1398">
        <f>+DH577/DD577-1</f>
        <v>0.18617021276595747</v>
      </c>
      <c r="DI590" s="1074"/>
      <c r="DJ590" s="1529">
        <f t="shared" ref="DJ590:DJ591" si="1621">+DJ577/DF577-1</f>
        <v>0.24998141263940532</v>
      </c>
      <c r="DK590" s="1527"/>
      <c r="DL590" s="1074"/>
      <c r="DM590" s="1074"/>
      <c r="DN590" s="1529">
        <f t="shared" ref="DN590:DN591" si="1622">+DN577/DJ577-1</f>
        <v>0.14844788175288848</v>
      </c>
      <c r="DO590" s="1527"/>
      <c r="DP590" s="1074"/>
      <c r="DQ590" s="1074"/>
      <c r="DR590" s="1529">
        <f t="shared" ref="DR590:DR591" si="1623">+DR577/DN577-1</f>
        <v>0.1198738059635398</v>
      </c>
      <c r="DS590" s="1527"/>
      <c r="DT590" s="1527"/>
      <c r="DU590" s="1527"/>
      <c r="DV590" s="1527"/>
      <c r="DW590" s="1528"/>
      <c r="DX590" s="1528"/>
      <c r="DY590" s="1528"/>
      <c r="DZ590" s="1527"/>
      <c r="EA590" s="1528"/>
      <c r="EB590" s="1528"/>
      <c r="EC590" s="1528"/>
      <c r="ED590" s="1527"/>
      <c r="EE590" s="1528"/>
      <c r="EF590" s="1528"/>
      <c r="EG590" s="1528"/>
      <c r="EH590" s="1527"/>
      <c r="EI590" s="1528"/>
      <c r="EJ590" s="1528"/>
      <c r="EK590" s="1528"/>
      <c r="EL590" s="1527"/>
      <c r="EM590" s="1527"/>
      <c r="EN590" s="1527"/>
      <c r="EO590" s="1527"/>
      <c r="EP590" s="1527"/>
      <c r="EQ590" s="1527"/>
      <c r="ER590" s="1527"/>
      <c r="ES590" s="1527"/>
      <c r="ET590" s="1527"/>
      <c r="EU590" s="1527"/>
      <c r="JW590"/>
    </row>
    <row r="591" spans="1:283" s="948" customFormat="1">
      <c r="A591" s="1526" t="s">
        <v>1276</v>
      </c>
      <c r="AN591" s="1527"/>
      <c r="AO591" s="1527"/>
      <c r="AP591" s="1527"/>
      <c r="AQ591" s="1527"/>
      <c r="AR591" s="1527"/>
      <c r="AS591" s="1527"/>
      <c r="AT591" s="1527"/>
      <c r="AU591" s="1527"/>
      <c r="AV591" s="1528"/>
      <c r="AW591" s="1528"/>
      <c r="AX591" s="1528"/>
      <c r="AY591" s="1527"/>
      <c r="AZ591" s="1528"/>
      <c r="BA591" s="1528"/>
      <c r="BB591" s="1528"/>
      <c r="BC591" s="1527"/>
      <c r="BD591" s="1528"/>
      <c r="BE591" s="1528"/>
      <c r="BF591" s="1528"/>
      <c r="BG591" s="1527"/>
      <c r="BH591" s="1528"/>
      <c r="BI591" s="1528"/>
      <c r="BJ591" s="1528"/>
      <c r="BK591" s="1527"/>
      <c r="BL591" s="1528"/>
      <c r="BM591" s="1528"/>
      <c r="BN591" s="1528"/>
      <c r="BO591" s="1527"/>
      <c r="BP591" s="1528"/>
      <c r="BQ591" s="1528"/>
      <c r="BR591" s="1528"/>
      <c r="BS591" s="1527"/>
      <c r="BT591" s="1528"/>
      <c r="BU591" s="1528"/>
      <c r="BV591" s="1528"/>
      <c r="BW591" s="1527"/>
      <c r="BX591" s="1528"/>
      <c r="BY591" s="1528"/>
      <c r="BZ591" s="1528"/>
      <c r="CA591" s="1527"/>
      <c r="CB591" s="1529"/>
      <c r="CC591" s="1529"/>
      <c r="CD591" s="1529"/>
      <c r="CE591" s="1527"/>
      <c r="CF591" s="1398">
        <f t="shared" si="1611"/>
        <v>0.20735785953177266</v>
      </c>
      <c r="CG591" s="1398">
        <f t="shared" si="1611"/>
        <v>0.17737003058103973</v>
      </c>
      <c r="CH591" s="1529">
        <f t="shared" si="1611"/>
        <v>0.17737003058103973</v>
      </c>
      <c r="CI591" s="1527"/>
      <c r="CJ591" s="1398">
        <f t="shared" si="1612"/>
        <v>0.20775623268698062</v>
      </c>
      <c r="CK591" s="1398">
        <f t="shared" si="1612"/>
        <v>0.35324675324675336</v>
      </c>
      <c r="CL591" s="1529">
        <f t="shared" si="1612"/>
        <v>0.35324675324675336</v>
      </c>
      <c r="CM591" s="1527"/>
      <c r="CN591" s="1530">
        <f t="shared" si="1613"/>
        <v>0.3165137614678899</v>
      </c>
      <c r="CO591" s="1530">
        <f t="shared" si="1613"/>
        <v>0.28598848368522067</v>
      </c>
      <c r="CP591" s="1528">
        <f t="shared" si="1613"/>
        <v>0.28598848368522067</v>
      </c>
      <c r="CQ591" s="1527"/>
      <c r="CR591" s="1398">
        <f t="shared" si="1614"/>
        <v>0.33101045296167264</v>
      </c>
      <c r="CS591" s="1398">
        <f t="shared" si="1614"/>
        <v>0.33582089552238803</v>
      </c>
      <c r="CT591" s="1529">
        <f t="shared" si="1614"/>
        <v>0.33582089552238803</v>
      </c>
      <c r="CU591" s="906"/>
      <c r="CV591" s="1398">
        <f>+CV578/CR578-1</f>
        <v>0.33246073298429302</v>
      </c>
      <c r="CW591" s="1398">
        <f t="shared" si="1615"/>
        <v>0.21787709497206698</v>
      </c>
      <c r="CX591" s="1529">
        <f t="shared" si="1616"/>
        <v>0.21787709497206698</v>
      </c>
      <c r="CY591" s="906"/>
      <c r="CZ591" s="1398">
        <f>+CZ578/CV578-1</f>
        <v>0.12180746561886058</v>
      </c>
      <c r="DA591" s="1398">
        <f t="shared" si="1617"/>
        <v>0.1045871559633027</v>
      </c>
      <c r="DB591" s="1529">
        <f t="shared" si="1618"/>
        <v>0.1045871559633027</v>
      </c>
      <c r="DC591" s="1527"/>
      <c r="DD591" s="1398">
        <f>+DD578/CZ578-1</f>
        <v>0.13747810858143605</v>
      </c>
      <c r="DE591" s="1398">
        <f t="shared" si="1619"/>
        <v>0.18770764119601324</v>
      </c>
      <c r="DF591" s="1529">
        <f t="shared" si="1620"/>
        <v>0.18770764119601324</v>
      </c>
      <c r="DG591" s="1527"/>
      <c r="DH591" s="1398">
        <f>+DH578/DD578-1</f>
        <v>0.23402617397998471</v>
      </c>
      <c r="DI591" s="1074"/>
      <c r="DJ591" s="1529">
        <f t="shared" si="1621"/>
        <v>0.27791608391608436</v>
      </c>
      <c r="DK591" s="1527"/>
      <c r="DL591" s="1074"/>
      <c r="DM591" s="1074"/>
      <c r="DN591" s="1529">
        <f t="shared" si="1622"/>
        <v>0.15539999999999998</v>
      </c>
      <c r="DO591" s="1527"/>
      <c r="DP591" s="1074"/>
      <c r="DQ591" s="1074"/>
      <c r="DR591" s="1529">
        <f t="shared" si="1623"/>
        <v>0.12360000000000015</v>
      </c>
      <c r="DS591" s="1527"/>
      <c r="DT591" s="1527"/>
      <c r="DU591" s="1527"/>
      <c r="DV591" s="1527"/>
      <c r="DW591" s="1528"/>
      <c r="DX591" s="1528"/>
      <c r="DY591" s="1528"/>
      <c r="DZ591" s="1527"/>
      <c r="EA591" s="1528"/>
      <c r="EB591" s="1528"/>
      <c r="EC591" s="1528"/>
      <c r="ED591" s="1527"/>
      <c r="EE591" s="1528"/>
      <c r="EF591" s="1528"/>
      <c r="EG591" s="1528"/>
      <c r="EH591" s="1527"/>
      <c r="EI591" s="1528"/>
      <c r="EJ591" s="1528"/>
      <c r="EK591" s="1528"/>
      <c r="EL591" s="1527"/>
      <c r="EM591" s="1527"/>
      <c r="EN591" s="1527"/>
      <c r="EO591" s="1527"/>
      <c r="EP591" s="1527"/>
      <c r="EQ591" s="1527"/>
      <c r="ER591" s="1527"/>
      <c r="ES591" s="1527"/>
      <c r="ET591" s="1527"/>
      <c r="EU591" s="1527"/>
      <c r="JW591"/>
    </row>
    <row r="592" spans="1:283" s="328" customFormat="1">
      <c r="A592" s="1092" t="str">
        <f>A586</f>
        <v>Deposits</v>
      </c>
      <c r="AN592" s="581"/>
      <c r="AO592" s="581"/>
      <c r="AP592" s="581"/>
      <c r="AQ592" s="581"/>
      <c r="AR592" s="581"/>
      <c r="AS592" s="581"/>
      <c r="AT592" s="581"/>
      <c r="AU592" s="581"/>
      <c r="AV592" s="682"/>
      <c r="AW592" s="682"/>
      <c r="AX592" s="682"/>
      <c r="AY592" s="581"/>
      <c r="AZ592" s="682"/>
      <c r="BA592" s="682"/>
      <c r="BB592" s="682"/>
      <c r="BC592" s="581"/>
      <c r="BD592" s="682"/>
      <c r="BE592" s="682"/>
      <c r="BF592" s="682"/>
      <c r="BG592" s="581"/>
      <c r="BH592" s="682"/>
      <c r="BI592" s="682"/>
      <c r="BJ592" s="682"/>
      <c r="BK592" s="581"/>
      <c r="BL592" s="682"/>
      <c r="BM592" s="682"/>
      <c r="BN592" s="682"/>
      <c r="BO592" s="581"/>
      <c r="BP592" s="682"/>
      <c r="BQ592" s="682"/>
      <c r="BR592" s="682"/>
      <c r="BS592" s="581"/>
      <c r="BT592" s="682"/>
      <c r="BU592" s="682"/>
      <c r="BV592" s="682"/>
      <c r="BW592" s="581"/>
      <c r="BX592" s="682"/>
      <c r="BY592" s="682"/>
      <c r="BZ592" s="682"/>
      <c r="CA592" s="581"/>
      <c r="CB592" s="672">
        <f t="shared" ref="CB592:CD593" si="1624">+CB586/BX586-1</f>
        <v>9.9526066350710707E-2</v>
      </c>
      <c r="CC592" s="672">
        <f t="shared" si="1624"/>
        <v>2.6966292134831482E-2</v>
      </c>
      <c r="CD592" s="672">
        <f t="shared" si="1624"/>
        <v>2.6966292134831482E-2</v>
      </c>
      <c r="CE592" s="581"/>
      <c r="CF592" s="905">
        <f t="shared" ref="CF592:CH593" si="1625">+CF586/CB586-1</f>
        <v>6.4655172413793149E-2</v>
      </c>
      <c r="CG592" s="905">
        <f t="shared" si="1625"/>
        <v>0.16849015317286642</v>
      </c>
      <c r="CH592" s="672">
        <f t="shared" si="1625"/>
        <v>0.16849015317286642</v>
      </c>
      <c r="CI592" s="581"/>
      <c r="CJ592" s="905">
        <f t="shared" ref="CJ592:CL593" si="1626">+CJ586/CF586-1</f>
        <v>0.13765182186234837</v>
      </c>
      <c r="CK592" s="905">
        <f t="shared" si="1626"/>
        <v>0.19662921348314599</v>
      </c>
      <c r="CL592" s="672">
        <f t="shared" si="1626"/>
        <v>0.19662921348314599</v>
      </c>
      <c r="CM592" s="581"/>
      <c r="CN592" s="905">
        <f t="shared" ref="CN592:CP593" si="1627">+CN586/CJ586-1</f>
        <v>0.32384341637010672</v>
      </c>
      <c r="CO592" s="905">
        <f t="shared" si="1627"/>
        <v>0.26291079812206575</v>
      </c>
      <c r="CP592" s="672">
        <f t="shared" si="1627"/>
        <v>0.26291079812206575</v>
      </c>
      <c r="CQ592" s="581"/>
      <c r="CR592" s="905">
        <f t="shared" ref="CR592:CV593" si="1628">+CR586/CN586-1</f>
        <v>0.18548387096774199</v>
      </c>
      <c r="CS592" s="905">
        <f t="shared" si="1628"/>
        <v>0.21437422552664187</v>
      </c>
      <c r="CT592" s="672">
        <f t="shared" si="1628"/>
        <v>0.21437422552664187</v>
      </c>
      <c r="CU592" s="581"/>
      <c r="CV592" s="905">
        <f t="shared" si="1628"/>
        <v>0.3231292517006803</v>
      </c>
      <c r="CW592" s="905">
        <f t="shared" ref="CW592:CW593" si="1629">+CW586/CS586-1</f>
        <v>0.32040816326530619</v>
      </c>
      <c r="CX592" s="672">
        <f t="shared" ref="CX592:CX593" si="1630">+CX586/CT586-1</f>
        <v>0.32040816326530619</v>
      </c>
      <c r="CY592" s="581"/>
      <c r="CZ592" s="905">
        <f t="shared" ref="CZ592:CZ593" si="1631">+CZ586/CV586-1</f>
        <v>0.12425021422450722</v>
      </c>
      <c r="DA592" s="905">
        <f t="shared" ref="DA592:DA593" si="1632">+DA586/CW586-1</f>
        <v>0.10278207109737236</v>
      </c>
      <c r="DB592" s="672">
        <f t="shared" ref="DB592:DB593" si="1633">+DB586/CX586-1</f>
        <v>0.10278207109737236</v>
      </c>
      <c r="DC592" s="581"/>
      <c r="DD592" s="905">
        <f t="shared" ref="DD592:DD593" si="1634">+DD586/CZ586-1</f>
        <v>0.16692073170731714</v>
      </c>
      <c r="DE592" s="905">
        <f t="shared" ref="DE592:DE593" si="1635">+DE586/DA586-1</f>
        <v>0.20812894183601971</v>
      </c>
      <c r="DF592" s="672">
        <f t="shared" ref="DF592:DF593" si="1636">+DF586/DB586-1</f>
        <v>0.20812894183601971</v>
      </c>
      <c r="DG592" s="581"/>
      <c r="DH592" s="905">
        <f t="shared" ref="DH592:DH593" si="1637">+DH586/DD586-1</f>
        <v>0.25734813847158722</v>
      </c>
      <c r="DI592" s="1074"/>
      <c r="DJ592" s="1074"/>
      <c r="DK592" s="581"/>
      <c r="DL592" s="1074"/>
      <c r="DM592" s="1074"/>
      <c r="DN592" s="1074"/>
      <c r="DO592" s="581"/>
      <c r="DP592" s="1074"/>
      <c r="DQ592" s="1074"/>
      <c r="DR592" s="1074"/>
      <c r="DS592" s="581"/>
      <c r="DT592" s="581"/>
      <c r="DU592" s="581"/>
      <c r="DV592" s="581"/>
      <c r="DW592" s="682"/>
      <c r="DX592" s="682"/>
      <c r="DY592" s="682"/>
      <c r="DZ592" s="581"/>
      <c r="EA592" s="682"/>
      <c r="EB592" s="682"/>
      <c r="EC592" s="682"/>
      <c r="ED592" s="581"/>
      <c r="EE592" s="682"/>
      <c r="EF592" s="682"/>
      <c r="EG592" s="682"/>
      <c r="EH592" s="581"/>
      <c r="EI592" s="682"/>
      <c r="EJ592" s="682"/>
      <c r="EK592" s="682"/>
      <c r="EL592" s="581"/>
      <c r="EM592" s="581"/>
      <c r="EN592" s="581"/>
      <c r="EO592" s="581"/>
      <c r="EP592" s="581"/>
      <c r="EQ592" s="581"/>
      <c r="ER592" s="581"/>
      <c r="ES592" s="581"/>
      <c r="ET592" s="581"/>
      <c r="EU592" s="581"/>
      <c r="JW592"/>
    </row>
    <row r="593" spans="1:283" s="328" customFormat="1">
      <c r="A593" s="1092" t="str">
        <f>A587</f>
        <v>Total Footings</v>
      </c>
      <c r="AN593" s="581"/>
      <c r="AO593" s="581"/>
      <c r="AP593" s="581"/>
      <c r="AQ593" s="581"/>
      <c r="AR593" s="581"/>
      <c r="AS593" s="581"/>
      <c r="AT593" s="581"/>
      <c r="AU593" s="581"/>
      <c r="AV593" s="682"/>
      <c r="AW593" s="682"/>
      <c r="AX593" s="682"/>
      <c r="AY593" s="581"/>
      <c r="AZ593" s="682"/>
      <c r="BA593" s="682"/>
      <c r="BB593" s="682"/>
      <c r="BC593" s="581"/>
      <c r="BD593" s="682"/>
      <c r="BE593" s="682"/>
      <c r="BF593" s="682"/>
      <c r="BG593" s="581"/>
      <c r="BH593" s="682"/>
      <c r="BI593" s="682"/>
      <c r="BJ593" s="682"/>
      <c r="BK593" s="581"/>
      <c r="BL593" s="682"/>
      <c r="BM593" s="682"/>
      <c r="BN593" s="682"/>
      <c r="BO593" s="581"/>
      <c r="BP593" s="682"/>
      <c r="BQ593" s="682"/>
      <c r="BR593" s="682"/>
      <c r="BS593" s="581"/>
      <c r="BT593" s="682"/>
      <c r="BU593" s="682"/>
      <c r="BV593" s="682"/>
      <c r="BW593" s="581"/>
      <c r="BX593" s="682"/>
      <c r="BY593" s="682"/>
      <c r="BZ593" s="682"/>
      <c r="CA593" s="581"/>
      <c r="CB593" s="672">
        <f t="shared" si="1624"/>
        <v>7.9691516709511356E-2</v>
      </c>
      <c r="CC593" s="672">
        <f t="shared" si="1624"/>
        <v>0.27397260273972623</v>
      </c>
      <c r="CD593" s="672">
        <f t="shared" si="1624"/>
        <v>0.27397260273972623</v>
      </c>
      <c r="CE593" s="581"/>
      <c r="CF593" s="905">
        <f t="shared" si="1625"/>
        <v>0.30238095238095242</v>
      </c>
      <c r="CG593" s="905">
        <f t="shared" si="1625"/>
        <v>0.13294232649071347</v>
      </c>
      <c r="CH593" s="672">
        <f t="shared" si="1625"/>
        <v>0.13294232649071347</v>
      </c>
      <c r="CI593" s="581"/>
      <c r="CJ593" s="905">
        <f t="shared" si="1626"/>
        <v>0.12979890310786102</v>
      </c>
      <c r="CK593" s="905">
        <f t="shared" si="1626"/>
        <v>0.20103537532355453</v>
      </c>
      <c r="CL593" s="672">
        <f t="shared" si="1626"/>
        <v>0.20103537532355453</v>
      </c>
      <c r="CM593" s="581"/>
      <c r="CN593" s="905">
        <f t="shared" si="1627"/>
        <v>0.24190938511326854</v>
      </c>
      <c r="CO593" s="905">
        <f t="shared" si="1627"/>
        <v>0.2198275862068968</v>
      </c>
      <c r="CP593" s="672">
        <f t="shared" si="1627"/>
        <v>0.2198275862068968</v>
      </c>
      <c r="CQ593" s="581"/>
      <c r="CR593" s="905">
        <f t="shared" si="1628"/>
        <v>0.21758957654723132</v>
      </c>
      <c r="CS593" s="905">
        <f t="shared" si="1628"/>
        <v>0.22614840989399276</v>
      </c>
      <c r="CT593" s="672">
        <f t="shared" si="1628"/>
        <v>0.22614840989399276</v>
      </c>
      <c r="CU593" s="581"/>
      <c r="CV593" s="905">
        <f t="shared" si="1628"/>
        <v>0.27180310326377732</v>
      </c>
      <c r="CW593" s="905">
        <f t="shared" si="1629"/>
        <v>0.23487031700288208</v>
      </c>
      <c r="CX593" s="672">
        <f t="shared" si="1630"/>
        <v>0.23487031700288208</v>
      </c>
      <c r="CY593" s="581"/>
      <c r="CZ593" s="905">
        <f t="shared" si="1631"/>
        <v>0.11737484223811534</v>
      </c>
      <c r="DA593" s="905">
        <f t="shared" si="1632"/>
        <v>0.10035005834305699</v>
      </c>
      <c r="DB593" s="672">
        <f t="shared" si="1633"/>
        <v>0.10035005834305699</v>
      </c>
      <c r="DC593" s="581"/>
      <c r="DD593" s="905">
        <f t="shared" si="1634"/>
        <v>0.14269578313252995</v>
      </c>
      <c r="DE593" s="905">
        <f t="shared" si="1635"/>
        <v>0.17992223400494889</v>
      </c>
      <c r="DF593" s="672">
        <f t="shared" si="1636"/>
        <v>0.17992223400494889</v>
      </c>
      <c r="DG593" s="581"/>
      <c r="DH593" s="905">
        <f t="shared" si="1637"/>
        <v>0.22207578253706739</v>
      </c>
      <c r="DI593" s="1074"/>
      <c r="DJ593" s="1074"/>
      <c r="DK593" s="581"/>
      <c r="DL593" s="1074"/>
      <c r="DM593" s="1074"/>
      <c r="DN593" s="1074"/>
      <c r="DO593" s="581"/>
      <c r="DP593" s="1074"/>
      <c r="DQ593" s="1074"/>
      <c r="DR593" s="1074"/>
      <c r="DS593" s="581"/>
      <c r="DT593" s="581"/>
      <c r="DU593" s="581"/>
      <c r="DV593" s="581"/>
      <c r="DW593" s="682"/>
      <c r="DX593" s="682"/>
      <c r="DY593" s="682"/>
      <c r="DZ593" s="581"/>
      <c r="EA593" s="682"/>
      <c r="EB593" s="682"/>
      <c r="EC593" s="682"/>
      <c r="ED593" s="581"/>
      <c r="EE593" s="682"/>
      <c r="EF593" s="682"/>
      <c r="EG593" s="682"/>
      <c r="EH593" s="581"/>
      <c r="EI593" s="682"/>
      <c r="EJ593" s="682"/>
      <c r="EK593" s="682"/>
      <c r="EL593" s="581"/>
      <c r="EM593" s="581"/>
      <c r="EN593" s="581"/>
      <c r="EO593" s="581"/>
      <c r="EP593" s="581"/>
      <c r="EQ593" s="581"/>
      <c r="ER593" s="581"/>
      <c r="ES593" s="581"/>
      <c r="ET593" s="581"/>
      <c r="EU593" s="581"/>
      <c r="JW593"/>
    </row>
    <row r="594" spans="1:283" s="328" customFormat="1">
      <c r="A594" s="1079" t="str">
        <f>A588</f>
        <v>Av Footing</v>
      </c>
      <c r="AN594" s="581"/>
      <c r="AO594" s="581"/>
      <c r="AP594" s="581"/>
      <c r="AQ594" s="581"/>
      <c r="AR594" s="581"/>
      <c r="AS594" s="581"/>
      <c r="AT594" s="581"/>
      <c r="AU594" s="581"/>
      <c r="AV594" s="682"/>
      <c r="AW594" s="682"/>
      <c r="AX594" s="682"/>
      <c r="AY594" s="581"/>
      <c r="AZ594" s="682"/>
      <c r="BA594" s="682"/>
      <c r="BB594" s="682"/>
      <c r="BC594" s="581"/>
      <c r="BD594" s="682"/>
      <c r="BE594" s="682"/>
      <c r="BF594" s="682"/>
      <c r="BG594" s="581"/>
      <c r="BH594" s="682"/>
      <c r="BI594" s="682"/>
      <c r="BJ594" s="682"/>
      <c r="BK594" s="581"/>
      <c r="BL594" s="682"/>
      <c r="BM594" s="682"/>
      <c r="BN594" s="682"/>
      <c r="BO594" s="581"/>
      <c r="BP594" s="682"/>
      <c r="BQ594" s="682"/>
      <c r="BR594" s="682"/>
      <c r="BS594" s="581"/>
      <c r="BT594" s="682"/>
      <c r="BU594" s="682"/>
      <c r="BV594" s="682"/>
      <c r="BW594" s="581"/>
      <c r="BX594" s="682"/>
      <c r="BY594" s="682"/>
      <c r="BZ594" s="682"/>
      <c r="CA594" s="581"/>
      <c r="CB594" s="672"/>
      <c r="CC594" s="682"/>
      <c r="CD594" s="682"/>
      <c r="CE594" s="581"/>
      <c r="CF594" s="905"/>
      <c r="CG594" s="650"/>
      <c r="CH594" s="682"/>
      <c r="CI594" s="581"/>
      <c r="CJ594" s="905"/>
      <c r="CK594" s="650"/>
      <c r="CL594" s="682"/>
      <c r="CM594" s="581"/>
      <c r="CN594" s="905"/>
      <c r="CO594" s="650"/>
      <c r="CP594" s="682"/>
      <c r="CQ594" s="581"/>
      <c r="CR594" s="682"/>
      <c r="CS594" s="682"/>
      <c r="CT594" s="682"/>
      <c r="CU594" s="581"/>
      <c r="CV594" s="682"/>
      <c r="CW594" s="682"/>
      <c r="CX594" s="682"/>
      <c r="CY594" s="581"/>
      <c r="CZ594" s="682"/>
      <c r="DA594" s="682"/>
      <c r="DB594" s="682"/>
      <c r="DC594" s="581"/>
      <c r="DD594" s="682"/>
      <c r="DE594" s="682"/>
      <c r="DF594" s="682"/>
      <c r="DG594" s="581"/>
      <c r="DH594" s="682"/>
      <c r="DI594" s="682"/>
      <c r="DJ594" s="682"/>
      <c r="DK594" s="581"/>
      <c r="DL594" s="682"/>
      <c r="DM594" s="682"/>
      <c r="DN594" s="682"/>
      <c r="DO594" s="581"/>
      <c r="DP594" s="682"/>
      <c r="DQ594" s="682"/>
      <c r="DR594" s="682"/>
      <c r="DS594" s="581"/>
      <c r="DT594" s="581"/>
      <c r="DU594" s="581"/>
      <c r="DV594" s="581"/>
      <c r="DW594" s="682"/>
      <c r="DX594" s="682"/>
      <c r="DY594" s="682"/>
      <c r="DZ594" s="581"/>
      <c r="EA594" s="682"/>
      <c r="EB594" s="682"/>
      <c r="EC594" s="682"/>
      <c r="ED594" s="581"/>
      <c r="EE594" s="682"/>
      <c r="EF594" s="682"/>
      <c r="EG594" s="682"/>
      <c r="EH594" s="581"/>
      <c r="EI594" s="682"/>
      <c r="EJ594" s="682"/>
      <c r="EK594" s="682"/>
      <c r="EL594" s="581"/>
      <c r="EM594" s="581"/>
      <c r="EN594" s="581"/>
      <c r="EO594" s="581"/>
      <c r="EP594" s="581"/>
      <c r="EQ594" s="581"/>
      <c r="ER594" s="581"/>
      <c r="ES594" s="581"/>
      <c r="ET594" s="581"/>
      <c r="EU594" s="581"/>
      <c r="JW594"/>
    </row>
    <row r="595" spans="1:283" s="948" customFormat="1">
      <c r="A595" s="1526" t="s">
        <v>1279</v>
      </c>
      <c r="AN595" s="1527"/>
      <c r="AO595" s="1527"/>
      <c r="AP595" s="1527"/>
      <c r="AQ595" s="1527"/>
      <c r="AR595" s="1527"/>
      <c r="AS595" s="1527"/>
      <c r="AT595" s="1527"/>
      <c r="AU595" s="1527"/>
      <c r="AV595" s="1528"/>
      <c r="AW595" s="1528"/>
      <c r="AX595" s="1528"/>
      <c r="AY595" s="1527"/>
      <c r="AZ595" s="1528"/>
      <c r="BA595" s="1528"/>
      <c r="BB595" s="1528"/>
      <c r="BC595" s="1527"/>
      <c r="BD595" s="1530"/>
      <c r="BE595" s="1530"/>
      <c r="BF595" s="1528"/>
      <c r="BG595" s="1527"/>
      <c r="BH595" s="1530">
        <f>'Bal Sheet'!BH132</f>
        <v>0.5</v>
      </c>
      <c r="BI595" s="1530">
        <f>'Bal Sheet'!BI132</f>
        <v>0.60000000000000009</v>
      </c>
      <c r="BJ595" s="1528">
        <f>'Bal Sheet'!BJ132</f>
        <v>1.4</v>
      </c>
      <c r="BK595" s="1527"/>
      <c r="BL595" s="1530">
        <f>'Bal Sheet'!BL132</f>
        <v>0.16666666666666674</v>
      </c>
      <c r="BM595" s="1530">
        <f>'Bal Sheet'!BM132</f>
        <v>0.25</v>
      </c>
      <c r="BN595" s="1528">
        <f>'Bal Sheet'!BN132</f>
        <v>0.45833333333333326</v>
      </c>
      <c r="BO595" s="1527"/>
      <c r="BP595" s="1530">
        <f>'Bal Sheet'!BP132</f>
        <v>0.19999999999999996</v>
      </c>
      <c r="BQ595" s="1530">
        <f>'Bal Sheet'!BQ132</f>
        <v>0.32539682539682535</v>
      </c>
      <c r="BR595" s="1528">
        <f>'Bal Sheet'!BR132</f>
        <v>0.59047619047619038</v>
      </c>
      <c r="BS595" s="1528"/>
      <c r="BT595" s="1530">
        <f>'Bal Sheet'!BT132</f>
        <v>0.14371257485029965</v>
      </c>
      <c r="BU595" s="1530">
        <f>'Bal Sheet'!BU132</f>
        <v>0.13089005235602102</v>
      </c>
      <c r="BV595" s="1528">
        <f>'Bal Sheet'!BV132</f>
        <v>0.29341317365269481</v>
      </c>
      <c r="BW595" s="1527"/>
      <c r="BX595" s="1530">
        <f>'Bal Sheet'!BX132</f>
        <v>1.8518518518518379E-2</v>
      </c>
      <c r="BY595" s="1530">
        <f>'Bal Sheet'!BY132</f>
        <v>4.5454545454545414E-2</v>
      </c>
      <c r="BZ595" s="1528">
        <f>'Bal Sheet'!BZ132</f>
        <v>6.4814814814814659E-2</v>
      </c>
      <c r="CA595" s="1527"/>
      <c r="CB595" s="1530">
        <f>'Bal Sheet'!CB132</f>
        <v>0.10434782608695636</v>
      </c>
      <c r="CC595" s="1530">
        <f>'Bal Sheet'!CC132</f>
        <v>0.12992125984251968</v>
      </c>
      <c r="CD595" s="1528">
        <f>'Bal Sheet'!CD132</f>
        <v>0.24782608695652164</v>
      </c>
      <c r="CE595" s="1527"/>
      <c r="CF595" s="1530">
        <f>'Bal Sheet'!CF132</f>
        <v>0.13937282229965176</v>
      </c>
      <c r="CG595" s="1530">
        <f>'Bal Sheet'!CG132</f>
        <v>8.8685015290519864E-2</v>
      </c>
      <c r="CH595" s="1528">
        <f>'Bal Sheet'!CH132</f>
        <v>0.24041811846689898</v>
      </c>
      <c r="CI595" s="1527"/>
      <c r="CJ595" s="1398">
        <f>'Bal Sheet'!CJ132</f>
        <v>8.9887640449437978E-2</v>
      </c>
      <c r="CK595" s="1398">
        <f>'Bal Sheet'!CK132</f>
        <v>0.11340206185567037</v>
      </c>
      <c r="CL595" s="1529">
        <f>'Bal Sheet'!CL132</f>
        <v>0.21348314606741581</v>
      </c>
      <c r="CM595" s="906"/>
      <c r="CN595" s="1398">
        <f>'Bal Sheet'!CN132</f>
        <v>0.32638888888888884</v>
      </c>
      <c r="CO595" s="1398">
        <f>'Bal Sheet'!CO132</f>
        <v>0.16753926701570698</v>
      </c>
      <c r="CP595" s="1529">
        <f>'Bal Sheet'!CP132</f>
        <v>0.54861111111111116</v>
      </c>
      <c r="CQ595" s="906"/>
      <c r="CR595" s="1529">
        <f>'Bal Sheet'!CR132</f>
        <v>0.14798206278026882</v>
      </c>
      <c r="CS595" s="1529">
        <f>'Bal Sheet'!CS132</f>
        <v>0.17057291666666674</v>
      </c>
      <c r="CT595" s="1529">
        <f>'Bal Sheet'!CT132</f>
        <v>0.34379671150971602</v>
      </c>
      <c r="CU595" s="906"/>
      <c r="CV595" s="1529">
        <f>'Bal Sheet'!CV132</f>
        <v>0.20244716351501646</v>
      </c>
      <c r="CW595" s="1529">
        <f>'Bal Sheet'!CW132</f>
        <v>8.3256244218317121E-3</v>
      </c>
      <c r="CX595" s="1529">
        <f>'Bal Sheet'!CX132</f>
        <v>0.21245828698553937</v>
      </c>
      <c r="CY595" s="906"/>
      <c r="CZ595" s="1529">
        <f>'Bal Sheet'!CZ132</f>
        <v>5.6880733944954187E-2</v>
      </c>
      <c r="DA595" s="1529">
        <f>'Bal Sheet'!DA132</f>
        <v>4.513888888888884E-2</v>
      </c>
      <c r="DB595" s="1529">
        <f>'Bal Sheet'!DB132</f>
        <v>0.1045871559633027</v>
      </c>
      <c r="DC595" s="906"/>
      <c r="DD595" s="1529">
        <f>'Bal Sheet'!DD132</f>
        <v>8.8039867109634518E-2</v>
      </c>
      <c r="DE595" s="1529">
        <f>'Bal Sheet'!DE132</f>
        <v>9.1603053435114434E-2</v>
      </c>
      <c r="DF595" s="1529">
        <f>'Bal Sheet'!DF132</f>
        <v>0.18770764119601324</v>
      </c>
      <c r="DG595" s="1527"/>
      <c r="DH595" s="1529">
        <f>'Bal Sheet'!DH132</f>
        <v>0.13076923076923075</v>
      </c>
      <c r="DI595" s="1529">
        <f>'Bal Sheet'!DI132</f>
        <v>0.14000000000000001</v>
      </c>
      <c r="DJ595" s="1529">
        <f>'Bal Sheet'!DJ132</f>
        <v>0.28907692307692301</v>
      </c>
      <c r="DK595" s="1527"/>
      <c r="DL595" s="1529">
        <f>'Bal Sheet'!DL132</f>
        <v>0.09</v>
      </c>
      <c r="DM595" s="1529">
        <f>'Bal Sheet'!DM132</f>
        <v>0.06</v>
      </c>
      <c r="DN595" s="1529">
        <f>'Bal Sheet'!DN132</f>
        <v>0.1554000000000002</v>
      </c>
      <c r="DO595" s="1527"/>
      <c r="DP595" s="1529">
        <f>'Bal Sheet'!DP132</f>
        <v>0.06</v>
      </c>
      <c r="DQ595" s="1529">
        <f>'Bal Sheet'!DQ132</f>
        <v>0.06</v>
      </c>
      <c r="DR595" s="1529">
        <f>'Bal Sheet'!DR132</f>
        <v>0.12360000000000015</v>
      </c>
      <c r="DS595" s="1527"/>
      <c r="DT595" s="1527"/>
      <c r="DU595" s="1527"/>
      <c r="DV595" s="1527"/>
      <c r="DW595" s="1528"/>
      <c r="DX595" s="1528"/>
      <c r="DY595" s="1528"/>
      <c r="DZ595" s="1527"/>
      <c r="EA595" s="1528"/>
      <c r="EB595" s="1528"/>
      <c r="EC595" s="1528"/>
      <c r="ED595" s="1527"/>
      <c r="EE595" s="1528"/>
      <c r="EF595" s="1528"/>
      <c r="EG595" s="1528"/>
      <c r="EH595" s="1527"/>
      <c r="EI595" s="1528"/>
      <c r="EJ595" s="1528"/>
      <c r="EK595" s="1528"/>
      <c r="EL595" s="1527"/>
      <c r="EM595" s="1527"/>
      <c r="EN595" s="1527"/>
      <c r="EO595" s="1527"/>
      <c r="EP595" s="1527"/>
      <c r="EQ595" s="1527"/>
      <c r="ER595" s="1527"/>
      <c r="ES595" s="1527"/>
      <c r="ET595" s="1527"/>
      <c r="EU595" s="1527"/>
      <c r="JW595"/>
    </row>
    <row r="596" spans="1:283" s="948" customFormat="1">
      <c r="A596" s="1526" t="s">
        <v>1280</v>
      </c>
      <c r="AN596" s="1527"/>
      <c r="AO596" s="1527"/>
      <c r="AP596" s="1527"/>
      <c r="AQ596" s="1527"/>
      <c r="AR596" s="1527"/>
      <c r="AS596" s="1527"/>
      <c r="AT596" s="1527"/>
      <c r="AU596" s="1527"/>
      <c r="AV596" s="1528"/>
      <c r="AW596" s="1528"/>
      <c r="AX596" s="1528"/>
      <c r="AY596" s="1527"/>
      <c r="AZ596" s="1528"/>
      <c r="BA596" s="1528"/>
      <c r="BB596" s="1528"/>
      <c r="BC596" s="1527"/>
      <c r="BD596" s="1530"/>
      <c r="BE596" s="1530"/>
      <c r="BF596" s="1528"/>
      <c r="BG596" s="1527"/>
      <c r="BH596" s="1530">
        <f>'Bal Sheet'!BH133</f>
        <v>-4.4444444444444509E-2</v>
      </c>
      <c r="BI596" s="1530">
        <f>'Bal Sheet'!BI133</f>
        <v>-0.11627906976744173</v>
      </c>
      <c r="BJ596" s="1528"/>
      <c r="BK596" s="1527"/>
      <c r="BL596" s="1530">
        <f>'Bal Sheet'!BL133</f>
        <v>-0.10526315789473706</v>
      </c>
      <c r="BM596" s="1530">
        <f>'Bal Sheet'!BM133</f>
        <v>-0.16176470588235292</v>
      </c>
      <c r="BN596" s="1528"/>
      <c r="BO596" s="1527"/>
      <c r="BP596" s="1530">
        <f>'Bal Sheet'!BP133</f>
        <v>-8.7719298245613753E-2</v>
      </c>
      <c r="BQ596" s="1530">
        <f>'Bal Sheet'!BQ133</f>
        <v>-0.1346153846153848</v>
      </c>
      <c r="BR596" s="1528"/>
      <c r="BS596" s="1528"/>
      <c r="BT596" s="1530">
        <f>'Bal Sheet'!BT133</f>
        <v>-0.44444444444444442</v>
      </c>
      <c r="BU596" s="1530">
        <f>'Bal Sheet'!BU133</f>
        <v>-0.4</v>
      </c>
      <c r="BV596" s="1528"/>
      <c r="BW596" s="1527"/>
      <c r="BX596" s="1530">
        <f>'Bal Sheet'!BX133</f>
        <v>-0.59999999999999898</v>
      </c>
      <c r="BY596" s="1530">
        <f>'Bal Sheet'!BY133</f>
        <v>-0.16666666666666863</v>
      </c>
      <c r="BZ596" s="1528"/>
      <c r="CA596" s="1527"/>
      <c r="CB596" s="1530">
        <f>'Bal Sheet'!CB133</f>
        <v>-1</v>
      </c>
      <c r="CC596" s="1530">
        <f>'Bal Sheet'!CC133</f>
        <v>0</v>
      </c>
      <c r="CD596" s="1528"/>
      <c r="CE596" s="1527"/>
      <c r="CF596" s="1530" t="str">
        <f>'Bal Sheet'!CF133</f>
        <v>NA</v>
      </c>
      <c r="CG596" s="1530">
        <f>'Bal Sheet'!CG133</f>
        <v>0</v>
      </c>
      <c r="CH596" s="1528"/>
      <c r="CI596" s="1527"/>
      <c r="CJ596" s="1398" t="str">
        <f>'Bal Sheet'!CJ133</f>
        <v>NA</v>
      </c>
      <c r="CK596" s="1398">
        <f>'Bal Sheet'!CK133</f>
        <v>0</v>
      </c>
      <c r="CL596" s="1529"/>
      <c r="CM596" s="906"/>
      <c r="CN596" s="1398" t="str">
        <f>'Bal Sheet'!CN133</f>
        <v>NA</v>
      </c>
      <c r="CO596" s="1398">
        <f>'Bal Sheet'!CO133</f>
        <v>0</v>
      </c>
      <c r="CP596" s="1529"/>
      <c r="CQ596" s="906"/>
      <c r="CR596" s="1529" t="str">
        <f>'Bal Sheet'!CR133</f>
        <v>NA</v>
      </c>
      <c r="CS596" s="1529">
        <f>'Bal Sheet'!CS133</f>
        <v>0</v>
      </c>
      <c r="CT596" s="1529"/>
      <c r="CU596" s="906"/>
      <c r="CV596" s="1529" t="str">
        <f>'Bal Sheet'!CV133</f>
        <v>NA</v>
      </c>
      <c r="CW596" s="1529">
        <f>'Bal Sheet'!CW133</f>
        <v>0</v>
      </c>
      <c r="CX596" s="1529"/>
      <c r="CY596" s="906"/>
      <c r="CZ596" s="1529" t="str">
        <f>'Bal Sheet'!CZ133</f>
        <v>NA</v>
      </c>
      <c r="DA596" s="1529">
        <f>'Bal Sheet'!DA133</f>
        <v>0</v>
      </c>
      <c r="DB596" s="1529"/>
      <c r="DC596" s="906"/>
      <c r="DD596" s="1529" t="str">
        <f>'Bal Sheet'!DD133</f>
        <v>NA</v>
      </c>
      <c r="DE596" s="1529">
        <f>'Bal Sheet'!DE133</f>
        <v>0</v>
      </c>
      <c r="DF596" s="1529"/>
      <c r="DG596" s="1527"/>
      <c r="DH596" s="1529" t="str">
        <f>'Bal Sheet'!DH133</f>
        <v>NA</v>
      </c>
      <c r="DI596" s="1529">
        <f>'Bal Sheet'!DI133</f>
        <v>0.01</v>
      </c>
      <c r="DJ596" s="1529"/>
      <c r="DK596" s="1527"/>
      <c r="DL596" s="1529">
        <f>'Bal Sheet'!DL133</f>
        <v>0.01</v>
      </c>
      <c r="DM596" s="1529">
        <f>'Bal Sheet'!DM133</f>
        <v>0.01</v>
      </c>
      <c r="DN596" s="1529"/>
      <c r="DO596" s="1527"/>
      <c r="DP596" s="1529">
        <f>'Bal Sheet'!DP133</f>
        <v>0.01</v>
      </c>
      <c r="DQ596" s="1529">
        <f>'Bal Sheet'!DQ133</f>
        <v>0.01</v>
      </c>
      <c r="DR596" s="1529"/>
      <c r="DS596" s="1527"/>
      <c r="DT596" s="1527"/>
      <c r="DU596" s="1527"/>
      <c r="DV596" s="1527"/>
      <c r="DW596" s="1528"/>
      <c r="DX596" s="1528"/>
      <c r="DY596" s="1528"/>
      <c r="DZ596" s="1527"/>
      <c r="EA596" s="1528"/>
      <c r="EB596" s="1528"/>
      <c r="EC596" s="1528"/>
      <c r="ED596" s="1527"/>
      <c r="EE596" s="1528"/>
      <c r="EF596" s="1528"/>
      <c r="EG596" s="1528"/>
      <c r="EH596" s="1527"/>
      <c r="EI596" s="1528"/>
      <c r="EJ596" s="1528"/>
      <c r="EK596" s="1528"/>
      <c r="EL596" s="1527"/>
      <c r="EM596" s="1527"/>
      <c r="EN596" s="1527"/>
      <c r="EO596" s="1527"/>
      <c r="EP596" s="1527"/>
      <c r="EQ596" s="1527"/>
      <c r="ER596" s="1527"/>
      <c r="ES596" s="1527"/>
      <c r="ET596" s="1527"/>
      <c r="EU596" s="1527"/>
      <c r="JW596"/>
    </row>
    <row r="597" spans="1:283" s="948" customFormat="1">
      <c r="A597" s="1526" t="s">
        <v>1281</v>
      </c>
      <c r="AN597" s="1527"/>
      <c r="AO597" s="1527"/>
      <c r="AP597" s="1527"/>
      <c r="AQ597" s="1527"/>
      <c r="AR597" s="1527"/>
      <c r="AS597" s="1527"/>
      <c r="AT597" s="1527"/>
      <c r="AU597" s="1527"/>
      <c r="AV597" s="1528"/>
      <c r="AW597" s="1528"/>
      <c r="AX597" s="1528"/>
      <c r="AY597" s="1527"/>
      <c r="AZ597" s="1528"/>
      <c r="BA597" s="1528"/>
      <c r="BB597" s="1528"/>
      <c r="BC597" s="1527"/>
      <c r="BD597" s="1530"/>
      <c r="BE597" s="1530"/>
      <c r="BF597" s="1528"/>
      <c r="BG597" s="1527"/>
      <c r="BH597" s="1530">
        <f>'Bal Sheet'!BH134</f>
        <v>9.1666666666666563E-2</v>
      </c>
      <c r="BI597" s="1530">
        <f>'Bal Sheet'!BI134</f>
        <v>0.12977099236641232</v>
      </c>
      <c r="BJ597" s="1528"/>
      <c r="BK597" s="1527"/>
      <c r="BL597" s="1530">
        <f>'Bal Sheet'!BL134</f>
        <v>2.7027027027026973E-2</v>
      </c>
      <c r="BM597" s="1530">
        <f>'Bal Sheet'!BM134</f>
        <v>6.578947368421062E-2</v>
      </c>
      <c r="BN597" s="1528"/>
      <c r="BO597" s="1527"/>
      <c r="BP597" s="1530">
        <f>'Bal Sheet'!BP134</f>
        <v>9.8765432098765427E-2</v>
      </c>
      <c r="BQ597" s="1530">
        <f>'Bal Sheet'!BQ134</f>
        <v>0.1910112359550562</v>
      </c>
      <c r="BR597" s="1528"/>
      <c r="BS597" s="1528"/>
      <c r="BT597" s="1530">
        <f>'Bal Sheet'!BT134</f>
        <v>1.8867924528301883E-2</v>
      </c>
      <c r="BU597" s="1530">
        <f>'Bal Sheet'!BU134</f>
        <v>6.944444444444442E-2</v>
      </c>
      <c r="BV597" s="1528"/>
      <c r="BW597" s="1527"/>
      <c r="BX597" s="1530">
        <f>'Bal Sheet'!BX134</f>
        <v>-2.1645021645021689E-2</v>
      </c>
      <c r="BY597" s="1530">
        <f>'Bal Sheet'!BY134</f>
        <v>3.9823008849557473E-2</v>
      </c>
      <c r="BZ597" s="1528"/>
      <c r="CA597" s="1527"/>
      <c r="CB597" s="1530">
        <f>'Bal Sheet'!CB134</f>
        <v>8.085106382978724E-2</v>
      </c>
      <c r="CC597" s="1530">
        <f>'Bal Sheet'!CC134</f>
        <v>0.12992125984251968</v>
      </c>
      <c r="CD597" s="1528"/>
      <c r="CE597" s="1527"/>
      <c r="CF597" s="1530">
        <f>'Bal Sheet'!CF134</f>
        <v>0.13937282229965176</v>
      </c>
      <c r="CG597" s="1530">
        <f>'Bal Sheet'!CG134</f>
        <v>8.8685015290519864E-2</v>
      </c>
      <c r="CH597" s="1528"/>
      <c r="CI597" s="1527"/>
      <c r="CJ597" s="1398">
        <f>'Bal Sheet'!CJ134</f>
        <v>8.9887640449437978E-2</v>
      </c>
      <c r="CK597" s="1398">
        <f>'Bal Sheet'!CK134</f>
        <v>0.11340206185567037</v>
      </c>
      <c r="CL597" s="1529"/>
      <c r="CM597" s="906"/>
      <c r="CN597" s="1398">
        <f>'Bal Sheet'!CN134</f>
        <v>0.32638888888888884</v>
      </c>
      <c r="CO597" s="1398">
        <f>'Bal Sheet'!CO134</f>
        <v>0.16753926701570698</v>
      </c>
      <c r="CP597" s="1529"/>
      <c r="CQ597" s="906"/>
      <c r="CR597" s="1529">
        <f>'Bal Sheet'!CR134</f>
        <v>0.14798206278026882</v>
      </c>
      <c r="CS597" s="1529">
        <f>'Bal Sheet'!CS134</f>
        <v>0.17057291666666674</v>
      </c>
      <c r="CT597" s="1529"/>
      <c r="CU597" s="906"/>
      <c r="CV597" s="1529">
        <f>'Bal Sheet'!CV134</f>
        <v>0.20244716351501646</v>
      </c>
      <c r="CW597" s="1529">
        <f>'Bal Sheet'!CW134</f>
        <v>8.3256244218317121E-3</v>
      </c>
      <c r="CX597" s="1529"/>
      <c r="CY597" s="906"/>
      <c r="CZ597" s="1529">
        <f>'Bal Sheet'!CZ134</f>
        <v>5.6880733944954187E-2</v>
      </c>
      <c r="DA597" s="1529">
        <f>'Bal Sheet'!DA134</f>
        <v>4.513888888888884E-2</v>
      </c>
      <c r="DB597" s="1529"/>
      <c r="DC597" s="906"/>
      <c r="DD597" s="1529">
        <f>'Bal Sheet'!DD134</f>
        <v>8.8039867109634518E-2</v>
      </c>
      <c r="DE597" s="1529">
        <f>'Bal Sheet'!DE134</f>
        <v>9.1603053435114434E-2</v>
      </c>
      <c r="DF597" s="1529"/>
      <c r="DG597" s="1527"/>
      <c r="DH597" s="1529">
        <f>'Bal Sheet'!DH134</f>
        <v>0.13076923076923075</v>
      </c>
      <c r="DI597" s="1529">
        <f>'Bal Sheet'!DI134</f>
        <v>0.14000000000000012</v>
      </c>
      <c r="DJ597" s="1529"/>
      <c r="DK597" s="1527"/>
      <c r="DL597" s="1529">
        <f>'Bal Sheet'!DL134</f>
        <v>9.000000000000008E-2</v>
      </c>
      <c r="DM597" s="1529">
        <f>'Bal Sheet'!DM134</f>
        <v>6.0000000000000053E-2</v>
      </c>
      <c r="DN597" s="1529"/>
      <c r="DO597" s="1527"/>
      <c r="DP597" s="1529">
        <f>'Bal Sheet'!DP134</f>
        <v>6.0000000000000053E-2</v>
      </c>
      <c r="DQ597" s="1529">
        <f>'Bal Sheet'!DQ134</f>
        <v>6.0000000000000053E-2</v>
      </c>
      <c r="DR597" s="1529"/>
      <c r="DS597" s="1527"/>
      <c r="DT597" s="1527"/>
      <c r="DU597" s="1527"/>
      <c r="DV597" s="1527"/>
      <c r="DW597" s="1528"/>
      <c r="DX597" s="1528"/>
      <c r="DY597" s="1528"/>
      <c r="DZ597" s="1527"/>
      <c r="EA597" s="1528"/>
      <c r="EB597" s="1528"/>
      <c r="EC597" s="1528"/>
      <c r="ED597" s="1527"/>
      <c r="EE597" s="1528"/>
      <c r="EF597" s="1528"/>
      <c r="EG597" s="1528"/>
      <c r="EH597" s="1527"/>
      <c r="EI597" s="1528"/>
      <c r="EJ597" s="1528"/>
      <c r="EK597" s="1528"/>
      <c r="EL597" s="1527"/>
      <c r="EM597" s="1527"/>
      <c r="EN597" s="1527"/>
      <c r="EO597" s="1527"/>
      <c r="EP597" s="1527"/>
      <c r="EQ597" s="1527"/>
      <c r="ER597" s="1527"/>
      <c r="ES597" s="1527"/>
      <c r="ET597" s="1527"/>
      <c r="EU597" s="1527"/>
      <c r="JW597"/>
    </row>
    <row r="598" spans="1:283" s="948" customFormat="1">
      <c r="A598" s="1526" t="s">
        <v>1282</v>
      </c>
      <c r="AN598" s="1527"/>
      <c r="AO598" s="1527"/>
      <c r="AP598" s="1527"/>
      <c r="AQ598" s="1527"/>
      <c r="AR598" s="1527"/>
      <c r="AS598" s="1527"/>
      <c r="AT598" s="1527"/>
      <c r="AU598" s="1527"/>
      <c r="AV598" s="1528"/>
      <c r="AW598" s="1528"/>
      <c r="AX598" s="1528"/>
      <c r="AY598" s="1527"/>
      <c r="AZ598" s="1528"/>
      <c r="BA598" s="1528"/>
      <c r="BB598" s="1528"/>
      <c r="BC598" s="1527"/>
      <c r="BD598" s="1530"/>
      <c r="BE598" s="1530"/>
      <c r="BF598" s="1528"/>
      <c r="BG598" s="1527"/>
      <c r="BH598" s="1530">
        <f ca="1">'Bal Sheet'!BH135</f>
        <v>6.2992125984252079E-2</v>
      </c>
      <c r="BI598" s="1530">
        <f ca="1">'Bal Sheet'!BI135</f>
        <v>4.0740740740740744E-2</v>
      </c>
      <c r="BJ598" s="1528"/>
      <c r="BK598" s="1527"/>
      <c r="BL598" s="1530">
        <f ca="1">'Bal Sheet'!BL135</f>
        <v>9.2526690391459221E-2</v>
      </c>
      <c r="BM598" s="1530">
        <f>'Bal Sheet'!BM135</f>
        <v>9.7719869706842655E-3</v>
      </c>
      <c r="BN598" s="1528"/>
      <c r="BO598" s="1527"/>
      <c r="BP598" s="1530">
        <f>'Bal Sheet'!BP135</f>
        <v>3.5483870967741638E-2</v>
      </c>
      <c r="BQ598" s="1530">
        <f>'Bal Sheet'!BQ135</f>
        <v>5.9190031152648093E-2</v>
      </c>
      <c r="BR598" s="1528"/>
      <c r="BS598" s="1528"/>
      <c r="BT598" s="1530">
        <f>'Bal Sheet'!BT135</f>
        <v>0.16764705882352926</v>
      </c>
      <c r="BU598" s="1530">
        <f>'Bal Sheet'!BU135</f>
        <v>0.158690176322418</v>
      </c>
      <c r="BV598" s="1528"/>
      <c r="BW598" s="1527"/>
      <c r="BX598" s="1530">
        <f>'Bal Sheet'!BX135</f>
        <v>-8.6956521739128823E-3</v>
      </c>
      <c r="BY598" s="1530">
        <f>'Bal Sheet'!BY135</f>
        <v>-3.5087719298245612E-2</v>
      </c>
      <c r="BZ598" s="1528"/>
      <c r="CA598" s="1527"/>
      <c r="CB598" s="1530">
        <f>'Bal Sheet'!CB135</f>
        <v>1.5909090909090873E-2</v>
      </c>
      <c r="CC598" s="1530">
        <f>'Bal Sheet'!CC135</f>
        <v>4.2505592841163287E-2</v>
      </c>
      <c r="CD598" s="1528"/>
      <c r="CE598" s="1527"/>
      <c r="CF598" s="1530">
        <f>'Bal Sheet'!CF135</f>
        <v>2.7896995708154515E-2</v>
      </c>
      <c r="CG598" s="1530">
        <f>'Bal Sheet'!CG135</f>
        <v>-1.0438413361168908E-2</v>
      </c>
      <c r="CH598" s="1528"/>
      <c r="CI598" s="1527"/>
      <c r="CJ598" s="1398">
        <f>'Bal Sheet'!CJ135</f>
        <v>-0.10548523206751037</v>
      </c>
      <c r="CK598" s="1398">
        <f>'Bal Sheet'!CK135</f>
        <v>2.1226415094339313E-2</v>
      </c>
      <c r="CL598" s="1529"/>
      <c r="CM598" s="906"/>
      <c r="CN598" s="1398">
        <f>'Bal Sheet'!CN135</f>
        <v>-9.9307159353348662E-2</v>
      </c>
      <c r="CO598" s="1398">
        <f>'Bal Sheet'!CO135</f>
        <v>3.8461538461538547E-2</v>
      </c>
      <c r="CP598" s="1529"/>
      <c r="CQ598" s="906"/>
      <c r="CR598" s="1529">
        <f>'Bal Sheet'!CR135</f>
        <v>0.11851851851851847</v>
      </c>
      <c r="CS598" s="1529">
        <f>'Bal Sheet'!CS135</f>
        <v>7.5055187637968812E-2</v>
      </c>
      <c r="CT598" s="1529"/>
      <c r="CU598" s="906"/>
      <c r="CV598" s="1529">
        <f>'Bal Sheet'!CV135</f>
        <v>-7.5975359342915549E-2</v>
      </c>
      <c r="CW598" s="1529">
        <f>'Bal Sheet'!CW135</f>
        <v>0.21111111111111103</v>
      </c>
      <c r="CX598" s="1529"/>
      <c r="CY598" s="906"/>
      <c r="CZ598" s="1529">
        <f>'Bal Sheet'!CZ135</f>
        <v>5.3211009174311874E-2</v>
      </c>
      <c r="DA598" s="1529">
        <f>'Bal Sheet'!DA135</f>
        <v>6.4459930313588876E-2</v>
      </c>
      <c r="DB598" s="1529"/>
      <c r="DC598" s="906"/>
      <c r="DD598" s="1529">
        <f>'Bal Sheet'!DD135</f>
        <v>-3.2733224222584179E-3</v>
      </c>
      <c r="DE598" s="1529">
        <f>'Bal Sheet'!DE135</f>
        <v>2.7914614121510528E-2</v>
      </c>
      <c r="DF598" s="1529"/>
      <c r="DG598" s="1527"/>
      <c r="DH598" s="1529">
        <f>'Bal Sheet'!DH135</f>
        <v>-4.7923322683702807E-3</v>
      </c>
      <c r="DI598" s="1529">
        <f>'Bal Sheet'!DI135</f>
        <v>0.05</v>
      </c>
      <c r="DJ598" s="1529"/>
      <c r="DK598" s="1527"/>
      <c r="DL598" s="1529">
        <f>'Bal Sheet'!DL135</f>
        <v>0.04</v>
      </c>
      <c r="DM598" s="1529">
        <f>'Bal Sheet'!DM135</f>
        <v>0.04</v>
      </c>
      <c r="DN598" s="1529"/>
      <c r="DO598" s="1527"/>
      <c r="DP598" s="1529">
        <f>'Bal Sheet'!DP135</f>
        <v>0.04</v>
      </c>
      <c r="DQ598" s="1529">
        <f>'Bal Sheet'!DQ135</f>
        <v>0.04</v>
      </c>
      <c r="DR598" s="1529"/>
      <c r="DS598" s="1527"/>
      <c r="DT598" s="1527"/>
      <c r="DU598" s="1527"/>
      <c r="DV598" s="1527"/>
      <c r="DW598" s="1528"/>
      <c r="DX598" s="1528"/>
      <c r="DY598" s="1528"/>
      <c r="DZ598" s="1527"/>
      <c r="EA598" s="1528"/>
      <c r="EB598" s="1528"/>
      <c r="EC598" s="1528"/>
      <c r="ED598" s="1527"/>
      <c r="EE598" s="1528"/>
      <c r="EF598" s="1528"/>
      <c r="EG598" s="1528"/>
      <c r="EH598" s="1527"/>
      <c r="EI598" s="1528"/>
      <c r="EJ598" s="1528"/>
      <c r="EK598" s="1528"/>
      <c r="EL598" s="1527"/>
      <c r="EM598" s="1527"/>
      <c r="EN598" s="1527"/>
      <c r="EO598" s="1527"/>
      <c r="EP598" s="1527"/>
      <c r="EQ598" s="1527"/>
      <c r="ER598" s="1527"/>
      <c r="ES598" s="1527"/>
      <c r="ET598" s="1527"/>
      <c r="EU598" s="1527"/>
      <c r="JW598"/>
    </row>
    <row r="599" spans="1:283" s="948" customFormat="1">
      <c r="A599" s="1526" t="s">
        <v>1283</v>
      </c>
      <c r="AN599" s="1527"/>
      <c r="AO599" s="1527"/>
      <c r="AP599" s="1527"/>
      <c r="AQ599" s="1527"/>
      <c r="AR599" s="1527"/>
      <c r="AS599" s="1527"/>
      <c r="AT599" s="1527"/>
      <c r="AU599" s="1527"/>
      <c r="AV599" s="1528"/>
      <c r="AW599" s="1528"/>
      <c r="AX599" s="1528"/>
      <c r="AY599" s="1527"/>
      <c r="AZ599" s="1528"/>
      <c r="BA599" s="1528"/>
      <c r="BB599" s="1528"/>
      <c r="BC599" s="1527"/>
      <c r="BD599" s="1530"/>
      <c r="BE599" s="1530"/>
      <c r="BF599" s="1528"/>
      <c r="BG599" s="1527"/>
      <c r="BH599" s="1530">
        <f ca="1">'Bal Sheet'!BH136</f>
        <v>7.2192513368984024E-2</v>
      </c>
      <c r="BI599" s="1530">
        <f ca="1">'Bal Sheet'!BI136</f>
        <v>6.9825436408977426E-2</v>
      </c>
      <c r="BJ599" s="1528"/>
      <c r="BK599" s="1527"/>
      <c r="BL599" s="1530">
        <f ca="1">'Bal Sheet'!BL136</f>
        <v>6.9930069930070005E-2</v>
      </c>
      <c r="BM599" s="1530">
        <f>'Bal Sheet'!BM136</f>
        <v>2.8322440087146017E-2</v>
      </c>
      <c r="BN599" s="1528"/>
      <c r="BO599" s="1527"/>
      <c r="BP599" s="1530">
        <f>'Bal Sheet'!BP136</f>
        <v>5.7203389830508433E-2</v>
      </c>
      <c r="BQ599" s="1530">
        <f>'Bal Sheet'!BQ136</f>
        <v>0.10621242484969939</v>
      </c>
      <c r="BR599" s="1528"/>
      <c r="BS599" s="1528"/>
      <c r="BT599" s="1530">
        <f>'Bal Sheet'!BT136</f>
        <v>0.11050724637681153</v>
      </c>
      <c r="BU599" s="1530">
        <f>'Bal Sheet'!BU136</f>
        <v>0.12724306688417619</v>
      </c>
      <c r="BV599" s="1528"/>
      <c r="BW599" s="1527"/>
      <c r="BX599" s="1530">
        <f>'Bal Sheet'!BX136</f>
        <v>-1.3024602026049048E-2</v>
      </c>
      <c r="BY599" s="1530">
        <f>'Bal Sheet'!BY136</f>
        <v>-1.0263929618768319E-2</v>
      </c>
      <c r="BZ599" s="1528"/>
      <c r="CA599" s="1527"/>
      <c r="CB599" s="1530">
        <f>'Bal Sheet'!CB136</f>
        <v>3.8518518518518396E-2</v>
      </c>
      <c r="CC599" s="1530">
        <f>'Bal Sheet'!CC136</f>
        <v>7.41797432239657E-2</v>
      </c>
      <c r="CD599" s="1528"/>
      <c r="CE599" s="1527"/>
      <c r="CF599" s="1530">
        <f>'Bal Sheet'!CF136</f>
        <v>7.038512616201853E-2</v>
      </c>
      <c r="CG599" s="1530">
        <f>'Bal Sheet'!CG136</f>
        <v>2.977667493796532E-2</v>
      </c>
      <c r="CH599" s="1528"/>
      <c r="CI599" s="1527"/>
      <c r="CJ599" s="1398">
        <f>'Bal Sheet'!CJ136</f>
        <v>-2.168674698795181E-2</v>
      </c>
      <c r="CK599" s="1398">
        <f>'Bal Sheet'!CK136</f>
        <v>6.5270935960591192E-2</v>
      </c>
      <c r="CL599" s="1529"/>
      <c r="CM599" s="906"/>
      <c r="CN599" s="1398">
        <f>'Bal Sheet'!CN136</f>
        <v>0.11329479768786133</v>
      </c>
      <c r="CO599" s="1398">
        <f>'Bal Sheet'!CO136</f>
        <v>0.11526479750778829</v>
      </c>
      <c r="CP599" s="1529"/>
      <c r="CQ599" s="906"/>
      <c r="CR599" s="1529">
        <f>'Bal Sheet'!CR136</f>
        <v>0.13687150837988815</v>
      </c>
      <c r="CS599" s="1529">
        <f>'Bal Sheet'!CS136</f>
        <v>0.13513513513513509</v>
      </c>
      <c r="CT599" s="1529"/>
      <c r="CU599" s="906"/>
      <c r="CV599" s="1529">
        <f>'Bal Sheet'!CV136</f>
        <v>0.10461760461760461</v>
      </c>
      <c r="CW599" s="1529">
        <f>'Bal Sheet'!CW136</f>
        <v>6.7929457870672838E-2</v>
      </c>
      <c r="CX599" s="1529"/>
      <c r="CY599" s="906"/>
      <c r="CZ599" s="1529">
        <f>'Bal Sheet'!CZ136</f>
        <v>5.5657492354739935E-2</v>
      </c>
      <c r="DA599" s="1529">
        <f>'Bal Sheet'!DA136</f>
        <v>5.1564310544611747E-2</v>
      </c>
      <c r="DB599" s="1529"/>
      <c r="DC599" s="906"/>
      <c r="DD599" s="1529">
        <f>'Bal Sheet'!DD136</f>
        <v>5.730027548209371E-2</v>
      </c>
      <c r="DE599" s="1529">
        <f>'Bal Sheet'!DE136</f>
        <v>7.1391349661281911E-2</v>
      </c>
      <c r="DF599" s="1529"/>
      <c r="DG599" s="1527"/>
      <c r="DH599" s="1529">
        <f>'Bal Sheet'!DH136</f>
        <v>8.949416342412464E-2</v>
      </c>
      <c r="DI599" s="1529">
        <f>'Bal Sheet'!DI136</f>
        <v>0.11496875000000006</v>
      </c>
      <c r="DJ599" s="1529"/>
      <c r="DK599" s="1527"/>
      <c r="DL599" s="1529">
        <f>'Bal Sheet'!DL136</f>
        <v>7.6904061212478059E-2</v>
      </c>
      <c r="DM599" s="1529">
        <f>'Bal Sheet'!DM136</f>
        <v>5.4941136604615082E-2</v>
      </c>
      <c r="DN599" s="1529"/>
      <c r="DO599" s="1527"/>
      <c r="DP599" s="1529">
        <f>'Bal Sheet'!DP136</f>
        <v>5.5012785312236634E-2</v>
      </c>
      <c r="DQ599" s="1529">
        <f>'Bal Sheet'!DQ136</f>
        <v>5.5083753156850435E-2</v>
      </c>
      <c r="DR599" s="1529"/>
      <c r="DS599" s="1527"/>
      <c r="DT599" s="1527"/>
      <c r="DU599" s="1527"/>
      <c r="DV599" s="1527"/>
      <c r="DW599" s="1528"/>
      <c r="DX599" s="1528"/>
      <c r="DY599" s="1528"/>
      <c r="DZ599" s="1527"/>
      <c r="EA599" s="1528"/>
      <c r="EB599" s="1528"/>
      <c r="EC599" s="1528"/>
      <c r="ED599" s="1527"/>
      <c r="EE599" s="1528"/>
      <c r="EF599" s="1528"/>
      <c r="EG599" s="1528"/>
      <c r="EH599" s="1527"/>
      <c r="EI599" s="1528"/>
      <c r="EJ599" s="1528"/>
      <c r="EK599" s="1528"/>
      <c r="EL599" s="1527"/>
      <c r="EM599" s="1527"/>
      <c r="EN599" s="1527"/>
      <c r="EO599" s="1527"/>
      <c r="EP599" s="1527"/>
      <c r="EQ599" s="1527"/>
      <c r="ER599" s="1527"/>
      <c r="ES599" s="1527"/>
      <c r="ET599" s="1527"/>
      <c r="EU599" s="1527"/>
      <c r="JW599"/>
    </row>
    <row r="600" spans="1:283" s="948" customFormat="1">
      <c r="A600" s="1526" t="s">
        <v>1284</v>
      </c>
      <c r="AN600" s="1527"/>
      <c r="AO600" s="1527"/>
      <c r="AP600" s="1527"/>
      <c r="AQ600" s="1527"/>
      <c r="AR600" s="1527"/>
      <c r="AS600" s="1527"/>
      <c r="AT600" s="1527"/>
      <c r="AU600" s="1527"/>
      <c r="AV600" s="1528"/>
      <c r="AW600" s="1528"/>
      <c r="AX600" s="1528"/>
      <c r="AY600" s="1527"/>
      <c r="AZ600" s="1528"/>
      <c r="BA600" s="1528"/>
      <c r="BB600" s="1528"/>
      <c r="BC600" s="1527"/>
      <c r="BD600" s="1530"/>
      <c r="BE600" s="1530"/>
      <c r="BF600" s="1528"/>
      <c r="BG600" s="1527"/>
      <c r="BH600" s="1530">
        <f ca="1">'Bal Sheet'!BH137</f>
        <v>-4.5919672550525537E-2</v>
      </c>
      <c r="BI600" s="1530">
        <f ca="1">'Bal Sheet'!BI137</f>
        <v>5.8184743263172578E-2</v>
      </c>
      <c r="BJ600" s="1528"/>
      <c r="BK600" s="1527"/>
      <c r="BL600" s="1530">
        <f ca="1">'Bal Sheet'!BL137</f>
        <v>0.29139744077030327</v>
      </c>
      <c r="BM600" s="1530">
        <f>'Bal Sheet'!BM137</f>
        <v>0.12940253114882716</v>
      </c>
      <c r="BN600" s="1528"/>
      <c r="BO600" s="1527"/>
      <c r="BP600" s="1530">
        <f>'Bal Sheet'!BP137</f>
        <v>0.26259555246699118</v>
      </c>
      <c r="BQ600" s="1530">
        <f>'Bal Sheet'!BQ137</f>
        <v>0.20825593395252784</v>
      </c>
      <c r="BR600" s="1528"/>
      <c r="BS600" s="1528"/>
      <c r="BT600" s="1530">
        <f>'Bal Sheet'!BT137</f>
        <v>-0.1236761188930644</v>
      </c>
      <c r="BU600" s="1530">
        <f>'Bal Sheet'!BU137</f>
        <v>-0.26796621182586067</v>
      </c>
      <c r="BV600" s="1528"/>
      <c r="BW600" s="1527"/>
      <c r="BX600" s="1530">
        <f>'Bal Sheet'!BX137</f>
        <v>-0.13225634652938123</v>
      </c>
      <c r="BY600" s="1530">
        <f>'Bal Sheet'!BY137</f>
        <v>-6.2704582651391116E-2</v>
      </c>
      <c r="BZ600" s="1528"/>
      <c r="CA600" s="1527"/>
      <c r="CB600" s="1530">
        <f>'Bal Sheet'!CB137</f>
        <v>-0.96867838044308563</v>
      </c>
      <c r="CC600" s="1530">
        <f>'Bal Sheet'!CC137</f>
        <v>-7.2404181184667546</v>
      </c>
      <c r="CD600" s="1528"/>
      <c r="CE600" s="1527"/>
      <c r="CF600" s="1530">
        <f>'Bal Sheet'!CF137</f>
        <v>1.0362925739810152</v>
      </c>
      <c r="CG600" s="1530">
        <f>'Bal Sheet'!CG137</f>
        <v>0.24102001645188009</v>
      </c>
      <c r="CH600" s="1528"/>
      <c r="CI600" s="1527"/>
      <c r="CJ600" s="1398">
        <f>'Bal Sheet'!CJ137</f>
        <v>-1.8541758727353077</v>
      </c>
      <c r="CK600" s="1398">
        <f>'Bal Sheet'!CK137</f>
        <v>0.97025349198137745</v>
      </c>
      <c r="CL600" s="1529"/>
      <c r="CM600" s="906"/>
      <c r="CN600" s="1398">
        <f>'Bal Sheet'!CN137</f>
        <v>-1.3788893265064979</v>
      </c>
      <c r="CO600" s="1398">
        <f>'Bal Sheet'!CO137</f>
        <v>-0.17740817740817294</v>
      </c>
      <c r="CP600" s="1529"/>
      <c r="CQ600" s="906"/>
      <c r="CR600" s="1529">
        <f>'Bal Sheet'!CR137</f>
        <v>0.57582139848356562</v>
      </c>
      <c r="CS600" s="1529">
        <f>'Bal Sheet'!CS137</f>
        <v>3.0740443731621214E-2</v>
      </c>
      <c r="CT600" s="1529"/>
      <c r="CU600" s="906"/>
      <c r="CV600" s="1529">
        <f>'Bal Sheet'!CV137</f>
        <v>9.5954356846474242E-2</v>
      </c>
      <c r="CW600" s="1529">
        <f>'Bal Sheet'!CW137</f>
        <v>0.16611452910553681</v>
      </c>
      <c r="CX600" s="1529"/>
      <c r="CY600" s="906"/>
      <c r="CZ600" s="1529">
        <f>'Bal Sheet'!CZ137</f>
        <v>3.5917207792206307E-2</v>
      </c>
      <c r="DA600" s="1529">
        <f>'Bal Sheet'!DA137</f>
        <v>4.7012732615085984E-3</v>
      </c>
      <c r="DB600" s="1529"/>
      <c r="DC600" s="906"/>
      <c r="DD600" s="1529">
        <f>'Bal Sheet'!DD137</f>
        <v>-5.7126145447451426E-2</v>
      </c>
      <c r="DE600" s="1529">
        <f>'Bal Sheet'!DE137</f>
        <v>-1.0099255583126554</v>
      </c>
      <c r="DF600" s="1529"/>
      <c r="DG600" s="1527"/>
      <c r="DH600" s="1529">
        <f>'Bal Sheet'!DH137</f>
        <v>-0.125</v>
      </c>
      <c r="DI600" s="1529">
        <f>'Bal Sheet'!DI137</f>
        <v>0.01</v>
      </c>
      <c r="DJ600" s="1529"/>
      <c r="DK600" s="1527"/>
      <c r="DL600" s="1529">
        <f>'Bal Sheet'!DL137</f>
        <v>0.01</v>
      </c>
      <c r="DM600" s="1529">
        <f>'Bal Sheet'!DM137</f>
        <v>0.01</v>
      </c>
      <c r="DN600" s="1529"/>
      <c r="DO600" s="1527"/>
      <c r="DP600" s="1529">
        <f>'Bal Sheet'!DP137</f>
        <v>0.01</v>
      </c>
      <c r="DQ600" s="1529">
        <f>'Bal Sheet'!DQ137</f>
        <v>0.01</v>
      </c>
      <c r="DR600" s="1529"/>
      <c r="DS600" s="1527"/>
      <c r="DT600" s="1527"/>
      <c r="DU600" s="1527"/>
      <c r="DV600" s="1527"/>
      <c r="DW600" s="1528"/>
      <c r="DX600" s="1528"/>
      <c r="DY600" s="1528"/>
      <c r="DZ600" s="1527"/>
      <c r="EA600" s="1528"/>
      <c r="EB600" s="1528"/>
      <c r="EC600" s="1528"/>
      <c r="ED600" s="1527"/>
      <c r="EE600" s="1528"/>
      <c r="EF600" s="1528"/>
      <c r="EG600" s="1528"/>
      <c r="EH600" s="1527"/>
      <c r="EI600" s="1528"/>
      <c r="EJ600" s="1528"/>
      <c r="EK600" s="1528"/>
      <c r="EL600" s="1527"/>
      <c r="EM600" s="1527"/>
      <c r="EN600" s="1527"/>
      <c r="EO600" s="1527"/>
      <c r="EP600" s="1527"/>
      <c r="EQ600" s="1527"/>
      <c r="ER600" s="1527"/>
      <c r="ES600" s="1527"/>
      <c r="ET600" s="1527"/>
      <c r="EU600" s="1527"/>
      <c r="JW600"/>
    </row>
    <row r="601" spans="1:283" s="948" customFormat="1">
      <c r="A601" s="1526" t="s">
        <v>1285</v>
      </c>
      <c r="AN601" s="1527"/>
      <c r="AO601" s="1527"/>
      <c r="AP601" s="1527"/>
      <c r="AQ601" s="1527"/>
      <c r="AR601" s="1527"/>
      <c r="AS601" s="1527"/>
      <c r="AT601" s="1527"/>
      <c r="AU601" s="1527"/>
      <c r="AV601" s="1528"/>
      <c r="AW601" s="1528"/>
      <c r="AX601" s="1528"/>
      <c r="AY601" s="1527"/>
      <c r="AZ601" s="1528"/>
      <c r="BA601" s="1528"/>
      <c r="BB601" s="1528"/>
      <c r="BC601" s="1527"/>
      <c r="BD601" s="1530"/>
      <c r="BE601" s="1530"/>
      <c r="BF601" s="1528"/>
      <c r="BG601" s="1527"/>
      <c r="BH601" s="1530">
        <f>'Bal Sheet'!BH138</f>
        <v>5.1771418461674434E-2</v>
      </c>
      <c r="BI601" s="1530">
        <f>'Bal Sheet'!BI138</f>
        <v>6.7999747681826817E-2</v>
      </c>
      <c r="BJ601" s="1528"/>
      <c r="BK601" s="1527"/>
      <c r="BL601" s="1530">
        <f>'Bal Sheet'!BL138</f>
        <v>0.10434508692142619</v>
      </c>
      <c r="BM601" s="1530">
        <f>'Bal Sheet'!BM138</f>
        <v>4.669031786497424E-2</v>
      </c>
      <c r="BN601" s="1528"/>
      <c r="BO601" s="1527"/>
      <c r="BP601" s="1530">
        <f>'Bal Sheet'!BP138</f>
        <v>9.7475814143616279E-2</v>
      </c>
      <c r="BQ601" s="1530">
        <f>'Bal Sheet'!BQ138</f>
        <v>0.1292310079925505</v>
      </c>
      <c r="BR601" s="1528"/>
      <c r="BS601" s="1528"/>
      <c r="BT601" s="1530">
        <f>'Bal Sheet'!BT138</f>
        <v>5.3984222533740134E-2</v>
      </c>
      <c r="BU601" s="1530">
        <f>'Bal Sheet'!BU138</f>
        <v>4.7933237710262144E-2</v>
      </c>
      <c r="BV601" s="1528"/>
      <c r="BW601" s="1527"/>
      <c r="BX601" s="1530">
        <f>'Bal Sheet'!BX138</f>
        <v>-2.9738944329691708E-2</v>
      </c>
      <c r="BY601" s="1530">
        <f>'Bal Sheet'!BY138</f>
        <v>-1.6838514414691752E-2</v>
      </c>
      <c r="BZ601" s="1528"/>
      <c r="CA601" s="1527"/>
      <c r="CB601" s="1530">
        <f>'Bal Sheet'!CB138</f>
        <v>-8.1864784837535676E-2</v>
      </c>
      <c r="CC601" s="1530">
        <f>'Bal Sheet'!CC138</f>
        <v>4.435478142270588E-2</v>
      </c>
      <c r="CD601" s="1528"/>
      <c r="CE601" s="1527"/>
      <c r="CF601" s="1530">
        <f>'Bal Sheet'!CF138</f>
        <v>4.6851405950291802E-2</v>
      </c>
      <c r="CG601" s="1530">
        <f>'Bal Sheet'!CG138</f>
        <v>1.9765311293906684E-2</v>
      </c>
      <c r="CH601" s="1528"/>
      <c r="CI601" s="1527"/>
      <c r="CJ601" s="1398">
        <f>'Bal Sheet'!CJ138</f>
        <v>8.4002344725641498E-2</v>
      </c>
      <c r="CK601" s="1398">
        <f>'Bal Sheet'!CK138</f>
        <v>0.10639973667505243</v>
      </c>
      <c r="CL601" s="1529"/>
      <c r="CM601" s="906"/>
      <c r="CN601" s="1398">
        <f>'Bal Sheet'!CN138</f>
        <v>-7.4694263523061855E-3</v>
      </c>
      <c r="CO601" s="1398">
        <f>'Bal Sheet'!CO138</f>
        <v>0.12430684908043754</v>
      </c>
      <c r="CP601" s="1529"/>
      <c r="CQ601" s="906"/>
      <c r="CR601" s="1529">
        <f>'Bal Sheet'!CR138</f>
        <v>0.12694951726239223</v>
      </c>
      <c r="CS601" s="1529">
        <f>'Bal Sheet'!CS138</f>
        <v>0.13843476203752991</v>
      </c>
      <c r="CT601" s="1529"/>
      <c r="CU601" s="906"/>
      <c r="CV601" s="1529">
        <f>'Bal Sheet'!CV138</f>
        <v>0.10486552276910288</v>
      </c>
      <c r="CW601" s="1529">
        <f>'Bal Sheet'!CW138</f>
        <v>6.5142335129035445E-2</v>
      </c>
      <c r="CX601" s="1529"/>
      <c r="CY601" s="906"/>
      <c r="CZ601" s="1529">
        <f>'Bal Sheet'!CZ138</f>
        <v>5.6270968392906795E-2</v>
      </c>
      <c r="DA601" s="1529">
        <f>'Bal Sheet'!DA138</f>
        <v>5.2992626645571583E-2</v>
      </c>
      <c r="DB601" s="1529"/>
      <c r="DC601" s="906"/>
      <c r="DD601" s="1529">
        <f>'Bal Sheet'!DD138</f>
        <v>6.0627881000844708E-2</v>
      </c>
      <c r="DE601" s="1529">
        <f>'Bal Sheet'!DE138</f>
        <v>9.9345678484368927E-2</v>
      </c>
      <c r="DF601" s="1529"/>
      <c r="DG601" s="1527"/>
      <c r="DH601" s="1529">
        <f>'Bal Sheet'!DH138</f>
        <v>8.9444098654010817E-2</v>
      </c>
      <c r="DI601" s="1529">
        <f>'Bal Sheet'!DI138</f>
        <v>0.11494907204899074</v>
      </c>
      <c r="DJ601" s="1529"/>
      <c r="DK601" s="1527"/>
      <c r="DL601" s="1529">
        <f>'Bal Sheet'!DL138</f>
        <v>7.6892699633964501E-2</v>
      </c>
      <c r="DM601" s="1529">
        <f>'Bal Sheet'!DM138</f>
        <v>5.4933978810772777E-2</v>
      </c>
      <c r="DN601" s="1529"/>
      <c r="DO601" s="1527"/>
      <c r="DP601" s="1529">
        <f>'Bal Sheet'!DP138</f>
        <v>5.5005921472829344E-2</v>
      </c>
      <c r="DQ601" s="1529">
        <f>'Bal Sheet'!DQ138</f>
        <v>5.5077171764736477E-2</v>
      </c>
      <c r="DR601" s="1529"/>
      <c r="DS601" s="1527"/>
      <c r="DT601" s="1527"/>
      <c r="DU601" s="1527"/>
      <c r="DV601" s="1527"/>
      <c r="DW601" s="1528"/>
      <c r="DX601" s="1528"/>
      <c r="DY601" s="1528"/>
      <c r="DZ601" s="1527"/>
      <c r="EA601" s="1528"/>
      <c r="EB601" s="1528"/>
      <c r="EC601" s="1528"/>
      <c r="ED601" s="1527"/>
      <c r="EE601" s="1528"/>
      <c r="EF601" s="1528"/>
      <c r="EG601" s="1528"/>
      <c r="EH601" s="1527"/>
      <c r="EI601" s="1528"/>
      <c r="EJ601" s="1528"/>
      <c r="EK601" s="1528"/>
      <c r="EL601" s="1527"/>
      <c r="EM601" s="1527"/>
      <c r="EN601" s="1527"/>
      <c r="EO601" s="1527"/>
      <c r="EP601" s="1527"/>
      <c r="EQ601" s="1527"/>
      <c r="ER601" s="1527"/>
      <c r="ES601" s="1527"/>
      <c r="ET601" s="1527"/>
      <c r="EU601" s="1527"/>
      <c r="JW601"/>
    </row>
    <row r="602" spans="1:283">
      <c r="CR602" s="103"/>
      <c r="CS602" s="103"/>
      <c r="CT602" s="103"/>
      <c r="CV602" s="103"/>
      <c r="CW602" s="103"/>
      <c r="CX602" s="103"/>
      <c r="CZ602" s="103"/>
      <c r="DA602" s="103"/>
      <c r="DB602" s="103"/>
      <c r="DD602" s="103"/>
      <c r="DE602" s="103"/>
      <c r="DF602" s="103"/>
      <c r="DH602" s="103"/>
      <c r="DI602" s="103"/>
      <c r="DJ602" s="103"/>
      <c r="DL602" s="103"/>
      <c r="DM602" s="103"/>
      <c r="DN602" s="103"/>
      <c r="DP602" s="103"/>
      <c r="DQ602" s="103"/>
      <c r="DR602" s="103"/>
    </row>
    <row r="603" spans="1:283">
      <c r="A603" s="1207" t="s">
        <v>566</v>
      </c>
      <c r="CR603" s="103"/>
      <c r="CS603" s="103"/>
      <c r="CT603" s="812"/>
      <c r="CV603" s="1009"/>
      <c r="CW603" s="1009"/>
      <c r="CX603" s="812"/>
      <c r="CY603" s="1009"/>
      <c r="CZ603" s="1009"/>
      <c r="DA603" s="1009"/>
      <c r="DB603" s="812"/>
      <c r="DC603" s="1009"/>
      <c r="DD603" s="1009"/>
      <c r="DE603" s="103"/>
      <c r="DF603" s="812"/>
      <c r="DH603" s="1009"/>
      <c r="DI603" s="103"/>
      <c r="DJ603" s="103"/>
      <c r="DL603" s="103"/>
      <c r="DM603" s="103"/>
      <c r="DN603" s="103"/>
      <c r="DP603" s="103"/>
      <c r="DQ603" s="103"/>
      <c r="DR603" s="103"/>
    </row>
    <row r="604" spans="1:283">
      <c r="A604" s="102" t="s">
        <v>992</v>
      </c>
      <c r="AV604" s="909">
        <f>0.6%/2*AV616*1000</f>
        <v>67.778021495942099</v>
      </c>
      <c r="AW604" s="909">
        <f>0.6%/2*AW616*1000</f>
        <v>69.941149841557277</v>
      </c>
      <c r="AX604" s="293">
        <f>+AV604+AW604</f>
        <v>137.71917133749938</v>
      </c>
      <c r="AZ604" s="909">
        <f>0.6%/2*AZ616*1000</f>
        <v>65.744680851063833</v>
      </c>
      <c r="BA604" s="909">
        <f>0.6%/2*BA616*1000</f>
        <v>68.666666666666671</v>
      </c>
      <c r="BB604" s="293">
        <f>+AZ604+BA604</f>
        <v>134.41134751773052</v>
      </c>
      <c r="BD604" s="909">
        <f>0.6%/2*BD616*1000</f>
        <v>61.800000000000004</v>
      </c>
      <c r="BE604" s="909">
        <f>0.6%/2*BE616*1000</f>
        <v>70.752315993077474</v>
      </c>
      <c r="BF604" s="293">
        <f>+BD604+BE604</f>
        <v>132.55231599307749</v>
      </c>
      <c r="BH604" s="909">
        <f>0.6%/2*BH616*1000</f>
        <v>68.353932400091793</v>
      </c>
      <c r="BI604" s="909">
        <f>0.6%/2*BI616*1000</f>
        <v>80.657640232108321</v>
      </c>
      <c r="BJ604" s="293">
        <f>+BH604+BI604</f>
        <v>149.01157263220011</v>
      </c>
      <c r="BL604" s="909">
        <f>0.6%/2*BL616*1000</f>
        <v>113.72727272727272</v>
      </c>
      <c r="BM604" s="909">
        <f>0.6%/2*BM616*1000</f>
        <v>121.45631067961166</v>
      </c>
      <c r="BN604" s="293">
        <f>+BL604+BM604</f>
        <v>235.1835834068844</v>
      </c>
      <c r="BP604" s="909">
        <f>0.6%/2*BP616*1000</f>
        <v>125.10000000000002</v>
      </c>
      <c r="BQ604" s="909">
        <f>0.6%/2*BQ616*1000</f>
        <v>143.6065573770492</v>
      </c>
      <c r="BR604" s="293">
        <f>+BP604+BQ604</f>
        <v>268.70655737704919</v>
      </c>
      <c r="BT604" s="626">
        <v>165</v>
      </c>
      <c r="BU604" s="626">
        <v>148</v>
      </c>
      <c r="BV604" s="293">
        <f>+BT604+BU604</f>
        <v>313</v>
      </c>
      <c r="BX604" s="626">
        <v>159</v>
      </c>
      <c r="BY604" s="626">
        <v>154</v>
      </c>
      <c r="BZ604" s="293">
        <f>+BX604+BY604</f>
        <v>313</v>
      </c>
      <c r="CB604" s="626">
        <v>168</v>
      </c>
      <c r="CC604" s="626">
        <v>168</v>
      </c>
      <c r="CD604" s="293">
        <f>+CB604+CC604</f>
        <v>336</v>
      </c>
      <c r="CE604" s="817">
        <f>+CD604/BZ604-1</f>
        <v>7.348242811501593E-2</v>
      </c>
      <c r="CF604" s="626">
        <v>168</v>
      </c>
      <c r="CG604" s="626">
        <v>147</v>
      </c>
      <c r="CH604" s="293">
        <f>+CF604+CG604</f>
        <v>315</v>
      </c>
      <c r="CI604" s="817"/>
      <c r="CJ604" s="626">
        <v>144</v>
      </c>
      <c r="CK604" s="626">
        <v>140</v>
      </c>
      <c r="CL604" s="293">
        <f>+CJ604+CK604</f>
        <v>284</v>
      </c>
      <c r="CN604" s="1388">
        <v>136</v>
      </c>
      <c r="CO604" s="1388">
        <v>138</v>
      </c>
      <c r="CP604" s="1010">
        <f>+CN604+CO604</f>
        <v>274</v>
      </c>
      <c r="CQ604" s="1009"/>
      <c r="CR604" s="1388">
        <v>147</v>
      </c>
      <c r="CS604" s="1497">
        <v>157</v>
      </c>
      <c r="CT604" s="293">
        <f>+CR604+CS604</f>
        <v>304</v>
      </c>
      <c r="CV604" s="1863">
        <v>167</v>
      </c>
      <c r="CW604" s="1488">
        <v>173</v>
      </c>
      <c r="CX604" s="1010">
        <f>+CV604+CW604</f>
        <v>340</v>
      </c>
      <c r="CY604" s="1009"/>
      <c r="CZ604" s="1863">
        <v>184</v>
      </c>
      <c r="DA604" s="1488">
        <f>371-CZ604</f>
        <v>187</v>
      </c>
      <c r="DB604" s="1010">
        <f>+CZ604+DA604</f>
        <v>371</v>
      </c>
      <c r="DC604" s="1009"/>
      <c r="DD604" s="1863">
        <v>218</v>
      </c>
      <c r="DE604" s="2176">
        <v>217</v>
      </c>
      <c r="DF604" s="1010">
        <f>+DD604+DE604</f>
        <v>435</v>
      </c>
      <c r="DG604" s="685">
        <f>+DF604/SUMMARY!BP11</f>
        <v>2.3315366047901853E-2</v>
      </c>
      <c r="DH604" s="1863">
        <v>224</v>
      </c>
      <c r="DI604" s="293">
        <f t="shared" ref="DI604:DI606" si="1638">+DE604*(1+DI610)</f>
        <v>230.02</v>
      </c>
      <c r="DJ604" s="293">
        <f>+DH604+DI604</f>
        <v>454.02</v>
      </c>
      <c r="DL604" s="293">
        <f t="shared" ref="DL604:DL606" si="1639">+DH604*(1+DL610)</f>
        <v>237.44</v>
      </c>
      <c r="DM604" s="293">
        <f t="shared" ref="DM604:DM606" si="1640">+DI604*(1+DM610)</f>
        <v>243.82120000000003</v>
      </c>
      <c r="DN604" s="293">
        <f>+DL604+DM604</f>
        <v>481.26120000000003</v>
      </c>
      <c r="DP604" s="293">
        <f t="shared" ref="DP604:DP606" si="1641">+DL604*(1+DP610)</f>
        <v>251.68640000000002</v>
      </c>
      <c r="DQ604" s="293">
        <f t="shared" ref="DQ604:DQ606" si="1642">+DM604*(1+DQ610)</f>
        <v>258.45047200000005</v>
      </c>
      <c r="DR604" s="293">
        <f>+DP604+DQ604</f>
        <v>510.13687200000004</v>
      </c>
    </row>
    <row r="605" spans="1:283">
      <c r="A605" s="102" t="s">
        <v>991</v>
      </c>
      <c r="BT605" s="626">
        <v>67</v>
      </c>
      <c r="BU605" s="626">
        <v>70</v>
      </c>
      <c r="BV605" s="293">
        <f>+BT605+BU605</f>
        <v>137</v>
      </c>
      <c r="BX605" s="626">
        <v>70</v>
      </c>
      <c r="BY605" s="626">
        <v>62</v>
      </c>
      <c r="BZ605" s="293">
        <f>+BX605+BY605</f>
        <v>132</v>
      </c>
      <c r="CB605" s="626">
        <v>66</v>
      </c>
      <c r="CC605" s="626">
        <v>64</v>
      </c>
      <c r="CD605" s="293">
        <f>+CB605+CC605</f>
        <v>130</v>
      </c>
      <c r="CE605" s="817">
        <f>+CD605/BZ605-1</f>
        <v>-1.5151515151515138E-2</v>
      </c>
      <c r="CF605" s="626">
        <v>69</v>
      </c>
      <c r="CG605" s="626">
        <v>85</v>
      </c>
      <c r="CH605" s="293">
        <f>+CF605+CG605</f>
        <v>154</v>
      </c>
      <c r="CI605" s="817"/>
      <c r="CJ605" s="626">
        <v>82</v>
      </c>
      <c r="CK605" s="626">
        <v>79</v>
      </c>
      <c r="CL605" s="293">
        <f>+CJ605+CK605</f>
        <v>161</v>
      </c>
      <c r="CN605" s="1388">
        <v>67</v>
      </c>
      <c r="CO605" s="1388">
        <v>78</v>
      </c>
      <c r="CP605" s="1010">
        <f>+CN605+CO605</f>
        <v>145</v>
      </c>
      <c r="CQ605" s="1009"/>
      <c r="CR605" s="1388">
        <v>73</v>
      </c>
      <c r="CS605" s="1497">
        <v>80</v>
      </c>
      <c r="CT605" s="293">
        <f>+CR605+CS605</f>
        <v>153</v>
      </c>
      <c r="CV605" s="1388">
        <v>82</v>
      </c>
      <c r="CW605" s="1488">
        <v>82</v>
      </c>
      <c r="CX605" s="1010">
        <f>+CV605+CW605</f>
        <v>164</v>
      </c>
      <c r="CY605" s="1009"/>
      <c r="CZ605" s="1863">
        <v>89</v>
      </c>
      <c r="DA605" s="1488">
        <f>183-CZ605</f>
        <v>94</v>
      </c>
      <c r="DB605" s="1010">
        <f>+CZ605+DA605</f>
        <v>183</v>
      </c>
      <c r="DC605" s="1009"/>
      <c r="DD605" s="1863">
        <v>86</v>
      </c>
      <c r="DE605" s="2176">
        <v>90</v>
      </c>
      <c r="DF605" s="1010">
        <f>+DD605+DE605</f>
        <v>176</v>
      </c>
      <c r="DG605" s="685"/>
      <c r="DH605" s="1863">
        <v>105</v>
      </c>
      <c r="DI605" s="293">
        <f t="shared" si="1638"/>
        <v>94.5</v>
      </c>
      <c r="DJ605" s="293">
        <f>+DH605+DI605</f>
        <v>199.5</v>
      </c>
      <c r="DL605" s="293">
        <f t="shared" si="1639"/>
        <v>110.25</v>
      </c>
      <c r="DM605" s="293">
        <f t="shared" si="1640"/>
        <v>99.225000000000009</v>
      </c>
      <c r="DN605" s="293">
        <f>+DL605+DM605</f>
        <v>209.47500000000002</v>
      </c>
      <c r="DP605" s="293">
        <f t="shared" si="1641"/>
        <v>115.7625</v>
      </c>
      <c r="DQ605" s="293">
        <f t="shared" si="1642"/>
        <v>104.18625000000002</v>
      </c>
      <c r="DR605" s="293">
        <f>+DP605+DQ605</f>
        <v>219.94875000000002</v>
      </c>
    </row>
    <row r="606" spans="1:283">
      <c r="A606" s="102" t="s">
        <v>993</v>
      </c>
      <c r="BT606" s="626">
        <v>30</v>
      </c>
      <c r="BU606" s="626">
        <v>26</v>
      </c>
      <c r="BV606" s="293">
        <f>+BT606+BU606</f>
        <v>56</v>
      </c>
      <c r="BX606" s="626">
        <v>27</v>
      </c>
      <c r="BY606" s="626">
        <v>0</v>
      </c>
      <c r="BZ606" s="293">
        <f>+BX606+BY606</f>
        <v>27</v>
      </c>
      <c r="CB606" s="626">
        <v>0</v>
      </c>
      <c r="CC606" s="626">
        <v>0</v>
      </c>
      <c r="CD606" s="293">
        <f>+CB606+CC606</f>
        <v>0</v>
      </c>
      <c r="CF606" s="626">
        <v>0</v>
      </c>
      <c r="CG606" s="626">
        <v>0</v>
      </c>
      <c r="CH606" s="293">
        <f>+CF606+CG606</f>
        <v>0</v>
      </c>
      <c r="CJ606" s="626">
        <v>0</v>
      </c>
      <c r="CK606" s="626">
        <v>0</v>
      </c>
      <c r="CL606" s="293">
        <f>+CJ606+CK606</f>
        <v>0</v>
      </c>
      <c r="CN606" s="1388">
        <v>0</v>
      </c>
      <c r="CO606" s="1388">
        <v>0</v>
      </c>
      <c r="CP606" s="1010">
        <f>+CN606+CO606</f>
        <v>0</v>
      </c>
      <c r="CQ606" s="1009"/>
      <c r="CR606" s="1388">
        <v>0</v>
      </c>
      <c r="CS606" s="1497">
        <v>0</v>
      </c>
      <c r="CT606" s="293">
        <f>+CR606+CS606</f>
        <v>0</v>
      </c>
      <c r="CV606" s="1388">
        <v>0</v>
      </c>
      <c r="CW606" s="1488">
        <v>0</v>
      </c>
      <c r="CX606" s="1010">
        <f>+CV606+CW606</f>
        <v>0</v>
      </c>
      <c r="CY606" s="1009"/>
      <c r="CZ606" s="1863">
        <v>0</v>
      </c>
      <c r="DA606" s="1488">
        <v>0</v>
      </c>
      <c r="DB606" s="1010">
        <f>+CZ606+DA606</f>
        <v>0</v>
      </c>
      <c r="DC606" s="1009"/>
      <c r="DD606" s="1863">
        <v>0</v>
      </c>
      <c r="DE606" s="1497">
        <v>0</v>
      </c>
      <c r="DF606" s="1010">
        <f>+DD606+DE606</f>
        <v>0</v>
      </c>
      <c r="DH606" s="1863">
        <v>0</v>
      </c>
      <c r="DI606" s="293">
        <f t="shared" si="1638"/>
        <v>0</v>
      </c>
      <c r="DJ606" s="293">
        <f>+DH606+DI606</f>
        <v>0</v>
      </c>
      <c r="DL606" s="293">
        <f t="shared" si="1639"/>
        <v>0</v>
      </c>
      <c r="DM606" s="293">
        <f t="shared" si="1640"/>
        <v>0</v>
      </c>
      <c r="DN606" s="293">
        <f>+DL606+DM606</f>
        <v>0</v>
      </c>
      <c r="DP606" s="293">
        <f t="shared" si="1641"/>
        <v>0</v>
      </c>
      <c r="DQ606" s="293">
        <f t="shared" si="1642"/>
        <v>0</v>
      </c>
      <c r="DR606" s="293">
        <f>+DP606+DQ606</f>
        <v>0</v>
      </c>
    </row>
    <row r="607" spans="1:283">
      <c r="A607" s="102" t="s">
        <v>994</v>
      </c>
      <c r="BT607" s="626">
        <v>20</v>
      </c>
      <c r="BU607" s="626">
        <v>0</v>
      </c>
      <c r="BV607" s="293">
        <f>+BT607+BU607</f>
        <v>20</v>
      </c>
      <c r="BX607" s="626">
        <v>0</v>
      </c>
      <c r="BY607" s="626">
        <v>0</v>
      </c>
      <c r="BZ607" s="293">
        <f>+BX607+BY607</f>
        <v>0</v>
      </c>
      <c r="CB607" s="626">
        <v>14</v>
      </c>
      <c r="CC607" s="626">
        <v>12</v>
      </c>
      <c r="CD607" s="293">
        <f>+CB607+CC607</f>
        <v>26</v>
      </c>
      <c r="CF607" s="626">
        <v>7</v>
      </c>
      <c r="CG607" s="626">
        <v>0</v>
      </c>
      <c r="CH607" s="293">
        <f>+CF607+CG607</f>
        <v>7</v>
      </c>
      <c r="CJ607" s="626">
        <v>0</v>
      </c>
      <c r="CK607" s="626">
        <v>0</v>
      </c>
      <c r="CL607" s="293">
        <f>+CJ607+CK607</f>
        <v>0</v>
      </c>
      <c r="CN607" s="1388">
        <v>0</v>
      </c>
      <c r="CO607" s="1388">
        <v>0</v>
      </c>
      <c r="CP607" s="1010">
        <f>+CN607+CO607</f>
        <v>0</v>
      </c>
      <c r="CQ607" s="1009"/>
      <c r="CR607" s="1388">
        <v>0</v>
      </c>
      <c r="CS607" s="1497">
        <v>0</v>
      </c>
      <c r="CT607" s="293">
        <f>+CR607+CS607</f>
        <v>0</v>
      </c>
      <c r="CV607" s="1388">
        <v>0</v>
      </c>
      <c r="CW607" s="1488">
        <v>0</v>
      </c>
      <c r="CX607" s="1010">
        <f>+CV607+CW607</f>
        <v>0</v>
      </c>
      <c r="CY607" s="1009"/>
      <c r="CZ607" s="1863">
        <v>0</v>
      </c>
      <c r="DA607" s="1488">
        <v>0</v>
      </c>
      <c r="DB607" s="1010">
        <f>+CZ607+DA607</f>
        <v>0</v>
      </c>
      <c r="DC607" s="1009"/>
      <c r="DD607" s="1863">
        <v>0</v>
      </c>
      <c r="DE607" s="1497">
        <v>0</v>
      </c>
      <c r="DF607" s="1010">
        <f>+DD607+DE607</f>
        <v>0</v>
      </c>
      <c r="DH607" s="1863">
        <v>0</v>
      </c>
      <c r="DI607" s="626">
        <v>0</v>
      </c>
      <c r="DJ607" s="293">
        <f>+DH607+DI607</f>
        <v>0</v>
      </c>
      <c r="DL607" s="626">
        <v>0</v>
      </c>
      <c r="DM607" s="626">
        <v>0</v>
      </c>
      <c r="DN607" s="293">
        <f>+DL607+DM607</f>
        <v>0</v>
      </c>
      <c r="DP607" s="626">
        <v>0</v>
      </c>
      <c r="DQ607" s="626">
        <v>0</v>
      </c>
      <c r="DR607" s="293">
        <f>+DP607+DQ607</f>
        <v>0</v>
      </c>
    </row>
    <row r="608" spans="1:283">
      <c r="A608" s="289" t="s">
        <v>588</v>
      </c>
      <c r="BT608" s="295">
        <f>SUM(BT604:BT607)</f>
        <v>282</v>
      </c>
      <c r="BU608" s="295">
        <f>SUM(BU604:BU607)</f>
        <v>244</v>
      </c>
      <c r="BV608" s="295">
        <f>SUM(BV604:BV607)</f>
        <v>526</v>
      </c>
      <c r="BX608" s="295">
        <f>SUM(BX604:BX607)</f>
        <v>256</v>
      </c>
      <c r="BY608" s="295">
        <f>SUM(BY604:BY607)</f>
        <v>216</v>
      </c>
      <c r="BZ608" s="295">
        <f>SUM(BZ604:BZ607)</f>
        <v>472</v>
      </c>
      <c r="CB608" s="295">
        <f>SUM(CB604:CB607)</f>
        <v>248</v>
      </c>
      <c r="CC608" s="295">
        <f>SUM(CC604:CC607)</f>
        <v>244</v>
      </c>
      <c r="CD608" s="295">
        <f>SUM(CD604:CD607)</f>
        <v>492</v>
      </c>
      <c r="CF608" s="295">
        <f>SUM(CF604:CF607)</f>
        <v>244</v>
      </c>
      <c r="CG608" s="295">
        <f>SUM(CG604:CG607)</f>
        <v>232</v>
      </c>
      <c r="CH608" s="295">
        <f>SUM(CH604:CH607)</f>
        <v>476</v>
      </c>
      <c r="CJ608" s="295">
        <f>SUM(CJ604:CJ607)</f>
        <v>226</v>
      </c>
      <c r="CK608" s="295">
        <f>SUM(CK604:CK607)</f>
        <v>219</v>
      </c>
      <c r="CL608" s="295">
        <f>SUM(CL604:CL607)</f>
        <v>445</v>
      </c>
      <c r="CN608" s="295">
        <f>SUM(CN604:CN607)</f>
        <v>203</v>
      </c>
      <c r="CO608" s="295">
        <f>SUM(CO604:CO607)</f>
        <v>216</v>
      </c>
      <c r="CP608" s="295">
        <f>SUM(CP604:CP607)</f>
        <v>419</v>
      </c>
      <c r="CR608" s="295">
        <f>SUM(CR604:CR607)</f>
        <v>220</v>
      </c>
      <c r="CS608" s="295">
        <f>SUM(CS604:CS607)</f>
        <v>237</v>
      </c>
      <c r="CT608" s="295">
        <f>SUM(CT604:CT607)</f>
        <v>457</v>
      </c>
      <c r="CV608" s="1412">
        <f>SUM(CV604:CV607)</f>
        <v>249</v>
      </c>
      <c r="CW608" s="1412">
        <f>SUM(CW604:CW607)</f>
        <v>255</v>
      </c>
      <c r="CX608" s="1412">
        <f>SUM(CX604:CX607)</f>
        <v>504</v>
      </c>
      <c r="CY608" s="1009"/>
      <c r="CZ608" s="1412">
        <f>SUM(CZ604:CZ607)</f>
        <v>273</v>
      </c>
      <c r="DA608" s="1412">
        <f>SUM(DA604:DA607)</f>
        <v>281</v>
      </c>
      <c r="DB608" s="1412">
        <f>SUM(DB604:DB607)</f>
        <v>554</v>
      </c>
      <c r="DC608" s="1009"/>
      <c r="DD608" s="1412">
        <f>SUM(DD604:DD607)</f>
        <v>304</v>
      </c>
      <c r="DE608" s="1412">
        <f>SUM(DE604:DE607)</f>
        <v>307</v>
      </c>
      <c r="DF608" s="1412">
        <f>SUM(DF604:DF607)</f>
        <v>611</v>
      </c>
      <c r="DH608" s="1412">
        <f>SUM(DH604:DH607)</f>
        <v>329</v>
      </c>
      <c r="DI608" s="295">
        <f>SUM(DI604:DI607)</f>
        <v>324.52</v>
      </c>
      <c r="DJ608" s="295">
        <f>SUM(DJ604:DJ607)</f>
        <v>653.52</v>
      </c>
      <c r="DL608" s="295">
        <f>SUM(DL604:DL607)</f>
        <v>347.69</v>
      </c>
      <c r="DM608" s="295">
        <f>SUM(DM604:DM607)</f>
        <v>343.04620000000006</v>
      </c>
      <c r="DN608" s="295">
        <f>SUM(DN604:DN607)</f>
        <v>690.73620000000005</v>
      </c>
      <c r="DP608" s="295">
        <f>SUM(DP604:DP607)</f>
        <v>367.44890000000004</v>
      </c>
      <c r="DQ608" s="295">
        <f>SUM(DQ604:DQ607)</f>
        <v>362.63672200000008</v>
      </c>
      <c r="DR608" s="295">
        <f>SUM(DR604:DR607)</f>
        <v>730.08562200000006</v>
      </c>
    </row>
    <row r="609" spans="1:283">
      <c r="A609" s="328" t="s">
        <v>835</v>
      </c>
      <c r="CR609" s="103"/>
      <c r="CS609" s="103"/>
      <c r="CT609" s="103"/>
      <c r="CV609" s="103"/>
      <c r="CW609" s="103"/>
      <c r="CX609" s="103"/>
      <c r="CZ609" s="103"/>
      <c r="DA609" s="103"/>
      <c r="DB609" s="103"/>
      <c r="DD609" s="103"/>
      <c r="DE609" s="103"/>
      <c r="DF609" s="103"/>
      <c r="DH609" s="103"/>
      <c r="DI609" s="103"/>
      <c r="DJ609" s="103"/>
      <c r="DL609" s="103"/>
      <c r="DM609" s="103"/>
      <c r="DN609" s="103"/>
      <c r="DP609" s="103"/>
      <c r="DQ609" s="103"/>
      <c r="DR609" s="103"/>
    </row>
    <row r="610" spans="1:283">
      <c r="A610" s="323" t="str">
        <f>A604</f>
        <v>Wealth Management Income</v>
      </c>
      <c r="BU610" s="684"/>
      <c r="BV610" s="684"/>
      <c r="BX610" s="684">
        <f>+BX604/BT604-1</f>
        <v>-3.6363636363636376E-2</v>
      </c>
      <c r="BY610" s="684">
        <f>+BY604/BU604-1</f>
        <v>4.0540540540540571E-2</v>
      </c>
      <c r="BZ610" s="684">
        <f>+BZ604/BV604-1</f>
        <v>0</v>
      </c>
      <c r="CB610" s="684">
        <f>+CB604/BX604-1</f>
        <v>5.6603773584905648E-2</v>
      </c>
      <c r="CC610" s="684">
        <f>+CC604/BY604-1</f>
        <v>9.0909090909090828E-2</v>
      </c>
      <c r="CD610" s="684">
        <f>+CD604/BZ604-1</f>
        <v>7.348242811501593E-2</v>
      </c>
      <c r="CF610" s="684">
        <f>+CF604/CB604-1</f>
        <v>0</v>
      </c>
      <c r="CG610" s="684">
        <f>+CG604/CC604-1</f>
        <v>-0.125</v>
      </c>
      <c r="CH610" s="684">
        <f>+CH604/CD604-1</f>
        <v>-6.25E-2</v>
      </c>
      <c r="CJ610" s="684">
        <f>+CJ604/CF604-1</f>
        <v>-0.1428571428571429</v>
      </c>
      <c r="CK610" s="684">
        <f>+CK604/CG604-1</f>
        <v>-4.7619047619047672E-2</v>
      </c>
      <c r="CL610" s="684">
        <f>+CL604/CH604-1</f>
        <v>-9.8412698412698396E-2</v>
      </c>
      <c r="CN610" s="684">
        <f>+CN604/CJ604-1</f>
        <v>-5.555555555555558E-2</v>
      </c>
      <c r="CO610" s="684">
        <f>+CO604/CK604-1</f>
        <v>-1.4285714285714235E-2</v>
      </c>
      <c r="CP610" s="684">
        <f>+CP604/CL604-1</f>
        <v>-3.5211267605633756E-2</v>
      </c>
      <c r="CR610" s="684">
        <f>+CR604/CN604-1</f>
        <v>8.0882352941176405E-2</v>
      </c>
      <c r="CS610" s="684">
        <f>+CS604/CO604-1</f>
        <v>0.1376811594202898</v>
      </c>
      <c r="CT610" s="684">
        <f>+CT604/CP604-1</f>
        <v>0.10948905109489049</v>
      </c>
      <c r="CV610" s="684">
        <f>+CV604/CR604-1</f>
        <v>0.13605442176870741</v>
      </c>
      <c r="CW610" s="684">
        <f>+CW604/CS604-1</f>
        <v>0.10191082802547768</v>
      </c>
      <c r="CX610" s="684">
        <f>+CX604/CT604-1</f>
        <v>0.11842105263157898</v>
      </c>
      <c r="CZ610" s="684">
        <f>+CZ604/CV604-1</f>
        <v>0.10179640718562877</v>
      </c>
      <c r="DA610" s="684">
        <f>+DA604/CW604-1</f>
        <v>8.092485549132955E-2</v>
      </c>
      <c r="DB610" s="684">
        <f>+DB604/CX604-1</f>
        <v>9.1176470588235192E-2</v>
      </c>
      <c r="DD610" s="684">
        <f>+DD604/CZ604-1</f>
        <v>0.18478260869565211</v>
      </c>
      <c r="DE610" s="684">
        <f>+DE604/DA604-1</f>
        <v>0.16042780748663099</v>
      </c>
      <c r="DF610" s="684">
        <f>+DF604/DB604-1</f>
        <v>0.17250673854447429</v>
      </c>
      <c r="DH610" s="684">
        <f>+DH604/DD604-1</f>
        <v>2.7522935779816571E-2</v>
      </c>
      <c r="DI610" s="1999">
        <v>0.06</v>
      </c>
      <c r="DJ610" s="103"/>
      <c r="DL610" s="1999">
        <v>0.06</v>
      </c>
      <c r="DM610" s="1999">
        <v>0.06</v>
      </c>
      <c r="DN610" s="103"/>
      <c r="DP610" s="1999">
        <v>0.06</v>
      </c>
      <c r="DQ610" s="1999">
        <v>0.06</v>
      </c>
      <c r="DR610" s="103"/>
    </row>
    <row r="611" spans="1:283">
      <c r="A611" s="323" t="str">
        <f>A605</f>
        <v>Banking Fee Income</v>
      </c>
      <c r="BU611" s="684"/>
      <c r="BV611" s="684"/>
      <c r="BX611" s="684">
        <f>+BX605/BT605-1</f>
        <v>4.4776119402984982E-2</v>
      </c>
      <c r="BY611" s="684">
        <f t="shared" ref="BY611:BZ614" si="1643">+BY605/BU605-1</f>
        <v>-0.11428571428571432</v>
      </c>
      <c r="BZ611" s="684">
        <f t="shared" si="1643"/>
        <v>-3.6496350364963459E-2</v>
      </c>
      <c r="CB611" s="684">
        <f>+CB605/BX605-1</f>
        <v>-5.7142857142857162E-2</v>
      </c>
      <c r="CC611" s="684">
        <f t="shared" ref="CC611" si="1644">+CC605/BY605-1</f>
        <v>3.2258064516129004E-2</v>
      </c>
      <c r="CD611" s="684">
        <f t="shared" ref="CD611:CD614" si="1645">+CD605/BZ605-1</f>
        <v>-1.5151515151515138E-2</v>
      </c>
      <c r="CF611" s="684">
        <f>+CF605/CB605-1</f>
        <v>4.5454545454545414E-2</v>
      </c>
      <c r="CG611" s="684">
        <f t="shared" ref="CG611" si="1646">+CG605/CC605-1</f>
        <v>0.328125</v>
      </c>
      <c r="CH611" s="684">
        <f t="shared" ref="CH611" si="1647">+CH605/CD605-1</f>
        <v>0.18461538461538463</v>
      </c>
      <c r="CJ611" s="684">
        <f>+CJ605/CF605-1</f>
        <v>0.18840579710144922</v>
      </c>
      <c r="CK611" s="684">
        <f t="shared" ref="CK611" si="1648">+CK605/CG605-1</f>
        <v>-7.0588235294117618E-2</v>
      </c>
      <c r="CL611" s="684">
        <f t="shared" ref="CL611" si="1649">+CL605/CH605-1</f>
        <v>4.5454545454545414E-2</v>
      </c>
      <c r="CN611" s="684">
        <f>+CN605/CJ605-1</f>
        <v>-0.18292682926829273</v>
      </c>
      <c r="CO611" s="684">
        <f t="shared" ref="CO611" si="1650">+CO605/CK605-1</f>
        <v>-1.2658227848101222E-2</v>
      </c>
      <c r="CP611" s="684">
        <f t="shared" ref="CP611" si="1651">+CP605/CL605-1</f>
        <v>-9.9378881987577605E-2</v>
      </c>
      <c r="CR611" s="684">
        <f>+CR605/CN605-1</f>
        <v>8.9552238805970186E-2</v>
      </c>
      <c r="CS611" s="684">
        <f t="shared" ref="CS611" si="1652">+CS605/CO605-1</f>
        <v>2.564102564102555E-2</v>
      </c>
      <c r="CT611" s="684">
        <f t="shared" ref="CT611" si="1653">+CT605/CP605-1</f>
        <v>5.5172413793103559E-2</v>
      </c>
      <c r="CV611" s="684">
        <f>+CV605/CR605-1</f>
        <v>0.12328767123287676</v>
      </c>
      <c r="CW611" s="684">
        <f t="shared" ref="CW611" si="1654">+CW605/CS605-1</f>
        <v>2.4999999999999911E-2</v>
      </c>
      <c r="CX611" s="684">
        <f t="shared" ref="CX611" si="1655">+CX605/CT605-1</f>
        <v>7.1895424836601274E-2</v>
      </c>
      <c r="CZ611" s="684">
        <f>+CZ605/CV605-1</f>
        <v>8.5365853658536661E-2</v>
      </c>
      <c r="DA611" s="684">
        <f t="shared" ref="DA611" si="1656">+DA605/CW605-1</f>
        <v>0.14634146341463405</v>
      </c>
      <c r="DB611" s="684">
        <f t="shared" ref="DB611" si="1657">+DB605/CX605-1</f>
        <v>0.11585365853658547</v>
      </c>
      <c r="DD611" s="684">
        <f>+DD605/CZ605-1</f>
        <v>-3.3707865168539297E-2</v>
      </c>
      <c r="DE611" s="684">
        <f t="shared" ref="DE611" si="1658">+DE605/DA605-1</f>
        <v>-4.2553191489361653E-2</v>
      </c>
      <c r="DF611" s="684">
        <f t="shared" ref="DF611" si="1659">+DF605/DB605-1</f>
        <v>-3.8251366120218622E-2</v>
      </c>
      <c r="DH611" s="684">
        <f>+DH605/DD605-1</f>
        <v>0.22093023255813948</v>
      </c>
      <c r="DI611" s="1999">
        <v>0.05</v>
      </c>
      <c r="DJ611" s="103"/>
      <c r="DL611" s="1999">
        <v>0.05</v>
      </c>
      <c r="DM611" s="1999">
        <v>0.05</v>
      </c>
      <c r="DN611" s="103"/>
      <c r="DP611" s="1999">
        <v>0.05</v>
      </c>
      <c r="DQ611" s="1999">
        <v>0.05</v>
      </c>
      <c r="DR611" s="103"/>
    </row>
    <row r="612" spans="1:283">
      <c r="A612" s="323" t="str">
        <f>A606</f>
        <v xml:space="preserve">Life Insurance </v>
      </c>
      <c r="BU612" s="684"/>
      <c r="BV612" s="684"/>
      <c r="BX612" s="684">
        <f>+BX606/BT606-1</f>
        <v>-9.9999999999999978E-2</v>
      </c>
      <c r="BY612" s="684">
        <f t="shared" si="1643"/>
        <v>-1</v>
      </c>
      <c r="BZ612" s="684">
        <f t="shared" si="1643"/>
        <v>-0.51785714285714279</v>
      </c>
      <c r="CB612" s="684">
        <f>+CB606/BX606-1</f>
        <v>-1</v>
      </c>
      <c r="CC612" s="684"/>
      <c r="CD612" s="684"/>
      <c r="CF612" s="684"/>
      <c r="CG612" s="684"/>
      <c r="CH612" s="684"/>
      <c r="CJ612" s="684"/>
      <c r="CK612" s="684"/>
      <c r="CL612" s="684"/>
      <c r="CN612" s="684"/>
      <c r="CO612" s="684"/>
      <c r="CP612" s="684"/>
      <c r="CR612" s="684"/>
      <c r="CS612" s="684"/>
      <c r="CT612" s="684"/>
      <c r="CV612" s="684"/>
      <c r="CW612" s="684"/>
      <c r="CX612" s="684"/>
      <c r="CZ612" s="684"/>
      <c r="DA612" s="684"/>
      <c r="DB612" s="684"/>
      <c r="DD612" s="684"/>
      <c r="DE612" s="684"/>
      <c r="DF612" s="684"/>
      <c r="DH612" s="684"/>
      <c r="DI612" s="1999"/>
      <c r="DJ612" s="103"/>
      <c r="DL612" s="1999"/>
      <c r="DM612" s="1999"/>
      <c r="DN612" s="103"/>
      <c r="DP612" s="1999"/>
      <c r="DQ612" s="1999"/>
      <c r="DR612" s="103"/>
    </row>
    <row r="613" spans="1:283">
      <c r="A613" s="323" t="str">
        <f>A607</f>
        <v>Other Fee and Commission Income</v>
      </c>
      <c r="BU613" s="684"/>
      <c r="BV613" s="684"/>
      <c r="BX613" s="684">
        <f>+BX607/BT607-1</f>
        <v>-1</v>
      </c>
      <c r="BY613" s="684" t="str">
        <f>IFERROR(+BY607/BU607-1,"na")</f>
        <v>na</v>
      </c>
      <c r="BZ613" s="684">
        <f t="shared" si="1643"/>
        <v>-1</v>
      </c>
      <c r="CB613" s="684" t="str">
        <f>IFERROR((+CB607/BX607-1),"na")</f>
        <v>na</v>
      </c>
      <c r="CC613" s="684" t="str">
        <f>IFERROR(+CC607/BY607-1,"na")</f>
        <v>na</v>
      </c>
      <c r="CD613" s="684"/>
      <c r="CF613" s="684">
        <f>IFERROR((+CF607/CB607-1),"na")</f>
        <v>-0.5</v>
      </c>
      <c r="CG613" s="684">
        <f>IFERROR(+CG607/CC607-1,"na")</f>
        <v>-1</v>
      </c>
      <c r="CH613" s="684"/>
      <c r="CJ613" s="684">
        <f>IFERROR((+CJ607/CF607-1),"na")</f>
        <v>-1</v>
      </c>
      <c r="CK613" s="684" t="str">
        <f>IFERROR(+CK607/CG607-1,"na")</f>
        <v>na</v>
      </c>
      <c r="CL613" s="684"/>
      <c r="CN613" s="684" t="str">
        <f>IFERROR((+CN607/CJ607-1),"na")</f>
        <v>na</v>
      </c>
      <c r="CO613" s="684" t="str">
        <f>IFERROR(+CO607/CK607-1,"na")</f>
        <v>na</v>
      </c>
      <c r="CP613" s="684"/>
      <c r="CR613" s="684" t="str">
        <f>IFERROR((+CR607/CN607-1),"na")</f>
        <v>na</v>
      </c>
      <c r="CS613" s="684" t="str">
        <f>IFERROR(+CS607/CO607-1,"na")</f>
        <v>na</v>
      </c>
      <c r="CT613" s="684"/>
      <c r="CV613" s="684" t="str">
        <f>IFERROR((+CV607/CR607-1),"na")</f>
        <v>na</v>
      </c>
      <c r="CW613" s="684" t="str">
        <f>IFERROR(+CW607/CS607-1,"na")</f>
        <v>na</v>
      </c>
      <c r="CX613" s="684"/>
      <c r="CZ613" s="684" t="str">
        <f>IFERROR((+CZ607/CV607-1),"na")</f>
        <v>na</v>
      </c>
      <c r="DA613" s="684" t="str">
        <f>IFERROR(+DA607/CW607-1,"na")</f>
        <v>na</v>
      </c>
      <c r="DB613" s="684"/>
      <c r="DD613" s="684" t="str">
        <f>IFERROR((+DD607/CZ607-1),"na")</f>
        <v>na</v>
      </c>
      <c r="DE613" s="684" t="str">
        <f>IFERROR(+DE607/DA607-1,"na")</f>
        <v>na</v>
      </c>
      <c r="DF613" s="684"/>
      <c r="DH613" s="684" t="str">
        <f>IFERROR((+DH607/DD607-1),"na")</f>
        <v>na</v>
      </c>
      <c r="DI613" s="1999">
        <v>0</v>
      </c>
      <c r="DJ613" s="103"/>
      <c r="DL613" s="1999">
        <v>0</v>
      </c>
      <c r="DM613" s="1999">
        <v>0</v>
      </c>
      <c r="DN613" s="103"/>
      <c r="DP613" s="1999">
        <v>0</v>
      </c>
      <c r="DQ613" s="1999">
        <v>0</v>
      </c>
      <c r="DR613" s="103"/>
    </row>
    <row r="614" spans="1:283">
      <c r="A614" s="328" t="str">
        <f>A608</f>
        <v>Total</v>
      </c>
      <c r="BU614" s="905"/>
      <c r="BV614" s="905"/>
      <c r="BX614" s="905">
        <f>+BX608/BT608-1</f>
        <v>-9.219858156028371E-2</v>
      </c>
      <c r="BY614" s="905">
        <f t="shared" si="1643"/>
        <v>-0.11475409836065575</v>
      </c>
      <c r="BZ614" s="905">
        <f t="shared" si="1643"/>
        <v>-0.10266159695817489</v>
      </c>
      <c r="CB614" s="905">
        <f>+CB608/BX608-1</f>
        <v>-3.125E-2</v>
      </c>
      <c r="CC614" s="905">
        <f t="shared" ref="CC614" si="1660">+CC608/BY608-1</f>
        <v>0.12962962962962954</v>
      </c>
      <c r="CD614" s="905">
        <f t="shared" si="1645"/>
        <v>4.2372881355932313E-2</v>
      </c>
      <c r="CF614" s="905">
        <f>+CF608/CB608-1</f>
        <v>-1.6129032258064502E-2</v>
      </c>
      <c r="CG614" s="905">
        <f t="shared" ref="CG614" si="1661">+CG608/CC608-1</f>
        <v>-4.9180327868852514E-2</v>
      </c>
      <c r="CH614" s="905">
        <f t="shared" ref="CH614" si="1662">+CH608/CD608-1</f>
        <v>-3.2520325203251987E-2</v>
      </c>
      <c r="CJ614" s="905">
        <f>+CJ608/CF608-1</f>
        <v>-7.3770491803278659E-2</v>
      </c>
      <c r="CK614" s="905">
        <f t="shared" ref="CK614" si="1663">+CK608/CG608-1</f>
        <v>-5.6034482758620663E-2</v>
      </c>
      <c r="CL614" s="905">
        <f t="shared" ref="CL614" si="1664">+CL608/CH608-1</f>
        <v>-6.5126050420168058E-2</v>
      </c>
      <c r="CN614" s="905">
        <f>+CN608/CJ608-1</f>
        <v>-0.10176991150442483</v>
      </c>
      <c r="CO614" s="905">
        <f t="shared" ref="CO614" si="1665">+CO608/CK608-1</f>
        <v>-1.3698630136986356E-2</v>
      </c>
      <c r="CP614" s="905">
        <f t="shared" ref="CP614" si="1666">+CP608/CL608-1</f>
        <v>-5.8426966292134841E-2</v>
      </c>
      <c r="CR614" s="905">
        <f>+CR608/CN608-1</f>
        <v>8.3743842364532028E-2</v>
      </c>
      <c r="CS614" s="905">
        <f t="shared" ref="CS614" si="1667">+CS608/CO608-1</f>
        <v>9.7222222222222321E-2</v>
      </c>
      <c r="CT614" s="905">
        <f t="shared" ref="CT614" si="1668">+CT608/CP608-1</f>
        <v>9.069212410501204E-2</v>
      </c>
      <c r="CV614" s="905">
        <f>+CV608/CR608-1</f>
        <v>0.13181818181818183</v>
      </c>
      <c r="CW614" s="905">
        <f t="shared" ref="CW614" si="1669">+CW608/CS608-1</f>
        <v>7.5949367088607556E-2</v>
      </c>
      <c r="CX614" s="905">
        <f t="shared" ref="CX614" si="1670">+CX608/CT608-1</f>
        <v>0.10284463894967177</v>
      </c>
      <c r="CZ614" s="905">
        <f>+CZ608/CV608-1</f>
        <v>9.6385542168674787E-2</v>
      </c>
      <c r="DA614" s="905">
        <f t="shared" ref="DA614" si="1671">+DA608/CW608-1</f>
        <v>0.10196078431372557</v>
      </c>
      <c r="DB614" s="905">
        <f t="shared" ref="DB614" si="1672">+DB608/CX608-1</f>
        <v>9.9206349206349298E-2</v>
      </c>
      <c r="DD614" s="905">
        <f>+DD608/CZ608-1</f>
        <v>0.11355311355311359</v>
      </c>
      <c r="DE614" s="905">
        <f t="shared" ref="DE614" si="1673">+DE608/DA608-1</f>
        <v>9.2526690391458999E-2</v>
      </c>
      <c r="DF614" s="905">
        <f t="shared" ref="DF614" si="1674">+DF608/DB608-1</f>
        <v>0.10288808664259919</v>
      </c>
      <c r="DH614" s="905">
        <f>+DH608/DD608-1</f>
        <v>8.2236842105263053E-2</v>
      </c>
      <c r="DI614" s="905">
        <f>+DI608/DE608-1</f>
        <v>5.7068403908794751E-2</v>
      </c>
      <c r="DJ614" s="905">
        <f>+DJ608/DF608-1</f>
        <v>6.9590834697217607E-2</v>
      </c>
      <c r="DL614" s="905">
        <f>+DL608/DH608-1</f>
        <v>5.6808510638297838E-2</v>
      </c>
      <c r="DM614" s="905">
        <f>+DM608/DI608-1</f>
        <v>5.7088006902502375E-2</v>
      </c>
      <c r="DN614" s="905">
        <f>+DN608/DJ608-1</f>
        <v>5.6947300771208242E-2</v>
      </c>
      <c r="DP614" s="905">
        <f>+DP608/DL608-1</f>
        <v>5.6829071874370918E-2</v>
      </c>
      <c r="DQ614" s="905">
        <f>+DQ608/DM608-1</f>
        <v>5.710753245481226E-2</v>
      </c>
      <c r="DR614" s="905">
        <f>+DR608/DN608-1</f>
        <v>5.6967366123275465E-2</v>
      </c>
    </row>
    <row r="615" spans="1:283">
      <c r="BE615" s="369"/>
      <c r="BU615" s="710"/>
      <c r="CS615" s="103"/>
      <c r="CT615" s="103"/>
      <c r="CV615" s="103"/>
      <c r="CW615" s="103"/>
      <c r="CX615" s="103"/>
      <c r="CZ615" s="103"/>
      <c r="DA615" s="103"/>
      <c r="DB615" s="103"/>
      <c r="DD615" s="103"/>
      <c r="DE615" s="103"/>
      <c r="DF615" s="103"/>
      <c r="DH615" s="103"/>
      <c r="DI615" s="103"/>
      <c r="DJ615" s="103"/>
      <c r="DL615" s="103"/>
      <c r="DM615" s="103"/>
      <c r="DN615" s="103"/>
      <c r="DP615" s="103"/>
      <c r="DQ615" s="103"/>
      <c r="DR615" s="103"/>
    </row>
    <row r="616" spans="1:283">
      <c r="A616" s="102" t="s">
        <v>1070</v>
      </c>
      <c r="AV616" s="1242">
        <f>AZ616/0.97</f>
        <v>22.592673831980701</v>
      </c>
      <c r="AW616" s="1242">
        <f>AZ616/0.94</f>
        <v>23.313716613852424</v>
      </c>
      <c r="AZ616" s="1242">
        <f>BD616/0.94</f>
        <v>21.914893617021278</v>
      </c>
      <c r="BA616" s="1242">
        <f>BD616/0.9</f>
        <v>22.888888888888889</v>
      </c>
      <c r="BD616" s="730">
        <v>20.6</v>
      </c>
      <c r="BE616" s="1242">
        <f>BI616/1.14</f>
        <v>23.584105331025825</v>
      </c>
      <c r="BH616" s="1242">
        <f>BI616/1.18</f>
        <v>22.784644133363933</v>
      </c>
      <c r="BI616" s="1242">
        <f>BL616/1.41</f>
        <v>26.885880077369439</v>
      </c>
      <c r="BL616" s="1242">
        <f>BP616/1.1</f>
        <v>37.909090909090907</v>
      </c>
      <c r="BM616" s="1242">
        <f>BP616/1.03</f>
        <v>40.485436893203882</v>
      </c>
      <c r="BP616" s="730">
        <v>41.7</v>
      </c>
      <c r="BQ616" s="1242">
        <f>BU616/1.22</f>
        <v>47.868852459016395</v>
      </c>
      <c r="BT616" s="730">
        <v>46.7</v>
      </c>
      <c r="BU616" s="710">
        <v>58.4</v>
      </c>
      <c r="BV616" s="812">
        <f>BV604/AVERAGE(BT616:BU616)/1000</f>
        <v>5.956232159847764E-3</v>
      </c>
      <c r="BX616" s="710">
        <v>62.1</v>
      </c>
      <c r="BY616" s="710">
        <v>72.2</v>
      </c>
      <c r="BZ616" s="1074">
        <f>BY616</f>
        <v>72.2</v>
      </c>
      <c r="CA616" s="817"/>
      <c r="CB616" s="710">
        <v>78.900000000000006</v>
      </c>
      <c r="CC616" s="710">
        <v>82.5</v>
      </c>
      <c r="CD616" s="1074">
        <f>CC616</f>
        <v>82.5</v>
      </c>
      <c r="CE616" s="817">
        <f>+CD616/BZ616-1</f>
        <v>0.14265927977839321</v>
      </c>
      <c r="CF616" s="710">
        <v>88.1</v>
      </c>
      <c r="CG616" s="710">
        <v>86</v>
      </c>
      <c r="CH616" s="1074">
        <f>CG616</f>
        <v>86</v>
      </c>
      <c r="CJ616" s="710">
        <v>91.5</v>
      </c>
      <c r="CK616" s="710">
        <v>79.099999999999994</v>
      </c>
      <c r="CL616" s="1074">
        <f>CK616</f>
        <v>79.099999999999994</v>
      </c>
      <c r="CM616" s="1009"/>
      <c r="CN616" s="1009"/>
      <c r="CO616" s="1009"/>
      <c r="CP616" s="1009"/>
      <c r="CQ616" s="1009"/>
      <c r="CS616" s="1502">
        <v>118.6</v>
      </c>
      <c r="CT616" s="1074">
        <f>CS616</f>
        <v>118.6</v>
      </c>
      <c r="CV616" s="1732">
        <v>111.4</v>
      </c>
      <c r="CW616" s="1502">
        <v>123.1</v>
      </c>
      <c r="CX616" s="1074">
        <f>CW616</f>
        <v>123.1</v>
      </c>
      <c r="CZ616" s="1732">
        <v>125.1</v>
      </c>
      <c r="DA616" s="1732">
        <v>141.80000000000001</v>
      </c>
      <c r="DB616" s="1074">
        <f>DA616</f>
        <v>141.80000000000001</v>
      </c>
      <c r="DD616" s="1732">
        <v>158.5</v>
      </c>
      <c r="DE616" s="2180">
        <v>154</v>
      </c>
      <c r="DF616" s="1074">
        <f>DE616</f>
        <v>154</v>
      </c>
      <c r="DG616" s="730">
        <v>164.5</v>
      </c>
      <c r="DH616" s="1732">
        <v>166.7</v>
      </c>
      <c r="DI616" s="103"/>
      <c r="DJ616" s="103"/>
      <c r="DL616" s="103"/>
      <c r="DM616" s="103"/>
      <c r="DN616" s="103"/>
      <c r="DP616" s="103"/>
      <c r="DQ616" s="103"/>
      <c r="DR616" s="103"/>
    </row>
    <row r="617" spans="1:283">
      <c r="A617" s="102" t="s">
        <v>1071</v>
      </c>
      <c r="CF617" s="294">
        <f>CF616/CB616-1</f>
        <v>0.11660329531051938</v>
      </c>
      <c r="CJ617" s="294">
        <f>CJ616/CF616-1</f>
        <v>3.8592508513053403E-2</v>
      </c>
      <c r="CM617" s="1428">
        <v>89.3</v>
      </c>
      <c r="CN617" s="1418">
        <v>101.4</v>
      </c>
      <c r="CO617" s="1429">
        <f>CN617</f>
        <v>101.4</v>
      </c>
      <c r="CP617" s="1009"/>
      <c r="CQ617" s="1428">
        <v>116.4</v>
      </c>
      <c r="CR617" s="294">
        <f>CQ617/CM617-1</f>
        <v>0.3034714445688691</v>
      </c>
      <c r="CS617" s="103"/>
      <c r="CT617" s="103"/>
      <c r="CV617" s="103"/>
      <c r="CW617" s="103"/>
      <c r="CX617" s="103"/>
      <c r="CZ617" s="103"/>
      <c r="DA617" s="103"/>
      <c r="DB617" s="103"/>
      <c r="DD617" s="103"/>
      <c r="DE617" s="103"/>
      <c r="DF617" s="103"/>
      <c r="DH617" s="103"/>
      <c r="DI617" s="103"/>
      <c r="DJ617" s="103"/>
      <c r="DL617" s="103"/>
      <c r="DM617" s="103"/>
      <c r="DN617" s="103"/>
      <c r="DP617" s="103"/>
      <c r="DQ617" s="103"/>
      <c r="DR617" s="103"/>
    </row>
    <row r="618" spans="1:283">
      <c r="CR618" s="103"/>
      <c r="CS618" s="103"/>
      <c r="CT618" s="103"/>
      <c r="CV618" s="103"/>
      <c r="CW618" s="103"/>
      <c r="CX618" s="103"/>
      <c r="CZ618" s="103"/>
      <c r="DA618" s="103"/>
      <c r="DB618" s="103"/>
      <c r="DD618" s="103"/>
      <c r="DE618" s="103"/>
      <c r="DF618" s="103" t="s">
        <v>1453</v>
      </c>
      <c r="DG618" s="730">
        <v>48.3</v>
      </c>
      <c r="DH618" s="103"/>
      <c r="DI618" s="103"/>
      <c r="DJ618" s="103"/>
      <c r="DL618" s="103"/>
      <c r="DM618" s="103"/>
      <c r="DN618" s="103"/>
      <c r="DP618" s="103"/>
      <c r="DQ618" s="103"/>
      <c r="DR618" s="103"/>
    </row>
    <row r="619" spans="1:283">
      <c r="CR619" s="103"/>
      <c r="CS619" s="103"/>
      <c r="CT619" s="103"/>
      <c r="CV619" s="103"/>
      <c r="CW619" s="103"/>
      <c r="CX619" s="103"/>
      <c r="CZ619" s="103"/>
      <c r="DA619" s="103"/>
      <c r="DB619" s="103"/>
      <c r="DD619" s="103"/>
      <c r="DE619" s="103"/>
      <c r="DF619" s="103"/>
      <c r="DG619" s="103">
        <f>+DG618/DG616</f>
        <v>0.29361702127659572</v>
      </c>
      <c r="DH619" s="103"/>
      <c r="DI619" s="103"/>
      <c r="DJ619" s="103"/>
      <c r="DL619" s="103"/>
      <c r="DM619" s="103"/>
      <c r="DN619" s="103"/>
      <c r="DP619" s="103"/>
      <c r="DQ619" s="103"/>
      <c r="DR619" s="103"/>
    </row>
    <row r="620" spans="1:283" s="327" customFormat="1">
      <c r="A620" s="1207" t="s">
        <v>566</v>
      </c>
      <c r="AN620" s="295"/>
      <c r="AO620" s="295"/>
      <c r="AP620" s="295"/>
      <c r="AQ620" s="295"/>
      <c r="AR620" s="295"/>
      <c r="AS620" s="295"/>
      <c r="AT620" s="295"/>
      <c r="AU620" s="295"/>
      <c r="AV620" s="295"/>
      <c r="AW620" s="295"/>
      <c r="AX620" s="295"/>
      <c r="AY620" s="295"/>
      <c r="AZ620" s="295"/>
      <c r="BA620" s="295"/>
      <c r="BB620" s="295"/>
      <c r="BC620" s="295"/>
      <c r="BD620" s="295"/>
      <c r="BE620" s="295"/>
      <c r="BF620" s="295"/>
      <c r="BG620" s="295"/>
      <c r="BH620" s="295"/>
      <c r="BI620" s="295"/>
      <c r="BJ620" s="295"/>
      <c r="BK620" s="103"/>
      <c r="BL620" s="295"/>
      <c r="BM620" s="295"/>
      <c r="BN620" s="295"/>
      <c r="BO620" s="295"/>
      <c r="BP620" s="295"/>
      <c r="BQ620" s="295"/>
      <c r="BR620" s="295"/>
      <c r="BS620" s="295"/>
      <c r="BT620" s="295"/>
      <c r="BU620" s="295"/>
      <c r="BV620" s="295"/>
      <c r="BW620" s="295"/>
      <c r="BX620" s="295"/>
      <c r="BY620" s="295"/>
      <c r="BZ620" s="295"/>
      <c r="CA620" s="295"/>
      <c r="CB620" s="295"/>
      <c r="CC620" s="295"/>
      <c r="CD620" s="295"/>
      <c r="CE620" s="295"/>
      <c r="CF620" s="295"/>
      <c r="CG620" s="295"/>
      <c r="CH620" s="295"/>
      <c r="CI620" s="295"/>
      <c r="CJ620" s="295"/>
      <c r="CK620" s="295"/>
      <c r="CL620" s="295"/>
      <c r="CM620" s="295"/>
      <c r="CN620" s="655" t="s">
        <v>1195</v>
      </c>
      <c r="CO620" s="295"/>
      <c r="CP620" s="295"/>
      <c r="CQ620" s="295"/>
      <c r="CR620" s="295"/>
      <c r="CS620" s="295"/>
      <c r="CT620" s="295"/>
      <c r="CU620" s="295"/>
      <c r="CV620" s="295"/>
      <c r="CW620" s="295"/>
      <c r="CX620" s="295"/>
      <c r="CY620" s="295"/>
      <c r="CZ620" s="295"/>
      <c r="DA620" s="295"/>
      <c r="DB620" s="295"/>
      <c r="DC620" s="295"/>
      <c r="DD620" s="295"/>
      <c r="DE620" s="295"/>
      <c r="DF620" s="295"/>
      <c r="DG620" s="295"/>
      <c r="DH620" s="295"/>
      <c r="DI620" s="295"/>
      <c r="DJ620" s="295"/>
      <c r="DK620" s="295"/>
      <c r="DL620" s="295"/>
      <c r="DM620" s="295"/>
      <c r="DN620" s="295"/>
      <c r="DO620" s="295"/>
      <c r="DP620" s="295"/>
      <c r="DQ620" s="295"/>
      <c r="DR620" s="295"/>
      <c r="DS620" s="295"/>
      <c r="DT620" s="295"/>
      <c r="DU620" s="295"/>
      <c r="DV620" s="295"/>
      <c r="DW620" s="295"/>
      <c r="DX620" s="295"/>
      <c r="DY620" s="295"/>
      <c r="DZ620" s="295"/>
      <c r="EA620" s="295"/>
      <c r="EB620" s="295"/>
      <c r="EC620" s="295"/>
      <c r="ED620" s="295"/>
      <c r="EE620" s="295"/>
      <c r="EF620" s="295"/>
      <c r="EG620" s="295"/>
      <c r="EH620" s="295"/>
      <c r="EI620" s="295"/>
      <c r="EJ620" s="295"/>
      <c r="EK620" s="295"/>
      <c r="EL620" s="295"/>
      <c r="EM620" s="295"/>
      <c r="EN620" s="295"/>
      <c r="EO620" s="295"/>
      <c r="EP620" s="295"/>
      <c r="EQ620" s="295"/>
      <c r="ER620" s="295"/>
      <c r="ES620" s="295"/>
      <c r="ET620" s="295"/>
      <c r="EU620" s="295"/>
      <c r="JW620"/>
    </row>
    <row r="621" spans="1:283" s="845" customFormat="1">
      <c r="A621" s="845" t="s">
        <v>665</v>
      </c>
      <c r="AN621" s="303"/>
      <c r="AO621" s="303"/>
      <c r="AP621" s="303"/>
      <c r="AQ621" s="303"/>
      <c r="AR621" s="303"/>
      <c r="AS621" s="303"/>
      <c r="AT621" s="303"/>
      <c r="AU621" s="303"/>
      <c r="AV621" s="627">
        <v>102</v>
      </c>
      <c r="AW621" s="627">
        <v>97</v>
      </c>
      <c r="AX621" s="303">
        <f t="shared" ref="AX621:AX627" si="1675">AV621+AW621</f>
        <v>199</v>
      </c>
      <c r="AY621" s="303"/>
      <c r="AZ621" s="627">
        <v>54</v>
      </c>
      <c r="BA621" s="973">
        <v>22</v>
      </c>
      <c r="BB621" s="303">
        <f t="shared" ref="BB621:BB627" si="1676">AZ621+BA621</f>
        <v>76</v>
      </c>
      <c r="BC621" s="303"/>
      <c r="BD621" s="627">
        <f>16+0.33</f>
        <v>16.329999999999998</v>
      </c>
      <c r="BE621" s="627">
        <v>17</v>
      </c>
      <c r="BF621" s="303">
        <f t="shared" ref="BF621:BF627" si="1677">BD621+BE621</f>
        <v>33.33</v>
      </c>
      <c r="BG621" s="303"/>
      <c r="BH621" s="630">
        <v>19</v>
      </c>
      <c r="BI621" s="630">
        <v>9</v>
      </c>
      <c r="BJ621" s="303">
        <f t="shared" ref="BJ621:BJ627" si="1678">BH621+BI621</f>
        <v>28</v>
      </c>
      <c r="BK621" s="630"/>
      <c r="BL621" s="630">
        <v>16</v>
      </c>
      <c r="BM621" s="630">
        <v>8</v>
      </c>
      <c r="BN621" s="303">
        <f t="shared" ref="BN621:BN627" si="1679">BL621+BM621</f>
        <v>24</v>
      </c>
      <c r="BO621" s="630"/>
      <c r="BP621" s="630">
        <v>6</v>
      </c>
      <c r="BQ621" s="630">
        <v>6</v>
      </c>
      <c r="BR621" s="303">
        <f t="shared" ref="BR621:BR627" si="1680">BP621+BQ621</f>
        <v>12</v>
      </c>
      <c r="BS621" s="630"/>
      <c r="BT621" s="1243">
        <v>6</v>
      </c>
      <c r="BU621" s="630">
        <v>4</v>
      </c>
      <c r="BV621" s="303">
        <f t="shared" ref="BV621:BV627" si="1681">BT621+BU621</f>
        <v>10</v>
      </c>
      <c r="BW621" s="303"/>
      <c r="BX621" s="1243">
        <v>0</v>
      </c>
      <c r="BY621" s="1243">
        <v>0</v>
      </c>
      <c r="BZ621" s="303">
        <f t="shared" ref="BZ621:BZ627" si="1682">BX621+BY621</f>
        <v>0</v>
      </c>
      <c r="CA621" s="303"/>
      <c r="CB621" s="1243">
        <v>29</v>
      </c>
      <c r="CC621" s="1243">
        <f>22-CB621</f>
        <v>-7</v>
      </c>
      <c r="CD621" s="303">
        <f t="shared" ref="CD621:CD627" si="1683">CB621+CC621</f>
        <v>22</v>
      </c>
      <c r="CE621" s="303"/>
      <c r="CF621" s="1243">
        <v>35</v>
      </c>
      <c r="CG621" s="1243">
        <f>28-CF621</f>
        <v>-7</v>
      </c>
      <c r="CH621" s="303">
        <f t="shared" ref="CH621:CH627" si="1684">CF621+CG621</f>
        <v>28</v>
      </c>
      <c r="CI621" s="303"/>
      <c r="CJ621" s="1243">
        <v>0</v>
      </c>
      <c r="CK621" s="1243">
        <v>0</v>
      </c>
      <c r="CL621" s="303">
        <f t="shared" ref="CL621:CL627" si="1685">CJ621+CK621</f>
        <v>0</v>
      </c>
      <c r="CM621" s="303"/>
      <c r="CN621" s="1334">
        <v>0</v>
      </c>
      <c r="CO621" s="1334">
        <v>0</v>
      </c>
      <c r="CP621" s="303">
        <f t="shared" ref="CP621:CP627" si="1686">CN621+CO621</f>
        <v>0</v>
      </c>
      <c r="CQ621" s="303"/>
      <c r="CR621" s="1334">
        <v>0</v>
      </c>
      <c r="CS621" s="1427">
        <v>0</v>
      </c>
      <c r="CT621" s="303">
        <f t="shared" ref="CT621:CT627" si="1687">CR621+CS621</f>
        <v>0</v>
      </c>
      <c r="CU621" s="303"/>
      <c r="CV621" s="1334">
        <v>0</v>
      </c>
      <c r="CW621" s="1427">
        <v>0</v>
      </c>
      <c r="CX621" s="303">
        <f t="shared" ref="CX621:CX627" si="1688">CV621+CW621</f>
        <v>0</v>
      </c>
      <c r="CY621" s="303"/>
      <c r="CZ621" s="1334">
        <v>0</v>
      </c>
      <c r="DA621" s="1427">
        <v>0</v>
      </c>
      <c r="DB621" s="303">
        <f t="shared" ref="DB621:DB627" si="1689">CZ621+DA621</f>
        <v>0</v>
      </c>
      <c r="DC621" s="303"/>
      <c r="DD621" s="1356">
        <v>0</v>
      </c>
      <c r="DE621" s="1244">
        <f ca="1">'P&amp;L'!DE162</f>
        <v>0</v>
      </c>
      <c r="DF621" s="303">
        <f t="shared" ref="DF621:DF626" ca="1" si="1690">DD621+DE621</f>
        <v>0</v>
      </c>
      <c r="DG621" s="303"/>
      <c r="DH621" s="1356">
        <v>0</v>
      </c>
      <c r="DI621" s="1244">
        <f>'P&amp;L'!DI162</f>
        <v>0</v>
      </c>
      <c r="DJ621" s="303">
        <f t="shared" ref="DJ621:DJ626" si="1691">DH621+DI621</f>
        <v>0</v>
      </c>
      <c r="DK621" s="303"/>
      <c r="DL621" s="1244">
        <f>'P&amp;L'!DL162</f>
        <v>0</v>
      </c>
      <c r="DM621" s="1244">
        <f>'P&amp;L'!DM162</f>
        <v>0</v>
      </c>
      <c r="DN621" s="303">
        <f t="shared" ref="DN621:DN626" si="1692">DL621+DM621</f>
        <v>0</v>
      </c>
      <c r="DO621" s="303"/>
      <c r="DP621" s="1244">
        <f>'P&amp;L'!DP162</f>
        <v>0</v>
      </c>
      <c r="DQ621" s="1244">
        <f>'P&amp;L'!DQ162</f>
        <v>0</v>
      </c>
      <c r="DR621" s="303">
        <f t="shared" ref="DR621:DR626" si="1693">DP621+DQ621</f>
        <v>0</v>
      </c>
      <c r="DS621" s="303"/>
      <c r="DT621" s="303"/>
      <c r="DU621" s="303"/>
      <c r="DV621" s="303"/>
      <c r="DW621" s="1245" t="s">
        <v>174</v>
      </c>
      <c r="DX621" s="303"/>
      <c r="DY621" s="303"/>
      <c r="DZ621" s="303"/>
      <c r="EA621" s="303"/>
      <c r="EB621" s="303"/>
      <c r="EC621" s="303"/>
      <c r="ED621" s="303"/>
      <c r="EE621" s="303"/>
      <c r="EF621" s="303"/>
      <c r="EG621" s="303"/>
      <c r="EH621" s="303"/>
      <c r="EI621" s="303"/>
      <c r="EJ621" s="303"/>
      <c r="EK621" s="303"/>
      <c r="EL621" s="303"/>
      <c r="EM621" s="303"/>
      <c r="EN621" s="303"/>
      <c r="EO621" s="303"/>
      <c r="EP621" s="303"/>
      <c r="EQ621" s="303"/>
      <c r="ER621" s="303"/>
      <c r="ES621" s="303"/>
      <c r="ET621" s="303"/>
      <c r="EU621" s="303"/>
      <c r="JW621"/>
    </row>
    <row r="622" spans="1:283" s="332" customFormat="1">
      <c r="A622" s="332" t="s">
        <v>666</v>
      </c>
      <c r="AN622" s="293"/>
      <c r="AO622" s="293"/>
      <c r="AP622" s="293"/>
      <c r="AQ622" s="293"/>
      <c r="AR622" s="293"/>
      <c r="AS622" s="293"/>
      <c r="AT622" s="293"/>
      <c r="AU622" s="293"/>
      <c r="AV622" s="927">
        <v>0</v>
      </c>
      <c r="AW622" s="927">
        <v>0</v>
      </c>
      <c r="AX622" s="293">
        <f t="shared" si="1675"/>
        <v>0</v>
      </c>
      <c r="AY622" s="928"/>
      <c r="AZ622" s="927">
        <v>0</v>
      </c>
      <c r="BA622" s="927">
        <v>0</v>
      </c>
      <c r="BB622" s="293">
        <f t="shared" si="1676"/>
        <v>0</v>
      </c>
      <c r="BC622" s="293"/>
      <c r="BD622" s="626">
        <v>0</v>
      </c>
      <c r="BE622" s="626">
        <v>5</v>
      </c>
      <c r="BF622" s="293">
        <f t="shared" si="1677"/>
        <v>5</v>
      </c>
      <c r="BG622" s="293"/>
      <c r="BH622" s="626">
        <v>0</v>
      </c>
      <c r="BI622" s="626">
        <v>0</v>
      </c>
      <c r="BJ622" s="293">
        <f t="shared" si="1678"/>
        <v>0</v>
      </c>
      <c r="BK622" s="487"/>
      <c r="BL622" s="626">
        <v>0</v>
      </c>
      <c r="BM622" s="626">
        <v>0</v>
      </c>
      <c r="BN622" s="293">
        <f t="shared" si="1679"/>
        <v>0</v>
      </c>
      <c r="BO622" s="487"/>
      <c r="BP622" s="626">
        <v>0</v>
      </c>
      <c r="BQ622" s="626">
        <v>0</v>
      </c>
      <c r="BR622" s="293">
        <f t="shared" si="1680"/>
        <v>0</v>
      </c>
      <c r="BS622" s="487"/>
      <c r="BT622" s="626">
        <v>20</v>
      </c>
      <c r="BU622" s="626">
        <v>1</v>
      </c>
      <c r="BV622" s="293">
        <f t="shared" si="1681"/>
        <v>21</v>
      </c>
      <c r="BW622" s="293"/>
      <c r="BX622" s="626">
        <v>0</v>
      </c>
      <c r="BY622" s="626">
        <v>0</v>
      </c>
      <c r="BZ622" s="293">
        <f t="shared" si="1682"/>
        <v>0</v>
      </c>
      <c r="CA622" s="293"/>
      <c r="CB622" s="626">
        <v>0</v>
      </c>
      <c r="CC622" s="626">
        <v>0</v>
      </c>
      <c r="CD622" s="293">
        <f t="shared" si="1683"/>
        <v>0</v>
      </c>
      <c r="CE622" s="293"/>
      <c r="CF622" s="626">
        <v>0</v>
      </c>
      <c r="CG622" s="626">
        <v>0</v>
      </c>
      <c r="CH622" s="293">
        <f t="shared" si="1684"/>
        <v>0</v>
      </c>
      <c r="CI622" s="293"/>
      <c r="CJ622" s="626">
        <v>0</v>
      </c>
      <c r="CK622" s="626">
        <v>0</v>
      </c>
      <c r="CL622" s="293">
        <f t="shared" si="1685"/>
        <v>0</v>
      </c>
      <c r="CM622" s="293"/>
      <c r="CN622" s="1326">
        <v>0</v>
      </c>
      <c r="CO622" s="1326">
        <v>0</v>
      </c>
      <c r="CP622" s="293">
        <f t="shared" si="1686"/>
        <v>0</v>
      </c>
      <c r="CQ622" s="293"/>
      <c r="CR622" s="1326">
        <v>0</v>
      </c>
      <c r="CS622" s="1388">
        <v>0</v>
      </c>
      <c r="CT622" s="293">
        <f t="shared" si="1687"/>
        <v>0</v>
      </c>
      <c r="CU622" s="293"/>
      <c r="CV622" s="1326">
        <v>0</v>
      </c>
      <c r="CW622" s="1388">
        <v>0</v>
      </c>
      <c r="CX622" s="293">
        <f t="shared" si="1688"/>
        <v>0</v>
      </c>
      <c r="CY622" s="293"/>
      <c r="CZ622" s="1326">
        <v>0</v>
      </c>
      <c r="DA622" s="1388">
        <v>0</v>
      </c>
      <c r="DB622" s="293">
        <f t="shared" si="1689"/>
        <v>0</v>
      </c>
      <c r="DC622" s="293"/>
      <c r="DD622" s="1356">
        <v>0</v>
      </c>
      <c r="DE622" s="841">
        <f ca="1">'P&amp;L'!DE385</f>
        <v>0</v>
      </c>
      <c r="DF622" s="293">
        <f t="shared" ca="1" si="1690"/>
        <v>0</v>
      </c>
      <c r="DG622" s="293"/>
      <c r="DH622" s="1356">
        <v>0</v>
      </c>
      <c r="DI622" s="841">
        <f>'P&amp;L'!DI385</f>
        <v>0</v>
      </c>
      <c r="DJ622" s="293">
        <f t="shared" si="1691"/>
        <v>0</v>
      </c>
      <c r="DK622" s="293"/>
      <c r="DL622" s="841">
        <f>'P&amp;L'!DL385</f>
        <v>0</v>
      </c>
      <c r="DM622" s="841">
        <f>'P&amp;L'!DM385</f>
        <v>0</v>
      </c>
      <c r="DN622" s="293">
        <f t="shared" si="1692"/>
        <v>0</v>
      </c>
      <c r="DO622" s="293"/>
      <c r="DP622" s="841">
        <f>'P&amp;L'!DP385</f>
        <v>0</v>
      </c>
      <c r="DQ622" s="841">
        <f>'P&amp;L'!DQ385</f>
        <v>0</v>
      </c>
      <c r="DR622" s="293">
        <f t="shared" si="1693"/>
        <v>0</v>
      </c>
      <c r="DS622" s="293"/>
      <c r="DT622" s="293"/>
      <c r="DU622" s="293"/>
      <c r="DV622" s="293"/>
      <c r="DW622" s="1198" t="s">
        <v>174</v>
      </c>
      <c r="DX622" s="293"/>
      <c r="DY622" s="293"/>
      <c r="DZ622" s="293"/>
      <c r="EA622" s="293"/>
      <c r="EB622" s="293"/>
      <c r="EC622" s="293"/>
      <c r="ED622" s="293"/>
      <c r="EE622" s="293"/>
      <c r="EF622" s="293"/>
      <c r="EG622" s="293"/>
      <c r="EH622" s="293"/>
      <c r="EI622" s="293"/>
      <c r="EJ622" s="293"/>
      <c r="EK622" s="293"/>
      <c r="EL622" s="293"/>
      <c r="EM622" s="293"/>
      <c r="EN622" s="293"/>
      <c r="EO622" s="293"/>
      <c r="EP622" s="293"/>
      <c r="EQ622" s="293"/>
      <c r="ER622" s="293"/>
      <c r="ES622" s="293"/>
      <c r="ET622" s="293"/>
      <c r="EU622" s="293"/>
      <c r="JW622"/>
    </row>
    <row r="623" spans="1:283" s="845" customFormat="1">
      <c r="A623" s="845" t="s">
        <v>656</v>
      </c>
      <c r="AN623" s="303"/>
      <c r="AO623" s="303"/>
      <c r="AP623" s="303"/>
      <c r="AQ623" s="303"/>
      <c r="AR623" s="303"/>
      <c r="AS623" s="303"/>
      <c r="AT623" s="303"/>
      <c r="AU623" s="303"/>
      <c r="AV623" s="627">
        <v>30</v>
      </c>
      <c r="AW623" s="627">
        <v>20</v>
      </c>
      <c r="AX623" s="303">
        <f t="shared" si="1675"/>
        <v>50</v>
      </c>
      <c r="AY623" s="303"/>
      <c r="AZ623" s="627">
        <v>23</v>
      </c>
      <c r="BA623" s="973">
        <v>34</v>
      </c>
      <c r="BB623" s="303">
        <f t="shared" si="1676"/>
        <v>57</v>
      </c>
      <c r="BC623" s="303"/>
      <c r="BD623" s="627">
        <v>24</v>
      </c>
      <c r="BE623" s="627">
        <v>16</v>
      </c>
      <c r="BF623" s="303">
        <f t="shared" si="1677"/>
        <v>40</v>
      </c>
      <c r="BG623" s="303"/>
      <c r="BH623" s="630">
        <v>49</v>
      </c>
      <c r="BI623" s="630">
        <v>55</v>
      </c>
      <c r="BJ623" s="303">
        <f t="shared" si="1678"/>
        <v>104</v>
      </c>
      <c r="BK623" s="630"/>
      <c r="BL623" s="630">
        <v>64</v>
      </c>
      <c r="BM623" s="630">
        <v>68</v>
      </c>
      <c r="BN623" s="303">
        <f t="shared" si="1679"/>
        <v>132</v>
      </c>
      <c r="BO623" s="630"/>
      <c r="BP623" s="630">
        <v>100</v>
      </c>
      <c r="BQ623" s="630">
        <v>79</v>
      </c>
      <c r="BR623" s="303">
        <f t="shared" si="1680"/>
        <v>179</v>
      </c>
      <c r="BS623" s="630"/>
      <c r="BT623" s="1243">
        <v>10</v>
      </c>
      <c r="BU623" s="630">
        <v>0</v>
      </c>
      <c r="BV623" s="303">
        <f t="shared" si="1681"/>
        <v>10</v>
      </c>
      <c r="BW623" s="303"/>
      <c r="BX623" s="1243">
        <v>10</v>
      </c>
      <c r="BY623" s="1243">
        <v>0</v>
      </c>
      <c r="BZ623" s="303">
        <f t="shared" si="1682"/>
        <v>10</v>
      </c>
      <c r="CA623" s="303"/>
      <c r="CB623" s="629">
        <v>0</v>
      </c>
      <c r="CC623" s="1243">
        <v>0</v>
      </c>
      <c r="CD623" s="303">
        <f t="shared" si="1683"/>
        <v>0</v>
      </c>
      <c r="CE623" s="303"/>
      <c r="CF623" s="1243">
        <v>0</v>
      </c>
      <c r="CG623" s="1243">
        <v>0</v>
      </c>
      <c r="CH623" s="303">
        <f t="shared" si="1684"/>
        <v>0</v>
      </c>
      <c r="CI623" s="303"/>
      <c r="CJ623" s="1243">
        <v>0</v>
      </c>
      <c r="CK623" s="1243">
        <v>0</v>
      </c>
      <c r="CL623" s="303">
        <f t="shared" si="1685"/>
        <v>0</v>
      </c>
      <c r="CM623" s="303"/>
      <c r="CN623" s="1334">
        <v>0</v>
      </c>
      <c r="CO623" s="1334">
        <v>0</v>
      </c>
      <c r="CP623" s="303">
        <f t="shared" si="1686"/>
        <v>0</v>
      </c>
      <c r="CQ623" s="303"/>
      <c r="CR623" s="1334">
        <v>0</v>
      </c>
      <c r="CS623" s="1427">
        <v>0</v>
      </c>
      <c r="CT623" s="303">
        <f t="shared" si="1687"/>
        <v>0</v>
      </c>
      <c r="CU623" s="303"/>
      <c r="CV623" s="1334">
        <v>0</v>
      </c>
      <c r="CW623" s="1427">
        <v>0</v>
      </c>
      <c r="CX623" s="303">
        <f t="shared" si="1688"/>
        <v>0</v>
      </c>
      <c r="CY623" s="303"/>
      <c r="CZ623" s="1334">
        <v>0</v>
      </c>
      <c r="DA623" s="1427">
        <v>0</v>
      </c>
      <c r="DB623" s="303">
        <f t="shared" si="1689"/>
        <v>0</v>
      </c>
      <c r="DC623" s="303"/>
      <c r="DD623" s="1356">
        <v>0</v>
      </c>
      <c r="DE623" s="1244">
        <f ca="1">'P&amp;L'!DE129</f>
        <v>0</v>
      </c>
      <c r="DF623" s="303">
        <f t="shared" ca="1" si="1690"/>
        <v>0</v>
      </c>
      <c r="DG623" s="303"/>
      <c r="DH623" s="1356">
        <v>0</v>
      </c>
      <c r="DI623" s="1244">
        <f>'P&amp;L'!DI129</f>
        <v>0</v>
      </c>
      <c r="DJ623" s="303">
        <f t="shared" si="1691"/>
        <v>0</v>
      </c>
      <c r="DK623" s="303"/>
      <c r="DL623" s="1244">
        <f>'P&amp;L'!DL129</f>
        <v>0</v>
      </c>
      <c r="DM623" s="1244">
        <f>'P&amp;L'!DM129</f>
        <v>0</v>
      </c>
      <c r="DN623" s="303">
        <f t="shared" si="1692"/>
        <v>0</v>
      </c>
      <c r="DO623" s="303"/>
      <c r="DP623" s="1244">
        <f>'P&amp;L'!DP129</f>
        <v>0</v>
      </c>
      <c r="DQ623" s="1244">
        <f>'P&amp;L'!DQ129</f>
        <v>0</v>
      </c>
      <c r="DR623" s="303">
        <f t="shared" si="1693"/>
        <v>0</v>
      </c>
      <c r="DS623" s="303"/>
      <c r="DT623" s="303"/>
      <c r="DU623" s="303"/>
      <c r="DV623" s="303"/>
      <c r="DW623" s="1245" t="s">
        <v>174</v>
      </c>
      <c r="DX623" s="303"/>
      <c r="DY623" s="303"/>
      <c r="DZ623" s="303"/>
      <c r="EA623" s="303"/>
      <c r="EB623" s="303"/>
      <c r="EC623" s="303"/>
      <c r="ED623" s="303"/>
      <c r="EE623" s="303"/>
      <c r="EF623" s="303"/>
      <c r="EG623" s="303"/>
      <c r="EH623" s="303"/>
      <c r="EI623" s="303"/>
      <c r="EJ623" s="303"/>
      <c r="EK623" s="303"/>
      <c r="EL623" s="303"/>
      <c r="EM623" s="303"/>
      <c r="EN623" s="303"/>
      <c r="EO623" s="303"/>
      <c r="EP623" s="303"/>
      <c r="EQ623" s="303"/>
      <c r="ER623" s="303"/>
      <c r="ES623" s="303"/>
      <c r="ET623" s="303"/>
      <c r="EU623" s="303"/>
      <c r="JW623"/>
    </row>
    <row r="624" spans="1:283" s="332" customFormat="1">
      <c r="A624" s="332" t="s">
        <v>654</v>
      </c>
      <c r="AN624" s="293"/>
      <c r="AO624" s="293"/>
      <c r="AP624" s="293"/>
      <c r="AQ624" s="293"/>
      <c r="AR624" s="626">
        <v>118</v>
      </c>
      <c r="AS624" s="626">
        <v>80</v>
      </c>
      <c r="AT624" s="293">
        <f>AR624+AS624</f>
        <v>198</v>
      </c>
      <c r="AU624" s="103"/>
      <c r="AV624" s="626">
        <v>105</v>
      </c>
      <c r="AW624" s="626">
        <v>119</v>
      </c>
      <c r="AX624" s="293">
        <f t="shared" si="1675"/>
        <v>224</v>
      </c>
      <c r="AY624" s="626"/>
      <c r="AZ624" s="626">
        <f>130</f>
        <v>130</v>
      </c>
      <c r="BA624" s="626">
        <f>130</f>
        <v>130</v>
      </c>
      <c r="BB624" s="293">
        <f t="shared" si="1676"/>
        <v>260</v>
      </c>
      <c r="BC624" s="293"/>
      <c r="BD624" s="626">
        <v>118</v>
      </c>
      <c r="BE624" s="626">
        <v>99</v>
      </c>
      <c r="BF624" s="293">
        <f t="shared" si="1677"/>
        <v>217</v>
      </c>
      <c r="BG624" s="685"/>
      <c r="BH624" s="626">
        <v>103</v>
      </c>
      <c r="BI624" s="626">
        <v>111</v>
      </c>
      <c r="BJ624" s="293">
        <f t="shared" si="1678"/>
        <v>214</v>
      </c>
      <c r="BK624" s="487"/>
      <c r="BL624" s="626">
        <v>106</v>
      </c>
      <c r="BM624" s="626">
        <v>73</v>
      </c>
      <c r="BN624" s="293">
        <f t="shared" si="1679"/>
        <v>179</v>
      </c>
      <c r="BO624" s="487"/>
      <c r="BP624" s="626">
        <v>64</v>
      </c>
      <c r="BQ624" s="626">
        <v>58</v>
      </c>
      <c r="BR624" s="293">
        <f t="shared" si="1680"/>
        <v>122</v>
      </c>
      <c r="BS624" s="487"/>
      <c r="BT624" s="626">
        <v>50</v>
      </c>
      <c r="BU624" s="626">
        <v>39</v>
      </c>
      <c r="BV624" s="293">
        <f t="shared" si="1681"/>
        <v>89</v>
      </c>
      <c r="BW624" s="293"/>
      <c r="BX624" s="626">
        <v>40</v>
      </c>
      <c r="BY624" s="626">
        <v>36</v>
      </c>
      <c r="BZ624" s="293">
        <f t="shared" si="1682"/>
        <v>76</v>
      </c>
      <c r="CA624" s="293"/>
      <c r="CB624" s="626">
        <v>41</v>
      </c>
      <c r="CC624" s="626">
        <v>41</v>
      </c>
      <c r="CD624" s="293">
        <f t="shared" si="1683"/>
        <v>82</v>
      </c>
      <c r="CE624" s="293"/>
      <c r="CF624" s="626">
        <v>39</v>
      </c>
      <c r="CG624" s="626">
        <v>28</v>
      </c>
      <c r="CH624" s="293">
        <f t="shared" si="1684"/>
        <v>67</v>
      </c>
      <c r="CI624" s="293"/>
      <c r="CJ624" s="626">
        <v>25</v>
      </c>
      <c r="CK624" s="626">
        <f>50-CJ624</f>
        <v>25</v>
      </c>
      <c r="CL624" s="293">
        <f t="shared" si="1685"/>
        <v>50</v>
      </c>
      <c r="CM624" s="293"/>
      <c r="CN624" s="1356">
        <v>25</v>
      </c>
      <c r="CO624" s="1356">
        <f>50-CN624</f>
        <v>25</v>
      </c>
      <c r="CP624" s="293">
        <f t="shared" si="1686"/>
        <v>50</v>
      </c>
      <c r="CQ624" s="293"/>
      <c r="CR624" s="1356">
        <v>0</v>
      </c>
      <c r="CS624" s="1356">
        <v>0</v>
      </c>
      <c r="CT624" s="293">
        <f t="shared" si="1687"/>
        <v>0</v>
      </c>
      <c r="CU624" s="293"/>
      <c r="CV624" s="1356">
        <v>0</v>
      </c>
      <c r="CW624" s="1356">
        <v>0</v>
      </c>
      <c r="CX624" s="293">
        <f t="shared" si="1688"/>
        <v>0</v>
      </c>
      <c r="CY624" s="293"/>
      <c r="CZ624" s="1356">
        <v>0</v>
      </c>
      <c r="DA624" s="1356">
        <v>0</v>
      </c>
      <c r="DB624" s="293">
        <f t="shared" si="1689"/>
        <v>0</v>
      </c>
      <c r="DC624" s="293"/>
      <c r="DD624" s="1356">
        <v>0</v>
      </c>
      <c r="DE624" s="841">
        <f ca="1">'P&amp;L'!DE140</f>
        <v>0</v>
      </c>
      <c r="DF624" s="293">
        <f t="shared" ca="1" si="1690"/>
        <v>0</v>
      </c>
      <c r="DG624" s="293"/>
      <c r="DH624" s="1356">
        <v>0</v>
      </c>
      <c r="DI624" s="841">
        <f>'P&amp;L'!DI140</f>
        <v>0</v>
      </c>
      <c r="DJ624" s="293">
        <f t="shared" si="1691"/>
        <v>0</v>
      </c>
      <c r="DK624" s="293"/>
      <c r="DL624" s="841">
        <f>'P&amp;L'!DL140</f>
        <v>0</v>
      </c>
      <c r="DM624" s="841">
        <f>'P&amp;L'!DM140</f>
        <v>0</v>
      </c>
      <c r="DN624" s="293">
        <f t="shared" si="1692"/>
        <v>0</v>
      </c>
      <c r="DO624" s="293"/>
      <c r="DP624" s="841">
        <f>'P&amp;L'!DP140</f>
        <v>0</v>
      </c>
      <c r="DQ624" s="841">
        <f>'P&amp;L'!DQ140</f>
        <v>0</v>
      </c>
      <c r="DR624" s="293">
        <f t="shared" si="1693"/>
        <v>0</v>
      </c>
      <c r="DS624" s="293"/>
      <c r="DT624" s="293"/>
      <c r="DU624" s="293"/>
      <c r="DV624" s="293"/>
      <c r="DW624" s="1198" t="s">
        <v>174</v>
      </c>
      <c r="DX624" s="293"/>
      <c r="DY624" s="293"/>
      <c r="DZ624" s="293"/>
      <c r="EA624" s="293"/>
      <c r="EB624" s="293"/>
      <c r="EC624" s="293"/>
      <c r="ED624" s="293"/>
      <c r="EE624" s="293"/>
      <c r="EF624" s="293"/>
      <c r="EG624" s="293"/>
      <c r="EH624" s="293"/>
      <c r="EI624" s="293"/>
      <c r="EJ624" s="293"/>
      <c r="EK624" s="293"/>
      <c r="EL624" s="293"/>
      <c r="EM624" s="293"/>
      <c r="EN624" s="293"/>
      <c r="EO624" s="293"/>
      <c r="EP624" s="293"/>
      <c r="EQ624" s="293"/>
      <c r="ER624" s="293"/>
      <c r="ES624" s="293"/>
      <c r="ET624" s="293"/>
      <c r="EU624" s="293"/>
      <c r="JW624"/>
    </row>
    <row r="625" spans="1:283" s="332" customFormat="1">
      <c r="A625" s="332" t="s">
        <v>655</v>
      </c>
      <c r="AN625" s="293"/>
      <c r="AO625" s="293"/>
      <c r="AP625" s="293"/>
      <c r="AQ625" s="293"/>
      <c r="AR625" s="626">
        <v>133</v>
      </c>
      <c r="AS625" s="626">
        <v>107</v>
      </c>
      <c r="AT625" s="293">
        <f>AR625+AS625</f>
        <v>240</v>
      </c>
      <c r="AU625" s="103"/>
      <c r="AV625" s="626">
        <f>135-30</f>
        <v>105</v>
      </c>
      <c r="AW625" s="626">
        <f>129-20</f>
        <v>109</v>
      </c>
      <c r="AX625" s="293">
        <f t="shared" si="1675"/>
        <v>214</v>
      </c>
      <c r="AY625" s="293"/>
      <c r="AZ625" s="626">
        <f>183-AZ623</f>
        <v>160</v>
      </c>
      <c r="BA625" s="626">
        <f>182-BA623</f>
        <v>148</v>
      </c>
      <c r="BB625" s="293">
        <f t="shared" si="1676"/>
        <v>308</v>
      </c>
      <c r="BC625" s="293"/>
      <c r="BD625" s="626">
        <f>191-BD623</f>
        <v>167</v>
      </c>
      <c r="BE625" s="626">
        <f>190-BE623-BE622</f>
        <v>169</v>
      </c>
      <c r="BF625" s="293">
        <f t="shared" si="1677"/>
        <v>336</v>
      </c>
      <c r="BG625" s="293"/>
      <c r="BH625" s="626">
        <f>214-BH623</f>
        <v>165</v>
      </c>
      <c r="BI625" s="626">
        <f>189-BI623</f>
        <v>134</v>
      </c>
      <c r="BJ625" s="293">
        <f t="shared" si="1678"/>
        <v>299</v>
      </c>
      <c r="BK625" s="487"/>
      <c r="BL625" s="626">
        <f>195-BL623</f>
        <v>131</v>
      </c>
      <c r="BM625" s="626">
        <f>178-BM623</f>
        <v>110</v>
      </c>
      <c r="BN625" s="293">
        <f t="shared" si="1679"/>
        <v>241</v>
      </c>
      <c r="BO625" s="487"/>
      <c r="BP625" s="626">
        <v>92</v>
      </c>
      <c r="BQ625" s="626">
        <f>206-BQ623</f>
        <v>127</v>
      </c>
      <c r="BR625" s="293">
        <f t="shared" si="1680"/>
        <v>219</v>
      </c>
      <c r="BS625" s="487"/>
      <c r="BT625" s="626">
        <f>226-BT623-BT622</f>
        <v>196</v>
      </c>
      <c r="BU625" s="626">
        <f>201-BU622</f>
        <v>200</v>
      </c>
      <c r="BV625" s="293">
        <f>BT625+BU625</f>
        <v>396</v>
      </c>
      <c r="BW625" s="293"/>
      <c r="BX625" s="293">
        <f>+BX627-BX621-BX622-BX623-BX624-BX626</f>
        <v>206</v>
      </c>
      <c r="BY625" s="293">
        <f>+BY627-BY621-BY622-BY623-BY624-BY626</f>
        <v>180</v>
      </c>
      <c r="BZ625" s="293">
        <f t="shared" si="1682"/>
        <v>386</v>
      </c>
      <c r="CA625" s="293"/>
      <c r="CB625" s="293">
        <f>+CB627-CB621-CB622-CB623-CB624-CB626</f>
        <v>178</v>
      </c>
      <c r="CC625" s="293">
        <f>+CC627-CC621-CC622-CC623-CC624-CC626</f>
        <v>210</v>
      </c>
      <c r="CD625" s="293">
        <f t="shared" si="1683"/>
        <v>388</v>
      </c>
      <c r="CE625" s="293"/>
      <c r="CF625" s="293">
        <f>+CF627-CF621-CF622-CF623-CF624-CF626</f>
        <v>170</v>
      </c>
      <c r="CG625" s="293">
        <f>+CG627-CG621-CG622-CG623-CG624-CG626</f>
        <v>211</v>
      </c>
      <c r="CH625" s="293">
        <f t="shared" si="1684"/>
        <v>381</v>
      </c>
      <c r="CI625" s="293"/>
      <c r="CJ625" s="293">
        <f>+CJ627-CJ621-CJ622-CJ623-CJ624-CJ626</f>
        <v>201</v>
      </c>
      <c r="CK625" s="293">
        <f>+CK627-CK621-CK622-CK623-CK624-CK626</f>
        <v>194</v>
      </c>
      <c r="CL625" s="293">
        <f t="shared" si="1685"/>
        <v>395</v>
      </c>
      <c r="CM625" s="293"/>
      <c r="CN625" s="1357">
        <f>+CN627-CN621-CN622-CN623-CN624-CN626</f>
        <v>178</v>
      </c>
      <c r="CO625" s="1357">
        <f>+CO627-CO621-CO622-CO623-CO624-CO626</f>
        <v>191</v>
      </c>
      <c r="CP625" s="293">
        <f t="shared" si="1686"/>
        <v>369</v>
      </c>
      <c r="CQ625" s="293"/>
      <c r="CR625" s="1357">
        <f>+CR627-CR621-CR622-CR623-CR624-CR626</f>
        <v>220</v>
      </c>
      <c r="CS625" s="1357">
        <f>+CS627-CS621-CS622-CS623-CS624-CS626</f>
        <v>237</v>
      </c>
      <c r="CT625" s="293">
        <f t="shared" si="1687"/>
        <v>457</v>
      </c>
      <c r="CU625" s="293"/>
      <c r="CV625" s="1357">
        <f>+CV627-CV621-CV622-CV623-CV624-CV626</f>
        <v>249</v>
      </c>
      <c r="CW625" s="1357">
        <f>+CW627-CW621-CW622-CW623-CW624-CW626</f>
        <v>255</v>
      </c>
      <c r="CX625" s="293">
        <f t="shared" si="1688"/>
        <v>504</v>
      </c>
      <c r="CY625" s="293"/>
      <c r="CZ625" s="1357">
        <f>+CZ627-CZ621-CZ622-CZ623-CZ624-CZ626</f>
        <v>273</v>
      </c>
      <c r="DA625" s="1357">
        <f>+DA627-DA621-DA622-DA623-DA624-DA626</f>
        <v>281</v>
      </c>
      <c r="DB625" s="293">
        <f t="shared" si="1689"/>
        <v>554</v>
      </c>
      <c r="DC625" s="293"/>
      <c r="DD625" s="1357">
        <f>+DD627-DD621-DD622-DD623-DD624-DD626</f>
        <v>304</v>
      </c>
      <c r="DE625" s="293">
        <f ca="1">+DE627-DE621-DE622-DE623-DE624-DE626</f>
        <v>307</v>
      </c>
      <c r="DF625" s="293">
        <f t="shared" ca="1" si="1690"/>
        <v>611</v>
      </c>
      <c r="DG625" s="293"/>
      <c r="DH625" s="1357">
        <f>+DH627-DH621-DH622-DH623-DH624-DH626</f>
        <v>329</v>
      </c>
      <c r="DI625" s="293">
        <f>+DI627-DI621-DI622-DI623-DI624-DI626</f>
        <v>324.52</v>
      </c>
      <c r="DJ625" s="293">
        <f t="shared" si="1691"/>
        <v>653.52</v>
      </c>
      <c r="DK625" s="293"/>
      <c r="DL625" s="293">
        <f>+DL627-DL621-DL622-DL623-DL624-DL626</f>
        <v>347.69</v>
      </c>
      <c r="DM625" s="293">
        <f>+DM627-DM621-DM622-DM623-DM624-DM626</f>
        <v>343.04620000000006</v>
      </c>
      <c r="DN625" s="293">
        <f t="shared" si="1692"/>
        <v>690.73620000000005</v>
      </c>
      <c r="DO625" s="293"/>
      <c r="DP625" s="293">
        <f>+DP627-DP621-DP622-DP623-DP624-DP626</f>
        <v>367.44890000000004</v>
      </c>
      <c r="DQ625" s="293">
        <f>+DQ627-DQ621-DQ622-DQ623-DQ624-DQ626</f>
        <v>362.63672200000008</v>
      </c>
      <c r="DR625" s="293">
        <f t="shared" si="1693"/>
        <v>730.08562200000006</v>
      </c>
      <c r="DS625" s="293"/>
      <c r="DT625" s="293"/>
      <c r="DU625" s="293"/>
      <c r="DV625" s="293"/>
      <c r="DW625" s="1198" t="s">
        <v>174</v>
      </c>
      <c r="DX625" s="293"/>
      <c r="DY625" s="293"/>
      <c r="DZ625" s="293"/>
      <c r="EA625" s="293"/>
      <c r="EB625" s="293"/>
      <c r="EC625" s="293"/>
      <c r="ED625" s="293"/>
      <c r="EE625" s="293"/>
      <c r="EF625" s="293"/>
      <c r="EG625" s="293"/>
      <c r="EH625" s="293"/>
      <c r="EI625" s="293"/>
      <c r="EJ625" s="293"/>
      <c r="EK625" s="293"/>
      <c r="EL625" s="293"/>
      <c r="EM625" s="293"/>
      <c r="EN625" s="293"/>
      <c r="EO625" s="293"/>
      <c r="EP625" s="293"/>
      <c r="EQ625" s="293"/>
      <c r="ER625" s="293"/>
      <c r="ES625" s="293"/>
      <c r="ET625" s="293"/>
      <c r="EU625" s="293"/>
      <c r="JW625"/>
    </row>
    <row r="626" spans="1:283" s="332" customFormat="1">
      <c r="A626" s="332" t="s">
        <v>673</v>
      </c>
      <c r="AN626" s="293"/>
      <c r="AO626" s="293"/>
      <c r="AP626" s="293"/>
      <c r="AQ626" s="293"/>
      <c r="AR626" s="626">
        <v>14</v>
      </c>
      <c r="AS626" s="626">
        <v>16</v>
      </c>
      <c r="AT626" s="293">
        <f>AR626+AS626</f>
        <v>30</v>
      </c>
      <c r="AU626" s="293"/>
      <c r="AV626" s="626">
        <v>18</v>
      </c>
      <c r="AW626" s="626">
        <v>22</v>
      </c>
      <c r="AX626" s="293">
        <f t="shared" si="1675"/>
        <v>40</v>
      </c>
      <c r="AY626" s="626"/>
      <c r="AZ626" s="626">
        <v>26</v>
      </c>
      <c r="BA626" s="626">
        <v>25</v>
      </c>
      <c r="BB626" s="293">
        <f t="shared" si="1676"/>
        <v>51</v>
      </c>
      <c r="BC626" s="293"/>
      <c r="BD626" s="626">
        <v>31</v>
      </c>
      <c r="BE626" s="626">
        <v>27</v>
      </c>
      <c r="BF626" s="293">
        <f t="shared" si="1677"/>
        <v>58</v>
      </c>
      <c r="BG626" s="293"/>
      <c r="BH626" s="626">
        <v>0</v>
      </c>
      <c r="BI626" s="626">
        <v>0</v>
      </c>
      <c r="BJ626" s="293">
        <f t="shared" si="1678"/>
        <v>0</v>
      </c>
      <c r="BK626" s="487"/>
      <c r="BL626" s="626">
        <v>0</v>
      </c>
      <c r="BM626" s="626">
        <v>0</v>
      </c>
      <c r="BN626" s="293">
        <f t="shared" si="1679"/>
        <v>0</v>
      </c>
      <c r="BO626" s="487"/>
      <c r="BP626" s="626">
        <v>0</v>
      </c>
      <c r="BQ626" s="626">
        <v>0</v>
      </c>
      <c r="BR626" s="293">
        <f t="shared" si="1680"/>
        <v>0</v>
      </c>
      <c r="BS626" s="487"/>
      <c r="BT626" s="626">
        <v>0</v>
      </c>
      <c r="BU626" s="626">
        <v>0</v>
      </c>
      <c r="BV626" s="293">
        <f t="shared" si="1681"/>
        <v>0</v>
      </c>
      <c r="BW626" s="293"/>
      <c r="BX626" s="626">
        <v>0</v>
      </c>
      <c r="BY626" s="626">
        <v>0</v>
      </c>
      <c r="BZ626" s="293">
        <f t="shared" si="1682"/>
        <v>0</v>
      </c>
      <c r="CA626" s="293"/>
      <c r="CB626" s="626">
        <v>0</v>
      </c>
      <c r="CC626" s="626">
        <v>0</v>
      </c>
      <c r="CD626" s="293">
        <f t="shared" si="1683"/>
        <v>0</v>
      </c>
      <c r="CE626" s="293"/>
      <c r="CF626" s="626">
        <v>0</v>
      </c>
      <c r="CG626" s="626">
        <v>0</v>
      </c>
      <c r="CH626" s="293">
        <f t="shared" si="1684"/>
        <v>0</v>
      </c>
      <c r="CI626" s="293"/>
      <c r="CJ626" s="626">
        <v>0</v>
      </c>
      <c r="CK626" s="626">
        <v>0</v>
      </c>
      <c r="CL626" s="293">
        <f t="shared" si="1685"/>
        <v>0</v>
      </c>
      <c r="CM626" s="293"/>
      <c r="CN626" s="1356">
        <v>0</v>
      </c>
      <c r="CO626" s="1356">
        <v>0</v>
      </c>
      <c r="CP626" s="293">
        <f t="shared" si="1686"/>
        <v>0</v>
      </c>
      <c r="CQ626" s="293"/>
      <c r="CR626" s="1356">
        <v>0</v>
      </c>
      <c r="CS626" s="1356">
        <v>0</v>
      </c>
      <c r="CT626" s="293">
        <f t="shared" si="1687"/>
        <v>0</v>
      </c>
      <c r="CU626" s="293"/>
      <c r="CV626" s="1356">
        <v>0</v>
      </c>
      <c r="CW626" s="1356">
        <v>0</v>
      </c>
      <c r="CX626" s="293">
        <f t="shared" si="1688"/>
        <v>0</v>
      </c>
      <c r="CY626" s="293"/>
      <c r="CZ626" s="1356">
        <v>0</v>
      </c>
      <c r="DA626" s="1356">
        <v>0</v>
      </c>
      <c r="DB626" s="293">
        <f t="shared" si="1689"/>
        <v>0</v>
      </c>
      <c r="DC626" s="293"/>
      <c r="DD626" s="1356">
        <v>0</v>
      </c>
      <c r="DE626" s="293">
        <f>DD626*(1+DE628)</f>
        <v>0</v>
      </c>
      <c r="DF626" s="293">
        <f t="shared" si="1690"/>
        <v>0</v>
      </c>
      <c r="DG626" s="293"/>
      <c r="DH626" s="1356">
        <v>0</v>
      </c>
      <c r="DI626" s="293">
        <f>DH626*(1+DI628)</f>
        <v>0</v>
      </c>
      <c r="DJ626" s="293">
        <f t="shared" si="1691"/>
        <v>0</v>
      </c>
      <c r="DK626" s="293"/>
      <c r="DL626" s="293">
        <f>DI626*(1+DL628)</f>
        <v>0</v>
      </c>
      <c r="DM626" s="293">
        <f>DL626*(1+DM628)</f>
        <v>0</v>
      </c>
      <c r="DN626" s="293">
        <f t="shared" si="1692"/>
        <v>0</v>
      </c>
      <c r="DO626" s="293"/>
      <c r="DP626" s="293">
        <f>DM626*(1+DP628)</f>
        <v>0</v>
      </c>
      <c r="DQ626" s="293">
        <f>DP626*(1+DQ628)</f>
        <v>0</v>
      </c>
      <c r="DR626" s="293">
        <f t="shared" si="1693"/>
        <v>0</v>
      </c>
      <c r="DS626" s="293"/>
      <c r="DT626" s="293"/>
      <c r="DU626" s="293"/>
      <c r="DV626" s="293"/>
      <c r="DW626" s="293"/>
      <c r="DX626" s="293"/>
      <c r="DY626" s="293"/>
      <c r="DZ626" s="293"/>
      <c r="EA626" s="293"/>
      <c r="EB626" s="293"/>
      <c r="EC626" s="293"/>
      <c r="ED626" s="293"/>
      <c r="EE626" s="293"/>
      <c r="EF626" s="293"/>
      <c r="EG626" s="293"/>
      <c r="EH626" s="293"/>
      <c r="EI626" s="293"/>
      <c r="EJ626" s="293"/>
      <c r="EK626" s="293"/>
      <c r="EL626" s="293"/>
      <c r="EM626" s="293"/>
      <c r="EN626" s="293"/>
      <c r="EO626" s="293"/>
      <c r="EP626" s="293"/>
      <c r="EQ626" s="293"/>
      <c r="ER626" s="293"/>
      <c r="ES626" s="293"/>
      <c r="ET626" s="293"/>
      <c r="EU626" s="293"/>
      <c r="JW626"/>
    </row>
    <row r="627" spans="1:283" s="327" customFormat="1">
      <c r="A627" s="327" t="s">
        <v>613</v>
      </c>
      <c r="AN627" s="295">
        <f>SUM(AN621:AN626)</f>
        <v>0</v>
      </c>
      <c r="AO627" s="295">
        <f>SUM(AO621:AO626)</f>
        <v>0</v>
      </c>
      <c r="AP627" s="295">
        <f>AN627+AO627</f>
        <v>0</v>
      </c>
      <c r="AQ627" s="295"/>
      <c r="AR627" s="295">
        <f>SUM(AR621:AR626)</f>
        <v>265</v>
      </c>
      <c r="AS627" s="295">
        <f>SUM(AS621:AS626)</f>
        <v>203</v>
      </c>
      <c r="AT627" s="295">
        <f>AR627+AS627</f>
        <v>468</v>
      </c>
      <c r="AU627" s="295"/>
      <c r="AV627" s="295">
        <f>SUM(AV621:AV626)</f>
        <v>360</v>
      </c>
      <c r="AW627" s="295">
        <f>SUM(AW621:AW626)</f>
        <v>367</v>
      </c>
      <c r="AX627" s="295">
        <f t="shared" si="1675"/>
        <v>727</v>
      </c>
      <c r="AY627" s="295"/>
      <c r="AZ627" s="295">
        <f>SUM(AZ621:AZ626)</f>
        <v>393</v>
      </c>
      <c r="BA627" s="295">
        <f>SUM(BA621:BA626)</f>
        <v>359</v>
      </c>
      <c r="BB627" s="295">
        <f t="shared" si="1676"/>
        <v>752</v>
      </c>
      <c r="BC627" s="295"/>
      <c r="BD627" s="295">
        <f>SUM(BD621:BD626)</f>
        <v>356.33</v>
      </c>
      <c r="BE627" s="295">
        <f>SUM(BE621:BE626)</f>
        <v>333</v>
      </c>
      <c r="BF627" s="295">
        <f t="shared" si="1677"/>
        <v>689.32999999999993</v>
      </c>
      <c r="BG627" s="295"/>
      <c r="BH627" s="295">
        <f>SUM(BH621:BH626)</f>
        <v>336</v>
      </c>
      <c r="BI627" s="295">
        <f>SUM(BI621:BI626)</f>
        <v>309</v>
      </c>
      <c r="BJ627" s="295">
        <f t="shared" si="1678"/>
        <v>645</v>
      </c>
      <c r="BK627" s="487"/>
      <c r="BL627" s="295">
        <f>SUM(BL621:BL626)</f>
        <v>317</v>
      </c>
      <c r="BM627" s="295">
        <f>SUM(BM621:BM626)</f>
        <v>259</v>
      </c>
      <c r="BN627" s="295">
        <f t="shared" si="1679"/>
        <v>576</v>
      </c>
      <c r="BO627" s="487"/>
      <c r="BP627" s="295">
        <f>SUM(BP621:BP626)</f>
        <v>262</v>
      </c>
      <c r="BQ627" s="295">
        <f>SUM(BQ621:BQ626)</f>
        <v>270</v>
      </c>
      <c r="BR627" s="295">
        <f t="shared" si="1680"/>
        <v>532</v>
      </c>
      <c r="BS627" s="487"/>
      <c r="BT627" s="295">
        <f>SUM(BT621:BT626)</f>
        <v>282</v>
      </c>
      <c r="BU627" s="295">
        <f>SUM(BU621:BU626)</f>
        <v>244</v>
      </c>
      <c r="BV627" s="295">
        <f t="shared" si="1681"/>
        <v>526</v>
      </c>
      <c r="BW627" s="295"/>
      <c r="BX627" s="295">
        <f>BX608</f>
        <v>256</v>
      </c>
      <c r="BY627" s="295">
        <f>BY608</f>
        <v>216</v>
      </c>
      <c r="BZ627" s="295">
        <f t="shared" si="1682"/>
        <v>472</v>
      </c>
      <c r="CA627" s="295"/>
      <c r="CB627" s="295">
        <f>CB608</f>
        <v>248</v>
      </c>
      <c r="CC627" s="295">
        <f>CC608</f>
        <v>244</v>
      </c>
      <c r="CD627" s="295">
        <f t="shared" si="1683"/>
        <v>492</v>
      </c>
      <c r="CE627" s="295"/>
      <c r="CF627" s="295">
        <f>CF608</f>
        <v>244</v>
      </c>
      <c r="CG627" s="295">
        <f>CG608</f>
        <v>232</v>
      </c>
      <c r="CH627" s="295">
        <f t="shared" si="1684"/>
        <v>476</v>
      </c>
      <c r="CI627" s="295"/>
      <c r="CJ627" s="295">
        <f>CJ608</f>
        <v>226</v>
      </c>
      <c r="CK627" s="295">
        <f>CK608</f>
        <v>219</v>
      </c>
      <c r="CL627" s="295">
        <f t="shared" si="1685"/>
        <v>445</v>
      </c>
      <c r="CM627" s="295"/>
      <c r="CN627" s="295">
        <f>CN608</f>
        <v>203</v>
      </c>
      <c r="CO627" s="295">
        <f>CO608</f>
        <v>216</v>
      </c>
      <c r="CP627" s="295">
        <f t="shared" si="1686"/>
        <v>419</v>
      </c>
      <c r="CQ627" s="295"/>
      <c r="CR627" s="295">
        <f>CR608</f>
        <v>220</v>
      </c>
      <c r="CS627" s="295">
        <f>CS608</f>
        <v>237</v>
      </c>
      <c r="CT627" s="295">
        <f t="shared" si="1687"/>
        <v>457</v>
      </c>
      <c r="CU627" s="295"/>
      <c r="CV627" s="295">
        <f>CV608</f>
        <v>249</v>
      </c>
      <c r="CW627" s="295">
        <f>CW608</f>
        <v>255</v>
      </c>
      <c r="CX627" s="295">
        <f t="shared" si="1688"/>
        <v>504</v>
      </c>
      <c r="CY627" s="295"/>
      <c r="CZ627" s="295">
        <f>CZ608</f>
        <v>273</v>
      </c>
      <c r="DA627" s="295">
        <f>DA608</f>
        <v>281</v>
      </c>
      <c r="DB627" s="295">
        <f t="shared" si="1689"/>
        <v>554</v>
      </c>
      <c r="DC627" s="295"/>
      <c r="DD627" s="295">
        <f>DD608</f>
        <v>304</v>
      </c>
      <c r="DE627" s="295">
        <f>DE608</f>
        <v>307</v>
      </c>
      <c r="DF627" s="295">
        <f>DF608</f>
        <v>611</v>
      </c>
      <c r="DG627" s="295"/>
      <c r="DH627" s="295">
        <f>DH608</f>
        <v>329</v>
      </c>
      <c r="DI627" s="295">
        <f>DI608</f>
        <v>324.52</v>
      </c>
      <c r="DJ627" s="295">
        <f>DJ608</f>
        <v>653.52</v>
      </c>
      <c r="DK627" s="295"/>
      <c r="DL627" s="295">
        <f>DL608</f>
        <v>347.69</v>
      </c>
      <c r="DM627" s="295">
        <f>DM608</f>
        <v>343.04620000000006</v>
      </c>
      <c r="DN627" s="295">
        <f>DN608</f>
        <v>690.73620000000005</v>
      </c>
      <c r="DO627" s="295"/>
      <c r="DP627" s="295">
        <f>DP608</f>
        <v>367.44890000000004</v>
      </c>
      <c r="DQ627" s="295">
        <f>DQ608</f>
        <v>362.63672200000008</v>
      </c>
      <c r="DR627" s="295">
        <f>DR608</f>
        <v>730.08562200000006</v>
      </c>
      <c r="DS627" s="295"/>
      <c r="DT627" s="295"/>
      <c r="DU627" s="295"/>
      <c r="DV627" s="295"/>
      <c r="DW627" s="295"/>
      <c r="DX627" s="295"/>
      <c r="DY627" s="295"/>
      <c r="DZ627" s="295"/>
      <c r="EA627" s="295"/>
      <c r="EB627" s="295"/>
      <c r="EC627" s="295"/>
      <c r="ED627" s="295"/>
      <c r="EE627" s="295"/>
      <c r="EF627" s="295"/>
      <c r="EG627" s="295"/>
      <c r="EH627" s="295"/>
      <c r="EI627" s="295"/>
      <c r="EJ627" s="295"/>
      <c r="EK627" s="295"/>
      <c r="EL627" s="295"/>
      <c r="EM627" s="295"/>
      <c r="EN627" s="295"/>
      <c r="EO627" s="295"/>
      <c r="EP627" s="295"/>
      <c r="EQ627" s="295"/>
      <c r="ER627" s="295"/>
      <c r="ES627" s="295"/>
      <c r="ET627" s="295"/>
      <c r="EU627" s="295"/>
      <c r="JW627"/>
    </row>
    <row r="628" spans="1:283" s="332" customFormat="1">
      <c r="A628" s="332" t="s">
        <v>701</v>
      </c>
      <c r="AN628" s="293"/>
      <c r="AO628" s="685"/>
      <c r="AP628" s="293"/>
      <c r="AQ628" s="293"/>
      <c r="AR628" s="685"/>
      <c r="AS628" s="685"/>
      <c r="AT628" s="293"/>
      <c r="AU628" s="293"/>
      <c r="AV628" s="685"/>
      <c r="AW628" s="685">
        <f>AW626/AV626-1</f>
        <v>0.22222222222222232</v>
      </c>
      <c r="AX628" s="293"/>
      <c r="AY628" s="293"/>
      <c r="AZ628" s="685">
        <f>AZ626/AW626-1</f>
        <v>0.18181818181818188</v>
      </c>
      <c r="BA628" s="685">
        <f>BA626/AZ626-1</f>
        <v>-3.8461538461538436E-2</v>
      </c>
      <c r="BB628" s="293"/>
      <c r="BC628" s="293"/>
      <c r="BD628" s="685">
        <f>BD626/BA626-1</f>
        <v>0.24</v>
      </c>
      <c r="BE628" s="685">
        <f>BE626/BD626-1</f>
        <v>-0.12903225806451613</v>
      </c>
      <c r="BF628" s="293"/>
      <c r="BG628" s="293"/>
      <c r="BH628" s="685"/>
      <c r="BI628" s="685"/>
      <c r="BJ628" s="293"/>
      <c r="BK628" s="103"/>
      <c r="BL628" s="685"/>
      <c r="BM628" s="685"/>
      <c r="BN628" s="293"/>
      <c r="BO628" s="293"/>
      <c r="BP628" s="685"/>
      <c r="BQ628" s="1246"/>
      <c r="BR628" s="293"/>
      <c r="BS628" s="293"/>
      <c r="BT628" s="685"/>
      <c r="BU628" s="1246"/>
      <c r="BV628" s="293"/>
      <c r="BW628" s="293"/>
      <c r="BX628" s="685"/>
      <c r="BY628" s="1246"/>
      <c r="BZ628" s="293"/>
      <c r="CA628" s="293"/>
      <c r="CB628" s="685"/>
      <c r="CC628" s="1246"/>
      <c r="CD628" s="293"/>
      <c r="CE628" s="293"/>
      <c r="CF628" s="685"/>
      <c r="CG628" s="876"/>
      <c r="CH628" s="293"/>
      <c r="CI628" s="293"/>
      <c r="CJ628" s="685"/>
      <c r="CK628" s="876"/>
      <c r="CL628" s="293"/>
      <c r="CM628" s="293"/>
      <c r="CN628" s="685"/>
      <c r="CO628" s="876"/>
      <c r="CP628" s="293"/>
      <c r="CQ628" s="293"/>
      <c r="CR628" s="876"/>
      <c r="CS628" s="876"/>
      <c r="CT628" s="293"/>
      <c r="CU628" s="293"/>
      <c r="CV628" s="876"/>
      <c r="CW628" s="876"/>
      <c r="CX628" s="293"/>
      <c r="CY628" s="293"/>
      <c r="CZ628" s="876"/>
      <c r="DA628" s="876"/>
      <c r="DB628" s="293"/>
      <c r="DC628" s="293"/>
      <c r="DD628" s="876"/>
      <c r="DE628" s="876"/>
      <c r="DF628" s="293"/>
      <c r="DG628" s="293"/>
      <c r="DH628" s="876"/>
      <c r="DI628" s="876"/>
      <c r="DJ628" s="293"/>
      <c r="DK628" s="293"/>
      <c r="DL628" s="876"/>
      <c r="DM628" s="876"/>
      <c r="DN628" s="293"/>
      <c r="DO628" s="293"/>
      <c r="DP628" s="876"/>
      <c r="DQ628" s="876"/>
      <c r="DR628" s="293"/>
      <c r="DS628" s="293"/>
      <c r="DT628" s="293"/>
      <c r="DU628" s="293"/>
      <c r="DV628" s="293"/>
      <c r="DW628" s="876"/>
      <c r="DX628" s="876"/>
      <c r="DY628" s="876"/>
      <c r="DZ628" s="293"/>
      <c r="EA628" s="876"/>
      <c r="EB628" s="876"/>
      <c r="EC628" s="293"/>
      <c r="ED628" s="293"/>
      <c r="EE628" s="876"/>
      <c r="EF628" s="876"/>
      <c r="EG628" s="293"/>
      <c r="EH628" s="293"/>
      <c r="EI628" s="876"/>
      <c r="EJ628" s="876"/>
      <c r="EK628" s="293"/>
      <c r="EL628" s="293"/>
      <c r="EM628" s="293"/>
      <c r="EN628" s="293"/>
      <c r="EO628" s="293"/>
      <c r="EP628" s="293"/>
      <c r="EQ628" s="293"/>
      <c r="ER628" s="293"/>
      <c r="ES628" s="293"/>
      <c r="ET628" s="293"/>
      <c r="EU628" s="293"/>
      <c r="JW628"/>
    </row>
    <row r="629" spans="1:283" s="332" customFormat="1">
      <c r="AN629" s="293"/>
      <c r="AO629" s="293"/>
      <c r="AP629" s="293"/>
      <c r="AQ629" s="293"/>
      <c r="AR629" s="293"/>
      <c r="AS629" s="293"/>
      <c r="AT629" s="293"/>
      <c r="AU629" s="293"/>
      <c r="AV629" s="293"/>
      <c r="AW629" s="293"/>
      <c r="AX629" s="293"/>
      <c r="AY629" s="293"/>
      <c r="AZ629" s="293"/>
      <c r="BA629" s="293"/>
      <c r="BB629" s="293"/>
      <c r="BC629" s="293"/>
      <c r="BD629" s="293"/>
      <c r="BE629" s="293"/>
      <c r="BF629" s="293"/>
      <c r="BG629" s="293"/>
      <c r="BH629" s="293"/>
      <c r="BI629" s="293"/>
      <c r="BJ629" s="293"/>
      <c r="BK629" s="103"/>
      <c r="BL629" s="293"/>
      <c r="BM629" s="293"/>
      <c r="BN629" s="293"/>
      <c r="BO629" s="293"/>
      <c r="BP629" s="293"/>
      <c r="BQ629" s="293"/>
      <c r="BR629" s="293"/>
      <c r="BS629" s="293"/>
      <c r="BT629" s="293"/>
      <c r="BU629" s="293"/>
      <c r="BV629" s="293"/>
      <c r="BW629" s="293"/>
      <c r="BX629" s="293"/>
      <c r="BY629" s="293"/>
      <c r="BZ629" s="293"/>
      <c r="CA629" s="293"/>
      <c r="CB629" s="293"/>
      <c r="CC629" s="293"/>
      <c r="CD629" s="293"/>
      <c r="CE629" s="293"/>
      <c r="CF629" s="293"/>
      <c r="CG629" s="293"/>
      <c r="CH629" s="293"/>
      <c r="CI629" s="293"/>
      <c r="CJ629" s="293"/>
      <c r="CK629" s="293"/>
      <c r="CL629" s="293"/>
      <c r="CM629" s="293"/>
      <c r="CN629" s="293"/>
      <c r="CO629" s="293"/>
      <c r="CP629" s="293"/>
      <c r="CQ629" s="293"/>
      <c r="CR629" s="293"/>
      <c r="CS629" s="293"/>
      <c r="CT629" s="293"/>
      <c r="CU629" s="293"/>
      <c r="CV629" s="293"/>
      <c r="CW629" s="293"/>
      <c r="CX629" s="293"/>
      <c r="CY629" s="293"/>
      <c r="CZ629" s="293"/>
      <c r="DA629" s="293"/>
      <c r="DB629" s="293"/>
      <c r="DC629" s="293"/>
      <c r="DD629" s="293"/>
      <c r="DE629" s="293"/>
      <c r="DF629" s="293"/>
      <c r="DG629" s="293"/>
      <c r="DH629" s="293"/>
      <c r="DI629" s="293"/>
      <c r="DJ629" s="293"/>
      <c r="DK629" s="293"/>
      <c r="DL629" s="293"/>
      <c r="DM629" s="293"/>
      <c r="DN629" s="293"/>
      <c r="DO629" s="293"/>
      <c r="DP629" s="293"/>
      <c r="DQ629" s="293"/>
      <c r="DR629" s="293"/>
      <c r="DS629" s="293"/>
      <c r="DT629" s="293"/>
      <c r="DU629" s="293"/>
      <c r="DV629" s="293"/>
      <c r="DW629" s="293"/>
      <c r="DX629" s="293"/>
      <c r="DY629" s="293"/>
      <c r="DZ629" s="293"/>
      <c r="EA629" s="293"/>
      <c r="EB629" s="293"/>
      <c r="EC629" s="293"/>
      <c r="ED629" s="293"/>
      <c r="EE629" s="293"/>
      <c r="EF629" s="293"/>
      <c r="EG629" s="293"/>
      <c r="EH629" s="293"/>
      <c r="EI629" s="293"/>
      <c r="EJ629" s="293"/>
      <c r="EK629" s="293"/>
      <c r="EL629" s="293"/>
      <c r="EM629" s="293"/>
      <c r="EN629" s="293"/>
      <c r="EO629" s="293"/>
      <c r="EP629" s="293"/>
      <c r="EQ629" s="293"/>
      <c r="ER629" s="293"/>
      <c r="ES629" s="293"/>
      <c r="ET629" s="293"/>
      <c r="EU629" s="293"/>
      <c r="JW629"/>
    </row>
    <row r="630" spans="1:283">
      <c r="CK630" s="103" t="s">
        <v>1217</v>
      </c>
      <c r="CO630" s="103" t="s">
        <v>1217</v>
      </c>
      <c r="CR630" s="103"/>
      <c r="CS630" s="103"/>
      <c r="CT630" s="103"/>
      <c r="CV630" s="103"/>
      <c r="CW630" s="103"/>
      <c r="CX630" s="103"/>
      <c r="CZ630" s="103"/>
      <c r="DA630" s="103"/>
      <c r="DB630" s="103"/>
      <c r="DD630" s="103"/>
      <c r="DE630" s="103"/>
      <c r="DF630" s="103"/>
      <c r="DH630" s="103"/>
      <c r="DI630" s="103"/>
      <c r="DJ630" s="103"/>
      <c r="DL630" s="103"/>
      <c r="DM630" s="103"/>
      <c r="DN630" s="103"/>
      <c r="DP630" s="103"/>
      <c r="DQ630" s="103"/>
      <c r="DR630" s="103"/>
    </row>
    <row r="631" spans="1:283" s="289" customFormat="1">
      <c r="A631" s="815" t="s">
        <v>621</v>
      </c>
      <c r="AN631" s="290"/>
      <c r="AO631" s="290"/>
      <c r="AP631" s="290"/>
      <c r="AQ631" s="290"/>
      <c r="AR631" s="290"/>
      <c r="AS631" s="290"/>
      <c r="AT631" s="290"/>
      <c r="AU631" s="290"/>
      <c r="AV631" s="290"/>
      <c r="AW631" s="290"/>
      <c r="AX631" s="290"/>
      <c r="AY631" s="290"/>
      <c r="AZ631" s="290"/>
      <c r="BA631" s="290"/>
      <c r="BB631" s="290"/>
      <c r="BC631" s="290"/>
      <c r="BD631" s="290"/>
      <c r="BE631" s="290"/>
      <c r="BF631" s="290"/>
      <c r="BG631" s="290"/>
      <c r="BH631" s="290"/>
      <c r="BI631" s="290"/>
      <c r="BJ631" s="290"/>
      <c r="BK631" s="103"/>
      <c r="BL631" s="290"/>
      <c r="BM631" s="290"/>
      <c r="BN631" s="290"/>
      <c r="BO631" s="290"/>
      <c r="BP631" s="290"/>
      <c r="BQ631" s="290"/>
      <c r="BR631" s="290"/>
      <c r="BS631" s="290"/>
      <c r="BT631" s="290"/>
      <c r="BU631" s="290"/>
      <c r="BV631" s="290"/>
      <c r="BW631" s="290"/>
      <c r="BX631" s="290"/>
      <c r="BY631" s="290"/>
      <c r="BZ631" s="290"/>
      <c r="CA631" s="290"/>
      <c r="CB631" s="290"/>
      <c r="CC631" s="290"/>
      <c r="CD631" s="290"/>
      <c r="CE631" s="290"/>
      <c r="CF631" s="290"/>
      <c r="CG631" s="290"/>
      <c r="CH631" s="290"/>
      <c r="CI631" s="290"/>
      <c r="CJ631" s="290"/>
      <c r="CK631" s="290"/>
      <c r="CL631" s="290"/>
      <c r="CM631" s="290"/>
      <c r="CN631" s="1424"/>
      <c r="CO631" s="1424"/>
      <c r="CP631" s="1424"/>
      <c r="CQ631" s="1424"/>
      <c r="CR631" s="1424"/>
      <c r="CS631" s="290"/>
      <c r="CT631" s="290"/>
      <c r="CU631" s="290"/>
      <c r="CV631" s="290"/>
      <c r="CW631" s="290"/>
      <c r="CX631" s="290"/>
      <c r="CY631" s="290"/>
      <c r="CZ631" s="290"/>
      <c r="DA631" s="290"/>
      <c r="DB631" s="290"/>
      <c r="DC631" s="290"/>
      <c r="DD631" s="290"/>
      <c r="DE631" s="290"/>
      <c r="DF631" s="290"/>
      <c r="DG631" s="290"/>
      <c r="DH631" s="290"/>
      <c r="DI631" s="290"/>
      <c r="DJ631" s="290"/>
      <c r="DK631" s="290"/>
      <c r="DL631" s="290"/>
      <c r="DM631" s="290"/>
      <c r="DN631" s="290"/>
      <c r="DO631" s="290"/>
      <c r="DP631" s="290"/>
      <c r="DQ631" s="290"/>
      <c r="DR631" s="290"/>
      <c r="DS631" s="290"/>
      <c r="DT631" s="290"/>
      <c r="DU631" s="290"/>
      <c r="DV631" s="290"/>
      <c r="DW631" s="290"/>
      <c r="DX631" s="290"/>
      <c r="DY631" s="290"/>
      <c r="DZ631" s="290"/>
      <c r="EA631" s="290"/>
      <c r="EB631" s="290"/>
      <c r="EC631" s="290"/>
      <c r="ED631" s="290"/>
      <c r="EE631" s="290"/>
      <c r="EF631" s="290"/>
      <c r="EG631" s="290"/>
      <c r="EH631" s="290"/>
      <c r="EI631" s="290"/>
      <c r="EJ631" s="290"/>
      <c r="EK631" s="290"/>
      <c r="EL631" s="290"/>
      <c r="EM631" s="290"/>
      <c r="EN631" s="290"/>
      <c r="EO631" s="290"/>
      <c r="EP631" s="290"/>
      <c r="EQ631" s="290"/>
      <c r="ER631" s="290"/>
      <c r="ES631" s="290"/>
      <c r="ET631" s="290"/>
      <c r="EU631" s="290"/>
      <c r="JW631"/>
    </row>
    <row r="632" spans="1:283">
      <c r="A632" s="102" t="s">
        <v>657</v>
      </c>
      <c r="AP632" s="1219"/>
      <c r="AR632" s="730"/>
      <c r="AS632" s="730"/>
      <c r="AT632" s="1219">
        <v>-2</v>
      </c>
      <c r="AV632" s="730">
        <v>0</v>
      </c>
      <c r="AW632" s="730">
        <v>2</v>
      </c>
      <c r="AX632" s="293">
        <f t="shared" ref="AX632:AX645" si="1694">AV632+AW632</f>
        <v>2</v>
      </c>
      <c r="AZ632" s="730">
        <v>2</v>
      </c>
      <c r="BA632" s="730">
        <v>1</v>
      </c>
      <c r="BB632" s="293">
        <f t="shared" ref="BB632:BB645" si="1695">AZ632+BA632</f>
        <v>3</v>
      </c>
      <c r="BD632" s="626">
        <v>1</v>
      </c>
      <c r="BE632" s="927">
        <v>0</v>
      </c>
      <c r="BF632" s="293">
        <f t="shared" ref="BF632:BF645" si="1696">BD632+BE632</f>
        <v>1</v>
      </c>
      <c r="BH632" s="626">
        <v>4</v>
      </c>
      <c r="BI632" s="927">
        <v>-2</v>
      </c>
      <c r="BJ632" s="293">
        <f t="shared" ref="BJ632:BJ645" si="1697">BH632+BI632</f>
        <v>2</v>
      </c>
      <c r="BK632" s="487"/>
      <c r="BL632" s="626">
        <v>1</v>
      </c>
      <c r="BM632" s="927">
        <v>49</v>
      </c>
      <c r="BN632" s="293">
        <f t="shared" ref="BN632:BN645" si="1698">BL632+BM632</f>
        <v>50</v>
      </c>
      <c r="BP632" s="626">
        <v>4</v>
      </c>
      <c r="BQ632" s="927">
        <v>1</v>
      </c>
      <c r="BR632" s="293">
        <f t="shared" ref="BR632:BR645" si="1699">BP632+BQ632</f>
        <v>5</v>
      </c>
      <c r="BT632" s="626">
        <v>0</v>
      </c>
      <c r="BU632" s="927">
        <v>0</v>
      </c>
      <c r="BV632" s="293">
        <f t="shared" ref="BV632:BV645" si="1700">BT632+BU632</f>
        <v>0</v>
      </c>
      <c r="BX632" s="626">
        <v>0</v>
      </c>
      <c r="BY632" s="626">
        <v>0</v>
      </c>
      <c r="BZ632" s="293">
        <f t="shared" ref="BZ632:BZ645" si="1701">BX632+BY632</f>
        <v>0</v>
      </c>
      <c r="CB632" s="626">
        <v>0</v>
      </c>
      <c r="CC632" s="626">
        <v>0</v>
      </c>
      <c r="CD632" s="293">
        <f t="shared" ref="CD632:CD645" si="1702">CB632+CC632</f>
        <v>0</v>
      </c>
      <c r="CF632" s="626">
        <v>0</v>
      </c>
      <c r="CG632" s="626">
        <v>0</v>
      </c>
      <c r="CH632" s="293">
        <f t="shared" ref="CH632:CH645" si="1703">CF632+CG632</f>
        <v>0</v>
      </c>
      <c r="CJ632" s="626">
        <v>0</v>
      </c>
      <c r="CK632" s="626">
        <v>0</v>
      </c>
      <c r="CL632" s="293">
        <f t="shared" ref="CL632:CL645" si="1704">CJ632+CK632</f>
        <v>0</v>
      </c>
      <c r="CN632" s="1388">
        <v>0</v>
      </c>
      <c r="CO632" s="1388">
        <v>0</v>
      </c>
      <c r="CP632" s="1010">
        <f t="shared" ref="CP632:CP645" si="1705">CN632+CO632</f>
        <v>0</v>
      </c>
      <c r="CQ632" s="1009"/>
      <c r="CR632" s="1388">
        <v>0</v>
      </c>
      <c r="CS632" s="1497">
        <v>0</v>
      </c>
      <c r="CT632" s="293">
        <f t="shared" ref="CT632:CT645" si="1706">CR632+CS632</f>
        <v>0</v>
      </c>
      <c r="CV632" s="1388">
        <v>0</v>
      </c>
      <c r="CW632" s="1488">
        <v>0</v>
      </c>
      <c r="CX632" s="1010">
        <f t="shared" ref="CX632:CX645" si="1707">CV632+CW632</f>
        <v>0</v>
      </c>
      <c r="CY632" s="1009"/>
      <c r="CZ632" s="1863">
        <v>0</v>
      </c>
      <c r="DA632" s="1488">
        <v>0</v>
      </c>
      <c r="DB632" s="1010">
        <f t="shared" ref="DB632:DB645" si="1708">CZ632+DA632</f>
        <v>0</v>
      </c>
      <c r="DC632" s="1009"/>
      <c r="DD632" s="1863">
        <v>0</v>
      </c>
      <c r="DE632" s="1497">
        <v>0</v>
      </c>
      <c r="DF632" s="1010">
        <f t="shared" ref="DF632:DF645" si="1709">DD632+DE632</f>
        <v>0</v>
      </c>
      <c r="DH632" s="1863">
        <v>0</v>
      </c>
      <c r="DI632" s="818">
        <f>'P&amp;L'!DI499</f>
        <v>0</v>
      </c>
      <c r="DJ632" s="293">
        <f t="shared" ref="DJ632:DJ645" si="1710">DH632+DI632</f>
        <v>0</v>
      </c>
      <c r="DL632" s="818">
        <f>'P&amp;L'!DL499</f>
        <v>0</v>
      </c>
      <c r="DM632" s="818">
        <f>'P&amp;L'!DM499</f>
        <v>0</v>
      </c>
      <c r="DN632" s="293">
        <f t="shared" ref="DN632:DN645" si="1711">DL632+DM632</f>
        <v>0</v>
      </c>
      <c r="DP632" s="818">
        <f>'P&amp;L'!DP499</f>
        <v>0</v>
      </c>
      <c r="DQ632" s="818">
        <f>'P&amp;L'!DQ499</f>
        <v>0</v>
      </c>
      <c r="DR632" s="293">
        <f t="shared" ref="DR632:DR645" si="1712">DP632+DQ632</f>
        <v>0</v>
      </c>
      <c r="DW632" s="818"/>
      <c r="DX632" s="818"/>
      <c r="DY632" s="818"/>
      <c r="EA632" s="818"/>
      <c r="EB632" s="818"/>
      <c r="EC632" s="293"/>
      <c r="EE632" s="818"/>
      <c r="EF632" s="818"/>
      <c r="EG632" s="293"/>
      <c r="EI632" s="818"/>
      <c r="EJ632" s="818"/>
      <c r="EK632" s="293"/>
    </row>
    <row r="633" spans="1:283">
      <c r="A633" s="102" t="s">
        <v>674</v>
      </c>
      <c r="AP633" s="1219"/>
      <c r="AR633" s="730"/>
      <c r="AS633" s="730"/>
      <c r="AT633" s="1219">
        <v>0</v>
      </c>
      <c r="AV633" s="730">
        <v>0</v>
      </c>
      <c r="AW633" s="730">
        <v>0</v>
      </c>
      <c r="AX633" s="293">
        <f t="shared" si="1694"/>
        <v>0</v>
      </c>
      <c r="AZ633" s="730">
        <v>0</v>
      </c>
      <c r="BA633" s="730">
        <v>0</v>
      </c>
      <c r="BB633" s="293">
        <f t="shared" si="1695"/>
        <v>0</v>
      </c>
      <c r="BD633" s="626">
        <v>0</v>
      </c>
      <c r="BE633" s="927">
        <v>0</v>
      </c>
      <c r="BF633" s="293">
        <f t="shared" si="1696"/>
        <v>0</v>
      </c>
      <c r="BH633" s="626">
        <v>0</v>
      </c>
      <c r="BI633" s="626">
        <v>0</v>
      </c>
      <c r="BJ633" s="293">
        <f t="shared" si="1697"/>
        <v>0</v>
      </c>
      <c r="BK633" s="487"/>
      <c r="BL633" s="626">
        <v>0</v>
      </c>
      <c r="BM633" s="626">
        <v>0</v>
      </c>
      <c r="BN633" s="293">
        <f t="shared" si="1698"/>
        <v>0</v>
      </c>
      <c r="BP633" s="626">
        <v>0</v>
      </c>
      <c r="BQ633" s="626">
        <v>0</v>
      </c>
      <c r="BR633" s="293">
        <f t="shared" si="1699"/>
        <v>0</v>
      </c>
      <c r="BT633" s="626">
        <v>0</v>
      </c>
      <c r="BU633" s="626">
        <v>0</v>
      </c>
      <c r="BV633" s="293">
        <f t="shared" si="1700"/>
        <v>0</v>
      </c>
      <c r="BX633" s="626">
        <v>0</v>
      </c>
      <c r="BY633" s="626">
        <v>0</v>
      </c>
      <c r="BZ633" s="293">
        <f t="shared" si="1701"/>
        <v>0</v>
      </c>
      <c r="CB633" s="626">
        <v>0</v>
      </c>
      <c r="CC633" s="626">
        <v>0</v>
      </c>
      <c r="CD633" s="293">
        <f t="shared" si="1702"/>
        <v>0</v>
      </c>
      <c r="CF633" s="626">
        <v>0</v>
      </c>
      <c r="CG633" s="626">
        <v>0</v>
      </c>
      <c r="CH633" s="293">
        <f t="shared" si="1703"/>
        <v>0</v>
      </c>
      <c r="CJ633" s="626">
        <v>0</v>
      </c>
      <c r="CK633" s="626">
        <v>0</v>
      </c>
      <c r="CL633" s="293">
        <f t="shared" si="1704"/>
        <v>0</v>
      </c>
      <c r="CN633" s="1388">
        <v>0</v>
      </c>
      <c r="CO633" s="1388">
        <v>0</v>
      </c>
      <c r="CP633" s="1010">
        <f t="shared" si="1705"/>
        <v>0</v>
      </c>
      <c r="CQ633" s="1009"/>
      <c r="CR633" s="1388">
        <v>0</v>
      </c>
      <c r="CS633" s="1497">
        <v>0</v>
      </c>
      <c r="CT633" s="293">
        <f t="shared" si="1706"/>
        <v>0</v>
      </c>
      <c r="CV633" s="1388">
        <v>0</v>
      </c>
      <c r="CW633" s="1488">
        <v>0</v>
      </c>
      <c r="CX633" s="1010">
        <f t="shared" si="1707"/>
        <v>0</v>
      </c>
      <c r="CY633" s="1009"/>
      <c r="CZ633" s="1863">
        <v>0</v>
      </c>
      <c r="DA633" s="1488">
        <v>0</v>
      </c>
      <c r="DB633" s="1010">
        <f t="shared" si="1708"/>
        <v>0</v>
      </c>
      <c r="DC633" s="1009"/>
      <c r="DD633" s="1863">
        <v>0</v>
      </c>
      <c r="DE633" s="1497">
        <v>0</v>
      </c>
      <c r="DF633" s="1010">
        <f t="shared" si="1709"/>
        <v>0</v>
      </c>
      <c r="DH633" s="1863">
        <v>0</v>
      </c>
      <c r="DI633" s="818">
        <f>'P&amp;L'!DI510</f>
        <v>0</v>
      </c>
      <c r="DJ633" s="293">
        <f t="shared" si="1710"/>
        <v>0</v>
      </c>
      <c r="DL633" s="818">
        <f>'P&amp;L'!DL510</f>
        <v>0</v>
      </c>
      <c r="DM633" s="818">
        <f>'P&amp;L'!DM510</f>
        <v>0</v>
      </c>
      <c r="DN633" s="293">
        <f t="shared" si="1711"/>
        <v>0</v>
      </c>
      <c r="DP633" s="818">
        <f>'P&amp;L'!DP510</f>
        <v>0</v>
      </c>
      <c r="DQ633" s="818">
        <f>'P&amp;L'!DQ510</f>
        <v>0</v>
      </c>
      <c r="DR633" s="293">
        <f t="shared" si="1712"/>
        <v>0</v>
      </c>
      <c r="DW633" s="818"/>
      <c r="DX633" s="818"/>
      <c r="DY633" s="818"/>
      <c r="EA633" s="818"/>
      <c r="EB633" s="818"/>
      <c r="EC633" s="293"/>
      <c r="EE633" s="818"/>
      <c r="EF633" s="818"/>
      <c r="EG633" s="293"/>
      <c r="EI633" s="818"/>
      <c r="EJ633" s="818"/>
      <c r="EK633" s="293"/>
    </row>
    <row r="634" spans="1:283">
      <c r="A634" s="102" t="s">
        <v>659</v>
      </c>
      <c r="AP634" s="1219"/>
      <c r="AR634" s="730"/>
      <c r="AS634" s="730"/>
      <c r="AT634" s="1219">
        <v>-214</v>
      </c>
      <c r="AV634" s="730">
        <v>-1</v>
      </c>
      <c r="AW634" s="730">
        <v>-4</v>
      </c>
      <c r="AX634" s="293">
        <f t="shared" si="1694"/>
        <v>-5</v>
      </c>
      <c r="AZ634" s="730">
        <v>-5</v>
      </c>
      <c r="BA634" s="730">
        <v>-4</v>
      </c>
      <c r="BB634" s="293">
        <f t="shared" si="1695"/>
        <v>-9</v>
      </c>
      <c r="BD634" s="626">
        <v>-1</v>
      </c>
      <c r="BE634" s="927">
        <v>-4</v>
      </c>
      <c r="BF634" s="293">
        <f t="shared" si="1696"/>
        <v>-5</v>
      </c>
      <c r="BH634" s="626">
        <v>-4</v>
      </c>
      <c r="BI634" s="927">
        <v>-2</v>
      </c>
      <c r="BJ634" s="293">
        <f t="shared" si="1697"/>
        <v>-6</v>
      </c>
      <c r="BK634" s="487"/>
      <c r="BL634" s="626">
        <v>0</v>
      </c>
      <c r="BM634" s="626">
        <v>0</v>
      </c>
      <c r="BN634" s="293">
        <f t="shared" si="1698"/>
        <v>0</v>
      </c>
      <c r="BP634" s="626">
        <v>1</v>
      </c>
      <c r="BQ634" s="626">
        <v>-4</v>
      </c>
      <c r="BR634" s="293">
        <f t="shared" si="1699"/>
        <v>-3</v>
      </c>
      <c r="BT634" s="626">
        <v>-2</v>
      </c>
      <c r="BU634" s="626">
        <v>-6</v>
      </c>
      <c r="BV634" s="293">
        <f t="shared" si="1700"/>
        <v>-8</v>
      </c>
      <c r="BX634" s="626">
        <v>-46</v>
      </c>
      <c r="BY634" s="626">
        <v>-7</v>
      </c>
      <c r="BZ634" s="293">
        <f t="shared" si="1701"/>
        <v>-53</v>
      </c>
      <c r="CA634" s="817">
        <f>+BZ634/BV634-1</f>
        <v>5.625</v>
      </c>
      <c r="CB634" s="626">
        <v>0</v>
      </c>
      <c r="CC634" s="626">
        <v>0</v>
      </c>
      <c r="CD634" s="293">
        <f t="shared" si="1702"/>
        <v>0</v>
      </c>
      <c r="CE634" s="817"/>
      <c r="CF634" s="626">
        <v>0</v>
      </c>
      <c r="CG634" s="626">
        <v>-15</v>
      </c>
      <c r="CH634" s="293">
        <f t="shared" si="1703"/>
        <v>-15</v>
      </c>
      <c r="CI634" s="817"/>
      <c r="CJ634" s="626">
        <v>0</v>
      </c>
      <c r="CK634" s="626">
        <v>0</v>
      </c>
      <c r="CL634" s="293">
        <f t="shared" si="1704"/>
        <v>0</v>
      </c>
      <c r="CN634" s="1388">
        <v>0</v>
      </c>
      <c r="CO634" s="1388">
        <v>0</v>
      </c>
      <c r="CP634" s="1010">
        <f t="shared" si="1705"/>
        <v>0</v>
      </c>
      <c r="CQ634" s="1009"/>
      <c r="CR634" s="1388">
        <v>0</v>
      </c>
      <c r="CS634" s="1497">
        <v>0</v>
      </c>
      <c r="CT634" s="293">
        <f t="shared" si="1706"/>
        <v>0</v>
      </c>
      <c r="CV634" s="1388">
        <v>0</v>
      </c>
      <c r="CW634" s="1488">
        <v>0</v>
      </c>
      <c r="CX634" s="1010">
        <f t="shared" si="1707"/>
        <v>0</v>
      </c>
      <c r="CY634" s="1009"/>
      <c r="CZ634" s="1863">
        <v>0</v>
      </c>
      <c r="DA634" s="1488">
        <v>0</v>
      </c>
      <c r="DB634" s="1010">
        <f t="shared" si="1708"/>
        <v>0</v>
      </c>
      <c r="DC634" s="1009"/>
      <c r="DD634" s="1863">
        <v>0</v>
      </c>
      <c r="DE634" s="1497">
        <v>0</v>
      </c>
      <c r="DF634" s="1010">
        <f t="shared" si="1709"/>
        <v>0</v>
      </c>
      <c r="DH634" s="1863">
        <v>0</v>
      </c>
      <c r="DI634" s="818">
        <f>'P&amp;L'!DI521</f>
        <v>0</v>
      </c>
      <c r="DJ634" s="293">
        <f t="shared" si="1710"/>
        <v>0</v>
      </c>
      <c r="DL634" s="818">
        <f>'P&amp;L'!DL521</f>
        <v>0</v>
      </c>
      <c r="DM634" s="818">
        <f>'P&amp;L'!DM521</f>
        <v>0</v>
      </c>
      <c r="DN634" s="293">
        <f t="shared" si="1711"/>
        <v>0</v>
      </c>
      <c r="DP634" s="818">
        <f>'P&amp;L'!DP521</f>
        <v>0</v>
      </c>
      <c r="DQ634" s="818">
        <f>'P&amp;L'!DQ521</f>
        <v>0</v>
      </c>
      <c r="DR634" s="293">
        <f t="shared" si="1712"/>
        <v>0</v>
      </c>
      <c r="DW634" s="818"/>
      <c r="DX634" s="818"/>
      <c r="DY634" s="818"/>
      <c r="EA634" s="818"/>
      <c r="EB634" s="818"/>
      <c r="EC634" s="293"/>
      <c r="EE634" s="818"/>
      <c r="EF634" s="818"/>
      <c r="EG634" s="293"/>
      <c r="EI634" s="818"/>
      <c r="EJ634" s="818"/>
      <c r="EK634" s="293"/>
    </row>
    <row r="635" spans="1:283">
      <c r="A635" s="102" t="s">
        <v>660</v>
      </c>
      <c r="AP635" s="1219"/>
      <c r="AR635" s="730"/>
      <c r="AS635" s="730"/>
      <c r="AT635" s="1219">
        <v>-2</v>
      </c>
      <c r="AV635" s="730">
        <v>-2</v>
      </c>
      <c r="AW635" s="730">
        <v>-1</v>
      </c>
      <c r="AX635" s="293">
        <f t="shared" si="1694"/>
        <v>-3</v>
      </c>
      <c r="AZ635" s="730">
        <v>-2</v>
      </c>
      <c r="BA635" s="730">
        <v>-3</v>
      </c>
      <c r="BB635" s="293">
        <f t="shared" si="1695"/>
        <v>-5</v>
      </c>
      <c r="BD635" s="626">
        <v>0</v>
      </c>
      <c r="BE635" s="927">
        <v>0</v>
      </c>
      <c r="BF635" s="293">
        <f t="shared" si="1696"/>
        <v>0</v>
      </c>
      <c r="BH635" s="626">
        <v>0</v>
      </c>
      <c r="BI635" s="626">
        <v>0</v>
      </c>
      <c r="BJ635" s="293">
        <f t="shared" si="1697"/>
        <v>0</v>
      </c>
      <c r="BK635" s="487"/>
      <c r="BL635" s="626">
        <v>0</v>
      </c>
      <c r="BM635" s="626">
        <v>0</v>
      </c>
      <c r="BN635" s="293">
        <f t="shared" si="1698"/>
        <v>0</v>
      </c>
      <c r="BP635" s="626">
        <v>0</v>
      </c>
      <c r="BQ635" s="626">
        <v>0</v>
      </c>
      <c r="BR635" s="293">
        <f t="shared" si="1699"/>
        <v>0</v>
      </c>
      <c r="BT635" s="626">
        <v>0</v>
      </c>
      <c r="BU635" s="626">
        <v>0</v>
      </c>
      <c r="BV635" s="293">
        <f t="shared" si="1700"/>
        <v>0</v>
      </c>
      <c r="BX635" s="626">
        <v>0</v>
      </c>
      <c r="BY635" s="626">
        <v>0</v>
      </c>
      <c r="BZ635" s="293">
        <f t="shared" si="1701"/>
        <v>0</v>
      </c>
      <c r="CB635" s="626">
        <v>0</v>
      </c>
      <c r="CC635" s="626">
        <v>0</v>
      </c>
      <c r="CD635" s="293">
        <f t="shared" si="1702"/>
        <v>0</v>
      </c>
      <c r="CF635" s="626">
        <v>0</v>
      </c>
      <c r="CG635" s="626">
        <v>0</v>
      </c>
      <c r="CH635" s="293">
        <f t="shared" si="1703"/>
        <v>0</v>
      </c>
      <c r="CJ635" s="626">
        <v>0</v>
      </c>
      <c r="CK635" s="626">
        <v>0</v>
      </c>
      <c r="CL635" s="293">
        <f t="shared" si="1704"/>
        <v>0</v>
      </c>
      <c r="CN635" s="1388">
        <v>0</v>
      </c>
      <c r="CO635" s="1388">
        <v>0</v>
      </c>
      <c r="CP635" s="1010">
        <f t="shared" si="1705"/>
        <v>0</v>
      </c>
      <c r="CQ635" s="1009"/>
      <c r="CR635" s="1388">
        <v>0</v>
      </c>
      <c r="CS635" s="1497">
        <v>0</v>
      </c>
      <c r="CT635" s="293">
        <f t="shared" si="1706"/>
        <v>0</v>
      </c>
      <c r="CV635" s="1388">
        <v>0</v>
      </c>
      <c r="CW635" s="1488">
        <v>0</v>
      </c>
      <c r="CX635" s="1010">
        <f t="shared" si="1707"/>
        <v>0</v>
      </c>
      <c r="CY635" s="1009"/>
      <c r="CZ635" s="1863">
        <v>0</v>
      </c>
      <c r="DA635" s="1488">
        <v>0</v>
      </c>
      <c r="DB635" s="1010">
        <f t="shared" si="1708"/>
        <v>0</v>
      </c>
      <c r="DC635" s="1009"/>
      <c r="DD635" s="1863">
        <v>0</v>
      </c>
      <c r="DE635" s="1497">
        <v>0</v>
      </c>
      <c r="DF635" s="1010">
        <f t="shared" si="1709"/>
        <v>0</v>
      </c>
      <c r="DH635" s="1863">
        <v>0</v>
      </c>
      <c r="DI635" s="818">
        <f>'P&amp;L'!DI532</f>
        <v>0</v>
      </c>
      <c r="DJ635" s="293">
        <f t="shared" si="1710"/>
        <v>0</v>
      </c>
      <c r="DL635" s="818">
        <f>'P&amp;L'!DL532</f>
        <v>0</v>
      </c>
      <c r="DM635" s="818">
        <f>'P&amp;L'!DM532</f>
        <v>0</v>
      </c>
      <c r="DN635" s="293">
        <f t="shared" si="1711"/>
        <v>0</v>
      </c>
      <c r="DP635" s="818">
        <f>'P&amp;L'!DP532</f>
        <v>0</v>
      </c>
      <c r="DQ635" s="818">
        <f>'P&amp;L'!DQ532</f>
        <v>0</v>
      </c>
      <c r="DR635" s="293">
        <f t="shared" si="1712"/>
        <v>0</v>
      </c>
      <c r="DW635" s="818"/>
      <c r="DX635" s="818"/>
      <c r="DY635" s="818"/>
      <c r="EA635" s="818"/>
      <c r="EB635" s="818"/>
      <c r="EC635" s="293"/>
      <c r="EE635" s="818"/>
      <c r="EF635" s="818"/>
      <c r="EG635" s="293"/>
      <c r="EI635" s="818"/>
      <c r="EJ635" s="818"/>
      <c r="EK635" s="293"/>
    </row>
    <row r="636" spans="1:283">
      <c r="A636" s="102" t="s">
        <v>661</v>
      </c>
      <c r="AP636" s="1219"/>
      <c r="AR636" s="730"/>
      <c r="AS636" s="730"/>
      <c r="AT636" s="1219">
        <v>57</v>
      </c>
      <c r="AV636" s="730">
        <v>0</v>
      </c>
      <c r="AW636" s="730">
        <v>4</v>
      </c>
      <c r="AX636" s="293">
        <f t="shared" si="1694"/>
        <v>4</v>
      </c>
      <c r="AZ636" s="730">
        <v>1</v>
      </c>
      <c r="BA636" s="730">
        <v>23</v>
      </c>
      <c r="BB636" s="293">
        <f t="shared" si="1695"/>
        <v>24</v>
      </c>
      <c r="BD636" s="626">
        <v>0</v>
      </c>
      <c r="BE636" s="927">
        <v>0</v>
      </c>
      <c r="BF636" s="293">
        <f t="shared" si="1696"/>
        <v>0</v>
      </c>
      <c r="BH636" s="626">
        <v>0</v>
      </c>
      <c r="BI636" s="626">
        <v>0</v>
      </c>
      <c r="BJ636" s="293">
        <f t="shared" si="1697"/>
        <v>0</v>
      </c>
      <c r="BK636" s="487"/>
      <c r="BL636" s="626">
        <v>0</v>
      </c>
      <c r="BM636" s="626">
        <v>0</v>
      </c>
      <c r="BN636" s="293">
        <f t="shared" si="1698"/>
        <v>0</v>
      </c>
      <c r="BP636" s="626">
        <v>0</v>
      </c>
      <c r="BQ636" s="626">
        <v>0</v>
      </c>
      <c r="BR636" s="293">
        <f t="shared" si="1699"/>
        <v>0</v>
      </c>
      <c r="BT636" s="626">
        <v>0</v>
      </c>
      <c r="BU636" s="626">
        <v>0</v>
      </c>
      <c r="BV636" s="293">
        <f t="shared" si="1700"/>
        <v>0</v>
      </c>
      <c r="BX636" s="626">
        <v>192</v>
      </c>
      <c r="BY636" s="626">
        <v>0</v>
      </c>
      <c r="BZ636" s="293">
        <f t="shared" si="1701"/>
        <v>192</v>
      </c>
      <c r="CB636" s="626">
        <v>0</v>
      </c>
      <c r="CC636" s="626">
        <v>-8</v>
      </c>
      <c r="CD636" s="293">
        <f t="shared" si="1702"/>
        <v>-8</v>
      </c>
      <c r="CF636" s="626">
        <v>0</v>
      </c>
      <c r="CG636" s="626">
        <v>0</v>
      </c>
      <c r="CH636" s="293">
        <f t="shared" si="1703"/>
        <v>0</v>
      </c>
      <c r="CJ636" s="626">
        <v>0</v>
      </c>
      <c r="CK636" s="626">
        <v>0</v>
      </c>
      <c r="CL636" s="293">
        <f t="shared" si="1704"/>
        <v>0</v>
      </c>
      <c r="CN636" s="1388">
        <v>0</v>
      </c>
      <c r="CO636" s="1388">
        <v>0</v>
      </c>
      <c r="CP636" s="1010">
        <f t="shared" si="1705"/>
        <v>0</v>
      </c>
      <c r="CQ636" s="1009"/>
      <c r="CR636" s="1388">
        <v>0</v>
      </c>
      <c r="CS636" s="1497">
        <v>0</v>
      </c>
      <c r="CT636" s="293">
        <f t="shared" si="1706"/>
        <v>0</v>
      </c>
      <c r="CV636" s="1388">
        <v>0</v>
      </c>
      <c r="CW636" s="1488">
        <v>0</v>
      </c>
      <c r="CX636" s="1010">
        <f t="shared" si="1707"/>
        <v>0</v>
      </c>
      <c r="CY636" s="1009"/>
      <c r="CZ636" s="1863">
        <v>0</v>
      </c>
      <c r="DA636" s="1488">
        <v>0</v>
      </c>
      <c r="DB636" s="1010">
        <f t="shared" si="1708"/>
        <v>0</v>
      </c>
      <c r="DC636" s="1009"/>
      <c r="DD636" s="1863">
        <v>0</v>
      </c>
      <c r="DE636" s="1497">
        <v>0</v>
      </c>
      <c r="DF636" s="1010">
        <f t="shared" si="1709"/>
        <v>0</v>
      </c>
      <c r="DH636" s="1863">
        <v>0</v>
      </c>
      <c r="DI636" s="818">
        <f>'P&amp;L'!DI543</f>
        <v>0</v>
      </c>
      <c r="DJ636" s="293">
        <f t="shared" si="1710"/>
        <v>0</v>
      </c>
      <c r="DL636" s="818">
        <f>'P&amp;L'!DL543</f>
        <v>0</v>
      </c>
      <c r="DM636" s="818">
        <f>'P&amp;L'!DM543</f>
        <v>0</v>
      </c>
      <c r="DN636" s="293">
        <f t="shared" si="1711"/>
        <v>0</v>
      </c>
      <c r="DP636" s="818">
        <f>'P&amp;L'!DP543</f>
        <v>0</v>
      </c>
      <c r="DQ636" s="818">
        <f>'P&amp;L'!DQ543</f>
        <v>0</v>
      </c>
      <c r="DR636" s="293">
        <f t="shared" si="1712"/>
        <v>0</v>
      </c>
      <c r="DW636" s="818"/>
      <c r="DX636" s="818"/>
      <c r="DY636" s="818"/>
      <c r="EA636" s="818"/>
      <c r="EB636" s="818"/>
      <c r="EC636" s="293"/>
      <c r="EE636" s="818"/>
      <c r="EF636" s="818"/>
      <c r="EG636" s="293"/>
      <c r="EI636" s="818"/>
      <c r="EJ636" s="818"/>
      <c r="EK636" s="293"/>
    </row>
    <row r="637" spans="1:283">
      <c r="A637" s="102" t="s">
        <v>662</v>
      </c>
      <c r="AP637" s="1219"/>
      <c r="AR637" s="730"/>
      <c r="AS637" s="730"/>
      <c r="AT637" s="1219">
        <v>0</v>
      </c>
      <c r="AV637" s="730">
        <v>0</v>
      </c>
      <c r="AW637" s="730">
        <v>0</v>
      </c>
      <c r="AX637" s="293">
        <f t="shared" si="1694"/>
        <v>0</v>
      </c>
      <c r="AZ637" s="730">
        <v>0</v>
      </c>
      <c r="BA637" s="730">
        <v>0</v>
      </c>
      <c r="BB637" s="293">
        <f t="shared" si="1695"/>
        <v>0</v>
      </c>
      <c r="BD637" s="626">
        <v>0</v>
      </c>
      <c r="BE637" s="927">
        <v>0</v>
      </c>
      <c r="BF637" s="293">
        <f t="shared" si="1696"/>
        <v>0</v>
      </c>
      <c r="BH637" s="626">
        <v>0</v>
      </c>
      <c r="BI637" s="626">
        <v>0</v>
      </c>
      <c r="BJ637" s="293">
        <f t="shared" si="1697"/>
        <v>0</v>
      </c>
      <c r="BK637" s="487"/>
      <c r="BL637" s="626">
        <v>0</v>
      </c>
      <c r="BM637" s="626">
        <v>0</v>
      </c>
      <c r="BN637" s="293">
        <f t="shared" si="1698"/>
        <v>0</v>
      </c>
      <c r="BP637" s="626">
        <v>0</v>
      </c>
      <c r="BQ637" s="626">
        <v>0</v>
      </c>
      <c r="BR637" s="293">
        <f t="shared" si="1699"/>
        <v>0</v>
      </c>
      <c r="BT637" s="626">
        <v>0</v>
      </c>
      <c r="BU637" s="626">
        <v>0</v>
      </c>
      <c r="BV637" s="293">
        <f t="shared" si="1700"/>
        <v>0</v>
      </c>
      <c r="BX637" s="626">
        <v>0</v>
      </c>
      <c r="BY637" s="626">
        <v>0</v>
      </c>
      <c r="BZ637" s="293">
        <f t="shared" si="1701"/>
        <v>0</v>
      </c>
      <c r="CB637" s="626">
        <v>0</v>
      </c>
      <c r="CC637" s="626">
        <v>0</v>
      </c>
      <c r="CD637" s="293">
        <f t="shared" si="1702"/>
        <v>0</v>
      </c>
      <c r="CF637" s="626">
        <v>0</v>
      </c>
      <c r="CG637" s="626">
        <v>0</v>
      </c>
      <c r="CH637" s="293">
        <f t="shared" si="1703"/>
        <v>0</v>
      </c>
      <c r="CJ637" s="626">
        <v>0</v>
      </c>
      <c r="CK637" s="626">
        <v>0</v>
      </c>
      <c r="CL637" s="293">
        <f t="shared" si="1704"/>
        <v>0</v>
      </c>
      <c r="CN637" s="1388">
        <v>0</v>
      </c>
      <c r="CO637" s="1388">
        <v>0</v>
      </c>
      <c r="CP637" s="1010">
        <f t="shared" si="1705"/>
        <v>0</v>
      </c>
      <c r="CQ637" s="1009"/>
      <c r="CR637" s="1388">
        <v>0</v>
      </c>
      <c r="CS637" s="1497">
        <v>0</v>
      </c>
      <c r="CT637" s="293">
        <f t="shared" si="1706"/>
        <v>0</v>
      </c>
      <c r="CV637" s="1388">
        <v>0</v>
      </c>
      <c r="CW637" s="1488">
        <v>0</v>
      </c>
      <c r="CX637" s="1010">
        <f t="shared" si="1707"/>
        <v>0</v>
      </c>
      <c r="CY637" s="1009"/>
      <c r="CZ637" s="1863">
        <v>0</v>
      </c>
      <c r="DA637" s="1488">
        <v>0</v>
      </c>
      <c r="DB637" s="1010">
        <f t="shared" si="1708"/>
        <v>0</v>
      </c>
      <c r="DC637" s="1009"/>
      <c r="DD637" s="1863">
        <v>0</v>
      </c>
      <c r="DE637" s="1497">
        <v>0</v>
      </c>
      <c r="DF637" s="1010">
        <f t="shared" si="1709"/>
        <v>0</v>
      </c>
      <c r="DH637" s="1863">
        <v>0</v>
      </c>
      <c r="DI637" s="818">
        <f>'P&amp;L'!DI554</f>
        <v>0</v>
      </c>
      <c r="DJ637" s="293">
        <f t="shared" si="1710"/>
        <v>0</v>
      </c>
      <c r="DL637" s="818">
        <f>'P&amp;L'!DL554</f>
        <v>0</v>
      </c>
      <c r="DM637" s="818">
        <f>'P&amp;L'!DM554</f>
        <v>0</v>
      </c>
      <c r="DN637" s="293">
        <f t="shared" si="1711"/>
        <v>0</v>
      </c>
      <c r="DP637" s="818">
        <f>'P&amp;L'!DP554</f>
        <v>0</v>
      </c>
      <c r="DQ637" s="818">
        <f>'P&amp;L'!DQ554</f>
        <v>0</v>
      </c>
      <c r="DR637" s="293">
        <f t="shared" si="1712"/>
        <v>0</v>
      </c>
      <c r="DW637" s="818"/>
      <c r="DX637" s="818"/>
      <c r="DY637" s="818"/>
      <c r="EA637" s="818"/>
      <c r="EB637" s="818"/>
      <c r="EC637" s="293"/>
      <c r="EE637" s="818"/>
      <c r="EF637" s="818"/>
      <c r="EG637" s="293"/>
      <c r="EI637" s="818"/>
      <c r="EJ637" s="818"/>
      <c r="EK637" s="293"/>
    </row>
    <row r="638" spans="1:283">
      <c r="A638" s="102" t="s">
        <v>658</v>
      </c>
      <c r="AP638" s="1219"/>
      <c r="AR638" s="730"/>
      <c r="AS638" s="730"/>
      <c r="AT638" s="1219">
        <v>0</v>
      </c>
      <c r="AV638" s="730">
        <v>0</v>
      </c>
      <c r="AW638" s="730">
        <v>0</v>
      </c>
      <c r="AX638" s="293">
        <f t="shared" si="1694"/>
        <v>0</v>
      </c>
      <c r="AZ638" s="730">
        <v>1</v>
      </c>
      <c r="BA638" s="730">
        <v>17</v>
      </c>
      <c r="BB638" s="293">
        <f t="shared" si="1695"/>
        <v>18</v>
      </c>
      <c r="BD638" s="626">
        <v>0</v>
      </c>
      <c r="BE638" s="927">
        <v>0</v>
      </c>
      <c r="BF638" s="293">
        <f t="shared" si="1696"/>
        <v>0</v>
      </c>
      <c r="BH638" s="626">
        <v>0</v>
      </c>
      <c r="BI638" s="626">
        <v>0</v>
      </c>
      <c r="BJ638" s="293">
        <f t="shared" si="1697"/>
        <v>0</v>
      </c>
      <c r="BK638" s="487"/>
      <c r="BL638" s="626">
        <v>0</v>
      </c>
      <c r="BM638" s="626">
        <v>0</v>
      </c>
      <c r="BN638" s="293">
        <f t="shared" si="1698"/>
        <v>0</v>
      </c>
      <c r="BP638" s="626">
        <v>0</v>
      </c>
      <c r="BQ638" s="626">
        <v>0</v>
      </c>
      <c r="BR638" s="293">
        <f t="shared" si="1699"/>
        <v>0</v>
      </c>
      <c r="BT638" s="626">
        <v>0</v>
      </c>
      <c r="BU638" s="626">
        <v>0</v>
      </c>
      <c r="BV638" s="293">
        <f t="shared" si="1700"/>
        <v>0</v>
      </c>
      <c r="BX638" s="626">
        <v>0</v>
      </c>
      <c r="BY638" s="626">
        <v>0</v>
      </c>
      <c r="BZ638" s="293">
        <f t="shared" si="1701"/>
        <v>0</v>
      </c>
      <c r="CB638" s="626">
        <v>0</v>
      </c>
      <c r="CC638" s="626">
        <v>0</v>
      </c>
      <c r="CD638" s="293">
        <f t="shared" si="1702"/>
        <v>0</v>
      </c>
      <c r="CF638" s="626">
        <v>0</v>
      </c>
      <c r="CG638" s="626">
        <v>0</v>
      </c>
      <c r="CH638" s="293">
        <f t="shared" si="1703"/>
        <v>0</v>
      </c>
      <c r="CJ638" s="626">
        <v>0</v>
      </c>
      <c r="CK638" s="626">
        <v>0</v>
      </c>
      <c r="CL638" s="293">
        <f t="shared" si="1704"/>
        <v>0</v>
      </c>
      <c r="CN638" s="1388">
        <v>0</v>
      </c>
      <c r="CO638" s="1388">
        <v>0</v>
      </c>
      <c r="CP638" s="1010">
        <f t="shared" si="1705"/>
        <v>0</v>
      </c>
      <c r="CQ638" s="1009"/>
      <c r="CR638" s="1388">
        <v>0</v>
      </c>
      <c r="CS638" s="1497">
        <v>0</v>
      </c>
      <c r="CT638" s="293">
        <f t="shared" si="1706"/>
        <v>0</v>
      </c>
      <c r="CV638" s="1388">
        <v>0</v>
      </c>
      <c r="CW638" s="1488">
        <v>0</v>
      </c>
      <c r="CX638" s="1010">
        <f t="shared" si="1707"/>
        <v>0</v>
      </c>
      <c r="CY638" s="1009"/>
      <c r="CZ638" s="1863">
        <v>0</v>
      </c>
      <c r="DA638" s="1488">
        <v>0</v>
      </c>
      <c r="DB638" s="1010">
        <f t="shared" si="1708"/>
        <v>0</v>
      </c>
      <c r="DC638" s="1009"/>
      <c r="DD638" s="1863">
        <v>0</v>
      </c>
      <c r="DE638" s="1497">
        <v>0</v>
      </c>
      <c r="DF638" s="1010">
        <f t="shared" si="1709"/>
        <v>0</v>
      </c>
      <c r="DH638" s="1863">
        <v>0</v>
      </c>
      <c r="DI638" s="818">
        <f>'P&amp;L'!DI565</f>
        <v>0</v>
      </c>
      <c r="DJ638" s="293">
        <f t="shared" si="1710"/>
        <v>0</v>
      </c>
      <c r="DL638" s="818">
        <f>'P&amp;L'!DL565</f>
        <v>0</v>
      </c>
      <c r="DM638" s="818">
        <f>'P&amp;L'!DM565</f>
        <v>0</v>
      </c>
      <c r="DN638" s="293">
        <f t="shared" si="1711"/>
        <v>0</v>
      </c>
      <c r="DP638" s="818">
        <f>'P&amp;L'!DP565</f>
        <v>0</v>
      </c>
      <c r="DQ638" s="818">
        <f>'P&amp;L'!DQ565</f>
        <v>0</v>
      </c>
      <c r="DR638" s="293">
        <f t="shared" si="1712"/>
        <v>0</v>
      </c>
      <c r="DW638" s="818"/>
      <c r="DX638" s="818"/>
      <c r="DY638" s="818"/>
      <c r="EA638" s="818"/>
      <c r="EB638" s="818"/>
      <c r="EC638" s="293"/>
      <c r="EE638" s="818"/>
      <c r="EF638" s="818"/>
      <c r="EG638" s="293"/>
      <c r="EI638" s="818"/>
      <c r="EJ638" s="818"/>
      <c r="EK638" s="293"/>
    </row>
    <row r="639" spans="1:283">
      <c r="A639" s="102" t="s">
        <v>887</v>
      </c>
      <c r="AP639" s="1219"/>
      <c r="AR639" s="730"/>
      <c r="AS639" s="730"/>
      <c r="AT639" s="1219">
        <v>0</v>
      </c>
      <c r="AV639" s="730">
        <v>0</v>
      </c>
      <c r="AW639" s="730">
        <v>0</v>
      </c>
      <c r="AX639" s="293">
        <f t="shared" si="1694"/>
        <v>0</v>
      </c>
      <c r="AZ639" s="730">
        <v>0</v>
      </c>
      <c r="BA639" s="730">
        <v>0</v>
      </c>
      <c r="BB639" s="293">
        <f t="shared" si="1695"/>
        <v>0</v>
      </c>
      <c r="BD639" s="626">
        <v>0</v>
      </c>
      <c r="BE639" s="927">
        <v>0</v>
      </c>
      <c r="BF639" s="293">
        <f t="shared" si="1696"/>
        <v>0</v>
      </c>
      <c r="BH639" s="626">
        <v>0</v>
      </c>
      <c r="BI639" s="626">
        <v>0</v>
      </c>
      <c r="BJ639" s="293">
        <f t="shared" si="1697"/>
        <v>0</v>
      </c>
      <c r="BK639" s="487"/>
      <c r="BL639" s="626">
        <v>0</v>
      </c>
      <c r="BM639" s="626">
        <v>0</v>
      </c>
      <c r="BN639" s="293">
        <f t="shared" si="1698"/>
        <v>0</v>
      </c>
      <c r="BP639" s="626">
        <v>0</v>
      </c>
      <c r="BQ639" s="626">
        <v>0</v>
      </c>
      <c r="BR639" s="293">
        <f t="shared" si="1699"/>
        <v>0</v>
      </c>
      <c r="BT639" s="626">
        <v>0</v>
      </c>
      <c r="BU639" s="626">
        <v>0</v>
      </c>
      <c r="BV639" s="293">
        <f t="shared" si="1700"/>
        <v>0</v>
      </c>
      <c r="BX639" s="626">
        <v>0</v>
      </c>
      <c r="BY639" s="626">
        <v>0</v>
      </c>
      <c r="BZ639" s="293">
        <f t="shared" si="1701"/>
        <v>0</v>
      </c>
      <c r="CB639" s="626">
        <v>0</v>
      </c>
      <c r="CC639" s="626">
        <v>0</v>
      </c>
      <c r="CD639" s="293">
        <f t="shared" si="1702"/>
        <v>0</v>
      </c>
      <c r="CF639" s="626">
        <v>0</v>
      </c>
      <c r="CG639" s="626">
        <v>0</v>
      </c>
      <c r="CH639" s="293">
        <f t="shared" si="1703"/>
        <v>0</v>
      </c>
      <c r="CJ639" s="626">
        <v>0</v>
      </c>
      <c r="CK639" s="626">
        <v>0</v>
      </c>
      <c r="CL639" s="293">
        <f t="shared" si="1704"/>
        <v>0</v>
      </c>
      <c r="CN639" s="1388">
        <v>0</v>
      </c>
      <c r="CO639" s="1388">
        <v>0</v>
      </c>
      <c r="CP639" s="1010">
        <f t="shared" si="1705"/>
        <v>0</v>
      </c>
      <c r="CQ639" s="1009"/>
      <c r="CR639" s="1388">
        <v>0</v>
      </c>
      <c r="CS639" s="1497">
        <v>0</v>
      </c>
      <c r="CT639" s="293">
        <f t="shared" si="1706"/>
        <v>0</v>
      </c>
      <c r="CV639" s="1388">
        <v>0</v>
      </c>
      <c r="CW639" s="1488">
        <v>0</v>
      </c>
      <c r="CX639" s="1010">
        <f t="shared" si="1707"/>
        <v>0</v>
      </c>
      <c r="CY639" s="1009"/>
      <c r="CZ639" s="1863">
        <v>0</v>
      </c>
      <c r="DA639" s="1488">
        <v>0</v>
      </c>
      <c r="DB639" s="1010">
        <f t="shared" si="1708"/>
        <v>0</v>
      </c>
      <c r="DC639" s="1009"/>
      <c r="DD639" s="1863">
        <v>0</v>
      </c>
      <c r="DE639" s="1497">
        <v>0</v>
      </c>
      <c r="DF639" s="1010">
        <f t="shared" si="1709"/>
        <v>0</v>
      </c>
      <c r="DH639" s="1863">
        <v>0</v>
      </c>
      <c r="DI639" s="818">
        <f>'P&amp;L'!DI576</f>
        <v>0</v>
      </c>
      <c r="DJ639" s="293">
        <f t="shared" si="1710"/>
        <v>0</v>
      </c>
      <c r="DL639" s="818">
        <f>'P&amp;L'!DL576</f>
        <v>0</v>
      </c>
      <c r="DM639" s="818">
        <f>'P&amp;L'!DM576</f>
        <v>0</v>
      </c>
      <c r="DN639" s="293">
        <f t="shared" si="1711"/>
        <v>0</v>
      </c>
      <c r="DP639" s="818">
        <f>'P&amp;L'!DP576</f>
        <v>0</v>
      </c>
      <c r="DQ639" s="818">
        <f>'P&amp;L'!DQ576</f>
        <v>0</v>
      </c>
      <c r="DR639" s="293">
        <f t="shared" si="1712"/>
        <v>0</v>
      </c>
      <c r="DW639" s="818"/>
      <c r="DX639" s="818"/>
      <c r="DY639" s="818"/>
      <c r="EA639" s="818"/>
      <c r="EB639" s="818"/>
      <c r="EC639" s="293"/>
      <c r="EE639" s="818"/>
      <c r="EF639" s="818"/>
      <c r="EG639" s="293"/>
      <c r="EI639" s="818"/>
      <c r="EJ639" s="818"/>
      <c r="EK639" s="293"/>
    </row>
    <row r="640" spans="1:283">
      <c r="A640" s="102" t="s">
        <v>667</v>
      </c>
      <c r="AP640" s="1219"/>
      <c r="AR640" s="730"/>
      <c r="AS640" s="730"/>
      <c r="AT640" s="1219">
        <v>0</v>
      </c>
      <c r="AV640" s="730">
        <v>0</v>
      </c>
      <c r="AW640" s="730">
        <v>0</v>
      </c>
      <c r="AX640" s="293">
        <f t="shared" si="1694"/>
        <v>0</v>
      </c>
      <c r="AZ640" s="730">
        <v>0</v>
      </c>
      <c r="BA640" s="730">
        <v>0</v>
      </c>
      <c r="BB640" s="293">
        <f t="shared" si="1695"/>
        <v>0</v>
      </c>
      <c r="BD640" s="626">
        <v>0</v>
      </c>
      <c r="BE640" s="927">
        <v>0</v>
      </c>
      <c r="BF640" s="293">
        <f t="shared" si="1696"/>
        <v>0</v>
      </c>
      <c r="BH640" s="626">
        <v>0</v>
      </c>
      <c r="BI640" s="626">
        <v>0</v>
      </c>
      <c r="BJ640" s="293">
        <f t="shared" si="1697"/>
        <v>0</v>
      </c>
      <c r="BK640" s="487"/>
      <c r="BL640" s="626">
        <v>0</v>
      </c>
      <c r="BM640" s="626">
        <v>0</v>
      </c>
      <c r="BN640" s="293">
        <f t="shared" si="1698"/>
        <v>0</v>
      </c>
      <c r="BP640" s="626">
        <v>0</v>
      </c>
      <c r="BQ640" s="626">
        <v>0</v>
      </c>
      <c r="BR640" s="293">
        <f t="shared" si="1699"/>
        <v>0</v>
      </c>
      <c r="BT640" s="626">
        <v>0</v>
      </c>
      <c r="BU640" s="626">
        <v>0</v>
      </c>
      <c r="BV640" s="293">
        <f t="shared" si="1700"/>
        <v>0</v>
      </c>
      <c r="BX640" s="626">
        <v>0</v>
      </c>
      <c r="BY640" s="626">
        <v>0</v>
      </c>
      <c r="BZ640" s="293">
        <f t="shared" si="1701"/>
        <v>0</v>
      </c>
      <c r="CB640" s="626">
        <v>0</v>
      </c>
      <c r="CC640" s="626">
        <v>0</v>
      </c>
      <c r="CD640" s="293">
        <f t="shared" si="1702"/>
        <v>0</v>
      </c>
      <c r="CF640" s="626">
        <v>0</v>
      </c>
      <c r="CG640" s="626">
        <v>0</v>
      </c>
      <c r="CH640" s="293">
        <f t="shared" si="1703"/>
        <v>0</v>
      </c>
      <c r="CJ640" s="626">
        <v>0</v>
      </c>
      <c r="CK640" s="626">
        <v>0</v>
      </c>
      <c r="CL640" s="293">
        <f t="shared" si="1704"/>
        <v>0</v>
      </c>
      <c r="CN640" s="1388">
        <v>0</v>
      </c>
      <c r="CO640" s="1388">
        <v>0</v>
      </c>
      <c r="CP640" s="1010">
        <f t="shared" si="1705"/>
        <v>0</v>
      </c>
      <c r="CQ640" s="1009"/>
      <c r="CR640" s="1388">
        <v>0</v>
      </c>
      <c r="CS640" s="1497">
        <v>0</v>
      </c>
      <c r="CT640" s="293">
        <f t="shared" si="1706"/>
        <v>0</v>
      </c>
      <c r="CV640" s="1388">
        <v>0</v>
      </c>
      <c r="CW640" s="1488">
        <v>0</v>
      </c>
      <c r="CX640" s="1010">
        <f t="shared" si="1707"/>
        <v>0</v>
      </c>
      <c r="CY640" s="1009"/>
      <c r="CZ640" s="1863">
        <v>0</v>
      </c>
      <c r="DA640" s="1488">
        <v>0</v>
      </c>
      <c r="DB640" s="1010">
        <f t="shared" si="1708"/>
        <v>0</v>
      </c>
      <c r="DC640" s="1009"/>
      <c r="DD640" s="1863">
        <v>0</v>
      </c>
      <c r="DE640" s="1497">
        <v>0</v>
      </c>
      <c r="DF640" s="1010">
        <f t="shared" si="1709"/>
        <v>0</v>
      </c>
      <c r="DH640" s="1863">
        <v>0</v>
      </c>
      <c r="DI640" s="818">
        <f>'P&amp;L'!DI587</f>
        <v>0</v>
      </c>
      <c r="DJ640" s="293">
        <f t="shared" si="1710"/>
        <v>0</v>
      </c>
      <c r="DL640" s="818">
        <f>'P&amp;L'!DL587</f>
        <v>0</v>
      </c>
      <c r="DM640" s="818">
        <f>'P&amp;L'!DM587</f>
        <v>0</v>
      </c>
      <c r="DN640" s="293">
        <f t="shared" si="1711"/>
        <v>0</v>
      </c>
      <c r="DP640" s="818">
        <f>'P&amp;L'!DP587</f>
        <v>0</v>
      </c>
      <c r="DQ640" s="818">
        <f>'P&amp;L'!DQ587</f>
        <v>0</v>
      </c>
      <c r="DR640" s="293">
        <f t="shared" si="1712"/>
        <v>0</v>
      </c>
      <c r="DW640" s="818"/>
      <c r="DX640" s="818"/>
      <c r="DY640" s="818"/>
      <c r="EA640" s="818"/>
      <c r="EB640" s="818"/>
      <c r="EC640" s="293"/>
      <c r="EE640" s="818"/>
      <c r="EF640" s="818"/>
      <c r="EG640" s="293"/>
      <c r="EI640" s="818"/>
      <c r="EJ640" s="818"/>
      <c r="EK640" s="293"/>
    </row>
    <row r="641" spans="1:283">
      <c r="A641" s="102" t="s">
        <v>675</v>
      </c>
      <c r="AP641" s="1219"/>
      <c r="AR641" s="730"/>
      <c r="AS641" s="730"/>
      <c r="AT641" s="1219">
        <v>0</v>
      </c>
      <c r="AV641" s="730">
        <v>0</v>
      </c>
      <c r="AW641" s="730">
        <v>0</v>
      </c>
      <c r="AX641" s="293">
        <f t="shared" si="1694"/>
        <v>0</v>
      </c>
      <c r="AZ641" s="730">
        <v>0</v>
      </c>
      <c r="BA641" s="730">
        <v>0</v>
      </c>
      <c r="BB641" s="293">
        <f t="shared" si="1695"/>
        <v>0</v>
      </c>
      <c r="BD641" s="626">
        <v>0</v>
      </c>
      <c r="BE641" s="927">
        <v>0</v>
      </c>
      <c r="BF641" s="293">
        <f t="shared" si="1696"/>
        <v>0</v>
      </c>
      <c r="BH641" s="626">
        <v>0</v>
      </c>
      <c r="BI641" s="626">
        <v>0</v>
      </c>
      <c r="BJ641" s="293">
        <f t="shared" si="1697"/>
        <v>0</v>
      </c>
      <c r="BK641" s="487"/>
      <c r="BL641" s="626">
        <v>0</v>
      </c>
      <c r="BM641" s="626">
        <v>0</v>
      </c>
      <c r="BN641" s="293">
        <f t="shared" si="1698"/>
        <v>0</v>
      </c>
      <c r="BP641" s="626">
        <v>0</v>
      </c>
      <c r="BQ641" s="626">
        <v>0</v>
      </c>
      <c r="BR641" s="293">
        <f t="shared" si="1699"/>
        <v>0</v>
      </c>
      <c r="BT641" s="626">
        <v>0</v>
      </c>
      <c r="BU641" s="626">
        <v>0</v>
      </c>
      <c r="BV641" s="293">
        <f t="shared" si="1700"/>
        <v>0</v>
      </c>
      <c r="BX641" s="626">
        <v>0</v>
      </c>
      <c r="BY641" s="626">
        <v>0</v>
      </c>
      <c r="BZ641" s="293">
        <f t="shared" si="1701"/>
        <v>0</v>
      </c>
      <c r="CB641" s="626">
        <v>0</v>
      </c>
      <c r="CC641" s="626">
        <v>0</v>
      </c>
      <c r="CD641" s="293">
        <f t="shared" si="1702"/>
        <v>0</v>
      </c>
      <c r="CF641" s="626">
        <v>0</v>
      </c>
      <c r="CG641" s="626">
        <v>0</v>
      </c>
      <c r="CH641" s="293">
        <f t="shared" si="1703"/>
        <v>0</v>
      </c>
      <c r="CJ641" s="626">
        <v>0</v>
      </c>
      <c r="CK641" s="626">
        <v>0</v>
      </c>
      <c r="CL641" s="293">
        <f t="shared" si="1704"/>
        <v>0</v>
      </c>
      <c r="CN641" s="1388">
        <v>0</v>
      </c>
      <c r="CO641" s="1388">
        <v>0</v>
      </c>
      <c r="CP641" s="1010">
        <f t="shared" si="1705"/>
        <v>0</v>
      </c>
      <c r="CQ641" s="1009"/>
      <c r="CR641" s="1388">
        <v>0</v>
      </c>
      <c r="CS641" s="1497">
        <v>0</v>
      </c>
      <c r="CT641" s="293">
        <f t="shared" si="1706"/>
        <v>0</v>
      </c>
      <c r="CV641" s="1388">
        <v>0</v>
      </c>
      <c r="CW641" s="1488">
        <v>0</v>
      </c>
      <c r="CX641" s="1010">
        <f t="shared" si="1707"/>
        <v>0</v>
      </c>
      <c r="CY641" s="1009"/>
      <c r="CZ641" s="1863">
        <v>0</v>
      </c>
      <c r="DA641" s="1488">
        <v>0</v>
      </c>
      <c r="DB641" s="1010">
        <f t="shared" si="1708"/>
        <v>0</v>
      </c>
      <c r="DC641" s="1009"/>
      <c r="DD641" s="1863">
        <v>0</v>
      </c>
      <c r="DE641" s="1497">
        <v>0</v>
      </c>
      <c r="DF641" s="1010">
        <f t="shared" si="1709"/>
        <v>0</v>
      </c>
      <c r="DH641" s="1863">
        <v>0</v>
      </c>
      <c r="DI641" s="818">
        <f>'P&amp;L'!DI598</f>
        <v>0</v>
      </c>
      <c r="DJ641" s="293">
        <f t="shared" si="1710"/>
        <v>0</v>
      </c>
      <c r="DL641" s="818">
        <f>'P&amp;L'!DL598</f>
        <v>0</v>
      </c>
      <c r="DM641" s="818">
        <f>'P&amp;L'!DM598</f>
        <v>0</v>
      </c>
      <c r="DN641" s="293">
        <f t="shared" si="1711"/>
        <v>0</v>
      </c>
      <c r="DP641" s="818">
        <f>'P&amp;L'!DP598</f>
        <v>0</v>
      </c>
      <c r="DQ641" s="818">
        <f>'P&amp;L'!DQ598</f>
        <v>0</v>
      </c>
      <c r="DR641" s="293">
        <f t="shared" si="1712"/>
        <v>0</v>
      </c>
      <c r="DW641" s="818"/>
      <c r="DX641" s="818"/>
      <c r="DY641" s="818"/>
      <c r="EA641" s="818"/>
      <c r="EB641" s="818"/>
      <c r="EC641" s="293"/>
      <c r="EE641" s="818"/>
      <c r="EF641" s="818"/>
      <c r="EG641" s="293"/>
      <c r="EI641" s="818"/>
      <c r="EJ641" s="818"/>
      <c r="EK641" s="293"/>
    </row>
    <row r="642" spans="1:283">
      <c r="A642" s="102" t="s">
        <v>1154</v>
      </c>
      <c r="AP642" s="1219">
        <v>-26</v>
      </c>
      <c r="AR642" s="730"/>
      <c r="AS642" s="730"/>
      <c r="AT642" s="1219">
        <v>-96</v>
      </c>
      <c r="AV642" s="730">
        <v>-29</v>
      </c>
      <c r="AW642" s="730">
        <v>-16</v>
      </c>
      <c r="AX642" s="293">
        <f t="shared" si="1694"/>
        <v>-45</v>
      </c>
      <c r="AZ642" s="730">
        <v>-15</v>
      </c>
      <c r="BA642" s="730">
        <v>-22</v>
      </c>
      <c r="BB642" s="293">
        <f t="shared" si="1695"/>
        <v>-37</v>
      </c>
      <c r="BD642" s="626">
        <v>-19</v>
      </c>
      <c r="BE642" s="927">
        <v>-14</v>
      </c>
      <c r="BF642" s="293">
        <f t="shared" si="1696"/>
        <v>-33</v>
      </c>
      <c r="BH642" s="626">
        <v>-22</v>
      </c>
      <c r="BI642" s="927">
        <v>-15</v>
      </c>
      <c r="BJ642" s="293">
        <f t="shared" si="1697"/>
        <v>-37</v>
      </c>
      <c r="BK642" s="487"/>
      <c r="BL642" s="626">
        <v>-23</v>
      </c>
      <c r="BM642" s="927">
        <v>-24</v>
      </c>
      <c r="BN642" s="293">
        <f t="shared" si="1698"/>
        <v>-47</v>
      </c>
      <c r="BP642" s="626">
        <v>-14</v>
      </c>
      <c r="BQ642" s="927">
        <v>-16</v>
      </c>
      <c r="BR642" s="293">
        <f t="shared" si="1699"/>
        <v>-30</v>
      </c>
      <c r="BT642" s="626">
        <v>-12</v>
      </c>
      <c r="BU642" s="927">
        <v>-23</v>
      </c>
      <c r="BV642" s="293">
        <f t="shared" si="1700"/>
        <v>-35</v>
      </c>
      <c r="BX642" s="626">
        <v>-32</v>
      </c>
      <c r="BY642" s="626">
        <v>-6</v>
      </c>
      <c r="BZ642" s="293">
        <f t="shared" si="1701"/>
        <v>-38</v>
      </c>
      <c r="CB642" s="626">
        <v>-34</v>
      </c>
      <c r="CC642" s="626">
        <v>-33</v>
      </c>
      <c r="CD642" s="293">
        <f t="shared" si="1702"/>
        <v>-67</v>
      </c>
      <c r="CF642" s="626">
        <v>-28</v>
      </c>
      <c r="CG642" s="626">
        <v>-39</v>
      </c>
      <c r="CH642" s="293">
        <f t="shared" si="1703"/>
        <v>-67</v>
      </c>
      <c r="CI642" s="817">
        <f>+CH642/CD642-1</f>
        <v>0</v>
      </c>
      <c r="CJ642" s="626">
        <v>-42</v>
      </c>
      <c r="CK642" s="626">
        <v>-106</v>
      </c>
      <c r="CL642" s="293">
        <f t="shared" si="1704"/>
        <v>-148</v>
      </c>
      <c r="CN642" s="1388">
        <v>-78</v>
      </c>
      <c r="CO642" s="1388">
        <v>-37</v>
      </c>
      <c r="CP642" s="1010">
        <f t="shared" si="1705"/>
        <v>-115</v>
      </c>
      <c r="CQ642" s="1009"/>
      <c r="CR642" s="1388">
        <v>-31</v>
      </c>
      <c r="CS642" s="1497">
        <v>53</v>
      </c>
      <c r="CT642" s="293">
        <f t="shared" si="1706"/>
        <v>22</v>
      </c>
      <c r="CV642" s="1388">
        <v>-9</v>
      </c>
      <c r="CW642" s="1488">
        <v>-25</v>
      </c>
      <c r="CX642" s="1010">
        <f t="shared" si="1707"/>
        <v>-34</v>
      </c>
      <c r="CY642" s="1009"/>
      <c r="CZ642" s="1863">
        <v>-23</v>
      </c>
      <c r="DA642" s="1488">
        <v>38</v>
      </c>
      <c r="DB642" s="1010">
        <f t="shared" si="1708"/>
        <v>15</v>
      </c>
      <c r="DC642" s="1009"/>
      <c r="DD642" s="1863">
        <v>-21</v>
      </c>
      <c r="DE642" s="2176">
        <v>-24</v>
      </c>
      <c r="DF642" s="1010">
        <f t="shared" si="1709"/>
        <v>-45</v>
      </c>
      <c r="DH642" s="1863">
        <v>-24</v>
      </c>
      <c r="DI642" s="818">
        <f>'P&amp;L'!DI609</f>
        <v>-31</v>
      </c>
      <c r="DJ642" s="293">
        <f t="shared" si="1710"/>
        <v>-55</v>
      </c>
      <c r="DL642" s="818">
        <f>'P&amp;L'!DL609</f>
        <v>-30</v>
      </c>
      <c r="DM642" s="818">
        <f>'P&amp;L'!DM609</f>
        <v>-35</v>
      </c>
      <c r="DN642" s="293">
        <f t="shared" si="1711"/>
        <v>-65</v>
      </c>
      <c r="DP642" s="818">
        <f>'P&amp;L'!DP609</f>
        <v>-30</v>
      </c>
      <c r="DQ642" s="818">
        <f>'P&amp;L'!DQ609</f>
        <v>-35</v>
      </c>
      <c r="DR642" s="293">
        <f t="shared" si="1712"/>
        <v>-65</v>
      </c>
      <c r="DW642" s="818"/>
      <c r="DX642" s="818"/>
      <c r="DY642" s="818"/>
      <c r="EA642" s="818"/>
      <c r="EB642" s="818"/>
      <c r="EC642" s="293"/>
      <c r="EE642" s="818"/>
      <c r="EF642" s="818"/>
      <c r="EG642" s="293"/>
      <c r="EI642" s="818"/>
      <c r="EJ642" s="818"/>
      <c r="EK642" s="293"/>
    </row>
    <row r="643" spans="1:283">
      <c r="A643" s="102" t="s">
        <v>827</v>
      </c>
      <c r="AP643" s="1219"/>
      <c r="AR643" s="730"/>
      <c r="AS643" s="730"/>
      <c r="AT643" s="1219">
        <v>0</v>
      </c>
      <c r="AV643" s="730">
        <v>0</v>
      </c>
      <c r="AW643" s="730">
        <v>0</v>
      </c>
      <c r="AX643" s="293">
        <f t="shared" si="1694"/>
        <v>0</v>
      </c>
      <c r="AZ643" s="730">
        <v>0</v>
      </c>
      <c r="BA643" s="730">
        <v>0</v>
      </c>
      <c r="BB643" s="293">
        <f t="shared" si="1695"/>
        <v>0</v>
      </c>
      <c r="BD643" s="730">
        <v>0</v>
      </c>
      <c r="BE643" s="927">
        <v>0</v>
      </c>
      <c r="BF643" s="293">
        <f t="shared" si="1696"/>
        <v>0</v>
      </c>
      <c r="BH643" s="626">
        <v>0</v>
      </c>
      <c r="BI643" s="626">
        <v>0</v>
      </c>
      <c r="BJ643" s="293">
        <f t="shared" si="1697"/>
        <v>0</v>
      </c>
      <c r="BK643" s="487"/>
      <c r="BL643" s="626">
        <v>0</v>
      </c>
      <c r="BM643" s="626">
        <v>0</v>
      </c>
      <c r="BN643" s="293">
        <f t="shared" si="1698"/>
        <v>0</v>
      </c>
      <c r="BP643" s="626">
        <v>0</v>
      </c>
      <c r="BQ643" s="626">
        <v>0</v>
      </c>
      <c r="BR643" s="293">
        <f t="shared" si="1699"/>
        <v>0</v>
      </c>
      <c r="BT643" s="626">
        <v>0</v>
      </c>
      <c r="BU643" s="626">
        <v>0</v>
      </c>
      <c r="BV643" s="293">
        <f t="shared" si="1700"/>
        <v>0</v>
      </c>
      <c r="BX643" s="626">
        <v>0</v>
      </c>
      <c r="BY643" s="626">
        <v>0</v>
      </c>
      <c r="BZ643" s="293">
        <f t="shared" si="1701"/>
        <v>0</v>
      </c>
      <c r="CB643" s="626">
        <v>0</v>
      </c>
      <c r="CC643" s="626">
        <v>0</v>
      </c>
      <c r="CD643" s="293">
        <f t="shared" si="1702"/>
        <v>0</v>
      </c>
      <c r="CF643" s="626">
        <v>0</v>
      </c>
      <c r="CG643" s="626">
        <v>0</v>
      </c>
      <c r="CH643" s="293">
        <f t="shared" si="1703"/>
        <v>0</v>
      </c>
      <c r="CJ643" s="626">
        <v>0</v>
      </c>
      <c r="CK643" s="626">
        <v>0</v>
      </c>
      <c r="CL643" s="293">
        <f t="shared" si="1704"/>
        <v>0</v>
      </c>
      <c r="CN643" s="1388">
        <v>0</v>
      </c>
      <c r="CO643" s="1388">
        <v>0</v>
      </c>
      <c r="CP643" s="1010">
        <f t="shared" si="1705"/>
        <v>0</v>
      </c>
      <c r="CQ643" s="1009"/>
      <c r="CR643" s="1388">
        <v>0</v>
      </c>
      <c r="CS643" s="1497">
        <v>0</v>
      </c>
      <c r="CT643" s="293">
        <f t="shared" si="1706"/>
        <v>0</v>
      </c>
      <c r="CV643" s="1388">
        <v>0</v>
      </c>
      <c r="CW643" s="1488">
        <v>0</v>
      </c>
      <c r="CX643" s="1010">
        <f t="shared" si="1707"/>
        <v>0</v>
      </c>
      <c r="CY643" s="1009"/>
      <c r="CZ643" s="1863">
        <v>0</v>
      </c>
      <c r="DA643" s="1488">
        <v>0</v>
      </c>
      <c r="DB643" s="1010">
        <f t="shared" si="1708"/>
        <v>0</v>
      </c>
      <c r="DC643" s="1009"/>
      <c r="DD643" s="1863">
        <v>0</v>
      </c>
      <c r="DE643" s="1497">
        <v>0</v>
      </c>
      <c r="DF643" s="1010">
        <f t="shared" si="1709"/>
        <v>0</v>
      </c>
      <c r="DH643" s="1863">
        <v>0</v>
      </c>
      <c r="DI643" s="818">
        <f>'P&amp;L'!DI631</f>
        <v>0</v>
      </c>
      <c r="DJ643" s="293">
        <f t="shared" si="1710"/>
        <v>0</v>
      </c>
      <c r="DL643" s="818">
        <f>'P&amp;L'!DL631</f>
        <v>0</v>
      </c>
      <c r="DM643" s="818">
        <f>'P&amp;L'!DM631</f>
        <v>0</v>
      </c>
      <c r="DN643" s="293">
        <f t="shared" si="1711"/>
        <v>0</v>
      </c>
      <c r="DP643" s="818">
        <f>'P&amp;L'!DP631</f>
        <v>0</v>
      </c>
      <c r="DQ643" s="818">
        <f>'P&amp;L'!DQ631</f>
        <v>0</v>
      </c>
      <c r="DR643" s="293">
        <f t="shared" si="1712"/>
        <v>0</v>
      </c>
      <c r="DW643" s="818"/>
      <c r="DX643" s="818"/>
      <c r="DY643" s="818"/>
      <c r="EA643" s="818"/>
      <c r="EB643" s="818"/>
      <c r="EC643" s="293"/>
      <c r="EE643" s="818"/>
      <c r="EF643" s="818"/>
      <c r="EG643" s="293"/>
      <c r="EI643" s="818"/>
      <c r="EJ643" s="818"/>
      <c r="EK643" s="293"/>
    </row>
    <row r="644" spans="1:283">
      <c r="A644" s="102" t="s">
        <v>828</v>
      </c>
      <c r="AP644" s="1219"/>
      <c r="AR644" s="730"/>
      <c r="AS644" s="730"/>
      <c r="AT644" s="1219">
        <v>0</v>
      </c>
      <c r="AV644" s="730">
        <v>0</v>
      </c>
      <c r="AW644" s="730">
        <v>0</v>
      </c>
      <c r="AX644" s="293">
        <f t="shared" si="1694"/>
        <v>0</v>
      </c>
      <c r="AZ644" s="730">
        <v>0</v>
      </c>
      <c r="BA644" s="730">
        <v>0</v>
      </c>
      <c r="BB644" s="293">
        <f t="shared" si="1695"/>
        <v>0</v>
      </c>
      <c r="BD644" s="730">
        <v>0</v>
      </c>
      <c r="BE644" s="927">
        <v>0</v>
      </c>
      <c r="BF644" s="293">
        <f t="shared" si="1696"/>
        <v>0</v>
      </c>
      <c r="BH644" s="626">
        <v>0</v>
      </c>
      <c r="BI644" s="626">
        <v>0</v>
      </c>
      <c r="BJ644" s="293">
        <f t="shared" si="1697"/>
        <v>0</v>
      </c>
      <c r="BK644" s="487"/>
      <c r="BL644" s="626">
        <v>0</v>
      </c>
      <c r="BM644" s="626">
        <v>0</v>
      </c>
      <c r="BN644" s="293">
        <f t="shared" si="1698"/>
        <v>0</v>
      </c>
      <c r="BP644" s="626">
        <v>0</v>
      </c>
      <c r="BQ644" s="626">
        <v>0</v>
      </c>
      <c r="BR644" s="293">
        <f t="shared" si="1699"/>
        <v>0</v>
      </c>
      <c r="BT644" s="626">
        <v>0</v>
      </c>
      <c r="BU644" s="626">
        <v>0</v>
      </c>
      <c r="BV644" s="293">
        <f t="shared" si="1700"/>
        <v>0</v>
      </c>
      <c r="BX644" s="626">
        <v>0</v>
      </c>
      <c r="BY644" s="626">
        <v>0</v>
      </c>
      <c r="BZ644" s="293">
        <f t="shared" si="1701"/>
        <v>0</v>
      </c>
      <c r="CB644" s="626">
        <v>0</v>
      </c>
      <c r="CC644" s="626">
        <v>0</v>
      </c>
      <c r="CD644" s="293">
        <f t="shared" si="1702"/>
        <v>0</v>
      </c>
      <c r="CF644" s="626">
        <v>0</v>
      </c>
      <c r="CG644" s="626">
        <v>0</v>
      </c>
      <c r="CH644" s="293">
        <f t="shared" si="1703"/>
        <v>0</v>
      </c>
      <c r="CJ644" s="626">
        <v>0</v>
      </c>
      <c r="CK644" s="626">
        <v>0</v>
      </c>
      <c r="CL644" s="293">
        <f t="shared" si="1704"/>
        <v>0</v>
      </c>
      <c r="CN644" s="1388">
        <v>0</v>
      </c>
      <c r="CO644" s="1388">
        <v>0</v>
      </c>
      <c r="CP644" s="1010">
        <f t="shared" si="1705"/>
        <v>0</v>
      </c>
      <c r="CQ644" s="1009"/>
      <c r="CR644" s="1388">
        <v>0</v>
      </c>
      <c r="CS644" s="1497">
        <v>0</v>
      </c>
      <c r="CT644" s="293">
        <f t="shared" si="1706"/>
        <v>0</v>
      </c>
      <c r="CV644" s="1388">
        <v>0</v>
      </c>
      <c r="CW644" s="1488">
        <v>0</v>
      </c>
      <c r="CX644" s="1010">
        <f t="shared" si="1707"/>
        <v>0</v>
      </c>
      <c r="CY644" s="1009"/>
      <c r="CZ644" s="1863">
        <v>0</v>
      </c>
      <c r="DA644" s="1488">
        <v>0</v>
      </c>
      <c r="DB644" s="1010">
        <f t="shared" si="1708"/>
        <v>0</v>
      </c>
      <c r="DC644" s="1009"/>
      <c r="DD644" s="1863">
        <v>0</v>
      </c>
      <c r="DE644" s="1497">
        <v>0</v>
      </c>
      <c r="DF644" s="1010">
        <f t="shared" si="1709"/>
        <v>0</v>
      </c>
      <c r="DH644" s="1863">
        <v>0</v>
      </c>
      <c r="DI644" s="818">
        <f>'P&amp;L'!DI620</f>
        <v>0</v>
      </c>
      <c r="DJ644" s="293">
        <f t="shared" si="1710"/>
        <v>0</v>
      </c>
      <c r="DL644" s="818">
        <f>'P&amp;L'!DL620</f>
        <v>0</v>
      </c>
      <c r="DM644" s="818">
        <f>'P&amp;L'!DM620</f>
        <v>0</v>
      </c>
      <c r="DN644" s="293">
        <f t="shared" si="1711"/>
        <v>0</v>
      </c>
      <c r="DP644" s="818">
        <f>'P&amp;L'!DP620</f>
        <v>0</v>
      </c>
      <c r="DQ644" s="818">
        <f>'P&amp;L'!DQ620</f>
        <v>0</v>
      </c>
      <c r="DR644" s="293">
        <f t="shared" si="1712"/>
        <v>0</v>
      </c>
      <c r="DW644" s="818"/>
      <c r="DX644" s="818"/>
      <c r="DY644" s="818"/>
      <c r="EA644" s="818"/>
      <c r="EB644" s="818"/>
      <c r="EC644" s="293"/>
      <c r="EE644" s="818"/>
      <c r="EF644" s="818"/>
      <c r="EG644" s="293"/>
      <c r="EI644" s="818"/>
      <c r="EJ644" s="818"/>
      <c r="EK644" s="293"/>
    </row>
    <row r="645" spans="1:283" s="289" customFormat="1">
      <c r="A645" s="102" t="s">
        <v>663</v>
      </c>
      <c r="AN645" s="290"/>
      <c r="AO645" s="290"/>
      <c r="AP645" s="1219">
        <v>12</v>
      </c>
      <c r="AQ645" s="290"/>
      <c r="AR645" s="730"/>
      <c r="AS645" s="730"/>
      <c r="AT645" s="1219">
        <v>7</v>
      </c>
      <c r="AU645" s="290"/>
      <c r="AV645" s="730">
        <v>3</v>
      </c>
      <c r="AW645" s="730">
        <v>3</v>
      </c>
      <c r="AX645" s="293">
        <f t="shared" si="1694"/>
        <v>6</v>
      </c>
      <c r="AY645" s="290"/>
      <c r="AZ645" s="730">
        <v>11</v>
      </c>
      <c r="BA645" s="730">
        <v>7</v>
      </c>
      <c r="BB645" s="293">
        <f t="shared" si="1695"/>
        <v>18</v>
      </c>
      <c r="BC645" s="290"/>
      <c r="BD645" s="626">
        <v>9</v>
      </c>
      <c r="BE645" s="927">
        <v>6</v>
      </c>
      <c r="BF645" s="293">
        <f t="shared" si="1696"/>
        <v>15</v>
      </c>
      <c r="BG645" s="290"/>
      <c r="BH645" s="626">
        <v>27</v>
      </c>
      <c r="BI645" s="927">
        <v>6</v>
      </c>
      <c r="BJ645" s="293">
        <f t="shared" si="1697"/>
        <v>33</v>
      </c>
      <c r="BK645" s="487"/>
      <c r="BL645" s="626">
        <f>5-2</f>
        <v>3</v>
      </c>
      <c r="BM645" s="927">
        <v>-6</v>
      </c>
      <c r="BN645" s="293">
        <f t="shared" si="1698"/>
        <v>-3</v>
      </c>
      <c r="BO645" s="290"/>
      <c r="BP645" s="626">
        <v>5</v>
      </c>
      <c r="BQ645" s="927">
        <v>5</v>
      </c>
      <c r="BR645" s="293">
        <f t="shared" si="1699"/>
        <v>10</v>
      </c>
      <c r="BS645" s="290"/>
      <c r="BT645" s="626">
        <v>12</v>
      </c>
      <c r="BU645" s="927">
        <v>23</v>
      </c>
      <c r="BV645" s="293">
        <f t="shared" si="1700"/>
        <v>35</v>
      </c>
      <c r="BW645" s="290"/>
      <c r="BX645" s="626">
        <v>9</v>
      </c>
      <c r="BY645" s="626">
        <v>6</v>
      </c>
      <c r="BZ645" s="293">
        <f t="shared" si="1701"/>
        <v>15</v>
      </c>
      <c r="CA645" s="290"/>
      <c r="CB645" s="626">
        <v>9</v>
      </c>
      <c r="CC645" s="626">
        <v>10</v>
      </c>
      <c r="CD645" s="293">
        <f t="shared" si="1702"/>
        <v>19</v>
      </c>
      <c r="CE645" s="290"/>
      <c r="CF645" s="626">
        <v>0</v>
      </c>
      <c r="CG645" s="626">
        <v>21</v>
      </c>
      <c r="CH645" s="293">
        <f t="shared" si="1703"/>
        <v>21</v>
      </c>
      <c r="CI645" s="290"/>
      <c r="CJ645" s="626">
        <v>0</v>
      </c>
      <c r="CK645" s="626">
        <v>8</v>
      </c>
      <c r="CL645" s="293">
        <f t="shared" si="1704"/>
        <v>8</v>
      </c>
      <c r="CM645" s="290"/>
      <c r="CN645" s="1388">
        <v>16</v>
      </c>
      <c r="CO645" s="1388">
        <v>14</v>
      </c>
      <c r="CP645" s="1010">
        <f t="shared" si="1705"/>
        <v>30</v>
      </c>
      <c r="CQ645" s="1424"/>
      <c r="CR645" s="1388">
        <v>1</v>
      </c>
      <c r="CS645" s="1497">
        <v>10</v>
      </c>
      <c r="CT645" s="293">
        <f t="shared" si="1706"/>
        <v>11</v>
      </c>
      <c r="CU645" s="290"/>
      <c r="CV645" s="1863">
        <v>-13</v>
      </c>
      <c r="CW645" s="1488">
        <v>0</v>
      </c>
      <c r="CX645" s="1010">
        <f t="shared" si="1707"/>
        <v>-13</v>
      </c>
      <c r="CY645" s="1424"/>
      <c r="CZ645" s="1863">
        <v>0</v>
      </c>
      <c r="DA645" s="1488">
        <v>-6</v>
      </c>
      <c r="DB645" s="1010">
        <f t="shared" si="1708"/>
        <v>-6</v>
      </c>
      <c r="DC645" s="1424"/>
      <c r="DD645" s="1863">
        <v>-18</v>
      </c>
      <c r="DE645" s="2176">
        <v>-24</v>
      </c>
      <c r="DF645" s="1010">
        <f t="shared" si="1709"/>
        <v>-42</v>
      </c>
      <c r="DG645" s="290"/>
      <c r="DH645" s="1863">
        <v>-4</v>
      </c>
      <c r="DI645" s="818">
        <f>'P&amp;L'!DI642</f>
        <v>-4</v>
      </c>
      <c r="DJ645" s="293">
        <f t="shared" si="1710"/>
        <v>-8</v>
      </c>
      <c r="DK645" s="290"/>
      <c r="DL645" s="818">
        <f>'P&amp;L'!DL642</f>
        <v>-4.12</v>
      </c>
      <c r="DM645" s="818">
        <f>'P&amp;L'!DM642</f>
        <v>-4.2435999999999998</v>
      </c>
      <c r="DN645" s="293">
        <f t="shared" si="1711"/>
        <v>-8.3635999999999999</v>
      </c>
      <c r="DO645" s="290"/>
      <c r="DP645" s="818">
        <f>'P&amp;L'!DP642</f>
        <v>-4.370908</v>
      </c>
      <c r="DQ645" s="818">
        <f>'P&amp;L'!DQ642</f>
        <v>-4.5020352400000005</v>
      </c>
      <c r="DR645" s="293">
        <f t="shared" si="1712"/>
        <v>-8.8729432400000015</v>
      </c>
      <c r="DS645" s="290"/>
      <c r="DT645" s="290"/>
      <c r="DU645" s="290"/>
      <c r="DV645" s="290"/>
      <c r="DW645" s="818"/>
      <c r="DX645" s="818"/>
      <c r="DY645" s="818"/>
      <c r="DZ645" s="290"/>
      <c r="EA645" s="818"/>
      <c r="EB645" s="818"/>
      <c r="EC645" s="293"/>
      <c r="ED645" s="290"/>
      <c r="EE645" s="818"/>
      <c r="EF645" s="818"/>
      <c r="EG645" s="293"/>
      <c r="EH645" s="290"/>
      <c r="EI645" s="818"/>
      <c r="EJ645" s="818"/>
      <c r="EK645" s="293"/>
      <c r="EL645" s="290"/>
      <c r="EM645" s="290"/>
      <c r="EN645" s="290"/>
      <c r="EO645" s="290"/>
      <c r="EP645" s="290"/>
      <c r="EQ645" s="290"/>
      <c r="ER645" s="290"/>
      <c r="ES645" s="290"/>
      <c r="ET645" s="290"/>
      <c r="EU645" s="290"/>
      <c r="JW645"/>
    </row>
    <row r="646" spans="1:283" s="327" customFormat="1">
      <c r="A646" s="327" t="s">
        <v>613</v>
      </c>
      <c r="AN646" s="295"/>
      <c r="AO646" s="295"/>
      <c r="AP646" s="295">
        <f>SUM(AP632:AP645)</f>
        <v>-14</v>
      </c>
      <c r="AQ646" s="295"/>
      <c r="AR646" s="295"/>
      <c r="AS646" s="295"/>
      <c r="AT646" s="295">
        <f>SUM(AT632:AT645)</f>
        <v>-250</v>
      </c>
      <c r="AU646" s="295"/>
      <c r="AV646" s="295">
        <f>SUM(AV632:AV645)</f>
        <v>-29</v>
      </c>
      <c r="AW646" s="295">
        <f>SUM(AW632:AW645)</f>
        <v>-12</v>
      </c>
      <c r="AX646" s="295">
        <f>SUM(AX632:AX645)</f>
        <v>-41</v>
      </c>
      <c r="AY646" s="295"/>
      <c r="AZ646" s="295">
        <f>SUM(AZ632:AZ645)</f>
        <v>-7</v>
      </c>
      <c r="BA646" s="295">
        <f>SUM(BA632:BA645)</f>
        <v>19</v>
      </c>
      <c r="BB646" s="295">
        <f>SUM(BB632:BB645)</f>
        <v>12</v>
      </c>
      <c r="BC646" s="295"/>
      <c r="BD646" s="295">
        <f>SUM(BD632:BD645)</f>
        <v>-10</v>
      </c>
      <c r="BE646" s="295">
        <f>SUM(BE632:BE645)</f>
        <v>-12</v>
      </c>
      <c r="BF646" s="295">
        <f>SUM(BF632:BF645)</f>
        <v>-22</v>
      </c>
      <c r="BG646" s="295"/>
      <c r="BH646" s="295">
        <f>SUM(BH632:BH645)</f>
        <v>5</v>
      </c>
      <c r="BI646" s="295">
        <f>SUM(BI632:BI645)</f>
        <v>-13</v>
      </c>
      <c r="BJ646" s="295">
        <f>SUM(BJ632:BJ645)</f>
        <v>-8</v>
      </c>
      <c r="BK646" s="487"/>
      <c r="BL646" s="295">
        <f>SUM(BL632:BL645)</f>
        <v>-19</v>
      </c>
      <c r="BM646" s="295">
        <f>SUM(BM632:BM645)</f>
        <v>19</v>
      </c>
      <c r="BN646" s="295">
        <f>SUM(BN632:BN645)</f>
        <v>0</v>
      </c>
      <c r="BO646" s="295"/>
      <c r="BP646" s="295">
        <f>SUM(BP632:BP645)</f>
        <v>-4</v>
      </c>
      <c r="BQ646" s="295">
        <f>SUM(BQ632:BQ645)</f>
        <v>-14</v>
      </c>
      <c r="BR646" s="295">
        <f>SUM(BR632:BR645)</f>
        <v>-18</v>
      </c>
      <c r="BS646" s="295"/>
      <c r="BT646" s="295">
        <f>SUM(BT632:BT645)</f>
        <v>-2</v>
      </c>
      <c r="BU646" s="295">
        <f>SUM(BU632:BU645)</f>
        <v>-6</v>
      </c>
      <c r="BV646" s="295">
        <f>SUM(BV632:BV645)</f>
        <v>-8</v>
      </c>
      <c r="BW646" s="295"/>
      <c r="BX646" s="295">
        <f>SUM(BX632:BX645)</f>
        <v>123</v>
      </c>
      <c r="BY646" s="295">
        <f>SUM(BY632:BY645)</f>
        <v>-7</v>
      </c>
      <c r="BZ646" s="295">
        <f>SUM(BZ632:BZ645)</f>
        <v>116</v>
      </c>
      <c r="CA646" s="295"/>
      <c r="CB646" s="295">
        <f>SUM(CB632:CB645)</f>
        <v>-25</v>
      </c>
      <c r="CC646" s="295">
        <f>SUM(CC632:CC645)</f>
        <v>-31</v>
      </c>
      <c r="CD646" s="295">
        <f>SUM(CD632:CD645)</f>
        <v>-56</v>
      </c>
      <c r="CE646" s="295"/>
      <c r="CF646" s="295">
        <f>SUM(CF632:CF645)</f>
        <v>-28</v>
      </c>
      <c r="CG646" s="295">
        <f>SUM(CG632:CG645)</f>
        <v>-33</v>
      </c>
      <c r="CH646" s="295">
        <f>SUM(CH632:CH645)</f>
        <v>-61</v>
      </c>
      <c r="CI646" s="295"/>
      <c r="CJ646" s="295">
        <f>SUM(CJ632:CJ645)</f>
        <v>-42</v>
      </c>
      <c r="CK646" s="295">
        <f>SUM(CK632:CK645)</f>
        <v>-98</v>
      </c>
      <c r="CL646" s="295">
        <f>SUM(CL632:CL645)</f>
        <v>-140</v>
      </c>
      <c r="CM646" s="295"/>
      <c r="CN646" s="295">
        <f>SUM(CN632:CN645)</f>
        <v>-62</v>
      </c>
      <c r="CO646" s="295">
        <f>SUM(CO632:CO645)</f>
        <v>-23</v>
      </c>
      <c r="CP646" s="295">
        <f>SUM(CP632:CP645)</f>
        <v>-85</v>
      </c>
      <c r="CQ646" s="295"/>
      <c r="CR646" s="295">
        <f>SUM(CR632:CR645)</f>
        <v>-30</v>
      </c>
      <c r="CS646" s="295">
        <f>SUM(CS632:CS645)</f>
        <v>63</v>
      </c>
      <c r="CT646" s="295">
        <f>SUM(CT632:CT645)</f>
        <v>33</v>
      </c>
      <c r="CU646" s="295"/>
      <c r="CV646" s="1412">
        <f>SUM(CV632:CV645)</f>
        <v>-22</v>
      </c>
      <c r="CW646" s="1412">
        <f>SUM(CW632:CW645)</f>
        <v>-25</v>
      </c>
      <c r="CX646" s="1412">
        <f>SUM(CX632:CX645)</f>
        <v>-47</v>
      </c>
      <c r="CY646" s="1412"/>
      <c r="CZ646" s="1412">
        <f>SUM(CZ632:CZ645)</f>
        <v>-23</v>
      </c>
      <c r="DA646" s="1412">
        <f>SUM(DA632:DA645)</f>
        <v>32</v>
      </c>
      <c r="DB646" s="1412">
        <f>SUM(DB632:DB645)</f>
        <v>9</v>
      </c>
      <c r="DC646" s="1412"/>
      <c r="DD646" s="1412">
        <f>SUM(DD632:DD645)</f>
        <v>-39</v>
      </c>
      <c r="DE646" s="1412">
        <f>SUM(DE632:DE645)</f>
        <v>-48</v>
      </c>
      <c r="DF646" s="1412">
        <f>SUM(DF632:DF645)</f>
        <v>-87</v>
      </c>
      <c r="DG646" s="295"/>
      <c r="DH646" s="1412">
        <f>SUM(DH632:DH645)</f>
        <v>-28</v>
      </c>
      <c r="DI646" s="295">
        <f>SUM(DI632:DI645)</f>
        <v>-35</v>
      </c>
      <c r="DJ646" s="295">
        <f>SUM(DJ632:DJ645)</f>
        <v>-63</v>
      </c>
      <c r="DK646" s="295"/>
      <c r="DL646" s="295">
        <f>SUM(DL632:DL645)</f>
        <v>-34.119999999999997</v>
      </c>
      <c r="DM646" s="295">
        <f>SUM(DM632:DM645)</f>
        <v>-39.243600000000001</v>
      </c>
      <c r="DN646" s="295">
        <f>SUM(DN632:DN645)</f>
        <v>-73.363600000000005</v>
      </c>
      <c r="DO646" s="295"/>
      <c r="DP646" s="295">
        <f>SUM(DP632:DP645)</f>
        <v>-34.370908</v>
      </c>
      <c r="DQ646" s="295">
        <f>SUM(DQ632:DQ645)</f>
        <v>-39.502035239999998</v>
      </c>
      <c r="DR646" s="295">
        <f>SUM(DR632:DR645)</f>
        <v>-73.872943239999998</v>
      </c>
      <c r="DS646" s="295"/>
      <c r="DT646" s="295"/>
      <c r="DU646" s="295"/>
      <c r="DV646" s="295"/>
      <c r="DW646" s="295"/>
      <c r="DX646" s="295"/>
      <c r="DY646" s="295"/>
      <c r="DZ646" s="295"/>
      <c r="EA646" s="295"/>
      <c r="EB646" s="295"/>
      <c r="EC646" s="295"/>
      <c r="ED646" s="295"/>
      <c r="EE646" s="295"/>
      <c r="EF646" s="295"/>
      <c r="EG646" s="295"/>
      <c r="EH646" s="295"/>
      <c r="EI646" s="295"/>
      <c r="EJ646" s="295"/>
      <c r="EK646" s="295"/>
      <c r="EL646" s="295"/>
      <c r="EM646" s="295"/>
      <c r="EN646" s="295"/>
      <c r="EO646" s="295"/>
      <c r="EP646" s="295"/>
      <c r="EQ646" s="295"/>
      <c r="ER646" s="295"/>
      <c r="ES646" s="295"/>
      <c r="ET646" s="295"/>
      <c r="EU646" s="295"/>
      <c r="JW646"/>
    </row>
    <row r="647" spans="1:283">
      <c r="CR647" s="103"/>
      <c r="CS647" s="103"/>
      <c r="CT647" s="103"/>
      <c r="CV647" s="103"/>
      <c r="CW647" s="103"/>
      <c r="CX647" s="103"/>
      <c r="CZ647" s="103"/>
      <c r="DA647" s="103"/>
      <c r="DB647" s="103"/>
      <c r="DD647" s="103"/>
      <c r="DE647" s="103"/>
      <c r="DF647" s="103"/>
      <c r="DH647" s="103"/>
      <c r="DI647" s="103"/>
      <c r="DJ647" s="103"/>
      <c r="DL647" s="103"/>
      <c r="DM647" s="103"/>
      <c r="DN647" s="103"/>
      <c r="DP647" s="103"/>
      <c r="DQ647" s="103"/>
      <c r="DR647" s="103"/>
    </row>
    <row r="648" spans="1:283">
      <c r="A648" s="289" t="s">
        <v>1463</v>
      </c>
      <c r="CJ648" s="1169">
        <f t="shared" ref="CJ648:CK648" si="1713">CJ642/(CJ577*1000)*2</f>
        <v>-1.2462908011869436E-3</v>
      </c>
      <c r="CK648" s="1169">
        <f t="shared" si="1713"/>
        <v>-2.8154050464807437E-3</v>
      </c>
      <c r="CL648" s="1368">
        <f t="shared" ref="CL648" si="1714">CL642/(CL577*1000)</f>
        <v>-1.9654714475431608E-3</v>
      </c>
      <c r="CN648" s="1169">
        <f t="shared" ref="CN648:CO648" si="1715">CN642/(CN577*1000)*2</f>
        <v>-1.9721871049304678E-3</v>
      </c>
      <c r="CO648" s="1169">
        <f t="shared" si="1715"/>
        <v>-8.3052749719416384E-4</v>
      </c>
      <c r="CP648" s="1368">
        <f t="shared" ref="CP648" si="1716">CP642/(CP577*1000)</f>
        <v>-1.2906846240179574E-3</v>
      </c>
      <c r="CR648" s="1169">
        <f t="shared" ref="CR648:CS648" si="1717">CR642/(CR577*1000)*2</f>
        <v>-6.2816616008105365E-4</v>
      </c>
      <c r="CS648" s="1169">
        <f t="shared" si="1717"/>
        <v>9.6188747731397461E-4</v>
      </c>
      <c r="CT648" s="1368">
        <f t="shared" ref="CT648" si="1718">CT642/(CT577*1000)</f>
        <v>1.9963702359346641E-4</v>
      </c>
      <c r="CV648" s="1169">
        <f t="shared" ref="CV648:CW648" si="1719">CV642/(CV577*1000)*2</f>
        <v>-1.487603305785124E-4</v>
      </c>
      <c r="CW648" s="1169">
        <f t="shared" si="1719"/>
        <v>-3.9154267815191856E-4</v>
      </c>
      <c r="CX648" s="1368">
        <f t="shared" ref="CX648" si="1720">CX642/(CX577*1000)</f>
        <v>-2.6624902114330464E-4</v>
      </c>
      <c r="CZ648" s="1169">
        <f>CZ642/(CZ577*1000)*2</f>
        <v>-3.4226190476190478E-4</v>
      </c>
      <c r="DA648" s="1169">
        <f>DA642/(DA577*1000)*2</f>
        <v>5.4208273894436516E-4</v>
      </c>
      <c r="DB648" s="1368">
        <f>DB642/(DB577*1000)</f>
        <v>1.0699001426533524E-4</v>
      </c>
      <c r="DD648" s="1169">
        <f t="shared" ref="DD648:DE648" si="1721">DD642/(DD577*1000)*2</f>
        <v>-2.7925531914893618E-4</v>
      </c>
      <c r="DE648" s="1169">
        <f t="shared" si="1721"/>
        <v>-2.9739776951672863E-4</v>
      </c>
      <c r="DF648" s="1368">
        <f t="shared" ref="DF648" si="1722">DF642/(DF577*1000)</f>
        <v>-2.7881040892193309E-4</v>
      </c>
      <c r="DH648" s="1169">
        <f t="shared" ref="DH648:DI648" si="1723">DH642/(DH577*1000)*2</f>
        <v>-2.6905829596412557E-4</v>
      </c>
      <c r="DI648" s="1169">
        <f t="shared" si="1723"/>
        <v>-3.073155982492924E-4</v>
      </c>
      <c r="DJ648" s="1368">
        <f t="shared" ref="DJ648" si="1724">DJ642/(DJ577*1000)</f>
        <v>-2.7261867586630777E-4</v>
      </c>
      <c r="DL648" s="1169">
        <f t="shared" ref="DL648:DM648" si="1725">DL642/(DL577*1000)*2</f>
        <v>-2.7403018661729728E-4</v>
      </c>
      <c r="DM648" s="1169">
        <f t="shared" si="1725"/>
        <v>-3.0212013043226944E-4</v>
      </c>
      <c r="DN648" s="1368">
        <f t="shared" ref="DN648" si="1726">DN642/(DN577*1000)</f>
        <v>-2.8054012111567876E-4</v>
      </c>
      <c r="DP648" s="1169">
        <f t="shared" ref="DP648:DQ648" si="1727">DP642/(DP577*1000)*2</f>
        <v>-2.4471162523661009E-4</v>
      </c>
      <c r="DQ648" s="1169">
        <f t="shared" si="1727"/>
        <v>-2.6978051350377391E-4</v>
      </c>
      <c r="DR648" s="1368">
        <f t="shared" ref="DR648" si="1728">DR642/(DR577*1000)</f>
        <v>-2.505104768249329E-4</v>
      </c>
    </row>
    <row r="649" spans="1:283">
      <c r="CR649" s="103"/>
      <c r="CS649" s="103"/>
      <c r="CT649" s="103"/>
      <c r="CV649" s="103"/>
      <c r="CW649" s="103"/>
      <c r="CX649" s="103"/>
      <c r="CZ649" s="103"/>
      <c r="DA649" s="103"/>
      <c r="DB649" s="103"/>
      <c r="DD649" s="103"/>
      <c r="DE649" s="103"/>
      <c r="DF649" s="103"/>
      <c r="DH649" s="103"/>
      <c r="DI649" s="103"/>
      <c r="DJ649" s="103"/>
      <c r="DL649" s="103"/>
      <c r="DM649" s="103"/>
      <c r="DN649" s="103"/>
      <c r="DP649" s="103"/>
      <c r="DQ649" s="103"/>
      <c r="DR649" s="103"/>
    </row>
    <row r="650" spans="1:283" s="332" customFormat="1">
      <c r="A650" s="1207" t="s">
        <v>899</v>
      </c>
      <c r="AN650" s="293"/>
      <c r="AO650" s="293"/>
      <c r="AP650" s="293"/>
      <c r="AQ650" s="293"/>
      <c r="AR650" s="293"/>
      <c r="AS650" s="293"/>
      <c r="AT650" s="293"/>
      <c r="AU650" s="293"/>
      <c r="AV650" s="293"/>
      <c r="AW650" s="293"/>
      <c r="AX650" s="293"/>
      <c r="AY650" s="293"/>
      <c r="AZ650" s="293"/>
      <c r="BA650" s="293"/>
      <c r="BB650" s="293"/>
      <c r="BC650" s="293"/>
      <c r="BD650" s="293"/>
      <c r="BE650" s="293"/>
      <c r="BF650" s="293"/>
      <c r="BG650" s="293"/>
      <c r="BH650" s="293"/>
      <c r="BI650" s="293"/>
      <c r="BJ650" s="293"/>
      <c r="BK650" s="293"/>
      <c r="BL650" s="293"/>
      <c r="BM650" s="293"/>
      <c r="BN650" s="293"/>
      <c r="BO650" s="293"/>
      <c r="BP650" s="293"/>
      <c r="BQ650" s="293"/>
      <c r="BR650" s="293"/>
      <c r="BS650" s="293"/>
      <c r="BT650" s="293"/>
      <c r="BU650" s="293"/>
      <c r="BV650" s="293"/>
      <c r="BW650" s="293"/>
      <c r="BX650" s="293"/>
      <c r="BY650" s="293"/>
      <c r="BZ650" s="293"/>
      <c r="CA650" s="293"/>
      <c r="CB650" s="293"/>
      <c r="CC650" s="293"/>
      <c r="CD650" s="293"/>
      <c r="CE650" s="293"/>
      <c r="CF650" s="293"/>
      <c r="CG650" s="293"/>
      <c r="CH650" s="293"/>
      <c r="CI650" s="293"/>
      <c r="CJ650" s="293"/>
      <c r="CK650" s="293"/>
      <c r="CL650" s="293"/>
      <c r="CM650" s="293"/>
      <c r="CN650" s="293"/>
      <c r="CO650" s="293"/>
      <c r="CP650" s="293"/>
      <c r="CQ650" s="293"/>
      <c r="CR650" s="293"/>
      <c r="CS650" s="293"/>
      <c r="CT650" s="293"/>
      <c r="CU650" s="293"/>
      <c r="CV650" s="293"/>
      <c r="CW650" s="293"/>
      <c r="CX650" s="293"/>
      <c r="CY650" s="293"/>
      <c r="CZ650" s="293"/>
      <c r="DA650" s="293"/>
      <c r="DB650" s="293"/>
      <c r="DC650" s="293"/>
      <c r="DD650" s="293"/>
      <c r="DE650" s="293"/>
      <c r="DF650" s="293"/>
      <c r="DG650" s="293"/>
      <c r="DH650" s="293"/>
      <c r="DI650" s="293"/>
      <c r="DJ650" s="293"/>
      <c r="DK650" s="293"/>
      <c r="DL650" s="293"/>
      <c r="DM650" s="293"/>
      <c r="DN650" s="293"/>
      <c r="DO650" s="293"/>
      <c r="DP650" s="293"/>
      <c r="DQ650" s="293"/>
      <c r="DR650" s="293"/>
      <c r="DS650" s="293"/>
      <c r="DT650" s="293"/>
      <c r="DU650" s="293"/>
      <c r="DV650" s="293"/>
      <c r="DW650" s="828"/>
      <c r="DX650" s="293"/>
      <c r="DY650" s="293"/>
      <c r="DZ650" s="293"/>
      <c r="EA650" s="293"/>
      <c r="EB650" s="293"/>
      <c r="EC650" s="293"/>
      <c r="ED650" s="293"/>
      <c r="EE650" s="293"/>
      <c r="EF650" s="293"/>
      <c r="EG650" s="293"/>
      <c r="EH650" s="293"/>
      <c r="EI650" s="293"/>
      <c r="EJ650" s="293"/>
      <c r="EK650" s="293"/>
      <c r="EL650" s="293"/>
      <c r="EM650" s="293"/>
      <c r="EN650" s="293"/>
      <c r="EO650" s="293"/>
      <c r="EP650" s="293"/>
      <c r="EQ650" s="293"/>
      <c r="ER650" s="293"/>
      <c r="ES650" s="293"/>
      <c r="ET650" s="293"/>
      <c r="EU650" s="293"/>
      <c r="JW650"/>
    </row>
    <row r="651" spans="1:283" s="332" customFormat="1">
      <c r="A651" s="332" t="str">
        <f>A552</f>
        <v>Employment expenses</v>
      </c>
      <c r="AN651" s="492">
        <f t="shared" ref="AN651:AP653" si="1729">AN552</f>
        <v>0</v>
      </c>
      <c r="AO651" s="492">
        <f t="shared" si="1729"/>
        <v>0</v>
      </c>
      <c r="AP651" s="492">
        <f t="shared" si="1729"/>
        <v>0</v>
      </c>
      <c r="AQ651" s="293"/>
      <c r="AR651" s="492">
        <f t="shared" ref="AR651:AT653" si="1730">AR552</f>
        <v>-214</v>
      </c>
      <c r="AS651" s="492">
        <f t="shared" si="1730"/>
        <v>-180</v>
      </c>
      <c r="AT651" s="492">
        <f t="shared" si="1730"/>
        <v>-394</v>
      </c>
      <c r="AU651" s="626"/>
      <c r="AV651" s="492">
        <f t="shared" ref="AV651:AX653" si="1731">AV552</f>
        <v>-182</v>
      </c>
      <c r="AW651" s="492">
        <f t="shared" si="1731"/>
        <v>-226</v>
      </c>
      <c r="AX651" s="492">
        <f t="shared" si="1731"/>
        <v>-408</v>
      </c>
      <c r="AY651" s="626"/>
      <c r="AZ651" s="492">
        <f t="shared" ref="AZ651:BB653" si="1732">AZ552</f>
        <v>-253.333</v>
      </c>
      <c r="BA651" s="492">
        <f t="shared" si="1732"/>
        <v>-253.33330000000001</v>
      </c>
      <c r="BB651" s="492">
        <f t="shared" si="1732"/>
        <v>-506.66629999999998</v>
      </c>
      <c r="BC651" s="293"/>
      <c r="BD651" s="492">
        <f t="shared" ref="BD651:BF653" si="1733">BD552</f>
        <v>-237.66669999999999</v>
      </c>
      <c r="BE651" s="492">
        <f t="shared" si="1733"/>
        <v>-216.16650000000001</v>
      </c>
      <c r="BF651" s="492">
        <f t="shared" si="1733"/>
        <v>-453.83320000000003</v>
      </c>
      <c r="BG651" s="293"/>
      <c r="BH651" s="492">
        <f t="shared" ref="BH651:BJ653" si="1734">BH552</f>
        <v>-221</v>
      </c>
      <c r="BI651" s="492">
        <f t="shared" si="1734"/>
        <v>-212</v>
      </c>
      <c r="BJ651" s="492">
        <f t="shared" si="1734"/>
        <v>-433</v>
      </c>
      <c r="BK651" s="487"/>
      <c r="BL651" s="492">
        <f t="shared" ref="BL651:BN653" si="1735">BL552</f>
        <v>-218</v>
      </c>
      <c r="BM651" s="492">
        <f t="shared" si="1735"/>
        <v>-186</v>
      </c>
      <c r="BN651" s="492">
        <f t="shared" si="1735"/>
        <v>-404</v>
      </c>
      <c r="BO651" s="487"/>
      <c r="BP651" s="492">
        <f t="shared" ref="BP651:BR653" si="1736">BP552</f>
        <v>-190</v>
      </c>
      <c r="BQ651" s="492">
        <f t="shared" si="1736"/>
        <v>-182</v>
      </c>
      <c r="BR651" s="492">
        <f t="shared" si="1736"/>
        <v>-372</v>
      </c>
      <c r="BS651" s="487"/>
      <c r="BT651" s="492">
        <f t="shared" ref="BT651:BV653" si="1737">BT552</f>
        <v>-177</v>
      </c>
      <c r="BU651" s="492">
        <f t="shared" si="1737"/>
        <v>-168</v>
      </c>
      <c r="BV651" s="492">
        <f t="shared" si="1737"/>
        <v>-345</v>
      </c>
      <c r="BW651" s="293"/>
      <c r="BX651" s="492">
        <f t="shared" ref="BX651:BZ653" si="1738">BX552</f>
        <v>-171</v>
      </c>
      <c r="BY651" s="492">
        <f t="shared" si="1738"/>
        <v>-155</v>
      </c>
      <c r="BZ651" s="492">
        <f t="shared" si="1738"/>
        <v>-326</v>
      </c>
      <c r="CA651" s="293"/>
      <c r="CB651" s="492">
        <f t="shared" ref="CB651:CD653" si="1739">CB552</f>
        <v>-205</v>
      </c>
      <c r="CC651" s="492">
        <f t="shared" si="1739"/>
        <v>-218</v>
      </c>
      <c r="CD651" s="492">
        <f t="shared" si="1739"/>
        <v>-423</v>
      </c>
      <c r="CE651" s="293"/>
      <c r="CF651" s="492">
        <f t="shared" ref="CF651:CH653" si="1740">CF552</f>
        <v>-219</v>
      </c>
      <c r="CG651" s="492">
        <f t="shared" si="1740"/>
        <v>-202</v>
      </c>
      <c r="CH651" s="492">
        <f t="shared" si="1740"/>
        <v>-421</v>
      </c>
      <c r="CI651" s="293"/>
      <c r="CJ651" s="492">
        <f t="shared" ref="CJ651:CL653" si="1741">CJ552</f>
        <v>-183</v>
      </c>
      <c r="CK651" s="492">
        <f t="shared" si="1741"/>
        <v>-172</v>
      </c>
      <c r="CL651" s="492">
        <f t="shared" si="1741"/>
        <v>-355</v>
      </c>
      <c r="CM651" s="293"/>
      <c r="CN651" s="492">
        <f t="shared" ref="CN651:CP653" si="1742">CN552</f>
        <v>-197</v>
      </c>
      <c r="CO651" s="492">
        <f t="shared" si="1742"/>
        <v>-193</v>
      </c>
      <c r="CP651" s="492">
        <f t="shared" si="1742"/>
        <v>-390</v>
      </c>
      <c r="CQ651" s="293"/>
      <c r="CR651" s="492">
        <f t="shared" ref="CR651:CT653" si="1743">CR552</f>
        <v>-219</v>
      </c>
      <c r="CS651" s="492">
        <f t="shared" si="1743"/>
        <v>-227</v>
      </c>
      <c r="CT651" s="492">
        <f t="shared" si="1743"/>
        <v>-446</v>
      </c>
      <c r="CU651" s="293"/>
      <c r="CV651" s="492">
        <f t="shared" ref="CV651:CX651" si="1744">CV552</f>
        <v>-262</v>
      </c>
      <c r="CW651" s="492">
        <f t="shared" si="1744"/>
        <v>-268</v>
      </c>
      <c r="CX651" s="492">
        <f t="shared" si="1744"/>
        <v>-530</v>
      </c>
      <c r="CY651" s="293"/>
      <c r="CZ651" s="492">
        <f t="shared" ref="CZ651:DB651" si="1745">CZ552</f>
        <v>-321</v>
      </c>
      <c r="DA651" s="492">
        <f t="shared" si="1745"/>
        <v>-314</v>
      </c>
      <c r="DB651" s="492">
        <f t="shared" si="1745"/>
        <v>-635</v>
      </c>
      <c r="DC651" s="293"/>
      <c r="DD651" s="492">
        <f t="shared" ref="DD651:DF651" si="1746">DD552</f>
        <v>-294</v>
      </c>
      <c r="DE651" s="492">
        <f t="shared" si="1746"/>
        <v>-256</v>
      </c>
      <c r="DF651" s="492">
        <f t="shared" si="1746"/>
        <v>-550</v>
      </c>
      <c r="DG651" s="293"/>
      <c r="DH651" s="492">
        <f t="shared" ref="DH651" si="1747">DH552</f>
        <v>-234</v>
      </c>
      <c r="DI651" s="293">
        <f>+DE651*(1+DI656)</f>
        <v>-250.88</v>
      </c>
      <c r="DJ651" s="293">
        <f>DH651+DI651</f>
        <v>-484.88</v>
      </c>
      <c r="DK651" s="293"/>
      <c r="DL651" s="293">
        <f>+DH651*(1+DL656)</f>
        <v>-241.02</v>
      </c>
      <c r="DM651" s="293">
        <f>+DI651*(1+DM656)</f>
        <v>-258.40640000000002</v>
      </c>
      <c r="DN651" s="293">
        <f>DL651+DM651</f>
        <v>-499.42640000000006</v>
      </c>
      <c r="DO651" s="293"/>
      <c r="DP651" s="293">
        <f>+DL651*(1+DP656)</f>
        <v>-248.25060000000002</v>
      </c>
      <c r="DQ651" s="293">
        <f>+DM651*(1+DQ656)</f>
        <v>-266.158592</v>
      </c>
      <c r="DR651" s="293">
        <f>DP651+DQ651</f>
        <v>-514.40919200000008</v>
      </c>
      <c r="DS651" s="293"/>
      <c r="DT651" s="293"/>
      <c r="DU651" s="293"/>
      <c r="DV651" s="293"/>
      <c r="DW651" s="828" t="s">
        <v>514</v>
      </c>
      <c r="DX651" s="293"/>
      <c r="DY651" s="293"/>
      <c r="DZ651" s="293"/>
      <c r="EA651" s="293"/>
      <c r="EB651" s="293"/>
      <c r="EC651" s="293"/>
      <c r="ED651" s="293"/>
      <c r="EE651" s="293"/>
      <c r="EF651" s="293"/>
      <c r="EG651" s="293"/>
      <c r="EH651" s="293"/>
      <c r="EI651" s="293"/>
      <c r="EJ651" s="293"/>
      <c r="EK651" s="293"/>
      <c r="EL651" s="293"/>
      <c r="EM651" s="293"/>
      <c r="EN651" s="293"/>
      <c r="EO651" s="293"/>
      <c r="EP651" s="293"/>
      <c r="EQ651" s="293"/>
      <c r="ER651" s="293"/>
      <c r="ES651" s="293"/>
      <c r="ET651" s="293"/>
      <c r="EU651" s="293"/>
      <c r="JW651"/>
    </row>
    <row r="652" spans="1:283" s="332" customFormat="1">
      <c r="A652" s="332" t="str">
        <f>A553</f>
        <v>Brokerage and commission expenses</v>
      </c>
      <c r="AN652" s="492">
        <f t="shared" si="1729"/>
        <v>0</v>
      </c>
      <c r="AO652" s="492">
        <f t="shared" si="1729"/>
        <v>0</v>
      </c>
      <c r="AP652" s="492">
        <f t="shared" si="1729"/>
        <v>0</v>
      </c>
      <c r="AQ652" s="293"/>
      <c r="AR652" s="492">
        <f t="shared" si="1730"/>
        <v>-67</v>
      </c>
      <c r="AS652" s="492">
        <f t="shared" si="1730"/>
        <v>-73</v>
      </c>
      <c r="AT652" s="492">
        <f t="shared" si="1730"/>
        <v>-140</v>
      </c>
      <c r="AU652" s="626"/>
      <c r="AV652" s="492">
        <f t="shared" si="1731"/>
        <v>-65</v>
      </c>
      <c r="AW652" s="492">
        <f t="shared" si="1731"/>
        <v>-56</v>
      </c>
      <c r="AX652" s="492">
        <f t="shared" si="1731"/>
        <v>-121</v>
      </c>
      <c r="AY652" s="626"/>
      <c r="AZ652" s="492">
        <f t="shared" si="1732"/>
        <v>-75</v>
      </c>
      <c r="BA652" s="492">
        <f t="shared" si="1732"/>
        <v>-74</v>
      </c>
      <c r="BB652" s="492">
        <f t="shared" si="1732"/>
        <v>-149</v>
      </c>
      <c r="BC652" s="293"/>
      <c r="BD652" s="492">
        <f t="shared" si="1733"/>
        <v>-79</v>
      </c>
      <c r="BE652" s="492">
        <f t="shared" si="1733"/>
        <v>-85</v>
      </c>
      <c r="BF652" s="492">
        <f t="shared" si="1733"/>
        <v>-164</v>
      </c>
      <c r="BG652" s="293"/>
      <c r="BH652" s="492">
        <f t="shared" si="1734"/>
        <v>-90</v>
      </c>
      <c r="BI652" s="492">
        <f t="shared" si="1734"/>
        <v>-68</v>
      </c>
      <c r="BJ652" s="492">
        <f t="shared" si="1734"/>
        <v>-158</v>
      </c>
      <c r="BK652" s="487"/>
      <c r="BL652" s="492">
        <f t="shared" si="1735"/>
        <v>-88</v>
      </c>
      <c r="BM652" s="492">
        <f t="shared" si="1735"/>
        <v>-80</v>
      </c>
      <c r="BN652" s="492">
        <f t="shared" si="1735"/>
        <v>-168</v>
      </c>
      <c r="BO652" s="487"/>
      <c r="BP652" s="492">
        <f t="shared" si="1736"/>
        <v>-95</v>
      </c>
      <c r="BQ652" s="492">
        <f t="shared" si="1736"/>
        <v>-103</v>
      </c>
      <c r="BR652" s="492">
        <f t="shared" si="1736"/>
        <v>-198</v>
      </c>
      <c r="BS652" s="487"/>
      <c r="BT652" s="492">
        <f t="shared" si="1737"/>
        <v>-102</v>
      </c>
      <c r="BU652" s="492">
        <f t="shared" si="1737"/>
        <v>-105</v>
      </c>
      <c r="BV652" s="492">
        <f t="shared" si="1737"/>
        <v>-207</v>
      </c>
      <c r="BW652" s="293"/>
      <c r="BX652" s="492">
        <f t="shared" si="1738"/>
        <v>-105</v>
      </c>
      <c r="BY652" s="492">
        <f t="shared" si="1738"/>
        <v>-103</v>
      </c>
      <c r="BZ652" s="492">
        <f t="shared" si="1738"/>
        <v>-208</v>
      </c>
      <c r="CA652" s="293"/>
      <c r="CB652" s="492">
        <f t="shared" si="1739"/>
        <v>-104</v>
      </c>
      <c r="CC652" s="492">
        <f t="shared" si="1739"/>
        <v>-109</v>
      </c>
      <c r="CD652" s="492">
        <f t="shared" si="1739"/>
        <v>-213</v>
      </c>
      <c r="CE652" s="293"/>
      <c r="CF652" s="492">
        <f t="shared" si="1740"/>
        <v>-108</v>
      </c>
      <c r="CG652" s="492">
        <f t="shared" si="1740"/>
        <v>-108</v>
      </c>
      <c r="CH652" s="492">
        <f t="shared" si="1740"/>
        <v>-216</v>
      </c>
      <c r="CI652" s="293"/>
      <c r="CJ652" s="492">
        <f t="shared" si="1741"/>
        <v>-87</v>
      </c>
      <c r="CK652" s="492">
        <f t="shared" si="1741"/>
        <v>-85</v>
      </c>
      <c r="CL652" s="492">
        <f t="shared" si="1741"/>
        <v>-172</v>
      </c>
      <c r="CM652" s="293"/>
      <c r="CN652" s="492">
        <f t="shared" si="1742"/>
        <v>-81</v>
      </c>
      <c r="CO652" s="492">
        <f t="shared" si="1742"/>
        <v>-61</v>
      </c>
      <c r="CP652" s="492">
        <f t="shared" si="1742"/>
        <v>-142</v>
      </c>
      <c r="CQ652" s="293"/>
      <c r="CR652" s="492">
        <f t="shared" si="1743"/>
        <v>-53</v>
      </c>
      <c r="CS652" s="492">
        <f t="shared" si="1743"/>
        <v>-53</v>
      </c>
      <c r="CT652" s="492">
        <f t="shared" si="1743"/>
        <v>-106</v>
      </c>
      <c r="CU652" s="293"/>
      <c r="CV652" s="492">
        <f t="shared" ref="CV652:CX652" si="1748">CV553</f>
        <v>-59</v>
      </c>
      <c r="CW652" s="492">
        <f t="shared" si="1748"/>
        <v>-66</v>
      </c>
      <c r="CX652" s="492">
        <f t="shared" si="1748"/>
        <v>-125</v>
      </c>
      <c r="CY652" s="293"/>
      <c r="CZ652" s="492">
        <f t="shared" ref="CZ652:DB652" si="1749">CZ553</f>
        <v>-65</v>
      </c>
      <c r="DA652" s="492">
        <f t="shared" si="1749"/>
        <v>-81</v>
      </c>
      <c r="DB652" s="492">
        <f t="shared" si="1749"/>
        <v>-146</v>
      </c>
      <c r="DC652" s="293"/>
      <c r="DD652" s="492">
        <f t="shared" ref="DD652:DF652" si="1750">DD553</f>
        <v>-84</v>
      </c>
      <c r="DE652" s="492">
        <f t="shared" si="1750"/>
        <v>-92</v>
      </c>
      <c r="DF652" s="492">
        <f t="shared" si="1750"/>
        <v>-176</v>
      </c>
      <c r="DG652" s="293"/>
      <c r="DH652" s="492">
        <f t="shared" ref="DH652" si="1751">DH553</f>
        <v>-92</v>
      </c>
      <c r="DI652" s="293">
        <f>-DI661*DI627</f>
        <v>-92.488199999999992</v>
      </c>
      <c r="DJ652" s="293">
        <f>DH652+DI652</f>
        <v>-184.48820000000001</v>
      </c>
      <c r="DK652" s="293"/>
      <c r="DL652" s="293">
        <f>-DL661*DL627</f>
        <v>-99.091649999999987</v>
      </c>
      <c r="DM652" s="293">
        <f>-DM661*DM627</f>
        <v>-97.768167000000005</v>
      </c>
      <c r="DN652" s="293">
        <f>DL652+DM652</f>
        <v>-196.85981699999999</v>
      </c>
      <c r="DO652" s="293"/>
      <c r="DP652" s="293">
        <f>-DP661*DP627</f>
        <v>-104.7229365</v>
      </c>
      <c r="DQ652" s="293">
        <f>-DQ661*DQ627</f>
        <v>-103.35146577000002</v>
      </c>
      <c r="DR652" s="293">
        <f>DP652+DQ652</f>
        <v>-208.07440227000001</v>
      </c>
      <c r="DS652" s="293"/>
      <c r="DT652" s="293"/>
      <c r="DU652" s="293"/>
      <c r="DV652" s="293"/>
      <c r="DW652" s="828" t="s">
        <v>514</v>
      </c>
      <c r="DX652" s="293"/>
      <c r="DY652" s="293"/>
      <c r="DZ652" s="293"/>
      <c r="EA652" s="293"/>
      <c r="EB652" s="293"/>
      <c r="EC652" s="293"/>
      <c r="ED652" s="293"/>
      <c r="EE652" s="293"/>
      <c r="EF652" s="293"/>
      <c r="EG652" s="293"/>
      <c r="EH652" s="293"/>
      <c r="EI652" s="293"/>
      <c r="EJ652" s="293"/>
      <c r="EK652" s="293"/>
      <c r="EL652" s="293"/>
      <c r="EM652" s="293"/>
      <c r="EN652" s="293"/>
      <c r="EO652" s="293"/>
      <c r="EP652" s="293"/>
      <c r="EQ652" s="293"/>
      <c r="ER652" s="293"/>
      <c r="ES652" s="293"/>
      <c r="ET652" s="293"/>
      <c r="EU652" s="293"/>
      <c r="JW652"/>
    </row>
    <row r="653" spans="1:283" s="332" customFormat="1">
      <c r="A653" s="332" t="str">
        <f>A554</f>
        <v>Other operating &amp; IT expenses</v>
      </c>
      <c r="AN653" s="492">
        <f t="shared" si="1729"/>
        <v>0</v>
      </c>
      <c r="AO653" s="492">
        <f t="shared" si="1729"/>
        <v>0</v>
      </c>
      <c r="AP653" s="492">
        <f t="shared" si="1729"/>
        <v>0</v>
      </c>
      <c r="AQ653" s="293"/>
      <c r="AR653" s="492">
        <f t="shared" si="1730"/>
        <v>-182</v>
      </c>
      <c r="AS653" s="492">
        <f t="shared" si="1730"/>
        <v>-182</v>
      </c>
      <c r="AT653" s="492">
        <f t="shared" si="1730"/>
        <v>-364</v>
      </c>
      <c r="AU653" s="626"/>
      <c r="AV653" s="492">
        <f t="shared" si="1731"/>
        <v>-201</v>
      </c>
      <c r="AW653" s="492">
        <f t="shared" si="1731"/>
        <v>-254</v>
      </c>
      <c r="AX653" s="492">
        <f t="shared" si="1731"/>
        <v>-455</v>
      </c>
      <c r="AY653" s="626"/>
      <c r="AZ653" s="492">
        <f t="shared" si="1732"/>
        <v>-263</v>
      </c>
      <c r="BA653" s="492">
        <f t="shared" si="1732"/>
        <v>-296</v>
      </c>
      <c r="BB653" s="492">
        <f t="shared" si="1732"/>
        <v>-559</v>
      </c>
      <c r="BC653" s="293"/>
      <c r="BD653" s="492">
        <f t="shared" si="1733"/>
        <v>-242.33</v>
      </c>
      <c r="BE653" s="492">
        <f t="shared" si="1733"/>
        <v>-236</v>
      </c>
      <c r="BF653" s="492">
        <f t="shared" si="1733"/>
        <v>-478.33000000000004</v>
      </c>
      <c r="BG653" s="293"/>
      <c r="BH653" s="492">
        <f t="shared" si="1734"/>
        <v>-220</v>
      </c>
      <c r="BI653" s="492">
        <f t="shared" si="1734"/>
        <v>-237</v>
      </c>
      <c r="BJ653" s="492">
        <f t="shared" si="1734"/>
        <v>-457</v>
      </c>
      <c r="BK653" s="487"/>
      <c r="BL653" s="492">
        <f t="shared" si="1735"/>
        <v>-250</v>
      </c>
      <c r="BM653" s="492">
        <f t="shared" si="1735"/>
        <v>-238</v>
      </c>
      <c r="BN653" s="492">
        <f t="shared" si="1735"/>
        <v>-488</v>
      </c>
      <c r="BO653" s="487"/>
      <c r="BP653" s="492">
        <f t="shared" si="1736"/>
        <v>-239</v>
      </c>
      <c r="BQ653" s="492">
        <f t="shared" si="1736"/>
        <v>-251</v>
      </c>
      <c r="BR653" s="492">
        <f t="shared" si="1736"/>
        <v>-490</v>
      </c>
      <c r="BS653" s="487"/>
      <c r="BT653" s="492">
        <f t="shared" si="1737"/>
        <v>-287</v>
      </c>
      <c r="BU653" s="492">
        <f t="shared" si="1737"/>
        <v>-275</v>
      </c>
      <c r="BV653" s="492">
        <f t="shared" si="1737"/>
        <v>-562</v>
      </c>
      <c r="BW653" s="293"/>
      <c r="BX653" s="492">
        <f t="shared" si="1738"/>
        <v>-342</v>
      </c>
      <c r="BY653" s="492">
        <f t="shared" si="1738"/>
        <v>-259</v>
      </c>
      <c r="BZ653" s="492">
        <f t="shared" si="1738"/>
        <v>-601</v>
      </c>
      <c r="CA653" s="293"/>
      <c r="CB653" s="492">
        <f t="shared" si="1739"/>
        <v>-328</v>
      </c>
      <c r="CC653" s="492">
        <f t="shared" si="1739"/>
        <v>-325</v>
      </c>
      <c r="CD653" s="492">
        <f t="shared" si="1739"/>
        <v>-653</v>
      </c>
      <c r="CE653" s="293"/>
      <c r="CF653" s="492">
        <f t="shared" si="1740"/>
        <v>-346</v>
      </c>
      <c r="CG653" s="492">
        <f t="shared" si="1740"/>
        <v>-364</v>
      </c>
      <c r="CH653" s="492">
        <f t="shared" si="1740"/>
        <v>-710</v>
      </c>
      <c r="CI653" s="293"/>
      <c r="CJ653" s="492">
        <f t="shared" si="1741"/>
        <v>-366</v>
      </c>
      <c r="CK653" s="492">
        <f t="shared" si="1741"/>
        <v>-374</v>
      </c>
      <c r="CL653" s="492">
        <f t="shared" si="1741"/>
        <v>-740</v>
      </c>
      <c r="CM653" s="293"/>
      <c r="CN653" s="492">
        <f t="shared" si="1742"/>
        <v>-390</v>
      </c>
      <c r="CO653" s="492">
        <f t="shared" si="1742"/>
        <v>-385</v>
      </c>
      <c r="CP653" s="492">
        <f t="shared" si="1742"/>
        <v>-775</v>
      </c>
      <c r="CQ653" s="293"/>
      <c r="CR653" s="492">
        <f t="shared" si="1743"/>
        <v>-409</v>
      </c>
      <c r="CS653" s="492">
        <f t="shared" si="1743"/>
        <v>-499</v>
      </c>
      <c r="CT653" s="492">
        <f t="shared" si="1743"/>
        <v>-908</v>
      </c>
      <c r="CU653" s="293"/>
      <c r="CV653" s="492">
        <f t="shared" ref="CV653:CX653" si="1752">CV554</f>
        <v>-522</v>
      </c>
      <c r="CW653" s="492">
        <f t="shared" si="1752"/>
        <v>-583</v>
      </c>
      <c r="CX653" s="492">
        <f t="shared" si="1752"/>
        <v>-1105</v>
      </c>
      <c r="CY653" s="293"/>
      <c r="CZ653" s="492">
        <f t="shared" ref="CZ653:DB653" si="1753">CZ554</f>
        <v>-585</v>
      </c>
      <c r="DA653" s="492">
        <f t="shared" si="1753"/>
        <v>-602</v>
      </c>
      <c r="DB653" s="492">
        <f t="shared" si="1753"/>
        <v>-1187</v>
      </c>
      <c r="DC653" s="293"/>
      <c r="DD653" s="492">
        <f t="shared" ref="DD653:DF653" si="1754">DD554</f>
        <v>-558</v>
      </c>
      <c r="DE653" s="492">
        <f t="shared" si="1754"/>
        <v>-573</v>
      </c>
      <c r="DF653" s="492">
        <f t="shared" si="1754"/>
        <v>-1131</v>
      </c>
      <c r="DG653" s="293"/>
      <c r="DH653" s="492">
        <f t="shared" ref="DH653" si="1755">DH554</f>
        <v>-639</v>
      </c>
      <c r="DI653" s="293">
        <f>+DE653*(1+DI658)</f>
        <v>-601.65</v>
      </c>
      <c r="DJ653" s="293">
        <f>DH653+DI653</f>
        <v>-1240.6500000000001</v>
      </c>
      <c r="DK653" s="293"/>
      <c r="DL653" s="293">
        <f>+DH653*(1+DL658)</f>
        <v>-658.17000000000007</v>
      </c>
      <c r="DM653" s="293">
        <f>+DI653*(1+DM658)</f>
        <v>-619.69949999999994</v>
      </c>
      <c r="DN653" s="293">
        <f>DL653+DM653</f>
        <v>-1277.8695</v>
      </c>
      <c r="DO653" s="293"/>
      <c r="DP653" s="293">
        <f>+DL653*(1+DP658)</f>
        <v>-677.91510000000005</v>
      </c>
      <c r="DQ653" s="293">
        <f>+DM653*(1+DQ658)</f>
        <v>-638.29048499999999</v>
      </c>
      <c r="DR653" s="293">
        <f>DP653+DQ653</f>
        <v>-1316.2055850000002</v>
      </c>
      <c r="DS653" s="293"/>
      <c r="DT653" s="293"/>
      <c r="DU653" s="293"/>
      <c r="DV653" s="293"/>
      <c r="DW653" s="828" t="s">
        <v>514</v>
      </c>
      <c r="DX653" s="293"/>
      <c r="DY653" s="293"/>
      <c r="DZ653" s="293"/>
      <c r="EA653" s="293"/>
      <c r="EB653" s="293"/>
      <c r="EC653" s="293"/>
      <c r="ED653" s="293"/>
      <c r="EE653" s="293"/>
      <c r="EF653" s="293"/>
      <c r="EG653" s="293"/>
      <c r="EH653" s="293"/>
      <c r="EI653" s="293"/>
      <c r="EJ653" s="293"/>
      <c r="EK653" s="293"/>
      <c r="EL653" s="293"/>
      <c r="EM653" s="293"/>
      <c r="EN653" s="293"/>
      <c r="EO653" s="293"/>
      <c r="EP653" s="293"/>
      <c r="EQ653" s="293"/>
      <c r="ER653" s="293"/>
      <c r="ES653" s="293"/>
      <c r="ET653" s="293"/>
      <c r="EU653" s="293"/>
      <c r="JW653"/>
    </row>
    <row r="654" spans="1:283" s="332" customFormat="1">
      <c r="A654" s="327" t="s">
        <v>913</v>
      </c>
      <c r="AN654" s="820">
        <f>SUM(AN651:AN653)</f>
        <v>0</v>
      </c>
      <c r="AO654" s="820">
        <f>SUM(AO651:AO653)</f>
        <v>0</v>
      </c>
      <c r="AP654" s="820">
        <f>SUM(AP651:AP653)</f>
        <v>0</v>
      </c>
      <c r="AQ654" s="293"/>
      <c r="AR654" s="820">
        <f>SUM(AR651:AR653)</f>
        <v>-463</v>
      </c>
      <c r="AS654" s="820">
        <f>SUM(AS651:AS653)</f>
        <v>-435</v>
      </c>
      <c r="AT654" s="820">
        <f>SUM(AT651:AT653)</f>
        <v>-898</v>
      </c>
      <c r="AU654" s="626"/>
      <c r="AV654" s="820">
        <f>SUM(AV651:AV653)</f>
        <v>-448</v>
      </c>
      <c r="AW654" s="820">
        <f>SUM(AW651:AW653)</f>
        <v>-536</v>
      </c>
      <c r="AX654" s="820">
        <f>SUM(AX651:AX653)</f>
        <v>-984</v>
      </c>
      <c r="AY654" s="626"/>
      <c r="AZ654" s="820">
        <f>SUM(AZ651:AZ653)</f>
        <v>-591.33299999999997</v>
      </c>
      <c r="BA654" s="820">
        <f>SUM(BA651:BA653)</f>
        <v>-623.33330000000001</v>
      </c>
      <c r="BB654" s="820">
        <f>SUM(BB651:BB653)</f>
        <v>-1214.6662999999999</v>
      </c>
      <c r="BC654" s="293"/>
      <c r="BD654" s="820">
        <f>SUM(BD651:BD653)</f>
        <v>-558.99670000000003</v>
      </c>
      <c r="BE654" s="820">
        <f>SUM(BE651:BE653)</f>
        <v>-537.16650000000004</v>
      </c>
      <c r="BF654" s="820">
        <f>SUM(BF651:BF653)</f>
        <v>-1096.1632</v>
      </c>
      <c r="BG654" s="293"/>
      <c r="BH654" s="820">
        <f>SUM(BH651:BH653)</f>
        <v>-531</v>
      </c>
      <c r="BI654" s="820">
        <f>SUM(BI651:BI653)</f>
        <v>-517</v>
      </c>
      <c r="BJ654" s="820">
        <f>SUM(BJ651:BJ653)</f>
        <v>-1048</v>
      </c>
      <c r="BK654" s="487"/>
      <c r="BL654" s="820">
        <f>SUM(BL651:BL653)</f>
        <v>-556</v>
      </c>
      <c r="BM654" s="820">
        <f>SUM(BM651:BM653)</f>
        <v>-504</v>
      </c>
      <c r="BN654" s="820">
        <f>SUM(BN651:BN653)</f>
        <v>-1060</v>
      </c>
      <c r="BO654" s="487"/>
      <c r="BP654" s="820">
        <f>SUM(BP651:BP653)</f>
        <v>-524</v>
      </c>
      <c r="BQ654" s="820">
        <f>SUM(BQ651:BQ653)</f>
        <v>-536</v>
      </c>
      <c r="BR654" s="820">
        <f>SUM(BR651:BR653)</f>
        <v>-1060</v>
      </c>
      <c r="BS654" s="487"/>
      <c r="BT654" s="820">
        <f>SUM(BT651:BT653)</f>
        <v>-566</v>
      </c>
      <c r="BU654" s="820">
        <f>SUM(BU651:BU653)</f>
        <v>-548</v>
      </c>
      <c r="BV654" s="820">
        <f>SUM(BV651:BV653)</f>
        <v>-1114</v>
      </c>
      <c r="BW654" s="293"/>
      <c r="BX654" s="820">
        <f>SUM(BX651:BX653)</f>
        <v>-618</v>
      </c>
      <c r="BY654" s="820">
        <f>SUM(BY651:BY653)</f>
        <v>-517</v>
      </c>
      <c r="BZ654" s="820">
        <f>SUM(BZ651:BZ653)</f>
        <v>-1135</v>
      </c>
      <c r="CA654" s="293"/>
      <c r="CB654" s="820">
        <f>SUM(CB651:CB653)</f>
        <v>-637</v>
      </c>
      <c r="CC654" s="820">
        <f>SUM(CC651:CC653)</f>
        <v>-652</v>
      </c>
      <c r="CD654" s="820">
        <f>SUM(CD651:CD653)</f>
        <v>-1289</v>
      </c>
      <c r="CE654" s="293"/>
      <c r="CF654" s="820">
        <f>SUM(CF651:CF653)</f>
        <v>-673</v>
      </c>
      <c r="CG654" s="820">
        <f>SUM(CG651:CG653)</f>
        <v>-674</v>
      </c>
      <c r="CH654" s="820">
        <f>SUM(CH651:CH653)</f>
        <v>-1347</v>
      </c>
      <c r="CI654" s="293"/>
      <c r="CJ654" s="820">
        <f>SUM(CJ651:CJ653)</f>
        <v>-636</v>
      </c>
      <c r="CK654" s="820">
        <f>SUM(CK651:CK653)</f>
        <v>-631</v>
      </c>
      <c r="CL654" s="820">
        <f>SUM(CL651:CL653)</f>
        <v>-1267</v>
      </c>
      <c r="CM654" s="293"/>
      <c r="CN654" s="820">
        <f>SUM(CN651:CN653)</f>
        <v>-668</v>
      </c>
      <c r="CO654" s="820">
        <f>SUM(CO651:CO653)</f>
        <v>-639</v>
      </c>
      <c r="CP654" s="820">
        <f>SUM(CP651:CP653)</f>
        <v>-1307</v>
      </c>
      <c r="CQ654" s="293"/>
      <c r="CR654" s="820">
        <f>SUM(CR651:CR653)</f>
        <v>-681</v>
      </c>
      <c r="CS654" s="820">
        <f>SUM(CS651:CS653)</f>
        <v>-779</v>
      </c>
      <c r="CT654" s="820">
        <f>SUM(CT651:CT653)</f>
        <v>-1460</v>
      </c>
      <c r="CU654" s="293"/>
      <c r="CV654" s="820">
        <f>SUM(CV651:CV653)</f>
        <v>-843</v>
      </c>
      <c r="CW654" s="820">
        <f>SUM(CW651:CW653)</f>
        <v>-917</v>
      </c>
      <c r="CX654" s="820">
        <f>SUM(CX651:CX653)</f>
        <v>-1760</v>
      </c>
      <c r="CY654" s="293"/>
      <c r="CZ654" s="820">
        <f>SUM(CZ651:CZ653)</f>
        <v>-971</v>
      </c>
      <c r="DA654" s="820">
        <f>SUM(DA651:DA653)</f>
        <v>-997</v>
      </c>
      <c r="DB654" s="820">
        <f>SUM(DB651:DB653)</f>
        <v>-1968</v>
      </c>
      <c r="DC654" s="293"/>
      <c r="DD654" s="820">
        <f>SUM(DD651:DD653)</f>
        <v>-936</v>
      </c>
      <c r="DE654" s="820">
        <f>SUM(DE651:DE653)</f>
        <v>-921</v>
      </c>
      <c r="DF654" s="820">
        <f>SUM(DF651:DF653)</f>
        <v>-1857</v>
      </c>
      <c r="DG654" s="293"/>
      <c r="DH654" s="820">
        <f>SUM(DH651:DH653)</f>
        <v>-965</v>
      </c>
      <c r="DI654" s="820">
        <f>SUM(DI651:DI653)</f>
        <v>-945.01819999999998</v>
      </c>
      <c r="DJ654" s="820">
        <f>SUM(DJ651:DJ653)</f>
        <v>-1910.0182</v>
      </c>
      <c r="DK654" s="293"/>
      <c r="DL654" s="820">
        <f>SUM(DL651:DL653)</f>
        <v>-998.28165000000013</v>
      </c>
      <c r="DM654" s="820">
        <f>SUM(DM651:DM653)</f>
        <v>-975.87406699999997</v>
      </c>
      <c r="DN654" s="820">
        <f>SUM(DN651:DN653)</f>
        <v>-1974.1557170000001</v>
      </c>
      <c r="DO654" s="293"/>
      <c r="DP654" s="820">
        <f>SUM(DP651:DP653)</f>
        <v>-1030.8886365000001</v>
      </c>
      <c r="DQ654" s="820">
        <f>SUM(DQ651:DQ653)</f>
        <v>-1007.80054277</v>
      </c>
      <c r="DR654" s="820">
        <f>SUM(DR651:DR653)</f>
        <v>-2038.6891792700003</v>
      </c>
      <c r="DS654" s="293"/>
      <c r="DT654" s="293"/>
      <c r="DU654" s="293"/>
      <c r="DV654" s="293"/>
      <c r="DW654" s="1197"/>
      <c r="DX654" s="293"/>
      <c r="DY654" s="293"/>
      <c r="DZ654" s="293"/>
      <c r="EA654" s="293"/>
      <c r="EB654" s="293"/>
      <c r="EC654" s="293"/>
      <c r="ED654" s="293"/>
      <c r="EE654" s="293"/>
      <c r="EF654" s="293"/>
      <c r="EG654" s="293"/>
      <c r="EH654" s="293"/>
      <c r="EI654" s="293"/>
      <c r="EJ654" s="293"/>
      <c r="EK654" s="293"/>
      <c r="EL654" s="293"/>
      <c r="EM654" s="293"/>
      <c r="EN654" s="293"/>
      <c r="EO654" s="293"/>
      <c r="EP654" s="293"/>
      <c r="EQ654" s="293"/>
      <c r="ER654" s="293"/>
      <c r="ES654" s="293"/>
      <c r="ET654" s="293"/>
      <c r="EU654" s="293"/>
      <c r="JW654"/>
    </row>
    <row r="655" spans="1:283">
      <c r="A655" s="328" t="s">
        <v>835</v>
      </c>
      <c r="CR655" s="103"/>
      <c r="CS655" s="103"/>
      <c r="CT655" s="103"/>
      <c r="CV655" s="103"/>
      <c r="CW655" s="103"/>
      <c r="CX655" s="103"/>
      <c r="CZ655" s="103"/>
      <c r="DA655" s="103"/>
      <c r="DB655" s="103"/>
      <c r="DD655" s="103"/>
      <c r="DE655" s="103"/>
      <c r="DF655" s="103"/>
      <c r="DH655" s="103"/>
      <c r="DI655" s="293"/>
      <c r="DJ655" s="293"/>
      <c r="DL655" s="293"/>
      <c r="DM655" s="293"/>
      <c r="DN655" s="293"/>
      <c r="DP655" s="293"/>
      <c r="DQ655" s="293"/>
      <c r="DR655" s="293"/>
      <c r="DW655" s="1197"/>
      <c r="DX655" s="293"/>
      <c r="DY655" s="293"/>
      <c r="EA655" s="293"/>
      <c r="EB655" s="293"/>
      <c r="EC655" s="293"/>
      <c r="EE655" s="293"/>
      <c r="EF655" s="293"/>
      <c r="EG655" s="293"/>
      <c r="EI655" s="293"/>
      <c r="EJ655" s="293"/>
      <c r="EK655" s="293"/>
    </row>
    <row r="656" spans="1:283" s="642" customFormat="1">
      <c r="A656" s="1210" t="str">
        <f>A651</f>
        <v>Employment expenses</v>
      </c>
      <c r="AN656" s="300"/>
      <c r="AO656" s="300"/>
      <c r="AP656" s="300"/>
      <c r="AQ656" s="300"/>
      <c r="AR656" s="643"/>
      <c r="AS656" s="643"/>
      <c r="AT656" s="643"/>
      <c r="AU656" s="300"/>
      <c r="AV656" s="643">
        <f t="shared" ref="AV656:AX659" si="1756">+AV651/AR651-1</f>
        <v>-0.14953271028037385</v>
      </c>
      <c r="AW656" s="643">
        <f t="shared" si="1756"/>
        <v>0.25555555555555554</v>
      </c>
      <c r="AX656" s="643">
        <f t="shared" si="1756"/>
        <v>3.5532994923857864E-2</v>
      </c>
      <c r="AY656" s="300"/>
      <c r="AZ656" s="643">
        <f t="shared" ref="AZ656:BB659" si="1757">+AZ651/AV651-1</f>
        <v>0.39193956043956035</v>
      </c>
      <c r="BA656" s="643">
        <f t="shared" si="1757"/>
        <v>0.12094380530973448</v>
      </c>
      <c r="BB656" s="643">
        <f t="shared" si="1757"/>
        <v>0.24182916666666654</v>
      </c>
      <c r="BC656" s="300"/>
      <c r="BD656" s="643">
        <f t="shared" ref="BD656:BF659" si="1758">+BD651/AZ651-1</f>
        <v>-6.1840739264130584E-2</v>
      </c>
      <c r="BE656" s="643">
        <f t="shared" si="1758"/>
        <v>-0.14671107193566735</v>
      </c>
      <c r="BF656" s="643">
        <f t="shared" si="1758"/>
        <v>-0.10427593072600239</v>
      </c>
      <c r="BG656" s="300"/>
      <c r="BH656" s="643">
        <f t="shared" ref="BH656:BJ659" si="1759">+BH651/BD651-1</f>
        <v>-7.0126357626036806E-2</v>
      </c>
      <c r="BI656" s="643">
        <f t="shared" si="1759"/>
        <v>-1.9274494429062816E-2</v>
      </c>
      <c r="BJ656" s="643">
        <f t="shared" si="1759"/>
        <v>-4.5904971253755811E-2</v>
      </c>
      <c r="BK656" s="300"/>
      <c r="BL656" s="643">
        <f t="shared" ref="BL656:BP659" si="1760">+BL651/BH651-1</f>
        <v>-1.3574660633484115E-2</v>
      </c>
      <c r="BM656" s="643">
        <f t="shared" si="1760"/>
        <v>-0.12264150943396224</v>
      </c>
      <c r="BN656" s="643">
        <f t="shared" si="1760"/>
        <v>-6.6974595842956175E-2</v>
      </c>
      <c r="BO656" s="300"/>
      <c r="BP656" s="643">
        <f t="shared" si="1760"/>
        <v>-0.12844036697247707</v>
      </c>
      <c r="BQ656" s="643">
        <f t="shared" ref="BQ656:BR659" si="1761">+BQ651/BM651-1</f>
        <v>-2.1505376344086002E-2</v>
      </c>
      <c r="BR656" s="643">
        <f t="shared" si="1761"/>
        <v>-7.9207920792079167E-2</v>
      </c>
      <c r="BS656" s="300"/>
      <c r="BT656" s="643">
        <f t="shared" ref="BT656:BX659" si="1762">+BT651/BP651-1</f>
        <v>-6.8421052631578938E-2</v>
      </c>
      <c r="BU656" s="643">
        <f t="shared" si="1762"/>
        <v>-7.6923076923076872E-2</v>
      </c>
      <c r="BV656" s="643">
        <f t="shared" si="1762"/>
        <v>-7.2580645161290369E-2</v>
      </c>
      <c r="BW656" s="300"/>
      <c r="BX656" s="643">
        <f t="shared" si="1762"/>
        <v>-3.3898305084745783E-2</v>
      </c>
      <c r="BY656" s="643">
        <f t="shared" ref="BY656:BZ659" si="1763">+BY651/BU651-1</f>
        <v>-7.7380952380952328E-2</v>
      </c>
      <c r="BZ656" s="643">
        <f t="shared" si="1763"/>
        <v>-5.507246376811592E-2</v>
      </c>
      <c r="CA656" s="300"/>
      <c r="CB656" s="643">
        <f>+CB651/BX651-1</f>
        <v>0.19883040935672525</v>
      </c>
      <c r="CC656" s="643">
        <f t="shared" ref="CC656:CC659" si="1764">+CC651/BY651-1</f>
        <v>0.40645161290322585</v>
      </c>
      <c r="CD656" s="643">
        <f t="shared" ref="CD656:CD659" si="1765">+CD651/BZ651-1</f>
        <v>0.29754601226993871</v>
      </c>
      <c r="CE656" s="300"/>
      <c r="CF656" s="643">
        <f>+CF651/CB651-1</f>
        <v>6.8292682926829329E-2</v>
      </c>
      <c r="CG656" s="643">
        <f t="shared" ref="CG656:CG659" si="1766">+CG651/CC651-1</f>
        <v>-7.3394495412844041E-2</v>
      </c>
      <c r="CH656" s="643">
        <f t="shared" ref="CH656:CH659" si="1767">+CH651/CD651-1</f>
        <v>-4.7281323877068626E-3</v>
      </c>
      <c r="CI656" s="300"/>
      <c r="CJ656" s="643">
        <f>+CJ651/CF651-1</f>
        <v>-0.16438356164383561</v>
      </c>
      <c r="CK656" s="643">
        <f t="shared" ref="CK656:CK659" si="1768">+CK651/CG651-1</f>
        <v>-0.14851485148514854</v>
      </c>
      <c r="CL656" s="643">
        <f t="shared" ref="CL656:CL659" si="1769">+CL651/CH651-1</f>
        <v>-0.15676959619952491</v>
      </c>
      <c r="CM656" s="300"/>
      <c r="CN656" s="643">
        <f>+CN651/CJ651-1</f>
        <v>7.6502732240437243E-2</v>
      </c>
      <c r="CO656" s="643">
        <f t="shared" ref="CO656:CO659" si="1770">+CO651/CK651-1</f>
        <v>0.12209302325581395</v>
      </c>
      <c r="CP656" s="643">
        <f t="shared" ref="CP656:CP659" si="1771">+CP651/CL651-1</f>
        <v>9.8591549295774739E-2</v>
      </c>
      <c r="CQ656" s="300"/>
      <c r="CR656" s="643">
        <f>+CR651/CN651-1</f>
        <v>0.11167512690355319</v>
      </c>
      <c r="CS656" s="643">
        <f t="shared" ref="CS656:CS659" si="1772">+CS651/CO651-1</f>
        <v>0.17616580310880825</v>
      </c>
      <c r="CT656" s="643">
        <f t="shared" ref="CT656:CT659" si="1773">+CT651/CP651-1</f>
        <v>0.14358974358974352</v>
      </c>
      <c r="CU656" s="300"/>
      <c r="CV656" s="643">
        <f>+CV651/CR651-1</f>
        <v>0.19634703196347036</v>
      </c>
      <c r="CW656" s="643">
        <f t="shared" ref="CW656:CW659" si="1774">+CW651/CS651-1</f>
        <v>0.1806167400881058</v>
      </c>
      <c r="CX656" s="643">
        <f t="shared" ref="CX656:CX659" si="1775">+CX651/CT651-1</f>
        <v>0.18834080717488799</v>
      </c>
      <c r="CY656" s="300"/>
      <c r="CZ656" s="643">
        <f>+CZ651/CV651-1</f>
        <v>0.22519083969465647</v>
      </c>
      <c r="DA656" s="643">
        <f t="shared" ref="DA656:DA659" si="1776">+DA651/CW651-1</f>
        <v>0.17164179104477606</v>
      </c>
      <c r="DB656" s="643">
        <f t="shared" ref="DB656:DB659" si="1777">+DB651/CX651-1</f>
        <v>0.19811320754716988</v>
      </c>
      <c r="DC656" s="300"/>
      <c r="DD656" s="643">
        <f>+DD651/CZ651-1</f>
        <v>-8.411214953271029E-2</v>
      </c>
      <c r="DE656" s="643">
        <f t="shared" ref="DE656:DE659" si="1778">+DE651/DA651-1</f>
        <v>-0.1847133757961783</v>
      </c>
      <c r="DF656" s="643">
        <f t="shared" ref="DF656:DF659" si="1779">+DF651/DB651-1</f>
        <v>-0.13385826771653542</v>
      </c>
      <c r="DG656" s="300"/>
      <c r="DH656" s="643">
        <f>+DH651/DD651-1</f>
        <v>-0.20408163265306123</v>
      </c>
      <c r="DI656" s="656">
        <v>-0.02</v>
      </c>
      <c r="DJ656" s="643">
        <f>+DJ651/DF651-1</f>
        <v>-0.11840000000000006</v>
      </c>
      <c r="DK656" s="300"/>
      <c r="DL656" s="656">
        <v>0.03</v>
      </c>
      <c r="DM656" s="656">
        <v>0.03</v>
      </c>
      <c r="DN656" s="643">
        <f>+DN651/DJ651-1</f>
        <v>3.0000000000000027E-2</v>
      </c>
      <c r="DO656" s="300"/>
      <c r="DP656" s="656">
        <v>0.03</v>
      </c>
      <c r="DQ656" s="656">
        <v>0.03</v>
      </c>
      <c r="DR656" s="643">
        <f>+DR651/DN651-1</f>
        <v>3.0000000000000027E-2</v>
      </c>
      <c r="DS656" s="300"/>
      <c r="DT656" s="300"/>
      <c r="DU656" s="300"/>
      <c r="DV656" s="300"/>
      <c r="DW656" s="1211" t="s">
        <v>175</v>
      </c>
      <c r="DX656" s="643"/>
      <c r="DY656" s="643"/>
      <c r="DZ656" s="300"/>
      <c r="EA656" s="643"/>
      <c r="EB656" s="643"/>
      <c r="EC656" s="643"/>
      <c r="ED656" s="300"/>
      <c r="EE656" s="643"/>
      <c r="EF656" s="643"/>
      <c r="EG656" s="643"/>
      <c r="EH656" s="300"/>
      <c r="EI656" s="643"/>
      <c r="EJ656" s="643"/>
      <c r="EK656" s="643"/>
      <c r="EL656" s="300"/>
      <c r="EM656" s="300"/>
      <c r="EN656" s="300"/>
      <c r="EO656" s="300"/>
      <c r="EP656" s="300"/>
      <c r="EQ656" s="300"/>
      <c r="ER656" s="300"/>
      <c r="ES656" s="300"/>
      <c r="ET656" s="300"/>
      <c r="EU656" s="300"/>
      <c r="JW656"/>
    </row>
    <row r="657" spans="1:283" s="323" customFormat="1">
      <c r="A657" s="1079" t="str">
        <f>A652</f>
        <v>Brokerage and commission expenses</v>
      </c>
      <c r="AN657" s="115"/>
      <c r="AO657" s="115"/>
      <c r="AP657" s="115"/>
      <c r="AQ657" s="115"/>
      <c r="AR657" s="648"/>
      <c r="AS657" s="648"/>
      <c r="AT657" s="648"/>
      <c r="AU657" s="115"/>
      <c r="AV657" s="648">
        <f t="shared" si="1756"/>
        <v>-2.9850746268656692E-2</v>
      </c>
      <c r="AW657" s="648">
        <f t="shared" si="1756"/>
        <v>-0.23287671232876717</v>
      </c>
      <c r="AX657" s="648">
        <f t="shared" si="1756"/>
        <v>-0.13571428571428568</v>
      </c>
      <c r="AY657" s="115"/>
      <c r="AZ657" s="648">
        <f t="shared" si="1757"/>
        <v>0.15384615384615374</v>
      </c>
      <c r="BA657" s="648">
        <f t="shared" si="1757"/>
        <v>0.3214285714285714</v>
      </c>
      <c r="BB657" s="648">
        <f t="shared" si="1757"/>
        <v>0.23140495867768585</v>
      </c>
      <c r="BC657" s="115"/>
      <c r="BD657" s="648">
        <f t="shared" si="1758"/>
        <v>5.3333333333333233E-2</v>
      </c>
      <c r="BE657" s="648">
        <f t="shared" si="1758"/>
        <v>0.14864864864864868</v>
      </c>
      <c r="BF657" s="648">
        <f t="shared" si="1758"/>
        <v>0.10067114093959728</v>
      </c>
      <c r="BG657" s="115"/>
      <c r="BH657" s="648">
        <f t="shared" si="1759"/>
        <v>0.139240506329114</v>
      </c>
      <c r="BI657" s="648">
        <f t="shared" si="1759"/>
        <v>-0.19999999999999996</v>
      </c>
      <c r="BJ657" s="648">
        <f t="shared" si="1759"/>
        <v>-3.6585365853658569E-2</v>
      </c>
      <c r="BK657" s="115"/>
      <c r="BL657" s="648">
        <f t="shared" si="1760"/>
        <v>-2.2222222222222254E-2</v>
      </c>
      <c r="BM657" s="648">
        <f t="shared" si="1760"/>
        <v>0.17647058823529416</v>
      </c>
      <c r="BN657" s="648">
        <f t="shared" si="1760"/>
        <v>6.3291139240506222E-2</v>
      </c>
      <c r="BO657" s="115"/>
      <c r="BP657" s="648">
        <f t="shared" si="1760"/>
        <v>7.9545454545454586E-2</v>
      </c>
      <c r="BQ657" s="648">
        <f t="shared" si="1761"/>
        <v>0.28750000000000009</v>
      </c>
      <c r="BR657" s="648">
        <f t="shared" si="1761"/>
        <v>0.1785714285714286</v>
      </c>
      <c r="BS657" s="115"/>
      <c r="BT657" s="648">
        <f t="shared" si="1762"/>
        <v>7.3684210526315796E-2</v>
      </c>
      <c r="BU657" s="648">
        <f t="shared" si="1762"/>
        <v>1.9417475728155331E-2</v>
      </c>
      <c r="BV657" s="648">
        <f t="shared" si="1762"/>
        <v>4.5454545454545414E-2</v>
      </c>
      <c r="BW657" s="115"/>
      <c r="BX657" s="648">
        <f t="shared" si="1762"/>
        <v>2.9411764705882248E-2</v>
      </c>
      <c r="BY657" s="648">
        <f t="shared" si="1763"/>
        <v>-1.9047619047619091E-2</v>
      </c>
      <c r="BZ657" s="648">
        <f t="shared" si="1763"/>
        <v>4.8309178743961567E-3</v>
      </c>
      <c r="CA657" s="115"/>
      <c r="CB657" s="648">
        <f>+CB652/BX652-1</f>
        <v>-9.52380952380949E-3</v>
      </c>
      <c r="CC657" s="648">
        <f t="shared" si="1764"/>
        <v>5.8252427184465994E-2</v>
      </c>
      <c r="CD657" s="648">
        <f t="shared" si="1765"/>
        <v>2.4038461538461453E-2</v>
      </c>
      <c r="CE657" s="115"/>
      <c r="CF657" s="648">
        <f>+CF652/CB652-1</f>
        <v>3.8461538461538547E-2</v>
      </c>
      <c r="CG657" s="648">
        <f t="shared" si="1766"/>
        <v>-9.1743119266054496E-3</v>
      </c>
      <c r="CH657" s="648">
        <f t="shared" si="1767"/>
        <v>1.4084507042253502E-2</v>
      </c>
      <c r="CI657" s="115"/>
      <c r="CJ657" s="648">
        <f>+CJ652/CF652-1</f>
        <v>-0.19444444444444442</v>
      </c>
      <c r="CK657" s="648">
        <f t="shared" si="1768"/>
        <v>-0.21296296296296291</v>
      </c>
      <c r="CL657" s="648">
        <f t="shared" si="1769"/>
        <v>-0.20370370370370372</v>
      </c>
      <c r="CM657" s="115"/>
      <c r="CN657" s="648">
        <f>+CN652/CJ652-1</f>
        <v>-6.8965517241379337E-2</v>
      </c>
      <c r="CO657" s="648">
        <f t="shared" si="1770"/>
        <v>-0.28235294117647058</v>
      </c>
      <c r="CP657" s="648">
        <f t="shared" si="1771"/>
        <v>-0.17441860465116277</v>
      </c>
      <c r="CQ657" s="115"/>
      <c r="CR657" s="648">
        <f>+CR652/CN652-1</f>
        <v>-0.34567901234567899</v>
      </c>
      <c r="CS657" s="648">
        <f t="shared" si="1772"/>
        <v>-0.13114754098360659</v>
      </c>
      <c r="CT657" s="648">
        <f t="shared" si="1773"/>
        <v>-0.25352112676056338</v>
      </c>
      <c r="CU657" s="115"/>
      <c r="CV657" s="648">
        <f>+CV652/CR652-1</f>
        <v>0.1132075471698113</v>
      </c>
      <c r="CW657" s="648">
        <f t="shared" si="1774"/>
        <v>0.24528301886792447</v>
      </c>
      <c r="CX657" s="648">
        <f t="shared" si="1775"/>
        <v>0.179245283018868</v>
      </c>
      <c r="CY657" s="115"/>
      <c r="CZ657" s="648">
        <f>+CZ652/CV652-1</f>
        <v>0.10169491525423724</v>
      </c>
      <c r="DA657" s="648">
        <f t="shared" si="1776"/>
        <v>0.22727272727272729</v>
      </c>
      <c r="DB657" s="648">
        <f t="shared" si="1777"/>
        <v>0.16799999999999993</v>
      </c>
      <c r="DC657" s="115"/>
      <c r="DD657" s="648">
        <f>+DD652/CZ652-1</f>
        <v>0.29230769230769238</v>
      </c>
      <c r="DE657" s="648">
        <f t="shared" si="1778"/>
        <v>0.13580246913580241</v>
      </c>
      <c r="DF657" s="648">
        <f t="shared" si="1779"/>
        <v>0.20547945205479445</v>
      </c>
      <c r="DG657" s="115"/>
      <c r="DH657" s="648">
        <f>+DH652/DD652-1</f>
        <v>9.5238095238095344E-2</v>
      </c>
      <c r="DI657" s="648">
        <f>+DI652/DE652-1</f>
        <v>5.3065217391303765E-3</v>
      </c>
      <c r="DJ657" s="648">
        <f>+DJ652/DF652-1</f>
        <v>4.8228409090909086E-2</v>
      </c>
      <c r="DK657" s="115"/>
      <c r="DL657" s="648">
        <f>+DL652/DH652-1</f>
        <v>7.7083152173912817E-2</v>
      </c>
      <c r="DM657" s="648">
        <f>+DM652/DI652-1</f>
        <v>5.7088006902502375E-2</v>
      </c>
      <c r="DN657" s="648">
        <f>+DN652/DJ652-1</f>
        <v>6.7059123564542356E-2</v>
      </c>
      <c r="DO657" s="115"/>
      <c r="DP657" s="648">
        <f>+DP652/DL652-1</f>
        <v>5.6829071874370918E-2</v>
      </c>
      <c r="DQ657" s="648">
        <f>+DQ652/DM652-1</f>
        <v>5.710753245481226E-2</v>
      </c>
      <c r="DR657" s="648">
        <f>+DR652/DN652-1</f>
        <v>5.6967366123275465E-2</v>
      </c>
      <c r="DS657" s="115"/>
      <c r="DT657" s="115"/>
      <c r="DU657" s="115"/>
      <c r="DV657" s="115"/>
      <c r="DW657" s="1214" t="s">
        <v>514</v>
      </c>
      <c r="DX657" s="648"/>
      <c r="DY657" s="648"/>
      <c r="DZ657" s="115"/>
      <c r="EA657" s="648"/>
      <c r="EB657" s="648"/>
      <c r="EC657" s="648"/>
      <c r="ED657" s="115"/>
      <c r="EE657" s="648"/>
      <c r="EF657" s="648"/>
      <c r="EG657" s="648"/>
      <c r="EH657" s="115"/>
      <c r="EI657" s="648"/>
      <c r="EJ657" s="648"/>
      <c r="EK657" s="648"/>
      <c r="EL657" s="115"/>
      <c r="EM657" s="115"/>
      <c r="EN657" s="115"/>
      <c r="EO657" s="115"/>
      <c r="EP657" s="115"/>
      <c r="EQ657" s="115"/>
      <c r="ER657" s="115"/>
      <c r="ES657" s="115"/>
      <c r="ET657" s="115"/>
      <c r="EU657" s="115"/>
      <c r="JW657"/>
    </row>
    <row r="658" spans="1:283" s="642" customFormat="1">
      <c r="A658" s="1210" t="str">
        <f>A653</f>
        <v>Other operating &amp; IT expenses</v>
      </c>
      <c r="AN658" s="300"/>
      <c r="AO658" s="300"/>
      <c r="AP658" s="300"/>
      <c r="AQ658" s="300"/>
      <c r="AR658" s="643"/>
      <c r="AS658" s="643"/>
      <c r="AT658" s="643"/>
      <c r="AU658" s="300"/>
      <c r="AV658" s="643">
        <f t="shared" si="1756"/>
        <v>0.10439560439560447</v>
      </c>
      <c r="AW658" s="643">
        <f t="shared" si="1756"/>
        <v>0.39560439560439553</v>
      </c>
      <c r="AX658" s="643">
        <f t="shared" si="1756"/>
        <v>0.25</v>
      </c>
      <c r="AY658" s="300"/>
      <c r="AZ658" s="643">
        <f t="shared" si="1757"/>
        <v>0.308457711442786</v>
      </c>
      <c r="BA658" s="643">
        <f t="shared" si="1757"/>
        <v>0.16535433070866135</v>
      </c>
      <c r="BB658" s="643">
        <f t="shared" si="1757"/>
        <v>0.22857142857142865</v>
      </c>
      <c r="BC658" s="300"/>
      <c r="BD658" s="643">
        <f t="shared" si="1758"/>
        <v>-7.8593155893536104E-2</v>
      </c>
      <c r="BE658" s="643">
        <f t="shared" si="1758"/>
        <v>-0.20270270270270274</v>
      </c>
      <c r="BF658" s="643">
        <f t="shared" si="1758"/>
        <v>-0.14431127012522349</v>
      </c>
      <c r="BG658" s="300"/>
      <c r="BH658" s="643">
        <f t="shared" si="1759"/>
        <v>-9.2147072174307842E-2</v>
      </c>
      <c r="BI658" s="643">
        <f t="shared" si="1759"/>
        <v>4.237288135593209E-3</v>
      </c>
      <c r="BJ658" s="643">
        <f t="shared" si="1759"/>
        <v>-4.4592645244914686E-2</v>
      </c>
      <c r="BK658" s="300"/>
      <c r="BL658" s="643">
        <f t="shared" si="1760"/>
        <v>0.13636363636363646</v>
      </c>
      <c r="BM658" s="643">
        <f t="shared" si="1760"/>
        <v>4.2194092827003704E-3</v>
      </c>
      <c r="BN658" s="643">
        <f t="shared" si="1760"/>
        <v>6.7833698030634659E-2</v>
      </c>
      <c r="BO658" s="300"/>
      <c r="BP658" s="643">
        <f t="shared" si="1760"/>
        <v>-4.4000000000000039E-2</v>
      </c>
      <c r="BQ658" s="643">
        <f t="shared" si="1761"/>
        <v>5.4621848739495826E-2</v>
      </c>
      <c r="BR658" s="643">
        <f t="shared" si="1761"/>
        <v>4.098360655737654E-3</v>
      </c>
      <c r="BS658" s="300"/>
      <c r="BT658" s="643">
        <f t="shared" si="1762"/>
        <v>0.20083682008368209</v>
      </c>
      <c r="BU658" s="643">
        <f t="shared" si="1762"/>
        <v>9.5617529880478003E-2</v>
      </c>
      <c r="BV658" s="643">
        <f t="shared" si="1762"/>
        <v>0.14693877551020407</v>
      </c>
      <c r="BW658" s="300"/>
      <c r="BX658" s="643">
        <f t="shared" si="1762"/>
        <v>0.19163763066202089</v>
      </c>
      <c r="BY658" s="643">
        <f t="shared" si="1763"/>
        <v>-5.8181818181818223E-2</v>
      </c>
      <c r="BZ658" s="643">
        <f t="shared" si="1763"/>
        <v>6.9395017793594249E-2</v>
      </c>
      <c r="CA658" s="300"/>
      <c r="CB658" s="643">
        <f>+CB653/BX653-1</f>
        <v>-4.0935672514619936E-2</v>
      </c>
      <c r="CC658" s="643">
        <f t="shared" si="1764"/>
        <v>0.25482625482625476</v>
      </c>
      <c r="CD658" s="643">
        <f t="shared" si="1765"/>
        <v>8.652246256239593E-2</v>
      </c>
      <c r="CE658" s="300"/>
      <c r="CF658" s="643">
        <f>+CF653/CB653-1</f>
        <v>5.4878048780487854E-2</v>
      </c>
      <c r="CG658" s="643">
        <f t="shared" si="1766"/>
        <v>0.12000000000000011</v>
      </c>
      <c r="CH658" s="643">
        <f t="shared" si="1767"/>
        <v>8.7289433384379889E-2</v>
      </c>
      <c r="CI658" s="300"/>
      <c r="CJ658" s="643">
        <f>+CJ653/CF653-1</f>
        <v>5.7803468208092568E-2</v>
      </c>
      <c r="CK658" s="643">
        <f t="shared" si="1768"/>
        <v>2.7472527472527375E-2</v>
      </c>
      <c r="CL658" s="643">
        <f t="shared" si="1769"/>
        <v>4.2253521126760507E-2</v>
      </c>
      <c r="CM658" s="300"/>
      <c r="CN658" s="643">
        <f>+CN653/CJ653-1</f>
        <v>6.5573770491803351E-2</v>
      </c>
      <c r="CO658" s="643">
        <f t="shared" si="1770"/>
        <v>2.9411764705882248E-2</v>
      </c>
      <c r="CP658" s="643">
        <f t="shared" si="1771"/>
        <v>4.7297297297297369E-2</v>
      </c>
      <c r="CQ658" s="300"/>
      <c r="CR658" s="643">
        <f>+CR653/CN653-1</f>
        <v>4.8717948717948767E-2</v>
      </c>
      <c r="CS658" s="643">
        <f t="shared" si="1772"/>
        <v>0.2961038961038962</v>
      </c>
      <c r="CT658" s="643">
        <f t="shared" si="1773"/>
        <v>0.17161290322580647</v>
      </c>
      <c r="CU658" s="300"/>
      <c r="CV658" s="643">
        <f>+CV653/CR653-1</f>
        <v>0.27628361858190709</v>
      </c>
      <c r="CW658" s="643">
        <f t="shared" si="1774"/>
        <v>0.16833667334669333</v>
      </c>
      <c r="CX658" s="643">
        <f t="shared" si="1775"/>
        <v>0.21696035242290757</v>
      </c>
      <c r="CY658" s="300"/>
      <c r="CZ658" s="643">
        <f>+CZ653/CV653-1</f>
        <v>0.1206896551724137</v>
      </c>
      <c r="DA658" s="643">
        <f t="shared" si="1776"/>
        <v>3.2590051457975999E-2</v>
      </c>
      <c r="DB658" s="643">
        <f t="shared" si="1777"/>
        <v>7.4208144796380049E-2</v>
      </c>
      <c r="DC658" s="300"/>
      <c r="DD658" s="643">
        <f>+DD653/CZ653-1</f>
        <v>-4.6153846153846101E-2</v>
      </c>
      <c r="DE658" s="643">
        <f t="shared" si="1778"/>
        <v>-4.8172757475083094E-2</v>
      </c>
      <c r="DF658" s="643">
        <f t="shared" si="1779"/>
        <v>-4.7177759056444835E-2</v>
      </c>
      <c r="DG658" s="300"/>
      <c r="DH658" s="643">
        <f>+DH653/DD653-1</f>
        <v>0.14516129032258074</v>
      </c>
      <c r="DI658" s="656">
        <v>0.05</v>
      </c>
      <c r="DJ658" s="643">
        <f>+DJ653/DF653-1</f>
        <v>9.6949602122015976E-2</v>
      </c>
      <c r="DK658" s="300"/>
      <c r="DL658" s="656">
        <v>0.03</v>
      </c>
      <c r="DM658" s="656">
        <v>0.03</v>
      </c>
      <c r="DN658" s="643">
        <f>+DN653/DJ653-1</f>
        <v>3.0000000000000027E-2</v>
      </c>
      <c r="DO658" s="300"/>
      <c r="DP658" s="656">
        <v>0.03</v>
      </c>
      <c r="DQ658" s="656">
        <v>0.03</v>
      </c>
      <c r="DR658" s="643">
        <f>+DR653/DN653-1</f>
        <v>3.0000000000000027E-2</v>
      </c>
      <c r="DS658" s="300"/>
      <c r="DT658" s="300"/>
      <c r="DU658" s="300"/>
      <c r="DV658" s="300"/>
      <c r="DW658" s="1211" t="s">
        <v>175</v>
      </c>
      <c r="DX658" s="643"/>
      <c r="DY658" s="643"/>
      <c r="DZ658" s="300"/>
      <c r="EA658" s="643"/>
      <c r="EB658" s="643"/>
      <c r="EC658" s="643"/>
      <c r="ED658" s="300"/>
      <c r="EE658" s="643"/>
      <c r="EF658" s="643"/>
      <c r="EG658" s="643"/>
      <c r="EH658" s="300"/>
      <c r="EI658" s="643"/>
      <c r="EJ658" s="643"/>
      <c r="EK658" s="643"/>
      <c r="EL658" s="300"/>
      <c r="EM658" s="300"/>
      <c r="EN658" s="300"/>
      <c r="EO658" s="300"/>
      <c r="EP658" s="300"/>
      <c r="EQ658" s="300"/>
      <c r="ER658" s="300"/>
      <c r="ES658" s="300"/>
      <c r="ET658" s="300"/>
      <c r="EU658" s="300"/>
      <c r="JW658"/>
    </row>
    <row r="659" spans="1:283" s="328" customFormat="1">
      <c r="A659" s="328" t="str">
        <f>A654</f>
        <v>Total Expenses</v>
      </c>
      <c r="AN659" s="581"/>
      <c r="AO659" s="581"/>
      <c r="AP659" s="581"/>
      <c r="AQ659" s="581"/>
      <c r="AR659" s="650"/>
      <c r="AS659" s="650"/>
      <c r="AT659" s="650"/>
      <c r="AU659" s="581"/>
      <c r="AV659" s="650">
        <f t="shared" si="1756"/>
        <v>-3.2397408207343381E-2</v>
      </c>
      <c r="AW659" s="650">
        <f t="shared" si="1756"/>
        <v>0.23218390804597711</v>
      </c>
      <c r="AX659" s="650">
        <f t="shared" si="1756"/>
        <v>9.5768374164810766E-2</v>
      </c>
      <c r="AY659" s="581"/>
      <c r="AZ659" s="650">
        <f t="shared" si="1757"/>
        <v>0.31993973214285698</v>
      </c>
      <c r="BA659" s="650">
        <f t="shared" si="1757"/>
        <v>0.16293526119402979</v>
      </c>
      <c r="BB659" s="650">
        <f t="shared" si="1757"/>
        <v>0.2344169715447153</v>
      </c>
      <c r="BC659" s="581"/>
      <c r="BD659" s="650">
        <f t="shared" si="1758"/>
        <v>-5.4683739957012256E-2</v>
      </c>
      <c r="BE659" s="650">
        <f t="shared" si="1758"/>
        <v>-0.13823551541366386</v>
      </c>
      <c r="BF659" s="650">
        <f t="shared" si="1758"/>
        <v>-9.7560210569767158E-2</v>
      </c>
      <c r="BG659" s="581"/>
      <c r="BH659" s="650">
        <f t="shared" si="1759"/>
        <v>-5.008383770422975E-2</v>
      </c>
      <c r="BI659" s="650">
        <f t="shared" si="1759"/>
        <v>-3.7542363494372899E-2</v>
      </c>
      <c r="BJ659" s="650">
        <f t="shared" si="1759"/>
        <v>-4.393798295728224E-2</v>
      </c>
      <c r="BK659" s="581"/>
      <c r="BL659" s="650">
        <f t="shared" si="1760"/>
        <v>4.7080979284369162E-2</v>
      </c>
      <c r="BM659" s="650">
        <f t="shared" si="1760"/>
        <v>-2.5145067698259194E-2</v>
      </c>
      <c r="BN659" s="650">
        <f t="shared" si="1760"/>
        <v>1.1450381679389388E-2</v>
      </c>
      <c r="BO659" s="581"/>
      <c r="BP659" s="650">
        <f t="shared" si="1760"/>
        <v>-5.7553956834532349E-2</v>
      </c>
      <c r="BQ659" s="650">
        <f t="shared" si="1761"/>
        <v>6.3492063492063489E-2</v>
      </c>
      <c r="BR659" s="650">
        <f t="shared" si="1761"/>
        <v>0</v>
      </c>
      <c r="BS659" s="581"/>
      <c r="BT659" s="650">
        <f t="shared" si="1762"/>
        <v>8.0152671755725269E-2</v>
      </c>
      <c r="BU659" s="650">
        <f t="shared" si="1762"/>
        <v>2.2388059701492491E-2</v>
      </c>
      <c r="BV659" s="650">
        <f t="shared" si="1762"/>
        <v>5.0943396226415194E-2</v>
      </c>
      <c r="BW659" s="581"/>
      <c r="BX659" s="650">
        <f t="shared" si="1762"/>
        <v>9.1872791519434616E-2</v>
      </c>
      <c r="BY659" s="650">
        <f t="shared" si="1763"/>
        <v>-5.6569343065693389E-2</v>
      </c>
      <c r="BZ659" s="650">
        <f t="shared" si="1763"/>
        <v>1.8850987432674993E-2</v>
      </c>
      <c r="CA659" s="581"/>
      <c r="CB659" s="650">
        <f>+CB654/BX654-1</f>
        <v>3.07443365695792E-2</v>
      </c>
      <c r="CC659" s="650">
        <f t="shared" si="1764"/>
        <v>0.26112185686653766</v>
      </c>
      <c r="CD659" s="650">
        <f t="shared" si="1765"/>
        <v>0.13568281938325999</v>
      </c>
      <c r="CE659" s="581"/>
      <c r="CF659" s="650">
        <f>+CF654/CB654-1</f>
        <v>5.6514913657770727E-2</v>
      </c>
      <c r="CG659" s="650">
        <f t="shared" si="1766"/>
        <v>3.3742331288343586E-2</v>
      </c>
      <c r="CH659" s="650">
        <f t="shared" si="1767"/>
        <v>4.4996121024049707E-2</v>
      </c>
      <c r="CI659" s="581"/>
      <c r="CJ659" s="650">
        <f>+CJ654/CF654-1</f>
        <v>-5.4977711738484425E-2</v>
      </c>
      <c r="CK659" s="650">
        <f t="shared" si="1768"/>
        <v>-6.3798219584569771E-2</v>
      </c>
      <c r="CL659" s="650">
        <f t="shared" si="1769"/>
        <v>-5.9391239792130679E-2</v>
      </c>
      <c r="CM659" s="581"/>
      <c r="CN659" s="650">
        <f>+CN654/CJ654-1</f>
        <v>5.031446540880502E-2</v>
      </c>
      <c r="CO659" s="650">
        <f t="shared" si="1770"/>
        <v>1.267828843106189E-2</v>
      </c>
      <c r="CP659" s="650">
        <f t="shared" si="1771"/>
        <v>3.1570639305446013E-2</v>
      </c>
      <c r="CQ659" s="581"/>
      <c r="CR659" s="650">
        <f>+CR654/CN654-1</f>
        <v>1.9461077844311392E-2</v>
      </c>
      <c r="CS659" s="650">
        <f t="shared" si="1772"/>
        <v>0.21909233176838816</v>
      </c>
      <c r="CT659" s="650">
        <f t="shared" si="1773"/>
        <v>0.11706197398622797</v>
      </c>
      <c r="CU659" s="581"/>
      <c r="CV659" s="650">
        <f>+CV654/CR654-1</f>
        <v>0.23788546255506615</v>
      </c>
      <c r="CW659" s="650">
        <f t="shared" si="1774"/>
        <v>0.17715019255455711</v>
      </c>
      <c r="CX659" s="650">
        <f t="shared" si="1775"/>
        <v>0.20547945205479445</v>
      </c>
      <c r="CY659" s="581"/>
      <c r="CZ659" s="650">
        <f>+CZ654/CV654-1</f>
        <v>0.1518386714116251</v>
      </c>
      <c r="DA659" s="650">
        <f t="shared" si="1776"/>
        <v>8.7241003271537609E-2</v>
      </c>
      <c r="DB659" s="650">
        <f t="shared" si="1777"/>
        <v>0.11818181818181817</v>
      </c>
      <c r="DC659" s="581"/>
      <c r="DD659" s="650">
        <f>+DD654/CZ654-1</f>
        <v>-3.6045314109165782E-2</v>
      </c>
      <c r="DE659" s="650">
        <f t="shared" si="1778"/>
        <v>-7.6228686058174566E-2</v>
      </c>
      <c r="DF659" s="650">
        <f t="shared" si="1779"/>
        <v>-5.6402439024390238E-2</v>
      </c>
      <c r="DG659" s="581"/>
      <c r="DH659" s="650">
        <f>+DH654/DD654-1</f>
        <v>3.0982905982905873E-2</v>
      </c>
      <c r="DI659" s="650">
        <f>+DI654/DE654-1</f>
        <v>2.6078393051031545E-2</v>
      </c>
      <c r="DJ659" s="650">
        <f>+DJ654/DF654-1</f>
        <v>2.855045772751752E-2</v>
      </c>
      <c r="DK659" s="581"/>
      <c r="DL659" s="650">
        <f>+DL654/DH654-1</f>
        <v>3.4488756476684035E-2</v>
      </c>
      <c r="DM659" s="650">
        <f>+DM654/DI654-1</f>
        <v>3.2651082275452437E-2</v>
      </c>
      <c r="DN659" s="650">
        <f>+DN654/DJ654-1</f>
        <v>3.3579531859958323E-2</v>
      </c>
      <c r="DO659" s="581"/>
      <c r="DP659" s="650">
        <f>+DP654/DL654-1</f>
        <v>3.2663113160499302E-2</v>
      </c>
      <c r="DQ659" s="650">
        <f>+DQ654/DM654-1</f>
        <v>3.2715774350011495E-2</v>
      </c>
      <c r="DR659" s="650">
        <f>+DR654/DN654-1</f>
        <v>3.2689144890792887E-2</v>
      </c>
      <c r="DS659" s="581"/>
      <c r="DT659" s="581"/>
      <c r="DU659" s="581"/>
      <c r="DV659" s="581"/>
      <c r="DW659" s="1212"/>
      <c r="DX659" s="682"/>
      <c r="DY659" s="682"/>
      <c r="DZ659" s="581"/>
      <c r="EA659" s="682"/>
      <c r="EB659" s="682"/>
      <c r="EC659" s="682"/>
      <c r="ED659" s="581"/>
      <c r="EE659" s="682"/>
      <c r="EF659" s="682"/>
      <c r="EG659" s="682"/>
      <c r="EH659" s="581"/>
      <c r="EI659" s="682"/>
      <c r="EJ659" s="682"/>
      <c r="EK659" s="682"/>
      <c r="EL659" s="581"/>
      <c r="EM659" s="581"/>
      <c r="EN659" s="581"/>
      <c r="EO659" s="581"/>
      <c r="EP659" s="581"/>
      <c r="EQ659" s="581"/>
      <c r="ER659" s="581"/>
      <c r="ES659" s="581"/>
      <c r="ET659" s="581"/>
      <c r="EU659" s="581"/>
      <c r="JW659"/>
    </row>
    <row r="660" spans="1:283">
      <c r="CR660" s="103"/>
      <c r="CS660" s="103"/>
      <c r="CT660" s="103"/>
      <c r="CV660" s="103"/>
      <c r="CW660" s="103"/>
      <c r="CX660" s="103"/>
      <c r="CZ660" s="103"/>
      <c r="DA660" s="103"/>
      <c r="DB660" s="103"/>
      <c r="DD660" s="103"/>
      <c r="DE660" s="103"/>
      <c r="DF660" s="103"/>
      <c r="DH660" s="103"/>
      <c r="DI660" s="103"/>
      <c r="DJ660" s="103"/>
      <c r="DL660" s="103"/>
      <c r="DM660" s="103"/>
      <c r="DN660" s="103"/>
      <c r="DP660" s="103"/>
      <c r="DQ660" s="103"/>
      <c r="DR660" s="103"/>
      <c r="DW660" s="1101"/>
    </row>
    <row r="661" spans="1:283" s="642" customFormat="1">
      <c r="A661" s="642" t="s">
        <v>507</v>
      </c>
      <c r="AN661" s="668"/>
      <c r="AO661" s="668"/>
      <c r="AP661" s="668"/>
      <c r="AQ661" s="300"/>
      <c r="AR661" s="668"/>
      <c r="AS661" s="668"/>
      <c r="AT661" s="668"/>
      <c r="AU661" s="300"/>
      <c r="AV661" s="668">
        <f>-AV652/AV627</f>
        <v>0.18055555555555555</v>
      </c>
      <c r="AW661" s="668">
        <f>-AW652/AW627</f>
        <v>0.15258855585831063</v>
      </c>
      <c r="AX661" s="668">
        <f>-AX652/AX627</f>
        <v>0.16643741403026135</v>
      </c>
      <c r="AY661" s="300"/>
      <c r="AZ661" s="668">
        <f>-AZ652/AZ627</f>
        <v>0.19083969465648856</v>
      </c>
      <c r="BA661" s="668">
        <f>-BA652/BA627</f>
        <v>0.20612813370473537</v>
      </c>
      <c r="BB661" s="668">
        <f>-BB652/BB627</f>
        <v>0.19813829787234041</v>
      </c>
      <c r="BC661" s="300"/>
      <c r="BD661" s="668">
        <f>-BD652/BD627</f>
        <v>0.22170459966884631</v>
      </c>
      <c r="BE661" s="668">
        <f>-BE652/BE627</f>
        <v>0.25525525525525528</v>
      </c>
      <c r="BF661" s="668">
        <f>-BF652/BF627</f>
        <v>0.23791217559079109</v>
      </c>
      <c r="BG661" s="300"/>
      <c r="BH661" s="668">
        <f>-BH652/BH627</f>
        <v>0.26785714285714285</v>
      </c>
      <c r="BI661" s="668">
        <f>-BI652/BI627</f>
        <v>0.22006472491909385</v>
      </c>
      <c r="BJ661" s="668">
        <f>-BJ652/BJ627</f>
        <v>0.24496124031007752</v>
      </c>
      <c r="BK661" s="300"/>
      <c r="BL661" s="668">
        <f>-BL652/BL627</f>
        <v>0.27760252365930599</v>
      </c>
      <c r="BM661" s="668">
        <f>-BM652/BM627</f>
        <v>0.30888030888030887</v>
      </c>
      <c r="BN661" s="668">
        <f>-BN652/BN627</f>
        <v>0.29166666666666669</v>
      </c>
      <c r="BO661" s="300"/>
      <c r="BP661" s="668">
        <f>-BP652/BP627</f>
        <v>0.36259541984732824</v>
      </c>
      <c r="BQ661" s="668">
        <f>-BQ652/BQ627</f>
        <v>0.38148148148148148</v>
      </c>
      <c r="BR661" s="668">
        <f>-BR652/BR627</f>
        <v>0.37218045112781956</v>
      </c>
      <c r="BS661" s="300"/>
      <c r="BT661" s="668">
        <f>-BT652/BT627</f>
        <v>0.36170212765957449</v>
      </c>
      <c r="BU661" s="668">
        <f>-BU652/BU627</f>
        <v>0.43032786885245899</v>
      </c>
      <c r="BV661" s="668">
        <f>-BV652/BV627</f>
        <v>0.39353612167300378</v>
      </c>
      <c r="BW661" s="300"/>
      <c r="BX661" s="668">
        <f>-BX652/BX627</f>
        <v>0.41015625</v>
      </c>
      <c r="BY661" s="668">
        <f>-BY652/BY627</f>
        <v>0.47685185185185186</v>
      </c>
      <c r="BZ661" s="668">
        <f>-BZ652/BZ627</f>
        <v>0.44067796610169491</v>
      </c>
      <c r="CA661" s="300"/>
      <c r="CB661" s="668">
        <f>-CB652/CB627</f>
        <v>0.41935483870967744</v>
      </c>
      <c r="CC661" s="668">
        <f>-CC652/CC627</f>
        <v>0.44672131147540983</v>
      </c>
      <c r="CD661" s="668">
        <f>-CD652/CD627</f>
        <v>0.43292682926829268</v>
      </c>
      <c r="CE661" s="300"/>
      <c r="CF661" s="668">
        <f>-CF652/CF627</f>
        <v>0.44262295081967212</v>
      </c>
      <c r="CG661" s="668">
        <f>-CG652/CG627</f>
        <v>0.46551724137931033</v>
      </c>
      <c r="CH661" s="668">
        <f>-CH652/CH627</f>
        <v>0.45378151260504201</v>
      </c>
      <c r="CI661" s="300"/>
      <c r="CJ661" s="668">
        <f>-CJ652/CJ627</f>
        <v>0.38495575221238937</v>
      </c>
      <c r="CK661" s="668">
        <f>-CK652/CK627</f>
        <v>0.38812785388127852</v>
      </c>
      <c r="CL661" s="668">
        <f>-CL652/CL627</f>
        <v>0.38651685393258428</v>
      </c>
      <c r="CM661" s="300"/>
      <c r="CN661" s="668">
        <f>-CN652/CN627</f>
        <v>0.39901477832512317</v>
      </c>
      <c r="CO661" s="668">
        <f>-CO652/CO627</f>
        <v>0.28240740740740738</v>
      </c>
      <c r="CP661" s="668">
        <f>-CP652/CP627</f>
        <v>0.33890214797136037</v>
      </c>
      <c r="CQ661" s="300"/>
      <c r="CR661" s="668">
        <f>-CR652/CR627</f>
        <v>0.24090909090909091</v>
      </c>
      <c r="CS661" s="668">
        <f>-CS652/CS627</f>
        <v>0.22362869198312235</v>
      </c>
      <c r="CT661" s="668">
        <f>-CT652/CT627</f>
        <v>0.23194748358862144</v>
      </c>
      <c r="CU661" s="300"/>
      <c r="CV661" s="668">
        <f>-CV652/CV627</f>
        <v>0.23694779116465864</v>
      </c>
      <c r="CW661" s="668">
        <f>-CW652/CW627</f>
        <v>0.25882352941176473</v>
      </c>
      <c r="CX661" s="668">
        <f>-CX652/CX627</f>
        <v>0.24801587301587302</v>
      </c>
      <c r="CY661" s="300"/>
      <c r="CZ661" s="668">
        <f>-CZ652/CZ627</f>
        <v>0.23809523809523808</v>
      </c>
      <c r="DA661" s="668">
        <f>-DA652/DA627</f>
        <v>0.28825622775800713</v>
      </c>
      <c r="DB661" s="668">
        <f>-DB652/DB627</f>
        <v>0.26353790613718414</v>
      </c>
      <c r="DC661" s="300"/>
      <c r="DD661" s="668">
        <f>-DD652/DD627</f>
        <v>0.27631578947368424</v>
      </c>
      <c r="DE661" s="668">
        <f>-DE652/DE627</f>
        <v>0.29967426710097722</v>
      </c>
      <c r="DF661" s="668">
        <f>-DF652/DF627</f>
        <v>0.28805237315875615</v>
      </c>
      <c r="DG661" s="300"/>
      <c r="DH661" s="668">
        <f>-DH652/DH627</f>
        <v>0.2796352583586626</v>
      </c>
      <c r="DI661" s="670">
        <v>0.28499999999999998</v>
      </c>
      <c r="DJ661" s="668">
        <f t="shared" ref="DJ661" si="1780">-DJ652/DJ627</f>
        <v>0.28229924103317422</v>
      </c>
      <c r="DK661" s="300"/>
      <c r="DL661" s="670">
        <v>0.28499999999999998</v>
      </c>
      <c r="DM661" s="670">
        <v>0.28499999999999998</v>
      </c>
      <c r="DN661" s="668">
        <f t="shared" ref="DN661" si="1781">-DN652/DN627</f>
        <v>0.28499999999999998</v>
      </c>
      <c r="DO661" s="300"/>
      <c r="DP661" s="670">
        <v>0.28499999999999998</v>
      </c>
      <c r="DQ661" s="670">
        <v>0.28499999999999998</v>
      </c>
      <c r="DR661" s="668">
        <f t="shared" ref="DR661" si="1782">-DR652/DR627</f>
        <v>0.28499999999999998</v>
      </c>
      <c r="DS661" s="300"/>
      <c r="DT661" s="300"/>
      <c r="DU661" s="300"/>
      <c r="DV661" s="300"/>
      <c r="DW661" s="1215" t="s">
        <v>175</v>
      </c>
      <c r="DX661" s="300"/>
      <c r="DY661" s="300"/>
      <c r="DZ661" s="300"/>
      <c r="EA661" s="300"/>
      <c r="EB661" s="300"/>
      <c r="EC661" s="300"/>
      <c r="ED661" s="300"/>
      <c r="EE661" s="300"/>
      <c r="EF661" s="300"/>
      <c r="EG661" s="300"/>
      <c r="EH661" s="300"/>
      <c r="EI661" s="300"/>
      <c r="EJ661" s="300"/>
      <c r="EK661" s="300"/>
      <c r="EL661" s="300"/>
      <c r="EM661" s="300"/>
      <c r="EN661" s="300"/>
      <c r="EO661" s="300"/>
      <c r="EP661" s="300"/>
      <c r="EQ661" s="300"/>
      <c r="ER661" s="300"/>
      <c r="ES661" s="300"/>
      <c r="ET661" s="300"/>
      <c r="EU661" s="300"/>
      <c r="JW661"/>
    </row>
    <row r="662" spans="1:283">
      <c r="CR662" s="103"/>
      <c r="CS662" s="103"/>
      <c r="CT662" s="103"/>
      <c r="CV662" s="103"/>
      <c r="CW662" s="103"/>
      <c r="CX662" s="103"/>
      <c r="CZ662" s="103"/>
      <c r="DA662" s="103"/>
      <c r="DB662" s="103"/>
      <c r="DD662" s="103"/>
      <c r="DE662" s="103"/>
      <c r="DF662" s="103"/>
      <c r="DH662" s="103"/>
      <c r="DI662" s="103"/>
      <c r="DJ662" s="103"/>
      <c r="DL662" s="103"/>
      <c r="DM662" s="103"/>
      <c r="DN662" s="103"/>
      <c r="DP662" s="103"/>
      <c r="DQ662" s="103"/>
      <c r="DR662" s="103"/>
    </row>
    <row r="663" spans="1:283">
      <c r="CR663" s="103"/>
      <c r="CS663" s="103"/>
      <c r="CT663" s="103"/>
      <c r="CV663" s="103"/>
      <c r="CW663" s="103"/>
      <c r="CX663" s="103"/>
      <c r="CZ663" s="103"/>
      <c r="DA663" s="103"/>
      <c r="DB663" s="103"/>
      <c r="DD663" s="103"/>
      <c r="DE663" s="103"/>
      <c r="DF663" s="103"/>
      <c r="DH663" s="103"/>
      <c r="DI663" s="103"/>
      <c r="DJ663" s="103"/>
      <c r="DL663" s="103"/>
      <c r="DM663" s="103"/>
      <c r="DN663" s="103"/>
      <c r="DP663" s="103"/>
      <c r="DQ663" s="103"/>
      <c r="DR663" s="103"/>
    </row>
    <row r="664" spans="1:283" s="1193" customFormat="1">
      <c r="A664" s="1216" t="s">
        <v>1228</v>
      </c>
      <c r="AN664" s="1194"/>
      <c r="AO664" s="1194"/>
      <c r="AP664" s="1195"/>
      <c r="AQ664" s="1194"/>
      <c r="AR664" s="1194"/>
      <c r="AS664" s="1194"/>
      <c r="AT664" s="1195"/>
      <c r="AU664" s="1194"/>
      <c r="AV664" s="1194"/>
      <c r="AW664" s="1194"/>
      <c r="AX664" s="1195"/>
      <c r="AY664" s="1194"/>
      <c r="AZ664" s="1194"/>
      <c r="BA664" s="1194"/>
      <c r="BB664" s="1195"/>
      <c r="BC664" s="1194"/>
      <c r="BD664" s="1194"/>
      <c r="BE664" s="1194"/>
      <c r="BF664" s="1195"/>
      <c r="BG664" s="1194"/>
      <c r="BH664" s="1194"/>
      <c r="BI664" s="1194"/>
      <c r="BJ664" s="1195"/>
      <c r="BK664" s="1194"/>
      <c r="BL664" s="1194"/>
      <c r="BM664" s="1194"/>
      <c r="BN664" s="1195"/>
      <c r="BO664" s="1194"/>
      <c r="BP664" s="1194"/>
      <c r="BQ664" s="1194"/>
      <c r="BR664" s="1195"/>
      <c r="BS664" s="1194"/>
      <c r="BT664" s="1194"/>
      <c r="BU664" s="1194"/>
      <c r="BV664" s="1195"/>
      <c r="BW664" s="1194"/>
      <c r="BX664" s="1194"/>
      <c r="BY664" s="1194"/>
      <c r="BZ664" s="1195"/>
      <c r="CA664" s="1194"/>
      <c r="CB664" s="1194"/>
      <c r="CC664" s="1194"/>
      <c r="CD664" s="1195"/>
      <c r="CE664" s="1194"/>
      <c r="CF664" s="1194"/>
      <c r="CG664" s="1194"/>
      <c r="CH664" s="1195"/>
      <c r="CI664" s="1194"/>
      <c r="CJ664" s="1194"/>
      <c r="CK664" s="1194"/>
      <c r="CL664" s="1195"/>
      <c r="CM664" s="1194"/>
      <c r="CN664" s="1194"/>
      <c r="CO664" s="1194"/>
      <c r="CP664" s="1195"/>
      <c r="CQ664" s="1194"/>
      <c r="CR664" s="1194"/>
      <c r="CS664" s="1194"/>
      <c r="CT664" s="1195"/>
      <c r="CU664" s="1194"/>
      <c r="CV664" s="1194"/>
      <c r="CW664" s="1194"/>
      <c r="CX664" s="1195"/>
      <c r="CY664" s="1194"/>
      <c r="CZ664" s="1194"/>
      <c r="DA664" s="1194"/>
      <c r="DB664" s="1195"/>
      <c r="DC664" s="1194"/>
      <c r="DD664" s="1194"/>
      <c r="DE664" s="1194"/>
      <c r="DF664" s="1195"/>
      <c r="DG664" s="1194"/>
      <c r="DH664" s="1194"/>
      <c r="DI664" s="1194"/>
      <c r="DJ664" s="1195"/>
      <c r="DK664" s="1194"/>
      <c r="DL664" s="1194"/>
      <c r="DM664" s="1194"/>
      <c r="DN664" s="1195"/>
      <c r="DO664" s="1194"/>
      <c r="DP664" s="1194"/>
      <c r="DQ664" s="1194"/>
      <c r="DR664" s="1195"/>
      <c r="DS664" s="1194"/>
      <c r="DT664" s="1194"/>
      <c r="DU664" s="1194"/>
      <c r="DV664" s="1194"/>
      <c r="DW664" s="1196"/>
      <c r="DX664" s="1194"/>
      <c r="DY664" s="1194"/>
      <c r="DZ664" s="1194"/>
      <c r="EA664" s="1194"/>
      <c r="EB664" s="1194"/>
      <c r="EC664" s="1194"/>
      <c r="ED664" s="1194"/>
      <c r="EE664" s="1194"/>
      <c r="EF664" s="1194"/>
      <c r="EG664" s="1194"/>
      <c r="EH664" s="1194"/>
      <c r="EI664" s="1194"/>
      <c r="EJ664" s="1194"/>
      <c r="EK664" s="1194"/>
      <c r="EL664" s="1194"/>
      <c r="EM664" s="1194"/>
      <c r="EN664" s="1194"/>
      <c r="EO664" s="1194"/>
      <c r="EP664" s="1194"/>
      <c r="EQ664" s="1194"/>
      <c r="ER664" s="1194"/>
      <c r="ES664" s="1194"/>
      <c r="ET664" s="1194"/>
      <c r="EU664" s="1194"/>
      <c r="JW664"/>
    </row>
    <row r="665" spans="1:283" s="332" customFormat="1">
      <c r="AN665" s="293"/>
      <c r="AO665" s="293"/>
      <c r="AP665" s="293"/>
      <c r="AQ665" s="293"/>
      <c r="AR665" s="293"/>
      <c r="AS665" s="293"/>
      <c r="AT665" s="293"/>
      <c r="AU665" s="293"/>
      <c r="AV665" s="293"/>
      <c r="AW665" s="293"/>
      <c r="AX665" s="293"/>
      <c r="AY665" s="293"/>
      <c r="AZ665" s="293"/>
      <c r="BA665" s="293"/>
      <c r="BB665" s="293"/>
      <c r="BC665" s="293"/>
      <c r="BD665" s="293"/>
      <c r="BE665" s="293"/>
      <c r="BF665" s="293"/>
      <c r="BG665" s="293"/>
      <c r="BH665" s="293"/>
      <c r="BI665" s="293"/>
      <c r="BJ665" s="293"/>
      <c r="BK665" s="293"/>
      <c r="BL665" s="293"/>
      <c r="BM665" s="293"/>
      <c r="BN665" s="293"/>
      <c r="BO665" s="293"/>
      <c r="BP665" s="293"/>
      <c r="BQ665" s="293"/>
      <c r="BR665" s="293"/>
      <c r="BS665" s="293"/>
      <c r="BT665" s="293"/>
      <c r="BU665" s="293"/>
      <c r="BV665" s="293"/>
      <c r="BW665" s="293"/>
      <c r="BX665" s="293"/>
      <c r="BY665" s="293"/>
      <c r="BZ665" s="293"/>
      <c r="CA665" s="293"/>
      <c r="CB665" s="293"/>
      <c r="CC665" s="293"/>
      <c r="CD665" s="293"/>
      <c r="CE665" s="293"/>
      <c r="CF665" s="293"/>
      <c r="CG665" s="293"/>
      <c r="CH665" s="293"/>
      <c r="CI665" s="293"/>
      <c r="CJ665" s="293"/>
      <c r="CK665" s="293"/>
      <c r="CL665" s="293"/>
      <c r="CM665" s="293"/>
      <c r="CN665" s="293"/>
      <c r="CO665" s="293"/>
      <c r="CP665" s="293"/>
      <c r="CQ665" s="293"/>
      <c r="CR665" s="293"/>
      <c r="CS665" s="293"/>
      <c r="CT665" s="293"/>
      <c r="CU665" s="293"/>
      <c r="CV665" s="293"/>
      <c r="CW665" s="293"/>
      <c r="CX665" s="293"/>
      <c r="CY665" s="293"/>
      <c r="CZ665" s="293"/>
      <c r="DA665" s="293"/>
      <c r="DB665" s="293"/>
      <c r="DC665" s="293"/>
      <c r="DD665" s="293"/>
      <c r="DE665" s="293"/>
      <c r="DF665" s="293"/>
      <c r="DG665" s="293"/>
      <c r="DH665" s="293"/>
      <c r="DI665" s="293"/>
      <c r="DJ665" s="293"/>
      <c r="DK665" s="293"/>
      <c r="DL665" s="293"/>
      <c r="DM665" s="293"/>
      <c r="DN665" s="293"/>
      <c r="DO665" s="293"/>
      <c r="DP665" s="293"/>
      <c r="DQ665" s="293"/>
      <c r="DR665" s="293"/>
      <c r="DS665" s="293"/>
      <c r="DT665" s="293"/>
      <c r="DU665" s="293"/>
      <c r="DV665" s="293"/>
      <c r="DW665" s="293"/>
      <c r="DX665" s="293"/>
      <c r="DY665" s="293"/>
      <c r="DZ665" s="293"/>
      <c r="EA665" s="293"/>
      <c r="EB665" s="293"/>
      <c r="EC665" s="293"/>
      <c r="ED665" s="293"/>
      <c r="EE665" s="293"/>
      <c r="EF665" s="293"/>
      <c r="EG665" s="293"/>
      <c r="EH665" s="293"/>
      <c r="EI665" s="293"/>
      <c r="EJ665" s="293"/>
      <c r="EK665" s="293"/>
      <c r="EL665" s="293"/>
      <c r="EM665" s="293"/>
      <c r="EN665" s="293"/>
      <c r="EO665" s="293"/>
      <c r="EP665" s="293"/>
      <c r="EQ665" s="293"/>
      <c r="ER665" s="293"/>
      <c r="ES665" s="293"/>
      <c r="ET665" s="293"/>
      <c r="EU665" s="293"/>
      <c r="JW665"/>
    </row>
    <row r="666" spans="1:283" s="845" customFormat="1" hidden="1" outlineLevel="1">
      <c r="A666" s="845" t="s">
        <v>571</v>
      </c>
      <c r="AN666" s="627">
        <v>-1</v>
      </c>
      <c r="AO666" s="627">
        <v>4</v>
      </c>
      <c r="AP666" s="303">
        <f>AN666+AO666</f>
        <v>3</v>
      </c>
      <c r="AQ666" s="627"/>
      <c r="AR666" s="627">
        <v>-32</v>
      </c>
      <c r="AS666" s="627">
        <v>28</v>
      </c>
      <c r="AT666" s="303">
        <f>AR666+AS666</f>
        <v>-4</v>
      </c>
      <c r="AU666" s="627"/>
      <c r="AV666" s="627">
        <v>-25</v>
      </c>
      <c r="AW666" s="627">
        <v>-18</v>
      </c>
      <c r="AX666" s="303">
        <f t="shared" ref="AX666:AX672" si="1783">AV666+AW666</f>
        <v>-43</v>
      </c>
      <c r="AY666" s="627"/>
      <c r="AZ666" s="627">
        <v>-6</v>
      </c>
      <c r="BA666" s="627">
        <v>-6</v>
      </c>
      <c r="BB666" s="303">
        <f t="shared" ref="BB666:BB672" si="1784">AZ666+BA666</f>
        <v>-12</v>
      </c>
      <c r="BC666" s="303"/>
      <c r="BD666" s="627">
        <v>-3</v>
      </c>
      <c r="BE666" s="627">
        <v>-2</v>
      </c>
      <c r="BF666" s="303">
        <f t="shared" ref="BF666:BF672" si="1785">BD666+BE666</f>
        <v>-5</v>
      </c>
      <c r="BG666" s="303"/>
      <c r="BH666" s="627">
        <v>0</v>
      </c>
      <c r="BI666" s="627">
        <v>0</v>
      </c>
      <c r="BJ666" s="303">
        <f t="shared" ref="BJ666:BJ672" si="1786">BH666+BI666</f>
        <v>0</v>
      </c>
      <c r="BK666" s="303"/>
      <c r="BL666" s="627">
        <v>0</v>
      </c>
      <c r="BM666" s="627">
        <v>0</v>
      </c>
      <c r="BN666" s="303">
        <f t="shared" ref="BN666:BN672" si="1787">BL666+BM666</f>
        <v>0</v>
      </c>
      <c r="BO666" s="303"/>
      <c r="BP666" s="627">
        <v>0</v>
      </c>
      <c r="BQ666" s="627">
        <v>0</v>
      </c>
      <c r="BR666" s="303">
        <f t="shared" ref="BR666:BR672" si="1788">BP666+BQ666</f>
        <v>0</v>
      </c>
      <c r="BS666" s="303"/>
      <c r="BT666" s="627">
        <v>0</v>
      </c>
      <c r="BU666" s="627">
        <v>0</v>
      </c>
      <c r="BV666" s="303">
        <f t="shared" ref="BV666:BV672" si="1789">BT666+BU666</f>
        <v>0</v>
      </c>
      <c r="BW666" s="303"/>
      <c r="BX666" s="627">
        <v>0</v>
      </c>
      <c r="BY666" s="627">
        <v>0</v>
      </c>
      <c r="BZ666" s="303">
        <f t="shared" ref="BZ666:BZ672" si="1790">BX666+BY666</f>
        <v>0</v>
      </c>
      <c r="CA666" s="303"/>
      <c r="CB666" s="303"/>
      <c r="CC666" s="303"/>
      <c r="CD666" s="303"/>
      <c r="CE666" s="303"/>
      <c r="CF666" s="303"/>
      <c r="CG666" s="303"/>
      <c r="CH666" s="303"/>
      <c r="CI666" s="303"/>
      <c r="CJ666" s="303"/>
      <c r="CK666" s="303"/>
      <c r="CL666" s="303"/>
      <c r="CM666" s="303"/>
      <c r="CN666" s="303"/>
      <c r="CO666" s="303"/>
      <c r="CP666" s="303"/>
      <c r="CQ666" s="303"/>
      <c r="CR666" s="303"/>
      <c r="CS666" s="303"/>
      <c r="CT666" s="303"/>
      <c r="CU666" s="303"/>
      <c r="CV666" s="303"/>
      <c r="CW666" s="303"/>
      <c r="CX666" s="303"/>
      <c r="CY666" s="303"/>
      <c r="CZ666" s="303"/>
      <c r="DA666" s="303"/>
      <c r="DB666" s="303"/>
      <c r="DC666" s="303"/>
      <c r="DD666" s="303"/>
      <c r="DE666" s="303"/>
      <c r="DF666" s="303"/>
      <c r="DG666" s="303"/>
      <c r="DH666" s="303"/>
      <c r="DI666" s="303"/>
      <c r="DJ666" s="303"/>
      <c r="DK666" s="303"/>
      <c r="DL666" s="303"/>
      <c r="DM666" s="303"/>
      <c r="DN666" s="303"/>
      <c r="DO666" s="303"/>
      <c r="DP666" s="303"/>
      <c r="DQ666" s="303"/>
      <c r="DR666" s="303"/>
      <c r="DS666" s="303"/>
      <c r="DT666" s="303"/>
      <c r="DU666" s="303"/>
      <c r="DV666" s="303"/>
      <c r="DW666" s="303"/>
      <c r="DX666" s="303"/>
      <c r="DY666" s="303"/>
      <c r="DZ666" s="303"/>
      <c r="EA666" s="303"/>
      <c r="EB666" s="303"/>
      <c r="EC666" s="303"/>
      <c r="ED666" s="303"/>
      <c r="EE666" s="303"/>
      <c r="EF666" s="303"/>
      <c r="EG666" s="303"/>
      <c r="EH666" s="303"/>
      <c r="EI666" s="303"/>
      <c r="EJ666" s="303"/>
      <c r="EK666" s="303"/>
      <c r="EL666" s="303"/>
      <c r="EM666" s="303"/>
      <c r="EN666" s="303"/>
      <c r="EO666" s="303"/>
      <c r="EP666" s="303"/>
      <c r="EQ666" s="303"/>
      <c r="ER666" s="303"/>
      <c r="ES666" s="303"/>
      <c r="ET666" s="303"/>
      <c r="EU666" s="303"/>
      <c r="JW666"/>
    </row>
    <row r="667" spans="1:283" s="332" customFormat="1" hidden="1" outlineLevel="1">
      <c r="A667" s="332" t="s">
        <v>566</v>
      </c>
      <c r="AN667" s="293"/>
      <c r="AO667" s="293"/>
      <c r="AP667" s="293"/>
      <c r="AQ667" s="293"/>
      <c r="AR667" s="293"/>
      <c r="AS667" s="293"/>
      <c r="AT667" s="293"/>
      <c r="AU667" s="293"/>
      <c r="AV667" s="293">
        <f>AV688</f>
        <v>62</v>
      </c>
      <c r="AW667" s="293">
        <f>AW688</f>
        <v>5</v>
      </c>
      <c r="AX667" s="293">
        <f t="shared" si="1783"/>
        <v>67</v>
      </c>
      <c r="AY667" s="293"/>
      <c r="AZ667" s="293">
        <f>AZ688</f>
        <v>4</v>
      </c>
      <c r="BA667" s="293">
        <f>BA688</f>
        <v>10</v>
      </c>
      <c r="BB667" s="293">
        <f t="shared" si="1784"/>
        <v>14</v>
      </c>
      <c r="BC667" s="293"/>
      <c r="BD667" s="293">
        <f>BD688</f>
        <v>6.33</v>
      </c>
      <c r="BE667" s="293">
        <f>BE688</f>
        <v>4</v>
      </c>
      <c r="BF667" s="293">
        <f t="shared" si="1785"/>
        <v>10.33</v>
      </c>
      <c r="BG667" s="293"/>
      <c r="BH667" s="293">
        <f>BH688</f>
        <v>1</v>
      </c>
      <c r="BI667" s="293">
        <f>BI688</f>
        <v>1</v>
      </c>
      <c r="BJ667" s="293">
        <f t="shared" si="1786"/>
        <v>2</v>
      </c>
      <c r="BK667" s="293"/>
      <c r="BL667" s="293">
        <f>BL688</f>
        <v>3</v>
      </c>
      <c r="BM667" s="293">
        <f>BM688</f>
        <v>0</v>
      </c>
      <c r="BN667" s="293">
        <f t="shared" si="1787"/>
        <v>3</v>
      </c>
      <c r="BO667" s="293"/>
      <c r="BP667" s="293">
        <f>BP688</f>
        <v>0</v>
      </c>
      <c r="BQ667" s="293">
        <f>BQ688</f>
        <v>0</v>
      </c>
      <c r="BR667" s="293">
        <f t="shared" si="1788"/>
        <v>0</v>
      </c>
      <c r="BS667" s="293"/>
      <c r="BT667" s="293">
        <f>BT688</f>
        <v>0</v>
      </c>
      <c r="BU667" s="293">
        <f>BU688</f>
        <v>0</v>
      </c>
      <c r="BV667" s="293">
        <f t="shared" si="1789"/>
        <v>0</v>
      </c>
      <c r="BW667" s="293"/>
      <c r="BX667" s="293">
        <f>BX688</f>
        <v>0</v>
      </c>
      <c r="BY667" s="293">
        <f>BY688</f>
        <v>0</v>
      </c>
      <c r="BZ667" s="293">
        <f t="shared" si="1790"/>
        <v>0</v>
      </c>
      <c r="CA667" s="293"/>
      <c r="CB667" s="293"/>
      <c r="CC667" s="293"/>
      <c r="CD667" s="293"/>
      <c r="CE667" s="293"/>
      <c r="CF667" s="293"/>
      <c r="CG667" s="293"/>
      <c r="CH667" s="293"/>
      <c r="CI667" s="293"/>
      <c r="CJ667" s="293"/>
      <c r="CK667" s="293"/>
      <c r="CL667" s="293"/>
      <c r="CM667" s="293"/>
      <c r="CN667" s="293"/>
      <c r="CO667" s="293"/>
      <c r="CP667" s="293"/>
      <c r="CQ667" s="293"/>
      <c r="CR667" s="293"/>
      <c r="CS667" s="293"/>
      <c r="CT667" s="293"/>
      <c r="CU667" s="293"/>
      <c r="CV667" s="293"/>
      <c r="CW667" s="293"/>
      <c r="CX667" s="293"/>
      <c r="CY667" s="293"/>
      <c r="CZ667" s="293"/>
      <c r="DA667" s="293"/>
      <c r="DB667" s="293"/>
      <c r="DC667" s="293"/>
      <c r="DD667" s="293"/>
      <c r="DE667" s="293"/>
      <c r="DF667" s="293"/>
      <c r="DG667" s="293"/>
      <c r="DH667" s="293"/>
      <c r="DI667" s="293"/>
      <c r="DJ667" s="293"/>
      <c r="DK667" s="293"/>
      <c r="DL667" s="293"/>
      <c r="DM667" s="293"/>
      <c r="DN667" s="293"/>
      <c r="DO667" s="293"/>
      <c r="DP667" s="293"/>
      <c r="DQ667" s="293"/>
      <c r="DR667" s="293"/>
      <c r="DS667" s="293"/>
      <c r="DT667" s="293"/>
      <c r="DU667" s="293"/>
      <c r="DV667" s="293"/>
      <c r="DW667" s="293"/>
      <c r="DX667" s="293"/>
      <c r="DY667" s="293"/>
      <c r="DZ667" s="293"/>
      <c r="EA667" s="293"/>
      <c r="EB667" s="293"/>
      <c r="EC667" s="293"/>
      <c r="ED667" s="293"/>
      <c r="EE667" s="293"/>
      <c r="EF667" s="293"/>
      <c r="EG667" s="293"/>
      <c r="EH667" s="293"/>
      <c r="EI667" s="293"/>
      <c r="EJ667" s="293"/>
      <c r="EK667" s="293"/>
      <c r="EL667" s="293"/>
      <c r="EM667" s="293"/>
      <c r="EN667" s="293"/>
      <c r="EO667" s="293"/>
      <c r="EP667" s="293"/>
      <c r="EQ667" s="293"/>
      <c r="ER667" s="293"/>
      <c r="ES667" s="293"/>
      <c r="ET667" s="293"/>
      <c r="EU667" s="293"/>
      <c r="JW667"/>
    </row>
    <row r="668" spans="1:283" s="845" customFormat="1" hidden="1" outlineLevel="1">
      <c r="A668" s="845" t="s">
        <v>651</v>
      </c>
      <c r="AN668" s="627">
        <v>4</v>
      </c>
      <c r="AO668" s="627">
        <v>1</v>
      </c>
      <c r="AP668" s="303">
        <f>AN668+AO668</f>
        <v>5</v>
      </c>
      <c r="AQ668" s="627"/>
      <c r="AR668" s="627">
        <v>-1</v>
      </c>
      <c r="AS668" s="627">
        <v>-5</v>
      </c>
      <c r="AT668" s="303">
        <f>AR668+AS668</f>
        <v>-6</v>
      </c>
      <c r="AU668" s="627"/>
      <c r="AV668" s="627">
        <v>-1</v>
      </c>
      <c r="AW668" s="627">
        <v>-5</v>
      </c>
      <c r="AX668" s="303">
        <f t="shared" si="1783"/>
        <v>-6</v>
      </c>
      <c r="AY668" s="627"/>
      <c r="AZ668" s="627">
        <v>-1</v>
      </c>
      <c r="BA668" s="973">
        <v>0</v>
      </c>
      <c r="BB668" s="303">
        <f t="shared" si="1784"/>
        <v>-1</v>
      </c>
      <c r="BC668" s="303"/>
      <c r="BD668" s="627">
        <v>-1</v>
      </c>
      <c r="BE668" s="627">
        <v>0</v>
      </c>
      <c r="BF668" s="303">
        <f t="shared" si="1785"/>
        <v>-1</v>
      </c>
      <c r="BG668" s="303"/>
      <c r="BH668" s="627">
        <v>0</v>
      </c>
      <c r="BI668" s="627">
        <v>0</v>
      </c>
      <c r="BJ668" s="303">
        <f t="shared" si="1786"/>
        <v>0</v>
      </c>
      <c r="BK668" s="303"/>
      <c r="BL668" s="627">
        <v>0</v>
      </c>
      <c r="BM668" s="627">
        <v>0</v>
      </c>
      <c r="BN668" s="303">
        <f t="shared" si="1787"/>
        <v>0</v>
      </c>
      <c r="BO668" s="303"/>
      <c r="BP668" s="627">
        <v>0</v>
      </c>
      <c r="BQ668" s="627">
        <v>0</v>
      </c>
      <c r="BR668" s="303">
        <f t="shared" si="1788"/>
        <v>0</v>
      </c>
      <c r="BS668" s="303"/>
      <c r="BT668" s="627">
        <v>0</v>
      </c>
      <c r="BU668" s="627">
        <v>0</v>
      </c>
      <c r="BV668" s="303">
        <f t="shared" si="1789"/>
        <v>0</v>
      </c>
      <c r="BW668" s="303"/>
      <c r="BX668" s="627">
        <v>0</v>
      </c>
      <c r="BY668" s="627">
        <v>0</v>
      </c>
      <c r="BZ668" s="303">
        <f t="shared" si="1790"/>
        <v>0</v>
      </c>
      <c r="CA668" s="303"/>
      <c r="CB668" s="303"/>
      <c r="CC668" s="303"/>
      <c r="CD668" s="303"/>
      <c r="CE668" s="303"/>
      <c r="CF668" s="303"/>
      <c r="CG668" s="303"/>
      <c r="CH668" s="303"/>
      <c r="CI668" s="303"/>
      <c r="CJ668" s="303"/>
      <c r="CK668" s="303"/>
      <c r="CL668" s="303"/>
      <c r="CM668" s="303"/>
      <c r="CN668" s="303"/>
      <c r="CO668" s="303"/>
      <c r="CP668" s="303"/>
      <c r="CQ668" s="303"/>
      <c r="CR668" s="303"/>
      <c r="CS668" s="303"/>
      <c r="CT668" s="303"/>
      <c r="CU668" s="303"/>
      <c r="CV668" s="303"/>
      <c r="CW668" s="303"/>
      <c r="CX668" s="303"/>
      <c r="CY668" s="303"/>
      <c r="CZ668" s="303"/>
      <c r="DA668" s="303"/>
      <c r="DB668" s="303"/>
      <c r="DC668" s="303"/>
      <c r="DD668" s="303"/>
      <c r="DE668" s="303"/>
      <c r="DF668" s="303"/>
      <c r="DG668" s="303"/>
      <c r="DH668" s="303"/>
      <c r="DI668" s="303"/>
      <c r="DJ668" s="303"/>
      <c r="DK668" s="303"/>
      <c r="DL668" s="303"/>
      <c r="DM668" s="303"/>
      <c r="DN668" s="303"/>
      <c r="DO668" s="303"/>
      <c r="DP668" s="303"/>
      <c r="DQ668" s="303"/>
      <c r="DR668" s="303"/>
      <c r="DS668" s="303"/>
      <c r="DT668" s="303"/>
      <c r="DU668" s="303"/>
      <c r="DV668" s="303"/>
      <c r="DW668" s="303"/>
      <c r="DX668" s="303"/>
      <c r="DY668" s="303"/>
      <c r="DZ668" s="303"/>
      <c r="EA668" s="303"/>
      <c r="EB668" s="303"/>
      <c r="EC668" s="303"/>
      <c r="ED668" s="303"/>
      <c r="EE668" s="303"/>
      <c r="EF668" s="303"/>
      <c r="EG668" s="303"/>
      <c r="EH668" s="303"/>
      <c r="EI668" s="303"/>
      <c r="EJ668" s="303"/>
      <c r="EK668" s="303"/>
      <c r="EL668" s="303"/>
      <c r="EM668" s="303"/>
      <c r="EN668" s="303"/>
      <c r="EO668" s="303"/>
      <c r="EP668" s="303"/>
      <c r="EQ668" s="303"/>
      <c r="ER668" s="303"/>
      <c r="ES668" s="303"/>
      <c r="ET668" s="303"/>
      <c r="EU668" s="303"/>
      <c r="JW668"/>
    </row>
    <row r="669" spans="1:283" s="845" customFormat="1" hidden="1" outlineLevel="1">
      <c r="A669" s="845" t="s">
        <v>652</v>
      </c>
      <c r="AN669" s="303"/>
      <c r="AO669" s="303"/>
      <c r="AP669" s="303"/>
      <c r="AQ669" s="303"/>
      <c r="AR669" s="627">
        <v>45</v>
      </c>
      <c r="AS669" s="627">
        <v>-40</v>
      </c>
      <c r="AT669" s="303">
        <f>AR669+AS669</f>
        <v>5</v>
      </c>
      <c r="AU669" s="627"/>
      <c r="AV669" s="627">
        <v>-21</v>
      </c>
      <c r="AW669" s="627">
        <v>-4</v>
      </c>
      <c r="AX669" s="303">
        <f t="shared" si="1783"/>
        <v>-25</v>
      </c>
      <c r="AY669" s="627"/>
      <c r="AZ669" s="627">
        <v>-8</v>
      </c>
      <c r="BA669" s="973">
        <v>3</v>
      </c>
      <c r="BB669" s="303">
        <f t="shared" si="1784"/>
        <v>-5</v>
      </c>
      <c r="BC669" s="303"/>
      <c r="BD669" s="627">
        <v>3</v>
      </c>
      <c r="BE669" s="627">
        <v>11</v>
      </c>
      <c r="BF669" s="303">
        <f t="shared" si="1785"/>
        <v>14</v>
      </c>
      <c r="BG669" s="303"/>
      <c r="BH669" s="627">
        <v>0</v>
      </c>
      <c r="BI669" s="627">
        <v>0</v>
      </c>
      <c r="BJ669" s="303">
        <f t="shared" si="1786"/>
        <v>0</v>
      </c>
      <c r="BK669" s="303"/>
      <c r="BL669" s="627">
        <v>0</v>
      </c>
      <c r="BM669" s="627">
        <v>0</v>
      </c>
      <c r="BN669" s="303">
        <f t="shared" si="1787"/>
        <v>0</v>
      </c>
      <c r="BO669" s="303"/>
      <c r="BP669" s="627">
        <v>0</v>
      </c>
      <c r="BQ669" s="627">
        <v>0</v>
      </c>
      <c r="BR669" s="303">
        <f t="shared" si="1788"/>
        <v>0</v>
      </c>
      <c r="BS669" s="303"/>
      <c r="BT669" s="627">
        <v>0</v>
      </c>
      <c r="BU669" s="627">
        <v>0</v>
      </c>
      <c r="BV669" s="303">
        <f t="shared" si="1789"/>
        <v>0</v>
      </c>
      <c r="BW669" s="303"/>
      <c r="BX669" s="627">
        <v>0</v>
      </c>
      <c r="BY669" s="627">
        <v>0</v>
      </c>
      <c r="BZ669" s="303">
        <f t="shared" si="1790"/>
        <v>0</v>
      </c>
      <c r="CA669" s="303"/>
      <c r="CB669" s="303"/>
      <c r="CC669" s="303"/>
      <c r="CD669" s="303"/>
      <c r="CE669" s="303"/>
      <c r="CF669" s="303"/>
      <c r="CG669" s="303"/>
      <c r="CH669" s="303"/>
      <c r="CI669" s="303"/>
      <c r="CJ669" s="303"/>
      <c r="CK669" s="303"/>
      <c r="CL669" s="303"/>
      <c r="CM669" s="303"/>
      <c r="CN669" s="303"/>
      <c r="CO669" s="303"/>
      <c r="CP669" s="303"/>
      <c r="CQ669" s="303"/>
      <c r="CR669" s="303"/>
      <c r="CS669" s="303"/>
      <c r="CT669" s="303"/>
      <c r="CU669" s="303"/>
      <c r="CV669" s="303"/>
      <c r="CW669" s="303"/>
      <c r="CX669" s="303"/>
      <c r="CY669" s="303"/>
      <c r="CZ669" s="303"/>
      <c r="DA669" s="303"/>
      <c r="DB669" s="303"/>
      <c r="DC669" s="303"/>
      <c r="DD669" s="303"/>
      <c r="DE669" s="303"/>
      <c r="DF669" s="303"/>
      <c r="DG669" s="303"/>
      <c r="DH669" s="303"/>
      <c r="DI669" s="303"/>
      <c r="DJ669" s="303"/>
      <c r="DK669" s="303"/>
      <c r="DL669" s="303"/>
      <c r="DM669" s="303"/>
      <c r="DN669" s="303"/>
      <c r="DO669" s="303"/>
      <c r="DP669" s="303"/>
      <c r="DQ669" s="303"/>
      <c r="DR669" s="303"/>
      <c r="DS669" s="303"/>
      <c r="DT669" s="303"/>
      <c r="DU669" s="303"/>
      <c r="DV669" s="303"/>
      <c r="DW669" s="303"/>
      <c r="DX669" s="303"/>
      <c r="DY669" s="303"/>
      <c r="DZ669" s="303"/>
      <c r="EA669" s="303"/>
      <c r="EB669" s="303"/>
      <c r="EC669" s="303"/>
      <c r="ED669" s="303"/>
      <c r="EE669" s="303"/>
      <c r="EF669" s="303"/>
      <c r="EG669" s="303"/>
      <c r="EH669" s="303"/>
      <c r="EI669" s="303"/>
      <c r="EJ669" s="303"/>
      <c r="EK669" s="303"/>
      <c r="EL669" s="303"/>
      <c r="EM669" s="303"/>
      <c r="EN669" s="303"/>
      <c r="EO669" s="303"/>
      <c r="EP669" s="303"/>
      <c r="EQ669" s="303"/>
      <c r="ER669" s="303"/>
      <c r="ES669" s="303"/>
      <c r="ET669" s="303"/>
      <c r="EU669" s="303"/>
      <c r="JW669"/>
    </row>
    <row r="670" spans="1:283" s="332" customFormat="1" hidden="1" outlineLevel="1">
      <c r="A670" s="332" t="s">
        <v>621</v>
      </c>
      <c r="AN670" s="626">
        <f>124+1</f>
        <v>125</v>
      </c>
      <c r="AO670" s="626">
        <f>-196+27</f>
        <v>-169</v>
      </c>
      <c r="AP670" s="293">
        <f>AN670+AO670</f>
        <v>-44</v>
      </c>
      <c r="AQ670" s="626"/>
      <c r="AR670" s="626">
        <v>-122</v>
      </c>
      <c r="AS670" s="626">
        <v>-178</v>
      </c>
      <c r="AT670" s="293">
        <f>AR670+AS670</f>
        <v>-300</v>
      </c>
      <c r="AU670" s="626"/>
      <c r="AV670" s="293">
        <f>AV705</f>
        <v>-56</v>
      </c>
      <c r="AW670" s="293">
        <f>AW705</f>
        <v>-51</v>
      </c>
      <c r="AX670" s="293">
        <f t="shared" si="1783"/>
        <v>-107</v>
      </c>
      <c r="AY670" s="626"/>
      <c r="AZ670" s="293">
        <f>AZ705</f>
        <v>-3</v>
      </c>
      <c r="BA670" s="293">
        <f>BA705</f>
        <v>3</v>
      </c>
      <c r="BB670" s="293">
        <f t="shared" si="1784"/>
        <v>0</v>
      </c>
      <c r="BC670" s="293"/>
      <c r="BD670" s="293">
        <f>BD705</f>
        <v>2</v>
      </c>
      <c r="BE670" s="293">
        <f>BE705</f>
        <v>-38</v>
      </c>
      <c r="BF670" s="293">
        <f t="shared" si="1785"/>
        <v>-36</v>
      </c>
      <c r="BG670" s="293"/>
      <c r="BH670" s="293">
        <f>BH705</f>
        <v>0</v>
      </c>
      <c r="BI670" s="293">
        <f>BI705</f>
        <v>0</v>
      </c>
      <c r="BJ670" s="293">
        <f t="shared" si="1786"/>
        <v>0</v>
      </c>
      <c r="BK670" s="293"/>
      <c r="BL670" s="293">
        <f>BL705</f>
        <v>0</v>
      </c>
      <c r="BM670" s="293">
        <f>BM705</f>
        <v>0</v>
      </c>
      <c r="BN670" s="293">
        <f t="shared" si="1787"/>
        <v>0</v>
      </c>
      <c r="BO670" s="293"/>
      <c r="BP670" s="293">
        <f>BP705</f>
        <v>0</v>
      </c>
      <c r="BQ670" s="293">
        <f>BQ705</f>
        <v>0</v>
      </c>
      <c r="BR670" s="293">
        <f t="shared" si="1788"/>
        <v>0</v>
      </c>
      <c r="BS670" s="293"/>
      <c r="BT670" s="293">
        <f>BT705</f>
        <v>0</v>
      </c>
      <c r="BU670" s="293">
        <f>BU705</f>
        <v>0</v>
      </c>
      <c r="BV670" s="293">
        <f t="shared" si="1789"/>
        <v>0</v>
      </c>
      <c r="BW670" s="293"/>
      <c r="BX670" s="293">
        <f>BX705</f>
        <v>0</v>
      </c>
      <c r="BY670" s="293">
        <f>BY705</f>
        <v>0</v>
      </c>
      <c r="BZ670" s="293">
        <f t="shared" si="1790"/>
        <v>0</v>
      </c>
      <c r="CA670" s="293"/>
      <c r="CB670" s="293"/>
      <c r="CC670" s="293"/>
      <c r="CD670" s="293"/>
      <c r="CE670" s="293"/>
      <c r="CF670" s="293"/>
      <c r="CG670" s="293"/>
      <c r="CH670" s="293"/>
      <c r="CI670" s="293"/>
      <c r="CJ670" s="293"/>
      <c r="CK670" s="293"/>
      <c r="CL670" s="293"/>
      <c r="CM670" s="293"/>
      <c r="CN670" s="293"/>
      <c r="CO670" s="293"/>
      <c r="CP670" s="293"/>
      <c r="CQ670" s="293"/>
      <c r="CR670" s="293"/>
      <c r="CS670" s="293"/>
      <c r="CT670" s="293"/>
      <c r="CU670" s="293"/>
      <c r="CV670" s="293"/>
      <c r="CW670" s="293"/>
      <c r="CX670" s="293"/>
      <c r="CY670" s="293"/>
      <c r="CZ670" s="293"/>
      <c r="DA670" s="293"/>
      <c r="DB670" s="293"/>
      <c r="DC670" s="293"/>
      <c r="DD670" s="293"/>
      <c r="DE670" s="293"/>
      <c r="DF670" s="293"/>
      <c r="DG670" s="293"/>
      <c r="DH670" s="293"/>
      <c r="DI670" s="293"/>
      <c r="DJ670" s="293"/>
      <c r="DK670" s="293"/>
      <c r="DL670" s="293"/>
      <c r="DM670" s="293"/>
      <c r="DN670" s="293"/>
      <c r="DO670" s="293"/>
      <c r="DP670" s="293"/>
      <c r="DQ670" s="293"/>
      <c r="DR670" s="293"/>
      <c r="DS670" s="293"/>
      <c r="DT670" s="293"/>
      <c r="DU670" s="293"/>
      <c r="DV670" s="293"/>
      <c r="DW670" s="293"/>
      <c r="DX670" s="293"/>
      <c r="DY670" s="293"/>
      <c r="DZ670" s="293"/>
      <c r="EA670" s="293"/>
      <c r="EB670" s="293"/>
      <c r="EC670" s="293"/>
      <c r="ED670" s="293"/>
      <c r="EE670" s="293"/>
      <c r="EF670" s="293"/>
      <c r="EG670" s="293"/>
      <c r="EH670" s="293"/>
      <c r="EI670" s="293"/>
      <c r="EJ670" s="293"/>
      <c r="EK670" s="293"/>
      <c r="EL670" s="293"/>
      <c r="EM670" s="293"/>
      <c r="EN670" s="293"/>
      <c r="EO670" s="293"/>
      <c r="EP670" s="293"/>
      <c r="EQ670" s="293"/>
      <c r="ER670" s="293"/>
      <c r="ES670" s="293"/>
      <c r="ET670" s="293"/>
      <c r="EU670" s="293"/>
      <c r="JW670"/>
    </row>
    <row r="671" spans="1:283" s="845" customFormat="1" hidden="1" outlineLevel="1">
      <c r="A671" s="845" t="s">
        <v>567</v>
      </c>
      <c r="AN671" s="303"/>
      <c r="AO671" s="303"/>
      <c r="AP671" s="303"/>
      <c r="AQ671" s="303"/>
      <c r="AR671" s="627">
        <v>-11</v>
      </c>
      <c r="AS671" s="627">
        <v>-1</v>
      </c>
      <c r="AT671" s="303">
        <f>AR671+AS671</f>
        <v>-12</v>
      </c>
      <c r="AU671" s="627"/>
      <c r="AV671" s="627">
        <v>0</v>
      </c>
      <c r="AW671" s="627">
        <v>5</v>
      </c>
      <c r="AX671" s="303">
        <f t="shared" si="1783"/>
        <v>5</v>
      </c>
      <c r="AY671" s="303"/>
      <c r="AZ671" s="627">
        <v>1</v>
      </c>
      <c r="BA671" s="973">
        <v>-3</v>
      </c>
      <c r="BB671" s="303">
        <f t="shared" si="1784"/>
        <v>-2</v>
      </c>
      <c r="BC671" s="303"/>
      <c r="BD671" s="627">
        <v>0</v>
      </c>
      <c r="BE671" s="627">
        <v>-2</v>
      </c>
      <c r="BF671" s="303">
        <f t="shared" si="1785"/>
        <v>-2</v>
      </c>
      <c r="BG671" s="303"/>
      <c r="BH671" s="627">
        <v>0</v>
      </c>
      <c r="BI671" s="627">
        <v>0</v>
      </c>
      <c r="BJ671" s="303">
        <f t="shared" si="1786"/>
        <v>0</v>
      </c>
      <c r="BK671" s="303"/>
      <c r="BL671" s="627">
        <v>0</v>
      </c>
      <c r="BM671" s="627">
        <v>0</v>
      </c>
      <c r="BN671" s="303">
        <f t="shared" si="1787"/>
        <v>0</v>
      </c>
      <c r="BO671" s="303"/>
      <c r="BP671" s="627">
        <v>0</v>
      </c>
      <c r="BQ671" s="627">
        <v>0</v>
      </c>
      <c r="BR671" s="303">
        <f t="shared" si="1788"/>
        <v>0</v>
      </c>
      <c r="BS671" s="303"/>
      <c r="BT671" s="627">
        <v>0</v>
      </c>
      <c r="BU671" s="627">
        <v>0</v>
      </c>
      <c r="BV671" s="303">
        <f t="shared" si="1789"/>
        <v>0</v>
      </c>
      <c r="BW671" s="303"/>
      <c r="BX671" s="627">
        <v>0</v>
      </c>
      <c r="BY671" s="627">
        <v>0</v>
      </c>
      <c r="BZ671" s="303">
        <f t="shared" si="1790"/>
        <v>0</v>
      </c>
      <c r="CA671" s="303"/>
      <c r="CB671" s="303"/>
      <c r="CC671" s="303"/>
      <c r="CD671" s="303"/>
      <c r="CE671" s="303"/>
      <c r="CF671" s="303"/>
      <c r="CG671" s="303"/>
      <c r="CH671" s="303"/>
      <c r="CI671" s="303"/>
      <c r="CJ671" s="303"/>
      <c r="CK671" s="303"/>
      <c r="CL671" s="303"/>
      <c r="CM671" s="303"/>
      <c r="CN671" s="303"/>
      <c r="CO671" s="303"/>
      <c r="CP671" s="303"/>
      <c r="CQ671" s="303"/>
      <c r="CR671" s="303"/>
      <c r="CS671" s="303"/>
      <c r="CT671" s="303"/>
      <c r="CU671" s="303"/>
      <c r="CV671" s="303"/>
      <c r="CW671" s="303"/>
      <c r="CX671" s="303"/>
      <c r="CY671" s="303"/>
      <c r="CZ671" s="303"/>
      <c r="DA671" s="303"/>
      <c r="DB671" s="303"/>
      <c r="DC671" s="303"/>
      <c r="DD671" s="303"/>
      <c r="DE671" s="303"/>
      <c r="DF671" s="303"/>
      <c r="DG671" s="303"/>
      <c r="DH671" s="303"/>
      <c r="DI671" s="303"/>
      <c r="DJ671" s="303"/>
      <c r="DK671" s="303"/>
      <c r="DL671" s="303"/>
      <c r="DM671" s="303"/>
      <c r="DN671" s="303"/>
      <c r="DO671" s="303"/>
      <c r="DP671" s="303"/>
      <c r="DQ671" s="303"/>
      <c r="DR671" s="303"/>
      <c r="DS671" s="303"/>
      <c r="DT671" s="303"/>
      <c r="DU671" s="303"/>
      <c r="DV671" s="303"/>
      <c r="DW671" s="303"/>
      <c r="DX671" s="303"/>
      <c r="DY671" s="303"/>
      <c r="DZ671" s="303"/>
      <c r="EA671" s="303"/>
      <c r="EB671" s="303"/>
      <c r="EC671" s="303"/>
      <c r="ED671" s="303"/>
      <c r="EE671" s="303"/>
      <c r="EF671" s="303"/>
      <c r="EG671" s="303"/>
      <c r="EH671" s="303"/>
      <c r="EI671" s="303"/>
      <c r="EJ671" s="303"/>
      <c r="EK671" s="303"/>
      <c r="EL671" s="303"/>
      <c r="EM671" s="303"/>
      <c r="EN671" s="303"/>
      <c r="EO671" s="303"/>
      <c r="EP671" s="303"/>
      <c r="EQ671" s="303"/>
      <c r="ER671" s="303"/>
      <c r="ES671" s="303"/>
      <c r="ET671" s="303"/>
      <c r="EU671" s="303"/>
      <c r="JW671"/>
    </row>
    <row r="672" spans="1:283" s="332" customFormat="1" hidden="1" outlineLevel="1">
      <c r="A672" s="327" t="s">
        <v>568</v>
      </c>
      <c r="AN672" s="295">
        <f>SUM(AN666:AN671)</f>
        <v>128</v>
      </c>
      <c r="AO672" s="295">
        <f>SUM(AO666:AO671)</f>
        <v>-164</v>
      </c>
      <c r="AP672" s="295">
        <f>AN672+AO672</f>
        <v>-36</v>
      </c>
      <c r="AQ672" s="295"/>
      <c r="AR672" s="295">
        <f>SUM(AR666:AR671)</f>
        <v>-121</v>
      </c>
      <c r="AS672" s="295">
        <f>SUM(AS666:AS671)</f>
        <v>-196</v>
      </c>
      <c r="AT672" s="295">
        <f>AR672+AS672</f>
        <v>-317</v>
      </c>
      <c r="AU672" s="295"/>
      <c r="AV672" s="295">
        <f>SUM(AV666:AV671)</f>
        <v>-41</v>
      </c>
      <c r="AW672" s="295">
        <f>SUM(AW666:AW671)</f>
        <v>-68</v>
      </c>
      <c r="AX672" s="295">
        <f t="shared" si="1783"/>
        <v>-109</v>
      </c>
      <c r="AY672" s="295"/>
      <c r="AZ672" s="295">
        <f>SUM(AZ666:AZ671)</f>
        <v>-13</v>
      </c>
      <c r="BA672" s="295">
        <f>SUM(BA666:BA671)</f>
        <v>7</v>
      </c>
      <c r="BB672" s="295">
        <f t="shared" si="1784"/>
        <v>-6</v>
      </c>
      <c r="BC672" s="295"/>
      <c r="BD672" s="295">
        <f>SUM(BD666:BD671)</f>
        <v>7.33</v>
      </c>
      <c r="BE672" s="295">
        <f>SUM(BE666:BE671)</f>
        <v>-27</v>
      </c>
      <c r="BF672" s="295">
        <f t="shared" si="1785"/>
        <v>-19.670000000000002</v>
      </c>
      <c r="BG672" s="293"/>
      <c r="BH672" s="295">
        <f>SUM(BH666:BH671)</f>
        <v>1</v>
      </c>
      <c r="BI672" s="295">
        <f>SUM(BI666:BI671)</f>
        <v>1</v>
      </c>
      <c r="BJ672" s="295">
        <f t="shared" si="1786"/>
        <v>2</v>
      </c>
      <c r="BK672" s="293"/>
      <c r="BL672" s="295">
        <f>SUM(BL666:BL671)</f>
        <v>3</v>
      </c>
      <c r="BM672" s="295">
        <f>SUM(BM666:BM671)</f>
        <v>0</v>
      </c>
      <c r="BN672" s="295">
        <f t="shared" si="1787"/>
        <v>3</v>
      </c>
      <c r="BO672" s="295"/>
      <c r="BP672" s="295">
        <f>SUM(BP666:BP671)</f>
        <v>0</v>
      </c>
      <c r="BQ672" s="295">
        <f>SUM(BQ666:BQ671)</f>
        <v>0</v>
      </c>
      <c r="BR672" s="295">
        <f t="shared" si="1788"/>
        <v>0</v>
      </c>
      <c r="BS672" s="295"/>
      <c r="BT672" s="295">
        <f>SUM(BT666:BT671)</f>
        <v>0</v>
      </c>
      <c r="BU672" s="295">
        <f>SUM(BU666:BU671)</f>
        <v>0</v>
      </c>
      <c r="BV672" s="295">
        <f t="shared" si="1789"/>
        <v>0</v>
      </c>
      <c r="BW672" s="295"/>
      <c r="BX672" s="295">
        <f>SUM(BX666:BX671)</f>
        <v>0</v>
      </c>
      <c r="BY672" s="295">
        <f>SUM(BY666:BY671)</f>
        <v>0</v>
      </c>
      <c r="BZ672" s="295">
        <f t="shared" si="1790"/>
        <v>0</v>
      </c>
      <c r="CA672" s="295"/>
      <c r="CB672" s="295"/>
      <c r="CC672" s="295"/>
      <c r="CD672" s="295"/>
      <c r="CE672" s="295"/>
      <c r="CF672" s="295"/>
      <c r="CG672" s="295"/>
      <c r="CH672" s="295"/>
      <c r="CI672" s="295"/>
      <c r="CJ672" s="295"/>
      <c r="CK672" s="295"/>
      <c r="CL672" s="295"/>
      <c r="CM672" s="295"/>
      <c r="CN672" s="295"/>
      <c r="CO672" s="295"/>
      <c r="CP672" s="295"/>
      <c r="CQ672" s="295"/>
      <c r="CR672" s="295"/>
      <c r="CS672" s="295"/>
      <c r="CT672" s="295"/>
      <c r="CU672" s="295"/>
      <c r="CV672" s="295"/>
      <c r="CW672" s="295"/>
      <c r="CX672" s="295"/>
      <c r="CY672" s="295"/>
      <c r="CZ672" s="295"/>
      <c r="DA672" s="295"/>
      <c r="DB672" s="295"/>
      <c r="DC672" s="295"/>
      <c r="DD672" s="295"/>
      <c r="DE672" s="295"/>
      <c r="DF672" s="295"/>
      <c r="DG672" s="295"/>
      <c r="DH672" s="295"/>
      <c r="DI672" s="295"/>
      <c r="DJ672" s="295"/>
      <c r="DK672" s="295"/>
      <c r="DL672" s="295"/>
      <c r="DM672" s="295"/>
      <c r="DN672" s="295"/>
      <c r="DO672" s="295"/>
      <c r="DP672" s="295"/>
      <c r="DQ672" s="295"/>
      <c r="DR672" s="295"/>
      <c r="DS672" s="295"/>
      <c r="DT672" s="295"/>
      <c r="DU672" s="295"/>
      <c r="DV672" s="295"/>
      <c r="DW672" s="295"/>
      <c r="DX672" s="295"/>
      <c r="DY672" s="295"/>
      <c r="DZ672" s="295"/>
      <c r="EA672" s="295"/>
      <c r="EB672" s="295"/>
      <c r="EC672" s="295"/>
      <c r="ED672" s="295"/>
      <c r="EE672" s="295"/>
      <c r="EF672" s="295"/>
      <c r="EG672" s="295"/>
      <c r="EH672" s="295"/>
      <c r="EI672" s="295"/>
      <c r="EJ672" s="295"/>
      <c r="EK672" s="295"/>
      <c r="EL672" s="295"/>
      <c r="EM672" s="295"/>
      <c r="EN672" s="295"/>
      <c r="EO672" s="295"/>
      <c r="EP672" s="295"/>
      <c r="EQ672" s="295"/>
      <c r="ER672" s="295"/>
      <c r="ES672" s="295"/>
      <c r="ET672" s="295"/>
      <c r="EU672" s="295"/>
      <c r="EV672" s="327"/>
      <c r="EW672" s="327"/>
      <c r="EX672" s="327"/>
      <c r="EY672" s="327"/>
      <c r="EZ672" s="327"/>
      <c r="FA672" s="327"/>
      <c r="FB672" s="327"/>
      <c r="FC672" s="327"/>
      <c r="FD672" s="327"/>
      <c r="FE672" s="327"/>
      <c r="FF672" s="327"/>
      <c r="FG672" s="327"/>
      <c r="FH672" s="327"/>
      <c r="FI672" s="327"/>
      <c r="FJ672" s="327"/>
      <c r="FK672" s="327"/>
      <c r="FL672" s="327"/>
      <c r="FM672" s="327"/>
      <c r="FN672" s="327"/>
      <c r="FO672" s="327"/>
      <c r="FP672" s="327"/>
      <c r="FQ672" s="327"/>
      <c r="FR672" s="327"/>
      <c r="FS672" s="327"/>
      <c r="FT672" s="327"/>
      <c r="FU672" s="327"/>
      <c r="FV672" s="327"/>
      <c r="FW672" s="327"/>
      <c r="FX672" s="327"/>
      <c r="FY672" s="327"/>
      <c r="FZ672" s="327"/>
      <c r="GA672" s="327"/>
      <c r="GB672" s="327"/>
      <c r="GC672" s="327"/>
      <c r="GD672" s="327"/>
      <c r="GE672" s="327"/>
      <c r="GF672" s="327"/>
      <c r="GG672" s="327"/>
      <c r="GH672" s="327"/>
      <c r="GI672" s="327"/>
      <c r="GJ672" s="327"/>
      <c r="GK672" s="327"/>
      <c r="GL672" s="327"/>
      <c r="GM672" s="327"/>
      <c r="GN672" s="327"/>
      <c r="GO672" s="327"/>
      <c r="GP672" s="327"/>
      <c r="GQ672" s="327"/>
      <c r="GR672" s="327"/>
      <c r="GS672" s="327"/>
      <c r="GT672" s="327"/>
      <c r="GU672" s="327"/>
      <c r="GV672" s="327"/>
      <c r="GW672" s="327"/>
      <c r="GX672" s="327"/>
      <c r="GY672" s="327"/>
      <c r="GZ672" s="327"/>
      <c r="HA672" s="327"/>
      <c r="HB672" s="327"/>
      <c r="HC672" s="327"/>
      <c r="HD672" s="327"/>
      <c r="HE672" s="327"/>
      <c r="HF672" s="327"/>
      <c r="HG672" s="327"/>
      <c r="HH672" s="327"/>
      <c r="HI672" s="327"/>
      <c r="HJ672" s="327"/>
      <c r="HK672" s="327"/>
      <c r="HL672" s="327"/>
      <c r="HM672" s="327"/>
      <c r="HN672" s="327"/>
      <c r="HO672" s="327"/>
      <c r="HP672" s="327"/>
      <c r="HQ672" s="327"/>
      <c r="HR672" s="327"/>
      <c r="HS672" s="327"/>
      <c r="HT672" s="327"/>
      <c r="HU672" s="327"/>
      <c r="HV672" s="327"/>
      <c r="HW672" s="327"/>
      <c r="HX672" s="327"/>
      <c r="HY672" s="327"/>
      <c r="HZ672" s="327"/>
      <c r="IA672" s="327"/>
      <c r="IB672" s="327"/>
      <c r="IC672" s="327"/>
      <c r="ID672" s="327"/>
      <c r="IE672" s="327"/>
      <c r="IF672" s="327"/>
      <c r="IG672" s="327"/>
      <c r="IH672" s="327"/>
      <c r="II672" s="327"/>
      <c r="IJ672" s="327"/>
      <c r="IK672" s="327"/>
      <c r="IL672" s="327"/>
      <c r="IM672" s="327"/>
      <c r="IN672" s="327"/>
      <c r="IO672" s="327"/>
      <c r="IP672" s="327"/>
      <c r="IQ672" s="327"/>
      <c r="IR672" s="327"/>
      <c r="IS672" s="327"/>
      <c r="IT672" s="327"/>
      <c r="IU672" s="327"/>
      <c r="IV672" s="327"/>
      <c r="IW672" s="327"/>
      <c r="IX672" s="327"/>
      <c r="IY672" s="327"/>
      <c r="IZ672" s="327"/>
      <c r="JA672" s="327"/>
      <c r="JB672" s="327"/>
      <c r="JC672" s="327"/>
      <c r="JD672" s="327"/>
      <c r="JE672" s="327"/>
      <c r="JF672" s="327"/>
      <c r="JG672" s="327"/>
      <c r="JH672" s="327"/>
      <c r="JI672" s="327"/>
      <c r="JJ672" s="327"/>
      <c r="JK672" s="327"/>
      <c r="JL672" s="327"/>
      <c r="JM672" s="327"/>
      <c r="JN672" s="327"/>
      <c r="JO672" s="327"/>
      <c r="JP672" s="327"/>
      <c r="JQ672" s="327"/>
      <c r="JR672" s="327"/>
      <c r="JS672" s="327"/>
      <c r="JT672" s="327"/>
      <c r="JU672" s="327"/>
      <c r="JV672" s="327"/>
      <c r="JW672"/>
    </row>
    <row r="673" spans="1:283" s="332" customFormat="1" hidden="1" outlineLevel="1">
      <c r="AN673" s="293"/>
      <c r="AO673" s="293"/>
      <c r="AP673" s="293"/>
      <c r="AQ673" s="293"/>
      <c r="AR673" s="293"/>
      <c r="AS673" s="293"/>
      <c r="AT673" s="293"/>
      <c r="AU673" s="293"/>
      <c r="AV673" s="293"/>
      <c r="AW673" s="293"/>
      <c r="AX673" s="293"/>
      <c r="AY673" s="293"/>
      <c r="AZ673" s="293"/>
      <c r="BA673" s="293"/>
      <c r="BB673" s="293"/>
      <c r="BC673" s="293"/>
      <c r="BD673" s="293"/>
      <c r="BE673" s="293"/>
      <c r="BF673" s="293"/>
      <c r="BG673" s="293"/>
      <c r="BH673" s="293"/>
      <c r="BI673" s="293"/>
      <c r="BJ673" s="293"/>
      <c r="BK673" s="293"/>
      <c r="BL673" s="293"/>
      <c r="BM673" s="293"/>
      <c r="BN673" s="293"/>
      <c r="BO673" s="293"/>
      <c r="BP673" s="293"/>
      <c r="BQ673" s="293"/>
      <c r="BR673" s="293"/>
      <c r="BS673" s="293"/>
      <c r="BT673" s="293"/>
      <c r="BU673" s="293"/>
      <c r="BV673" s="293"/>
      <c r="BW673" s="293"/>
      <c r="BX673" s="293"/>
      <c r="BY673" s="293"/>
      <c r="BZ673" s="293"/>
      <c r="CA673" s="293"/>
      <c r="CB673" s="293"/>
      <c r="CC673" s="293"/>
      <c r="CD673" s="293"/>
      <c r="CE673" s="293"/>
      <c r="CF673" s="293"/>
      <c r="CG673" s="293"/>
      <c r="CH673" s="293"/>
      <c r="CI673" s="293"/>
      <c r="CJ673" s="293"/>
      <c r="CK673" s="293"/>
      <c r="CL673" s="293"/>
      <c r="CM673" s="293"/>
      <c r="CN673" s="293"/>
      <c r="CO673" s="293"/>
      <c r="CP673" s="293"/>
      <c r="CQ673" s="293"/>
      <c r="CR673" s="293"/>
      <c r="CS673" s="293"/>
      <c r="CT673" s="293"/>
      <c r="CU673" s="293"/>
      <c r="CV673" s="293"/>
      <c r="CW673" s="293"/>
      <c r="CX673" s="293"/>
      <c r="CY673" s="293"/>
      <c r="CZ673" s="293"/>
      <c r="DA673" s="293"/>
      <c r="DB673" s="293"/>
      <c r="DC673" s="293"/>
      <c r="DD673" s="293"/>
      <c r="DE673" s="293"/>
      <c r="DF673" s="293"/>
      <c r="DG673" s="293"/>
      <c r="DH673" s="293"/>
      <c r="DI673" s="293"/>
      <c r="DJ673" s="293"/>
      <c r="DK673" s="293"/>
      <c r="DL673" s="293"/>
      <c r="DM673" s="293"/>
      <c r="DN673" s="293"/>
      <c r="DO673" s="293"/>
      <c r="DP673" s="293"/>
      <c r="DQ673" s="293"/>
      <c r="DR673" s="293"/>
      <c r="DS673" s="293"/>
      <c r="DT673" s="293"/>
      <c r="DU673" s="293"/>
      <c r="DV673" s="293"/>
      <c r="DW673" s="293"/>
      <c r="DX673" s="293"/>
      <c r="DY673" s="293"/>
      <c r="DZ673" s="293"/>
      <c r="EA673" s="293"/>
      <c r="EB673" s="293"/>
      <c r="EC673" s="293"/>
      <c r="ED673" s="293"/>
      <c r="EE673" s="293"/>
      <c r="EF673" s="293"/>
      <c r="EG673" s="293"/>
      <c r="EH673" s="293"/>
      <c r="EI673" s="293"/>
      <c r="EJ673" s="293"/>
      <c r="EK673" s="293"/>
      <c r="EL673" s="293"/>
      <c r="EM673" s="293"/>
      <c r="EN673" s="293"/>
      <c r="EO673" s="293"/>
      <c r="EP673" s="293"/>
      <c r="EQ673" s="293"/>
      <c r="ER673" s="293"/>
      <c r="ES673" s="293"/>
      <c r="ET673" s="293"/>
      <c r="EU673" s="293"/>
      <c r="JW673"/>
    </row>
    <row r="674" spans="1:283" s="845" customFormat="1" hidden="1" outlineLevel="1">
      <c r="A674" s="845" t="s">
        <v>604</v>
      </c>
      <c r="AN674" s="303"/>
      <c r="AO674" s="303"/>
      <c r="AP674" s="303"/>
      <c r="AQ674" s="303"/>
      <c r="AR674" s="657">
        <f>-16+4</f>
        <v>-12</v>
      </c>
      <c r="AS674" s="657">
        <f>-16+4</f>
        <v>-12</v>
      </c>
      <c r="AT674" s="303">
        <f>AR674+AS674</f>
        <v>-24</v>
      </c>
      <c r="AU674" s="627"/>
      <c r="AV674" s="627">
        <v>-6</v>
      </c>
      <c r="AW674" s="627">
        <v>-5</v>
      </c>
      <c r="AX674" s="303">
        <f t="shared" ref="AX674:AX680" si="1791">AV674+AW674</f>
        <v>-11</v>
      </c>
      <c r="AY674" s="303"/>
      <c r="AZ674" s="627">
        <v>-5</v>
      </c>
      <c r="BA674" s="627">
        <v>-6</v>
      </c>
      <c r="BB674" s="303">
        <f t="shared" ref="BB674:BB680" si="1792">AZ674+BA674</f>
        <v>-11</v>
      </c>
      <c r="BC674" s="303"/>
      <c r="BD674" s="627"/>
      <c r="BE674" s="627"/>
      <c r="BF674" s="303">
        <f t="shared" ref="BF674:BF680" si="1793">BD674+BE674</f>
        <v>0</v>
      </c>
      <c r="BG674" s="303"/>
      <c r="BH674" s="627">
        <v>0</v>
      </c>
      <c r="BI674" s="627">
        <v>0</v>
      </c>
      <c r="BJ674" s="303">
        <f t="shared" ref="BJ674:BJ680" si="1794">BH674+BI674</f>
        <v>0</v>
      </c>
      <c r="BK674" s="303"/>
      <c r="BL674" s="627">
        <v>0</v>
      </c>
      <c r="BM674" s="627">
        <v>0</v>
      </c>
      <c r="BN674" s="303">
        <f t="shared" ref="BN674:BN680" si="1795">BL674+BM674</f>
        <v>0</v>
      </c>
      <c r="BO674" s="303"/>
      <c r="BP674" s="627">
        <v>0</v>
      </c>
      <c r="BQ674" s="627">
        <v>0</v>
      </c>
      <c r="BR674" s="303">
        <f t="shared" ref="BR674:BR680" si="1796">BP674+BQ674</f>
        <v>0</v>
      </c>
      <c r="BS674" s="303"/>
      <c r="BT674" s="627">
        <v>0</v>
      </c>
      <c r="BU674" s="627">
        <v>0</v>
      </c>
      <c r="BV674" s="303">
        <f t="shared" ref="BV674:BV680" si="1797">BT674+BU674</f>
        <v>0</v>
      </c>
      <c r="BW674" s="303"/>
      <c r="BX674" s="627">
        <v>0</v>
      </c>
      <c r="BY674" s="627">
        <v>0</v>
      </c>
      <c r="BZ674" s="303">
        <f t="shared" ref="BZ674:BZ680" si="1798">BX674+BY674</f>
        <v>0</v>
      </c>
      <c r="CA674" s="303"/>
      <c r="CB674" s="303"/>
      <c r="CC674" s="303"/>
      <c r="CD674" s="303"/>
      <c r="CE674" s="303"/>
      <c r="CF674" s="303"/>
      <c r="CG674" s="303"/>
      <c r="CH674" s="303"/>
      <c r="CI674" s="303"/>
      <c r="CJ674" s="303"/>
      <c r="CK674" s="303"/>
      <c r="CL674" s="303"/>
      <c r="CM674" s="303"/>
      <c r="CN674" s="303"/>
      <c r="CO674" s="303"/>
      <c r="CP674" s="303"/>
      <c r="CQ674" s="303"/>
      <c r="CR674" s="303"/>
      <c r="CS674" s="303"/>
      <c r="CT674" s="303"/>
      <c r="CU674" s="303"/>
      <c r="CV674" s="303"/>
      <c r="CW674" s="303"/>
      <c r="CX674" s="303"/>
      <c r="CY674" s="303"/>
      <c r="CZ674" s="303"/>
      <c r="DA674" s="303"/>
      <c r="DB674" s="303"/>
      <c r="DC674" s="303"/>
      <c r="DD674" s="303"/>
      <c r="DE674" s="303"/>
      <c r="DF674" s="303"/>
      <c r="DG674" s="303"/>
      <c r="DH674" s="303"/>
      <c r="DI674" s="303"/>
      <c r="DJ674" s="303"/>
      <c r="DK674" s="303"/>
      <c r="DL674" s="303"/>
      <c r="DM674" s="303"/>
      <c r="DN674" s="303"/>
      <c r="DO674" s="303"/>
      <c r="DP674" s="303"/>
      <c r="DQ674" s="303"/>
      <c r="DR674" s="303"/>
      <c r="DS674" s="303"/>
      <c r="DT674" s="303"/>
      <c r="DU674" s="303"/>
      <c r="DV674" s="303"/>
      <c r="DW674" s="303"/>
      <c r="DX674" s="303"/>
      <c r="DY674" s="303"/>
      <c r="DZ674" s="303"/>
      <c r="EA674" s="303"/>
      <c r="EB674" s="303"/>
      <c r="EC674" s="303"/>
      <c r="ED674" s="303"/>
      <c r="EE674" s="303"/>
      <c r="EF674" s="303"/>
      <c r="EG674" s="303"/>
      <c r="EH674" s="303"/>
      <c r="EI674" s="303"/>
      <c r="EJ674" s="303"/>
      <c r="EK674" s="303"/>
      <c r="EL674" s="303"/>
      <c r="EM674" s="303"/>
      <c r="EN674" s="303"/>
      <c r="EO674" s="303"/>
      <c r="EP674" s="303"/>
      <c r="EQ674" s="303"/>
      <c r="ER674" s="303"/>
      <c r="ES674" s="303"/>
      <c r="ET674" s="303"/>
      <c r="EU674" s="303"/>
      <c r="JW674"/>
    </row>
    <row r="675" spans="1:283" s="845" customFormat="1" hidden="1" outlineLevel="1">
      <c r="A675" s="845" t="s">
        <v>605</v>
      </c>
      <c r="AN675" s="303"/>
      <c r="AO675" s="303"/>
      <c r="AP675" s="303"/>
      <c r="AQ675" s="303"/>
      <c r="AR675" s="627">
        <v>0</v>
      </c>
      <c r="AS675" s="627">
        <v>0</v>
      </c>
      <c r="AT675" s="303">
        <f>AR675+AS675</f>
        <v>0</v>
      </c>
      <c r="AU675" s="627"/>
      <c r="AV675" s="627">
        <v>-8</v>
      </c>
      <c r="AW675" s="627">
        <v>-3</v>
      </c>
      <c r="AX675" s="303">
        <f t="shared" si="1791"/>
        <v>-11</v>
      </c>
      <c r="AY675" s="303"/>
      <c r="AZ675" s="627">
        <v>-13</v>
      </c>
      <c r="BA675" s="627">
        <v>-11</v>
      </c>
      <c r="BB675" s="303">
        <f t="shared" si="1792"/>
        <v>-24</v>
      </c>
      <c r="BC675" s="303"/>
      <c r="BD675" s="627">
        <v>2</v>
      </c>
      <c r="BE675" s="627">
        <v>0</v>
      </c>
      <c r="BF675" s="303">
        <f t="shared" si="1793"/>
        <v>2</v>
      </c>
      <c r="BG675" s="303"/>
      <c r="BH675" s="627">
        <v>0</v>
      </c>
      <c r="BI675" s="627">
        <v>0</v>
      </c>
      <c r="BJ675" s="303">
        <f t="shared" si="1794"/>
        <v>0</v>
      </c>
      <c r="BK675" s="303"/>
      <c r="BL675" s="627">
        <v>0</v>
      </c>
      <c r="BM675" s="627">
        <v>0</v>
      </c>
      <c r="BN675" s="303">
        <f t="shared" si="1795"/>
        <v>0</v>
      </c>
      <c r="BO675" s="303"/>
      <c r="BP675" s="627">
        <v>0</v>
      </c>
      <c r="BQ675" s="627">
        <v>0</v>
      </c>
      <c r="BR675" s="303">
        <f t="shared" si="1796"/>
        <v>0</v>
      </c>
      <c r="BS675" s="303"/>
      <c r="BT675" s="627">
        <v>0</v>
      </c>
      <c r="BU675" s="627">
        <v>0</v>
      </c>
      <c r="BV675" s="303">
        <f t="shared" si="1797"/>
        <v>0</v>
      </c>
      <c r="BW675" s="303"/>
      <c r="BX675" s="627">
        <v>0</v>
      </c>
      <c r="BY675" s="627">
        <v>0</v>
      </c>
      <c r="BZ675" s="303">
        <f t="shared" si="1798"/>
        <v>0</v>
      </c>
      <c r="CA675" s="303"/>
      <c r="CB675" s="303"/>
      <c r="CC675" s="303"/>
      <c r="CD675" s="303"/>
      <c r="CE675" s="303"/>
      <c r="CF675" s="303"/>
      <c r="CG675" s="303"/>
      <c r="CH675" s="303"/>
      <c r="CI675" s="303"/>
      <c r="CJ675" s="303"/>
      <c r="CK675" s="303"/>
      <c r="CL675" s="303"/>
      <c r="CM675" s="303"/>
      <c r="CN675" s="303"/>
      <c r="CO675" s="303"/>
      <c r="CP675" s="303"/>
      <c r="CQ675" s="303"/>
      <c r="CR675" s="303"/>
      <c r="CS675" s="303"/>
      <c r="CT675" s="303"/>
      <c r="CU675" s="303"/>
      <c r="CV675" s="303"/>
      <c r="CW675" s="303"/>
      <c r="CX675" s="303"/>
      <c r="CY675" s="303"/>
      <c r="CZ675" s="303"/>
      <c r="DA675" s="303"/>
      <c r="DB675" s="303"/>
      <c r="DC675" s="303"/>
      <c r="DD675" s="303"/>
      <c r="DE675" s="303"/>
      <c r="DF675" s="303"/>
      <c r="DG675" s="303"/>
      <c r="DH675" s="303"/>
      <c r="DI675" s="303"/>
      <c r="DJ675" s="303"/>
      <c r="DK675" s="303"/>
      <c r="DL675" s="303"/>
      <c r="DM675" s="303"/>
      <c r="DN675" s="303"/>
      <c r="DO675" s="303"/>
      <c r="DP675" s="303"/>
      <c r="DQ675" s="303"/>
      <c r="DR675" s="303"/>
      <c r="DS675" s="303"/>
      <c r="DT675" s="303"/>
      <c r="DU675" s="303"/>
      <c r="DV675" s="303"/>
      <c r="DW675" s="303"/>
      <c r="DX675" s="303"/>
      <c r="DY675" s="303"/>
      <c r="DZ675" s="303"/>
      <c r="EA675" s="303"/>
      <c r="EB675" s="303"/>
      <c r="EC675" s="303"/>
      <c r="ED675" s="303"/>
      <c r="EE675" s="303"/>
      <c r="EF675" s="303"/>
      <c r="EG675" s="303"/>
      <c r="EH675" s="303"/>
      <c r="EI675" s="303"/>
      <c r="EJ675" s="303"/>
      <c r="EK675" s="303"/>
      <c r="EL675" s="303"/>
      <c r="EM675" s="303"/>
      <c r="EN675" s="303"/>
      <c r="EO675" s="303"/>
      <c r="EP675" s="303"/>
      <c r="EQ675" s="303"/>
      <c r="ER675" s="303"/>
      <c r="ES675" s="303"/>
      <c r="ET675" s="303"/>
      <c r="EU675" s="303"/>
      <c r="JW675"/>
    </row>
    <row r="676" spans="1:283" s="845" customFormat="1" hidden="1" outlineLevel="1">
      <c r="A676" s="845" t="s">
        <v>606</v>
      </c>
      <c r="AN676" s="303"/>
      <c r="AO676" s="303"/>
      <c r="AP676" s="303"/>
      <c r="AQ676" s="303"/>
      <c r="AR676" s="627">
        <f>-27+7</f>
        <v>-20</v>
      </c>
      <c r="AS676" s="627">
        <f>-35+7</f>
        <v>-28</v>
      </c>
      <c r="AT676" s="303">
        <f>AR676+AS676</f>
        <v>-48</v>
      </c>
      <c r="AU676" s="627"/>
      <c r="AV676" s="627">
        <f>-11-AV675</f>
        <v>-3</v>
      </c>
      <c r="AW676" s="627">
        <f>-12-AW675</f>
        <v>-9</v>
      </c>
      <c r="AX676" s="303">
        <f t="shared" si="1791"/>
        <v>-12</v>
      </c>
      <c r="AY676" s="303"/>
      <c r="AZ676" s="627">
        <f>-9-AZ675</f>
        <v>4</v>
      </c>
      <c r="BA676" s="627">
        <f>-14-BA675</f>
        <v>-3</v>
      </c>
      <c r="BB676" s="303">
        <f t="shared" si="1792"/>
        <v>1</v>
      </c>
      <c r="BC676" s="303"/>
      <c r="BD676" s="627">
        <f>-5-BD675</f>
        <v>-7</v>
      </c>
      <c r="BE676" s="627">
        <f>-4-BE675</f>
        <v>-4</v>
      </c>
      <c r="BF676" s="303">
        <f t="shared" si="1793"/>
        <v>-11</v>
      </c>
      <c r="BG676" s="303"/>
      <c r="BH676" s="627">
        <v>0</v>
      </c>
      <c r="BI676" s="627">
        <v>0</v>
      </c>
      <c r="BJ676" s="303">
        <f t="shared" si="1794"/>
        <v>0</v>
      </c>
      <c r="BK676" s="303"/>
      <c r="BL676" s="627">
        <v>0</v>
      </c>
      <c r="BM676" s="627">
        <v>0</v>
      </c>
      <c r="BN676" s="303">
        <f t="shared" si="1795"/>
        <v>0</v>
      </c>
      <c r="BO676" s="303"/>
      <c r="BP676" s="627">
        <v>0</v>
      </c>
      <c r="BQ676" s="627">
        <v>0</v>
      </c>
      <c r="BR676" s="303">
        <f t="shared" si="1796"/>
        <v>0</v>
      </c>
      <c r="BS676" s="303"/>
      <c r="BT676" s="627">
        <v>0</v>
      </c>
      <c r="BU676" s="627">
        <v>0</v>
      </c>
      <c r="BV676" s="303">
        <f t="shared" si="1797"/>
        <v>0</v>
      </c>
      <c r="BW676" s="303"/>
      <c r="BX676" s="627">
        <v>0</v>
      </c>
      <c r="BY676" s="627">
        <v>0</v>
      </c>
      <c r="BZ676" s="303">
        <f t="shared" si="1798"/>
        <v>0</v>
      </c>
      <c r="CA676" s="303"/>
      <c r="CB676" s="303"/>
      <c r="CC676" s="303"/>
      <c r="CD676" s="303"/>
      <c r="CE676" s="303"/>
      <c r="CF676" s="303"/>
      <c r="CG676" s="303"/>
      <c r="CH676" s="303"/>
      <c r="CI676" s="303"/>
      <c r="CJ676" s="303"/>
      <c r="CK676" s="303"/>
      <c r="CL676" s="303"/>
      <c r="CM676" s="303"/>
      <c r="CN676" s="303"/>
      <c r="CO676" s="303"/>
      <c r="CP676" s="303"/>
      <c r="CQ676" s="303"/>
      <c r="CR676" s="303"/>
      <c r="CS676" s="303"/>
      <c r="CT676" s="303"/>
      <c r="CU676" s="303"/>
      <c r="CV676" s="303"/>
      <c r="CW676" s="303"/>
      <c r="CX676" s="303"/>
      <c r="CY676" s="303"/>
      <c r="CZ676" s="303"/>
      <c r="DA676" s="303"/>
      <c r="DB676" s="303"/>
      <c r="DC676" s="303"/>
      <c r="DD676" s="303"/>
      <c r="DE676" s="303"/>
      <c r="DF676" s="303"/>
      <c r="DG676" s="303"/>
      <c r="DH676" s="303"/>
      <c r="DI676" s="303"/>
      <c r="DJ676" s="303"/>
      <c r="DK676" s="303"/>
      <c r="DL676" s="303"/>
      <c r="DM676" s="303"/>
      <c r="DN676" s="303"/>
      <c r="DO676" s="303"/>
      <c r="DP676" s="303"/>
      <c r="DQ676" s="303"/>
      <c r="DR676" s="303"/>
      <c r="DS676" s="303"/>
      <c r="DT676" s="303"/>
      <c r="DU676" s="303"/>
      <c r="DV676" s="303"/>
      <c r="DW676" s="303"/>
      <c r="DX676" s="303"/>
      <c r="DY676" s="303"/>
      <c r="DZ676" s="303"/>
      <c r="EA676" s="303"/>
      <c r="EB676" s="303"/>
      <c r="EC676" s="303"/>
      <c r="ED676" s="303"/>
      <c r="EE676" s="303"/>
      <c r="EF676" s="303"/>
      <c r="EG676" s="303"/>
      <c r="EH676" s="303"/>
      <c r="EI676" s="303"/>
      <c r="EJ676" s="303"/>
      <c r="EK676" s="303"/>
      <c r="EL676" s="303"/>
      <c r="EM676" s="303"/>
      <c r="EN676" s="303"/>
      <c r="EO676" s="303"/>
      <c r="EP676" s="303"/>
      <c r="EQ676" s="303"/>
      <c r="ER676" s="303"/>
      <c r="ES676" s="303"/>
      <c r="ET676" s="303"/>
      <c r="EU676" s="303"/>
      <c r="JW676"/>
    </row>
    <row r="677" spans="1:283" s="332" customFormat="1" hidden="1" outlineLevel="1">
      <c r="A677" s="327" t="s">
        <v>569</v>
      </c>
      <c r="AN677" s="295">
        <f>SUM(AN674:AN676)</f>
        <v>0</v>
      </c>
      <c r="AO677" s="295">
        <f>SUM(AO674:AO676)</f>
        <v>0</v>
      </c>
      <c r="AP677" s="295">
        <f>AN677+AO677</f>
        <v>0</v>
      </c>
      <c r="AQ677" s="295"/>
      <c r="AR677" s="295">
        <f>SUM(AR674:AR676)</f>
        <v>-32</v>
      </c>
      <c r="AS677" s="295">
        <f>SUM(AS674:AS676)</f>
        <v>-40</v>
      </c>
      <c r="AT677" s="295">
        <f>AR677+AS677</f>
        <v>-72</v>
      </c>
      <c r="AU677" s="295"/>
      <c r="AV677" s="295">
        <f>SUM(AV674:AV676)</f>
        <v>-17</v>
      </c>
      <c r="AW677" s="295">
        <f>SUM(AW674:AW676)</f>
        <v>-17</v>
      </c>
      <c r="AX677" s="295">
        <f t="shared" si="1791"/>
        <v>-34</v>
      </c>
      <c r="AY677" s="295"/>
      <c r="AZ677" s="295">
        <f>SUM(AZ674:AZ676)</f>
        <v>-14</v>
      </c>
      <c r="BA677" s="295">
        <f>SUM(BA674:BA676)</f>
        <v>-20</v>
      </c>
      <c r="BB677" s="295">
        <f t="shared" si="1792"/>
        <v>-34</v>
      </c>
      <c r="BC677" s="295"/>
      <c r="BD677" s="295">
        <f>SUM(BD674:BD676)</f>
        <v>-5</v>
      </c>
      <c r="BE677" s="295">
        <f>SUM(BE674:BE676)</f>
        <v>-4</v>
      </c>
      <c r="BF677" s="295">
        <f t="shared" si="1793"/>
        <v>-9</v>
      </c>
      <c r="BG677" s="295"/>
      <c r="BH677" s="295">
        <f>SUM(BH674:BH676)</f>
        <v>0</v>
      </c>
      <c r="BI677" s="295">
        <f>SUM(BI674:BI676)</f>
        <v>0</v>
      </c>
      <c r="BJ677" s="295">
        <f t="shared" si="1794"/>
        <v>0</v>
      </c>
      <c r="BK677" s="295"/>
      <c r="BL677" s="295">
        <f>SUM(BL674:BL676)</f>
        <v>0</v>
      </c>
      <c r="BM677" s="295">
        <f>SUM(BM674:BM676)</f>
        <v>0</v>
      </c>
      <c r="BN677" s="295">
        <f t="shared" si="1795"/>
        <v>0</v>
      </c>
      <c r="BO677" s="295"/>
      <c r="BP677" s="295">
        <f>SUM(BP674:BP676)</f>
        <v>0</v>
      </c>
      <c r="BQ677" s="295">
        <f>SUM(BQ674:BQ676)</f>
        <v>0</v>
      </c>
      <c r="BR677" s="295">
        <f t="shared" si="1796"/>
        <v>0</v>
      </c>
      <c r="BS677" s="295"/>
      <c r="BT677" s="295">
        <f>SUM(BT674:BT676)</f>
        <v>0</v>
      </c>
      <c r="BU677" s="295">
        <f>SUM(BU674:BU676)</f>
        <v>0</v>
      </c>
      <c r="BV677" s="295">
        <f t="shared" si="1797"/>
        <v>0</v>
      </c>
      <c r="BW677" s="295"/>
      <c r="BX677" s="295">
        <f>SUM(BX674:BX676)</f>
        <v>0</v>
      </c>
      <c r="BY677" s="295">
        <f>SUM(BY674:BY676)</f>
        <v>0</v>
      </c>
      <c r="BZ677" s="295">
        <f t="shared" si="1798"/>
        <v>0</v>
      </c>
      <c r="CA677" s="295"/>
      <c r="CB677" s="295"/>
      <c r="CC677" s="295"/>
      <c r="CD677" s="295"/>
      <c r="CE677" s="295"/>
      <c r="CF677" s="295"/>
      <c r="CG677" s="295"/>
      <c r="CH677" s="295"/>
      <c r="CI677" s="295"/>
      <c r="CJ677" s="295"/>
      <c r="CK677" s="295"/>
      <c r="CL677" s="295"/>
      <c r="CM677" s="295"/>
      <c r="CN677" s="295"/>
      <c r="CO677" s="295"/>
      <c r="CP677" s="295"/>
      <c r="CQ677" s="295"/>
      <c r="CR677" s="295"/>
      <c r="CS677" s="295"/>
      <c r="CT677" s="295"/>
      <c r="CU677" s="295"/>
      <c r="CV677" s="295"/>
      <c r="CW677" s="295"/>
      <c r="CX677" s="295"/>
      <c r="CY677" s="295"/>
      <c r="CZ677" s="295"/>
      <c r="DA677" s="295"/>
      <c r="DB677" s="295"/>
      <c r="DC677" s="295"/>
      <c r="DD677" s="295"/>
      <c r="DE677" s="295"/>
      <c r="DF677" s="295"/>
      <c r="DG677" s="295"/>
      <c r="DH677" s="295"/>
      <c r="DI677" s="295"/>
      <c r="DJ677" s="295"/>
      <c r="DK677" s="295"/>
      <c r="DL677" s="295"/>
      <c r="DM677" s="295"/>
      <c r="DN677" s="295"/>
      <c r="DO677" s="295"/>
      <c r="DP677" s="295"/>
      <c r="DQ677" s="295"/>
      <c r="DR677" s="295"/>
      <c r="DS677" s="295"/>
      <c r="DT677" s="295"/>
      <c r="DU677" s="295"/>
      <c r="DV677" s="295"/>
      <c r="DW677" s="295"/>
      <c r="DX677" s="295"/>
      <c r="DY677" s="295"/>
      <c r="DZ677" s="295"/>
      <c r="EA677" s="295"/>
      <c r="EB677" s="295"/>
      <c r="EC677" s="295"/>
      <c r="ED677" s="295"/>
      <c r="EE677" s="295"/>
      <c r="EF677" s="295"/>
      <c r="EG677" s="295"/>
      <c r="EH677" s="295"/>
      <c r="EI677" s="295"/>
      <c r="EJ677" s="295"/>
      <c r="EK677" s="295"/>
      <c r="EL677" s="295"/>
      <c r="EM677" s="295"/>
      <c r="EN677" s="295"/>
      <c r="EO677" s="295"/>
      <c r="EP677" s="295"/>
      <c r="EQ677" s="295"/>
      <c r="ER677" s="295"/>
      <c r="ES677" s="295"/>
      <c r="ET677" s="295"/>
      <c r="EU677" s="295"/>
      <c r="EV677" s="327"/>
      <c r="EW677" s="327"/>
      <c r="EX677" s="327"/>
      <c r="EY677" s="327"/>
      <c r="EZ677" s="327"/>
      <c r="FA677" s="327"/>
      <c r="FB677" s="327"/>
      <c r="FC677" s="327"/>
      <c r="FD677" s="327"/>
      <c r="FE677" s="327"/>
      <c r="FF677" s="327"/>
      <c r="FG677" s="327"/>
      <c r="FH677" s="327"/>
      <c r="FI677" s="327"/>
      <c r="FJ677" s="327"/>
      <c r="FK677" s="327"/>
      <c r="FL677" s="327"/>
      <c r="FM677" s="327"/>
      <c r="FN677" s="327"/>
      <c r="FO677" s="327"/>
      <c r="FP677" s="327"/>
      <c r="FQ677" s="327"/>
      <c r="FR677" s="327"/>
      <c r="FS677" s="327"/>
      <c r="FT677" s="327"/>
      <c r="FU677" s="327"/>
      <c r="FV677" s="327"/>
      <c r="FW677" s="327"/>
      <c r="FX677" s="327"/>
      <c r="FY677" s="327"/>
      <c r="FZ677" s="327"/>
      <c r="GA677" s="327"/>
      <c r="GB677" s="327"/>
      <c r="GC677" s="327"/>
      <c r="GD677" s="327"/>
      <c r="GE677" s="327"/>
      <c r="GF677" s="327"/>
      <c r="GG677" s="327"/>
      <c r="GH677" s="327"/>
      <c r="GI677" s="327"/>
      <c r="GJ677" s="327"/>
      <c r="GK677" s="327"/>
      <c r="GL677" s="327"/>
      <c r="GM677" s="327"/>
      <c r="GN677" s="327"/>
      <c r="GO677" s="327"/>
      <c r="GP677" s="327"/>
      <c r="GQ677" s="327"/>
      <c r="GR677" s="327"/>
      <c r="GS677" s="327"/>
      <c r="GT677" s="327"/>
      <c r="GU677" s="327"/>
      <c r="GV677" s="327"/>
      <c r="GW677" s="327"/>
      <c r="GX677" s="327"/>
      <c r="GY677" s="327"/>
      <c r="GZ677" s="327"/>
      <c r="HA677" s="327"/>
      <c r="HB677" s="327"/>
      <c r="HC677" s="327"/>
      <c r="HD677" s="327"/>
      <c r="HE677" s="327"/>
      <c r="HF677" s="327"/>
      <c r="HG677" s="327"/>
      <c r="HH677" s="327"/>
      <c r="HI677" s="327"/>
      <c r="HJ677" s="327"/>
      <c r="HK677" s="327"/>
      <c r="HL677" s="327"/>
      <c r="HM677" s="327"/>
      <c r="HN677" s="327"/>
      <c r="HO677" s="327"/>
      <c r="HP677" s="327"/>
      <c r="HQ677" s="327"/>
      <c r="HR677" s="327"/>
      <c r="HS677" s="327"/>
      <c r="HT677" s="327"/>
      <c r="HU677" s="327"/>
      <c r="HV677" s="327"/>
      <c r="HW677" s="327"/>
      <c r="HX677" s="327"/>
      <c r="HY677" s="327"/>
      <c r="HZ677" s="327"/>
      <c r="IA677" s="327"/>
      <c r="IB677" s="327"/>
      <c r="IC677" s="327"/>
      <c r="ID677" s="327"/>
      <c r="IE677" s="327"/>
      <c r="IF677" s="327"/>
      <c r="IG677" s="327"/>
      <c r="IH677" s="327"/>
      <c r="II677" s="327"/>
      <c r="IJ677" s="327"/>
      <c r="IK677" s="327"/>
      <c r="IL677" s="327"/>
      <c r="IM677" s="327"/>
      <c r="IN677" s="327"/>
      <c r="IO677" s="327"/>
      <c r="IP677" s="327"/>
      <c r="IQ677" s="327"/>
      <c r="IR677" s="327"/>
      <c r="IS677" s="327"/>
      <c r="IT677" s="327"/>
      <c r="IU677" s="327"/>
      <c r="IV677" s="327"/>
      <c r="IW677" s="327"/>
      <c r="IX677" s="327"/>
      <c r="IY677" s="327"/>
      <c r="IZ677" s="327"/>
      <c r="JA677" s="327"/>
      <c r="JB677" s="327"/>
      <c r="JC677" s="327"/>
      <c r="JD677" s="327"/>
      <c r="JE677" s="327"/>
      <c r="JF677" s="327"/>
      <c r="JG677" s="327"/>
      <c r="JH677" s="327"/>
      <c r="JI677" s="327"/>
      <c r="JJ677" s="327"/>
      <c r="JK677" s="327"/>
      <c r="JL677" s="327"/>
      <c r="JM677" s="327"/>
      <c r="JN677" s="327"/>
      <c r="JO677" s="327"/>
      <c r="JP677" s="327"/>
      <c r="JQ677" s="327"/>
      <c r="JR677" s="327"/>
      <c r="JS677" s="327"/>
      <c r="JT677" s="327"/>
      <c r="JU677" s="327"/>
      <c r="JV677" s="327"/>
      <c r="JW677"/>
    </row>
    <row r="678" spans="1:283" s="332" customFormat="1" hidden="1" outlineLevel="1">
      <c r="A678" s="327" t="s">
        <v>572</v>
      </c>
      <c r="AN678" s="295">
        <f>AN672+AN677</f>
        <v>128</v>
      </c>
      <c r="AO678" s="295">
        <f>AO672+AO677</f>
        <v>-164</v>
      </c>
      <c r="AP678" s="295">
        <f>AN678+AO678</f>
        <v>-36</v>
      </c>
      <c r="AQ678" s="295"/>
      <c r="AR678" s="295">
        <f>AR672+AR677</f>
        <v>-153</v>
      </c>
      <c r="AS678" s="295">
        <f>AS672+AS677</f>
        <v>-236</v>
      </c>
      <c r="AT678" s="295">
        <f>AR678+AS678</f>
        <v>-389</v>
      </c>
      <c r="AU678" s="295"/>
      <c r="AV678" s="295">
        <f>AV672+AV677</f>
        <v>-58</v>
      </c>
      <c r="AW678" s="295">
        <f>AW672+AW677</f>
        <v>-85</v>
      </c>
      <c r="AX678" s="295">
        <f t="shared" si="1791"/>
        <v>-143</v>
      </c>
      <c r="AY678" s="295"/>
      <c r="AZ678" s="295">
        <f>AZ672+AZ677</f>
        <v>-27</v>
      </c>
      <c r="BA678" s="295">
        <f>BA672+BA677</f>
        <v>-13</v>
      </c>
      <c r="BB678" s="295">
        <f t="shared" si="1792"/>
        <v>-40</v>
      </c>
      <c r="BC678" s="295"/>
      <c r="BD678" s="295">
        <f>BD672+BD677</f>
        <v>2.33</v>
      </c>
      <c r="BE678" s="295">
        <f>BE672+BE677</f>
        <v>-31</v>
      </c>
      <c r="BF678" s="295">
        <f t="shared" si="1793"/>
        <v>-28.67</v>
      </c>
      <c r="BG678" s="295"/>
      <c r="BH678" s="295">
        <f>BH672+BH677</f>
        <v>1</v>
      </c>
      <c r="BI678" s="295">
        <f>BI672+BI677</f>
        <v>1</v>
      </c>
      <c r="BJ678" s="295">
        <f t="shared" si="1794"/>
        <v>2</v>
      </c>
      <c r="BK678" s="295"/>
      <c r="BL678" s="295">
        <f>BL672+BL677</f>
        <v>3</v>
      </c>
      <c r="BM678" s="295">
        <f>BM672+BM677</f>
        <v>0</v>
      </c>
      <c r="BN678" s="295">
        <f t="shared" si="1795"/>
        <v>3</v>
      </c>
      <c r="BO678" s="295"/>
      <c r="BP678" s="295">
        <f>BP672+BP677</f>
        <v>0</v>
      </c>
      <c r="BQ678" s="295">
        <f>BQ672+BQ677</f>
        <v>0</v>
      </c>
      <c r="BR678" s="295">
        <f t="shared" si="1796"/>
        <v>0</v>
      </c>
      <c r="BS678" s="295"/>
      <c r="BT678" s="295">
        <f>BT672+BT677</f>
        <v>0</v>
      </c>
      <c r="BU678" s="295">
        <f>BU672+BU677</f>
        <v>0</v>
      </c>
      <c r="BV678" s="295">
        <f t="shared" si="1797"/>
        <v>0</v>
      </c>
      <c r="BW678" s="295"/>
      <c r="BX678" s="295">
        <f>BX672+BX677</f>
        <v>0</v>
      </c>
      <c r="BY678" s="295">
        <f>BY672+BY677</f>
        <v>0</v>
      </c>
      <c r="BZ678" s="295">
        <f t="shared" si="1798"/>
        <v>0</v>
      </c>
      <c r="CA678" s="295"/>
      <c r="CB678" s="295"/>
      <c r="CC678" s="295"/>
      <c r="CD678" s="295"/>
      <c r="CE678" s="295"/>
      <c r="CF678" s="295"/>
      <c r="CG678" s="295"/>
      <c r="CH678" s="295"/>
      <c r="CI678" s="295"/>
      <c r="CJ678" s="295"/>
      <c r="CK678" s="295"/>
      <c r="CL678" s="295"/>
      <c r="CM678" s="295"/>
      <c r="CN678" s="295"/>
      <c r="CO678" s="295"/>
      <c r="CP678" s="295"/>
      <c r="CQ678" s="295"/>
      <c r="CR678" s="295"/>
      <c r="CS678" s="295"/>
      <c r="CT678" s="295"/>
      <c r="CU678" s="295"/>
      <c r="CV678" s="295"/>
      <c r="CW678" s="295"/>
      <c r="CX678" s="295"/>
      <c r="CY678" s="295"/>
      <c r="CZ678" s="295"/>
      <c r="DA678" s="295"/>
      <c r="DB678" s="295"/>
      <c r="DC678" s="295"/>
      <c r="DD678" s="295"/>
      <c r="DE678" s="295"/>
      <c r="DF678" s="295"/>
      <c r="DG678" s="295"/>
      <c r="DH678" s="295"/>
      <c r="DI678" s="295"/>
      <c r="DJ678" s="295"/>
      <c r="DK678" s="295"/>
      <c r="DL678" s="295"/>
      <c r="DM678" s="295"/>
      <c r="DN678" s="295"/>
      <c r="DO678" s="295"/>
      <c r="DP678" s="295"/>
      <c r="DQ678" s="295"/>
      <c r="DR678" s="295"/>
      <c r="DS678" s="295"/>
      <c r="DT678" s="295"/>
      <c r="DU678" s="295"/>
      <c r="DV678" s="295"/>
      <c r="DW678" s="295"/>
      <c r="DX678" s="295"/>
      <c r="DY678" s="295"/>
      <c r="DZ678" s="295"/>
      <c r="EA678" s="295"/>
      <c r="EB678" s="295"/>
      <c r="EC678" s="295"/>
      <c r="ED678" s="295"/>
      <c r="EE678" s="295"/>
      <c r="EF678" s="295"/>
      <c r="EG678" s="295"/>
      <c r="EH678" s="295"/>
      <c r="EI678" s="295"/>
      <c r="EJ678" s="295"/>
      <c r="EK678" s="295"/>
      <c r="EL678" s="295"/>
      <c r="EM678" s="295"/>
      <c r="EN678" s="295"/>
      <c r="EO678" s="295"/>
      <c r="EP678" s="295"/>
      <c r="EQ678" s="295"/>
      <c r="ER678" s="295"/>
      <c r="ES678" s="295"/>
      <c r="ET678" s="295"/>
      <c r="EU678" s="295"/>
      <c r="EV678" s="327"/>
      <c r="EW678" s="327"/>
      <c r="EX678" s="327"/>
      <c r="EY678" s="327"/>
      <c r="EZ678" s="327"/>
      <c r="FA678" s="327"/>
      <c r="FB678" s="327"/>
      <c r="FC678" s="327"/>
      <c r="FD678" s="327"/>
      <c r="FE678" s="327"/>
      <c r="FF678" s="327"/>
      <c r="FG678" s="327"/>
      <c r="FH678" s="327"/>
      <c r="FI678" s="327"/>
      <c r="FJ678" s="327"/>
      <c r="FK678" s="327"/>
      <c r="FL678" s="327"/>
      <c r="FM678" s="327"/>
      <c r="FN678" s="327"/>
      <c r="FO678" s="327"/>
      <c r="FP678" s="327"/>
      <c r="FQ678" s="327"/>
      <c r="FR678" s="327"/>
      <c r="FS678" s="327"/>
      <c r="FT678" s="327"/>
      <c r="FU678" s="327"/>
      <c r="FV678" s="327"/>
      <c r="FW678" s="327"/>
      <c r="FX678" s="327"/>
      <c r="FY678" s="327"/>
      <c r="FZ678" s="327"/>
      <c r="GA678" s="327"/>
      <c r="GB678" s="327"/>
      <c r="GC678" s="327"/>
      <c r="GD678" s="327"/>
      <c r="GE678" s="327"/>
      <c r="GF678" s="327"/>
      <c r="GG678" s="327"/>
      <c r="GH678" s="327"/>
      <c r="GI678" s="327"/>
      <c r="GJ678" s="327"/>
      <c r="GK678" s="327"/>
      <c r="GL678" s="327"/>
      <c r="GM678" s="327"/>
      <c r="GN678" s="327"/>
      <c r="GO678" s="327"/>
      <c r="GP678" s="327"/>
      <c r="GQ678" s="327"/>
      <c r="GR678" s="327"/>
      <c r="GS678" s="327"/>
      <c r="GT678" s="327"/>
      <c r="GU678" s="327"/>
      <c r="GV678" s="327"/>
      <c r="GW678" s="327"/>
      <c r="GX678" s="327"/>
      <c r="GY678" s="327"/>
      <c r="GZ678" s="327"/>
      <c r="HA678" s="327"/>
      <c r="HB678" s="327"/>
      <c r="HC678" s="327"/>
      <c r="HD678" s="327"/>
      <c r="HE678" s="327"/>
      <c r="HF678" s="327"/>
      <c r="HG678" s="327"/>
      <c r="HH678" s="327"/>
      <c r="HI678" s="327"/>
      <c r="HJ678" s="327"/>
      <c r="HK678" s="327"/>
      <c r="HL678" s="327"/>
      <c r="HM678" s="327"/>
      <c r="HN678" s="327"/>
      <c r="HO678" s="327"/>
      <c r="HP678" s="327"/>
      <c r="HQ678" s="327"/>
      <c r="HR678" s="327"/>
      <c r="HS678" s="327"/>
      <c r="HT678" s="327"/>
      <c r="HU678" s="327"/>
      <c r="HV678" s="327"/>
      <c r="HW678" s="327"/>
      <c r="HX678" s="327"/>
      <c r="HY678" s="327"/>
      <c r="HZ678" s="327"/>
      <c r="IA678" s="327"/>
      <c r="IB678" s="327"/>
      <c r="IC678" s="327"/>
      <c r="ID678" s="327"/>
      <c r="IE678" s="327"/>
      <c r="IF678" s="327"/>
      <c r="IG678" s="327"/>
      <c r="IH678" s="327"/>
      <c r="II678" s="327"/>
      <c r="IJ678" s="327"/>
      <c r="IK678" s="327"/>
      <c r="IL678" s="327"/>
      <c r="IM678" s="327"/>
      <c r="IN678" s="327"/>
      <c r="IO678" s="327"/>
      <c r="IP678" s="327"/>
      <c r="IQ678" s="327"/>
      <c r="IR678" s="327"/>
      <c r="IS678" s="327"/>
      <c r="IT678" s="327"/>
      <c r="IU678" s="327"/>
      <c r="IV678" s="327"/>
      <c r="IW678" s="327"/>
      <c r="IX678" s="327"/>
      <c r="IY678" s="327"/>
      <c r="IZ678" s="327"/>
      <c r="JA678" s="327"/>
      <c r="JB678" s="327"/>
      <c r="JC678" s="327"/>
      <c r="JD678" s="327"/>
      <c r="JE678" s="327"/>
      <c r="JF678" s="327"/>
      <c r="JG678" s="327"/>
      <c r="JH678" s="327"/>
      <c r="JI678" s="327"/>
      <c r="JJ678" s="327"/>
      <c r="JK678" s="327"/>
      <c r="JL678" s="327"/>
      <c r="JM678" s="327"/>
      <c r="JN678" s="327"/>
      <c r="JO678" s="327"/>
      <c r="JP678" s="327"/>
      <c r="JQ678" s="327"/>
      <c r="JR678" s="327"/>
      <c r="JS678" s="327"/>
      <c r="JT678" s="327"/>
      <c r="JU678" s="327"/>
      <c r="JV678" s="327"/>
      <c r="JW678"/>
    </row>
    <row r="679" spans="1:283" s="332" customFormat="1" hidden="1" outlineLevel="1">
      <c r="A679" s="332" t="s">
        <v>664</v>
      </c>
      <c r="AN679" s="293"/>
      <c r="AO679" s="293"/>
      <c r="AP679" s="293"/>
      <c r="AQ679" s="293"/>
      <c r="AR679" s="293"/>
      <c r="AS679" s="293"/>
      <c r="AT679" s="293"/>
      <c r="AU679" s="293"/>
      <c r="AV679" s="626">
        <v>0</v>
      </c>
      <c r="AW679" s="626">
        <v>0</v>
      </c>
      <c r="AX679" s="293">
        <f t="shared" si="1791"/>
        <v>0</v>
      </c>
      <c r="AY679" s="293"/>
      <c r="AZ679" s="626">
        <v>0</v>
      </c>
      <c r="BA679" s="626">
        <v>0</v>
      </c>
      <c r="BB679" s="293">
        <f t="shared" si="1792"/>
        <v>0</v>
      </c>
      <c r="BC679" s="293"/>
      <c r="BD679" s="626">
        <v>0</v>
      </c>
      <c r="BE679" s="626">
        <v>0</v>
      </c>
      <c r="BF679" s="293">
        <f t="shared" si="1793"/>
        <v>0</v>
      </c>
      <c r="BG679" s="293"/>
      <c r="BH679" s="626">
        <v>0</v>
      </c>
      <c r="BI679" s="626">
        <v>0</v>
      </c>
      <c r="BJ679" s="293">
        <f t="shared" si="1794"/>
        <v>0</v>
      </c>
      <c r="BK679" s="293"/>
      <c r="BL679" s="626">
        <v>0</v>
      </c>
      <c r="BM679" s="626">
        <v>0</v>
      </c>
      <c r="BN679" s="293">
        <f t="shared" si="1795"/>
        <v>0</v>
      </c>
      <c r="BO679" s="293"/>
      <c r="BP679" s="626">
        <v>0</v>
      </c>
      <c r="BQ679" s="626">
        <v>0</v>
      </c>
      <c r="BR679" s="293">
        <f t="shared" si="1796"/>
        <v>0</v>
      </c>
      <c r="BS679" s="293"/>
      <c r="BT679" s="626">
        <v>0</v>
      </c>
      <c r="BU679" s="626">
        <v>0</v>
      </c>
      <c r="BV679" s="293">
        <f t="shared" si="1797"/>
        <v>0</v>
      </c>
      <c r="BW679" s="293"/>
      <c r="BX679" s="626">
        <v>0</v>
      </c>
      <c r="BY679" s="626">
        <v>0</v>
      </c>
      <c r="BZ679" s="293">
        <f t="shared" si="1798"/>
        <v>0</v>
      </c>
      <c r="CA679" s="293"/>
      <c r="CB679" s="293"/>
      <c r="CC679" s="293"/>
      <c r="CD679" s="293"/>
      <c r="CE679" s="293"/>
      <c r="CF679" s="293"/>
      <c r="CG679" s="293"/>
      <c r="CH679" s="293"/>
      <c r="CI679" s="293"/>
      <c r="CJ679" s="293"/>
      <c r="CK679" s="293"/>
      <c r="CL679" s="293"/>
      <c r="CM679" s="293"/>
      <c r="CN679" s="293"/>
      <c r="CO679" s="293"/>
      <c r="CP679" s="293"/>
      <c r="CQ679" s="293"/>
      <c r="CR679" s="293"/>
      <c r="CS679" s="293"/>
      <c r="CT679" s="293"/>
      <c r="CU679" s="293"/>
      <c r="CV679" s="293"/>
      <c r="CW679" s="293"/>
      <c r="CX679" s="293"/>
      <c r="CY679" s="293"/>
      <c r="CZ679" s="293"/>
      <c r="DA679" s="293"/>
      <c r="DB679" s="293"/>
      <c r="DC679" s="293"/>
      <c r="DD679" s="293"/>
      <c r="DE679" s="293"/>
      <c r="DF679" s="293"/>
      <c r="DG679" s="293"/>
      <c r="DH679" s="293"/>
      <c r="DI679" s="293"/>
      <c r="DJ679" s="293"/>
      <c r="DK679" s="293"/>
      <c r="DL679" s="293"/>
      <c r="DM679" s="293"/>
      <c r="DN679" s="293"/>
      <c r="DO679" s="293"/>
      <c r="DP679" s="293"/>
      <c r="DQ679" s="293"/>
      <c r="DR679" s="293"/>
      <c r="DS679" s="293"/>
      <c r="DT679" s="293"/>
      <c r="DU679" s="293"/>
      <c r="DV679" s="293"/>
      <c r="DW679" s="293"/>
      <c r="DX679" s="293"/>
      <c r="DY679" s="293"/>
      <c r="DZ679" s="293"/>
      <c r="EA679" s="293"/>
      <c r="EB679" s="293"/>
      <c r="EC679" s="293"/>
      <c r="ED679" s="293"/>
      <c r="EE679" s="293"/>
      <c r="EF679" s="293"/>
      <c r="EG679" s="293"/>
      <c r="EH679" s="293"/>
      <c r="EI679" s="293"/>
      <c r="EJ679" s="293"/>
      <c r="EK679" s="293"/>
      <c r="EL679" s="293"/>
      <c r="EM679" s="293"/>
      <c r="EN679" s="293"/>
      <c r="EO679" s="293"/>
      <c r="EP679" s="293"/>
      <c r="EQ679" s="293"/>
      <c r="ER679" s="293"/>
      <c r="ES679" s="293"/>
      <c r="ET679" s="293"/>
      <c r="EU679" s="293"/>
      <c r="JW679"/>
    </row>
    <row r="680" spans="1:283" s="1203" customFormat="1" hidden="1" outlineLevel="1">
      <c r="A680" s="1203" t="s">
        <v>653</v>
      </c>
      <c r="AN680" s="695">
        <f>SUM(AN678:AN679)</f>
        <v>128</v>
      </c>
      <c r="AO680" s="695">
        <f>SUM(AO678:AO679)</f>
        <v>-164</v>
      </c>
      <c r="AP680" s="695">
        <f>AN680+AO680</f>
        <v>-36</v>
      </c>
      <c r="AQ680" s="695"/>
      <c r="AR680" s="695">
        <f>SUM(AR678:AR679)</f>
        <v>-153</v>
      </c>
      <c r="AS680" s="695">
        <f>SUM(AS678:AS679)</f>
        <v>-236</v>
      </c>
      <c r="AT680" s="695">
        <f>AR680+AS680</f>
        <v>-389</v>
      </c>
      <c r="AU680" s="695"/>
      <c r="AV680" s="695">
        <f>SUM(AV678:AV679)</f>
        <v>-58</v>
      </c>
      <c r="AW680" s="695">
        <f>SUM(AW678:AW679)</f>
        <v>-85</v>
      </c>
      <c r="AX680" s="695">
        <f t="shared" si="1791"/>
        <v>-143</v>
      </c>
      <c r="AY680" s="695"/>
      <c r="AZ680" s="695">
        <f>SUM(AZ678:AZ679)</f>
        <v>-27</v>
      </c>
      <c r="BA680" s="695">
        <f>SUM(BA678:BA679)</f>
        <v>-13</v>
      </c>
      <c r="BB680" s="695">
        <f t="shared" si="1792"/>
        <v>-40</v>
      </c>
      <c r="BC680" s="695"/>
      <c r="BD680" s="695">
        <f>SUM(BD678:BD679)</f>
        <v>2.33</v>
      </c>
      <c r="BE680" s="695">
        <f>SUM(BE678:BE679)</f>
        <v>-31</v>
      </c>
      <c r="BF680" s="695">
        <f t="shared" si="1793"/>
        <v>-28.67</v>
      </c>
      <c r="BG680" s="695"/>
      <c r="BH680" s="695">
        <f>SUM(BH678:BH679)</f>
        <v>1</v>
      </c>
      <c r="BI680" s="695">
        <f>SUM(BI678:BI679)</f>
        <v>1</v>
      </c>
      <c r="BJ680" s="695">
        <f t="shared" si="1794"/>
        <v>2</v>
      </c>
      <c r="BK680" s="1204"/>
      <c r="BL680" s="695">
        <f>SUM(BL678:BL679)</f>
        <v>3</v>
      </c>
      <c r="BM680" s="695">
        <f>SUM(BM678:BM679)</f>
        <v>0</v>
      </c>
      <c r="BN680" s="695">
        <f t="shared" si="1795"/>
        <v>3</v>
      </c>
      <c r="BO680" s="1204"/>
      <c r="BP680" s="695">
        <f>SUM(BP678:BP679)</f>
        <v>0</v>
      </c>
      <c r="BQ680" s="695">
        <f>SUM(BQ678:BQ679)</f>
        <v>0</v>
      </c>
      <c r="BR680" s="695">
        <f t="shared" si="1796"/>
        <v>0</v>
      </c>
      <c r="BS680" s="1204"/>
      <c r="BT680" s="695">
        <f>SUM(BT678:BT679)</f>
        <v>0</v>
      </c>
      <c r="BU680" s="695">
        <f>SUM(BU678:BU679)</f>
        <v>0</v>
      </c>
      <c r="BV680" s="695">
        <f t="shared" si="1797"/>
        <v>0</v>
      </c>
      <c r="BW680" s="695"/>
      <c r="BX680" s="695">
        <f>SUM(BX678:BX679)</f>
        <v>0</v>
      </c>
      <c r="BY680" s="695">
        <f>SUM(BY678:BY679)</f>
        <v>0</v>
      </c>
      <c r="BZ680" s="695">
        <f t="shared" si="1798"/>
        <v>0</v>
      </c>
      <c r="CA680" s="695"/>
      <c r="CB680" s="695"/>
      <c r="CC680" s="695"/>
      <c r="CD680" s="695"/>
      <c r="CE680" s="695"/>
      <c r="CF680" s="695"/>
      <c r="CG680" s="695"/>
      <c r="CH680" s="695"/>
      <c r="CI680" s="695"/>
      <c r="CJ680" s="695"/>
      <c r="CK680" s="695"/>
      <c r="CL680" s="695"/>
      <c r="CM680" s="695"/>
      <c r="CN680" s="695"/>
      <c r="CO680" s="695"/>
      <c r="CP680" s="695"/>
      <c r="CQ680" s="695"/>
      <c r="CR680" s="695"/>
      <c r="CS680" s="695"/>
      <c r="CT680" s="695"/>
      <c r="CU680" s="695"/>
      <c r="CV680" s="695"/>
      <c r="CW680" s="695"/>
      <c r="CX680" s="695"/>
      <c r="CY680" s="695"/>
      <c r="CZ680" s="695"/>
      <c r="DA680" s="695"/>
      <c r="DB680" s="695"/>
      <c r="DC680" s="695"/>
      <c r="DD680" s="695"/>
      <c r="DE680" s="695"/>
      <c r="DF680" s="695"/>
      <c r="DG680" s="695"/>
      <c r="DH680" s="695"/>
      <c r="DI680" s="695"/>
      <c r="DJ680" s="695"/>
      <c r="DK680" s="695"/>
      <c r="DL680" s="695"/>
      <c r="DM680" s="695"/>
      <c r="DN680" s="695"/>
      <c r="DO680" s="695"/>
      <c r="DP680" s="695"/>
      <c r="DQ680" s="695"/>
      <c r="DR680" s="695"/>
      <c r="DS680" s="695"/>
      <c r="DT680" s="695"/>
      <c r="DU680" s="695"/>
      <c r="DV680" s="695"/>
      <c r="DW680" s="1205"/>
      <c r="DX680" s="695"/>
      <c r="DY680" s="695"/>
      <c r="DZ680" s="695"/>
      <c r="EA680" s="695"/>
      <c r="EB680" s="695"/>
      <c r="EC680" s="695"/>
      <c r="ED680" s="695"/>
      <c r="EE680" s="695"/>
      <c r="EF680" s="695"/>
      <c r="EG680" s="695"/>
      <c r="EH680" s="695"/>
      <c r="EI680" s="695"/>
      <c r="EJ680" s="695"/>
      <c r="EK680" s="695"/>
      <c r="EL680" s="695"/>
      <c r="EM680" s="695"/>
      <c r="EN680" s="695"/>
      <c r="EO680" s="695"/>
      <c r="EP680" s="695"/>
      <c r="EQ680" s="695"/>
      <c r="ER680" s="695"/>
      <c r="ES680" s="695"/>
      <c r="ET680" s="695"/>
      <c r="EU680" s="695"/>
      <c r="JW680"/>
    </row>
    <row r="681" spans="1:283" s="332" customFormat="1" hidden="1" outlineLevel="1">
      <c r="AN681" s="293"/>
      <c r="AO681" s="293"/>
      <c r="AP681" s="293"/>
      <c r="AQ681" s="293"/>
      <c r="AR681" s="293"/>
      <c r="AS681" s="293"/>
      <c r="AT681" s="293"/>
      <c r="AU681" s="293"/>
      <c r="AV681" s="293"/>
      <c r="AW681" s="293"/>
      <c r="AX681" s="293"/>
      <c r="AY681" s="293"/>
      <c r="AZ681" s="293"/>
      <c r="BA681" s="293"/>
      <c r="BB681" s="293"/>
      <c r="BC681" s="293"/>
      <c r="BD681" s="293"/>
      <c r="BE681" s="293"/>
      <c r="BF681" s="293"/>
      <c r="BG681" s="293"/>
      <c r="BH681" s="293"/>
      <c r="BI681" s="293"/>
      <c r="BJ681" s="293"/>
      <c r="BK681" s="293"/>
      <c r="BL681" s="293"/>
      <c r="BM681" s="293"/>
      <c r="BN681" s="293"/>
      <c r="BO681" s="293"/>
      <c r="BP681" s="293"/>
      <c r="BQ681" s="293"/>
      <c r="BR681" s="293"/>
      <c r="BS681" s="293"/>
      <c r="BT681" s="293"/>
      <c r="BU681" s="293"/>
      <c r="BV681" s="293"/>
      <c r="BW681" s="293"/>
      <c r="BX681" s="293"/>
      <c r="BY681" s="293"/>
      <c r="BZ681" s="293"/>
      <c r="CA681" s="293"/>
      <c r="CB681" s="293"/>
      <c r="CC681" s="293"/>
      <c r="CD681" s="293"/>
      <c r="CE681" s="293"/>
      <c r="CF681" s="293"/>
      <c r="CG681" s="293"/>
      <c r="CH681" s="293"/>
      <c r="CI681" s="293"/>
      <c r="CJ681" s="293"/>
      <c r="CK681" s="293"/>
      <c r="CL681" s="293"/>
      <c r="CM681" s="293"/>
      <c r="CN681" s="293"/>
      <c r="CO681" s="293"/>
      <c r="CP681" s="293"/>
      <c r="CQ681" s="293"/>
      <c r="CR681" s="293"/>
      <c r="CS681" s="293"/>
      <c r="CT681" s="293"/>
      <c r="CU681" s="293"/>
      <c r="CV681" s="293"/>
      <c r="CW681" s="293"/>
      <c r="CX681" s="293"/>
      <c r="CY681" s="293"/>
      <c r="CZ681" s="293"/>
      <c r="DA681" s="293"/>
      <c r="DB681" s="293"/>
      <c r="DC681" s="293"/>
      <c r="DD681" s="293"/>
      <c r="DE681" s="293"/>
      <c r="DF681" s="293"/>
      <c r="DG681" s="293"/>
      <c r="DH681" s="293"/>
      <c r="DI681" s="293"/>
      <c r="DJ681" s="293"/>
      <c r="DK681" s="293"/>
      <c r="DL681" s="293"/>
      <c r="DM681" s="293"/>
      <c r="DN681" s="293"/>
      <c r="DO681" s="293"/>
      <c r="DP681" s="293"/>
      <c r="DQ681" s="293"/>
      <c r="DR681" s="293"/>
      <c r="DS681" s="293"/>
      <c r="DT681" s="293"/>
      <c r="DU681" s="293"/>
      <c r="DV681" s="293"/>
      <c r="DW681" s="293"/>
      <c r="DX681" s="293"/>
      <c r="DY681" s="293"/>
      <c r="DZ681" s="293"/>
      <c r="EA681" s="293"/>
      <c r="EB681" s="293"/>
      <c r="EC681" s="293"/>
      <c r="ED681" s="293"/>
      <c r="EE681" s="293"/>
      <c r="EF681" s="293"/>
      <c r="EG681" s="293"/>
      <c r="EH681" s="293"/>
      <c r="EI681" s="293"/>
      <c r="EJ681" s="293"/>
      <c r="EK681" s="293"/>
      <c r="EL681" s="293"/>
      <c r="EM681" s="293"/>
      <c r="EN681" s="293"/>
      <c r="EO681" s="293"/>
      <c r="EP681" s="293"/>
      <c r="EQ681" s="293"/>
      <c r="ER681" s="293"/>
      <c r="ES681" s="293"/>
      <c r="ET681" s="293"/>
      <c r="EU681" s="293"/>
      <c r="EV681" s="293"/>
      <c r="EW681" s="293"/>
      <c r="EX681" s="293"/>
      <c r="EY681" s="293"/>
      <c r="EZ681" s="293"/>
      <c r="FA681" s="293"/>
      <c r="FB681" s="293"/>
      <c r="FC681" s="293"/>
      <c r="FD681" s="293"/>
      <c r="FE681" s="293"/>
      <c r="FF681" s="293"/>
      <c r="FG681" s="293"/>
      <c r="FH681" s="293"/>
      <c r="FI681" s="293"/>
      <c r="FJ681" s="293"/>
      <c r="FK681" s="293"/>
      <c r="FL681" s="293"/>
      <c r="FM681" s="293"/>
      <c r="FN681" s="293"/>
      <c r="FO681" s="293"/>
      <c r="FP681" s="293"/>
      <c r="FQ681" s="293"/>
      <c r="FR681" s="293"/>
      <c r="FS681" s="293"/>
      <c r="FT681" s="293"/>
      <c r="FU681" s="293"/>
      <c r="FV681" s="293"/>
      <c r="FW681" s="293"/>
      <c r="FX681" s="293"/>
      <c r="FY681" s="293"/>
      <c r="FZ681" s="293"/>
      <c r="GA681" s="293"/>
      <c r="GB681" s="293"/>
      <c r="GC681" s="293"/>
      <c r="GD681" s="293"/>
      <c r="GE681" s="293"/>
      <c r="GF681" s="293"/>
      <c r="GG681" s="293"/>
      <c r="GH681" s="293"/>
      <c r="GI681" s="293"/>
      <c r="GJ681" s="293"/>
      <c r="GK681" s="293"/>
      <c r="GL681" s="293"/>
      <c r="GM681" s="293"/>
      <c r="GN681" s="293"/>
      <c r="GO681" s="293"/>
      <c r="GP681" s="293"/>
      <c r="GQ681" s="293"/>
      <c r="GR681" s="293"/>
      <c r="GS681" s="293"/>
      <c r="GT681" s="293"/>
      <c r="GU681" s="293"/>
      <c r="GV681" s="293"/>
      <c r="GW681" s="293"/>
      <c r="GX681" s="293"/>
      <c r="GY681" s="293"/>
      <c r="GZ681" s="293"/>
      <c r="HA681" s="293"/>
      <c r="HB681" s="293"/>
      <c r="HC681" s="293"/>
      <c r="HD681" s="293"/>
      <c r="HE681" s="293"/>
      <c r="HF681" s="293"/>
      <c r="HG681" s="293"/>
      <c r="HH681" s="293"/>
      <c r="HI681" s="293"/>
      <c r="HJ681" s="293"/>
      <c r="HK681" s="293"/>
      <c r="HL681" s="293"/>
      <c r="HM681" s="293"/>
      <c r="HN681" s="293"/>
      <c r="HO681" s="293"/>
      <c r="HP681" s="293"/>
      <c r="HQ681" s="293"/>
      <c r="HR681" s="293"/>
      <c r="HS681" s="293"/>
      <c r="HT681" s="293"/>
      <c r="HU681" s="293"/>
      <c r="HV681" s="293"/>
      <c r="HW681" s="293"/>
      <c r="HX681" s="293"/>
      <c r="HY681" s="293"/>
      <c r="HZ681" s="293"/>
      <c r="IA681" s="293"/>
      <c r="IB681" s="293"/>
      <c r="IC681" s="293"/>
      <c r="ID681" s="293"/>
      <c r="IE681" s="293"/>
      <c r="IF681" s="293"/>
      <c r="IG681" s="293"/>
      <c r="IH681" s="293"/>
      <c r="II681" s="293"/>
      <c r="IJ681" s="293"/>
      <c r="IK681" s="293"/>
      <c r="IL681" s="293"/>
      <c r="IM681" s="293"/>
      <c r="IN681" s="293"/>
      <c r="IO681" s="293"/>
      <c r="IP681" s="293"/>
      <c r="IQ681" s="293"/>
      <c r="IR681" s="293"/>
      <c r="IS681" s="293"/>
      <c r="IT681" s="293"/>
      <c r="IU681" s="293"/>
      <c r="IV681" s="293"/>
      <c r="IW681" s="293"/>
      <c r="IX681" s="293"/>
      <c r="IY681" s="293"/>
      <c r="IZ681" s="293"/>
      <c r="JA681" s="293"/>
      <c r="JB681" s="293"/>
      <c r="JC681" s="293"/>
      <c r="JD681" s="293"/>
      <c r="JE681" s="293"/>
      <c r="JF681" s="293"/>
      <c r="JG681" s="293"/>
      <c r="JH681" s="293"/>
      <c r="JI681" s="293"/>
      <c r="JJ681" s="293"/>
      <c r="JK681" s="293"/>
      <c r="JL681" s="293"/>
      <c r="JM681" s="293"/>
      <c r="JN681" s="293"/>
      <c r="JO681" s="293"/>
      <c r="JP681" s="293"/>
      <c r="JQ681" s="293"/>
      <c r="JR681" s="293"/>
      <c r="JS681" s="293"/>
      <c r="JT681" s="293"/>
      <c r="JU681" s="293"/>
      <c r="JV681" s="293"/>
      <c r="JW681"/>
    </row>
    <row r="682" spans="1:283" s="332" customFormat="1" hidden="1" outlineLevel="1">
      <c r="AN682" s="293"/>
      <c r="AO682" s="293"/>
      <c r="AP682" s="293"/>
      <c r="AQ682" s="293"/>
      <c r="AR682" s="293"/>
      <c r="AS682" s="293"/>
      <c r="AT682" s="293"/>
      <c r="AU682" s="293"/>
      <c r="AV682" s="293"/>
      <c r="AW682" s="293"/>
      <c r="AX682" s="293"/>
      <c r="AY682" s="293"/>
      <c r="AZ682" s="293"/>
      <c r="BA682" s="293"/>
      <c r="BB682" s="293"/>
      <c r="BC682" s="293"/>
      <c r="BD682" s="293"/>
      <c r="BE682" s="293"/>
      <c r="BF682" s="293"/>
      <c r="BG682" s="293"/>
      <c r="BH682" s="293"/>
      <c r="BI682" s="293"/>
      <c r="BJ682" s="293"/>
      <c r="BK682" s="293"/>
      <c r="BL682" s="293"/>
      <c r="BM682" s="293"/>
      <c r="BN682" s="293"/>
      <c r="BO682" s="293"/>
      <c r="BP682" s="293"/>
      <c r="BQ682" s="293"/>
      <c r="BR682" s="293"/>
      <c r="BS682" s="293"/>
      <c r="BT682" s="293"/>
      <c r="BU682" s="293"/>
      <c r="BV682" s="293"/>
      <c r="BW682" s="293"/>
      <c r="BX682" s="293"/>
      <c r="BY682" s="293"/>
      <c r="BZ682" s="293"/>
      <c r="CA682" s="293"/>
      <c r="CB682" s="293"/>
      <c r="CC682" s="293"/>
      <c r="CD682" s="293"/>
      <c r="CE682" s="293"/>
      <c r="CF682" s="293"/>
      <c r="CG682" s="293"/>
      <c r="CH682" s="293"/>
      <c r="CI682" s="293"/>
      <c r="CJ682" s="293"/>
      <c r="CK682" s="293"/>
      <c r="CL682" s="293"/>
      <c r="CM682" s="293"/>
      <c r="CN682" s="293"/>
      <c r="CO682" s="293"/>
      <c r="CP682" s="293"/>
      <c r="CQ682" s="293"/>
      <c r="CR682" s="293"/>
      <c r="CS682" s="293"/>
      <c r="CT682" s="293"/>
      <c r="CU682" s="293"/>
      <c r="CV682" s="293"/>
      <c r="CW682" s="293"/>
      <c r="CX682" s="293"/>
      <c r="CY682" s="293"/>
      <c r="CZ682" s="293"/>
      <c r="DA682" s="293"/>
      <c r="DB682" s="293"/>
      <c r="DC682" s="293"/>
      <c r="DD682" s="293"/>
      <c r="DE682" s="293"/>
      <c r="DF682" s="293"/>
      <c r="DG682" s="293"/>
      <c r="DH682" s="293"/>
      <c r="DI682" s="293"/>
      <c r="DJ682" s="293"/>
      <c r="DK682" s="293"/>
      <c r="DL682" s="293"/>
      <c r="DM682" s="293"/>
      <c r="DN682" s="293"/>
      <c r="DO682" s="293"/>
      <c r="DP682" s="293"/>
      <c r="DQ682" s="293"/>
      <c r="DR682" s="293"/>
      <c r="DS682" s="293"/>
      <c r="DT682" s="293"/>
      <c r="DU682" s="293"/>
      <c r="DV682" s="293"/>
      <c r="DW682" s="293"/>
      <c r="DX682" s="293"/>
      <c r="DY682" s="293"/>
      <c r="DZ682" s="293"/>
      <c r="EA682" s="293"/>
      <c r="EB682" s="293"/>
      <c r="EC682" s="293"/>
      <c r="ED682" s="293"/>
      <c r="EE682" s="293"/>
      <c r="EF682" s="293"/>
      <c r="EG682" s="293"/>
      <c r="EH682" s="293"/>
      <c r="EI682" s="293"/>
      <c r="EJ682" s="293"/>
      <c r="EK682" s="293"/>
      <c r="EL682" s="293"/>
      <c r="EM682" s="293"/>
      <c r="EN682" s="293"/>
      <c r="EO682" s="293"/>
      <c r="EP682" s="293"/>
      <c r="EQ682" s="293"/>
      <c r="ER682" s="293"/>
      <c r="ES682" s="293"/>
      <c r="ET682" s="293"/>
      <c r="EU682" s="293"/>
      <c r="JW682"/>
    </row>
    <row r="683" spans="1:283" s="327" customFormat="1" hidden="1" outlineLevel="1">
      <c r="A683" s="1207" t="s">
        <v>566</v>
      </c>
      <c r="AN683" s="295"/>
      <c r="AO683" s="295"/>
      <c r="AP683" s="295"/>
      <c r="AQ683" s="295"/>
      <c r="AR683" s="295"/>
      <c r="AS683" s="295"/>
      <c r="AT683" s="295"/>
      <c r="AU683" s="295"/>
      <c r="AV683" s="295"/>
      <c r="AW683" s="295"/>
      <c r="AX683" s="295"/>
      <c r="AY683" s="295"/>
      <c r="AZ683" s="295"/>
      <c r="BA683" s="295"/>
      <c r="BB683" s="295"/>
      <c r="BC683" s="295"/>
      <c r="BD683" s="295"/>
      <c r="BE683" s="295"/>
      <c r="BF683" s="295"/>
      <c r="BG683" s="295"/>
      <c r="BH683" s="295"/>
      <c r="BI683" s="295"/>
      <c r="BJ683" s="295"/>
      <c r="BK683" s="295"/>
      <c r="BL683" s="295"/>
      <c r="BM683" s="295"/>
      <c r="BN683" s="295"/>
      <c r="BO683" s="295"/>
      <c r="BP683" s="295"/>
      <c r="BQ683" s="295"/>
      <c r="BR683" s="295"/>
      <c r="BS683" s="295"/>
      <c r="BT683" s="295"/>
      <c r="BU683" s="295"/>
      <c r="BV683" s="295"/>
      <c r="BW683" s="295"/>
      <c r="BX683" s="295"/>
      <c r="BY683" s="295"/>
      <c r="BZ683" s="295"/>
      <c r="CA683" s="295"/>
      <c r="CB683" s="295"/>
      <c r="CC683" s="295"/>
      <c r="CD683" s="295"/>
      <c r="CE683" s="295"/>
      <c r="CF683" s="295"/>
      <c r="CG683" s="295"/>
      <c r="CH683" s="295"/>
      <c r="CI683" s="295"/>
      <c r="CJ683" s="295"/>
      <c r="CK683" s="295"/>
      <c r="CL683" s="295"/>
      <c r="CM683" s="295"/>
      <c r="CN683" s="295"/>
      <c r="CO683" s="295"/>
      <c r="CP683" s="295"/>
      <c r="CQ683" s="295"/>
      <c r="CR683" s="295"/>
      <c r="CS683" s="295"/>
      <c r="CT683" s="295"/>
      <c r="CU683" s="295"/>
      <c r="CV683" s="295"/>
      <c r="CW683" s="295"/>
      <c r="CX683" s="295"/>
      <c r="CY683" s="295"/>
      <c r="CZ683" s="295"/>
      <c r="DA683" s="295"/>
      <c r="DB683" s="295"/>
      <c r="DC683" s="295"/>
      <c r="DD683" s="295"/>
      <c r="DE683" s="295"/>
      <c r="DF683" s="295"/>
      <c r="DG683" s="295"/>
      <c r="DH683" s="295"/>
      <c r="DI683" s="295"/>
      <c r="DJ683" s="295"/>
      <c r="DK683" s="295"/>
      <c r="DL683" s="295"/>
      <c r="DM683" s="295"/>
      <c r="DN683" s="295"/>
      <c r="DO683" s="295"/>
      <c r="DP683" s="295"/>
      <c r="DQ683" s="295"/>
      <c r="DR683" s="295"/>
      <c r="DS683" s="295"/>
      <c r="DT683" s="295"/>
      <c r="DU683" s="295"/>
      <c r="DV683" s="295"/>
      <c r="DW683" s="295"/>
      <c r="DX683" s="295"/>
      <c r="DY683" s="295"/>
      <c r="DZ683" s="295"/>
      <c r="EA683" s="295"/>
      <c r="EB683" s="295"/>
      <c r="EC683" s="295"/>
      <c r="ED683" s="295"/>
      <c r="EE683" s="295"/>
      <c r="EF683" s="295"/>
      <c r="EG683" s="295"/>
      <c r="EH683" s="295"/>
      <c r="EI683" s="295"/>
      <c r="EJ683" s="295"/>
      <c r="EK683" s="295"/>
      <c r="EL683" s="295"/>
      <c r="EM683" s="295"/>
      <c r="EN683" s="295"/>
      <c r="EO683" s="295"/>
      <c r="EP683" s="295"/>
      <c r="EQ683" s="295"/>
      <c r="ER683" s="295"/>
      <c r="ES683" s="295"/>
      <c r="ET683" s="295"/>
      <c r="EU683" s="295"/>
      <c r="JW683"/>
    </row>
    <row r="684" spans="1:283" s="845" customFormat="1" hidden="1" outlineLevel="1">
      <c r="A684" s="845" t="s">
        <v>665</v>
      </c>
      <c r="AN684" s="303"/>
      <c r="AO684" s="303"/>
      <c r="AP684" s="304"/>
      <c r="AQ684" s="304"/>
      <c r="AR684" s="303"/>
      <c r="AS684" s="303"/>
      <c r="AT684" s="304"/>
      <c r="AU684" s="304"/>
      <c r="AV684" s="627">
        <v>25</v>
      </c>
      <c r="AW684" s="627">
        <v>5</v>
      </c>
      <c r="AX684" s="627"/>
      <c r="AY684" s="303"/>
      <c r="AZ684" s="627">
        <v>1</v>
      </c>
      <c r="BA684" s="627">
        <v>1</v>
      </c>
      <c r="BB684" s="303">
        <f>AZ684+BA684</f>
        <v>2</v>
      </c>
      <c r="BC684" s="303"/>
      <c r="BD684" s="627">
        <v>1</v>
      </c>
      <c r="BE684" s="627">
        <v>0</v>
      </c>
      <c r="BF684" s="303">
        <f>BD684+BE684</f>
        <v>1</v>
      </c>
      <c r="BG684" s="303"/>
      <c r="BH684" s="627">
        <v>1</v>
      </c>
      <c r="BI684" s="627">
        <v>1</v>
      </c>
      <c r="BJ684" s="303">
        <f>BH684+BI684</f>
        <v>2</v>
      </c>
      <c r="BK684" s="303"/>
      <c r="BL684" s="627">
        <v>2</v>
      </c>
      <c r="BM684" s="627">
        <v>0</v>
      </c>
      <c r="BN684" s="303">
        <f>BL684+BM684</f>
        <v>2</v>
      </c>
      <c r="BO684" s="303"/>
      <c r="BP684" s="627">
        <v>0</v>
      </c>
      <c r="BQ684" s="627">
        <v>0</v>
      </c>
      <c r="BR684" s="303">
        <f>BP684+BQ684</f>
        <v>0</v>
      </c>
      <c r="BS684" s="303"/>
      <c r="BT684" s="627">
        <v>0</v>
      </c>
      <c r="BU684" s="627">
        <v>0</v>
      </c>
      <c r="BV684" s="303">
        <f>BT684+BU684</f>
        <v>0</v>
      </c>
      <c r="BW684" s="303"/>
      <c r="BX684" s="627">
        <v>0</v>
      </c>
      <c r="BY684" s="627">
        <v>0</v>
      </c>
      <c r="BZ684" s="303">
        <f>BX684+BY684</f>
        <v>0</v>
      </c>
      <c r="CA684" s="303"/>
      <c r="CB684" s="303"/>
      <c r="CC684" s="303"/>
      <c r="CD684" s="303"/>
      <c r="CE684" s="303"/>
      <c r="CF684" s="303"/>
      <c r="CG684" s="303"/>
      <c r="CH684" s="303"/>
      <c r="CI684" s="303"/>
      <c r="CJ684" s="303"/>
      <c r="CK684" s="303"/>
      <c r="CL684" s="303"/>
      <c r="CM684" s="303"/>
      <c r="CN684" s="303"/>
      <c r="CO684" s="303"/>
      <c r="CP684" s="303"/>
      <c r="CQ684" s="303"/>
      <c r="CR684" s="303"/>
      <c r="CS684" s="303"/>
      <c r="CT684" s="303"/>
      <c r="CU684" s="303"/>
      <c r="CV684" s="303"/>
      <c r="CW684" s="303"/>
      <c r="CX684" s="303"/>
      <c r="CY684" s="303"/>
      <c r="CZ684" s="303"/>
      <c r="DA684" s="303"/>
      <c r="DB684" s="303"/>
      <c r="DC684" s="303"/>
      <c r="DD684" s="303"/>
      <c r="DE684" s="303"/>
      <c r="DF684" s="303"/>
      <c r="DG684" s="303"/>
      <c r="DH684" s="303"/>
      <c r="DI684" s="303"/>
      <c r="DJ684" s="303"/>
      <c r="DK684" s="303"/>
      <c r="DL684" s="303"/>
      <c r="DM684" s="303"/>
      <c r="DN684" s="303"/>
      <c r="DO684" s="303"/>
      <c r="DP684" s="303"/>
      <c r="DQ684" s="303"/>
      <c r="DR684" s="303"/>
      <c r="DS684" s="303"/>
      <c r="DT684" s="303"/>
      <c r="DU684" s="303"/>
      <c r="DV684" s="303"/>
      <c r="DW684" s="882" t="s">
        <v>181</v>
      </c>
      <c r="DX684" s="303"/>
      <c r="DY684" s="303"/>
      <c r="DZ684" s="303"/>
      <c r="EA684" s="303"/>
      <c r="EB684" s="303"/>
      <c r="EC684" s="303"/>
      <c r="ED684" s="303"/>
      <c r="EE684" s="303"/>
      <c r="EF684" s="303"/>
      <c r="EG684" s="303"/>
      <c r="EH684" s="303"/>
      <c r="EI684" s="303"/>
      <c r="EJ684" s="303"/>
      <c r="EK684" s="303"/>
      <c r="EL684" s="303"/>
      <c r="EM684" s="303"/>
      <c r="EN684" s="303"/>
      <c r="EO684" s="303"/>
      <c r="EP684" s="303"/>
      <c r="EQ684" s="303"/>
      <c r="ER684" s="303"/>
      <c r="ES684" s="303"/>
      <c r="ET684" s="303"/>
      <c r="EU684" s="303"/>
      <c r="JW684"/>
    </row>
    <row r="685" spans="1:283" s="845" customFormat="1" hidden="1" outlineLevel="1">
      <c r="A685" s="845" t="s">
        <v>666</v>
      </c>
      <c r="AN685" s="303"/>
      <c r="AO685" s="303"/>
      <c r="AP685" s="303"/>
      <c r="AQ685" s="303"/>
      <c r="AR685" s="303"/>
      <c r="AS685" s="303"/>
      <c r="AT685" s="303"/>
      <c r="AU685" s="627"/>
      <c r="AV685" s="973">
        <v>35</v>
      </c>
      <c r="AW685" s="973">
        <v>0</v>
      </c>
      <c r="AX685" s="857"/>
      <c r="AY685" s="857"/>
      <c r="AZ685" s="627">
        <v>1</v>
      </c>
      <c r="BA685" s="973">
        <v>6</v>
      </c>
      <c r="BB685" s="303">
        <f>AZ685+BA685</f>
        <v>7</v>
      </c>
      <c r="BC685" s="303"/>
      <c r="BD685" s="627">
        <v>0</v>
      </c>
      <c r="BE685" s="627">
        <v>0</v>
      </c>
      <c r="BF685" s="303">
        <f>BD685+BE685</f>
        <v>0</v>
      </c>
      <c r="BG685" s="303"/>
      <c r="BH685" s="627">
        <v>0</v>
      </c>
      <c r="BI685" s="627">
        <v>0</v>
      </c>
      <c r="BJ685" s="303">
        <f>BH685+BI685</f>
        <v>0</v>
      </c>
      <c r="BK685" s="303"/>
      <c r="BL685" s="627">
        <v>1</v>
      </c>
      <c r="BM685" s="627">
        <v>0</v>
      </c>
      <c r="BN685" s="303">
        <f>BL685+BM685</f>
        <v>1</v>
      </c>
      <c r="BO685" s="303"/>
      <c r="BP685" s="627">
        <v>0</v>
      </c>
      <c r="BQ685" s="627">
        <v>0</v>
      </c>
      <c r="BR685" s="303">
        <f>BP685+BQ685</f>
        <v>0</v>
      </c>
      <c r="BS685" s="303"/>
      <c r="BT685" s="627">
        <v>0</v>
      </c>
      <c r="BU685" s="627">
        <v>0</v>
      </c>
      <c r="BV685" s="303">
        <f>BT685+BU685</f>
        <v>0</v>
      </c>
      <c r="BW685" s="303"/>
      <c r="BX685" s="627">
        <v>0</v>
      </c>
      <c r="BY685" s="627">
        <v>0</v>
      </c>
      <c r="BZ685" s="303">
        <f>BX685+BY685</f>
        <v>0</v>
      </c>
      <c r="CA685" s="303"/>
      <c r="CB685" s="303"/>
      <c r="CC685" s="303"/>
      <c r="CD685" s="303"/>
      <c r="CE685" s="303"/>
      <c r="CF685" s="303"/>
      <c r="CG685" s="303"/>
      <c r="CH685" s="303"/>
      <c r="CI685" s="303"/>
      <c r="CJ685" s="303"/>
      <c r="CK685" s="303"/>
      <c r="CL685" s="303"/>
      <c r="CM685" s="303"/>
      <c r="CN685" s="303"/>
      <c r="CO685" s="303"/>
      <c r="CP685" s="303"/>
      <c r="CQ685" s="303"/>
      <c r="CR685" s="303"/>
      <c r="CS685" s="303"/>
      <c r="CT685" s="303"/>
      <c r="CU685" s="303"/>
      <c r="CV685" s="303"/>
      <c r="CW685" s="303"/>
      <c r="CX685" s="303"/>
      <c r="CY685" s="303"/>
      <c r="CZ685" s="303"/>
      <c r="DA685" s="303"/>
      <c r="DB685" s="303"/>
      <c r="DC685" s="303"/>
      <c r="DD685" s="303"/>
      <c r="DE685" s="303"/>
      <c r="DF685" s="303"/>
      <c r="DG685" s="303"/>
      <c r="DH685" s="303"/>
      <c r="DI685" s="303"/>
      <c r="DJ685" s="303"/>
      <c r="DK685" s="303"/>
      <c r="DL685" s="303"/>
      <c r="DM685" s="303"/>
      <c r="DN685" s="303"/>
      <c r="DO685" s="303"/>
      <c r="DP685" s="303"/>
      <c r="DQ685" s="303"/>
      <c r="DR685" s="303"/>
      <c r="DS685" s="303"/>
      <c r="DT685" s="303"/>
      <c r="DU685" s="303"/>
      <c r="DV685" s="303"/>
      <c r="DW685" s="882"/>
      <c r="DX685" s="303"/>
      <c r="DY685" s="303"/>
      <c r="DZ685" s="303"/>
      <c r="EA685" s="303"/>
      <c r="EB685" s="303"/>
      <c r="EC685" s="303"/>
      <c r="ED685" s="303"/>
      <c r="EE685" s="303"/>
      <c r="EF685" s="303"/>
      <c r="EG685" s="303"/>
      <c r="EH685" s="303"/>
      <c r="EI685" s="303"/>
      <c r="EJ685" s="303"/>
      <c r="EK685" s="303"/>
      <c r="EL685" s="303"/>
      <c r="EM685" s="303"/>
      <c r="EN685" s="303"/>
      <c r="EO685" s="303"/>
      <c r="EP685" s="303"/>
      <c r="EQ685" s="303"/>
      <c r="ER685" s="303"/>
      <c r="ES685" s="303"/>
      <c r="ET685" s="303"/>
      <c r="EU685" s="303"/>
      <c r="JW685"/>
    </row>
    <row r="686" spans="1:283" s="845" customFormat="1" hidden="1" outlineLevel="1">
      <c r="A686" s="845" t="s">
        <v>654</v>
      </c>
      <c r="AN686" s="303"/>
      <c r="AO686" s="303"/>
      <c r="AP686" s="303"/>
      <c r="AQ686" s="303"/>
      <c r="AR686" s="303"/>
      <c r="AS686" s="303"/>
      <c r="AT686" s="303"/>
      <c r="AU686" s="627"/>
      <c r="AV686" s="627">
        <v>2</v>
      </c>
      <c r="AW686" s="627">
        <v>2</v>
      </c>
      <c r="AX686" s="303">
        <f>AV686+AW686</f>
        <v>4</v>
      </c>
      <c r="AY686" s="303"/>
      <c r="AZ686" s="630">
        <v>0</v>
      </c>
      <c r="BA686" s="630">
        <v>0</v>
      </c>
      <c r="BB686" s="303">
        <f>AZ686+BA686</f>
        <v>0</v>
      </c>
      <c r="BC686" s="303"/>
      <c r="BD686" s="630">
        <v>0.33</v>
      </c>
      <c r="BE686" s="630">
        <v>0</v>
      </c>
      <c r="BF686" s="303">
        <f>BD686+BE686</f>
        <v>0.33</v>
      </c>
      <c r="BG686" s="303"/>
      <c r="BH686" s="627">
        <v>0</v>
      </c>
      <c r="BI686" s="627">
        <v>0</v>
      </c>
      <c r="BJ686" s="303">
        <f>BH686+BI686</f>
        <v>0</v>
      </c>
      <c r="BK686" s="303"/>
      <c r="BL686" s="627">
        <v>0</v>
      </c>
      <c r="BM686" s="627">
        <v>0</v>
      </c>
      <c r="BN686" s="303">
        <f>BL686+BM686</f>
        <v>0</v>
      </c>
      <c r="BO686" s="303"/>
      <c r="BP686" s="627">
        <v>0</v>
      </c>
      <c r="BQ686" s="627">
        <v>0</v>
      </c>
      <c r="BR686" s="303">
        <f>BP686+BQ686</f>
        <v>0</v>
      </c>
      <c r="BS686" s="303"/>
      <c r="BT686" s="627">
        <v>0</v>
      </c>
      <c r="BU686" s="627">
        <v>0</v>
      </c>
      <c r="BV686" s="303">
        <f>BT686+BU686</f>
        <v>0</v>
      </c>
      <c r="BW686" s="303"/>
      <c r="BX686" s="627">
        <v>0</v>
      </c>
      <c r="BY686" s="627">
        <v>0</v>
      </c>
      <c r="BZ686" s="303">
        <f>BX686+BY686</f>
        <v>0</v>
      </c>
      <c r="CA686" s="303"/>
      <c r="CB686" s="630"/>
      <c r="CC686" s="630"/>
      <c r="CD686" s="303"/>
      <c r="CE686" s="303"/>
      <c r="CF686" s="630"/>
      <c r="CG686" s="630"/>
      <c r="CH686" s="303"/>
      <c r="CI686" s="303"/>
      <c r="CJ686" s="630"/>
      <c r="CK686" s="630"/>
      <c r="CL686" s="303"/>
      <c r="CM686" s="303"/>
      <c r="CN686" s="630"/>
      <c r="CO686" s="630"/>
      <c r="CP686" s="303"/>
      <c r="CQ686" s="303"/>
      <c r="CR686" s="630"/>
      <c r="CS686" s="630"/>
      <c r="CT686" s="303"/>
      <c r="CU686" s="303"/>
      <c r="CV686" s="630"/>
      <c r="CW686" s="630"/>
      <c r="CX686" s="303"/>
      <c r="CY686" s="303"/>
      <c r="CZ686" s="630"/>
      <c r="DA686" s="630"/>
      <c r="DB686" s="303"/>
      <c r="DC686" s="303"/>
      <c r="DD686" s="630"/>
      <c r="DE686" s="630"/>
      <c r="DF686" s="303"/>
      <c r="DG686" s="303"/>
      <c r="DH686" s="630"/>
      <c r="DI686" s="630"/>
      <c r="DJ686" s="303"/>
      <c r="DK686" s="303"/>
      <c r="DL686" s="630"/>
      <c r="DM686" s="630"/>
      <c r="DN686" s="303"/>
      <c r="DO686" s="303"/>
      <c r="DP686" s="630"/>
      <c r="DQ686" s="630"/>
      <c r="DR686" s="303"/>
      <c r="DS686" s="303"/>
      <c r="DT686" s="303"/>
      <c r="DU686" s="303"/>
      <c r="DV686" s="303"/>
      <c r="DW686" s="836"/>
      <c r="DX686" s="630"/>
      <c r="DY686" s="630"/>
      <c r="DZ686" s="303"/>
      <c r="EA686" s="630"/>
      <c r="EB686" s="630"/>
      <c r="EC686" s="303"/>
      <c r="ED686" s="303"/>
      <c r="EE686" s="630"/>
      <c r="EF686" s="630"/>
      <c r="EG686" s="303"/>
      <c r="EH686" s="303"/>
      <c r="EI686" s="303"/>
      <c r="EJ686" s="303"/>
      <c r="EK686" s="303"/>
      <c r="EL686" s="303"/>
      <c r="EM686" s="303"/>
      <c r="EN686" s="303"/>
      <c r="EO686" s="303"/>
      <c r="EP686" s="303"/>
      <c r="EQ686" s="303"/>
      <c r="ER686" s="303"/>
      <c r="ES686" s="303"/>
      <c r="ET686" s="303"/>
      <c r="EU686" s="303"/>
      <c r="JW686"/>
    </row>
    <row r="687" spans="1:283" s="845" customFormat="1" hidden="1" outlineLevel="1">
      <c r="A687" s="845" t="s">
        <v>655</v>
      </c>
      <c r="AN687" s="303"/>
      <c r="AO687" s="303"/>
      <c r="AP687" s="303"/>
      <c r="AQ687" s="303"/>
      <c r="AR687" s="303"/>
      <c r="AS687" s="303"/>
      <c r="AT687" s="303"/>
      <c r="AU687" s="303"/>
      <c r="AV687" s="627">
        <f>2-AV686</f>
        <v>0</v>
      </c>
      <c r="AW687" s="627">
        <f>0-AW686</f>
        <v>-2</v>
      </c>
      <c r="AX687" s="303">
        <f>AV687+AW687</f>
        <v>-2</v>
      </c>
      <c r="AY687" s="303"/>
      <c r="AZ687" s="627">
        <f>2-AZ686</f>
        <v>2</v>
      </c>
      <c r="BA687" s="627">
        <v>3</v>
      </c>
      <c r="BB687" s="303">
        <f>AZ687+BA687</f>
        <v>5</v>
      </c>
      <c r="BC687" s="303"/>
      <c r="BD687" s="627">
        <v>5</v>
      </c>
      <c r="BE687" s="627">
        <v>4</v>
      </c>
      <c r="BF687" s="303">
        <f>BD687+BE687</f>
        <v>9</v>
      </c>
      <c r="BG687" s="303"/>
      <c r="BH687" s="627">
        <v>0</v>
      </c>
      <c r="BI687" s="627">
        <v>0</v>
      </c>
      <c r="BJ687" s="303">
        <f>BH687+BI687</f>
        <v>0</v>
      </c>
      <c r="BK687" s="303"/>
      <c r="BL687" s="627">
        <v>0</v>
      </c>
      <c r="BM687" s="627">
        <v>0</v>
      </c>
      <c r="BN687" s="303">
        <f>BL687+BM687</f>
        <v>0</v>
      </c>
      <c r="BO687" s="303"/>
      <c r="BP687" s="627">
        <v>0</v>
      </c>
      <c r="BQ687" s="627">
        <v>0</v>
      </c>
      <c r="BR687" s="303">
        <f>BP687+BQ687</f>
        <v>0</v>
      </c>
      <c r="BS687" s="303"/>
      <c r="BT687" s="627">
        <v>0</v>
      </c>
      <c r="BU687" s="627">
        <v>0</v>
      </c>
      <c r="BV687" s="303">
        <f>BT687+BU687</f>
        <v>0</v>
      </c>
      <c r="BW687" s="303"/>
      <c r="BX687" s="627">
        <v>0</v>
      </c>
      <c r="BY687" s="627">
        <v>0</v>
      </c>
      <c r="BZ687" s="303">
        <f>BX687+BY687</f>
        <v>0</v>
      </c>
      <c r="CA687" s="303"/>
      <c r="CB687" s="630"/>
      <c r="CC687" s="630"/>
      <c r="CD687" s="303"/>
      <c r="CE687" s="303"/>
      <c r="CF687" s="630"/>
      <c r="CG687" s="630"/>
      <c r="CH687" s="303"/>
      <c r="CI687" s="303"/>
      <c r="CJ687" s="630"/>
      <c r="CK687" s="630"/>
      <c r="CL687" s="303"/>
      <c r="CM687" s="303"/>
      <c r="CN687" s="630"/>
      <c r="CO687" s="630"/>
      <c r="CP687" s="303"/>
      <c r="CQ687" s="303"/>
      <c r="CR687" s="630"/>
      <c r="CS687" s="630"/>
      <c r="CT687" s="303"/>
      <c r="CU687" s="303"/>
      <c r="CV687" s="630"/>
      <c r="CW687" s="630"/>
      <c r="CX687" s="303"/>
      <c r="CY687" s="303"/>
      <c r="CZ687" s="630"/>
      <c r="DA687" s="630"/>
      <c r="DB687" s="303"/>
      <c r="DC687" s="303"/>
      <c r="DD687" s="630"/>
      <c r="DE687" s="630"/>
      <c r="DF687" s="303"/>
      <c r="DG687" s="303"/>
      <c r="DH687" s="630"/>
      <c r="DI687" s="630"/>
      <c r="DJ687" s="303"/>
      <c r="DK687" s="303"/>
      <c r="DL687" s="630"/>
      <c r="DM687" s="630"/>
      <c r="DN687" s="303"/>
      <c r="DO687" s="303"/>
      <c r="DP687" s="630"/>
      <c r="DQ687" s="630"/>
      <c r="DR687" s="303"/>
      <c r="DS687" s="303"/>
      <c r="DT687" s="303"/>
      <c r="DU687" s="303"/>
      <c r="DV687" s="303"/>
      <c r="DW687" s="836"/>
      <c r="DX687" s="630"/>
      <c r="DY687" s="630"/>
      <c r="DZ687" s="303"/>
      <c r="EA687" s="630"/>
      <c r="EB687" s="630"/>
      <c r="EC687" s="303"/>
      <c r="ED687" s="303"/>
      <c r="EE687" s="630"/>
      <c r="EF687" s="630"/>
      <c r="EG687" s="303"/>
      <c r="EH687" s="303"/>
      <c r="EI687" s="303"/>
      <c r="EJ687" s="303"/>
      <c r="EK687" s="303"/>
      <c r="EL687" s="303"/>
      <c r="EM687" s="303"/>
      <c r="EN687" s="303"/>
      <c r="EO687" s="303"/>
      <c r="EP687" s="303"/>
      <c r="EQ687" s="303"/>
      <c r="ER687" s="303"/>
      <c r="ES687" s="303"/>
      <c r="ET687" s="303"/>
      <c r="EU687" s="303"/>
      <c r="JW687"/>
    </row>
    <row r="688" spans="1:283" s="327" customFormat="1" hidden="1" outlineLevel="1">
      <c r="A688" s="327" t="s">
        <v>613</v>
      </c>
      <c r="AN688" s="295">
        <f>SUM(AN684:AN687)</f>
        <v>0</v>
      </c>
      <c r="AO688" s="295">
        <f>SUM(AO684:AO687)</f>
        <v>0</v>
      </c>
      <c r="AP688" s="295">
        <f>AN688+AO688</f>
        <v>0</v>
      </c>
      <c r="AQ688" s="295"/>
      <c r="AR688" s="295">
        <f>SUM(AR684:AR687)</f>
        <v>0</v>
      </c>
      <c r="AS688" s="295">
        <f>SUM(AS684:AS687)</f>
        <v>0</v>
      </c>
      <c r="AT688" s="295">
        <f>AR688+AS688</f>
        <v>0</v>
      </c>
      <c r="AU688" s="295"/>
      <c r="AV688" s="295">
        <f>SUM(AV684:AV687)</f>
        <v>62</v>
      </c>
      <c r="AW688" s="295">
        <f>SUM(AW684:AW687)</f>
        <v>5</v>
      </c>
      <c r="AX688" s="295">
        <f>AV688+AW688</f>
        <v>67</v>
      </c>
      <c r="AY688" s="295"/>
      <c r="AZ688" s="295">
        <f>SUM(AZ684:AZ687)</f>
        <v>4</v>
      </c>
      <c r="BA688" s="295">
        <f>SUM(BA684:BA687)</f>
        <v>10</v>
      </c>
      <c r="BB688" s="295">
        <f>AZ688+BA688</f>
        <v>14</v>
      </c>
      <c r="BC688" s="295"/>
      <c r="BD688" s="295">
        <f>SUM(BD684:BD687)</f>
        <v>6.33</v>
      </c>
      <c r="BE688" s="295">
        <f>SUM(BE684:BE687)</f>
        <v>4</v>
      </c>
      <c r="BF688" s="295">
        <f>BD688+BE688</f>
        <v>10.33</v>
      </c>
      <c r="BG688" s="295"/>
      <c r="BH688" s="295">
        <f>SUM(BH684:BH687)</f>
        <v>1</v>
      </c>
      <c r="BI688" s="295">
        <f>SUM(BI684:BI687)</f>
        <v>1</v>
      </c>
      <c r="BJ688" s="295">
        <f>BH688+BI688</f>
        <v>2</v>
      </c>
      <c r="BK688" s="295"/>
      <c r="BL688" s="295">
        <f>SUM(BL684:BL687)</f>
        <v>3</v>
      </c>
      <c r="BM688" s="295">
        <f>SUM(BM684:BM687)</f>
        <v>0</v>
      </c>
      <c r="BN688" s="295">
        <f>BL688+BM688</f>
        <v>3</v>
      </c>
      <c r="BO688" s="295"/>
      <c r="BP688" s="295">
        <f>SUM(BP684:BP687)</f>
        <v>0</v>
      </c>
      <c r="BQ688" s="295">
        <f>SUM(BQ684:BQ687)</f>
        <v>0</v>
      </c>
      <c r="BR688" s="295">
        <f>BP688+BQ688</f>
        <v>0</v>
      </c>
      <c r="BS688" s="295"/>
      <c r="BT688" s="295">
        <f>SUM(BT684:BT687)</f>
        <v>0</v>
      </c>
      <c r="BU688" s="295">
        <f>SUM(BU684:BU687)</f>
        <v>0</v>
      </c>
      <c r="BV688" s="295">
        <f>BT688+BU688</f>
        <v>0</v>
      </c>
      <c r="BW688" s="295"/>
      <c r="BX688" s="295">
        <f>SUM(BX684:BX687)</f>
        <v>0</v>
      </c>
      <c r="BY688" s="295">
        <f>SUM(BY684:BY687)</f>
        <v>0</v>
      </c>
      <c r="BZ688" s="295">
        <f>BX688+BY688</f>
        <v>0</v>
      </c>
      <c r="CA688" s="295"/>
      <c r="CB688" s="295"/>
      <c r="CC688" s="295"/>
      <c r="CD688" s="295"/>
      <c r="CE688" s="295"/>
      <c r="CF688" s="295"/>
      <c r="CG688" s="295"/>
      <c r="CH688" s="295"/>
      <c r="CI688" s="295"/>
      <c r="CJ688" s="295"/>
      <c r="CK688" s="295"/>
      <c r="CL688" s="295"/>
      <c r="CM688" s="295"/>
      <c r="CN688" s="295"/>
      <c r="CO688" s="295"/>
      <c r="CP688" s="295"/>
      <c r="CQ688" s="295"/>
      <c r="CR688" s="295"/>
      <c r="CS688" s="295"/>
      <c r="CT688" s="295"/>
      <c r="CU688" s="295"/>
      <c r="CV688" s="295"/>
      <c r="CW688" s="295"/>
      <c r="CX688" s="295"/>
      <c r="CY688" s="295"/>
      <c r="CZ688" s="295"/>
      <c r="DA688" s="295"/>
      <c r="DB688" s="295"/>
      <c r="DC688" s="295"/>
      <c r="DD688" s="295"/>
      <c r="DE688" s="295"/>
      <c r="DF688" s="295"/>
      <c r="DG688" s="295"/>
      <c r="DH688" s="295"/>
      <c r="DI688" s="295"/>
      <c r="DJ688" s="295"/>
      <c r="DK688" s="295"/>
      <c r="DL688" s="295"/>
      <c r="DM688" s="295"/>
      <c r="DN688" s="295"/>
      <c r="DO688" s="295"/>
      <c r="DP688" s="295"/>
      <c r="DQ688" s="295"/>
      <c r="DR688" s="295"/>
      <c r="DS688" s="295"/>
      <c r="DT688" s="295"/>
      <c r="DU688" s="295"/>
      <c r="DV688" s="295"/>
      <c r="DW688" s="295"/>
      <c r="DX688" s="295"/>
      <c r="DY688" s="295"/>
      <c r="DZ688" s="295"/>
      <c r="EA688" s="295"/>
      <c r="EB688" s="295"/>
      <c r="EC688" s="295"/>
      <c r="ED688" s="295"/>
      <c r="EE688" s="295"/>
      <c r="EF688" s="295"/>
      <c r="EG688" s="295"/>
      <c r="EH688" s="295"/>
      <c r="EI688" s="295"/>
      <c r="EJ688" s="295"/>
      <c r="EK688" s="295"/>
      <c r="EL688" s="295"/>
      <c r="EM688" s="295"/>
      <c r="EN688" s="295"/>
      <c r="EO688" s="295"/>
      <c r="EP688" s="295"/>
      <c r="EQ688" s="295"/>
      <c r="ER688" s="295"/>
      <c r="ES688" s="295"/>
      <c r="ET688" s="295"/>
      <c r="EU688" s="295"/>
      <c r="JW688"/>
    </row>
    <row r="689" spans="1:283" hidden="1" outlineLevel="1">
      <c r="CR689" s="103"/>
      <c r="CS689" s="103"/>
      <c r="CT689" s="103"/>
      <c r="CV689" s="103"/>
      <c r="CW689" s="103"/>
      <c r="CX689" s="103"/>
      <c r="CZ689" s="103"/>
      <c r="DA689" s="103"/>
      <c r="DB689" s="103"/>
      <c r="DD689" s="103"/>
      <c r="DE689" s="103"/>
      <c r="DF689" s="103"/>
      <c r="DH689" s="103"/>
      <c r="DI689" s="103"/>
      <c r="DJ689" s="103"/>
      <c r="DL689" s="103"/>
      <c r="DM689" s="103"/>
      <c r="DN689" s="103"/>
      <c r="DP689" s="103"/>
      <c r="DQ689" s="103"/>
      <c r="DR689" s="103"/>
    </row>
    <row r="690" spans="1:283" s="289" customFormat="1" hidden="1" outlineLevel="1">
      <c r="A690" s="815" t="s">
        <v>621</v>
      </c>
      <c r="AN690" s="290"/>
      <c r="AO690" s="290"/>
      <c r="AP690" s="290"/>
      <c r="AQ690" s="290"/>
      <c r="AR690" s="290"/>
      <c r="AS690" s="290"/>
      <c r="AT690" s="290"/>
      <c r="AU690" s="290"/>
      <c r="AV690" s="290"/>
      <c r="AW690" s="290"/>
      <c r="AX690" s="290"/>
      <c r="AY690" s="290"/>
      <c r="AZ690" s="290"/>
      <c r="BA690" s="290"/>
      <c r="BB690" s="290"/>
      <c r="BC690" s="290"/>
      <c r="BD690" s="290"/>
      <c r="BE690" s="290"/>
      <c r="BF690" s="290"/>
      <c r="BG690" s="290"/>
      <c r="BH690" s="290"/>
      <c r="BI690" s="290"/>
      <c r="BJ690" s="290"/>
      <c r="BK690" s="103"/>
      <c r="BL690" s="290"/>
      <c r="BM690" s="290"/>
      <c r="BN690" s="290"/>
      <c r="BO690" s="290"/>
      <c r="BP690" s="290"/>
      <c r="BQ690" s="290"/>
      <c r="BR690" s="290"/>
      <c r="BS690" s="290"/>
      <c r="BT690" s="290"/>
      <c r="BU690" s="290"/>
      <c r="BV690" s="290"/>
      <c r="BW690" s="290"/>
      <c r="BX690" s="290"/>
      <c r="BY690" s="290"/>
      <c r="BZ690" s="290"/>
      <c r="CA690" s="290"/>
      <c r="CB690" s="290"/>
      <c r="CC690" s="290"/>
      <c r="CD690" s="290"/>
      <c r="CE690" s="290"/>
      <c r="CF690" s="290"/>
      <c r="CG690" s="290"/>
      <c r="CH690" s="290"/>
      <c r="CI690" s="290"/>
      <c r="CJ690" s="290"/>
      <c r="CK690" s="290"/>
      <c r="CL690" s="290"/>
      <c r="CM690" s="290"/>
      <c r="CN690" s="290"/>
      <c r="CO690" s="290"/>
      <c r="CP690" s="290"/>
      <c r="CQ690" s="290"/>
      <c r="CR690" s="290"/>
      <c r="CS690" s="290"/>
      <c r="CT690" s="290"/>
      <c r="CU690" s="290"/>
      <c r="CV690" s="290"/>
      <c r="CW690" s="290"/>
      <c r="CX690" s="290"/>
      <c r="CY690" s="290"/>
      <c r="CZ690" s="290"/>
      <c r="DA690" s="290"/>
      <c r="DB690" s="290"/>
      <c r="DC690" s="290"/>
      <c r="DD690" s="290"/>
      <c r="DE690" s="290"/>
      <c r="DF690" s="290"/>
      <c r="DG690" s="290"/>
      <c r="DH690" s="290"/>
      <c r="DI690" s="290"/>
      <c r="DJ690" s="290"/>
      <c r="DK690" s="290"/>
      <c r="DL690" s="290"/>
      <c r="DM690" s="290"/>
      <c r="DN690" s="290"/>
      <c r="DO690" s="290"/>
      <c r="DP690" s="290"/>
      <c r="DQ690" s="290"/>
      <c r="DR690" s="290"/>
      <c r="DS690" s="290"/>
      <c r="DT690" s="290"/>
      <c r="DU690" s="290"/>
      <c r="DV690" s="290"/>
      <c r="DW690" s="290"/>
      <c r="DX690" s="290"/>
      <c r="DY690" s="290"/>
      <c r="DZ690" s="290"/>
      <c r="EA690" s="290"/>
      <c r="EB690" s="290"/>
      <c r="EC690" s="290"/>
      <c r="ED690" s="290"/>
      <c r="EE690" s="290"/>
      <c r="EF690" s="290"/>
      <c r="EG690" s="290"/>
      <c r="EH690" s="290"/>
      <c r="EI690" s="290"/>
      <c r="EJ690" s="290"/>
      <c r="EK690" s="290"/>
      <c r="EL690" s="290"/>
      <c r="EM690" s="290"/>
      <c r="EN690" s="290"/>
      <c r="EO690" s="290"/>
      <c r="EP690" s="290"/>
      <c r="EQ690" s="290"/>
      <c r="ER690" s="290"/>
      <c r="ES690" s="290"/>
      <c r="ET690" s="290"/>
      <c r="EU690" s="290"/>
      <c r="JW690"/>
    </row>
    <row r="691" spans="1:283" s="302" customFormat="1" hidden="1" outlineLevel="1">
      <c r="A691" s="302" t="s">
        <v>657</v>
      </c>
      <c r="AN691" s="304"/>
      <c r="AO691" s="304"/>
      <c r="AP691" s="1219"/>
      <c r="AQ691" s="304"/>
      <c r="AR691" s="634"/>
      <c r="AS691" s="634"/>
      <c r="AT691" s="1219">
        <v>13</v>
      </c>
      <c r="AU691" s="304"/>
      <c r="AV691" s="634">
        <v>-8</v>
      </c>
      <c r="AW691" s="634">
        <v>-25</v>
      </c>
      <c r="AX691" s="303">
        <f t="shared" ref="AX691:AX704" si="1799">AV691+AW691</f>
        <v>-33</v>
      </c>
      <c r="AY691" s="304"/>
      <c r="AZ691" s="634">
        <v>3</v>
      </c>
      <c r="BA691" s="634">
        <v>28</v>
      </c>
      <c r="BB691" s="303">
        <f t="shared" ref="BB691:BB704" si="1800">AZ691+BA691</f>
        <v>31</v>
      </c>
      <c r="BC691" s="304"/>
      <c r="BD691" s="627">
        <v>5</v>
      </c>
      <c r="BE691" s="627">
        <v>1</v>
      </c>
      <c r="BF691" s="303">
        <f t="shared" ref="BF691:BF704" si="1801">BD691+BE691</f>
        <v>6</v>
      </c>
      <c r="BG691" s="304"/>
      <c r="BH691" s="627">
        <v>0</v>
      </c>
      <c r="BI691" s="627">
        <v>0</v>
      </c>
      <c r="BJ691" s="303">
        <f t="shared" ref="BJ691:BJ704" si="1802">BH691+BI691</f>
        <v>0</v>
      </c>
      <c r="BK691" s="304"/>
      <c r="BL691" s="627">
        <v>0</v>
      </c>
      <c r="BM691" s="627">
        <v>0</v>
      </c>
      <c r="BN691" s="303">
        <f t="shared" ref="BN691:BN704" si="1803">BL691+BM691</f>
        <v>0</v>
      </c>
      <c r="BO691" s="304"/>
      <c r="BP691" s="627">
        <v>0</v>
      </c>
      <c r="BQ691" s="627">
        <v>0</v>
      </c>
      <c r="BR691" s="303">
        <f t="shared" ref="BR691:BR704" si="1804">BP691+BQ691</f>
        <v>0</v>
      </c>
      <c r="BS691" s="304"/>
      <c r="BT691" s="627">
        <v>0</v>
      </c>
      <c r="BU691" s="627">
        <v>0</v>
      </c>
      <c r="BV691" s="303">
        <f t="shared" ref="BV691:BV704" si="1805">BT691+BU691</f>
        <v>0</v>
      </c>
      <c r="BW691" s="304"/>
      <c r="BX691" s="627">
        <v>0</v>
      </c>
      <c r="BY691" s="627">
        <v>0</v>
      </c>
      <c r="BZ691" s="303">
        <f t="shared" ref="BZ691:BZ704" si="1806">BX691+BY691</f>
        <v>0</v>
      </c>
      <c r="CA691" s="304"/>
      <c r="CB691" s="929"/>
      <c r="CC691" s="929"/>
      <c r="CD691" s="303"/>
      <c r="CE691" s="304"/>
      <c r="CF691" s="929"/>
      <c r="CG691" s="929"/>
      <c r="CH691" s="303"/>
      <c r="CI691" s="304"/>
      <c r="CJ691" s="929"/>
      <c r="CK691" s="929"/>
      <c r="CL691" s="303"/>
      <c r="CM691" s="304"/>
      <c r="CN691" s="929"/>
      <c r="CO691" s="929"/>
      <c r="CP691" s="303"/>
      <c r="CQ691" s="304"/>
      <c r="CR691" s="929"/>
      <c r="CS691" s="929"/>
      <c r="CT691" s="303"/>
      <c r="CU691" s="304"/>
      <c r="CV691" s="929"/>
      <c r="CW691" s="929"/>
      <c r="CX691" s="303"/>
      <c r="CY691" s="304"/>
      <c r="CZ691" s="929"/>
      <c r="DA691" s="929"/>
      <c r="DB691" s="303"/>
      <c r="DC691" s="304"/>
      <c r="DD691" s="929"/>
      <c r="DE691" s="929"/>
      <c r="DF691" s="303"/>
      <c r="DG691" s="304"/>
      <c r="DH691" s="929"/>
      <c r="DI691" s="929"/>
      <c r="DJ691" s="303"/>
      <c r="DK691" s="304"/>
      <c r="DL691" s="929"/>
      <c r="DM691" s="929"/>
      <c r="DN691" s="303"/>
      <c r="DO691" s="304"/>
      <c r="DP691" s="929"/>
      <c r="DQ691" s="929"/>
      <c r="DR691" s="303"/>
      <c r="DS691" s="304"/>
      <c r="DT691" s="304"/>
      <c r="DU691" s="304"/>
      <c r="DV691" s="304"/>
      <c r="DW691" s="929"/>
      <c r="DX691" s="929"/>
      <c r="DY691" s="929"/>
      <c r="DZ691" s="304"/>
      <c r="EA691" s="929"/>
      <c r="EB691" s="929"/>
      <c r="EC691" s="303"/>
      <c r="ED691" s="304"/>
      <c r="EE691" s="929"/>
      <c r="EF691" s="929"/>
      <c r="EG691" s="303"/>
      <c r="EH691" s="304"/>
      <c r="EI691" s="304"/>
      <c r="EJ691" s="304"/>
      <c r="EK691" s="304"/>
      <c r="EL691" s="304"/>
      <c r="EM691" s="304"/>
      <c r="EN691" s="304"/>
      <c r="EO691" s="304"/>
      <c r="EP691" s="304"/>
      <c r="EQ691" s="304"/>
      <c r="ER691" s="304"/>
      <c r="ES691" s="304"/>
      <c r="ET691" s="304"/>
      <c r="EU691" s="304"/>
      <c r="JW691"/>
    </row>
    <row r="692" spans="1:283" s="302" customFormat="1" hidden="1" outlineLevel="1">
      <c r="A692" s="302" t="s">
        <v>674</v>
      </c>
      <c r="AN692" s="304"/>
      <c r="AO692" s="304"/>
      <c r="AP692" s="1219"/>
      <c r="AQ692" s="304"/>
      <c r="AR692" s="634"/>
      <c r="AS692" s="634"/>
      <c r="AT692" s="1219">
        <v>0</v>
      </c>
      <c r="AU692" s="304"/>
      <c r="AV692" s="634">
        <v>0</v>
      </c>
      <c r="AW692" s="634">
        <v>0</v>
      </c>
      <c r="AX692" s="303">
        <f t="shared" si="1799"/>
        <v>0</v>
      </c>
      <c r="AY692" s="304"/>
      <c r="AZ692" s="634">
        <v>0</v>
      </c>
      <c r="BA692" s="634">
        <v>0</v>
      </c>
      <c r="BB692" s="303">
        <f t="shared" si="1800"/>
        <v>0</v>
      </c>
      <c r="BC692" s="304"/>
      <c r="BD692" s="627">
        <v>0</v>
      </c>
      <c r="BE692" s="627">
        <v>0</v>
      </c>
      <c r="BF692" s="303">
        <f t="shared" si="1801"/>
        <v>0</v>
      </c>
      <c r="BG692" s="304"/>
      <c r="BH692" s="627">
        <v>0</v>
      </c>
      <c r="BI692" s="627">
        <v>0</v>
      </c>
      <c r="BJ692" s="303">
        <f t="shared" si="1802"/>
        <v>0</v>
      </c>
      <c r="BK692" s="304"/>
      <c r="BL692" s="627">
        <v>0</v>
      </c>
      <c r="BM692" s="627">
        <v>0</v>
      </c>
      <c r="BN692" s="303">
        <f t="shared" si="1803"/>
        <v>0</v>
      </c>
      <c r="BO692" s="304"/>
      <c r="BP692" s="627">
        <v>0</v>
      </c>
      <c r="BQ692" s="627">
        <v>0</v>
      </c>
      <c r="BR692" s="303">
        <f t="shared" si="1804"/>
        <v>0</v>
      </c>
      <c r="BS692" s="304"/>
      <c r="BT692" s="627">
        <v>0</v>
      </c>
      <c r="BU692" s="627">
        <v>0</v>
      </c>
      <c r="BV692" s="303">
        <f t="shared" si="1805"/>
        <v>0</v>
      </c>
      <c r="BW692" s="304"/>
      <c r="BX692" s="627">
        <v>0</v>
      </c>
      <c r="BY692" s="627">
        <v>0</v>
      </c>
      <c r="BZ692" s="303">
        <f t="shared" si="1806"/>
        <v>0</v>
      </c>
      <c r="CA692" s="304"/>
      <c r="CB692" s="929"/>
      <c r="CC692" s="929"/>
      <c r="CD692" s="303"/>
      <c r="CE692" s="304"/>
      <c r="CF692" s="929"/>
      <c r="CG692" s="929"/>
      <c r="CH692" s="303"/>
      <c r="CI692" s="304"/>
      <c r="CJ692" s="929"/>
      <c r="CK692" s="929"/>
      <c r="CL692" s="303"/>
      <c r="CM692" s="304"/>
      <c r="CN692" s="929"/>
      <c r="CO692" s="929"/>
      <c r="CP692" s="303"/>
      <c r="CQ692" s="304"/>
      <c r="CR692" s="929"/>
      <c r="CS692" s="929"/>
      <c r="CT692" s="303"/>
      <c r="CU692" s="304"/>
      <c r="CV692" s="929"/>
      <c r="CW692" s="929"/>
      <c r="CX692" s="303"/>
      <c r="CY692" s="304"/>
      <c r="CZ692" s="929"/>
      <c r="DA692" s="929"/>
      <c r="DB692" s="303"/>
      <c r="DC692" s="304"/>
      <c r="DD692" s="929"/>
      <c r="DE692" s="929"/>
      <c r="DF692" s="303"/>
      <c r="DG692" s="304"/>
      <c r="DH692" s="929"/>
      <c r="DI692" s="929"/>
      <c r="DJ692" s="303"/>
      <c r="DK692" s="304"/>
      <c r="DL692" s="929"/>
      <c r="DM692" s="929"/>
      <c r="DN692" s="303"/>
      <c r="DO692" s="304"/>
      <c r="DP692" s="929"/>
      <c r="DQ692" s="929"/>
      <c r="DR692" s="303"/>
      <c r="DS692" s="304"/>
      <c r="DT692" s="304"/>
      <c r="DU692" s="304"/>
      <c r="DV692" s="304"/>
      <c r="DW692" s="929"/>
      <c r="DX692" s="929"/>
      <c r="DY692" s="929"/>
      <c r="DZ692" s="304"/>
      <c r="EA692" s="929"/>
      <c r="EB692" s="929"/>
      <c r="EC692" s="303"/>
      <c r="ED692" s="304"/>
      <c r="EE692" s="929"/>
      <c r="EF692" s="929"/>
      <c r="EG692" s="303"/>
      <c r="EH692" s="304"/>
      <c r="EI692" s="304"/>
      <c r="EJ692" s="304"/>
      <c r="EK692" s="304"/>
      <c r="EL692" s="304"/>
      <c r="EM692" s="304"/>
      <c r="EN692" s="304"/>
      <c r="EO692" s="304"/>
      <c r="EP692" s="304"/>
      <c r="EQ692" s="304"/>
      <c r="ER692" s="304"/>
      <c r="ES692" s="304"/>
      <c r="ET692" s="304"/>
      <c r="EU692" s="304"/>
      <c r="JW692"/>
    </row>
    <row r="693" spans="1:283" s="302" customFormat="1" hidden="1" outlineLevel="1">
      <c r="A693" s="302" t="s">
        <v>659</v>
      </c>
      <c r="AN693" s="304"/>
      <c r="AO693" s="304"/>
      <c r="AP693" s="1219"/>
      <c r="AQ693" s="304"/>
      <c r="AR693" s="634"/>
      <c r="AS693" s="634"/>
      <c r="AT693" s="1219">
        <v>-146</v>
      </c>
      <c r="AU693" s="304"/>
      <c r="AV693" s="634">
        <v>-43</v>
      </c>
      <c r="AW693" s="634">
        <v>-21</v>
      </c>
      <c r="AX693" s="303">
        <f t="shared" si="1799"/>
        <v>-64</v>
      </c>
      <c r="AY693" s="304"/>
      <c r="AZ693" s="634">
        <v>-3</v>
      </c>
      <c r="BA693" s="634">
        <v>-17</v>
      </c>
      <c r="BB693" s="303">
        <f t="shared" si="1800"/>
        <v>-20</v>
      </c>
      <c r="BC693" s="304"/>
      <c r="BD693" s="627">
        <v>-11</v>
      </c>
      <c r="BE693" s="627">
        <v>-17</v>
      </c>
      <c r="BF693" s="303">
        <f t="shared" si="1801"/>
        <v>-28</v>
      </c>
      <c r="BG693" s="304"/>
      <c r="BH693" s="627">
        <v>0</v>
      </c>
      <c r="BI693" s="627">
        <v>0</v>
      </c>
      <c r="BJ693" s="303">
        <f t="shared" si="1802"/>
        <v>0</v>
      </c>
      <c r="BK693" s="304"/>
      <c r="BL693" s="627">
        <v>0</v>
      </c>
      <c r="BM693" s="627">
        <v>0</v>
      </c>
      <c r="BN693" s="303">
        <f t="shared" si="1803"/>
        <v>0</v>
      </c>
      <c r="BO693" s="304"/>
      <c r="BP693" s="627">
        <v>0</v>
      </c>
      <c r="BQ693" s="627">
        <v>0</v>
      </c>
      <c r="BR693" s="303">
        <f t="shared" si="1804"/>
        <v>0</v>
      </c>
      <c r="BS693" s="304"/>
      <c r="BT693" s="627">
        <v>0</v>
      </c>
      <c r="BU693" s="627">
        <v>0</v>
      </c>
      <c r="BV693" s="303">
        <f t="shared" si="1805"/>
        <v>0</v>
      </c>
      <c r="BW693" s="304"/>
      <c r="BX693" s="627">
        <v>0</v>
      </c>
      <c r="BY693" s="627">
        <v>0</v>
      </c>
      <c r="BZ693" s="303">
        <f t="shared" si="1806"/>
        <v>0</v>
      </c>
      <c r="CA693" s="304"/>
      <c r="CB693" s="929"/>
      <c r="CC693" s="929"/>
      <c r="CD693" s="303"/>
      <c r="CE693" s="304"/>
      <c r="CF693" s="929"/>
      <c r="CG693" s="929"/>
      <c r="CH693" s="303"/>
      <c r="CI693" s="304"/>
      <c r="CJ693" s="929"/>
      <c r="CK693" s="929"/>
      <c r="CL693" s="303"/>
      <c r="CM693" s="304"/>
      <c r="CN693" s="929"/>
      <c r="CO693" s="929"/>
      <c r="CP693" s="303"/>
      <c r="CQ693" s="304"/>
      <c r="CR693" s="929"/>
      <c r="CS693" s="929"/>
      <c r="CT693" s="303"/>
      <c r="CU693" s="304"/>
      <c r="CV693" s="929"/>
      <c r="CW693" s="929"/>
      <c r="CX693" s="303"/>
      <c r="CY693" s="304"/>
      <c r="CZ693" s="929"/>
      <c r="DA693" s="929"/>
      <c r="DB693" s="303"/>
      <c r="DC693" s="304"/>
      <c r="DD693" s="929"/>
      <c r="DE693" s="929"/>
      <c r="DF693" s="303"/>
      <c r="DG693" s="304"/>
      <c r="DH693" s="929"/>
      <c r="DI693" s="929"/>
      <c r="DJ693" s="303"/>
      <c r="DK693" s="304"/>
      <c r="DL693" s="929"/>
      <c r="DM693" s="929"/>
      <c r="DN693" s="303"/>
      <c r="DO693" s="304"/>
      <c r="DP693" s="929"/>
      <c r="DQ693" s="929"/>
      <c r="DR693" s="303"/>
      <c r="DS693" s="304"/>
      <c r="DT693" s="304"/>
      <c r="DU693" s="304"/>
      <c r="DV693" s="304"/>
      <c r="DW693" s="929"/>
      <c r="DX693" s="929"/>
      <c r="DY693" s="929"/>
      <c r="DZ693" s="304"/>
      <c r="EA693" s="929"/>
      <c r="EB693" s="929"/>
      <c r="EC693" s="303"/>
      <c r="ED693" s="304"/>
      <c r="EE693" s="929"/>
      <c r="EF693" s="929"/>
      <c r="EG693" s="303"/>
      <c r="EH693" s="304"/>
      <c r="EI693" s="304"/>
      <c r="EJ693" s="304"/>
      <c r="EK693" s="304"/>
      <c r="EL693" s="304"/>
      <c r="EM693" s="304"/>
      <c r="EN693" s="304"/>
      <c r="EO693" s="304"/>
      <c r="EP693" s="304"/>
      <c r="EQ693" s="304"/>
      <c r="ER693" s="304"/>
      <c r="ES693" s="304"/>
      <c r="ET693" s="304"/>
      <c r="EU693" s="304"/>
      <c r="JW693"/>
    </row>
    <row r="694" spans="1:283" s="302" customFormat="1" hidden="1" outlineLevel="1">
      <c r="A694" s="302" t="s">
        <v>660</v>
      </c>
      <c r="AN694" s="304"/>
      <c r="AO694" s="304"/>
      <c r="AP694" s="1219"/>
      <c r="AQ694" s="304"/>
      <c r="AR694" s="634"/>
      <c r="AS694" s="634"/>
      <c r="AT694" s="1219">
        <v>-40</v>
      </c>
      <c r="AU694" s="304"/>
      <c r="AV694" s="634">
        <v>0</v>
      </c>
      <c r="AW694" s="634">
        <v>-3</v>
      </c>
      <c r="AX694" s="303">
        <f t="shared" si="1799"/>
        <v>-3</v>
      </c>
      <c r="AY694" s="304"/>
      <c r="AZ694" s="634">
        <v>0</v>
      </c>
      <c r="BA694" s="634">
        <v>0</v>
      </c>
      <c r="BB694" s="303">
        <f t="shared" si="1800"/>
        <v>0</v>
      </c>
      <c r="BC694" s="304"/>
      <c r="BD694" s="627">
        <v>0</v>
      </c>
      <c r="BE694" s="627">
        <v>0</v>
      </c>
      <c r="BF694" s="303">
        <f t="shared" si="1801"/>
        <v>0</v>
      </c>
      <c r="BG694" s="304"/>
      <c r="BH694" s="627">
        <v>0</v>
      </c>
      <c r="BI694" s="627">
        <v>0</v>
      </c>
      <c r="BJ694" s="303">
        <f t="shared" si="1802"/>
        <v>0</v>
      </c>
      <c r="BK694" s="304"/>
      <c r="BL694" s="627">
        <v>0</v>
      </c>
      <c r="BM694" s="627">
        <v>0</v>
      </c>
      <c r="BN694" s="303">
        <f t="shared" si="1803"/>
        <v>0</v>
      </c>
      <c r="BO694" s="304"/>
      <c r="BP694" s="627">
        <v>0</v>
      </c>
      <c r="BQ694" s="627">
        <v>0</v>
      </c>
      <c r="BR694" s="303">
        <f t="shared" si="1804"/>
        <v>0</v>
      </c>
      <c r="BS694" s="304"/>
      <c r="BT694" s="627">
        <v>0</v>
      </c>
      <c r="BU694" s="627">
        <v>0</v>
      </c>
      <c r="BV694" s="303">
        <f t="shared" si="1805"/>
        <v>0</v>
      </c>
      <c r="BW694" s="304"/>
      <c r="BX694" s="627">
        <v>0</v>
      </c>
      <c r="BY694" s="627">
        <v>0</v>
      </c>
      <c r="BZ694" s="303">
        <f t="shared" si="1806"/>
        <v>0</v>
      </c>
      <c r="CA694" s="304"/>
      <c r="CB694" s="929"/>
      <c r="CC694" s="929"/>
      <c r="CD694" s="303"/>
      <c r="CE694" s="304"/>
      <c r="CF694" s="929"/>
      <c r="CG694" s="929"/>
      <c r="CH694" s="303"/>
      <c r="CI694" s="304"/>
      <c r="CJ694" s="929"/>
      <c r="CK694" s="929"/>
      <c r="CL694" s="303"/>
      <c r="CM694" s="304"/>
      <c r="CN694" s="929"/>
      <c r="CO694" s="929"/>
      <c r="CP694" s="303"/>
      <c r="CQ694" s="304"/>
      <c r="CR694" s="929"/>
      <c r="CS694" s="929"/>
      <c r="CT694" s="303"/>
      <c r="CU694" s="304"/>
      <c r="CV694" s="929"/>
      <c r="CW694" s="929"/>
      <c r="CX694" s="303"/>
      <c r="CY694" s="304"/>
      <c r="CZ694" s="929"/>
      <c r="DA694" s="929"/>
      <c r="DB694" s="303"/>
      <c r="DC694" s="304"/>
      <c r="DD694" s="929"/>
      <c r="DE694" s="929"/>
      <c r="DF694" s="303"/>
      <c r="DG694" s="304"/>
      <c r="DH694" s="929"/>
      <c r="DI694" s="929"/>
      <c r="DJ694" s="303"/>
      <c r="DK694" s="304"/>
      <c r="DL694" s="929"/>
      <c r="DM694" s="929"/>
      <c r="DN694" s="303"/>
      <c r="DO694" s="304"/>
      <c r="DP694" s="929"/>
      <c r="DQ694" s="929"/>
      <c r="DR694" s="303"/>
      <c r="DS694" s="304"/>
      <c r="DT694" s="304"/>
      <c r="DU694" s="304"/>
      <c r="DV694" s="304"/>
      <c r="DW694" s="929"/>
      <c r="DX694" s="929"/>
      <c r="DY694" s="929"/>
      <c r="DZ694" s="304"/>
      <c r="EA694" s="929"/>
      <c r="EB694" s="929"/>
      <c r="EC694" s="303"/>
      <c r="ED694" s="304"/>
      <c r="EE694" s="929"/>
      <c r="EF694" s="929"/>
      <c r="EG694" s="303"/>
      <c r="EH694" s="304"/>
      <c r="EI694" s="304"/>
      <c r="EJ694" s="304"/>
      <c r="EK694" s="304"/>
      <c r="EL694" s="304"/>
      <c r="EM694" s="304"/>
      <c r="EN694" s="304"/>
      <c r="EO694" s="304"/>
      <c r="EP694" s="304"/>
      <c r="EQ694" s="304"/>
      <c r="ER694" s="304"/>
      <c r="ES694" s="304"/>
      <c r="ET694" s="304"/>
      <c r="EU694" s="304"/>
      <c r="JW694"/>
    </row>
    <row r="695" spans="1:283" s="302" customFormat="1" hidden="1" outlineLevel="1">
      <c r="A695" s="302" t="s">
        <v>661</v>
      </c>
      <c r="AN695" s="304"/>
      <c r="AO695" s="304"/>
      <c r="AP695" s="1219"/>
      <c r="AQ695" s="304"/>
      <c r="AR695" s="634"/>
      <c r="AS695" s="634"/>
      <c r="AT695" s="1219">
        <v>0</v>
      </c>
      <c r="AU695" s="304"/>
      <c r="AV695" s="634">
        <v>0</v>
      </c>
      <c r="AW695" s="634">
        <v>0</v>
      </c>
      <c r="AX695" s="303">
        <f t="shared" si="1799"/>
        <v>0</v>
      </c>
      <c r="AY695" s="304"/>
      <c r="AZ695" s="634">
        <v>0</v>
      </c>
      <c r="BA695" s="634">
        <v>0</v>
      </c>
      <c r="BB695" s="303">
        <f t="shared" si="1800"/>
        <v>0</v>
      </c>
      <c r="BC695" s="304"/>
      <c r="BD695" s="627">
        <v>0</v>
      </c>
      <c r="BE695" s="627">
        <v>0</v>
      </c>
      <c r="BF695" s="303">
        <f t="shared" si="1801"/>
        <v>0</v>
      </c>
      <c r="BG695" s="304"/>
      <c r="BH695" s="627">
        <v>0</v>
      </c>
      <c r="BI695" s="627">
        <v>0</v>
      </c>
      <c r="BJ695" s="303">
        <f t="shared" si="1802"/>
        <v>0</v>
      </c>
      <c r="BK695" s="304"/>
      <c r="BL695" s="627">
        <v>0</v>
      </c>
      <c r="BM695" s="627">
        <v>0</v>
      </c>
      <c r="BN695" s="303">
        <f t="shared" si="1803"/>
        <v>0</v>
      </c>
      <c r="BO695" s="304"/>
      <c r="BP695" s="627">
        <v>0</v>
      </c>
      <c r="BQ695" s="627">
        <v>0</v>
      </c>
      <c r="BR695" s="303">
        <f t="shared" si="1804"/>
        <v>0</v>
      </c>
      <c r="BS695" s="304"/>
      <c r="BT695" s="627">
        <v>0</v>
      </c>
      <c r="BU695" s="627">
        <v>0</v>
      </c>
      <c r="BV695" s="303">
        <f t="shared" si="1805"/>
        <v>0</v>
      </c>
      <c r="BW695" s="304"/>
      <c r="BX695" s="627">
        <v>0</v>
      </c>
      <c r="BY695" s="627">
        <v>0</v>
      </c>
      <c r="BZ695" s="303">
        <f t="shared" si="1806"/>
        <v>0</v>
      </c>
      <c r="CA695" s="304"/>
      <c r="CB695" s="929"/>
      <c r="CC695" s="929"/>
      <c r="CD695" s="303"/>
      <c r="CE695" s="304"/>
      <c r="CF695" s="929"/>
      <c r="CG695" s="929"/>
      <c r="CH695" s="303"/>
      <c r="CI695" s="304"/>
      <c r="CJ695" s="929"/>
      <c r="CK695" s="929"/>
      <c r="CL695" s="303"/>
      <c r="CM695" s="304"/>
      <c r="CN695" s="929"/>
      <c r="CO695" s="929"/>
      <c r="CP695" s="303"/>
      <c r="CQ695" s="304"/>
      <c r="CR695" s="929"/>
      <c r="CS695" s="929"/>
      <c r="CT695" s="303"/>
      <c r="CU695" s="304"/>
      <c r="CV695" s="929"/>
      <c r="CW695" s="929"/>
      <c r="CX695" s="303"/>
      <c r="CY695" s="304"/>
      <c r="CZ695" s="929"/>
      <c r="DA695" s="929"/>
      <c r="DB695" s="303"/>
      <c r="DC695" s="304"/>
      <c r="DD695" s="929"/>
      <c r="DE695" s="929"/>
      <c r="DF695" s="303"/>
      <c r="DG695" s="304"/>
      <c r="DH695" s="929"/>
      <c r="DI695" s="929"/>
      <c r="DJ695" s="303"/>
      <c r="DK695" s="304"/>
      <c r="DL695" s="929"/>
      <c r="DM695" s="929"/>
      <c r="DN695" s="303"/>
      <c r="DO695" s="304"/>
      <c r="DP695" s="929"/>
      <c r="DQ695" s="929"/>
      <c r="DR695" s="303"/>
      <c r="DS695" s="304"/>
      <c r="DT695" s="304"/>
      <c r="DU695" s="304"/>
      <c r="DV695" s="304"/>
      <c r="DW695" s="929"/>
      <c r="DX695" s="929"/>
      <c r="DY695" s="929"/>
      <c r="DZ695" s="304"/>
      <c r="EA695" s="929"/>
      <c r="EB695" s="929"/>
      <c r="EC695" s="303"/>
      <c r="ED695" s="304"/>
      <c r="EE695" s="929"/>
      <c r="EF695" s="929"/>
      <c r="EG695" s="303"/>
      <c r="EH695" s="304"/>
      <c r="EI695" s="304"/>
      <c r="EJ695" s="304"/>
      <c r="EK695" s="304"/>
      <c r="EL695" s="304"/>
      <c r="EM695" s="304"/>
      <c r="EN695" s="304"/>
      <c r="EO695" s="304"/>
      <c r="EP695" s="304"/>
      <c r="EQ695" s="304"/>
      <c r="ER695" s="304"/>
      <c r="ES695" s="304"/>
      <c r="ET695" s="304"/>
      <c r="EU695" s="304"/>
      <c r="JW695"/>
    </row>
    <row r="696" spans="1:283" s="302" customFormat="1" hidden="1" outlineLevel="1">
      <c r="A696" s="302" t="s">
        <v>662</v>
      </c>
      <c r="AN696" s="304"/>
      <c r="AO696" s="304"/>
      <c r="AP696" s="1219"/>
      <c r="AQ696" s="304"/>
      <c r="AR696" s="634"/>
      <c r="AS696" s="634"/>
      <c r="AT696" s="1219">
        <v>0</v>
      </c>
      <c r="AU696" s="304"/>
      <c r="AV696" s="634">
        <v>0</v>
      </c>
      <c r="AW696" s="634">
        <v>0</v>
      </c>
      <c r="AX696" s="303">
        <f t="shared" si="1799"/>
        <v>0</v>
      </c>
      <c r="AY696" s="304"/>
      <c r="AZ696" s="634">
        <v>0</v>
      </c>
      <c r="BA696" s="634">
        <v>0</v>
      </c>
      <c r="BB696" s="303">
        <f t="shared" si="1800"/>
        <v>0</v>
      </c>
      <c r="BC696" s="304"/>
      <c r="BD696" s="627">
        <v>0</v>
      </c>
      <c r="BE696" s="627">
        <v>0</v>
      </c>
      <c r="BF696" s="303">
        <f t="shared" si="1801"/>
        <v>0</v>
      </c>
      <c r="BG696" s="304"/>
      <c r="BH696" s="627">
        <v>0</v>
      </c>
      <c r="BI696" s="627">
        <v>0</v>
      </c>
      <c r="BJ696" s="303">
        <f t="shared" si="1802"/>
        <v>0</v>
      </c>
      <c r="BK696" s="304"/>
      <c r="BL696" s="627">
        <v>0</v>
      </c>
      <c r="BM696" s="627">
        <v>0</v>
      </c>
      <c r="BN696" s="303">
        <f t="shared" si="1803"/>
        <v>0</v>
      </c>
      <c r="BO696" s="304"/>
      <c r="BP696" s="627">
        <v>0</v>
      </c>
      <c r="BQ696" s="627">
        <v>0</v>
      </c>
      <c r="BR696" s="303">
        <f t="shared" si="1804"/>
        <v>0</v>
      </c>
      <c r="BS696" s="304"/>
      <c r="BT696" s="627">
        <v>0</v>
      </c>
      <c r="BU696" s="627">
        <v>0</v>
      </c>
      <c r="BV696" s="303">
        <f t="shared" si="1805"/>
        <v>0</v>
      </c>
      <c r="BW696" s="304"/>
      <c r="BX696" s="627">
        <v>0</v>
      </c>
      <c r="BY696" s="627">
        <v>0</v>
      </c>
      <c r="BZ696" s="303">
        <f t="shared" si="1806"/>
        <v>0</v>
      </c>
      <c r="CA696" s="304"/>
      <c r="CB696" s="929"/>
      <c r="CC696" s="929"/>
      <c r="CD696" s="303"/>
      <c r="CE696" s="304"/>
      <c r="CF696" s="929"/>
      <c r="CG696" s="929"/>
      <c r="CH696" s="303"/>
      <c r="CI696" s="304"/>
      <c r="CJ696" s="929"/>
      <c r="CK696" s="929"/>
      <c r="CL696" s="303"/>
      <c r="CM696" s="304"/>
      <c r="CN696" s="929"/>
      <c r="CO696" s="929"/>
      <c r="CP696" s="303"/>
      <c r="CQ696" s="304"/>
      <c r="CR696" s="929"/>
      <c r="CS696" s="929"/>
      <c r="CT696" s="303"/>
      <c r="CU696" s="304"/>
      <c r="CV696" s="929"/>
      <c r="CW696" s="929"/>
      <c r="CX696" s="303"/>
      <c r="CY696" s="304"/>
      <c r="CZ696" s="929"/>
      <c r="DA696" s="929"/>
      <c r="DB696" s="303"/>
      <c r="DC696" s="304"/>
      <c r="DD696" s="929"/>
      <c r="DE696" s="929"/>
      <c r="DF696" s="303"/>
      <c r="DG696" s="304"/>
      <c r="DH696" s="929"/>
      <c r="DI696" s="929"/>
      <c r="DJ696" s="303"/>
      <c r="DK696" s="304"/>
      <c r="DL696" s="929"/>
      <c r="DM696" s="929"/>
      <c r="DN696" s="303"/>
      <c r="DO696" s="304"/>
      <c r="DP696" s="929"/>
      <c r="DQ696" s="929"/>
      <c r="DR696" s="303"/>
      <c r="DS696" s="304"/>
      <c r="DT696" s="304"/>
      <c r="DU696" s="304"/>
      <c r="DV696" s="304"/>
      <c r="DW696" s="929"/>
      <c r="DX696" s="929"/>
      <c r="DY696" s="929"/>
      <c r="DZ696" s="304"/>
      <c r="EA696" s="929"/>
      <c r="EB696" s="929"/>
      <c r="EC696" s="303"/>
      <c r="ED696" s="304"/>
      <c r="EE696" s="929"/>
      <c r="EF696" s="929"/>
      <c r="EG696" s="303"/>
      <c r="EH696" s="304"/>
      <c r="EI696" s="304"/>
      <c r="EJ696" s="304"/>
      <c r="EK696" s="304"/>
      <c r="EL696" s="304"/>
      <c r="EM696" s="304"/>
      <c r="EN696" s="304"/>
      <c r="EO696" s="304"/>
      <c r="EP696" s="304"/>
      <c r="EQ696" s="304"/>
      <c r="ER696" s="304"/>
      <c r="ES696" s="304"/>
      <c r="ET696" s="304"/>
      <c r="EU696" s="304"/>
      <c r="JW696"/>
    </row>
    <row r="697" spans="1:283" s="302" customFormat="1" hidden="1" outlineLevel="1">
      <c r="A697" s="302" t="s">
        <v>658</v>
      </c>
      <c r="AN697" s="304"/>
      <c r="AO697" s="304"/>
      <c r="AP697" s="1219"/>
      <c r="AQ697" s="304"/>
      <c r="AR697" s="634"/>
      <c r="AS697" s="634"/>
      <c r="AT697" s="1219">
        <v>0</v>
      </c>
      <c r="AU697" s="304"/>
      <c r="AV697" s="634">
        <v>0</v>
      </c>
      <c r="AW697" s="634">
        <v>0</v>
      </c>
      <c r="AX697" s="303">
        <f t="shared" si="1799"/>
        <v>0</v>
      </c>
      <c r="AY697" s="304"/>
      <c r="AZ697" s="634">
        <v>0</v>
      </c>
      <c r="BA697" s="634">
        <v>0</v>
      </c>
      <c r="BB697" s="303">
        <f t="shared" si="1800"/>
        <v>0</v>
      </c>
      <c r="BC697" s="304"/>
      <c r="BD697" s="627">
        <v>0</v>
      </c>
      <c r="BE697" s="627">
        <v>0</v>
      </c>
      <c r="BF697" s="303">
        <f t="shared" si="1801"/>
        <v>0</v>
      </c>
      <c r="BG697" s="304"/>
      <c r="BH697" s="627">
        <v>0</v>
      </c>
      <c r="BI697" s="627">
        <v>0</v>
      </c>
      <c r="BJ697" s="303">
        <f t="shared" si="1802"/>
        <v>0</v>
      </c>
      <c r="BK697" s="304"/>
      <c r="BL697" s="627">
        <v>0</v>
      </c>
      <c r="BM697" s="627">
        <v>0</v>
      </c>
      <c r="BN697" s="303">
        <f t="shared" si="1803"/>
        <v>0</v>
      </c>
      <c r="BO697" s="304"/>
      <c r="BP697" s="627">
        <v>0</v>
      </c>
      <c r="BQ697" s="627">
        <v>0</v>
      </c>
      <c r="BR697" s="303">
        <f t="shared" si="1804"/>
        <v>0</v>
      </c>
      <c r="BS697" s="304"/>
      <c r="BT697" s="627">
        <v>0</v>
      </c>
      <c r="BU697" s="627">
        <v>0</v>
      </c>
      <c r="BV697" s="303">
        <f t="shared" si="1805"/>
        <v>0</v>
      </c>
      <c r="BW697" s="304"/>
      <c r="BX697" s="627">
        <v>0</v>
      </c>
      <c r="BY697" s="627">
        <v>0</v>
      </c>
      <c r="BZ697" s="303">
        <f t="shared" si="1806"/>
        <v>0</v>
      </c>
      <c r="CA697" s="304"/>
      <c r="CB697" s="929"/>
      <c r="CC697" s="929"/>
      <c r="CD697" s="303"/>
      <c r="CE697" s="304"/>
      <c r="CF697" s="929"/>
      <c r="CG697" s="929"/>
      <c r="CH697" s="303"/>
      <c r="CI697" s="304"/>
      <c r="CJ697" s="929"/>
      <c r="CK697" s="929"/>
      <c r="CL697" s="303"/>
      <c r="CM697" s="304"/>
      <c r="CN697" s="929"/>
      <c r="CO697" s="929"/>
      <c r="CP697" s="303"/>
      <c r="CQ697" s="304"/>
      <c r="CR697" s="929"/>
      <c r="CS697" s="929"/>
      <c r="CT697" s="303"/>
      <c r="CU697" s="304"/>
      <c r="CV697" s="929"/>
      <c r="CW697" s="929"/>
      <c r="CX697" s="303"/>
      <c r="CY697" s="304"/>
      <c r="CZ697" s="929"/>
      <c r="DA697" s="929"/>
      <c r="DB697" s="303"/>
      <c r="DC697" s="304"/>
      <c r="DD697" s="929"/>
      <c r="DE697" s="929"/>
      <c r="DF697" s="303"/>
      <c r="DG697" s="304"/>
      <c r="DH697" s="929"/>
      <c r="DI697" s="929"/>
      <c r="DJ697" s="303"/>
      <c r="DK697" s="304"/>
      <c r="DL697" s="929"/>
      <c r="DM697" s="929"/>
      <c r="DN697" s="303"/>
      <c r="DO697" s="304"/>
      <c r="DP697" s="929"/>
      <c r="DQ697" s="929"/>
      <c r="DR697" s="303"/>
      <c r="DS697" s="304"/>
      <c r="DT697" s="304"/>
      <c r="DU697" s="304"/>
      <c r="DV697" s="304"/>
      <c r="DW697" s="929"/>
      <c r="DX697" s="929"/>
      <c r="DY697" s="929"/>
      <c r="DZ697" s="304"/>
      <c r="EA697" s="929"/>
      <c r="EB697" s="929"/>
      <c r="EC697" s="303"/>
      <c r="ED697" s="304"/>
      <c r="EE697" s="929"/>
      <c r="EF697" s="929"/>
      <c r="EG697" s="303"/>
      <c r="EH697" s="304"/>
      <c r="EI697" s="304"/>
      <c r="EJ697" s="304"/>
      <c r="EK697" s="304"/>
      <c r="EL697" s="304"/>
      <c r="EM697" s="304"/>
      <c r="EN697" s="304"/>
      <c r="EO697" s="304"/>
      <c r="EP697" s="304"/>
      <c r="EQ697" s="304"/>
      <c r="ER697" s="304"/>
      <c r="ES697" s="304"/>
      <c r="ET697" s="304"/>
      <c r="EU697" s="304"/>
      <c r="JW697"/>
    </row>
    <row r="698" spans="1:283" s="302" customFormat="1" hidden="1" outlineLevel="1">
      <c r="A698" s="302" t="s">
        <v>887</v>
      </c>
      <c r="AN698" s="304"/>
      <c r="AO698" s="304"/>
      <c r="AP698" s="1219"/>
      <c r="AQ698" s="304"/>
      <c r="AR698" s="634"/>
      <c r="AS698" s="634"/>
      <c r="AT698" s="1219">
        <v>0</v>
      </c>
      <c r="AU698" s="304"/>
      <c r="AV698" s="634">
        <v>0</v>
      </c>
      <c r="AW698" s="634">
        <v>0</v>
      </c>
      <c r="AX698" s="303">
        <f t="shared" si="1799"/>
        <v>0</v>
      </c>
      <c r="AY698" s="304"/>
      <c r="AZ698" s="634">
        <v>0</v>
      </c>
      <c r="BA698" s="634">
        <v>0</v>
      </c>
      <c r="BB698" s="303">
        <f t="shared" si="1800"/>
        <v>0</v>
      </c>
      <c r="BC698" s="304"/>
      <c r="BD698" s="627">
        <v>0</v>
      </c>
      <c r="BE698" s="973">
        <v>0</v>
      </c>
      <c r="BF698" s="303">
        <f t="shared" si="1801"/>
        <v>0</v>
      </c>
      <c r="BG698" s="304"/>
      <c r="BH698" s="627">
        <v>0</v>
      </c>
      <c r="BI698" s="973">
        <v>0</v>
      </c>
      <c r="BJ698" s="303">
        <f t="shared" si="1802"/>
        <v>0</v>
      </c>
      <c r="BK698" s="304"/>
      <c r="BL698" s="627">
        <v>0</v>
      </c>
      <c r="BM698" s="973">
        <v>0</v>
      </c>
      <c r="BN698" s="303">
        <f t="shared" si="1803"/>
        <v>0</v>
      </c>
      <c r="BO698" s="304"/>
      <c r="BP698" s="627">
        <v>0</v>
      </c>
      <c r="BQ698" s="973">
        <v>0</v>
      </c>
      <c r="BR698" s="303">
        <f t="shared" si="1804"/>
        <v>0</v>
      </c>
      <c r="BS698" s="304"/>
      <c r="BT698" s="627">
        <v>0</v>
      </c>
      <c r="BU698" s="973">
        <v>0</v>
      </c>
      <c r="BV698" s="303">
        <f t="shared" si="1805"/>
        <v>0</v>
      </c>
      <c r="BW698" s="304"/>
      <c r="BX698" s="627">
        <v>0</v>
      </c>
      <c r="BY698" s="627">
        <v>0</v>
      </c>
      <c r="BZ698" s="303">
        <f t="shared" si="1806"/>
        <v>0</v>
      </c>
      <c r="CA698" s="304"/>
      <c r="CB698" s="929"/>
      <c r="CC698" s="929"/>
      <c r="CD698" s="303"/>
      <c r="CE698" s="304"/>
      <c r="CF698" s="929"/>
      <c r="CG698" s="929"/>
      <c r="CH698" s="303"/>
      <c r="CI698" s="304"/>
      <c r="CJ698" s="929"/>
      <c r="CK698" s="929"/>
      <c r="CL698" s="303"/>
      <c r="CM698" s="304"/>
      <c r="CN698" s="929"/>
      <c r="CO698" s="929"/>
      <c r="CP698" s="303"/>
      <c r="CQ698" s="304"/>
      <c r="CR698" s="929"/>
      <c r="CS698" s="929"/>
      <c r="CT698" s="303"/>
      <c r="CU698" s="304"/>
      <c r="CV698" s="929"/>
      <c r="CW698" s="929"/>
      <c r="CX698" s="303"/>
      <c r="CY698" s="304"/>
      <c r="CZ698" s="929"/>
      <c r="DA698" s="929"/>
      <c r="DB698" s="303"/>
      <c r="DC698" s="304"/>
      <c r="DD698" s="929"/>
      <c r="DE698" s="929"/>
      <c r="DF698" s="303"/>
      <c r="DG698" s="304"/>
      <c r="DH698" s="929"/>
      <c r="DI698" s="929"/>
      <c r="DJ698" s="303"/>
      <c r="DK698" s="304"/>
      <c r="DL698" s="929"/>
      <c r="DM698" s="929"/>
      <c r="DN698" s="303"/>
      <c r="DO698" s="304"/>
      <c r="DP698" s="929"/>
      <c r="DQ698" s="929"/>
      <c r="DR698" s="303"/>
      <c r="DS698" s="304"/>
      <c r="DT698" s="304"/>
      <c r="DU698" s="304"/>
      <c r="DV698" s="304"/>
      <c r="DW698" s="929"/>
      <c r="DX698" s="929"/>
      <c r="DY698" s="929"/>
      <c r="DZ698" s="304"/>
      <c r="EA698" s="929"/>
      <c r="EB698" s="929"/>
      <c r="EC698" s="303"/>
      <c r="ED698" s="304"/>
      <c r="EE698" s="929"/>
      <c r="EF698" s="929"/>
      <c r="EG698" s="303"/>
      <c r="EH698" s="304"/>
      <c r="EI698" s="304"/>
      <c r="EJ698" s="304"/>
      <c r="EK698" s="304"/>
      <c r="EL698" s="304"/>
      <c r="EM698" s="304"/>
      <c r="EN698" s="304"/>
      <c r="EO698" s="304"/>
      <c r="EP698" s="304"/>
      <c r="EQ698" s="304"/>
      <c r="ER698" s="304"/>
      <c r="ES698" s="304"/>
      <c r="ET698" s="304"/>
      <c r="EU698" s="304"/>
      <c r="JW698"/>
    </row>
    <row r="699" spans="1:283" s="302" customFormat="1" hidden="1" outlineLevel="1">
      <c r="A699" s="302" t="s">
        <v>667</v>
      </c>
      <c r="AN699" s="304"/>
      <c r="AO699" s="304"/>
      <c r="AP699" s="1219"/>
      <c r="AQ699" s="304"/>
      <c r="AR699" s="634"/>
      <c r="AS699" s="634"/>
      <c r="AT699" s="1219">
        <v>0</v>
      </c>
      <c r="AU699" s="304"/>
      <c r="AV699" s="634">
        <v>0</v>
      </c>
      <c r="AW699" s="634">
        <v>0</v>
      </c>
      <c r="AX699" s="303">
        <f t="shared" si="1799"/>
        <v>0</v>
      </c>
      <c r="AY699" s="304"/>
      <c r="AZ699" s="634">
        <v>0</v>
      </c>
      <c r="BA699" s="634">
        <v>0</v>
      </c>
      <c r="BB699" s="303">
        <f t="shared" si="1800"/>
        <v>0</v>
      </c>
      <c r="BC699" s="304"/>
      <c r="BD699" s="627">
        <v>0</v>
      </c>
      <c r="BE699" s="627">
        <v>0</v>
      </c>
      <c r="BF699" s="303">
        <f t="shared" si="1801"/>
        <v>0</v>
      </c>
      <c r="BG699" s="304"/>
      <c r="BH699" s="627">
        <v>0</v>
      </c>
      <c r="BI699" s="627">
        <v>0</v>
      </c>
      <c r="BJ699" s="303">
        <f t="shared" si="1802"/>
        <v>0</v>
      </c>
      <c r="BK699" s="304"/>
      <c r="BL699" s="627">
        <v>0</v>
      </c>
      <c r="BM699" s="627">
        <v>0</v>
      </c>
      <c r="BN699" s="303">
        <f t="shared" si="1803"/>
        <v>0</v>
      </c>
      <c r="BO699" s="304"/>
      <c r="BP699" s="627">
        <v>0</v>
      </c>
      <c r="BQ699" s="627">
        <v>0</v>
      </c>
      <c r="BR699" s="303">
        <f t="shared" si="1804"/>
        <v>0</v>
      </c>
      <c r="BS699" s="304"/>
      <c r="BT699" s="627">
        <v>0</v>
      </c>
      <c r="BU699" s="627">
        <v>0</v>
      </c>
      <c r="BV699" s="303">
        <f t="shared" si="1805"/>
        <v>0</v>
      </c>
      <c r="BW699" s="304"/>
      <c r="BX699" s="627">
        <v>0</v>
      </c>
      <c r="BY699" s="627">
        <v>0</v>
      </c>
      <c r="BZ699" s="303">
        <f t="shared" si="1806"/>
        <v>0</v>
      </c>
      <c r="CA699" s="304"/>
      <c r="CB699" s="929"/>
      <c r="CC699" s="929"/>
      <c r="CD699" s="303"/>
      <c r="CE699" s="304"/>
      <c r="CF699" s="929"/>
      <c r="CG699" s="929"/>
      <c r="CH699" s="303"/>
      <c r="CI699" s="304"/>
      <c r="CJ699" s="929"/>
      <c r="CK699" s="929"/>
      <c r="CL699" s="303"/>
      <c r="CM699" s="304"/>
      <c r="CN699" s="929"/>
      <c r="CO699" s="929"/>
      <c r="CP699" s="303"/>
      <c r="CQ699" s="304"/>
      <c r="CR699" s="929"/>
      <c r="CS699" s="929"/>
      <c r="CT699" s="303"/>
      <c r="CU699" s="304"/>
      <c r="CV699" s="929"/>
      <c r="CW699" s="929"/>
      <c r="CX699" s="303"/>
      <c r="CY699" s="304"/>
      <c r="CZ699" s="929"/>
      <c r="DA699" s="929"/>
      <c r="DB699" s="303"/>
      <c r="DC699" s="304"/>
      <c r="DD699" s="929"/>
      <c r="DE699" s="929"/>
      <c r="DF699" s="303"/>
      <c r="DG699" s="304"/>
      <c r="DH699" s="929"/>
      <c r="DI699" s="929"/>
      <c r="DJ699" s="303"/>
      <c r="DK699" s="304"/>
      <c r="DL699" s="929"/>
      <c r="DM699" s="929"/>
      <c r="DN699" s="303"/>
      <c r="DO699" s="304"/>
      <c r="DP699" s="929"/>
      <c r="DQ699" s="929"/>
      <c r="DR699" s="303"/>
      <c r="DS699" s="304"/>
      <c r="DT699" s="304"/>
      <c r="DU699" s="304"/>
      <c r="DV699" s="304"/>
      <c r="DW699" s="929"/>
      <c r="DX699" s="929"/>
      <c r="DY699" s="929"/>
      <c r="DZ699" s="304"/>
      <c r="EA699" s="929"/>
      <c r="EB699" s="929"/>
      <c r="EC699" s="303"/>
      <c r="ED699" s="304"/>
      <c r="EE699" s="929"/>
      <c r="EF699" s="929"/>
      <c r="EG699" s="303"/>
      <c r="EH699" s="304"/>
      <c r="EI699" s="304"/>
      <c r="EJ699" s="304"/>
      <c r="EK699" s="304"/>
      <c r="EL699" s="304"/>
      <c r="EM699" s="304"/>
      <c r="EN699" s="304"/>
      <c r="EO699" s="304"/>
      <c r="EP699" s="304"/>
      <c r="EQ699" s="304"/>
      <c r="ER699" s="304"/>
      <c r="ES699" s="304"/>
      <c r="ET699" s="304"/>
      <c r="EU699" s="304"/>
      <c r="JW699"/>
    </row>
    <row r="700" spans="1:283" s="302" customFormat="1" hidden="1" outlineLevel="1">
      <c r="A700" s="302" t="s">
        <v>675</v>
      </c>
      <c r="AN700" s="304"/>
      <c r="AO700" s="304"/>
      <c r="AP700" s="1219"/>
      <c r="AQ700" s="304"/>
      <c r="AR700" s="634"/>
      <c r="AS700" s="634"/>
      <c r="AT700" s="1219">
        <v>0</v>
      </c>
      <c r="AU700" s="304"/>
      <c r="AV700" s="634">
        <v>0</v>
      </c>
      <c r="AW700" s="634">
        <v>0</v>
      </c>
      <c r="AX700" s="303">
        <f t="shared" si="1799"/>
        <v>0</v>
      </c>
      <c r="AY700" s="304"/>
      <c r="AZ700" s="634">
        <v>0</v>
      </c>
      <c r="BA700" s="634">
        <v>0</v>
      </c>
      <c r="BB700" s="303">
        <f t="shared" si="1800"/>
        <v>0</v>
      </c>
      <c r="BC700" s="304"/>
      <c r="BD700" s="627">
        <v>0</v>
      </c>
      <c r="BE700" s="627">
        <v>0</v>
      </c>
      <c r="BF700" s="303">
        <f t="shared" si="1801"/>
        <v>0</v>
      </c>
      <c r="BG700" s="304"/>
      <c r="BH700" s="627">
        <v>0</v>
      </c>
      <c r="BI700" s="627">
        <v>0</v>
      </c>
      <c r="BJ700" s="303">
        <f t="shared" si="1802"/>
        <v>0</v>
      </c>
      <c r="BK700" s="304"/>
      <c r="BL700" s="627">
        <v>0</v>
      </c>
      <c r="BM700" s="627">
        <v>0</v>
      </c>
      <c r="BN700" s="303">
        <f t="shared" si="1803"/>
        <v>0</v>
      </c>
      <c r="BO700" s="304"/>
      <c r="BP700" s="627">
        <v>0</v>
      </c>
      <c r="BQ700" s="627">
        <v>0</v>
      </c>
      <c r="BR700" s="303">
        <f t="shared" si="1804"/>
        <v>0</v>
      </c>
      <c r="BS700" s="304"/>
      <c r="BT700" s="627">
        <v>0</v>
      </c>
      <c r="BU700" s="627">
        <v>0</v>
      </c>
      <c r="BV700" s="303">
        <f t="shared" si="1805"/>
        <v>0</v>
      </c>
      <c r="BW700" s="304"/>
      <c r="BX700" s="627">
        <v>0</v>
      </c>
      <c r="BY700" s="627">
        <v>0</v>
      </c>
      <c r="BZ700" s="303">
        <f t="shared" si="1806"/>
        <v>0</v>
      </c>
      <c r="CA700" s="304"/>
      <c r="CB700" s="929"/>
      <c r="CC700" s="929"/>
      <c r="CD700" s="303"/>
      <c r="CE700" s="304"/>
      <c r="CF700" s="929"/>
      <c r="CG700" s="929"/>
      <c r="CH700" s="303"/>
      <c r="CI700" s="304"/>
      <c r="CJ700" s="929"/>
      <c r="CK700" s="929"/>
      <c r="CL700" s="303"/>
      <c r="CM700" s="304"/>
      <c r="CN700" s="929"/>
      <c r="CO700" s="929"/>
      <c r="CP700" s="303"/>
      <c r="CQ700" s="304"/>
      <c r="CR700" s="929"/>
      <c r="CS700" s="929"/>
      <c r="CT700" s="303"/>
      <c r="CU700" s="304"/>
      <c r="CV700" s="929"/>
      <c r="CW700" s="929"/>
      <c r="CX700" s="303"/>
      <c r="CY700" s="304"/>
      <c r="CZ700" s="929"/>
      <c r="DA700" s="929"/>
      <c r="DB700" s="303"/>
      <c r="DC700" s="304"/>
      <c r="DD700" s="929"/>
      <c r="DE700" s="929"/>
      <c r="DF700" s="303"/>
      <c r="DG700" s="304"/>
      <c r="DH700" s="929"/>
      <c r="DI700" s="929"/>
      <c r="DJ700" s="303"/>
      <c r="DK700" s="304"/>
      <c r="DL700" s="929"/>
      <c r="DM700" s="929"/>
      <c r="DN700" s="303"/>
      <c r="DO700" s="304"/>
      <c r="DP700" s="929"/>
      <c r="DQ700" s="929"/>
      <c r="DR700" s="303"/>
      <c r="DS700" s="304"/>
      <c r="DT700" s="304"/>
      <c r="DU700" s="304"/>
      <c r="DV700" s="304"/>
      <c r="DW700" s="929"/>
      <c r="DX700" s="929"/>
      <c r="DY700" s="929"/>
      <c r="DZ700" s="304"/>
      <c r="EA700" s="929"/>
      <c r="EB700" s="929"/>
      <c r="EC700" s="303"/>
      <c r="ED700" s="304"/>
      <c r="EE700" s="929"/>
      <c r="EF700" s="929"/>
      <c r="EG700" s="303"/>
      <c r="EH700" s="304"/>
      <c r="EI700" s="304"/>
      <c r="EJ700" s="304"/>
      <c r="EK700" s="304"/>
      <c r="EL700" s="304"/>
      <c r="EM700" s="304"/>
      <c r="EN700" s="304"/>
      <c r="EO700" s="304"/>
      <c r="EP700" s="304"/>
      <c r="EQ700" s="304"/>
      <c r="ER700" s="304"/>
      <c r="ES700" s="304"/>
      <c r="ET700" s="304"/>
      <c r="EU700" s="304"/>
      <c r="JW700"/>
    </row>
    <row r="701" spans="1:283" s="302" customFormat="1" hidden="1" outlineLevel="1">
      <c r="A701" s="302" t="s">
        <v>672</v>
      </c>
      <c r="AN701" s="304"/>
      <c r="AO701" s="304"/>
      <c r="AP701" s="1219">
        <v>-13</v>
      </c>
      <c r="AQ701" s="304"/>
      <c r="AR701" s="634"/>
      <c r="AS701" s="634"/>
      <c r="AT701" s="1219">
        <v>-170</v>
      </c>
      <c r="AU701" s="304"/>
      <c r="AV701" s="634">
        <v>-17</v>
      </c>
      <c r="AW701" s="634">
        <v>-8</v>
      </c>
      <c r="AX701" s="303">
        <f t="shared" si="1799"/>
        <v>-25</v>
      </c>
      <c r="AY701" s="304"/>
      <c r="AZ701" s="634">
        <v>-10</v>
      </c>
      <c r="BA701" s="634">
        <v>-21</v>
      </c>
      <c r="BB701" s="303">
        <f t="shared" si="1800"/>
        <v>-31</v>
      </c>
      <c r="BC701" s="304"/>
      <c r="BD701" s="627">
        <v>0</v>
      </c>
      <c r="BE701" s="627">
        <v>-14</v>
      </c>
      <c r="BF701" s="303">
        <f t="shared" si="1801"/>
        <v>-14</v>
      </c>
      <c r="BG701" s="304"/>
      <c r="BH701" s="627">
        <v>0</v>
      </c>
      <c r="BI701" s="627">
        <v>0</v>
      </c>
      <c r="BJ701" s="303">
        <f t="shared" si="1802"/>
        <v>0</v>
      </c>
      <c r="BK701" s="304"/>
      <c r="BL701" s="627">
        <v>0</v>
      </c>
      <c r="BM701" s="627">
        <v>0</v>
      </c>
      <c r="BN701" s="303">
        <f t="shared" si="1803"/>
        <v>0</v>
      </c>
      <c r="BO701" s="304"/>
      <c r="BP701" s="627">
        <v>0</v>
      </c>
      <c r="BQ701" s="627">
        <v>0</v>
      </c>
      <c r="BR701" s="303">
        <f t="shared" si="1804"/>
        <v>0</v>
      </c>
      <c r="BS701" s="304"/>
      <c r="BT701" s="627">
        <v>0</v>
      </c>
      <c r="BU701" s="627">
        <v>0</v>
      </c>
      <c r="BV701" s="303">
        <f t="shared" si="1805"/>
        <v>0</v>
      </c>
      <c r="BW701" s="304"/>
      <c r="BX701" s="627">
        <v>0</v>
      </c>
      <c r="BY701" s="627">
        <v>0</v>
      </c>
      <c r="BZ701" s="303">
        <f t="shared" si="1806"/>
        <v>0</v>
      </c>
      <c r="CA701" s="304"/>
      <c r="CB701" s="929"/>
      <c r="CC701" s="929"/>
      <c r="CD701" s="303"/>
      <c r="CE701" s="304"/>
      <c r="CF701" s="929"/>
      <c r="CG701" s="929"/>
      <c r="CH701" s="303"/>
      <c r="CI701" s="304"/>
      <c r="CJ701" s="929"/>
      <c r="CK701" s="929"/>
      <c r="CL701" s="303"/>
      <c r="CM701" s="304"/>
      <c r="CN701" s="929"/>
      <c r="CO701" s="929"/>
      <c r="CP701" s="303"/>
      <c r="CQ701" s="304"/>
      <c r="CR701" s="929"/>
      <c r="CS701" s="929"/>
      <c r="CT701" s="303"/>
      <c r="CU701" s="304"/>
      <c r="CV701" s="929"/>
      <c r="CW701" s="929"/>
      <c r="CX701" s="303"/>
      <c r="CY701" s="304"/>
      <c r="CZ701" s="929"/>
      <c r="DA701" s="929"/>
      <c r="DB701" s="303"/>
      <c r="DC701" s="304"/>
      <c r="DD701" s="929"/>
      <c r="DE701" s="929"/>
      <c r="DF701" s="303"/>
      <c r="DG701" s="304"/>
      <c r="DH701" s="929"/>
      <c r="DI701" s="929"/>
      <c r="DJ701" s="303"/>
      <c r="DK701" s="304"/>
      <c r="DL701" s="929"/>
      <c r="DM701" s="929"/>
      <c r="DN701" s="303"/>
      <c r="DO701" s="304"/>
      <c r="DP701" s="929"/>
      <c r="DQ701" s="929"/>
      <c r="DR701" s="303"/>
      <c r="DS701" s="304"/>
      <c r="DT701" s="304"/>
      <c r="DU701" s="304"/>
      <c r="DV701" s="304"/>
      <c r="DW701" s="929"/>
      <c r="DX701" s="929"/>
      <c r="DY701" s="929"/>
      <c r="DZ701" s="304"/>
      <c r="EA701" s="929"/>
      <c r="EB701" s="929"/>
      <c r="EC701" s="303"/>
      <c r="ED701" s="304"/>
      <c r="EE701" s="929"/>
      <c r="EF701" s="929"/>
      <c r="EG701" s="303"/>
      <c r="EH701" s="304"/>
      <c r="EI701" s="304"/>
      <c r="EJ701" s="304"/>
      <c r="EK701" s="304"/>
      <c r="EL701" s="304"/>
      <c r="EM701" s="304"/>
      <c r="EN701" s="304"/>
      <c r="EO701" s="304"/>
      <c r="EP701" s="304"/>
      <c r="EQ701" s="304"/>
      <c r="ER701" s="304"/>
      <c r="ES701" s="304"/>
      <c r="ET701" s="304"/>
      <c r="EU701" s="304"/>
      <c r="JW701"/>
    </row>
    <row r="702" spans="1:283" s="302" customFormat="1" hidden="1" outlineLevel="1">
      <c r="A702" s="302" t="s">
        <v>827</v>
      </c>
      <c r="AN702" s="304"/>
      <c r="AO702" s="304"/>
      <c r="AP702" s="1219"/>
      <c r="AQ702" s="304"/>
      <c r="AR702" s="634"/>
      <c r="AS702" s="634"/>
      <c r="AT702" s="1219">
        <v>0</v>
      </c>
      <c r="AU702" s="304"/>
      <c r="AV702" s="634">
        <v>0</v>
      </c>
      <c r="AW702" s="634">
        <v>0</v>
      </c>
      <c r="AX702" s="303">
        <f t="shared" si="1799"/>
        <v>0</v>
      </c>
      <c r="AY702" s="304"/>
      <c r="AZ702" s="634">
        <v>0</v>
      </c>
      <c r="BA702" s="634">
        <v>0</v>
      </c>
      <c r="BB702" s="303">
        <f t="shared" si="1800"/>
        <v>0</v>
      </c>
      <c r="BC702" s="304"/>
      <c r="BD702" s="634">
        <v>0</v>
      </c>
      <c r="BE702" s="627">
        <v>0</v>
      </c>
      <c r="BF702" s="303">
        <f t="shared" si="1801"/>
        <v>0</v>
      </c>
      <c r="BG702" s="304"/>
      <c r="BH702" s="634">
        <v>0</v>
      </c>
      <c r="BI702" s="627">
        <v>0</v>
      </c>
      <c r="BJ702" s="303">
        <f t="shared" si="1802"/>
        <v>0</v>
      </c>
      <c r="BK702" s="304"/>
      <c r="BL702" s="634">
        <v>0</v>
      </c>
      <c r="BM702" s="627">
        <v>0</v>
      </c>
      <c r="BN702" s="303">
        <f t="shared" si="1803"/>
        <v>0</v>
      </c>
      <c r="BO702" s="304"/>
      <c r="BP702" s="634">
        <v>0</v>
      </c>
      <c r="BQ702" s="627">
        <v>0</v>
      </c>
      <c r="BR702" s="303">
        <f t="shared" si="1804"/>
        <v>0</v>
      </c>
      <c r="BS702" s="304"/>
      <c r="BT702" s="634">
        <v>0</v>
      </c>
      <c r="BU702" s="627">
        <v>0</v>
      </c>
      <c r="BV702" s="303">
        <f t="shared" si="1805"/>
        <v>0</v>
      </c>
      <c r="BW702" s="304"/>
      <c r="BX702" s="634">
        <v>0</v>
      </c>
      <c r="BY702" s="634">
        <v>0</v>
      </c>
      <c r="BZ702" s="303">
        <f t="shared" si="1806"/>
        <v>0</v>
      </c>
      <c r="CA702" s="304"/>
      <c r="CB702" s="929"/>
      <c r="CC702" s="929"/>
      <c r="CD702" s="303"/>
      <c r="CE702" s="304"/>
      <c r="CF702" s="929"/>
      <c r="CG702" s="929"/>
      <c r="CH702" s="303"/>
      <c r="CI702" s="304"/>
      <c r="CJ702" s="929"/>
      <c r="CK702" s="929"/>
      <c r="CL702" s="303"/>
      <c r="CM702" s="304"/>
      <c r="CN702" s="929"/>
      <c r="CO702" s="929"/>
      <c r="CP702" s="303"/>
      <c r="CQ702" s="304"/>
      <c r="CR702" s="929"/>
      <c r="CS702" s="929"/>
      <c r="CT702" s="303"/>
      <c r="CU702" s="304"/>
      <c r="CV702" s="929"/>
      <c r="CW702" s="929"/>
      <c r="CX702" s="303"/>
      <c r="CY702" s="304"/>
      <c r="CZ702" s="929"/>
      <c r="DA702" s="929"/>
      <c r="DB702" s="303"/>
      <c r="DC702" s="304"/>
      <c r="DD702" s="929"/>
      <c r="DE702" s="929"/>
      <c r="DF702" s="303"/>
      <c r="DG702" s="304"/>
      <c r="DH702" s="929"/>
      <c r="DI702" s="929"/>
      <c r="DJ702" s="303"/>
      <c r="DK702" s="304"/>
      <c r="DL702" s="929"/>
      <c r="DM702" s="929"/>
      <c r="DN702" s="303"/>
      <c r="DO702" s="304"/>
      <c r="DP702" s="929"/>
      <c r="DQ702" s="929"/>
      <c r="DR702" s="303"/>
      <c r="DS702" s="304"/>
      <c r="DT702" s="304"/>
      <c r="DU702" s="304"/>
      <c r="DV702" s="304"/>
      <c r="DW702" s="929"/>
      <c r="DX702" s="929"/>
      <c r="DY702" s="929"/>
      <c r="DZ702" s="304"/>
      <c r="EA702" s="929"/>
      <c r="EB702" s="929"/>
      <c r="EC702" s="303"/>
      <c r="ED702" s="304"/>
      <c r="EE702" s="929"/>
      <c r="EF702" s="929"/>
      <c r="EG702" s="303"/>
      <c r="EH702" s="304"/>
      <c r="EI702" s="304"/>
      <c r="EJ702" s="304"/>
      <c r="EK702" s="304"/>
      <c r="EL702" s="304"/>
      <c r="EM702" s="304"/>
      <c r="EN702" s="304"/>
      <c r="EO702" s="304"/>
      <c r="EP702" s="304"/>
      <c r="EQ702" s="304"/>
      <c r="ER702" s="304"/>
      <c r="ES702" s="304"/>
      <c r="ET702" s="304"/>
      <c r="EU702" s="304"/>
      <c r="JW702"/>
    </row>
    <row r="703" spans="1:283" s="302" customFormat="1" hidden="1" outlineLevel="1">
      <c r="A703" s="302" t="s">
        <v>828</v>
      </c>
      <c r="AN703" s="304"/>
      <c r="AO703" s="304"/>
      <c r="AP703" s="1219"/>
      <c r="AQ703" s="304"/>
      <c r="AR703" s="634"/>
      <c r="AS703" s="634"/>
      <c r="AT703" s="1219">
        <v>0</v>
      </c>
      <c r="AU703" s="304"/>
      <c r="AV703" s="634">
        <v>0</v>
      </c>
      <c r="AW703" s="634">
        <v>0</v>
      </c>
      <c r="AX703" s="303">
        <f t="shared" si="1799"/>
        <v>0</v>
      </c>
      <c r="AY703" s="304"/>
      <c r="AZ703" s="634">
        <v>0</v>
      </c>
      <c r="BA703" s="634">
        <v>0</v>
      </c>
      <c r="BB703" s="303">
        <f t="shared" si="1800"/>
        <v>0</v>
      </c>
      <c r="BC703" s="304"/>
      <c r="BD703" s="634">
        <v>0</v>
      </c>
      <c r="BE703" s="627">
        <v>0</v>
      </c>
      <c r="BF703" s="303">
        <f t="shared" si="1801"/>
        <v>0</v>
      </c>
      <c r="BG703" s="304"/>
      <c r="BH703" s="634">
        <v>0</v>
      </c>
      <c r="BI703" s="627">
        <v>0</v>
      </c>
      <c r="BJ703" s="303">
        <f t="shared" si="1802"/>
        <v>0</v>
      </c>
      <c r="BK703" s="304"/>
      <c r="BL703" s="634">
        <v>0</v>
      </c>
      <c r="BM703" s="627">
        <v>0</v>
      </c>
      <c r="BN703" s="303">
        <f t="shared" si="1803"/>
        <v>0</v>
      </c>
      <c r="BO703" s="304"/>
      <c r="BP703" s="634">
        <v>0</v>
      </c>
      <c r="BQ703" s="627">
        <v>0</v>
      </c>
      <c r="BR703" s="303">
        <f t="shared" si="1804"/>
        <v>0</v>
      </c>
      <c r="BS703" s="304"/>
      <c r="BT703" s="634">
        <v>0</v>
      </c>
      <c r="BU703" s="627">
        <v>0</v>
      </c>
      <c r="BV703" s="303">
        <f t="shared" si="1805"/>
        <v>0</v>
      </c>
      <c r="BW703" s="304"/>
      <c r="BX703" s="634">
        <v>0</v>
      </c>
      <c r="BY703" s="634">
        <v>0</v>
      </c>
      <c r="BZ703" s="303">
        <f t="shared" si="1806"/>
        <v>0</v>
      </c>
      <c r="CA703" s="304"/>
      <c r="CB703" s="929"/>
      <c r="CC703" s="929"/>
      <c r="CD703" s="303"/>
      <c r="CE703" s="304"/>
      <c r="CF703" s="929"/>
      <c r="CG703" s="929"/>
      <c r="CH703" s="303"/>
      <c r="CI703" s="304"/>
      <c r="CJ703" s="929"/>
      <c r="CK703" s="929"/>
      <c r="CL703" s="303"/>
      <c r="CM703" s="304"/>
      <c r="CN703" s="929"/>
      <c r="CO703" s="929"/>
      <c r="CP703" s="303"/>
      <c r="CQ703" s="304"/>
      <c r="CR703" s="929"/>
      <c r="CS703" s="929"/>
      <c r="CT703" s="303"/>
      <c r="CU703" s="304"/>
      <c r="CV703" s="929"/>
      <c r="CW703" s="929"/>
      <c r="CX703" s="303"/>
      <c r="CY703" s="304"/>
      <c r="CZ703" s="929"/>
      <c r="DA703" s="929"/>
      <c r="DB703" s="303"/>
      <c r="DC703" s="304"/>
      <c r="DD703" s="929"/>
      <c r="DE703" s="929"/>
      <c r="DF703" s="303"/>
      <c r="DG703" s="304"/>
      <c r="DH703" s="929"/>
      <c r="DI703" s="929"/>
      <c r="DJ703" s="303"/>
      <c r="DK703" s="304"/>
      <c r="DL703" s="929"/>
      <c r="DM703" s="929"/>
      <c r="DN703" s="303"/>
      <c r="DO703" s="304"/>
      <c r="DP703" s="929"/>
      <c r="DQ703" s="929"/>
      <c r="DR703" s="303"/>
      <c r="DS703" s="304"/>
      <c r="DT703" s="304"/>
      <c r="DU703" s="304"/>
      <c r="DV703" s="304"/>
      <c r="DW703" s="929"/>
      <c r="DX703" s="929"/>
      <c r="DY703" s="929"/>
      <c r="DZ703" s="304"/>
      <c r="EA703" s="929"/>
      <c r="EB703" s="929"/>
      <c r="EC703" s="303"/>
      <c r="ED703" s="304"/>
      <c r="EE703" s="929"/>
      <c r="EF703" s="929"/>
      <c r="EG703" s="303"/>
      <c r="EH703" s="304"/>
      <c r="EI703" s="304"/>
      <c r="EJ703" s="304"/>
      <c r="EK703" s="304"/>
      <c r="EL703" s="304"/>
      <c r="EM703" s="304"/>
      <c r="EN703" s="304"/>
      <c r="EO703" s="304"/>
      <c r="EP703" s="304"/>
      <c r="EQ703" s="304"/>
      <c r="ER703" s="304"/>
      <c r="ES703" s="304"/>
      <c r="ET703" s="304"/>
      <c r="EU703" s="304"/>
      <c r="JW703"/>
    </row>
    <row r="704" spans="1:283" s="296" customFormat="1" hidden="1" outlineLevel="1">
      <c r="A704" s="302" t="s">
        <v>663</v>
      </c>
      <c r="AN704" s="298"/>
      <c r="AO704" s="298"/>
      <c r="AP704" s="1219">
        <f>16</f>
        <v>16</v>
      </c>
      <c r="AQ704" s="298"/>
      <c r="AR704" s="634"/>
      <c r="AS704" s="634"/>
      <c r="AT704" s="1219">
        <v>43</v>
      </c>
      <c r="AU704" s="298"/>
      <c r="AV704" s="634">
        <v>12</v>
      </c>
      <c r="AW704" s="634">
        <v>6</v>
      </c>
      <c r="AX704" s="303">
        <f t="shared" si="1799"/>
        <v>18</v>
      </c>
      <c r="AY704" s="298"/>
      <c r="AZ704" s="634">
        <v>7</v>
      </c>
      <c r="BA704" s="634">
        <v>13</v>
      </c>
      <c r="BB704" s="303">
        <f t="shared" si="1800"/>
        <v>20</v>
      </c>
      <c r="BC704" s="298"/>
      <c r="BD704" s="627">
        <v>8</v>
      </c>
      <c r="BE704" s="627">
        <v>-8</v>
      </c>
      <c r="BF704" s="303">
        <f t="shared" si="1801"/>
        <v>0</v>
      </c>
      <c r="BG704" s="298"/>
      <c r="BH704" s="627">
        <v>0</v>
      </c>
      <c r="BI704" s="627">
        <v>0</v>
      </c>
      <c r="BJ704" s="303">
        <f t="shared" si="1802"/>
        <v>0</v>
      </c>
      <c r="BK704" s="304"/>
      <c r="BL704" s="627">
        <v>0</v>
      </c>
      <c r="BM704" s="627">
        <v>0</v>
      </c>
      <c r="BN704" s="303">
        <f t="shared" si="1803"/>
        <v>0</v>
      </c>
      <c r="BO704" s="298"/>
      <c r="BP704" s="627">
        <v>0</v>
      </c>
      <c r="BQ704" s="627">
        <v>0</v>
      </c>
      <c r="BR704" s="303">
        <f t="shared" si="1804"/>
        <v>0</v>
      </c>
      <c r="BS704" s="298"/>
      <c r="BT704" s="627">
        <v>0</v>
      </c>
      <c r="BU704" s="627">
        <v>0</v>
      </c>
      <c r="BV704" s="303">
        <f t="shared" si="1805"/>
        <v>0</v>
      </c>
      <c r="BW704" s="298"/>
      <c r="BX704" s="627">
        <v>0</v>
      </c>
      <c r="BY704" s="627">
        <v>0</v>
      </c>
      <c r="BZ704" s="303">
        <f t="shared" si="1806"/>
        <v>0</v>
      </c>
      <c r="CA704" s="298"/>
      <c r="CB704" s="929"/>
      <c r="CC704" s="929"/>
      <c r="CD704" s="303"/>
      <c r="CE704" s="298"/>
      <c r="CF704" s="929"/>
      <c r="CG704" s="929"/>
      <c r="CH704" s="303"/>
      <c r="CI704" s="298"/>
      <c r="CJ704" s="929"/>
      <c r="CK704" s="929"/>
      <c r="CL704" s="303"/>
      <c r="CM704" s="298"/>
      <c r="CN704" s="929"/>
      <c r="CO704" s="929"/>
      <c r="CP704" s="303"/>
      <c r="CQ704" s="298"/>
      <c r="CR704" s="929"/>
      <c r="CS704" s="929"/>
      <c r="CT704" s="303"/>
      <c r="CU704" s="298"/>
      <c r="CV704" s="929"/>
      <c r="CW704" s="929"/>
      <c r="CX704" s="303"/>
      <c r="CY704" s="298"/>
      <c r="CZ704" s="929"/>
      <c r="DA704" s="929"/>
      <c r="DB704" s="303"/>
      <c r="DC704" s="298"/>
      <c r="DD704" s="929"/>
      <c r="DE704" s="929"/>
      <c r="DF704" s="303"/>
      <c r="DG704" s="298"/>
      <c r="DH704" s="929"/>
      <c r="DI704" s="929"/>
      <c r="DJ704" s="303"/>
      <c r="DK704" s="298"/>
      <c r="DL704" s="929"/>
      <c r="DM704" s="929"/>
      <c r="DN704" s="303"/>
      <c r="DO704" s="298"/>
      <c r="DP704" s="929"/>
      <c r="DQ704" s="929"/>
      <c r="DR704" s="303"/>
      <c r="DS704" s="298"/>
      <c r="DT704" s="298"/>
      <c r="DU704" s="298"/>
      <c r="DV704" s="298"/>
      <c r="DW704" s="929"/>
      <c r="DX704" s="929"/>
      <c r="DY704" s="929"/>
      <c r="DZ704" s="298"/>
      <c r="EA704" s="929"/>
      <c r="EB704" s="929"/>
      <c r="EC704" s="303"/>
      <c r="ED704" s="298"/>
      <c r="EE704" s="929"/>
      <c r="EF704" s="929"/>
      <c r="EG704" s="303"/>
      <c r="EH704" s="298"/>
      <c r="EI704" s="298"/>
      <c r="EJ704" s="298"/>
      <c r="EK704" s="298"/>
      <c r="EL704" s="298"/>
      <c r="EM704" s="298"/>
      <c r="EN704" s="298"/>
      <c r="EO704" s="298"/>
      <c r="EP704" s="298"/>
      <c r="EQ704" s="298"/>
      <c r="ER704" s="298"/>
      <c r="ES704" s="298"/>
      <c r="ET704" s="298"/>
      <c r="EU704" s="298"/>
      <c r="JW704"/>
    </row>
    <row r="705" spans="1:283" s="327" customFormat="1" hidden="1" outlineLevel="1">
      <c r="A705" s="327" t="s">
        <v>613</v>
      </c>
      <c r="AN705" s="295"/>
      <c r="AO705" s="295"/>
      <c r="AP705" s="295">
        <f>SUM(AP691:AP704)</f>
        <v>3</v>
      </c>
      <c r="AQ705" s="295"/>
      <c r="AR705" s="295"/>
      <c r="AS705" s="295"/>
      <c r="AT705" s="295">
        <f>SUM(AT691:AT704)</f>
        <v>-300</v>
      </c>
      <c r="AU705" s="295"/>
      <c r="AV705" s="295">
        <f>SUM(AV691:AV704)</f>
        <v>-56</v>
      </c>
      <c r="AW705" s="295">
        <f>SUM(AW691:AW704)</f>
        <v>-51</v>
      </c>
      <c r="AX705" s="295">
        <f>SUM(AX691:AX704)</f>
        <v>-107</v>
      </c>
      <c r="AY705" s="295"/>
      <c r="AZ705" s="295">
        <f>SUM(AZ691:AZ704)</f>
        <v>-3</v>
      </c>
      <c r="BA705" s="295">
        <f>SUM(BA691:BA704)</f>
        <v>3</v>
      </c>
      <c r="BB705" s="295">
        <f>SUM(BB691:BB704)</f>
        <v>0</v>
      </c>
      <c r="BC705" s="295"/>
      <c r="BD705" s="295">
        <f>SUM(BD691:BD704)</f>
        <v>2</v>
      </c>
      <c r="BE705" s="295">
        <f>SUM(BE691:BE704)</f>
        <v>-38</v>
      </c>
      <c r="BF705" s="295">
        <f>SUM(BF691:BF704)</f>
        <v>-36</v>
      </c>
      <c r="BG705" s="295"/>
      <c r="BH705" s="295">
        <f>SUM(BH691:BH704)</f>
        <v>0</v>
      </c>
      <c r="BI705" s="295">
        <f>SUM(BI691:BI704)</f>
        <v>0</v>
      </c>
      <c r="BJ705" s="295">
        <f>SUM(BJ691:BJ704)</f>
        <v>0</v>
      </c>
      <c r="BK705" s="103"/>
      <c r="BL705" s="295">
        <f>SUM(BL691:BL704)</f>
        <v>0</v>
      </c>
      <c r="BM705" s="295">
        <f>SUM(BM691:BM704)</f>
        <v>0</v>
      </c>
      <c r="BN705" s="295">
        <f>SUM(BN691:BN704)</f>
        <v>0</v>
      </c>
      <c r="BO705" s="295"/>
      <c r="BP705" s="295">
        <f>SUM(BP691:BP704)</f>
        <v>0</v>
      </c>
      <c r="BQ705" s="295">
        <f>SUM(BQ691:BQ704)</f>
        <v>0</v>
      </c>
      <c r="BR705" s="295">
        <f>SUM(BR691:BR704)</f>
        <v>0</v>
      </c>
      <c r="BS705" s="295"/>
      <c r="BT705" s="295">
        <f>SUM(BT691:BT704)</f>
        <v>0</v>
      </c>
      <c r="BU705" s="295">
        <f>SUM(BU691:BU704)</f>
        <v>0</v>
      </c>
      <c r="BV705" s="295">
        <f>SUM(BV691:BV704)</f>
        <v>0</v>
      </c>
      <c r="BW705" s="295"/>
      <c r="BX705" s="295">
        <f>SUM(BX691:BX704)</f>
        <v>0</v>
      </c>
      <c r="BY705" s="295">
        <f>SUM(BY691:BY704)</f>
        <v>0</v>
      </c>
      <c r="BZ705" s="295">
        <f>SUM(BZ691:BZ704)</f>
        <v>0</v>
      </c>
      <c r="CA705" s="295"/>
      <c r="CB705" s="295"/>
      <c r="CC705" s="295"/>
      <c r="CD705" s="295"/>
      <c r="CE705" s="295"/>
      <c r="CF705" s="295"/>
      <c r="CG705" s="295"/>
      <c r="CH705" s="295"/>
      <c r="CI705" s="295"/>
      <c r="CJ705" s="295"/>
      <c r="CK705" s="295"/>
      <c r="CL705" s="295"/>
      <c r="CM705" s="295"/>
      <c r="CN705" s="295"/>
      <c r="CO705" s="295"/>
      <c r="CP705" s="295"/>
      <c r="CQ705" s="295"/>
      <c r="CR705" s="295"/>
      <c r="CS705" s="295"/>
      <c r="CT705" s="295"/>
      <c r="CU705" s="295"/>
      <c r="CV705" s="295"/>
      <c r="CW705" s="295"/>
      <c r="CX705" s="295"/>
      <c r="CY705" s="295"/>
      <c r="CZ705" s="295"/>
      <c r="DA705" s="295"/>
      <c r="DB705" s="295"/>
      <c r="DC705" s="295"/>
      <c r="DD705" s="295"/>
      <c r="DE705" s="295"/>
      <c r="DF705" s="295"/>
      <c r="DG705" s="295"/>
      <c r="DH705" s="295"/>
      <c r="DI705" s="295"/>
      <c r="DJ705" s="295"/>
      <c r="DK705" s="295"/>
      <c r="DL705" s="295"/>
      <c r="DM705" s="295"/>
      <c r="DN705" s="295"/>
      <c r="DO705" s="295"/>
      <c r="DP705" s="295"/>
      <c r="DQ705" s="295"/>
      <c r="DR705" s="295"/>
      <c r="DS705" s="295"/>
      <c r="DT705" s="295"/>
      <c r="DU705" s="295"/>
      <c r="DV705" s="295"/>
      <c r="DW705" s="295"/>
      <c r="DX705" s="295"/>
      <c r="DY705" s="295"/>
      <c r="DZ705" s="295"/>
      <c r="EA705" s="295"/>
      <c r="EB705" s="295"/>
      <c r="EC705" s="295"/>
      <c r="ED705" s="295"/>
      <c r="EE705" s="295"/>
      <c r="EF705" s="295"/>
      <c r="EG705" s="295"/>
      <c r="EH705" s="295"/>
      <c r="EI705" s="295"/>
      <c r="EJ705" s="295"/>
      <c r="EK705" s="295"/>
      <c r="EL705" s="295"/>
      <c r="EM705" s="295"/>
      <c r="EN705" s="295"/>
      <c r="EO705" s="295"/>
      <c r="EP705" s="295"/>
      <c r="EQ705" s="295"/>
      <c r="ER705" s="295"/>
      <c r="ES705" s="295"/>
      <c r="ET705" s="295"/>
      <c r="EU705" s="295"/>
      <c r="JW705"/>
    </row>
    <row r="706" spans="1:283" hidden="1" outlineLevel="1">
      <c r="CR706" s="103"/>
      <c r="CS706" s="103"/>
      <c r="CT706" s="103"/>
      <c r="CV706" s="103"/>
      <c r="CW706" s="103"/>
      <c r="CX706" s="103"/>
      <c r="CZ706" s="103"/>
      <c r="DA706" s="103"/>
      <c r="DB706" s="103"/>
      <c r="DD706" s="103"/>
      <c r="DE706" s="103"/>
      <c r="DF706" s="103"/>
      <c r="DH706" s="103"/>
      <c r="DI706" s="103"/>
      <c r="DJ706" s="103"/>
      <c r="DL706" s="103"/>
      <c r="DM706" s="103"/>
      <c r="DN706" s="103"/>
      <c r="DP706" s="103"/>
      <c r="DQ706" s="103"/>
      <c r="DR706" s="103"/>
    </row>
    <row r="707" spans="1:283" hidden="1" outlineLevel="1">
      <c r="CR707" s="103"/>
      <c r="CS707" s="103"/>
      <c r="CT707" s="103"/>
      <c r="CV707" s="103"/>
      <c r="CW707" s="103"/>
      <c r="CX707" s="103"/>
      <c r="CZ707" s="103"/>
      <c r="DA707" s="103"/>
      <c r="DB707" s="103"/>
      <c r="DD707" s="103"/>
      <c r="DE707" s="103"/>
      <c r="DF707" s="103"/>
      <c r="DH707" s="103"/>
      <c r="DI707" s="103"/>
      <c r="DJ707" s="103"/>
      <c r="DL707" s="103"/>
      <c r="DM707" s="103"/>
      <c r="DN707" s="103"/>
      <c r="DP707" s="103"/>
      <c r="DQ707" s="103"/>
      <c r="DR707" s="103"/>
    </row>
    <row r="708" spans="1:283" s="1193" customFormat="1" collapsed="1">
      <c r="A708" s="1216" t="s">
        <v>841</v>
      </c>
      <c r="AN708" s="1194"/>
      <c r="AO708" s="1194"/>
      <c r="AP708" s="1195"/>
      <c r="AQ708" s="1194"/>
      <c r="AR708" s="1194"/>
      <c r="AS708" s="1194"/>
      <c r="AT708" s="1195"/>
      <c r="AU708" s="1194"/>
      <c r="AV708" s="1194"/>
      <c r="AW708" s="1194"/>
      <c r="AX708" s="1195"/>
      <c r="AY708" s="1194"/>
      <c r="AZ708" s="1194"/>
      <c r="BA708" s="1194"/>
      <c r="BB708" s="1195"/>
      <c r="BC708" s="1194"/>
      <c r="BD708" s="1194"/>
      <c r="BE708" s="1194"/>
      <c r="BF708" s="1195"/>
      <c r="BG708" s="1194"/>
      <c r="BH708" s="1194"/>
      <c r="BI708" s="1194"/>
      <c r="BJ708" s="1195"/>
      <c r="BK708" s="1194"/>
      <c r="BL708" s="1194"/>
      <c r="BM708" s="1194"/>
      <c r="BN708" s="1195"/>
      <c r="BO708" s="1194"/>
      <c r="BP708" s="1194"/>
      <c r="BQ708" s="1194"/>
      <c r="BR708" s="1195"/>
      <c r="BS708" s="1194"/>
      <c r="BT708" s="1194"/>
      <c r="BU708" s="1194"/>
      <c r="BV708" s="1195"/>
      <c r="BW708" s="1194"/>
      <c r="BX708" s="1194"/>
      <c r="BY708" s="1194"/>
      <c r="BZ708" s="1195"/>
      <c r="CA708" s="1194"/>
      <c r="CB708" s="1194"/>
      <c r="CC708" s="1194"/>
      <c r="CD708" s="1195"/>
      <c r="CE708" s="1194"/>
      <c r="CF708" s="1194"/>
      <c r="CG708" s="1194"/>
      <c r="CH708" s="1195"/>
      <c r="CI708" s="1194"/>
      <c r="CJ708" s="1194"/>
      <c r="CK708" s="1194"/>
      <c r="CL708" s="1195"/>
      <c r="CM708" s="1194"/>
      <c r="CN708" s="1194"/>
      <c r="CO708" s="1194"/>
      <c r="CP708" s="1195"/>
      <c r="CQ708" s="1194"/>
      <c r="CR708" s="1194"/>
      <c r="CS708" s="1194"/>
      <c r="CT708" s="1195"/>
      <c r="CU708" s="1194"/>
      <c r="CV708" s="1194"/>
      <c r="CW708" s="1194"/>
      <c r="CX708" s="1195"/>
      <c r="CY708" s="1194"/>
      <c r="CZ708" s="1194"/>
      <c r="DA708" s="1194"/>
      <c r="DB708" s="1195"/>
      <c r="DC708" s="1194"/>
      <c r="DD708" s="1194"/>
      <c r="DE708" s="1194"/>
      <c r="DF708" s="1195"/>
      <c r="DG708" s="1194"/>
      <c r="DH708" s="1194"/>
      <c r="DI708" s="1194"/>
      <c r="DJ708" s="1195"/>
      <c r="DK708" s="1194"/>
      <c r="DL708" s="1194"/>
      <c r="DM708" s="1194"/>
      <c r="DN708" s="1195"/>
      <c r="DO708" s="1194"/>
      <c r="DP708" s="1194"/>
      <c r="DQ708" s="1194"/>
      <c r="DR708" s="1195"/>
      <c r="DS708" s="1194"/>
      <c r="DT708" s="1194"/>
      <c r="DU708" s="1194"/>
      <c r="DV708" s="1194"/>
      <c r="DW708" s="1196"/>
      <c r="DX708" s="1194"/>
      <c r="DY708" s="1194"/>
      <c r="DZ708" s="1194"/>
      <c r="EA708" s="1194"/>
      <c r="EB708" s="1194"/>
      <c r="EC708" s="1194"/>
      <c r="ED708" s="1194"/>
      <c r="EE708" s="1194"/>
      <c r="EF708" s="1194"/>
      <c r="EG708" s="1194"/>
      <c r="EH708" s="1194"/>
      <c r="EI708" s="1194"/>
      <c r="EJ708" s="1194"/>
      <c r="EK708" s="1194"/>
      <c r="EL708" s="1194"/>
      <c r="EM708" s="1194"/>
      <c r="EN708" s="1194"/>
      <c r="EO708" s="1194"/>
      <c r="EP708" s="1194"/>
      <c r="EQ708" s="1194"/>
      <c r="ER708" s="1194"/>
      <c r="ES708" s="1194"/>
      <c r="ET708" s="1194"/>
      <c r="EU708" s="1194"/>
      <c r="JW708"/>
    </row>
    <row r="709" spans="1:283" s="332" customFormat="1">
      <c r="AN709" s="360"/>
      <c r="AO709" s="360"/>
      <c r="AP709" s="293"/>
      <c r="AQ709" s="293"/>
      <c r="AR709" s="360"/>
      <c r="AS709" s="360"/>
      <c r="AT709" s="293"/>
      <c r="AU709" s="293"/>
      <c r="AV709" s="360"/>
      <c r="AW709" s="360"/>
      <c r="AX709" s="293"/>
      <c r="AY709" s="293"/>
      <c r="AZ709" s="360"/>
      <c r="BA709" s="293"/>
      <c r="BB709" s="293"/>
      <c r="BC709" s="293"/>
      <c r="BD709" s="293"/>
      <c r="BE709" s="293"/>
      <c r="BF709" s="293"/>
      <c r="BG709" s="293"/>
      <c r="BH709" s="293"/>
      <c r="BI709" s="293"/>
      <c r="BJ709" s="293"/>
      <c r="BK709" s="293"/>
      <c r="BL709" s="293"/>
      <c r="BM709" s="293"/>
      <c r="BN709" s="293"/>
      <c r="BO709" s="293"/>
      <c r="BP709" s="293"/>
      <c r="BQ709" s="293"/>
      <c r="BR709" s="293"/>
      <c r="BS709" s="293"/>
      <c r="BT709" s="293"/>
      <c r="BU709" s="293"/>
      <c r="BV709" s="293"/>
      <c r="BW709" s="293"/>
      <c r="BX709" s="293"/>
      <c r="BY709" s="293"/>
      <c r="BZ709" s="293"/>
      <c r="CA709" s="293"/>
      <c r="CB709" s="293"/>
      <c r="CC709" s="293"/>
      <c r="CD709" s="293"/>
      <c r="CE709" s="293"/>
      <c r="CF709" s="293"/>
      <c r="CG709" s="293"/>
      <c r="CH709" s="293"/>
      <c r="CI709" s="293"/>
      <c r="CJ709" s="293"/>
      <c r="CK709" s="293" t="s">
        <v>1216</v>
      </c>
      <c r="CL709" s="293"/>
      <c r="CM709" s="293"/>
      <c r="CN709" s="293"/>
      <c r="CO709" s="293" t="s">
        <v>1216</v>
      </c>
      <c r="CP709" s="293"/>
      <c r="CQ709" s="293"/>
      <c r="CR709" s="293"/>
      <c r="CS709" s="293"/>
      <c r="CT709" s="293"/>
      <c r="CU709" s="293"/>
      <c r="CV709" s="293"/>
      <c r="CW709" s="293"/>
      <c r="CX709" s="293"/>
      <c r="CY709" s="293"/>
      <c r="CZ709" s="293"/>
      <c r="DA709" s="293"/>
      <c r="DB709" s="293"/>
      <c r="DC709" s="293"/>
      <c r="DD709" s="293"/>
      <c r="DE709" s="293"/>
      <c r="DF709" s="293"/>
      <c r="DG709" s="293"/>
      <c r="DH709" s="293"/>
      <c r="DI709" s="293"/>
      <c r="DJ709" s="293"/>
      <c r="DK709" s="293"/>
      <c r="DL709" s="293"/>
      <c r="DM709" s="293"/>
      <c r="DN709" s="293"/>
      <c r="DO709" s="293"/>
      <c r="DP709" s="293"/>
      <c r="DQ709" s="293"/>
      <c r="DR709" s="293"/>
      <c r="DS709" s="293"/>
      <c r="DT709" s="293"/>
      <c r="DU709" s="293"/>
      <c r="DV709" s="293"/>
      <c r="DW709" s="293"/>
      <c r="DX709" s="293"/>
      <c r="DY709" s="293"/>
      <c r="DZ709" s="293"/>
      <c r="EA709" s="293"/>
      <c r="EB709" s="293"/>
      <c r="EC709" s="293"/>
      <c r="ED709" s="293"/>
      <c r="EE709" s="293"/>
      <c r="EF709" s="293"/>
      <c r="EG709" s="293"/>
      <c r="EH709" s="293"/>
      <c r="EI709" s="293"/>
      <c r="EJ709" s="293"/>
      <c r="EK709" s="293"/>
      <c r="EL709" s="293"/>
      <c r="EM709" s="293"/>
      <c r="EN709" s="293"/>
      <c r="EO709" s="293"/>
      <c r="EP709" s="293"/>
      <c r="EQ709" s="293"/>
      <c r="ER709" s="293"/>
      <c r="ES709" s="293"/>
      <c r="ET709" s="293"/>
      <c r="EU709" s="293"/>
      <c r="JW709"/>
    </row>
    <row r="710" spans="1:283" s="332" customFormat="1">
      <c r="A710" s="332" t="s">
        <v>571</v>
      </c>
      <c r="AN710" s="626">
        <v>373</v>
      </c>
      <c r="AO710" s="626">
        <v>495</v>
      </c>
      <c r="AP710" s="293">
        <f>AN710+AO710</f>
        <v>868</v>
      </c>
      <c r="AQ710" s="626"/>
      <c r="AR710" s="626">
        <v>413</v>
      </c>
      <c r="AS710" s="626">
        <v>244</v>
      </c>
      <c r="AT710" s="293">
        <f>AR710+AS710</f>
        <v>657</v>
      </c>
      <c r="AU710" s="626"/>
      <c r="AV710" s="626">
        <v>113</v>
      </c>
      <c r="AW710" s="626">
        <v>217</v>
      </c>
      <c r="AX710" s="293">
        <f t="shared" ref="AX710:AX716" si="1807">AV710+AW710</f>
        <v>330</v>
      </c>
      <c r="AY710" s="626"/>
      <c r="AZ710" s="626">
        <v>126</v>
      </c>
      <c r="BA710" s="626">
        <v>78</v>
      </c>
      <c r="BB710" s="293">
        <f t="shared" ref="BB710:BB716" si="1808">AZ710+BA710</f>
        <v>204</v>
      </c>
      <c r="BC710" s="293"/>
      <c r="BD710" s="762">
        <v>-56</v>
      </c>
      <c r="BE710" s="762">
        <v>36</v>
      </c>
      <c r="BF710" s="293">
        <f t="shared" ref="BF710:BF716" si="1809">BD710+BE710</f>
        <v>-20</v>
      </c>
      <c r="BG710" s="293"/>
      <c r="BH710" s="626">
        <f>68-BH712</f>
        <v>68</v>
      </c>
      <c r="BI710" s="626">
        <f>65-BI712</f>
        <v>65</v>
      </c>
      <c r="BJ710" s="293">
        <f t="shared" ref="BJ710:BJ716" si="1810">BH710+BI710</f>
        <v>133</v>
      </c>
      <c r="BK710" s="487"/>
      <c r="BL710" s="626">
        <f>75-BL712</f>
        <v>75</v>
      </c>
      <c r="BM710" s="626">
        <v>43</v>
      </c>
      <c r="BN710" s="293">
        <f t="shared" ref="BN710:BN716" si="1811">BL710+BM710</f>
        <v>118</v>
      </c>
      <c r="BO710" s="487"/>
      <c r="BP710" s="626">
        <v>129</v>
      </c>
      <c r="BQ710" s="626">
        <v>159</v>
      </c>
      <c r="BR710" s="293">
        <f t="shared" ref="BR710:BR716" si="1812">BP710+BQ710</f>
        <v>288</v>
      </c>
      <c r="BS710" s="487"/>
      <c r="BT710" s="626">
        <v>113</v>
      </c>
      <c r="BU710" s="626">
        <v>158</v>
      </c>
      <c r="BV710" s="293">
        <f t="shared" ref="BV710:BV716" si="1813">BT710+BU710</f>
        <v>271</v>
      </c>
      <c r="BW710" s="487"/>
      <c r="BX710" s="626">
        <v>98</v>
      </c>
      <c r="BY710" s="626">
        <v>63</v>
      </c>
      <c r="BZ710" s="293">
        <f t="shared" ref="BZ710:BZ716" si="1814">BX710+BY710</f>
        <v>161</v>
      </c>
      <c r="CA710" s="487"/>
      <c r="CB710" s="626">
        <v>142</v>
      </c>
      <c r="CC710" s="626">
        <v>201</v>
      </c>
      <c r="CD710" s="293">
        <f t="shared" ref="CD710:CD716" si="1815">CB710+CC710</f>
        <v>343</v>
      </c>
      <c r="CE710" s="487"/>
      <c r="CF710" s="626">
        <v>194</v>
      </c>
      <c r="CG710" s="626">
        <v>121</v>
      </c>
      <c r="CH710" s="293">
        <f t="shared" ref="CH710:CH716" si="1816">CF710+CG710</f>
        <v>315</v>
      </c>
      <c r="CI710" s="487"/>
      <c r="CJ710" s="626">
        <v>167</v>
      </c>
      <c r="CK710" s="626">
        <v>329</v>
      </c>
      <c r="CL710" s="293">
        <f t="shared" ref="CL710:CL716" si="1817">CJ710+CK710</f>
        <v>496</v>
      </c>
      <c r="CM710" s="487"/>
      <c r="CN710" s="1388">
        <v>56</v>
      </c>
      <c r="CO710" s="1388">
        <v>199</v>
      </c>
      <c r="CP710" s="1010">
        <f t="shared" ref="CP710:CP716" si="1818">CN710+CO710</f>
        <v>255</v>
      </c>
      <c r="CQ710" s="1427"/>
      <c r="CR710" s="1388">
        <v>200</v>
      </c>
      <c r="CS710" s="1497">
        <v>-134</v>
      </c>
      <c r="CT710" s="293">
        <f t="shared" ref="CT710:CT716" si="1819">CR710+CS710</f>
        <v>66</v>
      </c>
      <c r="CU710" s="487"/>
      <c r="CV710" s="1863">
        <v>188</v>
      </c>
      <c r="CW710" s="1488">
        <v>240</v>
      </c>
      <c r="CX710" s="1010">
        <f t="shared" ref="CX710:CX716" si="1820">CV710+CW710</f>
        <v>428</v>
      </c>
      <c r="CY710" s="1427"/>
      <c r="CZ710" s="1863">
        <v>453</v>
      </c>
      <c r="DA710" s="1488">
        <v>520</v>
      </c>
      <c r="DB710" s="1010">
        <f t="shared" ref="DB710:DB716" si="1821">CZ710+DA710</f>
        <v>973</v>
      </c>
      <c r="DC710" s="1427"/>
      <c r="DD710" s="2210">
        <v>457</v>
      </c>
      <c r="DE710" s="2207">
        <v>515</v>
      </c>
      <c r="DF710" s="1010">
        <f t="shared" ref="DF710:DF716" si="1822">DD710+DE710</f>
        <v>972</v>
      </c>
      <c r="DG710" s="487"/>
      <c r="DH710" s="1863">
        <v>430</v>
      </c>
      <c r="DI710" s="293">
        <f>DI731</f>
        <v>421.4</v>
      </c>
      <c r="DJ710" s="293">
        <f t="shared" ref="DJ710:DJ716" si="1823">DH710+DI710</f>
        <v>851.4</v>
      </c>
      <c r="DK710" s="487"/>
      <c r="DL710" s="293">
        <f>DL731</f>
        <v>429.82799999999997</v>
      </c>
      <c r="DM710" s="293">
        <f>DM731</f>
        <v>438.42455999999999</v>
      </c>
      <c r="DN710" s="293">
        <f t="shared" ref="DN710:DN716" si="1824">DL710+DM710</f>
        <v>868.2525599999999</v>
      </c>
      <c r="DO710" s="487"/>
      <c r="DP710" s="293">
        <f>DP731</f>
        <v>447.19305120000001</v>
      </c>
      <c r="DQ710" s="293">
        <f>DQ731</f>
        <v>456.13691222400001</v>
      </c>
      <c r="DR710" s="293">
        <f t="shared" ref="DR710:DR716" si="1825">DP710+DQ710</f>
        <v>903.32996342399997</v>
      </c>
      <c r="DS710" s="487"/>
      <c r="DT710" s="487"/>
      <c r="DU710" s="487"/>
      <c r="DV710" s="487"/>
      <c r="DW710" s="1197" t="s">
        <v>513</v>
      </c>
      <c r="DX710" s="850"/>
      <c r="DY710" s="850"/>
      <c r="DZ710" s="293"/>
      <c r="EA710" s="293"/>
      <c r="EB710" s="293"/>
      <c r="EC710" s="293"/>
      <c r="ED710" s="293"/>
      <c r="EE710" s="293"/>
      <c r="EF710" s="293"/>
      <c r="EG710" s="293"/>
      <c r="EH710" s="293"/>
      <c r="EI710" s="293"/>
      <c r="EJ710" s="293"/>
      <c r="EK710" s="293"/>
      <c r="EL710" s="293"/>
      <c r="EM710" s="293"/>
      <c r="EN710" s="293"/>
      <c r="EO710" s="293"/>
      <c r="EP710" s="293"/>
      <c r="EQ710" s="293"/>
      <c r="ER710" s="293"/>
      <c r="ES710" s="293"/>
      <c r="ET710" s="293"/>
      <c r="EU710" s="293"/>
      <c r="JW710"/>
    </row>
    <row r="711" spans="1:283" s="332" customFormat="1">
      <c r="A711" s="332" t="s">
        <v>566</v>
      </c>
      <c r="AN711" s="626">
        <v>-7</v>
      </c>
      <c r="AO711" s="626">
        <v>-50</v>
      </c>
      <c r="AP711" s="293">
        <f>AN711+AO711</f>
        <v>-57</v>
      </c>
      <c r="AQ711" s="626"/>
      <c r="AR711" s="626">
        <v>-28</v>
      </c>
      <c r="AS711" s="626">
        <v>-60</v>
      </c>
      <c r="AT711" s="293">
        <f>AR711+AS711</f>
        <v>-88</v>
      </c>
      <c r="AU711" s="626"/>
      <c r="AV711" s="626">
        <v>-3</v>
      </c>
      <c r="AW711" s="626">
        <v>42</v>
      </c>
      <c r="AX711" s="293">
        <f t="shared" si="1807"/>
        <v>39</v>
      </c>
      <c r="AY711" s="293"/>
      <c r="AZ711" s="626">
        <v>102</v>
      </c>
      <c r="BA711" s="626">
        <v>-27</v>
      </c>
      <c r="BB711" s="293">
        <f t="shared" si="1808"/>
        <v>75</v>
      </c>
      <c r="BC711" s="293"/>
      <c r="BD711" s="626">
        <v>3</v>
      </c>
      <c r="BE711" s="626">
        <v>0</v>
      </c>
      <c r="BF711" s="293">
        <f t="shared" si="1809"/>
        <v>3</v>
      </c>
      <c r="BG711" s="293"/>
      <c r="BH711" s="626">
        <v>-2</v>
      </c>
      <c r="BI711" s="626">
        <v>-6</v>
      </c>
      <c r="BJ711" s="293">
        <f t="shared" si="1810"/>
        <v>-8</v>
      </c>
      <c r="BK711" s="487"/>
      <c r="BL711" s="626">
        <v>-8</v>
      </c>
      <c r="BM711" s="626">
        <v>7</v>
      </c>
      <c r="BN711" s="293">
        <f t="shared" si="1811"/>
        <v>-1</v>
      </c>
      <c r="BO711" s="487"/>
      <c r="BP711" s="626">
        <v>-12</v>
      </c>
      <c r="BQ711" s="626">
        <v>-16</v>
      </c>
      <c r="BR711" s="293">
        <f t="shared" si="1812"/>
        <v>-28</v>
      </c>
      <c r="BS711" s="487"/>
      <c r="BT711" s="626">
        <v>-5</v>
      </c>
      <c r="BU711" s="626">
        <v>2</v>
      </c>
      <c r="BV711" s="293">
        <f t="shared" si="1813"/>
        <v>-3</v>
      </c>
      <c r="BW711" s="293"/>
      <c r="BX711" s="626">
        <v>-2</v>
      </c>
      <c r="BY711" s="626">
        <v>-3</v>
      </c>
      <c r="BZ711" s="293">
        <f t="shared" si="1814"/>
        <v>-5</v>
      </c>
      <c r="CA711" s="293"/>
      <c r="CB711" s="626">
        <v>-6</v>
      </c>
      <c r="CC711" s="626">
        <v>-9</v>
      </c>
      <c r="CD711" s="293">
        <f t="shared" si="1815"/>
        <v>-15</v>
      </c>
      <c r="CE711" s="293"/>
      <c r="CF711" s="626">
        <v>-12</v>
      </c>
      <c r="CG711" s="626">
        <v>-13</v>
      </c>
      <c r="CH711" s="293">
        <f t="shared" si="1816"/>
        <v>-25</v>
      </c>
      <c r="CI711" s="293"/>
      <c r="CJ711" s="626">
        <v>-21</v>
      </c>
      <c r="CK711" s="626">
        <v>-16</v>
      </c>
      <c r="CL711" s="293">
        <f t="shared" si="1817"/>
        <v>-37</v>
      </c>
      <c r="CM711" s="293"/>
      <c r="CN711" s="1388">
        <v>-17</v>
      </c>
      <c r="CO711" s="1388">
        <v>-19</v>
      </c>
      <c r="CP711" s="1010">
        <f t="shared" si="1818"/>
        <v>-36</v>
      </c>
      <c r="CQ711" s="1010"/>
      <c r="CR711" s="1388">
        <v>-10</v>
      </c>
      <c r="CS711" s="1497">
        <v>-23</v>
      </c>
      <c r="CT711" s="293">
        <f t="shared" si="1819"/>
        <v>-33</v>
      </c>
      <c r="CU711" s="293"/>
      <c r="CV711" s="1863">
        <v>-19</v>
      </c>
      <c r="CW711" s="1488">
        <v>-9</v>
      </c>
      <c r="CX711" s="1010">
        <f t="shared" si="1820"/>
        <v>-28</v>
      </c>
      <c r="CY711" s="1010"/>
      <c r="CZ711" s="1863">
        <v>-16</v>
      </c>
      <c r="DA711" s="1488">
        <v>-17</v>
      </c>
      <c r="DB711" s="1010">
        <f t="shared" si="1821"/>
        <v>-33</v>
      </c>
      <c r="DC711" s="1010"/>
      <c r="DD711" s="2210">
        <v>-11</v>
      </c>
      <c r="DE711" s="2207">
        <v>-4</v>
      </c>
      <c r="DF711" s="1010">
        <f t="shared" si="1822"/>
        <v>-15</v>
      </c>
      <c r="DG711" s="293"/>
      <c r="DH711" s="1863">
        <v>-11</v>
      </c>
      <c r="DI711" s="293">
        <f>+DI742</f>
        <v>-20</v>
      </c>
      <c r="DJ711" s="293">
        <f t="shared" si="1823"/>
        <v>-31</v>
      </c>
      <c r="DK711" s="293"/>
      <c r="DL711" s="293">
        <f>+DL742</f>
        <v>-15</v>
      </c>
      <c r="DM711" s="293">
        <f>+DM742</f>
        <v>-20</v>
      </c>
      <c r="DN711" s="293">
        <f t="shared" si="1824"/>
        <v>-35</v>
      </c>
      <c r="DO711" s="293"/>
      <c r="DP711" s="293">
        <f>+DP742</f>
        <v>-15</v>
      </c>
      <c r="DQ711" s="293">
        <f>+DQ742</f>
        <v>-20</v>
      </c>
      <c r="DR711" s="293">
        <f t="shared" si="1825"/>
        <v>-35</v>
      </c>
      <c r="DS711" s="293"/>
      <c r="DT711" s="293"/>
      <c r="DU711" s="293"/>
      <c r="DV711" s="293"/>
      <c r="DW711" s="1197" t="s">
        <v>513</v>
      </c>
      <c r="DX711" s="293"/>
      <c r="DY711" s="293"/>
      <c r="DZ711" s="293"/>
      <c r="EA711" s="293"/>
      <c r="EB711" s="293"/>
      <c r="EC711" s="293"/>
      <c r="ED711" s="293"/>
      <c r="EE711" s="293"/>
      <c r="EF711" s="293"/>
      <c r="EG711" s="293"/>
      <c r="EH711" s="293"/>
      <c r="EI711" s="293"/>
      <c r="EJ711" s="293"/>
      <c r="EK711" s="293"/>
      <c r="EL711" s="293"/>
      <c r="EM711" s="293"/>
      <c r="EN711" s="293"/>
      <c r="EO711" s="293"/>
      <c r="EP711" s="293"/>
      <c r="EQ711" s="293"/>
      <c r="ER711" s="293"/>
      <c r="ES711" s="293"/>
      <c r="ET711" s="293"/>
      <c r="EU711" s="293"/>
      <c r="JW711"/>
    </row>
    <row r="712" spans="1:283" s="332" customFormat="1">
      <c r="A712" s="332" t="s">
        <v>651</v>
      </c>
      <c r="AN712" s="626">
        <v>-38</v>
      </c>
      <c r="AO712" s="626">
        <v>32</v>
      </c>
      <c r="AP712" s="293">
        <f>AN712+AO712</f>
        <v>-6</v>
      </c>
      <c r="AQ712" s="626"/>
      <c r="AR712" s="626">
        <v>16</v>
      </c>
      <c r="AS712" s="626">
        <v>188</v>
      </c>
      <c r="AT712" s="293">
        <f>AR712+AS712</f>
        <v>204</v>
      </c>
      <c r="AU712" s="626"/>
      <c r="AV712" s="626">
        <v>-275</v>
      </c>
      <c r="AW712" s="626">
        <v>-108</v>
      </c>
      <c r="AX712" s="293">
        <f t="shared" si="1807"/>
        <v>-383</v>
      </c>
      <c r="AY712" s="626"/>
      <c r="AZ712" s="626">
        <v>48</v>
      </c>
      <c r="BA712" s="927">
        <v>-77</v>
      </c>
      <c r="BB712" s="293">
        <f t="shared" si="1808"/>
        <v>-29</v>
      </c>
      <c r="BC712" s="293"/>
      <c r="BD712" s="626">
        <f>-56-BD710</f>
        <v>0</v>
      </c>
      <c r="BE712" s="626">
        <f>36-BE710</f>
        <v>0</v>
      </c>
      <c r="BF712" s="293">
        <f t="shared" si="1809"/>
        <v>0</v>
      </c>
      <c r="BG712" s="293"/>
      <c r="BH712" s="626">
        <v>0</v>
      </c>
      <c r="BI712" s="626">
        <v>0</v>
      </c>
      <c r="BJ712" s="293">
        <f t="shared" si="1810"/>
        <v>0</v>
      </c>
      <c r="BK712" s="487"/>
      <c r="BL712" s="626">
        <v>0</v>
      </c>
      <c r="BM712" s="626">
        <v>0</v>
      </c>
      <c r="BN712" s="293">
        <f t="shared" si="1811"/>
        <v>0</v>
      </c>
      <c r="BO712" s="487"/>
      <c r="BP712" s="626">
        <v>0</v>
      </c>
      <c r="BQ712" s="626">
        <v>0</v>
      </c>
      <c r="BR712" s="293">
        <f t="shared" si="1812"/>
        <v>0</v>
      </c>
      <c r="BS712" s="487"/>
      <c r="BT712" s="626">
        <v>0</v>
      </c>
      <c r="BU712" s="626">
        <v>0</v>
      </c>
      <c r="BV712" s="293">
        <f t="shared" si="1813"/>
        <v>0</v>
      </c>
      <c r="BW712" s="293"/>
      <c r="BX712" s="626">
        <v>0</v>
      </c>
      <c r="BY712" s="626">
        <v>0</v>
      </c>
      <c r="BZ712" s="293">
        <f t="shared" si="1814"/>
        <v>0</v>
      </c>
      <c r="CA712" s="293"/>
      <c r="CB712" s="626">
        <v>0</v>
      </c>
      <c r="CC712" s="626">
        <v>0</v>
      </c>
      <c r="CD712" s="293">
        <f t="shared" si="1815"/>
        <v>0</v>
      </c>
      <c r="CE712" s="293"/>
      <c r="CF712" s="626">
        <v>0</v>
      </c>
      <c r="CG712" s="626">
        <v>0</v>
      </c>
      <c r="CH712" s="293">
        <f t="shared" si="1816"/>
        <v>0</v>
      </c>
      <c r="CI712" s="293"/>
      <c r="CJ712" s="626">
        <v>0</v>
      </c>
      <c r="CK712" s="626">
        <v>0</v>
      </c>
      <c r="CL712" s="293">
        <f t="shared" si="1817"/>
        <v>0</v>
      </c>
      <c r="CM712" s="293"/>
      <c r="CN712" s="1388">
        <v>0</v>
      </c>
      <c r="CO712" s="1388">
        <v>0</v>
      </c>
      <c r="CP712" s="1010">
        <f t="shared" si="1818"/>
        <v>0</v>
      </c>
      <c r="CQ712" s="1010"/>
      <c r="CR712" s="1388">
        <v>0</v>
      </c>
      <c r="CS712" s="1497">
        <v>0</v>
      </c>
      <c r="CT712" s="293">
        <f t="shared" si="1819"/>
        <v>0</v>
      </c>
      <c r="CU712" s="293"/>
      <c r="CV712" s="1388">
        <v>0</v>
      </c>
      <c r="CW712" s="1488">
        <v>0</v>
      </c>
      <c r="CX712" s="1010">
        <f t="shared" si="1820"/>
        <v>0</v>
      </c>
      <c r="CY712" s="1010"/>
      <c r="CZ712" s="1863">
        <v>0</v>
      </c>
      <c r="DA712" s="1488">
        <v>0</v>
      </c>
      <c r="DB712" s="1010">
        <f t="shared" si="1821"/>
        <v>0</v>
      </c>
      <c r="DC712" s="1010"/>
      <c r="DD712" s="1863">
        <v>0</v>
      </c>
      <c r="DE712" s="1497">
        <v>0</v>
      </c>
      <c r="DF712" s="1010">
        <f t="shared" si="1822"/>
        <v>0</v>
      </c>
      <c r="DG712" s="293"/>
      <c r="DH712" s="1863">
        <v>0</v>
      </c>
      <c r="DI712" s="293">
        <f>DI732</f>
        <v>0</v>
      </c>
      <c r="DJ712" s="293">
        <f t="shared" si="1823"/>
        <v>0</v>
      </c>
      <c r="DK712" s="293"/>
      <c r="DL712" s="293">
        <f>DL732</f>
        <v>0</v>
      </c>
      <c r="DM712" s="293">
        <f>DM732</f>
        <v>0</v>
      </c>
      <c r="DN712" s="293">
        <f t="shared" si="1824"/>
        <v>0</v>
      </c>
      <c r="DO712" s="293"/>
      <c r="DP712" s="293">
        <f>DP732</f>
        <v>0</v>
      </c>
      <c r="DQ712" s="293">
        <f>DQ732</f>
        <v>0</v>
      </c>
      <c r="DR712" s="293">
        <f t="shared" si="1825"/>
        <v>0</v>
      </c>
      <c r="DS712" s="293"/>
      <c r="DT712" s="293"/>
      <c r="DU712" s="293"/>
      <c r="DV712" s="293"/>
      <c r="DW712" s="992" t="s">
        <v>513</v>
      </c>
      <c r="DX712" s="293"/>
      <c r="DY712" s="293"/>
      <c r="DZ712" s="303"/>
      <c r="EA712" s="303"/>
      <c r="EB712" s="303"/>
      <c r="EC712" s="303"/>
      <c r="ED712" s="303"/>
      <c r="EE712" s="303"/>
      <c r="EF712" s="303"/>
      <c r="EG712" s="303"/>
      <c r="EH712" s="303"/>
      <c r="EI712" s="303"/>
      <c r="EJ712" s="303"/>
      <c r="EK712" s="303"/>
      <c r="EL712" s="303"/>
      <c r="EM712" s="303"/>
      <c r="EN712" s="303"/>
      <c r="EO712" s="303"/>
      <c r="EP712" s="303"/>
      <c r="EQ712" s="303"/>
      <c r="ER712" s="303"/>
      <c r="ES712" s="303"/>
      <c r="ET712" s="303"/>
      <c r="EU712" s="303"/>
      <c r="JW712"/>
    </row>
    <row r="713" spans="1:283" s="332" customFormat="1">
      <c r="A713" s="332" t="s">
        <v>652</v>
      </c>
      <c r="AN713" s="293"/>
      <c r="AO713" s="293"/>
      <c r="AP713" s="293"/>
      <c r="AQ713" s="293"/>
      <c r="AR713" s="626">
        <v>4</v>
      </c>
      <c r="AS713" s="626">
        <v>3</v>
      </c>
      <c r="AT713" s="293">
        <f>AR713+AS713</f>
        <v>7</v>
      </c>
      <c r="AU713" s="626"/>
      <c r="AV713" s="626">
        <v>-4</v>
      </c>
      <c r="AW713" s="626">
        <v>-3</v>
      </c>
      <c r="AX713" s="293">
        <f t="shared" si="1807"/>
        <v>-7</v>
      </c>
      <c r="AY713" s="626"/>
      <c r="AZ713" s="626">
        <v>16</v>
      </c>
      <c r="BA713" s="927">
        <v>4</v>
      </c>
      <c r="BB713" s="293">
        <f t="shared" si="1808"/>
        <v>20</v>
      </c>
      <c r="BC713" s="293"/>
      <c r="BD713" s="626">
        <v>5</v>
      </c>
      <c r="BE713" s="626">
        <v>12</v>
      </c>
      <c r="BF713" s="293">
        <f t="shared" si="1809"/>
        <v>17</v>
      </c>
      <c r="BG713" s="293"/>
      <c r="BH713" s="626">
        <v>3</v>
      </c>
      <c r="BI713" s="626">
        <v>12</v>
      </c>
      <c r="BJ713" s="293">
        <f t="shared" si="1810"/>
        <v>15</v>
      </c>
      <c r="BK713" s="487"/>
      <c r="BL713" s="626">
        <v>8</v>
      </c>
      <c r="BM713" s="626">
        <v>-6</v>
      </c>
      <c r="BN713" s="293">
        <f t="shared" si="1811"/>
        <v>2</v>
      </c>
      <c r="BO713" s="487"/>
      <c r="BP713" s="626">
        <v>-16</v>
      </c>
      <c r="BQ713" s="626">
        <v>-10</v>
      </c>
      <c r="BR713" s="293">
        <f t="shared" si="1812"/>
        <v>-26</v>
      </c>
      <c r="BS713" s="487"/>
      <c r="BT713" s="626">
        <v>-8</v>
      </c>
      <c r="BU713" s="626">
        <v>30</v>
      </c>
      <c r="BV713" s="293">
        <f t="shared" si="1813"/>
        <v>22</v>
      </c>
      <c r="BW713" s="293"/>
      <c r="BX713" s="626">
        <v>-20</v>
      </c>
      <c r="BY713" s="626">
        <v>-8</v>
      </c>
      <c r="BZ713" s="293">
        <f t="shared" si="1814"/>
        <v>-28</v>
      </c>
      <c r="CA713" s="293"/>
      <c r="CB713" s="626">
        <v>0</v>
      </c>
      <c r="CC713" s="626">
        <v>1</v>
      </c>
      <c r="CD713" s="293">
        <f t="shared" si="1815"/>
        <v>1</v>
      </c>
      <c r="CE713" s="293"/>
      <c r="CF713" s="626">
        <v>0</v>
      </c>
      <c r="CG713" s="626">
        <v>-7</v>
      </c>
      <c r="CH713" s="293">
        <f t="shared" si="1816"/>
        <v>-7</v>
      </c>
      <c r="CI713" s="293"/>
      <c r="CJ713" s="626">
        <v>-1</v>
      </c>
      <c r="CK713" s="626">
        <v>44</v>
      </c>
      <c r="CL713" s="293">
        <f t="shared" si="1817"/>
        <v>43</v>
      </c>
      <c r="CM713" s="293"/>
      <c r="CN713" s="1388">
        <v>6</v>
      </c>
      <c r="CO713" s="1388">
        <v>-2</v>
      </c>
      <c r="CP713" s="1010">
        <f t="shared" si="1818"/>
        <v>4</v>
      </c>
      <c r="CQ713" s="1010"/>
      <c r="CR713" s="1388">
        <v>0</v>
      </c>
      <c r="CS713" s="1497">
        <v>1</v>
      </c>
      <c r="CT713" s="293">
        <f t="shared" si="1819"/>
        <v>1</v>
      </c>
      <c r="CU713" s="293"/>
      <c r="CV713" s="1388">
        <v>0</v>
      </c>
      <c r="CW713" s="1488">
        <v>0</v>
      </c>
      <c r="CX713" s="1010">
        <f t="shared" si="1820"/>
        <v>0</v>
      </c>
      <c r="CY713" s="1010"/>
      <c r="CZ713" s="1863">
        <v>0</v>
      </c>
      <c r="DA713" s="1488">
        <v>-1</v>
      </c>
      <c r="DB713" s="1010">
        <f t="shared" si="1821"/>
        <v>-1</v>
      </c>
      <c r="DC713" s="1010"/>
      <c r="DD713" s="2210">
        <v>13</v>
      </c>
      <c r="DE713" s="2207">
        <v>-1</v>
      </c>
      <c r="DF713" s="1010">
        <f t="shared" si="1822"/>
        <v>12</v>
      </c>
      <c r="DG713" s="293"/>
      <c r="DH713" s="1863">
        <v>0</v>
      </c>
      <c r="DI713" s="841">
        <f>'P&amp;L'!DI422</f>
        <v>0</v>
      </c>
      <c r="DJ713" s="293">
        <f t="shared" si="1823"/>
        <v>0</v>
      </c>
      <c r="DK713" s="293"/>
      <c r="DL713" s="841">
        <f>'P&amp;L'!DL422</f>
        <v>0</v>
      </c>
      <c r="DM713" s="841">
        <f>'P&amp;L'!DM422</f>
        <v>0</v>
      </c>
      <c r="DN713" s="293">
        <f t="shared" si="1824"/>
        <v>0</v>
      </c>
      <c r="DO713" s="293"/>
      <c r="DP713" s="841">
        <f>'P&amp;L'!DP422</f>
        <v>0</v>
      </c>
      <c r="DQ713" s="841">
        <f>'P&amp;L'!DQ422</f>
        <v>0</v>
      </c>
      <c r="DR713" s="293">
        <f t="shared" si="1825"/>
        <v>0</v>
      </c>
      <c r="DS713" s="293"/>
      <c r="DT713" s="293"/>
      <c r="DU713" s="293"/>
      <c r="DV713" s="293"/>
      <c r="DW713" s="1198" t="s">
        <v>174</v>
      </c>
      <c r="DX713" s="293"/>
      <c r="DY713" s="293"/>
      <c r="DZ713" s="293"/>
      <c r="EA713" s="293"/>
      <c r="EB713" s="293"/>
      <c r="EC713" s="293"/>
      <c r="ED713" s="293"/>
      <c r="EE713" s="293"/>
      <c r="EF713" s="293"/>
      <c r="EG713" s="293"/>
      <c r="EH713" s="293"/>
      <c r="EI713" s="293"/>
      <c r="EJ713" s="293"/>
      <c r="EK713" s="293"/>
      <c r="EL713" s="293"/>
      <c r="EM713" s="293"/>
      <c r="EN713" s="293"/>
      <c r="EO713" s="293"/>
      <c r="EP713" s="293"/>
      <c r="EQ713" s="293"/>
      <c r="ER713" s="293"/>
      <c r="ES713" s="293"/>
      <c r="ET713" s="293"/>
      <c r="EU713" s="293"/>
      <c r="JW713"/>
    </row>
    <row r="714" spans="1:283" s="332" customFormat="1">
      <c r="A714" s="332" t="s">
        <v>621</v>
      </c>
      <c r="AN714" s="293"/>
      <c r="AO714" s="293"/>
      <c r="AP714" s="293"/>
      <c r="AQ714" s="626"/>
      <c r="AR714" s="293"/>
      <c r="AS714" s="293"/>
      <c r="AT714" s="293"/>
      <c r="AU714" s="626"/>
      <c r="AV714" s="818">
        <f>AV761</f>
        <v>216</v>
      </c>
      <c r="AW714" s="818">
        <f>AW761</f>
        <v>40</v>
      </c>
      <c r="AX714" s="293">
        <f t="shared" si="1807"/>
        <v>256</v>
      </c>
      <c r="AY714" s="626"/>
      <c r="AZ714" s="818">
        <f>AZ761</f>
        <v>151</v>
      </c>
      <c r="BA714" s="818">
        <f>BA761</f>
        <v>53</v>
      </c>
      <c r="BB714" s="293">
        <f t="shared" si="1808"/>
        <v>204</v>
      </c>
      <c r="BC714" s="293"/>
      <c r="BD714" s="818">
        <f>BD761</f>
        <v>91</v>
      </c>
      <c r="BE714" s="818">
        <f>BE761</f>
        <v>183</v>
      </c>
      <c r="BF714" s="293">
        <f t="shared" si="1809"/>
        <v>274</v>
      </c>
      <c r="BG714" s="293"/>
      <c r="BH714" s="818">
        <f>BH761</f>
        <v>-10</v>
      </c>
      <c r="BI714" s="818">
        <f>BI761</f>
        <v>105</v>
      </c>
      <c r="BJ714" s="293">
        <f t="shared" si="1810"/>
        <v>95</v>
      </c>
      <c r="BK714" s="487"/>
      <c r="BL714" s="818">
        <f>BL761</f>
        <v>12</v>
      </c>
      <c r="BM714" s="818">
        <f>BM761</f>
        <v>219</v>
      </c>
      <c r="BN714" s="293">
        <f t="shared" si="1811"/>
        <v>231</v>
      </c>
      <c r="BO714" s="487"/>
      <c r="BP714" s="818">
        <f>BP761</f>
        <v>6</v>
      </c>
      <c r="BQ714" s="818">
        <f>BQ761</f>
        <v>-149</v>
      </c>
      <c r="BR714" s="293">
        <f t="shared" si="1812"/>
        <v>-143</v>
      </c>
      <c r="BS714" s="487"/>
      <c r="BT714" s="818">
        <f>BT761</f>
        <v>-97</v>
      </c>
      <c r="BU714" s="818">
        <f>BU761</f>
        <v>51</v>
      </c>
      <c r="BV714" s="293">
        <f t="shared" si="1813"/>
        <v>-46</v>
      </c>
      <c r="BW714" s="293"/>
      <c r="BX714" s="818">
        <f>BX761</f>
        <v>37</v>
      </c>
      <c r="BY714" s="818">
        <f>BY761</f>
        <v>64</v>
      </c>
      <c r="BZ714" s="293">
        <f t="shared" si="1814"/>
        <v>101</v>
      </c>
      <c r="CA714" s="293"/>
      <c r="CB714" s="818">
        <f>CB761</f>
        <v>-113</v>
      </c>
      <c r="CC714" s="818">
        <f>CC761</f>
        <v>60</v>
      </c>
      <c r="CD714" s="293">
        <f t="shared" si="1815"/>
        <v>-53</v>
      </c>
      <c r="CE714" s="293"/>
      <c r="CF714" s="818">
        <f>CF761</f>
        <v>-89</v>
      </c>
      <c r="CG714" s="818">
        <f>CG761</f>
        <v>8</v>
      </c>
      <c r="CH714" s="293">
        <f t="shared" si="1816"/>
        <v>-81</v>
      </c>
      <c r="CI714" s="293"/>
      <c r="CJ714" s="818">
        <f>CJ761</f>
        <v>26</v>
      </c>
      <c r="CK714" s="818">
        <f>CK761</f>
        <v>-156</v>
      </c>
      <c r="CL714" s="293">
        <f t="shared" si="1817"/>
        <v>-130</v>
      </c>
      <c r="CM714" s="293"/>
      <c r="CN714" s="1426">
        <f>CN761</f>
        <v>-40</v>
      </c>
      <c r="CO714" s="1426">
        <f>CO761</f>
        <v>91</v>
      </c>
      <c r="CP714" s="1010">
        <f t="shared" si="1818"/>
        <v>51</v>
      </c>
      <c r="CQ714" s="1010"/>
      <c r="CR714" s="1426">
        <f>CR761</f>
        <v>-11</v>
      </c>
      <c r="CS714" s="1409">
        <f>CS761</f>
        <v>17</v>
      </c>
      <c r="CT714" s="293">
        <f t="shared" si="1819"/>
        <v>6</v>
      </c>
      <c r="CU714" s="293"/>
      <c r="CV714" s="1426">
        <f>CV761</f>
        <v>-24</v>
      </c>
      <c r="CW714" s="1887">
        <f>CW761</f>
        <v>-9</v>
      </c>
      <c r="CX714" s="1010">
        <f t="shared" si="1820"/>
        <v>-33</v>
      </c>
      <c r="CY714" s="1010"/>
      <c r="CZ714" s="1866">
        <f>CZ761</f>
        <v>35</v>
      </c>
      <c r="DA714" s="1887">
        <f>DA761</f>
        <v>55</v>
      </c>
      <c r="DB714" s="1010">
        <f t="shared" si="1821"/>
        <v>90</v>
      </c>
      <c r="DC714" s="1010"/>
      <c r="DD714" s="1866">
        <f>DD761</f>
        <v>118</v>
      </c>
      <c r="DE714" s="1887">
        <f>DE761</f>
        <v>-310</v>
      </c>
      <c r="DF714" s="1010">
        <f t="shared" si="1822"/>
        <v>-192</v>
      </c>
      <c r="DG714" s="293"/>
      <c r="DH714" s="1866">
        <f>DH761</f>
        <v>-212</v>
      </c>
      <c r="DI714" s="818">
        <f>DI761</f>
        <v>-57.817599999999999</v>
      </c>
      <c r="DJ714" s="293">
        <f t="shared" si="1823"/>
        <v>-269.81759999999997</v>
      </c>
      <c r="DK714" s="293"/>
      <c r="DL714" s="818">
        <f>DL761</f>
        <v>-100</v>
      </c>
      <c r="DM714" s="818">
        <f>DM761</f>
        <v>-95</v>
      </c>
      <c r="DN714" s="293">
        <f t="shared" si="1824"/>
        <v>-195</v>
      </c>
      <c r="DO714" s="293"/>
      <c r="DP714" s="818">
        <f>DP761</f>
        <v>-45</v>
      </c>
      <c r="DQ714" s="818">
        <f>DQ761</f>
        <v>-50</v>
      </c>
      <c r="DR714" s="293">
        <f t="shared" si="1825"/>
        <v>-95</v>
      </c>
      <c r="DS714" s="293"/>
      <c r="DT714" s="293"/>
      <c r="DU714" s="293"/>
      <c r="DV714" s="293"/>
      <c r="DW714" s="1197" t="s">
        <v>513</v>
      </c>
      <c r="DX714" s="818"/>
      <c r="DY714" s="818"/>
      <c r="DZ714" s="293"/>
      <c r="EA714" s="818"/>
      <c r="EB714" s="818"/>
      <c r="EC714" s="293"/>
      <c r="ED714" s="293"/>
      <c r="EE714" s="818"/>
      <c r="EF714" s="818"/>
      <c r="EG714" s="293"/>
      <c r="EH714" s="293"/>
      <c r="EI714" s="818"/>
      <c r="EJ714" s="818"/>
      <c r="EK714" s="293"/>
      <c r="EL714" s="293"/>
      <c r="EM714" s="293"/>
      <c r="EN714" s="293"/>
      <c r="EO714" s="293"/>
      <c r="EP714" s="293"/>
      <c r="EQ714" s="293"/>
      <c r="ER714" s="293"/>
      <c r="ES714" s="293"/>
      <c r="ET714" s="293"/>
      <c r="EU714" s="293"/>
      <c r="JW714"/>
    </row>
    <row r="715" spans="1:283" s="332" customFormat="1">
      <c r="A715" s="332" t="s">
        <v>567</v>
      </c>
      <c r="AN715" s="293"/>
      <c r="AO715" s="293"/>
      <c r="AP715" s="293"/>
      <c r="AQ715" s="293"/>
      <c r="AR715" s="626">
        <v>-182</v>
      </c>
      <c r="AS715" s="626">
        <v>-248</v>
      </c>
      <c r="AT715" s="293">
        <f>AR715+AS715</f>
        <v>-430</v>
      </c>
      <c r="AU715" s="626"/>
      <c r="AV715" s="626">
        <v>-114</v>
      </c>
      <c r="AW715" s="626">
        <v>-127</v>
      </c>
      <c r="AX715" s="293">
        <f t="shared" si="1807"/>
        <v>-241</v>
      </c>
      <c r="AY715" s="293"/>
      <c r="AZ715" s="626">
        <v>-55</v>
      </c>
      <c r="BA715" s="927">
        <v>-67</v>
      </c>
      <c r="BB715" s="293">
        <f t="shared" si="1808"/>
        <v>-122</v>
      </c>
      <c r="BC715" s="293"/>
      <c r="BD715" s="626">
        <v>-39</v>
      </c>
      <c r="BE715" s="626">
        <v>-44</v>
      </c>
      <c r="BF715" s="293">
        <f t="shared" si="1809"/>
        <v>-83</v>
      </c>
      <c r="BG715" s="293"/>
      <c r="BH715" s="626">
        <v>-30</v>
      </c>
      <c r="BI715" s="626">
        <v>-36</v>
      </c>
      <c r="BJ715" s="293">
        <f t="shared" si="1810"/>
        <v>-66</v>
      </c>
      <c r="BK715" s="487"/>
      <c r="BL715" s="626">
        <v>-21</v>
      </c>
      <c r="BM715" s="626">
        <v>-16</v>
      </c>
      <c r="BN715" s="293">
        <f t="shared" si="1811"/>
        <v>-37</v>
      </c>
      <c r="BO715" s="487"/>
      <c r="BP715" s="626">
        <v>4</v>
      </c>
      <c r="BQ715" s="626">
        <v>9</v>
      </c>
      <c r="BR715" s="293">
        <f t="shared" si="1812"/>
        <v>13</v>
      </c>
      <c r="BS715" s="487"/>
      <c r="BT715" s="626">
        <v>2</v>
      </c>
      <c r="BU715" s="626">
        <v>-78</v>
      </c>
      <c r="BV715" s="293">
        <f t="shared" si="1813"/>
        <v>-76</v>
      </c>
      <c r="BW715" s="293"/>
      <c r="BX715" s="626">
        <v>-36</v>
      </c>
      <c r="BY715" s="626">
        <v>-58</v>
      </c>
      <c r="BZ715" s="293">
        <f t="shared" si="1814"/>
        <v>-94</v>
      </c>
      <c r="CA715" s="293"/>
      <c r="CB715" s="626">
        <v>-12</v>
      </c>
      <c r="CC715" s="626">
        <v>-69</v>
      </c>
      <c r="CD715" s="293">
        <f t="shared" si="1815"/>
        <v>-81</v>
      </c>
      <c r="CE715" s="293"/>
      <c r="CF715" s="626">
        <v>-22</v>
      </c>
      <c r="CG715" s="626">
        <v>-124</v>
      </c>
      <c r="CH715" s="293">
        <f t="shared" si="1816"/>
        <v>-146</v>
      </c>
      <c r="CI715" s="293"/>
      <c r="CJ715" s="626">
        <v>-42</v>
      </c>
      <c r="CK715" s="626">
        <v>-125</v>
      </c>
      <c r="CL715" s="293">
        <f t="shared" si="1817"/>
        <v>-167</v>
      </c>
      <c r="CM715" s="293"/>
      <c r="CN715" s="1388">
        <v>-4</v>
      </c>
      <c r="CO715" s="1388">
        <v>-54</v>
      </c>
      <c r="CP715" s="1010">
        <f t="shared" si="1818"/>
        <v>-58</v>
      </c>
      <c r="CQ715" s="1010"/>
      <c r="CR715" s="1388">
        <v>-51</v>
      </c>
      <c r="CS715" s="1497">
        <v>-2</v>
      </c>
      <c r="CT715" s="293">
        <f t="shared" si="1819"/>
        <v>-53</v>
      </c>
      <c r="CU715" s="293"/>
      <c r="CV715" s="1388">
        <v>-75</v>
      </c>
      <c r="CW715" s="1488">
        <v>-25</v>
      </c>
      <c r="CX715" s="1010">
        <f t="shared" si="1820"/>
        <v>-100</v>
      </c>
      <c r="CY715" s="1010"/>
      <c r="CZ715" s="1863">
        <v>-13</v>
      </c>
      <c r="DA715" s="1488">
        <v>-26</v>
      </c>
      <c r="DB715" s="1010">
        <f t="shared" si="1821"/>
        <v>-39</v>
      </c>
      <c r="DC715" s="1010"/>
      <c r="DD715" s="2210">
        <v>-28</v>
      </c>
      <c r="DE715" s="2207">
        <v>-24</v>
      </c>
      <c r="DF715" s="1010">
        <f t="shared" si="1822"/>
        <v>-52</v>
      </c>
      <c r="DG715" s="293"/>
      <c r="DH715" s="1863">
        <v>-40</v>
      </c>
      <c r="DI715" s="841">
        <f>'P&amp;L'!DI676</f>
        <v>-41.2</v>
      </c>
      <c r="DJ715" s="293">
        <f t="shared" si="1823"/>
        <v>-81.2</v>
      </c>
      <c r="DK715" s="293"/>
      <c r="DL715" s="841">
        <f>'P&amp;L'!DL676</f>
        <v>-42.436000000000007</v>
      </c>
      <c r="DM715" s="841">
        <f>'P&amp;L'!DM676</f>
        <v>-43.709080000000014</v>
      </c>
      <c r="DN715" s="293">
        <f t="shared" si="1824"/>
        <v>-86.145080000000021</v>
      </c>
      <c r="DO715" s="293"/>
      <c r="DP715" s="841">
        <f>'P&amp;L'!DP676</f>
        <v>-45.020352400000007</v>
      </c>
      <c r="DQ715" s="841">
        <f>'P&amp;L'!DQ676</f>
        <v>-46.370962972000008</v>
      </c>
      <c r="DR715" s="293">
        <f t="shared" si="1825"/>
        <v>-91.391315372000008</v>
      </c>
      <c r="DS715" s="293"/>
      <c r="DT715" s="293"/>
      <c r="DU715" s="293"/>
      <c r="DV715" s="293"/>
      <c r="DW715" s="1198" t="s">
        <v>174</v>
      </c>
      <c r="DX715" s="293"/>
      <c r="DY715" s="293"/>
      <c r="DZ715" s="293"/>
      <c r="EA715" s="293"/>
      <c r="EB715" s="293"/>
      <c r="EC715" s="293"/>
      <c r="ED715" s="293"/>
      <c r="EE715" s="293"/>
      <c r="EF715" s="293"/>
      <c r="EG715" s="293"/>
      <c r="EH715" s="293"/>
      <c r="EI715" s="293"/>
      <c r="EJ715" s="293"/>
      <c r="EK715" s="293"/>
      <c r="EL715" s="293"/>
      <c r="EM715" s="293"/>
      <c r="EN715" s="293"/>
      <c r="EO715" s="293"/>
      <c r="EP715" s="293"/>
      <c r="EQ715" s="293"/>
      <c r="ER715" s="293"/>
      <c r="ES715" s="293"/>
      <c r="ET715" s="293"/>
      <c r="EU715" s="293"/>
      <c r="JW715"/>
    </row>
    <row r="716" spans="1:283" s="332" customFormat="1">
      <c r="A716" s="327" t="s">
        <v>568</v>
      </c>
      <c r="AN716" s="295">
        <f>SUM(AN710:AN715)</f>
        <v>328</v>
      </c>
      <c r="AO716" s="295">
        <f>SUM(AO710:AO715)</f>
        <v>477</v>
      </c>
      <c r="AP716" s="295">
        <f>AN716+AO716</f>
        <v>805</v>
      </c>
      <c r="AQ716" s="295"/>
      <c r="AR716" s="295">
        <f>SUM(AR710:AR715)</f>
        <v>223</v>
      </c>
      <c r="AS716" s="295">
        <f>SUM(AS710:AS715)</f>
        <v>127</v>
      </c>
      <c r="AT716" s="295">
        <f>AR716+AS716</f>
        <v>350</v>
      </c>
      <c r="AU716" s="295"/>
      <c r="AV716" s="295">
        <f>SUM(AV710:AV715)</f>
        <v>-67</v>
      </c>
      <c r="AW716" s="295">
        <f>SUM(AW710:AW715)</f>
        <v>61</v>
      </c>
      <c r="AX716" s="295">
        <f t="shared" si="1807"/>
        <v>-6</v>
      </c>
      <c r="AY716" s="295"/>
      <c r="AZ716" s="295">
        <f>SUM(AZ710:AZ715)</f>
        <v>388</v>
      </c>
      <c r="BA716" s="295">
        <f>SUM(BA710:BA715)</f>
        <v>-36</v>
      </c>
      <c r="BB716" s="295">
        <f t="shared" si="1808"/>
        <v>352</v>
      </c>
      <c r="BC716" s="295"/>
      <c r="BD716" s="295">
        <f>SUM(BD710:BD715)</f>
        <v>4</v>
      </c>
      <c r="BE716" s="295">
        <f>SUM(BE710:BE715)</f>
        <v>187</v>
      </c>
      <c r="BF716" s="295">
        <f t="shared" si="1809"/>
        <v>191</v>
      </c>
      <c r="BG716" s="293"/>
      <c r="BH716" s="295">
        <f>SUM(BH710:BH715)</f>
        <v>29</v>
      </c>
      <c r="BI716" s="295">
        <f>SUM(BI710:BI715)</f>
        <v>140</v>
      </c>
      <c r="BJ716" s="295">
        <f t="shared" si="1810"/>
        <v>169</v>
      </c>
      <c r="BK716" s="487"/>
      <c r="BL716" s="295">
        <f>SUM(BL710:BL715)</f>
        <v>66</v>
      </c>
      <c r="BM716" s="295">
        <f>SUM(BM710:BM715)</f>
        <v>247</v>
      </c>
      <c r="BN716" s="295">
        <f t="shared" si="1811"/>
        <v>313</v>
      </c>
      <c r="BO716" s="487"/>
      <c r="BP716" s="295">
        <f>SUM(BP710:BP715)</f>
        <v>111</v>
      </c>
      <c r="BQ716" s="295">
        <f>SUM(BQ710:BQ715)</f>
        <v>-7</v>
      </c>
      <c r="BR716" s="295">
        <f t="shared" si="1812"/>
        <v>104</v>
      </c>
      <c r="BS716" s="487"/>
      <c r="BT716" s="295">
        <f>SUM(BT710:BT715)</f>
        <v>5</v>
      </c>
      <c r="BU716" s="295">
        <f>SUM(BU710:BU715)</f>
        <v>163</v>
      </c>
      <c r="BV716" s="295">
        <f t="shared" si="1813"/>
        <v>168</v>
      </c>
      <c r="BW716" s="295"/>
      <c r="BX716" s="295">
        <f>SUM(BX710:BX715)</f>
        <v>77</v>
      </c>
      <c r="BY716" s="295">
        <f>SUM(BY710:BY715)</f>
        <v>58</v>
      </c>
      <c r="BZ716" s="295">
        <f t="shared" si="1814"/>
        <v>135</v>
      </c>
      <c r="CA716" s="295"/>
      <c r="CB716" s="295">
        <f>SUM(CB710:CB715)</f>
        <v>11</v>
      </c>
      <c r="CC716" s="295">
        <f>SUM(CC710:CC715)</f>
        <v>184</v>
      </c>
      <c r="CD716" s="295">
        <f t="shared" si="1815"/>
        <v>195</v>
      </c>
      <c r="CE716" s="295"/>
      <c r="CF716" s="295">
        <f>SUM(CF710:CF715)</f>
        <v>71</v>
      </c>
      <c r="CG716" s="295">
        <f>SUM(CG710:CG715)</f>
        <v>-15</v>
      </c>
      <c r="CH716" s="295">
        <f t="shared" si="1816"/>
        <v>56</v>
      </c>
      <c r="CI716" s="295"/>
      <c r="CJ716" s="295">
        <f>SUM(CJ710:CJ715)</f>
        <v>129</v>
      </c>
      <c r="CK716" s="295">
        <f>SUM(CK710:CK715)</f>
        <v>76</v>
      </c>
      <c r="CL716" s="295">
        <f t="shared" si="1817"/>
        <v>205</v>
      </c>
      <c r="CM716" s="295"/>
      <c r="CN716" s="1412">
        <f>SUM(CN710:CN715)</f>
        <v>1</v>
      </c>
      <c r="CO716" s="1412">
        <f>SUM(CO710:CO715)</f>
        <v>215</v>
      </c>
      <c r="CP716" s="1412">
        <f t="shared" si="1818"/>
        <v>216</v>
      </c>
      <c r="CQ716" s="1412"/>
      <c r="CR716" s="1412">
        <f>SUM(CR710:CR715)</f>
        <v>128</v>
      </c>
      <c r="CS716" s="1390">
        <f>SUM(CS710:CS715)</f>
        <v>-141</v>
      </c>
      <c r="CT716" s="295">
        <f t="shared" si="1819"/>
        <v>-13</v>
      </c>
      <c r="CU716" s="295"/>
      <c r="CV716" s="1412">
        <f>SUM(CV710:CV715)</f>
        <v>70</v>
      </c>
      <c r="CW716" s="1491">
        <f>SUM(CW710:CW715)</f>
        <v>197</v>
      </c>
      <c r="CX716" s="1412">
        <f t="shared" si="1820"/>
        <v>267</v>
      </c>
      <c r="CY716" s="1412"/>
      <c r="CZ716" s="1867">
        <f>SUM(CZ710:CZ715)</f>
        <v>459</v>
      </c>
      <c r="DA716" s="1491">
        <f>SUM(DA710:DA715)</f>
        <v>531</v>
      </c>
      <c r="DB716" s="1412">
        <f t="shared" si="1821"/>
        <v>990</v>
      </c>
      <c r="DC716" s="1412"/>
      <c r="DD716" s="1867">
        <f>SUM(DD710:DD715)</f>
        <v>549</v>
      </c>
      <c r="DE716" s="1491">
        <f>SUM(DE710:DE715)</f>
        <v>176</v>
      </c>
      <c r="DF716" s="1412">
        <f t="shared" si="1822"/>
        <v>725</v>
      </c>
      <c r="DG716" s="295"/>
      <c r="DH716" s="1867">
        <f>SUM(DH710:DH715)</f>
        <v>167</v>
      </c>
      <c r="DI716" s="295">
        <f>SUM(DI710:DI715)</f>
        <v>302.38240000000002</v>
      </c>
      <c r="DJ716" s="295">
        <f t="shared" si="1823"/>
        <v>469.38240000000002</v>
      </c>
      <c r="DK716" s="295"/>
      <c r="DL716" s="295">
        <f>SUM(DL710:DL715)</f>
        <v>272.39199999999994</v>
      </c>
      <c r="DM716" s="295">
        <f>SUM(DM710:DM715)</f>
        <v>279.71547999999996</v>
      </c>
      <c r="DN716" s="295">
        <f t="shared" si="1824"/>
        <v>552.1074799999999</v>
      </c>
      <c r="DO716" s="295"/>
      <c r="DP716" s="295">
        <f>SUM(DP710:DP715)</f>
        <v>342.17269880000003</v>
      </c>
      <c r="DQ716" s="295">
        <f>SUM(DQ710:DQ715)</f>
        <v>339.76594925199998</v>
      </c>
      <c r="DR716" s="295">
        <f t="shared" si="1825"/>
        <v>681.93864805199996</v>
      </c>
      <c r="DS716" s="295"/>
      <c r="DT716" s="295"/>
      <c r="DU716" s="295"/>
      <c r="DV716" s="295"/>
      <c r="DW716" s="1199"/>
      <c r="DX716" s="295"/>
      <c r="DY716" s="295"/>
      <c r="DZ716" s="295"/>
      <c r="EA716" s="295"/>
      <c r="EB716" s="295"/>
      <c r="EC716" s="295"/>
      <c r="ED716" s="295"/>
      <c r="EE716" s="295"/>
      <c r="EF716" s="295"/>
      <c r="EG716" s="295"/>
      <c r="EH716" s="295"/>
      <c r="EI716" s="295"/>
      <c r="EJ716" s="295"/>
      <c r="EK716" s="295"/>
      <c r="EL716" s="295"/>
      <c r="EM716" s="295"/>
      <c r="EN716" s="295"/>
      <c r="EO716" s="295"/>
      <c r="EP716" s="295"/>
      <c r="EQ716" s="295"/>
      <c r="ER716" s="295"/>
      <c r="ES716" s="295"/>
      <c r="ET716" s="295"/>
      <c r="EU716" s="295"/>
      <c r="EV716" s="327"/>
      <c r="EW716" s="327"/>
      <c r="EX716" s="327"/>
      <c r="EY716" s="327"/>
      <c r="EZ716" s="327"/>
      <c r="FA716" s="327"/>
      <c r="FB716" s="327"/>
      <c r="FC716" s="327"/>
      <c r="FD716" s="327"/>
      <c r="FE716" s="327"/>
      <c r="FF716" s="327"/>
      <c r="FG716" s="327"/>
      <c r="FH716" s="327"/>
      <c r="FI716" s="327"/>
      <c r="FJ716" s="327"/>
      <c r="FK716" s="327"/>
      <c r="FL716" s="327"/>
      <c r="FM716" s="327"/>
      <c r="FN716" s="327"/>
      <c r="FO716" s="327"/>
      <c r="FP716" s="327"/>
      <c r="FQ716" s="327"/>
      <c r="FR716" s="327"/>
      <c r="FS716" s="327"/>
      <c r="FT716" s="327"/>
      <c r="FU716" s="327"/>
      <c r="FV716" s="327"/>
      <c r="FW716" s="327"/>
      <c r="FX716" s="327"/>
      <c r="FY716" s="327"/>
      <c r="FZ716" s="327"/>
      <c r="GA716" s="327"/>
      <c r="GB716" s="327"/>
      <c r="GC716" s="327"/>
      <c r="GD716" s="327"/>
      <c r="GE716" s="327"/>
      <c r="GF716" s="327"/>
      <c r="GG716" s="327"/>
      <c r="GH716" s="327"/>
      <c r="GI716" s="327"/>
      <c r="GJ716" s="327"/>
      <c r="GK716" s="327"/>
      <c r="GL716" s="327"/>
      <c r="GM716" s="327"/>
      <c r="GN716" s="327"/>
      <c r="GO716" s="327"/>
      <c r="GP716" s="327"/>
      <c r="GQ716" s="327"/>
      <c r="GR716" s="327"/>
      <c r="GS716" s="327"/>
      <c r="GT716" s="327"/>
      <c r="GU716" s="327"/>
      <c r="GV716" s="327"/>
      <c r="GW716" s="327"/>
      <c r="GX716" s="327"/>
      <c r="GY716" s="327"/>
      <c r="GZ716" s="327"/>
      <c r="HA716" s="327"/>
      <c r="HB716" s="327"/>
      <c r="HC716" s="327"/>
      <c r="HD716" s="327"/>
      <c r="HE716" s="327"/>
      <c r="HF716" s="327"/>
      <c r="HG716" s="327"/>
      <c r="HH716" s="327"/>
      <c r="HI716" s="327"/>
      <c r="HJ716" s="327"/>
      <c r="HK716" s="327"/>
      <c r="HL716" s="327"/>
      <c r="HM716" s="327"/>
      <c r="HN716" s="327"/>
      <c r="HO716" s="327"/>
      <c r="HP716" s="327"/>
      <c r="HQ716" s="327"/>
      <c r="HR716" s="327"/>
      <c r="HS716" s="327"/>
      <c r="HT716" s="327"/>
      <c r="HU716" s="327"/>
      <c r="HV716" s="327"/>
      <c r="HW716" s="327"/>
      <c r="HX716" s="327"/>
      <c r="HY716" s="327"/>
      <c r="HZ716" s="327"/>
      <c r="IA716" s="327"/>
      <c r="IB716" s="327"/>
      <c r="IC716" s="327"/>
      <c r="ID716" s="327"/>
      <c r="IE716" s="327"/>
      <c r="IF716" s="327"/>
      <c r="IG716" s="327"/>
      <c r="IH716" s="327"/>
      <c r="II716" s="327"/>
      <c r="IJ716" s="327"/>
      <c r="IK716" s="327"/>
      <c r="IL716" s="327"/>
      <c r="IM716" s="327"/>
      <c r="IN716" s="327"/>
      <c r="IO716" s="327"/>
      <c r="IP716" s="327"/>
      <c r="IQ716" s="327"/>
      <c r="IR716" s="327"/>
      <c r="IS716" s="327"/>
      <c r="IT716" s="327"/>
      <c r="IU716" s="327"/>
      <c r="IV716" s="327"/>
      <c r="IW716" s="327"/>
      <c r="IX716" s="327"/>
      <c r="IY716" s="327"/>
      <c r="IZ716" s="327"/>
      <c r="JA716" s="327"/>
      <c r="JB716" s="327"/>
      <c r="JC716" s="327"/>
      <c r="JD716" s="327"/>
      <c r="JE716" s="327"/>
      <c r="JF716" s="327"/>
      <c r="JG716" s="327"/>
      <c r="JH716" s="327"/>
      <c r="JI716" s="327"/>
      <c r="JJ716" s="327"/>
      <c r="JK716" s="327"/>
      <c r="JL716" s="327"/>
      <c r="JM716" s="327"/>
      <c r="JN716" s="327"/>
      <c r="JO716" s="327"/>
      <c r="JP716" s="327"/>
      <c r="JQ716" s="327"/>
      <c r="JR716" s="327"/>
      <c r="JS716" s="327"/>
      <c r="JT716" s="327"/>
      <c r="JU716" s="327"/>
      <c r="JV716" s="327"/>
      <c r="JW716"/>
    </row>
    <row r="717" spans="1:283" s="332" customFormat="1">
      <c r="A717" s="327"/>
      <c r="AN717" s="295"/>
      <c r="AO717" s="295"/>
      <c r="AP717" s="295"/>
      <c r="AQ717" s="295"/>
      <c r="AR717" s="295"/>
      <c r="AS717" s="295"/>
      <c r="AT717" s="295"/>
      <c r="AU717" s="295"/>
      <c r="AV717" s="295"/>
      <c r="AW717" s="295"/>
      <c r="AX717" s="295"/>
      <c r="AY717" s="295"/>
      <c r="AZ717" s="295"/>
      <c r="BA717" s="295"/>
      <c r="BB717" s="295"/>
      <c r="BC717" s="295"/>
      <c r="BD717" s="295"/>
      <c r="BE717" s="295"/>
      <c r="BF717" s="295"/>
      <c r="BG717" s="293"/>
      <c r="BH717" s="295"/>
      <c r="BI717" s="295"/>
      <c r="BJ717" s="295"/>
      <c r="BK717" s="293"/>
      <c r="BL717" s="295"/>
      <c r="BM717" s="295"/>
      <c r="BN717" s="295"/>
      <c r="BO717" s="293"/>
      <c r="BP717" s="295"/>
      <c r="BQ717" s="295"/>
      <c r="BR717" s="295"/>
      <c r="BS717" s="293"/>
      <c r="BT717" s="295"/>
      <c r="BU717" s="295"/>
      <c r="BV717" s="295"/>
      <c r="BW717" s="295"/>
      <c r="BX717" s="295"/>
      <c r="BY717" s="295"/>
      <c r="BZ717" s="295"/>
      <c r="CA717" s="295"/>
      <c r="CB717" s="295"/>
      <c r="CC717" s="295"/>
      <c r="CD717" s="295"/>
      <c r="CE717" s="295"/>
      <c r="CF717" s="295"/>
      <c r="CG717" s="295"/>
      <c r="CH717" s="295"/>
      <c r="CI717" s="295"/>
      <c r="CJ717" s="295"/>
      <c r="CK717" s="295"/>
      <c r="CL717" s="295"/>
      <c r="CM717" s="295"/>
      <c r="CN717" s="1412"/>
      <c r="CO717" s="1412"/>
      <c r="CP717" s="1412"/>
      <c r="CQ717" s="1412"/>
      <c r="CR717" s="1412"/>
      <c r="CS717" s="1390"/>
      <c r="CT717" s="295"/>
      <c r="CU717" s="295"/>
      <c r="CV717" s="1412"/>
      <c r="CW717" s="1491"/>
      <c r="CX717" s="1412"/>
      <c r="CY717" s="1412"/>
      <c r="CZ717" s="1867"/>
      <c r="DA717" s="1491"/>
      <c r="DB717" s="1412"/>
      <c r="DC717" s="1412"/>
      <c r="DD717" s="1867"/>
      <c r="DE717" s="1491"/>
      <c r="DF717" s="1412"/>
      <c r="DG717" s="295"/>
      <c r="DH717" s="1867"/>
      <c r="DI717" s="295"/>
      <c r="DJ717" s="295"/>
      <c r="DK717" s="295"/>
      <c r="DL717" s="295"/>
      <c r="DM717" s="295"/>
      <c r="DN717" s="295"/>
      <c r="DO717" s="295"/>
      <c r="DP717" s="295"/>
      <c r="DQ717" s="295"/>
      <c r="DR717" s="295"/>
      <c r="DS717" s="295"/>
      <c r="DT717" s="295"/>
      <c r="DU717" s="295"/>
      <c r="DV717" s="295"/>
      <c r="DW717" s="1201"/>
      <c r="DX717" s="295"/>
      <c r="DY717" s="295"/>
      <c r="DZ717" s="295"/>
      <c r="EA717" s="295"/>
      <c r="EB717" s="295"/>
      <c r="EC717" s="295"/>
      <c r="ED717" s="295"/>
      <c r="EE717" s="295"/>
      <c r="EF717" s="295"/>
      <c r="EG717" s="295"/>
      <c r="EH717" s="295"/>
      <c r="EI717" s="295"/>
      <c r="EJ717" s="295"/>
      <c r="EK717" s="295"/>
      <c r="EL717" s="295"/>
      <c r="EM717" s="295"/>
      <c r="EN717" s="295"/>
      <c r="EO717" s="295"/>
      <c r="EP717" s="295"/>
      <c r="EQ717" s="295"/>
      <c r="ER717" s="295"/>
      <c r="ES717" s="295"/>
      <c r="ET717" s="295"/>
      <c r="EU717" s="295"/>
      <c r="EV717" s="327"/>
      <c r="EW717" s="327"/>
      <c r="EX717" s="327"/>
      <c r="EY717" s="327"/>
      <c r="EZ717" s="327"/>
      <c r="FA717" s="327"/>
      <c r="FB717" s="327"/>
      <c r="FC717" s="327"/>
      <c r="FD717" s="327"/>
      <c r="FE717" s="327"/>
      <c r="FF717" s="327"/>
      <c r="FG717" s="327"/>
      <c r="FH717" s="327"/>
      <c r="FI717" s="327"/>
      <c r="FJ717" s="327"/>
      <c r="FK717" s="327"/>
      <c r="FL717" s="327"/>
      <c r="FM717" s="327"/>
      <c r="FN717" s="327"/>
      <c r="FO717" s="327"/>
      <c r="FP717" s="327"/>
      <c r="FQ717" s="327"/>
      <c r="FR717" s="327"/>
      <c r="FS717" s="327"/>
      <c r="FT717" s="327"/>
      <c r="FU717" s="327"/>
      <c r="FV717" s="327"/>
      <c r="FW717" s="327"/>
      <c r="FX717" s="327"/>
      <c r="FY717" s="327"/>
      <c r="FZ717" s="327"/>
      <c r="GA717" s="327"/>
      <c r="GB717" s="327"/>
      <c r="GC717" s="327"/>
      <c r="GD717" s="327"/>
      <c r="GE717" s="327"/>
      <c r="GF717" s="327"/>
      <c r="GG717" s="327"/>
      <c r="GH717" s="327"/>
      <c r="GI717" s="327"/>
      <c r="GJ717" s="327"/>
      <c r="GK717" s="327"/>
      <c r="GL717" s="327"/>
      <c r="GM717" s="327"/>
      <c r="GN717" s="327"/>
      <c r="GO717" s="327"/>
      <c r="GP717" s="327"/>
      <c r="GQ717" s="327"/>
      <c r="GR717" s="327"/>
      <c r="GS717" s="327"/>
      <c r="GT717" s="327"/>
      <c r="GU717" s="327"/>
      <c r="GV717" s="327"/>
      <c r="GW717" s="327"/>
      <c r="GX717" s="327"/>
      <c r="GY717" s="327"/>
      <c r="GZ717" s="327"/>
      <c r="HA717" s="327"/>
      <c r="HB717" s="327"/>
      <c r="HC717" s="327"/>
      <c r="HD717" s="327"/>
      <c r="HE717" s="327"/>
      <c r="HF717" s="327"/>
      <c r="HG717" s="327"/>
      <c r="HH717" s="327"/>
      <c r="HI717" s="327"/>
      <c r="HJ717" s="327"/>
      <c r="HK717" s="327"/>
      <c r="HL717" s="327"/>
      <c r="HM717" s="327"/>
      <c r="HN717" s="327"/>
      <c r="HO717" s="327"/>
      <c r="HP717" s="327"/>
      <c r="HQ717" s="327"/>
      <c r="HR717" s="327"/>
      <c r="HS717" s="327"/>
      <c r="HT717" s="327"/>
      <c r="HU717" s="327"/>
      <c r="HV717" s="327"/>
      <c r="HW717" s="327"/>
      <c r="HX717" s="327"/>
      <c r="HY717" s="327"/>
      <c r="HZ717" s="327"/>
      <c r="IA717" s="327"/>
      <c r="IB717" s="327"/>
      <c r="IC717" s="327"/>
      <c r="ID717" s="327"/>
      <c r="IE717" s="327"/>
      <c r="IF717" s="327"/>
      <c r="IG717" s="327"/>
      <c r="IH717" s="327"/>
      <c r="II717" s="327"/>
      <c r="IJ717" s="327"/>
      <c r="IK717" s="327"/>
      <c r="IL717" s="327"/>
      <c r="IM717" s="327"/>
      <c r="IN717" s="327"/>
      <c r="IO717" s="327"/>
      <c r="IP717" s="327"/>
      <c r="IQ717" s="327"/>
      <c r="IR717" s="327"/>
      <c r="IS717" s="327"/>
      <c r="IT717" s="327"/>
      <c r="IU717" s="327"/>
      <c r="IV717" s="327"/>
      <c r="IW717" s="327"/>
      <c r="IX717" s="327"/>
      <c r="IY717" s="327"/>
      <c r="IZ717" s="327"/>
      <c r="JA717" s="327"/>
      <c r="JB717" s="327"/>
      <c r="JC717" s="327"/>
      <c r="JD717" s="327"/>
      <c r="JE717" s="327"/>
      <c r="JF717" s="327"/>
      <c r="JG717" s="327"/>
      <c r="JH717" s="327"/>
      <c r="JI717" s="327"/>
      <c r="JJ717" s="327"/>
      <c r="JK717" s="327"/>
      <c r="JL717" s="327"/>
      <c r="JM717" s="327"/>
      <c r="JN717" s="327"/>
      <c r="JO717" s="327"/>
      <c r="JP717" s="327"/>
      <c r="JQ717" s="327"/>
      <c r="JR717" s="327"/>
      <c r="JS717" s="327"/>
      <c r="JT717" s="327"/>
      <c r="JU717" s="327"/>
      <c r="JV717" s="327"/>
      <c r="JW717"/>
    </row>
    <row r="718" spans="1:283" s="332" customFormat="1">
      <c r="A718" s="332" t="s">
        <v>604</v>
      </c>
      <c r="AN718" s="293"/>
      <c r="AO718" s="293"/>
      <c r="AP718" s="293"/>
      <c r="AQ718" s="293"/>
      <c r="AR718" s="626">
        <v>-480</v>
      </c>
      <c r="AS718" s="626">
        <v>-143</v>
      </c>
      <c r="AT718" s="293">
        <f>AR718+AS718</f>
        <v>-623</v>
      </c>
      <c r="AU718" s="626"/>
      <c r="AV718" s="626">
        <v>-771</v>
      </c>
      <c r="AW718" s="626">
        <v>-692</v>
      </c>
      <c r="AX718" s="293">
        <f t="shared" ref="AX718:AX727" si="1826">AV718+AW718</f>
        <v>-1463</v>
      </c>
      <c r="AY718" s="626"/>
      <c r="AZ718" s="626">
        <f>-936-0.3333</f>
        <v>-936.33330000000001</v>
      </c>
      <c r="BA718" s="626">
        <f>-911-0.33333</f>
        <v>-911.33333000000005</v>
      </c>
      <c r="BB718" s="293">
        <f t="shared" ref="BB718:BB727" si="1827">AZ718+BA718</f>
        <v>-1847.6666300000002</v>
      </c>
      <c r="BC718" s="293"/>
      <c r="BD718" s="626">
        <f>-793+0.33333</f>
        <v>-792.66666999999995</v>
      </c>
      <c r="BE718" s="626">
        <f>-1012-0.333</f>
        <v>-1012.333</v>
      </c>
      <c r="BF718" s="293">
        <f t="shared" ref="BF718:BF727" si="1828">BD718+BE718</f>
        <v>-1804.9996699999999</v>
      </c>
      <c r="BG718" s="293"/>
      <c r="BH718" s="626">
        <v>-753</v>
      </c>
      <c r="BI718" s="626">
        <v>-959</v>
      </c>
      <c r="BJ718" s="293">
        <f t="shared" ref="BJ718:BJ727" si="1829">BH718+BI718</f>
        <v>-1712</v>
      </c>
      <c r="BK718" s="487"/>
      <c r="BL718" s="626">
        <v>-916</v>
      </c>
      <c r="BM718" s="626">
        <v>-1156</v>
      </c>
      <c r="BN718" s="293">
        <f t="shared" ref="BN718:BN727" si="1830">BL718+BM718</f>
        <v>-2072</v>
      </c>
      <c r="BO718" s="487"/>
      <c r="BP718" s="626">
        <v>-1110</v>
      </c>
      <c r="BQ718" s="626">
        <v>-1269</v>
      </c>
      <c r="BR718" s="293">
        <f t="shared" ref="BR718:BR727" si="1831">BP718+BQ718</f>
        <v>-2379</v>
      </c>
      <c r="BS718" s="487"/>
      <c r="BT718" s="626">
        <v>-1347</v>
      </c>
      <c r="BU718" s="626">
        <v>-1008</v>
      </c>
      <c r="BV718" s="293">
        <f t="shared" ref="BV718:BV727" si="1832">BT718+BU718</f>
        <v>-2355</v>
      </c>
      <c r="BW718" s="293"/>
      <c r="BX718" s="626">
        <v>-1334</v>
      </c>
      <c r="BY718" s="626">
        <v>-1186</v>
      </c>
      <c r="BZ718" s="293">
        <f t="shared" ref="BZ718:BZ727" si="1833">BX718+BY718</f>
        <v>-2520</v>
      </c>
      <c r="CA718" s="293"/>
      <c r="CB718" s="626">
        <v>-1332</v>
      </c>
      <c r="CC718" s="626">
        <v>-1219</v>
      </c>
      <c r="CD718" s="293">
        <f t="shared" ref="CD718:CD727" si="1834">CB718+CC718</f>
        <v>-2551</v>
      </c>
      <c r="CE718" s="293"/>
      <c r="CF718" s="626">
        <v>-1422</v>
      </c>
      <c r="CG718" s="626">
        <v>-1597</v>
      </c>
      <c r="CH718" s="293">
        <f t="shared" ref="CH718:CH727" si="1835">CF718+CG718</f>
        <v>-3019</v>
      </c>
      <c r="CI718" s="293"/>
      <c r="CJ718" s="626">
        <v>-1689</v>
      </c>
      <c r="CK718" s="626">
        <v>-1457</v>
      </c>
      <c r="CL718" s="293">
        <f t="shared" ref="CL718:CL727" si="1836">CJ718+CK718</f>
        <v>-3146</v>
      </c>
      <c r="CM718" s="293"/>
      <c r="CN718" s="1388">
        <v>-1502</v>
      </c>
      <c r="CO718" s="1388">
        <v>-1892</v>
      </c>
      <c r="CP718" s="1010">
        <f t="shared" ref="CP718:CP727" si="1837">CN718+CO718</f>
        <v>-3394</v>
      </c>
      <c r="CQ718" s="1010"/>
      <c r="CR718" s="1388">
        <v>-1999</v>
      </c>
      <c r="CS718" s="1497">
        <v>-2344</v>
      </c>
      <c r="CT718" s="293">
        <f t="shared" ref="CT718:CT727" si="1838">CR718+CS718</f>
        <v>-4343</v>
      </c>
      <c r="CU718" s="293"/>
      <c r="CV718" s="1388">
        <v>-2348</v>
      </c>
      <c r="CW718" s="1488">
        <v>-2678</v>
      </c>
      <c r="CX718" s="1010">
        <f t="shared" ref="CX718:CX727" si="1839">CV718+CW718</f>
        <v>-5026</v>
      </c>
      <c r="CY718" s="1010"/>
      <c r="CZ718" s="1863">
        <v>-2277</v>
      </c>
      <c r="DA718" s="1488">
        <v>-2544</v>
      </c>
      <c r="DB718" s="1010">
        <f t="shared" ref="DB718:DB727" si="1840">CZ718+DA718</f>
        <v>-4821</v>
      </c>
      <c r="DC718" s="1010"/>
      <c r="DD718" s="2210">
        <v>-2238</v>
      </c>
      <c r="DE718" s="2207">
        <v>-2454</v>
      </c>
      <c r="DF718" s="1010">
        <f t="shared" ref="DF718:DF727" si="1841">DD718+DE718</f>
        <v>-4692</v>
      </c>
      <c r="DG718" s="293"/>
      <c r="DH718" s="1863">
        <v>-2448</v>
      </c>
      <c r="DI718" s="293">
        <f t="shared" ref="DI718" si="1842">DI765</f>
        <v>-2699.5052697586584</v>
      </c>
      <c r="DJ718" s="293">
        <f t="shared" ref="DJ718:DJ727" si="1843">DH718+DI718</f>
        <v>-5147.505269758658</v>
      </c>
      <c r="DK718" s="293"/>
      <c r="DL718" s="293">
        <f t="shared" ref="DL718:DM718" si="1844">DL765</f>
        <v>-2691.4251175485379</v>
      </c>
      <c r="DM718" s="293">
        <f t="shared" si="1844"/>
        <v>-2732.7595206362666</v>
      </c>
      <c r="DN718" s="293">
        <f t="shared" ref="DN718:DN727" si="1845">DL718+DM718</f>
        <v>-5424.1846381848045</v>
      </c>
      <c r="DO718" s="293"/>
      <c r="DP718" s="293">
        <f t="shared" ref="DP718:DQ718" si="1846">DP765</f>
        <v>-2835.5751396201604</v>
      </c>
      <c r="DQ718" s="293">
        <f t="shared" si="1846"/>
        <v>-2895.073399255497</v>
      </c>
      <c r="DR718" s="293">
        <f t="shared" ref="DR718:DR727" si="1847">DP718+DQ718</f>
        <v>-5730.6485388756573</v>
      </c>
      <c r="DS718" s="293"/>
      <c r="DT718" s="293"/>
      <c r="DU718" s="293"/>
      <c r="DV718" s="293"/>
      <c r="DW718" s="1197" t="s">
        <v>513</v>
      </c>
      <c r="DX718" s="293"/>
      <c r="DY718" s="293"/>
      <c r="DZ718" s="293"/>
      <c r="EA718" s="293"/>
      <c r="EB718" s="293"/>
      <c r="EC718" s="293"/>
      <c r="ED718" s="293"/>
      <c r="EE718" s="293"/>
      <c r="EF718" s="293"/>
      <c r="EG718" s="293"/>
      <c r="EH718" s="293"/>
      <c r="EI718" s="293"/>
      <c r="EJ718" s="293"/>
      <c r="EK718" s="293"/>
      <c r="EL718" s="293"/>
      <c r="EM718" s="293"/>
      <c r="EN718" s="293"/>
      <c r="EO718" s="293"/>
      <c r="EP718" s="293"/>
      <c r="EQ718" s="293"/>
      <c r="ER718" s="293"/>
      <c r="ES718" s="293"/>
      <c r="ET718" s="293"/>
      <c r="EU718" s="293"/>
      <c r="JW718"/>
    </row>
    <row r="719" spans="1:283" s="332" customFormat="1">
      <c r="A719" s="332" t="s">
        <v>605</v>
      </c>
      <c r="AN719" s="293"/>
      <c r="AO719" s="293"/>
      <c r="AP719" s="293"/>
      <c r="AQ719" s="293"/>
      <c r="AR719" s="626">
        <v>-7</v>
      </c>
      <c r="AS719" s="626">
        <v>-26</v>
      </c>
      <c r="AT719" s="293">
        <f>AR719+AS719</f>
        <v>-33</v>
      </c>
      <c r="AU719" s="626"/>
      <c r="AV719" s="626">
        <v>-14</v>
      </c>
      <c r="AW719" s="626">
        <v>-35</v>
      </c>
      <c r="AX719" s="293">
        <f t="shared" si="1826"/>
        <v>-49</v>
      </c>
      <c r="AY719" s="293"/>
      <c r="AZ719" s="626">
        <v>-85</v>
      </c>
      <c r="BA719" s="626">
        <v>29</v>
      </c>
      <c r="BB719" s="293">
        <f t="shared" si="1827"/>
        <v>-56</v>
      </c>
      <c r="BC719" s="293"/>
      <c r="BD719" s="626">
        <v>-1</v>
      </c>
      <c r="BE719" s="626">
        <v>-3</v>
      </c>
      <c r="BF719" s="293">
        <f t="shared" si="1828"/>
        <v>-4</v>
      </c>
      <c r="BG719" s="293"/>
      <c r="BH719" s="626">
        <v>0</v>
      </c>
      <c r="BI719" s="626">
        <v>-3</v>
      </c>
      <c r="BJ719" s="293">
        <f t="shared" si="1829"/>
        <v>-3</v>
      </c>
      <c r="BK719" s="487"/>
      <c r="BL719" s="626">
        <v>-3</v>
      </c>
      <c r="BM719" s="626">
        <v>-5</v>
      </c>
      <c r="BN719" s="293">
        <f t="shared" si="1830"/>
        <v>-8</v>
      </c>
      <c r="BO719" s="487"/>
      <c r="BP719" s="626">
        <v>-3</v>
      </c>
      <c r="BQ719" s="626">
        <v>-4</v>
      </c>
      <c r="BR719" s="293">
        <f t="shared" si="1831"/>
        <v>-7</v>
      </c>
      <c r="BS719" s="487"/>
      <c r="BT719" s="626">
        <v>-5</v>
      </c>
      <c r="BU719" s="626">
        <v>-4</v>
      </c>
      <c r="BV719" s="293">
        <f t="shared" si="1832"/>
        <v>-9</v>
      </c>
      <c r="BW719" s="293"/>
      <c r="BX719" s="626">
        <v>-3</v>
      </c>
      <c r="BY719" s="626">
        <v>-1</v>
      </c>
      <c r="BZ719" s="293">
        <f t="shared" si="1833"/>
        <v>-4</v>
      </c>
      <c r="CA719" s="293"/>
      <c r="CB719" s="626">
        <v>-1</v>
      </c>
      <c r="CC719" s="626">
        <v>1</v>
      </c>
      <c r="CD719" s="293">
        <f t="shared" si="1834"/>
        <v>0</v>
      </c>
      <c r="CE719" s="293"/>
      <c r="CF719" s="626">
        <v>0</v>
      </c>
      <c r="CG719" s="626">
        <v>0</v>
      </c>
      <c r="CH719" s="293">
        <f t="shared" si="1835"/>
        <v>0</v>
      </c>
      <c r="CI719" s="293"/>
      <c r="CJ719" s="626">
        <v>0</v>
      </c>
      <c r="CK719" s="626">
        <v>0</v>
      </c>
      <c r="CL719" s="293">
        <f t="shared" si="1836"/>
        <v>0</v>
      </c>
      <c r="CM719" s="293"/>
      <c r="CN719" s="1388">
        <v>0</v>
      </c>
      <c r="CO719" s="1388">
        <v>0</v>
      </c>
      <c r="CP719" s="1010">
        <f t="shared" si="1837"/>
        <v>0</v>
      </c>
      <c r="CQ719" s="1010"/>
      <c r="CR719" s="1388">
        <v>0</v>
      </c>
      <c r="CS719" s="1497">
        <v>0</v>
      </c>
      <c r="CT719" s="293">
        <f t="shared" si="1838"/>
        <v>0</v>
      </c>
      <c r="CU719" s="293"/>
      <c r="CV719" s="1388">
        <v>0</v>
      </c>
      <c r="CW719" s="1488">
        <v>0</v>
      </c>
      <c r="CX719" s="1010">
        <f t="shared" si="1839"/>
        <v>0</v>
      </c>
      <c r="CY719" s="1010"/>
      <c r="CZ719" s="1863">
        <v>0</v>
      </c>
      <c r="DA719" s="1488">
        <v>0</v>
      </c>
      <c r="DB719" s="1010">
        <f t="shared" si="1840"/>
        <v>0</v>
      </c>
      <c r="DC719" s="1010"/>
      <c r="DD719" s="1863">
        <v>0</v>
      </c>
      <c r="DE719" s="1497">
        <v>0</v>
      </c>
      <c r="DF719" s="1010">
        <f t="shared" si="1841"/>
        <v>0</v>
      </c>
      <c r="DG719" s="293"/>
      <c r="DH719" s="1863">
        <v>0</v>
      </c>
      <c r="DI719" s="293">
        <f t="shared" ref="DI719" si="1848">DI766</f>
        <v>0</v>
      </c>
      <c r="DJ719" s="293">
        <f t="shared" si="1843"/>
        <v>0</v>
      </c>
      <c r="DK719" s="293"/>
      <c r="DL719" s="293">
        <f t="shared" ref="DL719:DM719" si="1849">DL766</f>
        <v>0</v>
      </c>
      <c r="DM719" s="293">
        <f t="shared" si="1849"/>
        <v>0</v>
      </c>
      <c r="DN719" s="293">
        <f t="shared" si="1845"/>
        <v>0</v>
      </c>
      <c r="DO719" s="293"/>
      <c r="DP719" s="293">
        <f t="shared" ref="DP719:DQ719" si="1850">DP766</f>
        <v>0</v>
      </c>
      <c r="DQ719" s="293">
        <f t="shared" si="1850"/>
        <v>0</v>
      </c>
      <c r="DR719" s="293">
        <f t="shared" si="1847"/>
        <v>0</v>
      </c>
      <c r="DS719" s="293"/>
      <c r="DT719" s="293"/>
      <c r="DU719" s="293"/>
      <c r="DV719" s="293"/>
      <c r="DW719" s="1197" t="s">
        <v>513</v>
      </c>
      <c r="DX719" s="293"/>
      <c r="DY719" s="293"/>
      <c r="DZ719" s="293"/>
      <c r="EA719" s="293"/>
      <c r="EB719" s="293"/>
      <c r="EC719" s="293"/>
      <c r="ED719" s="293"/>
      <c r="EE719" s="293"/>
      <c r="EF719" s="293"/>
      <c r="EG719" s="293"/>
      <c r="EH719" s="293"/>
      <c r="EI719" s="293"/>
      <c r="EJ719" s="293"/>
      <c r="EK719" s="293"/>
      <c r="EL719" s="293"/>
      <c r="EM719" s="293"/>
      <c r="EN719" s="293"/>
      <c r="EO719" s="293"/>
      <c r="EP719" s="293"/>
      <c r="EQ719" s="293"/>
      <c r="ER719" s="293"/>
      <c r="ES719" s="293"/>
      <c r="ET719" s="293"/>
      <c r="EU719" s="293"/>
      <c r="JW719"/>
    </row>
    <row r="720" spans="1:283" s="332" customFormat="1">
      <c r="A720" s="332" t="s">
        <v>606</v>
      </c>
      <c r="AN720" s="293"/>
      <c r="AO720" s="293"/>
      <c r="AP720" s="293"/>
      <c r="AQ720" s="293"/>
      <c r="AR720" s="626">
        <v>205</v>
      </c>
      <c r="AS720" s="626">
        <v>179</v>
      </c>
      <c r="AT720" s="293">
        <f>AR720+AS720</f>
        <v>384</v>
      </c>
      <c r="AU720" s="626"/>
      <c r="AV720" s="626">
        <v>119</v>
      </c>
      <c r="AW720" s="626">
        <v>141</v>
      </c>
      <c r="AX720" s="293">
        <f t="shared" si="1826"/>
        <v>260</v>
      </c>
      <c r="AY720" s="293"/>
      <c r="AZ720" s="626">
        <v>249</v>
      </c>
      <c r="BA720" s="626">
        <v>307</v>
      </c>
      <c r="BB720" s="293">
        <f t="shared" si="1827"/>
        <v>556</v>
      </c>
      <c r="BC720" s="293"/>
      <c r="BD720" s="626">
        <f>323-0.33</f>
        <v>322.67</v>
      </c>
      <c r="BE720" s="626">
        <v>296</v>
      </c>
      <c r="BF720" s="293">
        <f t="shared" si="1828"/>
        <v>618.67000000000007</v>
      </c>
      <c r="BG720" s="293"/>
      <c r="BH720" s="626">
        <v>280</v>
      </c>
      <c r="BI720" s="626">
        <v>321</v>
      </c>
      <c r="BJ720" s="293">
        <f t="shared" si="1829"/>
        <v>601</v>
      </c>
      <c r="BK720" s="487"/>
      <c r="BL720" s="626">
        <v>293</v>
      </c>
      <c r="BM720" s="626">
        <v>341</v>
      </c>
      <c r="BN720" s="293">
        <f t="shared" si="1830"/>
        <v>634</v>
      </c>
      <c r="BO720" s="487"/>
      <c r="BP720" s="626">
        <v>313</v>
      </c>
      <c r="BQ720" s="626">
        <v>320</v>
      </c>
      <c r="BR720" s="293">
        <f t="shared" si="1831"/>
        <v>633</v>
      </c>
      <c r="BS720" s="487"/>
      <c r="BT720" s="626">
        <v>341</v>
      </c>
      <c r="BU720" s="626">
        <v>444</v>
      </c>
      <c r="BV720" s="293">
        <f t="shared" si="1832"/>
        <v>785</v>
      </c>
      <c r="BW720" s="293"/>
      <c r="BX720" s="626">
        <v>422</v>
      </c>
      <c r="BY720" s="626">
        <v>366</v>
      </c>
      <c r="BZ720" s="293">
        <f t="shared" si="1833"/>
        <v>788</v>
      </c>
      <c r="CA720" s="293"/>
      <c r="CB720" s="626">
        <v>364</v>
      </c>
      <c r="CC720" s="626">
        <v>385</v>
      </c>
      <c r="CD720" s="293">
        <f t="shared" si="1834"/>
        <v>749</v>
      </c>
      <c r="CE720" s="293"/>
      <c r="CF720" s="626">
        <v>443</v>
      </c>
      <c r="CG720" s="626">
        <v>251</v>
      </c>
      <c r="CH720" s="293">
        <f t="shared" si="1835"/>
        <v>694</v>
      </c>
      <c r="CI720" s="293"/>
      <c r="CJ720" s="626">
        <v>531</v>
      </c>
      <c r="CK720" s="626">
        <v>432</v>
      </c>
      <c r="CL720" s="293">
        <f t="shared" si="1836"/>
        <v>963</v>
      </c>
      <c r="CM720" s="293"/>
      <c r="CN720" s="1388">
        <v>489</v>
      </c>
      <c r="CO720" s="1388">
        <v>510</v>
      </c>
      <c r="CP720" s="1010">
        <f t="shared" si="1837"/>
        <v>999</v>
      </c>
      <c r="CQ720" s="1010"/>
      <c r="CR720" s="1388">
        <v>533</v>
      </c>
      <c r="CS720" s="1497">
        <v>654</v>
      </c>
      <c r="CT720" s="293">
        <f t="shared" si="1838"/>
        <v>1187</v>
      </c>
      <c r="CU720" s="293"/>
      <c r="CV720" s="1388">
        <v>746</v>
      </c>
      <c r="CW720" s="1488">
        <v>670</v>
      </c>
      <c r="CX720" s="1010">
        <f t="shared" si="1839"/>
        <v>1416</v>
      </c>
      <c r="CY720" s="1010"/>
      <c r="CZ720" s="1863">
        <v>962</v>
      </c>
      <c r="DA720" s="1488">
        <v>971</v>
      </c>
      <c r="DB720" s="1010">
        <f t="shared" si="1840"/>
        <v>1933</v>
      </c>
      <c r="DC720" s="1010"/>
      <c r="DD720" s="2210">
        <v>821</v>
      </c>
      <c r="DE720" s="2207">
        <v>877</v>
      </c>
      <c r="DF720" s="1010">
        <f t="shared" si="1841"/>
        <v>1698</v>
      </c>
      <c r="DG720" s="293"/>
      <c r="DH720" s="1863">
        <v>916</v>
      </c>
      <c r="DI720" s="293">
        <f t="shared" ref="DI720" si="1851">DI767</f>
        <v>982.24000000000012</v>
      </c>
      <c r="DJ720" s="293">
        <f t="shared" si="1843"/>
        <v>1898.2400000000002</v>
      </c>
      <c r="DK720" s="293"/>
      <c r="DL720" s="293">
        <f t="shared" ref="DL720:DM720" si="1852">DL767</f>
        <v>1007.6000000000001</v>
      </c>
      <c r="DM720" s="293">
        <f t="shared" si="1852"/>
        <v>1070.6416000000002</v>
      </c>
      <c r="DN720" s="293">
        <f t="shared" si="1845"/>
        <v>2078.2416000000003</v>
      </c>
      <c r="DO720" s="293"/>
      <c r="DP720" s="293">
        <f t="shared" ref="DP720:DQ720" si="1853">DP767</f>
        <v>1040.8508000000002</v>
      </c>
      <c r="DQ720" s="293">
        <f t="shared" si="1853"/>
        <v>1105.9727728</v>
      </c>
      <c r="DR720" s="293">
        <f t="shared" si="1847"/>
        <v>2146.8235728</v>
      </c>
      <c r="DS720" s="293"/>
      <c r="DT720" s="293"/>
      <c r="DU720" s="293"/>
      <c r="DV720" s="293"/>
      <c r="DW720" s="1197" t="s">
        <v>513</v>
      </c>
      <c r="DX720" s="293"/>
      <c r="DY720" s="293"/>
      <c r="DZ720" s="293"/>
      <c r="EA720" s="293"/>
      <c r="EB720" s="293"/>
      <c r="EC720" s="293"/>
      <c r="ED720" s="293"/>
      <c r="EE720" s="293"/>
      <c r="EF720" s="293"/>
      <c r="EG720" s="293"/>
      <c r="EH720" s="293"/>
      <c r="EI720" s="293"/>
      <c r="EJ720" s="293"/>
      <c r="EK720" s="293"/>
      <c r="EL720" s="293"/>
      <c r="EM720" s="293"/>
      <c r="EN720" s="293"/>
      <c r="EO720" s="293"/>
      <c r="EP720" s="293"/>
      <c r="EQ720" s="293"/>
      <c r="ER720" s="293"/>
      <c r="ES720" s="293"/>
      <c r="ET720" s="293"/>
      <c r="EU720" s="293"/>
      <c r="JW720"/>
    </row>
    <row r="721" spans="1:283" s="327" customFormat="1">
      <c r="A721" s="327" t="s">
        <v>569</v>
      </c>
      <c r="AN721" s="295">
        <f>SUM(AN718:AN720)</f>
        <v>0</v>
      </c>
      <c r="AO721" s="295">
        <f>SUM(AO718:AO720)</f>
        <v>0</v>
      </c>
      <c r="AP721" s="295">
        <f>AN721+AO721</f>
        <v>0</v>
      </c>
      <c r="AQ721" s="295"/>
      <c r="AR721" s="295">
        <f>SUM(AR718:AR720)</f>
        <v>-282</v>
      </c>
      <c r="AS721" s="295">
        <f>SUM(AS718:AS720)</f>
        <v>10</v>
      </c>
      <c r="AT721" s="295">
        <f>AR721+AS721</f>
        <v>-272</v>
      </c>
      <c r="AU721" s="295"/>
      <c r="AV721" s="295">
        <f>SUM(AV718:AV720)</f>
        <v>-666</v>
      </c>
      <c r="AW721" s="295">
        <f>SUM(AW718:AW720)</f>
        <v>-586</v>
      </c>
      <c r="AX721" s="295">
        <f t="shared" si="1826"/>
        <v>-1252</v>
      </c>
      <c r="AY721" s="295"/>
      <c r="AZ721" s="295">
        <f>SUM(AZ718:AZ720)</f>
        <v>-772.33330000000001</v>
      </c>
      <c r="BA721" s="295">
        <f>SUM(BA718:BA720)</f>
        <v>-575.33333000000005</v>
      </c>
      <c r="BB721" s="295">
        <f t="shared" si="1827"/>
        <v>-1347.6666300000002</v>
      </c>
      <c r="BC721" s="295"/>
      <c r="BD721" s="295">
        <f>SUM(BD718:BD720)</f>
        <v>-470.99666999999994</v>
      </c>
      <c r="BE721" s="295">
        <f>SUM(BE718:BE720)</f>
        <v>-719.33299999999997</v>
      </c>
      <c r="BF721" s="295">
        <f t="shared" si="1828"/>
        <v>-1190.3296699999999</v>
      </c>
      <c r="BG721" s="293"/>
      <c r="BH721" s="295">
        <f>SUM(BH718:BH720)</f>
        <v>-473</v>
      </c>
      <c r="BI721" s="295">
        <f>SUM(BI718:BI720)</f>
        <v>-641</v>
      </c>
      <c r="BJ721" s="295">
        <f t="shared" si="1829"/>
        <v>-1114</v>
      </c>
      <c r="BK721" s="487"/>
      <c r="BL721" s="295">
        <f>SUM(BL718:BL720)</f>
        <v>-626</v>
      </c>
      <c r="BM721" s="295">
        <f>SUM(BM718:BM720)</f>
        <v>-820</v>
      </c>
      <c r="BN721" s="295">
        <f t="shared" si="1830"/>
        <v>-1446</v>
      </c>
      <c r="BO721" s="487"/>
      <c r="BP721" s="295">
        <f>SUM(BP718:BP720)</f>
        <v>-800</v>
      </c>
      <c r="BQ721" s="295">
        <f>SUM(BQ718:BQ720)</f>
        <v>-953</v>
      </c>
      <c r="BR721" s="295">
        <f t="shared" si="1831"/>
        <v>-1753</v>
      </c>
      <c r="BS721" s="487"/>
      <c r="BT721" s="295">
        <f>SUM(BT718:BT720)</f>
        <v>-1011</v>
      </c>
      <c r="BU721" s="295">
        <f>SUM(BU718:BU720)</f>
        <v>-568</v>
      </c>
      <c r="BV721" s="295">
        <f t="shared" si="1832"/>
        <v>-1579</v>
      </c>
      <c r="BW721" s="295"/>
      <c r="BX721" s="295">
        <f>SUM(BX718:BX720)</f>
        <v>-915</v>
      </c>
      <c r="BY721" s="295">
        <f>SUM(BY718:BY720)</f>
        <v>-821</v>
      </c>
      <c r="BZ721" s="295">
        <f t="shared" si="1833"/>
        <v>-1736</v>
      </c>
      <c r="CA721" s="295"/>
      <c r="CB721" s="295">
        <f>SUM(CB718:CB720)</f>
        <v>-969</v>
      </c>
      <c r="CC721" s="295">
        <f>SUM(CC718:CC720)</f>
        <v>-833</v>
      </c>
      <c r="CD721" s="295">
        <f t="shared" si="1834"/>
        <v>-1802</v>
      </c>
      <c r="CE721" s="295"/>
      <c r="CF721" s="295">
        <f>SUM(CF718:CF720)</f>
        <v>-979</v>
      </c>
      <c r="CG721" s="295">
        <f>SUM(CG718:CG720)</f>
        <v>-1346</v>
      </c>
      <c r="CH721" s="295">
        <f t="shared" si="1835"/>
        <v>-2325</v>
      </c>
      <c r="CI721" s="295"/>
      <c r="CJ721" s="295">
        <f>SUM(CJ718:CJ720)</f>
        <v>-1158</v>
      </c>
      <c r="CK721" s="295">
        <f>SUM(CK718:CK720)</f>
        <v>-1025</v>
      </c>
      <c r="CL721" s="295">
        <f t="shared" si="1836"/>
        <v>-2183</v>
      </c>
      <c r="CM721" s="295"/>
      <c r="CN721" s="1412">
        <f>SUM(CN718:CN720)</f>
        <v>-1013</v>
      </c>
      <c r="CO721" s="1412">
        <f>SUM(CO718:CO720)</f>
        <v>-1382</v>
      </c>
      <c r="CP721" s="1412">
        <f t="shared" si="1837"/>
        <v>-2395</v>
      </c>
      <c r="CQ721" s="1412"/>
      <c r="CR721" s="1412">
        <f>SUM(CR718:CR720)</f>
        <v>-1466</v>
      </c>
      <c r="CS721" s="1390">
        <f>SUM(CS718:CS720)</f>
        <v>-1690</v>
      </c>
      <c r="CT721" s="295">
        <f t="shared" si="1838"/>
        <v>-3156</v>
      </c>
      <c r="CU721" s="295"/>
      <c r="CV721" s="1412">
        <f>SUM(CV718:CV720)</f>
        <v>-1602</v>
      </c>
      <c r="CW721" s="1491">
        <f>SUM(CW718:CW720)</f>
        <v>-2008</v>
      </c>
      <c r="CX721" s="1412">
        <f t="shared" si="1839"/>
        <v>-3610</v>
      </c>
      <c r="CY721" s="1412"/>
      <c r="CZ721" s="1867">
        <f>SUM(CZ718:CZ720)</f>
        <v>-1315</v>
      </c>
      <c r="DA721" s="1491">
        <f>SUM(DA718:DA720)</f>
        <v>-1573</v>
      </c>
      <c r="DB721" s="1412">
        <f t="shared" si="1840"/>
        <v>-2888</v>
      </c>
      <c r="DC721" s="1412"/>
      <c r="DD721" s="1867">
        <f>SUM(DD718:DD720)</f>
        <v>-1417</v>
      </c>
      <c r="DE721" s="1491">
        <f>SUM(DE718:DE720)</f>
        <v>-1577</v>
      </c>
      <c r="DF721" s="1412">
        <f t="shared" si="1841"/>
        <v>-2994</v>
      </c>
      <c r="DG721" s="295"/>
      <c r="DH721" s="1867">
        <f>SUM(DH718:DH720)</f>
        <v>-1532</v>
      </c>
      <c r="DI721" s="295">
        <f>SUM(DI718:DI720)</f>
        <v>-1717.2652697586582</v>
      </c>
      <c r="DJ721" s="295">
        <f t="shared" si="1843"/>
        <v>-3249.2652697586582</v>
      </c>
      <c r="DK721" s="295"/>
      <c r="DL721" s="295">
        <f>SUM(DL718:DL720)</f>
        <v>-1683.8251175485377</v>
      </c>
      <c r="DM721" s="295">
        <f>SUM(DM718:DM720)</f>
        <v>-1662.1179206362665</v>
      </c>
      <c r="DN721" s="295">
        <f t="shared" si="1845"/>
        <v>-3345.9430381848042</v>
      </c>
      <c r="DO721" s="295"/>
      <c r="DP721" s="295">
        <f>SUM(DP718:DP720)</f>
        <v>-1794.7243396201602</v>
      </c>
      <c r="DQ721" s="295">
        <f>SUM(DQ718:DQ720)</f>
        <v>-1789.1006264554969</v>
      </c>
      <c r="DR721" s="295">
        <f t="shared" si="1847"/>
        <v>-3583.8249660756574</v>
      </c>
      <c r="DS721" s="295"/>
      <c r="DT721" s="295"/>
      <c r="DU721" s="295"/>
      <c r="DV721" s="295"/>
      <c r="DW721" s="1199"/>
      <c r="DX721" s="295"/>
      <c r="DY721" s="295"/>
      <c r="DZ721" s="295"/>
      <c r="EA721" s="295"/>
      <c r="EB721" s="295"/>
      <c r="EC721" s="295"/>
      <c r="ED721" s="295"/>
      <c r="EE721" s="295"/>
      <c r="EF721" s="295"/>
      <c r="EG721" s="295"/>
      <c r="EH721" s="295"/>
      <c r="EI721" s="295"/>
      <c r="EJ721" s="295"/>
      <c r="EK721" s="295"/>
      <c r="EL721" s="295"/>
      <c r="EM721" s="295"/>
      <c r="EN721" s="295"/>
      <c r="EO721" s="295"/>
      <c r="EP721" s="295"/>
      <c r="EQ721" s="295"/>
      <c r="ER721" s="295"/>
      <c r="ES721" s="295"/>
      <c r="ET721" s="295"/>
      <c r="EU721" s="295"/>
      <c r="JW721"/>
    </row>
    <row r="722" spans="1:283" s="332" customFormat="1">
      <c r="A722" s="327" t="s">
        <v>572</v>
      </c>
      <c r="AN722" s="295">
        <f>AN716+AN721</f>
        <v>328</v>
      </c>
      <c r="AO722" s="295">
        <f>AO716+AO721</f>
        <v>477</v>
      </c>
      <c r="AP722" s="295">
        <f>AN722+AO722</f>
        <v>805</v>
      </c>
      <c r="AQ722" s="295"/>
      <c r="AR722" s="295">
        <f>AR716+AR721</f>
        <v>-59</v>
      </c>
      <c r="AS722" s="295">
        <f>AS716+AS721</f>
        <v>137</v>
      </c>
      <c r="AT722" s="295">
        <f>AR722+AS722</f>
        <v>78</v>
      </c>
      <c r="AU722" s="295"/>
      <c r="AV722" s="295">
        <f>AV716+AV721</f>
        <v>-733</v>
      </c>
      <c r="AW722" s="295">
        <f>AW716+AW721</f>
        <v>-525</v>
      </c>
      <c r="AX722" s="295">
        <f t="shared" si="1826"/>
        <v>-1258</v>
      </c>
      <c r="AY722" s="295"/>
      <c r="AZ722" s="295">
        <f>AZ716+AZ721</f>
        <v>-384.33330000000001</v>
      </c>
      <c r="BA722" s="295">
        <f>BA716+BA721</f>
        <v>-611.33333000000005</v>
      </c>
      <c r="BB722" s="295">
        <f t="shared" si="1827"/>
        <v>-995.66663000000005</v>
      </c>
      <c r="BC722" s="295"/>
      <c r="BD722" s="295">
        <f>BD716+BD721</f>
        <v>-466.99666999999994</v>
      </c>
      <c r="BE722" s="295">
        <f>BE716+BE721</f>
        <v>-532.33299999999997</v>
      </c>
      <c r="BF722" s="295">
        <f t="shared" si="1828"/>
        <v>-999.32966999999985</v>
      </c>
      <c r="BG722" s="293"/>
      <c r="BH722" s="295">
        <f>BH716+BH721</f>
        <v>-444</v>
      </c>
      <c r="BI722" s="295">
        <f>BI716+BI721</f>
        <v>-501</v>
      </c>
      <c r="BJ722" s="295">
        <f t="shared" si="1829"/>
        <v>-945</v>
      </c>
      <c r="BK722" s="487"/>
      <c r="BL722" s="295">
        <f>BL716+BL721</f>
        <v>-560</v>
      </c>
      <c r="BM722" s="295">
        <f>BM716+BM721</f>
        <v>-573</v>
      </c>
      <c r="BN722" s="295">
        <f t="shared" si="1830"/>
        <v>-1133</v>
      </c>
      <c r="BO722" s="487"/>
      <c r="BP722" s="295">
        <f>BP716+BP721</f>
        <v>-689</v>
      </c>
      <c r="BQ722" s="295">
        <f>BQ716+BQ721</f>
        <v>-960</v>
      </c>
      <c r="BR722" s="295">
        <f t="shared" si="1831"/>
        <v>-1649</v>
      </c>
      <c r="BS722" s="487"/>
      <c r="BT722" s="295">
        <f>BT716+BT721</f>
        <v>-1006</v>
      </c>
      <c r="BU722" s="295">
        <f>BU716+BU721</f>
        <v>-405</v>
      </c>
      <c r="BV722" s="295">
        <f t="shared" si="1832"/>
        <v>-1411</v>
      </c>
      <c r="BW722" s="295"/>
      <c r="BX722" s="295">
        <f>BX716+BX721</f>
        <v>-838</v>
      </c>
      <c r="BY722" s="295">
        <f>BY716+BY721</f>
        <v>-763</v>
      </c>
      <c r="BZ722" s="295">
        <f t="shared" si="1833"/>
        <v>-1601</v>
      </c>
      <c r="CA722" s="295"/>
      <c r="CB722" s="295">
        <f>CB716+CB721</f>
        <v>-958</v>
      </c>
      <c r="CC722" s="295">
        <f>CC716+CC721</f>
        <v>-649</v>
      </c>
      <c r="CD722" s="295">
        <f t="shared" si="1834"/>
        <v>-1607</v>
      </c>
      <c r="CE722" s="295"/>
      <c r="CF722" s="295">
        <f>CF716+CF721</f>
        <v>-908</v>
      </c>
      <c r="CG722" s="295">
        <f>CG716+CG721</f>
        <v>-1361</v>
      </c>
      <c r="CH722" s="295">
        <f t="shared" si="1835"/>
        <v>-2269</v>
      </c>
      <c r="CI722" s="295"/>
      <c r="CJ722" s="295">
        <f>CJ716+CJ721</f>
        <v>-1029</v>
      </c>
      <c r="CK722" s="295">
        <f>CK716+CK721</f>
        <v>-949</v>
      </c>
      <c r="CL722" s="295">
        <f t="shared" si="1836"/>
        <v>-1978</v>
      </c>
      <c r="CM722" s="295"/>
      <c r="CN722" s="1412">
        <f>CN716+CN721</f>
        <v>-1012</v>
      </c>
      <c r="CO722" s="1412">
        <f>CO716+CO721</f>
        <v>-1167</v>
      </c>
      <c r="CP722" s="1412">
        <f t="shared" si="1837"/>
        <v>-2179</v>
      </c>
      <c r="CQ722" s="1412"/>
      <c r="CR722" s="1412">
        <f>CR716+CR721</f>
        <v>-1338</v>
      </c>
      <c r="CS722" s="1390">
        <f>CS716+CS721</f>
        <v>-1831</v>
      </c>
      <c r="CT722" s="295">
        <f t="shared" si="1838"/>
        <v>-3169</v>
      </c>
      <c r="CU722" s="295"/>
      <c r="CV722" s="1412">
        <f>CV716+CV721</f>
        <v>-1532</v>
      </c>
      <c r="CW722" s="1491">
        <f>CW716+CW721</f>
        <v>-1811</v>
      </c>
      <c r="CX722" s="1412">
        <f t="shared" si="1839"/>
        <v>-3343</v>
      </c>
      <c r="CY722" s="1412"/>
      <c r="CZ722" s="1867">
        <f>CZ716+CZ721</f>
        <v>-856</v>
      </c>
      <c r="DA722" s="1491">
        <f>DA716+DA721</f>
        <v>-1042</v>
      </c>
      <c r="DB722" s="1412">
        <f t="shared" si="1840"/>
        <v>-1898</v>
      </c>
      <c r="DC722" s="1412"/>
      <c r="DD722" s="1867">
        <f>DD716+DD721</f>
        <v>-868</v>
      </c>
      <c r="DE722" s="1491">
        <f>DE716+DE721</f>
        <v>-1401</v>
      </c>
      <c r="DF722" s="1412">
        <f t="shared" si="1841"/>
        <v>-2269</v>
      </c>
      <c r="DG722" s="295"/>
      <c r="DH722" s="1867">
        <f>DH716+DH721</f>
        <v>-1365</v>
      </c>
      <c r="DI722" s="295">
        <f>DI716+DI721</f>
        <v>-1414.8828697586582</v>
      </c>
      <c r="DJ722" s="295">
        <f t="shared" si="1843"/>
        <v>-2779.8828697586582</v>
      </c>
      <c r="DK722" s="295"/>
      <c r="DL722" s="295">
        <f>DL716+DL721</f>
        <v>-1411.4331175485377</v>
      </c>
      <c r="DM722" s="295">
        <f>DM716+DM721</f>
        <v>-1382.4024406362664</v>
      </c>
      <c r="DN722" s="295">
        <f t="shared" si="1845"/>
        <v>-2793.8355581848041</v>
      </c>
      <c r="DO722" s="295"/>
      <c r="DP722" s="295">
        <f>DP716+DP721</f>
        <v>-1452.5516408201602</v>
      </c>
      <c r="DQ722" s="295">
        <f>DQ716+DQ721</f>
        <v>-1449.334677203497</v>
      </c>
      <c r="DR722" s="295">
        <f t="shared" si="1847"/>
        <v>-2901.8863180236572</v>
      </c>
      <c r="DS722" s="295"/>
      <c r="DT722" s="295"/>
      <c r="DU722" s="295"/>
      <c r="DV722" s="295"/>
      <c r="DW722" s="1199"/>
      <c r="DX722" s="295"/>
      <c r="DY722" s="295"/>
      <c r="DZ722" s="295"/>
      <c r="EA722" s="295"/>
      <c r="EB722" s="295"/>
      <c r="EC722" s="295"/>
      <c r="ED722" s="295"/>
      <c r="EE722" s="295"/>
      <c r="EF722" s="295"/>
      <c r="EG722" s="295"/>
      <c r="EH722" s="295"/>
      <c r="EI722" s="295"/>
      <c r="EJ722" s="295"/>
      <c r="EK722" s="295"/>
      <c r="EL722" s="295"/>
      <c r="EM722" s="295"/>
      <c r="EN722" s="295"/>
      <c r="EO722" s="295"/>
      <c r="EP722" s="295"/>
      <c r="EQ722" s="295"/>
      <c r="ER722" s="295"/>
      <c r="ES722" s="295"/>
      <c r="ET722" s="295"/>
      <c r="EU722" s="295"/>
      <c r="EV722" s="327"/>
      <c r="EW722" s="327"/>
      <c r="EX722" s="327"/>
      <c r="EY722" s="327"/>
      <c r="EZ722" s="327"/>
      <c r="FA722" s="327"/>
      <c r="FB722" s="327"/>
      <c r="FC722" s="327"/>
      <c r="FD722" s="327"/>
      <c r="FE722" s="327"/>
      <c r="FF722" s="327"/>
      <c r="FG722" s="327"/>
      <c r="FH722" s="327"/>
      <c r="FI722" s="327"/>
      <c r="FJ722" s="327"/>
      <c r="FK722" s="327"/>
      <c r="FL722" s="327"/>
      <c r="FM722" s="327"/>
      <c r="FN722" s="327"/>
      <c r="FO722" s="327"/>
      <c r="FP722" s="327"/>
      <c r="FQ722" s="327"/>
      <c r="FR722" s="327"/>
      <c r="FS722" s="327"/>
      <c r="FT722" s="327"/>
      <c r="FU722" s="327"/>
      <c r="FV722" s="327"/>
      <c r="FW722" s="327"/>
      <c r="FX722" s="327"/>
      <c r="FY722" s="327"/>
      <c r="FZ722" s="327"/>
      <c r="GA722" s="327"/>
      <c r="GB722" s="327"/>
      <c r="GC722" s="327"/>
      <c r="GD722" s="327"/>
      <c r="GE722" s="327"/>
      <c r="GF722" s="327"/>
      <c r="GG722" s="327"/>
      <c r="GH722" s="327"/>
      <c r="GI722" s="327"/>
      <c r="GJ722" s="327"/>
      <c r="GK722" s="327"/>
      <c r="GL722" s="327"/>
      <c r="GM722" s="327"/>
      <c r="GN722" s="327"/>
      <c r="GO722" s="327"/>
      <c r="GP722" s="327"/>
      <c r="GQ722" s="327"/>
      <c r="GR722" s="327"/>
      <c r="GS722" s="327"/>
      <c r="GT722" s="327"/>
      <c r="GU722" s="327"/>
      <c r="GV722" s="327"/>
      <c r="GW722" s="327"/>
      <c r="GX722" s="327"/>
      <c r="GY722" s="327"/>
      <c r="GZ722" s="327"/>
      <c r="HA722" s="327"/>
      <c r="HB722" s="327"/>
      <c r="HC722" s="327"/>
      <c r="HD722" s="327"/>
      <c r="HE722" s="327"/>
      <c r="HF722" s="327"/>
      <c r="HG722" s="327"/>
      <c r="HH722" s="327"/>
      <c r="HI722" s="327"/>
      <c r="HJ722" s="327"/>
      <c r="HK722" s="327"/>
      <c r="HL722" s="327"/>
      <c r="HM722" s="327"/>
      <c r="HN722" s="327"/>
      <c r="HO722" s="327"/>
      <c r="HP722" s="327"/>
      <c r="HQ722" s="327"/>
      <c r="HR722" s="327"/>
      <c r="HS722" s="327"/>
      <c r="HT722" s="327"/>
      <c r="HU722" s="327"/>
      <c r="HV722" s="327"/>
      <c r="HW722" s="327"/>
      <c r="HX722" s="327"/>
      <c r="HY722" s="327"/>
      <c r="HZ722" s="327"/>
      <c r="IA722" s="327"/>
      <c r="IB722" s="327"/>
      <c r="IC722" s="327"/>
      <c r="ID722" s="327"/>
      <c r="IE722" s="327"/>
      <c r="IF722" s="327"/>
      <c r="IG722" s="327"/>
      <c r="IH722" s="327"/>
      <c r="II722" s="327"/>
      <c r="IJ722" s="327"/>
      <c r="IK722" s="327"/>
      <c r="IL722" s="327"/>
      <c r="IM722" s="327"/>
      <c r="IN722" s="327"/>
      <c r="IO722" s="327"/>
      <c r="IP722" s="327"/>
      <c r="IQ722" s="327"/>
      <c r="IR722" s="327"/>
      <c r="IS722" s="327"/>
      <c r="IT722" s="327"/>
      <c r="IU722" s="327"/>
      <c r="IV722" s="327"/>
      <c r="IW722" s="327"/>
      <c r="IX722" s="327"/>
      <c r="IY722" s="327"/>
      <c r="IZ722" s="327"/>
      <c r="JA722" s="327"/>
      <c r="JB722" s="327"/>
      <c r="JC722" s="327"/>
      <c r="JD722" s="327"/>
      <c r="JE722" s="327"/>
      <c r="JF722" s="327"/>
      <c r="JG722" s="327"/>
      <c r="JH722" s="327"/>
      <c r="JI722" s="327"/>
      <c r="JJ722" s="327"/>
      <c r="JK722" s="327"/>
      <c r="JL722" s="327"/>
      <c r="JM722" s="327"/>
      <c r="JN722" s="327"/>
      <c r="JO722" s="327"/>
      <c r="JP722" s="327"/>
      <c r="JQ722" s="327"/>
      <c r="JR722" s="327"/>
      <c r="JS722" s="327"/>
      <c r="JT722" s="327"/>
      <c r="JU722" s="327"/>
      <c r="JV722" s="327"/>
      <c r="JW722"/>
    </row>
    <row r="723" spans="1:283" s="332" customFormat="1">
      <c r="A723" s="332" t="s">
        <v>664</v>
      </c>
      <c r="AN723" s="293"/>
      <c r="AO723" s="293"/>
      <c r="AP723" s="293"/>
      <c r="AQ723" s="293"/>
      <c r="AR723" s="293"/>
      <c r="AS723" s="293"/>
      <c r="AT723" s="293"/>
      <c r="AU723" s="293"/>
      <c r="AV723" s="626">
        <v>0</v>
      </c>
      <c r="AW723" s="626">
        <v>6</v>
      </c>
      <c r="AX723" s="293">
        <f t="shared" si="1826"/>
        <v>6</v>
      </c>
      <c r="AY723" s="626"/>
      <c r="AZ723" s="626">
        <v>-2</v>
      </c>
      <c r="BA723" s="626">
        <v>8</v>
      </c>
      <c r="BB723" s="293">
        <f t="shared" si="1827"/>
        <v>6</v>
      </c>
      <c r="BC723" s="293"/>
      <c r="BD723" s="626">
        <v>-5</v>
      </c>
      <c r="BE723" s="626">
        <v>3</v>
      </c>
      <c r="BF723" s="293">
        <f t="shared" si="1828"/>
        <v>-2</v>
      </c>
      <c r="BG723" s="293"/>
      <c r="BH723" s="626">
        <v>-6</v>
      </c>
      <c r="BI723" s="626">
        <v>5</v>
      </c>
      <c r="BJ723" s="293">
        <f t="shared" si="1829"/>
        <v>-1</v>
      </c>
      <c r="BK723" s="487"/>
      <c r="BL723" s="626">
        <v>-3</v>
      </c>
      <c r="BM723" s="626">
        <v>0</v>
      </c>
      <c r="BN723" s="293">
        <f t="shared" si="1830"/>
        <v>-3</v>
      </c>
      <c r="BO723" s="487"/>
      <c r="BP723" s="626">
        <v>-1</v>
      </c>
      <c r="BQ723" s="626">
        <v>1</v>
      </c>
      <c r="BR723" s="293">
        <f t="shared" si="1831"/>
        <v>0</v>
      </c>
      <c r="BS723" s="487"/>
      <c r="BT723" s="626">
        <v>3</v>
      </c>
      <c r="BU723" s="626">
        <v>-4</v>
      </c>
      <c r="BV723" s="293">
        <f t="shared" si="1832"/>
        <v>-1</v>
      </c>
      <c r="BW723" s="293"/>
      <c r="BX723" s="626">
        <v>0</v>
      </c>
      <c r="BY723" s="626">
        <v>-2</v>
      </c>
      <c r="BZ723" s="293">
        <f t="shared" si="1833"/>
        <v>-2</v>
      </c>
      <c r="CA723" s="293"/>
      <c r="CB723" s="626">
        <v>-1</v>
      </c>
      <c r="CC723" s="626">
        <v>1</v>
      </c>
      <c r="CD723" s="293">
        <f t="shared" si="1834"/>
        <v>0</v>
      </c>
      <c r="CE723" s="293"/>
      <c r="CF723" s="626">
        <v>-2</v>
      </c>
      <c r="CG723" s="626">
        <v>2</v>
      </c>
      <c r="CH723" s="293">
        <f t="shared" si="1835"/>
        <v>0</v>
      </c>
      <c r="CI723" s="293"/>
      <c r="CJ723" s="626">
        <v>0</v>
      </c>
      <c r="CK723" s="626">
        <v>1</v>
      </c>
      <c r="CL723" s="293">
        <f t="shared" si="1836"/>
        <v>1</v>
      </c>
      <c r="CM723" s="293"/>
      <c r="CN723" s="1388">
        <v>0</v>
      </c>
      <c r="CO723" s="1388">
        <v>-4</v>
      </c>
      <c r="CP723" s="1010">
        <f t="shared" si="1837"/>
        <v>-4</v>
      </c>
      <c r="CQ723" s="1010"/>
      <c r="CR723" s="1388">
        <v>0</v>
      </c>
      <c r="CS723" s="1497">
        <v>-1</v>
      </c>
      <c r="CT723" s="293">
        <f t="shared" si="1838"/>
        <v>-1</v>
      </c>
      <c r="CU723" s="293"/>
      <c r="CV723" s="1388">
        <v>-1</v>
      </c>
      <c r="CW723" s="1488">
        <v>-1</v>
      </c>
      <c r="CX723" s="1010">
        <f t="shared" si="1839"/>
        <v>-2</v>
      </c>
      <c r="CY723" s="1010"/>
      <c r="CZ723" s="1863">
        <v>0</v>
      </c>
      <c r="DA723" s="1488">
        <v>-2</v>
      </c>
      <c r="DB723" s="1010">
        <f t="shared" si="1840"/>
        <v>-2</v>
      </c>
      <c r="DC723" s="1010"/>
      <c r="DD723" s="2207">
        <v>6</v>
      </c>
      <c r="DE723" s="2211">
        <v>3</v>
      </c>
      <c r="DF723" s="1010">
        <f t="shared" si="1841"/>
        <v>9</v>
      </c>
      <c r="DG723" s="293"/>
      <c r="DH723" s="2176">
        <v>-1</v>
      </c>
      <c r="DI723" s="841">
        <f>'P&amp;L'!DI1207</f>
        <v>0</v>
      </c>
      <c r="DJ723" s="293">
        <f t="shared" si="1843"/>
        <v>-1</v>
      </c>
      <c r="DK723" s="293"/>
      <c r="DL723" s="841">
        <f>'P&amp;L'!DL1207</f>
        <v>0</v>
      </c>
      <c r="DM723" s="841">
        <f>'P&amp;L'!DM1207</f>
        <v>0</v>
      </c>
      <c r="DN723" s="293">
        <f t="shared" si="1845"/>
        <v>0</v>
      </c>
      <c r="DO723" s="293"/>
      <c r="DP723" s="841">
        <f>'P&amp;L'!DP1207</f>
        <v>0</v>
      </c>
      <c r="DQ723" s="841">
        <f>'P&amp;L'!DQ1207</f>
        <v>0</v>
      </c>
      <c r="DR723" s="293">
        <f t="shared" si="1847"/>
        <v>0</v>
      </c>
      <c r="DS723" s="293"/>
      <c r="DT723" s="293"/>
      <c r="DU723" s="293"/>
      <c r="DV723" s="293"/>
      <c r="DW723" s="1198" t="s">
        <v>174</v>
      </c>
      <c r="DX723" s="293"/>
      <c r="DY723" s="293"/>
      <c r="DZ723" s="293"/>
      <c r="EA723" s="293"/>
      <c r="EB723" s="293"/>
      <c r="EC723" s="293"/>
      <c r="ED723" s="293"/>
      <c r="EE723" s="293"/>
      <c r="EF723" s="293"/>
      <c r="EG723" s="293"/>
      <c r="EH723" s="293"/>
      <c r="EI723" s="293"/>
      <c r="EJ723" s="293"/>
      <c r="EK723" s="293"/>
      <c r="EL723" s="293"/>
      <c r="EM723" s="293"/>
      <c r="EN723" s="293"/>
      <c r="EO723" s="293"/>
      <c r="EP723" s="293"/>
      <c r="EQ723" s="293"/>
      <c r="ER723" s="293"/>
      <c r="ES723" s="293"/>
      <c r="ET723" s="293"/>
      <c r="EU723" s="293"/>
      <c r="JW723"/>
    </row>
    <row r="724" spans="1:283" s="332" customFormat="1">
      <c r="A724" s="332" t="s">
        <v>570</v>
      </c>
      <c r="AN724" s="295"/>
      <c r="AO724" s="295"/>
      <c r="AP724" s="293"/>
      <c r="AQ724" s="295"/>
      <c r="AR724" s="295"/>
      <c r="AS724" s="295"/>
      <c r="AT724" s="293"/>
      <c r="AU724" s="295"/>
      <c r="AV724" s="626">
        <v>-36</v>
      </c>
      <c r="AW724" s="626">
        <v>-165</v>
      </c>
      <c r="AX724" s="293">
        <f t="shared" si="1826"/>
        <v>-201</v>
      </c>
      <c r="AY724" s="626"/>
      <c r="AZ724" s="626">
        <v>-85</v>
      </c>
      <c r="BA724" s="626">
        <v>-197</v>
      </c>
      <c r="BB724" s="293">
        <f t="shared" si="1827"/>
        <v>-282</v>
      </c>
      <c r="BC724" s="295"/>
      <c r="BD724" s="626">
        <v>-107</v>
      </c>
      <c r="BE724" s="626">
        <v>-180</v>
      </c>
      <c r="BF724" s="293">
        <f t="shared" si="1828"/>
        <v>-287</v>
      </c>
      <c r="BG724" s="293"/>
      <c r="BH724" s="626">
        <v>-156</v>
      </c>
      <c r="BI724" s="626">
        <v>-377</v>
      </c>
      <c r="BJ724" s="293">
        <f t="shared" si="1829"/>
        <v>-533</v>
      </c>
      <c r="BK724" s="487"/>
      <c r="BL724" s="626">
        <v>-307</v>
      </c>
      <c r="BM724" s="626">
        <v>-520</v>
      </c>
      <c r="BN724" s="293">
        <f t="shared" si="1830"/>
        <v>-827</v>
      </c>
      <c r="BO724" s="487"/>
      <c r="BP724" s="626">
        <v>-432</v>
      </c>
      <c r="BQ724" s="626">
        <v>-467</v>
      </c>
      <c r="BR724" s="293">
        <f t="shared" si="1831"/>
        <v>-899</v>
      </c>
      <c r="BS724" s="487"/>
      <c r="BT724" s="626">
        <v>-530</v>
      </c>
      <c r="BU724" s="626">
        <v>-397</v>
      </c>
      <c r="BV724" s="293">
        <f t="shared" si="1832"/>
        <v>-927</v>
      </c>
      <c r="BW724" s="295"/>
      <c r="BX724" s="626">
        <v>-438</v>
      </c>
      <c r="BY724" s="626">
        <v>-430</v>
      </c>
      <c r="BZ724" s="293">
        <f t="shared" si="1833"/>
        <v>-868</v>
      </c>
      <c r="CA724" s="295"/>
      <c r="CB724" s="626">
        <v>-448</v>
      </c>
      <c r="CC724" s="626">
        <v>-435</v>
      </c>
      <c r="CD724" s="293">
        <f t="shared" si="1834"/>
        <v>-883</v>
      </c>
      <c r="CE724" s="295"/>
      <c r="CF724" s="626">
        <v>-374</v>
      </c>
      <c r="CG724" s="626">
        <v>-505</v>
      </c>
      <c r="CH724" s="293">
        <f t="shared" si="1835"/>
        <v>-879</v>
      </c>
      <c r="CI724" s="295"/>
      <c r="CJ724" s="626">
        <v>-376</v>
      </c>
      <c r="CK724" s="626">
        <v>-352</v>
      </c>
      <c r="CL724" s="293">
        <f t="shared" si="1836"/>
        <v>-728</v>
      </c>
      <c r="CM724" s="295"/>
      <c r="CN724" s="1388">
        <v>-275</v>
      </c>
      <c r="CO724" s="1388">
        <v>-624</v>
      </c>
      <c r="CP724" s="1010">
        <f t="shared" si="1837"/>
        <v>-899</v>
      </c>
      <c r="CQ724" s="1412"/>
      <c r="CR724" s="1388">
        <v>-603</v>
      </c>
      <c r="CS724" s="1497">
        <v>-983</v>
      </c>
      <c r="CT724" s="293">
        <f t="shared" si="1838"/>
        <v>-1586</v>
      </c>
      <c r="CU724" s="295"/>
      <c r="CV724" s="1388">
        <v>-735</v>
      </c>
      <c r="CW724" s="1488">
        <v>-1089</v>
      </c>
      <c r="CX724" s="1010">
        <f t="shared" si="1839"/>
        <v>-1824</v>
      </c>
      <c r="CY724" s="1412"/>
      <c r="CZ724" s="1863">
        <v>-587</v>
      </c>
      <c r="DA724" s="1488">
        <v>-704</v>
      </c>
      <c r="DB724" s="1010">
        <f t="shared" si="1840"/>
        <v>-1291</v>
      </c>
      <c r="DC724" s="1412"/>
      <c r="DD724" s="2210">
        <v>-686</v>
      </c>
      <c r="DE724" s="2207">
        <v>-640</v>
      </c>
      <c r="DF724" s="1010">
        <f t="shared" si="1841"/>
        <v>-1326</v>
      </c>
      <c r="DG724" s="295"/>
      <c r="DH724" s="2253">
        <v>-771</v>
      </c>
      <c r="DI724" s="293">
        <f>'P&amp;L'!DI1221</f>
        <v>-1053.334071488385</v>
      </c>
      <c r="DJ724" s="293">
        <f t="shared" si="1843"/>
        <v>-1824.334071488385</v>
      </c>
      <c r="DK724" s="295"/>
      <c r="DL724" s="293">
        <f>'P&amp;L'!DL1221</f>
        <v>-760.19554334208203</v>
      </c>
      <c r="DM724" s="293">
        <f>'P&amp;L'!DM1221</f>
        <v>-922.36555712498478</v>
      </c>
      <c r="DN724" s="293">
        <f t="shared" si="1845"/>
        <v>-1682.5611004670668</v>
      </c>
      <c r="DO724" s="295"/>
      <c r="DP724" s="293">
        <f>'P&amp;L'!DP1221</f>
        <v>-827.56306815596963</v>
      </c>
      <c r="DQ724" s="293">
        <f>'P&amp;L'!DQ1221</f>
        <v>-985.50108197394763</v>
      </c>
      <c r="DR724" s="293">
        <f t="shared" si="1847"/>
        <v>-1813.0641501299174</v>
      </c>
      <c r="DS724" s="295"/>
      <c r="DT724" s="295"/>
      <c r="DU724" s="295"/>
      <c r="DV724" s="295"/>
      <c r="DW724" s="1198" t="s">
        <v>174</v>
      </c>
      <c r="DX724" s="293"/>
      <c r="DY724" s="293"/>
      <c r="DZ724" s="295"/>
      <c r="EA724" s="293"/>
      <c r="EB724" s="293"/>
      <c r="EC724" s="293"/>
      <c r="ED724" s="295"/>
      <c r="EE724" s="293"/>
      <c r="EF724" s="293"/>
      <c r="EG724" s="293"/>
      <c r="EH724" s="295"/>
      <c r="EI724" s="293"/>
      <c r="EJ724" s="293"/>
      <c r="EK724" s="293"/>
      <c r="EL724" s="295"/>
      <c r="EM724" s="295"/>
      <c r="EN724" s="295"/>
      <c r="EO724" s="295"/>
      <c r="EP724" s="295"/>
      <c r="EQ724" s="295"/>
      <c r="ER724" s="295"/>
      <c r="ES724" s="295"/>
      <c r="ET724" s="295"/>
      <c r="EU724" s="295"/>
      <c r="EV724" s="327"/>
      <c r="EW724" s="327"/>
      <c r="EX724" s="327"/>
      <c r="EY724" s="327"/>
      <c r="EZ724" s="327"/>
      <c r="FA724" s="327"/>
      <c r="FB724" s="327"/>
      <c r="FC724" s="327"/>
      <c r="FD724" s="327"/>
      <c r="FE724" s="327"/>
      <c r="FF724" s="327"/>
      <c r="FG724" s="327"/>
      <c r="FH724" s="327"/>
      <c r="FI724" s="327"/>
      <c r="FJ724" s="327"/>
      <c r="FK724" s="327"/>
      <c r="FL724" s="327"/>
      <c r="FM724" s="327"/>
      <c r="FN724" s="327"/>
      <c r="FO724" s="327"/>
      <c r="FP724" s="327"/>
      <c r="FQ724" s="327"/>
      <c r="FR724" s="327"/>
      <c r="FS724" s="327"/>
      <c r="FT724" s="327"/>
      <c r="FU724" s="327"/>
      <c r="FV724" s="327"/>
      <c r="FW724" s="327"/>
      <c r="FX724" s="327"/>
      <c r="FY724" s="327"/>
      <c r="FZ724" s="327"/>
      <c r="GA724" s="327"/>
      <c r="GB724" s="327"/>
      <c r="GC724" s="327"/>
      <c r="GD724" s="327"/>
      <c r="GE724" s="327"/>
      <c r="GF724" s="327"/>
      <c r="GG724" s="327"/>
      <c r="GH724" s="327"/>
      <c r="GI724" s="327"/>
      <c r="GJ724" s="327"/>
      <c r="GK724" s="327"/>
      <c r="GL724" s="327"/>
      <c r="GM724" s="327"/>
      <c r="GN724" s="327"/>
      <c r="GO724" s="327"/>
      <c r="GP724" s="327"/>
      <c r="GQ724" s="327"/>
      <c r="GR724" s="327"/>
      <c r="GS724" s="327"/>
      <c r="GT724" s="327"/>
      <c r="GU724" s="327"/>
      <c r="GV724" s="327"/>
      <c r="GW724" s="327"/>
      <c r="GX724" s="327"/>
      <c r="GY724" s="327"/>
      <c r="GZ724" s="327"/>
      <c r="HA724" s="327"/>
      <c r="HB724" s="327"/>
      <c r="HC724" s="327"/>
      <c r="HD724" s="327"/>
      <c r="HE724" s="327"/>
      <c r="HF724" s="327"/>
      <c r="HG724" s="327"/>
      <c r="HH724" s="327"/>
      <c r="HI724" s="327"/>
      <c r="HJ724" s="327"/>
      <c r="HK724" s="327"/>
      <c r="HL724" s="327"/>
      <c r="HM724" s="327"/>
      <c r="HN724" s="327"/>
      <c r="HO724" s="327"/>
      <c r="HP724" s="327"/>
      <c r="HQ724" s="327"/>
      <c r="HR724" s="327"/>
      <c r="HS724" s="327"/>
      <c r="HT724" s="327"/>
      <c r="HU724" s="327"/>
      <c r="HV724" s="327"/>
      <c r="HW724" s="327"/>
      <c r="HX724" s="327"/>
      <c r="HY724" s="327"/>
      <c r="HZ724" s="327"/>
      <c r="IA724" s="327"/>
      <c r="IB724" s="327"/>
      <c r="IC724" s="327"/>
      <c r="ID724" s="327"/>
      <c r="IE724" s="327"/>
      <c r="IF724" s="327"/>
      <c r="IG724" s="327"/>
      <c r="IH724" s="327"/>
      <c r="II724" s="327"/>
      <c r="IJ724" s="327"/>
      <c r="IK724" s="327"/>
      <c r="IL724" s="327"/>
      <c r="IM724" s="327"/>
      <c r="IN724" s="327"/>
      <c r="IO724" s="327"/>
      <c r="IP724" s="327"/>
      <c r="IQ724" s="327"/>
      <c r="IR724" s="327"/>
      <c r="IS724" s="327"/>
      <c r="IT724" s="327"/>
      <c r="IU724" s="327"/>
      <c r="IV724" s="327"/>
      <c r="IW724" s="327"/>
      <c r="IX724" s="327"/>
      <c r="IY724" s="327"/>
      <c r="IZ724" s="327"/>
      <c r="JA724" s="327"/>
      <c r="JB724" s="327"/>
      <c r="JC724" s="327"/>
      <c r="JD724" s="327"/>
      <c r="JE724" s="327"/>
      <c r="JF724" s="327"/>
      <c r="JG724" s="327"/>
      <c r="JH724" s="327"/>
      <c r="JI724" s="327"/>
      <c r="JJ724" s="327"/>
      <c r="JK724" s="327"/>
      <c r="JL724" s="327"/>
      <c r="JM724" s="327"/>
      <c r="JN724" s="327"/>
      <c r="JO724" s="327"/>
      <c r="JP724" s="327"/>
      <c r="JQ724" s="327"/>
      <c r="JR724" s="327"/>
      <c r="JS724" s="327"/>
      <c r="JT724" s="327"/>
      <c r="JU724" s="327"/>
      <c r="JV724" s="327"/>
      <c r="JW724"/>
    </row>
    <row r="725" spans="1:283" s="332" customFormat="1">
      <c r="A725" s="332" t="s">
        <v>676</v>
      </c>
      <c r="AN725" s="295"/>
      <c r="AO725" s="295"/>
      <c r="AP725" s="293"/>
      <c r="AQ725" s="295"/>
      <c r="AR725" s="295"/>
      <c r="AS725" s="295"/>
      <c r="AT725" s="293"/>
      <c r="AU725" s="295"/>
      <c r="AV725" s="626">
        <v>-6</v>
      </c>
      <c r="AW725" s="626">
        <v>-2</v>
      </c>
      <c r="AX725" s="293">
        <f t="shared" si="1826"/>
        <v>-8</v>
      </c>
      <c r="AY725" s="626"/>
      <c r="AZ725" s="626">
        <v>-2</v>
      </c>
      <c r="BA725" s="626">
        <v>-2</v>
      </c>
      <c r="BB725" s="293">
        <f t="shared" si="1827"/>
        <v>-4</v>
      </c>
      <c r="BC725" s="487"/>
      <c r="BD725" s="626">
        <v>-2</v>
      </c>
      <c r="BE725" s="626">
        <v>-2</v>
      </c>
      <c r="BF725" s="293">
        <f t="shared" si="1828"/>
        <v>-4</v>
      </c>
      <c r="BG725" s="293"/>
      <c r="BH725" s="626">
        <v>-2</v>
      </c>
      <c r="BI725" s="626">
        <v>-2</v>
      </c>
      <c r="BJ725" s="293">
        <f t="shared" si="1829"/>
        <v>-4</v>
      </c>
      <c r="BK725" s="487"/>
      <c r="BL725" s="626">
        <v>-2</v>
      </c>
      <c r="BM725" s="626">
        <v>-2</v>
      </c>
      <c r="BN725" s="293">
        <f t="shared" si="1830"/>
        <v>-4</v>
      </c>
      <c r="BO725" s="487"/>
      <c r="BP725" s="626">
        <v>-2</v>
      </c>
      <c r="BQ725" s="626">
        <v>-3</v>
      </c>
      <c r="BR725" s="293">
        <f t="shared" si="1831"/>
        <v>-5</v>
      </c>
      <c r="BS725" s="487"/>
      <c r="BT725" s="626">
        <v>-1</v>
      </c>
      <c r="BU725" s="626">
        <v>0</v>
      </c>
      <c r="BV725" s="293">
        <f t="shared" si="1832"/>
        <v>-1</v>
      </c>
      <c r="BW725" s="487"/>
      <c r="BX725" s="626">
        <v>0</v>
      </c>
      <c r="BY725" s="626">
        <v>0</v>
      </c>
      <c r="BZ725" s="293">
        <f t="shared" si="1833"/>
        <v>0</v>
      </c>
      <c r="CA725" s="487"/>
      <c r="CB725" s="626">
        <v>0</v>
      </c>
      <c r="CC725" s="626">
        <v>0</v>
      </c>
      <c r="CD725" s="293">
        <f t="shared" si="1834"/>
        <v>0</v>
      </c>
      <c r="CE725" s="487"/>
      <c r="CF725" s="626">
        <v>0</v>
      </c>
      <c r="CG725" s="626">
        <v>0</v>
      </c>
      <c r="CH725" s="293">
        <f t="shared" si="1835"/>
        <v>0</v>
      </c>
      <c r="CI725" s="487"/>
      <c r="CJ725" s="626">
        <v>0</v>
      </c>
      <c r="CK725" s="626">
        <v>0</v>
      </c>
      <c r="CL725" s="293">
        <f t="shared" si="1836"/>
        <v>0</v>
      </c>
      <c r="CM725" s="487"/>
      <c r="CN725" s="1388">
        <v>0</v>
      </c>
      <c r="CO725" s="1388">
        <v>0</v>
      </c>
      <c r="CP725" s="1010">
        <f t="shared" si="1837"/>
        <v>0</v>
      </c>
      <c r="CQ725" s="1427"/>
      <c r="CR725" s="1388">
        <v>0</v>
      </c>
      <c r="CS725" s="1497">
        <v>0</v>
      </c>
      <c r="CT725" s="293">
        <f t="shared" si="1838"/>
        <v>0</v>
      </c>
      <c r="CU725" s="487"/>
      <c r="CV725" s="1388">
        <v>0</v>
      </c>
      <c r="CW725" s="1488">
        <v>0</v>
      </c>
      <c r="CX725" s="1010">
        <f t="shared" si="1839"/>
        <v>0</v>
      </c>
      <c r="CY725" s="1427"/>
      <c r="CZ725" s="1863">
        <v>0</v>
      </c>
      <c r="DA725" s="1488">
        <v>0</v>
      </c>
      <c r="DB725" s="1010">
        <f t="shared" si="1840"/>
        <v>0</v>
      </c>
      <c r="DC725" s="1427"/>
      <c r="DD725" s="1863">
        <v>0</v>
      </c>
      <c r="DE725" s="1497">
        <v>0</v>
      </c>
      <c r="DF725" s="1010">
        <f t="shared" si="1841"/>
        <v>0</v>
      </c>
      <c r="DG725" s="487"/>
      <c r="DH725" s="1863">
        <v>0</v>
      </c>
      <c r="DI725" s="841">
        <f>'Bal Sheet'!DI425</f>
        <v>0</v>
      </c>
      <c r="DJ725" s="293">
        <f t="shared" si="1843"/>
        <v>0</v>
      </c>
      <c r="DK725" s="487"/>
      <c r="DL725" s="841">
        <f>'Bal Sheet'!DL425</f>
        <v>0</v>
      </c>
      <c r="DM725" s="841">
        <f>'Bal Sheet'!DM425</f>
        <v>0</v>
      </c>
      <c r="DN725" s="293">
        <f t="shared" si="1845"/>
        <v>0</v>
      </c>
      <c r="DO725" s="487"/>
      <c r="DP725" s="841">
        <f>'Bal Sheet'!DP425</f>
        <v>0</v>
      </c>
      <c r="DQ725" s="841">
        <f>'Bal Sheet'!DQ425</f>
        <v>0</v>
      </c>
      <c r="DR725" s="293">
        <f t="shared" si="1847"/>
        <v>0</v>
      </c>
      <c r="DS725" s="487"/>
      <c r="DT725" s="487"/>
      <c r="DU725" s="487"/>
      <c r="DV725" s="487"/>
      <c r="DW725" s="1198" t="s">
        <v>177</v>
      </c>
      <c r="DX725" s="841"/>
      <c r="DY725" s="841"/>
      <c r="DZ725" s="295"/>
      <c r="EA725" s="841"/>
      <c r="EB725" s="841"/>
      <c r="EC725" s="293"/>
      <c r="ED725" s="295"/>
      <c r="EE725" s="841"/>
      <c r="EF725" s="841"/>
      <c r="EG725" s="293"/>
      <c r="EH725" s="295"/>
      <c r="EI725" s="841"/>
      <c r="EJ725" s="841"/>
      <c r="EK725" s="293"/>
      <c r="EL725" s="295"/>
      <c r="EM725" s="295"/>
      <c r="EN725" s="295"/>
      <c r="EO725" s="295"/>
      <c r="EP725" s="295"/>
      <c r="EQ725" s="295"/>
      <c r="ER725" s="295"/>
      <c r="ES725" s="295"/>
      <c r="ET725" s="295"/>
      <c r="EU725" s="295"/>
      <c r="EV725" s="327"/>
      <c r="EW725" s="327"/>
      <c r="EX725" s="327"/>
      <c r="EY725" s="327"/>
      <c r="EZ725" s="327"/>
      <c r="FA725" s="327"/>
      <c r="FB725" s="327"/>
      <c r="FC725" s="327"/>
      <c r="FD725" s="327"/>
      <c r="FE725" s="327"/>
      <c r="FF725" s="327"/>
      <c r="FG725" s="327"/>
      <c r="FH725" s="327"/>
      <c r="FI725" s="327"/>
      <c r="FJ725" s="327"/>
      <c r="FK725" s="327"/>
      <c r="FL725" s="327"/>
      <c r="FM725" s="327"/>
      <c r="FN725" s="327"/>
      <c r="FO725" s="327"/>
      <c r="FP725" s="327"/>
      <c r="FQ725" s="327"/>
      <c r="FR725" s="327"/>
      <c r="FS725" s="327"/>
      <c r="FT725" s="327"/>
      <c r="FU725" s="327"/>
      <c r="FV725" s="327"/>
      <c r="FW725" s="327"/>
      <c r="FX725" s="327"/>
      <c r="FY725" s="327"/>
      <c r="FZ725" s="327"/>
      <c r="GA725" s="327"/>
      <c r="GB725" s="327"/>
      <c r="GC725" s="327"/>
      <c r="GD725" s="327"/>
      <c r="GE725" s="327"/>
      <c r="GF725" s="327"/>
      <c r="GG725" s="327"/>
      <c r="GH725" s="327"/>
      <c r="GI725" s="327"/>
      <c r="GJ725" s="327"/>
      <c r="GK725" s="327"/>
      <c r="GL725" s="327"/>
      <c r="GM725" s="327"/>
      <c r="GN725" s="327"/>
      <c r="GO725" s="327"/>
      <c r="GP725" s="327"/>
      <c r="GQ725" s="327"/>
      <c r="GR725" s="327"/>
      <c r="GS725" s="327"/>
      <c r="GT725" s="327"/>
      <c r="GU725" s="327"/>
      <c r="GV725" s="327"/>
      <c r="GW725" s="327"/>
      <c r="GX725" s="327"/>
      <c r="GY725" s="327"/>
      <c r="GZ725" s="327"/>
      <c r="HA725" s="327"/>
      <c r="HB725" s="327"/>
      <c r="HC725" s="327"/>
      <c r="HD725" s="327"/>
      <c r="HE725" s="327"/>
      <c r="HF725" s="327"/>
      <c r="HG725" s="327"/>
      <c r="HH725" s="327"/>
      <c r="HI725" s="327"/>
      <c r="HJ725" s="327"/>
      <c r="HK725" s="327"/>
      <c r="HL725" s="327"/>
      <c r="HM725" s="327"/>
      <c r="HN725" s="327"/>
      <c r="HO725" s="327"/>
      <c r="HP725" s="327"/>
      <c r="HQ725" s="327"/>
      <c r="HR725" s="327"/>
      <c r="HS725" s="327"/>
      <c r="HT725" s="327"/>
      <c r="HU725" s="327"/>
      <c r="HV725" s="327"/>
      <c r="HW725" s="327"/>
      <c r="HX725" s="327"/>
      <c r="HY725" s="327"/>
      <c r="HZ725" s="327"/>
      <c r="IA725" s="327"/>
      <c r="IB725" s="327"/>
      <c r="IC725" s="327"/>
      <c r="ID725" s="327"/>
      <c r="IE725" s="327"/>
      <c r="IF725" s="327"/>
      <c r="IG725" s="327"/>
      <c r="IH725" s="327"/>
      <c r="II725" s="327"/>
      <c r="IJ725" s="327"/>
      <c r="IK725" s="327"/>
      <c r="IL725" s="327"/>
      <c r="IM725" s="327"/>
      <c r="IN725" s="327"/>
      <c r="IO725" s="327"/>
      <c r="IP725" s="327"/>
      <c r="IQ725" s="327"/>
      <c r="IR725" s="327"/>
      <c r="IS725" s="327"/>
      <c r="IT725" s="327"/>
      <c r="IU725" s="327"/>
      <c r="IV725" s="327"/>
      <c r="IW725" s="327"/>
      <c r="IX725" s="327"/>
      <c r="IY725" s="327"/>
      <c r="IZ725" s="327"/>
      <c r="JA725" s="327"/>
      <c r="JB725" s="327"/>
      <c r="JC725" s="327"/>
      <c r="JD725" s="327"/>
      <c r="JE725" s="327"/>
      <c r="JF725" s="327"/>
      <c r="JG725" s="327"/>
      <c r="JH725" s="327"/>
      <c r="JI725" s="327"/>
      <c r="JJ725" s="327"/>
      <c r="JK725" s="327"/>
      <c r="JL725" s="327"/>
      <c r="JM725" s="327"/>
      <c r="JN725" s="327"/>
      <c r="JO725" s="327"/>
      <c r="JP725" s="327"/>
      <c r="JQ725" s="327"/>
      <c r="JR725" s="327"/>
      <c r="JS725" s="327"/>
      <c r="JT725" s="327"/>
      <c r="JU725" s="327"/>
      <c r="JV725" s="327"/>
      <c r="JW725"/>
    </row>
    <row r="726" spans="1:283" s="332" customFormat="1">
      <c r="A726" s="332" t="s">
        <v>1142</v>
      </c>
      <c r="AN726" s="295"/>
      <c r="AO726" s="295"/>
      <c r="AP726" s="293"/>
      <c r="AQ726" s="295"/>
      <c r="AR726" s="295"/>
      <c r="AS726" s="295"/>
      <c r="AT726" s="293"/>
      <c r="AU726" s="295"/>
      <c r="AV726" s="626">
        <v>-10</v>
      </c>
      <c r="AW726" s="626">
        <v>-11</v>
      </c>
      <c r="AX726" s="293">
        <f t="shared" si="1826"/>
        <v>-21</v>
      </c>
      <c r="AY726" s="626"/>
      <c r="AZ726" s="626">
        <v>-13</v>
      </c>
      <c r="BA726" s="626">
        <v>-13</v>
      </c>
      <c r="BB726" s="293">
        <f t="shared" si="1827"/>
        <v>-26</v>
      </c>
      <c r="BC726" s="487"/>
      <c r="BD726" s="626">
        <v>-13</v>
      </c>
      <c r="BE726" s="626">
        <v>-13</v>
      </c>
      <c r="BF726" s="293">
        <f t="shared" si="1828"/>
        <v>-26</v>
      </c>
      <c r="BG726" s="293"/>
      <c r="BH726" s="626">
        <v>-11</v>
      </c>
      <c r="BI726" s="626">
        <v>-10</v>
      </c>
      <c r="BJ726" s="293">
        <f t="shared" si="1829"/>
        <v>-21</v>
      </c>
      <c r="BK726" s="487"/>
      <c r="BL726" s="626">
        <v>-9</v>
      </c>
      <c r="BM726" s="626">
        <v>-9</v>
      </c>
      <c r="BN726" s="293">
        <f t="shared" si="1830"/>
        <v>-18</v>
      </c>
      <c r="BO726" s="487"/>
      <c r="BP726" s="626">
        <v>-9</v>
      </c>
      <c r="BQ726" s="626">
        <v>-10</v>
      </c>
      <c r="BR726" s="293">
        <f t="shared" si="1831"/>
        <v>-19</v>
      </c>
      <c r="BS726" s="487"/>
      <c r="BT726" s="626">
        <v>-8</v>
      </c>
      <c r="BU726" s="626">
        <v>-8</v>
      </c>
      <c r="BV726" s="293">
        <f t="shared" si="1832"/>
        <v>-16</v>
      </c>
      <c r="BW726" s="487"/>
      <c r="BX726" s="626">
        <v>-8</v>
      </c>
      <c r="BY726" s="626">
        <v>-7</v>
      </c>
      <c r="BZ726" s="293">
        <f t="shared" si="1833"/>
        <v>-15</v>
      </c>
      <c r="CA726" s="487"/>
      <c r="CB726" s="626">
        <v>-7</v>
      </c>
      <c r="CC726" s="626">
        <v>-7</v>
      </c>
      <c r="CD726" s="293">
        <f t="shared" si="1834"/>
        <v>-14</v>
      </c>
      <c r="CE726" s="487"/>
      <c r="CF726" s="626">
        <v>-7</v>
      </c>
      <c r="CG726" s="626">
        <v>-8</v>
      </c>
      <c r="CH726" s="293">
        <f t="shared" si="1835"/>
        <v>-15</v>
      </c>
      <c r="CI726" s="487"/>
      <c r="CJ726" s="626">
        <v>-6</v>
      </c>
      <c r="CK726" s="626">
        <v>-6</v>
      </c>
      <c r="CL726" s="293">
        <f t="shared" si="1836"/>
        <v>-12</v>
      </c>
      <c r="CM726" s="487"/>
      <c r="CN726" s="1388">
        <v>0</v>
      </c>
      <c r="CO726" s="1388">
        <v>0</v>
      </c>
      <c r="CP726" s="1010">
        <f t="shared" si="1837"/>
        <v>0</v>
      </c>
      <c r="CQ726" s="1427"/>
      <c r="CR726" s="1388">
        <v>0</v>
      </c>
      <c r="CS726" s="1497">
        <v>0</v>
      </c>
      <c r="CT726" s="293">
        <f t="shared" si="1838"/>
        <v>0</v>
      </c>
      <c r="CU726" s="487"/>
      <c r="CV726" s="1388">
        <v>0</v>
      </c>
      <c r="CW726" s="1488">
        <v>0</v>
      </c>
      <c r="CX726" s="1010">
        <f t="shared" si="1839"/>
        <v>0</v>
      </c>
      <c r="CY726" s="1427"/>
      <c r="CZ726" s="1863">
        <v>0</v>
      </c>
      <c r="DA726" s="1488">
        <v>0</v>
      </c>
      <c r="DB726" s="1010">
        <f t="shared" si="1840"/>
        <v>0</v>
      </c>
      <c r="DC726" s="1427"/>
      <c r="DD726" s="1863">
        <v>0</v>
      </c>
      <c r="DE726" s="1497">
        <v>0</v>
      </c>
      <c r="DF726" s="1010">
        <f t="shared" si="1841"/>
        <v>0</v>
      </c>
      <c r="DG726" s="487"/>
      <c r="DH726" s="1863">
        <v>0</v>
      </c>
      <c r="DI726" s="841">
        <f>'Bal Sheet'!DI388</f>
        <v>0</v>
      </c>
      <c r="DJ726" s="293">
        <f t="shared" si="1843"/>
        <v>0</v>
      </c>
      <c r="DK726" s="487"/>
      <c r="DL726" s="841">
        <f>'Bal Sheet'!DL388</f>
        <v>0</v>
      </c>
      <c r="DM726" s="841">
        <f>'Bal Sheet'!DM388</f>
        <v>0</v>
      </c>
      <c r="DN726" s="293">
        <f t="shared" si="1845"/>
        <v>0</v>
      </c>
      <c r="DO726" s="487"/>
      <c r="DP726" s="841">
        <f>'Bal Sheet'!DP388</f>
        <v>0</v>
      </c>
      <c r="DQ726" s="841">
        <f>'Bal Sheet'!DQ388</f>
        <v>0</v>
      </c>
      <c r="DR726" s="293">
        <f t="shared" si="1847"/>
        <v>0</v>
      </c>
      <c r="DS726" s="487"/>
      <c r="DT726" s="487"/>
      <c r="DU726" s="487"/>
      <c r="DV726" s="487"/>
      <c r="DW726" s="1198" t="s">
        <v>177</v>
      </c>
      <c r="DX726" s="841"/>
      <c r="DY726" s="841"/>
      <c r="DZ726" s="295"/>
      <c r="EA726" s="841"/>
      <c r="EB726" s="841"/>
      <c r="EC726" s="293"/>
      <c r="ED726" s="295"/>
      <c r="EE726" s="841"/>
      <c r="EF726" s="841"/>
      <c r="EG726" s="293"/>
      <c r="EH726" s="295"/>
      <c r="EI726" s="841"/>
      <c r="EJ726" s="841"/>
      <c r="EK726" s="293"/>
      <c r="EL726" s="295"/>
      <c r="EM726" s="295"/>
      <c r="EN726" s="295"/>
      <c r="EO726" s="295"/>
      <c r="EP726" s="295"/>
      <c r="EQ726" s="295"/>
      <c r="ER726" s="295"/>
      <c r="ES726" s="295"/>
      <c r="ET726" s="295"/>
      <c r="EU726" s="295"/>
      <c r="EV726" s="327"/>
      <c r="EW726" s="327"/>
      <c r="EX726" s="327"/>
      <c r="EY726" s="327"/>
      <c r="EZ726" s="327"/>
      <c r="FA726" s="327"/>
      <c r="FB726" s="327"/>
      <c r="FC726" s="327"/>
      <c r="FD726" s="327"/>
      <c r="FE726" s="327"/>
      <c r="FF726" s="327"/>
      <c r="FG726" s="327"/>
      <c r="FH726" s="327"/>
      <c r="FI726" s="327"/>
      <c r="FJ726" s="327"/>
      <c r="FK726" s="327"/>
      <c r="FL726" s="327"/>
      <c r="FM726" s="327"/>
      <c r="FN726" s="327"/>
      <c r="FO726" s="327"/>
      <c r="FP726" s="327"/>
      <c r="FQ726" s="327"/>
      <c r="FR726" s="327"/>
      <c r="FS726" s="327"/>
      <c r="FT726" s="327"/>
      <c r="FU726" s="327"/>
      <c r="FV726" s="327"/>
      <c r="FW726" s="327"/>
      <c r="FX726" s="327"/>
      <c r="FY726" s="327"/>
      <c r="FZ726" s="327"/>
      <c r="GA726" s="327"/>
      <c r="GB726" s="327"/>
      <c r="GC726" s="327"/>
      <c r="GD726" s="327"/>
      <c r="GE726" s="327"/>
      <c r="GF726" s="327"/>
      <c r="GG726" s="327"/>
      <c r="GH726" s="327"/>
      <c r="GI726" s="327"/>
      <c r="GJ726" s="327"/>
      <c r="GK726" s="327"/>
      <c r="GL726" s="327"/>
      <c r="GM726" s="327"/>
      <c r="GN726" s="327"/>
      <c r="GO726" s="327"/>
      <c r="GP726" s="327"/>
      <c r="GQ726" s="327"/>
      <c r="GR726" s="327"/>
      <c r="GS726" s="327"/>
      <c r="GT726" s="327"/>
      <c r="GU726" s="327"/>
      <c r="GV726" s="327"/>
      <c r="GW726" s="327"/>
      <c r="GX726" s="327"/>
      <c r="GY726" s="327"/>
      <c r="GZ726" s="327"/>
      <c r="HA726" s="327"/>
      <c r="HB726" s="327"/>
      <c r="HC726" s="327"/>
      <c r="HD726" s="327"/>
      <c r="HE726" s="327"/>
      <c r="HF726" s="327"/>
      <c r="HG726" s="327"/>
      <c r="HH726" s="327"/>
      <c r="HI726" s="327"/>
      <c r="HJ726" s="327"/>
      <c r="HK726" s="327"/>
      <c r="HL726" s="327"/>
      <c r="HM726" s="327"/>
      <c r="HN726" s="327"/>
      <c r="HO726" s="327"/>
      <c r="HP726" s="327"/>
      <c r="HQ726" s="327"/>
      <c r="HR726" s="327"/>
      <c r="HS726" s="327"/>
      <c r="HT726" s="327"/>
      <c r="HU726" s="327"/>
      <c r="HV726" s="327"/>
      <c r="HW726" s="327"/>
      <c r="HX726" s="327"/>
      <c r="HY726" s="327"/>
      <c r="HZ726" s="327"/>
      <c r="IA726" s="327"/>
      <c r="IB726" s="327"/>
      <c r="IC726" s="327"/>
      <c r="ID726" s="327"/>
      <c r="IE726" s="327"/>
      <c r="IF726" s="327"/>
      <c r="IG726" s="327"/>
      <c r="IH726" s="327"/>
      <c r="II726" s="327"/>
      <c r="IJ726" s="327"/>
      <c r="IK726" s="327"/>
      <c r="IL726" s="327"/>
      <c r="IM726" s="327"/>
      <c r="IN726" s="327"/>
      <c r="IO726" s="327"/>
      <c r="IP726" s="327"/>
      <c r="IQ726" s="327"/>
      <c r="IR726" s="327"/>
      <c r="IS726" s="327"/>
      <c r="IT726" s="327"/>
      <c r="IU726" s="327"/>
      <c r="IV726" s="327"/>
      <c r="IW726" s="327"/>
      <c r="IX726" s="327"/>
      <c r="IY726" s="327"/>
      <c r="IZ726" s="327"/>
      <c r="JA726" s="327"/>
      <c r="JB726" s="327"/>
      <c r="JC726" s="327"/>
      <c r="JD726" s="327"/>
      <c r="JE726" s="327"/>
      <c r="JF726" s="327"/>
      <c r="JG726" s="327"/>
      <c r="JH726" s="327"/>
      <c r="JI726" s="327"/>
      <c r="JJ726" s="327"/>
      <c r="JK726" s="327"/>
      <c r="JL726" s="327"/>
      <c r="JM726" s="327"/>
      <c r="JN726" s="327"/>
      <c r="JO726" s="327"/>
      <c r="JP726" s="327"/>
      <c r="JQ726" s="327"/>
      <c r="JR726" s="327"/>
      <c r="JS726" s="327"/>
      <c r="JT726" s="327"/>
      <c r="JU726" s="327"/>
      <c r="JV726" s="327"/>
      <c r="JW726"/>
    </row>
    <row r="727" spans="1:283" s="1203" customFormat="1">
      <c r="A727" s="1203" t="s">
        <v>653</v>
      </c>
      <c r="AN727" s="695"/>
      <c r="AO727" s="695"/>
      <c r="AP727" s="695">
        <f>AN727+AO727</f>
        <v>0</v>
      </c>
      <c r="AQ727" s="695"/>
      <c r="AR727" s="695"/>
      <c r="AS727" s="695"/>
      <c r="AT727" s="695">
        <f>AR727+AS727</f>
        <v>0</v>
      </c>
      <c r="AU727" s="695"/>
      <c r="AV727" s="695">
        <f>SUM(AV722:AV726)</f>
        <v>-785</v>
      </c>
      <c r="AW727" s="695">
        <f>SUM(AW722:AW726)</f>
        <v>-697</v>
      </c>
      <c r="AX727" s="695">
        <f t="shared" si="1826"/>
        <v>-1482</v>
      </c>
      <c r="AY727" s="695"/>
      <c r="AZ727" s="695">
        <f>SUM(AZ722:AZ726)</f>
        <v>-486.33330000000001</v>
      </c>
      <c r="BA727" s="695">
        <f>SUM(BA722:BA726)</f>
        <v>-815.33333000000005</v>
      </c>
      <c r="BB727" s="695">
        <f t="shared" si="1827"/>
        <v>-1301.6666300000002</v>
      </c>
      <c r="BC727" s="695"/>
      <c r="BD727" s="695">
        <f>SUM(BD722:BD726)</f>
        <v>-593.99666999999999</v>
      </c>
      <c r="BE727" s="695">
        <f>SUM(BE722:BE726)</f>
        <v>-724.33299999999997</v>
      </c>
      <c r="BF727" s="695">
        <f t="shared" si="1828"/>
        <v>-1318.3296700000001</v>
      </c>
      <c r="BG727" s="695"/>
      <c r="BH727" s="695">
        <f>SUM(BH722:BH726)</f>
        <v>-619</v>
      </c>
      <c r="BI727" s="695">
        <f>SUM(BI722:BI726)</f>
        <v>-885</v>
      </c>
      <c r="BJ727" s="695">
        <f t="shared" si="1829"/>
        <v>-1504</v>
      </c>
      <c r="BK727" s="1204"/>
      <c r="BL727" s="695">
        <f>SUM(BL722:BL726)</f>
        <v>-881</v>
      </c>
      <c r="BM727" s="695">
        <f>SUM(BM722:BM726)</f>
        <v>-1104</v>
      </c>
      <c r="BN727" s="695">
        <f t="shared" si="1830"/>
        <v>-1985</v>
      </c>
      <c r="BO727" s="1204"/>
      <c r="BP727" s="695">
        <f>SUM(BP722:BP726)</f>
        <v>-1133</v>
      </c>
      <c r="BQ727" s="695">
        <f>SUM(BQ722:BQ726)</f>
        <v>-1439</v>
      </c>
      <c r="BR727" s="695">
        <f t="shared" si="1831"/>
        <v>-2572</v>
      </c>
      <c r="BS727" s="1204"/>
      <c r="BT727" s="695">
        <f>SUM(BT722:BT726)</f>
        <v>-1542</v>
      </c>
      <c r="BU727" s="695">
        <f>SUM(BU722:BU726)</f>
        <v>-814</v>
      </c>
      <c r="BV727" s="695">
        <f t="shared" si="1832"/>
        <v>-2356</v>
      </c>
      <c r="BW727" s="695"/>
      <c r="BX727" s="695">
        <f>SUM(BX722:BX726)</f>
        <v>-1284</v>
      </c>
      <c r="BY727" s="695">
        <f>SUM(BY722:BY726)</f>
        <v>-1202</v>
      </c>
      <c r="BZ727" s="695">
        <f t="shared" si="1833"/>
        <v>-2486</v>
      </c>
      <c r="CA727" s="695"/>
      <c r="CB727" s="695">
        <f>SUM(CB722:CB726)</f>
        <v>-1414</v>
      </c>
      <c r="CC727" s="695">
        <f>SUM(CC722:CC726)</f>
        <v>-1090</v>
      </c>
      <c r="CD727" s="695">
        <f t="shared" si="1834"/>
        <v>-2504</v>
      </c>
      <c r="CE727" s="695"/>
      <c r="CF727" s="695">
        <f>SUM(CF722:CF726)</f>
        <v>-1291</v>
      </c>
      <c r="CG727" s="695">
        <f>SUM(CG722:CG726)</f>
        <v>-1872</v>
      </c>
      <c r="CH727" s="695">
        <f t="shared" si="1835"/>
        <v>-3163</v>
      </c>
      <c r="CI727" s="695"/>
      <c r="CJ727" s="695">
        <f>SUM(CJ722:CJ726)</f>
        <v>-1411</v>
      </c>
      <c r="CK727" s="695">
        <f>SUM(CK722:CK726)</f>
        <v>-1306</v>
      </c>
      <c r="CL727" s="695">
        <f t="shared" si="1836"/>
        <v>-2717</v>
      </c>
      <c r="CM727" s="695"/>
      <c r="CN727" s="695">
        <f>SUM(CN722:CN726)</f>
        <v>-1287</v>
      </c>
      <c r="CO727" s="695">
        <f>SUM(CO722:CO726)</f>
        <v>-1795</v>
      </c>
      <c r="CP727" s="695">
        <f t="shared" si="1837"/>
        <v>-3082</v>
      </c>
      <c r="CQ727" s="695"/>
      <c r="CR727" s="695">
        <f>SUM(CR722:CR726)</f>
        <v>-1941</v>
      </c>
      <c r="CS727" s="695">
        <f>SUM(CS722:CS726)</f>
        <v>-2815</v>
      </c>
      <c r="CT727" s="695">
        <f t="shared" si="1838"/>
        <v>-4756</v>
      </c>
      <c r="CU727" s="695"/>
      <c r="CV727" s="695">
        <f>SUM(CV722:CV726)</f>
        <v>-2268</v>
      </c>
      <c r="CW727" s="695">
        <f>SUM(CW722:CW726)</f>
        <v>-2901</v>
      </c>
      <c r="CX727" s="695">
        <f t="shared" si="1839"/>
        <v>-5169</v>
      </c>
      <c r="CY727" s="695"/>
      <c r="CZ727" s="695">
        <f>SUM(CZ722:CZ726)</f>
        <v>-1443</v>
      </c>
      <c r="DA727" s="695">
        <f>SUM(DA722:DA726)</f>
        <v>-1748</v>
      </c>
      <c r="DB727" s="695">
        <f t="shared" si="1840"/>
        <v>-3191</v>
      </c>
      <c r="DC727" s="695"/>
      <c r="DD727" s="695">
        <f>SUM(DD722:DD726)</f>
        <v>-1548</v>
      </c>
      <c r="DE727" s="695">
        <f>SUM(DE722:DE726)</f>
        <v>-2038</v>
      </c>
      <c r="DF727" s="695">
        <f t="shared" si="1841"/>
        <v>-3586</v>
      </c>
      <c r="DG727" s="695"/>
      <c r="DH727" s="695">
        <f>SUM(DH722:DH726)</f>
        <v>-2137</v>
      </c>
      <c r="DI727" s="695">
        <f>SUM(DI722:DI726)</f>
        <v>-2468.216941247043</v>
      </c>
      <c r="DJ727" s="695">
        <f t="shared" si="1843"/>
        <v>-4605.216941247043</v>
      </c>
      <c r="DK727" s="695"/>
      <c r="DL727" s="695">
        <f>SUM(DL722:DL726)</f>
        <v>-2171.6286608906198</v>
      </c>
      <c r="DM727" s="695">
        <f>SUM(DM722:DM726)</f>
        <v>-2304.7679977612511</v>
      </c>
      <c r="DN727" s="695">
        <f t="shared" si="1845"/>
        <v>-4476.3966586518709</v>
      </c>
      <c r="DO727" s="695"/>
      <c r="DP727" s="695">
        <f>SUM(DP722:DP726)</f>
        <v>-2280.1147089761298</v>
      </c>
      <c r="DQ727" s="695">
        <f>SUM(DQ722:DQ726)</f>
        <v>-2434.8357591774447</v>
      </c>
      <c r="DR727" s="695">
        <f t="shared" si="1847"/>
        <v>-4714.9504681535745</v>
      </c>
      <c r="DS727" s="695"/>
      <c r="DT727" s="695"/>
      <c r="DU727" s="695"/>
      <c r="DV727" s="695"/>
      <c r="DW727" s="1205"/>
      <c r="DX727" s="695"/>
      <c r="DY727" s="695"/>
      <c r="DZ727" s="695"/>
      <c r="EA727" s="695"/>
      <c r="EB727" s="695"/>
      <c r="EC727" s="695"/>
      <c r="ED727" s="695"/>
      <c r="EE727" s="695"/>
      <c r="EF727" s="695"/>
      <c r="EG727" s="695"/>
      <c r="EH727" s="695"/>
      <c r="EI727" s="695"/>
      <c r="EJ727" s="695"/>
      <c r="EK727" s="695"/>
      <c r="EL727" s="695"/>
      <c r="EM727" s="695"/>
      <c r="EN727" s="695"/>
      <c r="EO727" s="695"/>
      <c r="EP727" s="695"/>
      <c r="EQ727" s="695"/>
      <c r="ER727" s="695"/>
      <c r="ES727" s="695"/>
      <c r="ET727" s="695"/>
      <c r="EU727" s="695"/>
      <c r="JW727"/>
    </row>
    <row r="728" spans="1:283">
      <c r="A728" s="102" t="s">
        <v>1164</v>
      </c>
      <c r="AV728" s="293">
        <f t="shared" ref="AV728:AX728" si="1854">AV727-AV724</f>
        <v>-749</v>
      </c>
      <c r="AW728" s="293">
        <f t="shared" si="1854"/>
        <v>-532</v>
      </c>
      <c r="AX728" s="293">
        <f t="shared" si="1854"/>
        <v>-1281</v>
      </c>
      <c r="AY728" s="293"/>
      <c r="AZ728" s="293">
        <f t="shared" ref="AZ728:BB728" si="1855">AZ727-AZ724</f>
        <v>-401.33330000000001</v>
      </c>
      <c r="BA728" s="293">
        <f t="shared" si="1855"/>
        <v>-618.33333000000005</v>
      </c>
      <c r="BB728" s="293">
        <f t="shared" si="1855"/>
        <v>-1019.6666300000002</v>
      </c>
      <c r="BC728" s="293"/>
      <c r="BD728" s="293">
        <f t="shared" ref="BD728:BF728" si="1856">BD727-BD724</f>
        <v>-486.99666999999999</v>
      </c>
      <c r="BE728" s="293">
        <f t="shared" si="1856"/>
        <v>-544.33299999999997</v>
      </c>
      <c r="BF728" s="293">
        <f t="shared" si="1856"/>
        <v>-1031.3296700000001</v>
      </c>
      <c r="BG728" s="293"/>
      <c r="BH728" s="293">
        <f t="shared" ref="BH728:BJ728" si="1857">BH727-BH724</f>
        <v>-463</v>
      </c>
      <c r="BI728" s="293">
        <f t="shared" si="1857"/>
        <v>-508</v>
      </c>
      <c r="BJ728" s="293">
        <f t="shared" si="1857"/>
        <v>-971</v>
      </c>
      <c r="BK728" s="293"/>
      <c r="BL728" s="293">
        <f>BL727-BL724</f>
        <v>-574</v>
      </c>
      <c r="BM728" s="293">
        <f>BM727-BM724</f>
        <v>-584</v>
      </c>
      <c r="BN728" s="293">
        <f>BN727-BN724</f>
        <v>-1158</v>
      </c>
      <c r="BO728" s="293"/>
      <c r="BP728" s="293">
        <f t="shared" ref="BP728:BR728" si="1858">BP727-BP724</f>
        <v>-701</v>
      </c>
      <c r="BQ728" s="293">
        <f t="shared" si="1858"/>
        <v>-972</v>
      </c>
      <c r="BR728" s="293">
        <f t="shared" si="1858"/>
        <v>-1673</v>
      </c>
      <c r="BS728" s="293"/>
      <c r="BT728" s="293">
        <f t="shared" ref="BT728:BV728" si="1859">BT727-BT724</f>
        <v>-1012</v>
      </c>
      <c r="BU728" s="293">
        <f t="shared" si="1859"/>
        <v>-417</v>
      </c>
      <c r="BV728" s="293">
        <f t="shared" si="1859"/>
        <v>-1429</v>
      </c>
      <c r="BW728" s="293"/>
      <c r="BX728" s="293">
        <f t="shared" ref="BX728:BZ728" si="1860">BX727-BX724</f>
        <v>-846</v>
      </c>
      <c r="BY728" s="293">
        <f t="shared" si="1860"/>
        <v>-772</v>
      </c>
      <c r="BZ728" s="293">
        <f t="shared" si="1860"/>
        <v>-1618</v>
      </c>
      <c r="CA728" s="293"/>
      <c r="CB728" s="293">
        <f t="shared" ref="CB728:CD728" si="1861">CB727-CB724</f>
        <v>-966</v>
      </c>
      <c r="CC728" s="293">
        <f t="shared" si="1861"/>
        <v>-655</v>
      </c>
      <c r="CD728" s="293">
        <f t="shared" si="1861"/>
        <v>-1621</v>
      </c>
      <c r="CE728" s="293"/>
      <c r="CF728" s="293">
        <f t="shared" ref="CF728:CH728" si="1862">CF727-CF724</f>
        <v>-917</v>
      </c>
      <c r="CG728" s="293">
        <f t="shared" si="1862"/>
        <v>-1367</v>
      </c>
      <c r="CH728" s="293">
        <f t="shared" si="1862"/>
        <v>-2284</v>
      </c>
      <c r="CI728" s="293"/>
      <c r="CJ728" s="293">
        <f t="shared" ref="CJ728:CL728" si="1863">CJ727-CJ724</f>
        <v>-1035</v>
      </c>
      <c r="CK728" s="293">
        <f t="shared" si="1863"/>
        <v>-954</v>
      </c>
      <c r="CL728" s="293">
        <f t="shared" si="1863"/>
        <v>-1989</v>
      </c>
      <c r="CM728" s="293"/>
      <c r="CN728" s="293">
        <f t="shared" ref="CN728:CP728" si="1864">CN727-CN724</f>
        <v>-1012</v>
      </c>
      <c r="CO728" s="293">
        <f t="shared" si="1864"/>
        <v>-1171</v>
      </c>
      <c r="CP728" s="293">
        <f t="shared" si="1864"/>
        <v>-2183</v>
      </c>
      <c r="CQ728" s="293"/>
      <c r="CR728" s="293">
        <f t="shared" ref="CR728:CT728" si="1865">CR727-CR724</f>
        <v>-1338</v>
      </c>
      <c r="CS728" s="293">
        <f t="shared" si="1865"/>
        <v>-1832</v>
      </c>
      <c r="CT728" s="293">
        <f t="shared" si="1865"/>
        <v>-3170</v>
      </c>
      <c r="CU728" s="293"/>
      <c r="CV728" s="293">
        <f t="shared" ref="CV728:CX728" si="1866">CV727-CV724</f>
        <v>-1533</v>
      </c>
      <c r="CW728" s="293">
        <f t="shared" si="1866"/>
        <v>-1812</v>
      </c>
      <c r="CX728" s="293">
        <f t="shared" si="1866"/>
        <v>-3345</v>
      </c>
      <c r="CY728" s="293"/>
      <c r="CZ728" s="293">
        <f t="shared" ref="CZ728:DB728" si="1867">CZ727-CZ724</f>
        <v>-856</v>
      </c>
      <c r="DA728" s="293">
        <f t="shared" si="1867"/>
        <v>-1044</v>
      </c>
      <c r="DB728" s="293">
        <f t="shared" si="1867"/>
        <v>-1900</v>
      </c>
      <c r="DC728" s="293"/>
      <c r="DD728" s="293">
        <f t="shared" ref="DD728:DF728" si="1868">DD727-DD724</f>
        <v>-862</v>
      </c>
      <c r="DE728" s="293">
        <f t="shared" si="1868"/>
        <v>-1398</v>
      </c>
      <c r="DF728" s="293">
        <f t="shared" si="1868"/>
        <v>-2260</v>
      </c>
      <c r="DG728" s="293"/>
      <c r="DH728" s="293">
        <f t="shared" ref="DH728" si="1869">DH727-DH724</f>
        <v>-1366</v>
      </c>
      <c r="DI728" s="293">
        <f t="shared" ref="DI728:DJ728" si="1870">DI727-DI724</f>
        <v>-1414.882869758658</v>
      </c>
      <c r="DJ728" s="293">
        <f t="shared" si="1870"/>
        <v>-2780.8828697586578</v>
      </c>
      <c r="DK728" s="293"/>
      <c r="DL728" s="293">
        <f t="shared" ref="DL728:DN728" si="1871">DL727-DL724</f>
        <v>-1411.4331175485377</v>
      </c>
      <c r="DM728" s="293">
        <f t="shared" si="1871"/>
        <v>-1382.4024406362664</v>
      </c>
      <c r="DN728" s="293">
        <f t="shared" si="1871"/>
        <v>-2793.8355581848041</v>
      </c>
      <c r="DO728" s="293"/>
      <c r="DP728" s="293">
        <f t="shared" ref="DP728:DR728" si="1872">DP727-DP724</f>
        <v>-1452.5516408201602</v>
      </c>
      <c r="DQ728" s="293">
        <f t="shared" si="1872"/>
        <v>-1449.334677203497</v>
      </c>
      <c r="DR728" s="293">
        <f t="shared" si="1872"/>
        <v>-2901.8863180236572</v>
      </c>
      <c r="DS728" s="293"/>
      <c r="DT728" s="293"/>
      <c r="DU728" s="293"/>
      <c r="DV728" s="293"/>
    </row>
    <row r="729" spans="1:283">
      <c r="BG729" s="293"/>
      <c r="CR729" s="103"/>
      <c r="CS729" s="103"/>
      <c r="CT729" s="103"/>
      <c r="CV729" s="103"/>
      <c r="CW729" s="103"/>
      <c r="CX729" s="103"/>
      <c r="CZ729" s="103"/>
      <c r="DA729" s="103"/>
      <c r="DB729" s="103"/>
      <c r="DD729" s="103"/>
      <c r="DE729" s="103"/>
      <c r="DF729" s="103"/>
      <c r="DH729" s="103"/>
      <c r="DI729" s="103"/>
      <c r="DJ729" s="103"/>
      <c r="DL729" s="103"/>
      <c r="DM729" s="103"/>
      <c r="DN729" s="103"/>
      <c r="DP729" s="103"/>
      <c r="DQ729" s="103"/>
      <c r="DR729" s="103"/>
    </row>
    <row r="730" spans="1:283" s="332" customFormat="1">
      <c r="A730" s="1207" t="s">
        <v>730</v>
      </c>
      <c r="AN730" s="293"/>
      <c r="AO730" s="293"/>
      <c r="AP730" s="293"/>
      <c r="AQ730" s="293"/>
      <c r="AR730" s="293"/>
      <c r="AS730" s="293"/>
      <c r="AT730" s="293"/>
      <c r="AU730" s="293"/>
      <c r="AV730" s="293"/>
      <c r="AW730" s="293"/>
      <c r="AX730" s="293"/>
      <c r="AY730" s="293"/>
      <c r="AZ730" s="293"/>
      <c r="BA730" s="293"/>
      <c r="BB730" s="293"/>
      <c r="BC730" s="293"/>
      <c r="BD730" s="293"/>
      <c r="BE730" s="293"/>
      <c r="BF730" s="293"/>
      <c r="BG730" s="293"/>
      <c r="BH730" s="293"/>
      <c r="BI730" s="293"/>
      <c r="BJ730" s="293"/>
      <c r="BK730" s="293"/>
      <c r="BL730" s="293"/>
      <c r="BM730" s="293"/>
      <c r="BN730" s="293"/>
      <c r="BO730" s="293"/>
      <c r="BP730" s="293"/>
      <c r="BQ730" s="293"/>
      <c r="BR730" s="293"/>
      <c r="BS730" s="293"/>
      <c r="BT730" s="293"/>
      <c r="BU730" s="293"/>
      <c r="BV730" s="293"/>
      <c r="BW730" s="293"/>
      <c r="BX730" s="293"/>
      <c r="BY730" s="293"/>
      <c r="BZ730" s="293"/>
      <c r="CA730" s="293"/>
      <c r="CB730" s="293"/>
      <c r="CC730" s="293"/>
      <c r="CD730" s="293"/>
      <c r="CE730" s="293"/>
      <c r="CF730" s="293"/>
      <c r="CG730" s="293"/>
      <c r="CH730" s="293"/>
      <c r="CI730" s="293"/>
      <c r="CJ730" s="293"/>
      <c r="CK730" s="293"/>
      <c r="CL730" s="293"/>
      <c r="CM730" s="293"/>
      <c r="CN730" s="293"/>
      <c r="CO730" s="293"/>
      <c r="CP730" s="293"/>
      <c r="CQ730" s="293"/>
      <c r="CR730" s="293"/>
      <c r="CS730" s="293"/>
      <c r="CT730" s="293"/>
      <c r="CU730" s="293"/>
      <c r="CV730" s="293"/>
      <c r="CW730" s="293"/>
      <c r="CX730" s="293"/>
      <c r="CY730" s="293"/>
      <c r="CZ730" s="293"/>
      <c r="DA730" s="293"/>
      <c r="DB730" s="293"/>
      <c r="DC730" s="293"/>
      <c r="DD730" s="293"/>
      <c r="DE730" s="293"/>
      <c r="DF730" s="293"/>
      <c r="DG730" s="293"/>
      <c r="DH730" s="293"/>
      <c r="DI730" s="293"/>
      <c r="DJ730" s="293"/>
      <c r="DK730" s="293"/>
      <c r="DL730" s="293"/>
      <c r="DM730" s="293"/>
      <c r="DN730" s="293"/>
      <c r="DO730" s="293"/>
      <c r="DP730" s="293"/>
      <c r="DQ730" s="293"/>
      <c r="DR730" s="293"/>
      <c r="DS730" s="293"/>
      <c r="DT730" s="293"/>
      <c r="DU730" s="293"/>
      <c r="DV730" s="293"/>
      <c r="DW730" s="293"/>
      <c r="DX730" s="293"/>
      <c r="DY730" s="293"/>
      <c r="DZ730" s="293"/>
      <c r="EA730" s="293"/>
      <c r="EB730" s="293"/>
      <c r="EC730" s="293"/>
      <c r="ED730" s="293"/>
      <c r="EE730" s="293"/>
      <c r="EF730" s="293"/>
      <c r="EG730" s="293"/>
      <c r="EH730" s="293"/>
      <c r="EI730" s="293"/>
      <c r="EJ730" s="293"/>
      <c r="EK730" s="293"/>
      <c r="EL730" s="293"/>
      <c r="EM730" s="293"/>
      <c r="EN730" s="293"/>
      <c r="EO730" s="293"/>
      <c r="EP730" s="293"/>
      <c r="EQ730" s="293"/>
      <c r="ER730" s="293"/>
      <c r="ES730" s="293"/>
      <c r="ET730" s="293"/>
      <c r="EU730" s="293"/>
      <c r="JW730"/>
    </row>
    <row r="731" spans="1:283" s="332" customFormat="1">
      <c r="A731" s="332" t="s">
        <v>571</v>
      </c>
      <c r="AN731" s="492">
        <f>AN710</f>
        <v>373</v>
      </c>
      <c r="AO731" s="492">
        <f>AO710</f>
        <v>495</v>
      </c>
      <c r="AP731" s="492">
        <f>AP710</f>
        <v>868</v>
      </c>
      <c r="AQ731" s="293"/>
      <c r="AR731" s="492">
        <f>AR710</f>
        <v>413</v>
      </c>
      <c r="AS731" s="492">
        <f>AS710</f>
        <v>244</v>
      </c>
      <c r="AT731" s="492">
        <f>AT710</f>
        <v>657</v>
      </c>
      <c r="AU731" s="626"/>
      <c r="AV731" s="492">
        <f>AV710</f>
        <v>113</v>
      </c>
      <c r="AW731" s="492">
        <f>AW710</f>
        <v>217</v>
      </c>
      <c r="AX731" s="492">
        <f>AX710</f>
        <v>330</v>
      </c>
      <c r="AY731" s="293"/>
      <c r="AZ731" s="492">
        <f>AZ710</f>
        <v>126</v>
      </c>
      <c r="BA731" s="492">
        <f>BA710</f>
        <v>78</v>
      </c>
      <c r="BB731" s="492">
        <f>BB710</f>
        <v>204</v>
      </c>
      <c r="BC731" s="293"/>
      <c r="BD731" s="492">
        <f>BD710</f>
        <v>-56</v>
      </c>
      <c r="BE731" s="492">
        <f>BE710</f>
        <v>36</v>
      </c>
      <c r="BF731" s="492">
        <f>BF710</f>
        <v>-20</v>
      </c>
      <c r="BG731" s="360"/>
      <c r="BH731" s="492">
        <f>BH710</f>
        <v>68</v>
      </c>
      <c r="BI731" s="492">
        <f>BI710</f>
        <v>65</v>
      </c>
      <c r="BJ731" s="492">
        <f>BJ710</f>
        <v>133</v>
      </c>
      <c r="BK731" s="487"/>
      <c r="BL731" s="492">
        <f>BL710</f>
        <v>75</v>
      </c>
      <c r="BM731" s="492">
        <f>BM710</f>
        <v>43</v>
      </c>
      <c r="BN731" s="492">
        <f>BN710</f>
        <v>118</v>
      </c>
      <c r="BO731" s="487"/>
      <c r="BP731" s="492">
        <f>BP710</f>
        <v>129</v>
      </c>
      <c r="BQ731" s="492">
        <f>BQ710</f>
        <v>159</v>
      </c>
      <c r="BR731" s="492">
        <f>BR710</f>
        <v>288</v>
      </c>
      <c r="BS731" s="487"/>
      <c r="BT731" s="492">
        <f>BT710</f>
        <v>113</v>
      </c>
      <c r="BU731" s="492">
        <f>BU710</f>
        <v>158</v>
      </c>
      <c r="BV731" s="492">
        <f>BV710</f>
        <v>271</v>
      </c>
      <c r="BW731" s="293"/>
      <c r="BX731" s="492">
        <f>BX710</f>
        <v>98</v>
      </c>
      <c r="BY731" s="492">
        <f>BY710</f>
        <v>63</v>
      </c>
      <c r="BZ731" s="492">
        <f>BZ710</f>
        <v>161</v>
      </c>
      <c r="CA731" s="293"/>
      <c r="CB731" s="492">
        <f>CB710</f>
        <v>142</v>
      </c>
      <c r="CC731" s="492">
        <f>CC710</f>
        <v>201</v>
      </c>
      <c r="CD731" s="492">
        <f>CD710</f>
        <v>343</v>
      </c>
      <c r="CE731" s="293"/>
      <c r="CF731" s="492">
        <f>CF710</f>
        <v>194</v>
      </c>
      <c r="CG731" s="492">
        <f>CG710</f>
        <v>121</v>
      </c>
      <c r="CH731" s="492">
        <f>CH710</f>
        <v>315</v>
      </c>
      <c r="CI731" s="293"/>
      <c r="CJ731" s="492">
        <f>CJ710</f>
        <v>167</v>
      </c>
      <c r="CK731" s="492">
        <f>CK710</f>
        <v>329</v>
      </c>
      <c r="CL731" s="492">
        <f>CL710</f>
        <v>496</v>
      </c>
      <c r="CM731" s="293"/>
      <c r="CN731" s="492">
        <f>CN710</f>
        <v>56</v>
      </c>
      <c r="CO731" s="492">
        <f>CO710</f>
        <v>199</v>
      </c>
      <c r="CP731" s="492">
        <f>CP710</f>
        <v>255</v>
      </c>
      <c r="CQ731" s="293"/>
      <c r="CR731" s="492">
        <f>CR710</f>
        <v>200</v>
      </c>
      <c r="CS731" s="492">
        <f>CS710</f>
        <v>-134</v>
      </c>
      <c r="CT731" s="492">
        <f>CT710</f>
        <v>66</v>
      </c>
      <c r="CU731" s="293"/>
      <c r="CV731" s="492">
        <f>CV710</f>
        <v>188</v>
      </c>
      <c r="CW731" s="492">
        <f>CW710</f>
        <v>240</v>
      </c>
      <c r="CX731" s="492">
        <f>CX710</f>
        <v>428</v>
      </c>
      <c r="CY731" s="293"/>
      <c r="CZ731" s="492">
        <f>CZ710</f>
        <v>453</v>
      </c>
      <c r="DA731" s="492">
        <f>DA710</f>
        <v>520</v>
      </c>
      <c r="DB731" s="492">
        <f>DB710</f>
        <v>973</v>
      </c>
      <c r="DC731" s="293"/>
      <c r="DD731" s="492">
        <f>DD710</f>
        <v>457</v>
      </c>
      <c r="DE731" s="492">
        <f>DE710</f>
        <v>515</v>
      </c>
      <c r="DF731" s="492">
        <f>DF710</f>
        <v>972</v>
      </c>
      <c r="DG731" s="293"/>
      <c r="DH731" s="492">
        <f>DH710</f>
        <v>430</v>
      </c>
      <c r="DI731" s="293">
        <f>+DH731*(1+DI735)</f>
        <v>421.4</v>
      </c>
      <c r="DJ731" s="293">
        <f>DH731+DI731</f>
        <v>851.4</v>
      </c>
      <c r="DK731" s="293"/>
      <c r="DL731" s="293">
        <f>+DI731*(1+DL735)</f>
        <v>429.82799999999997</v>
      </c>
      <c r="DM731" s="293">
        <f>+DL731*(1+DM735)</f>
        <v>438.42455999999999</v>
      </c>
      <c r="DN731" s="293">
        <f>DL731+DM731</f>
        <v>868.2525599999999</v>
      </c>
      <c r="DO731" s="293"/>
      <c r="DP731" s="293">
        <f>+DM731*(1+DP735)</f>
        <v>447.19305120000001</v>
      </c>
      <c r="DQ731" s="293">
        <f>+DP731*(1+DQ735)</f>
        <v>456.13691222400001</v>
      </c>
      <c r="DR731" s="293">
        <f>DP731+DQ731</f>
        <v>903.32996342399997</v>
      </c>
      <c r="DS731" s="293"/>
      <c r="DT731" s="293"/>
      <c r="DU731" s="293"/>
      <c r="DV731" s="293"/>
      <c r="DW731" s="1197"/>
      <c r="DX731" s="293"/>
      <c r="DY731" s="293"/>
      <c r="DZ731" s="293"/>
      <c r="EA731" s="293"/>
      <c r="EB731" s="293"/>
      <c r="EC731" s="293"/>
      <c r="ED731" s="293"/>
      <c r="EE731" s="293"/>
      <c r="EF731" s="293"/>
      <c r="EG731" s="293"/>
      <c r="EH731" s="293"/>
      <c r="EI731" s="293"/>
      <c r="EJ731" s="293"/>
      <c r="EK731" s="293"/>
      <c r="EL731" s="293"/>
      <c r="EM731" s="293"/>
      <c r="EN731" s="293"/>
      <c r="EO731" s="293"/>
      <c r="EP731" s="293"/>
      <c r="EQ731" s="293"/>
      <c r="ER731" s="293"/>
      <c r="ES731" s="293"/>
      <c r="ET731" s="293"/>
      <c r="EU731" s="293"/>
      <c r="JW731"/>
    </row>
    <row r="732" spans="1:283" s="845" customFormat="1">
      <c r="A732" s="845" t="s">
        <v>651</v>
      </c>
      <c r="AN732" s="673">
        <f>AN712</f>
        <v>-38</v>
      </c>
      <c r="AO732" s="673">
        <f>AO712</f>
        <v>32</v>
      </c>
      <c r="AP732" s="673">
        <f>AP712</f>
        <v>-6</v>
      </c>
      <c r="AQ732" s="303"/>
      <c r="AR732" s="673">
        <f>AR712</f>
        <v>16</v>
      </c>
      <c r="AS732" s="673">
        <f>AS712</f>
        <v>188</v>
      </c>
      <c r="AT732" s="673">
        <f>AT712</f>
        <v>204</v>
      </c>
      <c r="AU732" s="627"/>
      <c r="AV732" s="673">
        <f>AV712</f>
        <v>-275</v>
      </c>
      <c r="AW732" s="673">
        <f>AW712</f>
        <v>-108</v>
      </c>
      <c r="AX732" s="673">
        <f>AX712</f>
        <v>-383</v>
      </c>
      <c r="AY732" s="627"/>
      <c r="AZ732" s="673">
        <f>AZ712</f>
        <v>48</v>
      </c>
      <c r="BA732" s="673">
        <f>BA712</f>
        <v>-77</v>
      </c>
      <c r="BB732" s="673">
        <f>BB712</f>
        <v>-29</v>
      </c>
      <c r="BC732" s="303"/>
      <c r="BD732" s="673">
        <f>BD712</f>
        <v>0</v>
      </c>
      <c r="BE732" s="673">
        <f>BE712</f>
        <v>0</v>
      </c>
      <c r="BF732" s="673">
        <f>BF712</f>
        <v>0</v>
      </c>
      <c r="BG732" s="303"/>
      <c r="BH732" s="673">
        <f>BH712</f>
        <v>0</v>
      </c>
      <c r="BI732" s="673">
        <f>BI712</f>
        <v>0</v>
      </c>
      <c r="BJ732" s="673">
        <f>BJ712</f>
        <v>0</v>
      </c>
      <c r="BK732" s="630"/>
      <c r="BL732" s="673">
        <f>BL712</f>
        <v>0</v>
      </c>
      <c r="BM732" s="673">
        <f>BM712</f>
        <v>0</v>
      </c>
      <c r="BN732" s="673">
        <f>BN712</f>
        <v>0</v>
      </c>
      <c r="BO732" s="630"/>
      <c r="BP732" s="673">
        <f>BP712</f>
        <v>0</v>
      </c>
      <c r="BQ732" s="673">
        <f>BQ712</f>
        <v>0</v>
      </c>
      <c r="BR732" s="673">
        <f>BR712</f>
        <v>0</v>
      </c>
      <c r="BS732" s="630"/>
      <c r="BT732" s="673">
        <f>BT712</f>
        <v>0</v>
      </c>
      <c r="BU732" s="673">
        <f>BU712</f>
        <v>0</v>
      </c>
      <c r="BV732" s="673">
        <f>BV712</f>
        <v>0</v>
      </c>
      <c r="BW732" s="303"/>
      <c r="BX732" s="673">
        <f>BX712</f>
        <v>0</v>
      </c>
      <c r="BY732" s="673">
        <f>BY712</f>
        <v>0</v>
      </c>
      <c r="BZ732" s="673">
        <f>BZ712</f>
        <v>0</v>
      </c>
      <c r="CA732" s="303"/>
      <c r="CB732" s="673">
        <f>CB712</f>
        <v>0</v>
      </c>
      <c r="CC732" s="673">
        <f>CC712</f>
        <v>0</v>
      </c>
      <c r="CD732" s="673">
        <f>CD712</f>
        <v>0</v>
      </c>
      <c r="CE732" s="303"/>
      <c r="CF732" s="673">
        <f>CF712</f>
        <v>0</v>
      </c>
      <c r="CG732" s="673">
        <f>CG712</f>
        <v>0</v>
      </c>
      <c r="CH732" s="673">
        <f>CH712</f>
        <v>0</v>
      </c>
      <c r="CI732" s="303"/>
      <c r="CJ732" s="673">
        <f>CJ712</f>
        <v>0</v>
      </c>
      <c r="CK732" s="673">
        <f>CK712</f>
        <v>0</v>
      </c>
      <c r="CL732" s="673">
        <f>CL712</f>
        <v>0</v>
      </c>
      <c r="CM732" s="303"/>
      <c r="CN732" s="673">
        <f>CN712</f>
        <v>0</v>
      </c>
      <c r="CO732" s="673">
        <f>CO712</f>
        <v>0</v>
      </c>
      <c r="CP732" s="673">
        <f>CP712</f>
        <v>0</v>
      </c>
      <c r="CQ732" s="303"/>
      <c r="CR732" s="673">
        <f>CR712</f>
        <v>0</v>
      </c>
      <c r="CS732" s="673">
        <f>CS712</f>
        <v>0</v>
      </c>
      <c r="CT732" s="673">
        <f>CT712</f>
        <v>0</v>
      </c>
      <c r="CU732" s="303"/>
      <c r="CV732" s="673">
        <f>CV712</f>
        <v>0</v>
      </c>
      <c r="CW732" s="673">
        <f>CW712</f>
        <v>0</v>
      </c>
      <c r="CX732" s="673">
        <f>CX712</f>
        <v>0</v>
      </c>
      <c r="CY732" s="303"/>
      <c r="CZ732" s="673">
        <f>CZ712</f>
        <v>0</v>
      </c>
      <c r="DA732" s="673">
        <f>DA712</f>
        <v>0</v>
      </c>
      <c r="DB732" s="673">
        <f>DB712</f>
        <v>0</v>
      </c>
      <c r="DC732" s="303"/>
      <c r="DD732" s="673">
        <f>DD712</f>
        <v>0</v>
      </c>
      <c r="DE732" s="673">
        <f>DE712</f>
        <v>0</v>
      </c>
      <c r="DF732" s="673">
        <f>DF712</f>
        <v>0</v>
      </c>
      <c r="DG732" s="303"/>
      <c r="DH732" s="673">
        <f>DH712</f>
        <v>0</v>
      </c>
      <c r="DI732" s="627">
        <v>0</v>
      </c>
      <c r="DJ732" s="303">
        <f t="shared" ref="DJ732" si="1873">DH732+DI732</f>
        <v>0</v>
      </c>
      <c r="DK732" s="303"/>
      <c r="DL732" s="627">
        <v>0</v>
      </c>
      <c r="DM732" s="627">
        <v>0</v>
      </c>
      <c r="DN732" s="303">
        <f t="shared" ref="DN732" si="1874">DL732+DM732</f>
        <v>0</v>
      </c>
      <c r="DO732" s="303"/>
      <c r="DP732" s="627">
        <v>0</v>
      </c>
      <c r="DQ732" s="627">
        <v>0</v>
      </c>
      <c r="DR732" s="303">
        <f t="shared" ref="DR732" si="1875">DP732+DQ732</f>
        <v>0</v>
      </c>
      <c r="DS732" s="303"/>
      <c r="DT732" s="303"/>
      <c r="DU732" s="303"/>
      <c r="DV732" s="303"/>
      <c r="DW732" s="1208"/>
      <c r="DX732" s="303"/>
      <c r="DY732" s="303"/>
      <c r="DZ732" s="303"/>
      <c r="EA732" s="303"/>
      <c r="EB732" s="303"/>
      <c r="EC732" s="303"/>
      <c r="ED732" s="303"/>
      <c r="EE732" s="303"/>
      <c r="EF732" s="303"/>
      <c r="EG732" s="303"/>
      <c r="EH732" s="303"/>
      <c r="EI732" s="303"/>
      <c r="EJ732" s="303"/>
      <c r="EK732" s="303"/>
      <c r="EL732" s="303"/>
      <c r="EM732" s="303"/>
      <c r="EN732" s="303"/>
      <c r="EO732" s="303"/>
      <c r="EP732" s="303"/>
      <c r="EQ732" s="303"/>
      <c r="ER732" s="303"/>
      <c r="ES732" s="303"/>
      <c r="ET732" s="303"/>
      <c r="EU732" s="303"/>
      <c r="JW732"/>
    </row>
    <row r="733" spans="1:283" s="327" customFormat="1">
      <c r="A733" s="327" t="s">
        <v>588</v>
      </c>
      <c r="AN733" s="820">
        <f>SUM(AN731:AN732)</f>
        <v>335</v>
      </c>
      <c r="AO733" s="820">
        <f>SUM(AO731:AO732)</f>
        <v>527</v>
      </c>
      <c r="AP733" s="820">
        <f>SUM(AP731:AP732)</f>
        <v>862</v>
      </c>
      <c r="AQ733" s="295"/>
      <c r="AR733" s="820">
        <f>SUM(AR731:AR732)</f>
        <v>429</v>
      </c>
      <c r="AS733" s="820">
        <f>SUM(AS731:AS732)</f>
        <v>432</v>
      </c>
      <c r="AT733" s="820">
        <f>SUM(AT731:AT732)</f>
        <v>861</v>
      </c>
      <c r="AU733" s="295"/>
      <c r="AV733" s="820">
        <f>SUM(AV731:AV732)</f>
        <v>-162</v>
      </c>
      <c r="AW733" s="820">
        <f>SUM(AW731:AW732)</f>
        <v>109</v>
      </c>
      <c r="AX733" s="820">
        <f>SUM(AX731:AX732)</f>
        <v>-53</v>
      </c>
      <c r="AY733" s="295"/>
      <c r="AZ733" s="820">
        <f>SUM(AZ731:AZ732)</f>
        <v>174</v>
      </c>
      <c r="BA733" s="820">
        <f>SUM(BA731:BA732)</f>
        <v>1</v>
      </c>
      <c r="BB733" s="820">
        <f>SUM(BB731:BB732)</f>
        <v>175</v>
      </c>
      <c r="BC733" s="295"/>
      <c r="BD733" s="820">
        <f>SUM(BD731:BD732)</f>
        <v>-56</v>
      </c>
      <c r="BE733" s="820">
        <f>SUM(BE731:BE732)</f>
        <v>36</v>
      </c>
      <c r="BF733" s="820">
        <f>SUM(BF731:BF732)</f>
        <v>-20</v>
      </c>
      <c r="BG733" s="295"/>
      <c r="BH733" s="820">
        <f>SUM(BH731:BH732)</f>
        <v>68</v>
      </c>
      <c r="BI733" s="820">
        <f>SUM(BI731:BI732)</f>
        <v>65</v>
      </c>
      <c r="BJ733" s="820">
        <f>SUM(BJ731:BJ732)</f>
        <v>133</v>
      </c>
      <c r="BK733" s="295"/>
      <c r="BL733" s="820">
        <f>SUM(BL731:BL732)</f>
        <v>75</v>
      </c>
      <c r="BM733" s="820">
        <f>SUM(BM731:BM732)</f>
        <v>43</v>
      </c>
      <c r="BN733" s="820">
        <f>SUM(BN731:BN732)</f>
        <v>118</v>
      </c>
      <c r="BO733" s="685"/>
      <c r="BP733" s="820">
        <f>SUM(BP731:BP732)</f>
        <v>129</v>
      </c>
      <c r="BQ733" s="820">
        <f>SUM(BQ731:BQ732)</f>
        <v>159</v>
      </c>
      <c r="BR733" s="820">
        <f>SUM(BR731:BR732)</f>
        <v>288</v>
      </c>
      <c r="BS733" s="685"/>
      <c r="BT733" s="820">
        <f>SUM(BT731:BT732)</f>
        <v>113</v>
      </c>
      <c r="BU733" s="820">
        <f>SUM(BU731:BU732)</f>
        <v>158</v>
      </c>
      <c r="BV733" s="820">
        <f>SUM(BV731:BV732)</f>
        <v>271</v>
      </c>
      <c r="BW733" s="295"/>
      <c r="BX733" s="820">
        <f>SUM(BX731:BX732)</f>
        <v>98</v>
      </c>
      <c r="BY733" s="820">
        <f>SUM(BY731:BY732)</f>
        <v>63</v>
      </c>
      <c r="BZ733" s="820">
        <f>SUM(BZ731:BZ732)</f>
        <v>161</v>
      </c>
      <c r="CA733" s="295"/>
      <c r="CB733" s="820">
        <f>SUM(CB731:CB732)</f>
        <v>142</v>
      </c>
      <c r="CC733" s="820">
        <f>SUM(CC731:CC732)</f>
        <v>201</v>
      </c>
      <c r="CD733" s="820">
        <f>SUM(CD731:CD732)</f>
        <v>343</v>
      </c>
      <c r="CE733" s="295"/>
      <c r="CF733" s="820">
        <f>SUM(CF731:CF732)</f>
        <v>194</v>
      </c>
      <c r="CG733" s="820">
        <f>SUM(CG731:CG732)</f>
        <v>121</v>
      </c>
      <c r="CH733" s="820">
        <f>SUM(CH731:CH732)</f>
        <v>315</v>
      </c>
      <c r="CI733" s="295"/>
      <c r="CJ733" s="820">
        <f>SUM(CJ731:CJ732)</f>
        <v>167</v>
      </c>
      <c r="CK733" s="820">
        <f>SUM(CK731:CK732)</f>
        <v>329</v>
      </c>
      <c r="CL733" s="820">
        <f>SUM(CL731:CL732)</f>
        <v>496</v>
      </c>
      <c r="CM733" s="295"/>
      <c r="CN733" s="820">
        <f>SUM(CN731:CN732)</f>
        <v>56</v>
      </c>
      <c r="CO733" s="820">
        <f>SUM(CO731:CO732)</f>
        <v>199</v>
      </c>
      <c r="CP733" s="820">
        <f>SUM(CP731:CP732)</f>
        <v>255</v>
      </c>
      <c r="CQ733" s="295"/>
      <c r="CR733" s="820">
        <f>SUM(CR731:CR732)</f>
        <v>200</v>
      </c>
      <c r="CS733" s="820">
        <f>SUM(CS731:CS732)</f>
        <v>-134</v>
      </c>
      <c r="CT733" s="820">
        <f>SUM(CT731:CT732)</f>
        <v>66</v>
      </c>
      <c r="CU733" s="295"/>
      <c r="CV733" s="820">
        <f>SUM(CV731:CV732)</f>
        <v>188</v>
      </c>
      <c r="CW733" s="820">
        <f>SUM(CW731:CW732)</f>
        <v>240</v>
      </c>
      <c r="CX733" s="820">
        <f>SUM(CX731:CX732)</f>
        <v>428</v>
      </c>
      <c r="CY733" s="295"/>
      <c r="CZ733" s="820">
        <f>SUM(CZ731:CZ732)</f>
        <v>453</v>
      </c>
      <c r="DA733" s="820">
        <f>SUM(DA731:DA732)</f>
        <v>520</v>
      </c>
      <c r="DB733" s="820">
        <f>SUM(DB731:DB732)</f>
        <v>973</v>
      </c>
      <c r="DC733" s="295"/>
      <c r="DD733" s="820">
        <f>SUM(DD731:DD732)</f>
        <v>457</v>
      </c>
      <c r="DE733" s="820">
        <f>SUM(DE731:DE732)</f>
        <v>515</v>
      </c>
      <c r="DF733" s="820">
        <f>SUM(DF731:DF732)</f>
        <v>972</v>
      </c>
      <c r="DG733" s="295"/>
      <c r="DH733" s="820">
        <f>SUM(DH731:DH732)</f>
        <v>430</v>
      </c>
      <c r="DI733" s="295">
        <f>SUM(DI731:DI732)</f>
        <v>421.4</v>
      </c>
      <c r="DJ733" s="295">
        <f>DH733+DI733</f>
        <v>851.4</v>
      </c>
      <c r="DK733" s="295"/>
      <c r="DL733" s="295">
        <f>SUM(DL731:DL732)</f>
        <v>429.82799999999997</v>
      </c>
      <c r="DM733" s="295">
        <f>SUM(DM731:DM732)</f>
        <v>438.42455999999999</v>
      </c>
      <c r="DN733" s="295">
        <f>DL733+DM733</f>
        <v>868.2525599999999</v>
      </c>
      <c r="DO733" s="295"/>
      <c r="DP733" s="295">
        <f>SUM(DP731:DP732)</f>
        <v>447.19305120000001</v>
      </c>
      <c r="DQ733" s="295">
        <f>SUM(DQ731:DQ732)</f>
        <v>456.13691222400001</v>
      </c>
      <c r="DR733" s="295">
        <f>DP733+DQ733</f>
        <v>903.32996342399997</v>
      </c>
      <c r="DS733" s="295"/>
      <c r="DT733" s="295"/>
      <c r="DU733" s="295"/>
      <c r="DV733" s="295"/>
      <c r="DW733" s="1199"/>
      <c r="DX733" s="295"/>
      <c r="DY733" s="295"/>
      <c r="DZ733" s="295"/>
      <c r="EA733" s="295"/>
      <c r="EB733" s="295"/>
      <c r="EC733" s="295"/>
      <c r="ED733" s="295"/>
      <c r="EE733" s="295"/>
      <c r="EF733" s="295"/>
      <c r="EG733" s="295"/>
      <c r="EH733" s="295"/>
      <c r="EI733" s="295"/>
      <c r="EJ733" s="295"/>
      <c r="EK733" s="295"/>
      <c r="EL733" s="295"/>
      <c r="EM733" s="295"/>
      <c r="EN733" s="295"/>
      <c r="EO733" s="295"/>
      <c r="EP733" s="295"/>
      <c r="EQ733" s="295"/>
      <c r="ER733" s="295"/>
      <c r="ES733" s="295"/>
      <c r="ET733" s="295"/>
      <c r="EU733" s="295"/>
      <c r="JW733"/>
    </row>
    <row r="734" spans="1:283">
      <c r="A734" s="323" t="s">
        <v>835</v>
      </c>
      <c r="CR734" s="103"/>
      <c r="CS734" s="103"/>
      <c r="CT734" s="103"/>
      <c r="CV734" s="103"/>
      <c r="CW734" s="103"/>
      <c r="CX734" s="103"/>
      <c r="CZ734" s="103"/>
      <c r="DA734" s="103"/>
      <c r="DB734" s="103"/>
      <c r="DD734" s="103"/>
      <c r="DE734" s="103"/>
      <c r="DF734" s="103"/>
      <c r="DH734" s="103"/>
      <c r="DI734" s="293"/>
      <c r="DJ734" s="293"/>
      <c r="DL734" s="293"/>
      <c r="DM734" s="293"/>
      <c r="DN734" s="293"/>
      <c r="DP734" s="293"/>
      <c r="DQ734" s="293"/>
      <c r="DR734" s="293"/>
      <c r="DW734" s="1197"/>
      <c r="DX734" s="293"/>
      <c r="DY734" s="293"/>
      <c r="EA734" s="293"/>
      <c r="EB734" s="293"/>
      <c r="EC734" s="293"/>
      <c r="EE734" s="293"/>
      <c r="EF734" s="293"/>
      <c r="EG734" s="293"/>
      <c r="EI734" s="293"/>
      <c r="EJ734" s="293"/>
      <c r="EK734" s="293"/>
    </row>
    <row r="735" spans="1:283" s="642" customFormat="1">
      <c r="A735" s="1210" t="s">
        <v>1381</v>
      </c>
      <c r="AN735" s="300"/>
      <c r="AO735" s="300"/>
      <c r="AP735" s="300"/>
      <c r="AQ735" s="300"/>
      <c r="AR735" s="300"/>
      <c r="AS735" s="300"/>
      <c r="AT735" s="300"/>
      <c r="AU735" s="300"/>
      <c r="AV735" s="643">
        <f t="shared" ref="AV735:AX737" si="1876">+AV731/AR731-1</f>
        <v>-0.72639225181598066</v>
      </c>
      <c r="AW735" s="643">
        <f t="shared" si="1876"/>
        <v>-0.11065573770491799</v>
      </c>
      <c r="AX735" s="643">
        <f t="shared" si="1876"/>
        <v>-0.49771689497716898</v>
      </c>
      <c r="AY735" s="300"/>
      <c r="AZ735" s="643">
        <f t="shared" ref="AZ735:BB737" si="1877">+AZ731/AV731-1</f>
        <v>0.11504424778761058</v>
      </c>
      <c r="BA735" s="643">
        <f t="shared" si="1877"/>
        <v>-0.64055299539170507</v>
      </c>
      <c r="BB735" s="643">
        <f t="shared" si="1877"/>
        <v>-0.38181818181818183</v>
      </c>
      <c r="BC735" s="300"/>
      <c r="BD735" s="643">
        <f>+BD731/AZ731-1</f>
        <v>-1.4444444444444444</v>
      </c>
      <c r="BE735" s="643">
        <f>+BE731/BA731-1</f>
        <v>-0.53846153846153844</v>
      </c>
      <c r="BF735" s="643">
        <f>+BF731/BB731-1</f>
        <v>-1.0980392156862746</v>
      </c>
      <c r="BG735" s="300"/>
      <c r="BH735" s="643">
        <f>+BH731/BD731-1</f>
        <v>-2.2142857142857144</v>
      </c>
      <c r="BI735" s="643">
        <f>+BI731/BE731-1</f>
        <v>0.80555555555555558</v>
      </c>
      <c r="BJ735" s="643">
        <f>+BJ731/BF731-1</f>
        <v>-7.65</v>
      </c>
      <c r="BK735" s="300"/>
      <c r="BL735" s="643">
        <f>+BL731/BH731-1</f>
        <v>0.10294117647058831</v>
      </c>
      <c r="BM735" s="643">
        <f>+BM731/BI731-1</f>
        <v>-0.33846153846153848</v>
      </c>
      <c r="BN735" s="643">
        <f>+BN731/BJ731-1</f>
        <v>-0.11278195488721809</v>
      </c>
      <c r="BO735" s="300"/>
      <c r="BP735" s="643">
        <f>+BP731/BL731-1</f>
        <v>0.72</v>
      </c>
      <c r="BQ735" s="643">
        <f>+BQ731/BM731-1</f>
        <v>2.6976744186046511</v>
      </c>
      <c r="BR735" s="643">
        <f>+BR731/BN731-1</f>
        <v>1.4406779661016951</v>
      </c>
      <c r="BS735" s="300"/>
      <c r="BT735" s="643">
        <f>+BT731/BP731-1</f>
        <v>-0.12403100775193798</v>
      </c>
      <c r="BU735" s="643">
        <f>+BU731/BQ731-1</f>
        <v>-6.2893081761006275E-3</v>
      </c>
      <c r="BV735" s="643">
        <f>+BV731/BR731-1</f>
        <v>-5.902777777777779E-2</v>
      </c>
      <c r="BW735" s="300"/>
      <c r="BX735" s="643">
        <f>+BX731/BT731-1</f>
        <v>-0.13274336283185839</v>
      </c>
      <c r="BY735" s="643">
        <f>+BY731/BU731-1</f>
        <v>-0.60126582278481011</v>
      </c>
      <c r="BZ735" s="643">
        <f>+BZ731/BV731-1</f>
        <v>-0.40590405904059046</v>
      </c>
      <c r="CA735" s="300"/>
      <c r="CB735" s="643">
        <f>+CB731/BX731-1</f>
        <v>0.44897959183673475</v>
      </c>
      <c r="CC735" s="643">
        <f>+CC731/BY731-1</f>
        <v>2.1904761904761907</v>
      </c>
      <c r="CD735" s="643">
        <f>+CD731/BZ731-1</f>
        <v>1.1304347826086958</v>
      </c>
      <c r="CE735" s="300"/>
      <c r="CF735" s="643">
        <f>+CF731/CB731-1</f>
        <v>0.36619718309859151</v>
      </c>
      <c r="CG735" s="643">
        <f>+CG731/CC731-1</f>
        <v>-0.39800995024875618</v>
      </c>
      <c r="CH735" s="643">
        <f>+CH731/CD731-1</f>
        <v>-8.1632653061224469E-2</v>
      </c>
      <c r="CI735" s="300"/>
      <c r="CJ735" s="643">
        <f>+CJ731/CF731-1</f>
        <v>-0.13917525773195871</v>
      </c>
      <c r="CK735" s="643">
        <f>+CK731/CG731-1</f>
        <v>1.71900826446281</v>
      </c>
      <c r="CL735" s="643">
        <f>+CL731/CH731-1</f>
        <v>0.57460317460317456</v>
      </c>
      <c r="CM735" s="300"/>
      <c r="CN735" s="643">
        <f>+CN731/CJ731-1</f>
        <v>-0.66467065868263475</v>
      </c>
      <c r="CO735" s="643">
        <f>+CO731/CK731-1</f>
        <v>-0.39513677811550152</v>
      </c>
      <c r="CP735" s="643">
        <f>+CP731/CL731-1</f>
        <v>-0.48588709677419351</v>
      </c>
      <c r="CQ735" s="300"/>
      <c r="CR735" s="643">
        <f>+CR731/CN731-1</f>
        <v>2.5714285714285716</v>
      </c>
      <c r="CS735" s="643">
        <f>+CS731/CO731-1</f>
        <v>-1.6733668341708543</v>
      </c>
      <c r="CT735" s="643">
        <f>+CT731/CP731-1</f>
        <v>-0.74117647058823533</v>
      </c>
      <c r="CU735" s="300"/>
      <c r="CV735" s="643">
        <f>+CV731/CR731-1</f>
        <v>-6.0000000000000053E-2</v>
      </c>
      <c r="CW735" s="643">
        <f>+CW731/CS731-1</f>
        <v>-2.7910447761194028</v>
      </c>
      <c r="CX735" s="643">
        <f>+CX731/CT731-1</f>
        <v>5.4848484848484844</v>
      </c>
      <c r="CY735" s="300"/>
      <c r="CZ735" s="643">
        <f>+CZ731/CV731-1</f>
        <v>1.4095744680851063</v>
      </c>
      <c r="DA735" s="643">
        <f>+DA731/CW731-1</f>
        <v>1.1666666666666665</v>
      </c>
      <c r="DB735" s="643">
        <f>+DB731/CX731-1</f>
        <v>1.2733644859813085</v>
      </c>
      <c r="DC735" s="300"/>
      <c r="DD735" s="643">
        <f>+DD731/CZ731-1</f>
        <v>8.8300220750552327E-3</v>
      </c>
      <c r="DE735" s="643">
        <f>+DE731/DA731-1</f>
        <v>-9.6153846153845812E-3</v>
      </c>
      <c r="DF735" s="643">
        <f>+DF731/DB731-1</f>
        <v>-1.0277492291880241E-3</v>
      </c>
      <c r="DG735" s="300"/>
      <c r="DH735" s="643">
        <f>+DH731/DD731-1</f>
        <v>-5.908096280087527E-2</v>
      </c>
      <c r="DI735" s="975">
        <v>-0.02</v>
      </c>
      <c r="DJ735" s="643">
        <f>+DJ731/DF731-1</f>
        <v>-0.12407407407407411</v>
      </c>
      <c r="DK735" s="300"/>
      <c r="DL735" s="975">
        <v>0.02</v>
      </c>
      <c r="DM735" s="975">
        <v>0.02</v>
      </c>
      <c r="DN735" s="643">
        <f>+DN731/DJ731-1</f>
        <v>1.9793939393939253E-2</v>
      </c>
      <c r="DO735" s="300"/>
      <c r="DP735" s="975">
        <v>0.02</v>
      </c>
      <c r="DQ735" s="975">
        <v>0.02</v>
      </c>
      <c r="DR735" s="643">
        <f>+DR731/DN731-1</f>
        <v>4.0399999999999991E-2</v>
      </c>
      <c r="DS735" s="300"/>
      <c r="DT735" s="300"/>
      <c r="DU735" s="300"/>
      <c r="DV735" s="300"/>
      <c r="DW735" s="1211"/>
      <c r="DX735" s="643"/>
      <c r="DY735" s="643"/>
      <c r="DZ735" s="300"/>
      <c r="EA735" s="643"/>
      <c r="EB735" s="643"/>
      <c r="EC735" s="643"/>
      <c r="ED735" s="300"/>
      <c r="EE735" s="643"/>
      <c r="EF735" s="643"/>
      <c r="EG735" s="643"/>
      <c r="EH735" s="300"/>
      <c r="EI735" s="643"/>
      <c r="EJ735" s="643"/>
      <c r="EK735" s="643"/>
      <c r="EL735" s="300"/>
      <c r="EM735" s="300"/>
      <c r="EN735" s="300"/>
      <c r="EO735" s="300"/>
      <c r="EP735" s="300"/>
      <c r="EQ735" s="300"/>
      <c r="ER735" s="300"/>
      <c r="ES735" s="300"/>
      <c r="ET735" s="300"/>
      <c r="EU735" s="300"/>
      <c r="JW735"/>
    </row>
    <row r="736" spans="1:283" s="323" customFormat="1">
      <c r="A736" s="1079" t="str">
        <f>+A732</f>
        <v>Net trading income</v>
      </c>
      <c r="AN736" s="115"/>
      <c r="AO736" s="115"/>
      <c r="AP736" s="115"/>
      <c r="AQ736" s="115"/>
      <c r="AR736" s="115"/>
      <c r="AS736" s="115"/>
      <c r="AT736" s="115"/>
      <c r="AU736" s="115"/>
      <c r="AV736" s="648">
        <f t="shared" si="1876"/>
        <v>-18.1875</v>
      </c>
      <c r="AW736" s="648">
        <f t="shared" si="1876"/>
        <v>-1.574468085106383</v>
      </c>
      <c r="AX736" s="648">
        <f t="shared" si="1876"/>
        <v>-2.8774509803921569</v>
      </c>
      <c r="AY736" s="115"/>
      <c r="AZ736" s="648">
        <f t="shared" si="1877"/>
        <v>-1.1745454545454546</v>
      </c>
      <c r="BA736" s="648">
        <f t="shared" si="1877"/>
        <v>-0.28703703703703709</v>
      </c>
      <c r="BB736" s="648">
        <f t="shared" si="1877"/>
        <v>-0.92428198433420361</v>
      </c>
      <c r="BC736" s="115"/>
      <c r="BD736" s="648"/>
      <c r="BE736" s="648">
        <f>+BE732/BA732-1</f>
        <v>-1</v>
      </c>
      <c r="BF736" s="648">
        <f>+BF732/BB732-1</f>
        <v>-1</v>
      </c>
      <c r="BG736" s="115"/>
      <c r="BH736" s="648"/>
      <c r="BI736" s="648"/>
      <c r="BJ736" s="648"/>
      <c r="BK736" s="115"/>
      <c r="BL736" s="648"/>
      <c r="BM736" s="648"/>
      <c r="BN736" s="648"/>
      <c r="BO736" s="115"/>
      <c r="BP736" s="648"/>
      <c r="BQ736" s="648"/>
      <c r="BR736" s="648"/>
      <c r="BS736" s="115"/>
      <c r="BT736" s="648"/>
      <c r="BU736" s="648"/>
      <c r="BV736" s="648"/>
      <c r="BW736" s="115"/>
      <c r="BX736" s="648"/>
      <c r="BY736" s="648"/>
      <c r="BZ736" s="648"/>
      <c r="CA736" s="115"/>
      <c r="CB736" s="648"/>
      <c r="CC736" s="648"/>
      <c r="CD736" s="648"/>
      <c r="CE736" s="115"/>
      <c r="CF736" s="648"/>
      <c r="CG736" s="648"/>
      <c r="CH736" s="648"/>
      <c r="CI736" s="115"/>
      <c r="CJ736" s="648"/>
      <c r="CK736" s="648"/>
      <c r="CL736" s="648"/>
      <c r="CM736" s="115"/>
      <c r="CN736" s="648"/>
      <c r="CO736" s="648"/>
      <c r="CP736" s="648"/>
      <c r="CQ736" s="115"/>
      <c r="CR736" s="648"/>
      <c r="CS736" s="648"/>
      <c r="CT736" s="648"/>
      <c r="CU736" s="115"/>
      <c r="CV736" s="648"/>
      <c r="CW736" s="648"/>
      <c r="CX736" s="648"/>
      <c r="CY736" s="115"/>
      <c r="CZ736" s="648"/>
      <c r="DA736" s="648"/>
      <c r="DB736" s="648"/>
      <c r="DC736" s="115"/>
      <c r="DD736" s="648"/>
      <c r="DE736" s="648"/>
      <c r="DF736" s="648"/>
      <c r="DG736" s="115"/>
      <c r="DH736" s="648"/>
      <c r="DI736" s="637"/>
      <c r="DJ736" s="648"/>
      <c r="DK736" s="115"/>
      <c r="DL736" s="637"/>
      <c r="DM736" s="637"/>
      <c r="DN736" s="648"/>
      <c r="DO736" s="115"/>
      <c r="DP736" s="637"/>
      <c r="DQ736" s="637"/>
      <c r="DR736" s="648"/>
      <c r="DS736" s="115"/>
      <c r="DT736" s="115"/>
      <c r="DU736" s="115"/>
      <c r="DV736" s="115"/>
      <c r="DW736" s="1214"/>
      <c r="DX736" s="648"/>
      <c r="DY736" s="648"/>
      <c r="DZ736" s="115"/>
      <c r="EA736" s="648"/>
      <c r="EB736" s="648"/>
      <c r="EC736" s="648"/>
      <c r="ED736" s="115"/>
      <c r="EE736" s="648"/>
      <c r="EF736" s="648"/>
      <c r="EG736" s="648"/>
      <c r="EH736" s="115"/>
      <c r="EI736" s="648"/>
      <c r="EJ736" s="648"/>
      <c r="EK736" s="648"/>
      <c r="EL736" s="115"/>
      <c r="EM736" s="115"/>
      <c r="EN736" s="115"/>
      <c r="EO736" s="115"/>
      <c r="EP736" s="115"/>
      <c r="EQ736" s="115"/>
      <c r="ER736" s="115"/>
      <c r="ES736" s="115"/>
      <c r="ET736" s="115"/>
      <c r="EU736" s="115"/>
      <c r="JW736"/>
    </row>
    <row r="737" spans="1:283" s="328" customFormat="1">
      <c r="A737" s="1092" t="str">
        <f>+A733</f>
        <v>Total</v>
      </c>
      <c r="AN737" s="581"/>
      <c r="AO737" s="581"/>
      <c r="AP737" s="581"/>
      <c r="AQ737" s="581"/>
      <c r="AR737" s="581"/>
      <c r="AS737" s="581"/>
      <c r="AT737" s="581"/>
      <c r="AU737" s="581"/>
      <c r="AV737" s="682">
        <f t="shared" si="1876"/>
        <v>-1.3776223776223775</v>
      </c>
      <c r="AW737" s="682">
        <f t="shared" si="1876"/>
        <v>-0.74768518518518512</v>
      </c>
      <c r="AX737" s="682">
        <f t="shared" si="1876"/>
        <v>-1.0615563298490127</v>
      </c>
      <c r="AY737" s="581"/>
      <c r="AZ737" s="682">
        <f t="shared" si="1877"/>
        <v>-2.0740740740740744</v>
      </c>
      <c r="BA737" s="682">
        <f t="shared" si="1877"/>
        <v>-0.99082568807339455</v>
      </c>
      <c r="BB737" s="682">
        <f t="shared" si="1877"/>
        <v>-4.3018867924528301</v>
      </c>
      <c r="BC737" s="581"/>
      <c r="BD737" s="682">
        <f>+BD733/AZ733-1</f>
        <v>-1.3218390804597702</v>
      </c>
      <c r="BE737" s="682">
        <f>+BE733/BA733-1</f>
        <v>35</v>
      </c>
      <c r="BF737" s="682">
        <f>+BF733/BB733-1</f>
        <v>-1.1142857142857143</v>
      </c>
      <c r="BG737" s="581"/>
      <c r="BH737" s="682">
        <f>+BH733/BD733-1</f>
        <v>-2.2142857142857144</v>
      </c>
      <c r="BI737" s="682">
        <f>+BI733/BE733-1</f>
        <v>0.80555555555555558</v>
      </c>
      <c r="BJ737" s="682">
        <f>+BJ733/BF733-1</f>
        <v>-7.65</v>
      </c>
      <c r="BK737" s="581"/>
      <c r="BL737" s="682">
        <f>+BL733/BH733-1</f>
        <v>0.10294117647058831</v>
      </c>
      <c r="BM737" s="682">
        <f>+BM733/BI733-1</f>
        <v>-0.33846153846153848</v>
      </c>
      <c r="BN737" s="682">
        <f>+BN733/BJ733-1</f>
        <v>-0.11278195488721809</v>
      </c>
      <c r="BO737" s="581"/>
      <c r="BP737" s="682">
        <f>+BP733/BL733-1</f>
        <v>0.72</v>
      </c>
      <c r="BQ737" s="682">
        <f>+BQ733/BM733-1</f>
        <v>2.6976744186046511</v>
      </c>
      <c r="BR737" s="682">
        <f>+BR733/BN733-1</f>
        <v>1.4406779661016951</v>
      </c>
      <c r="BS737" s="581"/>
      <c r="BT737" s="682">
        <f>+BT733/BP733-1</f>
        <v>-0.12403100775193798</v>
      </c>
      <c r="BU737" s="682">
        <f>+BU733/BQ733-1</f>
        <v>-6.2893081761006275E-3</v>
      </c>
      <c r="BV737" s="682">
        <f>+BV733/BR733-1</f>
        <v>-5.902777777777779E-2</v>
      </c>
      <c r="BW737" s="581"/>
      <c r="BX737" s="682">
        <f>+BX733/BT733-1</f>
        <v>-0.13274336283185839</v>
      </c>
      <c r="BY737" s="682">
        <f>+BY733/BU733-1</f>
        <v>-0.60126582278481011</v>
      </c>
      <c r="BZ737" s="682">
        <f>+BZ733/BV733-1</f>
        <v>-0.40590405904059046</v>
      </c>
      <c r="CA737" s="581"/>
      <c r="CB737" s="682">
        <f>+CB733/BX733-1</f>
        <v>0.44897959183673475</v>
      </c>
      <c r="CC737" s="682">
        <f>+CC733/BY733-1</f>
        <v>2.1904761904761907</v>
      </c>
      <c r="CD737" s="682">
        <f>+CD733/BZ733-1</f>
        <v>1.1304347826086958</v>
      </c>
      <c r="CE737" s="581"/>
      <c r="CF737" s="682">
        <f>+CF733/CB733-1</f>
        <v>0.36619718309859151</v>
      </c>
      <c r="CG737" s="682">
        <f>+CG733/CC733-1</f>
        <v>-0.39800995024875618</v>
      </c>
      <c r="CH737" s="682">
        <f>+CH733/CD733-1</f>
        <v>-8.1632653061224469E-2</v>
      </c>
      <c r="CI737" s="581"/>
      <c r="CJ737" s="682">
        <f>+CJ733/CF733-1</f>
        <v>-0.13917525773195871</v>
      </c>
      <c r="CK737" s="682">
        <f>+CK733/CG733-1</f>
        <v>1.71900826446281</v>
      </c>
      <c r="CL737" s="682">
        <f>+CL733/CH733-1</f>
        <v>0.57460317460317456</v>
      </c>
      <c r="CM737" s="581"/>
      <c r="CN737" s="682">
        <f>+CN733/CJ733-1</f>
        <v>-0.66467065868263475</v>
      </c>
      <c r="CO737" s="682">
        <f>+CO733/CK733-1</f>
        <v>-0.39513677811550152</v>
      </c>
      <c r="CP737" s="682">
        <f>+CP733/CL733-1</f>
        <v>-0.48588709677419351</v>
      </c>
      <c r="CQ737" s="581"/>
      <c r="CR737" s="682">
        <f>+CR733/CN733-1</f>
        <v>2.5714285714285716</v>
      </c>
      <c r="CS737" s="682">
        <f>+CS733/CO733-1</f>
        <v>-1.6733668341708543</v>
      </c>
      <c r="CT737" s="682">
        <f>+CT733/CP733-1</f>
        <v>-0.74117647058823533</v>
      </c>
      <c r="CU737" s="581"/>
      <c r="CV737" s="682">
        <f>+CV733/CR733-1</f>
        <v>-6.0000000000000053E-2</v>
      </c>
      <c r="CW737" s="682">
        <f>+CW733/CS733-1</f>
        <v>-2.7910447761194028</v>
      </c>
      <c r="CX737" s="682">
        <f>+CX733/CT733-1</f>
        <v>5.4848484848484844</v>
      </c>
      <c r="CY737" s="581"/>
      <c r="CZ737" s="682">
        <f>+CZ733/CV733-1</f>
        <v>1.4095744680851063</v>
      </c>
      <c r="DA737" s="682">
        <f>+DA733/CW733-1</f>
        <v>1.1666666666666665</v>
      </c>
      <c r="DB737" s="682">
        <f>+DB733/CX733-1</f>
        <v>1.2733644859813085</v>
      </c>
      <c r="DC737" s="581"/>
      <c r="DD737" s="682">
        <f>+DD733/CZ733-1</f>
        <v>8.8300220750552327E-3</v>
      </c>
      <c r="DE737" s="682">
        <f>+DE733/DA733-1</f>
        <v>-9.6153846153845812E-3</v>
      </c>
      <c r="DF737" s="682">
        <f>+DF733/DB733-1</f>
        <v>-1.0277492291880241E-3</v>
      </c>
      <c r="DG737" s="581"/>
      <c r="DH737" s="682">
        <f>+DH733/DD733-1</f>
        <v>-5.908096280087527E-2</v>
      </c>
      <c r="DI737" s="682">
        <f>+DI733/DE733-1</f>
        <v>-0.181747572815534</v>
      </c>
      <c r="DJ737" s="682">
        <f>+DJ733/DF733-1</f>
        <v>-0.12407407407407411</v>
      </c>
      <c r="DK737" s="581"/>
      <c r="DL737" s="682">
        <f>+DL733/DH733-1</f>
        <v>-4.0000000000006697E-4</v>
      </c>
      <c r="DM737" s="682">
        <f>+DM733/DI733-1</f>
        <v>4.0399999999999991E-2</v>
      </c>
      <c r="DN737" s="682">
        <f>+DN733/DJ733-1</f>
        <v>1.9793939393939253E-2</v>
      </c>
      <c r="DO737" s="581"/>
      <c r="DP737" s="682">
        <f>+DP733/DL733-1</f>
        <v>4.0399999999999991E-2</v>
      </c>
      <c r="DQ737" s="682">
        <f>+DQ733/DM733-1</f>
        <v>4.0399999999999991E-2</v>
      </c>
      <c r="DR737" s="682">
        <f>+DR733/DN733-1</f>
        <v>4.0399999999999991E-2</v>
      </c>
      <c r="DS737" s="581"/>
      <c r="DT737" s="581"/>
      <c r="DU737" s="581"/>
      <c r="DV737" s="581"/>
      <c r="DW737" s="682"/>
      <c r="DX737" s="682"/>
      <c r="DY737" s="682"/>
      <c r="DZ737" s="581"/>
      <c r="EA737" s="682"/>
      <c r="EB737" s="682"/>
      <c r="EC737" s="682"/>
      <c r="ED737" s="581"/>
      <c r="EE737" s="682"/>
      <c r="EF737" s="682"/>
      <c r="EG737" s="682"/>
      <c r="EH737" s="581"/>
      <c r="EI737" s="682"/>
      <c r="EJ737" s="682"/>
      <c r="EK737" s="682"/>
      <c r="EL737" s="581"/>
      <c r="EM737" s="581"/>
      <c r="EN737" s="581"/>
      <c r="EO737" s="581"/>
      <c r="EP737" s="581"/>
      <c r="EQ737" s="581"/>
      <c r="ER737" s="581"/>
      <c r="ES737" s="581"/>
      <c r="ET737" s="581"/>
      <c r="EU737" s="581"/>
      <c r="JW737"/>
    </row>
    <row r="738" spans="1:283">
      <c r="BG738" s="293"/>
      <c r="CR738" s="103"/>
      <c r="CS738" s="103"/>
      <c r="CT738" s="103"/>
      <c r="CV738" s="103"/>
      <c r="CW738" s="103"/>
      <c r="CX738" s="103"/>
      <c r="CZ738" s="103"/>
      <c r="DA738" s="103"/>
      <c r="DB738" s="103"/>
      <c r="DD738" s="103"/>
      <c r="DE738" s="103"/>
      <c r="DF738" s="103"/>
      <c r="DH738" s="103"/>
      <c r="DI738" s="103"/>
      <c r="DJ738" s="103"/>
      <c r="DL738" s="103"/>
      <c r="DM738" s="103"/>
      <c r="DN738" s="103"/>
      <c r="DP738" s="103"/>
      <c r="DQ738" s="103"/>
      <c r="DR738" s="103"/>
    </row>
    <row r="739" spans="1:283">
      <c r="A739" s="815" t="s">
        <v>566</v>
      </c>
      <c r="BG739" s="293"/>
      <c r="CR739" s="103"/>
      <c r="CS739" s="103"/>
      <c r="CT739" s="103"/>
      <c r="CV739" s="103"/>
      <c r="CW739" s="103"/>
      <c r="CX739" s="103"/>
      <c r="CZ739" s="103"/>
      <c r="DA739" s="103"/>
      <c r="DB739" s="103"/>
      <c r="DD739" s="103"/>
      <c r="DE739" s="103"/>
      <c r="DF739" s="103"/>
      <c r="DH739" s="103"/>
      <c r="DI739" s="103"/>
      <c r="DJ739" s="103"/>
      <c r="DL739" s="103"/>
      <c r="DM739" s="103"/>
      <c r="DN739" s="103"/>
      <c r="DP739" s="103"/>
      <c r="DQ739" s="103"/>
      <c r="DR739" s="103"/>
    </row>
    <row r="740" spans="1:283" s="332" customFormat="1">
      <c r="A740" s="332" t="s">
        <v>1199</v>
      </c>
      <c r="AN740" s="685"/>
      <c r="AO740" s="685"/>
      <c r="AP740" s="295"/>
      <c r="AQ740" s="295"/>
      <c r="AR740" s="685"/>
      <c r="AS740" s="685"/>
      <c r="AT740" s="295"/>
      <c r="AU740" s="295"/>
      <c r="AV740" s="685"/>
      <c r="AW740" s="685"/>
      <c r="AX740" s="295"/>
      <c r="AY740" s="295"/>
      <c r="AZ740" s="685"/>
      <c r="BA740" s="685"/>
      <c r="BB740" s="295"/>
      <c r="BC740" s="295"/>
      <c r="BD740" s="685"/>
      <c r="BE740" s="685"/>
      <c r="BF740" s="295"/>
      <c r="BG740" s="293"/>
      <c r="BH740" s="685"/>
      <c r="BI740" s="685"/>
      <c r="BJ740" s="295"/>
      <c r="BK740" s="295"/>
      <c r="BL740" s="685"/>
      <c r="BM740" s="685"/>
      <c r="BN740" s="295"/>
      <c r="BO740" s="295"/>
      <c r="BP740" s="685"/>
      <c r="BQ740" s="685"/>
      <c r="BR740" s="295"/>
      <c r="BS740" s="295"/>
      <c r="BT740" s="685"/>
      <c r="BU740" s="685"/>
      <c r="BV740" s="295"/>
      <c r="BW740" s="295"/>
      <c r="BX740" s="685"/>
      <c r="BY740" s="685"/>
      <c r="BZ740" s="295"/>
      <c r="CA740" s="295"/>
      <c r="CB740" s="685"/>
      <c r="CC740" s="685"/>
      <c r="CD740" s="295"/>
      <c r="CE740" s="295"/>
      <c r="CF740" s="148">
        <f>+CF742-CF741</f>
        <v>3</v>
      </c>
      <c r="CG740" s="148">
        <f>+CG742-CG741</f>
        <v>-37</v>
      </c>
      <c r="CH740" s="293">
        <f t="shared" ref="CH740:CH742" si="1878">CF740+CG740</f>
        <v>-34</v>
      </c>
      <c r="CI740" s="295"/>
      <c r="CJ740" s="148">
        <f>+CJ742-CJ741</f>
        <v>-38</v>
      </c>
      <c r="CK740" s="148">
        <f>+CK742-CK741</f>
        <v>-31</v>
      </c>
      <c r="CL740" s="293">
        <f t="shared" ref="CL740:CL742" si="1879">CJ740+CK740</f>
        <v>-69</v>
      </c>
      <c r="CM740" s="293"/>
      <c r="CN740" s="148">
        <f>+CN742-CN741</f>
        <v>-31</v>
      </c>
      <c r="CO740" s="148">
        <f>+CO742-CO741</f>
        <v>-31</v>
      </c>
      <c r="CP740" s="293">
        <f t="shared" ref="CP740:CP742" si="1880">CN740+CO740</f>
        <v>-62</v>
      </c>
      <c r="CQ740" s="293"/>
      <c r="CR740" s="148">
        <f>+CR742-CR741</f>
        <v>-22</v>
      </c>
      <c r="CS740" s="148">
        <f>+CS742-CS741</f>
        <v>-36</v>
      </c>
      <c r="CT740" s="293">
        <f t="shared" ref="CT740:CT742" si="1881">CR740+CS740</f>
        <v>-58</v>
      </c>
      <c r="CU740" s="295"/>
      <c r="CV740" s="148">
        <f>+CV742-CV741</f>
        <v>-30</v>
      </c>
      <c r="CW740" s="148">
        <f>+CW742-CW741</f>
        <v>-20</v>
      </c>
      <c r="CX740" s="293">
        <f t="shared" ref="CX740:CX742" si="1882">CV740+CW740</f>
        <v>-50</v>
      </c>
      <c r="CY740" s="295"/>
      <c r="CZ740" s="148">
        <f>+CZ742-CZ741</f>
        <v>-26</v>
      </c>
      <c r="DA740" s="148">
        <f>+DA742-DA741</f>
        <v>-28</v>
      </c>
      <c r="DB740" s="293">
        <f t="shared" ref="DB740:DB742" si="1883">CZ740+DA740</f>
        <v>-54</v>
      </c>
      <c r="DC740" s="295"/>
      <c r="DD740" s="148">
        <f>+DD742-DD741</f>
        <v>-23</v>
      </c>
      <c r="DE740" s="148">
        <f>+DE742-DE741</f>
        <v>-15</v>
      </c>
      <c r="DF740" s="293">
        <f t="shared" ref="DF740:DF742" si="1884">DD740+DE740</f>
        <v>-38</v>
      </c>
      <c r="DG740" s="295"/>
      <c r="DH740" s="148">
        <f>+DH742-DH741</f>
        <v>-23</v>
      </c>
      <c r="DI740" s="148">
        <f>+DI742-DI741</f>
        <v>-32.24</v>
      </c>
      <c r="DJ740" s="293">
        <f t="shared" ref="DJ740:DJ742" si="1885">DH740+DI740</f>
        <v>-55.24</v>
      </c>
      <c r="DK740" s="295"/>
      <c r="DL740" s="148">
        <f>+DL742-DL741</f>
        <v>-27.4848</v>
      </c>
      <c r="DM740" s="148">
        <f>+DM742-DM741</f>
        <v>-32.734496</v>
      </c>
      <c r="DN740" s="293">
        <f t="shared" ref="DN740:DN742" si="1886">DL740+DM740</f>
        <v>-60.219296</v>
      </c>
      <c r="DO740" s="295"/>
      <c r="DP740" s="148">
        <f>+DP742-DP741</f>
        <v>-27.989185920000001</v>
      </c>
      <c r="DQ740" s="148">
        <f>+DQ742-DQ741</f>
        <v>-33.248969638399998</v>
      </c>
      <c r="DR740" s="293">
        <f t="shared" ref="DR740:DR742" si="1887">DP740+DQ740</f>
        <v>-61.238155558399995</v>
      </c>
      <c r="DS740" s="295"/>
      <c r="DT740" s="295"/>
      <c r="DU740" s="295"/>
      <c r="DV740" s="295"/>
      <c r="DW740" s="876"/>
      <c r="DX740" s="876"/>
      <c r="DY740" s="876"/>
      <c r="DZ740" s="295"/>
      <c r="EA740" s="876"/>
      <c r="EB740" s="876"/>
      <c r="EC740" s="295"/>
      <c r="ED740" s="295"/>
      <c r="EE740" s="876"/>
      <c r="EF740" s="876"/>
      <c r="EG740" s="295"/>
      <c r="EH740" s="295"/>
      <c r="EI740" s="876"/>
      <c r="EJ740" s="876"/>
      <c r="EK740" s="295"/>
      <c r="EL740" s="295"/>
      <c r="EM740" s="295"/>
      <c r="EN740" s="295"/>
      <c r="EO740" s="295"/>
      <c r="EP740" s="295"/>
      <c r="EQ740" s="295"/>
      <c r="ER740" s="295"/>
      <c r="ES740" s="295"/>
      <c r="ET740" s="295"/>
      <c r="EU740" s="295"/>
      <c r="EV740" s="327"/>
      <c r="EW740" s="327"/>
      <c r="EX740" s="327"/>
      <c r="EY740" s="327"/>
      <c r="EZ740" s="327"/>
      <c r="FA740" s="327"/>
      <c r="FB740" s="327"/>
      <c r="FC740" s="327"/>
      <c r="FD740" s="327"/>
      <c r="FE740" s="327"/>
      <c r="FF740" s="327"/>
      <c r="FG740" s="327"/>
      <c r="FH740" s="327"/>
      <c r="FI740" s="327"/>
      <c r="FJ740" s="327"/>
      <c r="FK740" s="327"/>
      <c r="FL740" s="327"/>
      <c r="FM740" s="327"/>
      <c r="FN740" s="327"/>
      <c r="FO740" s="327"/>
      <c r="FP740" s="327"/>
      <c r="FQ740" s="327"/>
      <c r="FR740" s="327"/>
      <c r="FS740" s="327"/>
      <c r="FT740" s="327"/>
      <c r="FU740" s="327"/>
      <c r="FV740" s="327"/>
      <c r="FW740" s="327"/>
      <c r="FX740" s="327"/>
      <c r="FY740" s="327"/>
      <c r="FZ740" s="327"/>
      <c r="GA740" s="327"/>
      <c r="GB740" s="327"/>
      <c r="GC740" s="327"/>
      <c r="GD740" s="327"/>
      <c r="GE740" s="327"/>
      <c r="GF740" s="327"/>
      <c r="GG740" s="327"/>
      <c r="GH740" s="327"/>
      <c r="GI740" s="327"/>
      <c r="GJ740" s="327"/>
      <c r="GK740" s="327"/>
      <c r="GL740" s="327"/>
      <c r="GM740" s="327"/>
      <c r="GN740" s="327"/>
      <c r="GO740" s="327"/>
      <c r="GP740" s="327"/>
      <c r="GQ740" s="327"/>
      <c r="GR740" s="327"/>
      <c r="GS740" s="327"/>
      <c r="GT740" s="327"/>
      <c r="GU740" s="327"/>
      <c r="GV740" s="327"/>
      <c r="GW740" s="327"/>
      <c r="GX740" s="327"/>
      <c r="GY740" s="327"/>
      <c r="GZ740" s="327"/>
      <c r="HA740" s="327"/>
      <c r="HB740" s="327"/>
      <c r="HC740" s="327"/>
      <c r="HD740" s="327"/>
      <c r="HE740" s="327"/>
      <c r="HF740" s="327"/>
      <c r="HG740" s="327"/>
      <c r="HH740" s="327"/>
      <c r="HI740" s="327"/>
      <c r="HJ740" s="327"/>
      <c r="HK740" s="327"/>
      <c r="HL740" s="327"/>
      <c r="HM740" s="327"/>
      <c r="HN740" s="327"/>
      <c r="HO740" s="327"/>
      <c r="HP740" s="327"/>
      <c r="HQ740" s="327"/>
      <c r="HR740" s="327"/>
      <c r="HS740" s="327"/>
      <c r="HT740" s="327"/>
      <c r="HU740" s="327"/>
      <c r="HV740" s="327"/>
      <c r="HW740" s="327"/>
      <c r="HX740" s="327"/>
      <c r="HY740" s="327"/>
      <c r="HZ740" s="327"/>
      <c r="IA740" s="327"/>
      <c r="IB740" s="327"/>
      <c r="IC740" s="327"/>
      <c r="ID740" s="327"/>
      <c r="IE740" s="327"/>
      <c r="IF740" s="327"/>
      <c r="IG740" s="327"/>
      <c r="IH740" s="327"/>
      <c r="II740" s="327"/>
      <c r="IJ740" s="327"/>
      <c r="IK740" s="327"/>
      <c r="IL740" s="327"/>
      <c r="IM740" s="327"/>
      <c r="IN740" s="327"/>
      <c r="IO740" s="327"/>
      <c r="IP740" s="327"/>
      <c r="IQ740" s="327"/>
      <c r="IR740" s="327"/>
      <c r="IS740" s="327"/>
      <c r="IT740" s="327"/>
      <c r="IU740" s="327"/>
      <c r="IV740" s="327"/>
      <c r="IW740" s="327"/>
      <c r="IX740" s="327"/>
      <c r="IY740" s="327"/>
      <c r="IZ740" s="327"/>
      <c r="JA740" s="327"/>
      <c r="JB740" s="327"/>
      <c r="JC740" s="327"/>
      <c r="JD740" s="327"/>
      <c r="JE740" s="327"/>
      <c r="JF740" s="327"/>
      <c r="JG740" s="327"/>
      <c r="JH740" s="327"/>
      <c r="JI740" s="327"/>
      <c r="JJ740" s="327"/>
      <c r="JK740" s="327"/>
      <c r="JL740" s="327"/>
      <c r="JM740" s="327"/>
      <c r="JN740" s="327"/>
      <c r="JO740" s="327"/>
      <c r="JP740" s="327"/>
      <c r="JQ740" s="327"/>
      <c r="JR740" s="327"/>
      <c r="JS740" s="327"/>
      <c r="JT740" s="327"/>
      <c r="JU740" s="327"/>
      <c r="JV740" s="327"/>
      <c r="JW740"/>
    </row>
    <row r="741" spans="1:283" s="332" customFormat="1">
      <c r="A741" s="332" t="s">
        <v>1200</v>
      </c>
      <c r="AN741" s="685"/>
      <c r="AO741" s="685"/>
      <c r="AP741" s="295"/>
      <c r="AQ741" s="295"/>
      <c r="AR741" s="685"/>
      <c r="AS741" s="685"/>
      <c r="AT741" s="295"/>
      <c r="AU741" s="295"/>
      <c r="AV741" s="685"/>
      <c r="AW741" s="685"/>
      <c r="AX741" s="295"/>
      <c r="AY741" s="295"/>
      <c r="AZ741" s="685"/>
      <c r="BA741" s="685"/>
      <c r="BB741" s="295"/>
      <c r="BC741" s="295"/>
      <c r="BD741" s="685"/>
      <c r="BE741" s="685"/>
      <c r="BF741" s="295"/>
      <c r="BG741" s="293"/>
      <c r="BH741" s="685"/>
      <c r="BI741" s="685"/>
      <c r="BJ741" s="295"/>
      <c r="BK741" s="295"/>
      <c r="BL741" s="685"/>
      <c r="BM741" s="685"/>
      <c r="BN741" s="295"/>
      <c r="BO741" s="295"/>
      <c r="BP741" s="685"/>
      <c r="BQ741" s="685"/>
      <c r="BR741" s="295"/>
      <c r="BS741" s="295"/>
      <c r="BT741" s="685"/>
      <c r="BU741" s="685"/>
      <c r="BV741" s="295"/>
      <c r="BW741" s="295"/>
      <c r="BX741" s="685"/>
      <c r="BY741" s="685"/>
      <c r="BZ741" s="295"/>
      <c r="CA741" s="295"/>
      <c r="CB741" s="685"/>
      <c r="CC741" s="685"/>
      <c r="CD741" s="295"/>
      <c r="CE741" s="295"/>
      <c r="CF741" s="1247">
        <f>'P&amp;L'!CF163</f>
        <v>-15</v>
      </c>
      <c r="CG741" s="1247">
        <f>'P&amp;L'!CG163</f>
        <v>24</v>
      </c>
      <c r="CH741" s="293">
        <f t="shared" si="1878"/>
        <v>9</v>
      </c>
      <c r="CI741" s="295"/>
      <c r="CJ741" s="1247">
        <f>'P&amp;L'!CJ163</f>
        <v>17</v>
      </c>
      <c r="CK741" s="1247">
        <f>'P&amp;L'!CK163</f>
        <v>15</v>
      </c>
      <c r="CL741" s="293">
        <f t="shared" si="1879"/>
        <v>32</v>
      </c>
      <c r="CM741" s="293"/>
      <c r="CN741" s="1247">
        <f>'P&amp;L'!CN163</f>
        <v>14</v>
      </c>
      <c r="CO741" s="1247">
        <f>'P&amp;L'!CO163</f>
        <v>12</v>
      </c>
      <c r="CP741" s="293">
        <f t="shared" si="1880"/>
        <v>26</v>
      </c>
      <c r="CQ741" s="293"/>
      <c r="CR741" s="1247">
        <f>'P&amp;L'!CR163</f>
        <v>12</v>
      </c>
      <c r="CS741" s="1247">
        <f>'P&amp;L'!CS163</f>
        <v>13</v>
      </c>
      <c r="CT741" s="293">
        <f t="shared" si="1881"/>
        <v>25</v>
      </c>
      <c r="CU741" s="295"/>
      <c r="CV741" s="1247">
        <f>'P&amp;L'!CV163</f>
        <v>11</v>
      </c>
      <c r="CW741" s="1247">
        <f>'P&amp;L'!CW163</f>
        <v>11</v>
      </c>
      <c r="CX741" s="293">
        <f t="shared" si="1882"/>
        <v>22</v>
      </c>
      <c r="CY741" s="295"/>
      <c r="CZ741" s="1247">
        <f>'P&amp;L'!CZ163</f>
        <v>10</v>
      </c>
      <c r="DA741" s="1247">
        <f>'P&amp;L'!DA163</f>
        <v>11</v>
      </c>
      <c r="DB741" s="293">
        <f t="shared" si="1883"/>
        <v>21</v>
      </c>
      <c r="DC741" s="295"/>
      <c r="DD741" s="1247">
        <f>'P&amp;L'!DD163</f>
        <v>12</v>
      </c>
      <c r="DE741" s="1247">
        <f>'P&amp;L'!DE163</f>
        <v>11</v>
      </c>
      <c r="DF741" s="293">
        <f t="shared" si="1884"/>
        <v>23</v>
      </c>
      <c r="DG741" s="295"/>
      <c r="DH741" s="1247">
        <f>'P&amp;L'!DH163</f>
        <v>12</v>
      </c>
      <c r="DI741" s="1247">
        <f>'P&amp;L'!DI163</f>
        <v>12.24</v>
      </c>
      <c r="DJ741" s="293">
        <f t="shared" si="1885"/>
        <v>24.240000000000002</v>
      </c>
      <c r="DK741" s="295"/>
      <c r="DL741" s="1247">
        <f>'P&amp;L'!DL163</f>
        <v>12.4848</v>
      </c>
      <c r="DM741" s="1247">
        <f>'P&amp;L'!DM163</f>
        <v>12.734496</v>
      </c>
      <c r="DN741" s="293">
        <f t="shared" si="1886"/>
        <v>25.219296</v>
      </c>
      <c r="DO741" s="295"/>
      <c r="DP741" s="1247">
        <f>'P&amp;L'!DP163</f>
        <v>12.989185920000001</v>
      </c>
      <c r="DQ741" s="1247">
        <f>'P&amp;L'!DQ163</f>
        <v>13.2489696384</v>
      </c>
      <c r="DR741" s="293">
        <f t="shared" si="1887"/>
        <v>26.238155558400003</v>
      </c>
      <c r="DS741" s="295"/>
      <c r="DT741" s="295"/>
      <c r="DU741" s="295"/>
      <c r="DV741" s="295"/>
      <c r="DW741" s="876"/>
      <c r="DX741" s="876"/>
      <c r="DY741" s="876"/>
      <c r="DZ741" s="295"/>
      <c r="EA741" s="876"/>
      <c r="EB741" s="876"/>
      <c r="EC741" s="295"/>
      <c r="ED741" s="295"/>
      <c r="EE741" s="876"/>
      <c r="EF741" s="876"/>
      <c r="EG741" s="295"/>
      <c r="EH741" s="295"/>
      <c r="EI741" s="876"/>
      <c r="EJ741" s="876"/>
      <c r="EK741" s="295"/>
      <c r="EL741" s="295"/>
      <c r="EM741" s="295"/>
      <c r="EN741" s="295"/>
      <c r="EO741" s="295"/>
      <c r="EP741" s="295"/>
      <c r="EQ741" s="295"/>
      <c r="ER741" s="295"/>
      <c r="ES741" s="295"/>
      <c r="ET741" s="295"/>
      <c r="EU741" s="295"/>
      <c r="EV741" s="327"/>
      <c r="EW741" s="327"/>
      <c r="EX741" s="327"/>
      <c r="EY741" s="327"/>
      <c r="EZ741" s="327"/>
      <c r="FA741" s="327"/>
      <c r="FB741" s="327"/>
      <c r="FC741" s="327"/>
      <c r="FD741" s="327"/>
      <c r="FE741" s="327"/>
      <c r="FF741" s="327"/>
      <c r="FG741" s="327"/>
      <c r="FH741" s="327"/>
      <c r="FI741" s="327"/>
      <c r="FJ741" s="327"/>
      <c r="FK741" s="327"/>
      <c r="FL741" s="327"/>
      <c r="FM741" s="327"/>
      <c r="FN741" s="327"/>
      <c r="FO741" s="327"/>
      <c r="FP741" s="327"/>
      <c r="FQ741" s="327"/>
      <c r="FR741" s="327"/>
      <c r="FS741" s="327"/>
      <c r="FT741" s="327"/>
      <c r="FU741" s="327"/>
      <c r="FV741" s="327"/>
      <c r="FW741" s="327"/>
      <c r="FX741" s="327"/>
      <c r="FY741" s="327"/>
      <c r="FZ741" s="327"/>
      <c r="GA741" s="327"/>
      <c r="GB741" s="327"/>
      <c r="GC741" s="327"/>
      <c r="GD741" s="327"/>
      <c r="GE741" s="327"/>
      <c r="GF741" s="327"/>
      <c r="GG741" s="327"/>
      <c r="GH741" s="327"/>
      <c r="GI741" s="327"/>
      <c r="GJ741" s="327"/>
      <c r="GK741" s="327"/>
      <c r="GL741" s="327"/>
      <c r="GM741" s="327"/>
      <c r="GN741" s="327"/>
      <c r="GO741" s="327"/>
      <c r="GP741" s="327"/>
      <c r="GQ741" s="327"/>
      <c r="GR741" s="327"/>
      <c r="GS741" s="327"/>
      <c r="GT741" s="327"/>
      <c r="GU741" s="327"/>
      <c r="GV741" s="327"/>
      <c r="GW741" s="327"/>
      <c r="GX741" s="327"/>
      <c r="GY741" s="327"/>
      <c r="GZ741" s="327"/>
      <c r="HA741" s="327"/>
      <c r="HB741" s="327"/>
      <c r="HC741" s="327"/>
      <c r="HD741" s="327"/>
      <c r="HE741" s="327"/>
      <c r="HF741" s="327"/>
      <c r="HG741" s="327"/>
      <c r="HH741" s="327"/>
      <c r="HI741" s="327"/>
      <c r="HJ741" s="327"/>
      <c r="HK741" s="327"/>
      <c r="HL741" s="327"/>
      <c r="HM741" s="327"/>
      <c r="HN741" s="327"/>
      <c r="HO741" s="327"/>
      <c r="HP741" s="327"/>
      <c r="HQ741" s="327"/>
      <c r="HR741" s="327"/>
      <c r="HS741" s="327"/>
      <c r="HT741" s="327"/>
      <c r="HU741" s="327"/>
      <c r="HV741" s="327"/>
      <c r="HW741" s="327"/>
      <c r="HX741" s="327"/>
      <c r="HY741" s="327"/>
      <c r="HZ741" s="327"/>
      <c r="IA741" s="327"/>
      <c r="IB741" s="327"/>
      <c r="IC741" s="327"/>
      <c r="ID741" s="327"/>
      <c r="IE741" s="327"/>
      <c r="IF741" s="327"/>
      <c r="IG741" s="327"/>
      <c r="IH741" s="327"/>
      <c r="II741" s="327"/>
      <c r="IJ741" s="327"/>
      <c r="IK741" s="327"/>
      <c r="IL741" s="327"/>
      <c r="IM741" s="327"/>
      <c r="IN741" s="327"/>
      <c r="IO741" s="327"/>
      <c r="IP741" s="327"/>
      <c r="IQ741" s="327"/>
      <c r="IR741" s="327"/>
      <c r="IS741" s="327"/>
      <c r="IT741" s="327"/>
      <c r="IU741" s="327"/>
      <c r="IV741" s="327"/>
      <c r="IW741" s="327"/>
      <c r="IX741" s="327"/>
      <c r="IY741" s="327"/>
      <c r="IZ741" s="327"/>
      <c r="JA741" s="327"/>
      <c r="JB741" s="327"/>
      <c r="JC741" s="327"/>
      <c r="JD741" s="327"/>
      <c r="JE741" s="327"/>
      <c r="JF741" s="327"/>
      <c r="JG741" s="327"/>
      <c r="JH741" s="327"/>
      <c r="JI741" s="327"/>
      <c r="JJ741" s="327"/>
      <c r="JK741" s="327"/>
      <c r="JL741" s="327"/>
      <c r="JM741" s="327"/>
      <c r="JN741" s="327"/>
      <c r="JO741" s="327"/>
      <c r="JP741" s="327"/>
      <c r="JQ741" s="327"/>
      <c r="JR741" s="327"/>
      <c r="JS741" s="327"/>
      <c r="JT741" s="327"/>
      <c r="JU741" s="327"/>
      <c r="JV741" s="327"/>
      <c r="JW741"/>
    </row>
    <row r="742" spans="1:283" s="332" customFormat="1">
      <c r="A742" s="332" t="s">
        <v>1201</v>
      </c>
      <c r="AN742" s="685"/>
      <c r="AO742" s="685"/>
      <c r="AP742" s="295"/>
      <c r="AQ742" s="295"/>
      <c r="AR742" s="685"/>
      <c r="AS742" s="685"/>
      <c r="AT742" s="295"/>
      <c r="AU742" s="295"/>
      <c r="AV742" s="685"/>
      <c r="AW742" s="685"/>
      <c r="AX742" s="295"/>
      <c r="AY742" s="295"/>
      <c r="AZ742" s="685"/>
      <c r="BA742" s="685"/>
      <c r="BB742" s="295"/>
      <c r="BC742" s="295"/>
      <c r="BD742" s="685"/>
      <c r="BE742" s="685"/>
      <c r="BF742" s="295"/>
      <c r="BG742" s="293"/>
      <c r="BH742" s="685"/>
      <c r="BI742" s="685"/>
      <c r="BJ742" s="295"/>
      <c r="BK742" s="295"/>
      <c r="BL742" s="685"/>
      <c r="BM742" s="685"/>
      <c r="BN742" s="295"/>
      <c r="BO742" s="295"/>
      <c r="BP742" s="685"/>
      <c r="BQ742" s="685"/>
      <c r="BR742" s="295"/>
      <c r="BS742" s="295"/>
      <c r="BT742" s="685"/>
      <c r="BU742" s="685"/>
      <c r="BV742" s="295"/>
      <c r="BW742" s="295"/>
      <c r="BX742" s="685"/>
      <c r="BY742" s="685"/>
      <c r="BZ742" s="295"/>
      <c r="CA742" s="295"/>
      <c r="CB742" s="685"/>
      <c r="CC742" s="685"/>
      <c r="CD742" s="295"/>
      <c r="CE742" s="295"/>
      <c r="CF742" s="148">
        <f>+CF711</f>
        <v>-12</v>
      </c>
      <c r="CG742" s="148">
        <f>+CG711</f>
        <v>-13</v>
      </c>
      <c r="CH742" s="293">
        <f t="shared" si="1878"/>
        <v>-25</v>
      </c>
      <c r="CI742" s="295"/>
      <c r="CJ742" s="148">
        <f>+CJ711</f>
        <v>-21</v>
      </c>
      <c r="CK742" s="148">
        <f>+CK711</f>
        <v>-16</v>
      </c>
      <c r="CL742" s="293">
        <f t="shared" si="1879"/>
        <v>-37</v>
      </c>
      <c r="CM742" s="293"/>
      <c r="CN742" s="148">
        <f>+CN711</f>
        <v>-17</v>
      </c>
      <c r="CO742" s="148">
        <f>+CO711</f>
        <v>-19</v>
      </c>
      <c r="CP742" s="293">
        <f t="shared" si="1880"/>
        <v>-36</v>
      </c>
      <c r="CQ742" s="293"/>
      <c r="CR742" s="148">
        <f>+CR711</f>
        <v>-10</v>
      </c>
      <c r="CS742" s="148">
        <f>+CS711</f>
        <v>-23</v>
      </c>
      <c r="CT742" s="293">
        <f t="shared" si="1881"/>
        <v>-33</v>
      </c>
      <c r="CU742" s="295"/>
      <c r="CV742" s="148">
        <f>+CV711</f>
        <v>-19</v>
      </c>
      <c r="CW742" s="148">
        <f>+CW711</f>
        <v>-9</v>
      </c>
      <c r="CX742" s="293">
        <f t="shared" si="1882"/>
        <v>-28</v>
      </c>
      <c r="CY742" s="295"/>
      <c r="CZ742" s="148">
        <f>+CZ711</f>
        <v>-16</v>
      </c>
      <c r="DA742" s="148">
        <f>+DA711</f>
        <v>-17</v>
      </c>
      <c r="DB742" s="293">
        <f t="shared" si="1883"/>
        <v>-33</v>
      </c>
      <c r="DC742" s="295"/>
      <c r="DD742" s="148">
        <f>+DD711</f>
        <v>-11</v>
      </c>
      <c r="DE742" s="148">
        <f>+DE711</f>
        <v>-4</v>
      </c>
      <c r="DF742" s="293">
        <f t="shared" si="1884"/>
        <v>-15</v>
      </c>
      <c r="DG742" s="295"/>
      <c r="DH742" s="148">
        <f>+DH711</f>
        <v>-11</v>
      </c>
      <c r="DI742" s="630">
        <v>-20</v>
      </c>
      <c r="DJ742" s="293">
        <f t="shared" si="1885"/>
        <v>-31</v>
      </c>
      <c r="DK742" s="295"/>
      <c r="DL742" s="630">
        <v>-15</v>
      </c>
      <c r="DM742" s="630">
        <v>-20</v>
      </c>
      <c r="DN742" s="293">
        <f t="shared" si="1886"/>
        <v>-35</v>
      </c>
      <c r="DO742" s="295"/>
      <c r="DP742" s="630">
        <v>-15</v>
      </c>
      <c r="DQ742" s="630">
        <v>-20</v>
      </c>
      <c r="DR742" s="293">
        <f t="shared" si="1887"/>
        <v>-35</v>
      </c>
      <c r="DS742" s="295"/>
      <c r="DT742" s="295"/>
      <c r="DU742" s="295"/>
      <c r="DV742" s="295"/>
      <c r="DW742" s="876"/>
      <c r="DX742" s="876"/>
      <c r="DY742" s="876"/>
      <c r="DZ742" s="295"/>
      <c r="EA742" s="876"/>
      <c r="EB742" s="876"/>
      <c r="EC742" s="295"/>
      <c r="ED742" s="295"/>
      <c r="EE742" s="876"/>
      <c r="EF742" s="876"/>
      <c r="EG742" s="295"/>
      <c r="EH742" s="295"/>
      <c r="EI742" s="876"/>
      <c r="EJ742" s="876"/>
      <c r="EK742" s="295"/>
      <c r="EL742" s="295"/>
      <c r="EM742" s="295"/>
      <c r="EN742" s="295"/>
      <c r="EO742" s="295"/>
      <c r="EP742" s="295"/>
      <c r="EQ742" s="295"/>
      <c r="ER742" s="295"/>
      <c r="ES742" s="295"/>
      <c r="ET742" s="295"/>
      <c r="EU742" s="295"/>
      <c r="EV742" s="327"/>
      <c r="EW742" s="327"/>
      <c r="EX742" s="327"/>
      <c r="EY742" s="327"/>
      <c r="EZ742" s="327"/>
      <c r="FA742" s="327"/>
      <c r="FB742" s="327"/>
      <c r="FC742" s="327"/>
      <c r="FD742" s="327"/>
      <c r="FE742" s="327"/>
      <c r="FF742" s="327"/>
      <c r="FG742" s="327"/>
      <c r="FH742" s="327"/>
      <c r="FI742" s="327"/>
      <c r="FJ742" s="327"/>
      <c r="FK742" s="327"/>
      <c r="FL742" s="327"/>
      <c r="FM742" s="327"/>
      <c r="FN742" s="327"/>
      <c r="FO742" s="327"/>
      <c r="FP742" s="327"/>
      <c r="FQ742" s="327"/>
      <c r="FR742" s="327"/>
      <c r="FS742" s="327"/>
      <c r="FT742" s="327"/>
      <c r="FU742" s="327"/>
      <c r="FV742" s="327"/>
      <c r="FW742" s="327"/>
      <c r="FX742" s="327"/>
      <c r="FY742" s="327"/>
      <c r="FZ742" s="327"/>
      <c r="GA742" s="327"/>
      <c r="GB742" s="327"/>
      <c r="GC742" s="327"/>
      <c r="GD742" s="327"/>
      <c r="GE742" s="327"/>
      <c r="GF742" s="327"/>
      <c r="GG742" s="327"/>
      <c r="GH742" s="327"/>
      <c r="GI742" s="327"/>
      <c r="GJ742" s="327"/>
      <c r="GK742" s="327"/>
      <c r="GL742" s="327"/>
      <c r="GM742" s="327"/>
      <c r="GN742" s="327"/>
      <c r="GO742" s="327"/>
      <c r="GP742" s="327"/>
      <c r="GQ742" s="327"/>
      <c r="GR742" s="327"/>
      <c r="GS742" s="327"/>
      <c r="GT742" s="327"/>
      <c r="GU742" s="327"/>
      <c r="GV742" s="327"/>
      <c r="GW742" s="327"/>
      <c r="GX742" s="327"/>
      <c r="GY742" s="327"/>
      <c r="GZ742" s="327"/>
      <c r="HA742" s="327"/>
      <c r="HB742" s="327"/>
      <c r="HC742" s="327"/>
      <c r="HD742" s="327"/>
      <c r="HE742" s="327"/>
      <c r="HF742" s="327"/>
      <c r="HG742" s="327"/>
      <c r="HH742" s="327"/>
      <c r="HI742" s="327"/>
      <c r="HJ742" s="327"/>
      <c r="HK742" s="327"/>
      <c r="HL742" s="327"/>
      <c r="HM742" s="327"/>
      <c r="HN742" s="327"/>
      <c r="HO742" s="327"/>
      <c r="HP742" s="327"/>
      <c r="HQ742" s="327"/>
      <c r="HR742" s="327"/>
      <c r="HS742" s="327"/>
      <c r="HT742" s="327"/>
      <c r="HU742" s="327"/>
      <c r="HV742" s="327"/>
      <c r="HW742" s="327"/>
      <c r="HX742" s="327"/>
      <c r="HY742" s="327"/>
      <c r="HZ742" s="327"/>
      <c r="IA742" s="327"/>
      <c r="IB742" s="327"/>
      <c r="IC742" s="327"/>
      <c r="ID742" s="327"/>
      <c r="IE742" s="327"/>
      <c r="IF742" s="327"/>
      <c r="IG742" s="327"/>
      <c r="IH742" s="327"/>
      <c r="II742" s="327"/>
      <c r="IJ742" s="327"/>
      <c r="IK742" s="327"/>
      <c r="IL742" s="327"/>
      <c r="IM742" s="327"/>
      <c r="IN742" s="327"/>
      <c r="IO742" s="327"/>
      <c r="IP742" s="327"/>
      <c r="IQ742" s="327"/>
      <c r="IR742" s="327"/>
      <c r="IS742" s="327"/>
      <c r="IT742" s="327"/>
      <c r="IU742" s="327"/>
      <c r="IV742" s="327"/>
      <c r="IW742" s="327"/>
      <c r="IX742" s="327"/>
      <c r="IY742" s="327"/>
      <c r="IZ742" s="327"/>
      <c r="JA742" s="327"/>
      <c r="JB742" s="327"/>
      <c r="JC742" s="327"/>
      <c r="JD742" s="327"/>
      <c r="JE742" s="327"/>
      <c r="JF742" s="327"/>
      <c r="JG742" s="327"/>
      <c r="JH742" s="327"/>
      <c r="JI742" s="327"/>
      <c r="JJ742" s="327"/>
      <c r="JK742" s="327"/>
      <c r="JL742" s="327"/>
      <c r="JM742" s="327"/>
      <c r="JN742" s="327"/>
      <c r="JO742" s="327"/>
      <c r="JP742" s="327"/>
      <c r="JQ742" s="327"/>
      <c r="JR742" s="327"/>
      <c r="JS742" s="327"/>
      <c r="JT742" s="327"/>
      <c r="JU742" s="327"/>
      <c r="JV742" s="327"/>
      <c r="JW742"/>
    </row>
    <row r="743" spans="1:283" s="332" customFormat="1">
      <c r="AN743" s="685"/>
      <c r="AO743" s="685"/>
      <c r="AP743" s="295"/>
      <c r="AQ743" s="295"/>
      <c r="AR743" s="685"/>
      <c r="AS743" s="685"/>
      <c r="AT743" s="295"/>
      <c r="AU743" s="295"/>
      <c r="AV743" s="685"/>
      <c r="AW743" s="685"/>
      <c r="AX743" s="295"/>
      <c r="AY743" s="295"/>
      <c r="AZ743" s="685"/>
      <c r="BA743" s="685"/>
      <c r="BB743" s="295"/>
      <c r="BC743" s="295"/>
      <c r="BD743" s="685"/>
      <c r="BE743" s="685"/>
      <c r="BF743" s="295"/>
      <c r="BG743" s="293"/>
      <c r="BH743" s="685"/>
      <c r="BI743" s="685"/>
      <c r="BJ743" s="295"/>
      <c r="BK743" s="295"/>
      <c r="BL743" s="685"/>
      <c r="BM743" s="685"/>
      <c r="BN743" s="295"/>
      <c r="BO743" s="295"/>
      <c r="BP743" s="685"/>
      <c r="BQ743" s="685"/>
      <c r="BR743" s="295"/>
      <c r="BS743" s="295"/>
      <c r="BT743" s="685"/>
      <c r="BU743" s="685"/>
      <c r="BV743" s="295"/>
      <c r="BW743" s="295"/>
      <c r="BX743" s="685"/>
      <c r="BY743" s="685"/>
      <c r="BZ743" s="295"/>
      <c r="CA743" s="295"/>
      <c r="CB743" s="685"/>
      <c r="CC743" s="685"/>
      <c r="CD743" s="295"/>
      <c r="CE743" s="295"/>
      <c r="CF743" s="685"/>
      <c r="CG743" s="685"/>
      <c r="CH743" s="295"/>
      <c r="CI743" s="295"/>
      <c r="CJ743" s="685"/>
      <c r="CK743" s="685"/>
      <c r="CL743" s="295"/>
      <c r="CM743" s="295"/>
      <c r="CN743" s="295"/>
      <c r="CO743" s="685"/>
      <c r="CP743" s="295"/>
      <c r="CQ743" s="295"/>
      <c r="CR743" s="295"/>
      <c r="CS743" s="685"/>
      <c r="CT743" s="295"/>
      <c r="CU743" s="295"/>
      <c r="CV743" s="295"/>
      <c r="CW743" s="685"/>
      <c r="CX743" s="295"/>
      <c r="CY743" s="295"/>
      <c r="CZ743" s="295"/>
      <c r="DA743" s="685"/>
      <c r="DB743" s="295"/>
      <c r="DC743" s="295"/>
      <c r="DD743" s="295"/>
      <c r="DE743" s="685"/>
      <c r="DF743" s="295"/>
      <c r="DG743" s="295"/>
      <c r="DH743" s="295"/>
      <c r="DI743" s="295"/>
      <c r="DJ743" s="295"/>
      <c r="DK743" s="295"/>
      <c r="DL743" s="295"/>
      <c r="DM743" s="295"/>
      <c r="DN743" s="295"/>
      <c r="DO743" s="295"/>
      <c r="DP743" s="295"/>
      <c r="DQ743" s="295"/>
      <c r="DR743" s="295"/>
      <c r="DS743" s="295"/>
      <c r="DT743" s="295"/>
      <c r="DU743" s="295"/>
      <c r="DV743" s="295"/>
      <c r="DW743" s="876"/>
      <c r="DX743" s="876"/>
      <c r="DY743" s="876"/>
      <c r="DZ743" s="295"/>
      <c r="EA743" s="876"/>
      <c r="EB743" s="876"/>
      <c r="EC743" s="295"/>
      <c r="ED743" s="295"/>
      <c r="EE743" s="876"/>
      <c r="EF743" s="876"/>
      <c r="EG743" s="295"/>
      <c r="EH743" s="295"/>
      <c r="EI743" s="876"/>
      <c r="EJ743" s="876"/>
      <c r="EK743" s="295"/>
      <c r="EL743" s="295"/>
      <c r="EM743" s="295"/>
      <c r="EN743" s="295"/>
      <c r="EO743" s="295"/>
      <c r="EP743" s="295"/>
      <c r="EQ743" s="295"/>
      <c r="ER743" s="295"/>
      <c r="ES743" s="295"/>
      <c r="ET743" s="295"/>
      <c r="EU743" s="295"/>
      <c r="EV743" s="327"/>
      <c r="EW743" s="327"/>
      <c r="EX743" s="327"/>
      <c r="EY743" s="327"/>
      <c r="EZ743" s="327"/>
      <c r="FA743" s="327"/>
      <c r="FB743" s="327"/>
      <c r="FC743" s="327"/>
      <c r="FD743" s="327"/>
      <c r="FE743" s="327"/>
      <c r="FF743" s="327"/>
      <c r="FG743" s="327"/>
      <c r="FH743" s="327"/>
      <c r="FI743" s="327"/>
      <c r="FJ743" s="327"/>
      <c r="FK743" s="327"/>
      <c r="FL743" s="327"/>
      <c r="FM743" s="327"/>
      <c r="FN743" s="327"/>
      <c r="FO743" s="327"/>
      <c r="FP743" s="327"/>
      <c r="FQ743" s="327"/>
      <c r="FR743" s="327"/>
      <c r="FS743" s="327"/>
      <c r="FT743" s="327"/>
      <c r="FU743" s="327"/>
      <c r="FV743" s="327"/>
      <c r="FW743" s="327"/>
      <c r="FX743" s="327"/>
      <c r="FY743" s="327"/>
      <c r="FZ743" s="327"/>
      <c r="GA743" s="327"/>
      <c r="GB743" s="327"/>
      <c r="GC743" s="327"/>
      <c r="GD743" s="327"/>
      <c r="GE743" s="327"/>
      <c r="GF743" s="327"/>
      <c r="GG743" s="327"/>
      <c r="GH743" s="327"/>
      <c r="GI743" s="327"/>
      <c r="GJ743" s="327"/>
      <c r="GK743" s="327"/>
      <c r="GL743" s="327"/>
      <c r="GM743" s="327"/>
      <c r="GN743" s="327"/>
      <c r="GO743" s="327"/>
      <c r="GP743" s="327"/>
      <c r="GQ743" s="327"/>
      <c r="GR743" s="327"/>
      <c r="GS743" s="327"/>
      <c r="GT743" s="327"/>
      <c r="GU743" s="327"/>
      <c r="GV743" s="327"/>
      <c r="GW743" s="327"/>
      <c r="GX743" s="327"/>
      <c r="GY743" s="327"/>
      <c r="GZ743" s="327"/>
      <c r="HA743" s="327"/>
      <c r="HB743" s="327"/>
      <c r="HC743" s="327"/>
      <c r="HD743" s="327"/>
      <c r="HE743" s="327"/>
      <c r="HF743" s="327"/>
      <c r="HG743" s="327"/>
      <c r="HH743" s="327"/>
      <c r="HI743" s="327"/>
      <c r="HJ743" s="327"/>
      <c r="HK743" s="327"/>
      <c r="HL743" s="327"/>
      <c r="HM743" s="327"/>
      <c r="HN743" s="327"/>
      <c r="HO743" s="327"/>
      <c r="HP743" s="327"/>
      <c r="HQ743" s="327"/>
      <c r="HR743" s="327"/>
      <c r="HS743" s="327"/>
      <c r="HT743" s="327"/>
      <c r="HU743" s="327"/>
      <c r="HV743" s="327"/>
      <c r="HW743" s="327"/>
      <c r="HX743" s="327"/>
      <c r="HY743" s="327"/>
      <c r="HZ743" s="327"/>
      <c r="IA743" s="327"/>
      <c r="IB743" s="327"/>
      <c r="IC743" s="327"/>
      <c r="ID743" s="327"/>
      <c r="IE743" s="327"/>
      <c r="IF743" s="327"/>
      <c r="IG743" s="327"/>
      <c r="IH743" s="327"/>
      <c r="II743" s="327"/>
      <c r="IJ743" s="327"/>
      <c r="IK743" s="327"/>
      <c r="IL743" s="327"/>
      <c r="IM743" s="327"/>
      <c r="IN743" s="327"/>
      <c r="IO743" s="327"/>
      <c r="IP743" s="327"/>
      <c r="IQ743" s="327"/>
      <c r="IR743" s="327"/>
      <c r="IS743" s="327"/>
      <c r="IT743" s="327"/>
      <c r="IU743" s="327"/>
      <c r="IV743" s="327"/>
      <c r="IW743" s="327"/>
      <c r="IX743" s="327"/>
      <c r="IY743" s="327"/>
      <c r="IZ743" s="327"/>
      <c r="JA743" s="327"/>
      <c r="JB743" s="327"/>
      <c r="JC743" s="327"/>
      <c r="JD743" s="327"/>
      <c r="JE743" s="327"/>
      <c r="JF743" s="327"/>
      <c r="JG743" s="327"/>
      <c r="JH743" s="327"/>
      <c r="JI743" s="327"/>
      <c r="JJ743" s="327"/>
      <c r="JK743" s="327"/>
      <c r="JL743" s="327"/>
      <c r="JM743" s="327"/>
      <c r="JN743" s="327"/>
      <c r="JO743" s="327"/>
      <c r="JP743" s="327"/>
      <c r="JQ743" s="327"/>
      <c r="JR743" s="327"/>
      <c r="JS743" s="327"/>
      <c r="JT743" s="327"/>
      <c r="JU743" s="327"/>
      <c r="JV743" s="327"/>
      <c r="JW743"/>
    </row>
    <row r="744" spans="1:283" s="332" customFormat="1">
      <c r="A744" s="332" t="s">
        <v>746</v>
      </c>
      <c r="AN744" s="685">
        <f>AN711/AN710</f>
        <v>-1.876675603217158E-2</v>
      </c>
      <c r="AO744" s="685">
        <f>AO711/AO710</f>
        <v>-0.10101010101010101</v>
      </c>
      <c r="AP744" s="295"/>
      <c r="AQ744" s="295"/>
      <c r="AR744" s="685">
        <f>AR711/AR710</f>
        <v>-6.7796610169491525E-2</v>
      </c>
      <c r="AS744" s="685">
        <f>AS711/AS710</f>
        <v>-0.24590163934426229</v>
      </c>
      <c r="AT744" s="295"/>
      <c r="AU744" s="295"/>
      <c r="AV744" s="685">
        <f>AV711/AV710</f>
        <v>-2.6548672566371681E-2</v>
      </c>
      <c r="AW744" s="685">
        <f>AW711/AW710</f>
        <v>0.19354838709677419</v>
      </c>
      <c r="AX744" s="295"/>
      <c r="AY744" s="295"/>
      <c r="AZ744" s="685">
        <f>AZ711/AZ710</f>
        <v>0.80952380952380953</v>
      </c>
      <c r="BA744" s="685">
        <f>BA711/BA710</f>
        <v>-0.34615384615384615</v>
      </c>
      <c r="BB744" s="295"/>
      <c r="BC744" s="295"/>
      <c r="BD744" s="685">
        <f>BD711/BD710</f>
        <v>-5.3571428571428568E-2</v>
      </c>
      <c r="BE744" s="685">
        <f>BE711/BE710</f>
        <v>0</v>
      </c>
      <c r="BF744" s="295"/>
      <c r="BG744" s="293"/>
      <c r="BH744" s="685">
        <f>BH711/BH710</f>
        <v>-2.9411764705882353E-2</v>
      </c>
      <c r="BI744" s="685">
        <f>BI711/BI710</f>
        <v>-9.2307692307692313E-2</v>
      </c>
      <c r="BJ744" s="295"/>
      <c r="BK744" s="295"/>
      <c r="BL744" s="685">
        <f>BL711/BL710</f>
        <v>-0.10666666666666667</v>
      </c>
      <c r="BM744" s="685">
        <f>BM711/BM710</f>
        <v>0.16279069767441862</v>
      </c>
      <c r="BN744" s="295"/>
      <c r="BO744" s="295"/>
      <c r="BP744" s="685">
        <f>BP711/BP710</f>
        <v>-9.3023255813953487E-2</v>
      </c>
      <c r="BQ744" s="685">
        <f>BQ711/BQ710</f>
        <v>-0.10062893081761007</v>
      </c>
      <c r="BR744" s="295"/>
      <c r="BS744" s="295"/>
      <c r="BT744" s="685">
        <f>BT711/BT710</f>
        <v>-4.4247787610619468E-2</v>
      </c>
      <c r="BU744" s="685">
        <f>BU711/BU710</f>
        <v>1.2658227848101266E-2</v>
      </c>
      <c r="BV744" s="295"/>
      <c r="BW744" s="295"/>
      <c r="BX744" s="685">
        <f>BX711/BX710</f>
        <v>-2.0408163265306121E-2</v>
      </c>
      <c r="BY744" s="685">
        <f>BY711/BY710</f>
        <v>-4.7619047619047616E-2</v>
      </c>
      <c r="BZ744" s="295"/>
      <c r="CA744" s="295"/>
      <c r="CB744" s="685">
        <f>CB711/CB710</f>
        <v>-4.2253521126760563E-2</v>
      </c>
      <c r="CC744" s="685">
        <f>CC711/CC710</f>
        <v>-4.4776119402985072E-2</v>
      </c>
      <c r="CD744" s="295"/>
      <c r="CE744" s="295"/>
      <c r="CF744" s="685">
        <f>CF711/CF710</f>
        <v>-6.1855670103092786E-2</v>
      </c>
      <c r="CG744" s="685">
        <f>CG711/CG710</f>
        <v>-0.10743801652892562</v>
      </c>
      <c r="CH744" s="295"/>
      <c r="CI744" s="295"/>
      <c r="CJ744" s="685">
        <f>CJ711/CJ710</f>
        <v>-0.12574850299401197</v>
      </c>
      <c r="CK744" s="685">
        <f>CK711/CK710</f>
        <v>-4.8632218844984802E-2</v>
      </c>
      <c r="CL744" s="295"/>
      <c r="CM744" s="295"/>
      <c r="CN744" s="685">
        <f>CN711/CN710</f>
        <v>-0.30357142857142855</v>
      </c>
      <c r="CO744" s="685">
        <f>CO711/CO710</f>
        <v>-9.5477386934673364E-2</v>
      </c>
      <c r="CP744" s="295"/>
      <c r="CQ744" s="295"/>
      <c r="CR744" s="685">
        <f>CR711/CR710</f>
        <v>-0.05</v>
      </c>
      <c r="CS744" s="685">
        <f>CS711/CS710</f>
        <v>0.17164179104477612</v>
      </c>
      <c r="CT744" s="295"/>
      <c r="CU744" s="295"/>
      <c r="CV744" s="685">
        <f>CV711/CV710</f>
        <v>-0.10106382978723404</v>
      </c>
      <c r="CW744" s="685">
        <f>CW711/CW710</f>
        <v>-3.7499999999999999E-2</v>
      </c>
      <c r="CX744" s="295"/>
      <c r="CY744" s="295"/>
      <c r="CZ744" s="685">
        <f>CZ711/CZ710</f>
        <v>-3.5320088300220751E-2</v>
      </c>
      <c r="DA744" s="685">
        <f>DA711/DA710</f>
        <v>-3.2692307692307694E-2</v>
      </c>
      <c r="DB744" s="295"/>
      <c r="DC744" s="295"/>
      <c r="DD744" s="685">
        <f>DD711/DD710</f>
        <v>-2.4070021881838075E-2</v>
      </c>
      <c r="DE744" s="685">
        <f>DE711/DE710</f>
        <v>-7.7669902912621356E-3</v>
      </c>
      <c r="DF744" s="295"/>
      <c r="DG744" s="295"/>
      <c r="DH744" s="685">
        <f>DH711/DH710</f>
        <v>-2.5581395348837209E-2</v>
      </c>
      <c r="DI744" s="876">
        <v>0</v>
      </c>
      <c r="DJ744" s="295"/>
      <c r="DK744" s="295"/>
      <c r="DL744" s="876">
        <v>0</v>
      </c>
      <c r="DM744" s="876">
        <v>0</v>
      </c>
      <c r="DN744" s="295"/>
      <c r="DO744" s="295"/>
      <c r="DP744" s="876">
        <v>0</v>
      </c>
      <c r="DQ744" s="876">
        <v>0</v>
      </c>
      <c r="DR744" s="295"/>
      <c r="DS744" s="295"/>
      <c r="DT744" s="295"/>
      <c r="DU744" s="295"/>
      <c r="DV744" s="295"/>
      <c r="DW744" s="876"/>
      <c r="DX744" s="876"/>
      <c r="DY744" s="876"/>
      <c r="DZ744" s="295"/>
      <c r="EA744" s="876"/>
      <c r="EB744" s="876"/>
      <c r="EC744" s="295"/>
      <c r="ED744" s="295"/>
      <c r="EE744" s="876"/>
      <c r="EF744" s="876"/>
      <c r="EG744" s="295"/>
      <c r="EH744" s="295"/>
      <c r="EI744" s="876"/>
      <c r="EJ744" s="876"/>
      <c r="EK744" s="295"/>
      <c r="EL744" s="295"/>
      <c r="EM744" s="295"/>
      <c r="EN744" s="295"/>
      <c r="EO744" s="295"/>
      <c r="EP744" s="295"/>
      <c r="EQ744" s="295"/>
      <c r="ER744" s="295"/>
      <c r="ES744" s="295"/>
      <c r="ET744" s="295"/>
      <c r="EU744" s="295"/>
      <c r="EV744" s="327"/>
      <c r="EW744" s="327"/>
      <c r="EX744" s="327"/>
      <c r="EY744" s="327"/>
      <c r="EZ744" s="327"/>
      <c r="FA744" s="327"/>
      <c r="FB744" s="327"/>
      <c r="FC744" s="327"/>
      <c r="FD744" s="327"/>
      <c r="FE744" s="327"/>
      <c r="FF744" s="327"/>
      <c r="FG744" s="327"/>
      <c r="FH744" s="327"/>
      <c r="FI744" s="327"/>
      <c r="FJ744" s="327"/>
      <c r="FK744" s="327"/>
      <c r="FL744" s="327"/>
      <c r="FM744" s="327"/>
      <c r="FN744" s="327"/>
      <c r="FO744" s="327"/>
      <c r="FP744" s="327"/>
      <c r="FQ744" s="327"/>
      <c r="FR744" s="327"/>
      <c r="FS744" s="327"/>
      <c r="FT744" s="327"/>
      <c r="FU744" s="327"/>
      <c r="FV744" s="327"/>
      <c r="FW744" s="327"/>
      <c r="FX744" s="327"/>
      <c r="FY744" s="327"/>
      <c r="FZ744" s="327"/>
      <c r="GA744" s="327"/>
      <c r="GB744" s="327"/>
      <c r="GC744" s="327"/>
      <c r="GD744" s="327"/>
      <c r="GE744" s="327"/>
      <c r="GF744" s="327"/>
      <c r="GG744" s="327"/>
      <c r="GH744" s="327"/>
      <c r="GI744" s="327"/>
      <c r="GJ744" s="327"/>
      <c r="GK744" s="327"/>
      <c r="GL744" s="327"/>
      <c r="GM744" s="327"/>
      <c r="GN744" s="327"/>
      <c r="GO744" s="327"/>
      <c r="GP744" s="327"/>
      <c r="GQ744" s="327"/>
      <c r="GR744" s="327"/>
      <c r="GS744" s="327"/>
      <c r="GT744" s="327"/>
      <c r="GU744" s="327"/>
      <c r="GV744" s="327"/>
      <c r="GW744" s="327"/>
      <c r="GX744" s="327"/>
      <c r="GY744" s="327"/>
      <c r="GZ744" s="327"/>
      <c r="HA744" s="327"/>
      <c r="HB744" s="327"/>
      <c r="HC744" s="327"/>
      <c r="HD744" s="327"/>
      <c r="HE744" s="327"/>
      <c r="HF744" s="327"/>
      <c r="HG744" s="327"/>
      <c r="HH744" s="327"/>
      <c r="HI744" s="327"/>
      <c r="HJ744" s="327"/>
      <c r="HK744" s="327"/>
      <c r="HL744" s="327"/>
      <c r="HM744" s="327"/>
      <c r="HN744" s="327"/>
      <c r="HO744" s="327"/>
      <c r="HP744" s="327"/>
      <c r="HQ744" s="327"/>
      <c r="HR744" s="327"/>
      <c r="HS744" s="327"/>
      <c r="HT744" s="327"/>
      <c r="HU744" s="327"/>
      <c r="HV744" s="327"/>
      <c r="HW744" s="327"/>
      <c r="HX744" s="327"/>
      <c r="HY744" s="327"/>
      <c r="HZ744" s="327"/>
      <c r="IA744" s="327"/>
      <c r="IB744" s="327"/>
      <c r="IC744" s="327"/>
      <c r="ID744" s="327"/>
      <c r="IE744" s="327"/>
      <c r="IF744" s="327"/>
      <c r="IG744" s="327"/>
      <c r="IH744" s="327"/>
      <c r="II744" s="327"/>
      <c r="IJ744" s="327"/>
      <c r="IK744" s="327"/>
      <c r="IL744" s="327"/>
      <c r="IM744" s="327"/>
      <c r="IN744" s="327"/>
      <c r="IO744" s="327"/>
      <c r="IP744" s="327"/>
      <c r="IQ744" s="327"/>
      <c r="IR744" s="327"/>
      <c r="IS744" s="327"/>
      <c r="IT744" s="327"/>
      <c r="IU744" s="327"/>
      <c r="IV744" s="327"/>
      <c r="IW744" s="327"/>
      <c r="IX744" s="327"/>
      <c r="IY744" s="327"/>
      <c r="IZ744" s="327"/>
      <c r="JA744" s="327"/>
      <c r="JB744" s="327"/>
      <c r="JC744" s="327"/>
      <c r="JD744" s="327"/>
      <c r="JE744" s="327"/>
      <c r="JF744" s="327"/>
      <c r="JG744" s="327"/>
      <c r="JH744" s="327"/>
      <c r="JI744" s="327"/>
      <c r="JJ744" s="327"/>
      <c r="JK744" s="327"/>
      <c r="JL744" s="327"/>
      <c r="JM744" s="327"/>
      <c r="JN744" s="327"/>
      <c r="JO744" s="327"/>
      <c r="JP744" s="327"/>
      <c r="JQ744" s="327"/>
      <c r="JR744" s="327"/>
      <c r="JS744" s="327"/>
      <c r="JT744" s="327"/>
      <c r="JU744" s="327"/>
      <c r="JV744" s="327"/>
      <c r="JW744"/>
    </row>
    <row r="745" spans="1:283" s="332" customFormat="1">
      <c r="AN745" s="685"/>
      <c r="AO745" s="685"/>
      <c r="AP745" s="295"/>
      <c r="AQ745" s="295"/>
      <c r="AR745" s="685"/>
      <c r="AS745" s="685"/>
      <c r="AT745" s="295"/>
      <c r="AU745" s="295"/>
      <c r="AV745" s="685"/>
      <c r="AW745" s="685"/>
      <c r="AX745" s="295"/>
      <c r="AY745" s="295"/>
      <c r="AZ745" s="685"/>
      <c r="BA745" s="685"/>
      <c r="BB745" s="295"/>
      <c r="BC745" s="295"/>
      <c r="BD745" s="685"/>
      <c r="BE745" s="685"/>
      <c r="BF745" s="295"/>
      <c r="BG745" s="293"/>
      <c r="BH745" s="685"/>
      <c r="BI745" s="685"/>
      <c r="BJ745" s="295"/>
      <c r="BK745" s="295"/>
      <c r="BL745" s="685"/>
      <c r="BM745" s="685"/>
      <c r="BN745" s="295"/>
      <c r="BO745" s="295"/>
      <c r="BP745" s="685"/>
      <c r="BQ745" s="685"/>
      <c r="BR745" s="295"/>
      <c r="BS745" s="295"/>
      <c r="BT745" s="685"/>
      <c r="BU745" s="685"/>
      <c r="BV745" s="295"/>
      <c r="BW745" s="295"/>
      <c r="BX745" s="685"/>
      <c r="BY745" s="685"/>
      <c r="BZ745" s="295"/>
      <c r="CA745" s="295"/>
      <c r="CB745" s="685"/>
      <c r="CC745" s="685"/>
      <c r="CD745" s="295"/>
      <c r="CE745" s="295"/>
      <c r="CF745" s="685"/>
      <c r="CG745" s="685"/>
      <c r="CH745" s="295"/>
      <c r="CI745" s="295"/>
      <c r="CJ745" s="685"/>
      <c r="CK745" s="685"/>
      <c r="CL745" s="295"/>
      <c r="CM745" s="295"/>
      <c r="CN745" s="685"/>
      <c r="CO745" s="685"/>
      <c r="CP745" s="295"/>
      <c r="CQ745" s="295"/>
      <c r="CR745" s="876"/>
      <c r="CS745" s="876"/>
      <c r="CT745" s="295"/>
      <c r="CU745" s="295"/>
      <c r="CV745" s="876"/>
      <c r="CW745" s="876"/>
      <c r="CX745" s="295"/>
      <c r="CY745" s="295"/>
      <c r="CZ745" s="1888"/>
      <c r="DA745" s="1888"/>
      <c r="DB745" s="295"/>
      <c r="DC745" s="295"/>
      <c r="DD745" s="1888"/>
      <c r="DE745" s="1888"/>
      <c r="DF745" s="295"/>
      <c r="DG745" s="295"/>
      <c r="DH745" s="1888"/>
      <c r="DI745" s="876"/>
      <c r="DJ745" s="295"/>
      <c r="DK745" s="295"/>
      <c r="DL745" s="876"/>
      <c r="DM745" s="876"/>
      <c r="DN745" s="295"/>
      <c r="DO745" s="295"/>
      <c r="DP745" s="876"/>
      <c r="DQ745" s="876"/>
      <c r="DR745" s="295"/>
      <c r="DS745" s="295"/>
      <c r="DT745" s="295"/>
      <c r="DU745" s="295"/>
      <c r="DV745" s="295"/>
      <c r="DW745" s="876"/>
      <c r="DX745" s="876"/>
      <c r="DY745" s="876"/>
      <c r="DZ745" s="295"/>
      <c r="EA745" s="876"/>
      <c r="EB745" s="876"/>
      <c r="EC745" s="295"/>
      <c r="ED745" s="295"/>
      <c r="EE745" s="876"/>
      <c r="EF745" s="876"/>
      <c r="EG745" s="295"/>
      <c r="EH745" s="295"/>
      <c r="EI745" s="876"/>
      <c r="EJ745" s="876"/>
      <c r="EK745" s="295"/>
      <c r="EL745" s="295"/>
      <c r="EM745" s="295"/>
      <c r="EN745" s="295"/>
      <c r="EO745" s="295"/>
      <c r="EP745" s="295"/>
      <c r="EQ745" s="295"/>
      <c r="ER745" s="295"/>
      <c r="ES745" s="295"/>
      <c r="ET745" s="295"/>
      <c r="EU745" s="295"/>
      <c r="EV745" s="327"/>
      <c r="EW745" s="327"/>
      <c r="EX745" s="327"/>
      <c r="EY745" s="327"/>
      <c r="EZ745" s="327"/>
      <c r="FA745" s="327"/>
      <c r="FB745" s="327"/>
      <c r="FC745" s="327"/>
      <c r="FD745" s="327"/>
      <c r="FE745" s="327"/>
      <c r="FF745" s="327"/>
      <c r="FG745" s="327"/>
      <c r="FH745" s="327"/>
      <c r="FI745" s="327"/>
      <c r="FJ745" s="327"/>
      <c r="FK745" s="327"/>
      <c r="FL745" s="327"/>
      <c r="FM745" s="327"/>
      <c r="FN745" s="327"/>
      <c r="FO745" s="327"/>
      <c r="FP745" s="327"/>
      <c r="FQ745" s="327"/>
      <c r="FR745" s="327"/>
      <c r="FS745" s="327"/>
      <c r="FT745" s="327"/>
      <c r="FU745" s="327"/>
      <c r="FV745" s="327"/>
      <c r="FW745" s="327"/>
      <c r="FX745" s="327"/>
      <c r="FY745" s="327"/>
      <c r="FZ745" s="327"/>
      <c r="GA745" s="327"/>
      <c r="GB745" s="327"/>
      <c r="GC745" s="327"/>
      <c r="GD745" s="327"/>
      <c r="GE745" s="327"/>
      <c r="GF745" s="327"/>
      <c r="GG745" s="327"/>
      <c r="GH745" s="327"/>
      <c r="GI745" s="327"/>
      <c r="GJ745" s="327"/>
      <c r="GK745" s="327"/>
      <c r="GL745" s="327"/>
      <c r="GM745" s="327"/>
      <c r="GN745" s="327"/>
      <c r="GO745" s="327"/>
      <c r="GP745" s="327"/>
      <c r="GQ745" s="327"/>
      <c r="GR745" s="327"/>
      <c r="GS745" s="327"/>
      <c r="GT745" s="327"/>
      <c r="GU745" s="327"/>
      <c r="GV745" s="327"/>
      <c r="GW745" s="327"/>
      <c r="GX745" s="327"/>
      <c r="GY745" s="327"/>
      <c r="GZ745" s="327"/>
      <c r="HA745" s="327"/>
      <c r="HB745" s="327"/>
      <c r="HC745" s="327"/>
      <c r="HD745" s="327"/>
      <c r="HE745" s="327"/>
      <c r="HF745" s="327"/>
      <c r="HG745" s="327"/>
      <c r="HH745" s="327"/>
      <c r="HI745" s="327"/>
      <c r="HJ745" s="327"/>
      <c r="HK745" s="327"/>
      <c r="HL745" s="327"/>
      <c r="HM745" s="327"/>
      <c r="HN745" s="327"/>
      <c r="HO745" s="327"/>
      <c r="HP745" s="327"/>
      <c r="HQ745" s="327"/>
      <c r="HR745" s="327"/>
      <c r="HS745" s="327"/>
      <c r="HT745" s="327"/>
      <c r="HU745" s="327"/>
      <c r="HV745" s="327"/>
      <c r="HW745" s="327"/>
      <c r="HX745" s="327"/>
      <c r="HY745" s="327"/>
      <c r="HZ745" s="327"/>
      <c r="IA745" s="327"/>
      <c r="IB745" s="327"/>
      <c r="IC745" s="327"/>
      <c r="ID745" s="327"/>
      <c r="IE745" s="327"/>
      <c r="IF745" s="327"/>
      <c r="IG745" s="327"/>
      <c r="IH745" s="327"/>
      <c r="II745" s="327"/>
      <c r="IJ745" s="327"/>
      <c r="IK745" s="327"/>
      <c r="IL745" s="327"/>
      <c r="IM745" s="327"/>
      <c r="IN745" s="327"/>
      <c r="IO745" s="327"/>
      <c r="IP745" s="327"/>
      <c r="IQ745" s="327"/>
      <c r="IR745" s="327"/>
      <c r="IS745" s="327"/>
      <c r="IT745" s="327"/>
      <c r="IU745" s="327"/>
      <c r="IV745" s="327"/>
      <c r="IW745" s="327"/>
      <c r="IX745" s="327"/>
      <c r="IY745" s="327"/>
      <c r="IZ745" s="327"/>
      <c r="JA745" s="327"/>
      <c r="JB745" s="327"/>
      <c r="JC745" s="327"/>
      <c r="JD745" s="327"/>
      <c r="JE745" s="327"/>
      <c r="JF745" s="327"/>
      <c r="JG745" s="327"/>
      <c r="JH745" s="327"/>
      <c r="JI745" s="327"/>
      <c r="JJ745" s="327"/>
      <c r="JK745" s="327"/>
      <c r="JL745" s="327"/>
      <c r="JM745" s="327"/>
      <c r="JN745" s="327"/>
      <c r="JO745" s="327"/>
      <c r="JP745" s="327"/>
      <c r="JQ745" s="327"/>
      <c r="JR745" s="327"/>
      <c r="JS745" s="327"/>
      <c r="JT745" s="327"/>
      <c r="JU745" s="327"/>
      <c r="JV745" s="327"/>
      <c r="JW745"/>
    </row>
    <row r="746" spans="1:283" s="289" customFormat="1">
      <c r="A746" s="815" t="s">
        <v>621</v>
      </c>
      <c r="AN746" s="290"/>
      <c r="AO746" s="290"/>
      <c r="AP746" s="290"/>
      <c r="AQ746" s="290"/>
      <c r="AR746" s="290"/>
      <c r="AS746" s="290"/>
      <c r="AT746" s="290"/>
      <c r="AU746" s="290"/>
      <c r="AV746" s="290"/>
      <c r="AW746" s="290"/>
      <c r="AX746" s="290"/>
      <c r="AY746" s="290"/>
      <c r="AZ746" s="290"/>
      <c r="BA746" s="290"/>
      <c r="BB746" s="290"/>
      <c r="BC746" s="290"/>
      <c r="BD746" s="290"/>
      <c r="BE746" s="290"/>
      <c r="BF746" s="290"/>
      <c r="BG746" s="290"/>
      <c r="BH746" s="290"/>
      <c r="BI746" s="290"/>
      <c r="BJ746" s="290"/>
      <c r="BK746" s="290"/>
      <c r="BL746" s="290"/>
      <c r="BM746" s="290"/>
      <c r="BN746" s="290"/>
      <c r="BO746" s="290"/>
      <c r="BP746" s="290"/>
      <c r="BQ746" s="290"/>
      <c r="BR746" s="290"/>
      <c r="BS746" s="290"/>
      <c r="BT746" s="290"/>
      <c r="BU746" s="290"/>
      <c r="BV746" s="290"/>
      <c r="BW746" s="290"/>
      <c r="BX746" s="290"/>
      <c r="BY746" s="290"/>
      <c r="BZ746" s="290"/>
      <c r="CA746" s="290"/>
      <c r="CB746" s="290"/>
      <c r="CC746" s="290"/>
      <c r="CD746" s="290"/>
      <c r="CE746" s="290"/>
      <c r="CF746" s="290"/>
      <c r="CG746" s="290"/>
      <c r="CH746" s="290"/>
      <c r="CI746" s="290"/>
      <c r="CJ746" s="290"/>
      <c r="CK746" s="290" t="s">
        <v>1215</v>
      </c>
      <c r="CL746" s="290"/>
      <c r="CM746" s="290"/>
      <c r="CN746" s="290"/>
      <c r="CO746" s="290" t="s">
        <v>1215</v>
      </c>
      <c r="CP746" s="290"/>
      <c r="CQ746" s="290"/>
      <c r="CR746" s="290"/>
      <c r="CS746" s="290"/>
      <c r="CT746" s="290"/>
      <c r="CU746" s="290"/>
      <c r="CV746" s="290"/>
      <c r="CW746" s="290"/>
      <c r="CX746" s="290"/>
      <c r="CY746" s="290"/>
      <c r="CZ746" s="1424"/>
      <c r="DA746" s="1424"/>
      <c r="DB746" s="290"/>
      <c r="DC746" s="290"/>
      <c r="DD746" s="1424"/>
      <c r="DE746" s="1424"/>
      <c r="DF746" s="290"/>
      <c r="DG746" s="290"/>
      <c r="DH746" s="1424"/>
      <c r="DI746" s="290"/>
      <c r="DJ746" s="290"/>
      <c r="DK746" s="290"/>
      <c r="DL746" s="290"/>
      <c r="DM746" s="290"/>
      <c r="DN746" s="290"/>
      <c r="DO746" s="290"/>
      <c r="DP746" s="290"/>
      <c r="DQ746" s="290"/>
      <c r="DR746" s="290"/>
      <c r="DS746" s="290"/>
      <c r="DT746" s="290"/>
      <c r="DU746" s="290"/>
      <c r="DV746" s="290"/>
      <c r="DW746" s="290"/>
      <c r="DX746" s="290"/>
      <c r="DY746" s="290"/>
      <c r="DZ746" s="290"/>
      <c r="EA746" s="290"/>
      <c r="EB746" s="290"/>
      <c r="EC746" s="290"/>
      <c r="ED746" s="290"/>
      <c r="EE746" s="290"/>
      <c r="EF746" s="290"/>
      <c r="EG746" s="290"/>
      <c r="EH746" s="290"/>
      <c r="EI746" s="290"/>
      <c r="EJ746" s="290"/>
      <c r="EK746" s="290"/>
      <c r="EL746" s="290"/>
      <c r="EM746" s="290"/>
      <c r="EN746" s="290"/>
      <c r="EO746" s="290"/>
      <c r="EP746" s="290"/>
      <c r="EQ746" s="290"/>
      <c r="ER746" s="290"/>
      <c r="ES746" s="290"/>
      <c r="ET746" s="290"/>
      <c r="EU746" s="290"/>
      <c r="JW746"/>
    </row>
    <row r="747" spans="1:283">
      <c r="A747" s="102" t="s">
        <v>657</v>
      </c>
      <c r="AP747" s="1219"/>
      <c r="AR747" s="730"/>
      <c r="AS747" s="730"/>
      <c r="AT747" s="1219">
        <v>0</v>
      </c>
      <c r="AV747" s="730">
        <v>0</v>
      </c>
      <c r="AW747" s="730">
        <v>0</v>
      </c>
      <c r="AX747" s="293">
        <f t="shared" ref="AX747:AX760" si="1888">AV747+AW747</f>
        <v>0</v>
      </c>
      <c r="AZ747" s="730">
        <v>0</v>
      </c>
      <c r="BA747" s="730">
        <v>0</v>
      </c>
      <c r="BB747" s="293">
        <f t="shared" ref="BB747:BB760" si="1889">AZ747+BA747</f>
        <v>0</v>
      </c>
      <c r="BD747" s="626">
        <v>0</v>
      </c>
      <c r="BE747" s="927">
        <v>0</v>
      </c>
      <c r="BF747" s="293">
        <f t="shared" ref="BF747:BF760" si="1890">BD747+BE747</f>
        <v>0</v>
      </c>
      <c r="BH747" s="927">
        <v>0</v>
      </c>
      <c r="BI747" s="927">
        <v>0</v>
      </c>
      <c r="BJ747" s="293">
        <f t="shared" ref="BJ747:BJ760" si="1891">BH747+BI747</f>
        <v>0</v>
      </c>
      <c r="BL747" s="927">
        <v>0</v>
      </c>
      <c r="BM747" s="927">
        <v>0</v>
      </c>
      <c r="BN747" s="293">
        <f t="shared" ref="BN747:BN760" si="1892">BL747+BM747</f>
        <v>0</v>
      </c>
      <c r="BO747" s="487"/>
      <c r="BP747" s="927">
        <v>0</v>
      </c>
      <c r="BQ747" s="927">
        <v>0</v>
      </c>
      <c r="BR747" s="293">
        <f t="shared" ref="BR747:BR760" si="1893">BP747+BQ747</f>
        <v>0</v>
      </c>
      <c r="BS747" s="487"/>
      <c r="BT747" s="927">
        <v>0</v>
      </c>
      <c r="BU747" s="927">
        <v>0</v>
      </c>
      <c r="BV747" s="293">
        <f t="shared" ref="BV747:BV760" si="1894">BT747+BU747</f>
        <v>0</v>
      </c>
      <c r="BX747" s="927">
        <v>0</v>
      </c>
      <c r="BY747" s="927">
        <v>0</v>
      </c>
      <c r="BZ747" s="293">
        <f t="shared" ref="BZ747:BZ760" si="1895">BX747+BY747</f>
        <v>0</v>
      </c>
      <c r="CB747" s="927">
        <v>6</v>
      </c>
      <c r="CC747" s="927">
        <v>4</v>
      </c>
      <c r="CD747" s="293">
        <f t="shared" ref="CD747:CD760" si="1896">CB747+CC747</f>
        <v>10</v>
      </c>
      <c r="CF747" s="927">
        <v>-51</v>
      </c>
      <c r="CG747" s="927">
        <v>4</v>
      </c>
      <c r="CH747" s="293">
        <f t="shared" ref="CH747:CH760" si="1897">CF747+CG747</f>
        <v>-47</v>
      </c>
      <c r="CJ747" s="927">
        <v>9</v>
      </c>
      <c r="CK747" s="927">
        <v>-24</v>
      </c>
      <c r="CL747" s="293">
        <f t="shared" ref="CL747:CL760" si="1898">CJ747+CK747</f>
        <v>-15</v>
      </c>
      <c r="CN747" s="1436">
        <v>5</v>
      </c>
      <c r="CO747" s="1436">
        <v>45</v>
      </c>
      <c r="CP747" s="1010">
        <f t="shared" ref="CP747:CP760" si="1899">CN747+CO747</f>
        <v>50</v>
      </c>
      <c r="CQ747" s="1009"/>
      <c r="CR747" s="1436">
        <v>32</v>
      </c>
      <c r="CS747" s="1509">
        <v>-19</v>
      </c>
      <c r="CT747" s="293">
        <f t="shared" ref="CT747:CT760" si="1900">CR747+CS747</f>
        <v>13</v>
      </c>
      <c r="CV747" s="1436">
        <v>-3</v>
      </c>
      <c r="CW747" s="1509">
        <v>2</v>
      </c>
      <c r="CX747" s="293">
        <f t="shared" ref="CX747:CX760" si="1901">CV747+CW747</f>
        <v>-1</v>
      </c>
      <c r="CZ747" s="1889">
        <v>6</v>
      </c>
      <c r="DA747" s="2022">
        <v>18</v>
      </c>
      <c r="DB747" s="293">
        <f t="shared" ref="DB747:DB760" si="1902">CZ747+DA747</f>
        <v>24</v>
      </c>
      <c r="DD747" s="2212">
        <v>128</v>
      </c>
      <c r="DE747" s="2213">
        <v>93</v>
      </c>
      <c r="DF747" s="293">
        <f t="shared" ref="DF747:DF760" si="1903">DD747+DE747</f>
        <v>221</v>
      </c>
      <c r="DH747" s="1889">
        <v>0</v>
      </c>
      <c r="DI747" s="851">
        <f>'P&amp;L'!DI501</f>
        <v>0</v>
      </c>
      <c r="DJ747" s="293">
        <f t="shared" ref="DJ747:DJ760" si="1904">DH747+DI747</f>
        <v>0</v>
      </c>
      <c r="DL747" s="851">
        <f>'P&amp;L'!DL501</f>
        <v>0</v>
      </c>
      <c r="DM747" s="851">
        <f>'P&amp;L'!DM501</f>
        <v>0</v>
      </c>
      <c r="DN747" s="293">
        <f t="shared" ref="DN747:DN760" si="1905">DL747+DM747</f>
        <v>0</v>
      </c>
      <c r="DP747" s="851">
        <f>'P&amp;L'!DP501</f>
        <v>0</v>
      </c>
      <c r="DQ747" s="851">
        <f>'P&amp;L'!DQ501</f>
        <v>0</v>
      </c>
      <c r="DR747" s="293">
        <f t="shared" ref="DR747:DR760" si="1906">DP747+DQ747</f>
        <v>0</v>
      </c>
      <c r="DW747" s="1198" t="s">
        <v>174</v>
      </c>
      <c r="DX747" s="818"/>
      <c r="DY747" s="818"/>
      <c r="EA747" s="818"/>
      <c r="EB747" s="818"/>
      <c r="EC747" s="293"/>
      <c r="EE747" s="818"/>
      <c r="EF747" s="818"/>
      <c r="EG747" s="293"/>
      <c r="EI747" s="818"/>
      <c r="EJ747" s="818"/>
      <c r="EK747" s="293"/>
    </row>
    <row r="748" spans="1:283">
      <c r="A748" s="102" t="s">
        <v>674</v>
      </c>
      <c r="AP748" s="1219"/>
      <c r="AR748" s="730"/>
      <c r="AS748" s="730"/>
      <c r="AT748" s="1219">
        <v>-7</v>
      </c>
      <c r="AV748" s="730">
        <v>10</v>
      </c>
      <c r="AW748" s="730">
        <v>18</v>
      </c>
      <c r="AX748" s="293">
        <f t="shared" si="1888"/>
        <v>28</v>
      </c>
      <c r="AZ748" s="730">
        <v>43</v>
      </c>
      <c r="BA748" s="730">
        <v>6</v>
      </c>
      <c r="BB748" s="293">
        <f t="shared" si="1889"/>
        <v>49</v>
      </c>
      <c r="BD748" s="626">
        <v>25</v>
      </c>
      <c r="BE748" s="927">
        <v>-24</v>
      </c>
      <c r="BF748" s="293">
        <f t="shared" si="1890"/>
        <v>1</v>
      </c>
      <c r="BH748" s="626">
        <v>5</v>
      </c>
      <c r="BI748" s="927">
        <f>13+161</f>
        <v>174</v>
      </c>
      <c r="BJ748" s="293">
        <f t="shared" si="1891"/>
        <v>179</v>
      </c>
      <c r="BL748" s="626">
        <v>7</v>
      </c>
      <c r="BM748" s="927">
        <v>254</v>
      </c>
      <c r="BN748" s="293">
        <f t="shared" si="1892"/>
        <v>261</v>
      </c>
      <c r="BO748" s="487"/>
      <c r="BP748" s="626">
        <v>23</v>
      </c>
      <c r="BQ748" s="927">
        <v>16</v>
      </c>
      <c r="BR748" s="293">
        <f t="shared" si="1893"/>
        <v>39</v>
      </c>
      <c r="BS748" s="487"/>
      <c r="BT748" s="626">
        <v>-23</v>
      </c>
      <c r="BU748" s="927">
        <v>-2</v>
      </c>
      <c r="BV748" s="293">
        <f t="shared" si="1894"/>
        <v>-25</v>
      </c>
      <c r="BX748" s="626">
        <v>46</v>
      </c>
      <c r="BY748" s="626">
        <v>51</v>
      </c>
      <c r="BZ748" s="293">
        <f t="shared" si="1895"/>
        <v>97</v>
      </c>
      <c r="CB748" s="626">
        <v>0</v>
      </c>
      <c r="CC748" s="626">
        <v>0</v>
      </c>
      <c r="CD748" s="293">
        <f t="shared" si="1896"/>
        <v>0</v>
      </c>
      <c r="CF748" s="626">
        <v>0</v>
      </c>
      <c r="CG748" s="626">
        <v>0</v>
      </c>
      <c r="CH748" s="293">
        <f t="shared" si="1897"/>
        <v>0</v>
      </c>
      <c r="CJ748" s="626">
        <v>0</v>
      </c>
      <c r="CK748" s="626">
        <v>0</v>
      </c>
      <c r="CL748" s="293">
        <f t="shared" si="1898"/>
        <v>0</v>
      </c>
      <c r="CN748" s="1388">
        <v>0</v>
      </c>
      <c r="CO748" s="1388">
        <v>0</v>
      </c>
      <c r="CP748" s="1010">
        <f t="shared" si="1899"/>
        <v>0</v>
      </c>
      <c r="CQ748" s="1009"/>
      <c r="CR748" s="1388">
        <v>0</v>
      </c>
      <c r="CS748" s="1497">
        <v>0</v>
      </c>
      <c r="CT748" s="293">
        <f t="shared" si="1900"/>
        <v>0</v>
      </c>
      <c r="CV748" s="1388">
        <v>0</v>
      </c>
      <c r="CW748" s="1497">
        <v>0</v>
      </c>
      <c r="CX748" s="293">
        <f t="shared" si="1901"/>
        <v>0</v>
      </c>
      <c r="CZ748" s="1863">
        <v>0</v>
      </c>
      <c r="DA748" s="1488">
        <v>0</v>
      </c>
      <c r="DB748" s="293">
        <f t="shared" si="1902"/>
        <v>0</v>
      </c>
      <c r="DD748" s="1863">
        <v>0</v>
      </c>
      <c r="DE748" s="1497">
        <v>0</v>
      </c>
      <c r="DF748" s="293">
        <f t="shared" si="1903"/>
        <v>0</v>
      </c>
      <c r="DH748" s="1863">
        <v>0</v>
      </c>
      <c r="DI748" s="851">
        <f>'P&amp;L'!DI512</f>
        <v>0</v>
      </c>
      <c r="DJ748" s="293">
        <f t="shared" si="1904"/>
        <v>0</v>
      </c>
      <c r="DL748" s="851">
        <f>'P&amp;L'!DL512</f>
        <v>0</v>
      </c>
      <c r="DM748" s="851">
        <f>'P&amp;L'!DM512</f>
        <v>0</v>
      </c>
      <c r="DN748" s="293">
        <f t="shared" si="1905"/>
        <v>0</v>
      </c>
      <c r="DP748" s="851">
        <f>'P&amp;L'!DP512</f>
        <v>0</v>
      </c>
      <c r="DQ748" s="851">
        <f>'P&amp;L'!DQ512</f>
        <v>0</v>
      </c>
      <c r="DR748" s="293">
        <f t="shared" si="1906"/>
        <v>0</v>
      </c>
      <c r="DW748" s="1198" t="s">
        <v>174</v>
      </c>
      <c r="DX748" s="818"/>
      <c r="DY748" s="818"/>
      <c r="EA748" s="818"/>
      <c r="EB748" s="818"/>
      <c r="EC748" s="293"/>
      <c r="EE748" s="818"/>
      <c r="EF748" s="818"/>
      <c r="EG748" s="293"/>
      <c r="EI748" s="818"/>
      <c r="EJ748" s="818"/>
      <c r="EK748" s="293"/>
    </row>
    <row r="749" spans="1:283">
      <c r="A749" s="102" t="s">
        <v>659</v>
      </c>
      <c r="AP749" s="1219"/>
      <c r="AR749" s="730"/>
      <c r="AS749" s="730"/>
      <c r="AT749" s="1219">
        <v>-32</v>
      </c>
      <c r="AV749" s="730">
        <v>0</v>
      </c>
      <c r="AW749" s="730">
        <v>-1</v>
      </c>
      <c r="AX749" s="293">
        <f t="shared" si="1888"/>
        <v>-1</v>
      </c>
      <c r="AZ749" s="730">
        <v>-30</v>
      </c>
      <c r="BA749" s="730">
        <v>-17</v>
      </c>
      <c r="BB749" s="293">
        <f t="shared" si="1889"/>
        <v>-47</v>
      </c>
      <c r="BD749" s="626">
        <v>-13</v>
      </c>
      <c r="BE749" s="927">
        <v>-120</v>
      </c>
      <c r="BF749" s="293">
        <f t="shared" si="1890"/>
        <v>-133</v>
      </c>
      <c r="BH749" s="626">
        <v>-70</v>
      </c>
      <c r="BI749" s="927">
        <v>-95</v>
      </c>
      <c r="BJ749" s="293">
        <f t="shared" si="1891"/>
        <v>-165</v>
      </c>
      <c r="BL749" s="626">
        <v>1</v>
      </c>
      <c r="BM749" s="927">
        <v>-117</v>
      </c>
      <c r="BN749" s="293">
        <f t="shared" si="1892"/>
        <v>-116</v>
      </c>
      <c r="BO749" s="487"/>
      <c r="BP749" s="626">
        <v>-25</v>
      </c>
      <c r="BQ749" s="927">
        <v>-126</v>
      </c>
      <c r="BR749" s="293">
        <f t="shared" si="1893"/>
        <v>-151</v>
      </c>
      <c r="BS749" s="487"/>
      <c r="BT749" s="626">
        <v>-86</v>
      </c>
      <c r="BU749" s="927">
        <v>45</v>
      </c>
      <c r="BV749" s="293">
        <f>BT749+BU749</f>
        <v>-41</v>
      </c>
      <c r="BX749" s="626">
        <v>-12</v>
      </c>
      <c r="BY749" s="626">
        <v>2</v>
      </c>
      <c r="BZ749" s="293">
        <f t="shared" si="1895"/>
        <v>-10</v>
      </c>
      <c r="CB749" s="626">
        <v>0</v>
      </c>
      <c r="CC749" s="626">
        <v>0</v>
      </c>
      <c r="CD749" s="293">
        <f t="shared" si="1896"/>
        <v>0</v>
      </c>
      <c r="CF749" s="626">
        <v>0</v>
      </c>
      <c r="CG749" s="626">
        <v>0</v>
      </c>
      <c r="CH749" s="293">
        <f t="shared" si="1897"/>
        <v>0</v>
      </c>
      <c r="CJ749" s="626">
        <v>0</v>
      </c>
      <c r="CK749" s="626">
        <v>0</v>
      </c>
      <c r="CL749" s="293">
        <f t="shared" si="1898"/>
        <v>0</v>
      </c>
      <c r="CN749" s="1388">
        <v>0</v>
      </c>
      <c r="CO749" s="1388">
        <v>0</v>
      </c>
      <c r="CP749" s="1010">
        <f t="shared" si="1899"/>
        <v>0</v>
      </c>
      <c r="CQ749" s="1009"/>
      <c r="CR749" s="1388">
        <v>0</v>
      </c>
      <c r="CS749" s="1497">
        <v>0</v>
      </c>
      <c r="CT749" s="293">
        <f t="shared" si="1900"/>
        <v>0</v>
      </c>
      <c r="CV749" s="1388">
        <v>0</v>
      </c>
      <c r="CW749" s="1497">
        <v>0</v>
      </c>
      <c r="CX749" s="293">
        <f t="shared" si="1901"/>
        <v>0</v>
      </c>
      <c r="CZ749" s="1863">
        <v>0</v>
      </c>
      <c r="DA749" s="1488">
        <v>0</v>
      </c>
      <c r="DB749" s="293">
        <f t="shared" si="1902"/>
        <v>0</v>
      </c>
      <c r="DD749" s="1863">
        <v>0</v>
      </c>
      <c r="DE749" s="1497">
        <v>0</v>
      </c>
      <c r="DF749" s="293">
        <f t="shared" si="1903"/>
        <v>0</v>
      </c>
      <c r="DH749" s="1863">
        <v>0</v>
      </c>
      <c r="DI749" s="851">
        <f>'P&amp;L'!DI523</f>
        <v>0</v>
      </c>
      <c r="DJ749" s="293">
        <f t="shared" si="1904"/>
        <v>0</v>
      </c>
      <c r="DL749" s="851">
        <f>'P&amp;L'!DL523</f>
        <v>0</v>
      </c>
      <c r="DM749" s="851">
        <f>'P&amp;L'!DM523</f>
        <v>0</v>
      </c>
      <c r="DN749" s="293">
        <f t="shared" si="1905"/>
        <v>0</v>
      </c>
      <c r="DP749" s="851">
        <f>'P&amp;L'!DP523</f>
        <v>0</v>
      </c>
      <c r="DQ749" s="851">
        <f>'P&amp;L'!DQ523</f>
        <v>0</v>
      </c>
      <c r="DR749" s="293">
        <f t="shared" si="1906"/>
        <v>0</v>
      </c>
      <c r="DW749" s="1198" t="s">
        <v>174</v>
      </c>
      <c r="DX749" s="818"/>
      <c r="DY749" s="818"/>
      <c r="EA749" s="818"/>
      <c r="EB749" s="818"/>
      <c r="EC749" s="293"/>
      <c r="EE749" s="818"/>
      <c r="EF749" s="818"/>
      <c r="EG749" s="293"/>
      <c r="EI749" s="818"/>
      <c r="EJ749" s="818"/>
      <c r="EK749" s="293"/>
    </row>
    <row r="750" spans="1:283">
      <c r="A750" s="102" t="s">
        <v>660</v>
      </c>
      <c r="AP750" s="1219"/>
      <c r="AR750" s="730"/>
      <c r="AS750" s="730"/>
      <c r="AT750" s="1219">
        <v>0</v>
      </c>
      <c r="AV750" s="730">
        <v>0</v>
      </c>
      <c r="AW750" s="730">
        <v>0</v>
      </c>
      <c r="AX750" s="293">
        <f t="shared" si="1888"/>
        <v>0</v>
      </c>
      <c r="AZ750" s="730">
        <v>0</v>
      </c>
      <c r="BA750" s="730">
        <v>0</v>
      </c>
      <c r="BB750" s="293">
        <f t="shared" si="1889"/>
        <v>0</v>
      </c>
      <c r="BD750" s="626">
        <v>0</v>
      </c>
      <c r="BE750" s="927">
        <v>0</v>
      </c>
      <c r="BF750" s="293">
        <f t="shared" si="1890"/>
        <v>0</v>
      </c>
      <c r="BH750" s="927">
        <v>0</v>
      </c>
      <c r="BI750" s="927">
        <v>0</v>
      </c>
      <c r="BJ750" s="293">
        <f t="shared" si="1891"/>
        <v>0</v>
      </c>
      <c r="BL750" s="927">
        <v>0</v>
      </c>
      <c r="BM750" s="927">
        <v>0</v>
      </c>
      <c r="BN750" s="293">
        <f t="shared" si="1892"/>
        <v>0</v>
      </c>
      <c r="BO750" s="487"/>
      <c r="BP750" s="927">
        <v>0</v>
      </c>
      <c r="BQ750" s="927">
        <v>0</v>
      </c>
      <c r="BR750" s="293">
        <f t="shared" si="1893"/>
        <v>0</v>
      </c>
      <c r="BS750" s="487"/>
      <c r="BT750" s="927">
        <v>0</v>
      </c>
      <c r="BU750" s="927">
        <v>0</v>
      </c>
      <c r="BV750" s="293">
        <f t="shared" si="1894"/>
        <v>0</v>
      </c>
      <c r="BX750" s="927">
        <v>0</v>
      </c>
      <c r="BY750" s="927">
        <v>0</v>
      </c>
      <c r="BZ750" s="293">
        <f t="shared" si="1895"/>
        <v>0</v>
      </c>
      <c r="CB750" s="927">
        <v>0</v>
      </c>
      <c r="CC750" s="927">
        <v>0</v>
      </c>
      <c r="CD750" s="293">
        <f t="shared" si="1896"/>
        <v>0</v>
      </c>
      <c r="CF750" s="927">
        <v>0</v>
      </c>
      <c r="CG750" s="927">
        <v>0</v>
      </c>
      <c r="CH750" s="293">
        <f t="shared" si="1897"/>
        <v>0</v>
      </c>
      <c r="CJ750" s="927">
        <v>0</v>
      </c>
      <c r="CK750" s="927">
        <v>0</v>
      </c>
      <c r="CL750" s="293">
        <f t="shared" si="1898"/>
        <v>0</v>
      </c>
      <c r="CN750" s="1436">
        <v>0</v>
      </c>
      <c r="CO750" s="1436">
        <v>0</v>
      </c>
      <c r="CP750" s="1010">
        <f t="shared" si="1899"/>
        <v>0</v>
      </c>
      <c r="CQ750" s="1009"/>
      <c r="CR750" s="1436">
        <v>0</v>
      </c>
      <c r="CS750" s="1509">
        <v>0</v>
      </c>
      <c r="CT750" s="293">
        <f t="shared" si="1900"/>
        <v>0</v>
      </c>
      <c r="CV750" s="1436">
        <v>0</v>
      </c>
      <c r="CW750" s="1509">
        <v>0</v>
      </c>
      <c r="CX750" s="293">
        <f t="shared" si="1901"/>
        <v>0</v>
      </c>
      <c r="CZ750" s="1889">
        <v>0</v>
      </c>
      <c r="DA750" s="2022">
        <v>0</v>
      </c>
      <c r="DB750" s="293">
        <f t="shared" si="1902"/>
        <v>0</v>
      </c>
      <c r="DD750" s="1889">
        <v>0</v>
      </c>
      <c r="DE750" s="1509">
        <v>0</v>
      </c>
      <c r="DF750" s="293">
        <f t="shared" si="1903"/>
        <v>0</v>
      </c>
      <c r="DH750" s="1889">
        <v>0</v>
      </c>
      <c r="DI750" s="851">
        <f>'P&amp;L'!DI534</f>
        <v>0</v>
      </c>
      <c r="DJ750" s="293">
        <f t="shared" si="1904"/>
        <v>0</v>
      </c>
      <c r="DL750" s="851">
        <f>'P&amp;L'!DL534</f>
        <v>0</v>
      </c>
      <c r="DM750" s="851">
        <f>'P&amp;L'!DM534</f>
        <v>0</v>
      </c>
      <c r="DN750" s="293">
        <f t="shared" si="1905"/>
        <v>0</v>
      </c>
      <c r="DP750" s="851">
        <f>'P&amp;L'!DP534</f>
        <v>0</v>
      </c>
      <c r="DQ750" s="851">
        <f>'P&amp;L'!DQ534</f>
        <v>0</v>
      </c>
      <c r="DR750" s="293">
        <f t="shared" si="1906"/>
        <v>0</v>
      </c>
      <c r="DW750" s="1198" t="s">
        <v>174</v>
      </c>
      <c r="DX750" s="818"/>
      <c r="DY750" s="818"/>
      <c r="EA750" s="818"/>
      <c r="EB750" s="818"/>
      <c r="EC750" s="293"/>
      <c r="EE750" s="818"/>
      <c r="EF750" s="818"/>
      <c r="EG750" s="293"/>
      <c r="EI750" s="818"/>
      <c r="EJ750" s="818"/>
      <c r="EK750" s="293"/>
    </row>
    <row r="751" spans="1:283">
      <c r="A751" s="102" t="s">
        <v>661</v>
      </c>
      <c r="AP751" s="1219"/>
      <c r="AR751" s="730"/>
      <c r="AS751" s="730"/>
      <c r="AT751" s="1219">
        <v>203</v>
      </c>
      <c r="AV751" s="730">
        <v>127</v>
      </c>
      <c r="AW751" s="730">
        <v>1</v>
      </c>
      <c r="AX751" s="293">
        <f t="shared" si="1888"/>
        <v>128</v>
      </c>
      <c r="AZ751" s="730">
        <v>0</v>
      </c>
      <c r="BA751" s="730">
        <v>0</v>
      </c>
      <c r="BB751" s="293">
        <f t="shared" si="1889"/>
        <v>0</v>
      </c>
      <c r="BD751" s="626">
        <v>0</v>
      </c>
      <c r="BE751" s="927">
        <v>0</v>
      </c>
      <c r="BF751" s="293">
        <f t="shared" si="1890"/>
        <v>0</v>
      </c>
      <c r="BH751" s="927">
        <v>0</v>
      </c>
      <c r="BI751" s="927">
        <v>0</v>
      </c>
      <c r="BJ751" s="293">
        <f t="shared" si="1891"/>
        <v>0</v>
      </c>
      <c r="BL751" s="927">
        <v>0</v>
      </c>
      <c r="BM751" s="927">
        <v>0</v>
      </c>
      <c r="BN751" s="293">
        <f t="shared" si="1892"/>
        <v>0</v>
      </c>
      <c r="BO751" s="487"/>
      <c r="BP751" s="927">
        <v>0</v>
      </c>
      <c r="BQ751" s="927">
        <v>0</v>
      </c>
      <c r="BR751" s="293">
        <f t="shared" si="1893"/>
        <v>0</v>
      </c>
      <c r="BS751" s="487"/>
      <c r="BT751" s="927">
        <v>0</v>
      </c>
      <c r="BU751" s="927">
        <v>0</v>
      </c>
      <c r="BV751" s="293">
        <f t="shared" si="1894"/>
        <v>0</v>
      </c>
      <c r="BX751" s="927">
        <v>0</v>
      </c>
      <c r="BY751" s="927">
        <v>0</v>
      </c>
      <c r="BZ751" s="293">
        <f t="shared" si="1895"/>
        <v>0</v>
      </c>
      <c r="CB751" s="927">
        <v>0</v>
      </c>
      <c r="CC751" s="927">
        <v>0</v>
      </c>
      <c r="CD751" s="293">
        <f t="shared" si="1896"/>
        <v>0</v>
      </c>
      <c r="CF751" s="927">
        <v>0</v>
      </c>
      <c r="CG751" s="927">
        <v>0</v>
      </c>
      <c r="CH751" s="293">
        <f t="shared" si="1897"/>
        <v>0</v>
      </c>
      <c r="CJ751" s="927">
        <v>0</v>
      </c>
      <c r="CK751" s="927">
        <v>0</v>
      </c>
      <c r="CL751" s="293">
        <f t="shared" si="1898"/>
        <v>0</v>
      </c>
      <c r="CN751" s="1436">
        <v>0</v>
      </c>
      <c r="CO751" s="1436">
        <v>0</v>
      </c>
      <c r="CP751" s="1010">
        <f t="shared" si="1899"/>
        <v>0</v>
      </c>
      <c r="CQ751" s="1009"/>
      <c r="CR751" s="1436">
        <v>0</v>
      </c>
      <c r="CS751" s="1509">
        <v>0</v>
      </c>
      <c r="CT751" s="293">
        <f t="shared" si="1900"/>
        <v>0</v>
      </c>
      <c r="CV751" s="1436">
        <v>0</v>
      </c>
      <c r="CW751" s="1509">
        <v>0</v>
      </c>
      <c r="CX751" s="293">
        <f t="shared" si="1901"/>
        <v>0</v>
      </c>
      <c r="CZ751" s="1889">
        <v>0</v>
      </c>
      <c r="DA751" s="2022">
        <v>0</v>
      </c>
      <c r="DB751" s="293">
        <f t="shared" si="1902"/>
        <v>0</v>
      </c>
      <c r="DD751" s="1889">
        <v>0</v>
      </c>
      <c r="DE751" s="1509">
        <v>0</v>
      </c>
      <c r="DF751" s="293">
        <f t="shared" si="1903"/>
        <v>0</v>
      </c>
      <c r="DH751" s="1889">
        <v>0</v>
      </c>
      <c r="DI751" s="851">
        <f>'P&amp;L'!DI545</f>
        <v>0</v>
      </c>
      <c r="DJ751" s="293">
        <f t="shared" si="1904"/>
        <v>0</v>
      </c>
      <c r="DL751" s="851">
        <f>'P&amp;L'!DL545</f>
        <v>0</v>
      </c>
      <c r="DM751" s="851">
        <f>'P&amp;L'!DM545</f>
        <v>0</v>
      </c>
      <c r="DN751" s="293">
        <f t="shared" si="1905"/>
        <v>0</v>
      </c>
      <c r="DP751" s="851">
        <f>'P&amp;L'!DP545</f>
        <v>0</v>
      </c>
      <c r="DQ751" s="851">
        <f>'P&amp;L'!DQ545</f>
        <v>0</v>
      </c>
      <c r="DR751" s="293">
        <f t="shared" si="1906"/>
        <v>0</v>
      </c>
      <c r="DW751" s="1198" t="s">
        <v>174</v>
      </c>
      <c r="DX751" s="818"/>
      <c r="DY751" s="818"/>
      <c r="EA751" s="818"/>
      <c r="EB751" s="818"/>
      <c r="EC751" s="293"/>
      <c r="EE751" s="818"/>
      <c r="EF751" s="818"/>
      <c r="EG751" s="293"/>
      <c r="EI751" s="818"/>
      <c r="EJ751" s="818"/>
      <c r="EK751" s="293"/>
    </row>
    <row r="752" spans="1:283">
      <c r="A752" s="102" t="s">
        <v>662</v>
      </c>
      <c r="AP752" s="1219"/>
      <c r="AR752" s="730"/>
      <c r="AS752" s="730"/>
      <c r="AT752" s="1219">
        <v>0</v>
      </c>
      <c r="AV752" s="730">
        <v>0</v>
      </c>
      <c r="AW752" s="730">
        <v>0</v>
      </c>
      <c r="AX752" s="293">
        <f t="shared" si="1888"/>
        <v>0</v>
      </c>
      <c r="AZ752" s="730">
        <v>0</v>
      </c>
      <c r="BA752" s="730">
        <v>0</v>
      </c>
      <c r="BB752" s="293">
        <f t="shared" si="1889"/>
        <v>0</v>
      </c>
      <c r="BD752" s="626">
        <v>0</v>
      </c>
      <c r="BE752" s="927">
        <v>0</v>
      </c>
      <c r="BF752" s="293">
        <f t="shared" si="1890"/>
        <v>0</v>
      </c>
      <c r="BH752" s="927">
        <v>0</v>
      </c>
      <c r="BI752" s="927">
        <v>0</v>
      </c>
      <c r="BJ752" s="293">
        <f t="shared" si="1891"/>
        <v>0</v>
      </c>
      <c r="BL752" s="927">
        <v>0</v>
      </c>
      <c r="BM752" s="927">
        <v>0</v>
      </c>
      <c r="BN752" s="293">
        <f t="shared" si="1892"/>
        <v>0</v>
      </c>
      <c r="BO752" s="487"/>
      <c r="BP752" s="927">
        <v>0</v>
      </c>
      <c r="BQ752" s="927">
        <v>0</v>
      </c>
      <c r="BR752" s="293">
        <f t="shared" si="1893"/>
        <v>0</v>
      </c>
      <c r="BS752" s="487"/>
      <c r="BT752" s="927">
        <v>12</v>
      </c>
      <c r="BU752" s="927">
        <v>-9</v>
      </c>
      <c r="BV752" s="293">
        <f t="shared" si="1894"/>
        <v>3</v>
      </c>
      <c r="BX752" s="927">
        <v>3</v>
      </c>
      <c r="BY752" s="927">
        <v>0</v>
      </c>
      <c r="BZ752" s="293">
        <f t="shared" si="1895"/>
        <v>3</v>
      </c>
      <c r="CB752" s="927">
        <v>1</v>
      </c>
      <c r="CC752" s="927">
        <v>2</v>
      </c>
      <c r="CD752" s="293">
        <f t="shared" si="1896"/>
        <v>3</v>
      </c>
      <c r="CF752" s="927">
        <v>2</v>
      </c>
      <c r="CG752" s="927">
        <v>1</v>
      </c>
      <c r="CH752" s="293">
        <f t="shared" si="1897"/>
        <v>3</v>
      </c>
      <c r="CJ752" s="927">
        <v>1</v>
      </c>
      <c r="CK752" s="927">
        <v>4</v>
      </c>
      <c r="CL752" s="293">
        <f t="shared" si="1898"/>
        <v>5</v>
      </c>
      <c r="CN752" s="1436">
        <v>1</v>
      </c>
      <c r="CO752" s="1436">
        <v>3</v>
      </c>
      <c r="CP752" s="1010">
        <f t="shared" si="1899"/>
        <v>4</v>
      </c>
      <c r="CQ752" s="1009"/>
      <c r="CR752" s="1436">
        <v>2</v>
      </c>
      <c r="CS752" s="1509">
        <v>2</v>
      </c>
      <c r="CT752" s="293">
        <f t="shared" si="1900"/>
        <v>4</v>
      </c>
      <c r="CV752" s="1436">
        <v>0</v>
      </c>
      <c r="CW752" s="1509">
        <v>0</v>
      </c>
      <c r="CX752" s="293">
        <f t="shared" si="1901"/>
        <v>0</v>
      </c>
      <c r="CZ752" s="1889">
        <v>0</v>
      </c>
      <c r="DA752" s="2022">
        <v>0</v>
      </c>
      <c r="DB752" s="293">
        <f t="shared" si="1902"/>
        <v>0</v>
      </c>
      <c r="DD752" s="1889">
        <v>0</v>
      </c>
      <c r="DE752" s="1509">
        <v>0</v>
      </c>
      <c r="DF752" s="293">
        <f t="shared" si="1903"/>
        <v>0</v>
      </c>
      <c r="DH752" s="1889">
        <v>0</v>
      </c>
      <c r="DI752" s="851">
        <f>'P&amp;L'!DI556</f>
        <v>0</v>
      </c>
      <c r="DJ752" s="293">
        <f t="shared" si="1904"/>
        <v>0</v>
      </c>
      <c r="DL752" s="851">
        <f>'P&amp;L'!DL556</f>
        <v>0</v>
      </c>
      <c r="DM752" s="851">
        <f>'P&amp;L'!DM556</f>
        <v>0</v>
      </c>
      <c r="DN752" s="293">
        <f t="shared" si="1905"/>
        <v>0</v>
      </c>
      <c r="DP752" s="851">
        <f>'P&amp;L'!DP556</f>
        <v>0</v>
      </c>
      <c r="DQ752" s="851">
        <f>'P&amp;L'!DQ556</f>
        <v>0</v>
      </c>
      <c r="DR752" s="293">
        <f t="shared" si="1906"/>
        <v>0</v>
      </c>
      <c r="DW752" s="1198" t="s">
        <v>174</v>
      </c>
      <c r="DX752" s="818"/>
      <c r="DY752" s="818"/>
      <c r="EA752" s="818"/>
      <c r="EB752" s="818"/>
      <c r="EC752" s="293"/>
      <c r="EE752" s="818"/>
      <c r="EF752" s="818"/>
      <c r="EG752" s="293"/>
      <c r="EI752" s="818"/>
      <c r="EJ752" s="818"/>
      <c r="EK752" s="293"/>
    </row>
    <row r="753" spans="1:283">
      <c r="A753" s="102" t="s">
        <v>658</v>
      </c>
      <c r="AP753" s="1219"/>
      <c r="AR753" s="730"/>
      <c r="AS753" s="730"/>
      <c r="AT753" s="1219">
        <v>0</v>
      </c>
      <c r="AV753" s="730">
        <v>0</v>
      </c>
      <c r="AW753" s="730">
        <v>0</v>
      </c>
      <c r="AX753" s="293">
        <f t="shared" si="1888"/>
        <v>0</v>
      </c>
      <c r="AZ753" s="730">
        <v>0</v>
      </c>
      <c r="BA753" s="730">
        <v>0</v>
      </c>
      <c r="BB753" s="293">
        <f t="shared" si="1889"/>
        <v>0</v>
      </c>
      <c r="BD753" s="626">
        <v>0</v>
      </c>
      <c r="BE753" s="927">
        <v>0</v>
      </c>
      <c r="BF753" s="293">
        <f t="shared" si="1890"/>
        <v>0</v>
      </c>
      <c r="BH753" s="927">
        <v>0</v>
      </c>
      <c r="BI753" s="927">
        <v>0</v>
      </c>
      <c r="BJ753" s="293">
        <f t="shared" si="1891"/>
        <v>0</v>
      </c>
      <c r="BL753" s="927">
        <v>0</v>
      </c>
      <c r="BM753" s="927">
        <v>0</v>
      </c>
      <c r="BN753" s="293">
        <f t="shared" si="1892"/>
        <v>0</v>
      </c>
      <c r="BO753" s="487"/>
      <c r="BP753" s="927">
        <v>0</v>
      </c>
      <c r="BQ753" s="927">
        <v>0</v>
      </c>
      <c r="BR753" s="293">
        <f t="shared" si="1893"/>
        <v>0</v>
      </c>
      <c r="BS753" s="487"/>
      <c r="BT753" s="927">
        <v>0</v>
      </c>
      <c r="BU753" s="927">
        <v>0</v>
      </c>
      <c r="BV753" s="293">
        <f t="shared" si="1894"/>
        <v>0</v>
      </c>
      <c r="BX753" s="927">
        <v>0</v>
      </c>
      <c r="BY753" s="927">
        <v>0</v>
      </c>
      <c r="BZ753" s="293">
        <f t="shared" si="1895"/>
        <v>0</v>
      </c>
      <c r="CB753" s="927">
        <v>0</v>
      </c>
      <c r="CC753" s="927">
        <v>0</v>
      </c>
      <c r="CD753" s="293">
        <f t="shared" si="1896"/>
        <v>0</v>
      </c>
      <c r="CF753" s="927">
        <v>0</v>
      </c>
      <c r="CG753" s="927">
        <v>0</v>
      </c>
      <c r="CH753" s="293">
        <f t="shared" si="1897"/>
        <v>0</v>
      </c>
      <c r="CJ753" s="927">
        <v>0</v>
      </c>
      <c r="CK753" s="927">
        <v>0</v>
      </c>
      <c r="CL753" s="293">
        <f t="shared" si="1898"/>
        <v>0</v>
      </c>
      <c r="CN753" s="1436">
        <v>0</v>
      </c>
      <c r="CO753" s="1436">
        <v>0</v>
      </c>
      <c r="CP753" s="1010">
        <f t="shared" si="1899"/>
        <v>0</v>
      </c>
      <c r="CQ753" s="1009"/>
      <c r="CR753" s="1436">
        <v>0</v>
      </c>
      <c r="CS753" s="1509">
        <v>0</v>
      </c>
      <c r="CT753" s="293">
        <f t="shared" si="1900"/>
        <v>0</v>
      </c>
      <c r="CV753" s="1436">
        <v>0</v>
      </c>
      <c r="CW753" s="1509">
        <v>0</v>
      </c>
      <c r="CX753" s="293">
        <f t="shared" si="1901"/>
        <v>0</v>
      </c>
      <c r="CZ753" s="1889">
        <v>0</v>
      </c>
      <c r="DA753" s="2022">
        <v>0</v>
      </c>
      <c r="DB753" s="293">
        <f t="shared" si="1902"/>
        <v>0</v>
      </c>
      <c r="DD753" s="1889">
        <v>0</v>
      </c>
      <c r="DE753" s="1509">
        <v>0</v>
      </c>
      <c r="DF753" s="293">
        <f t="shared" si="1903"/>
        <v>0</v>
      </c>
      <c r="DH753" s="1889">
        <v>0</v>
      </c>
      <c r="DI753" s="851">
        <f>'P&amp;L'!DI567</f>
        <v>0</v>
      </c>
      <c r="DJ753" s="293">
        <f t="shared" si="1904"/>
        <v>0</v>
      </c>
      <c r="DL753" s="851">
        <f>'P&amp;L'!DL567</f>
        <v>0</v>
      </c>
      <c r="DM753" s="851">
        <f>'P&amp;L'!DM567</f>
        <v>0</v>
      </c>
      <c r="DN753" s="293">
        <f t="shared" si="1905"/>
        <v>0</v>
      </c>
      <c r="DP753" s="851">
        <f>'P&amp;L'!DP567</f>
        <v>0</v>
      </c>
      <c r="DQ753" s="851">
        <f>'P&amp;L'!DQ567</f>
        <v>0</v>
      </c>
      <c r="DR753" s="293">
        <f t="shared" si="1906"/>
        <v>0</v>
      </c>
      <c r="DW753" s="1198" t="s">
        <v>174</v>
      </c>
      <c r="DX753" s="818"/>
      <c r="DY753" s="818"/>
      <c r="EA753" s="818"/>
      <c r="EB753" s="818"/>
      <c r="EC753" s="293"/>
      <c r="EE753" s="818"/>
      <c r="EF753" s="818"/>
      <c r="EG753" s="293"/>
      <c r="EI753" s="818"/>
      <c r="EJ753" s="818"/>
      <c r="EK753" s="293"/>
    </row>
    <row r="754" spans="1:283">
      <c r="A754" s="102" t="s">
        <v>887</v>
      </c>
      <c r="AP754" s="1219"/>
      <c r="AR754" s="730"/>
      <c r="AS754" s="730"/>
      <c r="AT754" s="1219">
        <v>0</v>
      </c>
      <c r="AV754" s="730">
        <v>0</v>
      </c>
      <c r="AW754" s="730">
        <v>0</v>
      </c>
      <c r="AX754" s="293">
        <f t="shared" si="1888"/>
        <v>0</v>
      </c>
      <c r="AZ754" s="730">
        <v>0</v>
      </c>
      <c r="BA754" s="730">
        <v>0</v>
      </c>
      <c r="BB754" s="293">
        <f t="shared" si="1889"/>
        <v>0</v>
      </c>
      <c r="BD754" s="626">
        <v>0</v>
      </c>
      <c r="BE754" s="927">
        <v>0</v>
      </c>
      <c r="BF754" s="293">
        <f t="shared" si="1890"/>
        <v>0</v>
      </c>
      <c r="BH754" s="927">
        <v>0</v>
      </c>
      <c r="BI754" s="927">
        <v>0</v>
      </c>
      <c r="BJ754" s="293">
        <f t="shared" si="1891"/>
        <v>0</v>
      </c>
      <c r="BL754" s="927">
        <v>0</v>
      </c>
      <c r="BM754" s="927">
        <v>0</v>
      </c>
      <c r="BN754" s="293">
        <f t="shared" si="1892"/>
        <v>0</v>
      </c>
      <c r="BO754" s="487"/>
      <c r="BP754" s="927">
        <v>0</v>
      </c>
      <c r="BQ754" s="927">
        <v>0</v>
      </c>
      <c r="BR754" s="293">
        <f t="shared" si="1893"/>
        <v>0</v>
      </c>
      <c r="BS754" s="487"/>
      <c r="BT754" s="927">
        <v>0</v>
      </c>
      <c r="BU754" s="927">
        <v>0</v>
      </c>
      <c r="BV754" s="293">
        <f t="shared" si="1894"/>
        <v>0</v>
      </c>
      <c r="BX754" s="927">
        <v>0</v>
      </c>
      <c r="BY754" s="927">
        <v>0</v>
      </c>
      <c r="BZ754" s="293">
        <f t="shared" si="1895"/>
        <v>0</v>
      </c>
      <c r="CB754" s="927">
        <v>0</v>
      </c>
      <c r="CC754" s="927">
        <v>0</v>
      </c>
      <c r="CD754" s="293">
        <f t="shared" si="1896"/>
        <v>0</v>
      </c>
      <c r="CF754" s="927">
        <v>0</v>
      </c>
      <c r="CG754" s="927">
        <v>0</v>
      </c>
      <c r="CH754" s="293">
        <f t="shared" si="1897"/>
        <v>0</v>
      </c>
      <c r="CJ754" s="927">
        <v>0</v>
      </c>
      <c r="CK754" s="927">
        <v>0</v>
      </c>
      <c r="CL754" s="293">
        <f t="shared" si="1898"/>
        <v>0</v>
      </c>
      <c r="CN754" s="1436">
        <v>0</v>
      </c>
      <c r="CO754" s="1436">
        <v>0</v>
      </c>
      <c r="CP754" s="1010">
        <f t="shared" si="1899"/>
        <v>0</v>
      </c>
      <c r="CQ754" s="1009"/>
      <c r="CR754" s="1436">
        <v>0</v>
      </c>
      <c r="CS754" s="1509">
        <v>0</v>
      </c>
      <c r="CT754" s="293">
        <f t="shared" si="1900"/>
        <v>0</v>
      </c>
      <c r="CV754" s="1436">
        <v>0</v>
      </c>
      <c r="CW754" s="1509">
        <v>0</v>
      </c>
      <c r="CX754" s="293">
        <f t="shared" si="1901"/>
        <v>0</v>
      </c>
      <c r="CZ754" s="1889">
        <v>0</v>
      </c>
      <c r="DA754" s="2022">
        <v>0</v>
      </c>
      <c r="DB754" s="293">
        <f t="shared" si="1902"/>
        <v>0</v>
      </c>
      <c r="DD754" s="1889">
        <v>0</v>
      </c>
      <c r="DE754" s="1509">
        <v>0</v>
      </c>
      <c r="DF754" s="293">
        <f t="shared" si="1903"/>
        <v>0</v>
      </c>
      <c r="DH754" s="1889">
        <v>0</v>
      </c>
      <c r="DI754" s="851">
        <f>'P&amp;L'!DI568</f>
        <v>0</v>
      </c>
      <c r="DJ754" s="293">
        <f t="shared" si="1904"/>
        <v>0</v>
      </c>
      <c r="DL754" s="851">
        <f>'P&amp;L'!DL568</f>
        <v>0</v>
      </c>
      <c r="DM754" s="851">
        <f>'P&amp;L'!DM568</f>
        <v>0</v>
      </c>
      <c r="DN754" s="293">
        <f t="shared" si="1905"/>
        <v>0</v>
      </c>
      <c r="DP754" s="851">
        <f>'P&amp;L'!DP568</f>
        <v>0</v>
      </c>
      <c r="DQ754" s="851">
        <f>'P&amp;L'!DQ568</f>
        <v>0</v>
      </c>
      <c r="DR754" s="293">
        <f t="shared" si="1906"/>
        <v>0</v>
      </c>
      <c r="DW754" s="1198" t="s">
        <v>174</v>
      </c>
      <c r="DX754" s="818"/>
      <c r="DY754" s="818"/>
      <c r="EA754" s="818"/>
      <c r="EB754" s="818"/>
      <c r="EC754" s="293"/>
      <c r="EE754" s="818"/>
      <c r="EF754" s="818"/>
      <c r="EG754" s="293"/>
      <c r="EI754" s="818"/>
      <c r="EJ754" s="818"/>
      <c r="EK754" s="293"/>
    </row>
    <row r="755" spans="1:283">
      <c r="A755" s="102" t="s">
        <v>667</v>
      </c>
      <c r="AP755" s="1219"/>
      <c r="AR755" s="730"/>
      <c r="AS755" s="730"/>
      <c r="AT755" s="1219">
        <v>0</v>
      </c>
      <c r="AV755" s="730">
        <v>0</v>
      </c>
      <c r="AW755" s="730">
        <v>0</v>
      </c>
      <c r="AX755" s="293">
        <f t="shared" si="1888"/>
        <v>0</v>
      </c>
      <c r="AZ755" s="730">
        <v>0</v>
      </c>
      <c r="BA755" s="730">
        <v>0</v>
      </c>
      <c r="BB755" s="293">
        <f t="shared" si="1889"/>
        <v>0</v>
      </c>
      <c r="BD755" s="626">
        <v>0</v>
      </c>
      <c r="BE755" s="927">
        <v>0</v>
      </c>
      <c r="BF755" s="293">
        <f t="shared" si="1890"/>
        <v>0</v>
      </c>
      <c r="BH755" s="927">
        <v>0</v>
      </c>
      <c r="BI755" s="927">
        <v>0</v>
      </c>
      <c r="BJ755" s="293">
        <f t="shared" si="1891"/>
        <v>0</v>
      </c>
      <c r="BL755" s="927">
        <v>0</v>
      </c>
      <c r="BM755" s="927">
        <v>0</v>
      </c>
      <c r="BN755" s="293">
        <f t="shared" si="1892"/>
        <v>0</v>
      </c>
      <c r="BO755" s="487"/>
      <c r="BP755" s="927">
        <v>0</v>
      </c>
      <c r="BQ755" s="927">
        <v>0</v>
      </c>
      <c r="BR755" s="293">
        <f t="shared" si="1893"/>
        <v>0</v>
      </c>
      <c r="BS755" s="487"/>
      <c r="BT755" s="927">
        <v>0</v>
      </c>
      <c r="BU755" s="927">
        <v>0</v>
      </c>
      <c r="BV755" s="293">
        <f t="shared" si="1894"/>
        <v>0</v>
      </c>
      <c r="BX755" s="927">
        <v>0</v>
      </c>
      <c r="BY755" s="927">
        <v>0</v>
      </c>
      <c r="BZ755" s="293">
        <f t="shared" si="1895"/>
        <v>0</v>
      </c>
      <c r="CB755" s="927">
        <v>0</v>
      </c>
      <c r="CC755" s="927">
        <v>0</v>
      </c>
      <c r="CD755" s="293">
        <f t="shared" si="1896"/>
        <v>0</v>
      </c>
      <c r="CF755" s="927">
        <v>0</v>
      </c>
      <c r="CG755" s="927">
        <v>0</v>
      </c>
      <c r="CH755" s="293">
        <f t="shared" si="1897"/>
        <v>0</v>
      </c>
      <c r="CJ755" s="927">
        <v>0</v>
      </c>
      <c r="CK755" s="927">
        <v>0</v>
      </c>
      <c r="CL755" s="293">
        <f t="shared" si="1898"/>
        <v>0</v>
      </c>
      <c r="CN755" s="1436">
        <v>0</v>
      </c>
      <c r="CO755" s="1436">
        <v>0</v>
      </c>
      <c r="CP755" s="1010">
        <f t="shared" si="1899"/>
        <v>0</v>
      </c>
      <c r="CQ755" s="1009"/>
      <c r="CR755" s="1436">
        <v>0</v>
      </c>
      <c r="CS755" s="1509">
        <v>0</v>
      </c>
      <c r="CT755" s="293">
        <f t="shared" si="1900"/>
        <v>0</v>
      </c>
      <c r="CV755" s="1436">
        <v>0</v>
      </c>
      <c r="CW755" s="1509">
        <v>0</v>
      </c>
      <c r="CX755" s="293">
        <f t="shared" si="1901"/>
        <v>0</v>
      </c>
      <c r="CZ755" s="1889">
        <v>0</v>
      </c>
      <c r="DA755" s="2022">
        <v>0</v>
      </c>
      <c r="DB755" s="293">
        <f t="shared" si="1902"/>
        <v>0</v>
      </c>
      <c r="DD755" s="1889">
        <v>0</v>
      </c>
      <c r="DE755" s="1509">
        <v>0</v>
      </c>
      <c r="DF755" s="293">
        <f t="shared" si="1903"/>
        <v>0</v>
      </c>
      <c r="DH755" s="1889">
        <v>0</v>
      </c>
      <c r="DI755" s="851">
        <f>'P&amp;L'!DI589</f>
        <v>0</v>
      </c>
      <c r="DJ755" s="293">
        <f t="shared" si="1904"/>
        <v>0</v>
      </c>
      <c r="DL755" s="851">
        <f>'P&amp;L'!DL589</f>
        <v>0</v>
      </c>
      <c r="DM755" s="851">
        <f>'P&amp;L'!DM589</f>
        <v>0</v>
      </c>
      <c r="DN755" s="293">
        <f t="shared" si="1905"/>
        <v>0</v>
      </c>
      <c r="DP755" s="851">
        <f>'P&amp;L'!DP589</f>
        <v>0</v>
      </c>
      <c r="DQ755" s="851">
        <f>'P&amp;L'!DQ589</f>
        <v>0</v>
      </c>
      <c r="DR755" s="293">
        <f t="shared" si="1906"/>
        <v>0</v>
      </c>
      <c r="DW755" s="1198" t="s">
        <v>174</v>
      </c>
      <c r="DX755" s="818"/>
      <c r="DY755" s="818"/>
      <c r="EA755" s="818"/>
      <c r="EB755" s="818"/>
      <c r="EC755" s="293"/>
      <c r="EE755" s="818"/>
      <c r="EF755" s="818"/>
      <c r="EG755" s="293"/>
      <c r="EI755" s="818"/>
      <c r="EJ755" s="818"/>
      <c r="EK755" s="293"/>
    </row>
    <row r="756" spans="1:283">
      <c r="A756" s="102" t="s">
        <v>675</v>
      </c>
      <c r="AP756" s="1219"/>
      <c r="AR756" s="730"/>
      <c r="AS756" s="730"/>
      <c r="AT756" s="1219">
        <v>0</v>
      </c>
      <c r="AV756" s="730">
        <v>55</v>
      </c>
      <c r="AW756" s="730">
        <v>0</v>
      </c>
      <c r="AX756" s="293">
        <f t="shared" si="1888"/>
        <v>55</v>
      </c>
      <c r="AZ756" s="730">
        <v>0</v>
      </c>
      <c r="BA756" s="730">
        <v>0</v>
      </c>
      <c r="BB756" s="293">
        <f t="shared" si="1889"/>
        <v>0</v>
      </c>
      <c r="BD756" s="626">
        <v>0</v>
      </c>
      <c r="BE756" s="927">
        <v>0</v>
      </c>
      <c r="BF756" s="293">
        <f t="shared" si="1890"/>
        <v>0</v>
      </c>
      <c r="BH756" s="927">
        <v>0</v>
      </c>
      <c r="BI756" s="927">
        <v>0</v>
      </c>
      <c r="BJ756" s="293">
        <f t="shared" si="1891"/>
        <v>0</v>
      </c>
      <c r="BL756" s="927">
        <v>0</v>
      </c>
      <c r="BM756" s="927">
        <v>0</v>
      </c>
      <c r="BN756" s="293">
        <f t="shared" si="1892"/>
        <v>0</v>
      </c>
      <c r="BO756" s="487"/>
      <c r="BP756" s="927">
        <v>0</v>
      </c>
      <c r="BQ756" s="927">
        <v>0</v>
      </c>
      <c r="BR756" s="293">
        <f t="shared" si="1893"/>
        <v>0</v>
      </c>
      <c r="BS756" s="487"/>
      <c r="BT756" s="927">
        <v>0</v>
      </c>
      <c r="BU756" s="927">
        <v>0</v>
      </c>
      <c r="BV756" s="293">
        <f t="shared" si="1894"/>
        <v>0</v>
      </c>
      <c r="BX756" s="927">
        <v>0</v>
      </c>
      <c r="BY756" s="927">
        <v>0</v>
      </c>
      <c r="BZ756" s="293">
        <f t="shared" si="1895"/>
        <v>0</v>
      </c>
      <c r="CB756" s="927">
        <v>0</v>
      </c>
      <c r="CC756" s="927">
        <v>0</v>
      </c>
      <c r="CD756" s="293">
        <f t="shared" si="1896"/>
        <v>0</v>
      </c>
      <c r="CF756" s="927">
        <v>0</v>
      </c>
      <c r="CG756" s="927">
        <v>0</v>
      </c>
      <c r="CH756" s="293">
        <f t="shared" si="1897"/>
        <v>0</v>
      </c>
      <c r="CJ756" s="927">
        <v>0</v>
      </c>
      <c r="CK756" s="927">
        <v>0</v>
      </c>
      <c r="CL756" s="293">
        <f t="shared" si="1898"/>
        <v>0</v>
      </c>
      <c r="CN756" s="1436">
        <v>0</v>
      </c>
      <c r="CO756" s="1436">
        <v>0</v>
      </c>
      <c r="CP756" s="1010">
        <f t="shared" si="1899"/>
        <v>0</v>
      </c>
      <c r="CQ756" s="1009"/>
      <c r="CR756" s="1436">
        <v>0</v>
      </c>
      <c r="CS756" s="1509">
        <v>0</v>
      </c>
      <c r="CT756" s="293">
        <f t="shared" si="1900"/>
        <v>0</v>
      </c>
      <c r="CV756" s="1436">
        <v>0</v>
      </c>
      <c r="CW756" s="1509">
        <v>0</v>
      </c>
      <c r="CX756" s="293">
        <f t="shared" si="1901"/>
        <v>0</v>
      </c>
      <c r="CZ756" s="1889">
        <v>0</v>
      </c>
      <c r="DA756" s="2022">
        <v>0</v>
      </c>
      <c r="DB756" s="293">
        <f t="shared" si="1902"/>
        <v>0</v>
      </c>
      <c r="DD756" s="1889">
        <v>0</v>
      </c>
      <c r="DE756" s="1509">
        <v>0</v>
      </c>
      <c r="DF756" s="293">
        <f t="shared" si="1903"/>
        <v>0</v>
      </c>
      <c r="DH756" s="1889">
        <v>0</v>
      </c>
      <c r="DI756" s="851">
        <f>'P&amp;L'!DI600</f>
        <v>0</v>
      </c>
      <c r="DJ756" s="293">
        <f t="shared" si="1904"/>
        <v>0</v>
      </c>
      <c r="DL756" s="851">
        <f>'P&amp;L'!DL600</f>
        <v>0</v>
      </c>
      <c r="DM756" s="851">
        <f>'P&amp;L'!DM600</f>
        <v>0</v>
      </c>
      <c r="DN756" s="293">
        <f t="shared" si="1905"/>
        <v>0</v>
      </c>
      <c r="DP756" s="851">
        <f>'P&amp;L'!DP600</f>
        <v>0</v>
      </c>
      <c r="DQ756" s="851">
        <f>'P&amp;L'!DQ600</f>
        <v>0</v>
      </c>
      <c r="DR756" s="293">
        <f t="shared" si="1906"/>
        <v>0</v>
      </c>
      <c r="DW756" s="1198" t="s">
        <v>174</v>
      </c>
      <c r="DX756" s="818"/>
      <c r="DY756" s="818"/>
      <c r="EA756" s="818"/>
      <c r="EB756" s="818"/>
      <c r="EC756" s="293"/>
      <c r="EE756" s="818"/>
      <c r="EF756" s="818"/>
      <c r="EG756" s="293"/>
      <c r="EI756" s="818"/>
      <c r="EJ756" s="818"/>
      <c r="EK756" s="293"/>
    </row>
    <row r="757" spans="1:283">
      <c r="A757" s="102" t="s">
        <v>1156</v>
      </c>
      <c r="AP757" s="1219"/>
      <c r="AR757" s="730"/>
      <c r="AS757" s="730"/>
      <c r="AT757" s="1219">
        <v>12</v>
      </c>
      <c r="AV757" s="730">
        <v>0</v>
      </c>
      <c r="AW757" s="730">
        <v>6</v>
      </c>
      <c r="AX757" s="293">
        <f t="shared" si="1888"/>
        <v>6</v>
      </c>
      <c r="AZ757" s="730">
        <v>-29</v>
      </c>
      <c r="BA757" s="730">
        <v>14</v>
      </c>
      <c r="BB757" s="293">
        <f t="shared" si="1889"/>
        <v>-15</v>
      </c>
      <c r="BD757" s="626">
        <v>-1</v>
      </c>
      <c r="BE757" s="927">
        <v>-14</v>
      </c>
      <c r="BF757" s="293">
        <f t="shared" si="1890"/>
        <v>-15</v>
      </c>
      <c r="BH757" s="626">
        <v>-5</v>
      </c>
      <c r="BI757" s="927">
        <v>-1</v>
      </c>
      <c r="BJ757" s="293">
        <f t="shared" si="1891"/>
        <v>-6</v>
      </c>
      <c r="BL757" s="626">
        <v>-2</v>
      </c>
      <c r="BM757" s="927">
        <v>0</v>
      </c>
      <c r="BN757" s="293">
        <f t="shared" si="1892"/>
        <v>-2</v>
      </c>
      <c r="BO757" s="487"/>
      <c r="BP757" s="626">
        <v>-2</v>
      </c>
      <c r="BQ757" s="927">
        <v>-50</v>
      </c>
      <c r="BR757" s="293">
        <f t="shared" si="1893"/>
        <v>-52</v>
      </c>
      <c r="BS757" s="487"/>
      <c r="BT757" s="626">
        <v>0</v>
      </c>
      <c r="BU757" s="927">
        <v>0</v>
      </c>
      <c r="BV757" s="293">
        <f t="shared" si="1894"/>
        <v>0</v>
      </c>
      <c r="BX757" s="626">
        <v>0</v>
      </c>
      <c r="BY757" s="626">
        <v>0</v>
      </c>
      <c r="BZ757" s="293">
        <f t="shared" si="1895"/>
        <v>0</v>
      </c>
      <c r="CB757" s="626">
        <v>-58</v>
      </c>
      <c r="CC757" s="626">
        <v>58</v>
      </c>
      <c r="CD757" s="293">
        <f t="shared" si="1896"/>
        <v>0</v>
      </c>
      <c r="CF757" s="626">
        <v>-16</v>
      </c>
      <c r="CG757" s="626">
        <v>-9</v>
      </c>
      <c r="CH757" s="293">
        <f t="shared" si="1897"/>
        <v>-25</v>
      </c>
      <c r="CJ757" s="626">
        <v>2</v>
      </c>
      <c r="CK757" s="626">
        <v>-138</v>
      </c>
      <c r="CL757" s="293">
        <f t="shared" si="1898"/>
        <v>-136</v>
      </c>
      <c r="CN757" s="1388">
        <v>-73</v>
      </c>
      <c r="CO757" s="1388">
        <v>45</v>
      </c>
      <c r="CP757" s="1010">
        <f t="shared" si="1899"/>
        <v>-28</v>
      </c>
      <c r="CQ757" s="1009"/>
      <c r="CR757" s="1388">
        <v>-48</v>
      </c>
      <c r="CS757" s="1497">
        <v>43</v>
      </c>
      <c r="CT757" s="293">
        <f t="shared" si="1900"/>
        <v>-5</v>
      </c>
      <c r="CV757" s="1388">
        <v>-44</v>
      </c>
      <c r="CW757" s="1497">
        <v>-11</v>
      </c>
      <c r="CX757" s="293">
        <f t="shared" si="1901"/>
        <v>-55</v>
      </c>
      <c r="CZ757" s="1863">
        <v>18</v>
      </c>
      <c r="DA757" s="1488">
        <v>39</v>
      </c>
      <c r="DB757" s="293">
        <f t="shared" si="1902"/>
        <v>57</v>
      </c>
      <c r="DD757" s="2210">
        <v>0</v>
      </c>
      <c r="DE757" s="2207">
        <v>-98</v>
      </c>
      <c r="DF757" s="293">
        <f t="shared" si="1903"/>
        <v>-98</v>
      </c>
      <c r="DH757" s="1863">
        <v>73</v>
      </c>
      <c r="DI757" s="851">
        <f>'P&amp;L'!DI611</f>
        <v>42.182400000000001</v>
      </c>
      <c r="DJ757" s="293">
        <f t="shared" si="1904"/>
        <v>115.1824</v>
      </c>
      <c r="DL757" s="851">
        <f>'P&amp;L'!DL611</f>
        <v>-20</v>
      </c>
      <c r="DM757" s="851">
        <f>'P&amp;L'!DM611</f>
        <v>-25</v>
      </c>
      <c r="DN757" s="293">
        <f t="shared" si="1905"/>
        <v>-45</v>
      </c>
      <c r="DP757" s="851">
        <f>'P&amp;L'!DP611</f>
        <v>-20</v>
      </c>
      <c r="DQ757" s="851">
        <f>'P&amp;L'!DQ611</f>
        <v>-25</v>
      </c>
      <c r="DR757" s="293">
        <f t="shared" si="1906"/>
        <v>-45</v>
      </c>
      <c r="DW757" s="1198" t="s">
        <v>174</v>
      </c>
      <c r="DX757" s="818"/>
      <c r="DY757" s="818"/>
      <c r="EA757" s="818"/>
      <c r="EB757" s="818"/>
      <c r="EC757" s="293"/>
      <c r="EE757" s="818"/>
      <c r="EF757" s="818"/>
      <c r="EG757" s="293"/>
      <c r="EI757" s="818"/>
      <c r="EJ757" s="818"/>
      <c r="EK757" s="293"/>
    </row>
    <row r="758" spans="1:283">
      <c r="A758" s="102" t="s">
        <v>827</v>
      </c>
      <c r="AP758" s="1219"/>
      <c r="AR758" s="730"/>
      <c r="AS758" s="730"/>
      <c r="AT758" s="1219">
        <v>0</v>
      </c>
      <c r="AV758" s="730">
        <v>0</v>
      </c>
      <c r="AW758" s="730">
        <v>0</v>
      </c>
      <c r="AX758" s="293">
        <f t="shared" si="1888"/>
        <v>0</v>
      </c>
      <c r="AZ758" s="730">
        <v>9</v>
      </c>
      <c r="BA758" s="730">
        <v>-1</v>
      </c>
      <c r="BB758" s="293">
        <f t="shared" si="1889"/>
        <v>8</v>
      </c>
      <c r="BD758" s="626">
        <v>0</v>
      </c>
      <c r="BE758" s="927">
        <v>0</v>
      </c>
      <c r="BF758" s="293">
        <f t="shared" si="1890"/>
        <v>0</v>
      </c>
      <c r="BH758" s="927">
        <v>0</v>
      </c>
      <c r="BI758" s="927">
        <v>0</v>
      </c>
      <c r="BJ758" s="293">
        <f t="shared" si="1891"/>
        <v>0</v>
      </c>
      <c r="BL758" s="927">
        <v>0</v>
      </c>
      <c r="BM758" s="927">
        <v>0</v>
      </c>
      <c r="BN758" s="293">
        <f t="shared" si="1892"/>
        <v>0</v>
      </c>
      <c r="BO758" s="487"/>
      <c r="BP758" s="927">
        <v>0</v>
      </c>
      <c r="BQ758" s="927">
        <v>0</v>
      </c>
      <c r="BR758" s="293">
        <f t="shared" si="1893"/>
        <v>0</v>
      </c>
      <c r="BS758" s="487"/>
      <c r="BT758" s="927">
        <v>0</v>
      </c>
      <c r="BU758" s="927">
        <v>0</v>
      </c>
      <c r="BV758" s="293">
        <f t="shared" si="1894"/>
        <v>0</v>
      </c>
      <c r="BX758" s="927">
        <v>0</v>
      </c>
      <c r="BY758" s="927">
        <v>0</v>
      </c>
      <c r="BZ758" s="293">
        <f t="shared" si="1895"/>
        <v>0</v>
      </c>
      <c r="CB758" s="927">
        <v>0</v>
      </c>
      <c r="CC758" s="927">
        <v>0</v>
      </c>
      <c r="CD758" s="293">
        <f t="shared" si="1896"/>
        <v>0</v>
      </c>
      <c r="CF758" s="927">
        <v>0</v>
      </c>
      <c r="CG758" s="927">
        <v>0</v>
      </c>
      <c r="CH758" s="293">
        <f t="shared" si="1897"/>
        <v>0</v>
      </c>
      <c r="CJ758" s="927">
        <v>0</v>
      </c>
      <c r="CK758" s="927">
        <v>0</v>
      </c>
      <c r="CL758" s="293">
        <f t="shared" si="1898"/>
        <v>0</v>
      </c>
      <c r="CN758" s="1436">
        <v>0</v>
      </c>
      <c r="CO758" s="1436">
        <v>0</v>
      </c>
      <c r="CP758" s="1010">
        <f t="shared" si="1899"/>
        <v>0</v>
      </c>
      <c r="CQ758" s="1009"/>
      <c r="CR758" s="1436">
        <v>0</v>
      </c>
      <c r="CS758" s="1509">
        <v>0</v>
      </c>
      <c r="CT758" s="293">
        <f t="shared" si="1900"/>
        <v>0</v>
      </c>
      <c r="CV758" s="1436">
        <v>0</v>
      </c>
      <c r="CW758" s="1509">
        <v>0</v>
      </c>
      <c r="CX758" s="293">
        <f t="shared" si="1901"/>
        <v>0</v>
      </c>
      <c r="CZ758" s="1889">
        <v>0</v>
      </c>
      <c r="DA758" s="2022">
        <v>0</v>
      </c>
      <c r="DB758" s="293">
        <f t="shared" si="1902"/>
        <v>0</v>
      </c>
      <c r="DD758" s="1889">
        <v>0</v>
      </c>
      <c r="DE758" s="1509">
        <v>0</v>
      </c>
      <c r="DF758" s="293">
        <f t="shared" si="1903"/>
        <v>0</v>
      </c>
      <c r="DH758" s="1889">
        <v>0</v>
      </c>
      <c r="DI758" s="851">
        <f>'P&amp;L'!DI633</f>
        <v>0</v>
      </c>
      <c r="DJ758" s="293">
        <f t="shared" si="1904"/>
        <v>0</v>
      </c>
      <c r="DL758" s="851">
        <f>'P&amp;L'!DL633</f>
        <v>0</v>
      </c>
      <c r="DM758" s="851">
        <f>'P&amp;L'!DM633</f>
        <v>0</v>
      </c>
      <c r="DN758" s="293">
        <f t="shared" si="1905"/>
        <v>0</v>
      </c>
      <c r="DP758" s="851">
        <f>'P&amp;L'!DP633</f>
        <v>0</v>
      </c>
      <c r="DQ758" s="851">
        <f>'P&amp;L'!DQ633</f>
        <v>0</v>
      </c>
      <c r="DR758" s="293">
        <f t="shared" si="1906"/>
        <v>0</v>
      </c>
      <c r="DW758" s="1198" t="s">
        <v>174</v>
      </c>
      <c r="DX758" s="818"/>
      <c r="DY758" s="818"/>
      <c r="EA758" s="818"/>
      <c r="EB758" s="818"/>
      <c r="EC758" s="293"/>
      <c r="EE758" s="818"/>
      <c r="EF758" s="818"/>
      <c r="EG758" s="293"/>
      <c r="EI758" s="818"/>
      <c r="EJ758" s="818"/>
      <c r="EK758" s="293"/>
    </row>
    <row r="759" spans="1:283">
      <c r="A759" s="102" t="s">
        <v>828</v>
      </c>
      <c r="AP759" s="1219"/>
      <c r="AR759" s="730"/>
      <c r="AS759" s="730"/>
      <c r="AT759" s="1219">
        <v>0</v>
      </c>
      <c r="AV759" s="730">
        <v>0</v>
      </c>
      <c r="AW759" s="730">
        <v>0</v>
      </c>
      <c r="AX759" s="293">
        <f t="shared" si="1888"/>
        <v>0</v>
      </c>
      <c r="AZ759" s="730">
        <v>48</v>
      </c>
      <c r="BA759" s="730">
        <v>35</v>
      </c>
      <c r="BB759" s="293">
        <f t="shared" si="1889"/>
        <v>83</v>
      </c>
      <c r="BD759" s="626">
        <v>65</v>
      </c>
      <c r="BE759" s="927">
        <v>337</v>
      </c>
      <c r="BF759" s="293">
        <f t="shared" si="1890"/>
        <v>402</v>
      </c>
      <c r="BH759" s="626">
        <v>42</v>
      </c>
      <c r="BI759" s="927">
        <v>39</v>
      </c>
      <c r="BJ759" s="293">
        <f t="shared" si="1891"/>
        <v>81</v>
      </c>
      <c r="BL759" s="626">
        <v>52</v>
      </c>
      <c r="BM759" s="927">
        <v>36</v>
      </c>
      <c r="BN759" s="293">
        <f t="shared" si="1892"/>
        <v>88</v>
      </c>
      <c r="BO759" s="487"/>
      <c r="BP759" s="626">
        <v>2</v>
      </c>
      <c r="BQ759" s="927">
        <v>0</v>
      </c>
      <c r="BR759" s="293">
        <f t="shared" si="1893"/>
        <v>2</v>
      </c>
      <c r="BS759" s="487"/>
      <c r="BT759" s="626">
        <v>0</v>
      </c>
      <c r="BU759" s="927">
        <v>0</v>
      </c>
      <c r="BV759" s="293">
        <f t="shared" si="1894"/>
        <v>0</v>
      </c>
      <c r="BX759" s="626">
        <v>0</v>
      </c>
      <c r="BY759" s="626">
        <v>0</v>
      </c>
      <c r="BZ759" s="293">
        <f t="shared" si="1895"/>
        <v>0</v>
      </c>
      <c r="CB759" s="626">
        <v>0</v>
      </c>
      <c r="CC759" s="626">
        <v>0</v>
      </c>
      <c r="CD759" s="293">
        <f t="shared" si="1896"/>
        <v>0</v>
      </c>
      <c r="CF759" s="626">
        <v>0</v>
      </c>
      <c r="CG759" s="626">
        <v>0</v>
      </c>
      <c r="CH759" s="293">
        <f t="shared" si="1897"/>
        <v>0</v>
      </c>
      <c r="CJ759" s="626">
        <v>0</v>
      </c>
      <c r="CK759" s="626">
        <v>0</v>
      </c>
      <c r="CL759" s="293">
        <f t="shared" si="1898"/>
        <v>0</v>
      </c>
      <c r="CN759" s="1388">
        <v>0</v>
      </c>
      <c r="CO759" s="1388">
        <v>0</v>
      </c>
      <c r="CP759" s="1010">
        <f t="shared" si="1899"/>
        <v>0</v>
      </c>
      <c r="CQ759" s="1009"/>
      <c r="CR759" s="1388">
        <v>0</v>
      </c>
      <c r="CS759" s="1497">
        <v>0</v>
      </c>
      <c r="CT759" s="293">
        <f t="shared" si="1900"/>
        <v>0</v>
      </c>
      <c r="CV759" s="1388">
        <v>0</v>
      </c>
      <c r="CW759" s="1497">
        <v>0</v>
      </c>
      <c r="CX759" s="293">
        <f t="shared" si="1901"/>
        <v>0</v>
      </c>
      <c r="CZ759" s="1863">
        <v>0</v>
      </c>
      <c r="DA759" s="1488">
        <v>0</v>
      </c>
      <c r="DB759" s="293">
        <f t="shared" si="1902"/>
        <v>0</v>
      </c>
      <c r="DD759" s="1863">
        <v>0</v>
      </c>
      <c r="DE759" s="1497">
        <v>0</v>
      </c>
      <c r="DF759" s="293">
        <f t="shared" si="1903"/>
        <v>0</v>
      </c>
      <c r="DH759" s="1863">
        <v>0</v>
      </c>
      <c r="DI759" s="851">
        <f>'P&amp;L'!DI622</f>
        <v>0</v>
      </c>
      <c r="DJ759" s="293">
        <f t="shared" si="1904"/>
        <v>0</v>
      </c>
      <c r="DL759" s="851">
        <f>'P&amp;L'!DL622</f>
        <v>0</v>
      </c>
      <c r="DM759" s="851">
        <f>'P&amp;L'!DM622</f>
        <v>0</v>
      </c>
      <c r="DN759" s="293">
        <f t="shared" si="1905"/>
        <v>0</v>
      </c>
      <c r="DP759" s="851">
        <f>'P&amp;L'!DP622</f>
        <v>0</v>
      </c>
      <c r="DQ759" s="851">
        <f>'P&amp;L'!DQ622</f>
        <v>0</v>
      </c>
      <c r="DR759" s="293">
        <f t="shared" si="1906"/>
        <v>0</v>
      </c>
      <c r="DW759" s="1198" t="s">
        <v>174</v>
      </c>
      <c r="DX759" s="850"/>
      <c r="DY759" s="850"/>
      <c r="EA759" s="850"/>
      <c r="EB759" s="850"/>
      <c r="EC759" s="293"/>
      <c r="EE759" s="850"/>
      <c r="EF759" s="850"/>
      <c r="EG759" s="293"/>
      <c r="EI759" s="850"/>
      <c r="EJ759" s="850"/>
      <c r="EK759" s="293"/>
    </row>
    <row r="760" spans="1:283" s="289" customFormat="1">
      <c r="A760" s="102" t="s">
        <v>663</v>
      </c>
      <c r="AN760" s="290"/>
      <c r="AO760" s="290"/>
      <c r="AP760" s="1219">
        <v>13</v>
      </c>
      <c r="AQ760" s="290"/>
      <c r="AR760" s="730"/>
      <c r="AS760" s="730"/>
      <c r="AT760" s="1219">
        <v>6</v>
      </c>
      <c r="AU760" s="290"/>
      <c r="AV760" s="730">
        <v>24</v>
      </c>
      <c r="AW760" s="730">
        <v>16</v>
      </c>
      <c r="AX760" s="293">
        <f t="shared" si="1888"/>
        <v>40</v>
      </c>
      <c r="AY760" s="290"/>
      <c r="AZ760" s="730">
        <v>110</v>
      </c>
      <c r="BA760" s="730">
        <v>16</v>
      </c>
      <c r="BB760" s="293">
        <f t="shared" si="1889"/>
        <v>126</v>
      </c>
      <c r="BC760" s="290"/>
      <c r="BD760" s="626">
        <v>15</v>
      </c>
      <c r="BE760" s="927">
        <v>4</v>
      </c>
      <c r="BF760" s="293">
        <f t="shared" si="1890"/>
        <v>19</v>
      </c>
      <c r="BG760" s="290"/>
      <c r="BH760" s="626">
        <v>18</v>
      </c>
      <c r="BI760" s="927">
        <v>-12</v>
      </c>
      <c r="BJ760" s="293">
        <f t="shared" si="1891"/>
        <v>6</v>
      </c>
      <c r="BK760" s="290"/>
      <c r="BL760" s="626">
        <v>-46</v>
      </c>
      <c r="BM760" s="927">
        <v>46</v>
      </c>
      <c r="BN760" s="293">
        <f t="shared" si="1892"/>
        <v>0</v>
      </c>
      <c r="BO760" s="487"/>
      <c r="BP760" s="626">
        <v>8</v>
      </c>
      <c r="BQ760" s="927">
        <v>11</v>
      </c>
      <c r="BR760" s="293">
        <f t="shared" si="1893"/>
        <v>19</v>
      </c>
      <c r="BS760" s="487"/>
      <c r="BT760" s="626">
        <v>0</v>
      </c>
      <c r="BU760" s="927">
        <v>17</v>
      </c>
      <c r="BV760" s="293">
        <f t="shared" si="1894"/>
        <v>17</v>
      </c>
      <c r="BW760" s="290"/>
      <c r="BX760" s="626">
        <v>0</v>
      </c>
      <c r="BY760" s="626">
        <v>11</v>
      </c>
      <c r="BZ760" s="293">
        <f t="shared" si="1895"/>
        <v>11</v>
      </c>
      <c r="CA760" s="290"/>
      <c r="CB760" s="626">
        <v>-62</v>
      </c>
      <c r="CC760" s="626">
        <v>-4</v>
      </c>
      <c r="CD760" s="293">
        <f t="shared" si="1896"/>
        <v>-66</v>
      </c>
      <c r="CE760" s="290"/>
      <c r="CF760" s="626">
        <v>-24</v>
      </c>
      <c r="CG760" s="626">
        <v>12</v>
      </c>
      <c r="CH760" s="293">
        <f t="shared" si="1897"/>
        <v>-12</v>
      </c>
      <c r="CI760" s="290"/>
      <c r="CJ760" s="626">
        <v>14</v>
      </c>
      <c r="CK760" s="626">
        <v>2</v>
      </c>
      <c r="CL760" s="293">
        <f t="shared" si="1898"/>
        <v>16</v>
      </c>
      <c r="CM760" s="290"/>
      <c r="CN760" s="1388">
        <v>27</v>
      </c>
      <c r="CO760" s="1388">
        <v>-2</v>
      </c>
      <c r="CP760" s="1010">
        <f t="shared" si="1899"/>
        <v>25</v>
      </c>
      <c r="CQ760" s="1424"/>
      <c r="CR760" s="1388">
        <v>3</v>
      </c>
      <c r="CS760" s="1497">
        <v>-9</v>
      </c>
      <c r="CT760" s="293">
        <f t="shared" si="1900"/>
        <v>-6</v>
      </c>
      <c r="CU760" s="290"/>
      <c r="CV760" s="1388">
        <v>23</v>
      </c>
      <c r="CW760" s="1497">
        <v>0</v>
      </c>
      <c r="CX760" s="293">
        <f t="shared" si="1901"/>
        <v>23</v>
      </c>
      <c r="CY760" s="290"/>
      <c r="CZ760" s="1863">
        <v>11</v>
      </c>
      <c r="DA760" s="1488">
        <v>-2</v>
      </c>
      <c r="DB760" s="293">
        <f t="shared" si="1902"/>
        <v>9</v>
      </c>
      <c r="DC760" s="290"/>
      <c r="DD760" s="2210">
        <v>-10</v>
      </c>
      <c r="DE760" s="2207">
        <v>-305</v>
      </c>
      <c r="DF760" s="293">
        <f t="shared" si="1903"/>
        <v>-315</v>
      </c>
      <c r="DG760" s="290"/>
      <c r="DH760" s="1863">
        <v>-285</v>
      </c>
      <c r="DI760" s="851">
        <f>'P&amp;L'!DI644</f>
        <v>-100</v>
      </c>
      <c r="DJ760" s="293">
        <f t="shared" si="1904"/>
        <v>-385</v>
      </c>
      <c r="DK760" s="290"/>
      <c r="DL760" s="851">
        <f>'P&amp;L'!DL644</f>
        <v>-80</v>
      </c>
      <c r="DM760" s="851">
        <f>'P&amp;L'!DM644</f>
        <v>-70</v>
      </c>
      <c r="DN760" s="293">
        <f t="shared" si="1905"/>
        <v>-150</v>
      </c>
      <c r="DO760" s="290"/>
      <c r="DP760" s="851">
        <f>'P&amp;L'!DP644</f>
        <v>-25</v>
      </c>
      <c r="DQ760" s="851">
        <f>'P&amp;L'!DQ644</f>
        <v>-25</v>
      </c>
      <c r="DR760" s="293">
        <f t="shared" si="1906"/>
        <v>-50</v>
      </c>
      <c r="DS760" s="290"/>
      <c r="DT760" s="290"/>
      <c r="DU760" s="290"/>
      <c r="DV760" s="290"/>
      <c r="DW760" s="1198" t="s">
        <v>174</v>
      </c>
      <c r="DX760" s="818"/>
      <c r="DY760" s="818"/>
      <c r="DZ760" s="290"/>
      <c r="EA760" s="818"/>
      <c r="EB760" s="818"/>
      <c r="EC760" s="293"/>
      <c r="ED760" s="290"/>
      <c r="EE760" s="818"/>
      <c r="EF760" s="818"/>
      <c r="EG760" s="293"/>
      <c r="EH760" s="290"/>
      <c r="EI760" s="818"/>
      <c r="EJ760" s="818"/>
      <c r="EK760" s="293"/>
      <c r="EL760" s="290"/>
      <c r="EM760" s="290"/>
      <c r="EN760" s="290"/>
      <c r="EO760" s="290"/>
      <c r="EP760" s="290"/>
      <c r="EQ760" s="290"/>
      <c r="ER760" s="290"/>
      <c r="ES760" s="290"/>
      <c r="ET760" s="290"/>
      <c r="EU760" s="290"/>
      <c r="JW760"/>
    </row>
    <row r="761" spans="1:283" s="327" customFormat="1">
      <c r="A761" s="327" t="s">
        <v>613</v>
      </c>
      <c r="AN761" s="295"/>
      <c r="AO761" s="295"/>
      <c r="AP761" s="295">
        <f>SUM(AP747:AP760)</f>
        <v>13</v>
      </c>
      <c r="AQ761" s="295"/>
      <c r="AR761" s="295"/>
      <c r="AS761" s="295"/>
      <c r="AT761" s="295">
        <f>SUM(AT747:AT760)</f>
        <v>182</v>
      </c>
      <c r="AU761" s="295"/>
      <c r="AV761" s="295">
        <f>SUM(AV747:AV760)</f>
        <v>216</v>
      </c>
      <c r="AW761" s="295">
        <f>SUM(AW747:AW760)</f>
        <v>40</v>
      </c>
      <c r="AX761" s="295">
        <f>SUM(AX747:AX760)</f>
        <v>256</v>
      </c>
      <c r="AY761" s="295"/>
      <c r="AZ761" s="295">
        <f>SUM(AZ747:AZ760)</f>
        <v>151</v>
      </c>
      <c r="BA761" s="295">
        <f>SUM(BA747:BA760)</f>
        <v>53</v>
      </c>
      <c r="BB761" s="295">
        <f>SUM(BB747:BB760)</f>
        <v>204</v>
      </c>
      <c r="BC761" s="295"/>
      <c r="BD761" s="295">
        <f>SUM(BD747:BD760)</f>
        <v>91</v>
      </c>
      <c r="BE761" s="295">
        <f>SUM(BE747:BE760)</f>
        <v>183</v>
      </c>
      <c r="BF761" s="295">
        <f>SUM(BF747:BF760)</f>
        <v>274</v>
      </c>
      <c r="BG761" s="295"/>
      <c r="BH761" s="295">
        <f>SUM(BH747:BH760)</f>
        <v>-10</v>
      </c>
      <c r="BI761" s="295">
        <f>SUM(BI747:BI760)</f>
        <v>105</v>
      </c>
      <c r="BJ761" s="295">
        <f>SUM(BJ747:BJ760)</f>
        <v>95</v>
      </c>
      <c r="BK761" s="295"/>
      <c r="BL761" s="295">
        <f>SUM(BL747:BL760)</f>
        <v>12</v>
      </c>
      <c r="BM761" s="295">
        <f>SUM(BM747:BM760)</f>
        <v>219</v>
      </c>
      <c r="BN761" s="295">
        <f>SUM(BN747:BN760)</f>
        <v>231</v>
      </c>
      <c r="BO761" s="487"/>
      <c r="BP761" s="295">
        <f>SUM(BP747:BP760)</f>
        <v>6</v>
      </c>
      <c r="BQ761" s="295">
        <f>SUM(BQ747:BQ760)</f>
        <v>-149</v>
      </c>
      <c r="BR761" s="295">
        <f>SUM(BR747:BR760)</f>
        <v>-143</v>
      </c>
      <c r="BS761" s="487"/>
      <c r="BT761" s="295">
        <f>SUM(BT747:BT760)</f>
        <v>-97</v>
      </c>
      <c r="BU761" s="295">
        <f>SUM(BU747:BU760)</f>
        <v>51</v>
      </c>
      <c r="BV761" s="295">
        <f>SUM(BV747:BV760)</f>
        <v>-46</v>
      </c>
      <c r="BW761" s="295"/>
      <c r="BX761" s="295">
        <f>SUM(BX747:BX760)</f>
        <v>37</v>
      </c>
      <c r="BY761" s="295">
        <f>SUM(BY747:BY760)</f>
        <v>64</v>
      </c>
      <c r="BZ761" s="295">
        <f>SUM(BZ747:BZ760)</f>
        <v>101</v>
      </c>
      <c r="CA761" s="295"/>
      <c r="CB761" s="295">
        <f>SUM(CB747:CB760)</f>
        <v>-113</v>
      </c>
      <c r="CC761" s="295">
        <f>SUM(CC747:CC760)</f>
        <v>60</v>
      </c>
      <c r="CD761" s="295">
        <f>SUM(CD747:CD760)</f>
        <v>-53</v>
      </c>
      <c r="CE761" s="295"/>
      <c r="CF761" s="295">
        <f>SUM(CF747:CF760)</f>
        <v>-89</v>
      </c>
      <c r="CG761" s="295">
        <f>SUM(CG747:CG760)</f>
        <v>8</v>
      </c>
      <c r="CH761" s="295">
        <f>SUM(CH747:CH760)</f>
        <v>-81</v>
      </c>
      <c r="CI761" s="295"/>
      <c r="CJ761" s="295">
        <f>SUM(CJ747:CJ760)</f>
        <v>26</v>
      </c>
      <c r="CK761" s="295">
        <f>SUM(CK747:CK760)</f>
        <v>-156</v>
      </c>
      <c r="CL761" s="295">
        <f>SUM(CL747:CL760)</f>
        <v>-130</v>
      </c>
      <c r="CM761" s="295"/>
      <c r="CN761" s="295">
        <f>SUM(CN747:CN760)</f>
        <v>-40</v>
      </c>
      <c r="CO761" s="295">
        <f>SUM(CO747:CO760)</f>
        <v>91</v>
      </c>
      <c r="CP761" s="295">
        <f>SUM(CP747:CP760)</f>
        <v>51</v>
      </c>
      <c r="CQ761" s="295"/>
      <c r="CR761" s="295">
        <f>SUM(CR747:CR760)</f>
        <v>-11</v>
      </c>
      <c r="CS761" s="295">
        <f>SUM(CS747:CS760)</f>
        <v>17</v>
      </c>
      <c r="CT761" s="295">
        <f>SUM(CT747:CT760)</f>
        <v>6</v>
      </c>
      <c r="CU761" s="295"/>
      <c r="CV761" s="295">
        <f>SUM(CV747:CV760)</f>
        <v>-24</v>
      </c>
      <c r="CW761" s="295">
        <f>SUM(CW747:CW760)</f>
        <v>-9</v>
      </c>
      <c r="CX761" s="295">
        <f>SUM(CX747:CX760)</f>
        <v>-33</v>
      </c>
      <c r="CY761" s="295"/>
      <c r="CZ761" s="1412">
        <f>SUM(CZ747:CZ760)</f>
        <v>35</v>
      </c>
      <c r="DA761" s="295">
        <f>SUM(DA747:DA760)</f>
        <v>55</v>
      </c>
      <c r="DB761" s="295">
        <f>SUM(DB747:DB760)</f>
        <v>90</v>
      </c>
      <c r="DC761" s="295"/>
      <c r="DD761" s="1412">
        <f>SUM(DD747:DD760)</f>
        <v>118</v>
      </c>
      <c r="DE761" s="295">
        <f>SUM(DE747:DE760)</f>
        <v>-310</v>
      </c>
      <c r="DF761" s="295">
        <f>SUM(DF747:DF760)</f>
        <v>-192</v>
      </c>
      <c r="DG761" s="295"/>
      <c r="DH761" s="1412">
        <f>SUM(DH747:DH760)</f>
        <v>-212</v>
      </c>
      <c r="DI761" s="295">
        <f>SUM(DI747:DI760)</f>
        <v>-57.817599999999999</v>
      </c>
      <c r="DJ761" s="295">
        <f>SUM(DJ747:DJ760)</f>
        <v>-269.81759999999997</v>
      </c>
      <c r="DK761" s="295"/>
      <c r="DL761" s="295">
        <f>SUM(DL747:DL760)</f>
        <v>-100</v>
      </c>
      <c r="DM761" s="295">
        <f>SUM(DM747:DM760)</f>
        <v>-95</v>
      </c>
      <c r="DN761" s="295">
        <f>SUM(DN747:DN760)</f>
        <v>-195</v>
      </c>
      <c r="DO761" s="295"/>
      <c r="DP761" s="295">
        <f>SUM(DP747:DP760)</f>
        <v>-45</v>
      </c>
      <c r="DQ761" s="295">
        <f>SUM(DQ747:DQ760)</f>
        <v>-50</v>
      </c>
      <c r="DR761" s="295">
        <f>SUM(DR747:DR760)</f>
        <v>-95</v>
      </c>
      <c r="DS761" s="295"/>
      <c r="DT761" s="295"/>
      <c r="DU761" s="295"/>
      <c r="DV761" s="295"/>
      <c r="DW761" s="295"/>
      <c r="DX761" s="295"/>
      <c r="DY761" s="295"/>
      <c r="DZ761" s="295"/>
      <c r="EA761" s="295"/>
      <c r="EB761" s="295"/>
      <c r="EC761" s="295"/>
      <c r="ED761" s="295"/>
      <c r="EE761" s="295"/>
      <c r="EF761" s="295"/>
      <c r="EG761" s="295"/>
      <c r="EH761" s="295"/>
      <c r="EI761" s="295"/>
      <c r="EJ761" s="295"/>
      <c r="EK761" s="295"/>
      <c r="EL761" s="295"/>
      <c r="EM761" s="295"/>
      <c r="EN761" s="295"/>
      <c r="EO761" s="295"/>
      <c r="EP761" s="295"/>
      <c r="EQ761" s="295"/>
      <c r="ER761" s="295"/>
      <c r="ES761" s="295"/>
      <c r="ET761" s="295"/>
      <c r="EU761" s="295"/>
      <c r="JW761"/>
    </row>
    <row r="762" spans="1:283">
      <c r="CR762" s="103"/>
      <c r="CS762" s="103"/>
      <c r="CT762" s="103"/>
      <c r="CV762" s="103"/>
      <c r="CW762" s="103"/>
      <c r="CX762" s="103"/>
      <c r="CZ762" s="103"/>
      <c r="DA762" s="103"/>
      <c r="DB762" s="103"/>
      <c r="DD762" s="103"/>
      <c r="DE762" s="103"/>
      <c r="DF762" s="103"/>
      <c r="DH762" s="103"/>
      <c r="DI762" s="103"/>
      <c r="DJ762" s="103"/>
      <c r="DL762" s="103"/>
      <c r="DM762" s="103"/>
      <c r="DN762" s="103"/>
      <c r="DP762" s="103"/>
      <c r="DQ762" s="103"/>
      <c r="DR762" s="103"/>
    </row>
    <row r="763" spans="1:283">
      <c r="CR763" s="103"/>
      <c r="CS763" s="103"/>
      <c r="CT763" s="103"/>
      <c r="CV763" s="103"/>
      <c r="CW763" s="103"/>
      <c r="CX763" s="103"/>
      <c r="CZ763" s="103"/>
      <c r="DA763" s="103"/>
      <c r="DB763" s="103"/>
      <c r="DD763" s="103"/>
      <c r="DE763" s="103"/>
      <c r="DF763" s="103"/>
      <c r="DH763" s="103"/>
      <c r="DI763" s="103"/>
      <c r="DJ763" s="103"/>
      <c r="DL763" s="103"/>
      <c r="DM763" s="103"/>
      <c r="DN763" s="103"/>
      <c r="DP763" s="103"/>
      <c r="DQ763" s="103"/>
      <c r="DR763" s="103"/>
    </row>
    <row r="764" spans="1:283" s="332" customFormat="1">
      <c r="A764" s="1207" t="s">
        <v>899</v>
      </c>
      <c r="AN764" s="293"/>
      <c r="AO764" s="293"/>
      <c r="AP764" s="293"/>
      <c r="AQ764" s="293"/>
      <c r="AR764" s="293"/>
      <c r="AS764" s="293"/>
      <c r="AT764" s="293"/>
      <c r="AU764" s="293"/>
      <c r="AV764" s="293"/>
      <c r="AW764" s="293"/>
      <c r="AX764" s="293"/>
      <c r="AY764" s="293"/>
      <c r="AZ764" s="293"/>
      <c r="BA764" s="293"/>
      <c r="BB764" s="293"/>
      <c r="BC764" s="293"/>
      <c r="BD764" s="293"/>
      <c r="BE764" s="293"/>
      <c r="BF764" s="293"/>
      <c r="BG764" s="293"/>
      <c r="BH764" s="293"/>
      <c r="BI764" s="293"/>
      <c r="BJ764" s="293"/>
      <c r="BK764" s="293"/>
      <c r="BL764" s="293"/>
      <c r="BM764" s="293"/>
      <c r="BN764" s="293"/>
      <c r="BO764" s="293"/>
      <c r="BP764" s="293"/>
      <c r="BQ764" s="293"/>
      <c r="BR764" s="293"/>
      <c r="BS764" s="293"/>
      <c r="BT764" s="293"/>
      <c r="BU764" s="293"/>
      <c r="BV764" s="293"/>
      <c r="BW764" s="293"/>
      <c r="BX764" s="293"/>
      <c r="BY764" s="293"/>
      <c r="BZ764" s="293"/>
      <c r="CA764" s="293"/>
      <c r="CB764" s="293"/>
      <c r="CC764" s="293"/>
      <c r="CD764" s="293"/>
      <c r="CE764" s="293"/>
      <c r="CF764" s="293"/>
      <c r="CG764" s="293"/>
      <c r="CH764" s="293"/>
      <c r="CI764" s="293"/>
      <c r="CJ764" s="293"/>
      <c r="CK764" s="293"/>
      <c r="CL764" s="293"/>
      <c r="CM764" s="293"/>
      <c r="CN764" s="293"/>
      <c r="CO764" s="293"/>
      <c r="CP764" s="293"/>
      <c r="CQ764" s="293"/>
      <c r="CR764" s="293"/>
      <c r="CS764" s="293"/>
      <c r="CT764" s="293"/>
      <c r="CU764" s="293"/>
      <c r="CV764" s="293"/>
      <c r="CW764" s="293"/>
      <c r="CX764" s="293"/>
      <c r="CY764" s="293"/>
      <c r="CZ764" s="293"/>
      <c r="DA764" s="293"/>
      <c r="DB764" s="293"/>
      <c r="DC764" s="293"/>
      <c r="DD764" s="293"/>
      <c r="DE764" s="293"/>
      <c r="DF764" s="293"/>
      <c r="DG764" s="293"/>
      <c r="DH764" s="293"/>
      <c r="DI764" s="924">
        <f>+DI767-$DH$767</f>
        <v>66.240000000000123</v>
      </c>
      <c r="DJ764" s="293"/>
      <c r="DK764" s="293"/>
      <c r="DL764" s="924">
        <f>+DL767-$DH$767</f>
        <v>91.600000000000136</v>
      </c>
      <c r="DM764" s="924">
        <f>+DM767-$DH$767</f>
        <v>154.64160000000015</v>
      </c>
      <c r="DN764" s="293"/>
      <c r="DO764" s="293"/>
      <c r="DP764" s="293"/>
      <c r="DQ764" s="293"/>
      <c r="DR764" s="293"/>
      <c r="DS764" s="293"/>
      <c r="DT764" s="293"/>
      <c r="DU764" s="293"/>
      <c r="DV764" s="293"/>
      <c r="DW764" s="828"/>
      <c r="DX764" s="293"/>
      <c r="DY764" s="293"/>
      <c r="DZ764" s="293"/>
      <c r="EA764" s="293"/>
      <c r="EB764" s="293"/>
      <c r="EC764" s="293"/>
      <c r="ED764" s="293"/>
      <c r="EE764" s="293"/>
      <c r="EF764" s="293"/>
      <c r="EG764" s="293"/>
      <c r="EH764" s="293"/>
      <c r="EI764" s="293"/>
      <c r="EJ764" s="293"/>
      <c r="EK764" s="293"/>
      <c r="EL764" s="293"/>
      <c r="EM764" s="293"/>
      <c r="EN764" s="293"/>
      <c r="EO764" s="293"/>
      <c r="EP764" s="293"/>
      <c r="EQ764" s="293"/>
      <c r="ER764" s="293"/>
      <c r="ES764" s="293"/>
      <c r="ET764" s="293"/>
      <c r="EU764" s="293"/>
      <c r="JW764"/>
    </row>
    <row r="765" spans="1:283" s="332" customFormat="1">
      <c r="A765" s="332" t="str">
        <f>A718</f>
        <v>Employment expenses</v>
      </c>
      <c r="AN765" s="492"/>
      <c r="AO765" s="492"/>
      <c r="AP765" s="492"/>
      <c r="AQ765" s="293"/>
      <c r="AR765" s="492">
        <f t="shared" ref="AR765:AT767" si="1907">AR718</f>
        <v>-480</v>
      </c>
      <c r="AS765" s="492">
        <f t="shared" si="1907"/>
        <v>-143</v>
      </c>
      <c r="AT765" s="492">
        <f t="shared" si="1907"/>
        <v>-623</v>
      </c>
      <c r="AU765" s="626"/>
      <c r="AV765" s="492">
        <f t="shared" ref="AV765:AX767" si="1908">AV718</f>
        <v>-771</v>
      </c>
      <c r="AW765" s="492">
        <f t="shared" si="1908"/>
        <v>-692</v>
      </c>
      <c r="AX765" s="492">
        <f t="shared" si="1908"/>
        <v>-1463</v>
      </c>
      <c r="AY765" s="626"/>
      <c r="AZ765" s="492">
        <f t="shared" ref="AZ765:BB767" si="1909">AZ718</f>
        <v>-936.33330000000001</v>
      </c>
      <c r="BA765" s="492">
        <f t="shared" si="1909"/>
        <v>-911.33333000000005</v>
      </c>
      <c r="BB765" s="492">
        <f t="shared" si="1909"/>
        <v>-1847.6666300000002</v>
      </c>
      <c r="BC765" s="293"/>
      <c r="BD765" s="492">
        <f t="shared" ref="BD765:BF767" si="1910">BD718</f>
        <v>-792.66666999999995</v>
      </c>
      <c r="BE765" s="492">
        <f t="shared" si="1910"/>
        <v>-1012.333</v>
      </c>
      <c r="BF765" s="492">
        <f t="shared" si="1910"/>
        <v>-1804.9996699999999</v>
      </c>
      <c r="BG765" s="293"/>
      <c r="BH765" s="492">
        <f t="shared" ref="BH765:BJ767" si="1911">BH718</f>
        <v>-753</v>
      </c>
      <c r="BI765" s="492">
        <f t="shared" si="1911"/>
        <v>-959</v>
      </c>
      <c r="BJ765" s="492">
        <f t="shared" si="1911"/>
        <v>-1712</v>
      </c>
      <c r="BK765" s="487"/>
      <c r="BL765" s="492">
        <f t="shared" ref="BL765:BN767" si="1912">BL718</f>
        <v>-916</v>
      </c>
      <c r="BM765" s="492">
        <f t="shared" si="1912"/>
        <v>-1156</v>
      </c>
      <c r="BN765" s="492">
        <f t="shared" si="1912"/>
        <v>-2072</v>
      </c>
      <c r="BO765" s="487"/>
      <c r="BP765" s="492">
        <f t="shared" ref="BP765:BR767" si="1913">BP718</f>
        <v>-1110</v>
      </c>
      <c r="BQ765" s="492">
        <f t="shared" si="1913"/>
        <v>-1269</v>
      </c>
      <c r="BR765" s="492">
        <f t="shared" si="1913"/>
        <v>-2379</v>
      </c>
      <c r="BS765" s="487"/>
      <c r="BT765" s="492">
        <f t="shared" ref="BT765:BV767" si="1914">BT718</f>
        <v>-1347</v>
      </c>
      <c r="BU765" s="492">
        <f t="shared" si="1914"/>
        <v>-1008</v>
      </c>
      <c r="BV765" s="492">
        <f t="shared" si="1914"/>
        <v>-2355</v>
      </c>
      <c r="BW765" s="293"/>
      <c r="BX765" s="492">
        <f t="shared" ref="BX765:BZ767" si="1915">BX718</f>
        <v>-1334</v>
      </c>
      <c r="BY765" s="492">
        <f t="shared" si="1915"/>
        <v>-1186</v>
      </c>
      <c r="BZ765" s="492">
        <f t="shared" si="1915"/>
        <v>-2520</v>
      </c>
      <c r="CA765" s="293"/>
      <c r="CB765" s="492">
        <f t="shared" ref="CB765:CD767" si="1916">CB718</f>
        <v>-1332</v>
      </c>
      <c r="CC765" s="492">
        <f t="shared" si="1916"/>
        <v>-1219</v>
      </c>
      <c r="CD765" s="492">
        <f t="shared" si="1916"/>
        <v>-2551</v>
      </c>
      <c r="CE765" s="293"/>
      <c r="CF765" s="492">
        <f t="shared" ref="CF765:CH767" si="1917">CF718</f>
        <v>-1422</v>
      </c>
      <c r="CG765" s="492">
        <f t="shared" si="1917"/>
        <v>-1597</v>
      </c>
      <c r="CH765" s="492">
        <f t="shared" si="1917"/>
        <v>-3019</v>
      </c>
      <c r="CI765" s="293"/>
      <c r="CJ765" s="492">
        <f>CJ718</f>
        <v>-1689</v>
      </c>
      <c r="CK765" s="492">
        <f t="shared" ref="CK765:CL765" si="1918">CK718</f>
        <v>-1457</v>
      </c>
      <c r="CL765" s="492">
        <f t="shared" si="1918"/>
        <v>-3146</v>
      </c>
      <c r="CM765" s="293"/>
      <c r="CN765" s="492">
        <f>CN718</f>
        <v>-1502</v>
      </c>
      <c r="CO765" s="492">
        <f t="shared" ref="CO765:CP765" si="1919">CO718</f>
        <v>-1892</v>
      </c>
      <c r="CP765" s="492">
        <f t="shared" si="1919"/>
        <v>-3394</v>
      </c>
      <c r="CQ765" s="293"/>
      <c r="CR765" s="492">
        <f>CR718</f>
        <v>-1999</v>
      </c>
      <c r="CS765" s="492">
        <f t="shared" ref="CS765:CT765" si="1920">CS718</f>
        <v>-2344</v>
      </c>
      <c r="CT765" s="492">
        <f t="shared" si="1920"/>
        <v>-4343</v>
      </c>
      <c r="CU765" s="293"/>
      <c r="CV765" s="492">
        <f>CV718</f>
        <v>-2348</v>
      </c>
      <c r="CW765" s="492">
        <f t="shared" ref="CW765:CX765" si="1921">CW718</f>
        <v>-2678</v>
      </c>
      <c r="CX765" s="492">
        <f t="shared" si="1921"/>
        <v>-5026</v>
      </c>
      <c r="CY765" s="293"/>
      <c r="CZ765" s="492">
        <f>CZ718</f>
        <v>-2277</v>
      </c>
      <c r="DA765" s="492">
        <f t="shared" ref="DA765:DB765" si="1922">DA718</f>
        <v>-2544</v>
      </c>
      <c r="DB765" s="492">
        <f t="shared" si="1922"/>
        <v>-4821</v>
      </c>
      <c r="DC765" s="293"/>
      <c r="DD765" s="492">
        <f>DD718</f>
        <v>-2238</v>
      </c>
      <c r="DE765" s="492">
        <f t="shared" ref="DE765:DF765" si="1923">DE718</f>
        <v>-2454</v>
      </c>
      <c r="DF765" s="492">
        <f t="shared" si="1923"/>
        <v>-4692</v>
      </c>
      <c r="DG765" s="293"/>
      <c r="DH765" s="492">
        <f>DH718</f>
        <v>-2448</v>
      </c>
      <c r="DI765" s="841">
        <f>'P&amp;L'!DI691</f>
        <v>-2699.5052697586584</v>
      </c>
      <c r="DJ765" s="293">
        <f>DH765+DI765</f>
        <v>-5147.505269758658</v>
      </c>
      <c r="DK765" s="293"/>
      <c r="DL765" s="841">
        <f>'P&amp;L'!DL691</f>
        <v>-2691.4251175485379</v>
      </c>
      <c r="DM765" s="841">
        <f>'P&amp;L'!DM691</f>
        <v>-2732.7595206362666</v>
      </c>
      <c r="DN765" s="293">
        <f>DL765+DM765</f>
        <v>-5424.1846381848045</v>
      </c>
      <c r="DO765" s="293"/>
      <c r="DP765" s="841">
        <f>'P&amp;L'!DP691</f>
        <v>-2835.5751396201604</v>
      </c>
      <c r="DQ765" s="841">
        <f>'P&amp;L'!DQ691</f>
        <v>-2895.073399255497</v>
      </c>
      <c r="DR765" s="293">
        <f>DP765+DQ765</f>
        <v>-5730.6485388756573</v>
      </c>
      <c r="DS765" s="293"/>
      <c r="DT765" s="293"/>
      <c r="DU765" s="293"/>
      <c r="DV765" s="293"/>
      <c r="DW765" s="1198" t="s">
        <v>174</v>
      </c>
      <c r="DX765" s="293"/>
      <c r="DY765" s="293"/>
      <c r="DZ765" s="293"/>
      <c r="EA765" s="293"/>
      <c r="EB765" s="293"/>
      <c r="EC765" s="293"/>
      <c r="ED765" s="293"/>
      <c r="EE765" s="293"/>
      <c r="EF765" s="293"/>
      <c r="EG765" s="293"/>
      <c r="EH765" s="293"/>
      <c r="EI765" s="293"/>
      <c r="EJ765" s="293"/>
      <c r="EK765" s="293"/>
      <c r="EL765" s="293"/>
      <c r="EM765" s="293"/>
      <c r="EN765" s="293"/>
      <c r="EO765" s="293"/>
      <c r="EP765" s="293"/>
      <c r="EQ765" s="293"/>
      <c r="ER765" s="293"/>
      <c r="ES765" s="293"/>
      <c r="ET765" s="293"/>
      <c r="EU765" s="293"/>
      <c r="JW765"/>
    </row>
    <row r="766" spans="1:283" s="332" customFormat="1">
      <c r="A766" s="332" t="str">
        <f>A719</f>
        <v>Brokerage and commission expenses</v>
      </c>
      <c r="AN766" s="492"/>
      <c r="AO766" s="492"/>
      <c r="AP766" s="492"/>
      <c r="AQ766" s="293"/>
      <c r="AR766" s="492">
        <f t="shared" si="1907"/>
        <v>-7</v>
      </c>
      <c r="AS766" s="492">
        <f t="shared" si="1907"/>
        <v>-26</v>
      </c>
      <c r="AT766" s="492">
        <f t="shared" si="1907"/>
        <v>-33</v>
      </c>
      <c r="AU766" s="626"/>
      <c r="AV766" s="492">
        <f t="shared" si="1908"/>
        <v>-14</v>
      </c>
      <c r="AW766" s="492">
        <f t="shared" si="1908"/>
        <v>-35</v>
      </c>
      <c r="AX766" s="492">
        <f t="shared" si="1908"/>
        <v>-49</v>
      </c>
      <c r="AY766" s="626"/>
      <c r="AZ766" s="492">
        <f t="shared" si="1909"/>
        <v>-85</v>
      </c>
      <c r="BA766" s="492">
        <f t="shared" si="1909"/>
        <v>29</v>
      </c>
      <c r="BB766" s="492">
        <f t="shared" si="1909"/>
        <v>-56</v>
      </c>
      <c r="BC766" s="293"/>
      <c r="BD766" s="492">
        <f t="shared" si="1910"/>
        <v>-1</v>
      </c>
      <c r="BE766" s="492">
        <f t="shared" si="1910"/>
        <v>-3</v>
      </c>
      <c r="BF766" s="492">
        <f t="shared" si="1910"/>
        <v>-4</v>
      </c>
      <c r="BG766" s="293"/>
      <c r="BH766" s="492">
        <f t="shared" si="1911"/>
        <v>0</v>
      </c>
      <c r="BI766" s="492">
        <f t="shared" si="1911"/>
        <v>-3</v>
      </c>
      <c r="BJ766" s="492">
        <f t="shared" si="1911"/>
        <v>-3</v>
      </c>
      <c r="BK766" s="487"/>
      <c r="BL766" s="492">
        <f t="shared" si="1912"/>
        <v>-3</v>
      </c>
      <c r="BM766" s="492">
        <f t="shared" si="1912"/>
        <v>-5</v>
      </c>
      <c r="BN766" s="492">
        <f t="shared" si="1912"/>
        <v>-8</v>
      </c>
      <c r="BO766" s="487"/>
      <c r="BP766" s="492">
        <f t="shared" si="1913"/>
        <v>-3</v>
      </c>
      <c r="BQ766" s="492">
        <f t="shared" si="1913"/>
        <v>-4</v>
      </c>
      <c r="BR766" s="492">
        <f t="shared" si="1913"/>
        <v>-7</v>
      </c>
      <c r="BS766" s="487"/>
      <c r="BT766" s="492">
        <f t="shared" si="1914"/>
        <v>-5</v>
      </c>
      <c r="BU766" s="492">
        <f t="shared" si="1914"/>
        <v>-4</v>
      </c>
      <c r="BV766" s="492">
        <f t="shared" si="1914"/>
        <v>-9</v>
      </c>
      <c r="BW766" s="293"/>
      <c r="BX766" s="492">
        <f t="shared" si="1915"/>
        <v>-3</v>
      </c>
      <c r="BY766" s="492">
        <f t="shared" si="1915"/>
        <v>-1</v>
      </c>
      <c r="BZ766" s="492">
        <f t="shared" si="1915"/>
        <v>-4</v>
      </c>
      <c r="CA766" s="293"/>
      <c r="CB766" s="492">
        <f t="shared" si="1916"/>
        <v>-1</v>
      </c>
      <c r="CC766" s="492">
        <f t="shared" si="1916"/>
        <v>1</v>
      </c>
      <c r="CD766" s="492">
        <f t="shared" si="1916"/>
        <v>0</v>
      </c>
      <c r="CE766" s="293"/>
      <c r="CF766" s="492">
        <f t="shared" si="1917"/>
        <v>0</v>
      </c>
      <c r="CG766" s="492">
        <f t="shared" si="1917"/>
        <v>0</v>
      </c>
      <c r="CH766" s="492">
        <f t="shared" si="1917"/>
        <v>0</v>
      </c>
      <c r="CI766" s="293"/>
      <c r="CJ766" s="492">
        <f>CJ719</f>
        <v>0</v>
      </c>
      <c r="CK766" s="492">
        <f t="shared" ref="CK766:CL766" si="1924">CK719</f>
        <v>0</v>
      </c>
      <c r="CL766" s="492">
        <f t="shared" si="1924"/>
        <v>0</v>
      </c>
      <c r="CM766" s="293"/>
      <c r="CN766" s="492">
        <f>CN719</f>
        <v>0</v>
      </c>
      <c r="CO766" s="492">
        <f t="shared" ref="CO766:CP766" si="1925">CO719</f>
        <v>0</v>
      </c>
      <c r="CP766" s="492">
        <f t="shared" si="1925"/>
        <v>0</v>
      </c>
      <c r="CQ766" s="293"/>
      <c r="CR766" s="492">
        <f>CR719</f>
        <v>0</v>
      </c>
      <c r="CS766" s="492">
        <f t="shared" ref="CS766:CT766" si="1926">CS719</f>
        <v>0</v>
      </c>
      <c r="CT766" s="492">
        <f t="shared" si="1926"/>
        <v>0</v>
      </c>
      <c r="CU766" s="293"/>
      <c r="CV766" s="492">
        <f>CV719</f>
        <v>0</v>
      </c>
      <c r="CW766" s="492">
        <f t="shared" ref="CW766:CX766" si="1927">CW719</f>
        <v>0</v>
      </c>
      <c r="CX766" s="492">
        <f t="shared" si="1927"/>
        <v>0</v>
      </c>
      <c r="CY766" s="293"/>
      <c r="CZ766" s="492">
        <f>CZ719</f>
        <v>0</v>
      </c>
      <c r="DA766" s="492">
        <f t="shared" ref="DA766:DB766" si="1928">DA719</f>
        <v>0</v>
      </c>
      <c r="DB766" s="492">
        <f t="shared" si="1928"/>
        <v>0</v>
      </c>
      <c r="DC766" s="293"/>
      <c r="DD766" s="492">
        <f>DD719</f>
        <v>0</v>
      </c>
      <c r="DE766" s="492">
        <f t="shared" ref="DE766:DF766" si="1929">DE719</f>
        <v>0</v>
      </c>
      <c r="DF766" s="492">
        <f t="shared" si="1929"/>
        <v>0</v>
      </c>
      <c r="DG766" s="293"/>
      <c r="DH766" s="492">
        <f>DH719</f>
        <v>0</v>
      </c>
      <c r="DI766" s="293">
        <f>+DE766*(1+DI771)</f>
        <v>0</v>
      </c>
      <c r="DJ766" s="293">
        <f>DH766+DI766</f>
        <v>0</v>
      </c>
      <c r="DK766" s="293"/>
      <c r="DL766" s="293">
        <f>+DH766*(1+DL771)</f>
        <v>0</v>
      </c>
      <c r="DM766" s="293">
        <f>+DI766*(1+DM771)</f>
        <v>0</v>
      </c>
      <c r="DN766" s="293">
        <f>DL766+DM766</f>
        <v>0</v>
      </c>
      <c r="DO766" s="293"/>
      <c r="DP766" s="293">
        <f>+DL766*(1+DP771)</f>
        <v>0</v>
      </c>
      <c r="DQ766" s="293">
        <f>+DM766*(1+DQ771)</f>
        <v>0</v>
      </c>
      <c r="DR766" s="293">
        <f>DP766+DQ766</f>
        <v>0</v>
      </c>
      <c r="DS766" s="293"/>
      <c r="DT766" s="293"/>
      <c r="DU766" s="293"/>
      <c r="DV766" s="293"/>
      <c r="DW766" s="828" t="s">
        <v>514</v>
      </c>
      <c r="DX766" s="293"/>
      <c r="DY766" s="293"/>
      <c r="DZ766" s="293"/>
      <c r="EA766" s="293"/>
      <c r="EB766" s="293"/>
      <c r="EC766" s="293"/>
      <c r="ED766" s="293"/>
      <c r="EE766" s="293"/>
      <c r="EF766" s="293"/>
      <c r="EG766" s="293"/>
      <c r="EH766" s="293"/>
      <c r="EI766" s="293"/>
      <c r="EJ766" s="293"/>
      <c r="EK766" s="293"/>
      <c r="EL766" s="293"/>
      <c r="EM766" s="293"/>
      <c r="EN766" s="293"/>
      <c r="EO766" s="293"/>
      <c r="EP766" s="293"/>
      <c r="EQ766" s="293"/>
      <c r="ER766" s="293"/>
      <c r="ES766" s="293"/>
      <c r="ET766" s="293"/>
      <c r="EU766" s="293"/>
      <c r="JW766"/>
    </row>
    <row r="767" spans="1:283" s="332" customFormat="1">
      <c r="A767" s="332" t="str">
        <f>A720</f>
        <v>Other operating expenses</v>
      </c>
      <c r="AN767" s="492"/>
      <c r="AO767" s="492"/>
      <c r="AP767" s="492"/>
      <c r="AQ767" s="293"/>
      <c r="AR767" s="492">
        <f t="shared" si="1907"/>
        <v>205</v>
      </c>
      <c r="AS767" s="492">
        <f t="shared" si="1907"/>
        <v>179</v>
      </c>
      <c r="AT767" s="492">
        <f t="shared" si="1907"/>
        <v>384</v>
      </c>
      <c r="AU767" s="626"/>
      <c r="AV767" s="492">
        <f t="shared" si="1908"/>
        <v>119</v>
      </c>
      <c r="AW767" s="492">
        <f t="shared" si="1908"/>
        <v>141</v>
      </c>
      <c r="AX767" s="492">
        <f t="shared" si="1908"/>
        <v>260</v>
      </c>
      <c r="AY767" s="626"/>
      <c r="AZ767" s="492">
        <f t="shared" si="1909"/>
        <v>249</v>
      </c>
      <c r="BA767" s="492">
        <f t="shared" si="1909"/>
        <v>307</v>
      </c>
      <c r="BB767" s="492">
        <f t="shared" si="1909"/>
        <v>556</v>
      </c>
      <c r="BC767" s="293"/>
      <c r="BD767" s="492">
        <f t="shared" si="1910"/>
        <v>322.67</v>
      </c>
      <c r="BE767" s="492">
        <f t="shared" si="1910"/>
        <v>296</v>
      </c>
      <c r="BF767" s="492">
        <f t="shared" si="1910"/>
        <v>618.67000000000007</v>
      </c>
      <c r="BG767" s="293"/>
      <c r="BH767" s="492">
        <f t="shared" si="1911"/>
        <v>280</v>
      </c>
      <c r="BI767" s="492">
        <f t="shared" si="1911"/>
        <v>321</v>
      </c>
      <c r="BJ767" s="492">
        <f t="shared" si="1911"/>
        <v>601</v>
      </c>
      <c r="BK767" s="487"/>
      <c r="BL767" s="492">
        <f t="shared" si="1912"/>
        <v>293</v>
      </c>
      <c r="BM767" s="492">
        <f t="shared" si="1912"/>
        <v>341</v>
      </c>
      <c r="BN767" s="492">
        <f t="shared" si="1912"/>
        <v>634</v>
      </c>
      <c r="BO767" s="487"/>
      <c r="BP767" s="492">
        <f t="shared" si="1913"/>
        <v>313</v>
      </c>
      <c r="BQ767" s="492">
        <f t="shared" si="1913"/>
        <v>320</v>
      </c>
      <c r="BR767" s="492">
        <f t="shared" si="1913"/>
        <v>633</v>
      </c>
      <c r="BS767" s="487"/>
      <c r="BT767" s="492">
        <f t="shared" si="1914"/>
        <v>341</v>
      </c>
      <c r="BU767" s="492">
        <f t="shared" si="1914"/>
        <v>444</v>
      </c>
      <c r="BV767" s="492">
        <f t="shared" si="1914"/>
        <v>785</v>
      </c>
      <c r="BW767" s="293"/>
      <c r="BX767" s="492">
        <f t="shared" si="1915"/>
        <v>422</v>
      </c>
      <c r="BY767" s="492">
        <f t="shared" si="1915"/>
        <v>366</v>
      </c>
      <c r="BZ767" s="492">
        <f t="shared" si="1915"/>
        <v>788</v>
      </c>
      <c r="CA767" s="293"/>
      <c r="CB767" s="492">
        <f t="shared" si="1916"/>
        <v>364</v>
      </c>
      <c r="CC767" s="492">
        <f t="shared" si="1916"/>
        <v>385</v>
      </c>
      <c r="CD767" s="492">
        <f t="shared" si="1916"/>
        <v>749</v>
      </c>
      <c r="CE767" s="293"/>
      <c r="CF767" s="492">
        <f t="shared" si="1917"/>
        <v>443</v>
      </c>
      <c r="CG767" s="492">
        <f t="shared" si="1917"/>
        <v>251</v>
      </c>
      <c r="CH767" s="492">
        <f t="shared" si="1917"/>
        <v>694</v>
      </c>
      <c r="CI767" s="293"/>
      <c r="CJ767" s="492">
        <f>CJ720</f>
        <v>531</v>
      </c>
      <c r="CK767" s="492">
        <f t="shared" ref="CK767:CL767" si="1930">CK720</f>
        <v>432</v>
      </c>
      <c r="CL767" s="492">
        <f t="shared" si="1930"/>
        <v>963</v>
      </c>
      <c r="CM767" s="293"/>
      <c r="CN767" s="492">
        <f>CN720</f>
        <v>489</v>
      </c>
      <c r="CO767" s="492">
        <f t="shared" ref="CO767:CP767" si="1931">CO720</f>
        <v>510</v>
      </c>
      <c r="CP767" s="492">
        <f t="shared" si="1931"/>
        <v>999</v>
      </c>
      <c r="CQ767" s="293"/>
      <c r="CR767" s="492">
        <f>CR720</f>
        <v>533</v>
      </c>
      <c r="CS767" s="492">
        <f t="shared" ref="CS767:CT767" si="1932">CS720</f>
        <v>654</v>
      </c>
      <c r="CT767" s="492">
        <f t="shared" si="1932"/>
        <v>1187</v>
      </c>
      <c r="CU767" s="293"/>
      <c r="CV767" s="492">
        <f>CV720</f>
        <v>746</v>
      </c>
      <c r="CW767" s="492">
        <f t="shared" ref="CW767:CX767" si="1933">CW720</f>
        <v>670</v>
      </c>
      <c r="CX767" s="492">
        <f t="shared" si="1933"/>
        <v>1416</v>
      </c>
      <c r="CY767" s="293"/>
      <c r="CZ767" s="492">
        <f>CZ720</f>
        <v>962</v>
      </c>
      <c r="DA767" s="492">
        <f t="shared" ref="DA767:DB767" si="1934">DA720</f>
        <v>971</v>
      </c>
      <c r="DB767" s="492">
        <f t="shared" si="1934"/>
        <v>1933</v>
      </c>
      <c r="DC767" s="293"/>
      <c r="DD767" s="492">
        <f>DD720</f>
        <v>821</v>
      </c>
      <c r="DE767" s="492">
        <f t="shared" ref="DE767:DF767" si="1935">DE720</f>
        <v>877</v>
      </c>
      <c r="DF767" s="492">
        <f t="shared" si="1935"/>
        <v>1698</v>
      </c>
      <c r="DG767" s="293"/>
      <c r="DH767" s="492">
        <f>DH720</f>
        <v>916</v>
      </c>
      <c r="DI767" s="293">
        <f>+DE767*(1+DI772)</f>
        <v>982.24000000000012</v>
      </c>
      <c r="DJ767" s="293">
        <f>DH767+DI767</f>
        <v>1898.2400000000002</v>
      </c>
      <c r="DK767" s="293"/>
      <c r="DL767" s="293">
        <f>+DH767*(1+DL772)</f>
        <v>1007.6000000000001</v>
      </c>
      <c r="DM767" s="293">
        <f>+DI767*(1+DM772)</f>
        <v>1070.6416000000002</v>
      </c>
      <c r="DN767" s="293">
        <f>DL767+DM767</f>
        <v>2078.2416000000003</v>
      </c>
      <c r="DO767" s="293"/>
      <c r="DP767" s="293">
        <f>+DL767*(1+DP772)</f>
        <v>1040.8508000000002</v>
      </c>
      <c r="DQ767" s="293">
        <f>+DM767*(1+DQ772)</f>
        <v>1105.9727728</v>
      </c>
      <c r="DR767" s="293">
        <f>DP767+DQ767</f>
        <v>2146.8235728</v>
      </c>
      <c r="DS767" s="293"/>
      <c r="DT767" s="293"/>
      <c r="DU767" s="293"/>
      <c r="DV767" s="293"/>
      <c r="DW767" s="828" t="s">
        <v>514</v>
      </c>
      <c r="DX767" s="293"/>
      <c r="DY767" s="293"/>
      <c r="DZ767" s="293"/>
      <c r="EA767" s="293"/>
      <c r="EB767" s="293"/>
      <c r="EC767" s="293"/>
      <c r="ED767" s="293"/>
      <c r="EE767" s="293"/>
      <c r="EF767" s="293"/>
      <c r="EG767" s="293"/>
      <c r="EH767" s="293"/>
      <c r="EI767" s="293"/>
      <c r="EJ767" s="293"/>
      <c r="EK767" s="293"/>
      <c r="EL767" s="293"/>
      <c r="EM767" s="293"/>
      <c r="EN767" s="293"/>
      <c r="EO767" s="293"/>
      <c r="EP767" s="293"/>
      <c r="EQ767" s="293"/>
      <c r="ER767" s="293"/>
      <c r="ES767" s="293"/>
      <c r="ET767" s="293"/>
      <c r="EU767" s="293"/>
      <c r="JW767"/>
    </row>
    <row r="768" spans="1:283" s="332" customFormat="1">
      <c r="A768" s="327" t="s">
        <v>913</v>
      </c>
      <c r="AN768" s="820"/>
      <c r="AO768" s="820"/>
      <c r="AP768" s="820"/>
      <c r="AQ768" s="293"/>
      <c r="AR768" s="820">
        <f>SUM(AR765:AR767)</f>
        <v>-282</v>
      </c>
      <c r="AS768" s="820">
        <f>SUM(AS765:AS767)</f>
        <v>10</v>
      </c>
      <c r="AT768" s="820">
        <f>SUM(AT765:AT767)</f>
        <v>-272</v>
      </c>
      <c r="AU768" s="626"/>
      <c r="AV768" s="820">
        <f>SUM(AV765:AV767)</f>
        <v>-666</v>
      </c>
      <c r="AW768" s="820">
        <f>SUM(AW765:AW767)</f>
        <v>-586</v>
      </c>
      <c r="AX768" s="820">
        <f>SUM(AX765:AX767)</f>
        <v>-1252</v>
      </c>
      <c r="AY768" s="626"/>
      <c r="AZ768" s="820">
        <f>SUM(AZ765:AZ767)</f>
        <v>-772.33330000000001</v>
      </c>
      <c r="BA768" s="820">
        <f>SUM(BA765:BA767)</f>
        <v>-575.33333000000005</v>
      </c>
      <c r="BB768" s="820">
        <f>SUM(BB765:BB767)</f>
        <v>-1347.6666300000002</v>
      </c>
      <c r="BC768" s="293"/>
      <c r="BD768" s="820">
        <f>SUM(BD765:BD767)</f>
        <v>-470.99666999999994</v>
      </c>
      <c r="BE768" s="820">
        <f>SUM(BE765:BE767)</f>
        <v>-719.33299999999997</v>
      </c>
      <c r="BF768" s="820">
        <f>SUM(BF765:BF767)</f>
        <v>-1190.3296699999999</v>
      </c>
      <c r="BG768" s="293"/>
      <c r="BH768" s="820">
        <f>SUM(BH765:BH767)</f>
        <v>-473</v>
      </c>
      <c r="BI768" s="820">
        <f>SUM(BI765:BI767)</f>
        <v>-641</v>
      </c>
      <c r="BJ768" s="820">
        <f>SUM(BJ765:BJ767)</f>
        <v>-1114</v>
      </c>
      <c r="BK768" s="487"/>
      <c r="BL768" s="820">
        <f>SUM(BL765:BL767)</f>
        <v>-626</v>
      </c>
      <c r="BM768" s="820">
        <f>SUM(BM765:BM767)</f>
        <v>-820</v>
      </c>
      <c r="BN768" s="820">
        <f>SUM(BN765:BN767)</f>
        <v>-1446</v>
      </c>
      <c r="BO768" s="487"/>
      <c r="BP768" s="820">
        <f>SUM(BP765:BP767)</f>
        <v>-800</v>
      </c>
      <c r="BQ768" s="820">
        <f>SUM(BQ765:BQ767)</f>
        <v>-953</v>
      </c>
      <c r="BR768" s="820">
        <f>SUM(BR765:BR767)</f>
        <v>-1753</v>
      </c>
      <c r="BS768" s="487"/>
      <c r="BT768" s="820">
        <f>SUM(BT765:BT767)</f>
        <v>-1011</v>
      </c>
      <c r="BU768" s="820">
        <f>SUM(BU765:BU767)</f>
        <v>-568</v>
      </c>
      <c r="BV768" s="820">
        <f>SUM(BV765:BV767)</f>
        <v>-1579</v>
      </c>
      <c r="BW768" s="293"/>
      <c r="BX768" s="820">
        <f>SUM(BX765:BX767)</f>
        <v>-915</v>
      </c>
      <c r="BY768" s="820">
        <f>SUM(BY765:BY767)</f>
        <v>-821</v>
      </c>
      <c r="BZ768" s="820">
        <f>SUM(BZ765:BZ767)</f>
        <v>-1736</v>
      </c>
      <c r="CA768" s="293"/>
      <c r="CB768" s="820">
        <f>SUM(CB765:CB767)</f>
        <v>-969</v>
      </c>
      <c r="CC768" s="820">
        <f>SUM(CC765:CC767)</f>
        <v>-833</v>
      </c>
      <c r="CD768" s="820">
        <f>SUM(CD765:CD767)</f>
        <v>-1802</v>
      </c>
      <c r="CE768" s="293"/>
      <c r="CF768" s="820">
        <f>SUM(CF765:CF767)</f>
        <v>-979</v>
      </c>
      <c r="CG768" s="820">
        <f>SUM(CG765:CG767)</f>
        <v>-1346</v>
      </c>
      <c r="CH768" s="820">
        <f>SUM(CH765:CH767)</f>
        <v>-2325</v>
      </c>
      <c r="CI768" s="293"/>
      <c r="CJ768" s="820">
        <f>SUM(CJ765:CJ767)</f>
        <v>-1158</v>
      </c>
      <c r="CK768" s="820">
        <f>SUM(CK765:CK767)</f>
        <v>-1025</v>
      </c>
      <c r="CL768" s="820">
        <f>SUM(CL765:CL767)</f>
        <v>-2183</v>
      </c>
      <c r="CM768" s="293"/>
      <c r="CN768" s="820">
        <f>SUM(CN765:CN767)</f>
        <v>-1013</v>
      </c>
      <c r="CO768" s="820">
        <f>SUM(CO765:CO767)</f>
        <v>-1382</v>
      </c>
      <c r="CP768" s="820">
        <f>SUM(CP765:CP767)</f>
        <v>-2395</v>
      </c>
      <c r="CQ768" s="293"/>
      <c r="CR768" s="820">
        <f>SUM(CR765:CR767)</f>
        <v>-1466</v>
      </c>
      <c r="CS768" s="820">
        <f>SUM(CS765:CS767)</f>
        <v>-1690</v>
      </c>
      <c r="CT768" s="820">
        <f>SUM(CT765:CT767)</f>
        <v>-3156</v>
      </c>
      <c r="CU768" s="293"/>
      <c r="CV768" s="820">
        <f>SUM(CV765:CV767)</f>
        <v>-1602</v>
      </c>
      <c r="CW768" s="820">
        <f>SUM(CW765:CW767)</f>
        <v>-2008</v>
      </c>
      <c r="CX768" s="820">
        <f>SUM(CX765:CX767)</f>
        <v>-3610</v>
      </c>
      <c r="CY768" s="293"/>
      <c r="CZ768" s="820">
        <f>SUM(CZ765:CZ767)</f>
        <v>-1315</v>
      </c>
      <c r="DA768" s="820">
        <f>SUM(DA765:DA767)</f>
        <v>-1573</v>
      </c>
      <c r="DB768" s="820">
        <f>SUM(DB765:DB767)</f>
        <v>-2888</v>
      </c>
      <c r="DC768" s="293"/>
      <c r="DD768" s="820">
        <f>SUM(DD765:DD767)</f>
        <v>-1417</v>
      </c>
      <c r="DE768" s="820">
        <f>SUM(DE765:DE767)</f>
        <v>-1577</v>
      </c>
      <c r="DF768" s="820">
        <f>SUM(DF765:DF767)</f>
        <v>-2994</v>
      </c>
      <c r="DG768" s="293"/>
      <c r="DH768" s="820">
        <f>SUM(DH765:DH767)</f>
        <v>-1532</v>
      </c>
      <c r="DI768" s="820">
        <f>SUM(DI765:DI767)</f>
        <v>-1717.2652697586582</v>
      </c>
      <c r="DJ768" s="820">
        <f>SUM(DJ765:DJ767)</f>
        <v>-3249.2652697586577</v>
      </c>
      <c r="DK768" s="293"/>
      <c r="DL768" s="820">
        <f>SUM(DL765:DL767)</f>
        <v>-1683.8251175485377</v>
      </c>
      <c r="DM768" s="820">
        <f>SUM(DM765:DM767)</f>
        <v>-1662.1179206362665</v>
      </c>
      <c r="DN768" s="820">
        <f>SUM(DN765:DN767)</f>
        <v>-3345.9430381848042</v>
      </c>
      <c r="DO768" s="293"/>
      <c r="DP768" s="820">
        <f>SUM(DP765:DP767)</f>
        <v>-1794.7243396201602</v>
      </c>
      <c r="DQ768" s="820">
        <f>SUM(DQ765:DQ767)</f>
        <v>-1789.1006264554969</v>
      </c>
      <c r="DR768" s="820">
        <f>SUM(DR765:DR767)</f>
        <v>-3583.8249660756574</v>
      </c>
      <c r="DS768" s="293"/>
      <c r="DT768" s="293"/>
      <c r="DU768" s="293"/>
      <c r="DV768" s="293"/>
      <c r="DW768" s="1197"/>
      <c r="DX768" s="293"/>
      <c r="DY768" s="293"/>
      <c r="DZ768" s="293"/>
      <c r="EA768" s="293"/>
      <c r="EB768" s="293"/>
      <c r="EC768" s="293"/>
      <c r="ED768" s="293"/>
      <c r="EE768" s="293"/>
      <c r="EF768" s="293"/>
      <c r="EG768" s="293"/>
      <c r="EH768" s="293"/>
      <c r="EI768" s="293"/>
      <c r="EJ768" s="293"/>
      <c r="EK768" s="293"/>
      <c r="EL768" s="293"/>
      <c r="EM768" s="293"/>
      <c r="EN768" s="293"/>
      <c r="EO768" s="293"/>
      <c r="EP768" s="293"/>
      <c r="EQ768" s="293"/>
      <c r="ER768" s="293"/>
      <c r="ES768" s="293"/>
      <c r="ET768" s="293"/>
      <c r="EU768" s="293"/>
      <c r="JW768"/>
    </row>
    <row r="769" spans="1:283">
      <c r="A769" s="328" t="s">
        <v>835</v>
      </c>
      <c r="CM769" s="164"/>
      <c r="CR769" s="103"/>
      <c r="CS769" s="103"/>
      <c r="CT769" s="103"/>
      <c r="CV769" s="103"/>
      <c r="CW769" s="103"/>
      <c r="CX769" s="103"/>
      <c r="CZ769" s="103"/>
      <c r="DA769" s="103"/>
      <c r="DB769" s="103"/>
      <c r="DD769" s="103"/>
      <c r="DE769" s="103"/>
      <c r="DF769" s="103"/>
      <c r="DH769" s="103"/>
      <c r="DI769" s="293"/>
      <c r="DJ769" s="293"/>
      <c r="DL769" s="293"/>
      <c r="DM769" s="293"/>
      <c r="DN769" s="293"/>
      <c r="DP769" s="293"/>
      <c r="DQ769" s="293"/>
      <c r="DR769" s="293"/>
      <c r="DW769" s="1197"/>
      <c r="DX769" s="293"/>
      <c r="DY769" s="293"/>
      <c r="EA769" s="293"/>
      <c r="EB769" s="293"/>
      <c r="EC769" s="293"/>
      <c r="EE769" s="293"/>
      <c r="EF769" s="293"/>
      <c r="EG769" s="293"/>
      <c r="EI769" s="293"/>
      <c r="EJ769" s="293"/>
      <c r="EK769" s="293"/>
    </row>
    <row r="770" spans="1:283" s="323" customFormat="1">
      <c r="A770" s="1079" t="str">
        <f>A765</f>
        <v>Employment expenses</v>
      </c>
      <c r="AN770" s="115"/>
      <c r="AO770" s="115"/>
      <c r="AP770" s="115"/>
      <c r="AQ770" s="115"/>
      <c r="AR770" s="648"/>
      <c r="AS770" s="648"/>
      <c r="AT770" s="648"/>
      <c r="AU770" s="115"/>
      <c r="AV770" s="648">
        <f>+AV765/AR765-1</f>
        <v>0.60624999999999996</v>
      </c>
      <c r="AW770" s="648">
        <f>+AW765/AS765-1</f>
        <v>3.8391608391608392</v>
      </c>
      <c r="AX770" s="648">
        <f>+AX765/AT765-1</f>
        <v>1.3483146067415732</v>
      </c>
      <c r="AY770" s="115"/>
      <c r="AZ770" s="648">
        <f>+AZ765/AV765-1</f>
        <v>0.2144400778210116</v>
      </c>
      <c r="BA770" s="648">
        <f>+BA765/AW765-1</f>
        <v>0.31695567919075152</v>
      </c>
      <c r="BB770" s="648">
        <f>+BB765/AX765-1</f>
        <v>0.26293002734108017</v>
      </c>
      <c r="BC770" s="115"/>
      <c r="BD770" s="648">
        <f>+BD765/AZ765-1</f>
        <v>-0.15343535256088836</v>
      </c>
      <c r="BE770" s="648">
        <f>+BE765/BA765-1</f>
        <v>0.11082626595035205</v>
      </c>
      <c r="BF770" s="648">
        <f>+BF765/BB765-1</f>
        <v>-2.3092347562720383E-2</v>
      </c>
      <c r="BG770" s="115"/>
      <c r="BH770" s="648">
        <f>+BH765/BD765-1</f>
        <v>-5.0042056139436242E-2</v>
      </c>
      <c r="BI770" s="648">
        <f>+BI765/BE765-1</f>
        <v>-5.2683257386650362E-2</v>
      </c>
      <c r="BJ770" s="648">
        <f>+BJ765/BF765-1</f>
        <v>-5.1523372300671944E-2</v>
      </c>
      <c r="BK770" s="115"/>
      <c r="BL770" s="648">
        <f>+BL765/BH765-1</f>
        <v>0.2164674634794157</v>
      </c>
      <c r="BM770" s="648">
        <f>+BM765/BI765-1</f>
        <v>0.20542231491136609</v>
      </c>
      <c r="BN770" s="648">
        <f>+BN765/BJ765-1</f>
        <v>0.21028037383177578</v>
      </c>
      <c r="BO770" s="115"/>
      <c r="BP770" s="648">
        <f>+BP765/BL765-1</f>
        <v>0.21179039301310043</v>
      </c>
      <c r="BQ770" s="648">
        <f>+BQ765/BM765-1</f>
        <v>9.7750865051903224E-2</v>
      </c>
      <c r="BR770" s="648">
        <f>+BR765/BN765-1</f>
        <v>0.14816602316602312</v>
      </c>
      <c r="BS770" s="115"/>
      <c r="BT770" s="648">
        <f>+BT765/BP765-1</f>
        <v>0.21351351351351355</v>
      </c>
      <c r="BU770" s="648">
        <f>+BU765/BQ765-1</f>
        <v>-0.20567375886524819</v>
      </c>
      <c r="BV770" s="648">
        <f>+BV765/BR765-1</f>
        <v>-1.0088272383354302E-2</v>
      </c>
      <c r="BW770" s="115"/>
      <c r="BX770" s="648">
        <f>+BX765/BT765-1</f>
        <v>-9.651076466221209E-3</v>
      </c>
      <c r="BY770" s="648">
        <f>+BY765/BU765-1</f>
        <v>0.17658730158730163</v>
      </c>
      <c r="BZ770" s="648">
        <f>+BZ765/BV765-1</f>
        <v>7.0063694267515908E-2</v>
      </c>
      <c r="CA770" s="115"/>
      <c r="CB770" s="648">
        <f>+CB765/BX765-1</f>
        <v>-1.4992503748125774E-3</v>
      </c>
      <c r="CC770" s="648">
        <f>+CC765/BY765-1</f>
        <v>2.7824620573355885E-2</v>
      </c>
      <c r="CD770" s="648">
        <f>+CD765/BZ765-1</f>
        <v>1.2301587301587258E-2</v>
      </c>
      <c r="CE770" s="115"/>
      <c r="CF770" s="648">
        <f>+CF765/CB765-1</f>
        <v>6.7567567567567544E-2</v>
      </c>
      <c r="CG770" s="648">
        <f>+CG765/CC765-1</f>
        <v>0.31009023789991796</v>
      </c>
      <c r="CH770" s="648">
        <f>+CH765/CD765-1</f>
        <v>0.18345746765974136</v>
      </c>
      <c r="CI770" s="115"/>
      <c r="CJ770" s="648">
        <f>+CJ765/CF765-1</f>
        <v>0.18776371308016881</v>
      </c>
      <c r="CK770" s="648">
        <f>+CK765/CG765-1</f>
        <v>-8.7664370695053173E-2</v>
      </c>
      <c r="CL770" s="648">
        <f>+CL765/CH765-1</f>
        <v>4.2066909572706201E-2</v>
      </c>
      <c r="CM770" s="115"/>
      <c r="CN770" s="648">
        <f>+CN765/CJ765-1</f>
        <v>-0.1107164002368265</v>
      </c>
      <c r="CO770" s="648">
        <f>+CO765/CK765-1</f>
        <v>0.29855868222374737</v>
      </c>
      <c r="CP770" s="648">
        <f>+CP765/CL765-1</f>
        <v>7.8830260648442563E-2</v>
      </c>
      <c r="CQ770" s="115"/>
      <c r="CR770" s="648">
        <f>+CR765/CN765-1</f>
        <v>0.33089214380825571</v>
      </c>
      <c r="CS770" s="648">
        <f>+CS765/CO765-1</f>
        <v>0.2389006342494715</v>
      </c>
      <c r="CT770" s="648">
        <f>+CT765/CP765-1</f>
        <v>0.27961107837360055</v>
      </c>
      <c r="CU770" s="115"/>
      <c r="CV770" s="648">
        <f>+CV765/CR765-1</f>
        <v>0.17458729364682335</v>
      </c>
      <c r="CW770" s="648">
        <f>+CW765/CS765-1</f>
        <v>0.14249146757679187</v>
      </c>
      <c r="CX770" s="648">
        <f>+CX765/CT765-1</f>
        <v>0.15726456366566888</v>
      </c>
      <c r="CY770" s="115"/>
      <c r="CZ770" s="648">
        <f>+CZ765/CV765-1</f>
        <v>-3.0238500851788808E-2</v>
      </c>
      <c r="DA770" s="648">
        <f>+DA765/CW765-1</f>
        <v>-5.0037341299477234E-2</v>
      </c>
      <c r="DB770" s="648">
        <f>+DB765/CX765-1</f>
        <v>-4.0787902904894535E-2</v>
      </c>
      <c r="DC770" s="115"/>
      <c r="DD770" s="648">
        <f>+DD765/CZ765-1</f>
        <v>-1.7127799736495364E-2</v>
      </c>
      <c r="DE770" s="648">
        <f>+DE765/DA765-1</f>
        <v>-3.5377358490566002E-2</v>
      </c>
      <c r="DF770" s="648">
        <f>+DF765/DB765-1</f>
        <v>-2.6757934038581177E-2</v>
      </c>
      <c r="DG770" s="115"/>
      <c r="DH770" s="648">
        <f>+DH765/DD765-1</f>
        <v>9.3833780160857971E-2</v>
      </c>
      <c r="DI770" s="648">
        <f>+DI765/DE765-1</f>
        <v>0.10004289721216719</v>
      </c>
      <c r="DJ770" s="648">
        <f>+DJ765/DF765-1</f>
        <v>9.708125953935598E-2</v>
      </c>
      <c r="DK770" s="115"/>
      <c r="DL770" s="648">
        <f>+DL765/DH765-1</f>
        <v>9.9438365011657703E-2</v>
      </c>
      <c r="DM770" s="648">
        <f>+DM765/DI765-1</f>
        <v>1.2318646401672462E-2</v>
      </c>
      <c r="DN770" s="648">
        <f>+DN765/DJ765-1</f>
        <v>5.3750186532420807E-2</v>
      </c>
      <c r="DO770" s="115"/>
      <c r="DP770" s="648">
        <f>+DP765/DL765-1</f>
        <v>5.3558994129816462E-2</v>
      </c>
      <c r="DQ770" s="648">
        <f>+DQ765/DM765-1</f>
        <v>5.9395595329017059E-2</v>
      </c>
      <c r="DR770" s="648">
        <f>+DR765/DN765-1</f>
        <v>5.6499533318506323E-2</v>
      </c>
      <c r="DS770" s="115"/>
      <c r="DT770" s="115"/>
      <c r="DU770" s="115"/>
      <c r="DV770" s="115"/>
      <c r="DW770" s="1214" t="s">
        <v>175</v>
      </c>
      <c r="DX770" s="648"/>
      <c r="DY770" s="648"/>
      <c r="DZ770" s="115"/>
      <c r="EA770" s="648"/>
      <c r="EB770" s="648"/>
      <c r="EC770" s="648"/>
      <c r="ED770" s="115"/>
      <c r="EE770" s="648"/>
      <c r="EF770" s="648"/>
      <c r="EG770" s="648"/>
      <c r="EH770" s="115"/>
      <c r="EI770" s="648"/>
      <c r="EJ770" s="648"/>
      <c r="EK770" s="648"/>
      <c r="EL770" s="115"/>
      <c r="EM770" s="115"/>
      <c r="EN770" s="115"/>
      <c r="EO770" s="115"/>
      <c r="EP770" s="115"/>
      <c r="EQ770" s="115"/>
      <c r="ER770" s="115"/>
      <c r="ES770" s="115"/>
      <c r="ET770" s="115"/>
      <c r="EU770" s="115"/>
      <c r="JW770"/>
    </row>
    <row r="771" spans="1:283" s="642" customFormat="1">
      <c r="A771" s="1210" t="str">
        <f>A766</f>
        <v>Brokerage and commission expenses</v>
      </c>
      <c r="AN771" s="300"/>
      <c r="AO771" s="300"/>
      <c r="AP771" s="300"/>
      <c r="AQ771" s="300"/>
      <c r="AR771" s="643"/>
      <c r="AS771" s="643"/>
      <c r="AT771" s="643"/>
      <c r="AU771" s="300"/>
      <c r="AV771" s="643"/>
      <c r="AW771" s="643"/>
      <c r="AX771" s="643"/>
      <c r="AY771" s="300"/>
      <c r="AZ771" s="643"/>
      <c r="BA771" s="643"/>
      <c r="BB771" s="643"/>
      <c r="BC771" s="300"/>
      <c r="BD771" s="643"/>
      <c r="BE771" s="643"/>
      <c r="BF771" s="643"/>
      <c r="BG771" s="300"/>
      <c r="BH771" s="643"/>
      <c r="BI771" s="643"/>
      <c r="BJ771" s="643"/>
      <c r="BK771" s="300"/>
      <c r="BL771" s="643"/>
      <c r="BM771" s="643"/>
      <c r="BN771" s="643"/>
      <c r="BO771" s="300"/>
      <c r="BP771" s="643"/>
      <c r="BQ771" s="643"/>
      <c r="BR771" s="643"/>
      <c r="BS771" s="300"/>
      <c r="BT771" s="643"/>
      <c r="BU771" s="643"/>
      <c r="BV771" s="643"/>
      <c r="BW771" s="300"/>
      <c r="BX771" s="643"/>
      <c r="BY771" s="643"/>
      <c r="BZ771" s="643"/>
      <c r="CA771" s="300"/>
      <c r="CB771" s="643"/>
      <c r="CC771" s="643"/>
      <c r="CD771" s="643"/>
      <c r="CE771" s="300"/>
      <c r="CF771" s="643"/>
      <c r="CG771" s="643"/>
      <c r="CH771" s="643"/>
      <c r="CI771" s="300"/>
      <c r="CJ771" s="643"/>
      <c r="CK771" s="643"/>
      <c r="CL771" s="643"/>
      <c r="CM771" s="300"/>
      <c r="CN771" s="643"/>
      <c r="CO771" s="643"/>
      <c r="CP771" s="643"/>
      <c r="CQ771" s="300"/>
      <c r="CR771" s="643"/>
      <c r="CS771" s="643"/>
      <c r="CT771" s="643"/>
      <c r="CU771" s="300"/>
      <c r="CV771" s="643"/>
      <c r="CW771" s="643"/>
      <c r="CX771" s="643"/>
      <c r="CY771" s="300"/>
      <c r="CZ771" s="643"/>
      <c r="DA771" s="643"/>
      <c r="DB771" s="643"/>
      <c r="DC771" s="300"/>
      <c r="DD771" s="643"/>
      <c r="DE771" s="643"/>
      <c r="DF771" s="643"/>
      <c r="DG771" s="300"/>
      <c r="DH771" s="643"/>
      <c r="DI771" s="656">
        <v>0.03</v>
      </c>
      <c r="DJ771" s="643"/>
      <c r="DK771" s="300"/>
      <c r="DL771" s="656">
        <v>0.03</v>
      </c>
      <c r="DM771" s="656">
        <v>0.03</v>
      </c>
      <c r="DN771" s="643"/>
      <c r="DO771" s="300"/>
      <c r="DP771" s="656">
        <v>0.03</v>
      </c>
      <c r="DQ771" s="656">
        <v>0.03</v>
      </c>
      <c r="DR771" s="643"/>
      <c r="DS771" s="300"/>
      <c r="DT771" s="300"/>
      <c r="DU771" s="300"/>
      <c r="DV771" s="300"/>
      <c r="DW771" s="1211" t="s">
        <v>175</v>
      </c>
      <c r="DX771" s="643"/>
      <c r="DY771" s="643"/>
      <c r="DZ771" s="300"/>
      <c r="EA771" s="643"/>
      <c r="EB771" s="643"/>
      <c r="EC771" s="643"/>
      <c r="ED771" s="300"/>
      <c r="EE771" s="643"/>
      <c r="EF771" s="643"/>
      <c r="EG771" s="643"/>
      <c r="EH771" s="300"/>
      <c r="EI771" s="643"/>
      <c r="EJ771" s="643"/>
      <c r="EK771" s="643"/>
      <c r="EL771" s="300"/>
      <c r="EM771" s="300"/>
      <c r="EN771" s="300"/>
      <c r="EO771" s="300"/>
      <c r="EP771" s="300"/>
      <c r="EQ771" s="300"/>
      <c r="ER771" s="300"/>
      <c r="ES771" s="300"/>
      <c r="ET771" s="300"/>
      <c r="EU771" s="300"/>
      <c r="JW771"/>
    </row>
    <row r="772" spans="1:283" s="642" customFormat="1">
      <c r="A772" s="1210" t="str">
        <f>A767</f>
        <v>Other operating expenses</v>
      </c>
      <c r="AN772" s="300"/>
      <c r="AO772" s="300"/>
      <c r="AP772" s="300"/>
      <c r="AQ772" s="300"/>
      <c r="AR772" s="643"/>
      <c r="AS772" s="643"/>
      <c r="AT772" s="643"/>
      <c r="AU772" s="300"/>
      <c r="AV772" s="643">
        <f t="shared" ref="AV772:AX773" si="1936">+AV767/AR767-1</f>
        <v>-0.41951219512195126</v>
      </c>
      <c r="AW772" s="643">
        <f t="shared" si="1936"/>
        <v>-0.21229050279329609</v>
      </c>
      <c r="AX772" s="643">
        <f t="shared" si="1936"/>
        <v>-0.32291666666666663</v>
      </c>
      <c r="AY772" s="300"/>
      <c r="AZ772" s="643">
        <f t="shared" ref="AZ772:BB773" si="1937">+AZ767/AV767-1</f>
        <v>1.0924369747899161</v>
      </c>
      <c r="BA772" s="643">
        <f t="shared" si="1937"/>
        <v>1.1773049645390072</v>
      </c>
      <c r="BB772" s="643">
        <f t="shared" si="1937"/>
        <v>1.1384615384615384</v>
      </c>
      <c r="BC772" s="300"/>
      <c r="BD772" s="643">
        <f t="shared" ref="BD772:BF773" si="1938">+BD767/AZ767-1</f>
        <v>0.29586345381526113</v>
      </c>
      <c r="BE772" s="643">
        <f t="shared" si="1938"/>
        <v>-3.5830618892508159E-2</v>
      </c>
      <c r="BF772" s="643">
        <f t="shared" si="1938"/>
        <v>0.11271582733812968</v>
      </c>
      <c r="BG772" s="300"/>
      <c r="BH772" s="643">
        <f t="shared" ref="BH772:BJ773" si="1939">+BH767/BD767-1</f>
        <v>-0.13224036941767137</v>
      </c>
      <c r="BI772" s="643">
        <f t="shared" si="1939"/>
        <v>8.4459459459459429E-2</v>
      </c>
      <c r="BJ772" s="643">
        <f t="shared" si="1939"/>
        <v>-2.8561268527648176E-2</v>
      </c>
      <c r="BK772" s="300"/>
      <c r="BL772" s="643">
        <f t="shared" ref="BL772:BP773" si="1940">+BL767/BH767-1</f>
        <v>4.6428571428571486E-2</v>
      </c>
      <c r="BM772" s="643">
        <f t="shared" si="1940"/>
        <v>6.230529595015577E-2</v>
      </c>
      <c r="BN772" s="643">
        <f t="shared" si="1940"/>
        <v>5.4908485856905109E-2</v>
      </c>
      <c r="BO772" s="300"/>
      <c r="BP772" s="643">
        <f t="shared" si="1940"/>
        <v>6.8259385665528916E-2</v>
      </c>
      <c r="BQ772" s="643">
        <f>+BQ767/BM767-1</f>
        <v>-6.1583577712609916E-2</v>
      </c>
      <c r="BR772" s="643">
        <f>+BR767/BN767-1</f>
        <v>-1.577287066246047E-3</v>
      </c>
      <c r="BS772" s="300"/>
      <c r="BT772" s="643">
        <f t="shared" ref="BT772:BX773" si="1941">+BT767/BP767-1</f>
        <v>8.9456869009584716E-2</v>
      </c>
      <c r="BU772" s="643">
        <f t="shared" si="1941"/>
        <v>0.38749999999999996</v>
      </c>
      <c r="BV772" s="643">
        <f t="shared" si="1941"/>
        <v>0.2401263823064772</v>
      </c>
      <c r="BW772" s="300"/>
      <c r="BX772" s="643">
        <f t="shared" si="1941"/>
        <v>0.23753665689149561</v>
      </c>
      <c r="BY772" s="643">
        <f>+BY767/BU767-1</f>
        <v>-0.17567567567567566</v>
      </c>
      <c r="BZ772" s="643">
        <f>+BZ767/BV767-1</f>
        <v>3.8216560509554132E-3</v>
      </c>
      <c r="CA772" s="300"/>
      <c r="CB772" s="643">
        <f t="shared" ref="CB772:CF773" si="1942">+CB767/BX767-1</f>
        <v>-0.13744075829383884</v>
      </c>
      <c r="CC772" s="643">
        <f t="shared" si="1942"/>
        <v>5.1912568306010876E-2</v>
      </c>
      <c r="CD772" s="643">
        <f t="shared" si="1942"/>
        <v>-4.949238578680204E-2</v>
      </c>
      <c r="CE772" s="300"/>
      <c r="CF772" s="643">
        <f t="shared" si="1942"/>
        <v>0.21703296703296693</v>
      </c>
      <c r="CG772" s="643">
        <f t="shared" ref="CG772:CG773" si="1943">+CG767/CC767-1</f>
        <v>-0.34805194805194806</v>
      </c>
      <c r="CH772" s="643">
        <f t="shared" ref="CH772:CH773" si="1944">+CH767/CD767-1</f>
        <v>-7.3431241655540713E-2</v>
      </c>
      <c r="CI772" s="300"/>
      <c r="CJ772" s="643">
        <f t="shared" ref="CJ772:CJ773" si="1945">+CJ767/CF767-1</f>
        <v>0.19864559819413086</v>
      </c>
      <c r="CK772" s="643">
        <f t="shared" ref="CK772:CK773" si="1946">+CK767/CG767-1</f>
        <v>0.7211155378486056</v>
      </c>
      <c r="CL772" s="643">
        <f t="shared" ref="CL772:CL773" si="1947">+CL767/CH767-1</f>
        <v>0.38760806916426516</v>
      </c>
      <c r="CM772" s="300"/>
      <c r="CN772" s="643">
        <f t="shared" ref="CN772:CN773" si="1948">+CN767/CJ767-1</f>
        <v>-7.9096045197740161E-2</v>
      </c>
      <c r="CO772" s="643">
        <f t="shared" ref="CO772:CO773" si="1949">+CO767/CK767-1</f>
        <v>0.18055555555555558</v>
      </c>
      <c r="CP772" s="643">
        <f t="shared" ref="CP772:CP773" si="1950">+CP767/CL767-1</f>
        <v>3.7383177570093462E-2</v>
      </c>
      <c r="CQ772" s="300"/>
      <c r="CR772" s="643">
        <f t="shared" ref="CR772:CR773" si="1951">+CR767/CN767-1</f>
        <v>8.9979550102249561E-2</v>
      </c>
      <c r="CS772" s="643">
        <f t="shared" ref="CS772:CS773" si="1952">+CS767/CO767-1</f>
        <v>0.2823529411764707</v>
      </c>
      <c r="CT772" s="643">
        <f t="shared" ref="CT772:CT773" si="1953">+CT767/CP767-1</f>
        <v>0.18818818818818817</v>
      </c>
      <c r="CU772" s="300"/>
      <c r="CV772" s="643">
        <f t="shared" ref="CV772:CV773" si="1954">+CV767/CR767-1</f>
        <v>0.39962476547842396</v>
      </c>
      <c r="CW772" s="643">
        <f t="shared" ref="CW772:CW773" si="1955">+CW767/CS767-1</f>
        <v>2.4464831804281273E-2</v>
      </c>
      <c r="CX772" s="643">
        <f t="shared" ref="CX772:CX773" si="1956">+CX767/CT767-1</f>
        <v>0.19292333614153323</v>
      </c>
      <c r="CY772" s="300"/>
      <c r="CZ772" s="643">
        <f t="shared" ref="CZ772:CZ773" si="1957">+CZ767/CV767-1</f>
        <v>0.28954423592493295</v>
      </c>
      <c r="DA772" s="643">
        <f t="shared" ref="DA772:DA773" si="1958">+DA767/CW767-1</f>
        <v>0.44925373134328361</v>
      </c>
      <c r="DB772" s="643">
        <f t="shared" ref="DB772:DB773" si="1959">+DB767/CX767-1</f>
        <v>0.36511299435028244</v>
      </c>
      <c r="DC772" s="300"/>
      <c r="DD772" s="643">
        <f t="shared" ref="DD772:DD773" si="1960">+DD767/CZ767-1</f>
        <v>-0.14656964656964655</v>
      </c>
      <c r="DE772" s="643">
        <f t="shared" ref="DE772:DE773" si="1961">+DE767/DA767-1</f>
        <v>-9.6807415036045286E-2</v>
      </c>
      <c r="DF772" s="643">
        <f t="shared" ref="DF772:DF773" si="1962">+DF767/DB767-1</f>
        <v>-0.1215726849456803</v>
      </c>
      <c r="DG772" s="300"/>
      <c r="DH772" s="643">
        <f t="shared" ref="DH772:DH773" si="1963">+DH767/DD767-1</f>
        <v>0.11571254567600486</v>
      </c>
      <c r="DI772" s="1861">
        <v>0.12</v>
      </c>
      <c r="DJ772" s="643">
        <f>+DJ767/DF767-1</f>
        <v>0.11792697290930509</v>
      </c>
      <c r="DK772" s="300"/>
      <c r="DL772" s="1861">
        <v>0.1</v>
      </c>
      <c r="DM772" s="1861">
        <v>0.09</v>
      </c>
      <c r="DN772" s="643">
        <f>+DN767/DJ767-1</f>
        <v>9.4825522589345956E-2</v>
      </c>
      <c r="DO772" s="300"/>
      <c r="DP772" s="656">
        <v>3.3000000000000002E-2</v>
      </c>
      <c r="DQ772" s="656">
        <v>3.3000000000000002E-2</v>
      </c>
      <c r="DR772" s="643">
        <f>+DR767/DN767-1</f>
        <v>3.2999999999999918E-2</v>
      </c>
      <c r="DS772" s="300"/>
      <c r="DT772" s="300"/>
      <c r="DU772" s="300"/>
      <c r="DV772" s="300"/>
      <c r="DW772" s="1211" t="s">
        <v>175</v>
      </c>
      <c r="DX772" s="643"/>
      <c r="DY772" s="643"/>
      <c r="DZ772" s="300"/>
      <c r="EA772" s="643"/>
      <c r="EB772" s="643"/>
      <c r="EC772" s="643"/>
      <c r="ED772" s="300"/>
      <c r="EE772" s="643"/>
      <c r="EF772" s="643"/>
      <c r="EG772" s="643"/>
      <c r="EH772" s="300"/>
      <c r="EI772" s="643"/>
      <c r="EJ772" s="643"/>
      <c r="EK772" s="643"/>
      <c r="EL772" s="300"/>
      <c r="EM772" s="300"/>
      <c r="EN772" s="300"/>
      <c r="EO772" s="300"/>
      <c r="EP772" s="300"/>
      <c r="EQ772" s="300"/>
      <c r="ER772" s="300"/>
      <c r="ES772" s="300"/>
      <c r="ET772" s="300"/>
      <c r="EU772" s="300"/>
      <c r="JW772"/>
    </row>
    <row r="773" spans="1:283" s="328" customFormat="1">
      <c r="A773" s="328" t="str">
        <f>A768</f>
        <v>Total Expenses</v>
      </c>
      <c r="AN773" s="581"/>
      <c r="AO773" s="581"/>
      <c r="AP773" s="581"/>
      <c r="AQ773" s="581"/>
      <c r="AR773" s="650"/>
      <c r="AS773" s="650"/>
      <c r="AT773" s="650"/>
      <c r="AU773" s="581"/>
      <c r="AV773" s="650">
        <f t="shared" si="1936"/>
        <v>1.3617021276595747</v>
      </c>
      <c r="AW773" s="650">
        <f t="shared" si="1936"/>
        <v>-59.6</v>
      </c>
      <c r="AX773" s="650">
        <f t="shared" si="1936"/>
        <v>3.6029411764705879</v>
      </c>
      <c r="AY773" s="581"/>
      <c r="AZ773" s="650">
        <f t="shared" si="1937"/>
        <v>0.15965960960960968</v>
      </c>
      <c r="BA773" s="650">
        <f t="shared" si="1937"/>
        <v>-1.8202508532423112E-2</v>
      </c>
      <c r="BB773" s="650">
        <f t="shared" si="1937"/>
        <v>7.6411046325878695E-2</v>
      </c>
      <c r="BC773" s="581"/>
      <c r="BD773" s="650">
        <f t="shared" si="1938"/>
        <v>-0.39016397454311513</v>
      </c>
      <c r="BE773" s="650">
        <f t="shared" si="1938"/>
        <v>0.25028911500746864</v>
      </c>
      <c r="BF773" s="650">
        <f t="shared" si="1938"/>
        <v>-0.11674768559046411</v>
      </c>
      <c r="BG773" s="581"/>
      <c r="BH773" s="650">
        <f t="shared" si="1939"/>
        <v>4.2533846364563033E-3</v>
      </c>
      <c r="BI773" s="650">
        <f t="shared" si="1939"/>
        <v>-0.10889671403925583</v>
      </c>
      <c r="BJ773" s="650">
        <f t="shared" si="1939"/>
        <v>-6.4124815102693189E-2</v>
      </c>
      <c r="BK773" s="581"/>
      <c r="BL773" s="650">
        <f t="shared" si="1940"/>
        <v>0.32346723044397474</v>
      </c>
      <c r="BM773" s="650">
        <f t="shared" si="1940"/>
        <v>0.27925117004680189</v>
      </c>
      <c r="BN773" s="650">
        <f t="shared" si="1940"/>
        <v>0.29802513464991032</v>
      </c>
      <c r="BO773" s="581"/>
      <c r="BP773" s="650">
        <f t="shared" si="1940"/>
        <v>0.27795527156549515</v>
      </c>
      <c r="BQ773" s="650">
        <f>+BQ768/BM768-1</f>
        <v>0.16219512195121943</v>
      </c>
      <c r="BR773" s="650">
        <f>+BR768/BN768-1</f>
        <v>0.21230982019363753</v>
      </c>
      <c r="BS773" s="581"/>
      <c r="BT773" s="650">
        <f t="shared" si="1941"/>
        <v>0.26374999999999993</v>
      </c>
      <c r="BU773" s="650">
        <f t="shared" si="1941"/>
        <v>-0.40398740818467993</v>
      </c>
      <c r="BV773" s="650">
        <f t="shared" si="1941"/>
        <v>-9.9258414147176288E-2</v>
      </c>
      <c r="BW773" s="581"/>
      <c r="BX773" s="650">
        <f t="shared" si="1941"/>
        <v>-9.4955489614243271E-2</v>
      </c>
      <c r="BY773" s="650">
        <f>+BY768/BU768-1</f>
        <v>0.44542253521126751</v>
      </c>
      <c r="BZ773" s="650">
        <f>+BZ768/BV768-1</f>
        <v>9.9430018999366654E-2</v>
      </c>
      <c r="CA773" s="581"/>
      <c r="CB773" s="650">
        <f t="shared" si="1942"/>
        <v>5.9016393442622883E-2</v>
      </c>
      <c r="CC773" s="650">
        <f t="shared" si="1942"/>
        <v>1.4616321559074219E-2</v>
      </c>
      <c r="CD773" s="650">
        <f t="shared" si="1942"/>
        <v>3.8018433179723532E-2</v>
      </c>
      <c r="CE773" s="581"/>
      <c r="CF773" s="650">
        <f t="shared" si="1942"/>
        <v>1.031991744066052E-2</v>
      </c>
      <c r="CG773" s="650">
        <f t="shared" si="1943"/>
        <v>0.61584633853541426</v>
      </c>
      <c r="CH773" s="650">
        <f t="shared" si="1944"/>
        <v>0.29023307436182022</v>
      </c>
      <c r="CI773" s="581"/>
      <c r="CJ773" s="650">
        <f t="shared" si="1945"/>
        <v>0.18283963227783451</v>
      </c>
      <c r="CK773" s="650">
        <f t="shared" si="1946"/>
        <v>-0.23848439821693912</v>
      </c>
      <c r="CL773" s="650">
        <f t="shared" si="1947"/>
        <v>-6.1075268817204265E-2</v>
      </c>
      <c r="CM773" s="581"/>
      <c r="CN773" s="650">
        <f t="shared" si="1948"/>
        <v>-0.12521588946459417</v>
      </c>
      <c r="CO773" s="650">
        <f t="shared" si="1949"/>
        <v>0.34829268292682936</v>
      </c>
      <c r="CP773" s="650">
        <f t="shared" si="1950"/>
        <v>9.7114063215758106E-2</v>
      </c>
      <c r="CQ773" s="581"/>
      <c r="CR773" s="650">
        <f t="shared" si="1951"/>
        <v>0.44718657453109567</v>
      </c>
      <c r="CS773" s="650">
        <f t="shared" si="1952"/>
        <v>0.22286541244573077</v>
      </c>
      <c r="CT773" s="650">
        <f t="shared" si="1953"/>
        <v>0.31774530271398738</v>
      </c>
      <c r="CU773" s="581"/>
      <c r="CV773" s="650">
        <f t="shared" si="1954"/>
        <v>9.276944065484316E-2</v>
      </c>
      <c r="CW773" s="650">
        <f t="shared" si="1955"/>
        <v>0.18816568047337268</v>
      </c>
      <c r="CX773" s="650">
        <f t="shared" si="1956"/>
        <v>0.14385297845373901</v>
      </c>
      <c r="CY773" s="581"/>
      <c r="CZ773" s="650">
        <f t="shared" si="1957"/>
        <v>-0.17915106117353308</v>
      </c>
      <c r="DA773" s="650">
        <f t="shared" si="1958"/>
        <v>-0.2166334661354582</v>
      </c>
      <c r="DB773" s="650">
        <f t="shared" si="1959"/>
        <v>-0.19999999999999996</v>
      </c>
      <c r="DC773" s="581"/>
      <c r="DD773" s="650">
        <f t="shared" si="1960"/>
        <v>7.7566539923954458E-2</v>
      </c>
      <c r="DE773" s="650">
        <f t="shared" si="1961"/>
        <v>2.5429116338206992E-3</v>
      </c>
      <c r="DF773" s="650">
        <f t="shared" si="1962"/>
        <v>3.6703601108033279E-2</v>
      </c>
      <c r="DG773" s="581"/>
      <c r="DH773" s="650">
        <f t="shared" si="1963"/>
        <v>8.1157374735356447E-2</v>
      </c>
      <c r="DI773" s="650">
        <f>+DI768/DE768-1</f>
        <v>8.8944368902129423E-2</v>
      </c>
      <c r="DJ773" s="650">
        <f>+DJ768/DF768-1</f>
        <v>8.5258941135156308E-2</v>
      </c>
      <c r="DK773" s="581"/>
      <c r="DL773" s="650">
        <f>+DL768/DH768-1</f>
        <v>9.9102557146565129E-2</v>
      </c>
      <c r="DM773" s="650">
        <f>+DM768/DI768-1</f>
        <v>-3.2113471397544724E-2</v>
      </c>
      <c r="DN773" s="650">
        <f>+DN768/DJ768-1</f>
        <v>2.9753732120901155E-2</v>
      </c>
      <c r="DO773" s="581"/>
      <c r="DP773" s="650">
        <f>+DP768/DL768-1</f>
        <v>6.5861484613722432E-2</v>
      </c>
      <c r="DQ773" s="650">
        <f>+DQ768/DM768-1</f>
        <v>7.639813291383124E-2</v>
      </c>
      <c r="DR773" s="650">
        <f>+DR768/DN768-1</f>
        <v>7.1095629894496248E-2</v>
      </c>
      <c r="DS773" s="581"/>
      <c r="DT773" s="581"/>
      <c r="DU773" s="581"/>
      <c r="DV773" s="581"/>
      <c r="DW773" s="1212"/>
      <c r="DX773" s="682"/>
      <c r="DY773" s="682"/>
      <c r="DZ773" s="581"/>
      <c r="EA773" s="682"/>
      <c r="EB773" s="682"/>
      <c r="EC773" s="682"/>
      <c r="ED773" s="581"/>
      <c r="EE773" s="682"/>
      <c r="EF773" s="682"/>
      <c r="EG773" s="682"/>
      <c r="EH773" s="581"/>
      <c r="EI773" s="682"/>
      <c r="EJ773" s="682"/>
      <c r="EK773" s="682"/>
      <c r="EL773" s="581"/>
      <c r="EM773" s="581"/>
      <c r="EN773" s="581"/>
      <c r="EO773" s="581"/>
      <c r="EP773" s="581"/>
      <c r="EQ773" s="581"/>
      <c r="ER773" s="581"/>
      <c r="ES773" s="581"/>
      <c r="ET773" s="581"/>
      <c r="EU773" s="581"/>
      <c r="JW773"/>
    </row>
    <row r="774" spans="1:283">
      <c r="CR774" s="103"/>
      <c r="CS774" s="103"/>
      <c r="CT774" s="103"/>
      <c r="CV774" s="103"/>
      <c r="CW774" s="103"/>
      <c r="CX774" s="103"/>
      <c r="CZ774" s="103"/>
      <c r="DA774" s="103"/>
      <c r="DB774" s="103"/>
      <c r="DD774" s="103"/>
      <c r="DE774" s="103"/>
      <c r="DF774" s="103"/>
      <c r="DH774" s="103"/>
      <c r="DI774" s="103"/>
      <c r="DJ774" s="103"/>
      <c r="DL774" s="103"/>
      <c r="DM774" s="103"/>
      <c r="DN774" s="103"/>
      <c r="DP774" s="103"/>
      <c r="DQ774" s="103"/>
      <c r="DR774" s="103"/>
    </row>
    <row r="775" spans="1:283">
      <c r="A775" s="327" t="s">
        <v>607</v>
      </c>
      <c r="CR775" s="103"/>
      <c r="CS775" s="103"/>
      <c r="CT775" s="103"/>
      <c r="CV775" s="103"/>
      <c r="CW775" s="103"/>
      <c r="CX775" s="103"/>
      <c r="CZ775" s="103"/>
      <c r="DA775" s="103"/>
      <c r="DB775" s="103"/>
      <c r="DD775" s="103"/>
      <c r="DE775" s="103"/>
      <c r="DF775" s="103"/>
      <c r="DH775" s="103"/>
      <c r="DI775" s="103"/>
      <c r="DJ775" s="103"/>
      <c r="DL775" s="103"/>
      <c r="DM775" s="103"/>
      <c r="DN775" s="103"/>
      <c r="DP775" s="103"/>
      <c r="DQ775" s="103"/>
      <c r="DR775" s="103"/>
    </row>
    <row r="776" spans="1:283">
      <c r="A776" s="102" t="s">
        <v>845</v>
      </c>
      <c r="AR776" s="293"/>
      <c r="AS776" s="293"/>
      <c r="AT776" s="293"/>
      <c r="AV776" s="293">
        <f>AV765-AV777</f>
        <v>-244.74616141162858</v>
      </c>
      <c r="AW776" s="293">
        <f>AW765-AW777</f>
        <v>-306.51288416716352</v>
      </c>
      <c r="AX776" s="293">
        <f>AX765-AX777</f>
        <v>-551.2590455787921</v>
      </c>
      <c r="AZ776" s="293">
        <f>AZ765-AZ777</f>
        <v>-352.59219243281473</v>
      </c>
      <c r="BA776" s="293">
        <f>BA765-BA777</f>
        <v>-437.15526535710666</v>
      </c>
      <c r="BB776" s="293">
        <f>BB765-BB777</f>
        <v>-789.74745778992133</v>
      </c>
      <c r="BD776" s="293">
        <f>BD765-BD777</f>
        <v>-380.05308582781373</v>
      </c>
      <c r="BE776" s="293">
        <f>BE765-BE777</f>
        <v>-402.05729539289325</v>
      </c>
      <c r="BF776" s="293">
        <f>BF765-BF777</f>
        <v>-782.11038122070693</v>
      </c>
      <c r="BH776" s="293">
        <f>BH765-BH777</f>
        <v>-333.81885531667626</v>
      </c>
      <c r="BI776" s="293">
        <f>BI765-BI777</f>
        <v>-337.91243197990798</v>
      </c>
      <c r="BJ776" s="293">
        <f>BJ765-BJ777</f>
        <v>-671.73128729658424</v>
      </c>
      <c r="BL776" s="293">
        <f>BL765-BL777</f>
        <v>-368.03765450528454</v>
      </c>
      <c r="BM776" s="293">
        <f>BM765-BM777</f>
        <v>-407.86813719549127</v>
      </c>
      <c r="BN776" s="293">
        <f>BN765-BN777</f>
        <v>-775.90579170077581</v>
      </c>
      <c r="BP776" s="293">
        <f>BP765-BP777</f>
        <v>-418.59785762379875</v>
      </c>
      <c r="BQ776" s="293">
        <f>BQ765-BQ777</f>
        <v>-466.31774507419118</v>
      </c>
      <c r="BR776" s="293">
        <f>BR765-BR777</f>
        <v>-884.91560269798993</v>
      </c>
      <c r="BT776" s="293">
        <f>BT765-BT777</f>
        <v>-469.9161468119753</v>
      </c>
      <c r="BU776" s="293">
        <f>BU765-BU777</f>
        <v>-507.82652678905953</v>
      </c>
      <c r="BV776" s="293">
        <f>BV765-BV777</f>
        <v>-977.74267360103477</v>
      </c>
      <c r="BX776" s="293">
        <f>BX765-BX777</f>
        <v>-491.6966459474429</v>
      </c>
      <c r="BY776" s="293">
        <f>BY765-BY777</f>
        <v>-462.93016304347816</v>
      </c>
      <c r="BZ776" s="293">
        <f>BZ765-BZ777</f>
        <v>-954.62680899092129</v>
      </c>
      <c r="CB776" s="293">
        <f>CB765-CB777</f>
        <v>-475.80535276748128</v>
      </c>
      <c r="CC776" s="293">
        <f>CC765-CC777</f>
        <v>-507.60640236543566</v>
      </c>
      <c r="CD776" s="293">
        <f>CD765-CD777</f>
        <v>-983.41175513291705</v>
      </c>
      <c r="CF776" s="293">
        <f>CF765-CF777</f>
        <v>-510.81389144434229</v>
      </c>
      <c r="CG776" s="293">
        <f>CG765-CG777</f>
        <v>-596.28288136544825</v>
      </c>
      <c r="CH776" s="293">
        <f>CH765-CH777</f>
        <v>-1107.0967728097905</v>
      </c>
      <c r="CJ776" s="293">
        <f>CJ765-CJ777</f>
        <v>-590.86117353308373</v>
      </c>
      <c r="CK776" s="293">
        <f>CK765-CK777</f>
        <v>-616.0994443489717</v>
      </c>
      <c r="CL776" s="293">
        <f>CL765-CL777</f>
        <v>-1206.9606178820554</v>
      </c>
      <c r="CN776" s="293">
        <f>CN765-CN777</f>
        <v>-638.46584745762709</v>
      </c>
      <c r="CO776" s="293">
        <f>CO765-CO777</f>
        <v>-594.99253605701779</v>
      </c>
      <c r="CP776" s="293">
        <f>CP765-CP777</f>
        <v>-1233.458383514645</v>
      </c>
      <c r="CR776" s="293">
        <f>CR765-CR777</f>
        <v>-683.36745277868772</v>
      </c>
      <c r="CS776" s="293">
        <f>CS765-CS777</f>
        <v>-713.20109684462227</v>
      </c>
      <c r="CT776" s="293">
        <f>CT765-CT777</f>
        <v>-1396.56854962331</v>
      </c>
      <c r="CV776" s="293">
        <f>CV765-CV777</f>
        <v>-787.40434936350789</v>
      </c>
      <c r="CW776" s="293">
        <f>CW765-CW777</f>
        <v>-942.51999213875115</v>
      </c>
      <c r="CX776" s="293">
        <f>CX765-CX777</f>
        <v>-1729.9243415022593</v>
      </c>
      <c r="CZ776" s="293">
        <f>CZ765-CZ777</f>
        <v>-1008.3940832063972</v>
      </c>
      <c r="DA776" s="293">
        <f>DA765-DA777</f>
        <v>-1013.3592288604696</v>
      </c>
      <c r="DB776" s="293">
        <f>DB765-DB777</f>
        <v>-2021.7533120668668</v>
      </c>
      <c r="DD776" s="293">
        <f>DD765-DD777</f>
        <v>-1018.2696637571912</v>
      </c>
      <c r="DE776" s="293">
        <f>DE765-DE777</f>
        <v>-1016.1824770594637</v>
      </c>
      <c r="DF776" s="293">
        <f>DF765-DF777</f>
        <v>-2034.4521408166547</v>
      </c>
      <c r="DH776" s="293">
        <f>DH765-DH777</f>
        <v>-945.62256637168161</v>
      </c>
      <c r="DI776" s="293">
        <f>DI765-DI777</f>
        <v>-882.44536915441859</v>
      </c>
      <c r="DJ776" s="293">
        <f>DJ765-DJ777</f>
        <v>-1828.0679355261004</v>
      </c>
      <c r="DL776" s="293">
        <f>DL765-DL777</f>
        <v>-858.6112673697271</v>
      </c>
      <c r="DM776" s="293">
        <f>DM765-DM777</f>
        <v>-913.85935196459241</v>
      </c>
      <c r="DN776" s="293">
        <f>DN765-DN777</f>
        <v>-1772.4706193343191</v>
      </c>
      <c r="DP776" s="293">
        <f>DP765-DP777</f>
        <v>-894.35553852333419</v>
      </c>
      <c r="DQ776" s="293">
        <f>DQ765-DQ777</f>
        <v>-954.72027937252096</v>
      </c>
      <c r="DR776" s="293">
        <f>DR765-DR777</f>
        <v>-1849.0758178958549</v>
      </c>
      <c r="DW776" s="1101"/>
    </row>
    <row r="777" spans="1:283">
      <c r="A777" s="102" t="s">
        <v>846</v>
      </c>
      <c r="AR777" s="293"/>
      <c r="AS777" s="293"/>
      <c r="AT777" s="293"/>
      <c r="AV777" s="293">
        <f>'P&amp;L'!AV1096</f>
        <v>-526.25383858837142</v>
      </c>
      <c r="AW777" s="293">
        <f>'P&amp;L'!AW1096</f>
        <v>-385.48711583283648</v>
      </c>
      <c r="AX777" s="293">
        <f>'P&amp;L'!AX1096</f>
        <v>-911.7409544212079</v>
      </c>
      <c r="AZ777" s="293">
        <f>'P&amp;L'!AZ1096</f>
        <v>-583.74110756718528</v>
      </c>
      <c r="BA777" s="293">
        <f>'P&amp;L'!BA1096</f>
        <v>-474.17806464289339</v>
      </c>
      <c r="BB777" s="293">
        <f>'P&amp;L'!BB1096</f>
        <v>-1057.9191722100788</v>
      </c>
      <c r="BD777" s="293">
        <f>'P&amp;L'!BD1096</f>
        <v>-412.61358417218622</v>
      </c>
      <c r="BE777" s="293">
        <f>'P&amp;L'!BE1096</f>
        <v>-610.27570460710672</v>
      </c>
      <c r="BF777" s="293">
        <f>'P&amp;L'!BF1096</f>
        <v>-1022.889288779293</v>
      </c>
      <c r="BH777" s="293">
        <f>'P&amp;L'!BH1096</f>
        <v>-419.18114468332374</v>
      </c>
      <c r="BI777" s="293">
        <f>'P&amp;L'!BI1096</f>
        <v>-621.08756802009202</v>
      </c>
      <c r="BJ777" s="293">
        <f>'P&amp;L'!BJ1096</f>
        <v>-1040.2687127034158</v>
      </c>
      <c r="BL777" s="293">
        <f>'P&amp;L'!BL1096</f>
        <v>-547.96234549471546</v>
      </c>
      <c r="BM777" s="293">
        <f>'P&amp;L'!BM1096</f>
        <v>-748.13186280450873</v>
      </c>
      <c r="BN777" s="293">
        <f>'P&amp;L'!BN1096</f>
        <v>-1296.0942082992242</v>
      </c>
      <c r="BP777" s="293">
        <f>'P&amp;L'!BP1096</f>
        <v>-691.40214237620125</v>
      </c>
      <c r="BQ777" s="293">
        <f>'P&amp;L'!BQ1096</f>
        <v>-802.68225492580882</v>
      </c>
      <c r="BR777" s="293">
        <f>'P&amp;L'!BR1096</f>
        <v>-1494.0843973020101</v>
      </c>
      <c r="BT777" s="293">
        <f>'P&amp;L'!BT1096</f>
        <v>-877.0838531880247</v>
      </c>
      <c r="BU777" s="293">
        <f>'P&amp;L'!BU1096</f>
        <v>-500.17347321094047</v>
      </c>
      <c r="BV777" s="293">
        <f>'P&amp;L'!BV1096</f>
        <v>-1377.2573263989652</v>
      </c>
      <c r="BX777" s="293">
        <f>'P&amp;L'!BX1096</f>
        <v>-842.3033540525571</v>
      </c>
      <c r="BY777" s="293">
        <f>'P&amp;L'!BY1096</f>
        <v>-723.06983695652184</v>
      </c>
      <c r="BZ777" s="293">
        <f>'P&amp;L'!BZ1096</f>
        <v>-1565.3731910090787</v>
      </c>
      <c r="CB777" s="293">
        <f>'P&amp;L'!CB1096</f>
        <v>-856.19464723251872</v>
      </c>
      <c r="CC777" s="293">
        <f>'P&amp;L'!CC1096</f>
        <v>-711.39359763456434</v>
      </c>
      <c r="CD777" s="293">
        <f>'P&amp;L'!CD1096</f>
        <v>-1567.5882448670829</v>
      </c>
      <c r="CF777" s="293">
        <f>'P&amp;L'!CF1096</f>
        <v>-911.18610855565771</v>
      </c>
      <c r="CG777" s="293">
        <f>'P&amp;L'!CG1096</f>
        <v>-1000.7171186345518</v>
      </c>
      <c r="CH777" s="293">
        <f>'P&amp;L'!CH1096</f>
        <v>-1911.9032271902095</v>
      </c>
      <c r="CJ777" s="293">
        <f>'P&amp;L'!CJ1096</f>
        <v>-1098.1388264669163</v>
      </c>
      <c r="CK777" s="293">
        <f>'P&amp;L'!CK1096</f>
        <v>-840.9005556510283</v>
      </c>
      <c r="CL777" s="293">
        <f>'P&amp;L'!CL1096</f>
        <v>-1939.0393821179446</v>
      </c>
      <c r="CN777" s="293">
        <f>'P&amp;L'!CN1096</f>
        <v>-863.53415254237291</v>
      </c>
      <c r="CO777" s="293">
        <f>'P&amp;L'!CO1096</f>
        <v>-1297.0074639429822</v>
      </c>
      <c r="CP777" s="293">
        <f>'P&amp;L'!CP1096</f>
        <v>-2160.541616485355</v>
      </c>
      <c r="CR777" s="293">
        <f>'P&amp;L'!CR1096</f>
        <v>-1315.6325472213123</v>
      </c>
      <c r="CS777" s="293">
        <f>'P&amp;L'!CS1096</f>
        <v>-1630.7989031553777</v>
      </c>
      <c r="CT777" s="293">
        <f>'P&amp;L'!CT1096</f>
        <v>-2946.43145037669</v>
      </c>
      <c r="CV777" s="293">
        <f>'P&amp;L'!CV1096</f>
        <v>-1560.5956506364921</v>
      </c>
      <c r="CW777" s="293">
        <f>'P&amp;L'!CW1096</f>
        <v>-1735.4800078612489</v>
      </c>
      <c r="CX777" s="293">
        <f>'P&amp;L'!CX1096</f>
        <v>-3296.0756584977407</v>
      </c>
      <c r="CZ777" s="293">
        <f>'P&amp;L'!CZ1096</f>
        <v>-1268.6059167936028</v>
      </c>
      <c r="DA777" s="293">
        <f>'P&amp;L'!DA1096</f>
        <v>-1530.6407711395304</v>
      </c>
      <c r="DB777" s="293">
        <f>'P&amp;L'!DB1096</f>
        <v>-2799.2466879331332</v>
      </c>
      <c r="DD777" s="293">
        <f>'P&amp;L'!DD1096</f>
        <v>-1219.7303362428088</v>
      </c>
      <c r="DE777" s="293">
        <f>'P&amp;L'!DE1096</f>
        <v>-1437.8175229405363</v>
      </c>
      <c r="DF777" s="293">
        <f>'P&amp;L'!DF1096</f>
        <v>-2657.5478591833453</v>
      </c>
      <c r="DH777" s="293">
        <f>'P&amp;L'!DH1096</f>
        <v>-1502.3774336283184</v>
      </c>
      <c r="DI777" s="293">
        <f>'P&amp;L'!DI1096</f>
        <v>-1817.0599006042398</v>
      </c>
      <c r="DJ777" s="293">
        <f>'P&amp;L'!DJ1096</f>
        <v>-3319.4373342325575</v>
      </c>
      <c r="DL777" s="293">
        <f>'P&amp;L'!DL1096</f>
        <v>-1832.8138501788108</v>
      </c>
      <c r="DM777" s="293">
        <f>'P&amp;L'!DM1096</f>
        <v>-1818.9001686716742</v>
      </c>
      <c r="DN777" s="293">
        <f>'P&amp;L'!DN1096</f>
        <v>-3651.7140188504854</v>
      </c>
      <c r="DP777" s="293">
        <f>'P&amp;L'!DP1096</f>
        <v>-1941.2196010968262</v>
      </c>
      <c r="DQ777" s="293">
        <f>'P&amp;L'!DQ1096</f>
        <v>-1940.353119882976</v>
      </c>
      <c r="DR777" s="293">
        <f>'P&amp;L'!DR1096</f>
        <v>-3881.5727209798024</v>
      </c>
      <c r="DW777" s="1101"/>
    </row>
    <row r="778" spans="1:283">
      <c r="A778" s="323" t="s">
        <v>847</v>
      </c>
      <c r="AR778" s="671"/>
      <c r="AS778" s="671"/>
      <c r="AT778" s="671"/>
      <c r="AV778" s="671"/>
      <c r="AW778" s="671"/>
      <c r="AX778" s="671"/>
      <c r="AZ778" s="671">
        <f t="shared" ref="AZ778:BB779" si="1964">+AZ776/AV776-1</f>
        <v>0.4406444227732107</v>
      </c>
      <c r="BA778" s="671">
        <f t="shared" si="1964"/>
        <v>0.42622149977452328</v>
      </c>
      <c r="BB778" s="671">
        <f t="shared" si="1964"/>
        <v>0.43262494125738904</v>
      </c>
      <c r="BD778" s="671">
        <f t="shared" ref="BD778:BF779" si="1965">+BD776/AZ776-1</f>
        <v>7.7882874278991876E-2</v>
      </c>
      <c r="BE778" s="671">
        <f t="shared" si="1965"/>
        <v>-8.0287194838068121E-2</v>
      </c>
      <c r="BF778" s="671">
        <f t="shared" si="1965"/>
        <v>-9.6702768636780512E-3</v>
      </c>
      <c r="BH778" s="671">
        <f t="shared" ref="BH778:BJ779" si="1966">+BH776/BD776-1</f>
        <v>-0.12165203292701132</v>
      </c>
      <c r="BI778" s="671">
        <f t="shared" si="1966"/>
        <v>-0.15954159804587664</v>
      </c>
      <c r="BJ778" s="671">
        <f t="shared" si="1966"/>
        <v>-0.14112981565574478</v>
      </c>
      <c r="BL778" s="671">
        <f t="shared" ref="BL778:BP779" si="1967">+BL776/BH776-1</f>
        <v>0.10250708923001572</v>
      </c>
      <c r="BM778" s="671">
        <f t="shared" si="1967"/>
        <v>0.20702317699794714</v>
      </c>
      <c r="BN778" s="671">
        <f t="shared" si="1967"/>
        <v>0.15508359722746734</v>
      </c>
      <c r="BP778" s="671">
        <f t="shared" si="1967"/>
        <v>0.13737779952564133</v>
      </c>
      <c r="BQ778" s="671">
        <f>+BQ776/BM776-1</f>
        <v>0.14330515808516076</v>
      </c>
      <c r="BR778" s="671">
        <f>+BR776/BN776-1</f>
        <v>0.14049361683235539</v>
      </c>
      <c r="BT778" s="671">
        <f t="shared" ref="BT778:BX779" si="1968">+BT776/BP776-1</f>
        <v>0.12259568044492286</v>
      </c>
      <c r="BU778" s="671">
        <f t="shared" si="1968"/>
        <v>8.901394414717001E-2</v>
      </c>
      <c r="BV778" s="671">
        <f t="shared" si="1968"/>
        <v>0.10489934929390721</v>
      </c>
      <c r="BX778" s="671">
        <f t="shared" si="1968"/>
        <v>4.6349756830514899E-2</v>
      </c>
      <c r="BY778" s="671">
        <f>+BY776/BU776-1</f>
        <v>-8.8408858886236064E-2</v>
      </c>
      <c r="BZ778" s="671">
        <f>+BZ776/BV776-1</f>
        <v>-2.3642073967148791E-2</v>
      </c>
      <c r="CB778" s="671">
        <f t="shared" ref="CB778:CB779" si="1969">+CB776/BX776-1</f>
        <v>-3.2319303600985338E-2</v>
      </c>
      <c r="CC778" s="671">
        <f>+CC776/BY776-1</f>
        <v>9.6507514283016294E-2</v>
      </c>
      <c r="CD778" s="671">
        <f>+CD776/BZ776-1</f>
        <v>3.0153087961590552E-2</v>
      </c>
      <c r="CF778" s="671">
        <f t="shared" ref="CF778:CF779" si="1970">+CF776/CB776-1</f>
        <v>7.3577437650158561E-2</v>
      </c>
      <c r="CG778" s="671">
        <f>+CG776/CC776-1</f>
        <v>0.17469535172681439</v>
      </c>
      <c r="CH778" s="671">
        <f>+CH776/CD776-1</f>
        <v>0.12577134352045283</v>
      </c>
      <c r="CJ778" s="671">
        <f t="shared" ref="CJ778:CJ779" si="1971">+CJ776/CF776-1</f>
        <v>0.15670537436326426</v>
      </c>
      <c r="CK778" s="671">
        <f>+CK776/CG776-1</f>
        <v>3.3233493032945871E-2</v>
      </c>
      <c r="CL778" s="671">
        <f>+CL776/CH776-1</f>
        <v>9.0203356675688129E-2</v>
      </c>
      <c r="CN778" s="671">
        <f t="shared" ref="CN778:CN779" si="1972">+CN776/CJ776-1</f>
        <v>8.0568289230935397E-2</v>
      </c>
      <c r="CO778" s="671">
        <f>+CO776/CK776-1</f>
        <v>-3.425893090076948E-2</v>
      </c>
      <c r="CP778" s="671">
        <f>+CP776/CL776-1</f>
        <v>2.1954126124750672E-2</v>
      </c>
      <c r="CR778" s="671">
        <f t="shared" ref="CR778:CR779" si="1973">+CR776/CN776-1</f>
        <v>7.0327340921771953E-2</v>
      </c>
      <c r="CS778" s="671">
        <f>+CS776/CO776-1</f>
        <v>0.19867234229687325</v>
      </c>
      <c r="CT778" s="671">
        <f>+CT776/CP776-1</f>
        <v>0.13223807814568911</v>
      </c>
      <c r="CV778" s="671">
        <f t="shared" ref="CV778:CV779" si="1974">+CV776/CR776-1</f>
        <v>0.15224151539817776</v>
      </c>
      <c r="CW778" s="671">
        <f>+CW776/CS776-1</f>
        <v>0.32153469240119281</v>
      </c>
      <c r="CX778" s="671">
        <f>+CX776/CT776-1</f>
        <v>0.23869633321533978</v>
      </c>
      <c r="CZ778" s="671">
        <f t="shared" ref="CZ778:CZ779" si="1975">+CZ776/CV776-1</f>
        <v>0.28065597303535927</v>
      </c>
      <c r="DA778" s="671">
        <f>+DA776/CW776-1</f>
        <v>7.5159399601669064E-2</v>
      </c>
      <c r="DB778" s="671">
        <f>+DB776/CX776-1</f>
        <v>0.16869464378493237</v>
      </c>
      <c r="DD778" s="671">
        <f t="shared" ref="DD778:DD779" si="1976">+DD776/CZ776-1</f>
        <v>9.7933741532800767E-3</v>
      </c>
      <c r="DE778" s="671">
        <f>+DE776/DA776-1</f>
        <v>2.7860289999717125E-3</v>
      </c>
      <c r="DF778" s="671">
        <f>+DF776/DB776-1</f>
        <v>6.2810970428464064E-3</v>
      </c>
      <c r="DH778" s="671">
        <f t="shared" ref="DH778:DH779" si="1977">+DH776/DD776-1</f>
        <v>-7.1343672478131004E-2</v>
      </c>
      <c r="DI778" s="671">
        <f t="shared" ref="DI778:DI779" si="1978">+DI776/DE776-1</f>
        <v>-0.13160737458496763</v>
      </c>
      <c r="DJ778" s="671">
        <f t="shared" ref="DJ778:DJ779" si="1979">+DJ776/DF776-1</f>
        <v>-0.10144461063984977</v>
      </c>
      <c r="DL778" s="671">
        <f t="shared" ref="DL778:DL779" si="1980">+DL776/DH776-1</f>
        <v>-9.2014829273600829E-2</v>
      </c>
      <c r="DM778" s="671">
        <f t="shared" ref="DM778:DM779" si="1981">+DM776/DI776-1</f>
        <v>3.5598784818005713E-2</v>
      </c>
      <c r="DN778" s="671">
        <f t="shared" ref="DN778:DN779" si="1982">+DN776/DJ776-1</f>
        <v>-3.0413156486868154E-2</v>
      </c>
      <c r="DP778" s="671">
        <f t="shared" ref="DP778:DP779" si="1983">+DP776/DL776-1</f>
        <v>4.1630330875002564E-2</v>
      </c>
      <c r="DQ778" s="671">
        <f t="shared" ref="DQ778:DQ779" si="1984">+DQ776/DM776-1</f>
        <v>4.4712490297425633E-2</v>
      </c>
      <c r="DR778" s="671">
        <f t="shared" ref="DR778:DR779" si="1985">+DR776/DN776-1</f>
        <v>4.3219446193306199E-2</v>
      </c>
      <c r="DW778" s="1101"/>
    </row>
    <row r="779" spans="1:283">
      <c r="A779" s="323" t="s">
        <v>848</v>
      </c>
      <c r="AR779" s="671"/>
      <c r="AS779" s="671"/>
      <c r="AT779" s="671"/>
      <c r="AV779" s="671"/>
      <c r="AW779" s="671"/>
      <c r="AX779" s="671"/>
      <c r="AZ779" s="671">
        <f t="shared" si="1964"/>
        <v>0.10923866918105207</v>
      </c>
      <c r="BA779" s="671">
        <f t="shared" si="1964"/>
        <v>0.23007500164679184</v>
      </c>
      <c r="BB779" s="671">
        <f t="shared" si="1964"/>
        <v>0.16032867349001334</v>
      </c>
      <c r="BD779" s="671">
        <f t="shared" si="1965"/>
        <v>-0.29315654007680669</v>
      </c>
      <c r="BE779" s="671">
        <f t="shared" si="1965"/>
        <v>0.28701800043557335</v>
      </c>
      <c r="BF779" s="671">
        <f t="shared" si="1965"/>
        <v>-3.31120603075995E-2</v>
      </c>
      <c r="BH779" s="671">
        <f t="shared" si="1966"/>
        <v>1.5916975986900228E-2</v>
      </c>
      <c r="BI779" s="671">
        <f t="shared" si="1966"/>
        <v>1.7716358903630214E-2</v>
      </c>
      <c r="BJ779" s="671">
        <f t="shared" si="1966"/>
        <v>1.6990522938081787E-2</v>
      </c>
      <c r="BL779" s="671">
        <f t="shared" si="1967"/>
        <v>0.30722088158016092</v>
      </c>
      <c r="BM779" s="671">
        <f t="shared" si="1967"/>
        <v>0.20455134078662929</v>
      </c>
      <c r="BN779" s="671">
        <f t="shared" si="1967"/>
        <v>0.24592251258905762</v>
      </c>
      <c r="BP779" s="671">
        <f t="shared" si="1967"/>
        <v>0.26176944102241984</v>
      </c>
      <c r="BQ779" s="671">
        <f>+BQ777/BM777-1</f>
        <v>7.2915477649632576E-2</v>
      </c>
      <c r="BR779" s="671">
        <f>+BR777/BN777-1</f>
        <v>0.15275910326194175</v>
      </c>
      <c r="BT779" s="671">
        <f t="shared" si="1968"/>
        <v>0.26855819418446569</v>
      </c>
      <c r="BU779" s="671">
        <f t="shared" si="1968"/>
        <v>-0.37687239235509074</v>
      </c>
      <c r="BV779" s="671">
        <f t="shared" si="1968"/>
        <v>-7.819308675869252E-2</v>
      </c>
      <c r="BX779" s="671">
        <f t="shared" si="1968"/>
        <v>-3.965470235148838E-2</v>
      </c>
      <c r="BY779" s="671">
        <f>+BY777/BU777-1</f>
        <v>0.44563811494172989</v>
      </c>
      <c r="BZ779" s="671">
        <f>+BZ777/BV777-1</f>
        <v>0.13658730362463856</v>
      </c>
      <c r="CB779" s="671">
        <f t="shared" si="1969"/>
        <v>1.649203118226561E-2</v>
      </c>
      <c r="CC779" s="671">
        <f>+CC777/BY777-1</f>
        <v>-1.6148148802754725E-2</v>
      </c>
      <c r="CD779" s="671">
        <f>+CD777/BZ777-1</f>
        <v>1.4150324476787102E-3</v>
      </c>
      <c r="CF779" s="671">
        <f t="shared" si="1970"/>
        <v>6.4227756504771527E-2</v>
      </c>
      <c r="CG779" s="671">
        <f>+CG777/CC777-1</f>
        <v>0.40669964132655845</v>
      </c>
      <c r="CH779" s="671">
        <f>+CH777/CD777-1</f>
        <v>0.21964631557461134</v>
      </c>
      <c r="CJ779" s="671">
        <f t="shared" si="1971"/>
        <v>0.20517511862379201</v>
      </c>
      <c r="CK779" s="671">
        <f>+CK777/CG777-1</f>
        <v>-0.15970203767632984</v>
      </c>
      <c r="CL779" s="671">
        <f>+CL777/CH777-1</f>
        <v>1.4193268017866689E-2</v>
      </c>
      <c r="CN779" s="671">
        <f t="shared" si="1972"/>
        <v>-0.2136384474077343</v>
      </c>
      <c r="CO779" s="671">
        <f>+CO777/CK777-1</f>
        <v>0.54240290986469186</v>
      </c>
      <c r="CP779" s="671">
        <f>+CP777/CL777-1</f>
        <v>0.11423297350746497</v>
      </c>
      <c r="CR779" s="671">
        <f t="shared" si="1973"/>
        <v>0.52354431303949522</v>
      </c>
      <c r="CS779" s="671">
        <f>+CS777/CO777-1</f>
        <v>0.25735506424739385</v>
      </c>
      <c r="CT779" s="671">
        <f>+CT777/CP777-1</f>
        <v>0.36374667717337261</v>
      </c>
      <c r="CV779" s="671">
        <f t="shared" si="1974"/>
        <v>0.18619416487723361</v>
      </c>
      <c r="CW779" s="671">
        <f>+CW777/CS777-1</f>
        <v>6.4190075492034815E-2</v>
      </c>
      <c r="CX779" s="671">
        <f>+CX777/CT777-1</f>
        <v>0.11866700923123474</v>
      </c>
      <c r="CZ779" s="671">
        <f t="shared" si="1975"/>
        <v>-0.18710146585619458</v>
      </c>
      <c r="DA779" s="671">
        <f>+DA777/CW777-1</f>
        <v>-0.11803030619416688</v>
      </c>
      <c r="DB779" s="671">
        <f>+DB777/CX777-1</f>
        <v>-0.15073348491977523</v>
      </c>
      <c r="DD779" s="671">
        <f t="shared" si="1976"/>
        <v>-3.8527000310960902E-2</v>
      </c>
      <c r="DE779" s="671">
        <f>+DE777/DA777-1</f>
        <v>-6.0643391937018065E-2</v>
      </c>
      <c r="DF779" s="671">
        <f>+DF777/DB777-1</f>
        <v>-5.0620343451906802E-2</v>
      </c>
      <c r="DH779" s="671">
        <f t="shared" si="1977"/>
        <v>0.23172916913435171</v>
      </c>
      <c r="DI779" s="671">
        <f t="shared" si="1978"/>
        <v>0.26376252313861093</v>
      </c>
      <c r="DJ779" s="671">
        <f t="shared" si="1979"/>
        <v>0.24906022774416137</v>
      </c>
      <c r="DL779" s="671">
        <f t="shared" si="1980"/>
        <v>0.21994234548136915</v>
      </c>
      <c r="DM779" s="671">
        <f t="shared" si="1981"/>
        <v>1.0127723730088967E-3</v>
      </c>
      <c r="DN779" s="671">
        <f t="shared" si="1982"/>
        <v>0.10010030350362054</v>
      </c>
      <c r="DP779" s="671">
        <f t="shared" si="1983"/>
        <v>5.9147169205121086E-2</v>
      </c>
      <c r="DQ779" s="671">
        <f t="shared" si="1984"/>
        <v>6.6772741738760466E-2</v>
      </c>
      <c r="DR779" s="671">
        <f t="shared" si="1985"/>
        <v>6.2945428076449872E-2</v>
      </c>
      <c r="DW779" s="1101"/>
    </row>
    <row r="780" spans="1:283">
      <c r="CR780" s="103"/>
      <c r="CS780" s="103"/>
      <c r="CT780" s="103"/>
      <c r="CV780" s="103"/>
      <c r="CW780" s="103"/>
      <c r="CX780" s="103"/>
      <c r="CZ780" s="103"/>
      <c r="DA780" s="103"/>
      <c r="DB780" s="103"/>
      <c r="DD780" s="103"/>
      <c r="DE780" s="103"/>
      <c r="DF780" s="103"/>
      <c r="DH780" s="103"/>
      <c r="DI780" s="103"/>
      <c r="DJ780" s="103"/>
      <c r="DL780" s="103"/>
      <c r="DM780" s="103"/>
      <c r="DN780" s="103"/>
      <c r="DP780" s="103"/>
      <c r="DQ780" s="103"/>
      <c r="DR780" s="103"/>
      <c r="DW780" s="1101"/>
    </row>
    <row r="781" spans="1:283">
      <c r="BM781" s="293">
        <f>BM783+BM785</f>
        <v>1824</v>
      </c>
      <c r="BN781" s="293">
        <f>BN783+BN785</f>
        <v>1824</v>
      </c>
      <c r="BQ781" s="293">
        <f>BQ783+BQ785</f>
        <v>2176</v>
      </c>
      <c r="BR781" s="293">
        <f>BR783+BR785</f>
        <v>2176</v>
      </c>
      <c r="BU781" s="293">
        <f>BU783+BU785</f>
        <v>2073</v>
      </c>
      <c r="BV781" s="293">
        <f>BV783+BV785</f>
        <v>2073</v>
      </c>
      <c r="BY781" s="293">
        <f>BY783+BY785</f>
        <v>2069</v>
      </c>
      <c r="BZ781" s="293">
        <f>BZ783+BZ785</f>
        <v>2069</v>
      </c>
      <c r="CC781" s="293">
        <f>CC783+CC785</f>
        <v>2051</v>
      </c>
      <c r="CD781" s="293">
        <f>CD783+CD785</f>
        <v>2051</v>
      </c>
      <c r="CG781" s="293">
        <f>CG783+CG785</f>
        <v>2322</v>
      </c>
      <c r="CH781" s="293">
        <f>CH783+CH785</f>
        <v>2322</v>
      </c>
      <c r="CK781" s="293">
        <f>CK783+CK785</f>
        <v>2303</v>
      </c>
      <c r="CL781" s="293">
        <f>CL783+CL785</f>
        <v>2303</v>
      </c>
      <c r="CO781" s="293">
        <f>CO783+CO785</f>
        <v>3157</v>
      </c>
      <c r="CP781" s="293">
        <f>CP783+CP785</f>
        <v>3157</v>
      </c>
      <c r="CR781" s="103"/>
      <c r="CS781" s="293">
        <f>CS783+CS785</f>
        <v>3824</v>
      </c>
      <c r="CT781" s="293">
        <f>CT783+CT785</f>
        <v>3824</v>
      </c>
      <c r="CV781" s="103"/>
      <c r="CW781" s="293">
        <f>CW783+CW785</f>
        <v>6353</v>
      </c>
      <c r="CX781" s="293">
        <f>CX783+CX785</f>
        <v>6353</v>
      </c>
      <c r="CZ781" s="103"/>
      <c r="DA781" s="293">
        <f>DA783+DA785</f>
        <v>4662</v>
      </c>
      <c r="DB781" s="293">
        <f>DB783+DB785</f>
        <v>4662</v>
      </c>
      <c r="DD781" s="103"/>
      <c r="DE781" s="293">
        <f>DE783+DE785</f>
        <v>4748</v>
      </c>
      <c r="DF781" s="293">
        <f>DF783+DF785</f>
        <v>4748</v>
      </c>
      <c r="DH781" s="103"/>
      <c r="DI781" s="103"/>
      <c r="DJ781" s="103"/>
      <c r="DL781" s="103"/>
      <c r="DM781" s="103"/>
      <c r="DN781" s="103"/>
      <c r="DP781" s="103"/>
      <c r="DQ781" s="103"/>
      <c r="DR781" s="103"/>
      <c r="DW781" s="1101"/>
    </row>
    <row r="782" spans="1:283">
      <c r="CR782" s="103"/>
      <c r="CS782" s="103"/>
      <c r="CT782" s="103"/>
      <c r="CV782" s="103"/>
      <c r="CW782" s="103"/>
      <c r="CX782" s="103"/>
      <c r="CZ782" s="103"/>
      <c r="DA782" s="103"/>
      <c r="DB782" s="103"/>
      <c r="DD782" s="103"/>
      <c r="DE782" s="103"/>
      <c r="DF782" s="103"/>
      <c r="DH782" s="103"/>
      <c r="DI782" s="103"/>
      <c r="DJ782" s="103"/>
      <c r="DL782" s="103"/>
      <c r="DM782" s="103"/>
      <c r="DN782" s="103"/>
      <c r="DP782" s="103"/>
      <c r="DQ782" s="103"/>
      <c r="DR782" s="103"/>
      <c r="DW782" s="1101"/>
    </row>
    <row r="783" spans="1:283">
      <c r="A783" s="332" t="s">
        <v>571</v>
      </c>
      <c r="BM783" s="293">
        <f t="shared" ref="BM783:BM789" si="1986">BM37+BM114+BM230+BM342+BM469+BM544+BM666+BM710</f>
        <v>804</v>
      </c>
      <c r="BN783" s="293">
        <f>'P&amp;L'!BM9</f>
        <v>845</v>
      </c>
      <c r="BQ783" s="293">
        <f t="shared" ref="BQ783:BQ789" si="1987">BQ37+BQ114+BQ230+BQ342+BQ469+BQ544+BQ666+BQ710</f>
        <v>989</v>
      </c>
      <c r="BR783" s="293">
        <f>'P&amp;L'!BQ9</f>
        <v>1136</v>
      </c>
      <c r="BU783" s="293">
        <f t="shared" ref="BU783:BU789" si="1988">BU37+BU114+BU230+BU342+BU469+BU544+BU666+BU710</f>
        <v>1031</v>
      </c>
      <c r="BV783" s="293">
        <f>'P&amp;L'!BU9</f>
        <v>1114</v>
      </c>
      <c r="BY783" s="293">
        <f t="shared" ref="BY783:BY789" si="1989">BY37+BY114+BY230+BY342+BY469+BY544+BY666+BY710</f>
        <v>972</v>
      </c>
      <c r="BZ783" s="293">
        <f>'P&amp;L'!BY9</f>
        <v>1087</v>
      </c>
      <c r="CC783" s="293">
        <f t="shared" ref="CC783:CC789" si="1990">CC37+CC114+CC230+CC342+CC469+CC544+CC666+CC710</f>
        <v>1093</v>
      </c>
      <c r="CD783" s="293">
        <f>'P&amp;L'!CC9</f>
        <v>975</v>
      </c>
      <c r="CG783" s="293">
        <f t="shared" ref="CG783:CG789" si="1991">CG37+CG114+CG230+CG342+CG469+CG544+CG666+CG710</f>
        <v>1019</v>
      </c>
      <c r="CH783" s="293">
        <f>'P&amp;L'!CG9</f>
        <v>762</v>
      </c>
      <c r="CK783" s="293">
        <f t="shared" ref="CK783:CK789" si="1992">CK37+CK114+CK230+CK342+CK469+CK544+CK666+CK710</f>
        <v>1307</v>
      </c>
      <c r="CL783" s="293">
        <f>'P&amp;L'!CK9</f>
        <v>1069</v>
      </c>
      <c r="CO783" s="293">
        <f t="shared" ref="CO783:CO789" si="1993">CO37+CO114+CO230+CO342+CO469+CO544+CO666+CO710</f>
        <v>1175</v>
      </c>
      <c r="CP783" s="293">
        <f>'P&amp;L'!CO9</f>
        <v>1162</v>
      </c>
      <c r="CR783" s="103"/>
      <c r="CS783" s="293">
        <f t="shared" ref="CS783:CS789" si="1994">CS37+CS114+CS230+CS342+CS469+CS544+CS666+CS710</f>
        <v>925</v>
      </c>
      <c r="CT783" s="293">
        <f>'P&amp;L'!CS9</f>
        <v>1487</v>
      </c>
      <c r="CV783" s="103"/>
      <c r="CW783" s="293">
        <f t="shared" ref="CW783:CW789" si="1995">CW37+CW114+CW230+CW342+CW469+CW544+CW666+CW710</f>
        <v>1622</v>
      </c>
      <c r="CX783" s="293">
        <f>'P&amp;L'!CW9</f>
        <v>1597</v>
      </c>
      <c r="CZ783" s="103"/>
      <c r="DA783" s="293">
        <f t="shared" ref="DA783:DA789" si="1996">DA37+DA114+DA230+DA342+DA469+DA544+DA666+DA710</f>
        <v>1849</v>
      </c>
      <c r="DB783" s="293">
        <f>'P&amp;L'!DA9</f>
        <v>1826</v>
      </c>
      <c r="DD783" s="103"/>
      <c r="DE783" s="293">
        <f t="shared" ref="DE783:DE789" si="1997">DE37+DE114+DE230+DE342+DE469+DE544+DE666+DE710</f>
        <v>1960</v>
      </c>
      <c r="DF783" s="293">
        <f>'P&amp;L'!DE9</f>
        <v>1838</v>
      </c>
      <c r="DH783" s="103"/>
      <c r="DI783" s="103"/>
      <c r="DJ783" s="103"/>
      <c r="DL783" s="103"/>
      <c r="DM783" s="103"/>
      <c r="DN783" s="103"/>
      <c r="DP783" s="103"/>
      <c r="DQ783" s="103"/>
      <c r="DR783" s="103"/>
      <c r="DW783" s="1101"/>
    </row>
    <row r="784" spans="1:283">
      <c r="A784" s="332" t="s">
        <v>566</v>
      </c>
      <c r="BM784" s="293">
        <f t="shared" si="1986"/>
        <v>2015</v>
      </c>
      <c r="BN784" s="293">
        <f>'P&amp;L'!BM10</f>
        <v>2017</v>
      </c>
      <c r="BQ784" s="293">
        <f t="shared" si="1987"/>
        <v>2572</v>
      </c>
      <c r="BR784" s="293">
        <f>'P&amp;L'!BQ10</f>
        <v>2572</v>
      </c>
      <c r="BU784" s="293">
        <f t="shared" si="1988"/>
        <v>2068</v>
      </c>
      <c r="BV784" s="293">
        <f>'P&amp;L'!BU10</f>
        <v>2068</v>
      </c>
      <c r="BY784" s="293">
        <f t="shared" si="1989"/>
        <v>2128</v>
      </c>
      <c r="BZ784" s="293">
        <f>'P&amp;L'!BY10</f>
        <v>2128</v>
      </c>
      <c r="CC784" s="293">
        <f t="shared" si="1990"/>
        <v>2102</v>
      </c>
      <c r="CD784" s="293">
        <f>'P&amp;L'!CC10</f>
        <v>2102</v>
      </c>
      <c r="CG784" s="293">
        <f t="shared" si="1991"/>
        <v>2865</v>
      </c>
      <c r="CH784" s="293">
        <f>'P&amp;L'!CG10</f>
        <v>2865</v>
      </c>
      <c r="CK784" s="293">
        <f t="shared" si="1992"/>
        <v>2963</v>
      </c>
      <c r="CL784" s="293">
        <f>'P&amp;L'!CK10</f>
        <v>2963</v>
      </c>
      <c r="CO784" s="293">
        <f t="shared" si="1993"/>
        <v>2563</v>
      </c>
      <c r="CP784" s="293">
        <f>'P&amp;L'!CO10</f>
        <v>2563</v>
      </c>
      <c r="CR784" s="103"/>
      <c r="CS784" s="293">
        <f t="shared" si="1994"/>
        <v>3435</v>
      </c>
      <c r="CT784" s="293">
        <f>'P&amp;L'!CS10</f>
        <v>3435</v>
      </c>
      <c r="CV784" s="103"/>
      <c r="CW784" s="293">
        <f t="shared" si="1995"/>
        <v>3423</v>
      </c>
      <c r="CX784" s="293">
        <f>'P&amp;L'!CW10</f>
        <v>3345</v>
      </c>
      <c r="CZ784" s="103"/>
      <c r="DA784" s="293">
        <f t="shared" si="1996"/>
        <v>3226</v>
      </c>
      <c r="DB784" s="293">
        <f>'P&amp;L'!DA10</f>
        <v>3226</v>
      </c>
      <c r="DD784" s="103"/>
      <c r="DE784" s="293">
        <f t="shared" si="1997"/>
        <v>3490</v>
      </c>
      <c r="DF784" s="293">
        <f ca="1">'P&amp;L'!DE10</f>
        <v>3490</v>
      </c>
      <c r="DH784" s="103"/>
      <c r="DI784" s="103"/>
      <c r="DJ784" s="103"/>
      <c r="DL784" s="103"/>
      <c r="DM784" s="103"/>
      <c r="DN784" s="103"/>
      <c r="DP784" s="103"/>
      <c r="DQ784" s="103"/>
      <c r="DR784" s="103"/>
      <c r="DW784" s="1101"/>
    </row>
    <row r="785" spans="1:283">
      <c r="A785" s="332" t="s">
        <v>651</v>
      </c>
      <c r="BM785" s="293">
        <f t="shared" si="1986"/>
        <v>1020</v>
      </c>
      <c r="BN785" s="293">
        <f>'P&amp;L'!BM16</f>
        <v>979</v>
      </c>
      <c r="BQ785" s="293">
        <f t="shared" si="1987"/>
        <v>1187</v>
      </c>
      <c r="BR785" s="293">
        <f>'P&amp;L'!BQ16</f>
        <v>1040</v>
      </c>
      <c r="BU785" s="293">
        <f t="shared" si="1988"/>
        <v>1042</v>
      </c>
      <c r="BV785" s="293">
        <f>'P&amp;L'!BU16</f>
        <v>959</v>
      </c>
      <c r="BY785" s="293">
        <f t="shared" si="1989"/>
        <v>1097</v>
      </c>
      <c r="BZ785" s="293">
        <f>'P&amp;L'!BY16</f>
        <v>982</v>
      </c>
      <c r="CC785" s="293">
        <f t="shared" si="1990"/>
        <v>958</v>
      </c>
      <c r="CD785" s="293">
        <f>'P&amp;L'!CC16</f>
        <v>1076</v>
      </c>
      <c r="CG785" s="293">
        <f t="shared" si="1991"/>
        <v>1303</v>
      </c>
      <c r="CH785" s="293">
        <f>'P&amp;L'!CG16</f>
        <v>1560</v>
      </c>
      <c r="CK785" s="293">
        <f t="shared" si="1992"/>
        <v>996</v>
      </c>
      <c r="CL785" s="293">
        <f>'P&amp;L'!CK16</f>
        <v>1234</v>
      </c>
      <c r="CO785" s="293">
        <f t="shared" si="1993"/>
        <v>1982</v>
      </c>
      <c r="CP785" s="293">
        <f>'P&amp;L'!CO16</f>
        <v>1995</v>
      </c>
      <c r="CR785" s="103"/>
      <c r="CS785" s="293">
        <f t="shared" si="1994"/>
        <v>2899</v>
      </c>
      <c r="CT785" s="293">
        <f>'P&amp;L'!CS16</f>
        <v>2337</v>
      </c>
      <c r="CV785" s="103"/>
      <c r="CW785" s="293">
        <f t="shared" si="1995"/>
        <v>4731</v>
      </c>
      <c r="CX785" s="293">
        <f>'P&amp;L'!CW16</f>
        <v>4756</v>
      </c>
      <c r="CZ785" s="103"/>
      <c r="DA785" s="293">
        <f t="shared" si="1996"/>
        <v>2813</v>
      </c>
      <c r="DB785" s="293">
        <f>'P&amp;L'!DA16</f>
        <v>2836</v>
      </c>
      <c r="DD785" s="103"/>
      <c r="DE785" s="293">
        <f t="shared" si="1997"/>
        <v>2788</v>
      </c>
      <c r="DF785" s="293">
        <f>'P&amp;L'!DE16</f>
        <v>2910</v>
      </c>
      <c r="DH785" s="103"/>
      <c r="DI785" s="103"/>
      <c r="DJ785" s="103"/>
      <c r="DL785" s="103"/>
      <c r="DM785" s="103"/>
      <c r="DN785" s="103"/>
      <c r="DP785" s="103"/>
      <c r="DQ785" s="103"/>
      <c r="DR785" s="103"/>
      <c r="DW785" s="1101"/>
    </row>
    <row r="786" spans="1:283">
      <c r="A786" s="332" t="s">
        <v>652</v>
      </c>
      <c r="BM786" s="293">
        <f t="shared" si="1986"/>
        <v>79</v>
      </c>
      <c r="BN786" s="293">
        <f>'P&amp;L'!BM17</f>
        <v>79</v>
      </c>
      <c r="BQ786" s="293">
        <f t="shared" si="1987"/>
        <v>-14</v>
      </c>
      <c r="BR786" s="293">
        <f>'P&amp;L'!BQ17</f>
        <v>-14</v>
      </c>
      <c r="BU786" s="293">
        <f t="shared" si="1988"/>
        <v>67</v>
      </c>
      <c r="BV786" s="293">
        <f>'P&amp;L'!BU17</f>
        <v>67</v>
      </c>
      <c r="BY786" s="293">
        <f t="shared" si="1989"/>
        <v>59</v>
      </c>
      <c r="BZ786" s="293">
        <f>'P&amp;L'!BY17</f>
        <v>59</v>
      </c>
      <c r="CC786" s="293">
        <f t="shared" si="1990"/>
        <v>138</v>
      </c>
      <c r="CD786" s="293">
        <f>'P&amp;L'!CC17</f>
        <v>138</v>
      </c>
      <c r="CG786" s="293">
        <f t="shared" si="1991"/>
        <v>-63</v>
      </c>
      <c r="CH786" s="293">
        <f>'P&amp;L'!CG17</f>
        <v>-63</v>
      </c>
      <c r="CK786" s="293">
        <f t="shared" si="1992"/>
        <v>144</v>
      </c>
      <c r="CL786" s="293">
        <f>'P&amp;L'!CK17</f>
        <v>144</v>
      </c>
      <c r="CO786" s="293">
        <f t="shared" si="1993"/>
        <v>51</v>
      </c>
      <c r="CP786" s="293">
        <f>'P&amp;L'!CO17</f>
        <v>51</v>
      </c>
      <c r="CR786" s="103"/>
      <c r="CS786" s="293">
        <f t="shared" si="1994"/>
        <v>-2</v>
      </c>
      <c r="CT786" s="293">
        <f>'P&amp;L'!CS17</f>
        <v>-2</v>
      </c>
      <c r="CV786" s="103"/>
      <c r="CW786" s="293">
        <f t="shared" si="1995"/>
        <v>-52</v>
      </c>
      <c r="CX786" s="293">
        <f>'P&amp;L'!CW17</f>
        <v>-52</v>
      </c>
      <c r="CZ786" s="103"/>
      <c r="DA786" s="293">
        <f t="shared" si="1996"/>
        <v>-44</v>
      </c>
      <c r="DB786" s="293">
        <f>'P&amp;L'!DA17</f>
        <v>-44</v>
      </c>
      <c r="DD786" s="103"/>
      <c r="DE786" s="293">
        <f t="shared" si="1997"/>
        <v>166</v>
      </c>
      <c r="DF786" s="293">
        <f>'P&amp;L'!DE17</f>
        <v>166</v>
      </c>
      <c r="DH786" s="103"/>
      <c r="DI786" s="103"/>
      <c r="DJ786" s="103"/>
      <c r="DL786" s="103"/>
      <c r="DM786" s="103"/>
      <c r="DN786" s="103"/>
      <c r="DP786" s="103"/>
      <c r="DQ786" s="103"/>
      <c r="DR786" s="103"/>
      <c r="DW786" s="1101"/>
    </row>
    <row r="787" spans="1:283">
      <c r="A787" s="332" t="s">
        <v>621</v>
      </c>
      <c r="BM787" s="293">
        <f t="shared" si="1986"/>
        <v>535</v>
      </c>
      <c r="BN787" s="293">
        <f>'P&amp;L'!BM18</f>
        <v>535</v>
      </c>
      <c r="BQ787" s="293">
        <f t="shared" si="1987"/>
        <v>244</v>
      </c>
      <c r="BR787" s="293">
        <f>'P&amp;L'!BQ18</f>
        <v>244</v>
      </c>
      <c r="BU787" s="293">
        <f t="shared" si="1988"/>
        <v>632</v>
      </c>
      <c r="BV787" s="293">
        <f>'P&amp;L'!BU18</f>
        <v>632</v>
      </c>
      <c r="BY787" s="293">
        <f t="shared" si="1989"/>
        <v>890</v>
      </c>
      <c r="BZ787" s="293">
        <f>'P&amp;L'!BY18</f>
        <v>890</v>
      </c>
      <c r="CC787" s="293">
        <f t="shared" si="1990"/>
        <v>1232</v>
      </c>
      <c r="CD787" s="293">
        <f>'P&amp;L'!CC18</f>
        <v>1232</v>
      </c>
      <c r="CG787" s="293">
        <f t="shared" si="1991"/>
        <v>1800</v>
      </c>
      <c r="CH787" s="293">
        <f>'P&amp;L'!CG18</f>
        <v>1800</v>
      </c>
      <c r="CK787" s="293">
        <f t="shared" si="1992"/>
        <v>595</v>
      </c>
      <c r="CL787" s="293">
        <f>'P&amp;L'!CK18</f>
        <v>595</v>
      </c>
      <c r="CO787" s="293">
        <f t="shared" si="1993"/>
        <v>1484</v>
      </c>
      <c r="CP787" s="293">
        <f>'P&amp;L'!CO18</f>
        <v>1484</v>
      </c>
      <c r="CR787" s="103"/>
      <c r="CS787" s="293">
        <f t="shared" si="1994"/>
        <v>2263</v>
      </c>
      <c r="CT787" s="293">
        <f>'P&amp;L'!CS18</f>
        <v>2263</v>
      </c>
      <c r="CV787" s="103"/>
      <c r="CW787" s="293">
        <f t="shared" si="1995"/>
        <v>774</v>
      </c>
      <c r="CX787" s="293">
        <f>'P&amp;L'!CW18</f>
        <v>774</v>
      </c>
      <c r="CZ787" s="103"/>
      <c r="DA787" s="293">
        <f t="shared" si="1996"/>
        <v>1133</v>
      </c>
      <c r="DB787" s="293">
        <f>'P&amp;L'!DA18</f>
        <v>1133</v>
      </c>
      <c r="DD787" s="103"/>
      <c r="DE787" s="293">
        <f t="shared" si="1997"/>
        <v>588</v>
      </c>
      <c r="DF787" s="293">
        <f>'P&amp;L'!DE18</f>
        <v>588</v>
      </c>
      <c r="DH787" s="103"/>
      <c r="DI787" s="103"/>
      <c r="DJ787" s="103"/>
      <c r="DL787" s="103"/>
      <c r="DM787" s="103"/>
      <c r="DN787" s="103"/>
      <c r="DP787" s="103"/>
      <c r="DQ787" s="103"/>
      <c r="DR787" s="103"/>
      <c r="DW787" s="1101"/>
    </row>
    <row r="788" spans="1:283">
      <c r="A788" s="332" t="s">
        <v>567</v>
      </c>
      <c r="BM788" s="293">
        <f t="shared" si="1986"/>
        <v>0</v>
      </c>
      <c r="BN788" s="293">
        <f>'P&amp;L'!BM19</f>
        <v>0</v>
      </c>
      <c r="BQ788" s="293">
        <f t="shared" si="1987"/>
        <v>0</v>
      </c>
      <c r="BR788" s="293">
        <f>'P&amp;L'!BQ19</f>
        <v>0</v>
      </c>
      <c r="BU788" s="293">
        <f t="shared" si="1988"/>
        <v>0</v>
      </c>
      <c r="BV788" s="293">
        <f>'P&amp;L'!BU19</f>
        <v>0</v>
      </c>
      <c r="BY788" s="293">
        <f t="shared" si="1989"/>
        <v>0</v>
      </c>
      <c r="BZ788" s="293">
        <f>'P&amp;L'!BY19</f>
        <v>0</v>
      </c>
      <c r="CC788" s="293">
        <f t="shared" si="1990"/>
        <v>0</v>
      </c>
      <c r="CD788" s="293">
        <f>'P&amp;L'!CC19</f>
        <v>0</v>
      </c>
      <c r="CG788" s="293">
        <f t="shared" si="1991"/>
        <v>0</v>
      </c>
      <c r="CH788" s="293">
        <f>'P&amp;L'!CG19</f>
        <v>0</v>
      </c>
      <c r="CK788" s="293">
        <f t="shared" si="1992"/>
        <v>0</v>
      </c>
      <c r="CL788" s="293">
        <f>'P&amp;L'!CK19</f>
        <v>0</v>
      </c>
      <c r="CO788" s="293">
        <f t="shared" si="1993"/>
        <v>0</v>
      </c>
      <c r="CP788" s="293">
        <f>'P&amp;L'!CO19</f>
        <v>0</v>
      </c>
      <c r="CR788" s="103"/>
      <c r="CS788" s="293">
        <f t="shared" si="1994"/>
        <v>0</v>
      </c>
      <c r="CT788" s="293">
        <f>'P&amp;L'!CS19</f>
        <v>0</v>
      </c>
      <c r="CV788" s="103"/>
      <c r="CW788" s="293">
        <f t="shared" si="1995"/>
        <v>0</v>
      </c>
      <c r="CX788" s="293">
        <f>'P&amp;L'!CW19</f>
        <v>0</v>
      </c>
      <c r="CZ788" s="103"/>
      <c r="DA788" s="293">
        <f t="shared" si="1996"/>
        <v>0</v>
      </c>
      <c r="DB788" s="293">
        <f>'P&amp;L'!DA19</f>
        <v>0</v>
      </c>
      <c r="DD788" s="103"/>
      <c r="DE788" s="293">
        <f t="shared" si="1997"/>
        <v>0</v>
      </c>
      <c r="DF788" s="293">
        <f>'P&amp;L'!DE19</f>
        <v>0</v>
      </c>
      <c r="DH788" s="103"/>
      <c r="DI788" s="103"/>
      <c r="DJ788" s="103"/>
      <c r="DL788" s="103"/>
      <c r="DM788" s="103"/>
      <c r="DN788" s="103"/>
      <c r="DP788" s="103"/>
      <c r="DQ788" s="103"/>
      <c r="DR788" s="103"/>
      <c r="DW788" s="1101"/>
    </row>
    <row r="789" spans="1:283" s="289" customFormat="1">
      <c r="A789" s="289" t="s">
        <v>796</v>
      </c>
      <c r="AN789" s="290"/>
      <c r="AO789" s="290"/>
      <c r="AP789" s="290"/>
      <c r="AQ789" s="290"/>
      <c r="AR789" s="290"/>
      <c r="AS789" s="290"/>
      <c r="AT789" s="290"/>
      <c r="AU789" s="290"/>
      <c r="AV789" s="290"/>
      <c r="AW789" s="290"/>
      <c r="AX789" s="290"/>
      <c r="AY789" s="290"/>
      <c r="AZ789" s="290"/>
      <c r="BA789" s="290"/>
      <c r="BB789" s="290"/>
      <c r="BC789" s="290"/>
      <c r="BD789" s="290"/>
      <c r="BE789" s="290"/>
      <c r="BF789" s="290"/>
      <c r="BG789" s="290"/>
      <c r="BH789" s="290"/>
      <c r="BI789" s="290"/>
      <c r="BJ789" s="290"/>
      <c r="BK789" s="290"/>
      <c r="BL789" s="290"/>
      <c r="BM789" s="295">
        <f t="shared" si="1986"/>
        <v>4453</v>
      </c>
      <c r="BN789" s="293">
        <f>'P&amp;L'!BM20</f>
        <v>4455</v>
      </c>
      <c r="BO789" s="290"/>
      <c r="BP789" s="290"/>
      <c r="BQ789" s="295">
        <f t="shared" si="1987"/>
        <v>4978</v>
      </c>
      <c r="BR789" s="293">
        <f>'P&amp;L'!BQ20</f>
        <v>4978</v>
      </c>
      <c r="BS789" s="290"/>
      <c r="BT789" s="290"/>
      <c r="BU789" s="295">
        <f t="shared" si="1988"/>
        <v>4840</v>
      </c>
      <c r="BV789" s="293">
        <f>'P&amp;L'!BU20</f>
        <v>4840</v>
      </c>
      <c r="BW789" s="290"/>
      <c r="BX789" s="290"/>
      <c r="BY789" s="295">
        <f t="shared" si="1989"/>
        <v>5146</v>
      </c>
      <c r="BZ789" s="293">
        <f>'P&amp;L'!BY20</f>
        <v>5146</v>
      </c>
      <c r="CA789" s="290"/>
      <c r="CB789" s="290"/>
      <c r="CC789" s="295">
        <f t="shared" si="1990"/>
        <v>5523</v>
      </c>
      <c r="CD789" s="293">
        <f>'P&amp;L'!CC20</f>
        <v>5523</v>
      </c>
      <c r="CE789" s="290"/>
      <c r="CF789" s="290"/>
      <c r="CG789" s="295">
        <f t="shared" si="1991"/>
        <v>6924</v>
      </c>
      <c r="CH789" s="293">
        <f>'P&amp;L'!CG20</f>
        <v>6924</v>
      </c>
      <c r="CI789" s="290"/>
      <c r="CJ789" s="290"/>
      <c r="CK789" s="295">
        <f t="shared" si="1992"/>
        <v>6005</v>
      </c>
      <c r="CL789" s="293">
        <f>'P&amp;L'!CK20</f>
        <v>6005</v>
      </c>
      <c r="CM789" s="290"/>
      <c r="CN789" s="290"/>
      <c r="CO789" s="295">
        <f t="shared" si="1993"/>
        <v>7255</v>
      </c>
      <c r="CP789" s="293">
        <f>'P&amp;L'!CO20</f>
        <v>7255</v>
      </c>
      <c r="CQ789" s="290"/>
      <c r="CR789" s="290"/>
      <c r="CS789" s="295">
        <f t="shared" si="1994"/>
        <v>9520</v>
      </c>
      <c r="CT789" s="293">
        <f>'P&amp;L'!CS20</f>
        <v>9520</v>
      </c>
      <c r="CU789" s="290"/>
      <c r="CV789" s="290"/>
      <c r="CW789" s="295">
        <f t="shared" si="1995"/>
        <v>10498</v>
      </c>
      <c r="CX789" s="293">
        <f>'P&amp;L'!CW20</f>
        <v>10420</v>
      </c>
      <c r="CY789" s="290"/>
      <c r="CZ789" s="290"/>
      <c r="DA789" s="295">
        <f t="shared" si="1996"/>
        <v>8977</v>
      </c>
      <c r="DB789" s="293">
        <f>'P&amp;L'!DA20</f>
        <v>8977</v>
      </c>
      <c r="DC789" s="290"/>
      <c r="DD789" s="290"/>
      <c r="DE789" s="295">
        <f t="shared" si="1997"/>
        <v>8992</v>
      </c>
      <c r="DF789" s="293">
        <f ca="1">'P&amp;L'!DE20</f>
        <v>8992</v>
      </c>
      <c r="DG789" s="290"/>
      <c r="DH789" s="290"/>
      <c r="DI789" s="290"/>
      <c r="DJ789" s="290"/>
      <c r="DK789" s="290"/>
      <c r="DL789" s="290"/>
      <c r="DM789" s="290"/>
      <c r="DN789" s="290"/>
      <c r="DO789" s="290"/>
      <c r="DP789" s="290"/>
      <c r="DQ789" s="290"/>
      <c r="DR789" s="290"/>
      <c r="DS789" s="290"/>
      <c r="DT789" s="290"/>
      <c r="DU789" s="290"/>
      <c r="DV789" s="290"/>
      <c r="DW789" s="1102"/>
      <c r="DX789" s="290"/>
      <c r="DY789" s="290"/>
      <c r="DZ789" s="290"/>
      <c r="EA789" s="290"/>
      <c r="EB789" s="290"/>
      <c r="EC789" s="290"/>
      <c r="ED789" s="290"/>
      <c r="EE789" s="290"/>
      <c r="EF789" s="290"/>
      <c r="EG789" s="290"/>
      <c r="EH789" s="290"/>
      <c r="EI789" s="290"/>
      <c r="EJ789" s="290"/>
      <c r="EK789" s="290"/>
      <c r="EL789" s="290"/>
      <c r="EM789" s="290"/>
      <c r="EN789" s="290"/>
      <c r="EO789" s="290"/>
      <c r="EP789" s="290"/>
      <c r="EQ789" s="290"/>
      <c r="ER789" s="290"/>
      <c r="ES789" s="290"/>
      <c r="ET789" s="290"/>
      <c r="EU789" s="290"/>
      <c r="JW789"/>
    </row>
    <row r="790" spans="1:283">
      <c r="CR790" s="103"/>
      <c r="CS790" s="103"/>
      <c r="CT790" s="103"/>
      <c r="CV790" s="103"/>
      <c r="CW790" s="103"/>
      <c r="CX790" s="103"/>
      <c r="CZ790" s="103"/>
      <c r="DA790" s="103"/>
      <c r="DB790" s="103"/>
      <c r="DD790" s="103"/>
      <c r="DE790" s="103"/>
      <c r="DF790" s="103"/>
      <c r="DH790" s="103"/>
      <c r="DI790" s="103"/>
      <c r="DJ790" s="103"/>
      <c r="DL790" s="103"/>
      <c r="DM790" s="103"/>
      <c r="DN790" s="103"/>
      <c r="DP790" s="103"/>
      <c r="DQ790" s="103"/>
      <c r="DR790" s="103"/>
      <c r="DW790" s="1101"/>
    </row>
    <row r="791" spans="1:283">
      <c r="CR791" s="103"/>
      <c r="CS791" s="103"/>
      <c r="CT791" s="103"/>
      <c r="CV791" s="103"/>
      <c r="CW791" s="103"/>
      <c r="CX791" s="103"/>
      <c r="CZ791" s="103"/>
      <c r="DA791" s="103"/>
      <c r="DB791" s="103"/>
      <c r="DD791" s="103"/>
      <c r="DE791" s="103"/>
      <c r="DF791" s="103"/>
      <c r="DH791" s="103"/>
      <c r="DI791" s="103"/>
      <c r="DJ791" s="103"/>
      <c r="DL791" s="103"/>
      <c r="DM791" s="103"/>
      <c r="DN791" s="103"/>
      <c r="DP791" s="103"/>
      <c r="DQ791" s="103"/>
      <c r="DR791" s="103"/>
      <c r="DW791" s="1101"/>
    </row>
    <row r="792" spans="1:283" s="1089" customFormat="1">
      <c r="A792" s="1089" t="s">
        <v>1227</v>
      </c>
      <c r="AN792" s="1090"/>
      <c r="AO792" s="1090"/>
      <c r="AP792" s="1090"/>
      <c r="AQ792" s="1090"/>
      <c r="AR792" s="1090"/>
      <c r="AS792" s="1090"/>
      <c r="AT792" s="1090"/>
      <c r="AU792" s="1090"/>
      <c r="AV792" s="1090"/>
      <c r="AW792" s="1090"/>
      <c r="AX792" s="1090"/>
      <c r="AY792" s="1090"/>
      <c r="AZ792" s="1090"/>
      <c r="BA792" s="1090"/>
      <c r="BB792" s="1090"/>
      <c r="BC792" s="1090"/>
      <c r="BD792" s="1090"/>
      <c r="BE792" s="1090"/>
      <c r="BF792" s="1090"/>
      <c r="BG792" s="1090"/>
      <c r="BH792" s="1090"/>
      <c r="BI792" s="1090"/>
      <c r="BJ792" s="1090"/>
      <c r="BK792" s="1090"/>
      <c r="BL792" s="1090"/>
      <c r="BM792" s="1090"/>
      <c r="BN792" s="1090"/>
      <c r="BO792" s="1090"/>
      <c r="BP792" s="1090"/>
      <c r="BQ792" s="1090"/>
      <c r="BR792" s="1090"/>
      <c r="BS792" s="1090"/>
      <c r="BT792" s="1090"/>
      <c r="BU792" s="1090"/>
      <c r="BV792" s="1090"/>
      <c r="BW792" s="1090"/>
      <c r="BX792" s="1090"/>
      <c r="BY792" s="1090"/>
      <c r="BZ792" s="1090"/>
      <c r="CA792" s="1090"/>
      <c r="CB792" s="1090"/>
      <c r="CC792" s="1090"/>
      <c r="CD792" s="1090"/>
      <c r="CE792" s="1090"/>
      <c r="CF792" s="1090"/>
      <c r="CG792" s="1090"/>
      <c r="CH792" s="1090"/>
      <c r="CI792" s="1090"/>
      <c r="CJ792" s="1090"/>
      <c r="CK792" s="1090"/>
      <c r="CL792" s="1090"/>
      <c r="CM792" s="1090"/>
      <c r="CN792" s="1090"/>
      <c r="CO792" s="1090"/>
      <c r="CP792" s="1090"/>
      <c r="CQ792" s="1090"/>
      <c r="CR792" s="1090"/>
      <c r="CS792" s="1090"/>
      <c r="CT792" s="1090"/>
      <c r="CU792" s="1090"/>
      <c r="CV792" s="1090"/>
      <c r="CW792" s="1090"/>
      <c r="CX792" s="1090"/>
      <c r="CY792" s="1090"/>
      <c r="CZ792" s="1090"/>
      <c r="DA792" s="1090"/>
      <c r="DB792" s="1090"/>
      <c r="DC792" s="1090"/>
      <c r="DD792" s="1090"/>
      <c r="DE792" s="1090"/>
      <c r="DF792" s="1090"/>
      <c r="DG792" s="1090"/>
      <c r="DH792" s="1090"/>
      <c r="DI792" s="1090"/>
      <c r="DJ792" s="1090"/>
      <c r="DK792" s="1090"/>
      <c r="DL792" s="1090"/>
      <c r="DM792" s="1090"/>
      <c r="DN792" s="1090"/>
      <c r="DO792" s="1090"/>
      <c r="DP792" s="1090"/>
      <c r="DQ792" s="1090"/>
      <c r="DR792" s="1090"/>
      <c r="DS792" s="1090"/>
      <c r="DT792" s="1090"/>
      <c r="DU792" s="1090"/>
      <c r="DV792" s="1090"/>
      <c r="DW792" s="1333"/>
      <c r="DX792" s="1090"/>
      <c r="DY792" s="1090"/>
      <c r="DZ792" s="1090"/>
      <c r="EA792" s="1090"/>
      <c r="EB792" s="1090"/>
      <c r="EC792" s="1090"/>
      <c r="ED792" s="1090"/>
      <c r="EE792" s="1090"/>
      <c r="EF792" s="1090"/>
      <c r="EG792" s="1090"/>
      <c r="EH792" s="1090"/>
      <c r="EI792" s="1090"/>
      <c r="EJ792" s="1090"/>
      <c r="EK792" s="1090"/>
      <c r="EL792" s="1090"/>
      <c r="EM792" s="1090"/>
      <c r="EN792" s="1090"/>
      <c r="EO792" s="1090"/>
      <c r="EP792" s="1090"/>
      <c r="EQ792" s="1090"/>
      <c r="ER792" s="1090"/>
      <c r="ES792" s="1090"/>
      <c r="ET792" s="1090"/>
      <c r="EU792" s="1090"/>
      <c r="JW792"/>
    </row>
    <row r="793" spans="1:283">
      <c r="CR793" s="103"/>
      <c r="CS793" s="103"/>
      <c r="CT793" s="103"/>
      <c r="CV793" s="103"/>
      <c r="CW793" s="103"/>
      <c r="CX793" s="103"/>
      <c r="CZ793" s="103"/>
      <c r="DA793" s="103"/>
      <c r="DB793" s="103"/>
      <c r="DD793" s="103"/>
      <c r="DE793" s="103"/>
      <c r="DF793" s="103"/>
      <c r="DH793" s="103"/>
      <c r="DI793" s="103"/>
      <c r="DJ793" s="103"/>
      <c r="DL793" s="103"/>
      <c r="DM793" s="103"/>
      <c r="DN793" s="103"/>
      <c r="DP793" s="103"/>
      <c r="DQ793" s="103"/>
      <c r="DR793" s="103"/>
      <c r="DW793" s="1101"/>
    </row>
    <row r="794" spans="1:283">
      <c r="CR794" s="103"/>
      <c r="CS794" s="103"/>
      <c r="CT794" s="103"/>
      <c r="CV794" s="103"/>
      <c r="CW794" s="103"/>
      <c r="CX794" s="103"/>
      <c r="CZ794" s="103"/>
      <c r="DA794" s="103"/>
      <c r="DB794" s="103"/>
      <c r="DD794" s="103"/>
      <c r="DE794" s="103"/>
      <c r="DF794" s="103"/>
      <c r="DH794" s="103"/>
      <c r="DI794" s="103"/>
      <c r="DJ794" s="103"/>
      <c r="DL794" s="103"/>
      <c r="DM794" s="103"/>
      <c r="DN794" s="103"/>
      <c r="DP794" s="103"/>
      <c r="DQ794" s="103"/>
      <c r="DR794" s="103"/>
      <c r="DW794" s="1101"/>
    </row>
    <row r="795" spans="1:283" s="1249" customFormat="1" ht="41.25" hidden="1" customHeight="1" outlineLevel="1">
      <c r="A795" s="1248" t="s">
        <v>1025</v>
      </c>
      <c r="AN795" s="1250"/>
      <c r="AO795" s="1250"/>
      <c r="AP795" s="1251"/>
      <c r="AQ795" s="1250"/>
      <c r="AR795" s="1250"/>
      <c r="AS795" s="1250"/>
      <c r="AT795" s="1251"/>
      <c r="AU795" s="1250"/>
      <c r="AV795" s="1250"/>
      <c r="AW795" s="1250"/>
      <c r="AX795" s="1251"/>
      <c r="AY795" s="1250"/>
      <c r="AZ795" s="1250"/>
      <c r="BA795" s="1250"/>
      <c r="BB795" s="1251"/>
      <c r="BC795" s="1250"/>
      <c r="BD795" s="1250"/>
      <c r="BE795" s="1250"/>
      <c r="BF795" s="1251"/>
      <c r="BG795" s="1250"/>
      <c r="BH795" s="1250"/>
      <c r="BI795" s="1250"/>
      <c r="BJ795" s="1251"/>
      <c r="BK795" s="1250"/>
      <c r="BL795" s="1250"/>
      <c r="BM795" s="1250"/>
      <c r="BN795" s="1251"/>
      <c r="BO795" s="1250"/>
      <c r="BP795" s="1250"/>
      <c r="BQ795" s="1250"/>
      <c r="BR795" s="1251"/>
      <c r="BS795" s="1250"/>
      <c r="BT795" s="1250"/>
      <c r="BU795" s="1250"/>
      <c r="BV795" s="1251"/>
      <c r="BW795" s="1250"/>
      <c r="BX795" s="1250"/>
      <c r="BY795" s="1250"/>
      <c r="BZ795" s="1251"/>
      <c r="CA795" s="1250"/>
      <c r="CB795" s="1250"/>
      <c r="CC795" s="1250"/>
      <c r="CD795" s="1251"/>
      <c r="CE795" s="1250"/>
      <c r="CF795" s="1250"/>
      <c r="CG795" s="1250"/>
      <c r="CH795" s="1251"/>
      <c r="CI795" s="1250"/>
      <c r="CJ795" s="1250"/>
      <c r="CK795" s="1250"/>
      <c r="CL795" s="1251"/>
      <c r="CM795" s="1250"/>
      <c r="CN795" s="1250"/>
      <c r="CO795" s="1250"/>
      <c r="CP795" s="1251"/>
      <c r="CQ795" s="1250"/>
      <c r="CR795" s="1250"/>
      <c r="CS795" s="1250"/>
      <c r="CT795" s="1251"/>
      <c r="CU795" s="1250"/>
      <c r="CV795" s="1250"/>
      <c r="CW795" s="1250"/>
      <c r="CX795" s="1251"/>
      <c r="CY795" s="1250"/>
      <c r="CZ795" s="1250"/>
      <c r="DA795" s="1250"/>
      <c r="DB795" s="1251"/>
      <c r="DC795" s="1250"/>
      <c r="DD795" s="1250"/>
      <c r="DE795" s="1250"/>
      <c r="DF795" s="1251"/>
      <c r="DG795" s="1250"/>
      <c r="DH795" s="1250"/>
      <c r="DI795" s="1250"/>
      <c r="DJ795" s="1251"/>
      <c r="DK795" s="1250"/>
      <c r="DL795" s="1250"/>
      <c r="DM795" s="1250"/>
      <c r="DN795" s="1251"/>
      <c r="DO795" s="1250"/>
      <c r="DP795" s="1250"/>
      <c r="DQ795" s="1250"/>
      <c r="DR795" s="1251"/>
      <c r="DS795" s="1250"/>
      <c r="DT795" s="1250"/>
      <c r="DU795" s="1250"/>
      <c r="DV795" s="1250"/>
      <c r="DW795" s="1252"/>
      <c r="DX795" s="1250"/>
      <c r="DY795" s="1250"/>
      <c r="DZ795" s="1250"/>
      <c r="EA795" s="1250"/>
      <c r="EB795" s="1250"/>
      <c r="EC795" s="1250"/>
      <c r="ED795" s="1250"/>
      <c r="EE795" s="1250"/>
      <c r="EF795" s="1250"/>
      <c r="EG795" s="1250"/>
      <c r="EH795" s="1250"/>
      <c r="EI795" s="1250"/>
      <c r="EJ795" s="1250"/>
      <c r="EK795" s="1250"/>
      <c r="EL795" s="1250"/>
      <c r="EM795" s="1250"/>
      <c r="EN795" s="1250"/>
      <c r="EO795" s="1250"/>
      <c r="EP795" s="1250"/>
      <c r="EQ795" s="1250"/>
      <c r="ER795" s="1250"/>
      <c r="ES795" s="1250"/>
      <c r="ET795" s="1250"/>
      <c r="EU795" s="1250"/>
      <c r="JW795"/>
    </row>
    <row r="796" spans="1:283" hidden="1" outlineLevel="1">
      <c r="AP796" s="293"/>
      <c r="AT796" s="293"/>
      <c r="AX796" s="293"/>
      <c r="AZ796" s="293"/>
      <c r="BA796" s="293"/>
      <c r="BB796" s="293"/>
      <c r="BF796" s="293"/>
      <c r="BG796" s="293"/>
      <c r="BJ796" s="293"/>
      <c r="BN796" s="293"/>
      <c r="BR796" s="293"/>
      <c r="BV796" s="293"/>
      <c r="BZ796" s="293"/>
      <c r="CD796" s="293"/>
      <c r="CH796" s="293"/>
      <c r="CL796" s="293"/>
      <c r="CP796" s="293"/>
      <c r="CR796" s="103"/>
      <c r="CS796" s="103"/>
      <c r="CT796" s="293"/>
      <c r="CV796" s="103"/>
      <c r="CW796" s="103"/>
      <c r="CX796" s="293"/>
      <c r="CZ796" s="103"/>
      <c r="DA796" s="103"/>
      <c r="DB796" s="293"/>
      <c r="DD796" s="103"/>
      <c r="DE796" s="103"/>
      <c r="DF796" s="293"/>
      <c r="DH796" s="103"/>
      <c r="DI796" s="103"/>
      <c r="DJ796" s="293"/>
      <c r="DL796" s="103"/>
      <c r="DM796" s="103"/>
      <c r="DN796" s="293"/>
      <c r="DP796" s="103"/>
      <c r="DQ796" s="103"/>
      <c r="DR796" s="293"/>
      <c r="DW796" s="1101"/>
    </row>
    <row r="797" spans="1:283" s="332" customFormat="1" hidden="1" outlineLevel="1">
      <c r="A797" s="332" t="s">
        <v>571</v>
      </c>
      <c r="AN797" s="626">
        <v>24</v>
      </c>
      <c r="AO797" s="626">
        <v>-214</v>
      </c>
      <c r="AP797" s="293">
        <f>AN797+AO797</f>
        <v>-190</v>
      </c>
      <c r="AQ797" s="293"/>
      <c r="AR797" s="626">
        <v>52</v>
      </c>
      <c r="AS797" s="626">
        <v>-39</v>
      </c>
      <c r="AT797" s="293">
        <f t="shared" ref="AT797:AT803" si="1998">AR797+AS797</f>
        <v>13</v>
      </c>
      <c r="AU797" s="626"/>
      <c r="AV797" s="626">
        <v>-25</v>
      </c>
      <c r="AW797" s="626">
        <v>-21</v>
      </c>
      <c r="AX797" s="293">
        <f t="shared" ref="AX797:AX803" si="1999">AV797+AW797</f>
        <v>-46</v>
      </c>
      <c r="AY797" s="626"/>
      <c r="AZ797" s="626">
        <v>-14</v>
      </c>
      <c r="BA797" s="626">
        <v>-5</v>
      </c>
      <c r="BB797" s="293">
        <f t="shared" ref="BB797:BB803" si="2000">AZ797+BA797</f>
        <v>-19</v>
      </c>
      <c r="BC797" s="293"/>
      <c r="BD797" s="626">
        <v>5</v>
      </c>
      <c r="BE797" s="626">
        <v>9</v>
      </c>
      <c r="BF797" s="293">
        <f t="shared" ref="BF797:BF803" si="2001">BD797+BE797</f>
        <v>14</v>
      </c>
      <c r="BG797" s="293"/>
      <c r="BH797" s="626">
        <v>0</v>
      </c>
      <c r="BI797" s="626">
        <v>0</v>
      </c>
      <c r="BJ797" s="293">
        <f t="shared" ref="BJ797:BJ803" si="2002">BH797+BI797</f>
        <v>0</v>
      </c>
      <c r="BK797" s="487"/>
      <c r="BL797" s="626">
        <v>0</v>
      </c>
      <c r="BM797" s="626">
        <v>0</v>
      </c>
      <c r="BN797" s="293">
        <f t="shared" ref="BN797:BN803" si="2003">BL797+BM797</f>
        <v>0</v>
      </c>
      <c r="BO797" s="487"/>
      <c r="BP797" s="626">
        <v>0</v>
      </c>
      <c r="BQ797" s="626">
        <v>0</v>
      </c>
      <c r="BR797" s="293">
        <f t="shared" ref="BR797:BR803" si="2004">BP797+BQ797</f>
        <v>0</v>
      </c>
      <c r="BS797" s="487"/>
      <c r="BT797" s="626">
        <v>0</v>
      </c>
      <c r="BU797" s="626">
        <v>0</v>
      </c>
      <c r="BV797" s="293">
        <f t="shared" ref="BV797:BV803" si="2005">BT797+BU797</f>
        <v>0</v>
      </c>
      <c r="BW797" s="487"/>
      <c r="BX797" s="626">
        <v>0</v>
      </c>
      <c r="BY797" s="626">
        <v>0</v>
      </c>
      <c r="BZ797" s="293">
        <f t="shared" ref="BZ797:BZ803" si="2006">BX797+BY797</f>
        <v>0</v>
      </c>
      <c r="CA797" s="487"/>
      <c r="CB797" s="293">
        <f>CB819</f>
        <v>0</v>
      </c>
      <c r="CC797" s="293">
        <f>CC819</f>
        <v>0</v>
      </c>
      <c r="CD797" s="293">
        <f t="shared" ref="CD797:CD803" si="2007">CB797+CC797</f>
        <v>0</v>
      </c>
      <c r="CE797" s="487"/>
      <c r="CF797" s="293">
        <f>CF819</f>
        <v>0</v>
      </c>
      <c r="CG797" s="293">
        <f>CG819</f>
        <v>0</v>
      </c>
      <c r="CH797" s="293">
        <f t="shared" ref="CH797:CH803" si="2008">CF797+CG797</f>
        <v>0</v>
      </c>
      <c r="CI797" s="487"/>
      <c r="CJ797" s="293">
        <f>CJ819</f>
        <v>0</v>
      </c>
      <c r="CK797" s="293">
        <f>CK819</f>
        <v>0</v>
      </c>
      <c r="CL797" s="293">
        <f t="shared" ref="CL797:CL803" si="2009">CJ797+CK797</f>
        <v>0</v>
      </c>
      <c r="CM797" s="487"/>
      <c r="CN797" s="293">
        <f>CN819</f>
        <v>0</v>
      </c>
      <c r="CO797" s="293">
        <f>CO819</f>
        <v>0</v>
      </c>
      <c r="CP797" s="293">
        <f t="shared" ref="CP797:CP803" si="2010">CN797+CO797</f>
        <v>0</v>
      </c>
      <c r="CQ797" s="487"/>
      <c r="CR797" s="293">
        <f>CR819</f>
        <v>0</v>
      </c>
      <c r="CS797" s="293">
        <f>CS819</f>
        <v>0</v>
      </c>
      <c r="CT797" s="293">
        <f t="shared" ref="CT797:CT803" si="2011">CR797+CS797</f>
        <v>0</v>
      </c>
      <c r="CU797" s="487"/>
      <c r="CV797" s="293">
        <f>CV819</f>
        <v>0</v>
      </c>
      <c r="CW797" s="293">
        <f>CW819</f>
        <v>0</v>
      </c>
      <c r="CX797" s="293">
        <f t="shared" ref="CX797:CX803" si="2012">CV797+CW797</f>
        <v>0</v>
      </c>
      <c r="CY797" s="487"/>
      <c r="CZ797" s="293">
        <f>CZ819</f>
        <v>0</v>
      </c>
      <c r="DA797" s="293">
        <f>DA819</f>
        <v>0</v>
      </c>
      <c r="DB797" s="293">
        <f t="shared" ref="DB797:DB803" si="2013">CZ797+DA797</f>
        <v>0</v>
      </c>
      <c r="DC797" s="487"/>
      <c r="DD797" s="293">
        <f>DD819</f>
        <v>0</v>
      </c>
      <c r="DE797" s="293">
        <f>DE819</f>
        <v>0</v>
      </c>
      <c r="DF797" s="293">
        <f t="shared" ref="DF797:DF803" si="2014">DD797+DE797</f>
        <v>0</v>
      </c>
      <c r="DG797" s="487"/>
      <c r="DH797" s="293">
        <f>DH819</f>
        <v>0</v>
      </c>
      <c r="DI797" s="293">
        <f>DI819</f>
        <v>0</v>
      </c>
      <c r="DJ797" s="293">
        <f t="shared" ref="DJ797:DJ803" si="2015">DH797+DI797</f>
        <v>0</v>
      </c>
      <c r="DK797" s="487"/>
      <c r="DL797" s="293">
        <f>DL819</f>
        <v>0</v>
      </c>
      <c r="DM797" s="293">
        <f>DM819</f>
        <v>0</v>
      </c>
      <c r="DN797" s="293">
        <f t="shared" ref="DN797:DN803" si="2016">DL797+DM797</f>
        <v>0</v>
      </c>
      <c r="DO797" s="487"/>
      <c r="DP797" s="293">
        <f>DP819</f>
        <v>0</v>
      </c>
      <c r="DQ797" s="293">
        <f>DQ819</f>
        <v>0</v>
      </c>
      <c r="DR797" s="293">
        <f t="shared" ref="DR797:DR803" si="2017">DP797+DQ797</f>
        <v>0</v>
      </c>
      <c r="DS797" s="487"/>
      <c r="DT797" s="487"/>
      <c r="DU797" s="487"/>
      <c r="DV797" s="487"/>
      <c r="DW797" s="1197" t="s">
        <v>513</v>
      </c>
      <c r="DX797" s="293"/>
      <c r="DY797" s="293"/>
      <c r="DZ797" s="293"/>
      <c r="EA797" s="293"/>
      <c r="EB797" s="293"/>
      <c r="EC797" s="293"/>
      <c r="ED797" s="293"/>
      <c r="EE797" s="293"/>
      <c r="EF797" s="293"/>
      <c r="EG797" s="293"/>
      <c r="EH797" s="293"/>
      <c r="EI797" s="293"/>
      <c r="EJ797" s="293"/>
      <c r="EK797" s="293"/>
      <c r="EL797" s="293"/>
      <c r="EM797" s="293"/>
      <c r="EN797" s="293"/>
      <c r="EO797" s="293"/>
      <c r="EP797" s="293"/>
      <c r="EQ797" s="293"/>
      <c r="ER797" s="293"/>
      <c r="ES797" s="293"/>
      <c r="ET797" s="293"/>
      <c r="EU797" s="293"/>
      <c r="JW797"/>
    </row>
    <row r="798" spans="1:283" s="332" customFormat="1" hidden="1" outlineLevel="1">
      <c r="A798" s="332" t="s">
        <v>566</v>
      </c>
      <c r="AN798" s="293">
        <f>AN830</f>
        <v>486</v>
      </c>
      <c r="AO798" s="293">
        <f>AO830</f>
        <v>560</v>
      </c>
      <c r="AP798" s="626">
        <v>1046</v>
      </c>
      <c r="AQ798" s="293"/>
      <c r="AR798" s="293">
        <f>AR830</f>
        <v>472</v>
      </c>
      <c r="AS798" s="293">
        <f>AS830</f>
        <v>372</v>
      </c>
      <c r="AT798" s="293">
        <f t="shared" si="1998"/>
        <v>844</v>
      </c>
      <c r="AU798" s="293"/>
      <c r="AV798" s="293">
        <f>AV830</f>
        <v>502</v>
      </c>
      <c r="AW798" s="293">
        <f>AW830</f>
        <v>475</v>
      </c>
      <c r="AX798" s="293">
        <f t="shared" si="1999"/>
        <v>977</v>
      </c>
      <c r="AY798" s="293"/>
      <c r="AZ798" s="293">
        <f>AZ830</f>
        <v>462.5</v>
      </c>
      <c r="BA798" s="293">
        <f>BA830</f>
        <v>463.5</v>
      </c>
      <c r="BB798" s="293">
        <f t="shared" si="2000"/>
        <v>926</v>
      </c>
      <c r="BC798" s="293"/>
      <c r="BD798" s="293">
        <f>BD830</f>
        <v>372</v>
      </c>
      <c r="BE798" s="293">
        <f>BE830</f>
        <v>293</v>
      </c>
      <c r="BF798" s="293">
        <f t="shared" si="2001"/>
        <v>665</v>
      </c>
      <c r="BG798" s="360"/>
      <c r="BH798" s="293">
        <f>BH830</f>
        <v>242</v>
      </c>
      <c r="BI798" s="293">
        <f>BI830</f>
        <v>260</v>
      </c>
      <c r="BJ798" s="293">
        <f t="shared" si="2002"/>
        <v>502</v>
      </c>
      <c r="BK798" s="487"/>
      <c r="BL798" s="293">
        <f>BL830</f>
        <v>315</v>
      </c>
      <c r="BM798" s="293">
        <f>BM830</f>
        <v>318</v>
      </c>
      <c r="BN798" s="293">
        <f t="shared" si="2003"/>
        <v>633</v>
      </c>
      <c r="BO798" s="487"/>
      <c r="BP798" s="293">
        <f>BP830</f>
        <v>323</v>
      </c>
      <c r="BQ798" s="293">
        <f>BQ830</f>
        <v>329</v>
      </c>
      <c r="BR798" s="293">
        <f t="shared" si="2004"/>
        <v>652</v>
      </c>
      <c r="BS798" s="487"/>
      <c r="BT798" s="293">
        <f>BT830</f>
        <v>369</v>
      </c>
      <c r="BU798" s="293">
        <f>BU830</f>
        <v>325</v>
      </c>
      <c r="BV798" s="293">
        <f t="shared" si="2005"/>
        <v>694</v>
      </c>
      <c r="BW798" s="684">
        <f>+BV798/BR798-1</f>
        <v>6.4417177914110502E-2</v>
      </c>
      <c r="BX798" s="293">
        <f>BX830</f>
        <v>313</v>
      </c>
      <c r="BY798" s="293">
        <f>BY830</f>
        <v>325</v>
      </c>
      <c r="BZ798" s="293">
        <f t="shared" si="2006"/>
        <v>638</v>
      </c>
      <c r="CA798" s="684">
        <f>+BZ798/BV798-1</f>
        <v>-8.0691642651296802E-2</v>
      </c>
      <c r="CB798" s="293">
        <f>CB830</f>
        <v>335.97999999999996</v>
      </c>
      <c r="CC798" s="293">
        <f>CC830</f>
        <v>347.36320000000001</v>
      </c>
      <c r="CD798" s="293">
        <f t="shared" si="2007"/>
        <v>683.34320000000002</v>
      </c>
      <c r="CE798" s="684">
        <f>+CD798/BZ798-1</f>
        <v>7.1070846394984288E-2</v>
      </c>
      <c r="CF798" s="293">
        <f>CF830</f>
        <v>359.16612399999997</v>
      </c>
      <c r="CG798" s="293">
        <f>CG830</f>
        <v>371.40605739999995</v>
      </c>
      <c r="CH798" s="293">
        <f t="shared" si="2008"/>
        <v>730.57218139999986</v>
      </c>
      <c r="CI798" s="684">
        <f>+CH798/CD798-1</f>
        <v>6.9114584589412553E-2</v>
      </c>
      <c r="CJ798" s="293">
        <f>CJ830</f>
        <v>384.1010857828</v>
      </c>
      <c r="CK798" s="293">
        <f>CK830</f>
        <v>397.27013581673202</v>
      </c>
      <c r="CL798" s="293">
        <f t="shared" si="2009"/>
        <v>781.37122159953196</v>
      </c>
      <c r="CM798" s="684">
        <f>+CL798/CH798-1</f>
        <v>6.9533225453760839E-2</v>
      </c>
      <c r="CN798" s="293">
        <f>CN830</f>
        <v>410.93301839930882</v>
      </c>
      <c r="CO798" s="293">
        <f>CO830</f>
        <v>425.11047416984752</v>
      </c>
      <c r="CP798" s="293">
        <f t="shared" si="2010"/>
        <v>836.04349256915634</v>
      </c>
      <c r="CQ798" s="684">
        <f>+CP798/CL798-1</f>
        <v>6.9969650095003111E-2</v>
      </c>
      <c r="CR798" s="293">
        <f>CR830</f>
        <v>439.82422152661587</v>
      </c>
      <c r="CS798" s="293">
        <f>CS830</f>
        <v>455.09700729198767</v>
      </c>
      <c r="CT798" s="293">
        <f t="shared" si="2011"/>
        <v>894.92122881860359</v>
      </c>
      <c r="CU798" s="684">
        <f>+CT798/CP798-1</f>
        <v>7.0424250380224152E-2</v>
      </c>
      <c r="CV798" s="293">
        <f>CV830</f>
        <v>470.95266017749503</v>
      </c>
      <c r="CW798" s="293">
        <f>CW830</f>
        <v>487.41614720957244</v>
      </c>
      <c r="CX798" s="293">
        <f t="shared" si="2012"/>
        <v>958.36880738706748</v>
      </c>
      <c r="CY798" s="684">
        <f>+CX798/CT798-1</f>
        <v>7.0897389094481289E-2</v>
      </c>
      <c r="CZ798" s="293">
        <f>CZ830</f>
        <v>504.51363328621733</v>
      </c>
      <c r="DA798" s="293">
        <f>DA830</f>
        <v>522.2725440447831</v>
      </c>
      <c r="DB798" s="293">
        <f t="shared" si="2013"/>
        <v>1026.7861773310005</v>
      </c>
      <c r="DC798" s="684">
        <f>+DB798/CX798-1</f>
        <v>7.1389395623662644E-2</v>
      </c>
      <c r="DD798" s="293">
        <f>DD830</f>
        <v>540.72163223170458</v>
      </c>
      <c r="DE798" s="293">
        <f>DE830</f>
        <v>559.89104777616831</v>
      </c>
      <c r="DF798" s="293">
        <f t="shared" si="2014"/>
        <v>1100.6126800078728</v>
      </c>
      <c r="DG798" s="684">
        <f>+DF798/DB798-1</f>
        <v>7.1900561486691217E-2</v>
      </c>
      <c r="DH798" s="293">
        <f>DH830</f>
        <v>579.81241178161679</v>
      </c>
      <c r="DI798" s="293">
        <f>DI830</f>
        <v>600.51889466155853</v>
      </c>
      <c r="DJ798" s="293">
        <f t="shared" si="2015"/>
        <v>1180.3313064431754</v>
      </c>
      <c r="DK798" s="684">
        <f>+DJ798/DF798-1</f>
        <v>7.2431135751345632E-2</v>
      </c>
      <c r="DL798" s="293">
        <f>DL830</f>
        <v>622.04529865948803</v>
      </c>
      <c r="DM798" s="293">
        <f>DM830</f>
        <v>644.4281450068404</v>
      </c>
      <c r="DN798" s="293">
        <f t="shared" si="2016"/>
        <v>1266.4734436663284</v>
      </c>
      <c r="DO798" s="684">
        <f>+DN798/DJ798-1</f>
        <v>7.298132037413696E-2</v>
      </c>
      <c r="DP798" s="293">
        <f>DP830</f>
        <v>667.70576598786749</v>
      </c>
      <c r="DQ798" s="293">
        <f>DQ830</f>
        <v>691.91840219617472</v>
      </c>
      <c r="DR798" s="293">
        <f t="shared" si="2017"/>
        <v>1359.6241681840422</v>
      </c>
      <c r="DS798" s="684">
        <f>+DR798/DN798-1</f>
        <v>7.355126551098512E-2</v>
      </c>
      <c r="DT798" s="684"/>
      <c r="DU798" s="684"/>
      <c r="DV798" s="684"/>
      <c r="DW798" s="1197" t="s">
        <v>513</v>
      </c>
      <c r="DX798" s="293"/>
      <c r="DY798" s="293"/>
      <c r="DZ798" s="293"/>
      <c r="EA798" s="293"/>
      <c r="EB798" s="293"/>
      <c r="EC798" s="293"/>
      <c r="ED798" s="293"/>
      <c r="EE798" s="293"/>
      <c r="EF798" s="293"/>
      <c r="EG798" s="293"/>
      <c r="EH798" s="293"/>
      <c r="EI798" s="293"/>
      <c r="EJ798" s="293"/>
      <c r="EK798" s="293"/>
      <c r="EL798" s="293"/>
      <c r="EM798" s="293"/>
      <c r="EN798" s="293"/>
      <c r="EO798" s="293"/>
      <c r="EP798" s="293"/>
      <c r="EQ798" s="293"/>
      <c r="ER798" s="293"/>
      <c r="ES798" s="293"/>
      <c r="ET798" s="293"/>
      <c r="EU798" s="293"/>
      <c r="JW798"/>
    </row>
    <row r="799" spans="1:283" s="1253" customFormat="1" hidden="1" outlineLevel="1">
      <c r="A799" s="1253" t="s">
        <v>651</v>
      </c>
      <c r="AN799" s="1254">
        <v>553</v>
      </c>
      <c r="AO799" s="1254">
        <v>525</v>
      </c>
      <c r="AP799" s="1255">
        <f>AN799+AO799</f>
        <v>1078</v>
      </c>
      <c r="AQ799" s="1255"/>
      <c r="AR799" s="1254">
        <v>414</v>
      </c>
      <c r="AS799" s="1254">
        <v>-52</v>
      </c>
      <c r="AT799" s="1255">
        <f t="shared" si="1998"/>
        <v>362</v>
      </c>
      <c r="AU799" s="1254"/>
      <c r="AV799" s="1254">
        <v>291</v>
      </c>
      <c r="AW799" s="1254">
        <v>234</v>
      </c>
      <c r="AX799" s="1255">
        <f t="shared" si="1999"/>
        <v>525</v>
      </c>
      <c r="AY799" s="1254"/>
      <c r="AZ799" s="1254">
        <f>153-AZ797</f>
        <v>167</v>
      </c>
      <c r="BA799" s="1254">
        <f>222-BA797</f>
        <v>227</v>
      </c>
      <c r="BB799" s="1255">
        <f t="shared" si="2000"/>
        <v>394</v>
      </c>
      <c r="BC799" s="1255"/>
      <c r="BD799" s="1254">
        <f>170-BD797</f>
        <v>165</v>
      </c>
      <c r="BE799" s="1254">
        <f>57-BE797</f>
        <v>48</v>
      </c>
      <c r="BF799" s="1255">
        <f t="shared" si="2001"/>
        <v>213</v>
      </c>
      <c r="BG799" s="1255"/>
      <c r="BH799" s="1254">
        <f>62-BH797</f>
        <v>62</v>
      </c>
      <c r="BI799" s="1254">
        <f>70-BI797</f>
        <v>70</v>
      </c>
      <c r="BJ799" s="1255">
        <f t="shared" si="2002"/>
        <v>132</v>
      </c>
      <c r="BK799" s="1256"/>
      <c r="BL799" s="1254">
        <f>125-BL797</f>
        <v>125</v>
      </c>
      <c r="BM799" s="1254">
        <v>109</v>
      </c>
      <c r="BN799" s="1255">
        <f t="shared" si="2003"/>
        <v>234</v>
      </c>
      <c r="BO799" s="1257"/>
      <c r="BP799" s="1254">
        <v>113</v>
      </c>
      <c r="BQ799" s="1254">
        <v>176</v>
      </c>
      <c r="BR799" s="1255">
        <f t="shared" si="2004"/>
        <v>289</v>
      </c>
      <c r="BS799" s="1257"/>
      <c r="BT799" s="1254">
        <v>375</v>
      </c>
      <c r="BU799" s="1254">
        <v>165</v>
      </c>
      <c r="BV799" s="1255">
        <f t="shared" si="2005"/>
        <v>540</v>
      </c>
      <c r="BW799" s="1258">
        <f>+BV799/BR799-1</f>
        <v>0.86851211072664358</v>
      </c>
      <c r="BX799" s="1254">
        <v>161</v>
      </c>
      <c r="BY799" s="1254">
        <v>165</v>
      </c>
      <c r="BZ799" s="1255">
        <f t="shared" si="2006"/>
        <v>326</v>
      </c>
      <c r="CA799" s="1258">
        <f>+BZ799/BV799-1</f>
        <v>-0.39629629629629626</v>
      </c>
      <c r="CB799" s="1259">
        <f>CB820</f>
        <v>177.10000000000002</v>
      </c>
      <c r="CC799" s="1259">
        <f>CC820</f>
        <v>173.25</v>
      </c>
      <c r="CD799" s="1259">
        <f t="shared" si="2007"/>
        <v>350.35</v>
      </c>
      <c r="CE799" s="1258">
        <f>+CD799/BZ799-1</f>
        <v>7.46932515337424E-2</v>
      </c>
      <c r="CF799" s="1259">
        <f>CF820</f>
        <v>185.95500000000004</v>
      </c>
      <c r="CG799" s="1259">
        <f>CG820</f>
        <v>181.91249999999999</v>
      </c>
      <c r="CH799" s="1259">
        <f t="shared" si="2008"/>
        <v>367.86750000000006</v>
      </c>
      <c r="CI799" s="1258">
        <f>+CH799/CD799-1</f>
        <v>5.0000000000000044E-2</v>
      </c>
      <c r="CJ799" s="1259">
        <f>CJ820</f>
        <v>195.25275000000005</v>
      </c>
      <c r="CK799" s="1259">
        <f>CK820</f>
        <v>191.00812500000001</v>
      </c>
      <c r="CL799" s="1259">
        <f t="shared" si="2009"/>
        <v>386.26087500000006</v>
      </c>
      <c r="CM799" s="1258">
        <f>+CL799/CH799-1</f>
        <v>5.0000000000000044E-2</v>
      </c>
      <c r="CN799" s="1259">
        <f>CN820</f>
        <v>205.01538750000006</v>
      </c>
      <c r="CO799" s="1259">
        <f>CO820</f>
        <v>200.55853125000002</v>
      </c>
      <c r="CP799" s="1259">
        <f t="shared" si="2010"/>
        <v>405.57391875000008</v>
      </c>
      <c r="CQ799" s="1258">
        <f>+CP799/CL799-1</f>
        <v>5.0000000000000044E-2</v>
      </c>
      <c r="CR799" s="1259">
        <f>CR820</f>
        <v>215.26615687500006</v>
      </c>
      <c r="CS799" s="1259">
        <f>CS820</f>
        <v>210.58645781250002</v>
      </c>
      <c r="CT799" s="1259">
        <f t="shared" si="2011"/>
        <v>425.85261468750008</v>
      </c>
      <c r="CU799" s="1258">
        <f>+CT799/CP799-1</f>
        <v>5.0000000000000044E-2</v>
      </c>
      <c r="CV799" s="1259">
        <f>CV820</f>
        <v>226.02946471875006</v>
      </c>
      <c r="CW799" s="1259">
        <f>CW820</f>
        <v>221.11578070312501</v>
      </c>
      <c r="CX799" s="1259">
        <f t="shared" si="2012"/>
        <v>447.14524542187507</v>
      </c>
      <c r="CY799" s="1258">
        <f>+CX799/CT799-1</f>
        <v>5.0000000000000044E-2</v>
      </c>
      <c r="CZ799" s="1259">
        <f>CZ820</f>
        <v>237.33093795468758</v>
      </c>
      <c r="DA799" s="1259">
        <f>DA820</f>
        <v>232.17156973828128</v>
      </c>
      <c r="DB799" s="1259">
        <f t="shared" si="2013"/>
        <v>469.50250769296883</v>
      </c>
      <c r="DC799" s="1258">
        <f>+DB799/CX799-1</f>
        <v>5.0000000000000044E-2</v>
      </c>
      <c r="DD799" s="1259">
        <f>DD820</f>
        <v>249.19748485242198</v>
      </c>
      <c r="DE799" s="1259">
        <f>DE820</f>
        <v>243.78014822519535</v>
      </c>
      <c r="DF799" s="1259">
        <f t="shared" si="2014"/>
        <v>492.97763307761733</v>
      </c>
      <c r="DG799" s="1258">
        <f>+DF799/DB799-1</f>
        <v>5.0000000000000044E-2</v>
      </c>
      <c r="DH799" s="1259">
        <f>DH820</f>
        <v>261.65735909504309</v>
      </c>
      <c r="DI799" s="1259">
        <f>DI820</f>
        <v>255.96915563645513</v>
      </c>
      <c r="DJ799" s="1259">
        <f t="shared" si="2015"/>
        <v>517.62651473149822</v>
      </c>
      <c r="DK799" s="1258">
        <f>+DJ799/DF799-1</f>
        <v>5.0000000000000044E-2</v>
      </c>
      <c r="DL799" s="1259">
        <f>DL820</f>
        <v>274.74022704979524</v>
      </c>
      <c r="DM799" s="1259">
        <f>DM820</f>
        <v>268.7676134182779</v>
      </c>
      <c r="DN799" s="1259">
        <f t="shared" si="2016"/>
        <v>543.50784046807314</v>
      </c>
      <c r="DO799" s="1258">
        <f>+DN799/DJ799-1</f>
        <v>5.0000000000000044E-2</v>
      </c>
      <c r="DP799" s="1259">
        <f>DP820</f>
        <v>288.47723840228502</v>
      </c>
      <c r="DQ799" s="1259">
        <f>DQ820</f>
        <v>282.20599408919179</v>
      </c>
      <c r="DR799" s="1259">
        <f t="shared" si="2017"/>
        <v>570.68323249147682</v>
      </c>
      <c r="DS799" s="1258">
        <f>+DR799/DN799-1</f>
        <v>5.0000000000000044E-2</v>
      </c>
      <c r="DT799" s="1258"/>
      <c r="DU799" s="1258"/>
      <c r="DV799" s="1258"/>
      <c r="DW799" s="1260" t="s">
        <v>513</v>
      </c>
      <c r="DX799" s="1257"/>
      <c r="DY799" s="1257"/>
      <c r="DZ799" s="822"/>
      <c r="EA799" s="1257"/>
      <c r="EB799" s="1257"/>
      <c r="EC799" s="1259"/>
      <c r="ED799" s="822"/>
      <c r="EE799" s="1257"/>
      <c r="EF799" s="1257"/>
      <c r="EG799" s="1259"/>
      <c r="EH799" s="822"/>
      <c r="EI799" s="1257"/>
      <c r="EJ799" s="1257"/>
      <c r="EK799" s="1259"/>
      <c r="EL799" s="1255"/>
      <c r="EM799" s="1255"/>
      <c r="EN799" s="1255"/>
      <c r="EO799" s="1255"/>
      <c r="EP799" s="1255"/>
      <c r="EQ799" s="1255"/>
      <c r="ER799" s="1255"/>
      <c r="ES799" s="1255"/>
      <c r="ET799" s="1255"/>
      <c r="EU799" s="1255"/>
      <c r="JW799"/>
    </row>
    <row r="800" spans="1:283" s="332" customFormat="1" hidden="1" outlineLevel="1">
      <c r="A800" s="332" t="s">
        <v>652</v>
      </c>
      <c r="AN800" s="293"/>
      <c r="AO800" s="293"/>
      <c r="AP800" s="626">
        <v>0</v>
      </c>
      <c r="AQ800" s="293"/>
      <c r="AR800" s="626">
        <v>3</v>
      </c>
      <c r="AS800" s="626">
        <v>0</v>
      </c>
      <c r="AT800" s="293">
        <f t="shared" si="1998"/>
        <v>3</v>
      </c>
      <c r="AU800" s="626"/>
      <c r="AV800" s="626">
        <v>1</v>
      </c>
      <c r="AW800" s="626">
        <v>1</v>
      </c>
      <c r="AX800" s="293">
        <f t="shared" si="1999"/>
        <v>2</v>
      </c>
      <c r="AY800" s="626"/>
      <c r="AZ800" s="626">
        <v>0</v>
      </c>
      <c r="BA800" s="927">
        <v>1</v>
      </c>
      <c r="BB800" s="293">
        <f t="shared" si="2000"/>
        <v>1</v>
      </c>
      <c r="BC800" s="293"/>
      <c r="BD800" s="626">
        <v>0</v>
      </c>
      <c r="BE800" s="626">
        <v>0</v>
      </c>
      <c r="BF800" s="293">
        <f t="shared" si="2001"/>
        <v>0</v>
      </c>
      <c r="BG800" s="293"/>
      <c r="BH800" s="626">
        <v>0</v>
      </c>
      <c r="BI800" s="626">
        <v>0</v>
      </c>
      <c r="BJ800" s="293">
        <f t="shared" si="2002"/>
        <v>0</v>
      </c>
      <c r="BK800" s="487"/>
      <c r="BL800" s="626">
        <v>0</v>
      </c>
      <c r="BM800" s="626">
        <v>0</v>
      </c>
      <c r="BN800" s="293">
        <f t="shared" si="2003"/>
        <v>0</v>
      </c>
      <c r="BO800" s="487"/>
      <c r="BP800" s="626">
        <v>0</v>
      </c>
      <c r="BQ800" s="626">
        <v>0</v>
      </c>
      <c r="BR800" s="293">
        <f t="shared" si="2004"/>
        <v>0</v>
      </c>
      <c r="BS800" s="487"/>
      <c r="BT800" s="626">
        <v>-1</v>
      </c>
      <c r="BU800" s="626">
        <v>0</v>
      </c>
      <c r="BV800" s="293">
        <f t="shared" si="2005"/>
        <v>-1</v>
      </c>
      <c r="BW800" s="487"/>
      <c r="BX800" s="626">
        <v>0</v>
      </c>
      <c r="BY800" s="626">
        <v>0</v>
      </c>
      <c r="BZ800" s="293">
        <f t="shared" si="2006"/>
        <v>0</v>
      </c>
      <c r="CA800" s="487"/>
      <c r="CB800" s="841">
        <f>'P&amp;L'!CB1469</f>
        <v>0</v>
      </c>
      <c r="CC800" s="841">
        <f>'P&amp;L'!CC1469</f>
        <v>0</v>
      </c>
      <c r="CD800" s="293">
        <f t="shared" si="2007"/>
        <v>0</v>
      </c>
      <c r="CE800" s="487"/>
      <c r="CF800" s="841">
        <f>'P&amp;L'!CF1469</f>
        <v>0</v>
      </c>
      <c r="CG800" s="841">
        <f>'P&amp;L'!CG1469</f>
        <v>0</v>
      </c>
      <c r="CH800" s="293">
        <f t="shared" si="2008"/>
        <v>0</v>
      </c>
      <c r="CI800" s="487"/>
      <c r="CJ800" s="841">
        <f>'P&amp;L'!CJ1469</f>
        <v>0</v>
      </c>
      <c r="CK800" s="841">
        <f>'P&amp;L'!CK1469</f>
        <v>0</v>
      </c>
      <c r="CL800" s="293">
        <f t="shared" si="2009"/>
        <v>0</v>
      </c>
      <c r="CM800" s="487"/>
      <c r="CN800" s="841">
        <f>'P&amp;L'!CN1469</f>
        <v>0</v>
      </c>
      <c r="CO800" s="841">
        <f>'P&amp;L'!CO1469</f>
        <v>0</v>
      </c>
      <c r="CP800" s="293">
        <f t="shared" si="2010"/>
        <v>0</v>
      </c>
      <c r="CQ800" s="487"/>
      <c r="CR800" s="841">
        <f>'P&amp;L'!CR1469</f>
        <v>0</v>
      </c>
      <c r="CS800" s="841">
        <f>'P&amp;L'!CS1469</f>
        <v>0</v>
      </c>
      <c r="CT800" s="293">
        <f t="shared" si="2011"/>
        <v>0</v>
      </c>
      <c r="CU800" s="487"/>
      <c r="CV800" s="841">
        <f>'P&amp;L'!CV1469</f>
        <v>0</v>
      </c>
      <c r="CW800" s="841">
        <f>'P&amp;L'!CW1469</f>
        <v>0</v>
      </c>
      <c r="CX800" s="293">
        <f t="shared" si="2012"/>
        <v>0</v>
      </c>
      <c r="CY800" s="487"/>
      <c r="CZ800" s="841">
        <f>'P&amp;L'!CZ1469</f>
        <v>0</v>
      </c>
      <c r="DA800" s="841">
        <f>'P&amp;L'!DA1469</f>
        <v>0</v>
      </c>
      <c r="DB800" s="293">
        <f t="shared" si="2013"/>
        <v>0</v>
      </c>
      <c r="DC800" s="487"/>
      <c r="DD800" s="841">
        <f>'P&amp;L'!DD1469</f>
        <v>0</v>
      </c>
      <c r="DE800" s="841">
        <f>'P&amp;L'!DE1469</f>
        <v>0</v>
      </c>
      <c r="DF800" s="293">
        <f t="shared" si="2014"/>
        <v>0</v>
      </c>
      <c r="DG800" s="487"/>
      <c r="DH800" s="841">
        <f>'P&amp;L'!DH1469</f>
        <v>0</v>
      </c>
      <c r="DI800" s="841">
        <f>'P&amp;L'!DI1469</f>
        <v>0</v>
      </c>
      <c r="DJ800" s="293">
        <f t="shared" si="2015"/>
        <v>0</v>
      </c>
      <c r="DK800" s="487"/>
      <c r="DL800" s="841">
        <f>'P&amp;L'!DL1469</f>
        <v>0</v>
      </c>
      <c r="DM800" s="841">
        <f>'P&amp;L'!DM1469</f>
        <v>0</v>
      </c>
      <c r="DN800" s="293">
        <f t="shared" si="2016"/>
        <v>0</v>
      </c>
      <c r="DO800" s="487"/>
      <c r="DP800" s="841">
        <f>'P&amp;L'!DP1469</f>
        <v>0</v>
      </c>
      <c r="DQ800" s="841">
        <f>'P&amp;L'!DQ1469</f>
        <v>0</v>
      </c>
      <c r="DR800" s="293">
        <f t="shared" si="2017"/>
        <v>0</v>
      </c>
      <c r="DS800" s="487"/>
      <c r="DT800" s="487"/>
      <c r="DU800" s="487"/>
      <c r="DV800" s="487"/>
      <c r="DW800" s="1198" t="s">
        <v>174</v>
      </c>
      <c r="DX800" s="293"/>
      <c r="DY800" s="293"/>
      <c r="DZ800" s="293"/>
      <c r="EA800" s="293"/>
      <c r="EB800" s="293"/>
      <c r="EC800" s="293"/>
      <c r="ED800" s="293"/>
      <c r="EE800" s="293"/>
      <c r="EF800" s="293"/>
      <c r="EG800" s="293"/>
      <c r="EH800" s="293"/>
      <c r="EI800" s="293"/>
      <c r="EJ800" s="293"/>
      <c r="EK800" s="293"/>
      <c r="EL800" s="293"/>
      <c r="EM800" s="293"/>
      <c r="EN800" s="293"/>
      <c r="EO800" s="293"/>
      <c r="EP800" s="293"/>
      <c r="EQ800" s="293"/>
      <c r="ER800" s="293"/>
      <c r="ES800" s="293"/>
      <c r="ET800" s="293"/>
      <c r="EU800" s="293"/>
      <c r="JW800"/>
    </row>
    <row r="801" spans="1:283" s="332" customFormat="1" hidden="1" outlineLevel="1">
      <c r="A801" s="332" t="s">
        <v>621</v>
      </c>
      <c r="AN801" s="626">
        <v>42</v>
      </c>
      <c r="AO801" s="626">
        <v>191</v>
      </c>
      <c r="AP801" s="293">
        <f>AN801+AO801</f>
        <v>233</v>
      </c>
      <c r="AQ801" s="626"/>
      <c r="AR801" s="626">
        <v>3</v>
      </c>
      <c r="AS801" s="626">
        <v>-2</v>
      </c>
      <c r="AT801" s="293">
        <f t="shared" si="1998"/>
        <v>1</v>
      </c>
      <c r="AU801" s="626"/>
      <c r="AV801" s="626">
        <v>2</v>
      </c>
      <c r="AW801" s="626">
        <v>-2</v>
      </c>
      <c r="AX801" s="293">
        <f t="shared" si="1999"/>
        <v>0</v>
      </c>
      <c r="AY801" s="293"/>
      <c r="AZ801" s="626">
        <v>12</v>
      </c>
      <c r="BA801" s="927">
        <v>-1</v>
      </c>
      <c r="BB801" s="293">
        <f t="shared" si="2000"/>
        <v>11</v>
      </c>
      <c r="BC801" s="293"/>
      <c r="BD801" s="626">
        <v>-1</v>
      </c>
      <c r="BE801" s="626">
        <v>0</v>
      </c>
      <c r="BF801" s="293">
        <f t="shared" si="2001"/>
        <v>-1</v>
      </c>
      <c r="BG801" s="293"/>
      <c r="BH801" s="626">
        <v>0</v>
      </c>
      <c r="BI801" s="626">
        <v>23</v>
      </c>
      <c r="BJ801" s="293">
        <f t="shared" si="2002"/>
        <v>23</v>
      </c>
      <c r="BK801" s="487"/>
      <c r="BL801" s="626">
        <v>-4</v>
      </c>
      <c r="BM801" s="626">
        <v>1</v>
      </c>
      <c r="BN801" s="293">
        <f t="shared" si="2003"/>
        <v>-3</v>
      </c>
      <c r="BO801" s="487"/>
      <c r="BP801" s="626">
        <v>0</v>
      </c>
      <c r="BQ801" s="626">
        <v>-13</v>
      </c>
      <c r="BR801" s="293">
        <f t="shared" si="2004"/>
        <v>-13</v>
      </c>
      <c r="BS801" s="487"/>
      <c r="BT801" s="626">
        <v>-19</v>
      </c>
      <c r="BU801" s="626">
        <v>11</v>
      </c>
      <c r="BV801" s="293">
        <f t="shared" si="2005"/>
        <v>-8</v>
      </c>
      <c r="BW801" s="487"/>
      <c r="BX801" s="626">
        <v>7</v>
      </c>
      <c r="BY801" s="626">
        <v>11</v>
      </c>
      <c r="BZ801" s="293">
        <f t="shared" si="2006"/>
        <v>18</v>
      </c>
      <c r="CA801" s="487"/>
      <c r="CB801" s="293">
        <f>CB869</f>
        <v>0</v>
      </c>
      <c r="CC801" s="293">
        <f>CC869</f>
        <v>0</v>
      </c>
      <c r="CD801" s="293">
        <f t="shared" si="2007"/>
        <v>0</v>
      </c>
      <c r="CE801" s="487"/>
      <c r="CF801" s="293">
        <f>CF869</f>
        <v>0</v>
      </c>
      <c r="CG801" s="293">
        <f>CG869</f>
        <v>0</v>
      </c>
      <c r="CH801" s="293">
        <f t="shared" si="2008"/>
        <v>0</v>
      </c>
      <c r="CI801" s="487"/>
      <c r="CJ801" s="293">
        <f>CJ869</f>
        <v>0</v>
      </c>
      <c r="CK801" s="293">
        <f>CK869</f>
        <v>0</v>
      </c>
      <c r="CL801" s="293">
        <f t="shared" si="2009"/>
        <v>0</v>
      </c>
      <c r="CM801" s="487"/>
      <c r="CN801" s="293">
        <f>CN869</f>
        <v>0</v>
      </c>
      <c r="CO801" s="293">
        <f>CO869</f>
        <v>0</v>
      </c>
      <c r="CP801" s="293">
        <f t="shared" si="2010"/>
        <v>0</v>
      </c>
      <c r="CQ801" s="487"/>
      <c r="CR801" s="293">
        <f>CR869</f>
        <v>0</v>
      </c>
      <c r="CS801" s="293">
        <f>CS869</f>
        <v>0</v>
      </c>
      <c r="CT801" s="293">
        <f t="shared" si="2011"/>
        <v>0</v>
      </c>
      <c r="CU801" s="487"/>
      <c r="CV801" s="293">
        <f>CV869</f>
        <v>0</v>
      </c>
      <c r="CW801" s="293">
        <f>CW869</f>
        <v>0</v>
      </c>
      <c r="CX801" s="293">
        <f t="shared" si="2012"/>
        <v>0</v>
      </c>
      <c r="CY801" s="487"/>
      <c r="CZ801" s="293">
        <f>CZ869</f>
        <v>0</v>
      </c>
      <c r="DA801" s="293">
        <f>DA869</f>
        <v>0</v>
      </c>
      <c r="DB801" s="293">
        <f t="shared" si="2013"/>
        <v>0</v>
      </c>
      <c r="DC801" s="487"/>
      <c r="DD801" s="293">
        <f>DD869</f>
        <v>0</v>
      </c>
      <c r="DE801" s="293">
        <f>DE869</f>
        <v>0</v>
      </c>
      <c r="DF801" s="293">
        <f t="shared" si="2014"/>
        <v>0</v>
      </c>
      <c r="DG801" s="487"/>
      <c r="DH801" s="293">
        <f>DH869</f>
        <v>0</v>
      </c>
      <c r="DI801" s="293">
        <f>DI869</f>
        <v>0</v>
      </c>
      <c r="DJ801" s="293">
        <f t="shared" si="2015"/>
        <v>0</v>
      </c>
      <c r="DK801" s="487"/>
      <c r="DL801" s="293">
        <f>DL869</f>
        <v>0</v>
      </c>
      <c r="DM801" s="293">
        <f>DM869</f>
        <v>0</v>
      </c>
      <c r="DN801" s="293">
        <f t="shared" si="2016"/>
        <v>0</v>
      </c>
      <c r="DO801" s="487"/>
      <c r="DP801" s="293">
        <f>DP869</f>
        <v>0</v>
      </c>
      <c r="DQ801" s="293">
        <f>DQ869</f>
        <v>0</v>
      </c>
      <c r="DR801" s="293">
        <f t="shared" si="2017"/>
        <v>0</v>
      </c>
      <c r="DS801" s="487"/>
      <c r="DT801" s="487"/>
      <c r="DU801" s="487"/>
      <c r="DV801" s="487"/>
      <c r="DW801" s="992" t="s">
        <v>513</v>
      </c>
      <c r="DX801" s="293"/>
      <c r="DY801" s="293"/>
      <c r="DZ801" s="293"/>
      <c r="EA801" s="293"/>
      <c r="EB801" s="293"/>
      <c r="EC801" s="293"/>
      <c r="ED801" s="293"/>
      <c r="EE801" s="293"/>
      <c r="EF801" s="293"/>
      <c r="EG801" s="293"/>
      <c r="EH801" s="293"/>
      <c r="EI801" s="293"/>
      <c r="EJ801" s="293"/>
      <c r="EK801" s="293"/>
      <c r="EL801" s="293"/>
      <c r="EM801" s="293"/>
      <c r="EN801" s="293"/>
      <c r="EO801" s="293"/>
      <c r="EP801" s="293"/>
      <c r="EQ801" s="293"/>
      <c r="ER801" s="293"/>
      <c r="ES801" s="293"/>
      <c r="ET801" s="293"/>
      <c r="EU801" s="293"/>
      <c r="JW801"/>
    </row>
    <row r="802" spans="1:283" s="332" customFormat="1" hidden="1" outlineLevel="1">
      <c r="A802" s="332" t="s">
        <v>567</v>
      </c>
      <c r="AN802" s="293"/>
      <c r="AO802" s="293"/>
      <c r="AP802" s="626">
        <v>0</v>
      </c>
      <c r="AQ802" s="293"/>
      <c r="AR802" s="626">
        <v>9</v>
      </c>
      <c r="AS802" s="626">
        <v>112</v>
      </c>
      <c r="AT802" s="293">
        <f t="shared" si="1998"/>
        <v>121</v>
      </c>
      <c r="AU802" s="626"/>
      <c r="AV802" s="626">
        <v>11</v>
      </c>
      <c r="AW802" s="626">
        <v>11</v>
      </c>
      <c r="AX802" s="293">
        <f t="shared" si="1999"/>
        <v>22</v>
      </c>
      <c r="AY802" s="293"/>
      <c r="AZ802" s="626">
        <v>-6</v>
      </c>
      <c r="BA802" s="927">
        <v>0</v>
      </c>
      <c r="BB802" s="293">
        <f t="shared" si="2000"/>
        <v>-6</v>
      </c>
      <c r="BC802" s="293"/>
      <c r="BD802" s="626">
        <v>0</v>
      </c>
      <c r="BE802" s="626">
        <v>2</v>
      </c>
      <c r="BF802" s="293">
        <f t="shared" si="2001"/>
        <v>2</v>
      </c>
      <c r="BG802" s="293"/>
      <c r="BH802" s="626">
        <v>4</v>
      </c>
      <c r="BI802" s="626">
        <v>2</v>
      </c>
      <c r="BJ802" s="293">
        <f t="shared" si="2002"/>
        <v>6</v>
      </c>
      <c r="BK802" s="487"/>
      <c r="BL802" s="626">
        <v>0</v>
      </c>
      <c r="BM802" s="626">
        <v>1</v>
      </c>
      <c r="BN802" s="293">
        <f t="shared" si="2003"/>
        <v>1</v>
      </c>
      <c r="BO802" s="487"/>
      <c r="BP802" s="626">
        <v>-5</v>
      </c>
      <c r="BQ802" s="626">
        <v>-5</v>
      </c>
      <c r="BR802" s="293">
        <f t="shared" si="2004"/>
        <v>-10</v>
      </c>
      <c r="BS802" s="487"/>
      <c r="BT802" s="626">
        <v>-6</v>
      </c>
      <c r="BU802" s="626">
        <v>1</v>
      </c>
      <c r="BV802" s="293">
        <f t="shared" si="2005"/>
        <v>-5</v>
      </c>
      <c r="BW802" s="487"/>
      <c r="BX802" s="626">
        <v>2</v>
      </c>
      <c r="BY802" s="626">
        <v>1</v>
      </c>
      <c r="BZ802" s="293">
        <f t="shared" si="2006"/>
        <v>3</v>
      </c>
      <c r="CA802" s="487"/>
      <c r="CB802" s="841">
        <f>'P&amp;L'!CB1712</f>
        <v>0</v>
      </c>
      <c r="CC802" s="841">
        <f>'P&amp;L'!CC1712</f>
        <v>0</v>
      </c>
      <c r="CD802" s="293">
        <f t="shared" si="2007"/>
        <v>0</v>
      </c>
      <c r="CE802" s="487"/>
      <c r="CF802" s="841">
        <f>'P&amp;L'!CF1712</f>
        <v>0</v>
      </c>
      <c r="CG802" s="841">
        <f>'P&amp;L'!CG1712</f>
        <v>0</v>
      </c>
      <c r="CH802" s="293">
        <f t="shared" si="2008"/>
        <v>0</v>
      </c>
      <c r="CI802" s="487"/>
      <c r="CJ802" s="841">
        <f>'P&amp;L'!CJ1712</f>
        <v>0</v>
      </c>
      <c r="CK802" s="841">
        <f>'P&amp;L'!CK1712</f>
        <v>0</v>
      </c>
      <c r="CL802" s="293">
        <f t="shared" si="2009"/>
        <v>0</v>
      </c>
      <c r="CM802" s="487"/>
      <c r="CN802" s="841">
        <f>'P&amp;L'!CN1712</f>
        <v>0</v>
      </c>
      <c r="CO802" s="841">
        <f>'P&amp;L'!CO1712</f>
        <v>0</v>
      </c>
      <c r="CP802" s="293">
        <f t="shared" si="2010"/>
        <v>0</v>
      </c>
      <c r="CQ802" s="487"/>
      <c r="CR802" s="841">
        <f>'P&amp;L'!CR1712</f>
        <v>0</v>
      </c>
      <c r="CS802" s="841">
        <f>'P&amp;L'!CS1712</f>
        <v>0</v>
      </c>
      <c r="CT802" s="293">
        <f t="shared" si="2011"/>
        <v>0</v>
      </c>
      <c r="CU802" s="487"/>
      <c r="CV802" s="841">
        <f>'P&amp;L'!CV1712</f>
        <v>0</v>
      </c>
      <c r="CW802" s="841">
        <f>'P&amp;L'!CW1712</f>
        <v>0</v>
      </c>
      <c r="CX802" s="293">
        <f t="shared" si="2012"/>
        <v>0</v>
      </c>
      <c r="CY802" s="487"/>
      <c r="CZ802" s="841">
        <f>'P&amp;L'!CZ1712</f>
        <v>0</v>
      </c>
      <c r="DA802" s="841">
        <f>'P&amp;L'!DA1712</f>
        <v>0</v>
      </c>
      <c r="DB802" s="293">
        <f t="shared" si="2013"/>
        <v>0</v>
      </c>
      <c r="DC802" s="487"/>
      <c r="DD802" s="841">
        <f>'P&amp;L'!DD1712</f>
        <v>0</v>
      </c>
      <c r="DE802" s="841">
        <f>'P&amp;L'!DE1712</f>
        <v>0</v>
      </c>
      <c r="DF802" s="293">
        <f t="shared" si="2014"/>
        <v>0</v>
      </c>
      <c r="DG802" s="487"/>
      <c r="DH802" s="841">
        <f>'P&amp;L'!DH1712</f>
        <v>0</v>
      </c>
      <c r="DI802" s="841">
        <f>'P&amp;L'!DI1712</f>
        <v>0</v>
      </c>
      <c r="DJ802" s="293">
        <f t="shared" si="2015"/>
        <v>0</v>
      </c>
      <c r="DK802" s="487"/>
      <c r="DL802" s="841">
        <f>'P&amp;L'!DL1712</f>
        <v>0</v>
      </c>
      <c r="DM802" s="841">
        <f>'P&amp;L'!DM1712</f>
        <v>0</v>
      </c>
      <c r="DN802" s="293">
        <f t="shared" si="2016"/>
        <v>0</v>
      </c>
      <c r="DO802" s="487"/>
      <c r="DP802" s="841">
        <f>'P&amp;L'!DP1712</f>
        <v>0</v>
      </c>
      <c r="DQ802" s="841">
        <f>'P&amp;L'!DQ1712</f>
        <v>0</v>
      </c>
      <c r="DR802" s="293">
        <f t="shared" si="2017"/>
        <v>0</v>
      </c>
      <c r="DS802" s="487"/>
      <c r="DT802" s="487"/>
      <c r="DU802" s="487"/>
      <c r="DV802" s="487"/>
      <c r="DW802" s="1198" t="s">
        <v>174</v>
      </c>
      <c r="DX802" s="293"/>
      <c r="DY802" s="293"/>
      <c r="DZ802" s="293"/>
      <c r="EA802" s="293"/>
      <c r="EB802" s="293"/>
      <c r="EC802" s="293"/>
      <c r="ED802" s="293"/>
      <c r="EE802" s="293"/>
      <c r="EF802" s="293"/>
      <c r="EG802" s="293"/>
      <c r="EH802" s="293"/>
      <c r="EI802" s="293"/>
      <c r="EJ802" s="293"/>
      <c r="EK802" s="293"/>
      <c r="EL802" s="293"/>
      <c r="EM802" s="293"/>
      <c r="EN802" s="293"/>
      <c r="EO802" s="293"/>
      <c r="EP802" s="293"/>
      <c r="EQ802" s="293"/>
      <c r="ER802" s="293"/>
      <c r="ES802" s="293"/>
      <c r="ET802" s="293"/>
      <c r="EU802" s="293"/>
      <c r="JW802"/>
    </row>
    <row r="803" spans="1:283" s="327" customFormat="1" hidden="1" outlineLevel="1">
      <c r="A803" s="327" t="s">
        <v>568</v>
      </c>
      <c r="AN803" s="295">
        <f>SUM(AN797:AN802)</f>
        <v>1105</v>
      </c>
      <c r="AO803" s="295">
        <f>SUM(AO797:AO802)</f>
        <v>1062</v>
      </c>
      <c r="AP803" s="295">
        <f>SUM(AP797:AP802)</f>
        <v>2167</v>
      </c>
      <c r="AQ803" s="295"/>
      <c r="AR803" s="295">
        <f>SUM(AR797:AR802)</f>
        <v>953</v>
      </c>
      <c r="AS803" s="295">
        <f>SUM(AS797:AS802)</f>
        <v>391</v>
      </c>
      <c r="AT803" s="295">
        <f t="shared" si="1998"/>
        <v>1344</v>
      </c>
      <c r="AU803" s="295"/>
      <c r="AV803" s="295">
        <f>SUM(AV797:AV802)</f>
        <v>782</v>
      </c>
      <c r="AW803" s="295">
        <f>SUM(AW797:AW802)</f>
        <v>698</v>
      </c>
      <c r="AX803" s="295">
        <f t="shared" si="1999"/>
        <v>1480</v>
      </c>
      <c r="AY803" s="295"/>
      <c r="AZ803" s="295">
        <f>SUM(AZ797:AZ802)</f>
        <v>621.5</v>
      </c>
      <c r="BA803" s="295">
        <f>SUM(BA797:BA802)</f>
        <v>685.5</v>
      </c>
      <c r="BB803" s="295">
        <f t="shared" si="2000"/>
        <v>1307</v>
      </c>
      <c r="BC803" s="295"/>
      <c r="BD803" s="295">
        <f>SUM(BD797:BD802)</f>
        <v>541</v>
      </c>
      <c r="BE803" s="295">
        <f>SUM(BE797:BE802)</f>
        <v>352</v>
      </c>
      <c r="BF803" s="295">
        <f t="shared" si="2001"/>
        <v>893</v>
      </c>
      <c r="BG803" s="293"/>
      <c r="BH803" s="295">
        <f>SUM(BH797:BH802)</f>
        <v>308</v>
      </c>
      <c r="BI803" s="295">
        <f>SUM(BI797:BI802)</f>
        <v>355</v>
      </c>
      <c r="BJ803" s="295">
        <f t="shared" si="2002"/>
        <v>663</v>
      </c>
      <c r="BK803" s="487"/>
      <c r="BL803" s="295">
        <f>SUM(BL797:BL802)</f>
        <v>436</v>
      </c>
      <c r="BM803" s="295">
        <f>SUM(BM797:BM802)</f>
        <v>429</v>
      </c>
      <c r="BN803" s="295">
        <f t="shared" si="2003"/>
        <v>865</v>
      </c>
      <c r="BO803" s="487"/>
      <c r="BP803" s="295">
        <f>SUM(BP797:BP802)</f>
        <v>431</v>
      </c>
      <c r="BQ803" s="295">
        <f>SUM(BQ797:BQ802)</f>
        <v>487</v>
      </c>
      <c r="BR803" s="295">
        <f t="shared" si="2004"/>
        <v>918</v>
      </c>
      <c r="BS803" s="487"/>
      <c r="BT803" s="295">
        <f>SUM(BT797:BT802)</f>
        <v>718</v>
      </c>
      <c r="BU803" s="295">
        <f>SUM(BU797:BU802)</f>
        <v>502</v>
      </c>
      <c r="BV803" s="295">
        <f t="shared" si="2005"/>
        <v>1220</v>
      </c>
      <c r="BW803" s="295"/>
      <c r="BX803" s="295">
        <f>SUM(BX797:BX802)</f>
        <v>483</v>
      </c>
      <c r="BY803" s="295">
        <f>SUM(BY797:BY802)</f>
        <v>502</v>
      </c>
      <c r="BZ803" s="295">
        <f t="shared" si="2006"/>
        <v>985</v>
      </c>
      <c r="CA803" s="295"/>
      <c r="CB803" s="295">
        <f>SUM(CB797:CB802)</f>
        <v>513.07999999999993</v>
      </c>
      <c r="CC803" s="295">
        <f>SUM(CC797:CC802)</f>
        <v>520.61320000000001</v>
      </c>
      <c r="CD803" s="295">
        <f t="shared" si="2007"/>
        <v>1033.6931999999999</v>
      </c>
      <c r="CE803" s="295"/>
      <c r="CF803" s="295">
        <f>SUM(CF797:CF802)</f>
        <v>545.12112400000001</v>
      </c>
      <c r="CG803" s="295">
        <f>SUM(CG797:CG802)</f>
        <v>553.31855739999992</v>
      </c>
      <c r="CH803" s="295">
        <f t="shared" si="2008"/>
        <v>1098.4396813999999</v>
      </c>
      <c r="CI803" s="295"/>
      <c r="CJ803" s="295">
        <f>SUM(CJ797:CJ802)</f>
        <v>579.35383578280005</v>
      </c>
      <c r="CK803" s="295">
        <f>SUM(CK797:CK802)</f>
        <v>588.27826081673197</v>
      </c>
      <c r="CL803" s="295">
        <f t="shared" si="2009"/>
        <v>1167.6320965995319</v>
      </c>
      <c r="CM803" s="295"/>
      <c r="CN803" s="295">
        <f>SUM(CN797:CN802)</f>
        <v>615.94840589930891</v>
      </c>
      <c r="CO803" s="295">
        <f>SUM(CO797:CO802)</f>
        <v>625.66900541984751</v>
      </c>
      <c r="CP803" s="295">
        <f t="shared" si="2010"/>
        <v>1241.6174113191564</v>
      </c>
      <c r="CQ803" s="295"/>
      <c r="CR803" s="295">
        <f>SUM(CR797:CR802)</f>
        <v>655.09037840161591</v>
      </c>
      <c r="CS803" s="295">
        <f>SUM(CS797:CS802)</f>
        <v>665.68346510448771</v>
      </c>
      <c r="CT803" s="295">
        <f t="shared" si="2011"/>
        <v>1320.7738435061037</v>
      </c>
      <c r="CU803" s="295"/>
      <c r="CV803" s="295">
        <f>SUM(CV797:CV802)</f>
        <v>696.98212489624507</v>
      </c>
      <c r="CW803" s="295">
        <f>SUM(CW797:CW802)</f>
        <v>708.53192791269748</v>
      </c>
      <c r="CX803" s="295">
        <f t="shared" si="2012"/>
        <v>1405.5140528089426</v>
      </c>
      <c r="CY803" s="295"/>
      <c r="CZ803" s="295">
        <f>SUM(CZ797:CZ802)</f>
        <v>741.84457124090488</v>
      </c>
      <c r="DA803" s="295">
        <f>SUM(DA797:DA802)</f>
        <v>754.44411378306438</v>
      </c>
      <c r="DB803" s="295">
        <f t="shared" si="2013"/>
        <v>1496.2886850239693</v>
      </c>
      <c r="DC803" s="295"/>
      <c r="DD803" s="295">
        <f>SUM(DD797:DD802)</f>
        <v>789.91911708412658</v>
      </c>
      <c r="DE803" s="295">
        <f>SUM(DE797:DE802)</f>
        <v>803.67119600136368</v>
      </c>
      <c r="DF803" s="295">
        <f t="shared" si="2014"/>
        <v>1593.5903130854904</v>
      </c>
      <c r="DG803" s="295"/>
      <c r="DH803" s="295">
        <f>SUM(DH797:DH802)</f>
        <v>841.46977087665982</v>
      </c>
      <c r="DI803" s="295">
        <f>SUM(DI797:DI802)</f>
        <v>856.4880502980136</v>
      </c>
      <c r="DJ803" s="295">
        <f t="shared" si="2015"/>
        <v>1697.9578211746734</v>
      </c>
      <c r="DK803" s="295"/>
      <c r="DL803" s="295">
        <f>SUM(DL797:DL802)</f>
        <v>896.78552570928332</v>
      </c>
      <c r="DM803" s="295">
        <f>SUM(DM797:DM802)</f>
        <v>913.19575842511836</v>
      </c>
      <c r="DN803" s="295">
        <f t="shared" si="2016"/>
        <v>1809.9812841344017</v>
      </c>
      <c r="DO803" s="295"/>
      <c r="DP803" s="295">
        <f>SUM(DP797:DP802)</f>
        <v>956.18300439015252</v>
      </c>
      <c r="DQ803" s="295">
        <f>SUM(DQ797:DQ802)</f>
        <v>974.12439628536652</v>
      </c>
      <c r="DR803" s="295">
        <f t="shared" si="2017"/>
        <v>1930.3074006755191</v>
      </c>
      <c r="DS803" s="295"/>
      <c r="DT803" s="295"/>
      <c r="DU803" s="295"/>
      <c r="DV803" s="295"/>
      <c r="DW803" s="1199"/>
      <c r="DX803" s="295"/>
      <c r="DY803" s="295"/>
      <c r="DZ803" s="295"/>
      <c r="EA803" s="295"/>
      <c r="EB803" s="295"/>
      <c r="EC803" s="295"/>
      <c r="ED803" s="295"/>
      <c r="EE803" s="295"/>
      <c r="EF803" s="295"/>
      <c r="EG803" s="295"/>
      <c r="EH803" s="295"/>
      <c r="EI803" s="295"/>
      <c r="EJ803" s="295"/>
      <c r="EK803" s="295"/>
      <c r="EL803" s="295"/>
      <c r="EM803" s="295"/>
      <c r="EN803" s="295"/>
      <c r="EO803" s="295"/>
      <c r="EP803" s="295"/>
      <c r="EQ803" s="295"/>
      <c r="ER803" s="295"/>
      <c r="ES803" s="295"/>
      <c r="ET803" s="295"/>
      <c r="EU803" s="295"/>
      <c r="JW803"/>
    </row>
    <row r="804" spans="1:283" s="1079" customFormat="1" hidden="1" outlineLevel="1">
      <c r="AN804" s="331"/>
      <c r="AO804" s="331"/>
      <c r="AP804" s="331"/>
      <c r="AQ804" s="331"/>
      <c r="AR804" s="331"/>
      <c r="AS804" s="331"/>
      <c r="AT804" s="331"/>
      <c r="AU804" s="331"/>
      <c r="AV804" s="331"/>
      <c r="AW804" s="331"/>
      <c r="AX804" s="331"/>
      <c r="AY804" s="331"/>
      <c r="AZ804" s="1200"/>
      <c r="BA804" s="1200"/>
      <c r="BB804" s="1200"/>
      <c r="BC804" s="331"/>
      <c r="BD804" s="1200"/>
      <c r="BE804" s="1200"/>
      <c r="BF804" s="1200"/>
      <c r="BG804" s="293"/>
      <c r="BH804" s="1200"/>
      <c r="BI804" s="1200"/>
      <c r="BJ804" s="1200"/>
      <c r="BK804" s="487"/>
      <c r="BL804" s="1200"/>
      <c r="BM804" s="1200"/>
      <c r="BN804" s="1200"/>
      <c r="BO804" s="487"/>
      <c r="BP804" s="1200"/>
      <c r="BQ804" s="1200"/>
      <c r="BR804" s="1200"/>
      <c r="BS804" s="487"/>
      <c r="BT804" s="1200"/>
      <c r="BU804" s="1200"/>
      <c r="BV804" s="1200"/>
      <c r="BW804" s="331"/>
      <c r="BX804" s="1200"/>
      <c r="BY804" s="1200"/>
      <c r="BZ804" s="1200"/>
      <c r="CA804" s="331"/>
      <c r="CB804" s="331"/>
      <c r="CC804" s="331"/>
      <c r="CD804" s="331"/>
      <c r="CE804" s="331"/>
      <c r="CF804" s="331"/>
      <c r="CG804" s="331"/>
      <c r="CH804" s="331"/>
      <c r="CI804" s="331"/>
      <c r="CJ804" s="331"/>
      <c r="CK804" s="331"/>
      <c r="CL804" s="331"/>
      <c r="CM804" s="331"/>
      <c r="CN804" s="331"/>
      <c r="CO804" s="331"/>
      <c r="CP804" s="331"/>
      <c r="CQ804" s="331"/>
      <c r="CR804" s="331"/>
      <c r="CS804" s="331"/>
      <c r="CT804" s="331"/>
      <c r="CU804" s="331"/>
      <c r="CV804" s="331"/>
      <c r="CW804" s="331"/>
      <c r="CX804" s="331"/>
      <c r="CY804" s="331"/>
      <c r="CZ804" s="331"/>
      <c r="DA804" s="331"/>
      <c r="DB804" s="331"/>
      <c r="DC804" s="331"/>
      <c r="DD804" s="331"/>
      <c r="DE804" s="331"/>
      <c r="DF804" s="331"/>
      <c r="DG804" s="331"/>
      <c r="DH804" s="331"/>
      <c r="DI804" s="331"/>
      <c r="DJ804" s="331"/>
      <c r="DK804" s="331"/>
      <c r="DL804" s="331"/>
      <c r="DM804" s="331"/>
      <c r="DN804" s="331"/>
      <c r="DO804" s="331"/>
      <c r="DP804" s="331"/>
      <c r="DQ804" s="331"/>
      <c r="DR804" s="331"/>
      <c r="DS804" s="331"/>
      <c r="DT804" s="331"/>
      <c r="DU804" s="331"/>
      <c r="DV804" s="331"/>
      <c r="DW804" s="1201"/>
      <c r="DX804" s="331"/>
      <c r="DY804" s="331"/>
      <c r="DZ804" s="331"/>
      <c r="EA804" s="331"/>
      <c r="EB804" s="331"/>
      <c r="EC804" s="331"/>
      <c r="ED804" s="331"/>
      <c r="EE804" s="331"/>
      <c r="EF804" s="331"/>
      <c r="EG804" s="331"/>
      <c r="EH804" s="331"/>
      <c r="EI804" s="331"/>
      <c r="EJ804" s="331"/>
      <c r="EK804" s="331"/>
      <c r="EL804" s="331"/>
      <c r="EM804" s="331"/>
      <c r="EN804" s="331"/>
      <c r="EO804" s="331"/>
      <c r="EP804" s="331"/>
      <c r="EQ804" s="331"/>
      <c r="ER804" s="331"/>
      <c r="ES804" s="331"/>
      <c r="ET804" s="331"/>
      <c r="EU804" s="331"/>
      <c r="JW804"/>
    </row>
    <row r="805" spans="1:283" s="332" customFormat="1" hidden="1" outlineLevel="1">
      <c r="A805" s="332" t="s">
        <v>604</v>
      </c>
      <c r="AN805" s="626">
        <v>-119</v>
      </c>
      <c r="AO805" s="626">
        <v>-133</v>
      </c>
      <c r="AP805" s="293">
        <f t="shared" ref="AP805:AP811" si="2018">AN805+AO805</f>
        <v>-252</v>
      </c>
      <c r="AQ805" s="293"/>
      <c r="AR805" s="626">
        <v>-142</v>
      </c>
      <c r="AS805" s="626">
        <v>-197</v>
      </c>
      <c r="AT805" s="293">
        <f t="shared" ref="AT805:AT811" si="2019">AR805+AS805</f>
        <v>-339</v>
      </c>
      <c r="AU805" s="626"/>
      <c r="AV805" s="626">
        <v>-128</v>
      </c>
      <c r="AW805" s="626">
        <v>-150</v>
      </c>
      <c r="AX805" s="293">
        <f t="shared" ref="AX805:AX811" si="2020">AV805+AW805</f>
        <v>-278</v>
      </c>
      <c r="AY805" s="293"/>
      <c r="AZ805" s="626">
        <v>-174</v>
      </c>
      <c r="BA805" s="626">
        <v>-208</v>
      </c>
      <c r="BB805" s="293">
        <f>AZ805+BA805</f>
        <v>-382</v>
      </c>
      <c r="BC805" s="293"/>
      <c r="BD805" s="626">
        <v>-149</v>
      </c>
      <c r="BE805" s="626">
        <v>-159</v>
      </c>
      <c r="BF805" s="293">
        <f>BD805+BE805</f>
        <v>-308</v>
      </c>
      <c r="BG805" s="293"/>
      <c r="BH805" s="626">
        <v>-117</v>
      </c>
      <c r="BI805" s="626">
        <v>-105</v>
      </c>
      <c r="BJ805" s="293">
        <f>BH805+BI805</f>
        <v>-222</v>
      </c>
      <c r="BK805" s="487"/>
      <c r="BL805" s="626">
        <v>-117</v>
      </c>
      <c r="BM805" s="626">
        <v>-123</v>
      </c>
      <c r="BN805" s="293">
        <f>BL805+BM805</f>
        <v>-240</v>
      </c>
      <c r="BO805" s="487"/>
      <c r="BP805" s="626">
        <v>-127</v>
      </c>
      <c r="BQ805" s="626">
        <v>-124</v>
      </c>
      <c r="BR805" s="293">
        <f>BP805+BQ805</f>
        <v>-251</v>
      </c>
      <c r="BS805" s="487"/>
      <c r="BT805" s="626">
        <v>-127</v>
      </c>
      <c r="BU805" s="626">
        <v>-143</v>
      </c>
      <c r="BV805" s="293">
        <f>BT805+BU805</f>
        <v>-270</v>
      </c>
      <c r="BW805" s="293"/>
      <c r="BX805" s="626">
        <v>-135</v>
      </c>
      <c r="BY805" s="626">
        <v>-143</v>
      </c>
      <c r="BZ805" s="293">
        <f>BX805+BY805</f>
        <v>-278</v>
      </c>
      <c r="CA805" s="293"/>
      <c r="CB805" s="293">
        <f t="shared" ref="CB805:CC807" si="2021">CB841</f>
        <v>-143.1</v>
      </c>
      <c r="CC805" s="293">
        <f t="shared" si="2021"/>
        <v>-151.58000000000001</v>
      </c>
      <c r="CD805" s="293">
        <f t="shared" ref="CD805:CD811" si="2022">CB805+CC805</f>
        <v>-294.68</v>
      </c>
      <c r="CE805" s="293"/>
      <c r="CF805" s="293">
        <f t="shared" ref="CF805:CG807" si="2023">CF841</f>
        <v>-151.68600000000001</v>
      </c>
      <c r="CG805" s="293">
        <f t="shared" si="2023"/>
        <v>-160.67480000000003</v>
      </c>
      <c r="CH805" s="293">
        <f t="shared" ref="CH805:CH811" si="2024">CF805+CG805</f>
        <v>-312.36080000000004</v>
      </c>
      <c r="CI805" s="293"/>
      <c r="CJ805" s="293">
        <f t="shared" ref="CJ805:CK805" si="2025">CJ841</f>
        <v>-160.78716000000003</v>
      </c>
      <c r="CK805" s="293">
        <f t="shared" si="2025"/>
        <v>-170.31528800000004</v>
      </c>
      <c r="CL805" s="293">
        <f t="shared" ref="CL805:CL811" si="2026">CJ805+CK805</f>
        <v>-331.10244800000009</v>
      </c>
      <c r="CM805" s="293"/>
      <c r="CN805" s="293">
        <f t="shared" ref="CN805:CO807" si="2027">CN841</f>
        <v>-170.43438960000003</v>
      </c>
      <c r="CO805" s="293">
        <f t="shared" si="2027"/>
        <v>-180.53420528000004</v>
      </c>
      <c r="CP805" s="293">
        <f t="shared" ref="CP805:CP811" si="2028">CN805+CO805</f>
        <v>-350.96859488000007</v>
      </c>
      <c r="CQ805" s="293"/>
      <c r="CR805" s="293">
        <f t="shared" ref="CR805:CS805" si="2029">CR841</f>
        <v>-180.66045297600004</v>
      </c>
      <c r="CS805" s="293">
        <f t="shared" si="2029"/>
        <v>-191.36625759680004</v>
      </c>
      <c r="CT805" s="293">
        <f t="shared" ref="CT805:CT811" si="2030">CR805+CS805</f>
        <v>-372.02671057280008</v>
      </c>
      <c r="CU805" s="293"/>
      <c r="CV805" s="293">
        <f t="shared" ref="CV805:CW805" si="2031">CV841</f>
        <v>-191.50008015456007</v>
      </c>
      <c r="CW805" s="293">
        <f t="shared" si="2031"/>
        <v>-202.84823305260807</v>
      </c>
      <c r="CX805" s="293">
        <f t="shared" ref="CX805:CX811" si="2032">CV805+CW805</f>
        <v>-394.34831320716813</v>
      </c>
      <c r="CY805" s="293"/>
      <c r="CZ805" s="293">
        <f t="shared" ref="CZ805:DA805" si="2033">CZ841</f>
        <v>-202.99008496383368</v>
      </c>
      <c r="DA805" s="293">
        <f t="shared" si="2033"/>
        <v>-215.01912703576457</v>
      </c>
      <c r="DB805" s="293">
        <f t="shared" ref="DB805:DB811" si="2034">CZ805+DA805</f>
        <v>-418.00921199959828</v>
      </c>
      <c r="DC805" s="293"/>
      <c r="DD805" s="293">
        <f t="shared" ref="DD805:DE805" si="2035">DD841</f>
        <v>-215.16949006166371</v>
      </c>
      <c r="DE805" s="293">
        <f t="shared" si="2035"/>
        <v>-227.92027465791045</v>
      </c>
      <c r="DF805" s="293">
        <f t="shared" ref="DF805:DF811" si="2036">DD805+DE805</f>
        <v>-443.08976471957419</v>
      </c>
      <c r="DG805" s="293"/>
      <c r="DH805" s="293">
        <f t="shared" ref="DH805" si="2037">DH841</f>
        <v>-228.07965946536353</v>
      </c>
      <c r="DI805" s="293">
        <f t="shared" ref="DI805" si="2038">DI841</f>
        <v>-241.5954911373851</v>
      </c>
      <c r="DJ805" s="293">
        <f t="shared" ref="DJ805:DJ811" si="2039">DH805+DI805</f>
        <v>-469.67515060274866</v>
      </c>
      <c r="DK805" s="293"/>
      <c r="DL805" s="293">
        <f t="shared" ref="DL805:DM805" si="2040">DL841</f>
        <v>-241.76443903328536</v>
      </c>
      <c r="DM805" s="293">
        <f t="shared" si="2040"/>
        <v>-256.09122060562822</v>
      </c>
      <c r="DN805" s="293">
        <f t="shared" ref="DN805:DN811" si="2041">DL805+DM805</f>
        <v>-497.85565963891361</v>
      </c>
      <c r="DO805" s="293"/>
      <c r="DP805" s="293">
        <f t="shared" ref="DP805:DQ805" si="2042">DP841</f>
        <v>-256.27030537528248</v>
      </c>
      <c r="DQ805" s="293">
        <f t="shared" si="2042"/>
        <v>-271.45669384196594</v>
      </c>
      <c r="DR805" s="293">
        <f t="shared" ref="DR805:DR811" si="2043">DP805+DQ805</f>
        <v>-527.72699921724848</v>
      </c>
      <c r="DS805" s="293"/>
      <c r="DT805" s="293"/>
      <c r="DU805" s="293"/>
      <c r="DV805" s="293"/>
      <c r="DW805" s="1197" t="s">
        <v>513</v>
      </c>
      <c r="DX805" s="293"/>
      <c r="DY805" s="293"/>
      <c r="DZ805" s="293"/>
      <c r="EA805" s="293"/>
      <c r="EB805" s="293"/>
      <c r="EC805" s="293"/>
      <c r="ED805" s="293"/>
      <c r="EE805" s="293"/>
      <c r="EF805" s="293"/>
      <c r="EG805" s="293"/>
      <c r="EH805" s="293"/>
      <c r="EI805" s="293"/>
      <c r="EJ805" s="293"/>
      <c r="EK805" s="293"/>
      <c r="EL805" s="293"/>
      <c r="EM805" s="293"/>
      <c r="EN805" s="293"/>
      <c r="EO805" s="293"/>
      <c r="EP805" s="293"/>
      <c r="EQ805" s="293"/>
      <c r="ER805" s="293"/>
      <c r="ES805" s="293"/>
      <c r="ET805" s="293"/>
      <c r="EU805" s="293"/>
      <c r="JW805"/>
    </row>
    <row r="806" spans="1:283" s="332" customFormat="1" hidden="1" outlineLevel="1">
      <c r="A806" s="332" t="s">
        <v>605</v>
      </c>
      <c r="AN806" s="626">
        <v>-137</v>
      </c>
      <c r="AO806" s="626">
        <v>-223</v>
      </c>
      <c r="AP806" s="293">
        <f t="shared" si="2018"/>
        <v>-360</v>
      </c>
      <c r="AQ806" s="293"/>
      <c r="AR806" s="626">
        <v>-146</v>
      </c>
      <c r="AS806" s="626">
        <v>-110</v>
      </c>
      <c r="AT806" s="293">
        <f t="shared" si="2019"/>
        <v>-256</v>
      </c>
      <c r="AU806" s="626"/>
      <c r="AV806" s="626">
        <v>-140</v>
      </c>
      <c r="AW806" s="626">
        <v>-78</v>
      </c>
      <c r="AX806" s="293">
        <f t="shared" si="2020"/>
        <v>-218</v>
      </c>
      <c r="AY806" s="293"/>
      <c r="AZ806" s="626">
        <v>-106</v>
      </c>
      <c r="BA806" s="626">
        <v>-136</v>
      </c>
      <c r="BB806" s="293">
        <f t="shared" ref="BB806:BB811" si="2044">AZ806+BA806</f>
        <v>-242</v>
      </c>
      <c r="BC806" s="293"/>
      <c r="BD806" s="626">
        <v>-145</v>
      </c>
      <c r="BE806" s="626">
        <f>-91-0.3333</f>
        <v>-91.333299999999994</v>
      </c>
      <c r="BF806" s="293">
        <f t="shared" ref="BF806:BF811" si="2045">BD806+BE806</f>
        <v>-236.33330000000001</v>
      </c>
      <c r="BG806" s="293"/>
      <c r="BH806" s="626">
        <v>-72</v>
      </c>
      <c r="BI806" s="626">
        <v>-59</v>
      </c>
      <c r="BJ806" s="293">
        <f t="shared" ref="BJ806:BJ811" si="2046">BH806+BI806</f>
        <v>-131</v>
      </c>
      <c r="BK806" s="487"/>
      <c r="BL806" s="626">
        <v>-66</v>
      </c>
      <c r="BM806" s="626">
        <v>-64</v>
      </c>
      <c r="BN806" s="293">
        <f t="shared" ref="BN806:BN811" si="2047">BL806+BM806</f>
        <v>-130</v>
      </c>
      <c r="BO806" s="487"/>
      <c r="BP806" s="626">
        <v>-71</v>
      </c>
      <c r="BQ806" s="626">
        <v>-87</v>
      </c>
      <c r="BR806" s="293">
        <f t="shared" ref="BR806:BR811" si="2048">BP806+BQ806</f>
        <v>-158</v>
      </c>
      <c r="BS806" s="487"/>
      <c r="BT806" s="626">
        <v>-115</v>
      </c>
      <c r="BU806" s="626">
        <v>-93</v>
      </c>
      <c r="BV806" s="293">
        <f t="shared" ref="BV806:BV811" si="2049">BT806+BU806</f>
        <v>-208</v>
      </c>
      <c r="BW806" s="293"/>
      <c r="BX806" s="626">
        <v>-102</v>
      </c>
      <c r="BY806" s="626">
        <v>-93</v>
      </c>
      <c r="BZ806" s="293">
        <f t="shared" ref="BZ806:BZ811" si="2050">BX806+BY806</f>
        <v>-195</v>
      </c>
      <c r="CA806" s="293"/>
      <c r="CB806" s="293">
        <f t="shared" ca="1" si="2021"/>
        <v>-93.606399999999994</v>
      </c>
      <c r="CC806" s="293">
        <f t="shared" ca="1" si="2021"/>
        <v>-96.414591999999999</v>
      </c>
      <c r="CD806" s="293">
        <f t="shared" ca="1" si="2022"/>
        <v>-190.02099199999998</v>
      </c>
      <c r="CE806" s="293"/>
      <c r="CF806" s="293">
        <f t="shared" si="2023"/>
        <v>-99.307029759999992</v>
      </c>
      <c r="CG806" s="293">
        <f t="shared" si="2023"/>
        <v>-102.28624065279999</v>
      </c>
      <c r="CH806" s="293">
        <f t="shared" si="2024"/>
        <v>-201.5932704128</v>
      </c>
      <c r="CI806" s="293"/>
      <c r="CJ806" s="293">
        <f t="shared" ref="CJ806:CK806" si="2051">CJ842</f>
        <v>-105.35482787238399</v>
      </c>
      <c r="CK806" s="293">
        <f t="shared" si="2051"/>
        <v>-108.51547270855552</v>
      </c>
      <c r="CL806" s="293">
        <f t="shared" si="2026"/>
        <v>-213.8703005809395</v>
      </c>
      <c r="CM806" s="293"/>
      <c r="CN806" s="293">
        <f t="shared" si="2027"/>
        <v>-111.77093688981219</v>
      </c>
      <c r="CO806" s="293">
        <f t="shared" si="2027"/>
        <v>-115.12406499650655</v>
      </c>
      <c r="CP806" s="293">
        <f t="shared" si="2028"/>
        <v>-226.89500188631874</v>
      </c>
      <c r="CQ806" s="293"/>
      <c r="CR806" s="293">
        <f t="shared" ref="CR806:CS806" si="2052">CR842</f>
        <v>-118.57778694640176</v>
      </c>
      <c r="CS806" s="293">
        <f t="shared" si="2052"/>
        <v>-122.13512055479382</v>
      </c>
      <c r="CT806" s="293">
        <f t="shared" si="2030"/>
        <v>-240.71290750119556</v>
      </c>
      <c r="CU806" s="293"/>
      <c r="CV806" s="293">
        <f t="shared" ref="CV806:CW806" si="2053">CV842</f>
        <v>-125.79917417143763</v>
      </c>
      <c r="CW806" s="293">
        <f t="shared" si="2053"/>
        <v>-129.57314939658076</v>
      </c>
      <c r="CX806" s="293">
        <f t="shared" si="2032"/>
        <v>-255.37232356801837</v>
      </c>
      <c r="CY806" s="293"/>
      <c r="CZ806" s="293">
        <f t="shared" ref="CZ806:DA806" si="2054">CZ842</f>
        <v>-133.46034387847817</v>
      </c>
      <c r="DA806" s="293">
        <f t="shared" si="2054"/>
        <v>-137.46415419483253</v>
      </c>
      <c r="DB806" s="293">
        <f t="shared" si="2034"/>
        <v>-270.9244980733107</v>
      </c>
      <c r="DC806" s="293"/>
      <c r="DD806" s="293">
        <f t="shared" ref="DD806:DE806" si="2055">DD842</f>
        <v>-141.58807882067751</v>
      </c>
      <c r="DE806" s="293">
        <f t="shared" si="2055"/>
        <v>-145.83572118529784</v>
      </c>
      <c r="DF806" s="293">
        <f t="shared" si="2036"/>
        <v>-287.42380000597535</v>
      </c>
      <c r="DG806" s="293"/>
      <c r="DH806" s="293">
        <f t="shared" ref="DH806" si="2056">DH842</f>
        <v>-150.2107928208568</v>
      </c>
      <c r="DI806" s="293">
        <f t="shared" ref="DI806" si="2057">DI842</f>
        <v>-154.71711660548249</v>
      </c>
      <c r="DJ806" s="293">
        <f t="shared" si="2039"/>
        <v>-304.92790942633928</v>
      </c>
      <c r="DK806" s="293"/>
      <c r="DL806" s="293">
        <f t="shared" ref="DL806:DM806" si="2058">DL842</f>
        <v>-159.35863010364699</v>
      </c>
      <c r="DM806" s="293">
        <f t="shared" si="2058"/>
        <v>-164.1393890067564</v>
      </c>
      <c r="DN806" s="293">
        <f t="shared" si="2041"/>
        <v>-323.49801911040339</v>
      </c>
      <c r="DO806" s="293"/>
      <c r="DP806" s="293">
        <f t="shared" ref="DP806:DQ806" si="2059">DP842</f>
        <v>-169.0635706769591</v>
      </c>
      <c r="DQ806" s="293">
        <f t="shared" si="2059"/>
        <v>-174.1354777972679</v>
      </c>
      <c r="DR806" s="293">
        <f t="shared" si="2043"/>
        <v>-343.19904847422697</v>
      </c>
      <c r="DS806" s="293"/>
      <c r="DT806" s="293"/>
      <c r="DU806" s="293"/>
      <c r="DV806" s="293"/>
      <c r="DW806" s="1197" t="s">
        <v>513</v>
      </c>
      <c r="DX806" s="293"/>
      <c r="DY806" s="293"/>
      <c r="DZ806" s="293"/>
      <c r="EA806" s="293"/>
      <c r="EB806" s="293"/>
      <c r="EC806" s="293"/>
      <c r="ED806" s="293"/>
      <c r="EE806" s="293"/>
      <c r="EF806" s="293"/>
      <c r="EG806" s="293"/>
      <c r="EH806" s="293"/>
      <c r="EI806" s="293"/>
      <c r="EJ806" s="293"/>
      <c r="EK806" s="293"/>
      <c r="EL806" s="293"/>
      <c r="EM806" s="293"/>
      <c r="EN806" s="293"/>
      <c r="EO806" s="293"/>
      <c r="EP806" s="293"/>
      <c r="EQ806" s="293"/>
      <c r="ER806" s="293"/>
      <c r="ES806" s="293"/>
      <c r="ET806" s="293"/>
      <c r="EU806" s="293"/>
      <c r="JW806"/>
    </row>
    <row r="807" spans="1:283" s="332" customFormat="1" hidden="1" outlineLevel="1">
      <c r="A807" s="332" t="s">
        <v>606</v>
      </c>
      <c r="AN807" s="626">
        <v>-144</v>
      </c>
      <c r="AO807" s="626">
        <v>-194</v>
      </c>
      <c r="AP807" s="293">
        <f t="shared" si="2018"/>
        <v>-338</v>
      </c>
      <c r="AQ807" s="293"/>
      <c r="AR807" s="626">
        <v>-222</v>
      </c>
      <c r="AS807" s="626">
        <v>-252</v>
      </c>
      <c r="AT807" s="293">
        <f t="shared" si="2019"/>
        <v>-474</v>
      </c>
      <c r="AU807" s="626"/>
      <c r="AV807" s="626">
        <v>-195</v>
      </c>
      <c r="AW807" s="626">
        <v>-209</v>
      </c>
      <c r="AX807" s="293">
        <f t="shared" si="2020"/>
        <v>-404</v>
      </c>
      <c r="AY807" s="293"/>
      <c r="AZ807" s="1202">
        <f>-244+0.5</f>
        <v>-243.5</v>
      </c>
      <c r="BA807" s="1202">
        <f>-256+0.5</f>
        <v>-255.5</v>
      </c>
      <c r="BB807" s="293">
        <f t="shared" si="2044"/>
        <v>-499</v>
      </c>
      <c r="BC807" s="293"/>
      <c r="BD807" s="626">
        <v>-266</v>
      </c>
      <c r="BE807" s="626">
        <v>-277</v>
      </c>
      <c r="BF807" s="293">
        <f t="shared" si="2045"/>
        <v>-543</v>
      </c>
      <c r="BG807" s="293"/>
      <c r="BH807" s="626">
        <v>-183</v>
      </c>
      <c r="BI807" s="626">
        <v>-177</v>
      </c>
      <c r="BJ807" s="293">
        <f t="shared" si="2046"/>
        <v>-360</v>
      </c>
      <c r="BK807" s="487"/>
      <c r="BL807" s="626">
        <v>-182</v>
      </c>
      <c r="BM807" s="626">
        <v>-206</v>
      </c>
      <c r="BN807" s="293">
        <f t="shared" si="2047"/>
        <v>-388</v>
      </c>
      <c r="BO807" s="487"/>
      <c r="BP807" s="626">
        <v>-216</v>
      </c>
      <c r="BQ807" s="626">
        <v>-229</v>
      </c>
      <c r="BR807" s="293">
        <f t="shared" si="2048"/>
        <v>-445</v>
      </c>
      <c r="BS807" s="487"/>
      <c r="BT807" s="626">
        <v>-236</v>
      </c>
      <c r="BU807" s="626">
        <v>-238</v>
      </c>
      <c r="BV807" s="293">
        <f t="shared" si="2049"/>
        <v>-474</v>
      </c>
      <c r="BW807" s="293"/>
      <c r="BX807" s="626">
        <v>-228</v>
      </c>
      <c r="BY807" s="626">
        <v>-238</v>
      </c>
      <c r="BZ807" s="293">
        <f t="shared" si="2050"/>
        <v>-466</v>
      </c>
      <c r="CA807" s="293"/>
      <c r="CB807" s="293">
        <f t="shared" si="2021"/>
        <v>-234.84</v>
      </c>
      <c r="CC807" s="293">
        <f t="shared" si="2021"/>
        <v>-245.14000000000001</v>
      </c>
      <c r="CD807" s="293">
        <f t="shared" si="2022"/>
        <v>-479.98</v>
      </c>
      <c r="CE807" s="293"/>
      <c r="CF807" s="293">
        <f t="shared" si="2023"/>
        <v>-241.8852</v>
      </c>
      <c r="CG807" s="293">
        <f t="shared" si="2023"/>
        <v>-252.49420000000003</v>
      </c>
      <c r="CH807" s="293">
        <f t="shared" si="2024"/>
        <v>-494.37940000000003</v>
      </c>
      <c r="CI807" s="293"/>
      <c r="CJ807" s="293">
        <f t="shared" ref="CJ807:CK807" si="2060">CJ843</f>
        <v>-249.14175600000002</v>
      </c>
      <c r="CK807" s="293">
        <f t="shared" si="2060"/>
        <v>-260.06902600000006</v>
      </c>
      <c r="CL807" s="293">
        <f t="shared" si="2026"/>
        <v>-509.21078200000011</v>
      </c>
      <c r="CM807" s="293"/>
      <c r="CN807" s="293">
        <f t="shared" si="2027"/>
        <v>-256.61600868000005</v>
      </c>
      <c r="CO807" s="293">
        <f t="shared" si="2027"/>
        <v>-267.87109678000007</v>
      </c>
      <c r="CP807" s="293">
        <f t="shared" si="2028"/>
        <v>-524.48710546000007</v>
      </c>
      <c r="CQ807" s="293"/>
      <c r="CR807" s="293">
        <f t="shared" ref="CR807:CS807" si="2061">CR843</f>
        <v>-264.31448894040005</v>
      </c>
      <c r="CS807" s="293">
        <f t="shared" si="2061"/>
        <v>-275.90722968340009</v>
      </c>
      <c r="CT807" s="293">
        <f t="shared" si="2030"/>
        <v>-540.22171862380014</v>
      </c>
      <c r="CU807" s="293"/>
      <c r="CV807" s="293">
        <f t="shared" ref="CV807:CW807" si="2062">CV843</f>
        <v>-272.24392360861208</v>
      </c>
      <c r="CW807" s="293">
        <f t="shared" si="2062"/>
        <v>-284.18444657390211</v>
      </c>
      <c r="CX807" s="293">
        <f t="shared" si="2032"/>
        <v>-556.42837018251419</v>
      </c>
      <c r="CY807" s="293"/>
      <c r="CZ807" s="293">
        <f t="shared" ref="CZ807:DA807" si="2063">CZ843</f>
        <v>-280.41124131687047</v>
      </c>
      <c r="DA807" s="293">
        <f t="shared" si="2063"/>
        <v>-292.7099799711192</v>
      </c>
      <c r="DB807" s="293">
        <f t="shared" si="2034"/>
        <v>-573.12122128798967</v>
      </c>
      <c r="DC807" s="293"/>
      <c r="DD807" s="293">
        <f t="shared" ref="DD807:DE807" si="2064">DD843</f>
        <v>-288.82357855637662</v>
      </c>
      <c r="DE807" s="293">
        <f t="shared" si="2064"/>
        <v>-301.49127937025276</v>
      </c>
      <c r="DF807" s="293">
        <f t="shared" si="2036"/>
        <v>-590.31485792662943</v>
      </c>
      <c r="DG807" s="293"/>
      <c r="DH807" s="293">
        <f t="shared" ref="DH807" si="2065">DH843</f>
        <v>-297.4882859130679</v>
      </c>
      <c r="DI807" s="293">
        <f t="shared" ref="DI807" si="2066">DI843</f>
        <v>-310.53601775136036</v>
      </c>
      <c r="DJ807" s="293">
        <f t="shared" si="2039"/>
        <v>-608.02430366442832</v>
      </c>
      <c r="DK807" s="293"/>
      <c r="DL807" s="293">
        <f t="shared" ref="DL807:DM807" si="2067">DL843</f>
        <v>-306.41293449045992</v>
      </c>
      <c r="DM807" s="293">
        <f t="shared" si="2067"/>
        <v>-319.85209828390117</v>
      </c>
      <c r="DN807" s="293">
        <f t="shared" si="2041"/>
        <v>-626.26503277436109</v>
      </c>
      <c r="DO807" s="293"/>
      <c r="DP807" s="293">
        <f t="shared" ref="DP807:DQ807" si="2068">DP843</f>
        <v>-315.60532252517373</v>
      </c>
      <c r="DQ807" s="293">
        <f t="shared" si="2068"/>
        <v>-329.44766123241823</v>
      </c>
      <c r="DR807" s="293">
        <f t="shared" si="2043"/>
        <v>-645.05298375759196</v>
      </c>
      <c r="DS807" s="293"/>
      <c r="DT807" s="293"/>
      <c r="DU807" s="293"/>
      <c r="DV807" s="293"/>
      <c r="DW807" s="1197" t="s">
        <v>513</v>
      </c>
      <c r="DX807" s="293"/>
      <c r="DY807" s="293"/>
      <c r="DZ807" s="293"/>
      <c r="EA807" s="293"/>
      <c r="EB807" s="293"/>
      <c r="EC807" s="293"/>
      <c r="ED807" s="293"/>
      <c r="EE807" s="293"/>
      <c r="EF807" s="293"/>
      <c r="EG807" s="293"/>
      <c r="EH807" s="293"/>
      <c r="EI807" s="293"/>
      <c r="EJ807" s="293"/>
      <c r="EK807" s="293"/>
      <c r="EL807" s="293"/>
      <c r="EM807" s="293"/>
      <c r="EN807" s="293"/>
      <c r="EO807" s="293"/>
      <c r="EP807" s="293"/>
      <c r="EQ807" s="293"/>
      <c r="ER807" s="293"/>
      <c r="ES807" s="293"/>
      <c r="ET807" s="293"/>
      <c r="EU807" s="293"/>
      <c r="JW807"/>
    </row>
    <row r="808" spans="1:283" s="327" customFormat="1" hidden="1" outlineLevel="1">
      <c r="A808" s="327" t="s">
        <v>569</v>
      </c>
      <c r="AN808" s="295">
        <f>SUM(AN805:AN807)</f>
        <v>-400</v>
      </c>
      <c r="AO808" s="295">
        <f>SUM(AO805:AO807)</f>
        <v>-550</v>
      </c>
      <c r="AP808" s="295">
        <f t="shared" si="2018"/>
        <v>-950</v>
      </c>
      <c r="AQ808" s="295"/>
      <c r="AR808" s="295">
        <f>SUM(AR805:AR807)</f>
        <v>-510</v>
      </c>
      <c r="AS808" s="295">
        <f>SUM(AS805:AS807)</f>
        <v>-559</v>
      </c>
      <c r="AT808" s="295">
        <f t="shared" si="2019"/>
        <v>-1069</v>
      </c>
      <c r="AU808" s="295"/>
      <c r="AV808" s="295">
        <f>SUM(AV805:AV807)</f>
        <v>-463</v>
      </c>
      <c r="AW808" s="295">
        <f>SUM(AW805:AW807)</f>
        <v>-437</v>
      </c>
      <c r="AX808" s="295">
        <f t="shared" si="2020"/>
        <v>-900</v>
      </c>
      <c r="AY808" s="295"/>
      <c r="AZ808" s="295">
        <f>SUM(AZ805:AZ807)</f>
        <v>-523.5</v>
      </c>
      <c r="BA808" s="295">
        <f>SUM(BA805:BA807)</f>
        <v>-599.5</v>
      </c>
      <c r="BB808" s="295">
        <f t="shared" si="2044"/>
        <v>-1123</v>
      </c>
      <c r="BC808" s="295"/>
      <c r="BD808" s="295">
        <f>SUM(BD805:BD807)</f>
        <v>-560</v>
      </c>
      <c r="BE808" s="295">
        <f>SUM(BE805:BE807)</f>
        <v>-527.33330000000001</v>
      </c>
      <c r="BF808" s="295">
        <f t="shared" si="2045"/>
        <v>-1087.3333</v>
      </c>
      <c r="BG808" s="295"/>
      <c r="BH808" s="295">
        <f>SUM(BH805:BH807)</f>
        <v>-372</v>
      </c>
      <c r="BI808" s="295">
        <f>SUM(BI805:BI807)</f>
        <v>-341</v>
      </c>
      <c r="BJ808" s="295">
        <f t="shared" si="2046"/>
        <v>-713</v>
      </c>
      <c r="BK808" s="640"/>
      <c r="BL808" s="295">
        <f>SUM(BL805:BL807)</f>
        <v>-365</v>
      </c>
      <c r="BM808" s="295">
        <f>SUM(BM805:BM807)</f>
        <v>-393</v>
      </c>
      <c r="BN808" s="295">
        <f t="shared" si="2047"/>
        <v>-758</v>
      </c>
      <c r="BO808" s="640"/>
      <c r="BP808" s="295">
        <f>SUM(BP805:BP807)</f>
        <v>-414</v>
      </c>
      <c r="BQ808" s="295">
        <f>SUM(BQ805:BQ807)</f>
        <v>-440</v>
      </c>
      <c r="BR808" s="295">
        <f t="shared" si="2048"/>
        <v>-854</v>
      </c>
      <c r="BS808" s="640"/>
      <c r="BT808" s="295">
        <f>SUM(BT805:BT807)</f>
        <v>-478</v>
      </c>
      <c r="BU808" s="295">
        <f>SUM(BU805:BU807)</f>
        <v>-474</v>
      </c>
      <c r="BV808" s="295">
        <f t="shared" si="2049"/>
        <v>-952</v>
      </c>
      <c r="BW808" s="295"/>
      <c r="BX808" s="295">
        <f>SUM(BX805:BX807)</f>
        <v>-465</v>
      </c>
      <c r="BY808" s="295">
        <f>SUM(BY805:BY807)</f>
        <v>-474</v>
      </c>
      <c r="BZ808" s="295">
        <f t="shared" si="2050"/>
        <v>-939</v>
      </c>
      <c r="CA808" s="295"/>
      <c r="CB808" s="295">
        <f ca="1">SUM(CB805:CB807)</f>
        <v>-471.54639999999995</v>
      </c>
      <c r="CC808" s="295">
        <f ca="1">SUM(CC805:CC807)</f>
        <v>-493.134592</v>
      </c>
      <c r="CD808" s="295">
        <f t="shared" ca="1" si="2022"/>
        <v>-964.68099199999995</v>
      </c>
      <c r="CE808" s="295"/>
      <c r="CF808" s="295">
        <f>SUM(CF805:CF807)</f>
        <v>-492.87822976000001</v>
      </c>
      <c r="CG808" s="295">
        <f>SUM(CG805:CG807)</f>
        <v>-515.45524065280006</v>
      </c>
      <c r="CH808" s="295">
        <f t="shared" si="2024"/>
        <v>-1008.3334704128001</v>
      </c>
      <c r="CI808" s="295"/>
      <c r="CJ808" s="295">
        <f>SUM(CJ805:CJ807)</f>
        <v>-515.28374387238398</v>
      </c>
      <c r="CK808" s="295">
        <f>SUM(CK805:CK807)</f>
        <v>-538.89978670855567</v>
      </c>
      <c r="CL808" s="295">
        <f t="shared" si="2026"/>
        <v>-1054.1835305809395</v>
      </c>
      <c r="CM808" s="295"/>
      <c r="CN808" s="295">
        <f>SUM(CN805:CN807)</f>
        <v>-538.8213351698123</v>
      </c>
      <c r="CO808" s="295">
        <f>SUM(CO805:CO807)</f>
        <v>-563.52936705650666</v>
      </c>
      <c r="CP808" s="295">
        <f t="shared" si="2028"/>
        <v>-1102.3507022263188</v>
      </c>
      <c r="CQ808" s="295"/>
      <c r="CR808" s="295">
        <f>SUM(CR805:CR807)</f>
        <v>-563.55272886280181</v>
      </c>
      <c r="CS808" s="295">
        <f>SUM(CS805:CS807)</f>
        <v>-589.40860783499397</v>
      </c>
      <c r="CT808" s="295">
        <f t="shared" si="2030"/>
        <v>-1152.9613366977958</v>
      </c>
      <c r="CU808" s="295"/>
      <c r="CV808" s="295">
        <f>SUM(CV805:CV807)</f>
        <v>-589.54317793460973</v>
      </c>
      <c r="CW808" s="295">
        <f>SUM(CW805:CW807)</f>
        <v>-616.60582902309102</v>
      </c>
      <c r="CX808" s="295">
        <f t="shared" si="2032"/>
        <v>-1206.1490069577007</v>
      </c>
      <c r="CY808" s="295"/>
      <c r="CZ808" s="295">
        <f>SUM(CZ805:CZ807)</f>
        <v>-616.86167015918227</v>
      </c>
      <c r="DA808" s="295">
        <f>SUM(DA805:DA807)</f>
        <v>-645.19326120171627</v>
      </c>
      <c r="DB808" s="295">
        <f t="shared" si="2034"/>
        <v>-1262.0549313608985</v>
      </c>
      <c r="DC808" s="295"/>
      <c r="DD808" s="295">
        <f>SUM(DD805:DD807)</f>
        <v>-645.58114743871784</v>
      </c>
      <c r="DE808" s="295">
        <f>SUM(DE805:DE807)</f>
        <v>-675.24727521346108</v>
      </c>
      <c r="DF808" s="295">
        <f t="shared" si="2036"/>
        <v>-1320.8284226521789</v>
      </c>
      <c r="DG808" s="295"/>
      <c r="DH808" s="295">
        <f>SUM(DH805:DH807)</f>
        <v>-675.77873819928823</v>
      </c>
      <c r="DI808" s="295">
        <f>SUM(DI805:DI807)</f>
        <v>-706.84862549422792</v>
      </c>
      <c r="DJ808" s="295">
        <f t="shared" si="2039"/>
        <v>-1382.6273636935161</v>
      </c>
      <c r="DK808" s="295"/>
      <c r="DL808" s="295">
        <f>SUM(DL805:DL807)</f>
        <v>-707.53600362739235</v>
      </c>
      <c r="DM808" s="295">
        <f>SUM(DM805:DM807)</f>
        <v>-740.0827078962858</v>
      </c>
      <c r="DN808" s="295">
        <f t="shared" si="2041"/>
        <v>-1447.618711523678</v>
      </c>
      <c r="DO808" s="295"/>
      <c r="DP808" s="295">
        <f>SUM(DP805:DP807)</f>
        <v>-740.93919857741525</v>
      </c>
      <c r="DQ808" s="295">
        <f>SUM(DQ805:DQ807)</f>
        <v>-775.03983287165204</v>
      </c>
      <c r="DR808" s="295">
        <f t="shared" si="2043"/>
        <v>-1515.9790314490674</v>
      </c>
      <c r="DS808" s="295"/>
      <c r="DT808" s="295"/>
      <c r="DU808" s="295"/>
      <c r="DV808" s="295"/>
      <c r="DW808" s="1199"/>
      <c r="DX808" s="295"/>
      <c r="DY808" s="295"/>
      <c r="DZ808" s="295"/>
      <c r="EA808" s="295"/>
      <c r="EB808" s="295"/>
      <c r="EC808" s="295"/>
      <c r="ED808" s="295"/>
      <c r="EE808" s="295"/>
      <c r="EF808" s="295"/>
      <c r="EG808" s="295"/>
      <c r="EH808" s="295"/>
      <c r="EI808" s="295"/>
      <c r="EJ808" s="295"/>
      <c r="EK808" s="295"/>
      <c r="EL808" s="295"/>
      <c r="EM808" s="295"/>
      <c r="EN808" s="295"/>
      <c r="EO808" s="295"/>
      <c r="EP808" s="295"/>
      <c r="EQ808" s="295"/>
      <c r="ER808" s="295"/>
      <c r="ES808" s="295"/>
      <c r="ET808" s="295"/>
      <c r="EU808" s="295"/>
      <c r="JW808"/>
    </row>
    <row r="809" spans="1:283" s="327" customFormat="1" hidden="1" outlineLevel="1">
      <c r="A809" s="327" t="s">
        <v>572</v>
      </c>
      <c r="AN809" s="295">
        <f>AN803+AN808</f>
        <v>705</v>
      </c>
      <c r="AO809" s="295">
        <f>AO803+AO808</f>
        <v>512</v>
      </c>
      <c r="AP809" s="295">
        <f t="shared" si="2018"/>
        <v>1217</v>
      </c>
      <c r="AQ809" s="295"/>
      <c r="AR809" s="295">
        <f>AR803+AR808</f>
        <v>443</v>
      </c>
      <c r="AS809" s="295">
        <f>AS803+AS808</f>
        <v>-168</v>
      </c>
      <c r="AT809" s="295">
        <f t="shared" si="2019"/>
        <v>275</v>
      </c>
      <c r="AU809" s="295"/>
      <c r="AV809" s="295">
        <f>AV803+AV808</f>
        <v>319</v>
      </c>
      <c r="AW809" s="295">
        <f>AW803+AW808</f>
        <v>261</v>
      </c>
      <c r="AX809" s="295">
        <f t="shared" si="2020"/>
        <v>580</v>
      </c>
      <c r="AY809" s="295"/>
      <c r="AZ809" s="295">
        <f>AZ803+AZ808</f>
        <v>98</v>
      </c>
      <c r="BA809" s="295">
        <f>BA803+BA808</f>
        <v>86</v>
      </c>
      <c r="BB809" s="295">
        <f t="shared" si="2044"/>
        <v>184</v>
      </c>
      <c r="BC809" s="1261"/>
      <c r="BD809" s="295">
        <f>BD803+BD808</f>
        <v>-19</v>
      </c>
      <c r="BE809" s="295">
        <f>BE803+BE808</f>
        <v>-175.33330000000001</v>
      </c>
      <c r="BF809" s="295">
        <f t="shared" si="2045"/>
        <v>-194.33330000000001</v>
      </c>
      <c r="BG809" s="295"/>
      <c r="BH809" s="295">
        <f>BH803+BH808</f>
        <v>-64</v>
      </c>
      <c r="BI809" s="295">
        <f>BI803+BI808</f>
        <v>14</v>
      </c>
      <c r="BJ809" s="295">
        <f t="shared" si="2046"/>
        <v>-50</v>
      </c>
      <c r="BK809" s="487"/>
      <c r="BL809" s="295">
        <f>BL803+BL808</f>
        <v>71</v>
      </c>
      <c r="BM809" s="295">
        <f>BM803+BM808</f>
        <v>36</v>
      </c>
      <c r="BN809" s="295">
        <f t="shared" si="2047"/>
        <v>107</v>
      </c>
      <c r="BO809" s="487"/>
      <c r="BP809" s="295">
        <f>BP803+BP808</f>
        <v>17</v>
      </c>
      <c r="BQ809" s="295">
        <f>BQ803+BQ808</f>
        <v>47</v>
      </c>
      <c r="BR809" s="295">
        <f t="shared" si="2048"/>
        <v>64</v>
      </c>
      <c r="BS809" s="487"/>
      <c r="BT809" s="295">
        <f>BT803+BT808</f>
        <v>240</v>
      </c>
      <c r="BU809" s="295">
        <f>BU803+BU808</f>
        <v>28</v>
      </c>
      <c r="BV809" s="295">
        <f t="shared" si="2049"/>
        <v>268</v>
      </c>
      <c r="BW809" s="295"/>
      <c r="BX809" s="295">
        <f>BX803+BX808</f>
        <v>18</v>
      </c>
      <c r="BY809" s="295">
        <f>BY803+BY808</f>
        <v>28</v>
      </c>
      <c r="BZ809" s="295">
        <f t="shared" si="2050"/>
        <v>46</v>
      </c>
      <c r="CA809" s="295"/>
      <c r="CB809" s="295">
        <f ca="1">CB803+CB808</f>
        <v>41.533599999999979</v>
      </c>
      <c r="CC809" s="295">
        <f ca="1">CC803+CC808</f>
        <v>27.478608000000008</v>
      </c>
      <c r="CD809" s="295">
        <f t="shared" ca="1" si="2022"/>
        <v>69.012207999999987</v>
      </c>
      <c r="CE809" s="295"/>
      <c r="CF809" s="295">
        <f>CF803+CF808</f>
        <v>52.242894239999998</v>
      </c>
      <c r="CG809" s="295">
        <f>CG803+CG808</f>
        <v>37.86331674719986</v>
      </c>
      <c r="CH809" s="295">
        <f t="shared" si="2024"/>
        <v>90.106210987199859</v>
      </c>
      <c r="CI809" s="295"/>
      <c r="CJ809" s="295">
        <f>CJ803+CJ808</f>
        <v>64.070091910416068</v>
      </c>
      <c r="CK809" s="295">
        <f>CK803+CK808</f>
        <v>49.378474108176306</v>
      </c>
      <c r="CL809" s="295">
        <f t="shared" si="2026"/>
        <v>113.44856601859237</v>
      </c>
      <c r="CM809" s="295"/>
      <c r="CN809" s="295">
        <f>CN803+CN808</f>
        <v>77.127070729496609</v>
      </c>
      <c r="CO809" s="295">
        <f>CO803+CO808</f>
        <v>62.13963836334085</v>
      </c>
      <c r="CP809" s="295">
        <f t="shared" si="2028"/>
        <v>139.26670909283746</v>
      </c>
      <c r="CQ809" s="295"/>
      <c r="CR809" s="295">
        <f>CR803+CR808</f>
        <v>91.537649538814094</v>
      </c>
      <c r="CS809" s="295">
        <f>CS803+CS808</f>
        <v>76.274857269493737</v>
      </c>
      <c r="CT809" s="295">
        <f t="shared" si="2030"/>
        <v>167.81250680830783</v>
      </c>
      <c r="CU809" s="295"/>
      <c r="CV809" s="295">
        <f>CV803+CV808</f>
        <v>107.43894696163534</v>
      </c>
      <c r="CW809" s="295">
        <f>CW803+CW808</f>
        <v>91.926098889606465</v>
      </c>
      <c r="CX809" s="295">
        <f t="shared" si="2032"/>
        <v>199.3650458512418</v>
      </c>
      <c r="CY809" s="295"/>
      <c r="CZ809" s="295">
        <f>CZ803+CZ808</f>
        <v>124.98290108172262</v>
      </c>
      <c r="DA809" s="295">
        <f>DA803+DA808</f>
        <v>109.25085258134811</v>
      </c>
      <c r="DB809" s="295">
        <f t="shared" si="2034"/>
        <v>234.23375366307073</v>
      </c>
      <c r="DC809" s="295"/>
      <c r="DD809" s="295">
        <f>DD803+DD808</f>
        <v>144.33796964540875</v>
      </c>
      <c r="DE809" s="295">
        <f>DE803+DE808</f>
        <v>128.4239207879026</v>
      </c>
      <c r="DF809" s="295">
        <f t="shared" si="2036"/>
        <v>272.76189043331135</v>
      </c>
      <c r="DG809" s="295"/>
      <c r="DH809" s="295">
        <f>DH803+DH808</f>
        <v>165.6910326773716</v>
      </c>
      <c r="DI809" s="295">
        <f>DI803+DI808</f>
        <v>149.63942480378569</v>
      </c>
      <c r="DJ809" s="295">
        <f t="shared" si="2039"/>
        <v>315.33045748115728</v>
      </c>
      <c r="DK809" s="295"/>
      <c r="DL809" s="295">
        <f>DL803+DL808</f>
        <v>189.24952208189097</v>
      </c>
      <c r="DM809" s="295">
        <f>DM803+DM808</f>
        <v>173.11305052883256</v>
      </c>
      <c r="DN809" s="295">
        <f t="shared" si="2041"/>
        <v>362.36257261072353</v>
      </c>
      <c r="DO809" s="295"/>
      <c r="DP809" s="295">
        <f>DP803+DP808</f>
        <v>215.24380581273726</v>
      </c>
      <c r="DQ809" s="295">
        <f>DQ803+DQ808</f>
        <v>199.08456341371448</v>
      </c>
      <c r="DR809" s="295">
        <f t="shared" si="2043"/>
        <v>414.32836922645174</v>
      </c>
      <c r="DS809" s="295"/>
      <c r="DT809" s="295"/>
      <c r="DU809" s="295"/>
      <c r="DV809" s="295"/>
      <c r="DW809" s="1199"/>
      <c r="DX809" s="295"/>
      <c r="DY809" s="295"/>
      <c r="DZ809" s="295"/>
      <c r="EA809" s="295"/>
      <c r="EB809" s="295"/>
      <c r="EC809" s="295"/>
      <c r="ED809" s="295"/>
      <c r="EE809" s="295"/>
      <c r="EF809" s="295"/>
      <c r="EG809" s="295"/>
      <c r="EH809" s="295"/>
      <c r="EI809" s="295"/>
      <c r="EJ809" s="295"/>
      <c r="EK809" s="295"/>
      <c r="EL809" s="295"/>
      <c r="EM809" s="295"/>
      <c r="EN809" s="295"/>
      <c r="EO809" s="295"/>
      <c r="EP809" s="295"/>
      <c r="EQ809" s="295"/>
      <c r="ER809" s="295"/>
      <c r="ES809" s="295"/>
      <c r="ET809" s="295"/>
      <c r="EU809" s="295"/>
      <c r="JW809"/>
    </row>
    <row r="810" spans="1:283" s="327" customFormat="1" hidden="1" outlineLevel="1">
      <c r="A810" s="327" t="s">
        <v>664</v>
      </c>
      <c r="AN810" s="626">
        <v>0</v>
      </c>
      <c r="AO810" s="626">
        <v>0</v>
      </c>
      <c r="AP810" s="293">
        <f t="shared" si="2018"/>
        <v>0</v>
      </c>
      <c r="AQ810" s="295"/>
      <c r="AR810" s="626">
        <v>0</v>
      </c>
      <c r="AS810" s="626">
        <v>0</v>
      </c>
      <c r="AT810" s="293">
        <f t="shared" si="2019"/>
        <v>0</v>
      </c>
      <c r="AU810" s="295"/>
      <c r="AV810" s="626">
        <v>0</v>
      </c>
      <c r="AW810" s="626">
        <v>0</v>
      </c>
      <c r="AX810" s="293">
        <f t="shared" si="2020"/>
        <v>0</v>
      </c>
      <c r="AY810" s="295"/>
      <c r="AZ810" s="626">
        <v>0</v>
      </c>
      <c r="BA810" s="626">
        <v>0</v>
      </c>
      <c r="BB810" s="293">
        <f t="shared" si="2044"/>
        <v>0</v>
      </c>
      <c r="BC810" s="295"/>
      <c r="BD810" s="626">
        <v>0</v>
      </c>
      <c r="BE810" s="626">
        <v>0</v>
      </c>
      <c r="BF810" s="293">
        <f t="shared" si="2045"/>
        <v>0</v>
      </c>
      <c r="BG810" s="295"/>
      <c r="BH810" s="626">
        <v>0</v>
      </c>
      <c r="BI810" s="626"/>
      <c r="BJ810" s="293">
        <f t="shared" si="2046"/>
        <v>0</v>
      </c>
      <c r="BK810" s="487"/>
      <c r="BL810" s="626">
        <v>0</v>
      </c>
      <c r="BM810" s="626">
        <v>0</v>
      </c>
      <c r="BN810" s="293">
        <f t="shared" si="2047"/>
        <v>0</v>
      </c>
      <c r="BO810" s="487"/>
      <c r="BP810" s="626">
        <v>0</v>
      </c>
      <c r="BQ810" s="626">
        <v>0</v>
      </c>
      <c r="BR810" s="293">
        <f t="shared" si="2048"/>
        <v>0</v>
      </c>
      <c r="BS810" s="487"/>
      <c r="BT810" s="626">
        <v>0</v>
      </c>
      <c r="BU810" s="626">
        <v>0</v>
      </c>
      <c r="BV810" s="293">
        <f t="shared" si="2049"/>
        <v>0</v>
      </c>
      <c r="BW810" s="295"/>
      <c r="BX810" s="626">
        <v>0</v>
      </c>
      <c r="BY810" s="626">
        <v>0</v>
      </c>
      <c r="BZ810" s="293">
        <f t="shared" si="2050"/>
        <v>0</v>
      </c>
      <c r="CA810" s="295"/>
      <c r="CB810" s="841">
        <f>'P&amp;L'!CB1926</f>
        <v>0</v>
      </c>
      <c r="CC810" s="841">
        <f>'P&amp;L'!CC1926</f>
        <v>0</v>
      </c>
      <c r="CD810" s="293">
        <f t="shared" si="2022"/>
        <v>0</v>
      </c>
      <c r="CE810" s="295"/>
      <c r="CF810" s="841">
        <f>'P&amp;L'!CF1926</f>
        <v>0</v>
      </c>
      <c r="CG810" s="841">
        <f>'P&amp;L'!CG1926</f>
        <v>0</v>
      </c>
      <c r="CH810" s="293">
        <f t="shared" si="2024"/>
        <v>0</v>
      </c>
      <c r="CI810" s="295"/>
      <c r="CJ810" s="841">
        <f>'P&amp;L'!CJ1926</f>
        <v>0</v>
      </c>
      <c r="CK810" s="841">
        <f>'P&amp;L'!CK1926</f>
        <v>0</v>
      </c>
      <c r="CL810" s="293">
        <f t="shared" si="2026"/>
        <v>0</v>
      </c>
      <c r="CM810" s="295"/>
      <c r="CN810" s="841">
        <f>'P&amp;L'!CN1926</f>
        <v>0</v>
      </c>
      <c r="CO810" s="841">
        <f>'P&amp;L'!CO1926</f>
        <v>0</v>
      </c>
      <c r="CP810" s="293">
        <f t="shared" si="2028"/>
        <v>0</v>
      </c>
      <c r="CQ810" s="295"/>
      <c r="CR810" s="841">
        <f>'P&amp;L'!CR1926</f>
        <v>0</v>
      </c>
      <c r="CS810" s="841">
        <f>'P&amp;L'!CS1926</f>
        <v>0</v>
      </c>
      <c r="CT810" s="293">
        <f t="shared" si="2030"/>
        <v>0</v>
      </c>
      <c r="CU810" s="295"/>
      <c r="CV810" s="841">
        <f>'P&amp;L'!CV1926</f>
        <v>0</v>
      </c>
      <c r="CW810" s="841">
        <f>'P&amp;L'!CW1926</f>
        <v>0</v>
      </c>
      <c r="CX810" s="293">
        <f t="shared" si="2032"/>
        <v>0</v>
      </c>
      <c r="CY810" s="295"/>
      <c r="CZ810" s="841">
        <f>'P&amp;L'!CZ1926</f>
        <v>0</v>
      </c>
      <c r="DA810" s="841">
        <f>'P&amp;L'!DA1926</f>
        <v>0</v>
      </c>
      <c r="DB810" s="293">
        <f t="shared" si="2034"/>
        <v>0</v>
      </c>
      <c r="DC810" s="295"/>
      <c r="DD810" s="841">
        <f>'P&amp;L'!DD1926</f>
        <v>0</v>
      </c>
      <c r="DE810" s="841">
        <f>'P&amp;L'!DE1926</f>
        <v>0</v>
      </c>
      <c r="DF810" s="293">
        <f t="shared" si="2036"/>
        <v>0</v>
      </c>
      <c r="DG810" s="295"/>
      <c r="DH810" s="841">
        <f>'P&amp;L'!DH1926</f>
        <v>0</v>
      </c>
      <c r="DI810" s="841">
        <f>'P&amp;L'!DI1926</f>
        <v>0</v>
      </c>
      <c r="DJ810" s="293">
        <f t="shared" si="2039"/>
        <v>0</v>
      </c>
      <c r="DK810" s="295"/>
      <c r="DL810" s="841">
        <f>'P&amp;L'!DL1926</f>
        <v>0</v>
      </c>
      <c r="DM810" s="841">
        <f>'P&amp;L'!DM1926</f>
        <v>0</v>
      </c>
      <c r="DN810" s="293">
        <f t="shared" si="2041"/>
        <v>0</v>
      </c>
      <c r="DO810" s="295"/>
      <c r="DP810" s="841">
        <f>'P&amp;L'!DP1926</f>
        <v>0</v>
      </c>
      <c r="DQ810" s="841">
        <f>'P&amp;L'!DQ1926</f>
        <v>0</v>
      </c>
      <c r="DR810" s="293">
        <f t="shared" si="2043"/>
        <v>0</v>
      </c>
      <c r="DS810" s="295"/>
      <c r="DT810" s="295"/>
      <c r="DU810" s="295"/>
      <c r="DV810" s="295"/>
      <c r="DW810" s="1198" t="s">
        <v>174</v>
      </c>
      <c r="DX810" s="293"/>
      <c r="DY810" s="293"/>
      <c r="DZ810" s="295"/>
      <c r="EA810" s="293"/>
      <c r="EB810" s="293"/>
      <c r="EC810" s="293"/>
      <c r="ED810" s="295"/>
      <c r="EE810" s="293"/>
      <c r="EF810" s="293"/>
      <c r="EG810" s="293"/>
      <c r="EH810" s="295"/>
      <c r="EI810" s="293"/>
      <c r="EJ810" s="293"/>
      <c r="EK810" s="293"/>
      <c r="EL810" s="295"/>
      <c r="EM810" s="295"/>
      <c r="EN810" s="295"/>
      <c r="EO810" s="295"/>
      <c r="EP810" s="295"/>
      <c r="EQ810" s="295"/>
      <c r="ER810" s="295"/>
      <c r="ES810" s="295"/>
      <c r="ET810" s="295"/>
      <c r="EU810" s="295"/>
      <c r="JW810"/>
    </row>
    <row r="811" spans="1:283" s="1203" customFormat="1" hidden="1" outlineLevel="1">
      <c r="A811" s="1203" t="s">
        <v>653</v>
      </c>
      <c r="AN811" s="695">
        <f>SUM(AN809:AN810)</f>
        <v>705</v>
      </c>
      <c r="AO811" s="695">
        <f>SUM(AO809:AO810)</f>
        <v>512</v>
      </c>
      <c r="AP811" s="695">
        <f t="shared" si="2018"/>
        <v>1217</v>
      </c>
      <c r="AQ811" s="695"/>
      <c r="AR811" s="695">
        <f>SUM(AR809:AR810)</f>
        <v>443</v>
      </c>
      <c r="AS811" s="695">
        <f>SUM(AS809:AS810)</f>
        <v>-168</v>
      </c>
      <c r="AT811" s="695">
        <f t="shared" si="2019"/>
        <v>275</v>
      </c>
      <c r="AU811" s="695"/>
      <c r="AV811" s="695">
        <f>SUM(AV809:AV810)</f>
        <v>319</v>
      </c>
      <c r="AW811" s="695">
        <f>SUM(AW809:AW810)</f>
        <v>261</v>
      </c>
      <c r="AX811" s="695">
        <f t="shared" si="2020"/>
        <v>580</v>
      </c>
      <c r="AY811" s="695"/>
      <c r="AZ811" s="695">
        <f>SUM(AZ809:AZ810)</f>
        <v>98</v>
      </c>
      <c r="BA811" s="695">
        <f>SUM(BA809:BA810)</f>
        <v>86</v>
      </c>
      <c r="BB811" s="695">
        <f t="shared" si="2044"/>
        <v>184</v>
      </c>
      <c r="BC811" s="695"/>
      <c r="BD811" s="695">
        <f>SUM(BD809:BD810)</f>
        <v>-19</v>
      </c>
      <c r="BE811" s="695">
        <f>SUM(BE809:BE810)</f>
        <v>-175.33330000000001</v>
      </c>
      <c r="BF811" s="695">
        <f t="shared" si="2045"/>
        <v>-194.33330000000001</v>
      </c>
      <c r="BG811" s="695"/>
      <c r="BH811" s="695">
        <f>SUM(BH809:BH810)</f>
        <v>-64</v>
      </c>
      <c r="BI811" s="695">
        <f>SUM(BI809:BI810)</f>
        <v>14</v>
      </c>
      <c r="BJ811" s="695">
        <f t="shared" si="2046"/>
        <v>-50</v>
      </c>
      <c r="BK811" s="1204"/>
      <c r="BL811" s="695">
        <f>SUM(BL809:BL810)</f>
        <v>71</v>
      </c>
      <c r="BM811" s="695">
        <f>SUM(BM809:BM810)</f>
        <v>36</v>
      </c>
      <c r="BN811" s="695">
        <f t="shared" si="2047"/>
        <v>107</v>
      </c>
      <c r="BO811" s="1204"/>
      <c r="BP811" s="695">
        <f>SUM(BP809:BP810)</f>
        <v>17</v>
      </c>
      <c r="BQ811" s="695">
        <f>SUM(BQ809:BQ810)</f>
        <v>47</v>
      </c>
      <c r="BR811" s="695">
        <f t="shared" si="2048"/>
        <v>64</v>
      </c>
      <c r="BS811" s="1204"/>
      <c r="BT811" s="695">
        <f>SUM(BT809:BT810)</f>
        <v>240</v>
      </c>
      <c r="BU811" s="695">
        <f>SUM(BU809:BU810)</f>
        <v>28</v>
      </c>
      <c r="BV811" s="695">
        <f t="shared" si="2049"/>
        <v>268</v>
      </c>
      <c r="BW811" s="695"/>
      <c r="BX811" s="695">
        <f>SUM(BX809:BX810)</f>
        <v>18</v>
      </c>
      <c r="BY811" s="695">
        <f>SUM(BY809:BY810)</f>
        <v>28</v>
      </c>
      <c r="BZ811" s="695">
        <f t="shared" si="2050"/>
        <v>46</v>
      </c>
      <c r="CA811" s="695"/>
      <c r="CB811" s="695">
        <f ca="1">SUM(CB809:CB810)</f>
        <v>41.533599999999979</v>
      </c>
      <c r="CC811" s="695">
        <f ca="1">SUM(CC809:CC810)</f>
        <v>27.478608000000008</v>
      </c>
      <c r="CD811" s="695">
        <f t="shared" ca="1" si="2022"/>
        <v>69.012207999999987</v>
      </c>
      <c r="CE811" s="695"/>
      <c r="CF811" s="695">
        <f>SUM(CF809:CF810)</f>
        <v>52.242894239999998</v>
      </c>
      <c r="CG811" s="695">
        <f>SUM(CG809:CG810)</f>
        <v>37.86331674719986</v>
      </c>
      <c r="CH811" s="695">
        <f t="shared" si="2024"/>
        <v>90.106210987199859</v>
      </c>
      <c r="CI811" s="695"/>
      <c r="CJ811" s="695">
        <f>SUM(CJ809:CJ810)</f>
        <v>64.070091910416068</v>
      </c>
      <c r="CK811" s="695">
        <f>SUM(CK809:CK810)</f>
        <v>49.378474108176306</v>
      </c>
      <c r="CL811" s="695">
        <f t="shared" si="2026"/>
        <v>113.44856601859237</v>
      </c>
      <c r="CM811" s="695"/>
      <c r="CN811" s="695">
        <f>SUM(CN809:CN810)</f>
        <v>77.127070729496609</v>
      </c>
      <c r="CO811" s="695">
        <f>SUM(CO809:CO810)</f>
        <v>62.13963836334085</v>
      </c>
      <c r="CP811" s="695">
        <f t="shared" si="2028"/>
        <v>139.26670909283746</v>
      </c>
      <c r="CQ811" s="695"/>
      <c r="CR811" s="695">
        <f>SUM(CR809:CR810)</f>
        <v>91.537649538814094</v>
      </c>
      <c r="CS811" s="695">
        <f>SUM(CS809:CS810)</f>
        <v>76.274857269493737</v>
      </c>
      <c r="CT811" s="695">
        <f t="shared" si="2030"/>
        <v>167.81250680830783</v>
      </c>
      <c r="CU811" s="695"/>
      <c r="CV811" s="695">
        <f>SUM(CV809:CV810)</f>
        <v>107.43894696163534</v>
      </c>
      <c r="CW811" s="695">
        <f>SUM(CW809:CW810)</f>
        <v>91.926098889606465</v>
      </c>
      <c r="CX811" s="695">
        <f t="shared" si="2032"/>
        <v>199.3650458512418</v>
      </c>
      <c r="CY811" s="695"/>
      <c r="CZ811" s="695">
        <f>SUM(CZ809:CZ810)</f>
        <v>124.98290108172262</v>
      </c>
      <c r="DA811" s="695">
        <f>SUM(DA809:DA810)</f>
        <v>109.25085258134811</v>
      </c>
      <c r="DB811" s="695">
        <f t="shared" si="2034"/>
        <v>234.23375366307073</v>
      </c>
      <c r="DC811" s="695"/>
      <c r="DD811" s="695">
        <f>SUM(DD809:DD810)</f>
        <v>144.33796964540875</v>
      </c>
      <c r="DE811" s="695">
        <f>SUM(DE809:DE810)</f>
        <v>128.4239207879026</v>
      </c>
      <c r="DF811" s="695">
        <f t="shared" si="2036"/>
        <v>272.76189043331135</v>
      </c>
      <c r="DG811" s="695"/>
      <c r="DH811" s="695">
        <f>SUM(DH809:DH810)</f>
        <v>165.6910326773716</v>
      </c>
      <c r="DI811" s="695">
        <f>SUM(DI809:DI810)</f>
        <v>149.63942480378569</v>
      </c>
      <c r="DJ811" s="695">
        <f t="shared" si="2039"/>
        <v>315.33045748115728</v>
      </c>
      <c r="DK811" s="695"/>
      <c r="DL811" s="695">
        <f>SUM(DL809:DL810)</f>
        <v>189.24952208189097</v>
      </c>
      <c r="DM811" s="695">
        <f>SUM(DM809:DM810)</f>
        <v>173.11305052883256</v>
      </c>
      <c r="DN811" s="695">
        <f t="shared" si="2041"/>
        <v>362.36257261072353</v>
      </c>
      <c r="DO811" s="695"/>
      <c r="DP811" s="695">
        <f>SUM(DP809:DP810)</f>
        <v>215.24380581273726</v>
      </c>
      <c r="DQ811" s="695">
        <f>SUM(DQ809:DQ810)</f>
        <v>199.08456341371448</v>
      </c>
      <c r="DR811" s="695">
        <f t="shared" si="2043"/>
        <v>414.32836922645174</v>
      </c>
      <c r="DS811" s="695"/>
      <c r="DT811" s="695"/>
      <c r="DU811" s="695"/>
      <c r="DV811" s="695"/>
      <c r="DW811" s="1205"/>
      <c r="DX811" s="695"/>
      <c r="DY811" s="695"/>
      <c r="DZ811" s="695"/>
      <c r="EA811" s="695"/>
      <c r="EB811" s="695"/>
      <c r="EC811" s="695"/>
      <c r="ED811" s="695"/>
      <c r="EE811" s="695"/>
      <c r="EF811" s="695"/>
      <c r="EG811" s="695"/>
      <c r="EH811" s="695"/>
      <c r="EI811" s="695"/>
      <c r="EJ811" s="695"/>
      <c r="EK811" s="695"/>
      <c r="EL811" s="695"/>
      <c r="EM811" s="695"/>
      <c r="EN811" s="695"/>
      <c r="EO811" s="695"/>
      <c r="EP811" s="695"/>
      <c r="EQ811" s="695"/>
      <c r="ER811" s="695"/>
      <c r="ES811" s="695"/>
      <c r="ET811" s="695"/>
      <c r="EU811" s="695"/>
      <c r="JW811"/>
    </row>
    <row r="812" spans="1:283" s="332" customFormat="1" hidden="1" outlineLevel="1">
      <c r="AN812" s="293"/>
      <c r="AO812" s="293"/>
      <c r="AP812" s="293"/>
      <c r="AQ812" s="293"/>
      <c r="AR812" s="293"/>
      <c r="AS812" s="293"/>
      <c r="AT812" s="293"/>
      <c r="AU812" s="293"/>
      <c r="AV812" s="293"/>
      <c r="AW812" s="293"/>
      <c r="AX812" s="293"/>
      <c r="AY812" s="293"/>
      <c r="AZ812" s="293"/>
      <c r="BA812" s="293"/>
      <c r="BB812" s="293"/>
      <c r="BC812" s="293"/>
      <c r="BD812" s="293"/>
      <c r="BE812" s="293"/>
      <c r="BF812" s="293"/>
      <c r="BG812" s="293"/>
      <c r="BH812" s="293"/>
      <c r="BI812" s="293"/>
      <c r="BJ812" s="293"/>
      <c r="BK812" s="293"/>
      <c r="BL812" s="293"/>
      <c r="BM812" s="293"/>
      <c r="BN812" s="293"/>
      <c r="BO812" s="293"/>
      <c r="BP812" s="658"/>
      <c r="BQ812" s="293"/>
      <c r="BR812" s="293"/>
      <c r="BS812" s="293"/>
      <c r="BT812" s="658"/>
      <c r="BU812" s="293"/>
      <c r="BV812" s="293"/>
      <c r="BW812" s="293"/>
      <c r="BX812" s="658"/>
      <c r="BY812" s="658"/>
      <c r="BZ812" s="293"/>
      <c r="CA812" s="293"/>
      <c r="CB812" s="293"/>
      <c r="CC812" s="293"/>
      <c r="CD812" s="293"/>
      <c r="CE812" s="293"/>
      <c r="CF812" s="293"/>
      <c r="CG812" s="293"/>
      <c r="CH812" s="293"/>
      <c r="CI812" s="293"/>
      <c r="CJ812" s="293"/>
      <c r="CK812" s="293"/>
      <c r="CL812" s="293"/>
      <c r="CM812" s="293"/>
      <c r="CN812" s="293"/>
      <c r="CO812" s="293"/>
      <c r="CP812" s="293"/>
      <c r="CQ812" s="293"/>
      <c r="CR812" s="293"/>
      <c r="CS812" s="293"/>
      <c r="CT812" s="293"/>
      <c r="CU812" s="293"/>
      <c r="CV812" s="293"/>
      <c r="CW812" s="293"/>
      <c r="CX812" s="293"/>
      <c r="CY812" s="293"/>
      <c r="CZ812" s="293"/>
      <c r="DA812" s="293"/>
      <c r="DB812" s="293"/>
      <c r="DC812" s="293"/>
      <c r="DD812" s="293"/>
      <c r="DE812" s="293"/>
      <c r="DF812" s="293"/>
      <c r="DG812" s="293"/>
      <c r="DH812" s="293"/>
      <c r="DI812" s="293"/>
      <c r="DJ812" s="293"/>
      <c r="DK812" s="293"/>
      <c r="DL812" s="293"/>
      <c r="DM812" s="293"/>
      <c r="DN812" s="293"/>
      <c r="DO812" s="293"/>
      <c r="DP812" s="293"/>
      <c r="DQ812" s="293"/>
      <c r="DR812" s="293"/>
      <c r="DS812" s="293"/>
      <c r="DT812" s="293"/>
      <c r="DU812" s="293"/>
      <c r="DV812" s="293"/>
      <c r="DW812" s="1197"/>
      <c r="DX812" s="293"/>
      <c r="DY812" s="293"/>
      <c r="DZ812" s="293"/>
      <c r="EA812" s="293"/>
      <c r="EB812" s="293"/>
      <c r="EC812" s="293"/>
      <c r="ED812" s="293"/>
      <c r="EE812" s="293"/>
      <c r="EF812" s="293"/>
      <c r="EG812" s="293"/>
      <c r="EH812" s="293"/>
      <c r="EI812" s="293"/>
      <c r="EJ812" s="293"/>
      <c r="EK812" s="293"/>
      <c r="EL812" s="293"/>
      <c r="EM812" s="293"/>
      <c r="EN812" s="293"/>
      <c r="EO812" s="293"/>
      <c r="EP812" s="293"/>
      <c r="EQ812" s="293"/>
      <c r="ER812" s="293"/>
      <c r="ES812" s="293"/>
      <c r="ET812" s="293"/>
      <c r="EU812" s="293"/>
      <c r="EV812" s="293"/>
      <c r="EW812" s="293"/>
      <c r="EX812" s="293"/>
      <c r="EY812" s="293"/>
      <c r="EZ812" s="293"/>
      <c r="FA812" s="293"/>
      <c r="FB812" s="293"/>
      <c r="FC812" s="293"/>
      <c r="FD812" s="293"/>
      <c r="FE812" s="293"/>
      <c r="FF812" s="293"/>
      <c r="FG812" s="293"/>
      <c r="FH812" s="293"/>
      <c r="FI812" s="293"/>
      <c r="FJ812" s="293"/>
      <c r="FK812" s="293"/>
      <c r="FL812" s="293"/>
      <c r="FM812" s="293"/>
      <c r="FN812" s="293"/>
      <c r="FO812" s="293"/>
      <c r="FP812" s="293"/>
      <c r="FQ812" s="293"/>
      <c r="FR812" s="293"/>
      <c r="FS812" s="293"/>
      <c r="FT812" s="293"/>
      <c r="FU812" s="293"/>
      <c r="FV812" s="293"/>
      <c r="FW812" s="293"/>
      <c r="FX812" s="293"/>
      <c r="FY812" s="293"/>
      <c r="FZ812" s="293"/>
      <c r="GA812" s="293"/>
      <c r="GB812" s="293"/>
      <c r="GC812" s="293"/>
      <c r="GD812" s="293"/>
      <c r="GE812" s="293"/>
      <c r="GF812" s="293"/>
      <c r="GG812" s="293"/>
      <c r="GH812" s="293"/>
      <c r="GI812" s="293"/>
      <c r="GJ812" s="293"/>
      <c r="GK812" s="293"/>
      <c r="GL812" s="293"/>
      <c r="GM812" s="293"/>
      <c r="GN812" s="293"/>
      <c r="GO812" s="293"/>
      <c r="GP812" s="293"/>
      <c r="GQ812" s="293"/>
      <c r="GR812" s="293"/>
      <c r="GS812" s="293"/>
      <c r="GT812" s="293"/>
      <c r="GU812" s="293"/>
      <c r="GV812" s="293"/>
      <c r="GW812" s="293"/>
      <c r="GX812" s="293"/>
      <c r="GY812" s="293"/>
      <c r="GZ812" s="293"/>
      <c r="HA812" s="293"/>
      <c r="HB812" s="293"/>
      <c r="HC812" s="293"/>
      <c r="HD812" s="293"/>
      <c r="HE812" s="293"/>
      <c r="HF812" s="293"/>
      <c r="HG812" s="293"/>
      <c r="HH812" s="293"/>
      <c r="HI812" s="293"/>
      <c r="HJ812" s="293"/>
      <c r="HK812" s="293"/>
      <c r="HL812" s="293"/>
      <c r="HM812" s="293"/>
      <c r="HN812" s="293"/>
      <c r="HO812" s="293"/>
      <c r="HP812" s="293"/>
      <c r="HQ812" s="293"/>
      <c r="HR812" s="293"/>
      <c r="HS812" s="293"/>
      <c r="HT812" s="293"/>
      <c r="HU812" s="293"/>
      <c r="HV812" s="293"/>
      <c r="HW812" s="293"/>
      <c r="HX812" s="293"/>
      <c r="HY812" s="293"/>
      <c r="HZ812" s="293"/>
      <c r="IA812" s="293"/>
      <c r="IB812" s="293"/>
      <c r="IC812" s="293"/>
      <c r="ID812" s="293"/>
      <c r="IE812" s="293"/>
      <c r="IF812" s="293"/>
      <c r="IG812" s="293"/>
      <c r="IH812" s="293"/>
      <c r="II812" s="293"/>
      <c r="IJ812" s="293"/>
      <c r="IK812" s="293"/>
      <c r="IL812" s="293"/>
      <c r="IM812" s="293"/>
      <c r="IN812" s="293"/>
      <c r="IO812" s="293"/>
      <c r="IP812" s="293"/>
      <c r="IQ812" s="293"/>
      <c r="IR812" s="293"/>
      <c r="IS812" s="293"/>
      <c r="IT812" s="293"/>
      <c r="IU812" s="293"/>
      <c r="IV812" s="293"/>
      <c r="IW812" s="293"/>
      <c r="IX812" s="293"/>
      <c r="IY812" s="293"/>
      <c r="IZ812" s="293"/>
      <c r="JA812" s="293"/>
      <c r="JB812" s="293"/>
      <c r="JC812" s="293"/>
      <c r="JD812" s="293"/>
      <c r="JE812" s="293"/>
      <c r="JF812" s="293"/>
      <c r="JG812" s="293"/>
      <c r="JH812" s="293"/>
      <c r="JI812" s="293"/>
      <c r="JJ812" s="293"/>
      <c r="JK812" s="293"/>
      <c r="JL812" s="293"/>
      <c r="JM812" s="293"/>
      <c r="JN812" s="293"/>
      <c r="JO812" s="293"/>
      <c r="JP812" s="293"/>
      <c r="JQ812" s="293"/>
      <c r="JR812" s="293"/>
      <c r="JS812" s="293"/>
      <c r="JT812" s="293"/>
      <c r="JU812" s="293"/>
      <c r="JV812" s="293"/>
      <c r="JW812"/>
    </row>
    <row r="813" spans="1:283" s="332" customFormat="1" hidden="1" outlineLevel="1">
      <c r="A813" s="332" t="s">
        <v>835</v>
      </c>
      <c r="AN813" s="293"/>
      <c r="AO813" s="293"/>
      <c r="AP813" s="293"/>
      <c r="AQ813" s="293"/>
      <c r="AR813" s="293"/>
      <c r="AS813" s="293"/>
      <c r="AT813" s="293"/>
      <c r="AU813" s="293"/>
      <c r="AV813" s="293"/>
      <c r="AW813" s="293"/>
      <c r="AX813" s="293"/>
      <c r="AY813" s="293"/>
      <c r="AZ813" s="293"/>
      <c r="BA813" s="293"/>
      <c r="BB813" s="293"/>
      <c r="BC813" s="293"/>
      <c r="BD813" s="293"/>
      <c r="BE813" s="293"/>
      <c r="BF813" s="293"/>
      <c r="BG813" s="293"/>
      <c r="BH813" s="293"/>
      <c r="BI813" s="293"/>
      <c r="BJ813" s="293"/>
      <c r="BK813" s="293"/>
      <c r="BL813" s="293"/>
      <c r="BM813" s="293"/>
      <c r="BN813" s="293"/>
      <c r="BO813" s="293"/>
      <c r="BP813" s="293"/>
      <c r="BQ813" s="293"/>
      <c r="BR813" s="293"/>
      <c r="BS813" s="293"/>
      <c r="BT813" s="293"/>
      <c r="BU813" s="293"/>
      <c r="BV813" s="293"/>
      <c r="BW813" s="293"/>
      <c r="BX813" s="293"/>
      <c r="BY813" s="293"/>
      <c r="BZ813" s="293"/>
      <c r="CA813" s="293"/>
      <c r="CB813" s="293"/>
      <c r="CC813" s="293"/>
      <c r="CD813" s="293"/>
      <c r="CE813" s="293"/>
      <c r="CF813" s="293"/>
      <c r="CG813" s="293"/>
      <c r="CH813" s="293"/>
      <c r="CI813" s="293"/>
      <c r="CJ813" s="293"/>
      <c r="CK813" s="293"/>
      <c r="CL813" s="293"/>
      <c r="CM813" s="293"/>
      <c r="CN813" s="293"/>
      <c r="CO813" s="293"/>
      <c r="CP813" s="293"/>
      <c r="CQ813" s="293"/>
      <c r="CR813" s="293"/>
      <c r="CS813" s="293"/>
      <c r="CT813" s="293"/>
      <c r="CU813" s="293"/>
      <c r="CV813" s="293"/>
      <c r="CW813" s="293"/>
      <c r="CX813" s="293"/>
      <c r="CY813" s="293"/>
      <c r="CZ813" s="293"/>
      <c r="DA813" s="293"/>
      <c r="DB813" s="293"/>
      <c r="DC813" s="293"/>
      <c r="DD813" s="293"/>
      <c r="DE813" s="293"/>
      <c r="DF813" s="293"/>
      <c r="DG813" s="293"/>
      <c r="DH813" s="293"/>
      <c r="DI813" s="293"/>
      <c r="DJ813" s="293"/>
      <c r="DK813" s="293"/>
      <c r="DL813" s="293"/>
      <c r="DM813" s="293"/>
      <c r="DN813" s="293"/>
      <c r="DO813" s="293"/>
      <c r="DP813" s="293"/>
      <c r="DQ813" s="293"/>
      <c r="DR813" s="293"/>
      <c r="DS813" s="293"/>
      <c r="DT813" s="293"/>
      <c r="DU813" s="293"/>
      <c r="DV813" s="293"/>
      <c r="DW813" s="1197"/>
      <c r="DX813" s="293"/>
      <c r="DY813" s="293"/>
      <c r="DZ813" s="293"/>
      <c r="EA813" s="293"/>
      <c r="EB813" s="293"/>
      <c r="EC813" s="293"/>
      <c r="ED813" s="293"/>
      <c r="EE813" s="293"/>
      <c r="EF813" s="293"/>
      <c r="EG813" s="293"/>
      <c r="EH813" s="293"/>
      <c r="EI813" s="293"/>
      <c r="EJ813" s="293"/>
      <c r="EK813" s="293"/>
      <c r="EL813" s="293"/>
      <c r="EM813" s="293"/>
      <c r="EN813" s="293"/>
      <c r="EO813" s="293"/>
      <c r="EP813" s="293"/>
      <c r="EQ813" s="293"/>
      <c r="ER813" s="293"/>
      <c r="ES813" s="293"/>
      <c r="ET813" s="293"/>
      <c r="EU813" s="293"/>
      <c r="JW813"/>
    </row>
    <row r="814" spans="1:283" s="332" customFormat="1" hidden="1" outlineLevel="1">
      <c r="A814" s="332" t="str">
        <f>+A803</f>
        <v>Total operating income</v>
      </c>
      <c r="AN814" s="293"/>
      <c r="AO814" s="293"/>
      <c r="AP814" s="293"/>
      <c r="AQ814" s="293"/>
      <c r="AR814" s="293"/>
      <c r="AS814" s="293"/>
      <c r="AT814" s="293"/>
      <c r="AU814" s="293"/>
      <c r="AV814" s="294">
        <f>AV803/AR803-1</f>
        <v>-0.17943336831059808</v>
      </c>
      <c r="AW814" s="294">
        <f>AW803/AS803-1</f>
        <v>0.78516624040920724</v>
      </c>
      <c r="AX814" s="294">
        <f>AX803/AT803-1</f>
        <v>0.10119047619047628</v>
      </c>
      <c r="AY814" s="293"/>
      <c r="AZ814" s="294">
        <f>AZ803/AV803-1</f>
        <v>-0.20524296675191811</v>
      </c>
      <c r="BA814" s="294">
        <f>BA803/AW803-1</f>
        <v>-1.7908309455587412E-2</v>
      </c>
      <c r="BB814" s="294">
        <f>BB803/AX803-1</f>
        <v>-0.11689189189189186</v>
      </c>
      <c r="BC814" s="293"/>
      <c r="BD814" s="294">
        <f>BD803/AZ803-1</f>
        <v>-0.12952534191472242</v>
      </c>
      <c r="BE814" s="294">
        <f>BE803/BA803-1</f>
        <v>-0.48650619985412102</v>
      </c>
      <c r="BF814" s="294">
        <f>BF803/BB803-1</f>
        <v>-0.31675592960979337</v>
      </c>
      <c r="BG814" s="331"/>
      <c r="BH814" s="294">
        <f>BH803/BD803-1</f>
        <v>-0.43068391866913125</v>
      </c>
      <c r="BI814" s="294">
        <f>BI803/BE803-1</f>
        <v>8.5227272727272929E-3</v>
      </c>
      <c r="BJ814" s="294">
        <f>BJ803/BF803-1</f>
        <v>-0.25755879059350506</v>
      </c>
      <c r="BK814" s="293"/>
      <c r="BL814" s="294">
        <f>BL803/BH803-1</f>
        <v>0.4155844155844155</v>
      </c>
      <c r="BM814" s="294">
        <f>BM803/BI803-1</f>
        <v>0.20845070422535206</v>
      </c>
      <c r="BN814" s="294">
        <f>BN803/BJ803-1</f>
        <v>0.30467571644042235</v>
      </c>
      <c r="BO814" s="293"/>
      <c r="BP814" s="294">
        <f>BP803/BL803-1</f>
        <v>-1.1467889908256867E-2</v>
      </c>
      <c r="BQ814" s="294">
        <f>BQ803/BM803-1</f>
        <v>0.13519813519813528</v>
      </c>
      <c r="BR814" s="294">
        <f>BR803/BN803-1</f>
        <v>6.127167630057806E-2</v>
      </c>
      <c r="BS814" s="293"/>
      <c r="BT814" s="294">
        <f>BT803/BP803-1</f>
        <v>0.66589327146171695</v>
      </c>
      <c r="BU814" s="294">
        <f>BU803/BQ803-1</f>
        <v>3.0800821355236208E-2</v>
      </c>
      <c r="BV814" s="294">
        <f>BV803/BR803-1</f>
        <v>0.32897603485838789</v>
      </c>
      <c r="BW814" s="293"/>
      <c r="BX814" s="294">
        <f>BX803/BT803-1</f>
        <v>-0.32729805013927582</v>
      </c>
      <c r="BY814" s="294">
        <f>BY803/BU803-1</f>
        <v>0</v>
      </c>
      <c r="BZ814" s="294">
        <f>BZ803/BV803-1</f>
        <v>-0.19262295081967218</v>
      </c>
      <c r="CA814" s="293"/>
      <c r="CB814" s="294">
        <f>CB803/BX803-1</f>
        <v>6.2277432712215086E-2</v>
      </c>
      <c r="CC814" s="294">
        <f>CC803/BY803-1</f>
        <v>3.7078087649402347E-2</v>
      </c>
      <c r="CD814" s="294">
        <f>CD803/BZ803-1</f>
        <v>4.9434720812182587E-2</v>
      </c>
      <c r="CE814" s="293"/>
      <c r="CF814" s="294">
        <f>CF803/CB803-1</f>
        <v>6.2448592812037296E-2</v>
      </c>
      <c r="CG814" s="294">
        <f>CG803/CC803-1</f>
        <v>6.2820837812026076E-2</v>
      </c>
      <c r="CH814" s="294">
        <f>CH803/CD803-1</f>
        <v>6.2636071708704222E-2</v>
      </c>
      <c r="CI814" s="293"/>
      <c r="CJ814" s="294">
        <f>CJ803/CF803-1</f>
        <v>6.2798358521876096E-2</v>
      </c>
      <c r="CK814" s="294">
        <f>CK803/CG803-1</f>
        <v>6.3181874074502264E-2</v>
      </c>
      <c r="CL814" s="294">
        <f>CL803/CH803-1</f>
        <v>6.2991547347728494E-2</v>
      </c>
      <c r="CM814" s="293"/>
      <c r="CN814" s="294">
        <f>CN803/CJ803-1</f>
        <v>6.3164456427674764E-2</v>
      </c>
      <c r="CO814" s="294">
        <f>CO803/CK803-1</f>
        <v>6.35596232150486E-2</v>
      </c>
      <c r="CP814" s="294">
        <f>CP803/CL803-1</f>
        <v>6.3363549987269341E-2</v>
      </c>
      <c r="CQ814" s="293"/>
      <c r="CR814" s="294">
        <f>CR803/CN803-1</f>
        <v>6.3547485678054683E-2</v>
      </c>
      <c r="CS814" s="294">
        <f>CS803/CO803-1</f>
        <v>6.3954677853650388E-2</v>
      </c>
      <c r="CT814" s="294">
        <f>CT803/CP803-1</f>
        <v>6.3752675715821105E-2</v>
      </c>
      <c r="CU814" s="293"/>
      <c r="CV814" s="294">
        <f>CV803/CR803-1</f>
        <v>6.3948041179970661E-2</v>
      </c>
      <c r="CW814" s="294">
        <f>CW803/CS803-1</f>
        <v>6.436762373462912E-2</v>
      </c>
      <c r="CX814" s="294">
        <f>CX803/CT803-1</f>
        <v>6.4159515059662997E-2</v>
      </c>
      <c r="CY814" s="293"/>
      <c r="CZ814" s="294">
        <f>CZ803/CV803-1</f>
        <v>6.436671005205219E-2</v>
      </c>
      <c r="DA814" s="294">
        <f>DA803/CW803-1</f>
        <v>6.479903595258163E-2</v>
      </c>
      <c r="DB814" s="294">
        <f>DB803/CX803-1</f>
        <v>6.4584649320020837E-2</v>
      </c>
      <c r="DC814" s="293"/>
      <c r="DD814" s="294">
        <f>DD803/CZ803-1</f>
        <v>6.4804067734574033E-2</v>
      </c>
      <c r="DE814" s="294">
        <f>DE803/DA803-1</f>
        <v>6.5249474837117294E-2</v>
      </c>
      <c r="DF814" s="294">
        <f>DF803/DB803-1</f>
        <v>6.502864656759888E-2</v>
      </c>
      <c r="DG814" s="293"/>
      <c r="DH814" s="294">
        <f>DH803/DD803-1</f>
        <v>6.5260673754580223E-2</v>
      </c>
      <c r="DI814" s="294">
        <f>DI803/DE803-1</f>
        <v>6.5719481498700327E-2</v>
      </c>
      <c r="DJ814" s="294">
        <f>DJ803/DF803-1</f>
        <v>6.5492057294894046E-2</v>
      </c>
      <c r="DK814" s="293"/>
      <c r="DL814" s="294">
        <f>DL803/DH803-1</f>
        <v>6.5737067149773454E-2</v>
      </c>
      <c r="DM814" s="294">
        <f>DM803/DI803-1</f>
        <v>6.6209573043515713E-2</v>
      </c>
      <c r="DN814" s="294">
        <f>DN803/DJ803-1</f>
        <v>6.5975409732044188E-2</v>
      </c>
      <c r="DO814" s="293"/>
      <c r="DP814" s="294">
        <f>DP803/DL803-1</f>
        <v>6.6233761560648086E-2</v>
      </c>
      <c r="DQ814" s="294">
        <f>DQ803/DM803-1</f>
        <v>6.6720237471672661E-2</v>
      </c>
      <c r="DR814" s="294">
        <f>DR803/DN803-1</f>
        <v>6.647920483811065E-2</v>
      </c>
      <c r="DS814" s="293"/>
      <c r="DT814" s="293"/>
      <c r="DU814" s="293"/>
      <c r="DV814" s="293"/>
      <c r="DW814" s="1206"/>
      <c r="DX814" s="294"/>
      <c r="DY814" s="294"/>
      <c r="DZ814" s="293"/>
      <c r="EA814" s="294"/>
      <c r="EB814" s="294"/>
      <c r="EC814" s="294"/>
      <c r="ED814" s="293"/>
      <c r="EE814" s="294"/>
      <c r="EF814" s="294"/>
      <c r="EG814" s="294"/>
      <c r="EH814" s="293"/>
      <c r="EI814" s="294"/>
      <c r="EJ814" s="294"/>
      <c r="EK814" s="294"/>
      <c r="EL814" s="293"/>
      <c r="EM814" s="293"/>
      <c r="EN814" s="293"/>
      <c r="EO814" s="293"/>
      <c r="EP814" s="293"/>
      <c r="EQ814" s="293"/>
      <c r="ER814" s="293"/>
      <c r="ES814" s="293"/>
      <c r="ET814" s="293"/>
      <c r="EU814" s="293"/>
      <c r="JW814"/>
    </row>
    <row r="815" spans="1:283" s="332" customFormat="1" hidden="1" outlineLevel="1">
      <c r="A815" s="332" t="str">
        <f>A808</f>
        <v>Total operating expenses</v>
      </c>
      <c r="AN815" s="293"/>
      <c r="AO815" s="293"/>
      <c r="AP815" s="293"/>
      <c r="AQ815" s="293"/>
      <c r="AR815" s="293"/>
      <c r="AS815" s="293"/>
      <c r="AT815" s="293"/>
      <c r="AU815" s="293"/>
      <c r="AV815" s="294">
        <f t="shared" ref="AV815:AX816" si="2069">AV808/AR808-1</f>
        <v>-9.2156862745098045E-2</v>
      </c>
      <c r="AW815" s="294">
        <f t="shared" si="2069"/>
        <v>-0.21824686940966009</v>
      </c>
      <c r="AX815" s="294">
        <f t="shared" si="2069"/>
        <v>-0.15809167446211414</v>
      </c>
      <c r="AY815" s="331"/>
      <c r="AZ815" s="294">
        <f t="shared" ref="AZ815:BB816" si="2070">AZ808/AV808-1</f>
        <v>0.13066954643628503</v>
      </c>
      <c r="BA815" s="294">
        <f t="shared" si="2070"/>
        <v>0.37185354691075512</v>
      </c>
      <c r="BB815" s="294">
        <f t="shared" si="2070"/>
        <v>0.24777777777777787</v>
      </c>
      <c r="BC815" s="331"/>
      <c r="BD815" s="294">
        <f t="shared" ref="BD815:BF816" si="2071">BD808/AZ808-1</f>
        <v>6.9723018147086924E-2</v>
      </c>
      <c r="BE815" s="294">
        <f t="shared" si="2071"/>
        <v>-0.12037814845704753</v>
      </c>
      <c r="BF815" s="294">
        <f t="shared" si="2071"/>
        <v>-3.1760195903829058E-2</v>
      </c>
      <c r="BG815" s="293"/>
      <c r="BH815" s="294">
        <f t="shared" ref="BH815:BJ816" si="2072">BH808/BD808-1</f>
        <v>-0.33571428571428574</v>
      </c>
      <c r="BI815" s="294">
        <f t="shared" si="2072"/>
        <v>-0.35335014875791082</v>
      </c>
      <c r="BJ815" s="294">
        <f t="shared" si="2072"/>
        <v>-0.3442673005600031</v>
      </c>
      <c r="BK815" s="293"/>
      <c r="BL815" s="294">
        <f t="shared" ref="BL815:BN816" si="2073">BL808/BH808-1</f>
        <v>-1.8817204301075252E-2</v>
      </c>
      <c r="BM815" s="294">
        <f t="shared" si="2073"/>
        <v>0.15249266862170097</v>
      </c>
      <c r="BN815" s="294">
        <f t="shared" si="2073"/>
        <v>6.3113604488078456E-2</v>
      </c>
      <c r="BO815" s="293"/>
      <c r="BP815" s="294">
        <f t="shared" ref="BP815:BR816" si="2074">BP808/BL808-1</f>
        <v>0.13424657534246576</v>
      </c>
      <c r="BQ815" s="294">
        <f t="shared" si="2074"/>
        <v>0.11959287531806617</v>
      </c>
      <c r="BR815" s="294">
        <f t="shared" si="2074"/>
        <v>0.12664907651715041</v>
      </c>
      <c r="BS815" s="293"/>
      <c r="BT815" s="294">
        <f t="shared" ref="BT815:BV816" si="2075">BT808/BP808-1</f>
        <v>0.15458937198067635</v>
      </c>
      <c r="BU815" s="294">
        <f t="shared" si="2075"/>
        <v>7.7272727272727382E-2</v>
      </c>
      <c r="BV815" s="294">
        <f t="shared" si="2075"/>
        <v>0.11475409836065564</v>
      </c>
      <c r="BW815" s="293"/>
      <c r="BX815" s="294">
        <f t="shared" ref="BX815:BZ816" si="2076">BX808/BT808-1</f>
        <v>-2.7196652719665315E-2</v>
      </c>
      <c r="BY815" s="294">
        <f t="shared" si="2076"/>
        <v>0</v>
      </c>
      <c r="BZ815" s="294">
        <f t="shared" si="2076"/>
        <v>-1.3655462184873901E-2</v>
      </c>
      <c r="CA815" s="293"/>
      <c r="CB815" s="294">
        <f t="shared" ref="CB815:CD816" ca="1" si="2077">CB808/BX808-1</f>
        <v>1.4078279569892382E-2</v>
      </c>
      <c r="CC815" s="294">
        <f t="shared" ca="1" si="2077"/>
        <v>4.0368337552742606E-2</v>
      </c>
      <c r="CD815" s="294">
        <f t="shared" ca="1" si="2077"/>
        <v>2.7349299254526116E-2</v>
      </c>
      <c r="CE815" s="293"/>
      <c r="CF815" s="294">
        <f t="shared" ref="CF815:CJ816" ca="1" si="2078">CF808/CB808-1</f>
        <v>4.5238029088972009E-2</v>
      </c>
      <c r="CG815" s="294">
        <f t="shared" ca="1" si="2078"/>
        <v>4.5262792379408001E-2</v>
      </c>
      <c r="CH815" s="294">
        <f t="shared" ca="1" si="2078"/>
        <v>4.5250687817844026E-2</v>
      </c>
      <c r="CI815" s="293"/>
      <c r="CJ815" s="294">
        <f t="shared" si="2078"/>
        <v>4.5458518472796028E-2</v>
      </c>
      <c r="CK815" s="294">
        <f t="shared" ref="CK815:CK816" si="2079">CK808/CG808-1</f>
        <v>4.5483184972693547E-2</v>
      </c>
      <c r="CL815" s="294">
        <f t="shared" ref="CL815:CL816" si="2080">CL808/CH808-1</f>
        <v>4.5471127869403105E-2</v>
      </c>
      <c r="CM815" s="293"/>
      <c r="CN815" s="294">
        <f t="shared" ref="CN815:CP816" si="2081">CN808/CJ808-1</f>
        <v>4.5678893575299195E-2</v>
      </c>
      <c r="CO815" s="294">
        <f t="shared" si="2081"/>
        <v>4.5703451653565041E-2</v>
      </c>
      <c r="CP815" s="294">
        <f t="shared" si="2081"/>
        <v>4.5691447692068676E-2</v>
      </c>
      <c r="CQ815" s="293"/>
      <c r="CR815" s="294">
        <f t="shared" ref="CR815:CR816" si="2082">CR808/CN808-1</f>
        <v>4.5899061671704766E-2</v>
      </c>
      <c r="CS815" s="294">
        <f t="shared" ref="CS815:CS816" si="2083">CS808/CO808-1</f>
        <v>4.5923499805631929E-2</v>
      </c>
      <c r="CT815" s="294">
        <f t="shared" ref="CT815:CT816" si="2084">CT808/CP808-1</f>
        <v>4.5911554616206329E-2</v>
      </c>
      <c r="CU815" s="293"/>
      <c r="CV815" s="294">
        <f t="shared" ref="CV815:CV816" si="2085">CV808/CR808-1</f>
        <v>4.6118930386965351E-2</v>
      </c>
      <c r="CW815" s="294">
        <f t="shared" ref="CW815:CW816" si="2086">CW808/CS808-1</f>
        <v>4.6143237181413888E-2</v>
      </c>
      <c r="CX815" s="294">
        <f t="shared" ref="CX815:CX816" si="2087">CX808/CT808-1</f>
        <v>4.6131356331722273E-2</v>
      </c>
      <c r="CY815" s="293"/>
      <c r="CZ815" s="294">
        <f t="shared" ref="CZ815:CZ816" si="2088">CZ808/CV808-1</f>
        <v>4.6338407850429864E-2</v>
      </c>
      <c r="DA815" s="294">
        <f t="shared" ref="DA815:DA816" si="2089">DA808/CW808-1</f>
        <v>4.6362572056636742E-2</v>
      </c>
      <c r="DB815" s="294">
        <f t="shared" ref="DB815:DB816" si="2090">DB808/CX808-1</f>
        <v>4.6350761042543764E-2</v>
      </c>
      <c r="DC815" s="293"/>
      <c r="DD815" s="294">
        <f t="shared" ref="DD815:DD816" si="2091">DD808/CZ808-1</f>
        <v>4.6557402848720342E-2</v>
      </c>
      <c r="DE815" s="294">
        <f t="shared" ref="DE815:DE816" si="2092">DE808/DA808-1</f>
        <v>4.6581413382661863E-2</v>
      </c>
      <c r="DF815" s="294">
        <f t="shared" ref="DF815:DF816" si="2093">DF808/DB808-1</f>
        <v>4.6569677619264782E-2</v>
      </c>
      <c r="DG815" s="293"/>
      <c r="DH815" s="294">
        <f t="shared" ref="DH815:DH816" si="2094">DH808/DD808-1</f>
        <v>4.6775824976265978E-2</v>
      </c>
      <c r="DI815" s="294">
        <f t="shared" ref="DI815:DI816" si="2095">DI808/DE808-1</f>
        <v>4.6799670936512827E-2</v>
      </c>
      <c r="DJ815" s="294">
        <f t="shared" ref="DJ815:DJ816" si="2096">DJ808/DF808-1</f>
        <v>4.6788015749424261E-2</v>
      </c>
      <c r="DK815" s="293"/>
      <c r="DL815" s="294">
        <f t="shared" ref="DL815:DL816" si="2097">DL808/DH808-1</f>
        <v>4.6993584782980991E-2</v>
      </c>
      <c r="DM815" s="294">
        <f t="shared" ref="DM815:DM816" si="2098">DM808/DI808-1</f>
        <v>4.7017255467987518E-2</v>
      </c>
      <c r="DN815" s="294">
        <f t="shared" ref="DN815:DN816" si="2099">DN808/DJ808-1</f>
        <v>4.7005686084893972E-2</v>
      </c>
      <c r="DO815" s="293"/>
      <c r="DP815" s="294">
        <f t="shared" ref="DP815:DP816" si="2100">DP808/DL808-1</f>
        <v>4.7210593918573185E-2</v>
      </c>
      <c r="DQ815" s="294">
        <f t="shared" ref="DQ815:DQ816" si="2101">DQ808/DM808-1</f>
        <v>4.7234078843340743E-2</v>
      </c>
      <c r="DR815" s="294">
        <f t="shared" ref="DR815:DR816" si="2102">DR808/DN808-1</f>
        <v>4.7222600385869118E-2</v>
      </c>
      <c r="DS815" s="293"/>
      <c r="DT815" s="293"/>
      <c r="DU815" s="293"/>
      <c r="DV815" s="293"/>
      <c r="DW815" s="1206"/>
      <c r="DX815" s="294"/>
      <c r="DY815" s="294"/>
      <c r="DZ815" s="293"/>
      <c r="EA815" s="294"/>
      <c r="EB815" s="294"/>
      <c r="EC815" s="294"/>
      <c r="ED815" s="293"/>
      <c r="EE815" s="294"/>
      <c r="EF815" s="294"/>
      <c r="EG815" s="294"/>
      <c r="EH815" s="293"/>
      <c r="EI815" s="294"/>
      <c r="EJ815" s="294"/>
      <c r="EK815" s="294"/>
      <c r="EL815" s="293"/>
      <c r="EM815" s="293"/>
      <c r="EN815" s="293"/>
      <c r="EO815" s="293"/>
      <c r="EP815" s="293"/>
      <c r="EQ815" s="293"/>
      <c r="ER815" s="293"/>
      <c r="ES815" s="293"/>
      <c r="ET815" s="293"/>
      <c r="EU815" s="293"/>
      <c r="JW815"/>
    </row>
    <row r="816" spans="1:283" s="332" customFormat="1" hidden="1" outlineLevel="1">
      <c r="A816" s="332" t="str">
        <f>A809</f>
        <v>Profit before tax</v>
      </c>
      <c r="AN816" s="293"/>
      <c r="AO816" s="293"/>
      <c r="AP816" s="293"/>
      <c r="AQ816" s="293"/>
      <c r="AR816" s="293"/>
      <c r="AS816" s="293"/>
      <c r="AT816" s="293"/>
      <c r="AU816" s="293"/>
      <c r="AV816" s="294">
        <f t="shared" si="2069"/>
        <v>-0.27990970654627545</v>
      </c>
      <c r="AW816" s="294">
        <f t="shared" si="2069"/>
        <v>-2.5535714285714288</v>
      </c>
      <c r="AX816" s="294">
        <f t="shared" si="2069"/>
        <v>1.1090909090909089</v>
      </c>
      <c r="AY816" s="293"/>
      <c r="AZ816" s="294">
        <f t="shared" si="2070"/>
        <v>-0.69278996865203757</v>
      </c>
      <c r="BA816" s="294">
        <f t="shared" si="2070"/>
        <v>-0.67049808429118773</v>
      </c>
      <c r="BB816" s="294">
        <f t="shared" si="2070"/>
        <v>-0.6827586206896552</v>
      </c>
      <c r="BC816" s="293"/>
      <c r="BD816" s="294">
        <f t="shared" si="2071"/>
        <v>-1.193877551020408</v>
      </c>
      <c r="BE816" s="294">
        <f t="shared" si="2071"/>
        <v>-3.0387593023255817</v>
      </c>
      <c r="BF816" s="294">
        <f t="shared" si="2071"/>
        <v>-2.0561592391304346</v>
      </c>
      <c r="BG816" s="293"/>
      <c r="BH816" s="294">
        <f t="shared" si="2072"/>
        <v>2.3684210526315788</v>
      </c>
      <c r="BI816" s="294">
        <f t="shared" si="2072"/>
        <v>-1.0798479239254608</v>
      </c>
      <c r="BJ816" s="294">
        <f t="shared" si="2072"/>
        <v>-0.74271007593654814</v>
      </c>
      <c r="BK816" s="293"/>
      <c r="BL816" s="294">
        <f t="shared" si="2073"/>
        <v>-2.109375</v>
      </c>
      <c r="BM816" s="294">
        <f t="shared" si="2073"/>
        <v>1.5714285714285716</v>
      </c>
      <c r="BN816" s="294">
        <f t="shared" si="2073"/>
        <v>-3.14</v>
      </c>
      <c r="BO816" s="293"/>
      <c r="BP816" s="294">
        <f t="shared" si="2074"/>
        <v>-0.76056338028169013</v>
      </c>
      <c r="BQ816" s="294">
        <f t="shared" si="2074"/>
        <v>0.30555555555555558</v>
      </c>
      <c r="BR816" s="294">
        <f t="shared" si="2074"/>
        <v>-0.40186915887850472</v>
      </c>
      <c r="BS816" s="293"/>
      <c r="BT816" s="294">
        <f t="shared" si="2075"/>
        <v>13.117647058823529</v>
      </c>
      <c r="BU816" s="294">
        <f t="shared" si="2075"/>
        <v>-0.4042553191489362</v>
      </c>
      <c r="BV816" s="294">
        <f t="shared" si="2075"/>
        <v>3.1875</v>
      </c>
      <c r="BW816" s="293"/>
      <c r="BX816" s="294">
        <f t="shared" si="2076"/>
        <v>-0.92500000000000004</v>
      </c>
      <c r="BY816" s="294">
        <f t="shared" si="2076"/>
        <v>0</v>
      </c>
      <c r="BZ816" s="294">
        <f t="shared" si="2076"/>
        <v>-0.82835820895522394</v>
      </c>
      <c r="CA816" s="293"/>
      <c r="CB816" s="294">
        <f t="shared" ca="1" si="2077"/>
        <v>1.3074222222222209</v>
      </c>
      <c r="CC816" s="294">
        <f t="shared" ca="1" si="2077"/>
        <v>-1.8621142857142559E-2</v>
      </c>
      <c r="CD816" s="294">
        <f t="shared" ca="1" si="2077"/>
        <v>0.50026539130434755</v>
      </c>
      <c r="CE816" s="293"/>
      <c r="CF816" s="294">
        <f t="shared" ca="1" si="2078"/>
        <v>0.25784652040757416</v>
      </c>
      <c r="CG816" s="294">
        <f t="shared" ca="1" si="2078"/>
        <v>0.37791975296564684</v>
      </c>
      <c r="CH816" s="294">
        <f t="shared" ca="1" si="2078"/>
        <v>0.30565610923794639</v>
      </c>
      <c r="CI816" s="293"/>
      <c r="CJ816" s="294">
        <f t="shared" si="2078"/>
        <v>0.22638863796639597</v>
      </c>
      <c r="CK816" s="294">
        <f t="shared" si="2079"/>
        <v>0.30412437024096772</v>
      </c>
      <c r="CL816" s="294">
        <f t="shared" si="2080"/>
        <v>0.2590537852569168</v>
      </c>
      <c r="CM816" s="293"/>
      <c r="CN816" s="294">
        <f t="shared" si="2081"/>
        <v>0.2037921037687449</v>
      </c>
      <c r="CO816" s="294">
        <f t="shared" si="2081"/>
        <v>0.25843577562173992</v>
      </c>
      <c r="CP816" s="294">
        <f t="shared" si="2081"/>
        <v>0.22757575507841943</v>
      </c>
      <c r="CQ816" s="293"/>
      <c r="CR816" s="294">
        <f t="shared" si="2082"/>
        <v>0.18684203448953607</v>
      </c>
      <c r="CS816" s="294">
        <f t="shared" si="2083"/>
        <v>0.22747507514449783</v>
      </c>
      <c r="CT816" s="294">
        <f t="shared" si="2084"/>
        <v>0.20497215667271407</v>
      </c>
      <c r="CU816" s="293"/>
      <c r="CV816" s="294">
        <f t="shared" si="2085"/>
        <v>0.17371319345575631</v>
      </c>
      <c r="CW816" s="294">
        <f t="shared" si="2086"/>
        <v>0.20519529213688181</v>
      </c>
      <c r="CX816" s="294">
        <f t="shared" si="2087"/>
        <v>0.1880225713985455</v>
      </c>
      <c r="CY816" s="293"/>
      <c r="CZ816" s="294">
        <f t="shared" si="2088"/>
        <v>0.16329231266899824</v>
      </c>
      <c r="DA816" s="294">
        <f t="shared" si="2089"/>
        <v>0.18846392810105916</v>
      </c>
      <c r="DB816" s="294">
        <f t="shared" si="2090"/>
        <v>0.17489880266095681</v>
      </c>
      <c r="DC816" s="293"/>
      <c r="DD816" s="294">
        <f t="shared" si="2091"/>
        <v>0.15486173225432198</v>
      </c>
      <c r="DE816" s="294">
        <f t="shared" si="2092"/>
        <v>0.17549582226169114</v>
      </c>
      <c r="DF816" s="294">
        <f t="shared" si="2093"/>
        <v>0.16448584445118319</v>
      </c>
      <c r="DG816" s="293"/>
      <c r="DH816" s="294">
        <f t="shared" si="2094"/>
        <v>0.14793794789008285</v>
      </c>
      <c r="DI816" s="294">
        <f t="shared" si="2095"/>
        <v>0.1651990056503676</v>
      </c>
      <c r="DJ816" s="294">
        <f t="shared" si="2096"/>
        <v>0.15606493627178342</v>
      </c>
      <c r="DK816" s="293"/>
      <c r="DL816" s="294">
        <f t="shared" si="2097"/>
        <v>0.14218324929141901</v>
      </c>
      <c r="DM816" s="294">
        <f t="shared" si="2098"/>
        <v>0.15686792271372729</v>
      </c>
      <c r="DN816" s="294">
        <f t="shared" si="2099"/>
        <v>0.14915183108303665</v>
      </c>
      <c r="DO816" s="293"/>
      <c r="DP816" s="294">
        <f t="shared" si="2100"/>
        <v>0.13735455416155928</v>
      </c>
      <c r="DQ816" s="294">
        <f t="shared" si="2101"/>
        <v>0.15002631405051847</v>
      </c>
      <c r="DR816" s="294">
        <f t="shared" si="2102"/>
        <v>0.1434082892207349</v>
      </c>
      <c r="DS816" s="293"/>
      <c r="DT816" s="293"/>
      <c r="DU816" s="293"/>
      <c r="DV816" s="293"/>
      <c r="DW816" s="1206"/>
      <c r="DX816" s="294"/>
      <c r="DY816" s="294"/>
      <c r="DZ816" s="293"/>
      <c r="EA816" s="294"/>
      <c r="EB816" s="294"/>
      <c r="EC816" s="294"/>
      <c r="ED816" s="293"/>
      <c r="EE816" s="294"/>
      <c r="EF816" s="294"/>
      <c r="EG816" s="294"/>
      <c r="EH816" s="293"/>
      <c r="EI816" s="294"/>
      <c r="EJ816" s="294"/>
      <c r="EK816" s="294"/>
      <c r="EL816" s="293"/>
      <c r="EM816" s="293"/>
      <c r="EN816" s="293"/>
      <c r="EO816" s="293"/>
      <c r="EP816" s="293"/>
      <c r="EQ816" s="293"/>
      <c r="ER816" s="293"/>
      <c r="ES816" s="293"/>
      <c r="ET816" s="293"/>
      <c r="EU816" s="293"/>
      <c r="JW816"/>
    </row>
    <row r="817" spans="1:283" s="332" customFormat="1" hidden="1" outlineLevel="1">
      <c r="AN817" s="293"/>
      <c r="AO817" s="293"/>
      <c r="AP817" s="293"/>
      <c r="AQ817" s="293"/>
      <c r="AR817" s="293"/>
      <c r="AS817" s="293"/>
      <c r="AT817" s="293"/>
      <c r="AU817" s="293"/>
      <c r="AV817" s="293"/>
      <c r="AW817" s="293"/>
      <c r="AX817" s="293"/>
      <c r="AY817" s="293"/>
      <c r="AZ817" s="293"/>
      <c r="BA817" s="293"/>
      <c r="BB817" s="293"/>
      <c r="BC817" s="293"/>
      <c r="BD817" s="293"/>
      <c r="BG817" s="293"/>
      <c r="BH817" s="293"/>
      <c r="BK817" s="293"/>
      <c r="BL817" s="293"/>
      <c r="BO817" s="293"/>
      <c r="BP817" s="293"/>
      <c r="BS817" s="293"/>
      <c r="BT817" s="293"/>
      <c r="BW817" s="293"/>
      <c r="BX817" s="293"/>
      <c r="CA817" s="293"/>
      <c r="CB817" s="293"/>
      <c r="CC817" s="293"/>
      <c r="CD817" s="293"/>
      <c r="CE817" s="293"/>
      <c r="CF817" s="293"/>
      <c r="CG817" s="293"/>
      <c r="CH817" s="293"/>
      <c r="CI817" s="293"/>
      <c r="CJ817" s="293"/>
      <c r="CK817" s="293"/>
      <c r="CL817" s="293"/>
      <c r="CM817" s="293"/>
      <c r="CN817" s="293"/>
      <c r="CO817" s="293"/>
      <c r="CP817" s="293"/>
      <c r="CQ817" s="293"/>
      <c r="CR817" s="293"/>
      <c r="CS817" s="293"/>
      <c r="CT817" s="293"/>
      <c r="CU817" s="293"/>
      <c r="CV817" s="293"/>
      <c r="CW817" s="293"/>
      <c r="CX817" s="293"/>
      <c r="CY817" s="293"/>
      <c r="CZ817" s="293"/>
      <c r="DA817" s="293"/>
      <c r="DB817" s="293"/>
      <c r="DC817" s="293"/>
      <c r="DD817" s="293"/>
      <c r="DE817" s="293"/>
      <c r="DF817" s="293"/>
      <c r="DG817" s="293"/>
      <c r="DH817" s="293"/>
      <c r="DI817" s="293"/>
      <c r="DJ817" s="293"/>
      <c r="DK817" s="293"/>
      <c r="DL817" s="293"/>
      <c r="DM817" s="293"/>
      <c r="DN817" s="293"/>
      <c r="DO817" s="293"/>
      <c r="DP817" s="293"/>
      <c r="DQ817" s="293"/>
      <c r="DR817" s="293"/>
      <c r="DS817" s="293"/>
      <c r="DT817" s="293"/>
      <c r="DU817" s="293"/>
      <c r="DV817" s="293"/>
      <c r="DW817" s="1197"/>
      <c r="DX817" s="293"/>
      <c r="DY817" s="293"/>
      <c r="DZ817" s="293"/>
      <c r="EA817" s="293"/>
      <c r="EB817" s="293"/>
      <c r="EC817" s="293"/>
      <c r="ED817" s="293"/>
      <c r="EE817" s="293"/>
      <c r="EF817" s="293"/>
      <c r="EG817" s="293"/>
      <c r="EH817" s="293"/>
      <c r="EI817" s="293"/>
      <c r="EJ817" s="293"/>
      <c r="EK817" s="293"/>
      <c r="EL817" s="293"/>
      <c r="EM817" s="293"/>
      <c r="EN817" s="293"/>
      <c r="EO817" s="293"/>
      <c r="EP817" s="293"/>
      <c r="EQ817" s="293"/>
      <c r="ER817" s="293"/>
      <c r="ES817" s="293"/>
      <c r="ET817" s="293"/>
      <c r="EU817" s="293"/>
      <c r="JW817"/>
    </row>
    <row r="818" spans="1:283" s="332" customFormat="1" hidden="1" outlineLevel="1">
      <c r="A818" s="332" t="s">
        <v>730</v>
      </c>
      <c r="AN818" s="293"/>
      <c r="AO818" s="293"/>
      <c r="AP818" s="293"/>
      <c r="AQ818" s="293"/>
      <c r="AR818" s="293"/>
      <c r="AS818" s="293"/>
      <c r="AT818" s="293"/>
      <c r="AU818" s="293"/>
      <c r="AV818" s="293"/>
      <c r="AW818" s="293"/>
      <c r="AX818" s="293"/>
      <c r="AY818" s="293"/>
      <c r="AZ818" s="293"/>
      <c r="BA818" s="293"/>
      <c r="BB818" s="293"/>
      <c r="BC818" s="293"/>
      <c r="BD818" s="293"/>
      <c r="BE818" s="293"/>
      <c r="BF818" s="293"/>
      <c r="BG818" s="293"/>
      <c r="BH818" s="293"/>
      <c r="BI818" s="293"/>
      <c r="BJ818" s="293"/>
      <c r="BK818" s="293"/>
      <c r="BL818" s="293"/>
      <c r="BM818" s="293"/>
      <c r="BN818" s="293"/>
      <c r="BO818" s="293"/>
      <c r="BP818" s="293"/>
      <c r="BQ818" s="293"/>
      <c r="BR818" s="293"/>
      <c r="BS818" s="293"/>
      <c r="BT818" s="293"/>
      <c r="BU818" s="293"/>
      <c r="BV818" s="293"/>
      <c r="BW818" s="293"/>
      <c r="BX818" s="293"/>
      <c r="BY818" s="293"/>
      <c r="BZ818" s="293"/>
      <c r="CA818" s="293"/>
      <c r="CB818" s="293"/>
      <c r="CC818" s="293"/>
      <c r="CD818" s="293"/>
      <c r="CE818" s="293"/>
      <c r="CF818" s="293"/>
      <c r="CG818" s="293"/>
      <c r="CH818" s="293"/>
      <c r="CI818" s="293"/>
      <c r="CJ818" s="293"/>
      <c r="CK818" s="293"/>
      <c r="CL818" s="293"/>
      <c r="CM818" s="293"/>
      <c r="CN818" s="293"/>
      <c r="CO818" s="293"/>
      <c r="CP818" s="293"/>
      <c r="CQ818" s="293"/>
      <c r="CR818" s="293"/>
      <c r="CS818" s="293"/>
      <c r="CT818" s="293"/>
      <c r="CU818" s="293"/>
      <c r="CV818" s="293"/>
      <c r="CW818" s="293"/>
      <c r="CX818" s="293"/>
      <c r="CY818" s="293"/>
      <c r="CZ818" s="293"/>
      <c r="DA818" s="293"/>
      <c r="DB818" s="293"/>
      <c r="DC818" s="293"/>
      <c r="DD818" s="293"/>
      <c r="DE818" s="293"/>
      <c r="DF818" s="293"/>
      <c r="DG818" s="293"/>
      <c r="DH818" s="293"/>
      <c r="DI818" s="293"/>
      <c r="DJ818" s="293"/>
      <c r="DK818" s="293"/>
      <c r="DL818" s="293"/>
      <c r="DM818" s="293"/>
      <c r="DN818" s="293"/>
      <c r="DO818" s="293"/>
      <c r="DP818" s="293"/>
      <c r="DQ818" s="293"/>
      <c r="DR818" s="293"/>
      <c r="DS818" s="293"/>
      <c r="DT818" s="293"/>
      <c r="DU818" s="293"/>
      <c r="DV818" s="293"/>
      <c r="DW818" s="1197"/>
      <c r="DX818" s="293"/>
      <c r="DY818" s="293"/>
      <c r="DZ818" s="293"/>
      <c r="EA818" s="293"/>
      <c r="EB818" s="293"/>
      <c r="EC818" s="293"/>
      <c r="ED818" s="293"/>
      <c r="EE818" s="293"/>
      <c r="EF818" s="293"/>
      <c r="EG818" s="293"/>
      <c r="EH818" s="293"/>
      <c r="EI818" s="293"/>
      <c r="EJ818" s="293"/>
      <c r="EK818" s="293"/>
      <c r="EL818" s="293"/>
      <c r="EM818" s="293"/>
      <c r="EN818" s="293"/>
      <c r="EO818" s="293"/>
      <c r="EP818" s="293"/>
      <c r="EQ818" s="293"/>
      <c r="ER818" s="293"/>
      <c r="ES818" s="293"/>
      <c r="ET818" s="293"/>
      <c r="EU818" s="293"/>
      <c r="JW818"/>
    </row>
    <row r="819" spans="1:283" s="845" customFormat="1" hidden="1" outlineLevel="1">
      <c r="A819" s="845" t="s">
        <v>571</v>
      </c>
      <c r="AN819" s="673">
        <f>AN797</f>
        <v>24</v>
      </c>
      <c r="AO819" s="673">
        <f>AO797</f>
        <v>-214</v>
      </c>
      <c r="AP819" s="673">
        <f>AP797</f>
        <v>-190</v>
      </c>
      <c r="AQ819" s="303"/>
      <c r="AR819" s="673">
        <f>AR797</f>
        <v>52</v>
      </c>
      <c r="AS819" s="673">
        <f>AS797</f>
        <v>-39</v>
      </c>
      <c r="AT819" s="673">
        <f>AT797</f>
        <v>13</v>
      </c>
      <c r="AU819" s="627"/>
      <c r="AV819" s="673">
        <f>AV797</f>
        <v>-25</v>
      </c>
      <c r="AW819" s="673">
        <f>AW797</f>
        <v>-21</v>
      </c>
      <c r="AX819" s="673">
        <f>AX797</f>
        <v>-46</v>
      </c>
      <c r="AY819" s="303"/>
      <c r="AZ819" s="673">
        <f>AZ797</f>
        <v>-14</v>
      </c>
      <c r="BA819" s="673">
        <f>BA797</f>
        <v>-5</v>
      </c>
      <c r="BB819" s="673">
        <f>BB797</f>
        <v>-19</v>
      </c>
      <c r="BC819" s="303"/>
      <c r="BD819" s="673">
        <f>BD797</f>
        <v>5</v>
      </c>
      <c r="BE819" s="673">
        <f>BE797</f>
        <v>9</v>
      </c>
      <c r="BF819" s="673">
        <f>BF797</f>
        <v>14</v>
      </c>
      <c r="BG819" s="1018"/>
      <c r="BH819" s="673">
        <f>BH797</f>
        <v>0</v>
      </c>
      <c r="BI819" s="673">
        <f>BI797</f>
        <v>0</v>
      </c>
      <c r="BJ819" s="673">
        <f>BJ797</f>
        <v>0</v>
      </c>
      <c r="BK819" s="630"/>
      <c r="BL819" s="673">
        <f>BL797</f>
        <v>0</v>
      </c>
      <c r="BM819" s="673">
        <f>BM797</f>
        <v>0</v>
      </c>
      <c r="BN819" s="673">
        <f>BN797</f>
        <v>0</v>
      </c>
      <c r="BO819" s="630"/>
      <c r="BP819" s="673">
        <f>BP797</f>
        <v>0</v>
      </c>
      <c r="BQ819" s="673">
        <f>BQ797</f>
        <v>0</v>
      </c>
      <c r="BR819" s="673">
        <f>BR797</f>
        <v>0</v>
      </c>
      <c r="BS819" s="630"/>
      <c r="BT819" s="673">
        <f>BT797</f>
        <v>0</v>
      </c>
      <c r="BU819" s="673">
        <f>BU797</f>
        <v>0</v>
      </c>
      <c r="BV819" s="673">
        <f>BV797</f>
        <v>0</v>
      </c>
      <c r="BW819" s="303"/>
      <c r="BX819" s="673">
        <f>BX797</f>
        <v>0</v>
      </c>
      <c r="BY819" s="673">
        <f>BY797</f>
        <v>0</v>
      </c>
      <c r="BZ819" s="673">
        <f>BZ797</f>
        <v>0</v>
      </c>
      <c r="CA819" s="303"/>
      <c r="CB819" s="630">
        <v>0</v>
      </c>
      <c r="CC819" s="630">
        <v>0</v>
      </c>
      <c r="CD819" s="303">
        <f>CB819+CC819</f>
        <v>0</v>
      </c>
      <c r="CE819" s="303"/>
      <c r="CF819" s="630">
        <v>0</v>
      </c>
      <c r="CG819" s="630">
        <v>0</v>
      </c>
      <c r="CH819" s="303">
        <f>CF819+CG819</f>
        <v>0</v>
      </c>
      <c r="CI819" s="303"/>
      <c r="CJ819" s="630">
        <v>0</v>
      </c>
      <c r="CK819" s="630">
        <v>0</v>
      </c>
      <c r="CL819" s="303">
        <f>CJ819+CK819</f>
        <v>0</v>
      </c>
      <c r="CM819" s="303"/>
      <c r="CN819" s="630">
        <v>0</v>
      </c>
      <c r="CO819" s="630">
        <v>0</v>
      </c>
      <c r="CP819" s="303">
        <f>CN819+CO819</f>
        <v>0</v>
      </c>
      <c r="CQ819" s="303"/>
      <c r="CR819" s="630">
        <v>0</v>
      </c>
      <c r="CS819" s="630">
        <v>0</v>
      </c>
      <c r="CT819" s="303">
        <f>CR819+CS819</f>
        <v>0</v>
      </c>
      <c r="CU819" s="303"/>
      <c r="CV819" s="630">
        <v>0</v>
      </c>
      <c r="CW819" s="630">
        <v>0</v>
      </c>
      <c r="CX819" s="303">
        <f>CV819+CW819</f>
        <v>0</v>
      </c>
      <c r="CY819" s="303"/>
      <c r="CZ819" s="630">
        <v>0</v>
      </c>
      <c r="DA819" s="630">
        <v>0</v>
      </c>
      <c r="DB819" s="303">
        <f>CZ819+DA819</f>
        <v>0</v>
      </c>
      <c r="DC819" s="303"/>
      <c r="DD819" s="630">
        <v>0</v>
      </c>
      <c r="DE819" s="630">
        <v>0</v>
      </c>
      <c r="DF819" s="303">
        <f>DD819+DE819</f>
        <v>0</v>
      </c>
      <c r="DG819" s="303"/>
      <c r="DH819" s="630">
        <v>0</v>
      </c>
      <c r="DI819" s="630">
        <v>0</v>
      </c>
      <c r="DJ819" s="303">
        <f>DH819+DI819</f>
        <v>0</v>
      </c>
      <c r="DK819" s="303"/>
      <c r="DL819" s="630">
        <v>0</v>
      </c>
      <c r="DM819" s="630">
        <v>0</v>
      </c>
      <c r="DN819" s="303">
        <f>DL819+DM819</f>
        <v>0</v>
      </c>
      <c r="DO819" s="303"/>
      <c r="DP819" s="630">
        <v>0</v>
      </c>
      <c r="DQ819" s="630">
        <v>0</v>
      </c>
      <c r="DR819" s="303">
        <f>DP819+DQ819</f>
        <v>0</v>
      </c>
      <c r="DS819" s="303"/>
      <c r="DT819" s="303"/>
      <c r="DU819" s="303"/>
      <c r="DV819" s="303"/>
      <c r="DW819" s="1208" t="s">
        <v>175</v>
      </c>
      <c r="DX819" s="303"/>
      <c r="DY819" s="303"/>
      <c r="DZ819" s="303"/>
      <c r="EA819" s="303"/>
      <c r="EB819" s="303"/>
      <c r="EC819" s="303"/>
      <c r="ED819" s="303"/>
      <c r="EE819" s="303"/>
      <c r="EF819" s="303"/>
      <c r="EG819" s="303"/>
      <c r="EH819" s="303"/>
      <c r="EI819" s="303"/>
      <c r="EJ819" s="303"/>
      <c r="EK819" s="303"/>
      <c r="EL819" s="303"/>
      <c r="EM819" s="303"/>
      <c r="EN819" s="303"/>
      <c r="EO819" s="303"/>
      <c r="EP819" s="303"/>
      <c r="EQ819" s="303"/>
      <c r="ER819" s="303"/>
      <c r="ES819" s="303"/>
      <c r="ET819" s="303"/>
      <c r="EU819" s="303"/>
      <c r="JW819"/>
    </row>
    <row r="820" spans="1:283" s="332" customFormat="1" hidden="1" outlineLevel="1">
      <c r="A820" s="332" t="s">
        <v>651</v>
      </c>
      <c r="AN820" s="492">
        <f>AN799</f>
        <v>553</v>
      </c>
      <c r="AO820" s="492">
        <f>AO799</f>
        <v>525</v>
      </c>
      <c r="AP820" s="492">
        <f>AP799</f>
        <v>1078</v>
      </c>
      <c r="AQ820" s="293"/>
      <c r="AR820" s="492">
        <f>AR799</f>
        <v>414</v>
      </c>
      <c r="AS820" s="492">
        <f>AS799</f>
        <v>-52</v>
      </c>
      <c r="AT820" s="492">
        <f>AT799</f>
        <v>362</v>
      </c>
      <c r="AU820" s="626"/>
      <c r="AV820" s="492">
        <f>AV799</f>
        <v>291</v>
      </c>
      <c r="AW820" s="492">
        <f>AW799</f>
        <v>234</v>
      </c>
      <c r="AX820" s="492">
        <f>AX799</f>
        <v>525</v>
      </c>
      <c r="AY820" s="626"/>
      <c r="AZ820" s="492">
        <f>AZ799</f>
        <v>167</v>
      </c>
      <c r="BA820" s="492">
        <f>BA799</f>
        <v>227</v>
      </c>
      <c r="BB820" s="492">
        <f>BB799</f>
        <v>394</v>
      </c>
      <c r="BC820" s="293"/>
      <c r="BD820" s="492">
        <f>BD799</f>
        <v>165</v>
      </c>
      <c r="BE820" s="492">
        <f>BE799</f>
        <v>48</v>
      </c>
      <c r="BF820" s="492">
        <f>BF799</f>
        <v>213</v>
      </c>
      <c r="BG820" s="293"/>
      <c r="BH820" s="492">
        <f>BH799</f>
        <v>62</v>
      </c>
      <c r="BI820" s="492">
        <f>BI799</f>
        <v>70</v>
      </c>
      <c r="BJ820" s="492">
        <f>BJ799</f>
        <v>132</v>
      </c>
      <c r="BK820" s="487"/>
      <c r="BL820" s="492">
        <f>BL799</f>
        <v>125</v>
      </c>
      <c r="BM820" s="492">
        <f>BM799</f>
        <v>109</v>
      </c>
      <c r="BN820" s="492">
        <f>BN799</f>
        <v>234</v>
      </c>
      <c r="BO820" s="487"/>
      <c r="BP820" s="492">
        <f>BP799</f>
        <v>113</v>
      </c>
      <c r="BQ820" s="492">
        <f>BQ799</f>
        <v>176</v>
      </c>
      <c r="BR820" s="492">
        <f>BR799</f>
        <v>289</v>
      </c>
      <c r="BS820" s="487"/>
      <c r="BT820" s="492">
        <f>BT799</f>
        <v>375</v>
      </c>
      <c r="BU820" s="492">
        <f>BU799</f>
        <v>165</v>
      </c>
      <c r="BV820" s="492">
        <f>BV799</f>
        <v>540</v>
      </c>
      <c r="BW820" s="293"/>
      <c r="BX820" s="492">
        <f>BX799</f>
        <v>161</v>
      </c>
      <c r="BY820" s="492">
        <f>BY799</f>
        <v>165</v>
      </c>
      <c r="BZ820" s="492">
        <f>BZ799</f>
        <v>326</v>
      </c>
      <c r="CA820" s="293"/>
      <c r="CB820" s="293">
        <f>+BX820*(1+CB824)</f>
        <v>177.10000000000002</v>
      </c>
      <c r="CC820" s="293">
        <f>+BY820*(1+CC824)</f>
        <v>173.25</v>
      </c>
      <c r="CD820" s="293">
        <f>CB820+CC820</f>
        <v>350.35</v>
      </c>
      <c r="CE820" s="293"/>
      <c r="CF820" s="293">
        <f>+CB820*(1+CF824)</f>
        <v>185.95500000000004</v>
      </c>
      <c r="CG820" s="293">
        <f>+CC820*(1+CG824)</f>
        <v>181.91249999999999</v>
      </c>
      <c r="CH820" s="293">
        <f>CF820+CG820</f>
        <v>367.86750000000006</v>
      </c>
      <c r="CI820" s="293"/>
      <c r="CJ820" s="293">
        <f>+CF820*(1+CJ824)</f>
        <v>195.25275000000005</v>
      </c>
      <c r="CK820" s="293">
        <f>+CG820*(1+CK824)</f>
        <v>191.00812500000001</v>
      </c>
      <c r="CL820" s="293">
        <f>CJ820+CK820</f>
        <v>386.26087500000006</v>
      </c>
      <c r="CM820" s="293"/>
      <c r="CN820" s="293">
        <f>+CJ820*(1+CN824)</f>
        <v>205.01538750000006</v>
      </c>
      <c r="CO820" s="293">
        <f>+CK820*(1+CO824)</f>
        <v>200.55853125000002</v>
      </c>
      <c r="CP820" s="293">
        <f>CN820+CO820</f>
        <v>405.57391875000008</v>
      </c>
      <c r="CQ820" s="293"/>
      <c r="CR820" s="293">
        <f>+CN820*(1+CR824)</f>
        <v>215.26615687500006</v>
      </c>
      <c r="CS820" s="293">
        <f>+CO820*(1+CS824)</f>
        <v>210.58645781250002</v>
      </c>
      <c r="CT820" s="293">
        <f>CR820+CS820</f>
        <v>425.85261468750008</v>
      </c>
      <c r="CU820" s="293"/>
      <c r="CV820" s="293">
        <f>+CR820*(1+CV824)</f>
        <v>226.02946471875006</v>
      </c>
      <c r="CW820" s="293">
        <f>+CS820*(1+CW824)</f>
        <v>221.11578070312501</v>
      </c>
      <c r="CX820" s="293">
        <f>CV820+CW820</f>
        <v>447.14524542187507</v>
      </c>
      <c r="CY820" s="293"/>
      <c r="CZ820" s="293">
        <f>+CV820*(1+CZ824)</f>
        <v>237.33093795468758</v>
      </c>
      <c r="DA820" s="293">
        <f>+CW820*(1+DA824)</f>
        <v>232.17156973828128</v>
      </c>
      <c r="DB820" s="293">
        <f>CZ820+DA820</f>
        <v>469.50250769296883</v>
      </c>
      <c r="DC820" s="293"/>
      <c r="DD820" s="293">
        <f>+CZ820*(1+DD824)</f>
        <v>249.19748485242198</v>
      </c>
      <c r="DE820" s="293">
        <f>+DA820*(1+DE824)</f>
        <v>243.78014822519535</v>
      </c>
      <c r="DF820" s="293">
        <f>DD820+DE820</f>
        <v>492.97763307761733</v>
      </c>
      <c r="DG820" s="293"/>
      <c r="DH820" s="293">
        <f>+DD820*(1+DH824)</f>
        <v>261.65735909504309</v>
      </c>
      <c r="DI820" s="293">
        <f>+DE820*(1+DI824)</f>
        <v>255.96915563645513</v>
      </c>
      <c r="DJ820" s="293">
        <f>DH820+DI820</f>
        <v>517.62651473149822</v>
      </c>
      <c r="DK820" s="293"/>
      <c r="DL820" s="293">
        <f>+DH820*(1+DL824)</f>
        <v>274.74022704979524</v>
      </c>
      <c r="DM820" s="293">
        <f>+DI820*(1+DM824)</f>
        <v>268.7676134182779</v>
      </c>
      <c r="DN820" s="293">
        <f>DL820+DM820</f>
        <v>543.50784046807314</v>
      </c>
      <c r="DO820" s="293"/>
      <c r="DP820" s="293">
        <f>+DL820*(1+DP824)</f>
        <v>288.47723840228502</v>
      </c>
      <c r="DQ820" s="293">
        <f>+DM820*(1+DQ824)</f>
        <v>282.20599408919179</v>
      </c>
      <c r="DR820" s="293">
        <f>DP820+DQ820</f>
        <v>570.68323249147682</v>
      </c>
      <c r="DS820" s="293"/>
      <c r="DT820" s="293"/>
      <c r="DU820" s="293"/>
      <c r="DV820" s="293"/>
      <c r="DW820" s="1197" t="s">
        <v>514</v>
      </c>
      <c r="DX820" s="293"/>
      <c r="DY820" s="293"/>
      <c r="DZ820" s="293"/>
      <c r="EA820" s="293"/>
      <c r="EB820" s="293"/>
      <c r="EC820" s="293"/>
      <c r="ED820" s="293"/>
      <c r="EE820" s="293"/>
      <c r="EF820" s="293"/>
      <c r="EG820" s="293"/>
      <c r="EH820" s="293"/>
      <c r="EI820" s="293"/>
      <c r="EJ820" s="293"/>
      <c r="EK820" s="293"/>
      <c r="EL820" s="293"/>
      <c r="EM820" s="293"/>
      <c r="EN820" s="293"/>
      <c r="EO820" s="293"/>
      <c r="EP820" s="293"/>
      <c r="EQ820" s="293"/>
      <c r="ER820" s="293"/>
      <c r="ES820" s="293"/>
      <c r="ET820" s="293"/>
      <c r="EU820" s="293"/>
      <c r="JW820"/>
    </row>
    <row r="821" spans="1:283" s="327" customFormat="1" hidden="1" outlineLevel="1">
      <c r="A821" s="327" t="s">
        <v>588</v>
      </c>
      <c r="AN821" s="820">
        <f>SUM(AN819:AN820)</f>
        <v>577</v>
      </c>
      <c r="AO821" s="820">
        <f>SUM(AO819:AO820)</f>
        <v>311</v>
      </c>
      <c r="AP821" s="820">
        <f>SUM(AP819:AP820)</f>
        <v>888</v>
      </c>
      <c r="AQ821" s="295"/>
      <c r="AR821" s="820">
        <f>SUM(AR819:AR820)</f>
        <v>466</v>
      </c>
      <c r="AS821" s="820">
        <f>SUM(AS819:AS820)</f>
        <v>-91</v>
      </c>
      <c r="AT821" s="820">
        <f>SUM(AT819:AT820)</f>
        <v>375</v>
      </c>
      <c r="AU821" s="295"/>
      <c r="AV821" s="820">
        <f>SUM(AV819:AV820)</f>
        <v>266</v>
      </c>
      <c r="AW821" s="820">
        <f>SUM(AW819:AW820)</f>
        <v>213</v>
      </c>
      <c r="AX821" s="820">
        <f>SUM(AX819:AX820)</f>
        <v>479</v>
      </c>
      <c r="AY821" s="295"/>
      <c r="AZ821" s="820">
        <f>SUM(AZ819:AZ820)</f>
        <v>153</v>
      </c>
      <c r="BA821" s="820">
        <f>SUM(BA819:BA820)</f>
        <v>222</v>
      </c>
      <c r="BB821" s="820">
        <f>SUM(BB819:BB820)</f>
        <v>375</v>
      </c>
      <c r="BC821" s="295"/>
      <c r="BD821" s="820">
        <f>SUM(BD819:BD820)</f>
        <v>170</v>
      </c>
      <c r="BE821" s="820">
        <f>SUM(BE819:BE820)</f>
        <v>57</v>
      </c>
      <c r="BF821" s="820">
        <f>SUM(BF819:BF820)</f>
        <v>227</v>
      </c>
      <c r="BG821" s="295"/>
      <c r="BH821" s="820">
        <f>SUM(BH819:BH820)</f>
        <v>62</v>
      </c>
      <c r="BI821" s="820">
        <f>SUM(BI819:BI820)</f>
        <v>70</v>
      </c>
      <c r="BJ821" s="820">
        <f>SUM(BJ819:BJ820)</f>
        <v>132</v>
      </c>
      <c r="BK821" s="295"/>
      <c r="BL821" s="820">
        <f>SUM(BL819:BL820)</f>
        <v>125</v>
      </c>
      <c r="BM821" s="820">
        <f>SUM(BM819:BM820)</f>
        <v>109</v>
      </c>
      <c r="BN821" s="820">
        <f>SUM(BN819:BN820)</f>
        <v>234</v>
      </c>
      <c r="BO821" s="685"/>
      <c r="BP821" s="820">
        <f>SUM(BP819:BP820)</f>
        <v>113</v>
      </c>
      <c r="BQ821" s="820">
        <f>SUM(BQ819:BQ820)</f>
        <v>176</v>
      </c>
      <c r="BR821" s="820">
        <f>SUM(BR819:BR820)</f>
        <v>289</v>
      </c>
      <c r="BS821" s="685"/>
      <c r="BT821" s="820">
        <f>SUM(BT819:BT820)</f>
        <v>375</v>
      </c>
      <c r="BU821" s="820">
        <f>SUM(BU819:BU820)</f>
        <v>165</v>
      </c>
      <c r="BV821" s="820">
        <f>SUM(BV819:BV820)</f>
        <v>540</v>
      </c>
      <c r="BW821" s="295"/>
      <c r="BX821" s="820">
        <f>SUM(BX819:BX820)</f>
        <v>161</v>
      </c>
      <c r="BY821" s="820">
        <f>SUM(BY819:BY820)</f>
        <v>165</v>
      </c>
      <c r="BZ821" s="820">
        <f>SUM(BZ819:BZ820)</f>
        <v>326</v>
      </c>
      <c r="CA821" s="295"/>
      <c r="CB821" s="295">
        <f>SUM(CB819:CB820)</f>
        <v>177.10000000000002</v>
      </c>
      <c r="CC821" s="295">
        <f>SUM(CC819:CC820)</f>
        <v>173.25</v>
      </c>
      <c r="CD821" s="295">
        <f>CB821+CC821</f>
        <v>350.35</v>
      </c>
      <c r="CE821" s="295"/>
      <c r="CF821" s="295">
        <f>SUM(CF819:CF820)</f>
        <v>185.95500000000004</v>
      </c>
      <c r="CG821" s="295">
        <f>SUM(CG819:CG820)</f>
        <v>181.91249999999999</v>
      </c>
      <c r="CH821" s="295">
        <f>CF821+CG821</f>
        <v>367.86750000000006</v>
      </c>
      <c r="CI821" s="295"/>
      <c r="CJ821" s="295">
        <f>SUM(CJ819:CJ820)</f>
        <v>195.25275000000005</v>
      </c>
      <c r="CK821" s="295">
        <f>SUM(CK819:CK820)</f>
        <v>191.00812500000001</v>
      </c>
      <c r="CL821" s="295">
        <f>CJ821+CK821</f>
        <v>386.26087500000006</v>
      </c>
      <c r="CM821" s="295"/>
      <c r="CN821" s="295">
        <f>SUM(CN819:CN820)</f>
        <v>205.01538750000006</v>
      </c>
      <c r="CO821" s="295">
        <f>SUM(CO819:CO820)</f>
        <v>200.55853125000002</v>
      </c>
      <c r="CP821" s="295">
        <f>CN821+CO821</f>
        <v>405.57391875000008</v>
      </c>
      <c r="CQ821" s="295"/>
      <c r="CR821" s="295">
        <f>SUM(CR819:CR820)</f>
        <v>215.26615687500006</v>
      </c>
      <c r="CS821" s="295">
        <f>SUM(CS819:CS820)</f>
        <v>210.58645781250002</v>
      </c>
      <c r="CT821" s="295">
        <f>CR821+CS821</f>
        <v>425.85261468750008</v>
      </c>
      <c r="CU821" s="295"/>
      <c r="CV821" s="295">
        <f>SUM(CV819:CV820)</f>
        <v>226.02946471875006</v>
      </c>
      <c r="CW821" s="295">
        <f>SUM(CW819:CW820)</f>
        <v>221.11578070312501</v>
      </c>
      <c r="CX821" s="295">
        <f>CV821+CW821</f>
        <v>447.14524542187507</v>
      </c>
      <c r="CY821" s="295"/>
      <c r="CZ821" s="295">
        <f>SUM(CZ819:CZ820)</f>
        <v>237.33093795468758</v>
      </c>
      <c r="DA821" s="295">
        <f>SUM(DA819:DA820)</f>
        <v>232.17156973828128</v>
      </c>
      <c r="DB821" s="295">
        <f>CZ821+DA821</f>
        <v>469.50250769296883</v>
      </c>
      <c r="DC821" s="295"/>
      <c r="DD821" s="295">
        <f>SUM(DD819:DD820)</f>
        <v>249.19748485242198</v>
      </c>
      <c r="DE821" s="295">
        <f>SUM(DE819:DE820)</f>
        <v>243.78014822519535</v>
      </c>
      <c r="DF821" s="295">
        <f>DD821+DE821</f>
        <v>492.97763307761733</v>
      </c>
      <c r="DG821" s="295"/>
      <c r="DH821" s="295">
        <f>SUM(DH819:DH820)</f>
        <v>261.65735909504309</v>
      </c>
      <c r="DI821" s="295">
        <f>SUM(DI819:DI820)</f>
        <v>255.96915563645513</v>
      </c>
      <c r="DJ821" s="295">
        <f>DH821+DI821</f>
        <v>517.62651473149822</v>
      </c>
      <c r="DK821" s="295"/>
      <c r="DL821" s="295">
        <f>SUM(DL819:DL820)</f>
        <v>274.74022704979524</v>
      </c>
      <c r="DM821" s="295">
        <f>SUM(DM819:DM820)</f>
        <v>268.7676134182779</v>
      </c>
      <c r="DN821" s="295">
        <f>DL821+DM821</f>
        <v>543.50784046807314</v>
      </c>
      <c r="DO821" s="295"/>
      <c r="DP821" s="295">
        <f>SUM(DP819:DP820)</f>
        <v>288.47723840228502</v>
      </c>
      <c r="DQ821" s="295">
        <f>SUM(DQ819:DQ820)</f>
        <v>282.20599408919179</v>
      </c>
      <c r="DR821" s="295">
        <f>DP821+DQ821</f>
        <v>570.68323249147682</v>
      </c>
      <c r="DS821" s="295"/>
      <c r="DT821" s="295"/>
      <c r="DU821" s="295"/>
      <c r="DV821" s="295"/>
      <c r="DW821" s="1199"/>
      <c r="DX821" s="295"/>
      <c r="DY821" s="295"/>
      <c r="DZ821" s="295"/>
      <c r="EA821" s="295"/>
      <c r="EB821" s="295"/>
      <c r="EC821" s="295"/>
      <c r="ED821" s="295"/>
      <c r="EE821" s="295"/>
      <c r="EF821" s="295"/>
      <c r="EG821" s="295"/>
      <c r="EH821" s="295"/>
      <c r="EI821" s="295"/>
      <c r="EJ821" s="295"/>
      <c r="EK821" s="295"/>
      <c r="EL821" s="295"/>
      <c r="EM821" s="295"/>
      <c r="EN821" s="295"/>
      <c r="EO821" s="295"/>
      <c r="EP821" s="295"/>
      <c r="EQ821" s="295"/>
      <c r="ER821" s="295"/>
      <c r="ES821" s="295"/>
      <c r="ET821" s="295"/>
      <c r="EU821" s="295"/>
      <c r="JW821"/>
    </row>
    <row r="822" spans="1:283" hidden="1" outlineLevel="1">
      <c r="A822" s="102" t="s">
        <v>835</v>
      </c>
      <c r="CB822" s="293"/>
      <c r="CC822" s="293"/>
      <c r="CD822" s="293"/>
      <c r="CF822" s="293"/>
      <c r="CG822" s="293"/>
      <c r="CH822" s="293"/>
      <c r="CJ822" s="293"/>
      <c r="CK822" s="293"/>
      <c r="CL822" s="293"/>
      <c r="CN822" s="293"/>
      <c r="CO822" s="293"/>
      <c r="CP822" s="293"/>
      <c r="CR822" s="293"/>
      <c r="CS822" s="293"/>
      <c r="CT822" s="293"/>
      <c r="CV822" s="293"/>
      <c r="CW822" s="293"/>
      <c r="CX822" s="293"/>
      <c r="CZ822" s="293"/>
      <c r="DA822" s="293"/>
      <c r="DB822" s="293"/>
      <c r="DD822" s="293"/>
      <c r="DE822" s="293"/>
      <c r="DF822" s="293"/>
      <c r="DH822" s="293"/>
      <c r="DI822" s="293"/>
      <c r="DJ822" s="293"/>
      <c r="DL822" s="293"/>
      <c r="DM822" s="293"/>
      <c r="DN822" s="293"/>
      <c r="DP822" s="293"/>
      <c r="DQ822" s="293"/>
      <c r="DR822" s="293"/>
      <c r="DW822" s="1197"/>
      <c r="DX822" s="293"/>
      <c r="DY822" s="293"/>
      <c r="EA822" s="293"/>
      <c r="EB822" s="293"/>
      <c r="EC822" s="293"/>
      <c r="EE822" s="293"/>
      <c r="EF822" s="293"/>
      <c r="EG822" s="293"/>
      <c r="EI822" s="293"/>
      <c r="EJ822" s="293"/>
      <c r="EK822" s="293"/>
    </row>
    <row r="823" spans="1:283" s="323" customFormat="1" hidden="1" outlineLevel="1">
      <c r="A823" s="323" t="str">
        <f>+A819</f>
        <v>Net interest income</v>
      </c>
      <c r="AN823" s="115"/>
      <c r="AO823" s="115"/>
      <c r="AP823" s="115"/>
      <c r="AQ823" s="115"/>
      <c r="AR823" s="115"/>
      <c r="AS823" s="115"/>
      <c r="AT823" s="115"/>
      <c r="AU823" s="115"/>
      <c r="AV823" s="324">
        <f t="shared" ref="AV823:AX825" si="2103">+AV819/AR819-1</f>
        <v>-1.4807692307692308</v>
      </c>
      <c r="AW823" s="324">
        <f t="shared" si="2103"/>
        <v>-0.46153846153846156</v>
      </c>
      <c r="AX823" s="324">
        <f t="shared" si="2103"/>
        <v>-4.5384615384615383</v>
      </c>
      <c r="AY823" s="115"/>
      <c r="AZ823" s="324">
        <f t="shared" ref="AZ823:BB825" si="2104">+AZ819/AV819-1</f>
        <v>-0.43999999999999995</v>
      </c>
      <c r="BA823" s="324">
        <f t="shared" si="2104"/>
        <v>-0.76190476190476186</v>
      </c>
      <c r="BB823" s="324">
        <f t="shared" si="2104"/>
        <v>-0.58695652173913038</v>
      </c>
      <c r="BC823" s="115"/>
      <c r="BD823" s="324">
        <f t="shared" ref="BD823:BF825" si="2105">+BD819/AZ819-1</f>
        <v>-1.3571428571428572</v>
      </c>
      <c r="BE823" s="324">
        <f t="shared" si="2105"/>
        <v>-2.8</v>
      </c>
      <c r="BF823" s="324">
        <f t="shared" si="2105"/>
        <v>-1.736842105263158</v>
      </c>
      <c r="BG823" s="115"/>
      <c r="BH823" s="324"/>
      <c r="BI823" s="324"/>
      <c r="BJ823" s="324"/>
      <c r="BK823" s="115"/>
      <c r="BL823" s="324"/>
      <c r="BM823" s="324"/>
      <c r="BN823" s="324"/>
      <c r="BO823" s="115"/>
      <c r="BP823" s="324"/>
      <c r="BQ823" s="324"/>
      <c r="BR823" s="324"/>
      <c r="BS823" s="115"/>
      <c r="BT823" s="324"/>
      <c r="BU823" s="324"/>
      <c r="BV823" s="324"/>
      <c r="BW823" s="115"/>
      <c r="BX823" s="324"/>
      <c r="BY823" s="324"/>
      <c r="BZ823" s="324"/>
      <c r="CA823" s="115"/>
      <c r="CB823" s="324"/>
      <c r="CC823" s="324"/>
      <c r="CD823" s="324"/>
      <c r="CE823" s="115"/>
      <c r="CF823" s="324"/>
      <c r="CG823" s="324"/>
      <c r="CH823" s="324"/>
      <c r="CI823" s="115"/>
      <c r="CJ823" s="324"/>
      <c r="CK823" s="324"/>
      <c r="CL823" s="324"/>
      <c r="CM823" s="115"/>
      <c r="CN823" s="324"/>
      <c r="CO823" s="324"/>
      <c r="CP823" s="324"/>
      <c r="CQ823" s="115"/>
      <c r="CR823" s="324"/>
      <c r="CS823" s="324"/>
      <c r="CT823" s="324"/>
      <c r="CU823" s="115"/>
      <c r="CV823" s="324"/>
      <c r="CW823" s="324"/>
      <c r="CX823" s="324"/>
      <c r="CY823" s="115"/>
      <c r="CZ823" s="324"/>
      <c r="DA823" s="324"/>
      <c r="DB823" s="324"/>
      <c r="DC823" s="115"/>
      <c r="DD823" s="324"/>
      <c r="DE823" s="324"/>
      <c r="DF823" s="324"/>
      <c r="DG823" s="115"/>
      <c r="DH823" s="324"/>
      <c r="DI823" s="324"/>
      <c r="DJ823" s="324"/>
      <c r="DK823" s="115"/>
      <c r="DL823" s="324"/>
      <c r="DM823" s="324"/>
      <c r="DN823" s="324"/>
      <c r="DO823" s="115"/>
      <c r="DP823" s="324"/>
      <c r="DQ823" s="324"/>
      <c r="DR823" s="324"/>
      <c r="DS823" s="115"/>
      <c r="DT823" s="115"/>
      <c r="DU823" s="115"/>
      <c r="DV823" s="115"/>
      <c r="DW823" s="1209"/>
      <c r="DX823" s="324"/>
      <c r="DY823" s="324"/>
      <c r="DZ823" s="115"/>
      <c r="EA823" s="324"/>
      <c r="EB823" s="324"/>
      <c r="EC823" s="324"/>
      <c r="ED823" s="115"/>
      <c r="EE823" s="324"/>
      <c r="EF823" s="324"/>
      <c r="EG823" s="324"/>
      <c r="EH823" s="115"/>
      <c r="EI823" s="324"/>
      <c r="EJ823" s="324"/>
      <c r="EK823" s="324"/>
      <c r="EL823" s="115"/>
      <c r="EM823" s="115"/>
      <c r="EN823" s="115"/>
      <c r="EO823" s="115"/>
      <c r="EP823" s="115"/>
      <c r="EQ823" s="115"/>
      <c r="ER823" s="115"/>
      <c r="ES823" s="115"/>
      <c r="ET823" s="115"/>
      <c r="EU823" s="115"/>
      <c r="JW823"/>
    </row>
    <row r="824" spans="1:283" s="642" customFormat="1" hidden="1" outlineLevel="1">
      <c r="A824" s="642" t="str">
        <f>+A820</f>
        <v>Net trading income</v>
      </c>
      <c r="AN824" s="300"/>
      <c r="AO824" s="300"/>
      <c r="AP824" s="300"/>
      <c r="AQ824" s="300"/>
      <c r="AR824" s="300"/>
      <c r="AS824" s="300"/>
      <c r="AT824" s="300"/>
      <c r="AU824" s="300"/>
      <c r="AV824" s="643">
        <f t="shared" si="2103"/>
        <v>-0.29710144927536231</v>
      </c>
      <c r="AW824" s="643">
        <f t="shared" si="2103"/>
        <v>-5.5</v>
      </c>
      <c r="AX824" s="643">
        <f t="shared" si="2103"/>
        <v>0.45027624309392267</v>
      </c>
      <c r="AY824" s="300"/>
      <c r="AZ824" s="643">
        <f t="shared" si="2104"/>
        <v>-0.42611683848797255</v>
      </c>
      <c r="BA824" s="643">
        <f t="shared" si="2104"/>
        <v>-2.9914529914529919E-2</v>
      </c>
      <c r="BB824" s="643">
        <f t="shared" si="2104"/>
        <v>-0.24952380952380948</v>
      </c>
      <c r="BC824" s="300"/>
      <c r="BD824" s="643">
        <f t="shared" si="2105"/>
        <v>-1.19760479041916E-2</v>
      </c>
      <c r="BE824" s="643">
        <f t="shared" si="2105"/>
        <v>-0.78854625550660795</v>
      </c>
      <c r="BF824" s="643">
        <f t="shared" si="2105"/>
        <v>-0.45939086294416243</v>
      </c>
      <c r="BG824" s="300"/>
      <c r="BH824" s="643">
        <f t="shared" ref="BH824:BJ825" si="2106">+BH820/BD820-1</f>
        <v>-0.62424242424242427</v>
      </c>
      <c r="BI824" s="643">
        <f t="shared" si="2106"/>
        <v>0.45833333333333326</v>
      </c>
      <c r="BJ824" s="643">
        <f t="shared" si="2106"/>
        <v>-0.38028169014084512</v>
      </c>
      <c r="BK824" s="300"/>
      <c r="BL824" s="643">
        <f t="shared" ref="BL824:BN825" si="2107">+BL820/BH820-1</f>
        <v>1.0161290322580645</v>
      </c>
      <c r="BM824" s="643">
        <f t="shared" si="2107"/>
        <v>0.55714285714285716</v>
      </c>
      <c r="BN824" s="643">
        <f t="shared" si="2107"/>
        <v>0.77272727272727271</v>
      </c>
      <c r="BO824" s="300"/>
      <c r="BP824" s="643">
        <f t="shared" ref="BP824:BR825" si="2108">+BP820/BL820-1</f>
        <v>-9.5999999999999974E-2</v>
      </c>
      <c r="BQ824" s="643">
        <f t="shared" si="2108"/>
        <v>0.6146788990825689</v>
      </c>
      <c r="BR824" s="643">
        <f t="shared" si="2108"/>
        <v>0.2350427350427351</v>
      </c>
      <c r="BS824" s="300"/>
      <c r="BT824" s="643">
        <f t="shared" ref="BT824:BV825" si="2109">+BT820/BP820-1</f>
        <v>2.3185840707964602</v>
      </c>
      <c r="BU824" s="643">
        <f t="shared" si="2109"/>
        <v>-6.25E-2</v>
      </c>
      <c r="BV824" s="643">
        <f t="shared" si="2109"/>
        <v>0.86851211072664358</v>
      </c>
      <c r="BW824" s="300"/>
      <c r="BX824" s="643">
        <f t="shared" ref="BX824:BZ825" si="2110">+BX820/BT820-1</f>
        <v>-0.57066666666666666</v>
      </c>
      <c r="BY824" s="643">
        <f t="shared" si="2110"/>
        <v>0</v>
      </c>
      <c r="BZ824" s="643">
        <f t="shared" si="2110"/>
        <v>-0.39629629629629626</v>
      </c>
      <c r="CA824" s="300"/>
      <c r="CB824" s="656">
        <v>0.1</v>
      </c>
      <c r="CC824" s="656">
        <v>0.05</v>
      </c>
      <c r="CD824" s="643">
        <f>+CD820/BZ820-1</f>
        <v>7.46932515337424E-2</v>
      </c>
      <c r="CE824" s="300"/>
      <c r="CF824" s="656">
        <v>0.05</v>
      </c>
      <c r="CG824" s="656">
        <v>0.05</v>
      </c>
      <c r="CH824" s="643">
        <f>+CH820/CD820-1</f>
        <v>5.0000000000000044E-2</v>
      </c>
      <c r="CI824" s="300"/>
      <c r="CJ824" s="656">
        <v>0.05</v>
      </c>
      <c r="CK824" s="656">
        <v>0.05</v>
      </c>
      <c r="CL824" s="643">
        <f>+CL820/CH820-1</f>
        <v>5.0000000000000044E-2</v>
      </c>
      <c r="CM824" s="300"/>
      <c r="CN824" s="656">
        <v>0.05</v>
      </c>
      <c r="CO824" s="656">
        <v>0.05</v>
      </c>
      <c r="CP824" s="643">
        <f>+CP820/CL820-1</f>
        <v>5.0000000000000044E-2</v>
      </c>
      <c r="CQ824" s="300"/>
      <c r="CR824" s="656">
        <v>0.05</v>
      </c>
      <c r="CS824" s="656">
        <v>0.05</v>
      </c>
      <c r="CT824" s="643">
        <f>+CT820/CP820-1</f>
        <v>5.0000000000000044E-2</v>
      </c>
      <c r="CU824" s="300"/>
      <c r="CV824" s="656">
        <v>0.05</v>
      </c>
      <c r="CW824" s="656">
        <v>0.05</v>
      </c>
      <c r="CX824" s="643">
        <f>+CX820/CT820-1</f>
        <v>5.0000000000000044E-2</v>
      </c>
      <c r="CY824" s="300"/>
      <c r="CZ824" s="656">
        <v>0.05</v>
      </c>
      <c r="DA824" s="656">
        <v>0.05</v>
      </c>
      <c r="DB824" s="643">
        <f>+DB820/CX820-1</f>
        <v>5.0000000000000044E-2</v>
      </c>
      <c r="DC824" s="300"/>
      <c r="DD824" s="656">
        <v>0.05</v>
      </c>
      <c r="DE824" s="656">
        <v>0.05</v>
      </c>
      <c r="DF824" s="643">
        <f>+DF820/DB820-1</f>
        <v>5.0000000000000044E-2</v>
      </c>
      <c r="DG824" s="300"/>
      <c r="DH824" s="656">
        <v>0.05</v>
      </c>
      <c r="DI824" s="656">
        <v>0.05</v>
      </c>
      <c r="DJ824" s="643">
        <f>+DJ820/DF820-1</f>
        <v>5.0000000000000044E-2</v>
      </c>
      <c r="DK824" s="300"/>
      <c r="DL824" s="656">
        <v>0.05</v>
      </c>
      <c r="DM824" s="656">
        <v>0.05</v>
      </c>
      <c r="DN824" s="643">
        <f>+DN820/DJ820-1</f>
        <v>5.0000000000000044E-2</v>
      </c>
      <c r="DO824" s="300"/>
      <c r="DP824" s="656">
        <v>0.05</v>
      </c>
      <c r="DQ824" s="656">
        <v>0.05</v>
      </c>
      <c r="DR824" s="643">
        <f>+DR820/DN820-1</f>
        <v>5.0000000000000044E-2</v>
      </c>
      <c r="DS824" s="300"/>
      <c r="DT824" s="300"/>
      <c r="DU824" s="300"/>
      <c r="DV824" s="300"/>
      <c r="DW824" s="1211" t="s">
        <v>175</v>
      </c>
      <c r="DX824" s="643"/>
      <c r="DY824" s="643"/>
      <c r="DZ824" s="300"/>
      <c r="EA824" s="643"/>
      <c r="EB824" s="643"/>
      <c r="EC824" s="643"/>
      <c r="ED824" s="300"/>
      <c r="EE824" s="643"/>
      <c r="EF824" s="643"/>
      <c r="EG824" s="643"/>
      <c r="EH824" s="300"/>
      <c r="EI824" s="643"/>
      <c r="EJ824" s="643"/>
      <c r="EK824" s="643"/>
      <c r="EL824" s="300"/>
      <c r="EM824" s="300"/>
      <c r="EN824" s="300"/>
      <c r="EO824" s="300"/>
      <c r="EP824" s="300"/>
      <c r="EQ824" s="300"/>
      <c r="ER824" s="300"/>
      <c r="ES824" s="300"/>
      <c r="ET824" s="300"/>
      <c r="EU824" s="300"/>
      <c r="JW824"/>
    </row>
    <row r="825" spans="1:283" s="328" customFormat="1" hidden="1" outlineLevel="1">
      <c r="A825" s="328" t="str">
        <f>+A821</f>
        <v>Total</v>
      </c>
      <c r="AN825" s="581"/>
      <c r="AO825" s="581"/>
      <c r="AP825" s="581"/>
      <c r="AQ825" s="581"/>
      <c r="AR825" s="581"/>
      <c r="AS825" s="581"/>
      <c r="AT825" s="581"/>
      <c r="AU825" s="581"/>
      <c r="AV825" s="682">
        <f t="shared" si="2103"/>
        <v>-0.42918454935622319</v>
      </c>
      <c r="AW825" s="682">
        <f t="shared" si="2103"/>
        <v>-3.3406593406593408</v>
      </c>
      <c r="AX825" s="682">
        <f t="shared" si="2103"/>
        <v>0.27733333333333343</v>
      </c>
      <c r="AY825" s="581"/>
      <c r="AZ825" s="682">
        <f t="shared" si="2104"/>
        <v>-0.42481203007518797</v>
      </c>
      <c r="BA825" s="682">
        <f t="shared" si="2104"/>
        <v>4.2253521126760507E-2</v>
      </c>
      <c r="BB825" s="682">
        <f t="shared" si="2104"/>
        <v>-0.21711899791231737</v>
      </c>
      <c r="BC825" s="581"/>
      <c r="BD825" s="682">
        <f t="shared" si="2105"/>
        <v>0.11111111111111116</v>
      </c>
      <c r="BE825" s="682">
        <f t="shared" si="2105"/>
        <v>-0.7432432432432432</v>
      </c>
      <c r="BF825" s="682">
        <f t="shared" si="2105"/>
        <v>-0.39466666666666672</v>
      </c>
      <c r="BG825" s="581"/>
      <c r="BH825" s="682">
        <f t="shared" si="2106"/>
        <v>-0.63529411764705879</v>
      </c>
      <c r="BI825" s="682">
        <f t="shared" si="2106"/>
        <v>0.22807017543859653</v>
      </c>
      <c r="BJ825" s="682">
        <f t="shared" si="2106"/>
        <v>-0.41850220264317184</v>
      </c>
      <c r="BK825" s="581"/>
      <c r="BL825" s="682">
        <f t="shared" si="2107"/>
        <v>1.0161290322580645</v>
      </c>
      <c r="BM825" s="682">
        <f t="shared" si="2107"/>
        <v>0.55714285714285716</v>
      </c>
      <c r="BN825" s="682">
        <f t="shared" si="2107"/>
        <v>0.77272727272727271</v>
      </c>
      <c r="BO825" s="581"/>
      <c r="BP825" s="682">
        <f t="shared" si="2108"/>
        <v>-9.5999999999999974E-2</v>
      </c>
      <c r="BQ825" s="682">
        <f t="shared" si="2108"/>
        <v>0.6146788990825689</v>
      </c>
      <c r="BR825" s="682">
        <f t="shared" si="2108"/>
        <v>0.2350427350427351</v>
      </c>
      <c r="BS825" s="581"/>
      <c r="BT825" s="682">
        <f t="shared" si="2109"/>
        <v>2.3185840707964602</v>
      </c>
      <c r="BU825" s="682">
        <f t="shared" si="2109"/>
        <v>-6.25E-2</v>
      </c>
      <c r="BV825" s="682">
        <f t="shared" si="2109"/>
        <v>0.86851211072664358</v>
      </c>
      <c r="BW825" s="581"/>
      <c r="BX825" s="682">
        <f t="shared" si="2110"/>
        <v>-0.57066666666666666</v>
      </c>
      <c r="BY825" s="682">
        <f t="shared" si="2110"/>
        <v>0</v>
      </c>
      <c r="BZ825" s="682">
        <f t="shared" si="2110"/>
        <v>-0.39629629629629626</v>
      </c>
      <c r="CA825" s="581"/>
      <c r="CB825" s="682">
        <f>+CB821/BX821-1</f>
        <v>0.10000000000000009</v>
      </c>
      <c r="CC825" s="682">
        <f>+CC821/BY821-1</f>
        <v>5.0000000000000044E-2</v>
      </c>
      <c r="CD825" s="682">
        <f>+CD821/BZ821-1</f>
        <v>7.46932515337424E-2</v>
      </c>
      <c r="CE825" s="581"/>
      <c r="CF825" s="682">
        <f>+CF821/CB821-1</f>
        <v>5.0000000000000044E-2</v>
      </c>
      <c r="CG825" s="682">
        <f>+CG821/CC821-1</f>
        <v>5.0000000000000044E-2</v>
      </c>
      <c r="CH825" s="682">
        <f>+CH821/CD821-1</f>
        <v>5.0000000000000044E-2</v>
      </c>
      <c r="CI825" s="581"/>
      <c r="CJ825" s="682">
        <f>+CJ821/CF821-1</f>
        <v>5.0000000000000044E-2</v>
      </c>
      <c r="CK825" s="682">
        <f>+CK821/CG821-1</f>
        <v>5.0000000000000044E-2</v>
      </c>
      <c r="CL825" s="682">
        <f>+CL821/CH821-1</f>
        <v>5.0000000000000044E-2</v>
      </c>
      <c r="CM825" s="581"/>
      <c r="CN825" s="682">
        <f>+CN821/CJ821-1</f>
        <v>5.0000000000000044E-2</v>
      </c>
      <c r="CO825" s="682">
        <f>+CO821/CK821-1</f>
        <v>5.0000000000000044E-2</v>
      </c>
      <c r="CP825" s="682">
        <f>+CP821/CL821-1</f>
        <v>5.0000000000000044E-2</v>
      </c>
      <c r="CQ825" s="581"/>
      <c r="CR825" s="682">
        <f>+CR821/CN821-1</f>
        <v>5.0000000000000044E-2</v>
      </c>
      <c r="CS825" s="682">
        <f>+CS821/CO821-1</f>
        <v>5.0000000000000044E-2</v>
      </c>
      <c r="CT825" s="682">
        <f>+CT821/CP821-1</f>
        <v>5.0000000000000044E-2</v>
      </c>
      <c r="CU825" s="581"/>
      <c r="CV825" s="682">
        <f>+CV821/CR821-1</f>
        <v>5.0000000000000044E-2</v>
      </c>
      <c r="CW825" s="682">
        <f>+CW821/CS821-1</f>
        <v>5.0000000000000044E-2</v>
      </c>
      <c r="CX825" s="682">
        <f>+CX821/CT821-1</f>
        <v>5.0000000000000044E-2</v>
      </c>
      <c r="CY825" s="581"/>
      <c r="CZ825" s="682">
        <f>+CZ821/CV821-1</f>
        <v>5.0000000000000044E-2</v>
      </c>
      <c r="DA825" s="682">
        <f>+DA821/CW821-1</f>
        <v>5.0000000000000044E-2</v>
      </c>
      <c r="DB825" s="682">
        <f>+DB821/CX821-1</f>
        <v>5.0000000000000044E-2</v>
      </c>
      <c r="DC825" s="581"/>
      <c r="DD825" s="682">
        <f>+DD821/CZ821-1</f>
        <v>5.0000000000000044E-2</v>
      </c>
      <c r="DE825" s="682">
        <f>+DE821/DA821-1</f>
        <v>5.0000000000000044E-2</v>
      </c>
      <c r="DF825" s="682">
        <f>+DF821/DB821-1</f>
        <v>5.0000000000000044E-2</v>
      </c>
      <c r="DG825" s="581"/>
      <c r="DH825" s="682">
        <f>+DH821/DD821-1</f>
        <v>5.0000000000000044E-2</v>
      </c>
      <c r="DI825" s="682">
        <f>+DI821/DE821-1</f>
        <v>5.0000000000000044E-2</v>
      </c>
      <c r="DJ825" s="682">
        <f>+DJ821/DF821-1</f>
        <v>5.0000000000000044E-2</v>
      </c>
      <c r="DK825" s="581"/>
      <c r="DL825" s="682">
        <f>+DL821/DH821-1</f>
        <v>5.0000000000000044E-2</v>
      </c>
      <c r="DM825" s="682">
        <f>+DM821/DI821-1</f>
        <v>5.0000000000000044E-2</v>
      </c>
      <c r="DN825" s="682">
        <f>+DN821/DJ821-1</f>
        <v>5.0000000000000044E-2</v>
      </c>
      <c r="DO825" s="581"/>
      <c r="DP825" s="682">
        <f>+DP821/DL821-1</f>
        <v>5.0000000000000044E-2</v>
      </c>
      <c r="DQ825" s="682">
        <f>+DQ821/DM821-1</f>
        <v>5.0000000000000044E-2</v>
      </c>
      <c r="DR825" s="682">
        <f>+DR821/DN821-1</f>
        <v>5.0000000000000044E-2</v>
      </c>
      <c r="DS825" s="581"/>
      <c r="DT825" s="581"/>
      <c r="DU825" s="581"/>
      <c r="DV825" s="581"/>
      <c r="DW825" s="1212"/>
      <c r="DX825" s="682"/>
      <c r="DY825" s="682"/>
      <c r="DZ825" s="581"/>
      <c r="EA825" s="682"/>
      <c r="EB825" s="682"/>
      <c r="EC825" s="682"/>
      <c r="ED825" s="581"/>
      <c r="EE825" s="682"/>
      <c r="EF825" s="682"/>
      <c r="EG825" s="682"/>
      <c r="EH825" s="581"/>
      <c r="EI825" s="682"/>
      <c r="EJ825" s="682"/>
      <c r="EK825" s="682"/>
      <c r="EL825" s="581"/>
      <c r="EM825" s="581"/>
      <c r="EN825" s="581"/>
      <c r="EO825" s="581"/>
      <c r="EP825" s="581"/>
      <c r="EQ825" s="581"/>
      <c r="ER825" s="581"/>
      <c r="ES825" s="581"/>
      <c r="ET825" s="581"/>
      <c r="EU825" s="581"/>
      <c r="JW825"/>
    </row>
    <row r="826" spans="1:283" s="332" customFormat="1" hidden="1" outlineLevel="1">
      <c r="AN826" s="293"/>
      <c r="AO826" s="293"/>
      <c r="AP826" s="293"/>
      <c r="AQ826" s="293"/>
      <c r="AR826" s="293"/>
      <c r="AS826" s="293"/>
      <c r="AT826" s="293"/>
      <c r="AU826" s="293"/>
      <c r="AV826" s="293"/>
      <c r="AW826" s="293"/>
      <c r="AX826" s="293"/>
      <c r="AY826" s="293"/>
      <c r="AZ826" s="293"/>
      <c r="BA826" s="293"/>
      <c r="BB826" s="293"/>
      <c r="BC826" s="293"/>
      <c r="BD826" s="293"/>
      <c r="BG826" s="293"/>
      <c r="BH826" s="293"/>
      <c r="BK826" s="293"/>
      <c r="BL826" s="293"/>
      <c r="BO826" s="293"/>
      <c r="BP826" s="293"/>
      <c r="BS826" s="293"/>
      <c r="BT826" s="293"/>
      <c r="BW826" s="293"/>
      <c r="BX826" s="293"/>
      <c r="CA826" s="293"/>
      <c r="CB826" s="293"/>
      <c r="CC826" s="293"/>
      <c r="CD826" s="293"/>
      <c r="CE826" s="293"/>
      <c r="CF826" s="293"/>
      <c r="CG826" s="293"/>
      <c r="CH826" s="293"/>
      <c r="CI826" s="293"/>
      <c r="CJ826" s="293"/>
      <c r="CK826" s="293"/>
      <c r="CL826" s="293"/>
      <c r="CM826" s="293"/>
      <c r="CN826" s="293"/>
      <c r="CO826" s="293"/>
      <c r="CP826" s="293"/>
      <c r="CQ826" s="293"/>
      <c r="CR826" s="293"/>
      <c r="CS826" s="293"/>
      <c r="CT826" s="293"/>
      <c r="CU826" s="293"/>
      <c r="CV826" s="293"/>
      <c r="CW826" s="293"/>
      <c r="CX826" s="293"/>
      <c r="CY826" s="293"/>
      <c r="CZ826" s="293"/>
      <c r="DA826" s="293"/>
      <c r="DB826" s="293"/>
      <c r="DC826" s="293"/>
      <c r="DD826" s="293"/>
      <c r="DE826" s="293"/>
      <c r="DF826" s="293"/>
      <c r="DG826" s="293"/>
      <c r="DH826" s="293"/>
      <c r="DI826" s="293"/>
      <c r="DJ826" s="293"/>
      <c r="DK826" s="293"/>
      <c r="DL826" s="293"/>
      <c r="DM826" s="293"/>
      <c r="DN826" s="293"/>
      <c r="DO826" s="293"/>
      <c r="DP826" s="293"/>
      <c r="DQ826" s="293"/>
      <c r="DR826" s="293"/>
      <c r="DS826" s="293"/>
      <c r="DT826" s="293"/>
      <c r="DU826" s="293"/>
      <c r="DV826" s="293"/>
      <c r="DW826" s="1197"/>
      <c r="DX826" s="293"/>
      <c r="DY826" s="293"/>
      <c r="DZ826" s="293"/>
      <c r="EA826" s="293"/>
      <c r="EB826" s="293"/>
      <c r="EC826" s="293"/>
      <c r="ED826" s="293"/>
      <c r="EE826" s="293"/>
      <c r="EF826" s="293"/>
      <c r="EG826" s="293"/>
      <c r="EH826" s="293"/>
      <c r="EI826" s="293"/>
      <c r="EJ826" s="293"/>
      <c r="EK826" s="293"/>
      <c r="EL826" s="293"/>
      <c r="EM826" s="293"/>
      <c r="EN826" s="293"/>
      <c r="EO826" s="293"/>
      <c r="EP826" s="293"/>
      <c r="EQ826" s="293"/>
      <c r="ER826" s="293"/>
      <c r="ES826" s="293"/>
      <c r="ET826" s="293"/>
      <c r="EU826" s="293"/>
      <c r="JW826"/>
    </row>
    <row r="827" spans="1:283" s="332" customFormat="1" hidden="1" outlineLevel="1">
      <c r="A827" s="332" t="s">
        <v>566</v>
      </c>
      <c r="AN827" s="293"/>
      <c r="AO827" s="293"/>
      <c r="AP827" s="293"/>
      <c r="AQ827" s="293"/>
      <c r="AR827" s="293"/>
      <c r="AS827" s="293"/>
      <c r="AT827" s="293"/>
      <c r="AU827" s="293"/>
      <c r="AV827" s="293"/>
      <c r="AW827" s="293"/>
      <c r="AX827" s="293"/>
      <c r="AY827" s="293"/>
      <c r="AZ827" s="293"/>
      <c r="BA827" s="293"/>
      <c r="BB827" s="293"/>
      <c r="BC827" s="293"/>
      <c r="BD827" s="293"/>
      <c r="BE827" s="293"/>
      <c r="BF827" s="293"/>
      <c r="BG827" s="293"/>
      <c r="BH827" s="293"/>
      <c r="BI827" s="293"/>
      <c r="BJ827" s="293"/>
      <c r="BK827" s="293"/>
      <c r="BL827" s="293"/>
      <c r="BM827" s="293"/>
      <c r="BN827" s="293"/>
      <c r="BO827" s="293"/>
      <c r="BP827" s="293"/>
      <c r="BQ827" s="293"/>
      <c r="BR827" s="293"/>
      <c r="BS827" s="293"/>
      <c r="BT827" s="293"/>
      <c r="BU827" s="293"/>
      <c r="BV827" s="293"/>
      <c r="BW827" s="293"/>
      <c r="BX827" s="293"/>
      <c r="BY827" s="626"/>
      <c r="BZ827" s="293"/>
      <c r="CA827" s="293"/>
      <c r="CB827" s="293"/>
      <c r="CC827" s="293"/>
      <c r="CD827" s="293"/>
      <c r="CE827" s="293"/>
      <c r="CF827" s="293"/>
      <c r="CG827" s="293"/>
      <c r="CH827" s="293"/>
      <c r="CI827" s="293"/>
      <c r="CJ827" s="293"/>
      <c r="CK827" s="293"/>
      <c r="CL827" s="293"/>
      <c r="CM827" s="293"/>
      <c r="CN827" s="293"/>
      <c r="CO827" s="293"/>
      <c r="CP827" s="293"/>
      <c r="CQ827" s="293"/>
      <c r="CR827" s="293"/>
      <c r="CS827" s="293"/>
      <c r="CT827" s="293"/>
      <c r="CU827" s="293"/>
      <c r="CV827" s="293"/>
      <c r="CW827" s="293"/>
      <c r="CX827" s="293"/>
      <c r="CY827" s="293"/>
      <c r="CZ827" s="293"/>
      <c r="DA827" s="293"/>
      <c r="DB827" s="293"/>
      <c r="DC827" s="293"/>
      <c r="DD827" s="293"/>
      <c r="DE827" s="293"/>
      <c r="DF827" s="293"/>
      <c r="DG827" s="293"/>
      <c r="DH827" s="293"/>
      <c r="DI827" s="293"/>
      <c r="DJ827" s="293"/>
      <c r="DK827" s="293"/>
      <c r="DL827" s="293"/>
      <c r="DM827" s="293"/>
      <c r="DN827" s="293"/>
      <c r="DO827" s="293"/>
      <c r="DP827" s="293"/>
      <c r="DQ827" s="293"/>
      <c r="DR827" s="293"/>
      <c r="DS827" s="293"/>
      <c r="DT827" s="293"/>
      <c r="DU827" s="293"/>
      <c r="DV827" s="293"/>
      <c r="DW827" s="1197"/>
      <c r="DX827" s="293"/>
      <c r="DY827" s="293"/>
      <c r="DZ827" s="293"/>
      <c r="EA827" s="293"/>
      <c r="EB827" s="293"/>
      <c r="EC827" s="293"/>
      <c r="ED827" s="293"/>
      <c r="EE827" s="293"/>
      <c r="EF827" s="293"/>
      <c r="EG827" s="293"/>
      <c r="EH827" s="293"/>
      <c r="EI827" s="293"/>
      <c r="EJ827" s="293"/>
      <c r="EK827" s="293"/>
      <c r="EL827" s="293"/>
      <c r="EM827" s="293"/>
      <c r="EN827" s="293"/>
      <c r="EO827" s="293"/>
      <c r="EP827" s="293"/>
      <c r="EQ827" s="293"/>
      <c r="ER827" s="293"/>
      <c r="ES827" s="293"/>
      <c r="ET827" s="293"/>
      <c r="EU827" s="293"/>
      <c r="JW827"/>
    </row>
    <row r="828" spans="1:283" s="332" customFormat="1" hidden="1" outlineLevel="1">
      <c r="A828" s="332" t="s">
        <v>811</v>
      </c>
      <c r="AN828" s="626">
        <v>421</v>
      </c>
      <c r="AO828" s="626">
        <v>446</v>
      </c>
      <c r="AP828" s="293">
        <f>AN828+AO828</f>
        <v>867</v>
      </c>
      <c r="AQ828" s="293"/>
      <c r="AR828" s="626">
        <v>407</v>
      </c>
      <c r="AS828" s="626">
        <v>281</v>
      </c>
      <c r="AT828" s="293">
        <f>AR828+AS828</f>
        <v>688</v>
      </c>
      <c r="AU828" s="626"/>
      <c r="AV828" s="626">
        <v>374</v>
      </c>
      <c r="AW828" s="626">
        <v>340</v>
      </c>
      <c r="AX828" s="293">
        <f>AV828+AW828</f>
        <v>714</v>
      </c>
      <c r="AY828" s="293"/>
      <c r="AZ828" s="626">
        <v>372</v>
      </c>
      <c r="BA828" s="626">
        <v>343</v>
      </c>
      <c r="BB828" s="293">
        <f>AZ828+BA828</f>
        <v>715</v>
      </c>
      <c r="BC828" s="293"/>
      <c r="BD828" s="626">
        <f>283</f>
        <v>283</v>
      </c>
      <c r="BE828" s="626">
        <f>242</f>
        <v>242</v>
      </c>
      <c r="BF828" s="293">
        <f>BD828+BE828</f>
        <v>525</v>
      </c>
      <c r="BG828" s="360"/>
      <c r="BH828" s="626">
        <v>216</v>
      </c>
      <c r="BI828" s="626">
        <v>234</v>
      </c>
      <c r="BJ828" s="293">
        <f>BH828+BI828</f>
        <v>450</v>
      </c>
      <c r="BK828" s="487"/>
      <c r="BL828" s="626">
        <v>272</v>
      </c>
      <c r="BM828" s="626">
        <v>275</v>
      </c>
      <c r="BN828" s="293">
        <f>BL828+BM828</f>
        <v>547</v>
      </c>
      <c r="BO828" s="487"/>
      <c r="BP828" s="626">
        <v>262</v>
      </c>
      <c r="BQ828" s="626">
        <v>280</v>
      </c>
      <c r="BR828" s="293">
        <f>BP828+BQ828</f>
        <v>542</v>
      </c>
      <c r="BS828" s="487"/>
      <c r="BT828" s="626">
        <v>311</v>
      </c>
      <c r="BU828" s="626">
        <v>284</v>
      </c>
      <c r="BV828" s="293">
        <f>BT828+BU828</f>
        <v>595</v>
      </c>
      <c r="BW828" s="293"/>
      <c r="BX828" s="626">
        <v>274</v>
      </c>
      <c r="BY828" s="626">
        <v>284</v>
      </c>
      <c r="BZ828" s="293">
        <f>BX828+BY828</f>
        <v>558</v>
      </c>
      <c r="CA828" s="293"/>
      <c r="CB828" s="293">
        <f>+BY828*(1+CB832)</f>
        <v>292.52</v>
      </c>
      <c r="CC828" s="293">
        <f>+CB828*(1+CC832)</f>
        <v>301.29559999999998</v>
      </c>
      <c r="CD828" s="293">
        <f>CB828+CC828</f>
        <v>593.8155999999999</v>
      </c>
      <c r="CE828" s="293"/>
      <c r="CF828" s="293">
        <f>+CC828*(1+CF832)</f>
        <v>310.33446799999996</v>
      </c>
      <c r="CG828" s="293">
        <f>+CF828*(1+CG832)</f>
        <v>319.64450203999996</v>
      </c>
      <c r="CH828" s="293">
        <f>CF828+CG828</f>
        <v>629.97897003999992</v>
      </c>
      <c r="CI828" s="293"/>
      <c r="CJ828" s="293">
        <f>+CG828*(1+CJ832)</f>
        <v>329.23383710119998</v>
      </c>
      <c r="CK828" s="293">
        <f>+CJ828*(1+CK832)</f>
        <v>339.11085221423599</v>
      </c>
      <c r="CL828" s="293">
        <f>CJ828+CK828</f>
        <v>668.34468931543597</v>
      </c>
      <c r="CM828" s="293"/>
      <c r="CN828" s="293">
        <f>+CK828*(1+CN832)</f>
        <v>349.28417778066307</v>
      </c>
      <c r="CO828" s="293">
        <f>+CN828*(1+CO832)</f>
        <v>359.76270311408297</v>
      </c>
      <c r="CP828" s="293">
        <f>CN828+CO828</f>
        <v>709.04688089474598</v>
      </c>
      <c r="CQ828" s="293"/>
      <c r="CR828" s="293">
        <f>+CO828*(1+CR832)</f>
        <v>370.55558420750549</v>
      </c>
      <c r="CS828" s="293">
        <f>+CR828*(1+CS832)</f>
        <v>381.67225173373066</v>
      </c>
      <c r="CT828" s="293">
        <f>CR828+CS828</f>
        <v>752.22783594123621</v>
      </c>
      <c r="CU828" s="293"/>
      <c r="CV828" s="293">
        <f>+CS828*(1+CV832)</f>
        <v>393.12241928574258</v>
      </c>
      <c r="CW828" s="293">
        <f>+CV828*(1+CW832)</f>
        <v>404.91609186431486</v>
      </c>
      <c r="CX828" s="293">
        <f>CV828+CW828</f>
        <v>798.0385111500575</v>
      </c>
      <c r="CY828" s="293"/>
      <c r="CZ828" s="293">
        <f>+CW828*(1+CZ832)</f>
        <v>417.06357462024431</v>
      </c>
      <c r="DA828" s="293">
        <f>+CZ828*(1+DA832)</f>
        <v>429.57548185885167</v>
      </c>
      <c r="DB828" s="293">
        <f>CZ828+DA828</f>
        <v>846.63905647909598</v>
      </c>
      <c r="DC828" s="293"/>
      <c r="DD828" s="293">
        <f>+DA828*(1+DD832)</f>
        <v>442.46274631461722</v>
      </c>
      <c r="DE828" s="293">
        <f>+DD828*(1+DE832)</f>
        <v>455.73662870405576</v>
      </c>
      <c r="DF828" s="293">
        <f>DD828+DE828</f>
        <v>898.19937501867298</v>
      </c>
      <c r="DG828" s="293"/>
      <c r="DH828" s="293">
        <f>+DE828*(1+DH832)</f>
        <v>469.40872756517746</v>
      </c>
      <c r="DI828" s="293">
        <f>+DH828*(1+DI832)</f>
        <v>483.4909893921328</v>
      </c>
      <c r="DJ828" s="293">
        <f>DH828+DI828</f>
        <v>952.89971695731026</v>
      </c>
      <c r="DK828" s="293"/>
      <c r="DL828" s="293">
        <f>+DI828*(1+DL832)</f>
        <v>497.99571907389679</v>
      </c>
      <c r="DM828" s="293">
        <f>+DL828*(1+DM832)</f>
        <v>512.93559064611372</v>
      </c>
      <c r="DN828" s="293">
        <f>DL828+DM828</f>
        <v>1010.9313097200105</v>
      </c>
      <c r="DO828" s="293"/>
      <c r="DP828" s="293">
        <f>+DM828*(1+DP832)</f>
        <v>528.32365836549718</v>
      </c>
      <c r="DQ828" s="293">
        <f>+DP828*(1+DQ832)</f>
        <v>544.17336811646214</v>
      </c>
      <c r="DR828" s="293">
        <f>DP828+DQ828</f>
        <v>1072.4970264819594</v>
      </c>
      <c r="DS828" s="293"/>
      <c r="DT828" s="293"/>
      <c r="DU828" s="293"/>
      <c r="DV828" s="293"/>
      <c r="DW828" s="1197" t="s">
        <v>513</v>
      </c>
      <c r="DX828" s="293"/>
      <c r="DY828" s="293"/>
      <c r="DZ828" s="293"/>
      <c r="EA828" s="293"/>
      <c r="EB828" s="293"/>
      <c r="EC828" s="293"/>
      <c r="ED828" s="293"/>
      <c r="EE828" s="293"/>
      <c r="EF828" s="293"/>
      <c r="EG828" s="293"/>
      <c r="EH828" s="293"/>
      <c r="EI828" s="293"/>
      <c r="EJ828" s="293"/>
      <c r="EK828" s="293"/>
      <c r="EL828" s="293"/>
      <c r="EM828" s="293"/>
      <c r="EN828" s="293"/>
      <c r="EO828" s="293"/>
      <c r="EP828" s="293"/>
      <c r="EQ828" s="293"/>
      <c r="ER828" s="293"/>
      <c r="ES828" s="293"/>
      <c r="ET828" s="293"/>
      <c r="EU828" s="293"/>
      <c r="JW828"/>
    </row>
    <row r="829" spans="1:283" s="332" customFormat="1" hidden="1" outlineLevel="1">
      <c r="A829" s="332" t="s">
        <v>210</v>
      </c>
      <c r="AN829" s="626">
        <v>65</v>
      </c>
      <c r="AO829" s="626">
        <v>114</v>
      </c>
      <c r="AP829" s="293">
        <f>AN829+AO829</f>
        <v>179</v>
      </c>
      <c r="AQ829" s="293"/>
      <c r="AR829" s="626">
        <v>65</v>
      </c>
      <c r="AS829" s="626">
        <v>91</v>
      </c>
      <c r="AT829" s="293">
        <f>AR829+AS829</f>
        <v>156</v>
      </c>
      <c r="AU829" s="626"/>
      <c r="AV829" s="626">
        <v>128</v>
      </c>
      <c r="AW829" s="626">
        <v>135</v>
      </c>
      <c r="AX829" s="293">
        <f>AV829+AW829</f>
        <v>263</v>
      </c>
      <c r="AY829" s="626"/>
      <c r="AZ829" s="626">
        <f>91-0.5</f>
        <v>90.5</v>
      </c>
      <c r="BA829" s="927">
        <f>121-0.5</f>
        <v>120.5</v>
      </c>
      <c r="BB829" s="293">
        <f>AZ829+BA829</f>
        <v>211</v>
      </c>
      <c r="BC829" s="293"/>
      <c r="BD829" s="626">
        <f>89</f>
        <v>89</v>
      </c>
      <c r="BE829" s="626">
        <v>51</v>
      </c>
      <c r="BF829" s="293">
        <f>BD829+BE829</f>
        <v>140</v>
      </c>
      <c r="BG829" s="293"/>
      <c r="BH829" s="626">
        <v>26</v>
      </c>
      <c r="BI829" s="626">
        <v>26</v>
      </c>
      <c r="BJ829" s="293">
        <f>BH829+BI829</f>
        <v>52</v>
      </c>
      <c r="BK829" s="487"/>
      <c r="BL829" s="626">
        <v>43</v>
      </c>
      <c r="BM829" s="626">
        <v>43</v>
      </c>
      <c r="BN829" s="293">
        <f>BL829+BM829</f>
        <v>86</v>
      </c>
      <c r="BO829" s="487"/>
      <c r="BP829" s="626">
        <v>61</v>
      </c>
      <c r="BQ829" s="626">
        <v>49</v>
      </c>
      <c r="BR829" s="293">
        <f>BP829+BQ829</f>
        <v>110</v>
      </c>
      <c r="BS829" s="487"/>
      <c r="BT829" s="626">
        <f>60-2</f>
        <v>58</v>
      </c>
      <c r="BU829" s="626">
        <v>41</v>
      </c>
      <c r="BV829" s="293">
        <f>BT829+BU829</f>
        <v>99</v>
      </c>
      <c r="BW829" s="293"/>
      <c r="BX829" s="626">
        <f>31+8</f>
        <v>39</v>
      </c>
      <c r="BY829" s="626">
        <v>41</v>
      </c>
      <c r="BZ829" s="293">
        <f>BX829+BY829</f>
        <v>80</v>
      </c>
      <c r="CA829" s="293"/>
      <c r="CB829" s="293">
        <f>+BY829*(1+CB833)</f>
        <v>43.46</v>
      </c>
      <c r="CC829" s="293">
        <f>+CB829*(1+CC833)</f>
        <v>46.067600000000006</v>
      </c>
      <c r="CD829" s="293">
        <f>CB829+CC829</f>
        <v>89.527600000000007</v>
      </c>
      <c r="CE829" s="293"/>
      <c r="CF829" s="293">
        <f>+CC829*(1+CF833)</f>
        <v>48.831656000000009</v>
      </c>
      <c r="CG829" s="293">
        <f>+CF829*(1+CG833)</f>
        <v>51.76155536000001</v>
      </c>
      <c r="CH829" s="293">
        <f>CF829+CG829</f>
        <v>100.59321136000003</v>
      </c>
      <c r="CI829" s="293"/>
      <c r="CJ829" s="293">
        <f>+CG829*(1+CJ833)</f>
        <v>54.86724868160001</v>
      </c>
      <c r="CK829" s="293">
        <f>+CJ829*(1+CK833)</f>
        <v>58.159283602496011</v>
      </c>
      <c r="CL829" s="293">
        <f>CJ829+CK829</f>
        <v>113.02653228409602</v>
      </c>
      <c r="CM829" s="293"/>
      <c r="CN829" s="293">
        <f>+CK829*(1+CN833)</f>
        <v>61.648840618645771</v>
      </c>
      <c r="CO829" s="293">
        <f>+CN829*(1+CO833)</f>
        <v>65.347771055764525</v>
      </c>
      <c r="CP829" s="293">
        <f>CN829+CO829</f>
        <v>126.9966116744103</v>
      </c>
      <c r="CQ829" s="293"/>
      <c r="CR829" s="293">
        <f>+CO829*(1+CR833)</f>
        <v>69.268637319110397</v>
      </c>
      <c r="CS829" s="293">
        <f>+CR829*(1+CS833)</f>
        <v>73.424755558257019</v>
      </c>
      <c r="CT829" s="293">
        <f>CR829+CS829</f>
        <v>142.69339287736742</v>
      </c>
      <c r="CU829" s="293"/>
      <c r="CV829" s="293">
        <f>+CS829*(1+CV833)</f>
        <v>77.830240891752439</v>
      </c>
      <c r="CW829" s="293">
        <f>+CV829*(1+CW833)</f>
        <v>82.500055345257593</v>
      </c>
      <c r="CX829" s="293">
        <f>CV829+CW829</f>
        <v>160.33029623701003</v>
      </c>
      <c r="CY829" s="293"/>
      <c r="CZ829" s="293">
        <f>+CW829*(1+CZ833)</f>
        <v>87.450058665973046</v>
      </c>
      <c r="DA829" s="293">
        <f>+CZ829*(1+DA833)</f>
        <v>92.697062185931429</v>
      </c>
      <c r="DB829" s="293">
        <f>CZ829+DA829</f>
        <v>180.14712085190448</v>
      </c>
      <c r="DC829" s="293"/>
      <c r="DD829" s="293">
        <f>+DA829*(1+DD833)</f>
        <v>98.258885917087326</v>
      </c>
      <c r="DE829" s="293">
        <f>+DD829*(1+DE833)</f>
        <v>104.15441907211257</v>
      </c>
      <c r="DF829" s="293">
        <f>DD829+DE829</f>
        <v>202.4133049891999</v>
      </c>
      <c r="DG829" s="293"/>
      <c r="DH829" s="293">
        <f>+DE829*(1+DH833)</f>
        <v>110.40368421643933</v>
      </c>
      <c r="DI829" s="293">
        <f>+DH829*(1+DI833)</f>
        <v>117.0279052694257</v>
      </c>
      <c r="DJ829" s="293">
        <f>DH829+DI829</f>
        <v>227.43158948586503</v>
      </c>
      <c r="DK829" s="293"/>
      <c r="DL829" s="293">
        <f>+DI829*(1+DL833)</f>
        <v>124.04957958559125</v>
      </c>
      <c r="DM829" s="293">
        <f>+DL829*(1+DM833)</f>
        <v>131.49255436072673</v>
      </c>
      <c r="DN829" s="293">
        <f>DL829+DM829</f>
        <v>255.54213394631796</v>
      </c>
      <c r="DO829" s="293"/>
      <c r="DP829" s="293">
        <f>+DM829*(1+DP833)</f>
        <v>139.38210762237034</v>
      </c>
      <c r="DQ829" s="293">
        <f>+DP829*(1+DQ833)</f>
        <v>147.74503407971258</v>
      </c>
      <c r="DR829" s="293">
        <f>DP829+DQ829</f>
        <v>287.12714170208289</v>
      </c>
      <c r="DS829" s="293"/>
      <c r="DT829" s="293"/>
      <c r="DU829" s="293"/>
      <c r="DV829" s="293"/>
      <c r="DW829" s="1197"/>
      <c r="DX829" s="293"/>
      <c r="DY829" s="293"/>
      <c r="DZ829" s="293"/>
      <c r="EA829" s="293"/>
      <c r="EB829" s="293"/>
      <c r="EC829" s="293"/>
      <c r="ED829" s="293"/>
      <c r="EE829" s="293"/>
      <c r="EF829" s="293"/>
      <c r="EG829" s="293"/>
      <c r="EH829" s="293"/>
      <c r="EI829" s="293"/>
      <c r="EJ829" s="293"/>
      <c r="EK829" s="293"/>
      <c r="EL829" s="293"/>
      <c r="EM829" s="293"/>
      <c r="EN829" s="293"/>
      <c r="EO829" s="293"/>
      <c r="EP829" s="293"/>
      <c r="EQ829" s="293"/>
      <c r="ER829" s="293"/>
      <c r="ES829" s="293"/>
      <c r="ET829" s="293"/>
      <c r="EU829" s="293"/>
      <c r="JW829"/>
    </row>
    <row r="830" spans="1:283" s="327" customFormat="1" hidden="1" outlineLevel="1">
      <c r="A830" s="327" t="s">
        <v>588</v>
      </c>
      <c r="AN830" s="295">
        <f>SUM(AN828:AN829)</f>
        <v>486</v>
      </c>
      <c r="AO830" s="295">
        <f>SUM(AO828:AO829)</f>
        <v>560</v>
      </c>
      <c r="AP830" s="295">
        <f>AN830+AO830</f>
        <v>1046</v>
      </c>
      <c r="AQ830" s="295"/>
      <c r="AR830" s="295">
        <f>SUM(AR828:AR829)</f>
        <v>472</v>
      </c>
      <c r="AS830" s="295">
        <f>SUM(AS828:AS829)</f>
        <v>372</v>
      </c>
      <c r="AT830" s="295">
        <f>AR830+AS830</f>
        <v>844</v>
      </c>
      <c r="AU830" s="295"/>
      <c r="AV830" s="295">
        <f>SUM(AV828:AV829)</f>
        <v>502</v>
      </c>
      <c r="AW830" s="295">
        <f>SUM(AW828:AW829)</f>
        <v>475</v>
      </c>
      <c r="AX830" s="295">
        <f>AV830+AW830</f>
        <v>977</v>
      </c>
      <c r="AY830" s="295"/>
      <c r="AZ830" s="295">
        <f>SUM(AZ828:AZ829)</f>
        <v>462.5</v>
      </c>
      <c r="BA830" s="295">
        <f>SUM(BA828:BA829)</f>
        <v>463.5</v>
      </c>
      <c r="BB830" s="295">
        <f>AZ830+BA830</f>
        <v>926</v>
      </c>
      <c r="BC830" s="295"/>
      <c r="BD830" s="295">
        <f>SUM(BD828:BD829)</f>
        <v>372</v>
      </c>
      <c r="BE830" s="295">
        <f>SUM(BE828:BE829)</f>
        <v>293</v>
      </c>
      <c r="BF830" s="295">
        <f>BD830+BE830</f>
        <v>665</v>
      </c>
      <c r="BG830" s="295"/>
      <c r="BH830" s="295">
        <f>SUM(BH828:BH829)</f>
        <v>242</v>
      </c>
      <c r="BI830" s="295">
        <f>SUM(BI828:BI829)</f>
        <v>260</v>
      </c>
      <c r="BJ830" s="295">
        <f>BH830+BI830</f>
        <v>502</v>
      </c>
      <c r="BK830" s="295"/>
      <c r="BL830" s="295">
        <f>SUM(BL828:BL829)</f>
        <v>315</v>
      </c>
      <c r="BM830" s="295">
        <f>SUM(BM828:BM829)</f>
        <v>318</v>
      </c>
      <c r="BN830" s="295">
        <f>BL830+BM830</f>
        <v>633</v>
      </c>
      <c r="BO830" s="685"/>
      <c r="BP830" s="295">
        <f>SUM(BP828:BP829)</f>
        <v>323</v>
      </c>
      <c r="BQ830" s="295">
        <f>SUM(BQ828:BQ829)</f>
        <v>329</v>
      </c>
      <c r="BR830" s="295">
        <f>BP830+BQ830</f>
        <v>652</v>
      </c>
      <c r="BS830" s="685"/>
      <c r="BT830" s="295">
        <f>SUM(BT828:BT829)</f>
        <v>369</v>
      </c>
      <c r="BU830" s="295">
        <f>SUM(BU828:BU829)</f>
        <v>325</v>
      </c>
      <c r="BV830" s="295">
        <f>BT830+BU830</f>
        <v>694</v>
      </c>
      <c r="BW830" s="295"/>
      <c r="BX830" s="295">
        <f>SUM(BX828:BX829)</f>
        <v>313</v>
      </c>
      <c r="BY830" s="295">
        <f>SUM(BY828:BY829)</f>
        <v>325</v>
      </c>
      <c r="BZ830" s="295">
        <f>BX830+BY830</f>
        <v>638</v>
      </c>
      <c r="CA830" s="295"/>
      <c r="CB830" s="295">
        <f>SUM(CB828:CB829)</f>
        <v>335.97999999999996</v>
      </c>
      <c r="CC830" s="295">
        <f>SUM(CC828:CC829)</f>
        <v>347.36320000000001</v>
      </c>
      <c r="CD830" s="295">
        <f>CB830+CC830</f>
        <v>683.34320000000002</v>
      </c>
      <c r="CE830" s="295"/>
      <c r="CF830" s="295">
        <f>SUM(CF828:CF829)</f>
        <v>359.16612399999997</v>
      </c>
      <c r="CG830" s="295">
        <f>SUM(CG828:CG829)</f>
        <v>371.40605739999995</v>
      </c>
      <c r="CH830" s="295">
        <f>CF830+CG830</f>
        <v>730.57218139999986</v>
      </c>
      <c r="CI830" s="295"/>
      <c r="CJ830" s="295">
        <f>SUM(CJ828:CJ829)</f>
        <v>384.1010857828</v>
      </c>
      <c r="CK830" s="295">
        <f>SUM(CK828:CK829)</f>
        <v>397.27013581673202</v>
      </c>
      <c r="CL830" s="295">
        <f>CJ830+CK830</f>
        <v>781.37122159953196</v>
      </c>
      <c r="CM830" s="295"/>
      <c r="CN830" s="295">
        <f>SUM(CN828:CN829)</f>
        <v>410.93301839930882</v>
      </c>
      <c r="CO830" s="295">
        <f>SUM(CO828:CO829)</f>
        <v>425.11047416984752</v>
      </c>
      <c r="CP830" s="295">
        <f>CN830+CO830</f>
        <v>836.04349256915634</v>
      </c>
      <c r="CQ830" s="295"/>
      <c r="CR830" s="295">
        <f>SUM(CR828:CR829)</f>
        <v>439.82422152661587</v>
      </c>
      <c r="CS830" s="295">
        <f>SUM(CS828:CS829)</f>
        <v>455.09700729198767</v>
      </c>
      <c r="CT830" s="295">
        <f>CR830+CS830</f>
        <v>894.92122881860359</v>
      </c>
      <c r="CU830" s="295"/>
      <c r="CV830" s="295">
        <f>SUM(CV828:CV829)</f>
        <v>470.95266017749503</v>
      </c>
      <c r="CW830" s="295">
        <f>SUM(CW828:CW829)</f>
        <v>487.41614720957244</v>
      </c>
      <c r="CX830" s="295">
        <f>CV830+CW830</f>
        <v>958.36880738706748</v>
      </c>
      <c r="CY830" s="295"/>
      <c r="CZ830" s="295">
        <f>SUM(CZ828:CZ829)</f>
        <v>504.51363328621733</v>
      </c>
      <c r="DA830" s="295">
        <f>SUM(DA828:DA829)</f>
        <v>522.2725440447831</v>
      </c>
      <c r="DB830" s="295">
        <f>CZ830+DA830</f>
        <v>1026.7861773310005</v>
      </c>
      <c r="DC830" s="295"/>
      <c r="DD830" s="295">
        <f>SUM(DD828:DD829)</f>
        <v>540.72163223170458</v>
      </c>
      <c r="DE830" s="295">
        <f>SUM(DE828:DE829)</f>
        <v>559.89104777616831</v>
      </c>
      <c r="DF830" s="295">
        <f>DD830+DE830</f>
        <v>1100.6126800078728</v>
      </c>
      <c r="DG830" s="295"/>
      <c r="DH830" s="295">
        <f>SUM(DH828:DH829)</f>
        <v>579.81241178161679</v>
      </c>
      <c r="DI830" s="295">
        <f>SUM(DI828:DI829)</f>
        <v>600.51889466155853</v>
      </c>
      <c r="DJ830" s="295">
        <f>DH830+DI830</f>
        <v>1180.3313064431754</v>
      </c>
      <c r="DK830" s="295"/>
      <c r="DL830" s="295">
        <f>SUM(DL828:DL829)</f>
        <v>622.04529865948803</v>
      </c>
      <c r="DM830" s="295">
        <f>SUM(DM828:DM829)</f>
        <v>644.4281450068404</v>
      </c>
      <c r="DN830" s="295">
        <f>DL830+DM830</f>
        <v>1266.4734436663284</v>
      </c>
      <c r="DO830" s="295"/>
      <c r="DP830" s="295">
        <f>SUM(DP828:DP829)</f>
        <v>667.70576598786749</v>
      </c>
      <c r="DQ830" s="295">
        <f>SUM(DQ828:DQ829)</f>
        <v>691.91840219617472</v>
      </c>
      <c r="DR830" s="295">
        <f>DP830+DQ830</f>
        <v>1359.6241681840422</v>
      </c>
      <c r="DS830" s="295"/>
      <c r="DT830" s="295"/>
      <c r="DU830" s="295"/>
      <c r="DV830" s="295"/>
      <c r="DW830" s="1199"/>
      <c r="DX830" s="295"/>
      <c r="DY830" s="295"/>
      <c r="DZ830" s="295"/>
      <c r="EA830" s="295"/>
      <c r="EB830" s="295"/>
      <c r="EC830" s="295"/>
      <c r="ED830" s="295"/>
      <c r="EE830" s="295"/>
      <c r="EF830" s="295"/>
      <c r="EG830" s="295"/>
      <c r="EH830" s="295"/>
      <c r="EI830" s="295"/>
      <c r="EJ830" s="295"/>
      <c r="EK830" s="295"/>
      <c r="EL830" s="295"/>
      <c r="EM830" s="295"/>
      <c r="EN830" s="295"/>
      <c r="EO830" s="295"/>
      <c r="EP830" s="295"/>
      <c r="EQ830" s="295"/>
      <c r="ER830" s="295"/>
      <c r="ES830" s="295"/>
      <c r="ET830" s="295"/>
      <c r="EU830" s="295"/>
      <c r="JW830"/>
    </row>
    <row r="831" spans="1:283" s="327" customFormat="1" hidden="1" outlineLevel="1">
      <c r="A831" s="327" t="s">
        <v>382</v>
      </c>
      <c r="AN831" s="295"/>
      <c r="AO831" s="295"/>
      <c r="AP831" s="295"/>
      <c r="AQ831" s="295"/>
      <c r="AR831" s="295"/>
      <c r="AS831" s="295"/>
      <c r="AT831" s="295"/>
      <c r="AU831" s="295"/>
      <c r="AV831" s="295"/>
      <c r="AW831" s="295"/>
      <c r="AX831" s="295"/>
      <c r="AY831" s="295"/>
      <c r="AZ831" s="295"/>
      <c r="BA831" s="295"/>
      <c r="BB831" s="295"/>
      <c r="BC831" s="295"/>
      <c r="BD831" s="295"/>
      <c r="BE831" s="295"/>
      <c r="BF831" s="295"/>
      <c r="BG831" s="295"/>
      <c r="BH831" s="295"/>
      <c r="BI831" s="295"/>
      <c r="BJ831" s="295"/>
      <c r="BK831" s="295"/>
      <c r="BL831" s="295"/>
      <c r="BM831" s="295"/>
      <c r="BN831" s="295"/>
      <c r="BO831" s="685"/>
      <c r="BP831" s="295"/>
      <c r="BQ831" s="295"/>
      <c r="BR831" s="295"/>
      <c r="BS831" s="685"/>
      <c r="BT831" s="295"/>
      <c r="BU831" s="295"/>
      <c r="BV831" s="295"/>
      <c r="BW831" s="295"/>
      <c r="BX831" s="295"/>
      <c r="BY831" s="295"/>
      <c r="BZ831" s="295"/>
      <c r="CA831" s="295"/>
      <c r="CB831" s="295"/>
      <c r="CC831" s="295"/>
      <c r="CD831" s="295"/>
      <c r="CE831" s="295"/>
      <c r="CF831" s="295"/>
      <c r="CG831" s="295"/>
      <c r="CH831" s="295"/>
      <c r="CI831" s="295"/>
      <c r="CJ831" s="295"/>
      <c r="CK831" s="295"/>
      <c r="CL831" s="295"/>
      <c r="CM831" s="295"/>
      <c r="CN831" s="295"/>
      <c r="CO831" s="295"/>
      <c r="CP831" s="295"/>
      <c r="CQ831" s="295"/>
      <c r="CR831" s="295"/>
      <c r="CS831" s="295"/>
      <c r="CT831" s="295"/>
      <c r="CU831" s="295"/>
      <c r="CV831" s="295"/>
      <c r="CW831" s="295"/>
      <c r="CX831" s="295"/>
      <c r="CY831" s="295"/>
      <c r="CZ831" s="295"/>
      <c r="DA831" s="295"/>
      <c r="DB831" s="295"/>
      <c r="DC831" s="295"/>
      <c r="DD831" s="295"/>
      <c r="DE831" s="295"/>
      <c r="DF831" s="295"/>
      <c r="DG831" s="295"/>
      <c r="DH831" s="295"/>
      <c r="DI831" s="295"/>
      <c r="DJ831" s="295"/>
      <c r="DK831" s="295"/>
      <c r="DL831" s="295"/>
      <c r="DM831" s="295"/>
      <c r="DN831" s="295"/>
      <c r="DO831" s="295"/>
      <c r="DP831" s="295"/>
      <c r="DQ831" s="295"/>
      <c r="DR831" s="295"/>
      <c r="DS831" s="295"/>
      <c r="DT831" s="295"/>
      <c r="DU831" s="295"/>
      <c r="DV831" s="295"/>
      <c r="DW831" s="1199"/>
      <c r="DX831" s="295"/>
      <c r="DY831" s="295"/>
      <c r="DZ831" s="295"/>
      <c r="EA831" s="295"/>
      <c r="EB831" s="295"/>
      <c r="EC831" s="295"/>
      <c r="ED831" s="295"/>
      <c r="EE831" s="295"/>
      <c r="EF831" s="295"/>
      <c r="EG831" s="295"/>
      <c r="EH831" s="295"/>
      <c r="EI831" s="295"/>
      <c r="EJ831" s="295"/>
      <c r="EK831" s="295"/>
      <c r="EL831" s="295"/>
      <c r="EM831" s="295"/>
      <c r="EN831" s="295"/>
      <c r="EO831" s="295"/>
      <c r="EP831" s="295"/>
      <c r="EQ831" s="295"/>
      <c r="ER831" s="295"/>
      <c r="ES831" s="295"/>
      <c r="ET831" s="295"/>
      <c r="EU831" s="295"/>
      <c r="JW831"/>
    </row>
    <row r="832" spans="1:283" s="844" customFormat="1" hidden="1" outlineLevel="1">
      <c r="A832" s="844" t="str">
        <f>A828</f>
        <v>Brokerage and commissions</v>
      </c>
      <c r="AN832" s="297"/>
      <c r="AO832" s="297"/>
      <c r="AP832" s="297"/>
      <c r="AQ832" s="297"/>
      <c r="AR832" s="668">
        <f>+AR828/AO828-1</f>
        <v>-8.7443946188340838E-2</v>
      </c>
      <c r="AS832" s="668">
        <f>+AS828/AR828-1</f>
        <v>-0.30958230958230959</v>
      </c>
      <c r="AT832" s="297"/>
      <c r="AU832" s="297"/>
      <c r="AV832" s="668">
        <f>+AV828/AS828-1</f>
        <v>0.33096085409252662</v>
      </c>
      <c r="AW832" s="668">
        <f>+AW828/AV828-1</f>
        <v>-9.0909090909090939E-2</v>
      </c>
      <c r="AX832" s="297"/>
      <c r="AY832" s="297"/>
      <c r="AZ832" s="668">
        <f>+AZ828/AW828-1</f>
        <v>9.4117647058823639E-2</v>
      </c>
      <c r="BA832" s="668">
        <f>+BA828/AZ828-1</f>
        <v>-7.795698924731187E-2</v>
      </c>
      <c r="BB832" s="297"/>
      <c r="BC832" s="297"/>
      <c r="BD832" s="668">
        <f>+BD828/BA828-1</f>
        <v>-0.17492711370262393</v>
      </c>
      <c r="BE832" s="668">
        <f>+BE828/BD828-1</f>
        <v>-0.14487632508833925</v>
      </c>
      <c r="BF832" s="297"/>
      <c r="BG832" s="297"/>
      <c r="BH832" s="668">
        <f>+BH828/BE828-1</f>
        <v>-0.1074380165289256</v>
      </c>
      <c r="BI832" s="668">
        <f>+BI828/BH828-1</f>
        <v>8.3333333333333259E-2</v>
      </c>
      <c r="BJ832" s="297"/>
      <c r="BK832" s="297"/>
      <c r="BL832" s="668">
        <f>+BL828/BI828-1</f>
        <v>0.16239316239316248</v>
      </c>
      <c r="BM832" s="668">
        <f>+BM828/BL828-1</f>
        <v>1.1029411764705843E-2</v>
      </c>
      <c r="BN832" s="297"/>
      <c r="BO832" s="686"/>
      <c r="BP832" s="668">
        <f>+BP828/BM828-1</f>
        <v>-4.7272727272727244E-2</v>
      </c>
      <c r="BQ832" s="668">
        <f>+BQ828/BP828-1</f>
        <v>6.8702290076335881E-2</v>
      </c>
      <c r="BR832" s="297"/>
      <c r="BS832" s="686"/>
      <c r="BT832" s="668">
        <f>+BT828/BQ828-1</f>
        <v>0.11071428571428577</v>
      </c>
      <c r="BU832" s="668">
        <f>+BU828/BT828-1</f>
        <v>-8.6816720257234747E-2</v>
      </c>
      <c r="BV832" s="297"/>
      <c r="BW832" s="633"/>
      <c r="BX832" s="668">
        <f>+BX828/BU828-1</f>
        <v>-3.5211267605633756E-2</v>
      </c>
      <c r="BY832" s="668">
        <f>+BY828/BX828-1</f>
        <v>3.649635036496357E-2</v>
      </c>
      <c r="BZ832" s="297"/>
      <c r="CA832" s="297"/>
      <c r="CB832" s="670">
        <v>0.03</v>
      </c>
      <c r="CC832" s="670">
        <v>0.03</v>
      </c>
      <c r="CD832" s="297"/>
      <c r="CE832" s="297"/>
      <c r="CF832" s="670">
        <v>0.03</v>
      </c>
      <c r="CG832" s="670">
        <v>0.03</v>
      </c>
      <c r="CH832" s="297"/>
      <c r="CI832" s="297"/>
      <c r="CJ832" s="670">
        <v>0.03</v>
      </c>
      <c r="CK832" s="670">
        <v>0.03</v>
      </c>
      <c r="CL832" s="297"/>
      <c r="CM832" s="297"/>
      <c r="CN832" s="670">
        <v>0.03</v>
      </c>
      <c r="CO832" s="670">
        <v>0.03</v>
      </c>
      <c r="CP832" s="297"/>
      <c r="CQ832" s="297"/>
      <c r="CR832" s="670">
        <v>0.03</v>
      </c>
      <c r="CS832" s="670">
        <v>0.03</v>
      </c>
      <c r="CT832" s="297"/>
      <c r="CU832" s="297"/>
      <c r="CV832" s="670">
        <v>0.03</v>
      </c>
      <c r="CW832" s="670">
        <v>0.03</v>
      </c>
      <c r="CX832" s="297"/>
      <c r="CY832" s="297"/>
      <c r="CZ832" s="670">
        <v>0.03</v>
      </c>
      <c r="DA832" s="670">
        <v>0.03</v>
      </c>
      <c r="DB832" s="297"/>
      <c r="DC832" s="297"/>
      <c r="DD832" s="670">
        <v>0.03</v>
      </c>
      <c r="DE832" s="670">
        <v>0.03</v>
      </c>
      <c r="DF832" s="297"/>
      <c r="DG832" s="297"/>
      <c r="DH832" s="670">
        <v>0.03</v>
      </c>
      <c r="DI832" s="670">
        <v>0.03</v>
      </c>
      <c r="DJ832" s="297"/>
      <c r="DK832" s="297"/>
      <c r="DL832" s="670">
        <v>0.03</v>
      </c>
      <c r="DM832" s="670">
        <v>0.03</v>
      </c>
      <c r="DN832" s="297"/>
      <c r="DO832" s="297"/>
      <c r="DP832" s="670">
        <v>0.03</v>
      </c>
      <c r="DQ832" s="670">
        <v>0.03</v>
      </c>
      <c r="DR832" s="297"/>
      <c r="DS832" s="297"/>
      <c r="DT832" s="297"/>
      <c r="DU832" s="297"/>
      <c r="DV832" s="297"/>
      <c r="DW832" s="1213"/>
      <c r="DX832" s="297"/>
      <c r="DY832" s="297"/>
      <c r="DZ832" s="297"/>
      <c r="EA832" s="297"/>
      <c r="EB832" s="297"/>
      <c r="EC832" s="297"/>
      <c r="ED832" s="297"/>
      <c r="EE832" s="297"/>
      <c r="EF832" s="297"/>
      <c r="EG832" s="297"/>
      <c r="EH832" s="297"/>
      <c r="EI832" s="297"/>
      <c r="EJ832" s="297"/>
      <c r="EK832" s="297"/>
      <c r="EL832" s="297"/>
      <c r="EM832" s="297"/>
      <c r="EN832" s="297"/>
      <c r="EO832" s="297"/>
      <c r="EP832" s="297"/>
      <c r="EQ832" s="297"/>
      <c r="ER832" s="297"/>
      <c r="ES832" s="297"/>
      <c r="ET832" s="297"/>
      <c r="EU832" s="297"/>
      <c r="JW832"/>
    </row>
    <row r="833" spans="1:283" s="844" customFormat="1" hidden="1" outlineLevel="1">
      <c r="A833" s="844" t="str">
        <f>A829</f>
        <v>Other fee and commission income (ECM)</v>
      </c>
      <c r="AN833" s="297"/>
      <c r="AO833" s="297"/>
      <c r="AP833" s="297"/>
      <c r="AQ833" s="297"/>
      <c r="AR833" s="668">
        <f>+AR829/AO829-1</f>
        <v>-0.42982456140350878</v>
      </c>
      <c r="AS833" s="668">
        <f>+AS829/AR829-1</f>
        <v>0.39999999999999991</v>
      </c>
      <c r="AT833" s="297"/>
      <c r="AU833" s="297"/>
      <c r="AV833" s="668">
        <f>+AV829/AS829-1</f>
        <v>0.4065934065934067</v>
      </c>
      <c r="AW833" s="668">
        <f>+AW829/AV829-1</f>
        <v>5.46875E-2</v>
      </c>
      <c r="AX833" s="297"/>
      <c r="AY833" s="297"/>
      <c r="AZ833" s="668">
        <f>+AZ829/AW829-1</f>
        <v>-0.32962962962962961</v>
      </c>
      <c r="BA833" s="668">
        <f>+BA829/AZ829-1</f>
        <v>0.33149171270718236</v>
      </c>
      <c r="BB833" s="297"/>
      <c r="BC833" s="297"/>
      <c r="BD833" s="668">
        <f>+BD829/BA829-1</f>
        <v>-0.2614107883817427</v>
      </c>
      <c r="BE833" s="668">
        <f>+BE829/BD829-1</f>
        <v>-0.4269662921348315</v>
      </c>
      <c r="BF833" s="297"/>
      <c r="BG833" s="297"/>
      <c r="BH833" s="668">
        <f>+BH829/BE829-1</f>
        <v>-0.49019607843137258</v>
      </c>
      <c r="BI833" s="668">
        <f>+BI829/BH829-1</f>
        <v>0</v>
      </c>
      <c r="BJ833" s="297"/>
      <c r="BK833" s="297"/>
      <c r="BL833" s="668">
        <f>+BL829/BI829-1</f>
        <v>0.65384615384615374</v>
      </c>
      <c r="BM833" s="668">
        <f>+BM829/BL829-1</f>
        <v>0</v>
      </c>
      <c r="BN833" s="297"/>
      <c r="BO833" s="686"/>
      <c r="BP833" s="668">
        <f>+BP829/BM829-1</f>
        <v>0.41860465116279078</v>
      </c>
      <c r="BQ833" s="668">
        <f>+BQ829/BP829-1</f>
        <v>-0.19672131147540983</v>
      </c>
      <c r="BR833" s="297"/>
      <c r="BS833" s="686"/>
      <c r="BT833" s="668">
        <f>+BT829/BQ829-1</f>
        <v>0.18367346938775508</v>
      </c>
      <c r="BU833" s="668">
        <f>+BU829/BT829-1</f>
        <v>-0.2931034482758621</v>
      </c>
      <c r="BV833" s="297"/>
      <c r="BW833" s="633"/>
      <c r="BX833" s="668">
        <f>+BX829/BU829-1</f>
        <v>-4.8780487804878092E-2</v>
      </c>
      <c r="BY833" s="668">
        <f>+BY829/BX829-1</f>
        <v>5.1282051282051322E-2</v>
      </c>
      <c r="BZ833" s="297"/>
      <c r="CA833" s="297"/>
      <c r="CB833" s="670">
        <v>6.0000000000000053E-2</v>
      </c>
      <c r="CC833" s="670">
        <v>6.0000000000000053E-2</v>
      </c>
      <c r="CD833" s="297"/>
      <c r="CE833" s="297"/>
      <c r="CF833" s="670">
        <v>6.0000000000000053E-2</v>
      </c>
      <c r="CG833" s="670">
        <v>6.0000000000000053E-2</v>
      </c>
      <c r="CH833" s="297"/>
      <c r="CI833" s="297"/>
      <c r="CJ833" s="670">
        <v>6.0000000000000053E-2</v>
      </c>
      <c r="CK833" s="670">
        <v>6.0000000000000053E-2</v>
      </c>
      <c r="CL833" s="297"/>
      <c r="CM833" s="297"/>
      <c r="CN833" s="670">
        <v>6.0000000000000053E-2</v>
      </c>
      <c r="CO833" s="670">
        <v>6.0000000000000053E-2</v>
      </c>
      <c r="CP833" s="297"/>
      <c r="CQ833" s="297"/>
      <c r="CR833" s="670">
        <v>6.0000000000000053E-2</v>
      </c>
      <c r="CS833" s="670">
        <v>6.0000000000000053E-2</v>
      </c>
      <c r="CT833" s="297"/>
      <c r="CU833" s="297"/>
      <c r="CV833" s="670">
        <v>6.0000000000000053E-2</v>
      </c>
      <c r="CW833" s="670">
        <v>6.0000000000000053E-2</v>
      </c>
      <c r="CX833" s="297"/>
      <c r="CY833" s="297"/>
      <c r="CZ833" s="670">
        <v>6.0000000000000053E-2</v>
      </c>
      <c r="DA833" s="670">
        <v>6.0000000000000053E-2</v>
      </c>
      <c r="DB833" s="297"/>
      <c r="DC833" s="297"/>
      <c r="DD833" s="670">
        <v>6.0000000000000053E-2</v>
      </c>
      <c r="DE833" s="670">
        <v>6.0000000000000053E-2</v>
      </c>
      <c r="DF833" s="297"/>
      <c r="DG833" s="297"/>
      <c r="DH833" s="670">
        <v>6.0000000000000053E-2</v>
      </c>
      <c r="DI833" s="670">
        <v>6.0000000000000053E-2</v>
      </c>
      <c r="DJ833" s="297"/>
      <c r="DK833" s="297"/>
      <c r="DL833" s="670">
        <v>6.0000000000000053E-2</v>
      </c>
      <c r="DM833" s="670">
        <v>6.0000000000000053E-2</v>
      </c>
      <c r="DN833" s="297"/>
      <c r="DO833" s="297"/>
      <c r="DP833" s="670">
        <v>6.0000000000000053E-2</v>
      </c>
      <c r="DQ833" s="670">
        <v>6.0000000000000053E-2</v>
      </c>
      <c r="DR833" s="297"/>
      <c r="DS833" s="297"/>
      <c r="DT833" s="297"/>
      <c r="DU833" s="297"/>
      <c r="DV833" s="297"/>
      <c r="DW833" s="1213"/>
      <c r="DX833" s="297"/>
      <c r="DY833" s="297"/>
      <c r="DZ833" s="297"/>
      <c r="EA833" s="297"/>
      <c r="EB833" s="297"/>
      <c r="EC833" s="297"/>
      <c r="ED833" s="297"/>
      <c r="EE833" s="297"/>
      <c r="EF833" s="297"/>
      <c r="EG833" s="297"/>
      <c r="EH833" s="297"/>
      <c r="EI833" s="297"/>
      <c r="EJ833" s="297"/>
      <c r="EK833" s="297"/>
      <c r="EL833" s="297"/>
      <c r="EM833" s="297"/>
      <c r="EN833" s="297"/>
      <c r="EO833" s="297"/>
      <c r="EP833" s="297"/>
      <c r="EQ833" s="297"/>
      <c r="ER833" s="297"/>
      <c r="ES833" s="297"/>
      <c r="ET833" s="297"/>
      <c r="EU833" s="297"/>
      <c r="JW833"/>
    </row>
    <row r="834" spans="1:283" s="327" customFormat="1" hidden="1" outlineLevel="1">
      <c r="A834" s="327" t="str">
        <f>A830</f>
        <v>Total</v>
      </c>
      <c r="AN834" s="295"/>
      <c r="AO834" s="295"/>
      <c r="AP834" s="295"/>
      <c r="AQ834" s="295"/>
      <c r="AR834" s="672">
        <f>+AR830/AO830-1</f>
        <v>-0.15714285714285714</v>
      </c>
      <c r="AS834" s="672">
        <f>+AS830/AR830-1</f>
        <v>-0.21186440677966101</v>
      </c>
      <c r="AT834" s="295"/>
      <c r="AU834" s="295"/>
      <c r="AV834" s="672">
        <f>+AV830/AS830-1</f>
        <v>0.34946236559139776</v>
      </c>
      <c r="AW834" s="672">
        <f>+AW830/AV830-1</f>
        <v>-5.3784860557768877E-2</v>
      </c>
      <c r="AX834" s="295"/>
      <c r="AY834" s="295"/>
      <c r="AZ834" s="672">
        <f>+AZ830/AW830-1</f>
        <v>-2.6315789473684181E-2</v>
      </c>
      <c r="BA834" s="672">
        <f>+BA830/AZ830-1</f>
        <v>2.1621621621621401E-3</v>
      </c>
      <c r="BB834" s="295"/>
      <c r="BC834" s="295"/>
      <c r="BD834" s="672">
        <f>+BD830/BA830-1</f>
        <v>-0.19741100323624594</v>
      </c>
      <c r="BE834" s="672">
        <f>+BE830/BD830-1</f>
        <v>-0.2123655913978495</v>
      </c>
      <c r="BF834" s="295"/>
      <c r="BG834" s="295"/>
      <c r="BH834" s="672">
        <f>+BH830/BE830-1</f>
        <v>-0.17406143344709901</v>
      </c>
      <c r="BI834" s="672">
        <f>+BI830/BH830-1</f>
        <v>7.4380165289256173E-2</v>
      </c>
      <c r="BJ834" s="295"/>
      <c r="BK834" s="295"/>
      <c r="BL834" s="672">
        <f>+BL830/BI830-1</f>
        <v>0.21153846153846145</v>
      </c>
      <c r="BM834" s="672">
        <f>+BM830/BL830-1</f>
        <v>9.52380952380949E-3</v>
      </c>
      <c r="BN834" s="295"/>
      <c r="BO834" s="376"/>
      <c r="BP834" s="672">
        <f>+BP830/BM830-1</f>
        <v>1.572327044025168E-2</v>
      </c>
      <c r="BQ834" s="672">
        <f>+BQ830/BP830-1</f>
        <v>1.8575851393188847E-2</v>
      </c>
      <c r="BR834" s="295"/>
      <c r="BS834" s="376"/>
      <c r="BT834" s="672">
        <f>+BT830/BQ830-1</f>
        <v>0.12158054711246202</v>
      </c>
      <c r="BU834" s="672">
        <f>+BU830/BT830-1</f>
        <v>-0.1192411924119241</v>
      </c>
      <c r="BV834" s="295"/>
      <c r="BW834" s="295"/>
      <c r="BX834" s="672">
        <f>+BX830/BU830-1</f>
        <v>-3.6923076923076947E-2</v>
      </c>
      <c r="BY834" s="672">
        <f>+BY830/BX830-1</f>
        <v>3.833865814696491E-2</v>
      </c>
      <c r="BZ834" s="295"/>
      <c r="CA834" s="295"/>
      <c r="CB834" s="672">
        <f>+CB830/BY830-1</f>
        <v>3.3784615384615302E-2</v>
      </c>
      <c r="CC834" s="672">
        <f>+CC830/CB830-1</f>
        <v>3.388058813024597E-2</v>
      </c>
      <c r="CD834" s="295"/>
      <c r="CE834" s="295"/>
      <c r="CF834" s="672">
        <f>+CF830/CC830-1</f>
        <v>3.397862525448847E-2</v>
      </c>
      <c r="CG834" s="672">
        <f>+CG830/CF830-1</f>
        <v>3.4078752371423437E-2</v>
      </c>
      <c r="CH834" s="295"/>
      <c r="CI834" s="295"/>
      <c r="CJ834" s="672">
        <f>+CJ830/CG830-1</f>
        <v>3.4180994439537704E-2</v>
      </c>
      <c r="CK834" s="672">
        <f>+CK830/CJ830-1</f>
        <v>3.4285375702839849E-2</v>
      </c>
      <c r="CL834" s="295"/>
      <c r="CM834" s="295"/>
      <c r="CN834" s="672">
        <f>+CN830/CK830-1</f>
        <v>3.4391919630424317E-2</v>
      </c>
      <c r="CO834" s="672">
        <f>+CO830/CN830-1</f>
        <v>3.4500648854559168E-2</v>
      </c>
      <c r="CP834" s="295"/>
      <c r="CQ834" s="295"/>
      <c r="CR834" s="672">
        <f>+CR830/CO830-1</f>
        <v>3.461158510738005E-2</v>
      </c>
      <c r="CS834" s="672">
        <f>+CS830/CR830-1</f>
        <v>3.4724749156288981E-2</v>
      </c>
      <c r="CT834" s="295"/>
      <c r="CU834" s="295"/>
      <c r="CV834" s="672">
        <f>+CV830/CS830-1</f>
        <v>3.4840160738157655E-2</v>
      </c>
      <c r="CW834" s="672">
        <f>+CW830/CV830-1</f>
        <v>3.4957838492456039E-2</v>
      </c>
      <c r="CX834" s="295"/>
      <c r="CY834" s="295"/>
      <c r="CZ834" s="672">
        <f>+CZ830/CW830-1</f>
        <v>3.5077799893431738E-2</v>
      </c>
      <c r="DA834" s="672">
        <f>+DA830/CZ830-1</f>
        <v>3.5200061181480224E-2</v>
      </c>
      <c r="DB834" s="295"/>
      <c r="DC834" s="295"/>
      <c r="DD834" s="672">
        <f>+DD830/DA830-1</f>
        <v>3.5324637293856043E-2</v>
      </c>
      <c r="DE834" s="672">
        <f>+DE830/DD830-1</f>
        <v>3.5451541794890629E-2</v>
      </c>
      <c r="DF834" s="295"/>
      <c r="DG834" s="295"/>
      <c r="DH834" s="672">
        <f>+DH830/DE830-1</f>
        <v>3.5580786805886833E-2</v>
      </c>
      <c r="DI834" s="672">
        <f>+DI830/DH830-1</f>
        <v>3.571238293488066E-2</v>
      </c>
      <c r="DJ834" s="295"/>
      <c r="DK834" s="295"/>
      <c r="DL834" s="672">
        <f>+DL830/DI830-1</f>
        <v>3.5846339206464739E-2</v>
      </c>
      <c r="DM834" s="672">
        <f>+DM830/DL830-1</f>
        <v>3.5982662991887571E-2</v>
      </c>
      <c r="DN834" s="295"/>
      <c r="DO834" s="295"/>
      <c r="DP834" s="672">
        <f>+DP830/DM830-1</f>
        <v>3.6121359939640829E-2</v>
      </c>
      <c r="DQ834" s="672">
        <f>+DQ830/DP830-1</f>
        <v>3.6262433906774527E-2</v>
      </c>
      <c r="DR834" s="295"/>
      <c r="DS834" s="295"/>
      <c r="DT834" s="295"/>
      <c r="DU834" s="295"/>
      <c r="DV834" s="295"/>
      <c r="DW834" s="1199"/>
      <c r="DX834" s="295"/>
      <c r="DY834" s="295"/>
      <c r="DZ834" s="295"/>
      <c r="EA834" s="295"/>
      <c r="EB834" s="295"/>
      <c r="EC834" s="295"/>
      <c r="ED834" s="295"/>
      <c r="EE834" s="295"/>
      <c r="EF834" s="295"/>
      <c r="EG834" s="295"/>
      <c r="EH834" s="295"/>
      <c r="EI834" s="295"/>
      <c r="EJ834" s="295"/>
      <c r="EK834" s="295"/>
      <c r="EL834" s="295"/>
      <c r="EM834" s="295"/>
      <c r="EN834" s="295"/>
      <c r="EO834" s="295"/>
      <c r="EP834" s="295"/>
      <c r="EQ834" s="295"/>
      <c r="ER834" s="295"/>
      <c r="ES834" s="295"/>
      <c r="ET834" s="295"/>
      <c r="EU834" s="295"/>
      <c r="JW834"/>
    </row>
    <row r="835" spans="1:283" hidden="1" outlineLevel="1">
      <c r="A835" s="102" t="s">
        <v>835</v>
      </c>
      <c r="CB835" s="293"/>
      <c r="CC835" s="293"/>
      <c r="CD835" s="293"/>
      <c r="CF835" s="293"/>
      <c r="CG835" s="293"/>
      <c r="CH835" s="293"/>
      <c r="CJ835" s="293"/>
      <c r="CK835" s="293"/>
      <c r="CL835" s="293"/>
      <c r="CN835" s="293"/>
      <c r="CO835" s="293"/>
      <c r="CP835" s="293"/>
      <c r="CR835" s="293"/>
      <c r="CS835" s="293"/>
      <c r="CT835" s="293"/>
      <c r="CV835" s="293"/>
      <c r="CW835" s="293"/>
      <c r="CX835" s="293"/>
      <c r="CZ835" s="293"/>
      <c r="DA835" s="293"/>
      <c r="DB835" s="293"/>
      <c r="DD835" s="293"/>
      <c r="DE835" s="293"/>
      <c r="DF835" s="293"/>
      <c r="DH835" s="293"/>
      <c r="DI835" s="293"/>
      <c r="DJ835" s="293"/>
      <c r="DL835" s="293"/>
      <c r="DM835" s="293"/>
      <c r="DN835" s="293"/>
      <c r="DP835" s="293"/>
      <c r="DQ835" s="293"/>
      <c r="DR835" s="293"/>
      <c r="DW835" s="1197"/>
      <c r="DX835" s="293"/>
      <c r="DY835" s="293"/>
      <c r="EA835" s="293"/>
      <c r="EB835" s="293"/>
      <c r="EC835" s="293"/>
      <c r="EE835" s="293"/>
      <c r="EF835" s="293"/>
      <c r="EG835" s="293"/>
      <c r="EI835" s="293"/>
      <c r="EJ835" s="293"/>
      <c r="EK835" s="293"/>
    </row>
    <row r="836" spans="1:283" s="323" customFormat="1" hidden="1" outlineLevel="1">
      <c r="A836" s="323" t="str">
        <f>+A828</f>
        <v>Brokerage and commissions</v>
      </c>
      <c r="AN836" s="115"/>
      <c r="AO836" s="115"/>
      <c r="AP836" s="115"/>
      <c r="AQ836" s="115"/>
      <c r="AR836" s="115"/>
      <c r="AS836" s="115"/>
      <c r="AT836" s="115"/>
      <c r="AU836" s="115"/>
      <c r="AV836" s="324">
        <f t="shared" ref="AV836:AX838" si="2111">+AV828/AR828-1</f>
        <v>-8.108108108108103E-2</v>
      </c>
      <c r="AW836" s="324">
        <f t="shared" si="2111"/>
        <v>0.209964412811388</v>
      </c>
      <c r="AX836" s="324">
        <f t="shared" si="2111"/>
        <v>3.7790697674418672E-2</v>
      </c>
      <c r="AY836" s="115"/>
      <c r="AZ836" s="324">
        <f t="shared" ref="AZ836:BB838" si="2112">+AZ828/AV828-1</f>
        <v>-5.3475935828877219E-3</v>
      </c>
      <c r="BA836" s="324">
        <f t="shared" si="2112"/>
        <v>8.8235294117646745E-3</v>
      </c>
      <c r="BB836" s="324">
        <f t="shared" si="2112"/>
        <v>1.4005602240896309E-3</v>
      </c>
      <c r="BC836" s="115"/>
      <c r="BD836" s="324">
        <f t="shared" ref="BD836:BF838" si="2113">+BD828/AZ828-1</f>
        <v>-0.239247311827957</v>
      </c>
      <c r="BE836" s="324">
        <f t="shared" si="2113"/>
        <v>-0.29446064139941686</v>
      </c>
      <c r="BF836" s="324">
        <f t="shared" si="2113"/>
        <v>-0.26573426573426573</v>
      </c>
      <c r="BG836" s="115"/>
      <c r="BH836" s="324">
        <f t="shared" ref="BH836:BJ838" si="2114">+BH828/BD828-1</f>
        <v>-0.23674911660777387</v>
      </c>
      <c r="BI836" s="324">
        <f t="shared" si="2114"/>
        <v>-3.3057851239669422E-2</v>
      </c>
      <c r="BJ836" s="324">
        <f t="shared" si="2114"/>
        <v>-0.1428571428571429</v>
      </c>
      <c r="BK836" s="115"/>
      <c r="BL836" s="324">
        <f t="shared" ref="BL836:BN838" si="2115">+BL828/BH828-1</f>
        <v>0.2592592592592593</v>
      </c>
      <c r="BM836" s="324">
        <f t="shared" si="2115"/>
        <v>0.17521367521367526</v>
      </c>
      <c r="BN836" s="324">
        <f t="shared" si="2115"/>
        <v>0.2155555555555555</v>
      </c>
      <c r="BO836" s="115"/>
      <c r="BP836" s="324">
        <f t="shared" ref="BP836:BR838" si="2116">+BP828/BL828-1</f>
        <v>-3.6764705882352922E-2</v>
      </c>
      <c r="BQ836" s="324">
        <f t="shared" si="2116"/>
        <v>1.8181818181818077E-2</v>
      </c>
      <c r="BR836" s="324">
        <f t="shared" si="2116"/>
        <v>-9.1407678244972423E-3</v>
      </c>
      <c r="BS836" s="115"/>
      <c r="BT836" s="324">
        <f t="shared" ref="BT836:BV838" si="2117">+BT828/BP828-1</f>
        <v>0.18702290076335881</v>
      </c>
      <c r="BU836" s="324">
        <f t="shared" si="2117"/>
        <v>1.4285714285714235E-2</v>
      </c>
      <c r="BV836" s="324">
        <f t="shared" si="2117"/>
        <v>9.7785977859778495E-2</v>
      </c>
      <c r="BW836" s="115"/>
      <c r="BX836" s="324">
        <f t="shared" ref="BX836:BZ838" si="2118">+BX828/BT828-1</f>
        <v>-0.11897106109324762</v>
      </c>
      <c r="BY836" s="324">
        <f t="shared" si="2118"/>
        <v>0</v>
      </c>
      <c r="BZ836" s="324">
        <f t="shared" si="2118"/>
        <v>-6.2184873949579833E-2</v>
      </c>
      <c r="CA836" s="115"/>
      <c r="CB836" s="324">
        <f t="shared" ref="CB836:CD838" si="2119">+CB828/BX828-1</f>
        <v>6.7591240875912284E-2</v>
      </c>
      <c r="CC836" s="324">
        <f t="shared" si="2119"/>
        <v>6.0899999999999954E-2</v>
      </c>
      <c r="CD836" s="324">
        <f t="shared" si="2119"/>
        <v>6.4185663082437117E-2</v>
      </c>
      <c r="CE836" s="115"/>
      <c r="CF836" s="324">
        <f t="shared" ref="CF836:CJ838" si="2120">+CF828/CB828-1</f>
        <v>6.0899999999999954E-2</v>
      </c>
      <c r="CG836" s="324">
        <f t="shared" si="2120"/>
        <v>6.0899999999999954E-2</v>
      </c>
      <c r="CH836" s="324">
        <f t="shared" si="2120"/>
        <v>6.0899999999999954E-2</v>
      </c>
      <c r="CI836" s="115"/>
      <c r="CJ836" s="324">
        <f t="shared" si="2120"/>
        <v>6.0900000000000176E-2</v>
      </c>
      <c r="CK836" s="324">
        <f t="shared" ref="CK836:CK838" si="2121">+CK828/CG828-1</f>
        <v>6.0900000000000176E-2</v>
      </c>
      <c r="CL836" s="324">
        <f t="shared" ref="CL836:CL838" si="2122">+CL828/CH828-1</f>
        <v>6.0900000000000176E-2</v>
      </c>
      <c r="CM836" s="115"/>
      <c r="CN836" s="324">
        <f t="shared" ref="CN836:CP838" si="2123">+CN828/CJ828-1</f>
        <v>6.0899999999999954E-2</v>
      </c>
      <c r="CO836" s="324">
        <f t="shared" si="2123"/>
        <v>6.0899999999999954E-2</v>
      </c>
      <c r="CP836" s="324">
        <f t="shared" si="2123"/>
        <v>6.0899999999999954E-2</v>
      </c>
      <c r="CQ836" s="115"/>
      <c r="CR836" s="324">
        <f t="shared" ref="CR836:CR838" si="2124">+CR828/CN828-1</f>
        <v>6.0900000000000176E-2</v>
      </c>
      <c r="CS836" s="324">
        <f t="shared" ref="CS836:CS838" si="2125">+CS828/CO828-1</f>
        <v>6.0900000000000176E-2</v>
      </c>
      <c r="CT836" s="324">
        <f t="shared" ref="CT836:CT838" si="2126">+CT828/CP828-1</f>
        <v>6.0900000000000176E-2</v>
      </c>
      <c r="CU836" s="115"/>
      <c r="CV836" s="324">
        <f t="shared" ref="CV836:CV838" si="2127">+CV828/CR828-1</f>
        <v>6.0899999999999954E-2</v>
      </c>
      <c r="CW836" s="324">
        <f t="shared" ref="CW836:CW838" si="2128">+CW828/CS828-1</f>
        <v>6.0899999999999954E-2</v>
      </c>
      <c r="CX836" s="324">
        <f t="shared" ref="CX836:CX838" si="2129">+CX828/CT828-1</f>
        <v>6.0899999999999954E-2</v>
      </c>
      <c r="CY836" s="115"/>
      <c r="CZ836" s="324">
        <f t="shared" ref="CZ836:CZ838" si="2130">+CZ828/CV828-1</f>
        <v>6.0899999999999954E-2</v>
      </c>
      <c r="DA836" s="324">
        <f t="shared" ref="DA836:DA838" si="2131">+DA828/CW828-1</f>
        <v>6.0900000000000176E-2</v>
      </c>
      <c r="DB836" s="324">
        <f t="shared" ref="DB836:DB838" si="2132">+DB828/CX828-1</f>
        <v>6.0899999999999954E-2</v>
      </c>
      <c r="DC836" s="115"/>
      <c r="DD836" s="324">
        <f t="shared" ref="DD836:DD838" si="2133">+DD828/CZ828-1</f>
        <v>6.0900000000000176E-2</v>
      </c>
      <c r="DE836" s="324">
        <f t="shared" ref="DE836:DE838" si="2134">+DE828/DA828-1</f>
        <v>6.0899999999999954E-2</v>
      </c>
      <c r="DF836" s="324">
        <f t="shared" ref="DF836:DF838" si="2135">+DF828/DB828-1</f>
        <v>6.0899999999999954E-2</v>
      </c>
      <c r="DG836" s="115"/>
      <c r="DH836" s="324">
        <f t="shared" ref="DH836:DH838" si="2136">+DH828/DD828-1</f>
        <v>6.0900000000000176E-2</v>
      </c>
      <c r="DI836" s="324">
        <f t="shared" ref="DI836:DI838" si="2137">+DI828/DE828-1</f>
        <v>6.0900000000000176E-2</v>
      </c>
      <c r="DJ836" s="324">
        <f t="shared" ref="DJ836:DJ838" si="2138">+DJ828/DF828-1</f>
        <v>6.0900000000000176E-2</v>
      </c>
      <c r="DK836" s="115"/>
      <c r="DL836" s="324">
        <f t="shared" ref="DL836:DL838" si="2139">+DL828/DH828-1</f>
        <v>6.0899999999999954E-2</v>
      </c>
      <c r="DM836" s="324">
        <f t="shared" ref="DM836:DM838" si="2140">+DM828/DI828-1</f>
        <v>6.0900000000000176E-2</v>
      </c>
      <c r="DN836" s="324">
        <f t="shared" ref="DN836:DN838" si="2141">+DN828/DJ828-1</f>
        <v>6.0899999999999954E-2</v>
      </c>
      <c r="DO836" s="115"/>
      <c r="DP836" s="324">
        <f t="shared" ref="DP836:DP838" si="2142">+DP828/DL828-1</f>
        <v>6.0900000000000176E-2</v>
      </c>
      <c r="DQ836" s="324">
        <f t="shared" ref="DQ836:DQ838" si="2143">+DQ828/DM828-1</f>
        <v>6.0900000000000176E-2</v>
      </c>
      <c r="DR836" s="324">
        <f t="shared" ref="DR836:DR838" si="2144">+DR828/DN828-1</f>
        <v>6.0900000000000176E-2</v>
      </c>
      <c r="DS836" s="115"/>
      <c r="DT836" s="115"/>
      <c r="DU836" s="115"/>
      <c r="DV836" s="115"/>
      <c r="DW836" s="1209"/>
      <c r="DX836" s="324"/>
      <c r="DY836" s="324"/>
      <c r="DZ836" s="115"/>
      <c r="EA836" s="324"/>
      <c r="EB836" s="324"/>
      <c r="EC836" s="324"/>
      <c r="ED836" s="115"/>
      <c r="EE836" s="324"/>
      <c r="EF836" s="324"/>
      <c r="EG836" s="324"/>
      <c r="EH836" s="115"/>
      <c r="EI836" s="324"/>
      <c r="EJ836" s="324"/>
      <c r="EK836" s="324"/>
      <c r="EL836" s="115"/>
      <c r="EM836" s="115"/>
      <c r="EN836" s="115"/>
      <c r="EO836" s="115"/>
      <c r="EP836" s="115"/>
      <c r="EQ836" s="115"/>
      <c r="ER836" s="115"/>
      <c r="ES836" s="115"/>
      <c r="ET836" s="115"/>
      <c r="EU836" s="115"/>
      <c r="JW836"/>
    </row>
    <row r="837" spans="1:283" s="323" customFormat="1" hidden="1" outlineLevel="1">
      <c r="A837" s="323" t="str">
        <f>+A829</f>
        <v>Other fee and commission income (ECM)</v>
      </c>
      <c r="AN837" s="115"/>
      <c r="AO837" s="115"/>
      <c r="AP837" s="115"/>
      <c r="AQ837" s="115"/>
      <c r="AR837" s="115"/>
      <c r="AS837" s="115"/>
      <c r="AT837" s="115"/>
      <c r="AU837" s="115"/>
      <c r="AV837" s="324">
        <f t="shared" si="2111"/>
        <v>0.96923076923076934</v>
      </c>
      <c r="AW837" s="324">
        <f t="shared" si="2111"/>
        <v>0.48351648351648358</v>
      </c>
      <c r="AX837" s="324">
        <f t="shared" si="2111"/>
        <v>0.6858974358974359</v>
      </c>
      <c r="AY837" s="115"/>
      <c r="AZ837" s="324">
        <f t="shared" si="2112"/>
        <v>-0.29296875</v>
      </c>
      <c r="BA837" s="324">
        <f t="shared" si="2112"/>
        <v>-0.1074074074074074</v>
      </c>
      <c r="BB837" s="324">
        <f t="shared" si="2112"/>
        <v>-0.19771863117870725</v>
      </c>
      <c r="BC837" s="115"/>
      <c r="BD837" s="324">
        <f t="shared" si="2113"/>
        <v>-1.6574585635359074E-2</v>
      </c>
      <c r="BE837" s="324">
        <f t="shared" si="2113"/>
        <v>-0.57676348547717837</v>
      </c>
      <c r="BF837" s="324">
        <f t="shared" si="2113"/>
        <v>-0.3364928909952607</v>
      </c>
      <c r="BG837" s="115"/>
      <c r="BH837" s="324">
        <f t="shared" si="2114"/>
        <v>-0.7078651685393258</v>
      </c>
      <c r="BI837" s="324">
        <f t="shared" si="2114"/>
        <v>-0.49019607843137258</v>
      </c>
      <c r="BJ837" s="324">
        <f t="shared" si="2114"/>
        <v>-0.62857142857142856</v>
      </c>
      <c r="BK837" s="115"/>
      <c r="BL837" s="324">
        <f t="shared" si="2115"/>
        <v>0.65384615384615374</v>
      </c>
      <c r="BM837" s="324">
        <f t="shared" si="2115"/>
        <v>0.65384615384615374</v>
      </c>
      <c r="BN837" s="324">
        <f t="shared" si="2115"/>
        <v>0.65384615384615374</v>
      </c>
      <c r="BO837" s="115"/>
      <c r="BP837" s="324">
        <f t="shared" si="2116"/>
        <v>0.41860465116279078</v>
      </c>
      <c r="BQ837" s="324">
        <f t="shared" si="2116"/>
        <v>0.13953488372093026</v>
      </c>
      <c r="BR837" s="324">
        <f t="shared" si="2116"/>
        <v>0.27906976744186052</v>
      </c>
      <c r="BS837" s="115"/>
      <c r="BT837" s="324">
        <f t="shared" si="2117"/>
        <v>-4.9180327868852514E-2</v>
      </c>
      <c r="BU837" s="324">
        <f t="shared" si="2117"/>
        <v>-0.16326530612244894</v>
      </c>
      <c r="BV837" s="324">
        <f t="shared" si="2117"/>
        <v>-9.9999999999999978E-2</v>
      </c>
      <c r="BW837" s="115"/>
      <c r="BX837" s="324">
        <f t="shared" si="2118"/>
        <v>-0.32758620689655171</v>
      </c>
      <c r="BY837" s="324">
        <f t="shared" si="2118"/>
        <v>0</v>
      </c>
      <c r="BZ837" s="324">
        <f t="shared" si="2118"/>
        <v>-0.19191919191919193</v>
      </c>
      <c r="CA837" s="115"/>
      <c r="CB837" s="324">
        <f t="shared" si="2119"/>
        <v>0.11435897435897435</v>
      </c>
      <c r="CC837" s="324">
        <f t="shared" si="2119"/>
        <v>0.12360000000000015</v>
      </c>
      <c r="CD837" s="324">
        <f t="shared" si="2119"/>
        <v>0.11909500000000017</v>
      </c>
      <c r="CE837" s="115"/>
      <c r="CF837" s="324">
        <f t="shared" si="2120"/>
        <v>0.12360000000000015</v>
      </c>
      <c r="CG837" s="324">
        <f t="shared" si="2120"/>
        <v>0.12360000000000015</v>
      </c>
      <c r="CH837" s="324">
        <f t="shared" si="2120"/>
        <v>0.12360000000000015</v>
      </c>
      <c r="CI837" s="115"/>
      <c r="CJ837" s="324">
        <f t="shared" si="2120"/>
        <v>0.12359999999999993</v>
      </c>
      <c r="CK837" s="324">
        <f t="shared" si="2121"/>
        <v>0.12359999999999993</v>
      </c>
      <c r="CL837" s="324">
        <f t="shared" si="2122"/>
        <v>0.12359999999999993</v>
      </c>
      <c r="CM837" s="115"/>
      <c r="CN837" s="324">
        <f t="shared" si="2123"/>
        <v>0.12359999999999993</v>
      </c>
      <c r="CO837" s="324">
        <f t="shared" si="2123"/>
        <v>0.12360000000000015</v>
      </c>
      <c r="CP837" s="324">
        <f t="shared" si="2123"/>
        <v>0.12360000000000015</v>
      </c>
      <c r="CQ837" s="115"/>
      <c r="CR837" s="324">
        <f t="shared" si="2124"/>
        <v>0.12360000000000015</v>
      </c>
      <c r="CS837" s="324">
        <f t="shared" si="2125"/>
        <v>0.12359999999999993</v>
      </c>
      <c r="CT837" s="324">
        <f t="shared" si="2126"/>
        <v>0.12359999999999993</v>
      </c>
      <c r="CU837" s="115"/>
      <c r="CV837" s="324">
        <f t="shared" si="2127"/>
        <v>0.12359999999999993</v>
      </c>
      <c r="CW837" s="324">
        <f t="shared" si="2128"/>
        <v>0.12360000000000015</v>
      </c>
      <c r="CX837" s="324">
        <f t="shared" si="2129"/>
        <v>0.12359999999999993</v>
      </c>
      <c r="CY837" s="115"/>
      <c r="CZ837" s="324">
        <f t="shared" si="2130"/>
        <v>0.12360000000000015</v>
      </c>
      <c r="DA837" s="324">
        <f t="shared" si="2131"/>
        <v>0.12359999999999993</v>
      </c>
      <c r="DB837" s="324">
        <f t="shared" si="2132"/>
        <v>0.12359999999999993</v>
      </c>
      <c r="DC837" s="115"/>
      <c r="DD837" s="324">
        <f t="shared" si="2133"/>
        <v>0.12360000000000015</v>
      </c>
      <c r="DE837" s="324">
        <f t="shared" si="2134"/>
        <v>0.12360000000000015</v>
      </c>
      <c r="DF837" s="324">
        <f t="shared" si="2135"/>
        <v>0.12360000000000015</v>
      </c>
      <c r="DG837" s="115"/>
      <c r="DH837" s="324">
        <f t="shared" si="2136"/>
        <v>0.12360000000000015</v>
      </c>
      <c r="DI837" s="324">
        <f t="shared" si="2137"/>
        <v>0.12360000000000015</v>
      </c>
      <c r="DJ837" s="324">
        <f t="shared" si="2138"/>
        <v>0.12360000000000015</v>
      </c>
      <c r="DK837" s="115"/>
      <c r="DL837" s="324">
        <f t="shared" si="2139"/>
        <v>0.12360000000000015</v>
      </c>
      <c r="DM837" s="324">
        <f t="shared" si="2140"/>
        <v>0.12360000000000015</v>
      </c>
      <c r="DN837" s="324">
        <f t="shared" si="2141"/>
        <v>0.12360000000000015</v>
      </c>
      <c r="DO837" s="115"/>
      <c r="DP837" s="324">
        <f t="shared" si="2142"/>
        <v>0.12360000000000015</v>
      </c>
      <c r="DQ837" s="324">
        <f t="shared" si="2143"/>
        <v>0.12360000000000015</v>
      </c>
      <c r="DR837" s="324">
        <f t="shared" si="2144"/>
        <v>0.12360000000000015</v>
      </c>
      <c r="DS837" s="115"/>
      <c r="DT837" s="115"/>
      <c r="DU837" s="115"/>
      <c r="DV837" s="115"/>
      <c r="DW837" s="1209"/>
      <c r="DX837" s="324"/>
      <c r="DY837" s="324"/>
      <c r="DZ837" s="115"/>
      <c r="EA837" s="324"/>
      <c r="EB837" s="324"/>
      <c r="EC837" s="324"/>
      <c r="ED837" s="115"/>
      <c r="EE837" s="324"/>
      <c r="EF837" s="324"/>
      <c r="EG837" s="324"/>
      <c r="EH837" s="115"/>
      <c r="EI837" s="324"/>
      <c r="EJ837" s="324"/>
      <c r="EK837" s="324"/>
      <c r="EL837" s="115"/>
      <c r="EM837" s="115"/>
      <c r="EN837" s="115"/>
      <c r="EO837" s="115"/>
      <c r="EP837" s="115"/>
      <c r="EQ837" s="115"/>
      <c r="ER837" s="115"/>
      <c r="ES837" s="115"/>
      <c r="ET837" s="115"/>
      <c r="EU837" s="115"/>
      <c r="JW837"/>
    </row>
    <row r="838" spans="1:283" s="328" customFormat="1" hidden="1" outlineLevel="1">
      <c r="A838" s="328" t="str">
        <f>+A830</f>
        <v>Total</v>
      </c>
      <c r="AN838" s="581"/>
      <c r="AO838" s="581"/>
      <c r="AP838" s="581"/>
      <c r="AQ838" s="581"/>
      <c r="AR838" s="581"/>
      <c r="AS838" s="581"/>
      <c r="AT838" s="581"/>
      <c r="AU838" s="581"/>
      <c r="AV838" s="682">
        <f t="shared" si="2111"/>
        <v>6.3559322033898358E-2</v>
      </c>
      <c r="AW838" s="682">
        <f t="shared" si="2111"/>
        <v>0.2768817204301075</v>
      </c>
      <c r="AX838" s="682">
        <f t="shared" si="2111"/>
        <v>0.15758293838862558</v>
      </c>
      <c r="AY838" s="581"/>
      <c r="AZ838" s="682">
        <f t="shared" si="2112"/>
        <v>-7.8685258964143467E-2</v>
      </c>
      <c r="BA838" s="682">
        <f t="shared" si="2112"/>
        <v>-2.421052631578946E-2</v>
      </c>
      <c r="BB838" s="682">
        <f t="shared" si="2112"/>
        <v>-5.2200614124872091E-2</v>
      </c>
      <c r="BC838" s="581"/>
      <c r="BD838" s="682">
        <f t="shared" si="2113"/>
        <v>-0.19567567567567568</v>
      </c>
      <c r="BE838" s="682">
        <f t="shared" si="2113"/>
        <v>-0.3678532901833873</v>
      </c>
      <c r="BF838" s="682">
        <f t="shared" si="2113"/>
        <v>-0.28185745140388774</v>
      </c>
      <c r="BG838" s="581"/>
      <c r="BH838" s="682">
        <f t="shared" si="2114"/>
        <v>-0.34946236559139787</v>
      </c>
      <c r="BI838" s="682">
        <f t="shared" si="2114"/>
        <v>-0.11262798634812288</v>
      </c>
      <c r="BJ838" s="682">
        <f t="shared" si="2114"/>
        <v>-0.24511278195488717</v>
      </c>
      <c r="BK838" s="581"/>
      <c r="BL838" s="682">
        <f t="shared" si="2115"/>
        <v>0.30165289256198347</v>
      </c>
      <c r="BM838" s="682">
        <f t="shared" si="2115"/>
        <v>0.22307692307692317</v>
      </c>
      <c r="BN838" s="682">
        <f t="shared" si="2115"/>
        <v>0.26095617529880477</v>
      </c>
      <c r="BO838" s="581"/>
      <c r="BP838" s="682">
        <f t="shared" si="2116"/>
        <v>2.5396825396825307E-2</v>
      </c>
      <c r="BQ838" s="682">
        <f t="shared" si="2116"/>
        <v>3.4591194968553562E-2</v>
      </c>
      <c r="BR838" s="682">
        <f t="shared" si="2116"/>
        <v>3.0015797788309539E-2</v>
      </c>
      <c r="BS838" s="581"/>
      <c r="BT838" s="682">
        <f t="shared" si="2117"/>
        <v>0.14241486068111464</v>
      </c>
      <c r="BU838" s="682">
        <f t="shared" si="2117"/>
        <v>-1.2158054711246202E-2</v>
      </c>
      <c r="BV838" s="682">
        <f t="shared" si="2117"/>
        <v>6.4417177914110502E-2</v>
      </c>
      <c r="BW838" s="581"/>
      <c r="BX838" s="682">
        <f t="shared" si="2118"/>
        <v>-0.1517615176151762</v>
      </c>
      <c r="BY838" s="682">
        <f t="shared" si="2118"/>
        <v>0</v>
      </c>
      <c r="BZ838" s="682">
        <f t="shared" si="2118"/>
        <v>-8.0691642651296802E-2</v>
      </c>
      <c r="CA838" s="581"/>
      <c r="CB838" s="682">
        <f t="shared" si="2119"/>
        <v>7.3418530351437639E-2</v>
      </c>
      <c r="CC838" s="682">
        <f t="shared" si="2119"/>
        <v>6.8809846153846221E-2</v>
      </c>
      <c r="CD838" s="682">
        <f t="shared" si="2119"/>
        <v>7.1070846394984288E-2</v>
      </c>
      <c r="CE838" s="581"/>
      <c r="CF838" s="682">
        <f t="shared" si="2120"/>
        <v>6.9010429192213785E-2</v>
      </c>
      <c r="CG838" s="682">
        <f t="shared" si="2120"/>
        <v>6.9215326781881137E-2</v>
      </c>
      <c r="CH838" s="682">
        <f t="shared" si="2120"/>
        <v>6.9114584589412553E-2</v>
      </c>
      <c r="CI838" s="581"/>
      <c r="CJ838" s="682">
        <f t="shared" si="2120"/>
        <v>6.9424592456275303E-2</v>
      </c>
      <c r="CK838" s="682">
        <f t="shared" si="2121"/>
        <v>6.9638278378633789E-2</v>
      </c>
      <c r="CL838" s="682">
        <f t="shared" si="2122"/>
        <v>6.9533225453760839E-2</v>
      </c>
      <c r="CM838" s="581"/>
      <c r="CN838" s="682">
        <f t="shared" si="2123"/>
        <v>6.9856435218935253E-2</v>
      </c>
      <c r="CO838" s="682">
        <f t="shared" si="2123"/>
        <v>7.0079112027586987E-2</v>
      </c>
      <c r="CP838" s="682">
        <f t="shared" si="2123"/>
        <v>6.9969650095003111E-2</v>
      </c>
      <c r="CQ838" s="581"/>
      <c r="CR838" s="682">
        <f t="shared" si="2124"/>
        <v>7.0306356106028645E-2</v>
      </c>
      <c r="CS838" s="682">
        <f t="shared" si="2125"/>
        <v>7.05382128744243E-2</v>
      </c>
      <c r="CT838" s="682">
        <f t="shared" si="2126"/>
        <v>7.0424250380224152E-2</v>
      </c>
      <c r="CU838" s="581"/>
      <c r="CV838" s="682">
        <f t="shared" si="2127"/>
        <v>7.0774725736644006E-2</v>
      </c>
      <c r="CW838" s="682">
        <f t="shared" si="2128"/>
        <v>7.1015935942749353E-2</v>
      </c>
      <c r="CX838" s="682">
        <f t="shared" si="2129"/>
        <v>7.0897389094481289E-2</v>
      </c>
      <c r="CY838" s="581"/>
      <c r="CZ838" s="682">
        <f t="shared" si="2130"/>
        <v>7.1261882449233038E-2</v>
      </c>
      <c r="DA838" s="682">
        <f t="shared" si="2131"/>
        <v>7.15126017772727E-2</v>
      </c>
      <c r="DB838" s="682">
        <f t="shared" si="2132"/>
        <v>7.1389395623662644E-2</v>
      </c>
      <c r="DC838" s="581"/>
      <c r="DD838" s="682">
        <f t="shared" si="2133"/>
        <v>7.1768127869293874E-2</v>
      </c>
      <c r="DE838" s="682">
        <f t="shared" si="2134"/>
        <v>7.2028491944159168E-2</v>
      </c>
      <c r="DF838" s="682">
        <f t="shared" si="2135"/>
        <v>7.1900561486691217E-2</v>
      </c>
      <c r="DG838" s="581"/>
      <c r="DH838" s="682">
        <f t="shared" si="2136"/>
        <v>7.2293722351321588E-2</v>
      </c>
      <c r="DI838" s="682">
        <f t="shared" si="2137"/>
        <v>7.2563844424303525E-2</v>
      </c>
      <c r="DJ838" s="682">
        <f t="shared" si="2138"/>
        <v>7.2431135751345632E-2</v>
      </c>
      <c r="DK838" s="581"/>
      <c r="DL838" s="682">
        <f t="shared" si="2139"/>
        <v>7.283888033390018E-2</v>
      </c>
      <c r="DM838" s="682">
        <f t="shared" si="2140"/>
        <v>7.3118848941511327E-2</v>
      </c>
      <c r="DN838" s="682">
        <f t="shared" si="2141"/>
        <v>7.298132037413696E-2</v>
      </c>
      <c r="DO838" s="581"/>
      <c r="DP838" s="682">
        <f t="shared" si="2142"/>
        <v>7.3403765653045072E-2</v>
      </c>
      <c r="DQ838" s="682">
        <f t="shared" si="2143"/>
        <v>7.3693642273849225E-2</v>
      </c>
      <c r="DR838" s="682">
        <f t="shared" si="2144"/>
        <v>7.355126551098512E-2</v>
      </c>
      <c r="DS838" s="581"/>
      <c r="DT838" s="581"/>
      <c r="DU838" s="581"/>
      <c r="DV838" s="581"/>
      <c r="DW838" s="1212"/>
      <c r="DX838" s="682"/>
      <c r="DY838" s="682"/>
      <c r="DZ838" s="581"/>
      <c r="EA838" s="682"/>
      <c r="EB838" s="682"/>
      <c r="EC838" s="682"/>
      <c r="ED838" s="581"/>
      <c r="EE838" s="682"/>
      <c r="EF838" s="682"/>
      <c r="EG838" s="682"/>
      <c r="EH838" s="581"/>
      <c r="EI838" s="682"/>
      <c r="EJ838" s="682"/>
      <c r="EK838" s="682"/>
      <c r="EL838" s="581"/>
      <c r="EM838" s="581"/>
      <c r="EN838" s="581"/>
      <c r="EO838" s="581"/>
      <c r="EP838" s="581"/>
      <c r="EQ838" s="581"/>
      <c r="ER838" s="581"/>
      <c r="ES838" s="581"/>
      <c r="ET838" s="581"/>
      <c r="EU838" s="581"/>
      <c r="JW838"/>
    </row>
    <row r="839" spans="1:283" hidden="1" outlineLevel="1">
      <c r="CR839" s="103"/>
      <c r="CS839" s="103"/>
      <c r="CT839" s="103"/>
      <c r="CV839" s="103"/>
      <c r="CW839" s="103"/>
      <c r="CX839" s="103"/>
      <c r="CZ839" s="103"/>
      <c r="DA839" s="103"/>
      <c r="DB839" s="103"/>
      <c r="DD839" s="103"/>
      <c r="DE839" s="103"/>
      <c r="DF839" s="103"/>
      <c r="DH839" s="103"/>
      <c r="DI839" s="103"/>
      <c r="DJ839" s="103"/>
      <c r="DL839" s="103"/>
      <c r="DM839" s="103"/>
      <c r="DN839" s="103"/>
      <c r="DP839" s="103"/>
      <c r="DQ839" s="103"/>
      <c r="DR839" s="103"/>
      <c r="DW839" s="1101"/>
    </row>
    <row r="840" spans="1:283" s="332" customFormat="1" hidden="1" outlineLevel="1">
      <c r="A840" s="332" t="s">
        <v>899</v>
      </c>
      <c r="AN840" s="293"/>
      <c r="AO840" s="293"/>
      <c r="AP840" s="293"/>
      <c r="AQ840" s="293"/>
      <c r="AR840" s="293"/>
      <c r="AS840" s="293"/>
      <c r="AT840" s="293"/>
      <c r="AU840" s="293"/>
      <c r="AV840" s="293"/>
      <c r="AW840" s="293"/>
      <c r="AX840" s="293"/>
      <c r="AY840" s="293"/>
      <c r="AZ840" s="293"/>
      <c r="BA840" s="293"/>
      <c r="BB840" s="293"/>
      <c r="BC840" s="293"/>
      <c r="BD840" s="293"/>
      <c r="BE840" s="293"/>
      <c r="BF840" s="293"/>
      <c r="BG840" s="293"/>
      <c r="BH840" s="293"/>
      <c r="BI840" s="293"/>
      <c r="BJ840" s="293"/>
      <c r="BK840" s="293"/>
      <c r="BL840" s="293"/>
      <c r="BM840" s="293"/>
      <c r="BN840" s="293"/>
      <c r="BO840" s="293"/>
      <c r="BP840" s="293"/>
      <c r="BQ840" s="293"/>
      <c r="BR840" s="293"/>
      <c r="BS840" s="293"/>
      <c r="BT840" s="293"/>
      <c r="BU840" s="293"/>
      <c r="BV840" s="293"/>
      <c r="BW840" s="293"/>
      <c r="BX840" s="293"/>
      <c r="BY840" s="293"/>
      <c r="BZ840" s="293"/>
      <c r="CA840" s="293"/>
      <c r="CB840" s="293"/>
      <c r="CC840" s="293"/>
      <c r="CD840" s="293"/>
      <c r="CE840" s="293"/>
      <c r="CF840" s="293"/>
      <c r="CG840" s="293"/>
      <c r="CH840" s="293"/>
      <c r="CI840" s="293"/>
      <c r="CJ840" s="293"/>
      <c r="CK840" s="293"/>
      <c r="CL840" s="293"/>
      <c r="CM840" s="293"/>
      <c r="CN840" s="293"/>
      <c r="CO840" s="293"/>
      <c r="CP840" s="293"/>
      <c r="CQ840" s="293"/>
      <c r="CR840" s="293"/>
      <c r="CS840" s="293"/>
      <c r="CT840" s="293"/>
      <c r="CU840" s="293"/>
      <c r="CV840" s="293"/>
      <c r="CW840" s="293"/>
      <c r="CX840" s="293"/>
      <c r="CY840" s="293"/>
      <c r="CZ840" s="293"/>
      <c r="DA840" s="293"/>
      <c r="DB840" s="293"/>
      <c r="DC840" s="293"/>
      <c r="DD840" s="293"/>
      <c r="DE840" s="293"/>
      <c r="DF840" s="293"/>
      <c r="DG840" s="293"/>
      <c r="DH840" s="293"/>
      <c r="DI840" s="293"/>
      <c r="DJ840" s="293"/>
      <c r="DK840" s="293"/>
      <c r="DL840" s="293"/>
      <c r="DM840" s="293"/>
      <c r="DN840" s="293"/>
      <c r="DO840" s="293"/>
      <c r="DP840" s="293"/>
      <c r="DQ840" s="293"/>
      <c r="DR840" s="293"/>
      <c r="DS840" s="293"/>
      <c r="DT840" s="293"/>
      <c r="DU840" s="293"/>
      <c r="DV840" s="293"/>
      <c r="DW840" s="1197"/>
      <c r="DX840" s="293"/>
      <c r="DY840" s="293"/>
      <c r="DZ840" s="293"/>
      <c r="EA840" s="293"/>
      <c r="EB840" s="293"/>
      <c r="EC840" s="293"/>
      <c r="ED840" s="293"/>
      <c r="EE840" s="293"/>
      <c r="EF840" s="293"/>
      <c r="EG840" s="293"/>
      <c r="EH840" s="293"/>
      <c r="EI840" s="293"/>
      <c r="EJ840" s="293"/>
      <c r="EK840" s="293"/>
      <c r="EL840" s="293"/>
      <c r="EM840" s="293"/>
      <c r="EN840" s="293"/>
      <c r="EO840" s="293"/>
      <c r="EP840" s="293"/>
      <c r="EQ840" s="293"/>
      <c r="ER840" s="293"/>
      <c r="ES840" s="293"/>
      <c r="ET840" s="293"/>
      <c r="EU840" s="293"/>
      <c r="JW840"/>
    </row>
    <row r="841" spans="1:283" s="332" customFormat="1" hidden="1" outlineLevel="1">
      <c r="A841" s="332" t="str">
        <f>A805</f>
        <v>Employment expenses</v>
      </c>
      <c r="AN841" s="492">
        <f t="shared" ref="AN841:AP843" si="2145">AN805</f>
        <v>-119</v>
      </c>
      <c r="AO841" s="492">
        <f t="shared" si="2145"/>
        <v>-133</v>
      </c>
      <c r="AP841" s="492">
        <f t="shared" si="2145"/>
        <v>-252</v>
      </c>
      <c r="AQ841" s="293"/>
      <c r="AR841" s="492">
        <f t="shared" ref="AR841:AT843" si="2146">AR805</f>
        <v>-142</v>
      </c>
      <c r="AS841" s="492">
        <f t="shared" si="2146"/>
        <v>-197</v>
      </c>
      <c r="AT841" s="492">
        <f t="shared" si="2146"/>
        <v>-339</v>
      </c>
      <c r="AU841" s="626"/>
      <c r="AV841" s="492">
        <f t="shared" ref="AV841:AX843" si="2147">AV805</f>
        <v>-128</v>
      </c>
      <c r="AW841" s="492">
        <f t="shared" si="2147"/>
        <v>-150</v>
      </c>
      <c r="AX841" s="492">
        <f t="shared" si="2147"/>
        <v>-278</v>
      </c>
      <c r="AY841" s="626"/>
      <c r="AZ841" s="492">
        <f t="shared" ref="AZ841:BB843" si="2148">AZ805</f>
        <v>-174</v>
      </c>
      <c r="BA841" s="492">
        <f t="shared" si="2148"/>
        <v>-208</v>
      </c>
      <c r="BB841" s="492">
        <f t="shared" si="2148"/>
        <v>-382</v>
      </c>
      <c r="BC841" s="293"/>
      <c r="BD841" s="492">
        <f t="shared" ref="BD841:BF843" si="2149">BD805</f>
        <v>-149</v>
      </c>
      <c r="BE841" s="492">
        <f t="shared" si="2149"/>
        <v>-159</v>
      </c>
      <c r="BF841" s="492">
        <f t="shared" si="2149"/>
        <v>-308</v>
      </c>
      <c r="BG841" s="293"/>
      <c r="BH841" s="492">
        <f t="shared" ref="BH841:BJ843" si="2150">BH805</f>
        <v>-117</v>
      </c>
      <c r="BI841" s="492">
        <f t="shared" si="2150"/>
        <v>-105</v>
      </c>
      <c r="BJ841" s="492">
        <f t="shared" si="2150"/>
        <v>-222</v>
      </c>
      <c r="BK841" s="487"/>
      <c r="BL841" s="492">
        <f t="shared" ref="BL841:BN843" si="2151">BL805</f>
        <v>-117</v>
      </c>
      <c r="BM841" s="492">
        <f t="shared" si="2151"/>
        <v>-123</v>
      </c>
      <c r="BN841" s="492">
        <f t="shared" si="2151"/>
        <v>-240</v>
      </c>
      <c r="BO841" s="487"/>
      <c r="BP841" s="492">
        <f t="shared" ref="BP841:BR843" si="2152">BP805</f>
        <v>-127</v>
      </c>
      <c r="BQ841" s="492">
        <f t="shared" si="2152"/>
        <v>-124</v>
      </c>
      <c r="BR841" s="492">
        <f t="shared" si="2152"/>
        <v>-251</v>
      </c>
      <c r="BS841" s="487"/>
      <c r="BT841" s="492">
        <f t="shared" ref="BT841:BV843" si="2153">BT805</f>
        <v>-127</v>
      </c>
      <c r="BU841" s="492">
        <f t="shared" si="2153"/>
        <v>-143</v>
      </c>
      <c r="BV841" s="492">
        <f t="shared" si="2153"/>
        <v>-270</v>
      </c>
      <c r="BW841" s="293"/>
      <c r="BX841" s="492">
        <f t="shared" ref="BX841:BZ843" si="2154">BX805</f>
        <v>-135</v>
      </c>
      <c r="BY841" s="492">
        <f t="shared" si="2154"/>
        <v>-143</v>
      </c>
      <c r="BZ841" s="492">
        <f t="shared" si="2154"/>
        <v>-278</v>
      </c>
      <c r="CA841" s="293"/>
      <c r="CB841" s="293">
        <f t="shared" ref="CB841:CC843" si="2155">+BX841*(1+CB846)</f>
        <v>-143.1</v>
      </c>
      <c r="CC841" s="293">
        <f t="shared" si="2155"/>
        <v>-151.58000000000001</v>
      </c>
      <c r="CD841" s="293">
        <f>CB841+CC841</f>
        <v>-294.68</v>
      </c>
      <c r="CE841" s="293"/>
      <c r="CF841" s="293">
        <f>+CB841*(1+CF846)</f>
        <v>-151.68600000000001</v>
      </c>
      <c r="CG841" s="293">
        <f>+CC841*(1+CG846)</f>
        <v>-160.67480000000003</v>
      </c>
      <c r="CH841" s="293">
        <f>CF841+CG841</f>
        <v>-312.36080000000004</v>
      </c>
      <c r="CI841" s="293"/>
      <c r="CJ841" s="293">
        <f>+CF841*(1+CJ846)</f>
        <v>-160.78716000000003</v>
      </c>
      <c r="CK841" s="293">
        <f>+CG841*(1+CK846)</f>
        <v>-170.31528800000004</v>
      </c>
      <c r="CL841" s="293">
        <f>CJ841+CK841</f>
        <v>-331.10244800000009</v>
      </c>
      <c r="CM841" s="293"/>
      <c r="CN841" s="293">
        <f>+CJ841*(1+CN846)</f>
        <v>-170.43438960000003</v>
      </c>
      <c r="CO841" s="293">
        <f>+CK841*(1+CO846)</f>
        <v>-180.53420528000004</v>
      </c>
      <c r="CP841" s="293">
        <f>CN841+CO841</f>
        <v>-350.96859488000007</v>
      </c>
      <c r="CQ841" s="293"/>
      <c r="CR841" s="293">
        <f>+CN841*(1+CR846)</f>
        <v>-180.66045297600004</v>
      </c>
      <c r="CS841" s="293">
        <f>+CO841*(1+CS846)</f>
        <v>-191.36625759680004</v>
      </c>
      <c r="CT841" s="293">
        <f>CR841+CS841</f>
        <v>-372.02671057280008</v>
      </c>
      <c r="CU841" s="293"/>
      <c r="CV841" s="293">
        <f>+CR841*(1+CV846)</f>
        <v>-191.50008015456007</v>
      </c>
      <c r="CW841" s="293">
        <f>+CS841*(1+CW846)</f>
        <v>-202.84823305260807</v>
      </c>
      <c r="CX841" s="293">
        <f>CV841+CW841</f>
        <v>-394.34831320716813</v>
      </c>
      <c r="CY841" s="293"/>
      <c r="CZ841" s="293">
        <f>+CV841*(1+CZ846)</f>
        <v>-202.99008496383368</v>
      </c>
      <c r="DA841" s="293">
        <f>+CW841*(1+DA846)</f>
        <v>-215.01912703576457</v>
      </c>
      <c r="DB841" s="293">
        <f>CZ841+DA841</f>
        <v>-418.00921199959828</v>
      </c>
      <c r="DC841" s="293"/>
      <c r="DD841" s="293">
        <f>+CZ841*(1+DD846)</f>
        <v>-215.16949006166371</v>
      </c>
      <c r="DE841" s="293">
        <f>+DA841*(1+DE846)</f>
        <v>-227.92027465791045</v>
      </c>
      <c r="DF841" s="293">
        <f>DD841+DE841</f>
        <v>-443.08976471957419</v>
      </c>
      <c r="DG841" s="293"/>
      <c r="DH841" s="293">
        <f>+DD841*(1+DH846)</f>
        <v>-228.07965946536353</v>
      </c>
      <c r="DI841" s="293">
        <f>+DE841*(1+DI846)</f>
        <v>-241.5954911373851</v>
      </c>
      <c r="DJ841" s="293">
        <f>DH841+DI841</f>
        <v>-469.67515060274866</v>
      </c>
      <c r="DK841" s="293"/>
      <c r="DL841" s="293">
        <f>+DH841*(1+DL846)</f>
        <v>-241.76443903328536</v>
      </c>
      <c r="DM841" s="293">
        <f>+DI841*(1+DM846)</f>
        <v>-256.09122060562822</v>
      </c>
      <c r="DN841" s="293">
        <f>DL841+DM841</f>
        <v>-497.85565963891361</v>
      </c>
      <c r="DO841" s="293"/>
      <c r="DP841" s="293">
        <f>+DL841*(1+DP846)</f>
        <v>-256.27030537528248</v>
      </c>
      <c r="DQ841" s="293">
        <f>+DM841*(1+DQ846)</f>
        <v>-271.45669384196594</v>
      </c>
      <c r="DR841" s="293">
        <f>DP841+DQ841</f>
        <v>-527.72699921724848</v>
      </c>
      <c r="DS841" s="293"/>
      <c r="DT841" s="293"/>
      <c r="DU841" s="293"/>
      <c r="DV841" s="293"/>
      <c r="DW841" s="828" t="s">
        <v>514</v>
      </c>
      <c r="DX841" s="293"/>
      <c r="DY841" s="293"/>
      <c r="DZ841" s="293"/>
      <c r="EA841" s="293"/>
      <c r="EB841" s="293"/>
      <c r="EC841" s="293"/>
      <c r="ED841" s="293"/>
      <c r="EE841" s="293"/>
      <c r="EF841" s="293"/>
      <c r="EG841" s="293"/>
      <c r="EH841" s="293"/>
      <c r="EI841" s="293"/>
      <c r="EJ841" s="293"/>
      <c r="EK841" s="293"/>
      <c r="EL841" s="293"/>
      <c r="EM841" s="293"/>
      <c r="EN841" s="293"/>
      <c r="EO841" s="293"/>
      <c r="EP841" s="293"/>
      <c r="EQ841" s="293"/>
      <c r="ER841" s="293"/>
      <c r="ES841" s="293"/>
      <c r="ET841" s="293"/>
      <c r="EU841" s="293"/>
      <c r="JW841"/>
    </row>
    <row r="842" spans="1:283" s="332" customFormat="1" hidden="1" outlineLevel="1">
      <c r="A842" s="332" t="str">
        <f>A806</f>
        <v>Brokerage and commission expenses</v>
      </c>
      <c r="AN842" s="492">
        <f t="shared" si="2145"/>
        <v>-137</v>
      </c>
      <c r="AO842" s="492">
        <f t="shared" si="2145"/>
        <v>-223</v>
      </c>
      <c r="AP842" s="492">
        <f t="shared" si="2145"/>
        <v>-360</v>
      </c>
      <c r="AQ842" s="293"/>
      <c r="AR842" s="492">
        <f t="shared" si="2146"/>
        <v>-146</v>
      </c>
      <c r="AS842" s="492">
        <f t="shared" si="2146"/>
        <v>-110</v>
      </c>
      <c r="AT842" s="492">
        <f t="shared" si="2146"/>
        <v>-256</v>
      </c>
      <c r="AU842" s="626"/>
      <c r="AV842" s="492">
        <f t="shared" si="2147"/>
        <v>-140</v>
      </c>
      <c r="AW842" s="492">
        <f t="shared" si="2147"/>
        <v>-78</v>
      </c>
      <c r="AX842" s="492">
        <f t="shared" si="2147"/>
        <v>-218</v>
      </c>
      <c r="AY842" s="626"/>
      <c r="AZ842" s="492">
        <f t="shared" si="2148"/>
        <v>-106</v>
      </c>
      <c r="BA842" s="492">
        <f t="shared" si="2148"/>
        <v>-136</v>
      </c>
      <c r="BB842" s="492">
        <f t="shared" si="2148"/>
        <v>-242</v>
      </c>
      <c r="BC842" s="293"/>
      <c r="BD842" s="492">
        <f t="shared" si="2149"/>
        <v>-145</v>
      </c>
      <c r="BE842" s="492">
        <f t="shared" si="2149"/>
        <v>-91.333299999999994</v>
      </c>
      <c r="BF842" s="492">
        <f t="shared" si="2149"/>
        <v>-236.33330000000001</v>
      </c>
      <c r="BG842" s="293"/>
      <c r="BH842" s="492">
        <f t="shared" si="2150"/>
        <v>-72</v>
      </c>
      <c r="BI842" s="492">
        <f t="shared" si="2150"/>
        <v>-59</v>
      </c>
      <c r="BJ842" s="492">
        <f t="shared" si="2150"/>
        <v>-131</v>
      </c>
      <c r="BK842" s="487"/>
      <c r="BL842" s="492">
        <f t="shared" si="2151"/>
        <v>-66</v>
      </c>
      <c r="BM842" s="492">
        <f t="shared" si="2151"/>
        <v>-64</v>
      </c>
      <c r="BN842" s="492">
        <f t="shared" si="2151"/>
        <v>-130</v>
      </c>
      <c r="BO842" s="487"/>
      <c r="BP842" s="492">
        <f t="shared" si="2152"/>
        <v>-71</v>
      </c>
      <c r="BQ842" s="492">
        <f t="shared" si="2152"/>
        <v>-87</v>
      </c>
      <c r="BR842" s="492">
        <f t="shared" si="2152"/>
        <v>-158</v>
      </c>
      <c r="BS842" s="487"/>
      <c r="BT842" s="492">
        <f t="shared" si="2153"/>
        <v>-115</v>
      </c>
      <c r="BU842" s="492">
        <f t="shared" si="2153"/>
        <v>-93</v>
      </c>
      <c r="BV842" s="492">
        <f t="shared" si="2153"/>
        <v>-208</v>
      </c>
      <c r="BW842" s="293"/>
      <c r="BX842" s="492">
        <f t="shared" si="2154"/>
        <v>-102</v>
      </c>
      <c r="BY842" s="492">
        <f t="shared" si="2154"/>
        <v>-93</v>
      </c>
      <c r="BZ842" s="492">
        <f t="shared" si="2154"/>
        <v>-195</v>
      </c>
      <c r="CA842" s="293"/>
      <c r="CB842" s="293">
        <f t="shared" ca="1" si="2155"/>
        <v>-93.606399999999994</v>
      </c>
      <c r="CC842" s="293">
        <f t="shared" ca="1" si="2155"/>
        <v>-96.414591999999999</v>
      </c>
      <c r="CD842" s="293">
        <f ca="1">CB842+CC842</f>
        <v>-190.02099199999998</v>
      </c>
      <c r="CE842" s="293"/>
      <c r="CF842" s="293">
        <f>-CF851*CF828</f>
        <v>-99.307029759999992</v>
      </c>
      <c r="CG842" s="293">
        <f>-CG851*CG828</f>
        <v>-102.28624065279999</v>
      </c>
      <c r="CH842" s="293">
        <f>CF842+CG842</f>
        <v>-201.5932704128</v>
      </c>
      <c r="CI842" s="293"/>
      <c r="CJ842" s="293">
        <f>-CJ851*CJ828</f>
        <v>-105.35482787238399</v>
      </c>
      <c r="CK842" s="293">
        <f>-CK851*CK828</f>
        <v>-108.51547270855552</v>
      </c>
      <c r="CL842" s="293">
        <f>CJ842+CK842</f>
        <v>-213.8703005809395</v>
      </c>
      <c r="CM842" s="293"/>
      <c r="CN842" s="293">
        <f>-CN851*CN828</f>
        <v>-111.77093688981219</v>
      </c>
      <c r="CO842" s="293">
        <f>-CO851*CO828</f>
        <v>-115.12406499650655</v>
      </c>
      <c r="CP842" s="293">
        <f>CN842+CO842</f>
        <v>-226.89500188631874</v>
      </c>
      <c r="CQ842" s="293"/>
      <c r="CR842" s="293">
        <f>-CR851*CR828</f>
        <v>-118.57778694640176</v>
      </c>
      <c r="CS842" s="293">
        <f>-CS851*CS828</f>
        <v>-122.13512055479382</v>
      </c>
      <c r="CT842" s="293">
        <f>CR842+CS842</f>
        <v>-240.71290750119556</v>
      </c>
      <c r="CU842" s="293"/>
      <c r="CV842" s="293">
        <f>-CV851*CV828</f>
        <v>-125.79917417143763</v>
      </c>
      <c r="CW842" s="293">
        <f>-CW851*CW828</f>
        <v>-129.57314939658076</v>
      </c>
      <c r="CX842" s="293">
        <f>CV842+CW842</f>
        <v>-255.37232356801837</v>
      </c>
      <c r="CY842" s="293"/>
      <c r="CZ842" s="293">
        <f>-CZ851*CZ828</f>
        <v>-133.46034387847817</v>
      </c>
      <c r="DA842" s="293">
        <f>-DA851*DA828</f>
        <v>-137.46415419483253</v>
      </c>
      <c r="DB842" s="293">
        <f>CZ842+DA842</f>
        <v>-270.9244980733107</v>
      </c>
      <c r="DC842" s="293"/>
      <c r="DD842" s="293">
        <f>-DD851*DD828</f>
        <v>-141.58807882067751</v>
      </c>
      <c r="DE842" s="293">
        <f>-DE851*DE828</f>
        <v>-145.83572118529784</v>
      </c>
      <c r="DF842" s="293">
        <f>DD842+DE842</f>
        <v>-287.42380000597535</v>
      </c>
      <c r="DG842" s="293"/>
      <c r="DH842" s="293">
        <f>-DH851*DH828</f>
        <v>-150.2107928208568</v>
      </c>
      <c r="DI842" s="293">
        <f>-DI851*DI828</f>
        <v>-154.71711660548249</v>
      </c>
      <c r="DJ842" s="293">
        <f>DH842+DI842</f>
        <v>-304.92790942633928</v>
      </c>
      <c r="DK842" s="293"/>
      <c r="DL842" s="293">
        <f>-DL851*DL828</f>
        <v>-159.35863010364699</v>
      </c>
      <c r="DM842" s="293">
        <f>-DM851*DM828</f>
        <v>-164.1393890067564</v>
      </c>
      <c r="DN842" s="293">
        <f>DL842+DM842</f>
        <v>-323.49801911040339</v>
      </c>
      <c r="DO842" s="293"/>
      <c r="DP842" s="293">
        <f>-DP851*DP828</f>
        <v>-169.0635706769591</v>
      </c>
      <c r="DQ842" s="293">
        <f>-DQ851*DQ828</f>
        <v>-174.1354777972679</v>
      </c>
      <c r="DR842" s="293">
        <f>DP842+DQ842</f>
        <v>-343.19904847422697</v>
      </c>
      <c r="DS842" s="293"/>
      <c r="DT842" s="293"/>
      <c r="DU842" s="293"/>
      <c r="DV842" s="293"/>
      <c r="DW842" s="828" t="s">
        <v>514</v>
      </c>
      <c r="DX842" s="293"/>
      <c r="DY842" s="293"/>
      <c r="DZ842" s="293"/>
      <c r="EA842" s="293"/>
      <c r="EB842" s="293"/>
      <c r="EC842" s="293"/>
      <c r="ED842" s="293"/>
      <c r="EE842" s="293"/>
      <c r="EF842" s="293"/>
      <c r="EG842" s="293"/>
      <c r="EH842" s="293"/>
      <c r="EI842" s="293"/>
      <c r="EJ842" s="293"/>
      <c r="EK842" s="293"/>
      <c r="EL842" s="293"/>
      <c r="EM842" s="293"/>
      <c r="EN842" s="293"/>
      <c r="EO842" s="293"/>
      <c r="EP842" s="293"/>
      <c r="EQ842" s="293"/>
      <c r="ER842" s="293"/>
      <c r="ES842" s="293"/>
      <c r="ET842" s="293"/>
      <c r="EU842" s="293"/>
      <c r="JW842"/>
    </row>
    <row r="843" spans="1:283" s="332" customFormat="1" hidden="1" outlineLevel="1">
      <c r="A843" s="332" t="str">
        <f>A807</f>
        <v>Other operating expenses</v>
      </c>
      <c r="AN843" s="492">
        <f t="shared" si="2145"/>
        <v>-144</v>
      </c>
      <c r="AO843" s="492">
        <f t="shared" si="2145"/>
        <v>-194</v>
      </c>
      <c r="AP843" s="492">
        <f t="shared" si="2145"/>
        <v>-338</v>
      </c>
      <c r="AQ843" s="293"/>
      <c r="AR843" s="492">
        <f t="shared" si="2146"/>
        <v>-222</v>
      </c>
      <c r="AS843" s="492">
        <f t="shared" si="2146"/>
        <v>-252</v>
      </c>
      <c r="AT843" s="492">
        <f t="shared" si="2146"/>
        <v>-474</v>
      </c>
      <c r="AU843" s="626"/>
      <c r="AV843" s="492">
        <f t="shared" si="2147"/>
        <v>-195</v>
      </c>
      <c r="AW843" s="492">
        <f t="shared" si="2147"/>
        <v>-209</v>
      </c>
      <c r="AX843" s="492">
        <f t="shared" si="2147"/>
        <v>-404</v>
      </c>
      <c r="AY843" s="626"/>
      <c r="AZ843" s="492">
        <f t="shared" si="2148"/>
        <v>-243.5</v>
      </c>
      <c r="BA843" s="492">
        <f t="shared" si="2148"/>
        <v>-255.5</v>
      </c>
      <c r="BB843" s="492">
        <f t="shared" si="2148"/>
        <v>-499</v>
      </c>
      <c r="BC843" s="293"/>
      <c r="BD843" s="492">
        <f t="shared" si="2149"/>
        <v>-266</v>
      </c>
      <c r="BE843" s="492">
        <f t="shared" si="2149"/>
        <v>-277</v>
      </c>
      <c r="BF843" s="492">
        <f t="shared" si="2149"/>
        <v>-543</v>
      </c>
      <c r="BG843" s="293"/>
      <c r="BH843" s="492">
        <f t="shared" si="2150"/>
        <v>-183</v>
      </c>
      <c r="BI843" s="492">
        <f t="shared" si="2150"/>
        <v>-177</v>
      </c>
      <c r="BJ843" s="492">
        <f t="shared" si="2150"/>
        <v>-360</v>
      </c>
      <c r="BK843" s="487"/>
      <c r="BL843" s="492">
        <f t="shared" si="2151"/>
        <v>-182</v>
      </c>
      <c r="BM843" s="492">
        <f t="shared" si="2151"/>
        <v>-206</v>
      </c>
      <c r="BN843" s="492">
        <f t="shared" si="2151"/>
        <v>-388</v>
      </c>
      <c r="BO843" s="487"/>
      <c r="BP843" s="492">
        <f t="shared" si="2152"/>
        <v>-216</v>
      </c>
      <c r="BQ843" s="492">
        <f t="shared" si="2152"/>
        <v>-229</v>
      </c>
      <c r="BR843" s="492">
        <f t="shared" si="2152"/>
        <v>-445</v>
      </c>
      <c r="BS843" s="487"/>
      <c r="BT843" s="492">
        <f t="shared" si="2153"/>
        <v>-236</v>
      </c>
      <c r="BU843" s="492">
        <f t="shared" si="2153"/>
        <v>-238</v>
      </c>
      <c r="BV843" s="492">
        <f t="shared" si="2153"/>
        <v>-474</v>
      </c>
      <c r="BW843" s="293"/>
      <c r="BX843" s="492">
        <f t="shared" si="2154"/>
        <v>-228</v>
      </c>
      <c r="BY843" s="492">
        <f t="shared" si="2154"/>
        <v>-238</v>
      </c>
      <c r="BZ843" s="492">
        <f t="shared" si="2154"/>
        <v>-466</v>
      </c>
      <c r="CA843" s="293"/>
      <c r="CB843" s="293">
        <f t="shared" si="2155"/>
        <v>-234.84</v>
      </c>
      <c r="CC843" s="293">
        <f t="shared" si="2155"/>
        <v>-245.14000000000001</v>
      </c>
      <c r="CD843" s="293">
        <f>CB843+CC843</f>
        <v>-479.98</v>
      </c>
      <c r="CE843" s="293"/>
      <c r="CF843" s="293">
        <f>+CB843*(1+CF848)</f>
        <v>-241.8852</v>
      </c>
      <c r="CG843" s="293">
        <f>+CC843*(1+CG848)</f>
        <v>-252.49420000000003</v>
      </c>
      <c r="CH843" s="293">
        <f>CF843+CG843</f>
        <v>-494.37940000000003</v>
      </c>
      <c r="CI843" s="293"/>
      <c r="CJ843" s="293">
        <f>+CF843*(1+CJ848)</f>
        <v>-249.14175600000002</v>
      </c>
      <c r="CK843" s="293">
        <f>+CG843*(1+CK848)</f>
        <v>-260.06902600000006</v>
      </c>
      <c r="CL843" s="293">
        <f>CJ843+CK843</f>
        <v>-509.21078200000011</v>
      </c>
      <c r="CM843" s="293"/>
      <c r="CN843" s="293">
        <f>+CJ843*(1+CN848)</f>
        <v>-256.61600868000005</v>
      </c>
      <c r="CO843" s="293">
        <f>+CK843*(1+CO848)</f>
        <v>-267.87109678000007</v>
      </c>
      <c r="CP843" s="293">
        <f>CN843+CO843</f>
        <v>-524.48710546000007</v>
      </c>
      <c r="CQ843" s="293"/>
      <c r="CR843" s="293">
        <f>+CN843*(1+CR848)</f>
        <v>-264.31448894040005</v>
      </c>
      <c r="CS843" s="293">
        <f>+CO843*(1+CS848)</f>
        <v>-275.90722968340009</v>
      </c>
      <c r="CT843" s="293">
        <f>CR843+CS843</f>
        <v>-540.22171862380014</v>
      </c>
      <c r="CU843" s="293"/>
      <c r="CV843" s="293">
        <f>+CR843*(1+CV848)</f>
        <v>-272.24392360861208</v>
      </c>
      <c r="CW843" s="293">
        <f>+CS843*(1+CW848)</f>
        <v>-284.18444657390211</v>
      </c>
      <c r="CX843" s="293">
        <f>CV843+CW843</f>
        <v>-556.42837018251419</v>
      </c>
      <c r="CY843" s="293"/>
      <c r="CZ843" s="293">
        <f>+CV843*(1+CZ848)</f>
        <v>-280.41124131687047</v>
      </c>
      <c r="DA843" s="293">
        <f>+CW843*(1+DA848)</f>
        <v>-292.7099799711192</v>
      </c>
      <c r="DB843" s="293">
        <f>CZ843+DA843</f>
        <v>-573.12122128798967</v>
      </c>
      <c r="DC843" s="293"/>
      <c r="DD843" s="293">
        <f>+CZ843*(1+DD848)</f>
        <v>-288.82357855637662</v>
      </c>
      <c r="DE843" s="293">
        <f>+DA843*(1+DE848)</f>
        <v>-301.49127937025276</v>
      </c>
      <c r="DF843" s="293">
        <f>DD843+DE843</f>
        <v>-590.31485792662943</v>
      </c>
      <c r="DG843" s="293"/>
      <c r="DH843" s="293">
        <f>+DD843*(1+DH848)</f>
        <v>-297.4882859130679</v>
      </c>
      <c r="DI843" s="293">
        <f>+DE843*(1+DI848)</f>
        <v>-310.53601775136036</v>
      </c>
      <c r="DJ843" s="293">
        <f>DH843+DI843</f>
        <v>-608.02430366442832</v>
      </c>
      <c r="DK843" s="293"/>
      <c r="DL843" s="293">
        <f>+DH843*(1+DL848)</f>
        <v>-306.41293449045992</v>
      </c>
      <c r="DM843" s="293">
        <f>+DI843*(1+DM848)</f>
        <v>-319.85209828390117</v>
      </c>
      <c r="DN843" s="293">
        <f>DL843+DM843</f>
        <v>-626.26503277436109</v>
      </c>
      <c r="DO843" s="293"/>
      <c r="DP843" s="293">
        <f>+DL843*(1+DP848)</f>
        <v>-315.60532252517373</v>
      </c>
      <c r="DQ843" s="293">
        <f>+DM843*(1+DQ848)</f>
        <v>-329.44766123241823</v>
      </c>
      <c r="DR843" s="293">
        <f>DP843+DQ843</f>
        <v>-645.05298375759196</v>
      </c>
      <c r="DS843" s="293"/>
      <c r="DT843" s="293"/>
      <c r="DU843" s="293"/>
      <c r="DV843" s="293"/>
      <c r="DW843" s="828" t="s">
        <v>514</v>
      </c>
      <c r="DX843" s="293"/>
      <c r="DY843" s="293"/>
      <c r="DZ843" s="293"/>
      <c r="EA843" s="293"/>
      <c r="EB843" s="293"/>
      <c r="EC843" s="293"/>
      <c r="ED843" s="293"/>
      <c r="EE843" s="293"/>
      <c r="EF843" s="293"/>
      <c r="EG843" s="293"/>
      <c r="EH843" s="293"/>
      <c r="EI843" s="293"/>
      <c r="EJ843" s="293"/>
      <c r="EK843" s="293"/>
      <c r="EL843" s="293"/>
      <c r="EM843" s="293"/>
      <c r="EN843" s="293"/>
      <c r="EO843" s="293"/>
      <c r="EP843" s="293"/>
      <c r="EQ843" s="293"/>
      <c r="ER843" s="293"/>
      <c r="ES843" s="293"/>
      <c r="ET843" s="293"/>
      <c r="EU843" s="293"/>
      <c r="JW843"/>
    </row>
    <row r="844" spans="1:283" s="332" customFormat="1" hidden="1" outlineLevel="1">
      <c r="A844" s="332" t="s">
        <v>913</v>
      </c>
      <c r="AN844" s="820">
        <f>SUM(AN841:AN843)</f>
        <v>-400</v>
      </c>
      <c r="AO844" s="820">
        <f>SUM(AO841:AO843)</f>
        <v>-550</v>
      </c>
      <c r="AP844" s="820">
        <f>SUM(AP841:AP843)</f>
        <v>-950</v>
      </c>
      <c r="AQ844" s="293"/>
      <c r="AR844" s="820">
        <f>SUM(AR841:AR843)</f>
        <v>-510</v>
      </c>
      <c r="AS844" s="820">
        <f>SUM(AS841:AS843)</f>
        <v>-559</v>
      </c>
      <c r="AT844" s="820">
        <f>SUM(AT841:AT843)</f>
        <v>-1069</v>
      </c>
      <c r="AU844" s="626"/>
      <c r="AV844" s="820">
        <f>SUM(AV841:AV843)</f>
        <v>-463</v>
      </c>
      <c r="AW844" s="820">
        <f>SUM(AW841:AW843)</f>
        <v>-437</v>
      </c>
      <c r="AX844" s="820">
        <f>SUM(AX841:AX843)</f>
        <v>-900</v>
      </c>
      <c r="AY844" s="626"/>
      <c r="AZ844" s="820">
        <f>SUM(AZ841:AZ843)</f>
        <v>-523.5</v>
      </c>
      <c r="BA844" s="820">
        <f>SUM(BA841:BA843)</f>
        <v>-599.5</v>
      </c>
      <c r="BB844" s="820">
        <f>SUM(BB841:BB843)</f>
        <v>-1123</v>
      </c>
      <c r="BC844" s="293"/>
      <c r="BD844" s="820">
        <f>SUM(BD841:BD843)</f>
        <v>-560</v>
      </c>
      <c r="BE844" s="820">
        <f>SUM(BE841:BE843)</f>
        <v>-527.33330000000001</v>
      </c>
      <c r="BF844" s="820">
        <f>SUM(BF841:BF843)</f>
        <v>-1087.3333</v>
      </c>
      <c r="BG844" s="293"/>
      <c r="BH844" s="820">
        <f>SUM(BH841:BH843)</f>
        <v>-372</v>
      </c>
      <c r="BI844" s="820">
        <f>SUM(BI841:BI843)</f>
        <v>-341</v>
      </c>
      <c r="BJ844" s="820">
        <f>SUM(BJ841:BJ843)</f>
        <v>-713</v>
      </c>
      <c r="BK844" s="487"/>
      <c r="BL844" s="820">
        <f>SUM(BL841:BL843)</f>
        <v>-365</v>
      </c>
      <c r="BM844" s="820">
        <f>SUM(BM841:BM843)</f>
        <v>-393</v>
      </c>
      <c r="BN844" s="820">
        <f>SUM(BN841:BN843)</f>
        <v>-758</v>
      </c>
      <c r="BO844" s="487"/>
      <c r="BP844" s="820">
        <f>SUM(BP841:BP843)</f>
        <v>-414</v>
      </c>
      <c r="BQ844" s="820">
        <f>SUM(BQ841:BQ843)</f>
        <v>-440</v>
      </c>
      <c r="BR844" s="820">
        <f>SUM(BR841:BR843)</f>
        <v>-854</v>
      </c>
      <c r="BS844" s="487"/>
      <c r="BT844" s="820">
        <f>SUM(BT841:BT843)</f>
        <v>-478</v>
      </c>
      <c r="BU844" s="820">
        <f>SUM(BU841:BU843)</f>
        <v>-474</v>
      </c>
      <c r="BV844" s="820">
        <f>SUM(BV841:BV843)</f>
        <v>-952</v>
      </c>
      <c r="BW844" s="293"/>
      <c r="BX844" s="820">
        <f>SUM(BX841:BX843)</f>
        <v>-465</v>
      </c>
      <c r="BY844" s="820">
        <f>SUM(BY841:BY843)</f>
        <v>-474</v>
      </c>
      <c r="BZ844" s="820">
        <f>SUM(BZ841:BZ843)</f>
        <v>-939</v>
      </c>
      <c r="CA844" s="293"/>
      <c r="CB844" s="820">
        <f ca="1">SUM(CB841:CB843)</f>
        <v>-471.54639999999995</v>
      </c>
      <c r="CC844" s="820">
        <f ca="1">SUM(CC841:CC843)</f>
        <v>-493.134592</v>
      </c>
      <c r="CD844" s="820">
        <f ca="1">SUM(CD841:CD843)</f>
        <v>-964.68099200000006</v>
      </c>
      <c r="CE844" s="293"/>
      <c r="CF844" s="820">
        <f>SUM(CF841:CF843)</f>
        <v>-492.87822976000001</v>
      </c>
      <c r="CG844" s="820">
        <f>SUM(CG841:CG843)</f>
        <v>-515.45524065280006</v>
      </c>
      <c r="CH844" s="820">
        <f>SUM(CH841:CH843)</f>
        <v>-1008.3334704128001</v>
      </c>
      <c r="CI844" s="293"/>
      <c r="CJ844" s="820">
        <f>SUM(CJ841:CJ843)</f>
        <v>-515.28374387238398</v>
      </c>
      <c r="CK844" s="820">
        <f>SUM(CK841:CK843)</f>
        <v>-538.89978670855567</v>
      </c>
      <c r="CL844" s="820">
        <f>SUM(CL841:CL843)</f>
        <v>-1054.1835305809398</v>
      </c>
      <c r="CM844" s="293"/>
      <c r="CN844" s="820">
        <f>SUM(CN841:CN843)</f>
        <v>-538.8213351698123</v>
      </c>
      <c r="CO844" s="820">
        <f>SUM(CO841:CO843)</f>
        <v>-563.52936705650666</v>
      </c>
      <c r="CP844" s="820">
        <f>SUM(CP841:CP843)</f>
        <v>-1102.3507022263188</v>
      </c>
      <c r="CQ844" s="293"/>
      <c r="CR844" s="820">
        <f>SUM(CR841:CR843)</f>
        <v>-563.55272886280181</v>
      </c>
      <c r="CS844" s="820">
        <f>SUM(CS841:CS843)</f>
        <v>-589.40860783499397</v>
      </c>
      <c r="CT844" s="820">
        <f>SUM(CT841:CT843)</f>
        <v>-1152.9613366977958</v>
      </c>
      <c r="CU844" s="293"/>
      <c r="CV844" s="820">
        <f>SUM(CV841:CV843)</f>
        <v>-589.54317793460973</v>
      </c>
      <c r="CW844" s="820">
        <f>SUM(CW841:CW843)</f>
        <v>-616.60582902309102</v>
      </c>
      <c r="CX844" s="820">
        <f>SUM(CX841:CX843)</f>
        <v>-1206.1490069577007</v>
      </c>
      <c r="CY844" s="293"/>
      <c r="CZ844" s="820">
        <f>SUM(CZ841:CZ843)</f>
        <v>-616.86167015918227</v>
      </c>
      <c r="DA844" s="820">
        <f>SUM(DA841:DA843)</f>
        <v>-645.19326120171627</v>
      </c>
      <c r="DB844" s="820">
        <f>SUM(DB841:DB843)</f>
        <v>-1262.0549313608985</v>
      </c>
      <c r="DC844" s="293"/>
      <c r="DD844" s="820">
        <f>SUM(DD841:DD843)</f>
        <v>-645.58114743871784</v>
      </c>
      <c r="DE844" s="820">
        <f>SUM(DE841:DE843)</f>
        <v>-675.24727521346108</v>
      </c>
      <c r="DF844" s="820">
        <f>SUM(DF841:DF843)</f>
        <v>-1320.8284226521789</v>
      </c>
      <c r="DG844" s="293"/>
      <c r="DH844" s="820">
        <f>SUM(DH841:DH843)</f>
        <v>-675.77873819928823</v>
      </c>
      <c r="DI844" s="820">
        <f>SUM(DI841:DI843)</f>
        <v>-706.84862549422792</v>
      </c>
      <c r="DJ844" s="820">
        <f>SUM(DJ841:DJ843)</f>
        <v>-1382.6273636935161</v>
      </c>
      <c r="DK844" s="293"/>
      <c r="DL844" s="820">
        <f>SUM(DL841:DL843)</f>
        <v>-707.53600362739235</v>
      </c>
      <c r="DM844" s="820">
        <f>SUM(DM841:DM843)</f>
        <v>-740.0827078962858</v>
      </c>
      <c r="DN844" s="820">
        <f>SUM(DN841:DN843)</f>
        <v>-1447.618711523678</v>
      </c>
      <c r="DO844" s="293"/>
      <c r="DP844" s="820">
        <f>SUM(DP841:DP843)</f>
        <v>-740.93919857741525</v>
      </c>
      <c r="DQ844" s="820">
        <f>SUM(DQ841:DQ843)</f>
        <v>-775.03983287165204</v>
      </c>
      <c r="DR844" s="820">
        <f>SUM(DR841:DR843)</f>
        <v>-1515.9790314490674</v>
      </c>
      <c r="DS844" s="293"/>
      <c r="DT844" s="293"/>
      <c r="DU844" s="293"/>
      <c r="DV844" s="293"/>
      <c r="DW844" s="1197"/>
      <c r="DX844" s="293"/>
      <c r="DY844" s="293"/>
      <c r="DZ844" s="293"/>
      <c r="EA844" s="293"/>
      <c r="EB844" s="293"/>
      <c r="EC844" s="293"/>
      <c r="ED844" s="293"/>
      <c r="EE844" s="293"/>
      <c r="EF844" s="293"/>
      <c r="EG844" s="293"/>
      <c r="EH844" s="293"/>
      <c r="EI844" s="293"/>
      <c r="EJ844" s="293"/>
      <c r="EK844" s="293"/>
      <c r="EL844" s="293"/>
      <c r="EM844" s="293"/>
      <c r="EN844" s="293"/>
      <c r="EO844" s="293"/>
      <c r="EP844" s="293"/>
      <c r="EQ844" s="293"/>
      <c r="ER844" s="293"/>
      <c r="ES844" s="293"/>
      <c r="ET844" s="293"/>
      <c r="EU844" s="293"/>
      <c r="JW844"/>
    </row>
    <row r="845" spans="1:283" hidden="1" outlineLevel="1">
      <c r="A845" s="102" t="s">
        <v>835</v>
      </c>
      <c r="CB845" s="293"/>
      <c r="CC845" s="293"/>
      <c r="CD845" s="293"/>
      <c r="CF845" s="293"/>
      <c r="CG845" s="293"/>
      <c r="CH845" s="293"/>
      <c r="CJ845" s="293"/>
      <c r="CK845" s="293"/>
      <c r="CL845" s="293"/>
      <c r="CN845" s="293"/>
      <c r="CO845" s="293"/>
      <c r="CP845" s="293"/>
      <c r="CR845" s="293"/>
      <c r="CS845" s="293"/>
      <c r="CT845" s="293"/>
      <c r="CV845" s="293"/>
      <c r="CW845" s="293"/>
      <c r="CX845" s="293"/>
      <c r="CZ845" s="293"/>
      <c r="DA845" s="293"/>
      <c r="DB845" s="293"/>
      <c r="DD845" s="293"/>
      <c r="DE845" s="293"/>
      <c r="DF845" s="293"/>
      <c r="DH845" s="293"/>
      <c r="DI845" s="293"/>
      <c r="DJ845" s="293"/>
      <c r="DL845" s="293"/>
      <c r="DM845" s="293"/>
      <c r="DN845" s="293"/>
      <c r="DP845" s="293"/>
      <c r="DQ845" s="293"/>
      <c r="DR845" s="293"/>
      <c r="DW845" s="1197"/>
      <c r="DX845" s="293"/>
      <c r="DY845" s="293"/>
      <c r="EA845" s="293"/>
      <c r="EB845" s="293"/>
      <c r="EC845" s="293"/>
      <c r="EE845" s="293"/>
      <c r="EF845" s="293"/>
      <c r="EG845" s="293"/>
      <c r="EI845" s="293"/>
      <c r="EJ845" s="293"/>
      <c r="EK845" s="293"/>
    </row>
    <row r="846" spans="1:283" s="642" customFormat="1" hidden="1" outlineLevel="1">
      <c r="A846" s="642" t="str">
        <f>A841</f>
        <v>Employment expenses</v>
      </c>
      <c r="AN846" s="300"/>
      <c r="AO846" s="300"/>
      <c r="AP846" s="300"/>
      <c r="AQ846" s="300"/>
      <c r="AR846" s="643">
        <f t="shared" ref="AR846:AT849" si="2156">+AR841/AN841-1</f>
        <v>0.19327731092436973</v>
      </c>
      <c r="AS846" s="643">
        <f t="shared" si="2156"/>
        <v>0.48120300751879697</v>
      </c>
      <c r="AT846" s="643">
        <f t="shared" si="2156"/>
        <v>0.34523809523809534</v>
      </c>
      <c r="AU846" s="300"/>
      <c r="AV846" s="643">
        <f t="shared" ref="AV846:AX849" si="2157">+AV841/AR841-1</f>
        <v>-9.8591549295774628E-2</v>
      </c>
      <c r="AW846" s="643">
        <f t="shared" si="2157"/>
        <v>-0.23857868020304573</v>
      </c>
      <c r="AX846" s="643">
        <f t="shared" si="2157"/>
        <v>-0.17994100294985249</v>
      </c>
      <c r="AY846" s="300"/>
      <c r="AZ846" s="643">
        <f t="shared" ref="AZ846:BB849" si="2158">+AZ841/AV841-1</f>
        <v>0.359375</v>
      </c>
      <c r="BA846" s="643">
        <f t="shared" si="2158"/>
        <v>0.38666666666666671</v>
      </c>
      <c r="BB846" s="643">
        <f t="shared" si="2158"/>
        <v>0.37410071942446033</v>
      </c>
      <c r="BC846" s="300"/>
      <c r="BD846" s="643">
        <f t="shared" ref="BD846:BF849" si="2159">+BD841/AZ841-1</f>
        <v>-0.14367816091954022</v>
      </c>
      <c r="BE846" s="643">
        <f t="shared" si="2159"/>
        <v>-0.23557692307692313</v>
      </c>
      <c r="BF846" s="643">
        <f t="shared" si="2159"/>
        <v>-0.19371727748691103</v>
      </c>
      <c r="BG846" s="300"/>
      <c r="BH846" s="643">
        <f t="shared" ref="BH846:BJ849" si="2160">+BH841/BD841-1</f>
        <v>-0.21476510067114096</v>
      </c>
      <c r="BI846" s="643">
        <f t="shared" si="2160"/>
        <v>-0.339622641509434</v>
      </c>
      <c r="BJ846" s="643">
        <f t="shared" si="2160"/>
        <v>-0.27922077922077926</v>
      </c>
      <c r="BK846" s="300"/>
      <c r="BL846" s="643">
        <f t="shared" ref="BL846:BN849" si="2161">+BL841/BH841-1</f>
        <v>0</v>
      </c>
      <c r="BM846" s="643">
        <f t="shared" si="2161"/>
        <v>0.17142857142857149</v>
      </c>
      <c r="BN846" s="643">
        <f t="shared" si="2161"/>
        <v>8.1081081081081141E-2</v>
      </c>
      <c r="BO846" s="300"/>
      <c r="BP846" s="643">
        <f t="shared" ref="BP846:BR849" si="2162">+BP841/BL841-1</f>
        <v>8.5470085470085388E-2</v>
      </c>
      <c r="BQ846" s="643">
        <f t="shared" si="2162"/>
        <v>8.1300813008129413E-3</v>
      </c>
      <c r="BR846" s="643">
        <f t="shared" si="2162"/>
        <v>4.5833333333333393E-2</v>
      </c>
      <c r="BS846" s="300"/>
      <c r="BT846" s="643">
        <f t="shared" ref="BT846:BV849" si="2163">+BT841/BP841-1</f>
        <v>0</v>
      </c>
      <c r="BU846" s="643">
        <f t="shared" si="2163"/>
        <v>0.15322580645161299</v>
      </c>
      <c r="BV846" s="643">
        <f t="shared" si="2163"/>
        <v>7.5697211155378419E-2</v>
      </c>
      <c r="BW846" s="300"/>
      <c r="BX846" s="643">
        <f t="shared" ref="BX846:BZ849" si="2164">+BX841/BT841-1</f>
        <v>6.2992125984252079E-2</v>
      </c>
      <c r="BY846" s="643">
        <f t="shared" si="2164"/>
        <v>0</v>
      </c>
      <c r="BZ846" s="643">
        <f t="shared" si="2164"/>
        <v>2.9629629629629672E-2</v>
      </c>
      <c r="CA846" s="300"/>
      <c r="CB846" s="656">
        <v>0.06</v>
      </c>
      <c r="CC846" s="656">
        <v>0.06</v>
      </c>
      <c r="CD846" s="643">
        <f>+CD841/BZ841-1</f>
        <v>6.0000000000000053E-2</v>
      </c>
      <c r="CE846" s="300"/>
      <c r="CF846" s="656">
        <v>0.06</v>
      </c>
      <c r="CG846" s="656">
        <v>0.06</v>
      </c>
      <c r="CH846" s="643">
        <f>+CH841/CD841-1</f>
        <v>6.0000000000000053E-2</v>
      </c>
      <c r="CI846" s="300"/>
      <c r="CJ846" s="656">
        <v>0.06</v>
      </c>
      <c r="CK846" s="656">
        <v>0.06</v>
      </c>
      <c r="CL846" s="643">
        <f>+CL841/CH841-1</f>
        <v>6.0000000000000275E-2</v>
      </c>
      <c r="CM846" s="300"/>
      <c r="CN846" s="656">
        <v>0.06</v>
      </c>
      <c r="CO846" s="656">
        <v>0.06</v>
      </c>
      <c r="CP846" s="643">
        <f>+CP841/CL841-1</f>
        <v>5.9999999999999831E-2</v>
      </c>
      <c r="CQ846" s="300"/>
      <c r="CR846" s="656">
        <v>0.06</v>
      </c>
      <c r="CS846" s="656">
        <v>0.06</v>
      </c>
      <c r="CT846" s="643">
        <f>+CT841/CP841-1</f>
        <v>6.0000000000000053E-2</v>
      </c>
      <c r="CU846" s="300"/>
      <c r="CV846" s="656">
        <v>0.06</v>
      </c>
      <c r="CW846" s="656">
        <v>0.06</v>
      </c>
      <c r="CX846" s="643">
        <f>+CX841/CT841-1</f>
        <v>6.0000000000000053E-2</v>
      </c>
      <c r="CY846" s="300"/>
      <c r="CZ846" s="656">
        <v>0.06</v>
      </c>
      <c r="DA846" s="656">
        <v>0.06</v>
      </c>
      <c r="DB846" s="643">
        <f>+DB841/CX841-1</f>
        <v>6.0000000000000053E-2</v>
      </c>
      <c r="DC846" s="300"/>
      <c r="DD846" s="656">
        <v>0.06</v>
      </c>
      <c r="DE846" s="656">
        <v>0.06</v>
      </c>
      <c r="DF846" s="643">
        <f>+DF841/DB841-1</f>
        <v>6.0000000000000053E-2</v>
      </c>
      <c r="DG846" s="300"/>
      <c r="DH846" s="656">
        <v>0.06</v>
      </c>
      <c r="DI846" s="656">
        <v>0.06</v>
      </c>
      <c r="DJ846" s="643">
        <f>+DJ841/DF841-1</f>
        <v>6.0000000000000053E-2</v>
      </c>
      <c r="DK846" s="300"/>
      <c r="DL846" s="656">
        <v>0.06</v>
      </c>
      <c r="DM846" s="656">
        <v>0.06</v>
      </c>
      <c r="DN846" s="643">
        <f>+DN841/DJ841-1</f>
        <v>6.0000000000000053E-2</v>
      </c>
      <c r="DO846" s="300"/>
      <c r="DP846" s="656">
        <v>0.06</v>
      </c>
      <c r="DQ846" s="656">
        <v>0.06</v>
      </c>
      <c r="DR846" s="643">
        <f>+DR841/DN841-1</f>
        <v>6.0000000000000053E-2</v>
      </c>
      <c r="DS846" s="300"/>
      <c r="DT846" s="300"/>
      <c r="DU846" s="300"/>
      <c r="DV846" s="300"/>
      <c r="DW846" s="1211" t="s">
        <v>175</v>
      </c>
      <c r="DX846" s="643"/>
      <c r="DY846" s="643"/>
      <c r="DZ846" s="300"/>
      <c r="EA846" s="643"/>
      <c r="EB846" s="643"/>
      <c r="EC846" s="643"/>
      <c r="ED846" s="300"/>
      <c r="EE846" s="643"/>
      <c r="EF846" s="643"/>
      <c r="EG846" s="643"/>
      <c r="EH846" s="300"/>
      <c r="EI846" s="643"/>
      <c r="EJ846" s="643"/>
      <c r="EK846" s="643"/>
      <c r="EL846" s="300"/>
      <c r="EM846" s="300"/>
      <c r="EN846" s="300"/>
      <c r="EO846" s="300"/>
      <c r="EP846" s="300"/>
      <c r="EQ846" s="300"/>
      <c r="ER846" s="300"/>
      <c r="ES846" s="300"/>
      <c r="ET846" s="300"/>
      <c r="EU846" s="300"/>
      <c r="JW846"/>
    </row>
    <row r="847" spans="1:283" s="323" customFormat="1" hidden="1" outlineLevel="1">
      <c r="A847" s="323" t="str">
        <f>A842</f>
        <v>Brokerage and commission expenses</v>
      </c>
      <c r="AN847" s="115"/>
      <c r="AO847" s="115"/>
      <c r="AP847" s="115"/>
      <c r="AQ847" s="115"/>
      <c r="AR847" s="648">
        <f t="shared" si="2156"/>
        <v>6.5693430656934337E-2</v>
      </c>
      <c r="AS847" s="648">
        <f t="shared" si="2156"/>
        <v>-0.50672645739910316</v>
      </c>
      <c r="AT847" s="648">
        <f t="shared" si="2156"/>
        <v>-0.28888888888888886</v>
      </c>
      <c r="AU847" s="115"/>
      <c r="AV847" s="648">
        <f t="shared" si="2157"/>
        <v>-4.1095890410958957E-2</v>
      </c>
      <c r="AW847" s="648">
        <f t="shared" si="2157"/>
        <v>-0.29090909090909089</v>
      </c>
      <c r="AX847" s="648">
        <f t="shared" si="2157"/>
        <v>-0.1484375</v>
      </c>
      <c r="AY847" s="115"/>
      <c r="AZ847" s="648">
        <f t="shared" si="2158"/>
        <v>-0.24285714285714288</v>
      </c>
      <c r="BA847" s="648">
        <f t="shared" si="2158"/>
        <v>0.74358974358974361</v>
      </c>
      <c r="BB847" s="648">
        <f t="shared" si="2158"/>
        <v>0.11009174311926606</v>
      </c>
      <c r="BC847" s="115"/>
      <c r="BD847" s="648">
        <f t="shared" si="2159"/>
        <v>0.36792452830188682</v>
      </c>
      <c r="BE847" s="648">
        <f t="shared" si="2159"/>
        <v>-0.32843161764705886</v>
      </c>
      <c r="BF847" s="648">
        <f t="shared" si="2159"/>
        <v>-2.3416115702479257E-2</v>
      </c>
      <c r="BG847" s="115"/>
      <c r="BH847" s="648">
        <f t="shared" si="2160"/>
        <v>-0.50344827586206897</v>
      </c>
      <c r="BI847" s="648">
        <f t="shared" si="2160"/>
        <v>-0.35401436277896448</v>
      </c>
      <c r="BJ847" s="648">
        <f t="shared" si="2160"/>
        <v>-0.44569808825078816</v>
      </c>
      <c r="BK847" s="115"/>
      <c r="BL847" s="648">
        <f t="shared" si="2161"/>
        <v>-8.333333333333337E-2</v>
      </c>
      <c r="BM847" s="648">
        <f t="shared" si="2161"/>
        <v>8.4745762711864403E-2</v>
      </c>
      <c r="BN847" s="648">
        <f t="shared" si="2161"/>
        <v>-7.6335877862595547E-3</v>
      </c>
      <c r="BO847" s="115"/>
      <c r="BP847" s="648">
        <f t="shared" si="2162"/>
        <v>7.575757575757569E-2</v>
      </c>
      <c r="BQ847" s="648">
        <f t="shared" si="2162"/>
        <v>0.359375</v>
      </c>
      <c r="BR847" s="648">
        <f t="shared" si="2162"/>
        <v>0.21538461538461529</v>
      </c>
      <c r="BS847" s="115"/>
      <c r="BT847" s="648">
        <f t="shared" si="2163"/>
        <v>0.61971830985915499</v>
      </c>
      <c r="BU847" s="648">
        <f t="shared" si="2163"/>
        <v>6.8965517241379226E-2</v>
      </c>
      <c r="BV847" s="648">
        <f t="shared" si="2163"/>
        <v>0.31645569620253156</v>
      </c>
      <c r="BW847" s="115"/>
      <c r="BX847" s="648">
        <f t="shared" si="2164"/>
        <v>-0.11304347826086958</v>
      </c>
      <c r="BY847" s="648">
        <f t="shared" si="2164"/>
        <v>0</v>
      </c>
      <c r="BZ847" s="648">
        <f t="shared" si="2164"/>
        <v>-6.25E-2</v>
      </c>
      <c r="CA847" s="115"/>
      <c r="CB847" s="648">
        <f ca="1">+CB842/BX842-1</f>
        <v>-8.2290196078431466E-2</v>
      </c>
      <c r="CC847" s="648">
        <f ca="1">+CC842/BY842-1</f>
        <v>3.6716043010752708E-2</v>
      </c>
      <c r="CD847" s="648">
        <f ca="1">+CD842/BZ842-1</f>
        <v>-2.5533374358974514E-2</v>
      </c>
      <c r="CE847" s="115"/>
      <c r="CF847" s="648">
        <f ca="1">+CF842/CB842-1</f>
        <v>6.0899999999999954E-2</v>
      </c>
      <c r="CG847" s="648">
        <f ca="1">+CG842/CC842-1</f>
        <v>6.0899999999999954E-2</v>
      </c>
      <c r="CH847" s="648">
        <f ca="1">+CH842/CD842-1</f>
        <v>6.0900000000000176E-2</v>
      </c>
      <c r="CI847" s="115"/>
      <c r="CJ847" s="648">
        <f>+CJ842/CF842-1</f>
        <v>6.0899999999999954E-2</v>
      </c>
      <c r="CK847" s="648">
        <f>+CK842/CG842-1</f>
        <v>6.0900000000000176E-2</v>
      </c>
      <c r="CL847" s="648">
        <f>+CL842/CH842-1</f>
        <v>6.0899999999999954E-2</v>
      </c>
      <c r="CM847" s="115"/>
      <c r="CN847" s="648">
        <f>+CN842/CJ842-1</f>
        <v>6.0900000000000176E-2</v>
      </c>
      <c r="CO847" s="648">
        <f>+CO842/CK842-1</f>
        <v>6.0899999999999954E-2</v>
      </c>
      <c r="CP847" s="648">
        <f>+CP842/CL842-1</f>
        <v>6.0900000000000176E-2</v>
      </c>
      <c r="CQ847" s="115"/>
      <c r="CR847" s="648">
        <f>+CR842/CN842-1</f>
        <v>6.0899999999999954E-2</v>
      </c>
      <c r="CS847" s="648">
        <f>+CS842/CO842-1</f>
        <v>6.0900000000000176E-2</v>
      </c>
      <c r="CT847" s="648">
        <f>+CT842/CP842-1</f>
        <v>6.0899999999999954E-2</v>
      </c>
      <c r="CU847" s="115"/>
      <c r="CV847" s="648">
        <f>+CV842/CR842-1</f>
        <v>6.0899999999999954E-2</v>
      </c>
      <c r="CW847" s="648">
        <f>+CW842/CS842-1</f>
        <v>6.0899999999999954E-2</v>
      </c>
      <c r="CX847" s="648">
        <f>+CX842/CT842-1</f>
        <v>6.0899999999999954E-2</v>
      </c>
      <c r="CY847" s="115"/>
      <c r="CZ847" s="648">
        <f>+CZ842/CV842-1</f>
        <v>6.0899999999999954E-2</v>
      </c>
      <c r="DA847" s="648">
        <f>+DA842/CW842-1</f>
        <v>6.0899999999999954E-2</v>
      </c>
      <c r="DB847" s="648">
        <f>+DB842/CX842-1</f>
        <v>6.0899999999999954E-2</v>
      </c>
      <c r="DC847" s="115"/>
      <c r="DD847" s="648">
        <f>+DD842/CZ842-1</f>
        <v>6.0900000000000176E-2</v>
      </c>
      <c r="DE847" s="648">
        <f>+DE842/DA842-1</f>
        <v>6.0900000000000176E-2</v>
      </c>
      <c r="DF847" s="648">
        <f>+DF842/DB842-1</f>
        <v>6.0900000000000176E-2</v>
      </c>
      <c r="DG847" s="115"/>
      <c r="DH847" s="648">
        <f>+DH842/DD842-1</f>
        <v>6.0900000000000176E-2</v>
      </c>
      <c r="DI847" s="648">
        <f>+DI842/DE842-1</f>
        <v>6.0899999999999954E-2</v>
      </c>
      <c r="DJ847" s="648">
        <f>+DJ842/DF842-1</f>
        <v>6.0900000000000176E-2</v>
      </c>
      <c r="DK847" s="115"/>
      <c r="DL847" s="648">
        <f>+DL842/DH842-1</f>
        <v>6.0900000000000176E-2</v>
      </c>
      <c r="DM847" s="648">
        <f>+DM842/DI842-1</f>
        <v>6.0900000000000176E-2</v>
      </c>
      <c r="DN847" s="648">
        <f>+DN842/DJ842-1</f>
        <v>6.0900000000000176E-2</v>
      </c>
      <c r="DO847" s="115"/>
      <c r="DP847" s="648">
        <f>+DP842/DL842-1</f>
        <v>6.0900000000000176E-2</v>
      </c>
      <c r="DQ847" s="648">
        <f>+DQ842/DM842-1</f>
        <v>6.0900000000000176E-2</v>
      </c>
      <c r="DR847" s="648">
        <f>+DR842/DN842-1</f>
        <v>6.0899999999999954E-2</v>
      </c>
      <c r="DS847" s="115"/>
      <c r="DT847" s="115"/>
      <c r="DU847" s="115"/>
      <c r="DV847" s="115"/>
      <c r="DW847" s="1214" t="s">
        <v>514</v>
      </c>
      <c r="DX847" s="648"/>
      <c r="DY847" s="648"/>
      <c r="DZ847" s="115"/>
      <c r="EA847" s="648"/>
      <c r="EB847" s="648"/>
      <c r="EC847" s="648"/>
      <c r="ED847" s="115"/>
      <c r="EE847" s="648"/>
      <c r="EF847" s="648"/>
      <c r="EG847" s="648"/>
      <c r="EH847" s="115"/>
      <c r="EI847" s="648"/>
      <c r="EJ847" s="648"/>
      <c r="EK847" s="648"/>
      <c r="EL847" s="115"/>
      <c r="EM847" s="115"/>
      <c r="EN847" s="115"/>
      <c r="EO847" s="115"/>
      <c r="EP847" s="115"/>
      <c r="EQ847" s="115"/>
      <c r="ER847" s="115"/>
      <c r="ES847" s="115"/>
      <c r="ET847" s="115"/>
      <c r="EU847" s="115"/>
      <c r="JW847"/>
    </row>
    <row r="848" spans="1:283" s="642" customFormat="1" hidden="1" outlineLevel="1">
      <c r="A848" s="642" t="str">
        <f>A843</f>
        <v>Other operating expenses</v>
      </c>
      <c r="AN848" s="300"/>
      <c r="AO848" s="300"/>
      <c r="AP848" s="300"/>
      <c r="AQ848" s="300"/>
      <c r="AR848" s="643">
        <f t="shared" si="2156"/>
        <v>0.54166666666666674</v>
      </c>
      <c r="AS848" s="643">
        <f t="shared" si="2156"/>
        <v>0.2989690721649485</v>
      </c>
      <c r="AT848" s="643">
        <f t="shared" si="2156"/>
        <v>0.4023668639053255</v>
      </c>
      <c r="AU848" s="300"/>
      <c r="AV848" s="643">
        <f t="shared" si="2157"/>
        <v>-0.1216216216216216</v>
      </c>
      <c r="AW848" s="643">
        <f t="shared" si="2157"/>
        <v>-0.17063492063492058</v>
      </c>
      <c r="AX848" s="643">
        <f t="shared" si="2157"/>
        <v>-0.14767932489451474</v>
      </c>
      <c r="AY848" s="300"/>
      <c r="AZ848" s="643">
        <f t="shared" si="2158"/>
        <v>0.24871794871794872</v>
      </c>
      <c r="BA848" s="643">
        <f t="shared" si="2158"/>
        <v>0.22248803827751207</v>
      </c>
      <c r="BB848" s="643">
        <f t="shared" si="2158"/>
        <v>0.23514851485148514</v>
      </c>
      <c r="BC848" s="300"/>
      <c r="BD848" s="643">
        <f t="shared" si="2159"/>
        <v>9.2402464065708401E-2</v>
      </c>
      <c r="BE848" s="643">
        <f t="shared" si="2159"/>
        <v>8.4148727984344474E-2</v>
      </c>
      <c r="BF848" s="643">
        <f t="shared" si="2159"/>
        <v>8.817635270541091E-2</v>
      </c>
      <c r="BG848" s="300"/>
      <c r="BH848" s="643">
        <f t="shared" si="2160"/>
        <v>-0.31203007518796988</v>
      </c>
      <c r="BI848" s="643">
        <f t="shared" si="2160"/>
        <v>-0.36101083032490977</v>
      </c>
      <c r="BJ848" s="643">
        <f t="shared" si="2160"/>
        <v>-0.33701657458563539</v>
      </c>
      <c r="BK848" s="300"/>
      <c r="BL848" s="643">
        <f t="shared" si="2161"/>
        <v>-5.464480874316946E-3</v>
      </c>
      <c r="BM848" s="643">
        <f t="shared" si="2161"/>
        <v>0.16384180790960445</v>
      </c>
      <c r="BN848" s="643">
        <f t="shared" si="2161"/>
        <v>7.7777777777777724E-2</v>
      </c>
      <c r="BO848" s="300"/>
      <c r="BP848" s="643">
        <f t="shared" si="2162"/>
        <v>0.18681318681318682</v>
      </c>
      <c r="BQ848" s="643">
        <f t="shared" si="2162"/>
        <v>0.11165048543689315</v>
      </c>
      <c r="BR848" s="643">
        <f t="shared" si="2162"/>
        <v>0.14690721649484528</v>
      </c>
      <c r="BS848" s="300"/>
      <c r="BT848" s="643">
        <f t="shared" si="2163"/>
        <v>9.259259259259256E-2</v>
      </c>
      <c r="BU848" s="643">
        <f t="shared" si="2163"/>
        <v>3.9301310043668103E-2</v>
      </c>
      <c r="BV848" s="643">
        <f t="shared" si="2163"/>
        <v>6.5168539325842767E-2</v>
      </c>
      <c r="BW848" s="300"/>
      <c r="BX848" s="643">
        <f t="shared" si="2164"/>
        <v>-3.3898305084745783E-2</v>
      </c>
      <c r="BY848" s="643">
        <f t="shared" si="2164"/>
        <v>0</v>
      </c>
      <c r="BZ848" s="643">
        <f t="shared" si="2164"/>
        <v>-1.6877637130801704E-2</v>
      </c>
      <c r="CA848" s="300"/>
      <c r="CB848" s="656">
        <v>0.03</v>
      </c>
      <c r="CC848" s="656">
        <v>0.03</v>
      </c>
      <c r="CD848" s="643">
        <f>+CD843/BZ843-1</f>
        <v>3.0000000000000027E-2</v>
      </c>
      <c r="CE848" s="300"/>
      <c r="CF848" s="656">
        <v>0.03</v>
      </c>
      <c r="CG848" s="656">
        <v>0.03</v>
      </c>
      <c r="CH848" s="643">
        <f>+CH843/CD843-1</f>
        <v>3.0000000000000027E-2</v>
      </c>
      <c r="CI848" s="300"/>
      <c r="CJ848" s="656">
        <v>0.03</v>
      </c>
      <c r="CK848" s="656">
        <v>0.03</v>
      </c>
      <c r="CL848" s="643">
        <f>+CL843/CH843-1</f>
        <v>3.0000000000000249E-2</v>
      </c>
      <c r="CM848" s="300"/>
      <c r="CN848" s="656">
        <v>0.03</v>
      </c>
      <c r="CO848" s="656">
        <v>0.03</v>
      </c>
      <c r="CP848" s="643">
        <f>+CP843/CL843-1</f>
        <v>2.9999999999999805E-2</v>
      </c>
      <c r="CQ848" s="300"/>
      <c r="CR848" s="656">
        <v>0.03</v>
      </c>
      <c r="CS848" s="656">
        <v>0.03</v>
      </c>
      <c r="CT848" s="643">
        <f>+CT843/CP843-1</f>
        <v>3.0000000000000249E-2</v>
      </c>
      <c r="CU848" s="300"/>
      <c r="CV848" s="656">
        <v>0.03</v>
      </c>
      <c r="CW848" s="656">
        <v>0.03</v>
      </c>
      <c r="CX848" s="643">
        <f>+CX843/CT843-1</f>
        <v>3.0000000000000027E-2</v>
      </c>
      <c r="CY848" s="300"/>
      <c r="CZ848" s="656">
        <v>0.03</v>
      </c>
      <c r="DA848" s="656">
        <v>0.03</v>
      </c>
      <c r="DB848" s="643">
        <f>+DB843/CX843-1</f>
        <v>3.0000000000000027E-2</v>
      </c>
      <c r="DC848" s="300"/>
      <c r="DD848" s="656">
        <v>0.03</v>
      </c>
      <c r="DE848" s="656">
        <v>0.03</v>
      </c>
      <c r="DF848" s="643">
        <f>+DF843/DB843-1</f>
        <v>3.0000000000000027E-2</v>
      </c>
      <c r="DG848" s="300"/>
      <c r="DH848" s="656">
        <v>0.03</v>
      </c>
      <c r="DI848" s="656">
        <v>0.03</v>
      </c>
      <c r="DJ848" s="643">
        <f>+DJ843/DF843-1</f>
        <v>3.0000000000000027E-2</v>
      </c>
      <c r="DK848" s="300"/>
      <c r="DL848" s="656">
        <v>0.03</v>
      </c>
      <c r="DM848" s="656">
        <v>0.03</v>
      </c>
      <c r="DN848" s="643">
        <f>+DN843/DJ843-1</f>
        <v>2.9999999999999805E-2</v>
      </c>
      <c r="DO848" s="300"/>
      <c r="DP848" s="656">
        <v>0.03</v>
      </c>
      <c r="DQ848" s="656">
        <v>0.03</v>
      </c>
      <c r="DR848" s="643">
        <f>+DR843/DN843-1</f>
        <v>3.0000000000000027E-2</v>
      </c>
      <c r="DS848" s="300"/>
      <c r="DT848" s="300"/>
      <c r="DU848" s="300"/>
      <c r="DV848" s="300"/>
      <c r="DW848" s="1211" t="s">
        <v>175</v>
      </c>
      <c r="DX848" s="643"/>
      <c r="DY848" s="643"/>
      <c r="DZ848" s="300"/>
      <c r="EA848" s="643"/>
      <c r="EB848" s="643"/>
      <c r="EC848" s="643"/>
      <c r="ED848" s="300"/>
      <c r="EE848" s="643"/>
      <c r="EF848" s="643"/>
      <c r="EG848" s="643"/>
      <c r="EH848" s="300"/>
      <c r="EI848" s="643"/>
      <c r="EJ848" s="643"/>
      <c r="EK848" s="643"/>
      <c r="EL848" s="300"/>
      <c r="EM848" s="300"/>
      <c r="EN848" s="300"/>
      <c r="EO848" s="300"/>
      <c r="EP848" s="300"/>
      <c r="EQ848" s="300"/>
      <c r="ER848" s="300"/>
      <c r="ES848" s="300"/>
      <c r="ET848" s="300"/>
      <c r="EU848" s="300"/>
      <c r="JW848"/>
    </row>
    <row r="849" spans="1:283" s="328" customFormat="1" hidden="1" outlineLevel="1">
      <c r="A849" s="328" t="str">
        <f>A844</f>
        <v>Total Expenses</v>
      </c>
      <c r="AN849" s="581"/>
      <c r="AO849" s="581"/>
      <c r="AP849" s="581"/>
      <c r="AQ849" s="581"/>
      <c r="AR849" s="650">
        <f t="shared" si="2156"/>
        <v>0.27499999999999991</v>
      </c>
      <c r="AS849" s="650">
        <f t="shared" si="2156"/>
        <v>1.6363636363636358E-2</v>
      </c>
      <c r="AT849" s="650">
        <f t="shared" si="2156"/>
        <v>0.12526315789473674</v>
      </c>
      <c r="AU849" s="581"/>
      <c r="AV849" s="650">
        <f t="shared" si="2157"/>
        <v>-9.2156862745098045E-2</v>
      </c>
      <c r="AW849" s="650">
        <f t="shared" si="2157"/>
        <v>-0.21824686940966009</v>
      </c>
      <c r="AX849" s="650">
        <f t="shared" si="2157"/>
        <v>-0.15809167446211414</v>
      </c>
      <c r="AY849" s="581"/>
      <c r="AZ849" s="650">
        <f t="shared" si="2158"/>
        <v>0.13066954643628503</v>
      </c>
      <c r="BA849" s="650">
        <f t="shared" si="2158"/>
        <v>0.37185354691075512</v>
      </c>
      <c r="BB849" s="650">
        <f t="shared" si="2158"/>
        <v>0.24777777777777787</v>
      </c>
      <c r="BC849" s="581"/>
      <c r="BD849" s="650">
        <f t="shared" si="2159"/>
        <v>6.9723018147086924E-2</v>
      </c>
      <c r="BE849" s="650">
        <f t="shared" si="2159"/>
        <v>-0.12037814845704753</v>
      </c>
      <c r="BF849" s="650">
        <f t="shared" si="2159"/>
        <v>-3.1760195903829058E-2</v>
      </c>
      <c r="BG849" s="581"/>
      <c r="BH849" s="650">
        <f t="shared" si="2160"/>
        <v>-0.33571428571428574</v>
      </c>
      <c r="BI849" s="650">
        <f t="shared" si="2160"/>
        <v>-0.35335014875791082</v>
      </c>
      <c r="BJ849" s="650">
        <f t="shared" si="2160"/>
        <v>-0.3442673005600031</v>
      </c>
      <c r="BK849" s="581"/>
      <c r="BL849" s="650">
        <f t="shared" si="2161"/>
        <v>-1.8817204301075252E-2</v>
      </c>
      <c r="BM849" s="650">
        <f t="shared" si="2161"/>
        <v>0.15249266862170097</v>
      </c>
      <c r="BN849" s="650">
        <f t="shared" si="2161"/>
        <v>6.3113604488078456E-2</v>
      </c>
      <c r="BO849" s="581"/>
      <c r="BP849" s="650">
        <f t="shared" si="2162"/>
        <v>0.13424657534246576</v>
      </c>
      <c r="BQ849" s="650">
        <f t="shared" si="2162"/>
        <v>0.11959287531806617</v>
      </c>
      <c r="BR849" s="650">
        <f t="shared" si="2162"/>
        <v>0.12664907651715041</v>
      </c>
      <c r="BS849" s="581"/>
      <c r="BT849" s="650">
        <f t="shared" si="2163"/>
        <v>0.15458937198067635</v>
      </c>
      <c r="BU849" s="650">
        <f t="shared" si="2163"/>
        <v>7.7272727272727382E-2</v>
      </c>
      <c r="BV849" s="650">
        <f t="shared" si="2163"/>
        <v>0.11475409836065564</v>
      </c>
      <c r="BW849" s="581"/>
      <c r="BX849" s="650">
        <f t="shared" si="2164"/>
        <v>-2.7196652719665315E-2</v>
      </c>
      <c r="BY849" s="650">
        <f t="shared" si="2164"/>
        <v>0</v>
      </c>
      <c r="BZ849" s="650">
        <f t="shared" si="2164"/>
        <v>-1.3655462184873901E-2</v>
      </c>
      <c r="CA849" s="581"/>
      <c r="CB849" s="650">
        <f ca="1">+CB844/BX844-1</f>
        <v>1.4078279569892382E-2</v>
      </c>
      <c r="CC849" s="650">
        <f ca="1">+CC844/BY844-1</f>
        <v>4.0368337552742606E-2</v>
      </c>
      <c r="CD849" s="650">
        <f ca="1">+CD844/BZ844-1</f>
        <v>2.7349299254526116E-2</v>
      </c>
      <c r="CE849" s="581"/>
      <c r="CF849" s="650">
        <f ca="1">+CF844/CB844-1</f>
        <v>4.5238029088972009E-2</v>
      </c>
      <c r="CG849" s="650">
        <f ca="1">+CG844/CC844-1</f>
        <v>4.5262792379408001E-2</v>
      </c>
      <c r="CH849" s="650">
        <f ca="1">+CH844/CD844-1</f>
        <v>4.5250687817844026E-2</v>
      </c>
      <c r="CI849" s="581"/>
      <c r="CJ849" s="650">
        <f>+CJ844/CF844-1</f>
        <v>4.5458518472796028E-2</v>
      </c>
      <c r="CK849" s="650">
        <f>+CK844/CG844-1</f>
        <v>4.5483184972693547E-2</v>
      </c>
      <c r="CL849" s="650">
        <f>+CL844/CH844-1</f>
        <v>4.5471127869403327E-2</v>
      </c>
      <c r="CM849" s="581"/>
      <c r="CN849" s="650">
        <f>+CN844/CJ844-1</f>
        <v>4.5678893575299195E-2</v>
      </c>
      <c r="CO849" s="650">
        <f>+CO844/CK844-1</f>
        <v>4.5703451653565041E-2</v>
      </c>
      <c r="CP849" s="650">
        <f>+CP844/CL844-1</f>
        <v>4.5691447692068454E-2</v>
      </c>
      <c r="CQ849" s="581"/>
      <c r="CR849" s="650">
        <f>+CR844/CN844-1</f>
        <v>4.5899061671704766E-2</v>
      </c>
      <c r="CS849" s="650">
        <f>+CS844/CO844-1</f>
        <v>4.5923499805631929E-2</v>
      </c>
      <c r="CT849" s="650">
        <f>+CT844/CP844-1</f>
        <v>4.5911554616206329E-2</v>
      </c>
      <c r="CU849" s="581"/>
      <c r="CV849" s="650">
        <f>+CV844/CR844-1</f>
        <v>4.6118930386965351E-2</v>
      </c>
      <c r="CW849" s="650">
        <f>+CW844/CS844-1</f>
        <v>4.6143237181413888E-2</v>
      </c>
      <c r="CX849" s="650">
        <f>+CX844/CT844-1</f>
        <v>4.6131356331722273E-2</v>
      </c>
      <c r="CY849" s="581"/>
      <c r="CZ849" s="650">
        <f>+CZ844/CV844-1</f>
        <v>4.6338407850429864E-2</v>
      </c>
      <c r="DA849" s="650">
        <f>+DA844/CW844-1</f>
        <v>4.6362572056636742E-2</v>
      </c>
      <c r="DB849" s="650">
        <f>+DB844/CX844-1</f>
        <v>4.6350761042543764E-2</v>
      </c>
      <c r="DC849" s="581"/>
      <c r="DD849" s="650">
        <f>+DD844/CZ844-1</f>
        <v>4.6557402848720342E-2</v>
      </c>
      <c r="DE849" s="650">
        <f>+DE844/DA844-1</f>
        <v>4.6581413382661863E-2</v>
      </c>
      <c r="DF849" s="650">
        <f>+DF844/DB844-1</f>
        <v>4.6569677619264782E-2</v>
      </c>
      <c r="DG849" s="581"/>
      <c r="DH849" s="650">
        <f>+DH844/DD844-1</f>
        <v>4.6775824976265978E-2</v>
      </c>
      <c r="DI849" s="650">
        <f>+DI844/DE844-1</f>
        <v>4.6799670936512827E-2</v>
      </c>
      <c r="DJ849" s="650">
        <f>+DJ844/DF844-1</f>
        <v>4.6788015749424261E-2</v>
      </c>
      <c r="DK849" s="581"/>
      <c r="DL849" s="650">
        <f>+DL844/DH844-1</f>
        <v>4.6993584782980991E-2</v>
      </c>
      <c r="DM849" s="650">
        <f>+DM844/DI844-1</f>
        <v>4.7017255467987518E-2</v>
      </c>
      <c r="DN849" s="650">
        <f>+DN844/DJ844-1</f>
        <v>4.7005686084893972E-2</v>
      </c>
      <c r="DO849" s="581"/>
      <c r="DP849" s="650">
        <f>+DP844/DL844-1</f>
        <v>4.7210593918573185E-2</v>
      </c>
      <c r="DQ849" s="650">
        <f>+DQ844/DM844-1</f>
        <v>4.7234078843340743E-2</v>
      </c>
      <c r="DR849" s="650">
        <f>+DR844/DN844-1</f>
        <v>4.7222600385869118E-2</v>
      </c>
      <c r="DS849" s="581"/>
      <c r="DT849" s="581"/>
      <c r="DU849" s="581"/>
      <c r="DV849" s="581"/>
      <c r="DW849" s="1212"/>
      <c r="DX849" s="682"/>
      <c r="DY849" s="682"/>
      <c r="DZ849" s="581"/>
      <c r="EA849" s="682"/>
      <c r="EB849" s="682"/>
      <c r="EC849" s="682"/>
      <c r="ED849" s="581"/>
      <c r="EE849" s="682"/>
      <c r="EF849" s="682"/>
      <c r="EG849" s="682"/>
      <c r="EH849" s="581"/>
      <c r="EI849" s="682"/>
      <c r="EJ849" s="682"/>
      <c r="EK849" s="682"/>
      <c r="EL849" s="581"/>
      <c r="EM849" s="581"/>
      <c r="EN849" s="581"/>
      <c r="EO849" s="581"/>
      <c r="EP849" s="581"/>
      <c r="EQ849" s="581"/>
      <c r="ER849" s="581"/>
      <c r="ES849" s="581"/>
      <c r="ET849" s="581"/>
      <c r="EU849" s="581"/>
      <c r="JW849"/>
    </row>
    <row r="850" spans="1:283" hidden="1" outlineLevel="1">
      <c r="CR850" s="103"/>
      <c r="CS850" s="103"/>
      <c r="CT850" s="103"/>
      <c r="CV850" s="103"/>
      <c r="CW850" s="103"/>
      <c r="CX850" s="103"/>
      <c r="CZ850" s="103"/>
      <c r="DA850" s="103"/>
      <c r="DB850" s="103"/>
      <c r="DD850" s="103"/>
      <c r="DE850" s="103"/>
      <c r="DF850" s="103"/>
      <c r="DH850" s="103"/>
      <c r="DI850" s="103"/>
      <c r="DJ850" s="103"/>
      <c r="DL850" s="103"/>
      <c r="DM850" s="103"/>
      <c r="DN850" s="103"/>
      <c r="DP850" s="103"/>
      <c r="DQ850" s="103"/>
      <c r="DR850" s="103"/>
      <c r="DW850" s="1101"/>
    </row>
    <row r="851" spans="1:283" s="642" customFormat="1" hidden="1" outlineLevel="1">
      <c r="A851" s="642" t="s">
        <v>1060</v>
      </c>
      <c r="AN851" s="668">
        <f>-AN842/AN828</f>
        <v>0.32541567695961993</v>
      </c>
      <c r="AO851" s="668">
        <f>-AO842/AO828</f>
        <v>0.5</v>
      </c>
      <c r="AP851" s="668">
        <f>-AP842/AP828</f>
        <v>0.41522491349480967</v>
      </c>
      <c r="AQ851" s="300"/>
      <c r="AR851" s="668">
        <f>-AR842/AR828</f>
        <v>0.35872235872235875</v>
      </c>
      <c r="AS851" s="668">
        <f>-AS842/AS828</f>
        <v>0.3914590747330961</v>
      </c>
      <c r="AT851" s="668">
        <f>-AT842/AT828</f>
        <v>0.37209302325581395</v>
      </c>
      <c r="AU851" s="300"/>
      <c r="AV851" s="668">
        <f>-AV842/AV828</f>
        <v>0.37433155080213903</v>
      </c>
      <c r="AW851" s="668">
        <f>-AW842/AW828</f>
        <v>0.22941176470588234</v>
      </c>
      <c r="AX851" s="668">
        <f>-AX842/AX828</f>
        <v>0.30532212885154064</v>
      </c>
      <c r="AY851" s="300"/>
      <c r="AZ851" s="668">
        <f>-AZ842/AZ828</f>
        <v>0.28494623655913981</v>
      </c>
      <c r="BA851" s="668">
        <f>-BA842/BA828</f>
        <v>0.39650145772594753</v>
      </c>
      <c r="BB851" s="668">
        <f>-BB842/BB828</f>
        <v>0.33846153846153848</v>
      </c>
      <c r="BC851" s="300"/>
      <c r="BD851" s="668">
        <f>-BD842/BD828</f>
        <v>0.51236749116607772</v>
      </c>
      <c r="BE851" s="668">
        <f>-BE842/BE828</f>
        <v>0.37741033057851237</v>
      </c>
      <c r="BF851" s="668">
        <f>-BF842/BF828</f>
        <v>0.45015866666666671</v>
      </c>
      <c r="BG851" s="300"/>
      <c r="BH851" s="668">
        <f>-BH842/BH828</f>
        <v>0.33333333333333331</v>
      </c>
      <c r="BI851" s="668">
        <f>-BI842/BI828</f>
        <v>0.25213675213675213</v>
      </c>
      <c r="BJ851" s="668">
        <f>-BJ842/BJ828</f>
        <v>0.2911111111111111</v>
      </c>
      <c r="BK851" s="300"/>
      <c r="BL851" s="668">
        <f>-BL842/BL828</f>
        <v>0.24264705882352941</v>
      </c>
      <c r="BM851" s="668">
        <f>-BM842/BM828</f>
        <v>0.23272727272727273</v>
      </c>
      <c r="BN851" s="668">
        <f>-BN842/BN828</f>
        <v>0.23765996343692869</v>
      </c>
      <c r="BO851" s="300"/>
      <c r="BP851" s="668">
        <f>-BP842/BP828</f>
        <v>0.27099236641221375</v>
      </c>
      <c r="BQ851" s="668">
        <f>-BQ842/BQ828</f>
        <v>0.31071428571428572</v>
      </c>
      <c r="BR851" s="668">
        <f>-BR842/BR828</f>
        <v>0.29151291512915128</v>
      </c>
      <c r="BS851" s="300"/>
      <c r="BT851" s="668">
        <f>-BT842/BT828</f>
        <v>0.36977491961414793</v>
      </c>
      <c r="BU851" s="668">
        <f>-BU842/BU828</f>
        <v>0.32746478873239437</v>
      </c>
      <c r="BV851" s="668">
        <f>-BV842/BV828</f>
        <v>0.34957983193277309</v>
      </c>
      <c r="BW851" s="300"/>
      <c r="BX851" s="668">
        <f>-BX842/BX828</f>
        <v>0.37226277372262773</v>
      </c>
      <c r="BY851" s="668">
        <f>-BY842/BY828</f>
        <v>0.32746478873239437</v>
      </c>
      <c r="BZ851" s="668">
        <f>-BZ842/BZ828</f>
        <v>0.34946236559139787</v>
      </c>
      <c r="CA851" s="300"/>
      <c r="CB851" s="670">
        <v>0.32</v>
      </c>
      <c r="CC851" s="670">
        <v>0.32</v>
      </c>
      <c r="CD851" s="668">
        <f ca="1">-CD842/CD828</f>
        <v>0.32</v>
      </c>
      <c r="CE851" s="300"/>
      <c r="CF851" s="670">
        <v>0.32</v>
      </c>
      <c r="CG851" s="670">
        <v>0.32</v>
      </c>
      <c r="CH851" s="668">
        <f>-CH842/CH828</f>
        <v>0.32</v>
      </c>
      <c r="CI851" s="300"/>
      <c r="CJ851" s="670">
        <v>0.32</v>
      </c>
      <c r="CK851" s="670">
        <v>0.32</v>
      </c>
      <c r="CL851" s="668">
        <f>-CL842/CL828</f>
        <v>0.32</v>
      </c>
      <c r="CM851" s="300"/>
      <c r="CN851" s="670">
        <v>0.32</v>
      </c>
      <c r="CO851" s="670">
        <v>0.32</v>
      </c>
      <c r="CP851" s="668">
        <f>-CP842/CP828</f>
        <v>0.32</v>
      </c>
      <c r="CQ851" s="300"/>
      <c r="CR851" s="670">
        <v>0.32</v>
      </c>
      <c r="CS851" s="670">
        <v>0.32</v>
      </c>
      <c r="CT851" s="668">
        <f>-CT842/CT828</f>
        <v>0.31999999999999995</v>
      </c>
      <c r="CU851" s="300"/>
      <c r="CV851" s="670">
        <v>0.32</v>
      </c>
      <c r="CW851" s="670">
        <v>0.32</v>
      </c>
      <c r="CX851" s="668">
        <f>-CX842/CX828</f>
        <v>0.31999999999999995</v>
      </c>
      <c r="CY851" s="300"/>
      <c r="CZ851" s="670">
        <v>0.32</v>
      </c>
      <c r="DA851" s="670">
        <v>0.32</v>
      </c>
      <c r="DB851" s="668">
        <f>-DB842/DB828</f>
        <v>0.32</v>
      </c>
      <c r="DC851" s="300"/>
      <c r="DD851" s="670">
        <v>0.32</v>
      </c>
      <c r="DE851" s="670">
        <v>0.32</v>
      </c>
      <c r="DF851" s="668">
        <f>-DF842/DF828</f>
        <v>0.32</v>
      </c>
      <c r="DG851" s="300"/>
      <c r="DH851" s="670">
        <v>0.32</v>
      </c>
      <c r="DI851" s="670">
        <v>0.32</v>
      </c>
      <c r="DJ851" s="668">
        <f>-DJ842/DJ828</f>
        <v>0.32</v>
      </c>
      <c r="DK851" s="300"/>
      <c r="DL851" s="670">
        <v>0.32</v>
      </c>
      <c r="DM851" s="670">
        <v>0.32</v>
      </c>
      <c r="DN851" s="668">
        <f>-DN842/DN828</f>
        <v>0.32</v>
      </c>
      <c r="DO851" s="300"/>
      <c r="DP851" s="670">
        <v>0.32</v>
      </c>
      <c r="DQ851" s="670">
        <v>0.32</v>
      </c>
      <c r="DR851" s="668">
        <f>-DR842/DR828</f>
        <v>0.31999999999999995</v>
      </c>
      <c r="DS851" s="300"/>
      <c r="DT851" s="300"/>
      <c r="DU851" s="300"/>
      <c r="DV851" s="300"/>
      <c r="DW851" s="1215" t="s">
        <v>175</v>
      </c>
      <c r="DX851" s="300"/>
      <c r="DY851" s="300"/>
      <c r="DZ851" s="300"/>
      <c r="EA851" s="300"/>
      <c r="EB851" s="300"/>
      <c r="EC851" s="300"/>
      <c r="ED851" s="300"/>
      <c r="EE851" s="300"/>
      <c r="EF851" s="300"/>
      <c r="EG851" s="300"/>
      <c r="EH851" s="300"/>
      <c r="EI851" s="300"/>
      <c r="EJ851" s="300"/>
      <c r="EK851" s="300"/>
      <c r="EL851" s="300"/>
      <c r="EM851" s="300"/>
      <c r="EN851" s="300"/>
      <c r="EO851" s="300"/>
      <c r="EP851" s="300"/>
      <c r="EQ851" s="300"/>
      <c r="ER851" s="300"/>
      <c r="ES851" s="300"/>
      <c r="ET851" s="300"/>
      <c r="EU851" s="300"/>
      <c r="JW851"/>
    </row>
    <row r="852" spans="1:283" hidden="1" outlineLevel="1">
      <c r="CR852" s="103"/>
      <c r="CS852" s="103"/>
      <c r="CT852" s="103"/>
      <c r="CV852" s="103"/>
      <c r="CW852" s="103"/>
      <c r="CX852" s="103"/>
      <c r="CZ852" s="103"/>
      <c r="DA852" s="103"/>
      <c r="DB852" s="103"/>
      <c r="DD852" s="103"/>
      <c r="DE852" s="103"/>
      <c r="DF852" s="103"/>
      <c r="DH852" s="103"/>
      <c r="DI852" s="103"/>
      <c r="DJ852" s="103"/>
      <c r="DL852" s="103"/>
      <c r="DM852" s="103"/>
      <c r="DN852" s="103"/>
      <c r="DP852" s="103"/>
      <c r="DQ852" s="103"/>
      <c r="DR852" s="103"/>
      <c r="DW852" s="1101"/>
    </row>
    <row r="853" spans="1:283" hidden="1" outlineLevel="1">
      <c r="CR853" s="103"/>
      <c r="CS853" s="103"/>
      <c r="CT853" s="103"/>
      <c r="CV853" s="103"/>
      <c r="CW853" s="103"/>
      <c r="CX853" s="103"/>
      <c r="CZ853" s="103"/>
      <c r="DA853" s="103"/>
      <c r="DB853" s="103"/>
      <c r="DD853" s="103"/>
      <c r="DE853" s="103"/>
      <c r="DF853" s="103"/>
      <c r="DH853" s="103"/>
      <c r="DI853" s="103"/>
      <c r="DJ853" s="103"/>
      <c r="DL853" s="103"/>
      <c r="DM853" s="103"/>
      <c r="DN853" s="103"/>
      <c r="DP853" s="103"/>
      <c r="DQ853" s="103"/>
      <c r="DR853" s="103"/>
      <c r="DW853" s="1101"/>
    </row>
    <row r="854" spans="1:283" hidden="1" outlineLevel="1">
      <c r="A854" s="102" t="s">
        <v>621</v>
      </c>
      <c r="CR854" s="103"/>
      <c r="CS854" s="103"/>
      <c r="CT854" s="103"/>
      <c r="CV854" s="103"/>
      <c r="CW854" s="103"/>
      <c r="CX854" s="103"/>
      <c r="CZ854" s="103"/>
      <c r="DA854" s="103"/>
      <c r="DB854" s="103"/>
      <c r="DD854" s="103"/>
      <c r="DE854" s="103"/>
      <c r="DF854" s="103"/>
      <c r="DH854" s="103"/>
      <c r="DI854" s="103"/>
      <c r="DJ854" s="103"/>
      <c r="DL854" s="103"/>
      <c r="DM854" s="103"/>
      <c r="DN854" s="103"/>
      <c r="DP854" s="103"/>
      <c r="DQ854" s="103"/>
      <c r="DR854" s="103"/>
      <c r="DW854" s="1101"/>
    </row>
    <row r="855" spans="1:283" hidden="1" outlineLevel="1">
      <c r="A855" s="102" t="s">
        <v>657</v>
      </c>
      <c r="AZ855" s="927">
        <v>0</v>
      </c>
      <c r="BA855" s="927">
        <v>0</v>
      </c>
      <c r="BB855" s="927">
        <v>0</v>
      </c>
      <c r="BC855" s="730"/>
      <c r="BD855" s="927">
        <v>0</v>
      </c>
      <c r="BE855" s="927">
        <v>0</v>
      </c>
      <c r="BF855" s="927">
        <v>0</v>
      </c>
      <c r="BG855" s="730"/>
      <c r="BH855" s="927">
        <v>0</v>
      </c>
      <c r="BI855" s="927">
        <v>0</v>
      </c>
      <c r="BJ855" s="927">
        <v>0</v>
      </c>
      <c r="BK855" s="730"/>
      <c r="BL855" s="927">
        <v>0</v>
      </c>
      <c r="BM855" s="927">
        <v>0</v>
      </c>
      <c r="BN855" s="927">
        <v>0</v>
      </c>
      <c r="BO855" s="730"/>
      <c r="BP855" s="927">
        <v>0</v>
      </c>
      <c r="BQ855" s="927">
        <v>0</v>
      </c>
      <c r="BR855" s="927">
        <v>0</v>
      </c>
      <c r="BS855" s="730"/>
      <c r="BT855" s="927">
        <v>0</v>
      </c>
      <c r="BU855" s="927">
        <v>0</v>
      </c>
      <c r="BV855" s="927">
        <v>0</v>
      </c>
      <c r="BX855" s="818">
        <f>'P&amp;L'!BX1543</f>
        <v>0</v>
      </c>
      <c r="BY855" s="818">
        <f>'P&amp;L'!BY1543</f>
        <v>0</v>
      </c>
      <c r="BZ855" s="818">
        <f>'P&amp;L'!BZ1543</f>
        <v>0</v>
      </c>
      <c r="CB855" s="818">
        <f>'P&amp;L'!CB1543</f>
        <v>0</v>
      </c>
      <c r="CC855" s="818">
        <f>'P&amp;L'!CC1543</f>
        <v>0</v>
      </c>
      <c r="CD855" s="818">
        <f>'P&amp;L'!CD1543</f>
        <v>0</v>
      </c>
      <c r="CF855" s="818">
        <f>'P&amp;L'!CF1543</f>
        <v>0</v>
      </c>
      <c r="CG855" s="818">
        <f>'P&amp;L'!CG1543</f>
        <v>0</v>
      </c>
      <c r="CH855" s="818">
        <f>'P&amp;L'!CH1543</f>
        <v>0</v>
      </c>
      <c r="CJ855" s="818">
        <f>'P&amp;L'!CJ1543</f>
        <v>0</v>
      </c>
      <c r="CK855" s="818">
        <f>'P&amp;L'!CK1543</f>
        <v>0</v>
      </c>
      <c r="CL855" s="818">
        <f>'P&amp;L'!CL1543</f>
        <v>0</v>
      </c>
      <c r="CN855" s="818">
        <f>'P&amp;L'!CN1543</f>
        <v>0</v>
      </c>
      <c r="CO855" s="818">
        <f>'P&amp;L'!CO1543</f>
        <v>0</v>
      </c>
      <c r="CP855" s="818">
        <f>'P&amp;L'!CP1543</f>
        <v>0</v>
      </c>
      <c r="CR855" s="818">
        <f>'P&amp;L'!CR1543</f>
        <v>0</v>
      </c>
      <c r="CS855" s="818">
        <f>'P&amp;L'!CS1543</f>
        <v>0</v>
      </c>
      <c r="CT855" s="818">
        <f>'P&amp;L'!CT1543</f>
        <v>0</v>
      </c>
      <c r="CV855" s="818">
        <f>'P&amp;L'!CV1543</f>
        <v>0</v>
      </c>
      <c r="CW855" s="818">
        <f>'P&amp;L'!CW1543</f>
        <v>0</v>
      </c>
      <c r="CX855" s="818">
        <f>'P&amp;L'!CX1543</f>
        <v>0</v>
      </c>
      <c r="CZ855" s="818">
        <f>'P&amp;L'!CZ1543</f>
        <v>0</v>
      </c>
      <c r="DA855" s="818">
        <f>'P&amp;L'!DA1543</f>
        <v>0</v>
      </c>
      <c r="DB855" s="818">
        <f>'P&amp;L'!DB1543</f>
        <v>0</v>
      </c>
      <c r="DD855" s="818">
        <f>'P&amp;L'!DD1543</f>
        <v>0</v>
      </c>
      <c r="DE855" s="818">
        <f>'P&amp;L'!DE1543</f>
        <v>0</v>
      </c>
      <c r="DF855" s="818">
        <f>'P&amp;L'!DF1543</f>
        <v>0</v>
      </c>
      <c r="DH855" s="818">
        <f>'P&amp;L'!DH1543</f>
        <v>0</v>
      </c>
      <c r="DI855" s="818">
        <f>'P&amp;L'!DI1543</f>
        <v>0</v>
      </c>
      <c r="DJ855" s="818">
        <f>'P&amp;L'!DJ1543</f>
        <v>0</v>
      </c>
      <c r="DL855" s="818">
        <f>'P&amp;L'!DL1543</f>
        <v>0</v>
      </c>
      <c r="DM855" s="818">
        <f>'P&amp;L'!DM1543</f>
        <v>0</v>
      </c>
      <c r="DN855" s="818">
        <f>'P&amp;L'!DN1543</f>
        <v>0</v>
      </c>
      <c r="DP855" s="818">
        <f>'P&amp;L'!DP1543</f>
        <v>0</v>
      </c>
      <c r="DQ855" s="818">
        <f>'P&amp;L'!DQ1543</f>
        <v>0</v>
      </c>
      <c r="DR855" s="818">
        <f>'P&amp;L'!DR1543</f>
        <v>0</v>
      </c>
      <c r="DW855" s="1198" t="s">
        <v>174</v>
      </c>
    </row>
    <row r="856" spans="1:283" hidden="1" outlineLevel="1">
      <c r="A856" s="102" t="s">
        <v>674</v>
      </c>
      <c r="AZ856" s="927">
        <v>0</v>
      </c>
      <c r="BA856" s="927">
        <v>0</v>
      </c>
      <c r="BB856" s="927">
        <v>0</v>
      </c>
      <c r="BC856" s="730"/>
      <c r="BD856" s="927">
        <v>0</v>
      </c>
      <c r="BE856" s="927">
        <v>0</v>
      </c>
      <c r="BF856" s="927">
        <v>0</v>
      </c>
      <c r="BG856" s="730"/>
      <c r="BH856" s="927">
        <v>0</v>
      </c>
      <c r="BI856" s="927">
        <v>0</v>
      </c>
      <c r="BJ856" s="927">
        <v>0</v>
      </c>
      <c r="BK856" s="730"/>
      <c r="BL856" s="927">
        <v>0</v>
      </c>
      <c r="BM856" s="927">
        <v>0</v>
      </c>
      <c r="BN856" s="927">
        <v>0</v>
      </c>
      <c r="BO856" s="730"/>
      <c r="BP856" s="927">
        <v>0</v>
      </c>
      <c r="BQ856" s="927">
        <v>0</v>
      </c>
      <c r="BR856" s="927">
        <v>0</v>
      </c>
      <c r="BS856" s="730"/>
      <c r="BT856" s="927">
        <v>0</v>
      </c>
      <c r="BU856" s="927">
        <v>0</v>
      </c>
      <c r="BV856" s="927">
        <v>0</v>
      </c>
      <c r="BX856" s="818">
        <f>'P&amp;L'!BX1554</f>
        <v>0</v>
      </c>
      <c r="BY856" s="818">
        <f>'P&amp;L'!BY1554</f>
        <v>0</v>
      </c>
      <c r="BZ856" s="818">
        <f>'P&amp;L'!BZ1554</f>
        <v>0</v>
      </c>
      <c r="CB856" s="818">
        <f>'P&amp;L'!CB1554</f>
        <v>0</v>
      </c>
      <c r="CC856" s="818">
        <f>'P&amp;L'!CC1554</f>
        <v>0</v>
      </c>
      <c r="CD856" s="818">
        <f>'P&amp;L'!CD1554</f>
        <v>0</v>
      </c>
      <c r="CF856" s="818">
        <f>'P&amp;L'!CF1554</f>
        <v>0</v>
      </c>
      <c r="CG856" s="818">
        <f>'P&amp;L'!CG1554</f>
        <v>0</v>
      </c>
      <c r="CH856" s="818">
        <f>'P&amp;L'!CH1554</f>
        <v>0</v>
      </c>
      <c r="CJ856" s="818">
        <f>'P&amp;L'!CJ1554</f>
        <v>0</v>
      </c>
      <c r="CK856" s="818">
        <f>'P&amp;L'!CK1554</f>
        <v>0</v>
      </c>
      <c r="CL856" s="818">
        <f>'P&amp;L'!CL1554</f>
        <v>0</v>
      </c>
      <c r="CN856" s="818">
        <f>'P&amp;L'!CN1554</f>
        <v>0</v>
      </c>
      <c r="CO856" s="818">
        <f>'P&amp;L'!CO1554</f>
        <v>0</v>
      </c>
      <c r="CP856" s="818">
        <f>'P&amp;L'!CP1554</f>
        <v>0</v>
      </c>
      <c r="CR856" s="818">
        <f>'P&amp;L'!CR1554</f>
        <v>0</v>
      </c>
      <c r="CS856" s="818">
        <f>'P&amp;L'!CS1554</f>
        <v>0</v>
      </c>
      <c r="CT856" s="818">
        <f>'P&amp;L'!CT1554</f>
        <v>0</v>
      </c>
      <c r="CV856" s="818">
        <f>'P&amp;L'!CV1554</f>
        <v>0</v>
      </c>
      <c r="CW856" s="818">
        <f>'P&amp;L'!CW1554</f>
        <v>0</v>
      </c>
      <c r="CX856" s="818">
        <f>'P&amp;L'!CX1554</f>
        <v>0</v>
      </c>
      <c r="CZ856" s="818">
        <f>'P&amp;L'!CZ1554</f>
        <v>0</v>
      </c>
      <c r="DA856" s="818">
        <f>'P&amp;L'!DA1554</f>
        <v>0</v>
      </c>
      <c r="DB856" s="818">
        <f>'P&amp;L'!DB1554</f>
        <v>0</v>
      </c>
      <c r="DD856" s="818">
        <f>'P&amp;L'!DD1554</f>
        <v>0</v>
      </c>
      <c r="DE856" s="818">
        <f>'P&amp;L'!DE1554</f>
        <v>0</v>
      </c>
      <c r="DF856" s="818">
        <f>'P&amp;L'!DF1554</f>
        <v>0</v>
      </c>
      <c r="DH856" s="818">
        <f>'P&amp;L'!DH1554</f>
        <v>0</v>
      </c>
      <c r="DI856" s="818">
        <f>'P&amp;L'!DI1554</f>
        <v>0</v>
      </c>
      <c r="DJ856" s="818">
        <f>'P&amp;L'!DJ1554</f>
        <v>0</v>
      </c>
      <c r="DL856" s="818">
        <f>'P&amp;L'!DL1554</f>
        <v>0</v>
      </c>
      <c r="DM856" s="818">
        <f>'P&amp;L'!DM1554</f>
        <v>0</v>
      </c>
      <c r="DN856" s="818">
        <f>'P&amp;L'!DN1554</f>
        <v>0</v>
      </c>
      <c r="DP856" s="818">
        <f>'P&amp;L'!DP1554</f>
        <v>0</v>
      </c>
      <c r="DQ856" s="818">
        <f>'P&amp;L'!DQ1554</f>
        <v>0</v>
      </c>
      <c r="DR856" s="818">
        <f>'P&amp;L'!DR1554</f>
        <v>0</v>
      </c>
      <c r="DW856" s="1198" t="s">
        <v>174</v>
      </c>
    </row>
    <row r="857" spans="1:283" hidden="1" outlineLevel="1">
      <c r="A857" s="102" t="s">
        <v>659</v>
      </c>
      <c r="AZ857" s="927">
        <v>0</v>
      </c>
      <c r="BA857" s="927">
        <v>0</v>
      </c>
      <c r="BB857" s="927">
        <v>0</v>
      </c>
      <c r="BC857" s="730"/>
      <c r="BD857" s="927">
        <v>0</v>
      </c>
      <c r="BE857" s="927">
        <v>0</v>
      </c>
      <c r="BF857" s="927">
        <v>0</v>
      </c>
      <c r="BG857" s="730"/>
      <c r="BH857" s="927">
        <v>0</v>
      </c>
      <c r="BI857" s="927">
        <v>0</v>
      </c>
      <c r="BJ857" s="927">
        <v>0</v>
      </c>
      <c r="BK857" s="730"/>
      <c r="BL857" s="927">
        <v>0</v>
      </c>
      <c r="BM857" s="927">
        <v>0</v>
      </c>
      <c r="BN857" s="927">
        <v>0</v>
      </c>
      <c r="BO857" s="730"/>
      <c r="BP857" s="927">
        <v>0</v>
      </c>
      <c r="BQ857" s="927">
        <v>0</v>
      </c>
      <c r="BR857" s="927">
        <v>0</v>
      </c>
      <c r="BS857" s="730"/>
      <c r="BT857" s="927">
        <v>0</v>
      </c>
      <c r="BU857" s="927">
        <v>0</v>
      </c>
      <c r="BV857" s="927">
        <v>0</v>
      </c>
      <c r="BX857" s="818">
        <f>'P&amp;L'!BX1565</f>
        <v>0</v>
      </c>
      <c r="BY857" s="818">
        <f>'P&amp;L'!BY1565</f>
        <v>0</v>
      </c>
      <c r="BZ857" s="818">
        <f>'P&amp;L'!BZ1565</f>
        <v>0</v>
      </c>
      <c r="CB857" s="818">
        <f>'P&amp;L'!CB1565</f>
        <v>0</v>
      </c>
      <c r="CC857" s="818">
        <f>'P&amp;L'!CC1565</f>
        <v>0</v>
      </c>
      <c r="CD857" s="818">
        <f>'P&amp;L'!CD1565</f>
        <v>0</v>
      </c>
      <c r="CF857" s="818">
        <f>'P&amp;L'!CF1565</f>
        <v>0</v>
      </c>
      <c r="CG857" s="818">
        <f>'P&amp;L'!CG1565</f>
        <v>0</v>
      </c>
      <c r="CH857" s="818">
        <f>'P&amp;L'!CH1565</f>
        <v>0</v>
      </c>
      <c r="CJ857" s="818">
        <f>'P&amp;L'!CJ1565</f>
        <v>0</v>
      </c>
      <c r="CK857" s="818">
        <f>'P&amp;L'!CK1565</f>
        <v>0</v>
      </c>
      <c r="CL857" s="818">
        <f>'P&amp;L'!CL1565</f>
        <v>0</v>
      </c>
      <c r="CN857" s="818">
        <f>'P&amp;L'!CN1565</f>
        <v>0</v>
      </c>
      <c r="CO857" s="818">
        <f>'P&amp;L'!CO1565</f>
        <v>0</v>
      </c>
      <c r="CP857" s="818">
        <f>'P&amp;L'!CP1565</f>
        <v>0</v>
      </c>
      <c r="CR857" s="818">
        <f>'P&amp;L'!CR1565</f>
        <v>0</v>
      </c>
      <c r="CS857" s="818">
        <f>'P&amp;L'!CS1565</f>
        <v>0</v>
      </c>
      <c r="CT857" s="818">
        <f>'P&amp;L'!CT1565</f>
        <v>0</v>
      </c>
      <c r="CV857" s="818">
        <f>'P&amp;L'!CV1565</f>
        <v>0</v>
      </c>
      <c r="CW857" s="818">
        <f>'P&amp;L'!CW1565</f>
        <v>0</v>
      </c>
      <c r="CX857" s="818">
        <f>'P&amp;L'!CX1565</f>
        <v>0</v>
      </c>
      <c r="CZ857" s="818">
        <f>'P&amp;L'!CZ1565</f>
        <v>0</v>
      </c>
      <c r="DA857" s="818">
        <f>'P&amp;L'!DA1565</f>
        <v>0</v>
      </c>
      <c r="DB857" s="818">
        <f>'P&amp;L'!DB1565</f>
        <v>0</v>
      </c>
      <c r="DD857" s="818">
        <f>'P&amp;L'!DD1565</f>
        <v>0</v>
      </c>
      <c r="DE857" s="818">
        <f>'P&amp;L'!DE1565</f>
        <v>0</v>
      </c>
      <c r="DF857" s="818">
        <f>'P&amp;L'!DF1565</f>
        <v>0</v>
      </c>
      <c r="DH857" s="818">
        <f>'P&amp;L'!DH1565</f>
        <v>0</v>
      </c>
      <c r="DI857" s="818">
        <f>'P&amp;L'!DI1565</f>
        <v>0</v>
      </c>
      <c r="DJ857" s="818">
        <f>'P&amp;L'!DJ1565</f>
        <v>0</v>
      </c>
      <c r="DL857" s="818">
        <f>'P&amp;L'!DL1565</f>
        <v>0</v>
      </c>
      <c r="DM857" s="818">
        <f>'P&amp;L'!DM1565</f>
        <v>0</v>
      </c>
      <c r="DN857" s="818">
        <f>'P&amp;L'!DN1565</f>
        <v>0</v>
      </c>
      <c r="DP857" s="818">
        <f>'P&amp;L'!DP1565</f>
        <v>0</v>
      </c>
      <c r="DQ857" s="818">
        <f>'P&amp;L'!DQ1565</f>
        <v>0</v>
      </c>
      <c r="DR857" s="818">
        <f>'P&amp;L'!DR1565</f>
        <v>0</v>
      </c>
      <c r="DW857" s="1198" t="s">
        <v>174</v>
      </c>
    </row>
    <row r="858" spans="1:283" hidden="1" outlineLevel="1">
      <c r="A858" s="102" t="s">
        <v>660</v>
      </c>
      <c r="AZ858" s="927">
        <v>0</v>
      </c>
      <c r="BA858" s="927">
        <v>0</v>
      </c>
      <c r="BB858" s="927">
        <v>0</v>
      </c>
      <c r="BC858" s="730"/>
      <c r="BD858" s="927">
        <v>0</v>
      </c>
      <c r="BE858" s="927">
        <v>0</v>
      </c>
      <c r="BF858" s="927">
        <v>0</v>
      </c>
      <c r="BG858" s="730"/>
      <c r="BH858" s="927">
        <v>0</v>
      </c>
      <c r="BI858" s="927">
        <v>0</v>
      </c>
      <c r="BJ858" s="927">
        <v>0</v>
      </c>
      <c r="BK858" s="730"/>
      <c r="BL858" s="927">
        <v>0</v>
      </c>
      <c r="BM858" s="927">
        <v>0</v>
      </c>
      <c r="BN858" s="927">
        <v>0</v>
      </c>
      <c r="BO858" s="730"/>
      <c r="BP858" s="927">
        <v>0</v>
      </c>
      <c r="BQ858" s="927">
        <v>0</v>
      </c>
      <c r="BR858" s="927">
        <v>0</v>
      </c>
      <c r="BS858" s="730"/>
      <c r="BT858" s="927">
        <v>0</v>
      </c>
      <c r="BU858" s="927">
        <v>0</v>
      </c>
      <c r="BV858" s="927">
        <v>0</v>
      </c>
      <c r="BX858" s="818">
        <f>'P&amp;L'!BX1576</f>
        <v>0</v>
      </c>
      <c r="BY858" s="818">
        <f>'P&amp;L'!BY1576</f>
        <v>0</v>
      </c>
      <c r="BZ858" s="818">
        <f>'P&amp;L'!BZ1576</f>
        <v>0</v>
      </c>
      <c r="CB858" s="818">
        <f>'P&amp;L'!CB1576</f>
        <v>0</v>
      </c>
      <c r="CC858" s="818">
        <f>'P&amp;L'!CC1576</f>
        <v>0</v>
      </c>
      <c r="CD858" s="818">
        <f>'P&amp;L'!CD1576</f>
        <v>0</v>
      </c>
      <c r="CF858" s="818">
        <f>'P&amp;L'!CF1576</f>
        <v>0</v>
      </c>
      <c r="CG858" s="818">
        <f>'P&amp;L'!CG1576</f>
        <v>0</v>
      </c>
      <c r="CH858" s="818">
        <f>'P&amp;L'!CH1576</f>
        <v>0</v>
      </c>
      <c r="CJ858" s="818">
        <f>'P&amp;L'!CJ1576</f>
        <v>0</v>
      </c>
      <c r="CK858" s="818">
        <f>'P&amp;L'!CK1576</f>
        <v>0</v>
      </c>
      <c r="CL858" s="818">
        <f>'P&amp;L'!CL1576</f>
        <v>0</v>
      </c>
      <c r="CN858" s="818">
        <f>'P&amp;L'!CN1576</f>
        <v>0</v>
      </c>
      <c r="CO858" s="818">
        <f>'P&amp;L'!CO1576</f>
        <v>0</v>
      </c>
      <c r="CP858" s="818">
        <f>'P&amp;L'!CP1576</f>
        <v>0</v>
      </c>
      <c r="CR858" s="818">
        <f>'P&amp;L'!CR1576</f>
        <v>0</v>
      </c>
      <c r="CS858" s="818">
        <f>'P&amp;L'!CS1576</f>
        <v>0</v>
      </c>
      <c r="CT858" s="818">
        <f>'P&amp;L'!CT1576</f>
        <v>0</v>
      </c>
      <c r="CV858" s="818">
        <f>'P&amp;L'!CV1576</f>
        <v>0</v>
      </c>
      <c r="CW858" s="818">
        <f>'P&amp;L'!CW1576</f>
        <v>0</v>
      </c>
      <c r="CX858" s="818">
        <f>'P&amp;L'!CX1576</f>
        <v>0</v>
      </c>
      <c r="CZ858" s="818">
        <f>'P&amp;L'!CZ1576</f>
        <v>0</v>
      </c>
      <c r="DA858" s="818">
        <f>'P&amp;L'!DA1576</f>
        <v>0</v>
      </c>
      <c r="DB858" s="818">
        <f>'P&amp;L'!DB1576</f>
        <v>0</v>
      </c>
      <c r="DD858" s="818">
        <f>'P&amp;L'!DD1576</f>
        <v>0</v>
      </c>
      <c r="DE858" s="818">
        <f>'P&amp;L'!DE1576</f>
        <v>0</v>
      </c>
      <c r="DF858" s="818">
        <f>'P&amp;L'!DF1576</f>
        <v>0</v>
      </c>
      <c r="DH858" s="818">
        <f>'P&amp;L'!DH1576</f>
        <v>0</v>
      </c>
      <c r="DI858" s="818">
        <f>'P&amp;L'!DI1576</f>
        <v>0</v>
      </c>
      <c r="DJ858" s="818">
        <f>'P&amp;L'!DJ1576</f>
        <v>0</v>
      </c>
      <c r="DL858" s="818">
        <f>'P&amp;L'!DL1576</f>
        <v>0</v>
      </c>
      <c r="DM858" s="818">
        <f>'P&amp;L'!DM1576</f>
        <v>0</v>
      </c>
      <c r="DN858" s="818">
        <f>'P&amp;L'!DN1576</f>
        <v>0</v>
      </c>
      <c r="DP858" s="818">
        <f>'P&amp;L'!DP1576</f>
        <v>0</v>
      </c>
      <c r="DQ858" s="818">
        <f>'P&amp;L'!DQ1576</f>
        <v>0</v>
      </c>
      <c r="DR858" s="818">
        <f>'P&amp;L'!DR1576</f>
        <v>0</v>
      </c>
      <c r="DW858" s="1198" t="s">
        <v>174</v>
      </c>
    </row>
    <row r="859" spans="1:283" hidden="1" outlineLevel="1">
      <c r="A859" s="102" t="s">
        <v>661</v>
      </c>
      <c r="AZ859" s="927">
        <v>0</v>
      </c>
      <c r="BA859" s="927">
        <v>0</v>
      </c>
      <c r="BB859" s="927">
        <v>0</v>
      </c>
      <c r="BC859" s="730"/>
      <c r="BD859" s="927">
        <v>0</v>
      </c>
      <c r="BE859" s="927">
        <v>0</v>
      </c>
      <c r="BF859" s="927">
        <v>0</v>
      </c>
      <c r="BG859" s="730"/>
      <c r="BH859" s="927">
        <v>0</v>
      </c>
      <c r="BI859" s="927">
        <v>0</v>
      </c>
      <c r="BJ859" s="927">
        <v>0</v>
      </c>
      <c r="BK859" s="730"/>
      <c r="BL859" s="927">
        <v>0</v>
      </c>
      <c r="BM859" s="927">
        <v>0</v>
      </c>
      <c r="BN859" s="927">
        <v>0</v>
      </c>
      <c r="BO859" s="730"/>
      <c r="BP859" s="927">
        <v>0</v>
      </c>
      <c r="BQ859" s="927">
        <v>0</v>
      </c>
      <c r="BR859" s="927">
        <v>0</v>
      </c>
      <c r="BS859" s="730"/>
      <c r="BT859" s="927">
        <v>0</v>
      </c>
      <c r="BU859" s="927">
        <v>0</v>
      </c>
      <c r="BV859" s="927">
        <v>0</v>
      </c>
      <c r="BX859" s="818">
        <f>'P&amp;L'!BX1587</f>
        <v>0</v>
      </c>
      <c r="BY859" s="818">
        <f>'P&amp;L'!BY1587</f>
        <v>0</v>
      </c>
      <c r="BZ859" s="818">
        <f>'P&amp;L'!BZ1587</f>
        <v>0</v>
      </c>
      <c r="CB859" s="818">
        <f>'P&amp;L'!CB1587</f>
        <v>0</v>
      </c>
      <c r="CC859" s="818">
        <f>'P&amp;L'!CC1587</f>
        <v>0</v>
      </c>
      <c r="CD859" s="818">
        <f>'P&amp;L'!CD1587</f>
        <v>0</v>
      </c>
      <c r="CF859" s="818">
        <f>'P&amp;L'!CF1587</f>
        <v>0</v>
      </c>
      <c r="CG859" s="818">
        <f>'P&amp;L'!CG1587</f>
        <v>0</v>
      </c>
      <c r="CH859" s="818">
        <f>'P&amp;L'!CH1587</f>
        <v>0</v>
      </c>
      <c r="CJ859" s="818">
        <f>'P&amp;L'!CJ1587</f>
        <v>0</v>
      </c>
      <c r="CK859" s="818">
        <f>'P&amp;L'!CK1587</f>
        <v>0</v>
      </c>
      <c r="CL859" s="818">
        <f>'P&amp;L'!CL1587</f>
        <v>0</v>
      </c>
      <c r="CN859" s="818">
        <f>'P&amp;L'!CN1587</f>
        <v>0</v>
      </c>
      <c r="CO859" s="818">
        <f>'P&amp;L'!CO1587</f>
        <v>0</v>
      </c>
      <c r="CP859" s="818">
        <f>'P&amp;L'!CP1587</f>
        <v>0</v>
      </c>
      <c r="CR859" s="818">
        <f>'P&amp;L'!CR1587</f>
        <v>0</v>
      </c>
      <c r="CS859" s="818">
        <f>'P&amp;L'!CS1587</f>
        <v>0</v>
      </c>
      <c r="CT859" s="818">
        <f>'P&amp;L'!CT1587</f>
        <v>0</v>
      </c>
      <c r="CV859" s="818">
        <f>'P&amp;L'!CV1587</f>
        <v>0</v>
      </c>
      <c r="CW859" s="818">
        <f>'P&amp;L'!CW1587</f>
        <v>0</v>
      </c>
      <c r="CX859" s="818">
        <f>'P&amp;L'!CX1587</f>
        <v>0</v>
      </c>
      <c r="CZ859" s="818">
        <f>'P&amp;L'!CZ1587</f>
        <v>0</v>
      </c>
      <c r="DA859" s="818">
        <f>'P&amp;L'!DA1587</f>
        <v>0</v>
      </c>
      <c r="DB859" s="818">
        <f>'P&amp;L'!DB1587</f>
        <v>0</v>
      </c>
      <c r="DD859" s="818">
        <f>'P&amp;L'!DD1587</f>
        <v>0</v>
      </c>
      <c r="DE859" s="818">
        <f>'P&amp;L'!DE1587</f>
        <v>0</v>
      </c>
      <c r="DF859" s="818">
        <f>'P&amp;L'!DF1587</f>
        <v>0</v>
      </c>
      <c r="DH859" s="818">
        <f>'P&amp;L'!DH1587</f>
        <v>0</v>
      </c>
      <c r="DI859" s="818">
        <f>'P&amp;L'!DI1587</f>
        <v>0</v>
      </c>
      <c r="DJ859" s="818">
        <f>'P&amp;L'!DJ1587</f>
        <v>0</v>
      </c>
      <c r="DL859" s="818">
        <f>'P&amp;L'!DL1587</f>
        <v>0</v>
      </c>
      <c r="DM859" s="818">
        <f>'P&amp;L'!DM1587</f>
        <v>0</v>
      </c>
      <c r="DN859" s="818">
        <f>'P&amp;L'!DN1587</f>
        <v>0</v>
      </c>
      <c r="DP859" s="818">
        <f>'P&amp;L'!DP1587</f>
        <v>0</v>
      </c>
      <c r="DQ859" s="818">
        <f>'P&amp;L'!DQ1587</f>
        <v>0</v>
      </c>
      <c r="DR859" s="818">
        <f>'P&amp;L'!DR1587</f>
        <v>0</v>
      </c>
      <c r="DW859" s="1198" t="s">
        <v>174</v>
      </c>
    </row>
    <row r="860" spans="1:283" hidden="1" outlineLevel="1">
      <c r="A860" s="102" t="s">
        <v>662</v>
      </c>
      <c r="AZ860" s="927">
        <v>0</v>
      </c>
      <c r="BA860" s="927">
        <v>0</v>
      </c>
      <c r="BB860" s="927">
        <v>0</v>
      </c>
      <c r="BC860" s="730"/>
      <c r="BD860" s="927">
        <v>0</v>
      </c>
      <c r="BE860" s="927">
        <v>0</v>
      </c>
      <c r="BF860" s="927">
        <v>0</v>
      </c>
      <c r="BG860" s="730"/>
      <c r="BH860" s="927">
        <v>0</v>
      </c>
      <c r="BI860" s="927">
        <v>0</v>
      </c>
      <c r="BJ860" s="927">
        <v>0</v>
      </c>
      <c r="BK860" s="730"/>
      <c r="BL860" s="927">
        <v>0</v>
      </c>
      <c r="BM860" s="927">
        <v>0</v>
      </c>
      <c r="BN860" s="927">
        <v>0</v>
      </c>
      <c r="BO860" s="730"/>
      <c r="BP860" s="927">
        <v>0</v>
      </c>
      <c r="BQ860" s="927">
        <v>0</v>
      </c>
      <c r="BR860" s="927">
        <v>0</v>
      </c>
      <c r="BS860" s="730"/>
      <c r="BT860" s="927">
        <v>0</v>
      </c>
      <c r="BU860" s="927">
        <v>0</v>
      </c>
      <c r="BV860" s="927">
        <v>0</v>
      </c>
      <c r="BX860" s="818">
        <f>'P&amp;L'!BX1598</f>
        <v>0</v>
      </c>
      <c r="BY860" s="818">
        <f>'P&amp;L'!BY1598</f>
        <v>0</v>
      </c>
      <c r="BZ860" s="818">
        <f>'P&amp;L'!BZ1598</f>
        <v>0</v>
      </c>
      <c r="CB860" s="818">
        <f>'P&amp;L'!CB1598</f>
        <v>0</v>
      </c>
      <c r="CC860" s="818">
        <f>'P&amp;L'!CC1598</f>
        <v>0</v>
      </c>
      <c r="CD860" s="818">
        <f>'P&amp;L'!CD1598</f>
        <v>0</v>
      </c>
      <c r="CF860" s="818">
        <f>'P&amp;L'!CF1598</f>
        <v>0</v>
      </c>
      <c r="CG860" s="818">
        <f>'P&amp;L'!CG1598</f>
        <v>0</v>
      </c>
      <c r="CH860" s="818">
        <f>'P&amp;L'!CH1598</f>
        <v>0</v>
      </c>
      <c r="CJ860" s="818">
        <f>'P&amp;L'!CJ1598</f>
        <v>0</v>
      </c>
      <c r="CK860" s="818">
        <f>'P&amp;L'!CK1598</f>
        <v>0</v>
      </c>
      <c r="CL860" s="818">
        <f>'P&amp;L'!CL1598</f>
        <v>0</v>
      </c>
      <c r="CN860" s="818">
        <f>'P&amp;L'!CN1598</f>
        <v>0</v>
      </c>
      <c r="CO860" s="818">
        <f>'P&amp;L'!CO1598</f>
        <v>0</v>
      </c>
      <c r="CP860" s="818">
        <f>'P&amp;L'!CP1598</f>
        <v>0</v>
      </c>
      <c r="CR860" s="818">
        <f>'P&amp;L'!CR1598</f>
        <v>0</v>
      </c>
      <c r="CS860" s="818">
        <f>'P&amp;L'!CS1598</f>
        <v>0</v>
      </c>
      <c r="CT860" s="818">
        <f>'P&amp;L'!CT1598</f>
        <v>0</v>
      </c>
      <c r="CV860" s="818">
        <f>'P&amp;L'!CV1598</f>
        <v>0</v>
      </c>
      <c r="CW860" s="818">
        <f>'P&amp;L'!CW1598</f>
        <v>0</v>
      </c>
      <c r="CX860" s="818">
        <f>'P&amp;L'!CX1598</f>
        <v>0</v>
      </c>
      <c r="CZ860" s="818">
        <f>'P&amp;L'!CZ1598</f>
        <v>0</v>
      </c>
      <c r="DA860" s="818">
        <f>'P&amp;L'!DA1598</f>
        <v>0</v>
      </c>
      <c r="DB860" s="818">
        <f>'P&amp;L'!DB1598</f>
        <v>0</v>
      </c>
      <c r="DD860" s="818">
        <f>'P&amp;L'!DD1598</f>
        <v>0</v>
      </c>
      <c r="DE860" s="818">
        <f>'P&amp;L'!DE1598</f>
        <v>0</v>
      </c>
      <c r="DF860" s="818">
        <f>'P&amp;L'!DF1598</f>
        <v>0</v>
      </c>
      <c r="DH860" s="818">
        <f>'P&amp;L'!DH1598</f>
        <v>0</v>
      </c>
      <c r="DI860" s="818">
        <f>'P&amp;L'!DI1598</f>
        <v>0</v>
      </c>
      <c r="DJ860" s="818">
        <f>'P&amp;L'!DJ1598</f>
        <v>0</v>
      </c>
      <c r="DL860" s="818">
        <f>'P&amp;L'!DL1598</f>
        <v>0</v>
      </c>
      <c r="DM860" s="818">
        <f>'P&amp;L'!DM1598</f>
        <v>0</v>
      </c>
      <c r="DN860" s="818">
        <f>'P&amp;L'!DN1598</f>
        <v>0</v>
      </c>
      <c r="DP860" s="818">
        <f>'P&amp;L'!DP1598</f>
        <v>0</v>
      </c>
      <c r="DQ860" s="818">
        <f>'P&amp;L'!DQ1598</f>
        <v>0</v>
      </c>
      <c r="DR860" s="818">
        <f>'P&amp;L'!DR1598</f>
        <v>0</v>
      </c>
      <c r="DW860" s="1198" t="s">
        <v>174</v>
      </c>
    </row>
    <row r="861" spans="1:283" hidden="1" outlineLevel="1">
      <c r="A861" s="102" t="s">
        <v>658</v>
      </c>
      <c r="AZ861" s="927">
        <v>0</v>
      </c>
      <c r="BA861" s="927">
        <v>0</v>
      </c>
      <c r="BB861" s="927">
        <v>0</v>
      </c>
      <c r="BC861" s="730"/>
      <c r="BD861" s="927">
        <v>0</v>
      </c>
      <c r="BE861" s="927">
        <v>0</v>
      </c>
      <c r="BF861" s="927">
        <v>0</v>
      </c>
      <c r="BG861" s="730"/>
      <c r="BH861" s="927">
        <v>0</v>
      </c>
      <c r="BI861" s="927">
        <v>0</v>
      </c>
      <c r="BJ861" s="927">
        <v>0</v>
      </c>
      <c r="BK861" s="730"/>
      <c r="BL861" s="927">
        <v>0</v>
      </c>
      <c r="BM861" s="927">
        <v>0</v>
      </c>
      <c r="BN861" s="927">
        <v>0</v>
      </c>
      <c r="BO861" s="730"/>
      <c r="BP861" s="927">
        <v>0</v>
      </c>
      <c r="BQ861" s="927">
        <v>0</v>
      </c>
      <c r="BR861" s="927">
        <v>0</v>
      </c>
      <c r="BS861" s="730"/>
      <c r="BT861" s="927">
        <v>0</v>
      </c>
      <c r="BU861" s="927">
        <v>0</v>
      </c>
      <c r="BV861" s="927">
        <v>0</v>
      </c>
      <c r="BX861" s="818">
        <f>'P&amp;L'!BX1609</f>
        <v>0</v>
      </c>
      <c r="BY861" s="818">
        <f>'P&amp;L'!BY1609</f>
        <v>0</v>
      </c>
      <c r="BZ861" s="818">
        <f>'P&amp;L'!BZ1609</f>
        <v>0</v>
      </c>
      <c r="CB861" s="818">
        <f>'P&amp;L'!CB1609</f>
        <v>0</v>
      </c>
      <c r="CC861" s="818">
        <f>'P&amp;L'!CC1609</f>
        <v>0</v>
      </c>
      <c r="CD861" s="818">
        <f>'P&amp;L'!CD1609</f>
        <v>0</v>
      </c>
      <c r="CF861" s="818">
        <f>'P&amp;L'!CF1609</f>
        <v>0</v>
      </c>
      <c r="CG861" s="818">
        <f>'P&amp;L'!CG1609</f>
        <v>0</v>
      </c>
      <c r="CH861" s="818">
        <f>'P&amp;L'!CH1609</f>
        <v>0</v>
      </c>
      <c r="CJ861" s="818">
        <f>'P&amp;L'!CJ1609</f>
        <v>0</v>
      </c>
      <c r="CK861" s="818">
        <f>'P&amp;L'!CK1609</f>
        <v>0</v>
      </c>
      <c r="CL861" s="818">
        <f>'P&amp;L'!CL1609</f>
        <v>0</v>
      </c>
      <c r="CN861" s="818">
        <f>'P&amp;L'!CN1609</f>
        <v>0</v>
      </c>
      <c r="CO861" s="818">
        <f>'P&amp;L'!CO1609</f>
        <v>0</v>
      </c>
      <c r="CP861" s="818">
        <f>'P&amp;L'!CP1609</f>
        <v>0</v>
      </c>
      <c r="CR861" s="818">
        <f>'P&amp;L'!CR1609</f>
        <v>0</v>
      </c>
      <c r="CS861" s="818">
        <f>'P&amp;L'!CS1609</f>
        <v>0</v>
      </c>
      <c r="CT861" s="818">
        <f>'P&amp;L'!CT1609</f>
        <v>0</v>
      </c>
      <c r="CV861" s="818">
        <f>'P&amp;L'!CV1609</f>
        <v>0</v>
      </c>
      <c r="CW861" s="818">
        <f>'P&amp;L'!CW1609</f>
        <v>0</v>
      </c>
      <c r="CX861" s="818">
        <f>'P&amp;L'!CX1609</f>
        <v>0</v>
      </c>
      <c r="CZ861" s="818">
        <f>'P&amp;L'!CZ1609</f>
        <v>0</v>
      </c>
      <c r="DA861" s="818">
        <f>'P&amp;L'!DA1609</f>
        <v>0</v>
      </c>
      <c r="DB861" s="818">
        <f>'P&amp;L'!DB1609</f>
        <v>0</v>
      </c>
      <c r="DD861" s="818">
        <f>'P&amp;L'!DD1609</f>
        <v>0</v>
      </c>
      <c r="DE861" s="818">
        <f>'P&amp;L'!DE1609</f>
        <v>0</v>
      </c>
      <c r="DF861" s="818">
        <f>'P&amp;L'!DF1609</f>
        <v>0</v>
      </c>
      <c r="DH861" s="818">
        <f>'P&amp;L'!DH1609</f>
        <v>0</v>
      </c>
      <c r="DI861" s="818">
        <f>'P&amp;L'!DI1609</f>
        <v>0</v>
      </c>
      <c r="DJ861" s="818">
        <f>'P&amp;L'!DJ1609</f>
        <v>0</v>
      </c>
      <c r="DL861" s="818">
        <f>'P&amp;L'!DL1609</f>
        <v>0</v>
      </c>
      <c r="DM861" s="818">
        <f>'P&amp;L'!DM1609</f>
        <v>0</v>
      </c>
      <c r="DN861" s="818">
        <f>'P&amp;L'!DN1609</f>
        <v>0</v>
      </c>
      <c r="DP861" s="818">
        <f>'P&amp;L'!DP1609</f>
        <v>0</v>
      </c>
      <c r="DQ861" s="818">
        <f>'P&amp;L'!DQ1609</f>
        <v>0</v>
      </c>
      <c r="DR861" s="818">
        <f>'P&amp;L'!DR1609</f>
        <v>0</v>
      </c>
      <c r="DW861" s="1198" t="s">
        <v>174</v>
      </c>
    </row>
    <row r="862" spans="1:283" hidden="1" outlineLevel="1">
      <c r="A862" s="102" t="s">
        <v>887</v>
      </c>
      <c r="AZ862" s="927">
        <v>0</v>
      </c>
      <c r="BA862" s="927">
        <v>0</v>
      </c>
      <c r="BB862" s="927">
        <v>0</v>
      </c>
      <c r="BC862" s="730"/>
      <c r="BD862" s="927">
        <v>0</v>
      </c>
      <c r="BE862" s="927">
        <v>0</v>
      </c>
      <c r="BF862" s="927">
        <v>0</v>
      </c>
      <c r="BG862" s="730"/>
      <c r="BH862" s="927">
        <v>0</v>
      </c>
      <c r="BI862" s="927">
        <v>0</v>
      </c>
      <c r="BJ862" s="927">
        <v>0</v>
      </c>
      <c r="BK862" s="730"/>
      <c r="BL862" s="927">
        <v>0</v>
      </c>
      <c r="BM862" s="927">
        <v>0</v>
      </c>
      <c r="BN862" s="927">
        <v>0</v>
      </c>
      <c r="BO862" s="730"/>
      <c r="BP862" s="927">
        <v>0</v>
      </c>
      <c r="BQ862" s="927">
        <v>0</v>
      </c>
      <c r="BR862" s="927">
        <v>0</v>
      </c>
      <c r="BS862" s="730"/>
      <c r="BT862" s="927">
        <v>0</v>
      </c>
      <c r="BU862" s="927">
        <v>0</v>
      </c>
      <c r="BV862" s="927">
        <v>0</v>
      </c>
      <c r="BX862" s="818">
        <f>'P&amp;L'!BX1620</f>
        <v>0</v>
      </c>
      <c r="BY862" s="818">
        <f>'P&amp;L'!BY1620</f>
        <v>0</v>
      </c>
      <c r="BZ862" s="818">
        <f>'P&amp;L'!BZ1620</f>
        <v>0</v>
      </c>
      <c r="CB862" s="818">
        <f>'P&amp;L'!CB1620</f>
        <v>0</v>
      </c>
      <c r="CC862" s="818">
        <f>'P&amp;L'!CC1620</f>
        <v>0</v>
      </c>
      <c r="CD862" s="818">
        <f>'P&amp;L'!CD1620</f>
        <v>0</v>
      </c>
      <c r="CF862" s="818">
        <f>'P&amp;L'!CF1620</f>
        <v>0</v>
      </c>
      <c r="CG862" s="818">
        <f>'P&amp;L'!CG1620</f>
        <v>0</v>
      </c>
      <c r="CH862" s="818">
        <f>'P&amp;L'!CH1620</f>
        <v>0</v>
      </c>
      <c r="CJ862" s="818">
        <f>'P&amp;L'!CJ1620</f>
        <v>0</v>
      </c>
      <c r="CK862" s="818">
        <f>'P&amp;L'!CK1620</f>
        <v>0</v>
      </c>
      <c r="CL862" s="818">
        <f>'P&amp;L'!CL1620</f>
        <v>0</v>
      </c>
      <c r="CN862" s="818">
        <f>'P&amp;L'!CN1620</f>
        <v>0</v>
      </c>
      <c r="CO862" s="818">
        <f>'P&amp;L'!CO1620</f>
        <v>0</v>
      </c>
      <c r="CP862" s="818">
        <f>'P&amp;L'!CP1620</f>
        <v>0</v>
      </c>
      <c r="CR862" s="818">
        <f>'P&amp;L'!CR1620</f>
        <v>0</v>
      </c>
      <c r="CS862" s="818">
        <f>'P&amp;L'!CS1620</f>
        <v>0</v>
      </c>
      <c r="CT862" s="818">
        <f>'P&amp;L'!CT1620</f>
        <v>0</v>
      </c>
      <c r="CV862" s="818">
        <f>'P&amp;L'!CV1620</f>
        <v>0</v>
      </c>
      <c r="CW862" s="818">
        <f>'P&amp;L'!CW1620</f>
        <v>0</v>
      </c>
      <c r="CX862" s="818">
        <f>'P&amp;L'!CX1620</f>
        <v>0</v>
      </c>
      <c r="CZ862" s="818">
        <f>'P&amp;L'!CZ1620</f>
        <v>0</v>
      </c>
      <c r="DA862" s="818">
        <f>'P&amp;L'!DA1620</f>
        <v>0</v>
      </c>
      <c r="DB862" s="818">
        <f>'P&amp;L'!DB1620</f>
        <v>0</v>
      </c>
      <c r="DD862" s="818">
        <f>'P&amp;L'!DD1620</f>
        <v>0</v>
      </c>
      <c r="DE862" s="818">
        <f>'P&amp;L'!DE1620</f>
        <v>0</v>
      </c>
      <c r="DF862" s="818">
        <f>'P&amp;L'!DF1620</f>
        <v>0</v>
      </c>
      <c r="DH862" s="818">
        <f>'P&amp;L'!DH1620</f>
        <v>0</v>
      </c>
      <c r="DI862" s="818">
        <f>'P&amp;L'!DI1620</f>
        <v>0</v>
      </c>
      <c r="DJ862" s="818">
        <f>'P&amp;L'!DJ1620</f>
        <v>0</v>
      </c>
      <c r="DL862" s="818">
        <f>'P&amp;L'!DL1620</f>
        <v>0</v>
      </c>
      <c r="DM862" s="818">
        <f>'P&amp;L'!DM1620</f>
        <v>0</v>
      </c>
      <c r="DN862" s="818">
        <f>'P&amp;L'!DN1620</f>
        <v>0</v>
      </c>
      <c r="DP862" s="818">
        <f>'P&amp;L'!DP1620</f>
        <v>0</v>
      </c>
      <c r="DQ862" s="818">
        <f>'P&amp;L'!DQ1620</f>
        <v>0</v>
      </c>
      <c r="DR862" s="818">
        <f>'P&amp;L'!DR1620</f>
        <v>0</v>
      </c>
      <c r="DW862" s="1198" t="s">
        <v>174</v>
      </c>
    </row>
    <row r="863" spans="1:283" hidden="1" outlineLevel="1">
      <c r="A863" s="102" t="s">
        <v>667</v>
      </c>
      <c r="AZ863" s="927">
        <v>0</v>
      </c>
      <c r="BA863" s="927">
        <v>0</v>
      </c>
      <c r="BB863" s="927">
        <v>0</v>
      </c>
      <c r="BC863" s="730"/>
      <c r="BD863" s="927">
        <v>0</v>
      </c>
      <c r="BE863" s="927">
        <v>0</v>
      </c>
      <c r="BF863" s="927">
        <v>0</v>
      </c>
      <c r="BG863" s="730"/>
      <c r="BH863" s="927">
        <v>0</v>
      </c>
      <c r="BI863" s="927">
        <v>0</v>
      </c>
      <c r="BJ863" s="927">
        <v>0</v>
      </c>
      <c r="BK863" s="730"/>
      <c r="BL863" s="927">
        <v>0</v>
      </c>
      <c r="BM863" s="927">
        <v>0</v>
      </c>
      <c r="BN863" s="927">
        <v>0</v>
      </c>
      <c r="BO863" s="730"/>
      <c r="BP863" s="927">
        <v>0</v>
      </c>
      <c r="BQ863" s="927">
        <v>0</v>
      </c>
      <c r="BR863" s="927">
        <v>0</v>
      </c>
      <c r="BS863" s="730"/>
      <c r="BT863" s="927">
        <v>0</v>
      </c>
      <c r="BU863" s="927">
        <v>0</v>
      </c>
      <c r="BV863" s="927">
        <v>0</v>
      </c>
      <c r="BX863" s="818">
        <f>'P&amp;L'!BX1631</f>
        <v>0</v>
      </c>
      <c r="BY863" s="818">
        <f>'P&amp;L'!BY1631</f>
        <v>0</v>
      </c>
      <c r="BZ863" s="818">
        <f>'P&amp;L'!BZ1631</f>
        <v>0</v>
      </c>
      <c r="CB863" s="818">
        <f>'P&amp;L'!CB1631</f>
        <v>0</v>
      </c>
      <c r="CC863" s="818">
        <f>'P&amp;L'!CC1631</f>
        <v>0</v>
      </c>
      <c r="CD863" s="818">
        <f>'P&amp;L'!CD1631</f>
        <v>0</v>
      </c>
      <c r="CF863" s="818">
        <f>'P&amp;L'!CF1631</f>
        <v>0</v>
      </c>
      <c r="CG863" s="818">
        <f>'P&amp;L'!CG1631</f>
        <v>0</v>
      </c>
      <c r="CH863" s="818">
        <f>'P&amp;L'!CH1631</f>
        <v>0</v>
      </c>
      <c r="CJ863" s="818">
        <f>'P&amp;L'!CJ1631</f>
        <v>0</v>
      </c>
      <c r="CK863" s="818">
        <f>'P&amp;L'!CK1631</f>
        <v>0</v>
      </c>
      <c r="CL863" s="818">
        <f>'P&amp;L'!CL1631</f>
        <v>0</v>
      </c>
      <c r="CN863" s="818">
        <f>'P&amp;L'!CN1631</f>
        <v>0</v>
      </c>
      <c r="CO863" s="818">
        <f>'P&amp;L'!CO1631</f>
        <v>0</v>
      </c>
      <c r="CP863" s="818">
        <f>'P&amp;L'!CP1631</f>
        <v>0</v>
      </c>
      <c r="CR863" s="818">
        <f>'P&amp;L'!CR1631</f>
        <v>0</v>
      </c>
      <c r="CS863" s="818">
        <f>'P&amp;L'!CS1631</f>
        <v>0</v>
      </c>
      <c r="CT863" s="818">
        <f>'P&amp;L'!CT1631</f>
        <v>0</v>
      </c>
      <c r="CV863" s="818">
        <f>'P&amp;L'!CV1631</f>
        <v>0</v>
      </c>
      <c r="CW863" s="818">
        <f>'P&amp;L'!CW1631</f>
        <v>0</v>
      </c>
      <c r="CX863" s="818">
        <f>'P&amp;L'!CX1631</f>
        <v>0</v>
      </c>
      <c r="CZ863" s="818">
        <f>'P&amp;L'!CZ1631</f>
        <v>0</v>
      </c>
      <c r="DA863" s="818">
        <f>'P&amp;L'!DA1631</f>
        <v>0</v>
      </c>
      <c r="DB863" s="818">
        <f>'P&amp;L'!DB1631</f>
        <v>0</v>
      </c>
      <c r="DD863" s="818">
        <f>'P&amp;L'!DD1631</f>
        <v>0</v>
      </c>
      <c r="DE863" s="818">
        <f>'P&amp;L'!DE1631</f>
        <v>0</v>
      </c>
      <c r="DF863" s="818">
        <f>'P&amp;L'!DF1631</f>
        <v>0</v>
      </c>
      <c r="DH863" s="818">
        <f>'P&amp;L'!DH1631</f>
        <v>0</v>
      </c>
      <c r="DI863" s="818">
        <f>'P&amp;L'!DI1631</f>
        <v>0</v>
      </c>
      <c r="DJ863" s="818">
        <f>'P&amp;L'!DJ1631</f>
        <v>0</v>
      </c>
      <c r="DL863" s="818">
        <f>'P&amp;L'!DL1631</f>
        <v>0</v>
      </c>
      <c r="DM863" s="818">
        <f>'P&amp;L'!DM1631</f>
        <v>0</v>
      </c>
      <c r="DN863" s="818">
        <f>'P&amp;L'!DN1631</f>
        <v>0</v>
      </c>
      <c r="DP863" s="818">
        <f>'P&amp;L'!DP1631</f>
        <v>0</v>
      </c>
      <c r="DQ863" s="818">
        <f>'P&amp;L'!DQ1631</f>
        <v>0</v>
      </c>
      <c r="DR863" s="818">
        <f>'P&amp;L'!DR1631</f>
        <v>0</v>
      </c>
      <c r="DW863" s="1198" t="s">
        <v>174</v>
      </c>
    </row>
    <row r="864" spans="1:283" hidden="1" outlineLevel="1">
      <c r="A864" s="102" t="s">
        <v>675</v>
      </c>
      <c r="AZ864" s="927">
        <v>0</v>
      </c>
      <c r="BA864" s="927">
        <v>0</v>
      </c>
      <c r="BB864" s="927">
        <v>0</v>
      </c>
      <c r="BC864" s="730"/>
      <c r="BD864" s="927">
        <v>0</v>
      </c>
      <c r="BE864" s="927">
        <v>0</v>
      </c>
      <c r="BF864" s="927">
        <v>0</v>
      </c>
      <c r="BG864" s="730"/>
      <c r="BH864" s="927">
        <v>0</v>
      </c>
      <c r="BI864" s="927">
        <v>0</v>
      </c>
      <c r="BJ864" s="927">
        <v>0</v>
      </c>
      <c r="BK864" s="730"/>
      <c r="BL864" s="927">
        <v>0</v>
      </c>
      <c r="BM864" s="927">
        <v>0</v>
      </c>
      <c r="BN864" s="927">
        <v>0</v>
      </c>
      <c r="BO864" s="730"/>
      <c r="BP864" s="927">
        <v>0</v>
      </c>
      <c r="BQ864" s="927">
        <v>0</v>
      </c>
      <c r="BR864" s="927">
        <v>0</v>
      </c>
      <c r="BS864" s="730"/>
      <c r="BT864" s="927">
        <v>0</v>
      </c>
      <c r="BU864" s="927">
        <v>0</v>
      </c>
      <c r="BV864" s="927">
        <v>0</v>
      </c>
      <c r="BX864" s="818">
        <f>'P&amp;L'!BX1642</f>
        <v>0</v>
      </c>
      <c r="BY864" s="818">
        <f>'P&amp;L'!BY1642</f>
        <v>0</v>
      </c>
      <c r="BZ864" s="818">
        <f>'P&amp;L'!BZ1642</f>
        <v>0</v>
      </c>
      <c r="CB864" s="818">
        <f>'P&amp;L'!CB1642</f>
        <v>0</v>
      </c>
      <c r="CC864" s="818">
        <f>'P&amp;L'!CC1642</f>
        <v>0</v>
      </c>
      <c r="CD864" s="818">
        <f>'P&amp;L'!CD1642</f>
        <v>0</v>
      </c>
      <c r="CF864" s="818">
        <f>'P&amp;L'!CF1642</f>
        <v>0</v>
      </c>
      <c r="CG864" s="818">
        <f>'P&amp;L'!CG1642</f>
        <v>0</v>
      </c>
      <c r="CH864" s="818">
        <f>'P&amp;L'!CH1642</f>
        <v>0</v>
      </c>
      <c r="CJ864" s="818">
        <f>'P&amp;L'!CJ1642</f>
        <v>0</v>
      </c>
      <c r="CK864" s="818">
        <f>'P&amp;L'!CK1642</f>
        <v>0</v>
      </c>
      <c r="CL864" s="818">
        <f>'P&amp;L'!CL1642</f>
        <v>0</v>
      </c>
      <c r="CN864" s="818">
        <f>'P&amp;L'!CN1642</f>
        <v>0</v>
      </c>
      <c r="CO864" s="818">
        <f>'P&amp;L'!CO1642</f>
        <v>0</v>
      </c>
      <c r="CP864" s="818">
        <f>'P&amp;L'!CP1642</f>
        <v>0</v>
      </c>
      <c r="CR864" s="818">
        <f>'P&amp;L'!CR1642</f>
        <v>0</v>
      </c>
      <c r="CS864" s="818">
        <f>'P&amp;L'!CS1642</f>
        <v>0</v>
      </c>
      <c r="CT864" s="818">
        <f>'P&amp;L'!CT1642</f>
        <v>0</v>
      </c>
      <c r="CV864" s="818">
        <f>'P&amp;L'!CV1642</f>
        <v>0</v>
      </c>
      <c r="CW864" s="818">
        <f>'P&amp;L'!CW1642</f>
        <v>0</v>
      </c>
      <c r="CX864" s="818">
        <f>'P&amp;L'!CX1642</f>
        <v>0</v>
      </c>
      <c r="CZ864" s="818">
        <f>'P&amp;L'!CZ1642</f>
        <v>0</v>
      </c>
      <c r="DA864" s="818">
        <f>'P&amp;L'!DA1642</f>
        <v>0</v>
      </c>
      <c r="DB864" s="818">
        <f>'P&amp;L'!DB1642</f>
        <v>0</v>
      </c>
      <c r="DD864" s="818">
        <f>'P&amp;L'!DD1642</f>
        <v>0</v>
      </c>
      <c r="DE864" s="818">
        <f>'P&amp;L'!DE1642</f>
        <v>0</v>
      </c>
      <c r="DF864" s="818">
        <f>'P&amp;L'!DF1642</f>
        <v>0</v>
      </c>
      <c r="DH864" s="818">
        <f>'P&amp;L'!DH1642</f>
        <v>0</v>
      </c>
      <c r="DI864" s="818">
        <f>'P&amp;L'!DI1642</f>
        <v>0</v>
      </c>
      <c r="DJ864" s="818">
        <f>'P&amp;L'!DJ1642</f>
        <v>0</v>
      </c>
      <c r="DL864" s="818">
        <f>'P&amp;L'!DL1642</f>
        <v>0</v>
      </c>
      <c r="DM864" s="818">
        <f>'P&amp;L'!DM1642</f>
        <v>0</v>
      </c>
      <c r="DN864" s="818">
        <f>'P&amp;L'!DN1642</f>
        <v>0</v>
      </c>
      <c r="DP864" s="818">
        <f>'P&amp;L'!DP1642</f>
        <v>0</v>
      </c>
      <c r="DQ864" s="818">
        <f>'P&amp;L'!DQ1642</f>
        <v>0</v>
      </c>
      <c r="DR864" s="818">
        <f>'P&amp;L'!DR1642</f>
        <v>0</v>
      </c>
      <c r="DW864" s="1198" t="s">
        <v>174</v>
      </c>
    </row>
    <row r="865" spans="1:283" hidden="1" outlineLevel="1">
      <c r="A865" s="102" t="s">
        <v>672</v>
      </c>
      <c r="AV865" s="818">
        <f>'P&amp;L'!AV1653</f>
        <v>0</v>
      </c>
      <c r="AW865" s="818">
        <f>'P&amp;L'!AW1653</f>
        <v>0</v>
      </c>
      <c r="AX865" s="818">
        <f>'P&amp;L'!AX1653</f>
        <v>0</v>
      </c>
      <c r="AZ865" s="927">
        <v>0</v>
      </c>
      <c r="BA865" s="927">
        <v>0</v>
      </c>
      <c r="BB865" s="927">
        <v>0</v>
      </c>
      <c r="BC865" s="730"/>
      <c r="BD865" s="927">
        <v>0</v>
      </c>
      <c r="BE865" s="927">
        <v>0</v>
      </c>
      <c r="BF865" s="927">
        <v>0</v>
      </c>
      <c r="BG865" s="730"/>
      <c r="BH865" s="927">
        <v>0</v>
      </c>
      <c r="BI865" s="927">
        <v>0</v>
      </c>
      <c r="BJ865" s="927">
        <v>0</v>
      </c>
      <c r="BK865" s="730"/>
      <c r="BL865" s="927">
        <v>0</v>
      </c>
      <c r="BM865" s="927">
        <v>0</v>
      </c>
      <c r="BN865" s="927">
        <v>0</v>
      </c>
      <c r="BO865" s="730"/>
      <c r="BP865" s="927">
        <v>0</v>
      </c>
      <c r="BQ865" s="927">
        <v>0</v>
      </c>
      <c r="BR865" s="927">
        <v>0</v>
      </c>
      <c r="BS865" s="730"/>
      <c r="BT865" s="927">
        <v>0</v>
      </c>
      <c r="BU865" s="927">
        <v>0</v>
      </c>
      <c r="BV865" s="927">
        <v>0</v>
      </c>
      <c r="BX865" s="818">
        <f>'P&amp;L'!BX1653</f>
        <v>0</v>
      </c>
      <c r="BY865" s="818">
        <f>'P&amp;L'!BY1653</f>
        <v>0</v>
      </c>
      <c r="BZ865" s="818">
        <f>'P&amp;L'!BZ1653</f>
        <v>0</v>
      </c>
      <c r="CB865" s="818">
        <f>'P&amp;L'!CB1653</f>
        <v>0</v>
      </c>
      <c r="CC865" s="818">
        <f>'P&amp;L'!CC1653</f>
        <v>0</v>
      </c>
      <c r="CD865" s="818">
        <f>'P&amp;L'!CD1653</f>
        <v>0</v>
      </c>
      <c r="CF865" s="818">
        <f>'P&amp;L'!CF1653</f>
        <v>0</v>
      </c>
      <c r="CG865" s="818">
        <f>'P&amp;L'!CG1653</f>
        <v>0</v>
      </c>
      <c r="CH865" s="818">
        <f>'P&amp;L'!CH1653</f>
        <v>0</v>
      </c>
      <c r="CJ865" s="818">
        <f>'P&amp;L'!CJ1653</f>
        <v>0</v>
      </c>
      <c r="CK865" s="818">
        <f>'P&amp;L'!CK1653</f>
        <v>0</v>
      </c>
      <c r="CL865" s="818">
        <f>'P&amp;L'!CL1653</f>
        <v>0</v>
      </c>
      <c r="CN865" s="818">
        <f>'P&amp;L'!CN1653</f>
        <v>0</v>
      </c>
      <c r="CO865" s="818">
        <f>'P&amp;L'!CO1653</f>
        <v>0</v>
      </c>
      <c r="CP865" s="818">
        <f>'P&amp;L'!CP1653</f>
        <v>0</v>
      </c>
      <c r="CR865" s="818">
        <f>'P&amp;L'!CR1653</f>
        <v>0</v>
      </c>
      <c r="CS865" s="818">
        <f>'P&amp;L'!CS1653</f>
        <v>0</v>
      </c>
      <c r="CT865" s="818">
        <f>'P&amp;L'!CT1653</f>
        <v>0</v>
      </c>
      <c r="CV865" s="818">
        <f>'P&amp;L'!CV1653</f>
        <v>0</v>
      </c>
      <c r="CW865" s="818">
        <f>'P&amp;L'!CW1653</f>
        <v>0</v>
      </c>
      <c r="CX865" s="818">
        <f>'P&amp;L'!CX1653</f>
        <v>0</v>
      </c>
      <c r="CZ865" s="818">
        <f>'P&amp;L'!CZ1653</f>
        <v>0</v>
      </c>
      <c r="DA865" s="818">
        <f>'P&amp;L'!DA1653</f>
        <v>0</v>
      </c>
      <c r="DB865" s="818">
        <f>'P&amp;L'!DB1653</f>
        <v>0</v>
      </c>
      <c r="DD865" s="818">
        <f>'P&amp;L'!DD1653</f>
        <v>0</v>
      </c>
      <c r="DE865" s="818">
        <f>'P&amp;L'!DE1653</f>
        <v>0</v>
      </c>
      <c r="DF865" s="818">
        <f>'P&amp;L'!DF1653</f>
        <v>0</v>
      </c>
      <c r="DH865" s="818">
        <f>'P&amp;L'!DH1653</f>
        <v>0</v>
      </c>
      <c r="DI865" s="818">
        <f>'P&amp;L'!DI1653</f>
        <v>0</v>
      </c>
      <c r="DJ865" s="818">
        <f>'P&amp;L'!DJ1653</f>
        <v>0</v>
      </c>
      <c r="DL865" s="818">
        <f>'P&amp;L'!DL1653</f>
        <v>0</v>
      </c>
      <c r="DM865" s="818">
        <f>'P&amp;L'!DM1653</f>
        <v>0</v>
      </c>
      <c r="DN865" s="818">
        <f>'P&amp;L'!DN1653</f>
        <v>0</v>
      </c>
      <c r="DP865" s="818">
        <f>'P&amp;L'!DP1653</f>
        <v>0</v>
      </c>
      <c r="DQ865" s="818">
        <f>'P&amp;L'!DQ1653</f>
        <v>0</v>
      </c>
      <c r="DR865" s="818">
        <f>'P&amp;L'!DR1653</f>
        <v>0</v>
      </c>
      <c r="DW865" s="1198" t="s">
        <v>174</v>
      </c>
    </row>
    <row r="866" spans="1:283" hidden="1" outlineLevel="1">
      <c r="A866" s="102" t="s">
        <v>827</v>
      </c>
      <c r="AZ866" s="927">
        <v>0</v>
      </c>
      <c r="BA866" s="927">
        <v>0</v>
      </c>
      <c r="BB866" s="927">
        <v>0</v>
      </c>
      <c r="BC866" s="730"/>
      <c r="BD866" s="927">
        <v>0</v>
      </c>
      <c r="BE866" s="927">
        <v>0</v>
      </c>
      <c r="BF866" s="927">
        <v>0</v>
      </c>
      <c r="BG866" s="730"/>
      <c r="BH866" s="927">
        <v>0</v>
      </c>
      <c r="BI866" s="927">
        <v>0</v>
      </c>
      <c r="BJ866" s="927">
        <v>0</v>
      </c>
      <c r="BK866" s="730"/>
      <c r="BL866" s="927">
        <v>0</v>
      </c>
      <c r="BM866" s="927">
        <v>0</v>
      </c>
      <c r="BN866" s="927">
        <v>0</v>
      </c>
      <c r="BO866" s="730"/>
      <c r="BP866" s="927">
        <v>0</v>
      </c>
      <c r="BQ866" s="927">
        <v>0</v>
      </c>
      <c r="BR866" s="927">
        <v>0</v>
      </c>
      <c r="BS866" s="730"/>
      <c r="BT866" s="927">
        <v>0</v>
      </c>
      <c r="BU866" s="927">
        <v>0</v>
      </c>
      <c r="BV866" s="927">
        <v>0</v>
      </c>
      <c r="BX866" s="818">
        <f>'P&amp;L'!BX1664</f>
        <v>0</v>
      </c>
      <c r="BY866" s="818">
        <f>'P&amp;L'!BY1664</f>
        <v>0</v>
      </c>
      <c r="BZ866" s="818">
        <f>'P&amp;L'!BZ1664</f>
        <v>0</v>
      </c>
      <c r="CB866" s="818">
        <f>'P&amp;L'!CB1664</f>
        <v>0</v>
      </c>
      <c r="CC866" s="818">
        <f>'P&amp;L'!CC1664</f>
        <v>0</v>
      </c>
      <c r="CD866" s="818">
        <f>'P&amp;L'!CD1664</f>
        <v>0</v>
      </c>
      <c r="CF866" s="818">
        <f>'P&amp;L'!CF1664</f>
        <v>0</v>
      </c>
      <c r="CG866" s="818">
        <f>'P&amp;L'!CG1664</f>
        <v>0</v>
      </c>
      <c r="CH866" s="818">
        <f>'P&amp;L'!CH1664</f>
        <v>0</v>
      </c>
      <c r="CJ866" s="818">
        <f>'P&amp;L'!CJ1664</f>
        <v>0</v>
      </c>
      <c r="CK866" s="818">
        <f>'P&amp;L'!CK1664</f>
        <v>0</v>
      </c>
      <c r="CL866" s="818">
        <f>'P&amp;L'!CL1664</f>
        <v>0</v>
      </c>
      <c r="CN866" s="818">
        <f>'P&amp;L'!CN1664</f>
        <v>0</v>
      </c>
      <c r="CO866" s="818">
        <f>'P&amp;L'!CO1664</f>
        <v>0</v>
      </c>
      <c r="CP866" s="818">
        <f>'P&amp;L'!CP1664</f>
        <v>0</v>
      </c>
      <c r="CR866" s="818">
        <f>'P&amp;L'!CR1664</f>
        <v>0</v>
      </c>
      <c r="CS866" s="818">
        <f>'P&amp;L'!CS1664</f>
        <v>0</v>
      </c>
      <c r="CT866" s="818">
        <f>'P&amp;L'!CT1664</f>
        <v>0</v>
      </c>
      <c r="CV866" s="818">
        <f>'P&amp;L'!CV1664</f>
        <v>0</v>
      </c>
      <c r="CW866" s="818">
        <f>'P&amp;L'!CW1664</f>
        <v>0</v>
      </c>
      <c r="CX866" s="818">
        <f>'P&amp;L'!CX1664</f>
        <v>0</v>
      </c>
      <c r="CZ866" s="818">
        <f>'P&amp;L'!CZ1664</f>
        <v>0</v>
      </c>
      <c r="DA866" s="818">
        <f>'P&amp;L'!DA1664</f>
        <v>0</v>
      </c>
      <c r="DB866" s="818">
        <f>'P&amp;L'!DB1664</f>
        <v>0</v>
      </c>
      <c r="DD866" s="818">
        <f>'P&amp;L'!DD1664</f>
        <v>0</v>
      </c>
      <c r="DE866" s="818">
        <f>'P&amp;L'!DE1664</f>
        <v>0</v>
      </c>
      <c r="DF866" s="818">
        <f>'P&amp;L'!DF1664</f>
        <v>0</v>
      </c>
      <c r="DH866" s="818">
        <f>'P&amp;L'!DH1664</f>
        <v>0</v>
      </c>
      <c r="DI866" s="818">
        <f>'P&amp;L'!DI1664</f>
        <v>0</v>
      </c>
      <c r="DJ866" s="818">
        <f>'P&amp;L'!DJ1664</f>
        <v>0</v>
      </c>
      <c r="DL866" s="818">
        <f>'P&amp;L'!DL1664</f>
        <v>0</v>
      </c>
      <c r="DM866" s="818">
        <f>'P&amp;L'!DM1664</f>
        <v>0</v>
      </c>
      <c r="DN866" s="818">
        <f>'P&amp;L'!DN1664</f>
        <v>0</v>
      </c>
      <c r="DP866" s="818">
        <f>'P&amp;L'!DP1664</f>
        <v>0</v>
      </c>
      <c r="DQ866" s="818">
        <f>'P&amp;L'!DQ1664</f>
        <v>0</v>
      </c>
      <c r="DR866" s="818">
        <f>'P&amp;L'!DR1664</f>
        <v>0</v>
      </c>
      <c r="DW866" s="1198" t="s">
        <v>174</v>
      </c>
    </row>
    <row r="867" spans="1:283" hidden="1" outlineLevel="1">
      <c r="A867" s="102" t="s">
        <v>828</v>
      </c>
      <c r="AZ867" s="927">
        <v>0</v>
      </c>
      <c r="BA867" s="927">
        <v>0</v>
      </c>
      <c r="BB867" s="927">
        <v>0</v>
      </c>
      <c r="BC867" s="730"/>
      <c r="BD867" s="927">
        <v>0</v>
      </c>
      <c r="BE867" s="927">
        <v>0</v>
      </c>
      <c r="BF867" s="927">
        <v>0</v>
      </c>
      <c r="BG867" s="730"/>
      <c r="BH867" s="927">
        <v>0</v>
      </c>
      <c r="BI867" s="927">
        <v>0</v>
      </c>
      <c r="BJ867" s="927">
        <v>0</v>
      </c>
      <c r="BK867" s="730"/>
      <c r="BL867" s="927">
        <v>0</v>
      </c>
      <c r="BM867" s="927">
        <v>0</v>
      </c>
      <c r="BN867" s="927">
        <v>0</v>
      </c>
      <c r="BO867" s="730"/>
      <c r="BP867" s="927">
        <v>0</v>
      </c>
      <c r="BQ867" s="927">
        <v>0</v>
      </c>
      <c r="BR867" s="927">
        <v>0</v>
      </c>
      <c r="BS867" s="730"/>
      <c r="BT867" s="927">
        <v>0</v>
      </c>
      <c r="BU867" s="927">
        <v>0</v>
      </c>
      <c r="BV867" s="927">
        <v>0</v>
      </c>
      <c r="BX867" s="818">
        <f>'P&amp;L'!BX1675</f>
        <v>0</v>
      </c>
      <c r="BY867" s="818">
        <f>'P&amp;L'!BY1675</f>
        <v>0</v>
      </c>
      <c r="BZ867" s="818">
        <f>'P&amp;L'!BZ1675</f>
        <v>0</v>
      </c>
      <c r="CB867" s="818">
        <f>'P&amp;L'!CB1675</f>
        <v>0</v>
      </c>
      <c r="CC867" s="818">
        <f>'P&amp;L'!CC1675</f>
        <v>0</v>
      </c>
      <c r="CD867" s="818">
        <f>'P&amp;L'!CD1675</f>
        <v>0</v>
      </c>
      <c r="CF867" s="818">
        <f>'P&amp;L'!CF1675</f>
        <v>0</v>
      </c>
      <c r="CG867" s="818">
        <f>'P&amp;L'!CG1675</f>
        <v>0</v>
      </c>
      <c r="CH867" s="818">
        <f>'P&amp;L'!CH1675</f>
        <v>0</v>
      </c>
      <c r="CJ867" s="818">
        <f>'P&amp;L'!CJ1675</f>
        <v>0</v>
      </c>
      <c r="CK867" s="818">
        <f>'P&amp;L'!CK1675</f>
        <v>0</v>
      </c>
      <c r="CL867" s="818">
        <f>'P&amp;L'!CL1675</f>
        <v>0</v>
      </c>
      <c r="CN867" s="818">
        <f>'P&amp;L'!CN1675</f>
        <v>0</v>
      </c>
      <c r="CO867" s="818">
        <f>'P&amp;L'!CO1675</f>
        <v>0</v>
      </c>
      <c r="CP867" s="818">
        <f>'P&amp;L'!CP1675</f>
        <v>0</v>
      </c>
      <c r="CR867" s="818">
        <f>'P&amp;L'!CR1675</f>
        <v>0</v>
      </c>
      <c r="CS867" s="818">
        <f>'P&amp;L'!CS1675</f>
        <v>0</v>
      </c>
      <c r="CT867" s="818">
        <f>'P&amp;L'!CT1675</f>
        <v>0</v>
      </c>
      <c r="CV867" s="818">
        <f>'P&amp;L'!CV1675</f>
        <v>0</v>
      </c>
      <c r="CW867" s="818">
        <f>'P&amp;L'!CW1675</f>
        <v>0</v>
      </c>
      <c r="CX867" s="818">
        <f>'P&amp;L'!CX1675</f>
        <v>0</v>
      </c>
      <c r="CZ867" s="818">
        <f>'P&amp;L'!CZ1675</f>
        <v>0</v>
      </c>
      <c r="DA867" s="818">
        <f>'P&amp;L'!DA1675</f>
        <v>0</v>
      </c>
      <c r="DB867" s="818">
        <f>'P&amp;L'!DB1675</f>
        <v>0</v>
      </c>
      <c r="DD867" s="818">
        <f>'P&amp;L'!DD1675</f>
        <v>0</v>
      </c>
      <c r="DE867" s="818">
        <f>'P&amp;L'!DE1675</f>
        <v>0</v>
      </c>
      <c r="DF867" s="818">
        <f>'P&amp;L'!DF1675</f>
        <v>0</v>
      </c>
      <c r="DH867" s="818">
        <f>'P&amp;L'!DH1675</f>
        <v>0</v>
      </c>
      <c r="DI867" s="818">
        <f>'P&amp;L'!DI1675</f>
        <v>0</v>
      </c>
      <c r="DJ867" s="818">
        <f>'P&amp;L'!DJ1675</f>
        <v>0</v>
      </c>
      <c r="DL867" s="818">
        <f>'P&amp;L'!DL1675</f>
        <v>0</v>
      </c>
      <c r="DM867" s="818">
        <f>'P&amp;L'!DM1675</f>
        <v>0</v>
      </c>
      <c r="DN867" s="818">
        <f>'P&amp;L'!DN1675</f>
        <v>0</v>
      </c>
      <c r="DP867" s="818">
        <f>'P&amp;L'!DP1675</f>
        <v>0</v>
      </c>
      <c r="DQ867" s="818">
        <f>'P&amp;L'!DQ1675</f>
        <v>0</v>
      </c>
      <c r="DR867" s="818">
        <f>'P&amp;L'!DR1675</f>
        <v>0</v>
      </c>
      <c r="DW867" s="1198" t="s">
        <v>174</v>
      </c>
    </row>
    <row r="868" spans="1:283" hidden="1" outlineLevel="1">
      <c r="A868" s="102" t="s">
        <v>663</v>
      </c>
      <c r="AZ868" s="927">
        <v>12</v>
      </c>
      <c r="BA868" s="927">
        <v>-1</v>
      </c>
      <c r="BB868" s="927">
        <v>0</v>
      </c>
      <c r="BC868" s="730"/>
      <c r="BD868" s="927">
        <v>-1</v>
      </c>
      <c r="BE868" s="927">
        <v>0</v>
      </c>
      <c r="BF868" s="927">
        <v>-1</v>
      </c>
      <c r="BG868" s="730"/>
      <c r="BH868" s="927">
        <v>0</v>
      </c>
      <c r="BI868" s="927">
        <v>23</v>
      </c>
      <c r="BJ868" s="927">
        <v>23</v>
      </c>
      <c r="BK868" s="730"/>
      <c r="BL868" s="927">
        <v>-4</v>
      </c>
      <c r="BM868" s="927">
        <v>1</v>
      </c>
      <c r="BN868" s="927">
        <v>-3</v>
      </c>
      <c r="BO868" s="730"/>
      <c r="BP868" s="927">
        <v>0</v>
      </c>
      <c r="BQ868" s="927">
        <v>-13</v>
      </c>
      <c r="BR868" s="927">
        <v>-13</v>
      </c>
      <c r="BS868" s="730"/>
      <c r="BT868" s="927">
        <v>-19</v>
      </c>
      <c r="BU868" s="927">
        <v>11</v>
      </c>
      <c r="BV868" s="927">
        <v>-8</v>
      </c>
      <c r="BX868" s="818">
        <f>'P&amp;L'!BX1686</f>
        <v>0</v>
      </c>
      <c r="BY868" s="818">
        <f>'P&amp;L'!BY1686</f>
        <v>0</v>
      </c>
      <c r="BZ868" s="818">
        <f>'P&amp;L'!BZ1686</f>
        <v>0</v>
      </c>
      <c r="CB868" s="818">
        <f>'P&amp;L'!CB1686</f>
        <v>0</v>
      </c>
      <c r="CC868" s="818">
        <f>'P&amp;L'!CC1686</f>
        <v>0</v>
      </c>
      <c r="CD868" s="818">
        <f>'P&amp;L'!CD1686</f>
        <v>0</v>
      </c>
      <c r="CF868" s="818">
        <f>'P&amp;L'!CF1686</f>
        <v>0</v>
      </c>
      <c r="CG868" s="818">
        <f>'P&amp;L'!CG1686</f>
        <v>0</v>
      </c>
      <c r="CH868" s="818">
        <f>'P&amp;L'!CH1686</f>
        <v>0</v>
      </c>
      <c r="CJ868" s="818">
        <f>'P&amp;L'!CJ1686</f>
        <v>0</v>
      </c>
      <c r="CK868" s="818">
        <f>'P&amp;L'!CK1686</f>
        <v>0</v>
      </c>
      <c r="CL868" s="818">
        <f>'P&amp;L'!CL1686</f>
        <v>0</v>
      </c>
      <c r="CN868" s="818">
        <f>'P&amp;L'!CN1686</f>
        <v>0</v>
      </c>
      <c r="CO868" s="818">
        <f>'P&amp;L'!CO1686</f>
        <v>0</v>
      </c>
      <c r="CP868" s="818">
        <f>'P&amp;L'!CP1686</f>
        <v>0</v>
      </c>
      <c r="CR868" s="818">
        <f>'P&amp;L'!CR1686</f>
        <v>0</v>
      </c>
      <c r="CS868" s="818">
        <f>'P&amp;L'!CS1686</f>
        <v>0</v>
      </c>
      <c r="CT868" s="818">
        <f>'P&amp;L'!CT1686</f>
        <v>0</v>
      </c>
      <c r="CV868" s="818">
        <f>'P&amp;L'!CV1686</f>
        <v>0</v>
      </c>
      <c r="CW868" s="818">
        <f>'P&amp;L'!CW1686</f>
        <v>0</v>
      </c>
      <c r="CX868" s="818">
        <f>'P&amp;L'!CX1686</f>
        <v>0</v>
      </c>
      <c r="CZ868" s="818">
        <f>'P&amp;L'!CZ1686</f>
        <v>0</v>
      </c>
      <c r="DA868" s="818">
        <f>'P&amp;L'!DA1686</f>
        <v>0</v>
      </c>
      <c r="DB868" s="818">
        <f>'P&amp;L'!DB1686</f>
        <v>0</v>
      </c>
      <c r="DD868" s="818">
        <f>'P&amp;L'!DD1686</f>
        <v>0</v>
      </c>
      <c r="DE868" s="818">
        <f>'P&amp;L'!DE1686</f>
        <v>0</v>
      </c>
      <c r="DF868" s="818">
        <f>'P&amp;L'!DF1686</f>
        <v>0</v>
      </c>
      <c r="DH868" s="818">
        <f>'P&amp;L'!DH1686</f>
        <v>0</v>
      </c>
      <c r="DI868" s="818">
        <f>'P&amp;L'!DI1686</f>
        <v>0</v>
      </c>
      <c r="DJ868" s="818">
        <f>'P&amp;L'!DJ1686</f>
        <v>0</v>
      </c>
      <c r="DL868" s="818">
        <f>'P&amp;L'!DL1686</f>
        <v>0</v>
      </c>
      <c r="DM868" s="818">
        <f>'P&amp;L'!DM1686</f>
        <v>0</v>
      </c>
      <c r="DN868" s="818">
        <f>'P&amp;L'!DN1686</f>
        <v>0</v>
      </c>
      <c r="DP868" s="818">
        <f>'P&amp;L'!DP1686</f>
        <v>0</v>
      </c>
      <c r="DQ868" s="818">
        <f>'P&amp;L'!DQ1686</f>
        <v>0</v>
      </c>
      <c r="DR868" s="818">
        <f>'P&amp;L'!DR1686</f>
        <v>0</v>
      </c>
      <c r="DW868" s="1198" t="s">
        <v>174</v>
      </c>
    </row>
    <row r="869" spans="1:283" hidden="1" outlineLevel="1">
      <c r="A869" s="102" t="s">
        <v>613</v>
      </c>
      <c r="AZ869" s="853">
        <f>SUM(AZ855:AZ868)</f>
        <v>12</v>
      </c>
      <c r="BA869" s="853">
        <f>SUM(BA855:BA868)</f>
        <v>-1</v>
      </c>
      <c r="BB869" s="853">
        <f>SUM(BB855:BB868)</f>
        <v>0</v>
      </c>
      <c r="BD869" s="853">
        <f>SUM(BD855:BD868)</f>
        <v>-1</v>
      </c>
      <c r="BE869" s="853">
        <f>SUM(BE855:BE868)</f>
        <v>0</v>
      </c>
      <c r="BF869" s="853">
        <f>SUM(BF855:BF868)</f>
        <v>-1</v>
      </c>
      <c r="BH869" s="853">
        <f>SUM(BH855:BH868)</f>
        <v>0</v>
      </c>
      <c r="BI869" s="853">
        <f>SUM(BI855:BI868)</f>
        <v>23</v>
      </c>
      <c r="BJ869" s="853">
        <f>SUM(BJ855:BJ868)</f>
        <v>23</v>
      </c>
      <c r="BL869" s="853">
        <f>SUM(BL855:BL868)</f>
        <v>-4</v>
      </c>
      <c r="BM869" s="853">
        <f>SUM(BM855:BM868)</f>
        <v>1</v>
      </c>
      <c r="BN869" s="853">
        <f>SUM(BN855:BN868)</f>
        <v>-3</v>
      </c>
      <c r="BP869" s="853">
        <f>SUM(BP855:BP868)</f>
        <v>0</v>
      </c>
      <c r="BQ869" s="853">
        <f>SUM(BQ855:BQ868)</f>
        <v>-13</v>
      </c>
      <c r="BR869" s="853">
        <f>SUM(BR855:BR868)</f>
        <v>-13</v>
      </c>
      <c r="BT869" s="853">
        <f>SUM(BT855:BT868)</f>
        <v>-19</v>
      </c>
      <c r="BU869" s="853">
        <f>SUM(BU855:BU868)</f>
        <v>11</v>
      </c>
      <c r="BV869" s="853">
        <f>SUM(BV855:BV868)</f>
        <v>-8</v>
      </c>
      <c r="BX869" s="853">
        <f>SUM(BX855:BX868)</f>
        <v>0</v>
      </c>
      <c r="BY869" s="853">
        <f>SUM(BY855:BY868)</f>
        <v>0</v>
      </c>
      <c r="BZ869" s="853">
        <f>SUM(BZ855:BZ868)</f>
        <v>0</v>
      </c>
      <c r="CB869" s="853">
        <f>SUM(CB855:CB868)</f>
        <v>0</v>
      </c>
      <c r="CC869" s="853">
        <f>SUM(CC855:CC868)</f>
        <v>0</v>
      </c>
      <c r="CD869" s="853">
        <f>SUM(CD855:CD868)</f>
        <v>0</v>
      </c>
      <c r="CF869" s="853">
        <f>SUM(CF855:CF868)</f>
        <v>0</v>
      </c>
      <c r="CG869" s="853">
        <f>SUM(CG855:CG868)</f>
        <v>0</v>
      </c>
      <c r="CH869" s="853">
        <f>SUM(CH855:CH868)</f>
        <v>0</v>
      </c>
      <c r="CJ869" s="853">
        <f>SUM(CJ855:CJ868)</f>
        <v>0</v>
      </c>
      <c r="CK869" s="853">
        <f>SUM(CK855:CK868)</f>
        <v>0</v>
      </c>
      <c r="CL869" s="853">
        <f>SUM(CL855:CL868)</f>
        <v>0</v>
      </c>
      <c r="CN869" s="853">
        <f>SUM(CN855:CN868)</f>
        <v>0</v>
      </c>
      <c r="CO869" s="853">
        <f>SUM(CO855:CO868)</f>
        <v>0</v>
      </c>
      <c r="CP869" s="853">
        <f>SUM(CP855:CP868)</f>
        <v>0</v>
      </c>
      <c r="CR869" s="853">
        <f>SUM(CR855:CR868)</f>
        <v>0</v>
      </c>
      <c r="CS869" s="853">
        <f>SUM(CS855:CS868)</f>
        <v>0</v>
      </c>
      <c r="CT869" s="853">
        <f>SUM(CT855:CT868)</f>
        <v>0</v>
      </c>
      <c r="CV869" s="853">
        <f>SUM(CV855:CV868)</f>
        <v>0</v>
      </c>
      <c r="CW869" s="853">
        <f>SUM(CW855:CW868)</f>
        <v>0</v>
      </c>
      <c r="CX869" s="853">
        <f>SUM(CX855:CX868)</f>
        <v>0</v>
      </c>
      <c r="CZ869" s="853">
        <f>SUM(CZ855:CZ868)</f>
        <v>0</v>
      </c>
      <c r="DA869" s="853">
        <f>SUM(DA855:DA868)</f>
        <v>0</v>
      </c>
      <c r="DB869" s="853">
        <f>SUM(DB855:DB868)</f>
        <v>0</v>
      </c>
      <c r="DD869" s="853">
        <f>SUM(DD855:DD868)</f>
        <v>0</v>
      </c>
      <c r="DE869" s="853">
        <f>SUM(DE855:DE868)</f>
        <v>0</v>
      </c>
      <c r="DF869" s="853">
        <f>SUM(DF855:DF868)</f>
        <v>0</v>
      </c>
      <c r="DH869" s="853">
        <f>SUM(DH855:DH868)</f>
        <v>0</v>
      </c>
      <c r="DI869" s="853">
        <f>SUM(DI855:DI868)</f>
        <v>0</v>
      </c>
      <c r="DJ869" s="853">
        <f>SUM(DJ855:DJ868)</f>
        <v>0</v>
      </c>
      <c r="DL869" s="853">
        <f>SUM(DL855:DL868)</f>
        <v>0</v>
      </c>
      <c r="DM869" s="853">
        <f>SUM(DM855:DM868)</f>
        <v>0</v>
      </c>
      <c r="DN869" s="853">
        <f>SUM(DN855:DN868)</f>
        <v>0</v>
      </c>
      <c r="DP869" s="853">
        <f>SUM(DP855:DP868)</f>
        <v>0</v>
      </c>
      <c r="DQ869" s="853">
        <f>SUM(DQ855:DQ868)</f>
        <v>0</v>
      </c>
      <c r="DR869" s="853">
        <f>SUM(DR855:DR868)</f>
        <v>0</v>
      </c>
      <c r="DW869" s="1101"/>
    </row>
    <row r="870" spans="1:283" hidden="1" outlineLevel="1">
      <c r="CR870" s="103"/>
      <c r="CS870" s="103"/>
      <c r="CT870" s="103"/>
      <c r="CV870" s="103"/>
      <c r="CW870" s="103"/>
      <c r="CX870" s="103"/>
      <c r="CZ870" s="103"/>
      <c r="DA870" s="103"/>
      <c r="DB870" s="103"/>
      <c r="DD870" s="103"/>
      <c r="DE870" s="103"/>
      <c r="DF870" s="103"/>
      <c r="DH870" s="103"/>
      <c r="DI870" s="103"/>
      <c r="DJ870" s="103"/>
      <c r="DL870" s="103"/>
      <c r="DM870" s="103"/>
      <c r="DN870" s="103"/>
      <c r="DP870" s="103"/>
      <c r="DQ870" s="103"/>
      <c r="DR870" s="103"/>
      <c r="DW870" s="1101"/>
    </row>
    <row r="871" spans="1:283" hidden="1" outlineLevel="1">
      <c r="CR871" s="103"/>
      <c r="CS871" s="103"/>
      <c r="CT871" s="103"/>
      <c r="CV871" s="103"/>
      <c r="CW871" s="103"/>
      <c r="CX871" s="103"/>
      <c r="CZ871" s="103"/>
      <c r="DA871" s="103"/>
      <c r="DB871" s="103"/>
      <c r="DD871" s="103"/>
      <c r="DE871" s="103"/>
      <c r="DF871" s="103"/>
      <c r="DH871" s="103"/>
      <c r="DI871" s="103"/>
      <c r="DJ871" s="103"/>
      <c r="DL871" s="103"/>
      <c r="DM871" s="103"/>
      <c r="DN871" s="103"/>
      <c r="DP871" s="103"/>
      <c r="DQ871" s="103"/>
      <c r="DR871" s="103"/>
      <c r="DW871" s="1101"/>
    </row>
    <row r="872" spans="1:283" hidden="1" outlineLevel="1">
      <c r="CR872" s="103"/>
      <c r="CS872" s="103"/>
      <c r="CT872" s="103"/>
      <c r="CV872" s="103"/>
      <c r="CW872" s="103"/>
      <c r="CX872" s="103"/>
      <c r="CZ872" s="103"/>
      <c r="DA872" s="103"/>
      <c r="DB872" s="103"/>
      <c r="DD872" s="103"/>
      <c r="DE872" s="103"/>
      <c r="DF872" s="103"/>
      <c r="DH872" s="103"/>
      <c r="DI872" s="103"/>
      <c r="DJ872" s="103"/>
      <c r="DL872" s="103"/>
      <c r="DM872" s="103"/>
      <c r="DN872" s="103"/>
      <c r="DP872" s="103"/>
      <c r="DQ872" s="103"/>
      <c r="DR872" s="103"/>
      <c r="DW872" s="1101"/>
    </row>
    <row r="873" spans="1:283" hidden="1" outlineLevel="1">
      <c r="CR873" s="103"/>
      <c r="CS873" s="103"/>
      <c r="CT873" s="103"/>
      <c r="CV873" s="103"/>
      <c r="CW873" s="103"/>
      <c r="CX873" s="103"/>
      <c r="CZ873" s="103"/>
      <c r="DA873" s="103"/>
      <c r="DB873" s="103"/>
      <c r="DD873" s="103"/>
      <c r="DE873" s="103"/>
      <c r="DF873" s="103"/>
      <c r="DH873" s="103"/>
      <c r="DI873" s="103"/>
      <c r="DJ873" s="103"/>
      <c r="DL873" s="103"/>
      <c r="DM873" s="103"/>
      <c r="DN873" s="103"/>
      <c r="DP873" s="103"/>
      <c r="DQ873" s="103"/>
      <c r="DR873" s="103"/>
      <c r="DW873" s="1101"/>
    </row>
    <row r="874" spans="1:283" s="1249" customFormat="1" ht="36" hidden="1" customHeight="1" outlineLevel="1">
      <c r="A874" s="1248" t="s">
        <v>1026</v>
      </c>
      <c r="AN874" s="1250"/>
      <c r="AO874" s="1250"/>
      <c r="AP874" s="1251"/>
      <c r="AQ874" s="1250"/>
      <c r="AR874" s="1250"/>
      <c r="AS874" s="1250"/>
      <c r="AT874" s="1251"/>
      <c r="AU874" s="1250"/>
      <c r="AV874" s="1250"/>
      <c r="AW874" s="1250"/>
      <c r="AX874" s="1251"/>
      <c r="AY874" s="1250"/>
      <c r="AZ874" s="1250"/>
      <c r="BA874" s="1250"/>
      <c r="BB874" s="1251"/>
      <c r="BC874" s="1250"/>
      <c r="BD874" s="1250"/>
      <c r="BE874" s="1250"/>
      <c r="BF874" s="1251"/>
      <c r="BG874" s="1250"/>
      <c r="BH874" s="1250"/>
      <c r="BI874" s="1250"/>
      <c r="BJ874" s="1251"/>
      <c r="BK874" s="1250"/>
      <c r="BL874" s="1250"/>
      <c r="BM874" s="1250"/>
      <c r="BN874" s="1251"/>
      <c r="BO874" s="1250"/>
      <c r="BP874" s="1250"/>
      <c r="BQ874" s="1250"/>
      <c r="BR874" s="1251"/>
      <c r="BS874" s="1250"/>
      <c r="BT874" s="1250"/>
      <c r="BU874" s="1250"/>
      <c r="BV874" s="1251"/>
      <c r="BW874" s="1250"/>
      <c r="BX874" s="1250"/>
      <c r="BY874" s="1250"/>
      <c r="BZ874" s="1251"/>
      <c r="CA874" s="1250"/>
      <c r="CB874" s="1250"/>
      <c r="CC874" s="1250"/>
      <c r="CD874" s="1251"/>
      <c r="CE874" s="1250"/>
      <c r="CF874" s="1250"/>
      <c r="CG874" s="1250"/>
      <c r="CH874" s="1251"/>
      <c r="CI874" s="1250"/>
      <c r="CJ874" s="1250"/>
      <c r="CK874" s="1250"/>
      <c r="CL874" s="1251"/>
      <c r="CM874" s="1250"/>
      <c r="CN874" s="1250"/>
      <c r="CO874" s="1250"/>
      <c r="CP874" s="1251"/>
      <c r="CQ874" s="1250"/>
      <c r="CR874" s="1250"/>
      <c r="CS874" s="1250"/>
      <c r="CT874" s="1251"/>
      <c r="CU874" s="1250"/>
      <c r="CV874" s="1250"/>
      <c r="CW874" s="1250"/>
      <c r="CX874" s="1251"/>
      <c r="CY874" s="1250"/>
      <c r="CZ874" s="1250"/>
      <c r="DA874" s="1250"/>
      <c r="DB874" s="1251"/>
      <c r="DC874" s="1250"/>
      <c r="DD874" s="1250"/>
      <c r="DE874" s="1250"/>
      <c r="DF874" s="1251"/>
      <c r="DG874" s="1250"/>
      <c r="DH874" s="1250"/>
      <c r="DI874" s="1250"/>
      <c r="DJ874" s="1251"/>
      <c r="DK874" s="1250"/>
      <c r="DL874" s="1250"/>
      <c r="DM874" s="1250"/>
      <c r="DN874" s="1251"/>
      <c r="DO874" s="1250"/>
      <c r="DP874" s="1250"/>
      <c r="DQ874" s="1250"/>
      <c r="DR874" s="1251"/>
      <c r="DS874" s="1250"/>
      <c r="DT874" s="1250"/>
      <c r="DU874" s="1250"/>
      <c r="DV874" s="1250"/>
      <c r="DW874" s="1252"/>
      <c r="DX874" s="1250"/>
      <c r="DY874" s="1250"/>
      <c r="DZ874" s="1250"/>
      <c r="EA874" s="1250"/>
      <c r="EB874" s="1250"/>
      <c r="EC874" s="1250"/>
      <c r="ED874" s="1250"/>
      <c r="EE874" s="1250"/>
      <c r="EF874" s="1250"/>
      <c r="EG874" s="1250"/>
      <c r="EH874" s="1250"/>
      <c r="EI874" s="1250"/>
      <c r="EJ874" s="1250"/>
      <c r="EK874" s="1250"/>
      <c r="EL874" s="1250"/>
      <c r="EM874" s="1250"/>
      <c r="EN874" s="1250"/>
      <c r="EO874" s="1250"/>
      <c r="EP874" s="1250"/>
      <c r="EQ874" s="1250"/>
      <c r="ER874" s="1250"/>
      <c r="ES874" s="1250"/>
      <c r="ET874" s="1250"/>
      <c r="EU874" s="1250"/>
      <c r="JW874"/>
    </row>
    <row r="875" spans="1:283" s="332" customFormat="1" hidden="1" outlineLevel="1">
      <c r="AN875" s="293"/>
      <c r="AO875" s="293"/>
      <c r="AP875" s="293"/>
      <c r="AQ875" s="293"/>
      <c r="AR875" s="293"/>
      <c r="AS875" s="293"/>
      <c r="AT875" s="293"/>
      <c r="AU875" s="293"/>
      <c r="AV875" s="293"/>
      <c r="AW875" s="293"/>
      <c r="AX875" s="293"/>
      <c r="AY875" s="293"/>
      <c r="AZ875" s="293"/>
      <c r="BA875" s="293"/>
      <c r="BB875" s="293"/>
      <c r="BC875" s="293"/>
      <c r="BD875" s="293"/>
      <c r="BE875" s="293"/>
      <c r="BF875" s="293"/>
      <c r="BG875" s="293"/>
      <c r="BH875" s="293"/>
      <c r="BI875" s="293"/>
      <c r="BJ875" s="293"/>
      <c r="BK875" s="293"/>
      <c r="BL875" s="293"/>
      <c r="BM875" s="293"/>
      <c r="BN875" s="293"/>
      <c r="BO875" s="293"/>
      <c r="BP875" s="293"/>
      <c r="BQ875" s="293"/>
      <c r="BR875" s="293"/>
      <c r="BS875" s="293"/>
      <c r="BT875" s="293"/>
      <c r="BU875" s="293"/>
      <c r="BV875" s="293"/>
      <c r="BW875" s="293"/>
      <c r="BX875" s="293"/>
      <c r="BY875" s="293"/>
      <c r="BZ875" s="293"/>
      <c r="CA875" s="293"/>
      <c r="CB875" s="293"/>
      <c r="CC875" s="293"/>
      <c r="CD875" s="293"/>
      <c r="CE875" s="293"/>
      <c r="CF875" s="293"/>
      <c r="CG875" s="293"/>
      <c r="CH875" s="293"/>
      <c r="CI875" s="293"/>
      <c r="CJ875" s="293"/>
      <c r="CK875" s="293"/>
      <c r="CL875" s="293"/>
      <c r="CM875" s="293"/>
      <c r="CN875" s="293"/>
      <c r="CO875" s="293"/>
      <c r="CP875" s="293"/>
      <c r="CQ875" s="293"/>
      <c r="CR875" s="293"/>
      <c r="CS875" s="293"/>
      <c r="CT875" s="293"/>
      <c r="CU875" s="293"/>
      <c r="CV875" s="293"/>
      <c r="CW875" s="293"/>
      <c r="CX875" s="293"/>
      <c r="CY875" s="293"/>
      <c r="CZ875" s="293"/>
      <c r="DA875" s="293"/>
      <c r="DB875" s="293"/>
      <c r="DC875" s="293"/>
      <c r="DD875" s="293"/>
      <c r="DE875" s="293"/>
      <c r="DF875" s="293"/>
      <c r="DG875" s="293"/>
      <c r="DH875" s="293"/>
      <c r="DI875" s="293"/>
      <c r="DJ875" s="293"/>
      <c r="DK875" s="293"/>
      <c r="DL875" s="293"/>
      <c r="DM875" s="293"/>
      <c r="DN875" s="293"/>
      <c r="DO875" s="293"/>
      <c r="DP875" s="293"/>
      <c r="DQ875" s="293"/>
      <c r="DR875" s="293"/>
      <c r="DS875" s="293"/>
      <c r="DT875" s="293"/>
      <c r="DU875" s="293"/>
      <c r="DV875" s="293"/>
      <c r="DW875" s="293"/>
      <c r="DX875" s="293"/>
      <c r="DY875" s="293"/>
      <c r="DZ875" s="293"/>
      <c r="EA875" s="293"/>
      <c r="EB875" s="293"/>
      <c r="EC875" s="293"/>
      <c r="ED875" s="293"/>
      <c r="EE875" s="293"/>
      <c r="EF875" s="293"/>
      <c r="EG875" s="293"/>
      <c r="EH875" s="293"/>
      <c r="EI875" s="293"/>
      <c r="EJ875" s="293"/>
      <c r="EK875" s="293"/>
      <c r="EL875" s="293"/>
      <c r="EM875" s="293"/>
      <c r="EN875" s="293"/>
      <c r="EO875" s="293"/>
      <c r="EP875" s="293"/>
      <c r="EQ875" s="293"/>
      <c r="ER875" s="293"/>
      <c r="ES875" s="293"/>
      <c r="ET875" s="293"/>
      <c r="EU875" s="293"/>
      <c r="JW875"/>
    </row>
    <row r="876" spans="1:283" s="332" customFormat="1" hidden="1" outlineLevel="1">
      <c r="A876" s="332" t="s">
        <v>571</v>
      </c>
      <c r="AN876" s="1262"/>
      <c r="AO876" s="1262"/>
      <c r="AP876" s="1262"/>
      <c r="AQ876" s="1262"/>
      <c r="AR876" s="1262">
        <v>-26</v>
      </c>
      <c r="AS876" s="1262">
        <v>60</v>
      </c>
      <c r="AT876" s="1262">
        <v>34</v>
      </c>
      <c r="AU876" s="1262"/>
      <c r="AV876" s="1262">
        <v>46</v>
      </c>
      <c r="AW876" s="1262">
        <v>70</v>
      </c>
      <c r="AX876" s="1262">
        <v>116</v>
      </c>
      <c r="AY876" s="1262"/>
      <c r="AZ876" s="1262">
        <v>-39</v>
      </c>
      <c r="BA876" s="1262">
        <v>10</v>
      </c>
      <c r="BB876" s="1262">
        <v>-29</v>
      </c>
      <c r="BC876" s="1262"/>
      <c r="BD876" s="1262">
        <v>-28</v>
      </c>
      <c r="BE876" s="1262">
        <v>9</v>
      </c>
      <c r="BF876" s="1262">
        <v>-19</v>
      </c>
      <c r="BG876" s="1262"/>
      <c r="BH876" s="1262">
        <v>0</v>
      </c>
      <c r="BI876" s="1262">
        <v>0</v>
      </c>
      <c r="BJ876" s="1262">
        <v>0</v>
      </c>
      <c r="BK876" s="1262"/>
      <c r="BL876" s="1262">
        <v>0</v>
      </c>
      <c r="BM876" s="1262">
        <v>0</v>
      </c>
      <c r="BN876" s="1262">
        <v>0</v>
      </c>
      <c r="BO876" s="1263"/>
      <c r="BP876" s="1262">
        <v>0</v>
      </c>
      <c r="BQ876" s="1262">
        <v>0</v>
      </c>
      <c r="BR876" s="1262">
        <v>0</v>
      </c>
      <c r="BS876" s="1263"/>
      <c r="BT876" s="1262">
        <v>0</v>
      </c>
      <c r="BU876" s="1262">
        <v>0</v>
      </c>
      <c r="BV876" s="1262">
        <v>0</v>
      </c>
      <c r="BW876" s="671"/>
      <c r="BX876" s="626">
        <v>0</v>
      </c>
      <c r="BY876" s="626">
        <v>0</v>
      </c>
      <c r="BZ876" s="293">
        <f t="shared" ref="BZ876:BZ882" si="2165">BX876+BY876</f>
        <v>0</v>
      </c>
      <c r="CA876" s="671"/>
      <c r="CB876" s="293">
        <f>CB899</f>
        <v>0</v>
      </c>
      <c r="CC876" s="293">
        <f>CC899</f>
        <v>0</v>
      </c>
      <c r="CD876" s="293">
        <f>+CC876+CB876</f>
        <v>0</v>
      </c>
      <c r="CE876" s="671"/>
      <c r="CF876" s="293">
        <f>CF899</f>
        <v>0</v>
      </c>
      <c r="CG876" s="293">
        <f>CG899</f>
        <v>0</v>
      </c>
      <c r="CH876" s="293">
        <f>+CG876+CF876</f>
        <v>0</v>
      </c>
      <c r="CI876" s="671"/>
      <c r="CJ876" s="293">
        <f>CJ899</f>
        <v>0</v>
      </c>
      <c r="CK876" s="293">
        <f>CK899</f>
        <v>0</v>
      </c>
      <c r="CL876" s="293">
        <f>+CK876+CJ876</f>
        <v>0</v>
      </c>
      <c r="CM876" s="671"/>
      <c r="CN876" s="293">
        <f>CN899</f>
        <v>0</v>
      </c>
      <c r="CO876" s="293">
        <f>CO899</f>
        <v>0</v>
      </c>
      <c r="CP876" s="293">
        <f>+CO876+CN876</f>
        <v>0</v>
      </c>
      <c r="CQ876" s="671"/>
      <c r="CR876" s="293">
        <f>CR899</f>
        <v>0</v>
      </c>
      <c r="CS876" s="293">
        <f>CS899</f>
        <v>0</v>
      </c>
      <c r="CT876" s="293">
        <f>+CS876+CR876</f>
        <v>0</v>
      </c>
      <c r="CU876" s="671"/>
      <c r="CV876" s="293">
        <f>CV899</f>
        <v>0</v>
      </c>
      <c r="CW876" s="293">
        <f>CW899</f>
        <v>0</v>
      </c>
      <c r="CX876" s="293">
        <f>+CW876+CV876</f>
        <v>0</v>
      </c>
      <c r="CY876" s="671"/>
      <c r="CZ876" s="293">
        <f>CZ899</f>
        <v>0</v>
      </c>
      <c r="DA876" s="293">
        <f>DA899</f>
        <v>0</v>
      </c>
      <c r="DB876" s="293">
        <f>+DA876+CZ876</f>
        <v>0</v>
      </c>
      <c r="DC876" s="671"/>
      <c r="DD876" s="293">
        <f>DD899</f>
        <v>0</v>
      </c>
      <c r="DE876" s="293">
        <f>DE899</f>
        <v>0</v>
      </c>
      <c r="DF876" s="293">
        <f>+DE876+DD876</f>
        <v>0</v>
      </c>
      <c r="DG876" s="671"/>
      <c r="DH876" s="293">
        <f>DH899</f>
        <v>0</v>
      </c>
      <c r="DI876" s="293">
        <f>DI899</f>
        <v>0</v>
      </c>
      <c r="DJ876" s="293">
        <f>+DI876+DH876</f>
        <v>0</v>
      </c>
      <c r="DK876" s="671"/>
      <c r="DL876" s="293">
        <f>DL899</f>
        <v>0</v>
      </c>
      <c r="DM876" s="293">
        <f>DM899</f>
        <v>0</v>
      </c>
      <c r="DN876" s="293">
        <f>+DM876+DL876</f>
        <v>0</v>
      </c>
      <c r="DO876" s="671"/>
      <c r="DP876" s="293">
        <f>DP899</f>
        <v>0</v>
      </c>
      <c r="DQ876" s="293">
        <f>DQ899</f>
        <v>0</v>
      </c>
      <c r="DR876" s="293">
        <f>+DQ876+DP876</f>
        <v>0</v>
      </c>
      <c r="DS876" s="671"/>
      <c r="DT876" s="671"/>
      <c r="DU876" s="671"/>
      <c r="DV876" s="671"/>
      <c r="DW876" s="1197" t="s">
        <v>513</v>
      </c>
      <c r="DX876" s="293"/>
      <c r="DY876" s="293"/>
      <c r="DZ876" s="293"/>
      <c r="EA876" s="293"/>
      <c r="EB876" s="293"/>
      <c r="EC876" s="293"/>
      <c r="ED876" s="293"/>
      <c r="EE876" s="293"/>
      <c r="EF876" s="293"/>
      <c r="EG876" s="293"/>
      <c r="EH876" s="293"/>
      <c r="EI876" s="293"/>
      <c r="EJ876" s="293"/>
      <c r="EK876" s="293"/>
      <c r="EL876" s="293"/>
      <c r="EM876" s="293"/>
      <c r="EN876" s="293"/>
      <c r="EO876" s="293"/>
      <c r="EP876" s="293"/>
      <c r="EQ876" s="293"/>
      <c r="ER876" s="293"/>
      <c r="ES876" s="293"/>
      <c r="ET876" s="293"/>
      <c r="EU876" s="293"/>
      <c r="JW876"/>
    </row>
    <row r="877" spans="1:283" s="332" customFormat="1" hidden="1" outlineLevel="1">
      <c r="A877" s="332" t="s">
        <v>566</v>
      </c>
      <c r="AN877" s="1262"/>
      <c r="AO877" s="1262"/>
      <c r="AP877" s="1262"/>
      <c r="AQ877" s="1262"/>
      <c r="AR877" s="1262">
        <v>67</v>
      </c>
      <c r="AS877" s="1262">
        <v>99</v>
      </c>
      <c r="AT877" s="1262">
        <v>166</v>
      </c>
      <c r="AU877" s="1262"/>
      <c r="AV877" s="1262">
        <v>68</v>
      </c>
      <c r="AW877" s="1262">
        <v>87</v>
      </c>
      <c r="AX877" s="1262">
        <v>155</v>
      </c>
      <c r="AY877" s="1262"/>
      <c r="AZ877" s="1262">
        <v>87</v>
      </c>
      <c r="BA877" s="1262">
        <v>84</v>
      </c>
      <c r="BB877" s="1262">
        <v>171</v>
      </c>
      <c r="BC877" s="1262"/>
      <c r="BD877" s="1262">
        <v>79.5</v>
      </c>
      <c r="BE877" s="1262">
        <v>68</v>
      </c>
      <c r="BF877" s="1262">
        <v>147.5</v>
      </c>
      <c r="BG877" s="1262"/>
      <c r="BH877" s="1262">
        <v>80</v>
      </c>
      <c r="BI877" s="1262">
        <v>91</v>
      </c>
      <c r="BJ877" s="1262">
        <v>171</v>
      </c>
      <c r="BK877" s="1262"/>
      <c r="BL877" s="1262">
        <v>81</v>
      </c>
      <c r="BM877" s="1262">
        <v>81</v>
      </c>
      <c r="BN877" s="1262">
        <v>162</v>
      </c>
      <c r="BO877" s="1263">
        <v>-5.2631578947368474E-2</v>
      </c>
      <c r="BP877" s="1262">
        <v>93</v>
      </c>
      <c r="BQ877" s="1262">
        <v>325</v>
      </c>
      <c r="BR877" s="1262">
        <v>418</v>
      </c>
      <c r="BS877" s="1263">
        <v>1.5802469135802468</v>
      </c>
      <c r="BT877" s="1262">
        <v>117</v>
      </c>
      <c r="BU877" s="1262">
        <v>111</v>
      </c>
      <c r="BV877" s="1262">
        <v>228</v>
      </c>
      <c r="BW877" s="671">
        <f>+BV877/BR877-1</f>
        <v>-0.45454545454545459</v>
      </c>
      <c r="BX877" s="293">
        <f>BX925</f>
        <v>134</v>
      </c>
      <c r="BY877" s="293">
        <f>BY925</f>
        <v>111</v>
      </c>
      <c r="BZ877" s="293">
        <f t="shared" si="2165"/>
        <v>245</v>
      </c>
      <c r="CA877" s="671">
        <f>+BZ877/BV877-1</f>
        <v>7.4561403508771829E-2</v>
      </c>
      <c r="CB877" s="293">
        <f>CB925</f>
        <v>-3.8733196627932509E-3</v>
      </c>
      <c r="CC877" s="293">
        <f>CC925</f>
        <v>0.13490609253321106</v>
      </c>
      <c r="CD877" s="293">
        <f>CB877+CC877</f>
        <v>0.13103277287041781</v>
      </c>
      <c r="CE877" s="671">
        <f>+CD877/BZ877-1</f>
        <v>-0.99946517235563093</v>
      </c>
      <c r="CF877" s="293">
        <f>CF925</f>
        <v>9.5199182839632357E-2</v>
      </c>
      <c r="CG877" s="293">
        <f>CG925</f>
        <v>6.0905196498416858E-2</v>
      </c>
      <c r="CH877" s="293">
        <f>CF877+CG877</f>
        <v>0.15610437933804922</v>
      </c>
      <c r="CI877" s="671">
        <f>+CH877/CD877-1</f>
        <v>0.19133844089848773</v>
      </c>
      <c r="CJ877" s="293">
        <f>CJ925</f>
        <v>0.13771929824561413</v>
      </c>
      <c r="CK877" s="293">
        <f>CK925</f>
        <v>-3.877519618402836E-2</v>
      </c>
      <c r="CL877" s="293">
        <f>CJ877+CK877</f>
        <v>9.894410206158577E-2</v>
      </c>
      <c r="CM877" s="671">
        <f>+CL877/CH877-1</f>
        <v>-0.36616703207717805</v>
      </c>
      <c r="CN877" s="293">
        <f>CN925</f>
        <v>-1.0180878552971577</v>
      </c>
      <c r="CO877" s="293">
        <f>CO925</f>
        <v>0.15625</v>
      </c>
      <c r="CP877" s="293">
        <f>CN877+CO877</f>
        <v>-0.86183785529715773</v>
      </c>
      <c r="CQ877" s="671">
        <f>+CP877/CL877-1</f>
        <v>-9.7103509692849013</v>
      </c>
      <c r="CR877" s="293">
        <f>CR925</f>
        <v>0.45454545454545459</v>
      </c>
      <c r="CS877" s="293">
        <f>CS925</f>
        <v>-0.14583333333333337</v>
      </c>
      <c r="CT877" s="293">
        <f>CR877+CS877</f>
        <v>0.30871212121212122</v>
      </c>
      <c r="CU877" s="671">
        <f>+CT877/CP877-1</f>
        <v>-1.3582020902361949</v>
      </c>
      <c r="CV877" s="293">
        <f>CV925</f>
        <v>0.15853658536585358</v>
      </c>
      <c r="CW877" s="293">
        <f>CW925</f>
        <v>6.315789473684208E-2</v>
      </c>
      <c r="CX877" s="293">
        <f>CV877+CW877</f>
        <v>0.22169448010269566</v>
      </c>
      <c r="CY877" s="671">
        <f>+CX877/CT877-1</f>
        <v>-0.28187309512746439</v>
      </c>
      <c r="CZ877" s="293">
        <f>CZ925</f>
        <v>-0.13861386138613863</v>
      </c>
      <c r="DA877" s="293">
        <f>DA925</f>
        <v>3.4482758620689724E-2</v>
      </c>
      <c r="DB877" s="293">
        <f>CZ877+DA877</f>
        <v>-0.1041311027654489</v>
      </c>
      <c r="DC877" s="671">
        <f>+DB877/CX877-1</f>
        <v>-1.4697054374886203</v>
      </c>
      <c r="DD877" s="293">
        <f>DD925</f>
        <v>3.3333333333333437E-2</v>
      </c>
      <c r="DE877" s="293">
        <f>DE925</f>
        <v>4.3010752688172005E-2</v>
      </c>
      <c r="DF877" s="293">
        <f>DD877+DE877</f>
        <v>7.6344086021505442E-2</v>
      </c>
      <c r="DG877" s="671">
        <f>+DF877/DB877-1</f>
        <v>-1.7331535342852118</v>
      </c>
      <c r="DH877" s="293">
        <f>DH925</f>
        <v>-0.14432989690721654</v>
      </c>
      <c r="DI877" s="293">
        <f>DI925</f>
        <v>0.05</v>
      </c>
      <c r="DJ877" s="293">
        <f>DH877+DI877</f>
        <v>-9.4329896907216534E-2</v>
      </c>
      <c r="DK877" s="671">
        <f>+DJ877/DF877-1</f>
        <v>-2.2355887904748073</v>
      </c>
      <c r="DL877" s="293">
        <f>DL925</f>
        <v>0.05</v>
      </c>
      <c r="DM877" s="293">
        <f>DM925</f>
        <v>0.05</v>
      </c>
      <c r="DN877" s="293">
        <f>DL877+DM877</f>
        <v>0.1</v>
      </c>
      <c r="DO877" s="671">
        <f>+DN877/DJ877-1</f>
        <v>-2.0601092896174862</v>
      </c>
      <c r="DP877" s="293">
        <f>DP925</f>
        <v>0.05</v>
      </c>
      <c r="DQ877" s="293">
        <f>DQ925</f>
        <v>0.05</v>
      </c>
      <c r="DR877" s="293">
        <f>DP877+DQ877</f>
        <v>0.1</v>
      </c>
      <c r="DS877" s="671">
        <f>+DR877/DN877-1</f>
        <v>0</v>
      </c>
      <c r="DT877" s="671"/>
      <c r="DU877" s="671"/>
      <c r="DV877" s="671"/>
      <c r="DW877" s="1197" t="s">
        <v>513</v>
      </c>
      <c r="DX877" s="293"/>
      <c r="DY877" s="293"/>
      <c r="DZ877" s="293"/>
      <c r="EA877" s="293"/>
      <c r="EB877" s="293"/>
      <c r="EC877" s="293"/>
      <c r="ED877" s="293"/>
      <c r="EE877" s="293"/>
      <c r="EF877" s="293"/>
      <c r="EG877" s="293"/>
      <c r="EH877" s="293"/>
      <c r="EI877" s="293"/>
      <c r="EJ877" s="293"/>
      <c r="EK877" s="293"/>
      <c r="EL877" s="293"/>
      <c r="EM877" s="293"/>
      <c r="EN877" s="293"/>
      <c r="EO877" s="293"/>
      <c r="EP877" s="293"/>
      <c r="EQ877" s="293"/>
      <c r="ER877" s="293"/>
      <c r="ES877" s="293"/>
      <c r="ET877" s="293"/>
      <c r="EU877" s="293"/>
      <c r="JW877"/>
    </row>
    <row r="878" spans="1:283" s="332" customFormat="1" hidden="1" outlineLevel="1">
      <c r="A878" s="332" t="s">
        <v>651</v>
      </c>
      <c r="AN878" s="1262"/>
      <c r="AO878" s="1262"/>
      <c r="AP878" s="1262"/>
      <c r="AQ878" s="1262"/>
      <c r="AR878" s="1262">
        <v>373</v>
      </c>
      <c r="AS878" s="1262">
        <v>520</v>
      </c>
      <c r="AT878" s="1262">
        <v>893</v>
      </c>
      <c r="AU878" s="1262"/>
      <c r="AV878" s="1262">
        <v>514</v>
      </c>
      <c r="AW878" s="1262">
        <v>528</v>
      </c>
      <c r="AX878" s="1262">
        <v>1042</v>
      </c>
      <c r="AY878" s="1262"/>
      <c r="AZ878" s="1262">
        <v>367</v>
      </c>
      <c r="BA878" s="1262">
        <v>587</v>
      </c>
      <c r="BB878" s="1262">
        <v>954</v>
      </c>
      <c r="BC878" s="1262"/>
      <c r="BD878" s="1262">
        <v>315</v>
      </c>
      <c r="BE878" s="1262">
        <v>587</v>
      </c>
      <c r="BF878" s="1262">
        <v>902</v>
      </c>
      <c r="BG878" s="1262"/>
      <c r="BH878" s="1262">
        <v>537</v>
      </c>
      <c r="BI878" s="1262">
        <v>637</v>
      </c>
      <c r="BJ878" s="1262">
        <v>1174</v>
      </c>
      <c r="BK878" s="1262"/>
      <c r="BL878" s="1262">
        <v>616</v>
      </c>
      <c r="BM878" s="1262">
        <v>964</v>
      </c>
      <c r="BN878" s="1262">
        <v>1580</v>
      </c>
      <c r="BO878" s="1263">
        <v>0.3458262350936967</v>
      </c>
      <c r="BP878" s="1262">
        <v>671</v>
      </c>
      <c r="BQ878" s="1262">
        <v>1022</v>
      </c>
      <c r="BR878" s="1262">
        <v>1693</v>
      </c>
      <c r="BS878" s="1263">
        <v>7.1518987341772089E-2</v>
      </c>
      <c r="BT878" s="1262">
        <v>829</v>
      </c>
      <c r="BU878" s="1262">
        <v>916</v>
      </c>
      <c r="BV878" s="1262">
        <v>1745</v>
      </c>
      <c r="BW878" s="671">
        <f>+BV878/BR878-1</f>
        <v>3.0714707619610149E-2</v>
      </c>
      <c r="BX878" s="492">
        <f>BX913-BX876</f>
        <v>774</v>
      </c>
      <c r="BY878" s="492">
        <f>BY913-BY876</f>
        <v>916</v>
      </c>
      <c r="BZ878" s="293">
        <f t="shared" si="2165"/>
        <v>1690</v>
      </c>
      <c r="CA878" s="671">
        <f>+BZ878/BV878-1</f>
        <v>-3.1518624641833859E-2</v>
      </c>
      <c r="CB878" s="492">
        <f>CB901</f>
        <v>796.24947538960032</v>
      </c>
      <c r="CC878" s="492">
        <f>CC901</f>
        <v>954.97017489845155</v>
      </c>
      <c r="CD878" s="492">
        <f>CD901</f>
        <v>1751.219650288052</v>
      </c>
      <c r="CE878" s="671">
        <f>+CD878/BZ878-1</f>
        <v>3.6224645140859213E-2</v>
      </c>
      <c r="CF878" s="492">
        <f>CF901</f>
        <v>823.32418016467068</v>
      </c>
      <c r="CG878" s="492">
        <f>CG901</f>
        <v>995.78417390555546</v>
      </c>
      <c r="CH878" s="492">
        <f>CH901</f>
        <v>1819.1083540702261</v>
      </c>
      <c r="CI878" s="671">
        <f>+CH878/CD878-1</f>
        <v>3.8766526957944691E-2</v>
      </c>
      <c r="CJ878" s="492">
        <f>CJ901</f>
        <v>854.40042058780045</v>
      </c>
      <c r="CK878" s="492">
        <f>CK901</f>
        <v>1038.5310505817586</v>
      </c>
      <c r="CL878" s="492">
        <f>CL901</f>
        <v>1892.931471169559</v>
      </c>
      <c r="CM878" s="671">
        <f>+CL878/CH878-1</f>
        <v>4.0582034013617152E-2</v>
      </c>
      <c r="CN878" s="492">
        <f>CN901</f>
        <v>888.90761630086513</v>
      </c>
      <c r="CO878" s="492">
        <f>CO901</f>
        <v>1083.3041921991983</v>
      </c>
      <c r="CP878" s="492">
        <f>CP901</f>
        <v>1972.2118085000634</v>
      </c>
      <c r="CQ878" s="671">
        <f>+CP878/CL878-1</f>
        <v>4.1882307171701605E-2</v>
      </c>
      <c r="CR878" s="492">
        <f>CR901</f>
        <v>926.4591948857078</v>
      </c>
      <c r="CS878" s="492">
        <f>CS901</f>
        <v>1130.2015317093719</v>
      </c>
      <c r="CT878" s="492">
        <f>CT901</f>
        <v>2056.6607265950797</v>
      </c>
      <c r="CU878" s="671">
        <f>+CT878/CP878-1</f>
        <v>4.281939583316996E-2</v>
      </c>
      <c r="CV878" s="492">
        <f>CV901</f>
        <v>966.80272842778277</v>
      </c>
      <c r="CW878" s="492">
        <f>CW901</f>
        <v>1179.3257701207274</v>
      </c>
      <c r="CX878" s="492">
        <f>CX901</f>
        <v>2146.1284985485099</v>
      </c>
      <c r="CY878" s="671">
        <f>+CX878/CT878-1</f>
        <v>4.3501473430452187E-2</v>
      </c>
      <c r="CZ878" s="492">
        <f>CZ901</f>
        <v>1009.7839726160687</v>
      </c>
      <c r="DA878" s="492">
        <f>DA901</f>
        <v>1230.7846097991335</v>
      </c>
      <c r="DB878" s="492">
        <f>DB901</f>
        <v>2240.5685824152024</v>
      </c>
      <c r="DC878" s="671">
        <f>+DB878/CX878-1</f>
        <v>4.4004859881672909E-2</v>
      </c>
      <c r="DD878" s="492">
        <f>DD901</f>
        <v>1055.3209514494063</v>
      </c>
      <c r="DE878" s="492">
        <f>DE901</f>
        <v>1284.6909992295343</v>
      </c>
      <c r="DF878" s="492">
        <f>DF901</f>
        <v>2340.0119506789406</v>
      </c>
      <c r="DG878" s="671">
        <f>+DF878/DB878-1</f>
        <v>4.4383095007314743E-2</v>
      </c>
      <c r="DH878" s="492">
        <f>DH901</f>
        <v>1103.385301563786</v>
      </c>
      <c r="DI878" s="492">
        <f>DI901</f>
        <v>1341.1633898036978</v>
      </c>
      <c r="DJ878" s="492">
        <f>DJ901</f>
        <v>2444.548691367484</v>
      </c>
      <c r="DK878" s="671">
        <f>+DJ878/DF878-1</f>
        <v>4.4673592653325045E-2</v>
      </c>
      <c r="DL878" s="492">
        <f>DL901</f>
        <v>1153.9888638183418</v>
      </c>
      <c r="DM878" s="492">
        <f>DM901</f>
        <v>1400.3260052268836</v>
      </c>
      <c r="DN878" s="492">
        <f>DN901</f>
        <v>2554.3148690452254</v>
      </c>
      <c r="DO878" s="671">
        <f>+DN878/DJ878-1</f>
        <v>4.4902430483533484E-2</v>
      </c>
      <c r="DP878" s="492">
        <f>DP901</f>
        <v>1207.1740686259657</v>
      </c>
      <c r="DQ878" s="492">
        <f>DQ901</f>
        <v>1462.3091241655577</v>
      </c>
      <c r="DR878" s="492">
        <f>DR901</f>
        <v>2669.4831927915234</v>
      </c>
      <c r="DS878" s="671">
        <f>+DR878/DN878-1</f>
        <v>4.5087755288895304E-2</v>
      </c>
      <c r="DT878" s="671"/>
      <c r="DU878" s="671"/>
      <c r="DV878" s="671"/>
      <c r="DW878" s="992" t="s">
        <v>513</v>
      </c>
      <c r="DX878" s="293"/>
      <c r="DY878" s="293"/>
      <c r="DZ878" s="293"/>
      <c r="EA878" s="293"/>
      <c r="EB878" s="293"/>
      <c r="EC878" s="293"/>
      <c r="ED878" s="293"/>
      <c r="EE878" s="293"/>
      <c r="EF878" s="293"/>
      <c r="EG878" s="293"/>
      <c r="EH878" s="293"/>
      <c r="EI878" s="293"/>
      <c r="EJ878" s="293"/>
      <c r="EK878" s="293"/>
      <c r="EL878" s="293"/>
      <c r="EM878" s="293"/>
      <c r="EN878" s="293"/>
      <c r="EO878" s="293"/>
      <c r="EP878" s="293"/>
      <c r="EQ878" s="293"/>
      <c r="ER878" s="293"/>
      <c r="ES878" s="293"/>
      <c r="ET878" s="293"/>
      <c r="EU878" s="293"/>
      <c r="JW878"/>
    </row>
    <row r="879" spans="1:283" s="332" customFormat="1" hidden="1" outlineLevel="1">
      <c r="A879" s="332" t="s">
        <v>652</v>
      </c>
      <c r="AN879" s="1262"/>
      <c r="AO879" s="1262"/>
      <c r="AP879" s="1262"/>
      <c r="AQ879" s="1262"/>
      <c r="AR879" s="1262">
        <v>8</v>
      </c>
      <c r="AS879" s="1262">
        <v>61</v>
      </c>
      <c r="AT879" s="1262">
        <v>69</v>
      </c>
      <c r="AU879" s="1262"/>
      <c r="AV879" s="1262">
        <v>3</v>
      </c>
      <c r="AW879" s="1262">
        <v>8</v>
      </c>
      <c r="AX879" s="1262">
        <v>11</v>
      </c>
      <c r="AY879" s="1262"/>
      <c r="AZ879" s="1262">
        <v>15</v>
      </c>
      <c r="BA879" s="1264">
        <v>0</v>
      </c>
      <c r="BB879" s="1262">
        <v>15</v>
      </c>
      <c r="BC879" s="1262"/>
      <c r="BD879" s="1262">
        <v>9</v>
      </c>
      <c r="BE879" s="1262">
        <v>10</v>
      </c>
      <c r="BF879" s="1262">
        <v>19</v>
      </c>
      <c r="BG879" s="1262"/>
      <c r="BH879" s="1262">
        <v>15</v>
      </c>
      <c r="BI879" s="1262">
        <v>13</v>
      </c>
      <c r="BJ879" s="1262">
        <v>28</v>
      </c>
      <c r="BK879" s="1262"/>
      <c r="BL879" s="1262">
        <v>15</v>
      </c>
      <c r="BM879" s="1262">
        <v>8</v>
      </c>
      <c r="BN879" s="1262">
        <v>23</v>
      </c>
      <c r="BO879" s="1263"/>
      <c r="BP879" s="1262">
        <v>2</v>
      </c>
      <c r="BQ879" s="1262">
        <v>-3</v>
      </c>
      <c r="BR879" s="1262">
        <v>-1</v>
      </c>
      <c r="BS879" s="1263"/>
      <c r="BT879" s="1262">
        <v>-6</v>
      </c>
      <c r="BU879" s="1262">
        <v>8</v>
      </c>
      <c r="BV879" s="1262">
        <v>2</v>
      </c>
      <c r="BW879" s="671"/>
      <c r="BX879" s="626">
        <v>-10</v>
      </c>
      <c r="BY879" s="626">
        <v>8</v>
      </c>
      <c r="BZ879" s="293">
        <f t="shared" si="2165"/>
        <v>-2</v>
      </c>
      <c r="CA879" s="671"/>
      <c r="CB879" s="841">
        <f>'P&amp;L'!CB1384</f>
        <v>0</v>
      </c>
      <c r="CC879" s="841">
        <f>'P&amp;L'!CC1384</f>
        <v>0</v>
      </c>
      <c r="CD879" s="293">
        <f>CB879+CC879</f>
        <v>0</v>
      </c>
      <c r="CE879" s="671"/>
      <c r="CF879" s="841">
        <f>'P&amp;L'!CF1384</f>
        <v>0</v>
      </c>
      <c r="CG879" s="841">
        <f>'P&amp;L'!CG1384</f>
        <v>0</v>
      </c>
      <c r="CH879" s="293">
        <f>CF879+CG879</f>
        <v>0</v>
      </c>
      <c r="CI879" s="671"/>
      <c r="CJ879" s="841">
        <f>'P&amp;L'!CJ1384</f>
        <v>0</v>
      </c>
      <c r="CK879" s="841">
        <f>'P&amp;L'!CK1384</f>
        <v>0</v>
      </c>
      <c r="CL879" s="293">
        <f>CJ879+CK879</f>
        <v>0</v>
      </c>
      <c r="CM879" s="671"/>
      <c r="CN879" s="841">
        <f>'P&amp;L'!CN1384</f>
        <v>0</v>
      </c>
      <c r="CO879" s="841">
        <f>'P&amp;L'!CO1384</f>
        <v>0</v>
      </c>
      <c r="CP879" s="293">
        <f>CN879+CO879</f>
        <v>0</v>
      </c>
      <c r="CQ879" s="671"/>
      <c r="CR879" s="841">
        <f>'P&amp;L'!CR1384</f>
        <v>0</v>
      </c>
      <c r="CS879" s="841">
        <f>'P&amp;L'!CS1384</f>
        <v>0</v>
      </c>
      <c r="CT879" s="293">
        <f>CR879+CS879</f>
        <v>0</v>
      </c>
      <c r="CU879" s="671"/>
      <c r="CV879" s="841">
        <f>'P&amp;L'!CV1384</f>
        <v>0</v>
      </c>
      <c r="CW879" s="841">
        <f>'P&amp;L'!CW1384</f>
        <v>0</v>
      </c>
      <c r="CX879" s="293">
        <f>CV879+CW879</f>
        <v>0</v>
      </c>
      <c r="CY879" s="671"/>
      <c r="CZ879" s="841">
        <f>'P&amp;L'!CZ1384</f>
        <v>0</v>
      </c>
      <c r="DA879" s="841">
        <f>'P&amp;L'!DA1384</f>
        <v>0</v>
      </c>
      <c r="DB879" s="293">
        <f>CZ879+DA879</f>
        <v>0</v>
      </c>
      <c r="DC879" s="671"/>
      <c r="DD879" s="841">
        <f>'P&amp;L'!DD1384</f>
        <v>0</v>
      </c>
      <c r="DE879" s="841">
        <f>'P&amp;L'!DE1384</f>
        <v>0</v>
      </c>
      <c r="DF879" s="293">
        <f>DD879+DE879</f>
        <v>0</v>
      </c>
      <c r="DG879" s="671"/>
      <c r="DH879" s="841">
        <f>'P&amp;L'!DH1384</f>
        <v>0</v>
      </c>
      <c r="DI879" s="841">
        <f>'P&amp;L'!DI1384</f>
        <v>0</v>
      </c>
      <c r="DJ879" s="293">
        <f>DH879+DI879</f>
        <v>0</v>
      </c>
      <c r="DK879" s="671"/>
      <c r="DL879" s="841">
        <f>'P&amp;L'!DL1384</f>
        <v>0</v>
      </c>
      <c r="DM879" s="841">
        <f>'P&amp;L'!DM1384</f>
        <v>0</v>
      </c>
      <c r="DN879" s="293">
        <f>DL879+DM879</f>
        <v>0</v>
      </c>
      <c r="DO879" s="671"/>
      <c r="DP879" s="841">
        <f>'P&amp;L'!DP1384</f>
        <v>0</v>
      </c>
      <c r="DQ879" s="841">
        <f>'P&amp;L'!DQ1384</f>
        <v>0</v>
      </c>
      <c r="DR879" s="293">
        <f>DP879+DQ879</f>
        <v>0</v>
      </c>
      <c r="DS879" s="671"/>
      <c r="DT879" s="671"/>
      <c r="DU879" s="671"/>
      <c r="DV879" s="671"/>
      <c r="DW879" s="1198" t="s">
        <v>174</v>
      </c>
      <c r="DX879" s="293"/>
      <c r="DY879" s="293"/>
      <c r="DZ879" s="293"/>
      <c r="EA879" s="293"/>
      <c r="EB879" s="293"/>
      <c r="EC879" s="293"/>
      <c r="ED879" s="293"/>
      <c r="EE879" s="293"/>
      <c r="EF879" s="293"/>
      <c r="EG879" s="293"/>
      <c r="EH879" s="293"/>
      <c r="EI879" s="293"/>
      <c r="EJ879" s="293"/>
      <c r="EK879" s="293"/>
      <c r="EL879" s="293"/>
      <c r="EM879" s="293"/>
      <c r="EN879" s="293"/>
      <c r="EO879" s="293"/>
      <c r="EP879" s="293"/>
      <c r="EQ879" s="293"/>
      <c r="ER879" s="293"/>
      <c r="ES879" s="293"/>
      <c r="ET879" s="293"/>
      <c r="EU879" s="293"/>
      <c r="JW879"/>
    </row>
    <row r="880" spans="1:283" s="332" customFormat="1" hidden="1" outlineLevel="1">
      <c r="A880" s="332" t="s">
        <v>621</v>
      </c>
      <c r="AN880" s="1262">
        <v>115</v>
      </c>
      <c r="AO880" s="1262">
        <v>72</v>
      </c>
      <c r="AP880" s="1262"/>
      <c r="AQ880" s="1262"/>
      <c r="AR880" s="1262">
        <v>48</v>
      </c>
      <c r="AS880" s="1262">
        <v>-239</v>
      </c>
      <c r="AT880" s="1262">
        <v>-191</v>
      </c>
      <c r="AU880" s="1262"/>
      <c r="AV880" s="1262">
        <v>-14</v>
      </c>
      <c r="AW880" s="1262">
        <v>51</v>
      </c>
      <c r="AX880" s="1262">
        <v>37</v>
      </c>
      <c r="AY880" s="1262"/>
      <c r="AZ880" s="1262">
        <v>92</v>
      </c>
      <c r="BA880" s="1262">
        <v>158</v>
      </c>
      <c r="BB880" s="1262">
        <v>250</v>
      </c>
      <c r="BC880" s="1262"/>
      <c r="BD880" s="1262">
        <v>32</v>
      </c>
      <c r="BE880" s="1262">
        <v>266</v>
      </c>
      <c r="BF880" s="1262">
        <v>298</v>
      </c>
      <c r="BG880" s="1262"/>
      <c r="BH880" s="1262">
        <v>-59</v>
      </c>
      <c r="BI880" s="1262">
        <v>-28</v>
      </c>
      <c r="BJ880" s="1262">
        <v>-87</v>
      </c>
      <c r="BK880" s="1262"/>
      <c r="BL880" s="1262">
        <v>-64</v>
      </c>
      <c r="BM880" s="1262">
        <v>-12</v>
      </c>
      <c r="BN880" s="1262">
        <v>-76</v>
      </c>
      <c r="BO880" s="1263"/>
      <c r="BP880" s="1262">
        <v>-40</v>
      </c>
      <c r="BQ880" s="1262">
        <v>-229</v>
      </c>
      <c r="BR880" s="1262">
        <v>-269</v>
      </c>
      <c r="BS880" s="1263"/>
      <c r="BT880" s="1262">
        <v>-131</v>
      </c>
      <c r="BU880" s="1262">
        <v>-151</v>
      </c>
      <c r="BV880" s="1262">
        <v>-282</v>
      </c>
      <c r="BW880" s="671"/>
      <c r="BX880" s="293">
        <f>BX946</f>
        <v>98</v>
      </c>
      <c r="BY880" s="293">
        <f>BY946</f>
        <v>-151</v>
      </c>
      <c r="BZ880" s="293">
        <f t="shared" si="2165"/>
        <v>-53</v>
      </c>
      <c r="CA880" s="671"/>
      <c r="CB880" s="293">
        <f>CB946</f>
        <v>0</v>
      </c>
      <c r="CC880" s="293">
        <f>CC946</f>
        <v>0</v>
      </c>
      <c r="CD880" s="293">
        <f>CB880+CC880</f>
        <v>0</v>
      </c>
      <c r="CE880" s="671"/>
      <c r="CF880" s="293">
        <f>CF946</f>
        <v>0</v>
      </c>
      <c r="CG880" s="293">
        <f>CG946</f>
        <v>0</v>
      </c>
      <c r="CH880" s="293">
        <f>CF880+CG880</f>
        <v>0</v>
      </c>
      <c r="CI880" s="671"/>
      <c r="CJ880" s="293">
        <f>CJ946</f>
        <v>0</v>
      </c>
      <c r="CK880" s="293">
        <f>CK946</f>
        <v>0</v>
      </c>
      <c r="CL880" s="293">
        <f>CJ880+CK880</f>
        <v>0</v>
      </c>
      <c r="CM880" s="671"/>
      <c r="CN880" s="293">
        <f>CN946</f>
        <v>0</v>
      </c>
      <c r="CO880" s="293">
        <f>CO946</f>
        <v>0</v>
      </c>
      <c r="CP880" s="293">
        <f>CN880+CO880</f>
        <v>0</v>
      </c>
      <c r="CQ880" s="671"/>
      <c r="CR880" s="293">
        <f>CR946</f>
        <v>0</v>
      </c>
      <c r="CS880" s="293">
        <f>CS946</f>
        <v>0</v>
      </c>
      <c r="CT880" s="293">
        <f>CR880+CS880</f>
        <v>0</v>
      </c>
      <c r="CU880" s="671"/>
      <c r="CV880" s="293">
        <f>CV946</f>
        <v>0</v>
      </c>
      <c r="CW880" s="293">
        <f>CW946</f>
        <v>0</v>
      </c>
      <c r="CX880" s="293">
        <f>CV880+CW880</f>
        <v>0</v>
      </c>
      <c r="CY880" s="671"/>
      <c r="CZ880" s="293">
        <f>CZ946</f>
        <v>0</v>
      </c>
      <c r="DA880" s="293">
        <f>DA946</f>
        <v>0</v>
      </c>
      <c r="DB880" s="293">
        <f>CZ880+DA880</f>
        <v>0</v>
      </c>
      <c r="DC880" s="671"/>
      <c r="DD880" s="293">
        <f>DD946</f>
        <v>0</v>
      </c>
      <c r="DE880" s="293">
        <f>DE946</f>
        <v>0</v>
      </c>
      <c r="DF880" s="293">
        <f>DD880+DE880</f>
        <v>0</v>
      </c>
      <c r="DG880" s="671"/>
      <c r="DH880" s="293">
        <f>DH946</f>
        <v>0</v>
      </c>
      <c r="DI880" s="293">
        <f>DI946</f>
        <v>0</v>
      </c>
      <c r="DJ880" s="293">
        <f>DH880+DI880</f>
        <v>0</v>
      </c>
      <c r="DK880" s="671"/>
      <c r="DL880" s="293">
        <f>DL946</f>
        <v>0</v>
      </c>
      <c r="DM880" s="293">
        <f>DM946</f>
        <v>0</v>
      </c>
      <c r="DN880" s="293">
        <f>DL880+DM880</f>
        <v>0</v>
      </c>
      <c r="DO880" s="671"/>
      <c r="DP880" s="293">
        <f>DP946</f>
        <v>0</v>
      </c>
      <c r="DQ880" s="293">
        <f>DQ946</f>
        <v>0</v>
      </c>
      <c r="DR880" s="293">
        <f>DP880+DQ880</f>
        <v>0</v>
      </c>
      <c r="DS880" s="671"/>
      <c r="DT880" s="671"/>
      <c r="DU880" s="671"/>
      <c r="DV880" s="671"/>
      <c r="DW880" s="992" t="s">
        <v>513</v>
      </c>
      <c r="DX880" s="293"/>
      <c r="DY880" s="293"/>
      <c r="DZ880" s="293"/>
      <c r="EA880" s="293"/>
      <c r="EB880" s="293"/>
      <c r="EC880" s="293"/>
      <c r="ED880" s="293"/>
      <c r="EE880" s="293"/>
      <c r="EF880" s="293"/>
      <c r="EG880" s="293"/>
      <c r="EH880" s="293"/>
      <c r="EI880" s="293"/>
      <c r="EJ880" s="293"/>
      <c r="EK880" s="293"/>
      <c r="EL880" s="293"/>
      <c r="EM880" s="293"/>
      <c r="EN880" s="293"/>
      <c r="EO880" s="293"/>
      <c r="EP880" s="293"/>
      <c r="EQ880" s="293"/>
      <c r="ER880" s="293"/>
      <c r="ES880" s="293"/>
      <c r="ET880" s="293"/>
      <c r="EU880" s="293"/>
      <c r="JW880"/>
    </row>
    <row r="881" spans="1:283" s="332" customFormat="1" hidden="1" outlineLevel="1">
      <c r="A881" s="332" t="s">
        <v>567</v>
      </c>
      <c r="AN881" s="1262"/>
      <c r="AO881" s="1262"/>
      <c r="AP881" s="1262"/>
      <c r="AQ881" s="1262"/>
      <c r="AR881" s="1262">
        <v>37</v>
      </c>
      <c r="AS881" s="1262">
        <v>29</v>
      </c>
      <c r="AT881" s="1262">
        <v>66</v>
      </c>
      <c r="AU881" s="1262"/>
      <c r="AV881" s="1262">
        <v>28</v>
      </c>
      <c r="AW881" s="1262">
        <v>52</v>
      </c>
      <c r="AX881" s="1262">
        <v>80</v>
      </c>
      <c r="AY881" s="1262"/>
      <c r="AZ881" s="1262">
        <v>27</v>
      </c>
      <c r="BA881" s="1264">
        <v>28</v>
      </c>
      <c r="BB881" s="1262">
        <v>55</v>
      </c>
      <c r="BC881" s="1262"/>
      <c r="BD881" s="1262">
        <v>7</v>
      </c>
      <c r="BE881" s="1262">
        <v>9</v>
      </c>
      <c r="BF881" s="1262">
        <v>16</v>
      </c>
      <c r="BG881" s="1262"/>
      <c r="BH881" s="1262">
        <v>5</v>
      </c>
      <c r="BI881" s="1262">
        <v>12</v>
      </c>
      <c r="BJ881" s="1262">
        <v>17</v>
      </c>
      <c r="BK881" s="1262"/>
      <c r="BL881" s="1262">
        <v>5</v>
      </c>
      <c r="BM881" s="1262">
        <v>-12</v>
      </c>
      <c r="BN881" s="1262">
        <v>-7</v>
      </c>
      <c r="BO881" s="1263"/>
      <c r="BP881" s="1262">
        <v>-1</v>
      </c>
      <c r="BQ881" s="1262">
        <v>-9</v>
      </c>
      <c r="BR881" s="1262">
        <v>-10</v>
      </c>
      <c r="BS881" s="1263"/>
      <c r="BT881" s="1262">
        <v>2</v>
      </c>
      <c r="BU881" s="1262">
        <v>0</v>
      </c>
      <c r="BV881" s="1262">
        <v>2</v>
      </c>
      <c r="BW881" s="671"/>
      <c r="BX881" s="626">
        <v>6</v>
      </c>
      <c r="BY881" s="626">
        <v>0</v>
      </c>
      <c r="BZ881" s="293">
        <f t="shared" si="2165"/>
        <v>6</v>
      </c>
      <c r="CA881" s="671"/>
      <c r="CB881" s="841">
        <f>'P&amp;L'!CB1627</f>
        <v>0</v>
      </c>
      <c r="CC881" s="841">
        <f>'P&amp;L'!CC1627</f>
        <v>0</v>
      </c>
      <c r="CD881" s="293">
        <f>CB881+CC881</f>
        <v>0</v>
      </c>
      <c r="CE881" s="671"/>
      <c r="CF881" s="841">
        <f>'P&amp;L'!CF1627</f>
        <v>0</v>
      </c>
      <c r="CG881" s="841">
        <f>'P&amp;L'!CG1627</f>
        <v>0</v>
      </c>
      <c r="CH881" s="293">
        <f>CF881+CG881</f>
        <v>0</v>
      </c>
      <c r="CI881" s="671"/>
      <c r="CJ881" s="841">
        <f>'P&amp;L'!CJ1627</f>
        <v>0</v>
      </c>
      <c r="CK881" s="841">
        <f>'P&amp;L'!CK1627</f>
        <v>0</v>
      </c>
      <c r="CL881" s="293">
        <f>CJ881+CK881</f>
        <v>0</v>
      </c>
      <c r="CM881" s="671"/>
      <c r="CN881" s="841">
        <f>'P&amp;L'!CN1627</f>
        <v>0</v>
      </c>
      <c r="CO881" s="841">
        <f>'P&amp;L'!CO1627</f>
        <v>0</v>
      </c>
      <c r="CP881" s="293">
        <f>CN881+CO881</f>
        <v>0</v>
      </c>
      <c r="CQ881" s="671"/>
      <c r="CR881" s="841">
        <f>'P&amp;L'!CR1627</f>
        <v>0</v>
      </c>
      <c r="CS881" s="841">
        <f>'P&amp;L'!CS1627</f>
        <v>0</v>
      </c>
      <c r="CT881" s="293">
        <f>CR881+CS881</f>
        <v>0</v>
      </c>
      <c r="CU881" s="671"/>
      <c r="CV881" s="841">
        <f>'P&amp;L'!CV1627</f>
        <v>0</v>
      </c>
      <c r="CW881" s="841">
        <f>'P&amp;L'!CW1627</f>
        <v>0</v>
      </c>
      <c r="CX881" s="293">
        <f>CV881+CW881</f>
        <v>0</v>
      </c>
      <c r="CY881" s="671"/>
      <c r="CZ881" s="841">
        <f>'P&amp;L'!CZ1627</f>
        <v>0</v>
      </c>
      <c r="DA881" s="841">
        <f>'P&amp;L'!DA1627</f>
        <v>0</v>
      </c>
      <c r="DB881" s="293">
        <f>CZ881+DA881</f>
        <v>0</v>
      </c>
      <c r="DC881" s="671"/>
      <c r="DD881" s="841">
        <f>'P&amp;L'!DD1627</f>
        <v>0</v>
      </c>
      <c r="DE881" s="841">
        <f>'P&amp;L'!DE1627</f>
        <v>0</v>
      </c>
      <c r="DF881" s="293">
        <f>DD881+DE881</f>
        <v>0</v>
      </c>
      <c r="DG881" s="671"/>
      <c r="DH881" s="841">
        <f>'P&amp;L'!DH1627</f>
        <v>0</v>
      </c>
      <c r="DI881" s="841">
        <f>'P&amp;L'!DI1627</f>
        <v>0</v>
      </c>
      <c r="DJ881" s="293">
        <f>DH881+DI881</f>
        <v>0</v>
      </c>
      <c r="DK881" s="671"/>
      <c r="DL881" s="841">
        <f>'P&amp;L'!DL1627</f>
        <v>0</v>
      </c>
      <c r="DM881" s="841">
        <f>'P&amp;L'!DM1627</f>
        <v>0</v>
      </c>
      <c r="DN881" s="293">
        <f>DL881+DM881</f>
        <v>0</v>
      </c>
      <c r="DO881" s="671"/>
      <c r="DP881" s="841">
        <f>'P&amp;L'!DP1627</f>
        <v>0</v>
      </c>
      <c r="DQ881" s="841">
        <f>'P&amp;L'!DQ1627</f>
        <v>0</v>
      </c>
      <c r="DR881" s="293">
        <f>DP881+DQ881</f>
        <v>0</v>
      </c>
      <c r="DS881" s="671"/>
      <c r="DT881" s="671"/>
      <c r="DU881" s="671"/>
      <c r="DV881" s="671"/>
      <c r="DW881" s="1198" t="s">
        <v>174</v>
      </c>
      <c r="DX881" s="293"/>
      <c r="DY881" s="293"/>
      <c r="DZ881" s="293"/>
      <c r="EA881" s="293"/>
      <c r="EB881" s="293"/>
      <c r="EC881" s="293"/>
      <c r="ED881" s="293"/>
      <c r="EE881" s="293"/>
      <c r="EF881" s="293"/>
      <c r="EG881" s="293"/>
      <c r="EH881" s="293"/>
      <c r="EI881" s="293"/>
      <c r="EJ881" s="293"/>
      <c r="EK881" s="293"/>
      <c r="EL881" s="293"/>
      <c r="EM881" s="293"/>
      <c r="EN881" s="293"/>
      <c r="EO881" s="293"/>
      <c r="EP881" s="293"/>
      <c r="EQ881" s="293"/>
      <c r="ER881" s="293"/>
      <c r="ES881" s="293"/>
      <c r="ET881" s="293"/>
      <c r="EU881" s="293"/>
      <c r="JW881"/>
    </row>
    <row r="882" spans="1:283" s="332" customFormat="1" hidden="1" outlineLevel="1">
      <c r="A882" s="332" t="s">
        <v>568</v>
      </c>
      <c r="AN882" s="1265">
        <v>115</v>
      </c>
      <c r="AO882" s="1265">
        <v>72</v>
      </c>
      <c r="AP882" s="1265">
        <v>187</v>
      </c>
      <c r="AQ882" s="1265"/>
      <c r="AR882" s="1265">
        <v>507</v>
      </c>
      <c r="AS882" s="1265">
        <v>530</v>
      </c>
      <c r="AT882" s="1265">
        <v>1037</v>
      </c>
      <c r="AU882" s="1265"/>
      <c r="AV882" s="1265">
        <v>645</v>
      </c>
      <c r="AW882" s="1265">
        <v>796</v>
      </c>
      <c r="AX882" s="1265">
        <v>1441</v>
      </c>
      <c r="AY882" s="1265"/>
      <c r="AZ882" s="1265">
        <v>549</v>
      </c>
      <c r="BA882" s="1265">
        <v>867</v>
      </c>
      <c r="BB882" s="1265">
        <v>1416</v>
      </c>
      <c r="BC882" s="1265"/>
      <c r="BD882" s="1265">
        <v>414.5</v>
      </c>
      <c r="BE882" s="1265">
        <v>949</v>
      </c>
      <c r="BF882" s="1265">
        <v>1363.5</v>
      </c>
      <c r="BG882" s="1262"/>
      <c r="BH882" s="1265">
        <v>578</v>
      </c>
      <c r="BI882" s="1265">
        <v>725</v>
      </c>
      <c r="BJ882" s="1265">
        <v>1303</v>
      </c>
      <c r="BK882" s="1262"/>
      <c r="BL882" s="1265">
        <v>653</v>
      </c>
      <c r="BM882" s="1265">
        <v>1029</v>
      </c>
      <c r="BN882" s="1265">
        <v>1682</v>
      </c>
      <c r="BO882" s="1266">
        <v>0.29086722947045285</v>
      </c>
      <c r="BP882" s="1265">
        <v>725</v>
      </c>
      <c r="BQ882" s="1265">
        <v>1106</v>
      </c>
      <c r="BR882" s="1265">
        <v>1831</v>
      </c>
      <c r="BS882" s="1266">
        <v>8.8585017835909552E-2</v>
      </c>
      <c r="BT882" s="1265">
        <v>811</v>
      </c>
      <c r="BU882" s="1265">
        <v>884</v>
      </c>
      <c r="BV882" s="1265">
        <v>1695</v>
      </c>
      <c r="BW882" s="672">
        <f>+BV882/BR882-1</f>
        <v>-7.4276351720371392E-2</v>
      </c>
      <c r="BX882" s="295">
        <f>SUM(BX876:BX881)</f>
        <v>1002</v>
      </c>
      <c r="BY882" s="295">
        <f>SUM(BY876:BY881)</f>
        <v>884</v>
      </c>
      <c r="BZ882" s="295">
        <f t="shared" si="2165"/>
        <v>1886</v>
      </c>
      <c r="CA882" s="672">
        <f>+BZ882/BV882-1</f>
        <v>0.11268436578171093</v>
      </c>
      <c r="CB882" s="295">
        <f>SUM(CB876:CB881)</f>
        <v>796.24560206993749</v>
      </c>
      <c r="CC882" s="295">
        <f>SUM(CC876:CC881)</f>
        <v>955.10508099098479</v>
      </c>
      <c r="CD882" s="295">
        <f>CB882+CC882</f>
        <v>1751.3506830609222</v>
      </c>
      <c r="CE882" s="672">
        <f>+CD882/BZ882-1</f>
        <v>-7.1394123509585294E-2</v>
      </c>
      <c r="CF882" s="295">
        <f>SUM(CF876:CF881)</f>
        <v>823.41937934751036</v>
      </c>
      <c r="CG882" s="295">
        <f>SUM(CG876:CG881)</f>
        <v>995.84507910205389</v>
      </c>
      <c r="CH882" s="295">
        <f>CF882+CG882</f>
        <v>1819.2644584495642</v>
      </c>
      <c r="CI882" s="672">
        <f>+CH882/CD882-1</f>
        <v>3.8777942102346863E-2</v>
      </c>
      <c r="CJ882" s="295">
        <f>SUM(CJ876:CJ881)</f>
        <v>854.53813988604611</v>
      </c>
      <c r="CK882" s="295">
        <f>SUM(CK876:CK881)</f>
        <v>1038.4922753855744</v>
      </c>
      <c r="CL882" s="295">
        <f>CJ882+CK882</f>
        <v>1893.0304152716205</v>
      </c>
      <c r="CM882" s="672">
        <f>+CL882/CH882-1</f>
        <v>4.0547132375092998E-2</v>
      </c>
      <c r="CN882" s="295">
        <f>SUM(CN876:CN881)</f>
        <v>887.88952844556798</v>
      </c>
      <c r="CO882" s="295">
        <f>SUM(CO876:CO881)</f>
        <v>1083.4604421991983</v>
      </c>
      <c r="CP882" s="295">
        <f>CN882+CO882</f>
        <v>1971.3499706447662</v>
      </c>
      <c r="CQ882" s="672">
        <f>+CP882/CL882-1</f>
        <v>4.1372581624320004E-2</v>
      </c>
      <c r="CR882" s="295">
        <f>SUM(CR876:CR881)</f>
        <v>926.9137403402533</v>
      </c>
      <c r="CS882" s="295">
        <f>SUM(CS876:CS881)</f>
        <v>1130.0556983760387</v>
      </c>
      <c r="CT882" s="295">
        <f>CR882+CS882</f>
        <v>2056.9694387162917</v>
      </c>
      <c r="CU882" s="672">
        <f>+CT882/CP882-1</f>
        <v>4.3431896591918706E-2</v>
      </c>
      <c r="CV882" s="295">
        <f>SUM(CV876:CV881)</f>
        <v>966.96126501314859</v>
      </c>
      <c r="CW882" s="295">
        <f>SUM(CW876:CW881)</f>
        <v>1179.3889280154642</v>
      </c>
      <c r="CX882" s="295">
        <f>CV882+CW882</f>
        <v>2146.3501930286129</v>
      </c>
      <c r="CY882" s="672">
        <f>+CX882/CT882-1</f>
        <v>4.3452640875452975E-2</v>
      </c>
      <c r="CZ882" s="295">
        <f>SUM(CZ876:CZ881)</f>
        <v>1009.6453587546825</v>
      </c>
      <c r="DA882" s="295">
        <f>SUM(DA876:DA881)</f>
        <v>1230.8190925577542</v>
      </c>
      <c r="DB882" s="295">
        <f>CZ882+DA882</f>
        <v>2240.4644513124367</v>
      </c>
      <c r="DC882" s="672">
        <f>+DB882/CX882-1</f>
        <v>4.3848510177653566E-2</v>
      </c>
      <c r="DD882" s="295">
        <f>SUM(DD876:DD881)</f>
        <v>1055.3542847827396</v>
      </c>
      <c r="DE882" s="295">
        <f>SUM(DE876:DE881)</f>
        <v>1284.7340099822225</v>
      </c>
      <c r="DF882" s="295">
        <f>DD882+DE882</f>
        <v>2340.088294764962</v>
      </c>
      <c r="DG882" s="672">
        <f>+DF882/DB882-1</f>
        <v>4.4465710399540948E-2</v>
      </c>
      <c r="DH882" s="295">
        <f>SUM(DH876:DH881)</f>
        <v>1103.2409716668787</v>
      </c>
      <c r="DI882" s="295">
        <f>SUM(DI876:DI881)</f>
        <v>1341.2133898036977</v>
      </c>
      <c r="DJ882" s="295">
        <f>DH882+DI882</f>
        <v>2444.4543614705763</v>
      </c>
      <c r="DK882" s="672">
        <f>+DJ882/DF882-1</f>
        <v>4.459920035457321E-2</v>
      </c>
      <c r="DL882" s="295">
        <f>SUM(DL876:DL881)</f>
        <v>1154.0388638183417</v>
      </c>
      <c r="DM882" s="295">
        <f>SUM(DM876:DM881)</f>
        <v>1400.3760052268835</v>
      </c>
      <c r="DN882" s="295">
        <f>DL882+DM882</f>
        <v>2554.4148690452253</v>
      </c>
      <c r="DO882" s="672">
        <f>+DN882/DJ882-1</f>
        <v>4.4983661510660022E-2</v>
      </c>
      <c r="DP882" s="295">
        <f>SUM(DP876:DP881)</f>
        <v>1207.2240686259656</v>
      </c>
      <c r="DQ882" s="295">
        <f>SUM(DQ876:DQ881)</f>
        <v>1462.3591241655577</v>
      </c>
      <c r="DR882" s="295">
        <f>DP882+DQ882</f>
        <v>2669.5831927915233</v>
      </c>
      <c r="DS882" s="672">
        <f>+DR882/DN882-1</f>
        <v>4.5085990197569092E-2</v>
      </c>
      <c r="DT882" s="672"/>
      <c r="DU882" s="672"/>
      <c r="DV882" s="672"/>
      <c r="DW882" s="1199"/>
      <c r="DX882" s="295"/>
      <c r="DY882" s="295"/>
      <c r="DZ882" s="295"/>
      <c r="EA882" s="295"/>
      <c r="EB882" s="295"/>
      <c r="EC882" s="295"/>
      <c r="ED882" s="295"/>
      <c r="EE882" s="295"/>
      <c r="EF882" s="295"/>
      <c r="EG882" s="295"/>
      <c r="EH882" s="295"/>
      <c r="EI882" s="295"/>
      <c r="EJ882" s="295"/>
      <c r="EK882" s="295"/>
      <c r="EL882" s="295"/>
      <c r="EM882" s="295"/>
      <c r="EN882" s="295"/>
      <c r="EO882" s="295"/>
      <c r="EP882" s="295"/>
      <c r="EQ882" s="295"/>
      <c r="ER882" s="295"/>
      <c r="ES882" s="295"/>
      <c r="ET882" s="295"/>
      <c r="EU882" s="295"/>
      <c r="EV882" s="327"/>
      <c r="EW882" s="327"/>
      <c r="EX882" s="327"/>
      <c r="EY882" s="327"/>
      <c r="EZ882" s="327"/>
      <c r="FA882" s="327"/>
      <c r="FB882" s="327"/>
      <c r="FC882" s="327"/>
      <c r="FD882" s="327"/>
      <c r="FE882" s="327"/>
      <c r="FF882" s="327"/>
      <c r="FG882" s="327"/>
      <c r="FH882" s="327"/>
      <c r="FI882" s="327"/>
      <c r="FJ882" s="327"/>
      <c r="FK882" s="327"/>
      <c r="FL882" s="327"/>
      <c r="FM882" s="327"/>
      <c r="FN882" s="327"/>
      <c r="FO882" s="327"/>
      <c r="FP882" s="327"/>
      <c r="FQ882" s="327"/>
      <c r="FR882" s="327"/>
      <c r="FS882" s="327"/>
      <c r="FT882" s="327"/>
      <c r="FU882" s="327"/>
      <c r="FV882" s="327"/>
      <c r="FW882" s="327"/>
      <c r="FX882" s="327"/>
      <c r="FY882" s="327"/>
      <c r="FZ882" s="327"/>
      <c r="GA882" s="327"/>
      <c r="GB882" s="327"/>
      <c r="GC882" s="327"/>
      <c r="GD882" s="327"/>
      <c r="GE882" s="327"/>
      <c r="GF882" s="327"/>
      <c r="GG882" s="327"/>
      <c r="GH882" s="327"/>
      <c r="GI882" s="327"/>
      <c r="GJ882" s="327"/>
      <c r="GK882" s="327"/>
      <c r="GL882" s="327"/>
      <c r="GM882" s="327"/>
      <c r="GN882" s="327"/>
      <c r="GO882" s="327"/>
      <c r="GP882" s="327"/>
      <c r="GQ882" s="327"/>
      <c r="GR882" s="327"/>
      <c r="GS882" s="327"/>
      <c r="GT882" s="327"/>
      <c r="GU882" s="327"/>
      <c r="GV882" s="327"/>
      <c r="GW882" s="327"/>
      <c r="GX882" s="327"/>
      <c r="GY882" s="327"/>
      <c r="GZ882" s="327"/>
      <c r="HA882" s="327"/>
      <c r="HB882" s="327"/>
      <c r="HC882" s="327"/>
      <c r="HD882" s="327"/>
      <c r="HE882" s="327"/>
      <c r="HF882" s="327"/>
      <c r="HG882" s="327"/>
      <c r="HH882" s="327"/>
      <c r="HI882" s="327"/>
      <c r="HJ882" s="327"/>
      <c r="HK882" s="327"/>
      <c r="HL882" s="327"/>
      <c r="HM882" s="327"/>
      <c r="HN882" s="327"/>
      <c r="HO882" s="327"/>
      <c r="HP882" s="327"/>
      <c r="HQ882" s="327"/>
      <c r="HR882" s="327"/>
      <c r="HS882" s="327"/>
      <c r="HT882" s="327"/>
      <c r="HU882" s="327"/>
      <c r="HV882" s="327"/>
      <c r="HW882" s="327"/>
      <c r="HX882" s="327"/>
      <c r="HY882" s="327"/>
      <c r="HZ882" s="327"/>
      <c r="IA882" s="327"/>
      <c r="IB882" s="327"/>
      <c r="IC882" s="327"/>
      <c r="ID882" s="327"/>
      <c r="IE882" s="327"/>
      <c r="IF882" s="327"/>
      <c r="IG882" s="327"/>
      <c r="IH882" s="327"/>
      <c r="II882" s="327"/>
      <c r="IJ882" s="327"/>
      <c r="IK882" s="327"/>
      <c r="IL882" s="327"/>
      <c r="IM882" s="327"/>
      <c r="IN882" s="327"/>
      <c r="IO882" s="327"/>
      <c r="IP882" s="327"/>
      <c r="IQ882" s="327"/>
      <c r="IR882" s="327"/>
      <c r="IS882" s="327"/>
      <c r="IT882" s="327"/>
      <c r="IU882" s="327"/>
      <c r="IV882" s="327"/>
      <c r="IW882" s="327"/>
      <c r="IX882" s="327"/>
      <c r="IY882" s="327"/>
      <c r="IZ882" s="327"/>
      <c r="JA882" s="327"/>
      <c r="JB882" s="327"/>
      <c r="JC882" s="327"/>
      <c r="JD882" s="327"/>
      <c r="JE882" s="327"/>
      <c r="JF882" s="327"/>
      <c r="JG882" s="327"/>
      <c r="JH882" s="327"/>
      <c r="JI882" s="327"/>
      <c r="JJ882" s="327"/>
      <c r="JK882" s="327"/>
      <c r="JL882" s="327"/>
      <c r="JM882" s="327"/>
      <c r="JN882" s="327"/>
      <c r="JO882" s="327"/>
      <c r="JP882" s="327"/>
      <c r="JQ882" s="327"/>
      <c r="JR882" s="327"/>
      <c r="JS882" s="327"/>
      <c r="JT882" s="327"/>
      <c r="JU882" s="327"/>
      <c r="JV882" s="327"/>
      <c r="JW882"/>
    </row>
    <row r="883" spans="1:283" s="332" customFormat="1" hidden="1" outlineLevel="1">
      <c r="AN883" s="1262"/>
      <c r="AO883" s="1262"/>
      <c r="AP883" s="1262"/>
      <c r="AQ883" s="1262"/>
      <c r="AR883" s="1262"/>
      <c r="AS883" s="1262"/>
      <c r="AT883" s="1262"/>
      <c r="AU883" s="1262"/>
      <c r="AV883" s="1262"/>
      <c r="AW883" s="1262"/>
      <c r="AX883" s="1262"/>
      <c r="AY883" s="1262"/>
      <c r="AZ883" s="1262"/>
      <c r="BA883" s="1262"/>
      <c r="BB883" s="1262"/>
      <c r="BC883" s="1262"/>
      <c r="BD883" s="1262"/>
      <c r="BE883" s="1262"/>
      <c r="BF883" s="1262"/>
      <c r="BG883" s="1262"/>
      <c r="BH883" s="1262"/>
      <c r="BI883" s="1262"/>
      <c r="BJ883" s="1262"/>
      <c r="BK883" s="1262"/>
      <c r="BL883" s="1262"/>
      <c r="BM883" s="1262"/>
      <c r="BN883" s="1262"/>
      <c r="BO883" s="1262"/>
      <c r="BP883" s="1262">
        <v>764</v>
      </c>
      <c r="BQ883" s="1262"/>
      <c r="BR883" s="1262"/>
      <c r="BS883" s="1262"/>
      <c r="BT883" s="1262"/>
      <c r="BU883" s="1262"/>
      <c r="BV883" s="1262"/>
      <c r="BW883" s="293"/>
      <c r="BX883" s="293"/>
      <c r="BY883" s="293"/>
      <c r="BZ883" s="293"/>
      <c r="CA883" s="293"/>
      <c r="CB883" s="293"/>
      <c r="CC883" s="293"/>
      <c r="CD883" s="293"/>
      <c r="CE883" s="293"/>
      <c r="CF883" s="293"/>
      <c r="CG883" s="293"/>
      <c r="CH883" s="293"/>
      <c r="CI883" s="293"/>
      <c r="CJ883" s="293"/>
      <c r="CK883" s="293"/>
      <c r="CL883" s="293"/>
      <c r="CM883" s="293"/>
      <c r="CN883" s="293"/>
      <c r="CO883" s="293"/>
      <c r="CP883" s="293"/>
      <c r="CQ883" s="293"/>
      <c r="CR883" s="293"/>
      <c r="CS883" s="293"/>
      <c r="CT883" s="293"/>
      <c r="CU883" s="293"/>
      <c r="CV883" s="293"/>
      <c r="CW883" s="293"/>
      <c r="CX883" s="293"/>
      <c r="CY883" s="293"/>
      <c r="CZ883" s="293"/>
      <c r="DA883" s="293"/>
      <c r="DB883" s="293"/>
      <c r="DC883" s="293"/>
      <c r="DD883" s="293"/>
      <c r="DE883" s="293"/>
      <c r="DF883" s="293"/>
      <c r="DG883" s="293"/>
      <c r="DH883" s="293"/>
      <c r="DI883" s="293"/>
      <c r="DJ883" s="293"/>
      <c r="DK883" s="293"/>
      <c r="DL883" s="293"/>
      <c r="DM883" s="293"/>
      <c r="DN883" s="293"/>
      <c r="DO883" s="293"/>
      <c r="DP883" s="293"/>
      <c r="DQ883" s="293"/>
      <c r="DR883" s="293"/>
      <c r="DS883" s="293"/>
      <c r="DT883" s="293"/>
      <c r="DU883" s="293"/>
      <c r="DV883" s="293"/>
      <c r="DW883" s="1201"/>
      <c r="DX883" s="293"/>
      <c r="DY883" s="293"/>
      <c r="DZ883" s="293"/>
      <c r="EA883" s="293"/>
      <c r="EB883" s="293"/>
      <c r="EC883" s="293"/>
      <c r="ED883" s="293"/>
      <c r="EE883" s="293"/>
      <c r="EF883" s="293"/>
      <c r="EG883" s="293"/>
      <c r="EH883" s="293"/>
      <c r="EI883" s="293"/>
      <c r="EJ883" s="293"/>
      <c r="EK883" s="293"/>
      <c r="EL883" s="293"/>
      <c r="EM883" s="293"/>
      <c r="EN883" s="293"/>
      <c r="EO883" s="293"/>
      <c r="EP883" s="293"/>
      <c r="EQ883" s="293"/>
      <c r="ER883" s="293"/>
      <c r="ES883" s="293"/>
      <c r="ET883" s="293"/>
      <c r="EU883" s="293"/>
      <c r="JW883"/>
    </row>
    <row r="884" spans="1:283" s="332" customFormat="1" hidden="1" outlineLevel="1">
      <c r="A884" s="332" t="s">
        <v>604</v>
      </c>
      <c r="AN884" s="1262"/>
      <c r="AO884" s="1262"/>
      <c r="AP884" s="1262"/>
      <c r="AQ884" s="1262"/>
      <c r="AR884" s="1262">
        <v>-72</v>
      </c>
      <c r="AS884" s="1262">
        <v>-103</v>
      </c>
      <c r="AT884" s="1262">
        <v>-175</v>
      </c>
      <c r="AU884" s="1262"/>
      <c r="AV884" s="1262">
        <v>-96</v>
      </c>
      <c r="AW884" s="1262">
        <v>-113</v>
      </c>
      <c r="AX884" s="1262">
        <v>-209</v>
      </c>
      <c r="AY884" s="1262"/>
      <c r="AZ884" s="1262">
        <v>-123</v>
      </c>
      <c r="BA884" s="1262">
        <v>-179</v>
      </c>
      <c r="BB884" s="1262">
        <v>-302</v>
      </c>
      <c r="BC884" s="1262"/>
      <c r="BD884" s="1262">
        <v>-121.66670000000001</v>
      </c>
      <c r="BE884" s="1262">
        <v>-135</v>
      </c>
      <c r="BF884" s="1262">
        <v>-256.66669999999999</v>
      </c>
      <c r="BG884" s="1262"/>
      <c r="BH884" s="1262">
        <v>-115</v>
      </c>
      <c r="BI884" s="1262">
        <v>-125</v>
      </c>
      <c r="BJ884" s="1262">
        <v>-240</v>
      </c>
      <c r="BK884" s="1262"/>
      <c r="BL884" s="1262">
        <v>-122</v>
      </c>
      <c r="BM884" s="1262">
        <v>-142</v>
      </c>
      <c r="BN884" s="1262">
        <v>-264</v>
      </c>
      <c r="BO884" s="1262"/>
      <c r="BP884" s="1262">
        <v>-133</v>
      </c>
      <c r="BQ884" s="1262">
        <v>-150</v>
      </c>
      <c r="BR884" s="1262">
        <v>-283</v>
      </c>
      <c r="BS884" s="1262"/>
      <c r="BT884" s="1262">
        <v>-166</v>
      </c>
      <c r="BU884" s="1262">
        <v>-178</v>
      </c>
      <c r="BV884" s="1262">
        <v>-344</v>
      </c>
      <c r="BW884" s="293"/>
      <c r="BX884" s="626">
        <v>-155</v>
      </c>
      <c r="BY884" s="626">
        <v>-178</v>
      </c>
      <c r="BZ884" s="293">
        <f t="shared" ref="BZ884:BZ890" si="2166">BX884+BY884</f>
        <v>-333</v>
      </c>
      <c r="CA884" s="293"/>
      <c r="CB884" s="293">
        <f t="shared" ref="CB884:CC886" si="2167">CB950</f>
        <v>-161.20000000000002</v>
      </c>
      <c r="CC884" s="293">
        <f t="shared" si="2167"/>
        <v>-185.12</v>
      </c>
      <c r="CD884" s="293">
        <f t="shared" ref="CD884:CD890" si="2168">CB884+CC884</f>
        <v>-346.32000000000005</v>
      </c>
      <c r="CE884" s="293"/>
      <c r="CF884" s="293">
        <f t="shared" ref="CF884:CG886" si="2169">CF950</f>
        <v>-167.64800000000002</v>
      </c>
      <c r="CG884" s="293">
        <f t="shared" si="2169"/>
        <v>-192.5248</v>
      </c>
      <c r="CH884" s="293">
        <f t="shared" ref="CH884:CH890" si="2170">CF884+CG884</f>
        <v>-360.17280000000005</v>
      </c>
      <c r="CI884" s="293"/>
      <c r="CJ884" s="293">
        <f t="shared" ref="CJ884:CK884" si="2171">CJ950</f>
        <v>-174.35392000000004</v>
      </c>
      <c r="CK884" s="293">
        <f t="shared" si="2171"/>
        <v>-200.22579200000001</v>
      </c>
      <c r="CL884" s="293">
        <f t="shared" ref="CL884:CL890" si="2172">CJ884+CK884</f>
        <v>-374.57971200000009</v>
      </c>
      <c r="CM884" s="293"/>
      <c r="CN884" s="293">
        <f t="shared" ref="CN884:CO886" si="2173">CN950</f>
        <v>-181.32807680000005</v>
      </c>
      <c r="CO884" s="293">
        <f t="shared" si="2173"/>
        <v>-208.23482368000003</v>
      </c>
      <c r="CP884" s="293">
        <f t="shared" ref="CP884:CP890" si="2174">CN884+CO884</f>
        <v>-389.56290048000005</v>
      </c>
      <c r="CQ884" s="293"/>
      <c r="CR884" s="293">
        <f t="shared" ref="CR884:CS884" si="2175">CR950</f>
        <v>-188.58119987200007</v>
      </c>
      <c r="CS884" s="293">
        <f t="shared" si="2175"/>
        <v>-216.56421662720004</v>
      </c>
      <c r="CT884" s="293">
        <f t="shared" ref="CT884:CT890" si="2176">CR884+CS884</f>
        <v>-405.14541649920011</v>
      </c>
      <c r="CU884" s="293"/>
      <c r="CV884" s="293">
        <f t="shared" ref="CV884:CW884" si="2177">CV950</f>
        <v>-196.12444786688008</v>
      </c>
      <c r="CW884" s="293">
        <f t="shared" si="2177"/>
        <v>-225.22678529228804</v>
      </c>
      <c r="CX884" s="293">
        <f t="shared" ref="CX884:CX890" si="2178">CV884+CW884</f>
        <v>-421.35123315916815</v>
      </c>
      <c r="CY884" s="293"/>
      <c r="CZ884" s="293">
        <f t="shared" ref="CZ884:DA884" si="2179">CZ950</f>
        <v>-203.96942578155529</v>
      </c>
      <c r="DA884" s="293">
        <f t="shared" si="2179"/>
        <v>-234.23585670397958</v>
      </c>
      <c r="DB884" s="293">
        <f t="shared" ref="DB884:DB890" si="2180">CZ884+DA884</f>
        <v>-438.20528248553489</v>
      </c>
      <c r="DC884" s="293"/>
      <c r="DD884" s="293">
        <f t="shared" ref="DD884:DE884" si="2181">DD950</f>
        <v>-212.12820281281751</v>
      </c>
      <c r="DE884" s="293">
        <f t="shared" si="2181"/>
        <v>-243.60529097213876</v>
      </c>
      <c r="DF884" s="293">
        <f t="shared" ref="DF884:DF890" si="2182">DD884+DE884</f>
        <v>-455.73349378495629</v>
      </c>
      <c r="DG884" s="293"/>
      <c r="DH884" s="293">
        <f t="shared" ref="DH884" si="2183">DH950</f>
        <v>-220.61333092533022</v>
      </c>
      <c r="DI884" s="293">
        <f t="shared" ref="DI884" si="2184">DI950</f>
        <v>-253.34950261102432</v>
      </c>
      <c r="DJ884" s="293">
        <f t="shared" ref="DJ884:DJ890" si="2185">DH884+DI884</f>
        <v>-473.96283353635454</v>
      </c>
      <c r="DK884" s="293"/>
      <c r="DL884" s="293">
        <f t="shared" ref="DL884:DM884" si="2186">DL950</f>
        <v>-229.43786416234343</v>
      </c>
      <c r="DM884" s="293">
        <f t="shared" si="2186"/>
        <v>-263.4834827154653</v>
      </c>
      <c r="DN884" s="293">
        <f t="shared" ref="DN884:DN890" si="2187">DL884+DM884</f>
        <v>-492.92134687780873</v>
      </c>
      <c r="DO884" s="293"/>
      <c r="DP884" s="293">
        <f t="shared" ref="DP884:DQ884" si="2188">DP950</f>
        <v>-238.61537872883719</v>
      </c>
      <c r="DQ884" s="293">
        <f t="shared" si="2188"/>
        <v>-274.02282202408389</v>
      </c>
      <c r="DR884" s="293">
        <f t="shared" ref="DR884:DR890" si="2189">DP884+DQ884</f>
        <v>-512.63820075292108</v>
      </c>
      <c r="DS884" s="293"/>
      <c r="DT884" s="293"/>
      <c r="DU884" s="293"/>
      <c r="DV884" s="293"/>
      <c r="DW884" s="1197" t="s">
        <v>513</v>
      </c>
      <c r="DX884" s="293"/>
      <c r="DY884" s="293"/>
      <c r="DZ884" s="293"/>
      <c r="EA884" s="293"/>
      <c r="EB884" s="293"/>
      <c r="EC884" s="293"/>
      <c r="ED884" s="293"/>
      <c r="EE884" s="293"/>
      <c r="EF884" s="293"/>
      <c r="EG884" s="293"/>
      <c r="EH884" s="293"/>
      <c r="EI884" s="293"/>
      <c r="EJ884" s="293"/>
      <c r="EK884" s="293"/>
      <c r="EL884" s="293"/>
      <c r="EM884" s="293"/>
      <c r="EN884" s="293"/>
      <c r="EO884" s="293"/>
      <c r="EP884" s="293"/>
      <c r="EQ884" s="293"/>
      <c r="ER884" s="293"/>
      <c r="ES884" s="293"/>
      <c r="ET884" s="293"/>
      <c r="EU884" s="293"/>
      <c r="JW884"/>
    </row>
    <row r="885" spans="1:283" s="332" customFormat="1" hidden="1" outlineLevel="1">
      <c r="A885" s="332" t="s">
        <v>605</v>
      </c>
      <c r="AN885" s="1262"/>
      <c r="AO885" s="1262"/>
      <c r="AP885" s="1262"/>
      <c r="AQ885" s="1262"/>
      <c r="AR885" s="1262">
        <v>-41</v>
      </c>
      <c r="AS885" s="1262">
        <v>-50</v>
      </c>
      <c r="AT885" s="1262">
        <v>-91</v>
      </c>
      <c r="AU885" s="1262"/>
      <c r="AV885" s="1262">
        <v>-55</v>
      </c>
      <c r="AW885" s="1262">
        <v>-83</v>
      </c>
      <c r="AX885" s="1262">
        <v>-138</v>
      </c>
      <c r="AY885" s="1262"/>
      <c r="AZ885" s="1262">
        <v>-91</v>
      </c>
      <c r="BA885" s="1262">
        <v>-82</v>
      </c>
      <c r="BB885" s="1262">
        <v>-173</v>
      </c>
      <c r="BC885" s="1262"/>
      <c r="BD885" s="1262">
        <v>-74</v>
      </c>
      <c r="BE885" s="1262">
        <v>-82</v>
      </c>
      <c r="BF885" s="1262">
        <v>-156</v>
      </c>
      <c r="BG885" s="1262"/>
      <c r="BH885" s="1262">
        <v>-74</v>
      </c>
      <c r="BI885" s="1262">
        <v>-68</v>
      </c>
      <c r="BJ885" s="1262">
        <v>-142</v>
      </c>
      <c r="BK885" s="1262"/>
      <c r="BL885" s="1262">
        <v>-124</v>
      </c>
      <c r="BM885" s="1262">
        <v>-157</v>
      </c>
      <c r="BN885" s="1262">
        <v>-281</v>
      </c>
      <c r="BO885" s="1262"/>
      <c r="BP885" s="1262">
        <v>-124</v>
      </c>
      <c r="BQ885" s="1262">
        <v>-134</v>
      </c>
      <c r="BR885" s="1262">
        <v>-258</v>
      </c>
      <c r="BS885" s="1262"/>
      <c r="BT885" s="1262">
        <v>-112</v>
      </c>
      <c r="BU885" s="1262">
        <v>-123</v>
      </c>
      <c r="BV885" s="1262">
        <v>-235</v>
      </c>
      <c r="BW885" s="293"/>
      <c r="BX885" s="626">
        <v>-103</v>
      </c>
      <c r="BY885" s="626">
        <v>-123</v>
      </c>
      <c r="BZ885" s="293">
        <f t="shared" si="2166"/>
        <v>-226</v>
      </c>
      <c r="CA885" s="293"/>
      <c r="CB885" s="293">
        <f t="shared" si="2167"/>
        <v>-107.12</v>
      </c>
      <c r="CC885" s="293">
        <f t="shared" si="2167"/>
        <v>-127.92</v>
      </c>
      <c r="CD885" s="293">
        <f t="shared" si="2168"/>
        <v>-235.04000000000002</v>
      </c>
      <c r="CE885" s="293"/>
      <c r="CF885" s="293">
        <f t="shared" si="2169"/>
        <v>-111.40480000000001</v>
      </c>
      <c r="CG885" s="293">
        <f t="shared" si="2169"/>
        <v>-133.0368</v>
      </c>
      <c r="CH885" s="293">
        <f t="shared" si="2170"/>
        <v>-244.44159999999999</v>
      </c>
      <c r="CI885" s="293"/>
      <c r="CJ885" s="293">
        <f t="shared" ref="CJ885:CK885" si="2190">CJ951</f>
        <v>-115.86099200000001</v>
      </c>
      <c r="CK885" s="293">
        <f t="shared" si="2190"/>
        <v>-138.358272</v>
      </c>
      <c r="CL885" s="293">
        <f t="shared" si="2172"/>
        <v>-254.21926400000001</v>
      </c>
      <c r="CM885" s="293"/>
      <c r="CN885" s="293">
        <f t="shared" si="2173"/>
        <v>-120.49543168000001</v>
      </c>
      <c r="CO885" s="293">
        <f t="shared" si="2173"/>
        <v>-143.89260288</v>
      </c>
      <c r="CP885" s="293">
        <f t="shared" si="2174"/>
        <v>-264.38803455999999</v>
      </c>
      <c r="CQ885" s="293"/>
      <c r="CR885" s="293">
        <f t="shared" ref="CR885:CS885" si="2191">CR951</f>
        <v>-125.31524894720002</v>
      </c>
      <c r="CS885" s="293">
        <f t="shared" si="2191"/>
        <v>-149.64830699520002</v>
      </c>
      <c r="CT885" s="293">
        <f t="shared" si="2176"/>
        <v>-274.96355594240003</v>
      </c>
      <c r="CU885" s="293"/>
      <c r="CV885" s="293">
        <f t="shared" ref="CV885:CW885" si="2192">CV951</f>
        <v>-130.32785890508802</v>
      </c>
      <c r="CW885" s="293">
        <f t="shared" si="2192"/>
        <v>-155.63423927500801</v>
      </c>
      <c r="CX885" s="293">
        <f t="shared" si="2178"/>
        <v>-285.96209818009606</v>
      </c>
      <c r="CY885" s="293"/>
      <c r="CZ885" s="293">
        <f t="shared" ref="CZ885:DA885" si="2193">CZ951</f>
        <v>-135.54097326129155</v>
      </c>
      <c r="DA885" s="293">
        <f t="shared" si="2193"/>
        <v>-161.85960884600834</v>
      </c>
      <c r="DB885" s="293">
        <f t="shared" si="2180"/>
        <v>-297.4005821072999</v>
      </c>
      <c r="DC885" s="293"/>
      <c r="DD885" s="293">
        <f t="shared" ref="DD885:DE885" si="2194">DD951</f>
        <v>-140.96261219174323</v>
      </c>
      <c r="DE885" s="293">
        <f t="shared" si="2194"/>
        <v>-168.33399319984869</v>
      </c>
      <c r="DF885" s="293">
        <f t="shared" si="2182"/>
        <v>-309.29660539159192</v>
      </c>
      <c r="DG885" s="293"/>
      <c r="DH885" s="293">
        <f t="shared" ref="DH885" si="2195">DH951</f>
        <v>-146.60111667941297</v>
      </c>
      <c r="DI885" s="293">
        <f t="shared" ref="DI885" si="2196">DI951</f>
        <v>-175.06735292784265</v>
      </c>
      <c r="DJ885" s="293">
        <f t="shared" si="2185"/>
        <v>-321.66846960725559</v>
      </c>
      <c r="DK885" s="293"/>
      <c r="DL885" s="293">
        <f t="shared" ref="DL885:DM885" si="2197">DL951</f>
        <v>-152.4651613465895</v>
      </c>
      <c r="DM885" s="293">
        <f t="shared" si="2197"/>
        <v>-182.07004704495637</v>
      </c>
      <c r="DN885" s="293">
        <f t="shared" si="2187"/>
        <v>-334.53520839154589</v>
      </c>
      <c r="DO885" s="293"/>
      <c r="DP885" s="293">
        <f t="shared" ref="DP885:DQ885" si="2198">DP951</f>
        <v>-158.56376780045309</v>
      </c>
      <c r="DQ885" s="293">
        <f t="shared" si="2198"/>
        <v>-189.35284892675463</v>
      </c>
      <c r="DR885" s="293">
        <f t="shared" si="2189"/>
        <v>-347.91661672720772</v>
      </c>
      <c r="DS885" s="293"/>
      <c r="DT885" s="293"/>
      <c r="DU885" s="293"/>
      <c r="DV885" s="293"/>
      <c r="DW885" s="1197" t="s">
        <v>513</v>
      </c>
      <c r="DX885" s="293"/>
      <c r="DY885" s="293"/>
      <c r="DZ885" s="293"/>
      <c r="EA885" s="293"/>
      <c r="EB885" s="293"/>
      <c r="EC885" s="293"/>
      <c r="ED885" s="293"/>
      <c r="EE885" s="293"/>
      <c r="EF885" s="293"/>
      <c r="EG885" s="293"/>
      <c r="EH885" s="293"/>
      <c r="EI885" s="293"/>
      <c r="EJ885" s="293"/>
      <c r="EK885" s="293"/>
      <c r="EL885" s="293"/>
      <c r="EM885" s="293"/>
      <c r="EN885" s="293"/>
      <c r="EO885" s="293"/>
      <c r="EP885" s="293"/>
      <c r="EQ885" s="293"/>
      <c r="ER885" s="293"/>
      <c r="ES885" s="293"/>
      <c r="ET885" s="293"/>
      <c r="EU885" s="293"/>
      <c r="JW885"/>
    </row>
    <row r="886" spans="1:283" s="332" customFormat="1" hidden="1" outlineLevel="1">
      <c r="A886" s="332" t="s">
        <v>606</v>
      </c>
      <c r="AN886" s="1262"/>
      <c r="AO886" s="1262"/>
      <c r="AP886" s="1262"/>
      <c r="AQ886" s="1262"/>
      <c r="AR886" s="1262">
        <v>-110</v>
      </c>
      <c r="AS886" s="1262">
        <v>-153</v>
      </c>
      <c r="AT886" s="1262">
        <v>-263</v>
      </c>
      <c r="AU886" s="1262"/>
      <c r="AV886" s="1262">
        <v>-126</v>
      </c>
      <c r="AW886" s="1262">
        <v>-141</v>
      </c>
      <c r="AX886" s="1262">
        <v>-267</v>
      </c>
      <c r="AY886" s="1262"/>
      <c r="AZ886" s="1262">
        <v>-168</v>
      </c>
      <c r="BA886" s="1262">
        <v>-198</v>
      </c>
      <c r="BB886" s="1262">
        <v>-366</v>
      </c>
      <c r="BC886" s="1262"/>
      <c r="BD886" s="1262">
        <v>-213.33330000000001</v>
      </c>
      <c r="BE886" s="1262">
        <v>-199</v>
      </c>
      <c r="BF886" s="1262">
        <v>-412.33330000000001</v>
      </c>
      <c r="BG886" s="1262"/>
      <c r="BH886" s="1262">
        <v>-170</v>
      </c>
      <c r="BI886" s="1262">
        <v>-188</v>
      </c>
      <c r="BJ886" s="1262">
        <v>-358</v>
      </c>
      <c r="BK886" s="1262"/>
      <c r="BL886" s="1262">
        <v>-204</v>
      </c>
      <c r="BM886" s="1262">
        <v>-207</v>
      </c>
      <c r="BN886" s="1262">
        <v>-411</v>
      </c>
      <c r="BO886" s="1262"/>
      <c r="BP886" s="1262">
        <v>-218</v>
      </c>
      <c r="BQ886" s="1262">
        <v>-237</v>
      </c>
      <c r="BR886" s="1262">
        <v>-455</v>
      </c>
      <c r="BS886" s="1262"/>
      <c r="BT886" s="1262">
        <v>-251</v>
      </c>
      <c r="BU886" s="1262">
        <v>-289</v>
      </c>
      <c r="BV886" s="1262">
        <v>-540</v>
      </c>
      <c r="BW886" s="293"/>
      <c r="BX886" s="626">
        <v>-271</v>
      </c>
      <c r="BY886" s="626">
        <v>-289</v>
      </c>
      <c r="BZ886" s="293">
        <f t="shared" si="2166"/>
        <v>-560</v>
      </c>
      <c r="CA886" s="293"/>
      <c r="CB886" s="293">
        <f t="shared" si="2167"/>
        <v>-281.84000000000003</v>
      </c>
      <c r="CC886" s="293">
        <f t="shared" si="2167"/>
        <v>-300.56</v>
      </c>
      <c r="CD886" s="293">
        <f t="shared" si="2168"/>
        <v>-582.40000000000009</v>
      </c>
      <c r="CE886" s="293"/>
      <c r="CF886" s="293">
        <f t="shared" si="2169"/>
        <v>-293.11360000000002</v>
      </c>
      <c r="CG886" s="293">
        <f t="shared" si="2169"/>
        <v>-312.58240000000001</v>
      </c>
      <c r="CH886" s="293">
        <f t="shared" si="2170"/>
        <v>-605.69600000000003</v>
      </c>
      <c r="CI886" s="293"/>
      <c r="CJ886" s="293">
        <f t="shared" ref="CJ886:CK886" si="2199">CJ952</f>
        <v>-304.83814400000006</v>
      </c>
      <c r="CK886" s="293">
        <f t="shared" si="2199"/>
        <v>-325.08569600000004</v>
      </c>
      <c r="CL886" s="293">
        <f t="shared" si="2172"/>
        <v>-629.92384000000015</v>
      </c>
      <c r="CM886" s="293"/>
      <c r="CN886" s="293">
        <f t="shared" si="2173"/>
        <v>-317.03166976000006</v>
      </c>
      <c r="CO886" s="293">
        <f t="shared" si="2173"/>
        <v>-338.08912384000007</v>
      </c>
      <c r="CP886" s="293">
        <f t="shared" si="2174"/>
        <v>-655.12079360000007</v>
      </c>
      <c r="CQ886" s="293"/>
      <c r="CR886" s="293">
        <f t="shared" ref="CR886:CS886" si="2200">CR952</f>
        <v>-329.71293655040006</v>
      </c>
      <c r="CS886" s="293">
        <f t="shared" si="2200"/>
        <v>-351.61268879360006</v>
      </c>
      <c r="CT886" s="293">
        <f t="shared" si="2176"/>
        <v>-681.32562534400017</v>
      </c>
      <c r="CU886" s="293"/>
      <c r="CV886" s="293">
        <f t="shared" ref="CV886:CW886" si="2201">CV952</f>
        <v>-342.90145401241608</v>
      </c>
      <c r="CW886" s="293">
        <f t="shared" si="2201"/>
        <v>-365.6771963453441</v>
      </c>
      <c r="CX886" s="293">
        <f t="shared" si="2178"/>
        <v>-708.57865035776013</v>
      </c>
      <c r="CY886" s="293"/>
      <c r="CZ886" s="293">
        <f t="shared" ref="CZ886:DA886" si="2202">CZ952</f>
        <v>-356.61751217291271</v>
      </c>
      <c r="DA886" s="293">
        <f t="shared" si="2202"/>
        <v>-380.30428419915791</v>
      </c>
      <c r="DB886" s="293">
        <f t="shared" si="2180"/>
        <v>-736.92179637207062</v>
      </c>
      <c r="DC886" s="293"/>
      <c r="DD886" s="293">
        <f t="shared" ref="DD886:DE886" si="2203">DD952</f>
        <v>-370.88221265982924</v>
      </c>
      <c r="DE886" s="293">
        <f t="shared" si="2203"/>
        <v>-395.51645556712424</v>
      </c>
      <c r="DF886" s="293">
        <f t="shared" si="2182"/>
        <v>-766.39866822695353</v>
      </c>
      <c r="DG886" s="293"/>
      <c r="DH886" s="293">
        <f t="shared" ref="DH886" si="2204">DH952</f>
        <v>-385.71750116622241</v>
      </c>
      <c r="DI886" s="293">
        <f t="shared" ref="DI886" si="2205">DI952</f>
        <v>-411.33711378980922</v>
      </c>
      <c r="DJ886" s="293">
        <f t="shared" si="2185"/>
        <v>-797.05461495603163</v>
      </c>
      <c r="DK886" s="293"/>
      <c r="DL886" s="293">
        <f t="shared" ref="DL886:DM886" si="2206">DL952</f>
        <v>-401.14620121287129</v>
      </c>
      <c r="DM886" s="293">
        <f t="shared" si="2206"/>
        <v>-427.79059834140162</v>
      </c>
      <c r="DN886" s="293">
        <f t="shared" si="2187"/>
        <v>-828.93679955427297</v>
      </c>
      <c r="DO886" s="293"/>
      <c r="DP886" s="293">
        <f t="shared" ref="DP886:DQ886" si="2207">DP952</f>
        <v>-417.19204926138616</v>
      </c>
      <c r="DQ886" s="293">
        <f t="shared" si="2207"/>
        <v>-444.90222227505768</v>
      </c>
      <c r="DR886" s="293">
        <f t="shared" si="2189"/>
        <v>-862.09427153644378</v>
      </c>
      <c r="DS886" s="293"/>
      <c r="DT886" s="293"/>
      <c r="DU886" s="293"/>
      <c r="DV886" s="293"/>
      <c r="DW886" s="1197" t="s">
        <v>513</v>
      </c>
      <c r="DX886" s="293"/>
      <c r="DY886" s="293"/>
      <c r="DZ886" s="293"/>
      <c r="EA886" s="293"/>
      <c r="EB886" s="293"/>
      <c r="EC886" s="293"/>
      <c r="ED886" s="293"/>
      <c r="EE886" s="293"/>
      <c r="EF886" s="293"/>
      <c r="EG886" s="293"/>
      <c r="EH886" s="293"/>
      <c r="EI886" s="293"/>
      <c r="EJ886" s="293"/>
      <c r="EK886" s="293"/>
      <c r="EL886" s="293"/>
      <c r="EM886" s="293"/>
      <c r="EN886" s="293"/>
      <c r="EO886" s="293"/>
      <c r="EP886" s="293"/>
      <c r="EQ886" s="293"/>
      <c r="ER886" s="293"/>
      <c r="ES886" s="293"/>
      <c r="ET886" s="293"/>
      <c r="EU886" s="293"/>
      <c r="JW886"/>
    </row>
    <row r="887" spans="1:283" s="332" customFormat="1" hidden="1" outlineLevel="1">
      <c r="A887" s="332" t="s">
        <v>569</v>
      </c>
      <c r="AN887" s="1265">
        <v>0</v>
      </c>
      <c r="AO887" s="1265">
        <v>0</v>
      </c>
      <c r="AP887" s="1265">
        <v>0</v>
      </c>
      <c r="AQ887" s="1265"/>
      <c r="AR887" s="1265">
        <v>-223</v>
      </c>
      <c r="AS887" s="1265">
        <v>-306</v>
      </c>
      <c r="AT887" s="1265">
        <v>-529</v>
      </c>
      <c r="AU887" s="1265"/>
      <c r="AV887" s="1265">
        <v>-277</v>
      </c>
      <c r="AW887" s="1265">
        <v>-337</v>
      </c>
      <c r="AX887" s="1265">
        <v>-614</v>
      </c>
      <c r="AY887" s="1265"/>
      <c r="AZ887" s="1265">
        <v>-382</v>
      </c>
      <c r="BA887" s="1265">
        <v>-459</v>
      </c>
      <c r="BB887" s="1265">
        <v>-841</v>
      </c>
      <c r="BC887" s="1265"/>
      <c r="BD887" s="1265">
        <v>-409</v>
      </c>
      <c r="BE887" s="1265">
        <v>-416</v>
      </c>
      <c r="BF887" s="1265">
        <v>-825</v>
      </c>
      <c r="BG887" s="1265"/>
      <c r="BH887" s="1265">
        <v>-359</v>
      </c>
      <c r="BI887" s="1265">
        <v>-381</v>
      </c>
      <c r="BJ887" s="1265">
        <v>-740</v>
      </c>
      <c r="BK887" s="1262"/>
      <c r="BL887" s="1265">
        <v>-450</v>
      </c>
      <c r="BM887" s="1265">
        <v>-506</v>
      </c>
      <c r="BN887" s="1265">
        <v>-956</v>
      </c>
      <c r="BO887" s="1262"/>
      <c r="BP887" s="1265">
        <v>-475</v>
      </c>
      <c r="BQ887" s="1265">
        <v>-521</v>
      </c>
      <c r="BR887" s="1265">
        <v>-996</v>
      </c>
      <c r="BS887" s="1266">
        <v>4.1841004184100417E-2</v>
      </c>
      <c r="BT887" s="1265">
        <v>-529</v>
      </c>
      <c r="BU887" s="1265">
        <v>-590</v>
      </c>
      <c r="BV887" s="1265">
        <v>-1119</v>
      </c>
      <c r="BW887" s="672">
        <f>+BV887/BR887-1</f>
        <v>0.12349397590361444</v>
      </c>
      <c r="BX887" s="295">
        <f>SUM(BX884:BX886)</f>
        <v>-529</v>
      </c>
      <c r="BY887" s="295">
        <f>SUM(BY884:BY886)</f>
        <v>-590</v>
      </c>
      <c r="BZ887" s="295">
        <f t="shared" si="2166"/>
        <v>-1119</v>
      </c>
      <c r="CA887" s="672">
        <f>+BZ887/BV887-1</f>
        <v>0</v>
      </c>
      <c r="CB887" s="295">
        <f>SUM(CB884:CB886)</f>
        <v>-550.16000000000008</v>
      </c>
      <c r="CC887" s="295">
        <f>SUM(CC884:CC886)</f>
        <v>-613.6</v>
      </c>
      <c r="CD887" s="295">
        <f t="shared" si="2168"/>
        <v>-1163.7600000000002</v>
      </c>
      <c r="CE887" s="672">
        <f>+CD887/BZ887-1</f>
        <v>4.0000000000000258E-2</v>
      </c>
      <c r="CF887" s="295">
        <f>SUM(CF884:CF886)</f>
        <v>-572.16640000000007</v>
      </c>
      <c r="CG887" s="295">
        <f>SUM(CG884:CG886)</f>
        <v>-638.14400000000001</v>
      </c>
      <c r="CH887" s="295">
        <f t="shared" si="2170"/>
        <v>-1210.3104000000001</v>
      </c>
      <c r="CI887" s="672">
        <f>+CH887/CD887-1</f>
        <v>3.9999999999999813E-2</v>
      </c>
      <c r="CJ887" s="295">
        <f>SUM(CJ884:CJ886)</f>
        <v>-595.05305600000008</v>
      </c>
      <c r="CK887" s="295">
        <f>SUM(CK884:CK886)</f>
        <v>-663.66976</v>
      </c>
      <c r="CL887" s="295">
        <f t="shared" si="2172"/>
        <v>-1258.722816</v>
      </c>
      <c r="CM887" s="672">
        <f>+CL887/CH887-1</f>
        <v>3.9999999999999813E-2</v>
      </c>
      <c r="CN887" s="295">
        <f>SUM(CN884:CN886)</f>
        <v>-618.8551782400001</v>
      </c>
      <c r="CO887" s="295">
        <f>SUM(CO884:CO886)</f>
        <v>-690.21655040000007</v>
      </c>
      <c r="CP887" s="295">
        <f t="shared" si="2174"/>
        <v>-1309.0717286400002</v>
      </c>
      <c r="CQ887" s="672">
        <f>+CP887/CL887-1</f>
        <v>4.0000000000000258E-2</v>
      </c>
      <c r="CR887" s="295">
        <f>SUM(CR884:CR886)</f>
        <v>-643.6093853696002</v>
      </c>
      <c r="CS887" s="295">
        <f>SUM(CS884:CS886)</f>
        <v>-717.82521241600011</v>
      </c>
      <c r="CT887" s="295">
        <f t="shared" si="2176"/>
        <v>-1361.4345977856003</v>
      </c>
      <c r="CU887" s="672">
        <f>+CT887/CP887-1</f>
        <v>4.0000000000000036E-2</v>
      </c>
      <c r="CV887" s="295">
        <f>SUM(CV884:CV886)</f>
        <v>-669.35376078438412</v>
      </c>
      <c r="CW887" s="295">
        <f>SUM(CW884:CW886)</f>
        <v>-746.5382209126401</v>
      </c>
      <c r="CX887" s="295">
        <f t="shared" si="2178"/>
        <v>-1415.8919816970242</v>
      </c>
      <c r="CY887" s="672">
        <f>+CX887/CT887-1</f>
        <v>3.9999999999999813E-2</v>
      </c>
      <c r="CZ887" s="295">
        <f>SUM(CZ884:CZ886)</f>
        <v>-696.12791121575958</v>
      </c>
      <c r="DA887" s="295">
        <f>SUM(DA884:DA886)</f>
        <v>-776.39974974914583</v>
      </c>
      <c r="DB887" s="295">
        <f t="shared" si="2180"/>
        <v>-1472.5276609649054</v>
      </c>
      <c r="DC887" s="672">
        <f>+DB887/CX887-1</f>
        <v>4.0000000000000258E-2</v>
      </c>
      <c r="DD887" s="295">
        <f>SUM(DD884:DD886)</f>
        <v>-723.97302766438997</v>
      </c>
      <c r="DE887" s="295">
        <f>SUM(DE884:DE886)</f>
        <v>-807.45573973911166</v>
      </c>
      <c r="DF887" s="295">
        <f t="shared" si="2182"/>
        <v>-1531.4287674035018</v>
      </c>
      <c r="DG887" s="672">
        <f>+DF887/DB887-1</f>
        <v>4.0000000000000036E-2</v>
      </c>
      <c r="DH887" s="295">
        <f>SUM(DH884:DH886)</f>
        <v>-752.93194877096562</v>
      </c>
      <c r="DI887" s="295">
        <f>SUM(DI884:DI886)</f>
        <v>-839.75396932867625</v>
      </c>
      <c r="DJ887" s="295">
        <f t="shared" si="2185"/>
        <v>-1592.6859180996419</v>
      </c>
      <c r="DK887" s="672">
        <f>+DJ887/DF887-1</f>
        <v>4.0000000000000036E-2</v>
      </c>
      <c r="DL887" s="295">
        <f>SUM(DL884:DL886)</f>
        <v>-783.04922672180419</v>
      </c>
      <c r="DM887" s="295">
        <f>SUM(DM884:DM886)</f>
        <v>-873.34412810182334</v>
      </c>
      <c r="DN887" s="295">
        <f t="shared" si="2187"/>
        <v>-1656.3933548236275</v>
      </c>
      <c r="DO887" s="672">
        <f>+DN887/DJ887-1</f>
        <v>4.0000000000000036E-2</v>
      </c>
      <c r="DP887" s="295">
        <f>SUM(DP884:DP886)</f>
        <v>-814.37119579067644</v>
      </c>
      <c r="DQ887" s="295">
        <f>SUM(DQ884:DQ886)</f>
        <v>-908.27789322589615</v>
      </c>
      <c r="DR887" s="295">
        <f t="shared" si="2189"/>
        <v>-1722.6490890165726</v>
      </c>
      <c r="DS887" s="672">
        <f>+DR887/DN887-1</f>
        <v>4.0000000000000036E-2</v>
      </c>
      <c r="DT887" s="672"/>
      <c r="DU887" s="672"/>
      <c r="DV887" s="672"/>
      <c r="DW887" s="1199"/>
      <c r="DX887" s="295"/>
      <c r="DY887" s="295"/>
      <c r="DZ887" s="295"/>
      <c r="EA887" s="295"/>
      <c r="EB887" s="295"/>
      <c r="EC887" s="295"/>
      <c r="ED887" s="295"/>
      <c r="EE887" s="295"/>
      <c r="EF887" s="295"/>
      <c r="EG887" s="295"/>
      <c r="EH887" s="295"/>
      <c r="EI887" s="295"/>
      <c r="EJ887" s="295"/>
      <c r="EK887" s="295"/>
      <c r="EL887" s="295"/>
      <c r="EM887" s="295"/>
      <c r="EN887" s="295"/>
      <c r="EO887" s="295"/>
      <c r="EP887" s="295"/>
      <c r="EQ887" s="295"/>
      <c r="ER887" s="295"/>
      <c r="ES887" s="295"/>
      <c r="ET887" s="295"/>
      <c r="EU887" s="295"/>
      <c r="EV887" s="327"/>
      <c r="EW887" s="327"/>
      <c r="EX887" s="327"/>
      <c r="EY887" s="327"/>
      <c r="EZ887" s="327"/>
      <c r="FA887" s="327"/>
      <c r="FB887" s="327"/>
      <c r="FC887" s="327"/>
      <c r="FD887" s="327"/>
      <c r="FE887" s="327"/>
      <c r="FF887" s="327"/>
      <c r="FG887" s="327"/>
      <c r="FH887" s="327"/>
      <c r="FI887" s="327"/>
      <c r="FJ887" s="327"/>
      <c r="FK887" s="327"/>
      <c r="FL887" s="327"/>
      <c r="FM887" s="327"/>
      <c r="FN887" s="327"/>
      <c r="FO887" s="327"/>
      <c r="FP887" s="327"/>
      <c r="FQ887" s="327"/>
      <c r="FR887" s="327"/>
      <c r="FS887" s="327"/>
      <c r="FT887" s="327"/>
      <c r="FU887" s="327"/>
      <c r="FV887" s="327"/>
      <c r="FW887" s="327"/>
      <c r="FX887" s="327"/>
      <c r="FY887" s="327"/>
      <c r="FZ887" s="327"/>
      <c r="GA887" s="327"/>
      <c r="GB887" s="327"/>
      <c r="GC887" s="327"/>
      <c r="GD887" s="327"/>
      <c r="GE887" s="327"/>
      <c r="GF887" s="327"/>
      <c r="GG887" s="327"/>
      <c r="GH887" s="327"/>
      <c r="GI887" s="327"/>
      <c r="GJ887" s="327"/>
      <c r="GK887" s="327"/>
      <c r="GL887" s="327"/>
      <c r="GM887" s="327"/>
      <c r="GN887" s="327"/>
      <c r="GO887" s="327"/>
      <c r="GP887" s="327"/>
      <c r="GQ887" s="327"/>
      <c r="GR887" s="327"/>
      <c r="GS887" s="327"/>
      <c r="GT887" s="327"/>
      <c r="GU887" s="327"/>
      <c r="GV887" s="327"/>
      <c r="GW887" s="327"/>
      <c r="GX887" s="327"/>
      <c r="GY887" s="327"/>
      <c r="GZ887" s="327"/>
      <c r="HA887" s="327"/>
      <c r="HB887" s="327"/>
      <c r="HC887" s="327"/>
      <c r="HD887" s="327"/>
      <c r="HE887" s="327"/>
      <c r="HF887" s="327"/>
      <c r="HG887" s="327"/>
      <c r="HH887" s="327"/>
      <c r="HI887" s="327"/>
      <c r="HJ887" s="327"/>
      <c r="HK887" s="327"/>
      <c r="HL887" s="327"/>
      <c r="HM887" s="327"/>
      <c r="HN887" s="327"/>
      <c r="HO887" s="327"/>
      <c r="HP887" s="327"/>
      <c r="HQ887" s="327"/>
      <c r="HR887" s="327"/>
      <c r="HS887" s="327"/>
      <c r="HT887" s="327"/>
      <c r="HU887" s="327"/>
      <c r="HV887" s="327"/>
      <c r="HW887" s="327"/>
      <c r="HX887" s="327"/>
      <c r="HY887" s="327"/>
      <c r="HZ887" s="327"/>
      <c r="IA887" s="327"/>
      <c r="IB887" s="327"/>
      <c r="IC887" s="327"/>
      <c r="ID887" s="327"/>
      <c r="IE887" s="327"/>
      <c r="IF887" s="327"/>
      <c r="IG887" s="327"/>
      <c r="IH887" s="327"/>
      <c r="II887" s="327"/>
      <c r="IJ887" s="327"/>
      <c r="IK887" s="327"/>
      <c r="IL887" s="327"/>
      <c r="IM887" s="327"/>
      <c r="IN887" s="327"/>
      <c r="IO887" s="327"/>
      <c r="IP887" s="327"/>
      <c r="IQ887" s="327"/>
      <c r="IR887" s="327"/>
      <c r="IS887" s="327"/>
      <c r="IT887" s="327"/>
      <c r="IU887" s="327"/>
      <c r="IV887" s="327"/>
      <c r="IW887" s="327"/>
      <c r="IX887" s="327"/>
      <c r="IY887" s="327"/>
      <c r="IZ887" s="327"/>
      <c r="JA887" s="327"/>
      <c r="JB887" s="327"/>
      <c r="JC887" s="327"/>
      <c r="JD887" s="327"/>
      <c r="JE887" s="327"/>
      <c r="JF887" s="327"/>
      <c r="JG887" s="327"/>
      <c r="JH887" s="327"/>
      <c r="JI887" s="327"/>
      <c r="JJ887" s="327"/>
      <c r="JK887" s="327"/>
      <c r="JL887" s="327"/>
      <c r="JM887" s="327"/>
      <c r="JN887" s="327"/>
      <c r="JO887" s="327"/>
      <c r="JP887" s="327"/>
      <c r="JQ887" s="327"/>
      <c r="JR887" s="327"/>
      <c r="JS887" s="327"/>
      <c r="JT887" s="327"/>
      <c r="JU887" s="327"/>
      <c r="JV887" s="327"/>
      <c r="JW887"/>
    </row>
    <row r="888" spans="1:283" s="332" customFormat="1" hidden="1" outlineLevel="1">
      <c r="A888" s="332" t="s">
        <v>572</v>
      </c>
      <c r="AN888" s="1265">
        <v>115</v>
      </c>
      <c r="AO888" s="1265">
        <v>72</v>
      </c>
      <c r="AP888" s="1265">
        <v>187</v>
      </c>
      <c r="AQ888" s="1265"/>
      <c r="AR888" s="1265">
        <v>284</v>
      </c>
      <c r="AS888" s="1265">
        <v>224</v>
      </c>
      <c r="AT888" s="1265">
        <v>508</v>
      </c>
      <c r="AU888" s="1265"/>
      <c r="AV888" s="1265">
        <v>368</v>
      </c>
      <c r="AW888" s="1265">
        <v>459</v>
      </c>
      <c r="AX888" s="1265">
        <v>827</v>
      </c>
      <c r="AY888" s="1265" t="s">
        <v>671</v>
      </c>
      <c r="AZ888" s="1265">
        <v>167</v>
      </c>
      <c r="BA888" s="1265">
        <v>408</v>
      </c>
      <c r="BB888" s="1265">
        <v>575</v>
      </c>
      <c r="BC888" s="1265"/>
      <c r="BD888" s="1265">
        <v>5.5</v>
      </c>
      <c r="BE888" s="1265">
        <v>533</v>
      </c>
      <c r="BF888" s="1265">
        <v>538.5</v>
      </c>
      <c r="BG888" s="1265"/>
      <c r="BH888" s="1265">
        <v>219</v>
      </c>
      <c r="BI888" s="1265">
        <v>344</v>
      </c>
      <c r="BJ888" s="1265">
        <v>563</v>
      </c>
      <c r="BK888" s="1262"/>
      <c r="BL888" s="1265">
        <v>203</v>
      </c>
      <c r="BM888" s="1265">
        <v>523</v>
      </c>
      <c r="BN888" s="1265">
        <v>726</v>
      </c>
      <c r="BO888" s="1262"/>
      <c r="BP888" s="1265">
        <v>250</v>
      </c>
      <c r="BQ888" s="1265">
        <v>585</v>
      </c>
      <c r="BR888" s="1265">
        <v>835</v>
      </c>
      <c r="BS888" s="1262"/>
      <c r="BT888" s="1265">
        <v>282</v>
      </c>
      <c r="BU888" s="1265">
        <v>294</v>
      </c>
      <c r="BV888" s="1265">
        <v>576</v>
      </c>
      <c r="BW888" s="295"/>
      <c r="BX888" s="295">
        <f>BX882+BX887</f>
        <v>473</v>
      </c>
      <c r="BY888" s="295">
        <f>BY882+BY887</f>
        <v>294</v>
      </c>
      <c r="BZ888" s="295">
        <f t="shared" si="2166"/>
        <v>767</v>
      </c>
      <c r="CA888" s="295"/>
      <c r="CB888" s="295">
        <f>CB882+CB887</f>
        <v>246.08560206993741</v>
      </c>
      <c r="CC888" s="295">
        <f>CC882+CC887</f>
        <v>341.50508099098477</v>
      </c>
      <c r="CD888" s="295">
        <f t="shared" si="2168"/>
        <v>587.59068306092217</v>
      </c>
      <c r="CE888" s="295"/>
      <c r="CF888" s="295">
        <f>CF882+CF887</f>
        <v>251.25297934751029</v>
      </c>
      <c r="CG888" s="295">
        <f>CG882+CG887</f>
        <v>357.70107910205388</v>
      </c>
      <c r="CH888" s="295">
        <f t="shared" si="2170"/>
        <v>608.95405844956417</v>
      </c>
      <c r="CI888" s="295"/>
      <c r="CJ888" s="295">
        <f>CJ882+CJ887</f>
        <v>259.48508388604603</v>
      </c>
      <c r="CK888" s="295">
        <f>CK882+CK887</f>
        <v>374.82251538557443</v>
      </c>
      <c r="CL888" s="295">
        <f t="shared" si="2172"/>
        <v>634.30759927162046</v>
      </c>
      <c r="CM888" s="295"/>
      <c r="CN888" s="295">
        <f>CN882+CN887</f>
        <v>269.03435020556788</v>
      </c>
      <c r="CO888" s="295">
        <f>CO882+CO887</f>
        <v>393.2438917991982</v>
      </c>
      <c r="CP888" s="295">
        <f t="shared" si="2174"/>
        <v>662.27824200476607</v>
      </c>
      <c r="CQ888" s="295"/>
      <c r="CR888" s="295">
        <f>CR882+CR887</f>
        <v>283.30435497065309</v>
      </c>
      <c r="CS888" s="295">
        <f>CS882+CS887</f>
        <v>412.23048596003855</v>
      </c>
      <c r="CT888" s="295">
        <f t="shared" si="2176"/>
        <v>695.53484093069164</v>
      </c>
      <c r="CU888" s="295"/>
      <c r="CV888" s="295">
        <f>CV882+CV887</f>
        <v>297.60750422876447</v>
      </c>
      <c r="CW888" s="295">
        <f>CW882+CW887</f>
        <v>432.85070710282412</v>
      </c>
      <c r="CX888" s="295">
        <f t="shared" si="2178"/>
        <v>730.45821133158859</v>
      </c>
      <c r="CY888" s="295"/>
      <c r="CZ888" s="295">
        <f>CZ882+CZ887</f>
        <v>313.51744753892297</v>
      </c>
      <c r="DA888" s="295">
        <f>DA882+DA887</f>
        <v>454.41934280860835</v>
      </c>
      <c r="DB888" s="295">
        <f t="shared" si="2180"/>
        <v>767.93679034753131</v>
      </c>
      <c r="DC888" s="295"/>
      <c r="DD888" s="295">
        <f>DD882+DD887</f>
        <v>331.38125711834959</v>
      </c>
      <c r="DE888" s="295">
        <f>DE882+DE887</f>
        <v>477.2782702431108</v>
      </c>
      <c r="DF888" s="295">
        <f t="shared" si="2182"/>
        <v>808.65952736146039</v>
      </c>
      <c r="DG888" s="295"/>
      <c r="DH888" s="295">
        <f>DH882+DH887</f>
        <v>350.30902289591313</v>
      </c>
      <c r="DI888" s="295">
        <f>DI882+DI887</f>
        <v>501.45942047502149</v>
      </c>
      <c r="DJ888" s="295">
        <f t="shared" si="2185"/>
        <v>851.76844337093462</v>
      </c>
      <c r="DK888" s="295"/>
      <c r="DL888" s="295">
        <f>DL882+DL887</f>
        <v>370.98963709653754</v>
      </c>
      <c r="DM888" s="295">
        <f>DM882+DM887</f>
        <v>527.03187712506019</v>
      </c>
      <c r="DN888" s="295">
        <f t="shared" si="2187"/>
        <v>898.02151422159773</v>
      </c>
      <c r="DO888" s="295"/>
      <c r="DP888" s="295">
        <f>DP882+DP887</f>
        <v>392.85287283528919</v>
      </c>
      <c r="DQ888" s="295">
        <f>DQ882+DQ887</f>
        <v>554.08123093966151</v>
      </c>
      <c r="DR888" s="295">
        <f t="shared" si="2189"/>
        <v>946.9341037749507</v>
      </c>
      <c r="DS888" s="295"/>
      <c r="DT888" s="295"/>
      <c r="DU888" s="295"/>
      <c r="DV888" s="295"/>
      <c r="DW888" s="1199"/>
      <c r="DX888" s="295"/>
      <c r="DY888" s="295"/>
      <c r="DZ888" s="295"/>
      <c r="EA888" s="295"/>
      <c r="EB888" s="295"/>
      <c r="EC888" s="295"/>
      <c r="ED888" s="295"/>
      <c r="EE888" s="295"/>
      <c r="EF888" s="295"/>
      <c r="EG888" s="295"/>
      <c r="EH888" s="295"/>
      <c r="EI888" s="295"/>
      <c r="EJ888" s="295"/>
      <c r="EK888" s="295"/>
      <c r="EL888" s="295"/>
      <c r="EM888" s="295"/>
      <c r="EN888" s="295"/>
      <c r="EO888" s="295"/>
      <c r="EP888" s="295"/>
      <c r="EQ888" s="295"/>
      <c r="ER888" s="295"/>
      <c r="ES888" s="295"/>
      <c r="ET888" s="295"/>
      <c r="EU888" s="295"/>
      <c r="EV888" s="327"/>
      <c r="EW888" s="327"/>
      <c r="EX888" s="327"/>
      <c r="EY888" s="327"/>
      <c r="EZ888" s="327"/>
      <c r="FA888" s="327"/>
      <c r="FB888" s="327"/>
      <c r="FC888" s="327"/>
      <c r="FD888" s="327"/>
      <c r="FE888" s="327"/>
      <c r="FF888" s="327"/>
      <c r="FG888" s="327"/>
      <c r="FH888" s="327"/>
      <c r="FI888" s="327"/>
      <c r="FJ888" s="327"/>
      <c r="FK888" s="327"/>
      <c r="FL888" s="327"/>
      <c r="FM888" s="327"/>
      <c r="FN888" s="327"/>
      <c r="FO888" s="327"/>
      <c r="FP888" s="327"/>
      <c r="FQ888" s="327"/>
      <c r="FR888" s="327"/>
      <c r="FS888" s="327"/>
      <c r="FT888" s="327"/>
      <c r="FU888" s="327"/>
      <c r="FV888" s="327"/>
      <c r="FW888" s="327"/>
      <c r="FX888" s="327"/>
      <c r="FY888" s="327"/>
      <c r="FZ888" s="327"/>
      <c r="GA888" s="327"/>
      <c r="GB888" s="327"/>
      <c r="GC888" s="327"/>
      <c r="GD888" s="327"/>
      <c r="GE888" s="327"/>
      <c r="GF888" s="327"/>
      <c r="GG888" s="327"/>
      <c r="GH888" s="327"/>
      <c r="GI888" s="327"/>
      <c r="GJ888" s="327"/>
      <c r="GK888" s="327"/>
      <c r="GL888" s="327"/>
      <c r="GM888" s="327"/>
      <c r="GN888" s="327"/>
      <c r="GO888" s="327"/>
      <c r="GP888" s="327"/>
      <c r="GQ888" s="327"/>
      <c r="GR888" s="327"/>
      <c r="GS888" s="327"/>
      <c r="GT888" s="327"/>
      <c r="GU888" s="327"/>
      <c r="GV888" s="327"/>
      <c r="GW888" s="327"/>
      <c r="GX888" s="327"/>
      <c r="GY888" s="327"/>
      <c r="GZ888" s="327"/>
      <c r="HA888" s="327"/>
      <c r="HB888" s="327"/>
      <c r="HC888" s="327"/>
      <c r="HD888" s="327"/>
      <c r="HE888" s="327"/>
      <c r="HF888" s="327"/>
      <c r="HG888" s="327"/>
      <c r="HH888" s="327"/>
      <c r="HI888" s="327"/>
      <c r="HJ888" s="327"/>
      <c r="HK888" s="327"/>
      <c r="HL888" s="327"/>
      <c r="HM888" s="327"/>
      <c r="HN888" s="327"/>
      <c r="HO888" s="327"/>
      <c r="HP888" s="327"/>
      <c r="HQ888" s="327"/>
      <c r="HR888" s="327"/>
      <c r="HS888" s="327"/>
      <c r="HT888" s="327"/>
      <c r="HU888" s="327"/>
      <c r="HV888" s="327"/>
      <c r="HW888" s="327"/>
      <c r="HX888" s="327"/>
      <c r="HY888" s="327"/>
      <c r="HZ888" s="327"/>
      <c r="IA888" s="327"/>
      <c r="IB888" s="327"/>
      <c r="IC888" s="327"/>
      <c r="ID888" s="327"/>
      <c r="IE888" s="327"/>
      <c r="IF888" s="327"/>
      <c r="IG888" s="327"/>
      <c r="IH888" s="327"/>
      <c r="II888" s="327"/>
      <c r="IJ888" s="327"/>
      <c r="IK888" s="327"/>
      <c r="IL888" s="327"/>
      <c r="IM888" s="327"/>
      <c r="IN888" s="327"/>
      <c r="IO888" s="327"/>
      <c r="IP888" s="327"/>
      <c r="IQ888" s="327"/>
      <c r="IR888" s="327"/>
      <c r="IS888" s="327"/>
      <c r="IT888" s="327"/>
      <c r="IU888" s="327"/>
      <c r="IV888" s="327"/>
      <c r="IW888" s="327"/>
      <c r="IX888" s="327"/>
      <c r="IY888" s="327"/>
      <c r="IZ888" s="327"/>
      <c r="JA888" s="327"/>
      <c r="JB888" s="327"/>
      <c r="JC888" s="327"/>
      <c r="JD888" s="327"/>
      <c r="JE888" s="327"/>
      <c r="JF888" s="327"/>
      <c r="JG888" s="327"/>
      <c r="JH888" s="327"/>
      <c r="JI888" s="327"/>
      <c r="JJ888" s="327"/>
      <c r="JK888" s="327"/>
      <c r="JL888" s="327"/>
      <c r="JM888" s="327"/>
      <c r="JN888" s="327"/>
      <c r="JO888" s="327"/>
      <c r="JP888" s="327"/>
      <c r="JQ888" s="327"/>
      <c r="JR888" s="327"/>
      <c r="JS888" s="327"/>
      <c r="JT888" s="327"/>
      <c r="JU888" s="327"/>
      <c r="JV888" s="327"/>
      <c r="JW888"/>
    </row>
    <row r="889" spans="1:283" s="332" customFormat="1" hidden="1" outlineLevel="1">
      <c r="A889" s="332" t="s">
        <v>664</v>
      </c>
      <c r="AN889" s="1262"/>
      <c r="AO889" s="1262"/>
      <c r="AP889" s="1262"/>
      <c r="AQ889" s="1262"/>
      <c r="AR889" s="1262">
        <v>0</v>
      </c>
      <c r="AS889" s="1262">
        <v>0</v>
      </c>
      <c r="AT889" s="1262">
        <v>0</v>
      </c>
      <c r="AU889" s="1262"/>
      <c r="AV889" s="1262">
        <v>0</v>
      </c>
      <c r="AW889" s="1262">
        <v>0</v>
      </c>
      <c r="AX889" s="1262">
        <v>0</v>
      </c>
      <c r="AY889" s="1262"/>
      <c r="AZ889" s="1262">
        <v>0</v>
      </c>
      <c r="BA889" s="1262">
        <v>0</v>
      </c>
      <c r="BB889" s="1262">
        <v>0</v>
      </c>
      <c r="BC889" s="1262"/>
      <c r="BD889" s="1262">
        <v>0</v>
      </c>
      <c r="BE889" s="1262">
        <v>0</v>
      </c>
      <c r="BF889" s="1262">
        <v>0</v>
      </c>
      <c r="BG889" s="1262"/>
      <c r="BH889" s="1262">
        <v>0</v>
      </c>
      <c r="BI889" s="1262">
        <v>0</v>
      </c>
      <c r="BJ889" s="1262">
        <v>0</v>
      </c>
      <c r="BK889" s="1262"/>
      <c r="BL889" s="1262">
        <v>0</v>
      </c>
      <c r="BM889" s="1262">
        <v>0</v>
      </c>
      <c r="BN889" s="1262">
        <v>0</v>
      </c>
      <c r="BO889" s="1262"/>
      <c r="BP889" s="1262">
        <v>0</v>
      </c>
      <c r="BQ889" s="1262">
        <v>0</v>
      </c>
      <c r="BR889" s="1262">
        <v>0</v>
      </c>
      <c r="BS889" s="1262"/>
      <c r="BT889" s="1262">
        <v>0</v>
      </c>
      <c r="BU889" s="1262">
        <v>0</v>
      </c>
      <c r="BV889" s="1262">
        <v>0</v>
      </c>
      <c r="BW889" s="293"/>
      <c r="BX889" s="626">
        <v>-1</v>
      </c>
      <c r="BY889" s="626">
        <v>0</v>
      </c>
      <c r="BZ889" s="293">
        <f t="shared" si="2166"/>
        <v>-1</v>
      </c>
      <c r="CA889" s="293"/>
      <c r="CB889" s="841">
        <f>'P&amp;L'!CB1841</f>
        <v>0</v>
      </c>
      <c r="CC889" s="841">
        <f>'P&amp;L'!CC1841</f>
        <v>0</v>
      </c>
      <c r="CD889" s="293">
        <f t="shared" si="2168"/>
        <v>0</v>
      </c>
      <c r="CE889" s="293"/>
      <c r="CF889" s="841">
        <f>'P&amp;L'!CF1841</f>
        <v>0</v>
      </c>
      <c r="CG889" s="841">
        <f>'P&amp;L'!CG1841</f>
        <v>0</v>
      </c>
      <c r="CH889" s="293">
        <f t="shared" si="2170"/>
        <v>0</v>
      </c>
      <c r="CI889" s="293"/>
      <c r="CJ889" s="841">
        <f>'P&amp;L'!CJ1841</f>
        <v>0</v>
      </c>
      <c r="CK889" s="841">
        <f>'P&amp;L'!CK1841</f>
        <v>0</v>
      </c>
      <c r="CL889" s="293">
        <f t="shared" si="2172"/>
        <v>0</v>
      </c>
      <c r="CM889" s="293"/>
      <c r="CN889" s="841">
        <f>'P&amp;L'!CN1841</f>
        <v>0</v>
      </c>
      <c r="CO889" s="841">
        <f>'P&amp;L'!CO1841</f>
        <v>0</v>
      </c>
      <c r="CP889" s="293">
        <f t="shared" si="2174"/>
        <v>0</v>
      </c>
      <c r="CQ889" s="293"/>
      <c r="CR889" s="841">
        <f>'P&amp;L'!CR1841</f>
        <v>0</v>
      </c>
      <c r="CS889" s="841">
        <f>'P&amp;L'!CS1841</f>
        <v>0</v>
      </c>
      <c r="CT889" s="293">
        <f t="shared" si="2176"/>
        <v>0</v>
      </c>
      <c r="CU889" s="293"/>
      <c r="CV889" s="841">
        <f>'P&amp;L'!CV1841</f>
        <v>0</v>
      </c>
      <c r="CW889" s="841">
        <f>'P&amp;L'!CW1841</f>
        <v>0</v>
      </c>
      <c r="CX889" s="293">
        <f t="shared" si="2178"/>
        <v>0</v>
      </c>
      <c r="CY889" s="293"/>
      <c r="CZ889" s="841">
        <f>'P&amp;L'!CZ1841</f>
        <v>0</v>
      </c>
      <c r="DA889" s="841">
        <f>'P&amp;L'!DA1841</f>
        <v>0</v>
      </c>
      <c r="DB889" s="293">
        <f t="shared" si="2180"/>
        <v>0</v>
      </c>
      <c r="DC889" s="293"/>
      <c r="DD889" s="841">
        <f>'P&amp;L'!DD1841</f>
        <v>0</v>
      </c>
      <c r="DE889" s="841">
        <f>'P&amp;L'!DE1841</f>
        <v>0</v>
      </c>
      <c r="DF889" s="293">
        <f t="shared" si="2182"/>
        <v>0</v>
      </c>
      <c r="DG889" s="293"/>
      <c r="DH889" s="841">
        <f>'P&amp;L'!DH1841</f>
        <v>0</v>
      </c>
      <c r="DI889" s="841">
        <f>'P&amp;L'!DI1841</f>
        <v>0</v>
      </c>
      <c r="DJ889" s="293">
        <f t="shared" si="2185"/>
        <v>0</v>
      </c>
      <c r="DK889" s="293"/>
      <c r="DL889" s="841">
        <f>'P&amp;L'!DL1841</f>
        <v>0</v>
      </c>
      <c r="DM889" s="841">
        <f>'P&amp;L'!DM1841</f>
        <v>0</v>
      </c>
      <c r="DN889" s="293">
        <f t="shared" si="2187"/>
        <v>0</v>
      </c>
      <c r="DO889" s="293"/>
      <c r="DP889" s="841">
        <f>'P&amp;L'!DP1841</f>
        <v>0</v>
      </c>
      <c r="DQ889" s="841">
        <f>'P&amp;L'!DQ1841</f>
        <v>0</v>
      </c>
      <c r="DR889" s="293">
        <f t="shared" si="2189"/>
        <v>0</v>
      </c>
      <c r="DS889" s="293"/>
      <c r="DT889" s="293"/>
      <c r="DU889" s="293"/>
      <c r="DV889" s="293"/>
      <c r="DW889" s="1198" t="s">
        <v>174</v>
      </c>
      <c r="DX889" s="293"/>
      <c r="DY889" s="293"/>
      <c r="DZ889" s="293"/>
      <c r="EA889" s="293"/>
      <c r="EB889" s="293"/>
      <c r="EC889" s="293"/>
      <c r="ED889" s="293"/>
      <c r="EE889" s="293"/>
      <c r="EF889" s="293"/>
      <c r="EG889" s="293"/>
      <c r="EH889" s="293"/>
      <c r="EI889" s="293"/>
      <c r="EJ889" s="293"/>
      <c r="EK889" s="293"/>
      <c r="EL889" s="293"/>
      <c r="EM889" s="293"/>
      <c r="EN889" s="293"/>
      <c r="EO889" s="293"/>
      <c r="EP889" s="293"/>
      <c r="EQ889" s="293"/>
      <c r="ER889" s="293"/>
      <c r="ES889" s="293"/>
      <c r="ET889" s="293"/>
      <c r="EU889" s="293"/>
      <c r="JW889"/>
    </row>
    <row r="890" spans="1:283" s="1203" customFormat="1" hidden="1" outlineLevel="1">
      <c r="A890" s="1203" t="s">
        <v>653</v>
      </c>
      <c r="AN890" s="1267">
        <v>115</v>
      </c>
      <c r="AO890" s="1267">
        <v>72</v>
      </c>
      <c r="AP890" s="1267">
        <v>187</v>
      </c>
      <c r="AQ890" s="1267"/>
      <c r="AR890" s="1267">
        <v>284</v>
      </c>
      <c r="AS890" s="1267">
        <v>224</v>
      </c>
      <c r="AT890" s="1267">
        <v>508</v>
      </c>
      <c r="AU890" s="1267"/>
      <c r="AV890" s="1267">
        <v>368</v>
      </c>
      <c r="AW890" s="1267">
        <v>459</v>
      </c>
      <c r="AX890" s="1267">
        <v>827</v>
      </c>
      <c r="AY890" s="1268">
        <v>0.62795275590551181</v>
      </c>
      <c r="AZ890" s="1267">
        <v>167</v>
      </c>
      <c r="BA890" s="1267">
        <v>408</v>
      </c>
      <c r="BB890" s="1267">
        <v>575</v>
      </c>
      <c r="BC890" s="1268">
        <v>-0.30471584038694077</v>
      </c>
      <c r="BD890" s="1267">
        <v>5.5</v>
      </c>
      <c r="BE890" s="1267">
        <v>533</v>
      </c>
      <c r="BF890" s="1267">
        <v>538.5</v>
      </c>
      <c r="BG890" s="1268">
        <v>-6.3478260869565206E-2</v>
      </c>
      <c r="BH890" s="1267">
        <v>219</v>
      </c>
      <c r="BI890" s="1267">
        <v>344</v>
      </c>
      <c r="BJ890" s="1267">
        <v>563</v>
      </c>
      <c r="BK890" s="1268">
        <v>4.5496750232126182E-2</v>
      </c>
      <c r="BL890" s="1267">
        <v>203</v>
      </c>
      <c r="BM890" s="1267">
        <v>523</v>
      </c>
      <c r="BN890" s="1267">
        <v>726</v>
      </c>
      <c r="BO890" s="1268">
        <v>0.28952042628774421</v>
      </c>
      <c r="BP890" s="1267">
        <v>250</v>
      </c>
      <c r="BQ890" s="1267">
        <v>585</v>
      </c>
      <c r="BR890" s="1267">
        <v>835</v>
      </c>
      <c r="BS890" s="1268">
        <v>0.15013774104683186</v>
      </c>
      <c r="BT890" s="1267">
        <v>282</v>
      </c>
      <c r="BU890" s="1267">
        <v>294</v>
      </c>
      <c r="BV890" s="1267">
        <v>576</v>
      </c>
      <c r="BW890" s="1226">
        <f>+BV890/BR890-1</f>
        <v>-0.31017964071856285</v>
      </c>
      <c r="BX890" s="695">
        <f>SUM(BX888:BX889)</f>
        <v>472</v>
      </c>
      <c r="BY890" s="695">
        <f>SUM(BY888:BY889)</f>
        <v>294</v>
      </c>
      <c r="BZ890" s="695">
        <f t="shared" si="2166"/>
        <v>766</v>
      </c>
      <c r="CA890" s="1226">
        <f>+BZ890/BV890-1</f>
        <v>0.32986111111111116</v>
      </c>
      <c r="CB890" s="695">
        <f>SUM(CB888:CB889)</f>
        <v>246.08560206993741</v>
      </c>
      <c r="CC890" s="695">
        <f>SUM(CC888:CC889)</f>
        <v>341.50508099098477</v>
      </c>
      <c r="CD890" s="695">
        <f t="shared" si="2168"/>
        <v>587.59068306092217</v>
      </c>
      <c r="CE890" s="1226">
        <f>+CD890/BZ890-1</f>
        <v>-0.23291033542960549</v>
      </c>
      <c r="CF890" s="695">
        <f>SUM(CF888:CF889)</f>
        <v>251.25297934751029</v>
      </c>
      <c r="CG890" s="695">
        <f>SUM(CG888:CG889)</f>
        <v>357.70107910205388</v>
      </c>
      <c r="CH890" s="695">
        <f t="shared" si="2170"/>
        <v>608.95405844956417</v>
      </c>
      <c r="CI890" s="1226">
        <f>+CH890/CD890-1</f>
        <v>3.6357580207627249E-2</v>
      </c>
      <c r="CJ890" s="695">
        <f>SUM(CJ888:CJ889)</f>
        <v>259.48508388604603</v>
      </c>
      <c r="CK890" s="695">
        <f>SUM(CK888:CK889)</f>
        <v>374.82251538557443</v>
      </c>
      <c r="CL890" s="695">
        <f t="shared" si="2172"/>
        <v>634.30759927162046</v>
      </c>
      <c r="CM890" s="1226">
        <f>+CL890/CH890-1</f>
        <v>4.1634570736925669E-2</v>
      </c>
      <c r="CN890" s="695">
        <f>SUM(CN888:CN889)</f>
        <v>269.03435020556788</v>
      </c>
      <c r="CO890" s="695">
        <f>SUM(CO888:CO889)</f>
        <v>393.2438917991982</v>
      </c>
      <c r="CP890" s="695">
        <f t="shared" si="2174"/>
        <v>662.27824200476607</v>
      </c>
      <c r="CQ890" s="1226">
        <f>+CP890/CL890-1</f>
        <v>4.4096338693190074E-2</v>
      </c>
      <c r="CR890" s="695">
        <f>SUM(CR888:CR889)</f>
        <v>283.30435497065309</v>
      </c>
      <c r="CS890" s="695">
        <f>SUM(CS888:CS889)</f>
        <v>412.23048596003855</v>
      </c>
      <c r="CT890" s="695">
        <f t="shared" si="2176"/>
        <v>695.53484093069164</v>
      </c>
      <c r="CU890" s="1226">
        <f>+CT890/CP890-1</f>
        <v>5.0215448457517464E-2</v>
      </c>
      <c r="CV890" s="695">
        <f>SUM(CV888:CV889)</f>
        <v>297.60750422876447</v>
      </c>
      <c r="CW890" s="695">
        <f>SUM(CW888:CW889)</f>
        <v>432.85070710282412</v>
      </c>
      <c r="CX890" s="695">
        <f t="shared" si="2178"/>
        <v>730.45821133158859</v>
      </c>
      <c r="CY890" s="1226">
        <f>+CX890/CT890-1</f>
        <v>5.0210813816553346E-2</v>
      </c>
      <c r="CZ890" s="695">
        <f>SUM(CZ888:CZ889)</f>
        <v>313.51744753892297</v>
      </c>
      <c r="DA890" s="695">
        <f>SUM(DA888:DA889)</f>
        <v>454.41934280860835</v>
      </c>
      <c r="DB890" s="695">
        <f t="shared" si="2180"/>
        <v>767.93679034753131</v>
      </c>
      <c r="DC890" s="1226">
        <f>+DB890/CX890-1</f>
        <v>5.1308313650990645E-2</v>
      </c>
      <c r="DD890" s="695">
        <f>SUM(DD888:DD889)</f>
        <v>331.38125711834959</v>
      </c>
      <c r="DE890" s="695">
        <f>SUM(DE888:DE889)</f>
        <v>477.2782702431108</v>
      </c>
      <c r="DF890" s="695">
        <f t="shared" si="2182"/>
        <v>808.65952736146039</v>
      </c>
      <c r="DG890" s="1226">
        <f>+DF890/DB890-1</f>
        <v>5.3028761645212974E-2</v>
      </c>
      <c r="DH890" s="695">
        <f>SUM(DH888:DH889)</f>
        <v>350.30902289591313</v>
      </c>
      <c r="DI890" s="695">
        <f>SUM(DI888:DI889)</f>
        <v>501.45942047502149</v>
      </c>
      <c r="DJ890" s="695">
        <f t="shared" si="2185"/>
        <v>851.76844337093462</v>
      </c>
      <c r="DK890" s="1226">
        <f>+DJ890/DF890-1</f>
        <v>5.3309105440372928E-2</v>
      </c>
      <c r="DL890" s="695">
        <f>SUM(DL888:DL889)</f>
        <v>370.98963709653754</v>
      </c>
      <c r="DM890" s="695">
        <f>SUM(DM888:DM889)</f>
        <v>527.03187712506019</v>
      </c>
      <c r="DN890" s="695">
        <f t="shared" si="2187"/>
        <v>898.02151422159773</v>
      </c>
      <c r="DO890" s="1226">
        <f>+DN890/DJ890-1</f>
        <v>5.4302400154217167E-2</v>
      </c>
      <c r="DP890" s="695">
        <f>SUM(DP888:DP889)</f>
        <v>392.85287283528919</v>
      </c>
      <c r="DQ890" s="695">
        <f>SUM(DQ888:DQ889)</f>
        <v>554.08123093966151</v>
      </c>
      <c r="DR890" s="695">
        <f t="shared" si="2189"/>
        <v>946.9341037749507</v>
      </c>
      <c r="DS890" s="1226">
        <f>+DR890/DN890-1</f>
        <v>5.4467057613592162E-2</v>
      </c>
      <c r="DT890" s="1226"/>
      <c r="DU890" s="1226"/>
      <c r="DV890" s="1226"/>
      <c r="DW890" s="1205"/>
      <c r="DX890" s="695"/>
      <c r="DY890" s="695"/>
      <c r="DZ890" s="695"/>
      <c r="EA890" s="695"/>
      <c r="EB890" s="695"/>
      <c r="EC890" s="695"/>
      <c r="ED890" s="695"/>
      <c r="EE890" s="695"/>
      <c r="EF890" s="695"/>
      <c r="EG890" s="695"/>
      <c r="EH890" s="695"/>
      <c r="EI890" s="695"/>
      <c r="EJ890" s="695"/>
      <c r="EK890" s="695"/>
      <c r="EL890" s="695"/>
      <c r="EM890" s="695"/>
      <c r="EN890" s="695"/>
      <c r="EO890" s="695"/>
      <c r="EP890" s="695"/>
      <c r="EQ890" s="695"/>
      <c r="ER890" s="695"/>
      <c r="ES890" s="695"/>
      <c r="ET890" s="695"/>
      <c r="EU890" s="695"/>
      <c r="JW890"/>
    </row>
    <row r="891" spans="1:283" s="327" customFormat="1" hidden="1" outlineLevel="1">
      <c r="A891" s="327" t="s">
        <v>844</v>
      </c>
      <c r="AN891" s="1265"/>
      <c r="AO891" s="1265"/>
      <c r="AP891" s="1265"/>
      <c r="AQ891" s="1265"/>
      <c r="AR891" s="1265">
        <v>236</v>
      </c>
      <c r="AS891" s="1265">
        <v>463</v>
      </c>
      <c r="AT891" s="1265">
        <v>699</v>
      </c>
      <c r="AU891" s="1265"/>
      <c r="AV891" s="1265">
        <v>382</v>
      </c>
      <c r="AW891" s="1265">
        <v>408</v>
      </c>
      <c r="AX891" s="1265">
        <v>790</v>
      </c>
      <c r="AY891" s="1269">
        <v>0.13018597997138759</v>
      </c>
      <c r="AZ891" s="1265">
        <v>75</v>
      </c>
      <c r="BA891" s="1265">
        <v>250</v>
      </c>
      <c r="BB891" s="1265">
        <v>325</v>
      </c>
      <c r="BC891" s="1269">
        <v>-0.58860759493670889</v>
      </c>
      <c r="BD891" s="1265">
        <v>-26.5</v>
      </c>
      <c r="BE891" s="1265">
        <v>267</v>
      </c>
      <c r="BF891" s="1265">
        <v>240.5</v>
      </c>
      <c r="BG891" s="1269">
        <v>-0.26</v>
      </c>
      <c r="BH891" s="1265">
        <v>278</v>
      </c>
      <c r="BI891" s="1265">
        <v>372</v>
      </c>
      <c r="BJ891" s="1265">
        <v>650</v>
      </c>
      <c r="BK891" s="1269">
        <v>1.7027027027027026</v>
      </c>
      <c r="BL891" s="1265">
        <v>267</v>
      </c>
      <c r="BM891" s="1265">
        <v>535</v>
      </c>
      <c r="BN891" s="1265">
        <v>802</v>
      </c>
      <c r="BO891" s="1269">
        <v>0.23384615384615381</v>
      </c>
      <c r="BP891" s="1265">
        <v>290</v>
      </c>
      <c r="BQ891" s="1265">
        <v>814</v>
      </c>
      <c r="BR891" s="1265">
        <v>1104</v>
      </c>
      <c r="BS891" s="1269">
        <v>0.37655860349127179</v>
      </c>
      <c r="BT891" s="1265">
        <v>413</v>
      </c>
      <c r="BU891" s="1265">
        <v>445</v>
      </c>
      <c r="BV891" s="1265">
        <v>858</v>
      </c>
      <c r="BW891" s="1227">
        <f>+BV891/BR891-1</f>
        <v>-0.22282608695652173</v>
      </c>
      <c r="BX891" s="295">
        <f>BX890-BX880</f>
        <v>374</v>
      </c>
      <c r="BY891" s="295">
        <f>BY890-BY880</f>
        <v>445</v>
      </c>
      <c r="BZ891" s="295">
        <f>BZ890-BZ880</f>
        <v>819</v>
      </c>
      <c r="CA891" s="1227">
        <f>+BZ891/BV891-1</f>
        <v>-4.5454545454545414E-2</v>
      </c>
      <c r="CB891" s="295">
        <f>CB890-CB880</f>
        <v>246.08560206993741</v>
      </c>
      <c r="CC891" s="295">
        <f>CC890-CC880</f>
        <v>341.50508099098477</v>
      </c>
      <c r="CD891" s="295">
        <f>CD890-CD880</f>
        <v>587.59068306092217</v>
      </c>
      <c r="CE891" s="1227">
        <f>+CD891/BZ891-1</f>
        <v>-0.28255105853367257</v>
      </c>
      <c r="CF891" s="295">
        <f>CF890-CF880</f>
        <v>251.25297934751029</v>
      </c>
      <c r="CG891" s="295">
        <f>CG890-CG880</f>
        <v>357.70107910205388</v>
      </c>
      <c r="CH891" s="295">
        <f>CH890-CH880</f>
        <v>608.95405844956417</v>
      </c>
      <c r="CI891" s="1227">
        <f>+CH891/CD891-1</f>
        <v>3.6357580207627249E-2</v>
      </c>
      <c r="CJ891" s="295">
        <f>CJ890-CJ880</f>
        <v>259.48508388604603</v>
      </c>
      <c r="CK891" s="295">
        <f>CK890-CK880</f>
        <v>374.82251538557443</v>
      </c>
      <c r="CL891" s="295">
        <f>CL890-CL880</f>
        <v>634.30759927162046</v>
      </c>
      <c r="CM891" s="1227">
        <f>+CL891/CH891-1</f>
        <v>4.1634570736925669E-2</v>
      </c>
      <c r="CN891" s="295">
        <f>CN890-CN880</f>
        <v>269.03435020556788</v>
      </c>
      <c r="CO891" s="295">
        <f>CO890-CO880</f>
        <v>393.2438917991982</v>
      </c>
      <c r="CP891" s="295">
        <f>CP890-CP880</f>
        <v>662.27824200476607</v>
      </c>
      <c r="CQ891" s="1227">
        <f>+CP891/CL891-1</f>
        <v>4.4096338693190074E-2</v>
      </c>
      <c r="CR891" s="295">
        <f>CR890-CR880</f>
        <v>283.30435497065309</v>
      </c>
      <c r="CS891" s="295">
        <f>CS890-CS880</f>
        <v>412.23048596003855</v>
      </c>
      <c r="CT891" s="295">
        <f>CT890-CT880</f>
        <v>695.53484093069164</v>
      </c>
      <c r="CU891" s="1227">
        <f>+CT891/CP891-1</f>
        <v>5.0215448457517464E-2</v>
      </c>
      <c r="CV891" s="295">
        <f>CV890-CV880</f>
        <v>297.60750422876447</v>
      </c>
      <c r="CW891" s="295">
        <f>CW890-CW880</f>
        <v>432.85070710282412</v>
      </c>
      <c r="CX891" s="295">
        <f>CX890-CX880</f>
        <v>730.45821133158859</v>
      </c>
      <c r="CY891" s="1227">
        <f>+CX891/CT891-1</f>
        <v>5.0210813816553346E-2</v>
      </c>
      <c r="CZ891" s="295">
        <f>CZ890-CZ880</f>
        <v>313.51744753892297</v>
      </c>
      <c r="DA891" s="295">
        <f>DA890-DA880</f>
        <v>454.41934280860835</v>
      </c>
      <c r="DB891" s="295">
        <f>DB890-DB880</f>
        <v>767.93679034753131</v>
      </c>
      <c r="DC891" s="1227">
        <f>+DB891/CX891-1</f>
        <v>5.1308313650990645E-2</v>
      </c>
      <c r="DD891" s="295">
        <f>DD890-DD880</f>
        <v>331.38125711834959</v>
      </c>
      <c r="DE891" s="295">
        <f>DE890-DE880</f>
        <v>477.2782702431108</v>
      </c>
      <c r="DF891" s="295">
        <f>DF890-DF880</f>
        <v>808.65952736146039</v>
      </c>
      <c r="DG891" s="1227">
        <f>+DF891/DB891-1</f>
        <v>5.3028761645212974E-2</v>
      </c>
      <c r="DH891" s="295">
        <f>DH890-DH880</f>
        <v>350.30902289591313</v>
      </c>
      <c r="DI891" s="295">
        <f>DI890-DI880</f>
        <v>501.45942047502149</v>
      </c>
      <c r="DJ891" s="295">
        <f>DJ890-DJ880</f>
        <v>851.76844337093462</v>
      </c>
      <c r="DK891" s="1227">
        <f>+DJ891/DF891-1</f>
        <v>5.3309105440372928E-2</v>
      </c>
      <c r="DL891" s="295">
        <f>DL890-DL880</f>
        <v>370.98963709653754</v>
      </c>
      <c r="DM891" s="295">
        <f>DM890-DM880</f>
        <v>527.03187712506019</v>
      </c>
      <c r="DN891" s="295">
        <f>DN890-DN880</f>
        <v>898.02151422159773</v>
      </c>
      <c r="DO891" s="1227">
        <f>+DN891/DJ891-1</f>
        <v>5.4302400154217167E-2</v>
      </c>
      <c r="DP891" s="295">
        <f>DP890-DP880</f>
        <v>392.85287283528919</v>
      </c>
      <c r="DQ891" s="295">
        <f>DQ890-DQ880</f>
        <v>554.08123093966151</v>
      </c>
      <c r="DR891" s="295">
        <f>DR890-DR880</f>
        <v>946.9341037749507</v>
      </c>
      <c r="DS891" s="1227">
        <f>+DR891/DN891-1</f>
        <v>5.4467057613592162E-2</v>
      </c>
      <c r="DT891" s="1078"/>
      <c r="DU891" s="1078"/>
      <c r="DV891" s="1078"/>
      <c r="DW891" s="1199"/>
      <c r="DX891" s="295"/>
      <c r="DY891" s="295"/>
      <c r="DZ891" s="295"/>
      <c r="EA891" s="295"/>
      <c r="EB891" s="295"/>
      <c r="EC891" s="295"/>
      <c r="ED891" s="295"/>
      <c r="EE891" s="295"/>
      <c r="EF891" s="295"/>
      <c r="EG891" s="295"/>
      <c r="EH891" s="295"/>
      <c r="EI891" s="295"/>
      <c r="EJ891" s="295"/>
      <c r="EK891" s="295"/>
      <c r="EL891" s="295"/>
      <c r="EM891" s="295"/>
      <c r="EN891" s="295"/>
      <c r="EO891" s="295"/>
      <c r="EP891" s="295"/>
      <c r="EQ891" s="295"/>
      <c r="ER891" s="295"/>
      <c r="ES891" s="295"/>
      <c r="ET891" s="295"/>
      <c r="EU891" s="295"/>
      <c r="JW891"/>
    </row>
    <row r="892" spans="1:283" s="332" customFormat="1" hidden="1" outlineLevel="1">
      <c r="AN892" s="1262"/>
      <c r="AO892" s="1262"/>
      <c r="AP892" s="1262"/>
      <c r="AQ892" s="1262"/>
      <c r="AR892" s="1262"/>
      <c r="AS892" s="1262"/>
      <c r="AT892" s="1262"/>
      <c r="AU892" s="1262"/>
      <c r="AV892" s="1262"/>
      <c r="AW892" s="1262"/>
      <c r="AX892" s="1262"/>
      <c r="AY892" s="1262"/>
      <c r="AZ892" s="1262"/>
      <c r="BA892" s="1262"/>
      <c r="BB892" s="1262"/>
      <c r="BC892" s="1262"/>
      <c r="BD892" s="1262"/>
      <c r="BE892" s="1262"/>
      <c r="BF892" s="1262"/>
      <c r="BG892" s="1262"/>
      <c r="BH892" s="1262"/>
      <c r="BI892" s="1262"/>
      <c r="BJ892" s="1262"/>
      <c r="BK892" s="1262"/>
      <c r="BL892" s="1262"/>
      <c r="BM892" s="1262"/>
      <c r="BN892" s="1262"/>
      <c r="BO892" s="1262"/>
      <c r="BP892" s="1262"/>
      <c r="BQ892" s="1262"/>
      <c r="BR892" s="1262"/>
      <c r="BS892" s="1262"/>
      <c r="BT892" s="1262"/>
      <c r="BU892" s="1262"/>
      <c r="BV892" s="1262"/>
      <c r="BW892" s="293"/>
      <c r="BX892" s="293"/>
      <c r="BY892" s="293"/>
      <c r="BZ892" s="293"/>
      <c r="CA892" s="293"/>
      <c r="CB892" s="293"/>
      <c r="CC892" s="293"/>
      <c r="CD892" s="293"/>
      <c r="CE892" s="293"/>
      <c r="CF892" s="293"/>
      <c r="CG892" s="293"/>
      <c r="CH892" s="293"/>
      <c r="CI892" s="293"/>
      <c r="CJ892" s="293"/>
      <c r="CK892" s="293"/>
      <c r="CL892" s="293"/>
      <c r="CM892" s="293"/>
      <c r="CN892" s="293"/>
      <c r="CO892" s="293"/>
      <c r="CP892" s="293"/>
      <c r="CQ892" s="293"/>
      <c r="CR892" s="293"/>
      <c r="CS892" s="293"/>
      <c r="CT892" s="293"/>
      <c r="CU892" s="293"/>
      <c r="CV892" s="293"/>
      <c r="CW892" s="293"/>
      <c r="CX892" s="293"/>
      <c r="CY892" s="293"/>
      <c r="CZ892" s="293"/>
      <c r="DA892" s="293"/>
      <c r="DB892" s="293"/>
      <c r="DC892" s="293"/>
      <c r="DD892" s="293"/>
      <c r="DE892" s="293"/>
      <c r="DF892" s="293"/>
      <c r="DG892" s="293"/>
      <c r="DH892" s="293"/>
      <c r="DI892" s="293"/>
      <c r="DJ892" s="293"/>
      <c r="DK892" s="293"/>
      <c r="DL892" s="293"/>
      <c r="DM892" s="293"/>
      <c r="DN892" s="293"/>
      <c r="DO892" s="293"/>
      <c r="DP892" s="293"/>
      <c r="DQ892" s="293"/>
      <c r="DR892" s="293"/>
      <c r="DS892" s="293"/>
      <c r="DT892" s="293"/>
      <c r="DU892" s="293"/>
      <c r="DV892" s="293"/>
      <c r="DW892" s="293"/>
      <c r="DX892" s="293"/>
      <c r="DY892" s="293"/>
      <c r="DZ892" s="293"/>
      <c r="EA892" s="293"/>
      <c r="EB892" s="293"/>
      <c r="EC892" s="293"/>
      <c r="ED892" s="293"/>
      <c r="EE892" s="293"/>
      <c r="EF892" s="293"/>
      <c r="EG892" s="293"/>
      <c r="EH892" s="293"/>
      <c r="EI892" s="293"/>
      <c r="EJ892" s="293"/>
      <c r="EK892" s="293"/>
      <c r="EL892" s="293"/>
      <c r="EM892" s="293"/>
      <c r="EN892" s="293"/>
      <c r="EO892" s="293"/>
      <c r="EP892" s="293"/>
      <c r="EQ892" s="293"/>
      <c r="ER892" s="293"/>
      <c r="ES892" s="293"/>
      <c r="ET892" s="293"/>
      <c r="EU892" s="293"/>
      <c r="JW892"/>
    </row>
    <row r="893" spans="1:283" s="332" customFormat="1" hidden="1" outlineLevel="1">
      <c r="A893" s="332" t="s">
        <v>835</v>
      </c>
      <c r="AN893" s="1262"/>
      <c r="AO893" s="1262"/>
      <c r="AP893" s="1262"/>
      <c r="AQ893" s="1262"/>
      <c r="AR893" s="1262"/>
      <c r="AS893" s="1262"/>
      <c r="AT893" s="1262"/>
      <c r="AU893" s="1262"/>
      <c r="AV893" s="1262"/>
      <c r="AW893" s="1262"/>
      <c r="AX893" s="1262"/>
      <c r="AY893" s="1262"/>
      <c r="AZ893" s="1262"/>
      <c r="BA893" s="1262"/>
      <c r="BB893" s="1262"/>
      <c r="BC893" s="1262"/>
      <c r="BD893" s="1262"/>
      <c r="BE893" s="1262"/>
      <c r="BF893" s="1262"/>
      <c r="BG893" s="1262"/>
      <c r="BH893" s="1262"/>
      <c r="BI893" s="1262"/>
      <c r="BJ893" s="1262"/>
      <c r="BK893" s="1262"/>
      <c r="BL893" s="1262"/>
      <c r="BM893" s="1262"/>
      <c r="BN893" s="1262"/>
      <c r="BO893" s="1262"/>
      <c r="BP893" s="1262"/>
      <c r="BQ893" s="1262"/>
      <c r="BR893" s="1262"/>
      <c r="BS893" s="1262"/>
      <c r="BT893" s="1262"/>
      <c r="BU893" s="1262"/>
      <c r="BV893" s="1262"/>
      <c r="BW893" s="293"/>
      <c r="BX893" s="293"/>
      <c r="BY893" s="293"/>
      <c r="BZ893" s="293"/>
      <c r="CA893" s="293"/>
      <c r="CB893" s="293"/>
      <c r="CC893" s="293"/>
      <c r="CD893" s="293"/>
      <c r="CE893" s="293"/>
      <c r="CF893" s="293"/>
      <c r="CG893" s="293"/>
      <c r="CH893" s="293"/>
      <c r="CI893" s="293"/>
      <c r="CJ893" s="293"/>
      <c r="CK893" s="293"/>
      <c r="CL893" s="293"/>
      <c r="CM893" s="293"/>
      <c r="CN893" s="293"/>
      <c r="CO893" s="293"/>
      <c r="CP893" s="293"/>
      <c r="CQ893" s="293"/>
      <c r="CR893" s="293"/>
      <c r="CS893" s="293"/>
      <c r="CT893" s="293"/>
      <c r="CU893" s="293"/>
      <c r="CV893" s="293"/>
      <c r="CW893" s="293"/>
      <c r="CX893" s="293"/>
      <c r="CY893" s="293"/>
      <c r="CZ893" s="293"/>
      <c r="DA893" s="293"/>
      <c r="DB893" s="293"/>
      <c r="DC893" s="293"/>
      <c r="DD893" s="293"/>
      <c r="DE893" s="293"/>
      <c r="DF893" s="293"/>
      <c r="DG893" s="293"/>
      <c r="DH893" s="293"/>
      <c r="DI893" s="293"/>
      <c r="DJ893" s="293"/>
      <c r="DK893" s="293"/>
      <c r="DL893" s="293"/>
      <c r="DM893" s="293"/>
      <c r="DN893" s="293"/>
      <c r="DO893" s="293"/>
      <c r="DP893" s="293"/>
      <c r="DQ893" s="293"/>
      <c r="DR893" s="293"/>
      <c r="DS893" s="293"/>
      <c r="DT893" s="293"/>
      <c r="DU893" s="293"/>
      <c r="DV893" s="293"/>
      <c r="DW893" s="293"/>
      <c r="DX893" s="293"/>
      <c r="DY893" s="293"/>
      <c r="DZ893" s="293"/>
      <c r="EA893" s="293"/>
      <c r="EB893" s="293"/>
      <c r="EC893" s="293"/>
      <c r="ED893" s="293"/>
      <c r="EE893" s="293"/>
      <c r="EF893" s="293"/>
      <c r="EG893" s="293"/>
      <c r="EH893" s="293"/>
      <c r="EI893" s="293"/>
      <c r="EJ893" s="293"/>
      <c r="EK893" s="293"/>
      <c r="EL893" s="293"/>
      <c r="EM893" s="293"/>
      <c r="EN893" s="293"/>
      <c r="EO893" s="293"/>
      <c r="EP893" s="293"/>
      <c r="EQ893" s="293"/>
      <c r="ER893" s="293"/>
      <c r="ES893" s="293"/>
      <c r="ET893" s="293"/>
      <c r="EU893" s="293"/>
      <c r="JW893"/>
    </row>
    <row r="894" spans="1:283" s="332" customFormat="1" hidden="1" outlineLevel="1">
      <c r="A894" s="332" t="str">
        <f>+A882</f>
        <v>Total operating income</v>
      </c>
      <c r="AN894" s="1262"/>
      <c r="AO894" s="1262"/>
      <c r="AP894" s="1262"/>
      <c r="AQ894" s="1262"/>
      <c r="AR894" s="1262"/>
      <c r="AS894" s="1262"/>
      <c r="AT894" s="1262"/>
      <c r="AU894" s="1262"/>
      <c r="AV894" s="1270"/>
      <c r="AW894" s="1270"/>
      <c r="AX894" s="1270"/>
      <c r="AY894" s="1262"/>
      <c r="AZ894" s="1270">
        <v>-0.14883720930232558</v>
      </c>
      <c r="BA894" s="1270">
        <v>8.9195979899497457E-2</v>
      </c>
      <c r="BB894" s="1270">
        <v>-1.7349063150589816E-2</v>
      </c>
      <c r="BC894" s="1262"/>
      <c r="BD894" s="1270">
        <v>-0.24499089253187611</v>
      </c>
      <c r="BE894" s="1270">
        <v>9.4579008073817805E-2</v>
      </c>
      <c r="BF894" s="1270">
        <v>-3.7076271186440635E-2</v>
      </c>
      <c r="BG894" s="1271"/>
      <c r="BH894" s="1270">
        <v>0.39445114595898678</v>
      </c>
      <c r="BI894" s="1270">
        <v>-0.23603793466807166</v>
      </c>
      <c r="BJ894" s="1270">
        <v>-4.4371103777044341E-2</v>
      </c>
      <c r="BK894" s="1262"/>
      <c r="BL894" s="1270">
        <v>0.12975778546712813</v>
      </c>
      <c r="BM894" s="1270">
        <v>0.41931034482758611</v>
      </c>
      <c r="BN894" s="1270">
        <v>0.29086722947045285</v>
      </c>
      <c r="BO894" s="1262"/>
      <c r="BP894" s="1270">
        <v>0.1102603369065851</v>
      </c>
      <c r="BQ894" s="1270">
        <v>7.4829931972789199E-2</v>
      </c>
      <c r="BR894" s="1270">
        <v>8.8585017835909552E-2</v>
      </c>
      <c r="BS894" s="1262"/>
      <c r="BT894" s="1270">
        <v>0.11862068965517247</v>
      </c>
      <c r="BU894" s="1270">
        <v>-0.20072332730560583</v>
      </c>
      <c r="BV894" s="1270">
        <v>-7.4276351720371392E-2</v>
      </c>
      <c r="BW894" s="293"/>
      <c r="BX894" s="294">
        <f>BX882/BT882-1</f>
        <v>0.23551171393341552</v>
      </c>
      <c r="BY894" s="294">
        <f>BY882/BU882-1</f>
        <v>0</v>
      </c>
      <c r="BZ894" s="294">
        <f>BZ882/BV882-1</f>
        <v>0.11268436578171093</v>
      </c>
      <c r="CA894" s="293"/>
      <c r="CB894" s="294">
        <f>CB882/BX882-1</f>
        <v>-0.20534371050904443</v>
      </c>
      <c r="CC894" s="294">
        <f>CC882/BY882-1</f>
        <v>8.0435611980752109E-2</v>
      </c>
      <c r="CD894" s="294">
        <f>CD882/BZ882-1</f>
        <v>-7.1394123509585294E-2</v>
      </c>
      <c r="CE894" s="293"/>
      <c r="CF894" s="294">
        <f>CF882/CB882-1</f>
        <v>3.4127381309148053E-2</v>
      </c>
      <c r="CG894" s="294">
        <f>CG882/CC882-1</f>
        <v>4.2654990452776875E-2</v>
      </c>
      <c r="CH894" s="294">
        <f>CH882/CD882-1</f>
        <v>3.8777942102346863E-2</v>
      </c>
      <c r="CI894" s="293"/>
      <c r="CJ894" s="294">
        <f>CJ882/CF882-1</f>
        <v>3.7792115802757431E-2</v>
      </c>
      <c r="CK894" s="294">
        <f>CK882/CG882-1</f>
        <v>4.2825131316585052E-2</v>
      </c>
      <c r="CL894" s="294">
        <f>CL882/CH882-1</f>
        <v>4.0547132375092998E-2</v>
      </c>
      <c r="CM894" s="293"/>
      <c r="CN894" s="294">
        <f>CN882/CJ882-1</f>
        <v>3.9028554727784659E-2</v>
      </c>
      <c r="CO894" s="294">
        <f>CO882/CK882-1</f>
        <v>4.3301397496604332E-2</v>
      </c>
      <c r="CP894" s="294">
        <f>CP882/CL882-1</f>
        <v>4.1372581624320004E-2</v>
      </c>
      <c r="CQ894" s="293"/>
      <c r="CR894" s="294">
        <f>CR882/CN882-1</f>
        <v>4.3951652367164584E-2</v>
      </c>
      <c r="CS894" s="294">
        <f>CS882/CO882-1</f>
        <v>4.3005959758218637E-2</v>
      </c>
      <c r="CT894" s="294">
        <f>CT882/CP882-1</f>
        <v>4.3431896591918706E-2</v>
      </c>
      <c r="CU894" s="293"/>
      <c r="CV894" s="294">
        <f>CV882/CR882-1</f>
        <v>4.3205233594006964E-2</v>
      </c>
      <c r="CW894" s="294">
        <f>CW882/CS882-1</f>
        <v>4.3655573535287262E-2</v>
      </c>
      <c r="CX894" s="294">
        <f>CX882/CT882-1</f>
        <v>4.3452640875452975E-2</v>
      </c>
      <c r="CY894" s="293"/>
      <c r="CZ894" s="294">
        <f>CZ882/CV882-1</f>
        <v>4.4142506309136964E-2</v>
      </c>
      <c r="DA894" s="294">
        <f>DA882/CW882-1</f>
        <v>4.360746766448842E-2</v>
      </c>
      <c r="DB894" s="294">
        <f>DB882/CX882-1</f>
        <v>4.3848510177653566E-2</v>
      </c>
      <c r="DC894" s="293"/>
      <c r="DD894" s="294">
        <f>DD882/CZ882-1</f>
        <v>4.5272258849815783E-2</v>
      </c>
      <c r="DE894" s="294">
        <f>DE882/DA882-1</f>
        <v>4.3804095785050068E-2</v>
      </c>
      <c r="DF894" s="294">
        <f>DF882/DB882-1</f>
        <v>4.4465710399540948E-2</v>
      </c>
      <c r="DG894" s="293"/>
      <c r="DH894" s="294">
        <f>DH882/DD882-1</f>
        <v>4.5374986935309058E-2</v>
      </c>
      <c r="DI894" s="294">
        <f>DI882/DE882-1</f>
        <v>4.3961924711759526E-2</v>
      </c>
      <c r="DJ894" s="294">
        <f>DJ882/DF882-1</f>
        <v>4.459920035457321E-2</v>
      </c>
      <c r="DK894" s="293"/>
      <c r="DL894" s="294">
        <f>DL882/DH882-1</f>
        <v>4.6044240067256492E-2</v>
      </c>
      <c r="DM894" s="294">
        <f>DM882/DI882-1</f>
        <v>4.4111262139908236E-2</v>
      </c>
      <c r="DN894" s="294">
        <f>DN882/DJ882-1</f>
        <v>4.4983661510660022E-2</v>
      </c>
      <c r="DO894" s="293"/>
      <c r="DP894" s="294">
        <f>DP882/DL882-1</f>
        <v>4.6086147074502648E-2</v>
      </c>
      <c r="DQ894" s="294">
        <f>DQ882/DM882-1</f>
        <v>4.4261768773045995E-2</v>
      </c>
      <c r="DR894" s="294">
        <f>DR882/DN882-1</f>
        <v>4.5085990197569092E-2</v>
      </c>
      <c r="DS894" s="293"/>
      <c r="DT894" s="293"/>
      <c r="DU894" s="293"/>
      <c r="DV894" s="293"/>
      <c r="DW894" s="294"/>
      <c r="DX894" s="294"/>
      <c r="DY894" s="294"/>
      <c r="DZ894" s="293"/>
      <c r="EA894" s="294"/>
      <c r="EB894" s="294"/>
      <c r="EC894" s="294"/>
      <c r="ED894" s="293"/>
      <c r="EE894" s="294"/>
      <c r="EF894" s="294"/>
      <c r="EG894" s="294"/>
      <c r="EH894" s="293"/>
      <c r="EI894" s="294"/>
      <c r="EJ894" s="294"/>
      <c r="EK894" s="294"/>
      <c r="EL894" s="293"/>
      <c r="EM894" s="293"/>
      <c r="EN894" s="293"/>
      <c r="EO894" s="293"/>
      <c r="EP894" s="293"/>
      <c r="EQ894" s="293"/>
      <c r="ER894" s="293"/>
      <c r="ES894" s="293"/>
      <c r="ET894" s="293"/>
      <c r="EU894" s="293"/>
      <c r="JW894"/>
    </row>
    <row r="895" spans="1:283" s="332" customFormat="1" hidden="1" outlineLevel="1">
      <c r="A895" s="332" t="str">
        <f>A887</f>
        <v>Total operating expenses</v>
      </c>
      <c r="AN895" s="1262"/>
      <c r="AO895" s="1262"/>
      <c r="AP895" s="1262"/>
      <c r="AQ895" s="1262"/>
      <c r="AR895" s="1262"/>
      <c r="AS895" s="1262"/>
      <c r="AT895" s="1262"/>
      <c r="AU895" s="1262"/>
      <c r="AV895" s="1270"/>
      <c r="AW895" s="1270"/>
      <c r="AX895" s="1270"/>
      <c r="AY895" s="1262"/>
      <c r="AZ895" s="1270">
        <v>0.37906137184115529</v>
      </c>
      <c r="BA895" s="1270">
        <v>0.36201780415430274</v>
      </c>
      <c r="BB895" s="1270">
        <v>0.36970684039087942</v>
      </c>
      <c r="BC895" s="1262"/>
      <c r="BD895" s="1270">
        <v>7.0680628272251411E-2</v>
      </c>
      <c r="BE895" s="1270">
        <v>-9.3681917211329013E-2</v>
      </c>
      <c r="BF895" s="1270">
        <v>-1.9024970273483932E-2</v>
      </c>
      <c r="BG895" s="1271"/>
      <c r="BH895" s="1270">
        <v>-0.12224938875305624</v>
      </c>
      <c r="BI895" s="1270">
        <v>-8.4134615384615419E-2</v>
      </c>
      <c r="BJ895" s="1270">
        <v>-0.10303030303030303</v>
      </c>
      <c r="BK895" s="1262"/>
      <c r="BL895" s="1270">
        <v>0.25348189415041777</v>
      </c>
      <c r="BM895" s="1270">
        <v>0.32808398950131235</v>
      </c>
      <c r="BN895" s="1270">
        <v>0.2918918918918918</v>
      </c>
      <c r="BO895" s="1262"/>
      <c r="BP895" s="1270">
        <v>5.555555555555558E-2</v>
      </c>
      <c r="BQ895" s="1270">
        <v>2.9644268774703608E-2</v>
      </c>
      <c r="BR895" s="1270">
        <v>4.1841004184100417E-2</v>
      </c>
      <c r="BS895" s="1262"/>
      <c r="BT895" s="1270">
        <v>0.11368421052631583</v>
      </c>
      <c r="BU895" s="1270">
        <v>0.13243761996161219</v>
      </c>
      <c r="BV895" s="1270">
        <v>0.12349397590361444</v>
      </c>
      <c r="BW895" s="293"/>
      <c r="BX895" s="294">
        <f t="shared" ref="BX895:BZ896" si="2208">BX887/BT887-1</f>
        <v>0</v>
      </c>
      <c r="BY895" s="294">
        <f t="shared" si="2208"/>
        <v>0</v>
      </c>
      <c r="BZ895" s="294">
        <f t="shared" si="2208"/>
        <v>0</v>
      </c>
      <c r="CA895" s="293"/>
      <c r="CB895" s="294">
        <f t="shared" ref="CB895:CD896" si="2209">CB887/BX887-1</f>
        <v>4.0000000000000258E-2</v>
      </c>
      <c r="CC895" s="294">
        <f t="shared" si="2209"/>
        <v>4.0000000000000036E-2</v>
      </c>
      <c r="CD895" s="294">
        <f t="shared" si="2209"/>
        <v>4.0000000000000258E-2</v>
      </c>
      <c r="CE895" s="293"/>
      <c r="CF895" s="294">
        <f t="shared" ref="CF895:CJ896" si="2210">CF887/CB887-1</f>
        <v>4.0000000000000036E-2</v>
      </c>
      <c r="CG895" s="294">
        <f t="shared" si="2210"/>
        <v>4.0000000000000036E-2</v>
      </c>
      <c r="CH895" s="294">
        <f t="shared" si="2210"/>
        <v>3.9999999999999813E-2</v>
      </c>
      <c r="CI895" s="293"/>
      <c r="CJ895" s="294">
        <f t="shared" si="2210"/>
        <v>4.0000000000000036E-2</v>
      </c>
      <c r="CK895" s="294">
        <f t="shared" ref="CK895:CK896" si="2211">CK887/CG887-1</f>
        <v>4.0000000000000036E-2</v>
      </c>
      <c r="CL895" s="294">
        <f t="shared" ref="CL895:CL896" si="2212">CL887/CH887-1</f>
        <v>3.9999999999999813E-2</v>
      </c>
      <c r="CM895" s="293"/>
      <c r="CN895" s="294">
        <f t="shared" ref="CN895:CP896" si="2213">CN887/CJ887-1</f>
        <v>4.0000000000000036E-2</v>
      </c>
      <c r="CO895" s="294">
        <f t="shared" si="2213"/>
        <v>4.0000000000000036E-2</v>
      </c>
      <c r="CP895" s="294">
        <f t="shared" si="2213"/>
        <v>4.0000000000000258E-2</v>
      </c>
      <c r="CQ895" s="293"/>
      <c r="CR895" s="294">
        <f t="shared" ref="CR895:CR896" si="2214">CR887/CN887-1</f>
        <v>4.0000000000000258E-2</v>
      </c>
      <c r="CS895" s="294">
        <f t="shared" ref="CS895:CS896" si="2215">CS887/CO887-1</f>
        <v>4.0000000000000036E-2</v>
      </c>
      <c r="CT895" s="294">
        <f t="shared" ref="CT895:CT896" si="2216">CT887/CP887-1</f>
        <v>4.0000000000000036E-2</v>
      </c>
      <c r="CU895" s="293"/>
      <c r="CV895" s="294">
        <f t="shared" ref="CV895:CV896" si="2217">CV887/CR887-1</f>
        <v>3.9999999999999813E-2</v>
      </c>
      <c r="CW895" s="294">
        <f t="shared" ref="CW895:CW896" si="2218">CW887/CS887-1</f>
        <v>4.0000000000000036E-2</v>
      </c>
      <c r="CX895" s="294">
        <f t="shared" ref="CX895:CX896" si="2219">CX887/CT887-1</f>
        <v>3.9999999999999813E-2</v>
      </c>
      <c r="CY895" s="293"/>
      <c r="CZ895" s="294">
        <f t="shared" ref="CZ895:CZ896" si="2220">CZ887/CV887-1</f>
        <v>4.0000000000000036E-2</v>
      </c>
      <c r="DA895" s="294">
        <f t="shared" ref="DA895:DA896" si="2221">DA887/CW887-1</f>
        <v>4.0000000000000258E-2</v>
      </c>
      <c r="DB895" s="294">
        <f t="shared" ref="DB895:DB896" si="2222">DB887/CX887-1</f>
        <v>4.0000000000000258E-2</v>
      </c>
      <c r="DC895" s="293"/>
      <c r="DD895" s="294">
        <f t="shared" ref="DD895:DD896" si="2223">DD887/CZ887-1</f>
        <v>4.0000000000000036E-2</v>
      </c>
      <c r="DE895" s="294">
        <f t="shared" ref="DE895:DE896" si="2224">DE887/DA887-1</f>
        <v>4.0000000000000036E-2</v>
      </c>
      <c r="DF895" s="294">
        <f t="shared" ref="DF895:DF896" si="2225">DF887/DB887-1</f>
        <v>4.0000000000000036E-2</v>
      </c>
      <c r="DG895" s="293"/>
      <c r="DH895" s="294">
        <f t="shared" ref="DH895:DH896" si="2226">DH887/DD887-1</f>
        <v>4.0000000000000036E-2</v>
      </c>
      <c r="DI895" s="294">
        <f t="shared" ref="DI895:DI896" si="2227">DI887/DE887-1</f>
        <v>4.0000000000000036E-2</v>
      </c>
      <c r="DJ895" s="294">
        <f t="shared" ref="DJ895:DJ896" si="2228">DJ887/DF887-1</f>
        <v>4.0000000000000036E-2</v>
      </c>
      <c r="DK895" s="293"/>
      <c r="DL895" s="294">
        <f t="shared" ref="DL895:DL896" si="2229">DL887/DH887-1</f>
        <v>4.0000000000000036E-2</v>
      </c>
      <c r="DM895" s="294">
        <f t="shared" ref="DM895:DM896" si="2230">DM887/DI887-1</f>
        <v>4.0000000000000036E-2</v>
      </c>
      <c r="DN895" s="294">
        <f t="shared" ref="DN895:DN896" si="2231">DN887/DJ887-1</f>
        <v>4.0000000000000036E-2</v>
      </c>
      <c r="DO895" s="293"/>
      <c r="DP895" s="294">
        <f t="shared" ref="DP895:DP896" si="2232">DP887/DL887-1</f>
        <v>4.0000000000000036E-2</v>
      </c>
      <c r="DQ895" s="294">
        <f t="shared" ref="DQ895:DQ896" si="2233">DQ887/DM887-1</f>
        <v>3.9999999999999813E-2</v>
      </c>
      <c r="DR895" s="294">
        <f t="shared" ref="DR895:DR896" si="2234">DR887/DN887-1</f>
        <v>4.0000000000000036E-2</v>
      </c>
      <c r="DS895" s="293"/>
      <c r="DT895" s="293"/>
      <c r="DU895" s="293"/>
      <c r="DV895" s="293"/>
      <c r="DW895" s="294"/>
      <c r="DX895" s="294"/>
      <c r="DY895" s="294"/>
      <c r="DZ895" s="293"/>
      <c r="EA895" s="294"/>
      <c r="EB895" s="294"/>
      <c r="EC895" s="294"/>
      <c r="ED895" s="293"/>
      <c r="EE895" s="294"/>
      <c r="EF895" s="294"/>
      <c r="EG895" s="294"/>
      <c r="EH895" s="293"/>
      <c r="EI895" s="294"/>
      <c r="EJ895" s="294"/>
      <c r="EK895" s="294"/>
      <c r="EL895" s="293"/>
      <c r="EM895" s="293"/>
      <c r="EN895" s="293"/>
      <c r="EO895" s="293"/>
      <c r="EP895" s="293"/>
      <c r="EQ895" s="293"/>
      <c r="ER895" s="293"/>
      <c r="ES895" s="293"/>
      <c r="ET895" s="293"/>
      <c r="EU895" s="293"/>
      <c r="JW895"/>
    </row>
    <row r="896" spans="1:283" s="332" customFormat="1" hidden="1" outlineLevel="1">
      <c r="A896" s="332" t="str">
        <f>A888</f>
        <v>Profit before tax</v>
      </c>
      <c r="AN896" s="1262"/>
      <c r="AO896" s="1262"/>
      <c r="AP896" s="1262"/>
      <c r="AQ896" s="1262"/>
      <c r="AR896" s="1262"/>
      <c r="AS896" s="1262"/>
      <c r="AT896" s="1262"/>
      <c r="AU896" s="1262"/>
      <c r="AV896" s="1270"/>
      <c r="AW896" s="1270"/>
      <c r="AX896" s="1270"/>
      <c r="AY896" s="1262"/>
      <c r="AZ896" s="1270">
        <v>-0.54619565217391308</v>
      </c>
      <c r="BA896" s="1270">
        <v>-0.11111111111111116</v>
      </c>
      <c r="BB896" s="1270">
        <v>-0.30471584038694077</v>
      </c>
      <c r="BC896" s="1262"/>
      <c r="BD896" s="1270">
        <v>-0.96706586826347307</v>
      </c>
      <c r="BE896" s="1270">
        <v>0.30637254901960786</v>
      </c>
      <c r="BF896" s="1270">
        <v>-6.3478260869565206E-2</v>
      </c>
      <c r="BG896" s="1271"/>
      <c r="BH896" s="1270">
        <v>38.81818181818182</v>
      </c>
      <c r="BI896" s="1270">
        <v>-0.35459662288930582</v>
      </c>
      <c r="BJ896" s="1270">
        <v>4.5496750232126182E-2</v>
      </c>
      <c r="BK896" s="1262"/>
      <c r="BL896" s="1270">
        <v>-7.3059360730593603E-2</v>
      </c>
      <c r="BM896" s="1270">
        <v>0.52034883720930236</v>
      </c>
      <c r="BN896" s="1270">
        <v>0.28952042628774421</v>
      </c>
      <c r="BO896" s="1262"/>
      <c r="BP896" s="1270">
        <v>0.23152709359605916</v>
      </c>
      <c r="BQ896" s="1270">
        <v>0.11854684512428304</v>
      </c>
      <c r="BR896" s="1270">
        <v>0.15013774104683186</v>
      </c>
      <c r="BS896" s="1262"/>
      <c r="BT896" s="1270">
        <v>0.12799999999999989</v>
      </c>
      <c r="BU896" s="1270">
        <v>-0.49743589743589745</v>
      </c>
      <c r="BV896" s="1270">
        <v>-0.31017964071856285</v>
      </c>
      <c r="BW896" s="293"/>
      <c r="BX896" s="294">
        <f t="shared" si="2208"/>
        <v>0.67730496453900702</v>
      </c>
      <c r="BY896" s="294">
        <f t="shared" si="2208"/>
        <v>0</v>
      </c>
      <c r="BZ896" s="294">
        <f t="shared" si="2208"/>
        <v>0.33159722222222232</v>
      </c>
      <c r="CA896" s="293"/>
      <c r="CB896" s="294">
        <f t="shared" si="2209"/>
        <v>-0.47973445651176028</v>
      </c>
      <c r="CC896" s="294">
        <f t="shared" si="2209"/>
        <v>0.16158190813260132</v>
      </c>
      <c r="CD896" s="294">
        <f t="shared" si="2209"/>
        <v>-0.23391045233256558</v>
      </c>
      <c r="CE896" s="293"/>
      <c r="CF896" s="294">
        <f t="shared" si="2210"/>
        <v>2.0998291789961376E-2</v>
      </c>
      <c r="CG896" s="294">
        <f t="shared" si="2210"/>
        <v>4.7425350346388173E-2</v>
      </c>
      <c r="CH896" s="294">
        <f t="shared" si="2210"/>
        <v>3.6357580207627249E-2</v>
      </c>
      <c r="CI896" s="293"/>
      <c r="CJ896" s="294">
        <f t="shared" si="2210"/>
        <v>3.2764206657027728E-2</v>
      </c>
      <c r="CK896" s="294">
        <f t="shared" si="2211"/>
        <v>4.7865207246511332E-2</v>
      </c>
      <c r="CL896" s="294">
        <f t="shared" si="2212"/>
        <v>4.1634570736925669E-2</v>
      </c>
      <c r="CM896" s="293"/>
      <c r="CN896" s="294">
        <f t="shared" si="2213"/>
        <v>3.680082946006813E-2</v>
      </c>
      <c r="CO896" s="294">
        <f t="shared" si="2213"/>
        <v>4.9146931300735552E-2</v>
      </c>
      <c r="CP896" s="294">
        <f t="shared" si="2213"/>
        <v>4.4096338693190074E-2</v>
      </c>
      <c r="CQ896" s="293"/>
      <c r="CR896" s="294">
        <f t="shared" si="2214"/>
        <v>5.3041571658717812E-2</v>
      </c>
      <c r="CS896" s="294">
        <f t="shared" si="2215"/>
        <v>4.8281981123652118E-2</v>
      </c>
      <c r="CT896" s="294">
        <f t="shared" si="2216"/>
        <v>5.0215448457517464E-2</v>
      </c>
      <c r="CU896" s="293"/>
      <c r="CV896" s="294">
        <f t="shared" si="2217"/>
        <v>5.0486866887708093E-2</v>
      </c>
      <c r="CW896" s="294">
        <f t="shared" si="2218"/>
        <v>5.0021097044201879E-2</v>
      </c>
      <c r="CX896" s="294">
        <f t="shared" si="2219"/>
        <v>5.0210813816553346E-2</v>
      </c>
      <c r="CY896" s="293"/>
      <c r="CZ896" s="294">
        <f t="shared" si="2220"/>
        <v>5.345948299048553E-2</v>
      </c>
      <c r="DA896" s="294">
        <f t="shared" si="2221"/>
        <v>4.9829272199064745E-2</v>
      </c>
      <c r="DB896" s="294">
        <f t="shared" si="2222"/>
        <v>5.1308313650990645E-2</v>
      </c>
      <c r="DC896" s="293"/>
      <c r="DD896" s="294">
        <f t="shared" si="2223"/>
        <v>5.6978677645073805E-2</v>
      </c>
      <c r="DE896" s="294">
        <f t="shared" si="2224"/>
        <v>5.030359687864383E-2</v>
      </c>
      <c r="DF896" s="294">
        <f t="shared" si="2225"/>
        <v>5.3028761645212974E-2</v>
      </c>
      <c r="DG896" s="293"/>
      <c r="DH896" s="294">
        <f t="shared" si="2226"/>
        <v>5.7117792183411398E-2</v>
      </c>
      <c r="DI896" s="294">
        <f t="shared" si="2227"/>
        <v>5.066467874096503E-2</v>
      </c>
      <c r="DJ896" s="294">
        <f t="shared" si="2228"/>
        <v>5.3309105440372928E-2</v>
      </c>
      <c r="DK896" s="293"/>
      <c r="DL896" s="294">
        <f t="shared" si="2229"/>
        <v>5.9035345506270875E-2</v>
      </c>
      <c r="DM896" s="294">
        <f t="shared" si="2230"/>
        <v>5.099606390047362E-2</v>
      </c>
      <c r="DN896" s="294">
        <f t="shared" si="2231"/>
        <v>5.4302400154217167E-2</v>
      </c>
      <c r="DO896" s="293"/>
      <c r="DP896" s="294">
        <f t="shared" si="2232"/>
        <v>5.8932200667002776E-2</v>
      </c>
      <c r="DQ896" s="294">
        <f t="shared" si="2233"/>
        <v>5.1323942608850537E-2</v>
      </c>
      <c r="DR896" s="294">
        <f t="shared" si="2234"/>
        <v>5.4467057613592162E-2</v>
      </c>
      <c r="DS896" s="293"/>
      <c r="DT896" s="293"/>
      <c r="DU896" s="293"/>
      <c r="DV896" s="293"/>
      <c r="DW896" s="294"/>
      <c r="DX896" s="294"/>
      <c r="DY896" s="294"/>
      <c r="DZ896" s="293"/>
      <c r="EA896" s="294"/>
      <c r="EB896" s="294"/>
      <c r="EC896" s="294"/>
      <c r="ED896" s="293"/>
      <c r="EE896" s="294"/>
      <c r="EF896" s="294"/>
      <c r="EG896" s="294"/>
      <c r="EH896" s="293"/>
      <c r="EI896" s="294"/>
      <c r="EJ896" s="294"/>
      <c r="EK896" s="294"/>
      <c r="EL896" s="293"/>
      <c r="EM896" s="293"/>
      <c r="EN896" s="293"/>
      <c r="EO896" s="293"/>
      <c r="EP896" s="293"/>
      <c r="EQ896" s="293"/>
      <c r="ER896" s="293"/>
      <c r="ES896" s="293"/>
      <c r="ET896" s="293"/>
      <c r="EU896" s="293"/>
      <c r="JW896"/>
    </row>
    <row r="897" spans="1:283" s="332" customFormat="1" hidden="1" outlineLevel="1">
      <c r="AN897" s="1262"/>
      <c r="AO897" s="1262"/>
      <c r="AP897" s="1262"/>
      <c r="AQ897" s="1262"/>
      <c r="AR897" s="1262"/>
      <c r="AS897" s="1262"/>
      <c r="AT897" s="1262"/>
      <c r="AU897" s="1262"/>
      <c r="AV897" s="1262"/>
      <c r="AW897" s="1262"/>
      <c r="AX897" s="1262"/>
      <c r="AY897" s="1262"/>
      <c r="AZ897" s="1262"/>
      <c r="BA897" s="1262"/>
      <c r="BB897" s="1262"/>
      <c r="BC897" s="1262"/>
      <c r="BD897" s="1262"/>
      <c r="BE897" s="1262"/>
      <c r="BF897" s="1262"/>
      <c r="BG897" s="1262"/>
      <c r="BH897" s="1262"/>
      <c r="BI897" s="1262"/>
      <c r="BJ897" s="1262"/>
      <c r="BK897" s="1262"/>
      <c r="BL897" s="1262"/>
      <c r="BM897" s="1262"/>
      <c r="BN897" s="1262"/>
      <c r="BO897" s="1262"/>
      <c r="BP897" s="1262"/>
      <c r="BQ897" s="1262"/>
      <c r="BR897" s="1262"/>
      <c r="BS897" s="1262"/>
      <c r="BT897" s="1262"/>
      <c r="BU897" s="1262"/>
      <c r="BV897" s="1262"/>
      <c r="BW897" s="293"/>
      <c r="BX897" s="293"/>
      <c r="BY897" s="293"/>
      <c r="BZ897" s="293"/>
      <c r="CA897" s="293"/>
      <c r="CB897" s="293"/>
      <c r="CC897" s="293"/>
      <c r="CD897" s="293"/>
      <c r="CE897" s="293"/>
      <c r="CF897" s="293"/>
      <c r="CG897" s="293"/>
      <c r="CH897" s="293"/>
      <c r="CI897" s="293"/>
      <c r="CJ897" s="293"/>
      <c r="CK897" s="293"/>
      <c r="CL897" s="293"/>
      <c r="CM897" s="293"/>
      <c r="CN897" s="293"/>
      <c r="CO897" s="293"/>
      <c r="CP897" s="293"/>
      <c r="CQ897" s="293"/>
      <c r="CR897" s="293"/>
      <c r="CS897" s="293"/>
      <c r="CT897" s="293"/>
      <c r="CU897" s="293"/>
      <c r="CV897" s="293"/>
      <c r="CW897" s="293"/>
      <c r="CX897" s="293"/>
      <c r="CY897" s="293"/>
      <c r="CZ897" s="293"/>
      <c r="DA897" s="293"/>
      <c r="DB897" s="293"/>
      <c r="DC897" s="293"/>
      <c r="DD897" s="293"/>
      <c r="DE897" s="293"/>
      <c r="DF897" s="293"/>
      <c r="DG897" s="293"/>
      <c r="DH897" s="293"/>
      <c r="DI897" s="293"/>
      <c r="DJ897" s="293"/>
      <c r="DK897" s="293"/>
      <c r="DL897" s="293"/>
      <c r="DM897" s="293"/>
      <c r="DN897" s="293"/>
      <c r="DO897" s="293"/>
      <c r="DP897" s="293"/>
      <c r="DQ897" s="293"/>
      <c r="DR897" s="293"/>
      <c r="DS897" s="293"/>
      <c r="DT897" s="293"/>
      <c r="DU897" s="293"/>
      <c r="DV897" s="293"/>
      <c r="DW897" s="293"/>
      <c r="DX897" s="293"/>
      <c r="DY897" s="293"/>
      <c r="DZ897" s="293"/>
      <c r="EA897" s="293"/>
      <c r="EB897" s="293"/>
      <c r="EC897" s="293"/>
      <c r="ED897" s="293"/>
      <c r="EE897" s="293"/>
      <c r="EF897" s="293"/>
      <c r="EG897" s="293"/>
      <c r="EH897" s="293"/>
      <c r="EI897" s="293"/>
      <c r="EJ897" s="293"/>
      <c r="EK897" s="293"/>
      <c r="EL897" s="293"/>
      <c r="EM897" s="293"/>
      <c r="EN897" s="293"/>
      <c r="EO897" s="293"/>
      <c r="EP897" s="293"/>
      <c r="EQ897" s="293"/>
      <c r="ER897" s="293"/>
      <c r="ES897" s="293"/>
      <c r="ET897" s="293"/>
      <c r="EU897" s="293"/>
      <c r="JW897"/>
    </row>
    <row r="898" spans="1:283" s="332" customFormat="1" hidden="1" outlineLevel="1">
      <c r="A898" s="332" t="s">
        <v>730</v>
      </c>
      <c r="AN898" s="1262"/>
      <c r="AO898" s="1262"/>
      <c r="AP898" s="1262"/>
      <c r="AQ898" s="1262"/>
      <c r="AR898" s="1262"/>
      <c r="AS898" s="1262"/>
      <c r="AT898" s="1262"/>
      <c r="AU898" s="1262"/>
      <c r="AV898" s="1262"/>
      <c r="AW898" s="1262"/>
      <c r="AX898" s="1262"/>
      <c r="AY898" s="1262"/>
      <c r="AZ898" s="1262"/>
      <c r="BA898" s="1262"/>
      <c r="BB898" s="1262"/>
      <c r="BC898" s="1262"/>
      <c r="BD898" s="1262"/>
      <c r="BE898" s="1262"/>
      <c r="BF898" s="1262"/>
      <c r="BG898" s="1262"/>
      <c r="BH898" s="1262"/>
      <c r="BI898" s="1262"/>
      <c r="BJ898" s="1262"/>
      <c r="BK898" s="1262"/>
      <c r="BL898" s="1262"/>
      <c r="BM898" s="1262"/>
      <c r="BN898" s="1262"/>
      <c r="BO898" s="1262"/>
      <c r="BP898" s="1262"/>
      <c r="BQ898" s="1262"/>
      <c r="BR898" s="1262"/>
      <c r="BS898" s="1262"/>
      <c r="BT898" s="1262"/>
      <c r="BU898" s="1262"/>
      <c r="BV898" s="1262"/>
      <c r="BW898" s="293"/>
      <c r="BX898" s="293"/>
      <c r="BY898" s="293"/>
      <c r="BZ898" s="293"/>
      <c r="CA898" s="293"/>
      <c r="CB898" s="293"/>
      <c r="CC898" s="293"/>
      <c r="CD898" s="293"/>
      <c r="CE898" s="293"/>
      <c r="CF898" s="293"/>
      <c r="CG898" s="293"/>
      <c r="CH898" s="293"/>
      <c r="CI898" s="293"/>
      <c r="CJ898" s="293"/>
      <c r="CK898" s="293"/>
      <c r="CL898" s="293"/>
      <c r="CM898" s="293"/>
      <c r="CN898" s="293"/>
      <c r="CO898" s="293"/>
      <c r="CP898" s="293"/>
      <c r="CQ898" s="293"/>
      <c r="CR898" s="293"/>
      <c r="CS898" s="293"/>
      <c r="CT898" s="293"/>
      <c r="CU898" s="293"/>
      <c r="CV898" s="293"/>
      <c r="CW898" s="293"/>
      <c r="CX898" s="293"/>
      <c r="CY898" s="293"/>
      <c r="CZ898" s="293"/>
      <c r="DA898" s="293"/>
      <c r="DB898" s="293"/>
      <c r="DC898" s="293"/>
      <c r="DD898" s="293"/>
      <c r="DE898" s="293"/>
      <c r="DF898" s="293"/>
      <c r="DG898" s="293"/>
      <c r="DH898" s="293"/>
      <c r="DI898" s="293"/>
      <c r="DJ898" s="293"/>
      <c r="DK898" s="293"/>
      <c r="DL898" s="293"/>
      <c r="DM898" s="293"/>
      <c r="DN898" s="293"/>
      <c r="DO898" s="293"/>
      <c r="DP898" s="293"/>
      <c r="DQ898" s="293"/>
      <c r="DR898" s="293"/>
      <c r="DS898" s="293"/>
      <c r="DT898" s="293"/>
      <c r="DU898" s="293"/>
      <c r="DV898" s="293"/>
      <c r="DW898" s="293"/>
      <c r="DX898" s="293"/>
      <c r="DY898" s="293"/>
      <c r="DZ898" s="293"/>
      <c r="EA898" s="293"/>
      <c r="EB898" s="293"/>
      <c r="EC898" s="293"/>
      <c r="ED898" s="293"/>
      <c r="EE898" s="293"/>
      <c r="EF898" s="293"/>
      <c r="EG898" s="293"/>
      <c r="EH898" s="293"/>
      <c r="EI898" s="293"/>
      <c r="EJ898" s="293"/>
      <c r="EK898" s="293"/>
      <c r="EL898" s="293"/>
      <c r="EM898" s="293"/>
      <c r="EN898" s="293"/>
      <c r="EO898" s="293"/>
      <c r="EP898" s="293"/>
      <c r="EQ898" s="293"/>
      <c r="ER898" s="293"/>
      <c r="ES898" s="293"/>
      <c r="ET898" s="293"/>
      <c r="EU898" s="293"/>
      <c r="JW898"/>
    </row>
    <row r="899" spans="1:283" s="845" customFormat="1" hidden="1" outlineLevel="1">
      <c r="A899" s="845" t="s">
        <v>571</v>
      </c>
      <c r="AN899" s="1272">
        <v>0</v>
      </c>
      <c r="AO899" s="1272">
        <v>0</v>
      </c>
      <c r="AP899" s="1272">
        <v>0</v>
      </c>
      <c r="AQ899" s="1272"/>
      <c r="AR899" s="1272">
        <v>-26</v>
      </c>
      <c r="AS899" s="1272">
        <v>60</v>
      </c>
      <c r="AT899" s="1272">
        <v>34</v>
      </c>
      <c r="AU899" s="1272"/>
      <c r="AV899" s="1272">
        <v>46</v>
      </c>
      <c r="AW899" s="1272">
        <v>70</v>
      </c>
      <c r="AX899" s="1272">
        <v>116</v>
      </c>
      <c r="AY899" s="1272"/>
      <c r="AZ899" s="1272">
        <v>-39</v>
      </c>
      <c r="BA899" s="1272">
        <v>10</v>
      </c>
      <c r="BB899" s="1272">
        <v>-29</v>
      </c>
      <c r="BC899" s="1272"/>
      <c r="BD899" s="1272">
        <v>-28</v>
      </c>
      <c r="BE899" s="1272">
        <v>9</v>
      </c>
      <c r="BF899" s="1272">
        <v>-19</v>
      </c>
      <c r="BG899" s="1273"/>
      <c r="BH899" s="1272">
        <v>0</v>
      </c>
      <c r="BI899" s="1272">
        <v>0</v>
      </c>
      <c r="BJ899" s="1272">
        <v>0</v>
      </c>
      <c r="BK899" s="1272"/>
      <c r="BL899" s="1272">
        <v>0</v>
      </c>
      <c r="BM899" s="1272">
        <v>0</v>
      </c>
      <c r="BN899" s="1272">
        <v>0</v>
      </c>
      <c r="BO899" s="1272"/>
      <c r="BP899" s="1272">
        <v>0</v>
      </c>
      <c r="BQ899" s="1272">
        <v>0</v>
      </c>
      <c r="BR899" s="1272">
        <v>0</v>
      </c>
      <c r="BS899" s="1272"/>
      <c r="BT899" s="1272">
        <v>0</v>
      </c>
      <c r="BU899" s="1272">
        <v>0</v>
      </c>
      <c r="BV899" s="1272">
        <v>0</v>
      </c>
      <c r="BW899" s="303"/>
      <c r="BX899" s="673">
        <f>BX876</f>
        <v>0</v>
      </c>
      <c r="BY899" s="673">
        <f>BY876</f>
        <v>0</v>
      </c>
      <c r="BZ899" s="673">
        <f>BZ876</f>
        <v>0</v>
      </c>
      <c r="CA899" s="303"/>
      <c r="CB899" s="630">
        <v>0</v>
      </c>
      <c r="CC899" s="630">
        <v>0</v>
      </c>
      <c r="CD899" s="303">
        <f>CB899+CC899</f>
        <v>0</v>
      </c>
      <c r="CE899" s="303"/>
      <c r="CF899" s="630">
        <v>0</v>
      </c>
      <c r="CG899" s="630">
        <v>0</v>
      </c>
      <c r="CH899" s="303">
        <f>CF899+CG899</f>
        <v>0</v>
      </c>
      <c r="CI899" s="303"/>
      <c r="CJ899" s="630">
        <v>0</v>
      </c>
      <c r="CK899" s="630">
        <v>0</v>
      </c>
      <c r="CL899" s="303">
        <f>CJ899+CK899</f>
        <v>0</v>
      </c>
      <c r="CM899" s="303"/>
      <c r="CN899" s="630">
        <v>0</v>
      </c>
      <c r="CO899" s="630">
        <v>0</v>
      </c>
      <c r="CP899" s="303">
        <f>CN899+CO899</f>
        <v>0</v>
      </c>
      <c r="CQ899" s="303"/>
      <c r="CR899" s="630">
        <v>0</v>
      </c>
      <c r="CS899" s="630">
        <v>0</v>
      </c>
      <c r="CT899" s="303">
        <f>CR899+CS899</f>
        <v>0</v>
      </c>
      <c r="CU899" s="303"/>
      <c r="CV899" s="630">
        <v>0</v>
      </c>
      <c r="CW899" s="630">
        <v>0</v>
      </c>
      <c r="CX899" s="303">
        <f>CV899+CW899</f>
        <v>0</v>
      </c>
      <c r="CY899" s="303"/>
      <c r="CZ899" s="630">
        <v>0</v>
      </c>
      <c r="DA899" s="630">
        <v>0</v>
      </c>
      <c r="DB899" s="303">
        <f>CZ899+DA899</f>
        <v>0</v>
      </c>
      <c r="DC899" s="303"/>
      <c r="DD899" s="630">
        <v>0</v>
      </c>
      <c r="DE899" s="630">
        <v>0</v>
      </c>
      <c r="DF899" s="303">
        <f>DD899+DE899</f>
        <v>0</v>
      </c>
      <c r="DG899" s="303"/>
      <c r="DH899" s="630">
        <v>0</v>
      </c>
      <c r="DI899" s="630">
        <v>0</v>
      </c>
      <c r="DJ899" s="303">
        <f>DH899+DI899</f>
        <v>0</v>
      </c>
      <c r="DK899" s="303"/>
      <c r="DL899" s="630">
        <v>0</v>
      </c>
      <c r="DM899" s="630">
        <v>0</v>
      </c>
      <c r="DN899" s="303">
        <f>DL899+DM899</f>
        <v>0</v>
      </c>
      <c r="DO899" s="303"/>
      <c r="DP899" s="630">
        <v>0</v>
      </c>
      <c r="DQ899" s="630">
        <v>0</v>
      </c>
      <c r="DR899" s="303">
        <f>DP899+DQ899</f>
        <v>0</v>
      </c>
      <c r="DS899" s="303"/>
      <c r="DT899" s="303"/>
      <c r="DU899" s="303"/>
      <c r="DV899" s="303"/>
      <c r="DW899" s="1208" t="s">
        <v>175</v>
      </c>
      <c r="DX899" s="303"/>
      <c r="DY899" s="303"/>
      <c r="DZ899" s="303"/>
      <c r="EA899" s="303"/>
      <c r="EB899" s="303"/>
      <c r="EC899" s="303"/>
      <c r="ED899" s="303"/>
      <c r="EE899" s="303"/>
      <c r="EF899" s="303"/>
      <c r="EG899" s="303"/>
      <c r="EH899" s="303"/>
      <c r="EI899" s="303"/>
      <c r="EJ899" s="303"/>
      <c r="EK899" s="303"/>
      <c r="EL899" s="303"/>
      <c r="EM899" s="303"/>
      <c r="EN899" s="303"/>
      <c r="EO899" s="303"/>
      <c r="EP899" s="303"/>
      <c r="EQ899" s="303"/>
      <c r="ER899" s="303"/>
      <c r="ES899" s="303"/>
      <c r="ET899" s="303"/>
      <c r="EU899" s="303"/>
      <c r="JW899"/>
    </row>
    <row r="900" spans="1:283" s="332" customFormat="1" hidden="1" outlineLevel="1">
      <c r="A900" s="332" t="s">
        <v>651</v>
      </c>
      <c r="AN900" s="1262">
        <v>0</v>
      </c>
      <c r="AO900" s="1262">
        <v>0</v>
      </c>
      <c r="AP900" s="1262">
        <v>0</v>
      </c>
      <c r="AQ900" s="1262"/>
      <c r="AR900" s="1262">
        <v>373</v>
      </c>
      <c r="AS900" s="1262">
        <v>520</v>
      </c>
      <c r="AT900" s="1262">
        <v>893</v>
      </c>
      <c r="AU900" s="1262"/>
      <c r="AV900" s="1262">
        <v>514</v>
      </c>
      <c r="AW900" s="1262">
        <v>528</v>
      </c>
      <c r="AX900" s="1262">
        <v>1042</v>
      </c>
      <c r="AY900" s="1262"/>
      <c r="AZ900" s="1262">
        <v>367</v>
      </c>
      <c r="BA900" s="1262">
        <v>587</v>
      </c>
      <c r="BB900" s="1262">
        <v>954</v>
      </c>
      <c r="BC900" s="1262"/>
      <c r="BD900" s="1262">
        <v>315</v>
      </c>
      <c r="BE900" s="1262">
        <v>587</v>
      </c>
      <c r="BF900" s="1262">
        <v>902</v>
      </c>
      <c r="BG900" s="1262"/>
      <c r="BH900" s="1262">
        <v>537</v>
      </c>
      <c r="BI900" s="1262">
        <v>637</v>
      </c>
      <c r="BJ900" s="1262">
        <v>1174</v>
      </c>
      <c r="BK900" s="1262"/>
      <c r="BL900" s="1262">
        <v>616</v>
      </c>
      <c r="BM900" s="1262">
        <v>964</v>
      </c>
      <c r="BN900" s="1262">
        <v>1580</v>
      </c>
      <c r="BO900" s="1262"/>
      <c r="BP900" s="1262">
        <v>671</v>
      </c>
      <c r="BQ900" s="1262">
        <v>1022</v>
      </c>
      <c r="BR900" s="1262">
        <v>1693</v>
      </c>
      <c r="BS900" s="1262"/>
      <c r="BT900" s="1262">
        <v>829</v>
      </c>
      <c r="BU900" s="1262">
        <v>916</v>
      </c>
      <c r="BV900" s="1262">
        <v>1745</v>
      </c>
      <c r="BW900" s="293"/>
      <c r="BX900" s="492">
        <f>BX878</f>
        <v>774</v>
      </c>
      <c r="BY900" s="492">
        <f>BY878</f>
        <v>916</v>
      </c>
      <c r="BZ900" s="492">
        <f>BZ878</f>
        <v>1690</v>
      </c>
      <c r="CA900" s="293"/>
      <c r="CB900" s="818">
        <f>CB913</f>
        <v>796.24947538960032</v>
      </c>
      <c r="CC900" s="818">
        <f>CC913</f>
        <v>954.97017489845155</v>
      </c>
      <c r="CD900" s="293">
        <f>CB900+CC900</f>
        <v>1751.219650288052</v>
      </c>
      <c r="CE900" s="293"/>
      <c r="CF900" s="818">
        <f>CF913</f>
        <v>823.32418016467068</v>
      </c>
      <c r="CG900" s="818">
        <f>CG913</f>
        <v>995.78417390555546</v>
      </c>
      <c r="CH900" s="293">
        <f>CF900+CG900</f>
        <v>1819.1083540702261</v>
      </c>
      <c r="CI900" s="293"/>
      <c r="CJ900" s="818">
        <f>CJ913</f>
        <v>854.40042058780045</v>
      </c>
      <c r="CK900" s="818">
        <f>CK913</f>
        <v>1038.5310505817586</v>
      </c>
      <c r="CL900" s="293">
        <f>CJ900+CK900</f>
        <v>1892.931471169559</v>
      </c>
      <c r="CM900" s="293"/>
      <c r="CN900" s="818">
        <f>CN913</f>
        <v>888.90761630086513</v>
      </c>
      <c r="CO900" s="818">
        <f>CO913</f>
        <v>1083.3041921991983</v>
      </c>
      <c r="CP900" s="293">
        <f>CN900+CO900</f>
        <v>1972.2118085000634</v>
      </c>
      <c r="CQ900" s="293"/>
      <c r="CR900" s="818">
        <f>CR913</f>
        <v>926.4591948857078</v>
      </c>
      <c r="CS900" s="818">
        <f>CS913</f>
        <v>1130.2015317093719</v>
      </c>
      <c r="CT900" s="293">
        <f>CR900+CS900</f>
        <v>2056.6607265950797</v>
      </c>
      <c r="CU900" s="293"/>
      <c r="CV900" s="818">
        <f>CV913</f>
        <v>966.80272842778277</v>
      </c>
      <c r="CW900" s="818">
        <f>CW913</f>
        <v>1179.3257701207274</v>
      </c>
      <c r="CX900" s="293">
        <f>CV900+CW900</f>
        <v>2146.1284985485099</v>
      </c>
      <c r="CY900" s="293"/>
      <c r="CZ900" s="818">
        <f>CZ913</f>
        <v>1009.7839726160687</v>
      </c>
      <c r="DA900" s="818">
        <f>DA913</f>
        <v>1230.7846097991335</v>
      </c>
      <c r="DB900" s="293">
        <f>CZ900+DA900</f>
        <v>2240.5685824152024</v>
      </c>
      <c r="DC900" s="293"/>
      <c r="DD900" s="818">
        <f>DD913</f>
        <v>1055.3209514494063</v>
      </c>
      <c r="DE900" s="818">
        <f>DE913</f>
        <v>1284.6909992295343</v>
      </c>
      <c r="DF900" s="293">
        <f>DD900+DE900</f>
        <v>2340.0119506789406</v>
      </c>
      <c r="DG900" s="293"/>
      <c r="DH900" s="818">
        <f>DH913</f>
        <v>1103.385301563786</v>
      </c>
      <c r="DI900" s="818">
        <f>DI913</f>
        <v>1341.1633898036978</v>
      </c>
      <c r="DJ900" s="293">
        <f>DH900+DI900</f>
        <v>2444.548691367484</v>
      </c>
      <c r="DK900" s="293"/>
      <c r="DL900" s="818">
        <f>DL913</f>
        <v>1153.9888638183418</v>
      </c>
      <c r="DM900" s="818">
        <f>DM913</f>
        <v>1400.3260052268836</v>
      </c>
      <c r="DN900" s="293">
        <f>DL900+DM900</f>
        <v>2554.3148690452254</v>
      </c>
      <c r="DO900" s="293"/>
      <c r="DP900" s="818">
        <f>DP913</f>
        <v>1207.1740686259657</v>
      </c>
      <c r="DQ900" s="818">
        <f>DQ913</f>
        <v>1462.3091241655577</v>
      </c>
      <c r="DR900" s="293">
        <f>DP900+DQ900</f>
        <v>2669.4831927915234</v>
      </c>
      <c r="DS900" s="293"/>
      <c r="DT900" s="293"/>
      <c r="DU900" s="293"/>
      <c r="DV900" s="293"/>
      <c r="DW900" s="1197" t="s">
        <v>513</v>
      </c>
      <c r="DX900" s="293"/>
      <c r="DY900" s="293"/>
      <c r="DZ900" s="293"/>
      <c r="EA900" s="293"/>
      <c r="EB900" s="293"/>
      <c r="EC900" s="293"/>
      <c r="ED900" s="293"/>
      <c r="EE900" s="293"/>
      <c r="EF900" s="293"/>
      <c r="EG900" s="293"/>
      <c r="EH900" s="293"/>
      <c r="EI900" s="293"/>
      <c r="EJ900" s="293"/>
      <c r="EK900" s="293"/>
      <c r="EL900" s="293"/>
      <c r="EM900" s="293"/>
      <c r="EN900" s="293"/>
      <c r="EO900" s="293"/>
      <c r="EP900" s="293"/>
      <c r="EQ900" s="293"/>
      <c r="ER900" s="293"/>
      <c r="ES900" s="293"/>
      <c r="ET900" s="293"/>
      <c r="EU900" s="293"/>
      <c r="JW900"/>
    </row>
    <row r="901" spans="1:283" s="327" customFormat="1" hidden="1" outlineLevel="1">
      <c r="A901" s="327" t="s">
        <v>588</v>
      </c>
      <c r="AN901" s="1265">
        <v>0</v>
      </c>
      <c r="AO901" s="1265">
        <v>0</v>
      </c>
      <c r="AP901" s="1265">
        <v>0</v>
      </c>
      <c r="AQ901" s="1265"/>
      <c r="AR901" s="1265">
        <v>347</v>
      </c>
      <c r="AS901" s="1265">
        <v>580</v>
      </c>
      <c r="AT901" s="1265">
        <v>927</v>
      </c>
      <c r="AU901" s="1265"/>
      <c r="AV901" s="1265">
        <v>560</v>
      </c>
      <c r="AW901" s="1265">
        <v>598</v>
      </c>
      <c r="AX901" s="1265">
        <v>1158</v>
      </c>
      <c r="AY901" s="1265"/>
      <c r="AZ901" s="1265">
        <v>328</v>
      </c>
      <c r="BA901" s="1265">
        <v>597</v>
      </c>
      <c r="BB901" s="1265">
        <v>925</v>
      </c>
      <c r="BC901" s="1265"/>
      <c r="BD901" s="1265">
        <v>287</v>
      </c>
      <c r="BE901" s="1265">
        <v>596</v>
      </c>
      <c r="BF901" s="1265">
        <v>883</v>
      </c>
      <c r="BG901" s="1265"/>
      <c r="BH901" s="1265">
        <v>537</v>
      </c>
      <c r="BI901" s="1265">
        <v>637</v>
      </c>
      <c r="BJ901" s="1265">
        <v>1174</v>
      </c>
      <c r="BK901" s="1265"/>
      <c r="BL901" s="1265">
        <v>616</v>
      </c>
      <c r="BM901" s="1265">
        <v>964</v>
      </c>
      <c r="BN901" s="1265">
        <v>1580</v>
      </c>
      <c r="BO901" s="1274"/>
      <c r="BP901" s="1265">
        <v>671</v>
      </c>
      <c r="BQ901" s="1265">
        <v>1022</v>
      </c>
      <c r="BR901" s="1265">
        <v>1693</v>
      </c>
      <c r="BS901" s="1274"/>
      <c r="BT901" s="1265">
        <v>829</v>
      </c>
      <c r="BU901" s="1265">
        <v>916</v>
      </c>
      <c r="BV901" s="1265">
        <v>1745</v>
      </c>
      <c r="BW901" s="295"/>
      <c r="BX901" s="820">
        <f>SUM(BX899:BX900)</f>
        <v>774</v>
      </c>
      <c r="BY901" s="820">
        <f>SUM(BY899:BY900)</f>
        <v>916</v>
      </c>
      <c r="BZ901" s="820">
        <f>SUM(BZ899:BZ900)</f>
        <v>1690</v>
      </c>
      <c r="CA901" s="295"/>
      <c r="CB901" s="295">
        <f>SUM(CB899:CB900)</f>
        <v>796.24947538960032</v>
      </c>
      <c r="CC901" s="295">
        <f>SUM(CC899:CC900)</f>
        <v>954.97017489845155</v>
      </c>
      <c r="CD901" s="295">
        <f>CB901+CC901</f>
        <v>1751.219650288052</v>
      </c>
      <c r="CE901" s="295"/>
      <c r="CF901" s="295">
        <f>SUM(CF899:CF900)</f>
        <v>823.32418016467068</v>
      </c>
      <c r="CG901" s="295">
        <f>SUM(CG899:CG900)</f>
        <v>995.78417390555546</v>
      </c>
      <c r="CH901" s="295">
        <f>CF901+CG901</f>
        <v>1819.1083540702261</v>
      </c>
      <c r="CI901" s="295"/>
      <c r="CJ901" s="295">
        <f>SUM(CJ899:CJ900)</f>
        <v>854.40042058780045</v>
      </c>
      <c r="CK901" s="295">
        <f>SUM(CK899:CK900)</f>
        <v>1038.5310505817586</v>
      </c>
      <c r="CL901" s="295">
        <f>CJ901+CK901</f>
        <v>1892.931471169559</v>
      </c>
      <c r="CM901" s="295"/>
      <c r="CN901" s="295">
        <f>SUM(CN899:CN900)</f>
        <v>888.90761630086513</v>
      </c>
      <c r="CO901" s="295">
        <f>SUM(CO899:CO900)</f>
        <v>1083.3041921991983</v>
      </c>
      <c r="CP901" s="295">
        <f>CN901+CO901</f>
        <v>1972.2118085000634</v>
      </c>
      <c r="CQ901" s="295"/>
      <c r="CR901" s="295">
        <f>SUM(CR899:CR900)</f>
        <v>926.4591948857078</v>
      </c>
      <c r="CS901" s="295">
        <f>SUM(CS899:CS900)</f>
        <v>1130.2015317093719</v>
      </c>
      <c r="CT901" s="295">
        <f>CR901+CS901</f>
        <v>2056.6607265950797</v>
      </c>
      <c r="CU901" s="295"/>
      <c r="CV901" s="295">
        <f>SUM(CV899:CV900)</f>
        <v>966.80272842778277</v>
      </c>
      <c r="CW901" s="295">
        <f>SUM(CW899:CW900)</f>
        <v>1179.3257701207274</v>
      </c>
      <c r="CX901" s="295">
        <f>CV901+CW901</f>
        <v>2146.1284985485099</v>
      </c>
      <c r="CY901" s="295"/>
      <c r="CZ901" s="295">
        <f>SUM(CZ899:CZ900)</f>
        <v>1009.7839726160687</v>
      </c>
      <c r="DA901" s="295">
        <f>SUM(DA899:DA900)</f>
        <v>1230.7846097991335</v>
      </c>
      <c r="DB901" s="295">
        <f>CZ901+DA901</f>
        <v>2240.5685824152024</v>
      </c>
      <c r="DC901" s="295"/>
      <c r="DD901" s="295">
        <f>SUM(DD899:DD900)</f>
        <v>1055.3209514494063</v>
      </c>
      <c r="DE901" s="295">
        <f>SUM(DE899:DE900)</f>
        <v>1284.6909992295343</v>
      </c>
      <c r="DF901" s="295">
        <f>DD901+DE901</f>
        <v>2340.0119506789406</v>
      </c>
      <c r="DG901" s="295"/>
      <c r="DH901" s="295">
        <f>SUM(DH899:DH900)</f>
        <v>1103.385301563786</v>
      </c>
      <c r="DI901" s="295">
        <f>SUM(DI899:DI900)</f>
        <v>1341.1633898036978</v>
      </c>
      <c r="DJ901" s="295">
        <f>DH901+DI901</f>
        <v>2444.548691367484</v>
      </c>
      <c r="DK901" s="295"/>
      <c r="DL901" s="295">
        <f>SUM(DL899:DL900)</f>
        <v>1153.9888638183418</v>
      </c>
      <c r="DM901" s="295">
        <f>SUM(DM899:DM900)</f>
        <v>1400.3260052268836</v>
      </c>
      <c r="DN901" s="295">
        <f>DL901+DM901</f>
        <v>2554.3148690452254</v>
      </c>
      <c r="DO901" s="295"/>
      <c r="DP901" s="295">
        <f>SUM(DP899:DP900)</f>
        <v>1207.1740686259657</v>
      </c>
      <c r="DQ901" s="295">
        <f>SUM(DQ899:DQ900)</f>
        <v>1462.3091241655577</v>
      </c>
      <c r="DR901" s="295">
        <f>DP901+DQ901</f>
        <v>2669.4831927915234</v>
      </c>
      <c r="DS901" s="295"/>
      <c r="DT901" s="295"/>
      <c r="DU901" s="295"/>
      <c r="DV901" s="295"/>
      <c r="DW901" s="1199"/>
      <c r="DX901" s="295"/>
      <c r="DY901" s="295"/>
      <c r="DZ901" s="295"/>
      <c r="EA901" s="295"/>
      <c r="EB901" s="295"/>
      <c r="EC901" s="295"/>
      <c r="ED901" s="295"/>
      <c r="EE901" s="295"/>
      <c r="EF901" s="295"/>
      <c r="EG901" s="295"/>
      <c r="EH901" s="295"/>
      <c r="EI901" s="295"/>
      <c r="EJ901" s="295"/>
      <c r="EK901" s="295"/>
      <c r="EL901" s="295"/>
      <c r="EM901" s="295"/>
      <c r="EN901" s="295"/>
      <c r="EO901" s="295"/>
      <c r="EP901" s="295"/>
      <c r="EQ901" s="295"/>
      <c r="ER901" s="295"/>
      <c r="ES901" s="295"/>
      <c r="ET901" s="295"/>
      <c r="EU901" s="295"/>
      <c r="JW901"/>
    </row>
    <row r="902" spans="1:283" hidden="1" outlineLevel="1">
      <c r="A902" s="102" t="s">
        <v>835</v>
      </c>
      <c r="AN902" s="1275"/>
      <c r="AO902" s="1275"/>
      <c r="AP902" s="1275"/>
      <c r="AQ902" s="1275"/>
      <c r="AR902" s="1275"/>
      <c r="AS902" s="1275"/>
      <c r="AT902" s="1275"/>
      <c r="AU902" s="1275"/>
      <c r="AV902" s="1275"/>
      <c r="AW902" s="1275"/>
      <c r="AX902" s="1275"/>
      <c r="AY902" s="1275"/>
      <c r="AZ902" s="1275"/>
      <c r="BA902" s="1275"/>
      <c r="BB902" s="1275"/>
      <c r="BC902" s="1275"/>
      <c r="BD902" s="1275"/>
      <c r="BE902" s="1275"/>
      <c r="BF902" s="1275"/>
      <c r="BG902" s="1275"/>
      <c r="BH902" s="1275"/>
      <c r="BI902" s="1275"/>
      <c r="BJ902" s="1275"/>
      <c r="BK902" s="1275"/>
      <c r="BL902" s="1275"/>
      <c r="BM902" s="1275"/>
      <c r="BN902" s="1275"/>
      <c r="BO902" s="1275"/>
      <c r="BP902" s="1275"/>
      <c r="BQ902" s="1275"/>
      <c r="BR902" s="1275"/>
      <c r="BS902" s="1275"/>
      <c r="BT902" s="1275"/>
      <c r="BU902" s="1275"/>
      <c r="BV902" s="1275"/>
      <c r="CB902" s="293"/>
      <c r="CC902" s="293"/>
      <c r="CD902" s="293"/>
      <c r="CF902" s="293"/>
      <c r="CG902" s="293"/>
      <c r="CH902" s="293"/>
      <c r="CJ902" s="293"/>
      <c r="CK902" s="293"/>
      <c r="CL902" s="293"/>
      <c r="CN902" s="293"/>
      <c r="CO902" s="293"/>
      <c r="CP902" s="293"/>
      <c r="CR902" s="293"/>
      <c r="CS902" s="293"/>
      <c r="CT902" s="293"/>
      <c r="CV902" s="293"/>
      <c r="CW902" s="293"/>
      <c r="CX902" s="293"/>
      <c r="CZ902" s="293"/>
      <c r="DA902" s="293"/>
      <c r="DB902" s="293"/>
      <c r="DD902" s="293"/>
      <c r="DE902" s="293"/>
      <c r="DF902" s="293"/>
      <c r="DH902" s="293"/>
      <c r="DI902" s="293"/>
      <c r="DJ902" s="293"/>
      <c r="DL902" s="293"/>
      <c r="DM902" s="293"/>
      <c r="DN902" s="293"/>
      <c r="DP902" s="293"/>
      <c r="DQ902" s="293"/>
      <c r="DR902" s="293"/>
      <c r="DW902" s="1197"/>
      <c r="DX902" s="293"/>
      <c r="DY902" s="293"/>
      <c r="EA902" s="293"/>
      <c r="EB902" s="293"/>
      <c r="EC902" s="293"/>
      <c r="EE902" s="293"/>
      <c r="EF902" s="293"/>
      <c r="EG902" s="293"/>
      <c r="EI902" s="293"/>
      <c r="EJ902" s="293"/>
      <c r="EK902" s="293"/>
    </row>
    <row r="903" spans="1:283" s="323" customFormat="1" hidden="1" outlineLevel="1">
      <c r="A903" s="323" t="str">
        <f>+A899</f>
        <v>Net interest income</v>
      </c>
      <c r="AN903" s="1276"/>
      <c r="AO903" s="1276"/>
      <c r="AP903" s="1276"/>
      <c r="AQ903" s="1276"/>
      <c r="AR903" s="1276"/>
      <c r="AS903" s="1276"/>
      <c r="AT903" s="1276"/>
      <c r="AU903" s="1276"/>
      <c r="AV903" s="1277">
        <v>-2.7692307692307692</v>
      </c>
      <c r="AW903" s="1277">
        <v>0.16666666666666674</v>
      </c>
      <c r="AX903" s="1277">
        <v>2.4117647058823528</v>
      </c>
      <c r="AY903" s="1276"/>
      <c r="AZ903" s="1277">
        <v>-1.8478260869565217</v>
      </c>
      <c r="BA903" s="1277">
        <v>-0.85714285714285721</v>
      </c>
      <c r="BB903" s="1277">
        <v>-1.25</v>
      </c>
      <c r="BC903" s="1276"/>
      <c r="BD903" s="1277">
        <v>-0.28205128205128205</v>
      </c>
      <c r="BE903" s="1277">
        <v>-9.9999999999999978E-2</v>
      </c>
      <c r="BF903" s="1277">
        <v>-0.34482758620689657</v>
      </c>
      <c r="BG903" s="1276"/>
      <c r="BH903" s="1277"/>
      <c r="BI903" s="1277"/>
      <c r="BJ903" s="1277"/>
      <c r="BK903" s="1276"/>
      <c r="BL903" s="1277"/>
      <c r="BM903" s="1277"/>
      <c r="BN903" s="1277"/>
      <c r="BO903" s="1276"/>
      <c r="BP903" s="1277"/>
      <c r="BQ903" s="1277"/>
      <c r="BR903" s="1277"/>
      <c r="BS903" s="1276"/>
      <c r="BT903" s="1277"/>
      <c r="BU903" s="1277"/>
      <c r="BV903" s="1277"/>
      <c r="BW903" s="115"/>
      <c r="BX903" s="324"/>
      <c r="BY903" s="324"/>
      <c r="BZ903" s="324"/>
      <c r="CA903" s="115"/>
      <c r="CB903" s="324"/>
      <c r="CC903" s="324"/>
      <c r="CD903" s="324"/>
      <c r="CE903" s="115"/>
      <c r="CF903" s="324"/>
      <c r="CG903" s="324"/>
      <c r="CH903" s="324"/>
      <c r="CI903" s="115"/>
      <c r="CJ903" s="324"/>
      <c r="CK903" s="324"/>
      <c r="CL903" s="324"/>
      <c r="CM903" s="115"/>
      <c r="CN903" s="324"/>
      <c r="CO903" s="324"/>
      <c r="CP903" s="324"/>
      <c r="CQ903" s="115"/>
      <c r="CR903" s="324"/>
      <c r="CS903" s="324"/>
      <c r="CT903" s="324"/>
      <c r="CU903" s="115"/>
      <c r="CV903" s="324"/>
      <c r="CW903" s="324"/>
      <c r="CX903" s="324"/>
      <c r="CY903" s="115"/>
      <c r="CZ903" s="324"/>
      <c r="DA903" s="324"/>
      <c r="DB903" s="324"/>
      <c r="DC903" s="115"/>
      <c r="DD903" s="324"/>
      <c r="DE903" s="324"/>
      <c r="DF903" s="324"/>
      <c r="DG903" s="115"/>
      <c r="DH903" s="324"/>
      <c r="DI903" s="324"/>
      <c r="DJ903" s="324"/>
      <c r="DK903" s="115"/>
      <c r="DL903" s="324"/>
      <c r="DM903" s="324"/>
      <c r="DN903" s="324"/>
      <c r="DO903" s="115"/>
      <c r="DP903" s="324"/>
      <c r="DQ903" s="324"/>
      <c r="DR903" s="324"/>
      <c r="DS903" s="115"/>
      <c r="DT903" s="115"/>
      <c r="DU903" s="115"/>
      <c r="DV903" s="115"/>
      <c r="DW903" s="1209"/>
      <c r="DX903" s="324"/>
      <c r="DY903" s="324"/>
      <c r="DZ903" s="115"/>
      <c r="EA903" s="324"/>
      <c r="EB903" s="324"/>
      <c r="EC903" s="324"/>
      <c r="ED903" s="115"/>
      <c r="EE903" s="324"/>
      <c r="EF903" s="324"/>
      <c r="EG903" s="324"/>
      <c r="EH903" s="115"/>
      <c r="EI903" s="324"/>
      <c r="EJ903" s="324"/>
      <c r="EK903" s="324"/>
      <c r="EL903" s="115"/>
      <c r="EM903" s="115"/>
      <c r="EN903" s="115"/>
      <c r="EO903" s="115"/>
      <c r="EP903" s="115"/>
      <c r="EQ903" s="115"/>
      <c r="ER903" s="115"/>
      <c r="ES903" s="115"/>
      <c r="ET903" s="115"/>
      <c r="EU903" s="115"/>
      <c r="JW903"/>
    </row>
    <row r="904" spans="1:283" s="323" customFormat="1" hidden="1" outlineLevel="1">
      <c r="A904" s="323" t="str">
        <f>+A900</f>
        <v>Net trading income</v>
      </c>
      <c r="AN904" s="1276"/>
      <c r="AO904" s="1276"/>
      <c r="AP904" s="1276"/>
      <c r="AQ904" s="1276"/>
      <c r="AR904" s="1276"/>
      <c r="AS904" s="1276"/>
      <c r="AT904" s="1276"/>
      <c r="AU904" s="1276"/>
      <c r="AV904" s="1278">
        <v>0.37801608579088475</v>
      </c>
      <c r="AW904" s="1278">
        <v>1.538461538461533E-2</v>
      </c>
      <c r="AX904" s="1278">
        <v>0.16685330347144456</v>
      </c>
      <c r="AY904" s="1276"/>
      <c r="AZ904" s="1278">
        <v>-0.28599221789883267</v>
      </c>
      <c r="BA904" s="1278">
        <v>0.11174242424242431</v>
      </c>
      <c r="BB904" s="1278">
        <v>-8.4452975047984657E-2</v>
      </c>
      <c r="BC904" s="1276"/>
      <c r="BD904" s="1278">
        <v>-0.14168937329700271</v>
      </c>
      <c r="BE904" s="1278">
        <v>0</v>
      </c>
      <c r="BF904" s="1278">
        <v>-5.4507337526205402E-2</v>
      </c>
      <c r="BG904" s="1276"/>
      <c r="BH904" s="1278">
        <v>0.7047619047619047</v>
      </c>
      <c r="BI904" s="1278">
        <v>8.5178875638841633E-2</v>
      </c>
      <c r="BJ904" s="1278">
        <v>0.30155210643015518</v>
      </c>
      <c r="BK904" s="1276"/>
      <c r="BL904" s="1278">
        <v>0.14711359404096824</v>
      </c>
      <c r="BM904" s="1278">
        <v>0.51334379905808469</v>
      </c>
      <c r="BN904" s="1278">
        <v>0.3458262350936967</v>
      </c>
      <c r="BO904" s="1276"/>
      <c r="BP904" s="1278">
        <v>8.9285714285714191E-2</v>
      </c>
      <c r="BQ904" s="1278">
        <v>6.0165975103734448E-2</v>
      </c>
      <c r="BR904" s="1278">
        <v>7.1518987341772089E-2</v>
      </c>
      <c r="BS904" s="1276"/>
      <c r="BT904" s="1278">
        <v>0.2354694485842026</v>
      </c>
      <c r="BU904" s="1278">
        <v>-0.10371819960861062</v>
      </c>
      <c r="BV904" s="1278">
        <v>3.0714707619610149E-2</v>
      </c>
      <c r="BW904" s="115"/>
      <c r="BX904" s="648">
        <f t="shared" ref="BX904:BZ905" si="2235">+BX900/BT900-1</f>
        <v>-6.6344993968636912E-2</v>
      </c>
      <c r="BY904" s="648">
        <f t="shared" si="2235"/>
        <v>0</v>
      </c>
      <c r="BZ904" s="648">
        <f t="shared" si="2235"/>
        <v>-3.1518624641833859E-2</v>
      </c>
      <c r="CA904" s="115"/>
      <c r="CB904" s="648">
        <f t="shared" ref="CB904:CD905" si="2236">+CB900/BX900-1</f>
        <v>2.8746092234625653E-2</v>
      </c>
      <c r="CC904" s="648">
        <f t="shared" si="2236"/>
        <v>4.2543859059444911E-2</v>
      </c>
      <c r="CD904" s="648">
        <f t="shared" si="2236"/>
        <v>3.6224645140859213E-2</v>
      </c>
      <c r="CE904" s="115"/>
      <c r="CF904" s="648">
        <f t="shared" ref="CF904:CJ905" si="2237">+CF900/CB900-1</f>
        <v>3.400279135106854E-2</v>
      </c>
      <c r="CG904" s="648">
        <f t="shared" si="2237"/>
        <v>4.2738506478952498E-2</v>
      </c>
      <c r="CH904" s="648">
        <f t="shared" si="2237"/>
        <v>3.8766526957944691E-2</v>
      </c>
      <c r="CI904" s="115"/>
      <c r="CJ904" s="648">
        <f t="shared" si="2237"/>
        <v>3.7744841183838806E-2</v>
      </c>
      <c r="CK904" s="648">
        <f t="shared" ref="CK904:CK905" si="2238">+CK900/CG900-1</f>
        <v>4.2927853039224306E-2</v>
      </c>
      <c r="CL904" s="648">
        <f t="shared" ref="CL904:CL905" si="2239">+CL900/CH900-1</f>
        <v>4.0582034013617152E-2</v>
      </c>
      <c r="CM904" s="115"/>
      <c r="CN904" s="648">
        <f t="shared" ref="CN904:CP905" si="2240">+CN900/CJ900-1</f>
        <v>4.0387615550709688E-2</v>
      </c>
      <c r="CO904" s="648">
        <f t="shared" si="2240"/>
        <v>4.3111991299979779E-2</v>
      </c>
      <c r="CP904" s="648">
        <f t="shared" si="2240"/>
        <v>4.1882307171701605E-2</v>
      </c>
      <c r="CQ904" s="115"/>
      <c r="CR904" s="648">
        <f t="shared" ref="CR904:CR905" si="2241">+CR900/CN900-1</f>
        <v>4.2244635883660564E-2</v>
      </c>
      <c r="CS904" s="648">
        <f t="shared" ref="CS904:CS905" si="2242">+CS900/CO900-1</f>
        <v>4.3291016362604573E-2</v>
      </c>
      <c r="CT904" s="648">
        <f t="shared" ref="CT904:CT905" si="2243">+CT900/CP900-1</f>
        <v>4.281939583316996E-2</v>
      </c>
      <c r="CU904" s="115"/>
      <c r="CV904" s="648">
        <f t="shared" ref="CV904:CV905" si="2244">+CV900/CR900-1</f>
        <v>4.3545936793311091E-2</v>
      </c>
      <c r="CW904" s="648">
        <f t="shared" ref="CW904:CW905" si="2245">+CW900/CS900-1</f>
        <v>4.3465025513686584E-2</v>
      </c>
      <c r="CX904" s="648">
        <f t="shared" ref="CX904:CX905" si="2246">+CX900/CT900-1</f>
        <v>4.3501473430452187E-2</v>
      </c>
      <c r="CY904" s="115"/>
      <c r="CZ904" s="648">
        <f t="shared" ref="CZ904:CZ905" si="2247">+CZ900/CV900-1</f>
        <v>4.4457098562580732E-2</v>
      </c>
      <c r="DA904" s="648">
        <f t="shared" ref="DA904:DA905" si="2248">+DA900/CW900-1</f>
        <v>4.3634117885118506E-2</v>
      </c>
      <c r="DB904" s="648">
        <f t="shared" ref="DB904:DB905" si="2249">+DB900/CX900-1</f>
        <v>4.4004859881672909E-2</v>
      </c>
      <c r="DC904" s="115"/>
      <c r="DD904" s="648">
        <f t="shared" ref="DD904:DD905" si="2250">+DD900/CZ900-1</f>
        <v>4.5095763121852706E-2</v>
      </c>
      <c r="DE904" s="648">
        <f t="shared" ref="DE904:DE905" si="2251">+DE900/DA900-1</f>
        <v>4.379839413104003E-2</v>
      </c>
      <c r="DF904" s="648">
        <f t="shared" ref="DF904:DF905" si="2252">+DF900/DB900-1</f>
        <v>4.4383095007314743E-2</v>
      </c>
      <c r="DG904" s="115"/>
      <c r="DH904" s="648">
        <f t="shared" ref="DH904:DH905" si="2253">+DH900/DD900-1</f>
        <v>4.5544770098960852E-2</v>
      </c>
      <c r="DI904" s="648">
        <f t="shared" ref="DI904:DI905" si="2254">+DI900/DE900-1</f>
        <v>4.3957956121769115E-2</v>
      </c>
      <c r="DJ904" s="648">
        <f t="shared" ref="DJ904:DJ905" si="2255">+DJ900/DF900-1</f>
        <v>4.4673592653325045E-2</v>
      </c>
      <c r="DK904" s="115"/>
      <c r="DL904" s="648">
        <f t="shared" ref="DL904:DL905" si="2256">+DL900/DH900-1</f>
        <v>4.5862095663987246E-2</v>
      </c>
      <c r="DM904" s="648">
        <f t="shared" ref="DM904:DM905" si="2257">+DM900/DI900-1</f>
        <v>4.4112906654755424E-2</v>
      </c>
      <c r="DN904" s="648">
        <f t="shared" ref="DN904:DN905" si="2258">+DN900/DJ900-1</f>
        <v>4.4902430483533484E-2</v>
      </c>
      <c r="DO904" s="115"/>
      <c r="DP904" s="648">
        <f t="shared" ref="DP904:DP905" si="2259">+DP900/DL900-1</f>
        <v>4.6088143893905142E-2</v>
      </c>
      <c r="DQ904" s="648">
        <f t="shared" ref="DQ904:DQ905" si="2260">+DQ900/DM900-1</f>
        <v>4.4263349182486644E-2</v>
      </c>
      <c r="DR904" s="648">
        <f t="shared" ref="DR904:DR905" si="2261">+DR900/DN900-1</f>
        <v>4.5087755288895304E-2</v>
      </c>
      <c r="DS904" s="115"/>
      <c r="DT904" s="115"/>
      <c r="DU904" s="115"/>
      <c r="DV904" s="115"/>
      <c r="DW904" s="1214"/>
      <c r="DX904" s="648"/>
      <c r="DY904" s="648"/>
      <c r="DZ904" s="115"/>
      <c r="EA904" s="648"/>
      <c r="EB904" s="648"/>
      <c r="EC904" s="648"/>
      <c r="ED904" s="115"/>
      <c r="EE904" s="648"/>
      <c r="EF904" s="648"/>
      <c r="EG904" s="648"/>
      <c r="EH904" s="115"/>
      <c r="EI904" s="648"/>
      <c r="EJ904" s="648"/>
      <c r="EK904" s="648"/>
      <c r="EL904" s="115"/>
      <c r="EM904" s="115"/>
      <c r="EN904" s="115"/>
      <c r="EO904" s="115"/>
      <c r="EP904" s="115"/>
      <c r="EQ904" s="115"/>
      <c r="ER904" s="115"/>
      <c r="ES904" s="115"/>
      <c r="ET904" s="115"/>
      <c r="EU904" s="115"/>
      <c r="JW904"/>
    </row>
    <row r="905" spans="1:283" s="328" customFormat="1" hidden="1" outlineLevel="1">
      <c r="A905" s="328" t="str">
        <f>+A901</f>
        <v>Total</v>
      </c>
      <c r="AN905" s="1279"/>
      <c r="AO905" s="1279"/>
      <c r="AP905" s="1279"/>
      <c r="AQ905" s="1279"/>
      <c r="AR905" s="1279"/>
      <c r="AS905" s="1279"/>
      <c r="AT905" s="1279"/>
      <c r="AU905" s="1279"/>
      <c r="AV905" s="1280">
        <v>0.61383285302593671</v>
      </c>
      <c r="AW905" s="1280">
        <v>3.1034482758620641E-2</v>
      </c>
      <c r="AX905" s="1280">
        <v>0.2491909385113269</v>
      </c>
      <c r="AY905" s="1279"/>
      <c r="AZ905" s="1280">
        <v>-0.41428571428571426</v>
      </c>
      <c r="BA905" s="1280">
        <v>-1.6722408026755842E-3</v>
      </c>
      <c r="BB905" s="1280">
        <v>-0.20120898100172713</v>
      </c>
      <c r="BC905" s="1279"/>
      <c r="BD905" s="1280">
        <v>-0.125</v>
      </c>
      <c r="BE905" s="1280">
        <v>-1.6750418760469454E-3</v>
      </c>
      <c r="BF905" s="1280">
        <v>-4.5405405405405386E-2</v>
      </c>
      <c r="BG905" s="1279"/>
      <c r="BH905" s="1280">
        <v>0.87108013937282225</v>
      </c>
      <c r="BI905" s="1280">
        <v>6.8791946308724761E-2</v>
      </c>
      <c r="BJ905" s="1280">
        <v>0.32955832389580975</v>
      </c>
      <c r="BK905" s="1279"/>
      <c r="BL905" s="1280">
        <v>0.14711359404096824</v>
      </c>
      <c r="BM905" s="1280">
        <v>0.51334379905808469</v>
      </c>
      <c r="BN905" s="1280">
        <v>0.3458262350936967</v>
      </c>
      <c r="BO905" s="1279"/>
      <c r="BP905" s="1280">
        <v>8.9285714285714191E-2</v>
      </c>
      <c r="BQ905" s="1280">
        <v>6.0165975103734448E-2</v>
      </c>
      <c r="BR905" s="1280">
        <v>7.1518987341772089E-2</v>
      </c>
      <c r="BS905" s="1279"/>
      <c r="BT905" s="1280">
        <v>0.2354694485842026</v>
      </c>
      <c r="BU905" s="1280">
        <v>-0.10371819960861062</v>
      </c>
      <c r="BV905" s="1280">
        <v>3.0714707619610149E-2</v>
      </c>
      <c r="BW905" s="581"/>
      <c r="BX905" s="682">
        <f t="shared" si="2235"/>
        <v>-6.6344993968636912E-2</v>
      </c>
      <c r="BY905" s="682">
        <f t="shared" si="2235"/>
        <v>0</v>
      </c>
      <c r="BZ905" s="682">
        <f t="shared" si="2235"/>
        <v>-3.1518624641833859E-2</v>
      </c>
      <c r="CA905" s="581"/>
      <c r="CB905" s="682">
        <f t="shared" si="2236"/>
        <v>2.8746092234625653E-2</v>
      </c>
      <c r="CC905" s="682">
        <f t="shared" si="2236"/>
        <v>4.2543859059444911E-2</v>
      </c>
      <c r="CD905" s="682">
        <f t="shared" si="2236"/>
        <v>3.6224645140859213E-2</v>
      </c>
      <c r="CE905" s="581"/>
      <c r="CF905" s="682">
        <f t="shared" si="2237"/>
        <v>3.400279135106854E-2</v>
      </c>
      <c r="CG905" s="682">
        <f t="shared" si="2237"/>
        <v>4.2738506478952498E-2</v>
      </c>
      <c r="CH905" s="682">
        <f t="shared" si="2237"/>
        <v>3.8766526957944691E-2</v>
      </c>
      <c r="CI905" s="581"/>
      <c r="CJ905" s="682">
        <f t="shared" si="2237"/>
        <v>3.7744841183838806E-2</v>
      </c>
      <c r="CK905" s="682">
        <f t="shared" si="2238"/>
        <v>4.2927853039224306E-2</v>
      </c>
      <c r="CL905" s="682">
        <f t="shared" si="2239"/>
        <v>4.0582034013617152E-2</v>
      </c>
      <c r="CM905" s="581"/>
      <c r="CN905" s="682">
        <f t="shared" si="2240"/>
        <v>4.0387615550709688E-2</v>
      </c>
      <c r="CO905" s="682">
        <f t="shared" si="2240"/>
        <v>4.3111991299979779E-2</v>
      </c>
      <c r="CP905" s="682">
        <f t="shared" si="2240"/>
        <v>4.1882307171701605E-2</v>
      </c>
      <c r="CQ905" s="581"/>
      <c r="CR905" s="682">
        <f t="shared" si="2241"/>
        <v>4.2244635883660564E-2</v>
      </c>
      <c r="CS905" s="682">
        <f t="shared" si="2242"/>
        <v>4.3291016362604573E-2</v>
      </c>
      <c r="CT905" s="682">
        <f t="shared" si="2243"/>
        <v>4.281939583316996E-2</v>
      </c>
      <c r="CU905" s="581"/>
      <c r="CV905" s="682">
        <f t="shared" si="2244"/>
        <v>4.3545936793311091E-2</v>
      </c>
      <c r="CW905" s="682">
        <f t="shared" si="2245"/>
        <v>4.3465025513686584E-2</v>
      </c>
      <c r="CX905" s="682">
        <f t="shared" si="2246"/>
        <v>4.3501473430452187E-2</v>
      </c>
      <c r="CY905" s="581"/>
      <c r="CZ905" s="682">
        <f t="shared" si="2247"/>
        <v>4.4457098562580732E-2</v>
      </c>
      <c r="DA905" s="682">
        <f t="shared" si="2248"/>
        <v>4.3634117885118506E-2</v>
      </c>
      <c r="DB905" s="682">
        <f t="shared" si="2249"/>
        <v>4.4004859881672909E-2</v>
      </c>
      <c r="DC905" s="581"/>
      <c r="DD905" s="682">
        <f t="shared" si="2250"/>
        <v>4.5095763121852706E-2</v>
      </c>
      <c r="DE905" s="682">
        <f t="shared" si="2251"/>
        <v>4.379839413104003E-2</v>
      </c>
      <c r="DF905" s="682">
        <f t="shared" si="2252"/>
        <v>4.4383095007314743E-2</v>
      </c>
      <c r="DG905" s="581"/>
      <c r="DH905" s="682">
        <f t="shared" si="2253"/>
        <v>4.5544770098960852E-2</v>
      </c>
      <c r="DI905" s="682">
        <f t="shared" si="2254"/>
        <v>4.3957956121769115E-2</v>
      </c>
      <c r="DJ905" s="682">
        <f t="shared" si="2255"/>
        <v>4.4673592653325045E-2</v>
      </c>
      <c r="DK905" s="581"/>
      <c r="DL905" s="682">
        <f t="shared" si="2256"/>
        <v>4.5862095663987246E-2</v>
      </c>
      <c r="DM905" s="682">
        <f t="shared" si="2257"/>
        <v>4.4112906654755424E-2</v>
      </c>
      <c r="DN905" s="682">
        <f t="shared" si="2258"/>
        <v>4.4902430483533484E-2</v>
      </c>
      <c r="DO905" s="581"/>
      <c r="DP905" s="682">
        <f t="shared" si="2259"/>
        <v>4.6088143893905142E-2</v>
      </c>
      <c r="DQ905" s="682">
        <f t="shared" si="2260"/>
        <v>4.4263349182486644E-2</v>
      </c>
      <c r="DR905" s="682">
        <f t="shared" si="2261"/>
        <v>4.5087755288895304E-2</v>
      </c>
      <c r="DS905" s="581"/>
      <c r="DT905" s="581"/>
      <c r="DU905" s="581"/>
      <c r="DV905" s="581"/>
      <c r="DW905" s="682"/>
      <c r="DX905" s="682"/>
      <c r="DY905" s="682"/>
      <c r="DZ905" s="581"/>
      <c r="EA905" s="682"/>
      <c r="EB905" s="682"/>
      <c r="EC905" s="682"/>
      <c r="ED905" s="581"/>
      <c r="EE905" s="682"/>
      <c r="EF905" s="682"/>
      <c r="EG905" s="682"/>
      <c r="EH905" s="581"/>
      <c r="EI905" s="682"/>
      <c r="EJ905" s="682"/>
      <c r="EK905" s="682"/>
      <c r="EL905" s="581"/>
      <c r="EM905" s="581"/>
      <c r="EN905" s="581"/>
      <c r="EO905" s="581"/>
      <c r="EP905" s="581"/>
      <c r="EQ905" s="581"/>
      <c r="ER905" s="581"/>
      <c r="ES905" s="581"/>
      <c r="ET905" s="581"/>
      <c r="EU905" s="581"/>
      <c r="JW905"/>
    </row>
    <row r="906" spans="1:283" s="332" customFormat="1" hidden="1" outlineLevel="1">
      <c r="AN906" s="1262"/>
      <c r="AO906" s="1262"/>
      <c r="AP906" s="1262"/>
      <c r="AQ906" s="1262"/>
      <c r="AR906" s="1262"/>
      <c r="AS906" s="1262"/>
      <c r="AT906" s="1262"/>
      <c r="AU906" s="1262"/>
      <c r="AV906" s="1262"/>
      <c r="AW906" s="1262"/>
      <c r="AX906" s="1262"/>
      <c r="AY906" s="1262"/>
      <c r="AZ906" s="1262"/>
      <c r="BA906" s="1262"/>
      <c r="BB906" s="1262"/>
      <c r="BC906" s="1262"/>
      <c r="BD906" s="1262"/>
      <c r="BE906" s="1262"/>
      <c r="BF906" s="1262"/>
      <c r="BG906" s="1262"/>
      <c r="BH906" s="1262"/>
      <c r="BI906" s="1262"/>
      <c r="BJ906" s="1262"/>
      <c r="BK906" s="1262"/>
      <c r="BL906" s="1262"/>
      <c r="BM906" s="1262"/>
      <c r="BN906" s="1262"/>
      <c r="BO906" s="1262"/>
      <c r="BP906" s="1262"/>
      <c r="BQ906" s="1262"/>
      <c r="BR906" s="1262"/>
      <c r="BS906" s="1262"/>
      <c r="BT906" s="1262"/>
      <c r="BU906" s="1262"/>
      <c r="BV906" s="1262"/>
      <c r="BW906" s="293"/>
      <c r="BX906" s="293"/>
      <c r="BY906" s="293"/>
      <c r="BZ906" s="293"/>
      <c r="CA906" s="293"/>
      <c r="CB906" s="293"/>
      <c r="CC906" s="293"/>
      <c r="CD906" s="293"/>
      <c r="CE906" s="293"/>
      <c r="CF906" s="293"/>
      <c r="CG906" s="293"/>
      <c r="CH906" s="293"/>
      <c r="CI906" s="293"/>
      <c r="CJ906" s="293"/>
      <c r="CK906" s="293"/>
      <c r="CL906" s="293"/>
      <c r="CM906" s="293"/>
      <c r="CN906" s="293"/>
      <c r="CO906" s="293"/>
      <c r="CP906" s="293"/>
      <c r="CQ906" s="293"/>
      <c r="CR906" s="293"/>
      <c r="CS906" s="293"/>
      <c r="CT906" s="293"/>
      <c r="CU906" s="293"/>
      <c r="CV906" s="293"/>
      <c r="CW906" s="293"/>
      <c r="CX906" s="293"/>
      <c r="CY906" s="293"/>
      <c r="CZ906" s="293"/>
      <c r="DA906" s="293"/>
      <c r="DB906" s="293"/>
      <c r="DC906" s="293"/>
      <c r="DD906" s="293"/>
      <c r="DE906" s="293"/>
      <c r="DF906" s="293"/>
      <c r="DG906" s="293"/>
      <c r="DH906" s="293"/>
      <c r="DI906" s="293"/>
      <c r="DJ906" s="293"/>
      <c r="DK906" s="293"/>
      <c r="DL906" s="293"/>
      <c r="DM906" s="293"/>
      <c r="DN906" s="293"/>
      <c r="DO906" s="293"/>
      <c r="DP906" s="293"/>
      <c r="DQ906" s="293"/>
      <c r="DR906" s="293"/>
      <c r="DS906" s="293"/>
      <c r="DT906" s="293"/>
      <c r="DU906" s="293"/>
      <c r="DV906" s="293"/>
      <c r="DW906" s="293"/>
      <c r="DX906" s="293"/>
      <c r="DY906" s="293"/>
      <c r="DZ906" s="293"/>
      <c r="EA906" s="293"/>
      <c r="EB906" s="293"/>
      <c r="EC906" s="293"/>
      <c r="ED906" s="293"/>
      <c r="EE906" s="293"/>
      <c r="EF906" s="293"/>
      <c r="EG906" s="293"/>
      <c r="EH906" s="293"/>
      <c r="EI906" s="293"/>
      <c r="EJ906" s="293"/>
      <c r="EK906" s="293"/>
      <c r="EL906" s="293"/>
      <c r="EM906" s="293"/>
      <c r="EN906" s="293"/>
      <c r="EO906" s="293"/>
      <c r="EP906" s="293"/>
      <c r="EQ906" s="293"/>
      <c r="ER906" s="293"/>
      <c r="ES906" s="293"/>
      <c r="ET906" s="293"/>
      <c r="EU906" s="293"/>
      <c r="JW906"/>
    </row>
    <row r="907" spans="1:283" hidden="1" outlineLevel="1">
      <c r="A907" s="102" t="s">
        <v>730</v>
      </c>
      <c r="AN907" s="1275"/>
      <c r="AO907" s="1275"/>
      <c r="AP907" s="1275"/>
      <c r="AQ907" s="1275"/>
      <c r="AR907" s="1275"/>
      <c r="AS907" s="1275"/>
      <c r="AT907" s="1275"/>
      <c r="AU907" s="1275"/>
      <c r="AV907" s="1275"/>
      <c r="AW907" s="1275"/>
      <c r="AX907" s="1275"/>
      <c r="AY907" s="1275"/>
      <c r="AZ907" s="1275"/>
      <c r="BA907" s="1275"/>
      <c r="BB907" s="1275"/>
      <c r="BC907" s="1275"/>
      <c r="BD907" s="1275"/>
      <c r="BE907" s="1275"/>
      <c r="BF907" s="1262"/>
      <c r="BG907" s="1275"/>
      <c r="BH907" s="1275"/>
      <c r="BI907" s="1275"/>
      <c r="BJ907" s="1262"/>
      <c r="BK907" s="1275"/>
      <c r="BL907" s="1275"/>
      <c r="BM907" s="1275"/>
      <c r="BN907" s="1262"/>
      <c r="BO907" s="1275"/>
      <c r="BP907" s="1275"/>
      <c r="BQ907" s="1275"/>
      <c r="BR907" s="1262"/>
      <c r="BS907" s="1275"/>
      <c r="BT907" s="1275"/>
      <c r="BU907" s="1275"/>
      <c r="BV907" s="1262"/>
      <c r="BZ907" s="293"/>
      <c r="CR907" s="103"/>
      <c r="CS907" s="103"/>
      <c r="CT907" s="103"/>
      <c r="CV907" s="103"/>
      <c r="CW907" s="103"/>
      <c r="CX907" s="103"/>
      <c r="CZ907" s="103"/>
      <c r="DA907" s="103"/>
      <c r="DB907" s="103"/>
      <c r="DD907" s="103"/>
      <c r="DE907" s="103"/>
      <c r="DF907" s="103"/>
      <c r="DH907" s="103"/>
      <c r="DI907" s="103"/>
      <c r="DJ907" s="103"/>
      <c r="DL907" s="103"/>
      <c r="DM907" s="103"/>
      <c r="DN907" s="103"/>
      <c r="DP907" s="103"/>
      <c r="DQ907" s="103"/>
      <c r="DR907" s="103"/>
    </row>
    <row r="908" spans="1:283" hidden="1" outlineLevel="1">
      <c r="A908" s="102" t="s">
        <v>593</v>
      </c>
      <c r="AN908" s="1275"/>
      <c r="AO908" s="1275"/>
      <c r="AP908" s="1275"/>
      <c r="AQ908" s="1275"/>
      <c r="AR908" s="1275"/>
      <c r="AS908" s="1275"/>
      <c r="AT908" s="1275"/>
      <c r="AU908" s="1275"/>
      <c r="AV908" s="1275"/>
      <c r="AW908" s="1275"/>
      <c r="AX908" s="1275"/>
      <c r="AY908" s="1275"/>
      <c r="AZ908" s="1275"/>
      <c r="BA908" s="1275"/>
      <c r="BB908" s="1275"/>
      <c r="BC908" s="1275"/>
      <c r="BD908" s="1275"/>
      <c r="BE908" s="1275"/>
      <c r="BF908" s="1262"/>
      <c r="BG908" s="1275"/>
      <c r="BH908" s="1275"/>
      <c r="BI908" s="1275"/>
      <c r="BJ908" s="1262"/>
      <c r="BK908" s="1275"/>
      <c r="BL908" s="1275">
        <v>159</v>
      </c>
      <c r="BM908" s="1275">
        <v>381</v>
      </c>
      <c r="BN908" s="1262">
        <v>540</v>
      </c>
      <c r="BO908" s="1275"/>
      <c r="BP908" s="1275">
        <v>271</v>
      </c>
      <c r="BQ908" s="1275">
        <v>323</v>
      </c>
      <c r="BR908" s="1262">
        <v>594</v>
      </c>
      <c r="BS908" s="1275"/>
      <c r="BT908" s="1275">
        <v>345</v>
      </c>
      <c r="BU908" s="1275">
        <v>474</v>
      </c>
      <c r="BV908" s="1262">
        <v>819</v>
      </c>
      <c r="BX908" s="730">
        <v>321</v>
      </c>
      <c r="BY908" s="730">
        <v>474</v>
      </c>
      <c r="BZ908" s="293">
        <f>+BY908+BX908</f>
        <v>795</v>
      </c>
      <c r="CB908" s="293">
        <f t="shared" ref="CB908:CC910" si="2262">+BX908*(1+CB915)</f>
        <v>337.05</v>
      </c>
      <c r="CC908" s="293">
        <f t="shared" si="2262"/>
        <v>497.70000000000005</v>
      </c>
      <c r="CD908" s="293">
        <f>+CC908+CB908</f>
        <v>834.75</v>
      </c>
      <c r="CF908" s="293">
        <f t="shared" ref="CF908:CG910" si="2263">+CB908*(1+CF915)</f>
        <v>353.90250000000003</v>
      </c>
      <c r="CG908" s="293">
        <f t="shared" si="2263"/>
        <v>522.58500000000004</v>
      </c>
      <c r="CH908" s="293">
        <f>+CG908+CF908</f>
        <v>876.48750000000007</v>
      </c>
      <c r="CJ908" s="293">
        <f t="shared" ref="CJ908:CJ910" si="2264">+CF908*(1+CJ915)</f>
        <v>371.59762500000005</v>
      </c>
      <c r="CK908" s="293">
        <f t="shared" ref="CK908:CK910" si="2265">+CG908*(1+CK915)</f>
        <v>548.71425000000011</v>
      </c>
      <c r="CL908" s="293">
        <f>+CK908+CJ908</f>
        <v>920.3118750000001</v>
      </c>
      <c r="CN908" s="293">
        <f t="shared" ref="CN908:CO910" si="2266">+CJ908*(1+CN915)</f>
        <v>390.17750625000008</v>
      </c>
      <c r="CO908" s="293">
        <f t="shared" si="2266"/>
        <v>576.14996250000013</v>
      </c>
      <c r="CP908" s="293">
        <f>+CO908+CN908</f>
        <v>966.32746875000021</v>
      </c>
      <c r="CR908" s="293">
        <f t="shared" ref="CR908:CR910" si="2267">+CN908*(1+CR915)</f>
        <v>409.68638156250012</v>
      </c>
      <c r="CS908" s="293">
        <f t="shared" ref="CS908:CS910" si="2268">+CO908*(1+CS915)</f>
        <v>604.95746062500018</v>
      </c>
      <c r="CT908" s="293">
        <f>+CS908+CR908</f>
        <v>1014.6438421875002</v>
      </c>
      <c r="CV908" s="293">
        <f t="shared" ref="CV908:CV910" si="2269">+CR908*(1+CV915)</f>
        <v>430.17070064062511</v>
      </c>
      <c r="CW908" s="293">
        <f t="shared" ref="CW908:CW910" si="2270">+CS908*(1+CW915)</f>
        <v>635.20533365625022</v>
      </c>
      <c r="CX908" s="293">
        <f>+CW908+CV908</f>
        <v>1065.3760342968753</v>
      </c>
      <c r="CZ908" s="293">
        <f t="shared" ref="CZ908:CZ910" si="2271">+CV908*(1+CZ915)</f>
        <v>451.67923567265638</v>
      </c>
      <c r="DA908" s="293">
        <f t="shared" ref="DA908:DA910" si="2272">+CW908*(1+DA915)</f>
        <v>666.9656003390628</v>
      </c>
      <c r="DB908" s="293">
        <f>+DA908+CZ908</f>
        <v>1118.6448360117192</v>
      </c>
      <c r="DD908" s="293">
        <f t="shared" ref="DD908:DD910" si="2273">+CZ908*(1+DD915)</f>
        <v>474.26319745628922</v>
      </c>
      <c r="DE908" s="293">
        <f t="shared" ref="DE908:DE910" si="2274">+DA908*(1+DE915)</f>
        <v>700.31388035601594</v>
      </c>
      <c r="DF908" s="293">
        <f>+DE908+DD908</f>
        <v>1174.5770778123051</v>
      </c>
      <c r="DH908" s="293">
        <f t="shared" ref="DH908:DH910" si="2275">+DD908*(1+DH915)</f>
        <v>497.97635732910368</v>
      </c>
      <c r="DI908" s="293">
        <f t="shared" ref="DI908:DI910" si="2276">+DE908*(1+DI915)</f>
        <v>735.32957437381674</v>
      </c>
      <c r="DJ908" s="293">
        <f>+DI908+DH908</f>
        <v>1233.3059317029204</v>
      </c>
      <c r="DL908" s="293">
        <f t="shared" ref="DL908:DL910" si="2277">+DH908*(1+DL915)</f>
        <v>522.87517519555888</v>
      </c>
      <c r="DM908" s="293">
        <f t="shared" ref="DM908:DM910" si="2278">+DI908*(1+DM915)</f>
        <v>772.09605309250765</v>
      </c>
      <c r="DN908" s="293">
        <f>+DM908+DL908</f>
        <v>1294.9712282880664</v>
      </c>
      <c r="DP908" s="293">
        <f t="shared" ref="DP908:DP910" si="2279">+DL908*(1+DP915)</f>
        <v>549.01893395533682</v>
      </c>
      <c r="DQ908" s="293">
        <f t="shared" ref="DQ908:DQ910" si="2280">+DM908*(1+DQ915)</f>
        <v>810.70085574713312</v>
      </c>
      <c r="DR908" s="293">
        <f>+DQ908+DP908</f>
        <v>1359.7197897024698</v>
      </c>
    </row>
    <row r="909" spans="1:283" hidden="1" outlineLevel="1">
      <c r="A909" s="102" t="s">
        <v>594</v>
      </c>
      <c r="AN909" s="1275"/>
      <c r="AO909" s="1275"/>
      <c r="AP909" s="1275"/>
      <c r="AQ909" s="1275"/>
      <c r="AR909" s="1275"/>
      <c r="AS909" s="1275"/>
      <c r="AT909" s="1275"/>
      <c r="AU909" s="1275"/>
      <c r="AV909" s="1275"/>
      <c r="AW909" s="1275"/>
      <c r="AX909" s="1275"/>
      <c r="AY909" s="1275"/>
      <c r="AZ909" s="1275"/>
      <c r="BA909" s="1275"/>
      <c r="BB909" s="1275"/>
      <c r="BC909" s="1275"/>
      <c r="BD909" s="1275"/>
      <c r="BE909" s="1275"/>
      <c r="BF909" s="1262"/>
      <c r="BG909" s="1275"/>
      <c r="BH909" s="1275"/>
      <c r="BI909" s="1275"/>
      <c r="BJ909" s="1262"/>
      <c r="BK909" s="1275"/>
      <c r="BL909" s="1275">
        <v>188</v>
      </c>
      <c r="BM909" s="1275">
        <v>195</v>
      </c>
      <c r="BN909" s="1262">
        <v>383</v>
      </c>
      <c r="BO909" s="1275"/>
      <c r="BP909" s="1275">
        <v>141</v>
      </c>
      <c r="BQ909" s="1275">
        <v>177</v>
      </c>
      <c r="BR909" s="1262">
        <v>318</v>
      </c>
      <c r="BS909" s="1275"/>
      <c r="BT909" s="1275">
        <v>148</v>
      </c>
      <c r="BU909" s="1275">
        <v>144</v>
      </c>
      <c r="BV909" s="1262">
        <v>292</v>
      </c>
      <c r="BX909" s="730">
        <v>142</v>
      </c>
      <c r="BY909" s="730">
        <v>144</v>
      </c>
      <c r="BZ909" s="293">
        <f>+BY909+BX909</f>
        <v>286</v>
      </c>
      <c r="CB909" s="293">
        <f t="shared" si="2262"/>
        <v>149.1</v>
      </c>
      <c r="CC909" s="293">
        <f t="shared" si="2262"/>
        <v>151.20000000000002</v>
      </c>
      <c r="CD909" s="293">
        <f>+CC909+CB909</f>
        <v>300.3</v>
      </c>
      <c r="CF909" s="293">
        <f t="shared" si="2263"/>
        <v>156.55500000000001</v>
      </c>
      <c r="CG909" s="293">
        <f t="shared" si="2263"/>
        <v>158.76000000000002</v>
      </c>
      <c r="CH909" s="293">
        <f>+CG909+CF909</f>
        <v>315.31500000000005</v>
      </c>
      <c r="CJ909" s="293">
        <f t="shared" si="2264"/>
        <v>164.38275000000002</v>
      </c>
      <c r="CK909" s="293">
        <f t="shared" si="2265"/>
        <v>166.69800000000004</v>
      </c>
      <c r="CL909" s="293">
        <f>+CK909+CJ909</f>
        <v>331.08075000000008</v>
      </c>
      <c r="CN909" s="293">
        <f t="shared" si="2266"/>
        <v>172.60188750000003</v>
      </c>
      <c r="CO909" s="293">
        <f t="shared" si="2266"/>
        <v>175.03290000000004</v>
      </c>
      <c r="CP909" s="293">
        <f>+CO909+CN909</f>
        <v>347.63478750000007</v>
      </c>
      <c r="CR909" s="293">
        <f t="shared" si="2267"/>
        <v>181.23198187500003</v>
      </c>
      <c r="CS909" s="293">
        <f t="shared" si="2268"/>
        <v>183.78454500000004</v>
      </c>
      <c r="CT909" s="293">
        <f>+CS909+CR909</f>
        <v>365.01652687500007</v>
      </c>
      <c r="CV909" s="293">
        <f t="shared" si="2269"/>
        <v>190.29358096875004</v>
      </c>
      <c r="CW909" s="293">
        <f t="shared" si="2270"/>
        <v>192.97377225000005</v>
      </c>
      <c r="CX909" s="293">
        <f>+CW909+CV909</f>
        <v>383.26735321875009</v>
      </c>
      <c r="CZ909" s="293">
        <f t="shared" si="2271"/>
        <v>199.80826001718754</v>
      </c>
      <c r="DA909" s="293">
        <f t="shared" si="2272"/>
        <v>202.62246086250008</v>
      </c>
      <c r="DB909" s="293">
        <f>+DA909+CZ909</f>
        <v>402.43072087968761</v>
      </c>
      <c r="DD909" s="293">
        <f t="shared" si="2273"/>
        <v>209.79867301804691</v>
      </c>
      <c r="DE909" s="293">
        <f t="shared" si="2274"/>
        <v>212.75358390562508</v>
      </c>
      <c r="DF909" s="293">
        <f>+DE909+DD909</f>
        <v>422.55225692367196</v>
      </c>
      <c r="DH909" s="293">
        <f t="shared" si="2275"/>
        <v>220.28860666894926</v>
      </c>
      <c r="DI909" s="293">
        <f t="shared" si="2276"/>
        <v>223.39126310090634</v>
      </c>
      <c r="DJ909" s="293">
        <f>+DI909+DH909</f>
        <v>443.6798697698556</v>
      </c>
      <c r="DL909" s="293">
        <f t="shared" si="2277"/>
        <v>231.30303700239674</v>
      </c>
      <c r="DM909" s="293">
        <f t="shared" si="2278"/>
        <v>234.56082625595167</v>
      </c>
      <c r="DN909" s="293">
        <f>+DM909+DL909</f>
        <v>465.86386325834837</v>
      </c>
      <c r="DP909" s="293">
        <f t="shared" si="2279"/>
        <v>242.8681888525166</v>
      </c>
      <c r="DQ909" s="293">
        <f t="shared" si="2280"/>
        <v>246.28886756874925</v>
      </c>
      <c r="DR909" s="293">
        <f>+DQ909+DP909</f>
        <v>489.15705642126585</v>
      </c>
    </row>
    <row r="910" spans="1:283" hidden="1" outlineLevel="1">
      <c r="A910" s="102" t="s">
        <v>553</v>
      </c>
      <c r="AN910" s="1275"/>
      <c r="AO910" s="1275"/>
      <c r="AP910" s="1275"/>
      <c r="AQ910" s="1275"/>
      <c r="AR910" s="1275"/>
      <c r="AS910" s="1275"/>
      <c r="AT910" s="1275"/>
      <c r="AU910" s="1275"/>
      <c r="AV910" s="1275"/>
      <c r="AW910" s="1275"/>
      <c r="AX910" s="1275"/>
      <c r="AY910" s="1275"/>
      <c r="AZ910" s="1275"/>
      <c r="BA910" s="1275"/>
      <c r="BB910" s="1275"/>
      <c r="BC910" s="1275"/>
      <c r="BD910" s="1275"/>
      <c r="BE910" s="1275"/>
      <c r="BF910" s="1262"/>
      <c r="BG910" s="1275"/>
      <c r="BH910" s="1275"/>
      <c r="BI910" s="1275"/>
      <c r="BJ910" s="1262"/>
      <c r="BK910" s="1275"/>
      <c r="BL910" s="1262">
        <v>46</v>
      </c>
      <c r="BM910" s="1262">
        <v>155</v>
      </c>
      <c r="BN910" s="1262">
        <v>201</v>
      </c>
      <c r="BO910" s="1275"/>
      <c r="BP910" s="1262">
        <v>6</v>
      </c>
      <c r="BQ910" s="1262">
        <v>207</v>
      </c>
      <c r="BR910" s="1262">
        <v>213</v>
      </c>
      <c r="BS910" s="1275"/>
      <c r="BT910" s="1262">
        <v>90</v>
      </c>
      <c r="BU910" s="1262">
        <v>114</v>
      </c>
      <c r="BV910" s="1262">
        <v>204</v>
      </c>
      <c r="BX910" s="293">
        <f>+BX911-BX908-BX909</f>
        <v>42</v>
      </c>
      <c r="BY910" s="293">
        <f>+BY911-BY908-BY909</f>
        <v>114</v>
      </c>
      <c r="BZ910" s="293">
        <f>+BY910+BX910</f>
        <v>156</v>
      </c>
      <c r="CB910" s="293">
        <f t="shared" si="2262"/>
        <v>30.339475389600377</v>
      </c>
      <c r="CC910" s="293">
        <f t="shared" si="2262"/>
        <v>114.71017489845144</v>
      </c>
      <c r="CD910" s="293">
        <f>+CC910+CB910</f>
        <v>145.04965028805182</v>
      </c>
      <c r="CF910" s="293">
        <f t="shared" si="2263"/>
        <v>21.916280164670642</v>
      </c>
      <c r="CG910" s="293">
        <f t="shared" si="2263"/>
        <v>115.42477390555543</v>
      </c>
      <c r="CH910" s="293">
        <f>+CG910+CF910</f>
        <v>137.34105407022608</v>
      </c>
      <c r="CJ910" s="293">
        <f t="shared" si="2264"/>
        <v>15.831629587800283</v>
      </c>
      <c r="CK910" s="293">
        <f t="shared" si="2265"/>
        <v>116.14382458175857</v>
      </c>
      <c r="CL910" s="293">
        <f>+CK910+CJ910</f>
        <v>131.97545416955884</v>
      </c>
      <c r="CN910" s="293">
        <f t="shared" si="2266"/>
        <v>11.436269910865139</v>
      </c>
      <c r="CO910" s="293">
        <f t="shared" si="2266"/>
        <v>116.86735465919814</v>
      </c>
      <c r="CP910" s="293">
        <f>+CO910+CN910</f>
        <v>128.30362457006328</v>
      </c>
      <c r="CR910" s="293">
        <f t="shared" si="2267"/>
        <v>8.2612007026076242</v>
      </c>
      <c r="CS910" s="293">
        <f t="shared" si="2268"/>
        <v>117.59539204277169</v>
      </c>
      <c r="CT910" s="293">
        <f>+CS910+CR910</f>
        <v>125.85659274537932</v>
      </c>
      <c r="CV910" s="293">
        <f t="shared" si="2269"/>
        <v>5.9676308429836515</v>
      </c>
      <c r="CW910" s="293">
        <f t="shared" si="2270"/>
        <v>118.32796481121321</v>
      </c>
      <c r="CX910" s="293">
        <f>+CW910+CV910</f>
        <v>124.29559565419686</v>
      </c>
      <c r="CZ910" s="293">
        <f t="shared" si="2271"/>
        <v>4.3108283117838724</v>
      </c>
      <c r="DA910" s="293">
        <f t="shared" si="2272"/>
        <v>119.0651012181761</v>
      </c>
      <c r="DB910" s="293">
        <f>+DA910+CZ910</f>
        <v>123.37592952995996</v>
      </c>
      <c r="DD910" s="293">
        <f t="shared" si="2273"/>
        <v>3.1140064160514127</v>
      </c>
      <c r="DE910" s="293">
        <f t="shared" si="2274"/>
        <v>119.80682969332284</v>
      </c>
      <c r="DF910" s="293">
        <f>+DE910+DD910</f>
        <v>122.92083610937425</v>
      </c>
      <c r="DH910" s="293">
        <f t="shared" si="2275"/>
        <v>2.2494600243535596</v>
      </c>
      <c r="DI910" s="293">
        <f t="shared" si="2276"/>
        <v>120.55317884342148</v>
      </c>
      <c r="DJ910" s="293">
        <f>+DI910+DH910</f>
        <v>122.80263886777503</v>
      </c>
      <c r="DL910" s="293">
        <f t="shared" si="2277"/>
        <v>1.6249389773515401</v>
      </c>
      <c r="DM910" s="293">
        <f t="shared" si="2278"/>
        <v>121.30417745344889</v>
      </c>
      <c r="DN910" s="293">
        <f>+DM910+DL910</f>
        <v>122.92911643080042</v>
      </c>
      <c r="DP910" s="293">
        <f t="shared" si="2279"/>
        <v>1.1738046693561777</v>
      </c>
      <c r="DQ910" s="293">
        <f t="shared" si="2280"/>
        <v>122.05985448770097</v>
      </c>
      <c r="DR910" s="293">
        <f>+DQ910+DP910</f>
        <v>123.23365915705715</v>
      </c>
    </row>
    <row r="911" spans="1:283" s="327" customFormat="1" hidden="1" outlineLevel="1">
      <c r="A911" s="327" t="s">
        <v>595</v>
      </c>
      <c r="AN911" s="1265"/>
      <c r="AO911" s="1265"/>
      <c r="AP911" s="1265"/>
      <c r="AQ911" s="1265"/>
      <c r="AR911" s="1265"/>
      <c r="AS911" s="1265"/>
      <c r="AT911" s="1265"/>
      <c r="AU911" s="1265"/>
      <c r="AV911" s="1265"/>
      <c r="AW911" s="1265"/>
      <c r="AX911" s="1265"/>
      <c r="AY911" s="1265"/>
      <c r="AZ911" s="1265">
        <v>197</v>
      </c>
      <c r="BA911" s="1265">
        <v>421</v>
      </c>
      <c r="BB911" s="1265">
        <v>618</v>
      </c>
      <c r="BC911" s="1265"/>
      <c r="BD911" s="1265">
        <v>260</v>
      </c>
      <c r="BE911" s="1265">
        <v>297</v>
      </c>
      <c r="BF911" s="1265">
        <v>557</v>
      </c>
      <c r="BG911" s="1265"/>
      <c r="BH911" s="1265">
        <v>347</v>
      </c>
      <c r="BI911" s="1265">
        <v>366</v>
      </c>
      <c r="BJ911" s="1265">
        <v>713</v>
      </c>
      <c r="BK911" s="1265"/>
      <c r="BL911" s="1265">
        <v>393</v>
      </c>
      <c r="BM911" s="1265">
        <v>731</v>
      </c>
      <c r="BN911" s="1265">
        <v>1124</v>
      </c>
      <c r="BO911" s="1265"/>
      <c r="BP911" s="1265">
        <v>418</v>
      </c>
      <c r="BQ911" s="1265">
        <v>707</v>
      </c>
      <c r="BR911" s="1265">
        <v>1125</v>
      </c>
      <c r="BS911" s="1265"/>
      <c r="BT911" s="1265">
        <v>583</v>
      </c>
      <c r="BU911" s="1265">
        <v>732</v>
      </c>
      <c r="BV911" s="1265">
        <v>1315</v>
      </c>
      <c r="BW911" s="1106"/>
      <c r="BX911" s="655">
        <v>505</v>
      </c>
      <c r="BY911" s="655">
        <v>732</v>
      </c>
      <c r="BZ911" s="295">
        <f>BX911+BY911</f>
        <v>1237</v>
      </c>
      <c r="CA911" s="295"/>
      <c r="CB911" s="295">
        <f>SUM(CB908:CB910)</f>
        <v>516.48947538960033</v>
      </c>
      <c r="CC911" s="295">
        <f>SUM(CC908:CC910)</f>
        <v>763.61017489845153</v>
      </c>
      <c r="CD911" s="295">
        <f>SUM(CD908:CD910)</f>
        <v>1280.0996502880519</v>
      </c>
      <c r="CE911" s="295"/>
      <c r="CF911" s="295">
        <f>SUM(CF908:CF910)</f>
        <v>532.37378016467073</v>
      </c>
      <c r="CG911" s="295">
        <f>SUM(CG908:CG910)</f>
        <v>796.76977390555544</v>
      </c>
      <c r="CH911" s="295">
        <f>SUM(CH908:CH910)</f>
        <v>1329.1435540702264</v>
      </c>
      <c r="CI911" s="295"/>
      <c r="CJ911" s="295">
        <f>SUM(CJ908:CJ910)</f>
        <v>551.8120045878004</v>
      </c>
      <c r="CK911" s="295">
        <f>SUM(CK908:CK910)</f>
        <v>831.55607458175859</v>
      </c>
      <c r="CL911" s="295">
        <f>SUM(CL908:CL910)</f>
        <v>1383.368079169559</v>
      </c>
      <c r="CM911" s="295"/>
      <c r="CN911" s="295">
        <f>SUM(CN908:CN910)</f>
        <v>574.21566366086518</v>
      </c>
      <c r="CO911" s="295">
        <f>SUM(CO908:CO910)</f>
        <v>868.05021715919827</v>
      </c>
      <c r="CP911" s="295">
        <f>SUM(CP908:CP910)</f>
        <v>1442.2658808200636</v>
      </c>
      <c r="CQ911" s="295"/>
      <c r="CR911" s="295">
        <f>SUM(CR908:CR910)</f>
        <v>599.1795641401078</v>
      </c>
      <c r="CS911" s="295">
        <f>SUM(CS908:CS910)</f>
        <v>906.33739766777194</v>
      </c>
      <c r="CT911" s="295">
        <f>SUM(CT908:CT910)</f>
        <v>1505.5169618078794</v>
      </c>
      <c r="CU911" s="295"/>
      <c r="CV911" s="295">
        <f>SUM(CV908:CV910)</f>
        <v>626.4319124523588</v>
      </c>
      <c r="CW911" s="295">
        <f>SUM(CW908:CW910)</f>
        <v>946.50707071746342</v>
      </c>
      <c r="CX911" s="295">
        <f>SUM(CX908:CX910)</f>
        <v>1572.9389831698222</v>
      </c>
      <c r="CY911" s="295"/>
      <c r="CZ911" s="295">
        <f>SUM(CZ908:CZ910)</f>
        <v>655.79832400162775</v>
      </c>
      <c r="DA911" s="295">
        <f>SUM(DA908:DA910)</f>
        <v>988.65316241973892</v>
      </c>
      <c r="DB911" s="295">
        <f>SUM(DB908:DB910)</f>
        <v>1644.4514864213668</v>
      </c>
      <c r="DC911" s="295"/>
      <c r="DD911" s="295">
        <f>SUM(DD908:DD910)</f>
        <v>687.1758768903876</v>
      </c>
      <c r="DE911" s="295">
        <f>SUM(DE908:DE910)</f>
        <v>1032.8742939549638</v>
      </c>
      <c r="DF911" s="295">
        <f>SUM(DF908:DF910)</f>
        <v>1720.0501708453512</v>
      </c>
      <c r="DG911" s="295"/>
      <c r="DH911" s="295">
        <f>SUM(DH908:DH910)</f>
        <v>720.5144240224065</v>
      </c>
      <c r="DI911" s="295">
        <f>SUM(DI908:DI910)</f>
        <v>1079.2740163181445</v>
      </c>
      <c r="DJ911" s="295">
        <f>SUM(DJ908:DJ910)</f>
        <v>1799.788440340551</v>
      </c>
      <c r="DK911" s="295"/>
      <c r="DL911" s="295">
        <f>SUM(DL908:DL910)</f>
        <v>755.80315117530722</v>
      </c>
      <c r="DM911" s="295">
        <f>SUM(DM908:DM910)</f>
        <v>1127.9610568019082</v>
      </c>
      <c r="DN911" s="295">
        <f>SUM(DN908:DN910)</f>
        <v>1883.7642079772152</v>
      </c>
      <c r="DO911" s="295"/>
      <c r="DP911" s="295">
        <f>SUM(DP908:DP910)</f>
        <v>793.06092747720959</v>
      </c>
      <c r="DQ911" s="295">
        <f>SUM(DQ908:DQ910)</f>
        <v>1179.0495778035834</v>
      </c>
      <c r="DR911" s="295">
        <f>SUM(DR908:DR910)</f>
        <v>1972.1105052807929</v>
      </c>
      <c r="DS911" s="295"/>
      <c r="DT911" s="295"/>
      <c r="DU911" s="295"/>
      <c r="DV911" s="295"/>
      <c r="DW911" s="295" t="s">
        <v>514</v>
      </c>
      <c r="DX911" s="295"/>
      <c r="DY911" s="295"/>
      <c r="DZ911" s="295"/>
      <c r="EA911" s="295"/>
      <c r="EB911" s="295"/>
      <c r="EC911" s="295"/>
      <c r="ED911" s="295"/>
      <c r="EE911" s="295"/>
      <c r="EF911" s="295"/>
      <c r="EG911" s="295"/>
      <c r="EH911" s="295"/>
      <c r="EI911" s="295"/>
      <c r="EJ911" s="295"/>
      <c r="EK911" s="295"/>
      <c r="EL911" s="295"/>
      <c r="EM911" s="295"/>
      <c r="EN911" s="295"/>
      <c r="EO911" s="295"/>
      <c r="EP911" s="295"/>
      <c r="EQ911" s="295"/>
      <c r="ER911" s="295"/>
      <c r="ES911" s="295"/>
      <c r="ET911" s="295"/>
      <c r="EU911" s="295"/>
      <c r="JW911"/>
    </row>
    <row r="912" spans="1:283" s="332" customFormat="1" hidden="1" outlineLevel="1">
      <c r="A912" s="332" t="s">
        <v>176</v>
      </c>
      <c r="AN912" s="1262"/>
      <c r="AO912" s="1262"/>
      <c r="AP912" s="1262"/>
      <c r="AQ912" s="1262"/>
      <c r="AR912" s="1262"/>
      <c r="AS912" s="1262"/>
      <c r="AT912" s="1262"/>
      <c r="AU912" s="1262"/>
      <c r="AV912" s="1262"/>
      <c r="AW912" s="1262"/>
      <c r="AX912" s="1262"/>
      <c r="AY912" s="1262"/>
      <c r="AZ912" s="1262">
        <v>131</v>
      </c>
      <c r="BA912" s="1262">
        <v>176</v>
      </c>
      <c r="BB912" s="1262">
        <v>307</v>
      </c>
      <c r="BC912" s="1262"/>
      <c r="BD912" s="1262">
        <v>27</v>
      </c>
      <c r="BE912" s="1262">
        <v>299</v>
      </c>
      <c r="BF912" s="1262">
        <v>326</v>
      </c>
      <c r="BG912" s="1262"/>
      <c r="BH912" s="1262">
        <v>190</v>
      </c>
      <c r="BI912" s="1262">
        <v>271</v>
      </c>
      <c r="BJ912" s="1262">
        <v>461</v>
      </c>
      <c r="BK912" s="1262"/>
      <c r="BL912" s="1262">
        <v>223</v>
      </c>
      <c r="BM912" s="1262">
        <v>233</v>
      </c>
      <c r="BN912" s="1262">
        <v>456</v>
      </c>
      <c r="BO912" s="1262"/>
      <c r="BP912" s="1262">
        <v>253</v>
      </c>
      <c r="BQ912" s="1262">
        <v>315</v>
      </c>
      <c r="BR912" s="1262">
        <v>568</v>
      </c>
      <c r="BS912" s="1262"/>
      <c r="BT912" s="1262">
        <v>246</v>
      </c>
      <c r="BU912" s="1262">
        <v>184</v>
      </c>
      <c r="BV912" s="1262">
        <v>430</v>
      </c>
      <c r="BW912" s="293"/>
      <c r="BX912" s="626">
        <v>269</v>
      </c>
      <c r="BY912" s="626">
        <v>184</v>
      </c>
      <c r="BZ912" s="293">
        <f>BX912+BY912</f>
        <v>453</v>
      </c>
      <c r="CA912" s="293"/>
      <c r="CB912" s="293">
        <f>+BX912*(1+CB919)</f>
        <v>279.76</v>
      </c>
      <c r="CC912" s="293">
        <f>+BY912*(1+CC919)</f>
        <v>191.36</v>
      </c>
      <c r="CD912" s="293">
        <f>CB912+CC912</f>
        <v>471.12</v>
      </c>
      <c r="CE912" s="293"/>
      <c r="CF912" s="293">
        <f>+CB912*(1+CF919)</f>
        <v>290.9504</v>
      </c>
      <c r="CG912" s="293">
        <f>+CC912*(1+CG919)</f>
        <v>199.01440000000002</v>
      </c>
      <c r="CH912" s="293">
        <f>CF912+CG912</f>
        <v>489.96480000000003</v>
      </c>
      <c r="CI912" s="293"/>
      <c r="CJ912" s="293">
        <f>+CF912*(1+CJ919)</f>
        <v>302.588416</v>
      </c>
      <c r="CK912" s="293">
        <f>+CG912*(1+CK919)</f>
        <v>206.97497600000003</v>
      </c>
      <c r="CL912" s="293">
        <f>CJ912+CK912</f>
        <v>509.56339200000002</v>
      </c>
      <c r="CM912" s="293"/>
      <c r="CN912" s="293">
        <f>+CJ912*(1+CN919)</f>
        <v>314.69195264000001</v>
      </c>
      <c r="CO912" s="293">
        <f>+CK912*(1+CO919)</f>
        <v>215.25397504000003</v>
      </c>
      <c r="CP912" s="293">
        <f>CN912+CO912</f>
        <v>529.94592768000007</v>
      </c>
      <c r="CQ912" s="293"/>
      <c r="CR912" s="293">
        <f>+CN912*(1+CR919)</f>
        <v>327.2796307456</v>
      </c>
      <c r="CS912" s="293">
        <f>+CO912*(1+CS919)</f>
        <v>223.86413404160004</v>
      </c>
      <c r="CT912" s="293">
        <f>CR912+CS912</f>
        <v>551.1437647872001</v>
      </c>
      <c r="CU912" s="293"/>
      <c r="CV912" s="293">
        <f>+CR912*(1+CV919)</f>
        <v>340.37081597542402</v>
      </c>
      <c r="CW912" s="293">
        <f>+CS912*(1+CW919)</f>
        <v>232.81869940326405</v>
      </c>
      <c r="CX912" s="293">
        <f>CV912+CW912</f>
        <v>573.18951537868804</v>
      </c>
      <c r="CY912" s="293"/>
      <c r="CZ912" s="293">
        <f>+CV912*(1+CZ919)</f>
        <v>353.985648614441</v>
      </c>
      <c r="DA912" s="293">
        <f>+CW912*(1+DA919)</f>
        <v>242.13144737939461</v>
      </c>
      <c r="DB912" s="293">
        <f>CZ912+DA912</f>
        <v>596.11709599383562</v>
      </c>
      <c r="DC912" s="293"/>
      <c r="DD912" s="293">
        <f>+CZ912*(1+DD919)</f>
        <v>368.14507455901867</v>
      </c>
      <c r="DE912" s="293">
        <f>+DA912*(1+DE919)</f>
        <v>251.81670527457041</v>
      </c>
      <c r="DF912" s="293">
        <f>DD912+DE912</f>
        <v>619.96177983358905</v>
      </c>
      <c r="DG912" s="293"/>
      <c r="DH912" s="293">
        <f>+DD912*(1+DH919)</f>
        <v>382.8708775413794</v>
      </c>
      <c r="DI912" s="293">
        <f>+DE912*(1+DI919)</f>
        <v>261.88937348555322</v>
      </c>
      <c r="DJ912" s="293">
        <f>DH912+DI912</f>
        <v>644.76025102693256</v>
      </c>
      <c r="DK912" s="293"/>
      <c r="DL912" s="293">
        <f>+DH912*(1+DL919)</f>
        <v>398.18571264303461</v>
      </c>
      <c r="DM912" s="293">
        <f>+DI912*(1+DM919)</f>
        <v>272.36494842497535</v>
      </c>
      <c r="DN912" s="293">
        <f>DL912+DM912</f>
        <v>670.55066106800996</v>
      </c>
      <c r="DO912" s="293"/>
      <c r="DP912" s="293">
        <f>+DL912*(1+DP919)</f>
        <v>414.11314114875603</v>
      </c>
      <c r="DQ912" s="293">
        <f>+DM912*(1+DQ919)</f>
        <v>283.2595463619744</v>
      </c>
      <c r="DR912" s="293">
        <f>DP912+DQ912</f>
        <v>697.37268751073043</v>
      </c>
      <c r="DS912" s="293"/>
      <c r="DT912" s="293"/>
      <c r="DU912" s="293"/>
      <c r="DV912" s="293"/>
      <c r="DW912" s="293" t="s">
        <v>514</v>
      </c>
      <c r="DX912" s="293"/>
      <c r="DY912" s="293"/>
      <c r="DZ912" s="293"/>
      <c r="EA912" s="293"/>
      <c r="EB912" s="293"/>
      <c r="EC912" s="293"/>
      <c r="ED912" s="293"/>
      <c r="EE912" s="293"/>
      <c r="EF912" s="293"/>
      <c r="EG912" s="293"/>
      <c r="EH912" s="293"/>
      <c r="EI912" s="293"/>
      <c r="EJ912" s="293"/>
      <c r="EK912" s="293"/>
      <c r="EL912" s="293"/>
      <c r="EM912" s="293"/>
      <c r="EN912" s="293"/>
      <c r="EO912" s="293"/>
      <c r="EP912" s="293"/>
      <c r="EQ912" s="293"/>
      <c r="ER912" s="293"/>
      <c r="ES912" s="293"/>
      <c r="ET912" s="293"/>
      <c r="EU912" s="293"/>
      <c r="JW912"/>
    </row>
    <row r="913" spans="1:283" s="327" customFormat="1" hidden="1" outlineLevel="1">
      <c r="A913" s="327" t="s">
        <v>588</v>
      </c>
      <c r="AN913" s="1265"/>
      <c r="AO913" s="1265"/>
      <c r="AP913" s="1265"/>
      <c r="AQ913" s="1265"/>
      <c r="AR913" s="1265">
        <v>347</v>
      </c>
      <c r="AS913" s="1265">
        <v>580</v>
      </c>
      <c r="AT913" s="1265">
        <v>927</v>
      </c>
      <c r="AU913" s="1265"/>
      <c r="AV913" s="1265">
        <v>560</v>
      </c>
      <c r="AW913" s="1265">
        <v>598</v>
      </c>
      <c r="AX913" s="1265">
        <v>1158</v>
      </c>
      <c r="AY913" s="1265"/>
      <c r="AZ913" s="1265">
        <v>328</v>
      </c>
      <c r="BA913" s="1265">
        <v>597</v>
      </c>
      <c r="BB913" s="1265">
        <v>925</v>
      </c>
      <c r="BC913" s="1265"/>
      <c r="BD913" s="1265">
        <v>287</v>
      </c>
      <c r="BE913" s="1265">
        <v>596</v>
      </c>
      <c r="BF913" s="1265">
        <v>883</v>
      </c>
      <c r="BG913" s="1265"/>
      <c r="BH913" s="1265">
        <v>537</v>
      </c>
      <c r="BI913" s="1265">
        <v>637</v>
      </c>
      <c r="BJ913" s="1265">
        <v>1174</v>
      </c>
      <c r="BK913" s="1265"/>
      <c r="BL913" s="1265">
        <v>616</v>
      </c>
      <c r="BM913" s="1265">
        <v>964</v>
      </c>
      <c r="BN913" s="1265">
        <v>1580</v>
      </c>
      <c r="BO913" s="1265"/>
      <c r="BP913" s="1265">
        <v>671</v>
      </c>
      <c r="BQ913" s="1265">
        <v>1022</v>
      </c>
      <c r="BR913" s="1265">
        <v>1693</v>
      </c>
      <c r="BS913" s="1265"/>
      <c r="BT913" s="1265">
        <v>829</v>
      </c>
      <c r="BU913" s="1265">
        <v>916</v>
      </c>
      <c r="BV913" s="1265">
        <v>1745</v>
      </c>
      <c r="BW913" s="640"/>
      <c r="BX913" s="295">
        <f>BX911+BX912</f>
        <v>774</v>
      </c>
      <c r="BY913" s="295">
        <f>BY911+BY912</f>
        <v>916</v>
      </c>
      <c r="BZ913" s="295">
        <f>BZ911+BZ912</f>
        <v>1690</v>
      </c>
      <c r="CA913" s="640"/>
      <c r="CB913" s="295">
        <f>+CB911+CB912</f>
        <v>796.24947538960032</v>
      </c>
      <c r="CC913" s="295">
        <f>+CC911+CC912</f>
        <v>954.97017489845155</v>
      </c>
      <c r="CD913" s="295">
        <f>+CD911+CD912</f>
        <v>1751.219650288052</v>
      </c>
      <c r="CE913" s="640"/>
      <c r="CF913" s="295">
        <f>+CF911+CF912</f>
        <v>823.32418016467068</v>
      </c>
      <c r="CG913" s="295">
        <f>+CG911+CG912</f>
        <v>995.78417390555546</v>
      </c>
      <c r="CH913" s="295">
        <f>+CH911+CH912</f>
        <v>1819.1083540702264</v>
      </c>
      <c r="CI913" s="640"/>
      <c r="CJ913" s="295">
        <f>+CJ911+CJ912</f>
        <v>854.40042058780045</v>
      </c>
      <c r="CK913" s="295">
        <f>+CK911+CK912</f>
        <v>1038.5310505817586</v>
      </c>
      <c r="CL913" s="295">
        <f>+CL911+CL912</f>
        <v>1892.931471169559</v>
      </c>
      <c r="CM913" s="640"/>
      <c r="CN913" s="295">
        <f>+CN911+CN912</f>
        <v>888.90761630086513</v>
      </c>
      <c r="CO913" s="295">
        <f>+CO911+CO912</f>
        <v>1083.3041921991983</v>
      </c>
      <c r="CP913" s="295">
        <f>+CP911+CP912</f>
        <v>1972.2118085000636</v>
      </c>
      <c r="CQ913" s="640"/>
      <c r="CR913" s="295">
        <f>+CR911+CR912</f>
        <v>926.4591948857078</v>
      </c>
      <c r="CS913" s="295">
        <f>+CS911+CS912</f>
        <v>1130.2015317093719</v>
      </c>
      <c r="CT913" s="295">
        <f>+CT911+CT912</f>
        <v>2056.6607265950797</v>
      </c>
      <c r="CU913" s="640"/>
      <c r="CV913" s="295">
        <f>+CV911+CV912</f>
        <v>966.80272842778277</v>
      </c>
      <c r="CW913" s="295">
        <f>+CW911+CW912</f>
        <v>1179.3257701207274</v>
      </c>
      <c r="CX913" s="295">
        <f>+CX911+CX912</f>
        <v>2146.1284985485104</v>
      </c>
      <c r="CY913" s="640"/>
      <c r="CZ913" s="295">
        <f>+CZ911+CZ912</f>
        <v>1009.7839726160687</v>
      </c>
      <c r="DA913" s="295">
        <f>+DA911+DA912</f>
        <v>1230.7846097991335</v>
      </c>
      <c r="DB913" s="295">
        <f>+DB911+DB912</f>
        <v>2240.5685824152024</v>
      </c>
      <c r="DC913" s="640"/>
      <c r="DD913" s="295">
        <f>+DD911+DD912</f>
        <v>1055.3209514494063</v>
      </c>
      <c r="DE913" s="295">
        <f>+DE911+DE912</f>
        <v>1284.6909992295343</v>
      </c>
      <c r="DF913" s="295">
        <f>+DF911+DF912</f>
        <v>2340.0119506789401</v>
      </c>
      <c r="DG913" s="640"/>
      <c r="DH913" s="295">
        <f>+DH911+DH912</f>
        <v>1103.385301563786</v>
      </c>
      <c r="DI913" s="295">
        <f>+DI911+DI912</f>
        <v>1341.1633898036978</v>
      </c>
      <c r="DJ913" s="295">
        <f>+DJ911+DJ912</f>
        <v>2444.5486913674836</v>
      </c>
      <c r="DK913" s="640"/>
      <c r="DL913" s="295">
        <f>+DL911+DL912</f>
        <v>1153.9888638183418</v>
      </c>
      <c r="DM913" s="295">
        <f>+DM911+DM912</f>
        <v>1400.3260052268836</v>
      </c>
      <c r="DN913" s="295">
        <f>+DN911+DN912</f>
        <v>2554.3148690452254</v>
      </c>
      <c r="DO913" s="640"/>
      <c r="DP913" s="295">
        <f>+DP911+DP912</f>
        <v>1207.1740686259657</v>
      </c>
      <c r="DQ913" s="295">
        <f>+DQ911+DQ912</f>
        <v>1462.3091241655577</v>
      </c>
      <c r="DR913" s="295">
        <f>+DR911+DR912</f>
        <v>2669.4831927915234</v>
      </c>
      <c r="DS913" s="640"/>
      <c r="DT913" s="640"/>
      <c r="DU913" s="640"/>
      <c r="DV913" s="640"/>
      <c r="DW913" s="1229"/>
      <c r="DX913" s="1229"/>
      <c r="DY913" s="1229"/>
      <c r="DZ913" s="290"/>
      <c r="EA913" s="1229"/>
      <c r="EB913" s="1229"/>
      <c r="EC913" s="853"/>
      <c r="ED913" s="290"/>
      <c r="EE913" s="1229"/>
      <c r="EF913" s="1229"/>
      <c r="EG913" s="295"/>
      <c r="EH913" s="295"/>
      <c r="EI913" s="295"/>
      <c r="EJ913" s="295"/>
      <c r="EK913" s="295"/>
      <c r="EL913" s="295"/>
      <c r="EM913" s="295"/>
      <c r="EN913" s="295"/>
      <c r="EO913" s="295"/>
      <c r="EP913" s="295"/>
      <c r="EQ913" s="295"/>
      <c r="ER913" s="295"/>
      <c r="ES913" s="295"/>
      <c r="ET913" s="295"/>
      <c r="EU913" s="295"/>
      <c r="JW913"/>
    </row>
    <row r="914" spans="1:283" hidden="1" outlineLevel="1">
      <c r="A914" s="102" t="s">
        <v>835</v>
      </c>
      <c r="AN914" s="1275"/>
      <c r="AO914" s="1275"/>
      <c r="AP914" s="1275"/>
      <c r="AQ914" s="1275"/>
      <c r="AR914" s="1275"/>
      <c r="AS914" s="1275"/>
      <c r="AT914" s="1275"/>
      <c r="AU914" s="1275"/>
      <c r="AV914" s="1275"/>
      <c r="AW914" s="1275"/>
      <c r="AX914" s="1275"/>
      <c r="AY914" s="1275"/>
      <c r="AZ914" s="1275"/>
      <c r="BA914" s="1275"/>
      <c r="BB914" s="1275"/>
      <c r="BC914" s="1275"/>
      <c r="BD914" s="1275"/>
      <c r="BE914" s="1275"/>
      <c r="BF914" s="1275"/>
      <c r="BG914" s="1275"/>
      <c r="BH914" s="1275"/>
      <c r="BI914" s="1275"/>
      <c r="BJ914" s="1275"/>
      <c r="BK914" s="1275"/>
      <c r="BL914" s="1275"/>
      <c r="BM914" s="1275"/>
      <c r="BN914" s="1275"/>
      <c r="BO914" s="1275"/>
      <c r="BP914" s="1275"/>
      <c r="BQ914" s="1275"/>
      <c r="BR914" s="1275"/>
      <c r="BS914" s="1275"/>
      <c r="BT914" s="1275"/>
      <c r="BU914" s="1275"/>
      <c r="BV914" s="1275"/>
      <c r="CB914" s="293"/>
      <c r="CC914" s="293"/>
      <c r="CD914" s="293"/>
      <c r="CF914" s="293"/>
      <c r="CG914" s="293"/>
      <c r="CH914" s="293"/>
      <c r="CJ914" s="293"/>
      <c r="CK914" s="293"/>
      <c r="CL914" s="293"/>
      <c r="CN914" s="293"/>
      <c r="CO914" s="293"/>
      <c r="CP914" s="293"/>
      <c r="CR914" s="293"/>
      <c r="CS914" s="293"/>
      <c r="CT914" s="293"/>
      <c r="CV914" s="293"/>
      <c r="CW914" s="293"/>
      <c r="CX914" s="293"/>
      <c r="CZ914" s="293"/>
      <c r="DA914" s="293"/>
      <c r="DB914" s="293"/>
      <c r="DD914" s="293"/>
      <c r="DE914" s="293"/>
      <c r="DF914" s="293"/>
      <c r="DH914" s="293"/>
      <c r="DI914" s="293"/>
      <c r="DJ914" s="293"/>
      <c r="DL914" s="293"/>
      <c r="DM914" s="293"/>
      <c r="DN914" s="293"/>
      <c r="DP914" s="293"/>
      <c r="DQ914" s="293"/>
      <c r="DR914" s="293"/>
      <c r="DW914" s="1197"/>
      <c r="DX914" s="293"/>
      <c r="DY914" s="293"/>
      <c r="EA914" s="293"/>
      <c r="EB914" s="293"/>
      <c r="EC914" s="293"/>
      <c r="EE914" s="293"/>
      <c r="EF914" s="293"/>
      <c r="EG914" s="293"/>
      <c r="EI914" s="293"/>
      <c r="EJ914" s="293"/>
      <c r="EK914" s="293"/>
    </row>
    <row r="915" spans="1:283" s="302" customFormat="1" hidden="1" outlineLevel="1">
      <c r="A915" s="302" t="str">
        <f>A908</f>
        <v>Commodities: Risk Management</v>
      </c>
      <c r="AN915" s="1281"/>
      <c r="AO915" s="1281"/>
      <c r="AP915" s="1281"/>
      <c r="AQ915" s="1281"/>
      <c r="AR915" s="1281"/>
      <c r="AS915" s="1281"/>
      <c r="AT915" s="1281"/>
      <c r="AU915" s="1281"/>
      <c r="AV915" s="1281"/>
      <c r="AW915" s="1281"/>
      <c r="AX915" s="1281"/>
      <c r="AY915" s="1281"/>
      <c r="AZ915" s="1281"/>
      <c r="BA915" s="1281"/>
      <c r="BB915" s="1281"/>
      <c r="BC915" s="1281"/>
      <c r="BD915" s="1281"/>
      <c r="BE915" s="1281"/>
      <c r="BF915" s="1281"/>
      <c r="BG915" s="1281"/>
      <c r="BH915" s="1281"/>
      <c r="BI915" s="1281"/>
      <c r="BJ915" s="1281"/>
      <c r="BK915" s="1281"/>
      <c r="BL915" s="1281"/>
      <c r="BM915" s="1281"/>
      <c r="BN915" s="1281"/>
      <c r="BO915" s="1281"/>
      <c r="BP915" s="1282">
        <v>0.70440251572327051</v>
      </c>
      <c r="BQ915" s="1282">
        <v>-0.15223097112860895</v>
      </c>
      <c r="BR915" s="1282">
        <v>0.10000000000000009</v>
      </c>
      <c r="BS915" s="1281"/>
      <c r="BT915" s="1282">
        <v>0.27306273062730635</v>
      </c>
      <c r="BU915" s="1282">
        <v>0.46749226006191957</v>
      </c>
      <c r="BV915" s="1282">
        <v>0.3787878787878789</v>
      </c>
      <c r="BW915" s="300"/>
      <c r="BX915" s="643">
        <f t="shared" ref="BX915:BX920" si="2281">+BX908/BT908-1</f>
        <v>-6.956521739130439E-2</v>
      </c>
      <c r="BY915" s="643">
        <f t="shared" ref="BY915:BY920" si="2282">+BY908/BU908-1</f>
        <v>0</v>
      </c>
      <c r="BZ915" s="643">
        <f t="shared" ref="BZ915:BZ920" si="2283">+BZ908/BV908-1</f>
        <v>-2.9304029304029311E-2</v>
      </c>
      <c r="CA915" s="304"/>
      <c r="CB915" s="645">
        <v>0.05</v>
      </c>
      <c r="CC915" s="645">
        <v>0.05</v>
      </c>
      <c r="CD915" s="643">
        <f t="shared" ref="CD915:CD920" si="2284">+CD908/BZ908-1</f>
        <v>5.0000000000000044E-2</v>
      </c>
      <c r="CE915" s="304"/>
      <c r="CF915" s="645">
        <v>0.05</v>
      </c>
      <c r="CG915" s="645">
        <v>0.05</v>
      </c>
      <c r="CH915" s="643">
        <f t="shared" ref="CH915:CH920" si="2285">+CH908/CD908-1</f>
        <v>5.0000000000000044E-2</v>
      </c>
      <c r="CI915" s="304"/>
      <c r="CJ915" s="645">
        <v>0.05</v>
      </c>
      <c r="CK915" s="645">
        <v>0.05</v>
      </c>
      <c r="CL915" s="643">
        <f t="shared" ref="CL915:CL920" si="2286">+CL908/CH908-1</f>
        <v>5.0000000000000044E-2</v>
      </c>
      <c r="CM915" s="304"/>
      <c r="CN915" s="645">
        <v>0.05</v>
      </c>
      <c r="CO915" s="645">
        <v>0.05</v>
      </c>
      <c r="CP915" s="643">
        <f t="shared" ref="CP915:CP920" si="2287">+CP908/CL908-1</f>
        <v>5.0000000000000044E-2</v>
      </c>
      <c r="CQ915" s="304"/>
      <c r="CR915" s="645">
        <v>0.05</v>
      </c>
      <c r="CS915" s="645">
        <v>0.05</v>
      </c>
      <c r="CT915" s="643">
        <f t="shared" ref="CT915:CT920" si="2288">+CT908/CP908-1</f>
        <v>5.0000000000000044E-2</v>
      </c>
      <c r="CU915" s="304"/>
      <c r="CV915" s="645">
        <v>0.05</v>
      </c>
      <c r="CW915" s="645">
        <v>0.05</v>
      </c>
      <c r="CX915" s="643">
        <f t="shared" ref="CX915:CX920" si="2289">+CX908/CT908-1</f>
        <v>5.0000000000000044E-2</v>
      </c>
      <c r="CY915" s="304"/>
      <c r="CZ915" s="645">
        <v>0.05</v>
      </c>
      <c r="DA915" s="645">
        <v>0.05</v>
      </c>
      <c r="DB915" s="643">
        <f t="shared" ref="DB915:DB920" si="2290">+DB908/CX908-1</f>
        <v>5.0000000000000044E-2</v>
      </c>
      <c r="DC915" s="304"/>
      <c r="DD915" s="645">
        <v>0.05</v>
      </c>
      <c r="DE915" s="645">
        <v>0.05</v>
      </c>
      <c r="DF915" s="643">
        <f t="shared" ref="DF915:DF920" si="2291">+DF908/DB908-1</f>
        <v>4.9999999999999822E-2</v>
      </c>
      <c r="DG915" s="304"/>
      <c r="DH915" s="645">
        <v>0.05</v>
      </c>
      <c r="DI915" s="645">
        <v>0.05</v>
      </c>
      <c r="DJ915" s="643">
        <f t="shared" ref="DJ915:DJ920" si="2292">+DJ908/DF908-1</f>
        <v>5.0000000000000044E-2</v>
      </c>
      <c r="DK915" s="304"/>
      <c r="DL915" s="645">
        <v>0.05</v>
      </c>
      <c r="DM915" s="645">
        <v>0.05</v>
      </c>
      <c r="DN915" s="643">
        <f t="shared" ref="DN915:DN920" si="2293">+DN908/DJ908-1</f>
        <v>5.0000000000000044E-2</v>
      </c>
      <c r="DO915" s="304"/>
      <c r="DP915" s="645">
        <v>0.05</v>
      </c>
      <c r="DQ915" s="645">
        <v>0.05</v>
      </c>
      <c r="DR915" s="643">
        <f t="shared" ref="DR915:DR920" si="2294">+DR908/DN908-1</f>
        <v>5.0000000000000044E-2</v>
      </c>
      <c r="DS915" s="304"/>
      <c r="DT915" s="304"/>
      <c r="DU915" s="304"/>
      <c r="DV915" s="304"/>
      <c r="DW915" s="1208"/>
      <c r="DX915" s="303"/>
      <c r="DY915" s="303"/>
      <c r="DZ915" s="304"/>
      <c r="EA915" s="303"/>
      <c r="EB915" s="303"/>
      <c r="EC915" s="303"/>
      <c r="ED915" s="304"/>
      <c r="EE915" s="303"/>
      <c r="EF915" s="303"/>
      <c r="EG915" s="303"/>
      <c r="EH915" s="304"/>
      <c r="EI915" s="303"/>
      <c r="EJ915" s="303"/>
      <c r="EK915" s="303"/>
      <c r="EL915" s="304"/>
      <c r="EM915" s="304"/>
      <c r="EN915" s="304"/>
      <c r="EO915" s="304"/>
      <c r="EP915" s="304"/>
      <c r="EQ915" s="304"/>
      <c r="ER915" s="304"/>
      <c r="ES915" s="304"/>
      <c r="ET915" s="304"/>
      <c r="EU915" s="304"/>
      <c r="JW915"/>
    </row>
    <row r="916" spans="1:283" s="302" customFormat="1" hidden="1" outlineLevel="1">
      <c r="A916" s="302" t="str">
        <f>A909</f>
        <v>Commodities: Lending and Financing</v>
      </c>
      <c r="AN916" s="1281"/>
      <c r="AO916" s="1281"/>
      <c r="AP916" s="1281"/>
      <c r="AQ916" s="1281"/>
      <c r="AR916" s="1281"/>
      <c r="AS916" s="1281"/>
      <c r="AT916" s="1281"/>
      <c r="AU916" s="1281"/>
      <c r="AV916" s="1281"/>
      <c r="AW916" s="1281"/>
      <c r="AX916" s="1281"/>
      <c r="AY916" s="1281"/>
      <c r="AZ916" s="1281"/>
      <c r="BA916" s="1281"/>
      <c r="BB916" s="1281"/>
      <c r="BC916" s="1281"/>
      <c r="BD916" s="1281"/>
      <c r="BE916" s="1281"/>
      <c r="BF916" s="1281"/>
      <c r="BG916" s="1281"/>
      <c r="BH916" s="1281"/>
      <c r="BI916" s="1281"/>
      <c r="BJ916" s="1281"/>
      <c r="BK916" s="1281"/>
      <c r="BL916" s="1281"/>
      <c r="BM916" s="1281"/>
      <c r="BN916" s="1281"/>
      <c r="BO916" s="1281"/>
      <c r="BP916" s="1282">
        <v>-0.25</v>
      </c>
      <c r="BQ916" s="1282">
        <v>-9.2307692307692313E-2</v>
      </c>
      <c r="BR916" s="1282">
        <v>-0.16971279373368142</v>
      </c>
      <c r="BS916" s="1281"/>
      <c r="BT916" s="1282">
        <v>4.9645390070921946E-2</v>
      </c>
      <c r="BU916" s="1282">
        <v>-0.18644067796610164</v>
      </c>
      <c r="BV916" s="1282">
        <v>-8.1761006289308158E-2</v>
      </c>
      <c r="BW916" s="300"/>
      <c r="BX916" s="643">
        <f t="shared" si="2281"/>
        <v>-4.0540540540540571E-2</v>
      </c>
      <c r="BY916" s="643">
        <f t="shared" si="2282"/>
        <v>0</v>
      </c>
      <c r="BZ916" s="643">
        <f t="shared" si="2283"/>
        <v>-2.0547945205479423E-2</v>
      </c>
      <c r="CA916" s="304"/>
      <c r="CB916" s="645">
        <v>0.05</v>
      </c>
      <c r="CC916" s="645">
        <v>0.05</v>
      </c>
      <c r="CD916" s="643">
        <f t="shared" si="2284"/>
        <v>5.0000000000000044E-2</v>
      </c>
      <c r="CE916" s="304"/>
      <c r="CF916" s="645">
        <v>0.05</v>
      </c>
      <c r="CG916" s="645">
        <v>0.05</v>
      </c>
      <c r="CH916" s="643">
        <f t="shared" si="2285"/>
        <v>5.0000000000000044E-2</v>
      </c>
      <c r="CI916" s="304"/>
      <c r="CJ916" s="645">
        <v>0.05</v>
      </c>
      <c r="CK916" s="645">
        <v>0.05</v>
      </c>
      <c r="CL916" s="643">
        <f t="shared" si="2286"/>
        <v>5.0000000000000044E-2</v>
      </c>
      <c r="CM916" s="304"/>
      <c r="CN916" s="645">
        <v>0.05</v>
      </c>
      <c r="CO916" s="645">
        <v>0.05</v>
      </c>
      <c r="CP916" s="643">
        <f t="shared" si="2287"/>
        <v>5.0000000000000044E-2</v>
      </c>
      <c r="CQ916" s="304"/>
      <c r="CR916" s="645">
        <v>0.05</v>
      </c>
      <c r="CS916" s="645">
        <v>0.05</v>
      </c>
      <c r="CT916" s="643">
        <f t="shared" si="2288"/>
        <v>5.0000000000000044E-2</v>
      </c>
      <c r="CU916" s="304"/>
      <c r="CV916" s="645">
        <v>0.05</v>
      </c>
      <c r="CW916" s="645">
        <v>0.05</v>
      </c>
      <c r="CX916" s="643">
        <f t="shared" si="2289"/>
        <v>5.0000000000000044E-2</v>
      </c>
      <c r="CY916" s="304"/>
      <c r="CZ916" s="645">
        <v>0.05</v>
      </c>
      <c r="DA916" s="645">
        <v>0.05</v>
      </c>
      <c r="DB916" s="643">
        <f t="shared" si="2290"/>
        <v>5.0000000000000044E-2</v>
      </c>
      <c r="DC916" s="304"/>
      <c r="DD916" s="645">
        <v>0.05</v>
      </c>
      <c r="DE916" s="645">
        <v>0.05</v>
      </c>
      <c r="DF916" s="643">
        <f t="shared" si="2291"/>
        <v>4.9999999999999822E-2</v>
      </c>
      <c r="DG916" s="304"/>
      <c r="DH916" s="645">
        <v>0.05</v>
      </c>
      <c r="DI916" s="645">
        <v>0.05</v>
      </c>
      <c r="DJ916" s="643">
        <f t="shared" si="2292"/>
        <v>5.0000000000000044E-2</v>
      </c>
      <c r="DK916" s="304"/>
      <c r="DL916" s="645">
        <v>0.05</v>
      </c>
      <c r="DM916" s="645">
        <v>0.05</v>
      </c>
      <c r="DN916" s="643">
        <f t="shared" si="2293"/>
        <v>5.0000000000000044E-2</v>
      </c>
      <c r="DO916" s="304"/>
      <c r="DP916" s="645">
        <v>0.05</v>
      </c>
      <c r="DQ916" s="645">
        <v>0.05</v>
      </c>
      <c r="DR916" s="643">
        <f t="shared" si="2294"/>
        <v>5.0000000000000044E-2</v>
      </c>
      <c r="DS916" s="304"/>
      <c r="DT916" s="304"/>
      <c r="DU916" s="304"/>
      <c r="DV916" s="304"/>
      <c r="DW916" s="1208"/>
      <c r="DX916" s="303"/>
      <c r="DY916" s="303"/>
      <c r="DZ916" s="304"/>
      <c r="EA916" s="303"/>
      <c r="EB916" s="303"/>
      <c r="EC916" s="303"/>
      <c r="ED916" s="304"/>
      <c r="EE916" s="303"/>
      <c r="EF916" s="303"/>
      <c r="EG916" s="303"/>
      <c r="EH916" s="304"/>
      <c r="EI916" s="303"/>
      <c r="EJ916" s="303"/>
      <c r="EK916" s="303"/>
      <c r="EL916" s="304"/>
      <c r="EM916" s="304"/>
      <c r="EN916" s="304"/>
      <c r="EO916" s="304"/>
      <c r="EP916" s="304"/>
      <c r="EQ916" s="304"/>
      <c r="ER916" s="304"/>
      <c r="ES916" s="304"/>
      <c r="ET916" s="304"/>
      <c r="EU916" s="304"/>
      <c r="JW916"/>
    </row>
    <row r="917" spans="1:283" s="302" customFormat="1" hidden="1" outlineLevel="1">
      <c r="A917" s="302" t="str">
        <f>A910</f>
        <v>Commodities: Inventory Mgmt, Transport &amp; Storage</v>
      </c>
      <c r="AN917" s="1281"/>
      <c r="AO917" s="1281"/>
      <c r="AP917" s="1281"/>
      <c r="AQ917" s="1281"/>
      <c r="AR917" s="1281"/>
      <c r="AS917" s="1281"/>
      <c r="AT917" s="1281"/>
      <c r="AU917" s="1281"/>
      <c r="AV917" s="1281"/>
      <c r="AW917" s="1281"/>
      <c r="AX917" s="1281"/>
      <c r="AY917" s="1281"/>
      <c r="AZ917" s="1281"/>
      <c r="BA917" s="1281"/>
      <c r="BB917" s="1281"/>
      <c r="BC917" s="1281"/>
      <c r="BD917" s="1281"/>
      <c r="BE917" s="1281"/>
      <c r="BF917" s="1281"/>
      <c r="BG917" s="1281"/>
      <c r="BH917" s="1281"/>
      <c r="BI917" s="1281"/>
      <c r="BJ917" s="1281"/>
      <c r="BK917" s="1281"/>
      <c r="BL917" s="1281"/>
      <c r="BM917" s="1281"/>
      <c r="BN917" s="1281"/>
      <c r="BO917" s="1281"/>
      <c r="BP917" s="1282">
        <v>-0.86956521739130432</v>
      </c>
      <c r="BQ917" s="1282">
        <v>0.3354838709677419</v>
      </c>
      <c r="BR917" s="1282">
        <v>5.9701492537313383E-2</v>
      </c>
      <c r="BS917" s="1281"/>
      <c r="BT917" s="1282">
        <v>14</v>
      </c>
      <c r="BU917" s="1282">
        <v>-0.44927536231884058</v>
      </c>
      <c r="BV917" s="1282">
        <v>-4.2253521126760618E-2</v>
      </c>
      <c r="BW917" s="300"/>
      <c r="BX917" s="643">
        <f t="shared" si="2281"/>
        <v>-0.53333333333333333</v>
      </c>
      <c r="BY917" s="643">
        <f t="shared" si="2282"/>
        <v>0</v>
      </c>
      <c r="BZ917" s="643">
        <f t="shared" si="2283"/>
        <v>-0.23529411764705888</v>
      </c>
      <c r="CA917" s="304"/>
      <c r="CB917" s="645">
        <v>-0.27763153834284815</v>
      </c>
      <c r="CC917" s="645">
        <v>6.2296043723810701E-3</v>
      </c>
      <c r="CD917" s="643">
        <f t="shared" si="2284"/>
        <v>-7.0194549435565246E-2</v>
      </c>
      <c r="CE917" s="304"/>
      <c r="CF917" s="645">
        <v>-0.27763153834284815</v>
      </c>
      <c r="CG917" s="645">
        <v>6.2296043723810701E-3</v>
      </c>
      <c r="CH917" s="643">
        <f t="shared" si="2285"/>
        <v>-5.3144535009338911E-2</v>
      </c>
      <c r="CI917" s="304"/>
      <c r="CJ917" s="645">
        <v>-0.27763153834284815</v>
      </c>
      <c r="CK917" s="645">
        <v>6.2296043723810701E-3</v>
      </c>
      <c r="CL917" s="643">
        <f t="shared" si="2286"/>
        <v>-3.9067705843612188E-2</v>
      </c>
      <c r="CM917" s="304"/>
      <c r="CN917" s="645">
        <v>-0.27763153834284815</v>
      </c>
      <c r="CO917" s="645">
        <v>6.2296043723810701E-3</v>
      </c>
      <c r="CP917" s="643">
        <f t="shared" si="2287"/>
        <v>-2.7822064508890354E-2</v>
      </c>
      <c r="CQ917" s="304"/>
      <c r="CR917" s="645">
        <v>-0.27763153834284815</v>
      </c>
      <c r="CS917" s="645">
        <v>6.2296043723810701E-3</v>
      </c>
      <c r="CT917" s="643">
        <f t="shared" si="2288"/>
        <v>-1.9072195605414843E-2</v>
      </c>
      <c r="CU917" s="304"/>
      <c r="CV917" s="645">
        <v>-0.27763153834284815</v>
      </c>
      <c r="CW917" s="645">
        <v>6.2296043723810701E-3</v>
      </c>
      <c r="CX917" s="643">
        <f t="shared" si="2289"/>
        <v>-1.2402982292238907E-2</v>
      </c>
      <c r="CY917" s="304"/>
      <c r="CZ917" s="645">
        <v>-0.27763153834284815</v>
      </c>
      <c r="DA917" s="645">
        <v>6.2296043723810701E-3</v>
      </c>
      <c r="DB917" s="643">
        <f t="shared" si="2290"/>
        <v>-7.3990242324877276E-3</v>
      </c>
      <c r="DC917" s="304"/>
      <c r="DD917" s="645">
        <v>-0.27763153834284815</v>
      </c>
      <c r="DE917" s="645">
        <v>6.2296043723810701E-3</v>
      </c>
      <c r="DF917" s="643">
        <f t="shared" si="2291"/>
        <v>-3.6886726796672153E-3</v>
      </c>
      <c r="DG917" s="304"/>
      <c r="DH917" s="645">
        <v>-0.27763153834284815</v>
      </c>
      <c r="DI917" s="645">
        <v>6.2296043723810701E-3</v>
      </c>
      <c r="DJ917" s="643">
        <f t="shared" si="2292"/>
        <v>-9.6157206003744111E-4</v>
      </c>
      <c r="DK917" s="304"/>
      <c r="DL917" s="645">
        <v>-0.27763153834284815</v>
      </c>
      <c r="DM917" s="645">
        <v>6.2296043723810701E-3</v>
      </c>
      <c r="DN917" s="643">
        <f t="shared" si="2293"/>
        <v>1.029925449416158E-3</v>
      </c>
      <c r="DO917" s="304"/>
      <c r="DP917" s="645">
        <v>-0.27763153834284815</v>
      </c>
      <c r="DQ917" s="645">
        <v>6.2296043723810701E-3</v>
      </c>
      <c r="DR917" s="643">
        <f t="shared" si="2294"/>
        <v>2.4773848141026455E-3</v>
      </c>
      <c r="DS917" s="304"/>
      <c r="DT917" s="304"/>
      <c r="DU917" s="304"/>
      <c r="DV917" s="304"/>
      <c r="DW917" s="1208"/>
      <c r="DX917" s="303"/>
      <c r="DY917" s="303"/>
      <c r="DZ917" s="304"/>
      <c r="EA917" s="303"/>
      <c r="EB917" s="303"/>
      <c r="EC917" s="303"/>
      <c r="ED917" s="304"/>
      <c r="EE917" s="303"/>
      <c r="EF917" s="303"/>
      <c r="EG917" s="303"/>
      <c r="EH917" s="304"/>
      <c r="EI917" s="303"/>
      <c r="EJ917" s="303"/>
      <c r="EK917" s="303"/>
      <c r="EL917" s="304"/>
      <c r="EM917" s="304"/>
      <c r="EN917" s="304"/>
      <c r="EO917" s="304"/>
      <c r="EP917" s="304"/>
      <c r="EQ917" s="304"/>
      <c r="ER917" s="304"/>
      <c r="ES917" s="304"/>
      <c r="ET917" s="304"/>
      <c r="EU917" s="304"/>
      <c r="JW917"/>
    </row>
    <row r="918" spans="1:283" s="323" customFormat="1" hidden="1" outlineLevel="1">
      <c r="A918" s="323" t="str">
        <f>+A911</f>
        <v>Commodities: Total</v>
      </c>
      <c r="AN918" s="1276"/>
      <c r="AO918" s="1276"/>
      <c r="AP918" s="1276"/>
      <c r="AQ918" s="1276"/>
      <c r="AR918" s="1276"/>
      <c r="AS918" s="1276"/>
      <c r="AT918" s="1276"/>
      <c r="AU918" s="1276"/>
      <c r="AV918" s="1278"/>
      <c r="AW918" s="1278"/>
      <c r="AX918" s="1278"/>
      <c r="AY918" s="1276"/>
      <c r="AZ918" s="1278"/>
      <c r="BA918" s="1278"/>
      <c r="BB918" s="1278"/>
      <c r="BC918" s="1276"/>
      <c r="BD918" s="1278"/>
      <c r="BE918" s="1278"/>
      <c r="BF918" s="1278"/>
      <c r="BG918" s="1276"/>
      <c r="BH918" s="1278"/>
      <c r="BI918" s="1278"/>
      <c r="BJ918" s="1278"/>
      <c r="BK918" s="1276"/>
      <c r="BL918" s="1278">
        <v>0.13256484149855918</v>
      </c>
      <c r="BM918" s="1278">
        <v>0.99726775956284164</v>
      </c>
      <c r="BN918" s="1278">
        <v>0.57643758765778408</v>
      </c>
      <c r="BO918" s="1276"/>
      <c r="BP918" s="1278">
        <v>6.3613231552162919E-2</v>
      </c>
      <c r="BQ918" s="1278">
        <v>-3.2831737346101231E-2</v>
      </c>
      <c r="BR918" s="1278">
        <v>8.8967971530240497E-4</v>
      </c>
      <c r="BS918" s="1276"/>
      <c r="BT918" s="1278">
        <v>0.39473684210526305</v>
      </c>
      <c r="BU918" s="1278">
        <v>3.536067892503536E-2</v>
      </c>
      <c r="BV918" s="1278">
        <v>0.16888888888888887</v>
      </c>
      <c r="BW918" s="115"/>
      <c r="BX918" s="648">
        <f t="shared" si="2281"/>
        <v>-0.13379073756432247</v>
      </c>
      <c r="BY918" s="648">
        <f t="shared" si="2282"/>
        <v>0</v>
      </c>
      <c r="BZ918" s="648">
        <f t="shared" si="2283"/>
        <v>-5.9315589353612141E-2</v>
      </c>
      <c r="CA918" s="115"/>
      <c r="CB918" s="648">
        <f>+CB911/BX911-1</f>
        <v>2.2751436415050064E-2</v>
      </c>
      <c r="CC918" s="648">
        <f>+CC911/BY911-1</f>
        <v>4.3183299041600565E-2</v>
      </c>
      <c r="CD918" s="648">
        <f t="shared" si="2284"/>
        <v>3.484207783997717E-2</v>
      </c>
      <c r="CE918" s="115"/>
      <c r="CF918" s="648">
        <f>+CF911/CB911-1</f>
        <v>3.0754362928864021E-2</v>
      </c>
      <c r="CG918" s="648">
        <f>+CG911/CC911-1</f>
        <v>4.3424773656943083E-2</v>
      </c>
      <c r="CH918" s="648">
        <f t="shared" si="2285"/>
        <v>3.8312567127987585E-2</v>
      </c>
      <c r="CI918" s="115"/>
      <c r="CJ918" s="648">
        <f>+CJ911/CF911-1</f>
        <v>3.6512362455410896E-2</v>
      </c>
      <c r="CK918" s="648">
        <f>+CK911/CG911-1</f>
        <v>4.3659162050901923E-2</v>
      </c>
      <c r="CL918" s="648">
        <f t="shared" si="2286"/>
        <v>4.0796590355707707E-2</v>
      </c>
      <c r="CM918" s="115"/>
      <c r="CN918" s="648">
        <f>+CN911/CJ911-1</f>
        <v>4.0600166155863482E-2</v>
      </c>
      <c r="CO918" s="648">
        <f>+CO911/CK911-1</f>
        <v>4.3886568438327833E-2</v>
      </c>
      <c r="CP918" s="648">
        <f t="shared" si="2287"/>
        <v>4.2575654691888731E-2</v>
      </c>
      <c r="CQ918" s="115"/>
      <c r="CR918" s="648">
        <f>+CR911/CN911-1</f>
        <v>4.3474781443765043E-2</v>
      </c>
      <c r="CS918" s="648">
        <f>+CS911/CO911-1</f>
        <v>4.4107103197178255E-2</v>
      </c>
      <c r="CT918" s="648">
        <f t="shared" si="2288"/>
        <v>4.3855354154153314E-2</v>
      </c>
      <c r="CU918" s="115"/>
      <c r="CV918" s="648">
        <f>+CV911/CR911-1</f>
        <v>4.5482773350858929E-2</v>
      </c>
      <c r="CW918" s="648">
        <f>+CW911/CS911-1</f>
        <v>4.4320882215671542E-2</v>
      </c>
      <c r="CX918" s="648">
        <f t="shared" si="2289"/>
        <v>4.4783302395331459E-2</v>
      </c>
      <c r="CY918" s="115"/>
      <c r="CZ918" s="648">
        <f>+CZ911/CV911-1</f>
        <v>4.6878856210095021E-2</v>
      </c>
      <c r="DA918" s="648">
        <f>+DA911/CW911-1</f>
        <v>4.4528026262210973E-2</v>
      </c>
      <c r="DB918" s="648">
        <f t="shared" si="2290"/>
        <v>4.5464257683683895E-2</v>
      </c>
      <c r="DC918" s="115"/>
      <c r="DD918" s="648">
        <f>+DD911/CZ911-1</f>
        <v>4.784634504293428E-2</v>
      </c>
      <c r="DE918" s="648">
        <f>+DE911/DA911-1</f>
        <v>4.4728660379736551E-2</v>
      </c>
      <c r="DF918" s="648">
        <f t="shared" si="2291"/>
        <v>4.5971976095507294E-2</v>
      </c>
      <c r="DG918" s="115"/>
      <c r="DH918" s="648">
        <f>+DH911/DD911-1</f>
        <v>4.8515304819608529E-2</v>
      </c>
      <c r="DI918" s="648">
        <f>+DI911/DE911-1</f>
        <v>4.4922913305850853E-2</v>
      </c>
      <c r="DJ918" s="648">
        <f t="shared" si="2292"/>
        <v>4.6358106784763597E-2</v>
      </c>
      <c r="DK918" s="115"/>
      <c r="DL918" s="648">
        <f>+DL911/DH911-1</f>
        <v>4.8977127974614065E-2</v>
      </c>
      <c r="DM918" s="648">
        <f>+DM911/DI911-1</f>
        <v>4.5110916919741673E-2</v>
      </c>
      <c r="DN918" s="648">
        <f t="shared" si="2293"/>
        <v>4.665868818491492E-2</v>
      </c>
      <c r="DO918" s="115"/>
      <c r="DP918" s="648">
        <f>+DP911/DL911-1</f>
        <v>4.9295608577398564E-2</v>
      </c>
      <c r="DQ918" s="648">
        <f>+DQ911/DM911-1</f>
        <v>4.5292805716649287E-2</v>
      </c>
      <c r="DR918" s="648">
        <f t="shared" si="2294"/>
        <v>4.689880874127228E-2</v>
      </c>
      <c r="DS918" s="115"/>
      <c r="DT918" s="115"/>
      <c r="DU918" s="115"/>
      <c r="DV918" s="115"/>
      <c r="DW918" s="1214" t="s">
        <v>175</v>
      </c>
      <c r="DX918" s="648"/>
      <c r="DY918" s="648"/>
      <c r="DZ918" s="115"/>
      <c r="EA918" s="648"/>
      <c r="EB918" s="648"/>
      <c r="EC918" s="648"/>
      <c r="ED918" s="115"/>
      <c r="EE918" s="648"/>
      <c r="EF918" s="648"/>
      <c r="EG918" s="648"/>
      <c r="EH918" s="115"/>
      <c r="EI918" s="648"/>
      <c r="EJ918" s="648"/>
      <c r="EK918" s="648"/>
      <c r="EL918" s="115"/>
      <c r="EM918" s="115"/>
      <c r="EN918" s="115"/>
      <c r="EO918" s="115"/>
      <c r="EP918" s="115"/>
      <c r="EQ918" s="115"/>
      <c r="ER918" s="115"/>
      <c r="ES918" s="115"/>
      <c r="ET918" s="115"/>
      <c r="EU918" s="115"/>
      <c r="JW918"/>
    </row>
    <row r="919" spans="1:283" s="642" customFormat="1" hidden="1" outlineLevel="1">
      <c r="A919" s="642" t="str">
        <f>+A912</f>
        <v>Credit, interest rates and FX</v>
      </c>
      <c r="AN919" s="1283"/>
      <c r="AO919" s="1283"/>
      <c r="AP919" s="1283"/>
      <c r="AQ919" s="1283"/>
      <c r="AR919" s="1283"/>
      <c r="AS919" s="1283"/>
      <c r="AT919" s="1283"/>
      <c r="AU919" s="1283"/>
      <c r="AV919" s="1282"/>
      <c r="AW919" s="1282"/>
      <c r="AX919" s="1282"/>
      <c r="AY919" s="1283"/>
      <c r="AZ919" s="1282"/>
      <c r="BA919" s="1282"/>
      <c r="BB919" s="1282"/>
      <c r="BC919" s="1283"/>
      <c r="BD919" s="1282"/>
      <c r="BE919" s="1282"/>
      <c r="BF919" s="1282"/>
      <c r="BG919" s="1283"/>
      <c r="BH919" s="1282"/>
      <c r="BI919" s="1282"/>
      <c r="BJ919" s="1282"/>
      <c r="BK919" s="1283"/>
      <c r="BL919" s="1282">
        <v>0.17368421052631589</v>
      </c>
      <c r="BM919" s="1282">
        <v>-0.14022140221402213</v>
      </c>
      <c r="BN919" s="1282">
        <v>-1.0845986984815648E-2</v>
      </c>
      <c r="BO919" s="1283"/>
      <c r="BP919" s="1282">
        <v>0.13452914798206272</v>
      </c>
      <c r="BQ919" s="1282">
        <v>0.35193133047210301</v>
      </c>
      <c r="BR919" s="1282">
        <v>0.2456140350877194</v>
      </c>
      <c r="BS919" s="1283"/>
      <c r="BT919" s="1282">
        <v>-2.7667984189723271E-2</v>
      </c>
      <c r="BU919" s="1282">
        <v>-0.41587301587301584</v>
      </c>
      <c r="BV919" s="1282">
        <v>-0.24295774647887325</v>
      </c>
      <c r="BW919" s="300"/>
      <c r="BX919" s="643">
        <f t="shared" si="2281"/>
        <v>9.3495934959349603E-2</v>
      </c>
      <c r="BY919" s="643">
        <f t="shared" si="2282"/>
        <v>0</v>
      </c>
      <c r="BZ919" s="643">
        <f t="shared" si="2283"/>
        <v>5.3488372093023262E-2</v>
      </c>
      <c r="CA919" s="300"/>
      <c r="CB919" s="645">
        <v>0.04</v>
      </c>
      <c r="CC919" s="645">
        <v>0.04</v>
      </c>
      <c r="CD919" s="643">
        <f t="shared" si="2284"/>
        <v>4.0000000000000036E-2</v>
      </c>
      <c r="CE919" s="300"/>
      <c r="CF919" s="645">
        <v>0.04</v>
      </c>
      <c r="CG919" s="645">
        <v>0.04</v>
      </c>
      <c r="CH919" s="643">
        <f t="shared" si="2285"/>
        <v>4.0000000000000036E-2</v>
      </c>
      <c r="CI919" s="300"/>
      <c r="CJ919" s="645">
        <v>0.04</v>
      </c>
      <c r="CK919" s="645">
        <v>0.04</v>
      </c>
      <c r="CL919" s="643">
        <f t="shared" si="2286"/>
        <v>4.0000000000000036E-2</v>
      </c>
      <c r="CM919" s="300"/>
      <c r="CN919" s="645">
        <v>0.04</v>
      </c>
      <c r="CO919" s="645">
        <v>0.04</v>
      </c>
      <c r="CP919" s="643">
        <f t="shared" si="2287"/>
        <v>4.0000000000000036E-2</v>
      </c>
      <c r="CQ919" s="300"/>
      <c r="CR919" s="645">
        <v>0.04</v>
      </c>
      <c r="CS919" s="645">
        <v>0.04</v>
      </c>
      <c r="CT919" s="643">
        <f t="shared" si="2288"/>
        <v>4.0000000000000036E-2</v>
      </c>
      <c r="CU919" s="300"/>
      <c r="CV919" s="645">
        <v>0.04</v>
      </c>
      <c r="CW919" s="645">
        <v>0.04</v>
      </c>
      <c r="CX919" s="643">
        <f t="shared" si="2289"/>
        <v>3.9999999999999813E-2</v>
      </c>
      <c r="CY919" s="300"/>
      <c r="CZ919" s="645">
        <v>0.04</v>
      </c>
      <c r="DA919" s="645">
        <v>0.04</v>
      </c>
      <c r="DB919" s="643">
        <f t="shared" si="2290"/>
        <v>4.0000000000000036E-2</v>
      </c>
      <c r="DC919" s="300"/>
      <c r="DD919" s="645">
        <v>0.04</v>
      </c>
      <c r="DE919" s="645">
        <v>0.04</v>
      </c>
      <c r="DF919" s="643">
        <f t="shared" si="2291"/>
        <v>4.0000000000000036E-2</v>
      </c>
      <c r="DG919" s="300"/>
      <c r="DH919" s="645">
        <v>0.04</v>
      </c>
      <c r="DI919" s="645">
        <v>0.04</v>
      </c>
      <c r="DJ919" s="643">
        <f t="shared" si="2292"/>
        <v>4.0000000000000036E-2</v>
      </c>
      <c r="DK919" s="300"/>
      <c r="DL919" s="645">
        <v>0.04</v>
      </c>
      <c r="DM919" s="645">
        <v>0.04</v>
      </c>
      <c r="DN919" s="643">
        <f t="shared" si="2293"/>
        <v>4.0000000000000036E-2</v>
      </c>
      <c r="DO919" s="300"/>
      <c r="DP919" s="645">
        <v>0.04</v>
      </c>
      <c r="DQ919" s="645">
        <v>0.04</v>
      </c>
      <c r="DR919" s="643">
        <f t="shared" si="2294"/>
        <v>4.0000000000000036E-2</v>
      </c>
      <c r="DS919" s="300"/>
      <c r="DT919" s="300"/>
      <c r="DU919" s="300"/>
      <c r="DV919" s="300"/>
      <c r="DW919" s="1211" t="s">
        <v>175</v>
      </c>
      <c r="DX919" s="643"/>
      <c r="DY919" s="643"/>
      <c r="DZ919" s="300"/>
      <c r="EA919" s="643"/>
      <c r="EB919" s="643"/>
      <c r="EC919" s="643"/>
      <c r="ED919" s="300"/>
      <c r="EE919" s="643"/>
      <c r="EF919" s="643"/>
      <c r="EG919" s="643"/>
      <c r="EH919" s="300"/>
      <c r="EI919" s="643"/>
      <c r="EJ919" s="643"/>
      <c r="EK919" s="643"/>
      <c r="EL919" s="300"/>
      <c r="EM919" s="300"/>
      <c r="EN919" s="300"/>
      <c r="EO919" s="300"/>
      <c r="EP919" s="300"/>
      <c r="EQ919" s="300"/>
      <c r="ER919" s="300"/>
      <c r="ES919" s="300"/>
      <c r="ET919" s="300"/>
      <c r="EU919" s="300"/>
      <c r="JW919"/>
    </row>
    <row r="920" spans="1:283" s="328" customFormat="1" hidden="1" outlineLevel="1">
      <c r="A920" s="328" t="str">
        <f>+A913</f>
        <v>Total</v>
      </c>
      <c r="AN920" s="1279"/>
      <c r="AO920" s="1279"/>
      <c r="AP920" s="1279"/>
      <c r="AQ920" s="1279"/>
      <c r="AR920" s="1279"/>
      <c r="AS920" s="1279"/>
      <c r="AT920" s="1279"/>
      <c r="AU920" s="1279"/>
      <c r="AV920" s="1280"/>
      <c r="AW920" s="1280"/>
      <c r="AX920" s="1280"/>
      <c r="AY920" s="1279"/>
      <c r="AZ920" s="1280"/>
      <c r="BA920" s="1280"/>
      <c r="BB920" s="1280"/>
      <c r="BC920" s="1279"/>
      <c r="BD920" s="1280"/>
      <c r="BE920" s="1280"/>
      <c r="BF920" s="1280"/>
      <c r="BG920" s="1279"/>
      <c r="BH920" s="1280"/>
      <c r="BI920" s="1280"/>
      <c r="BJ920" s="1280"/>
      <c r="BK920" s="1279"/>
      <c r="BL920" s="1280">
        <v>0.14711359404096824</v>
      </c>
      <c r="BM920" s="1280">
        <v>0.51334379905808469</v>
      </c>
      <c r="BN920" s="1280">
        <v>0.3458262350936967</v>
      </c>
      <c r="BO920" s="1279"/>
      <c r="BP920" s="1280">
        <v>8.9285714285714191E-2</v>
      </c>
      <c r="BQ920" s="1280">
        <v>6.0165975103734448E-2</v>
      </c>
      <c r="BR920" s="1280">
        <v>7.1518987341772089E-2</v>
      </c>
      <c r="BS920" s="1279"/>
      <c r="BT920" s="1280">
        <v>0.2354694485842026</v>
      </c>
      <c r="BU920" s="1280">
        <v>-0.10371819960861062</v>
      </c>
      <c r="BV920" s="1280">
        <v>3.0714707619610149E-2</v>
      </c>
      <c r="BW920" s="581"/>
      <c r="BX920" s="682">
        <f t="shared" si="2281"/>
        <v>-6.6344993968636912E-2</v>
      </c>
      <c r="BY920" s="682">
        <f t="shared" si="2282"/>
        <v>0</v>
      </c>
      <c r="BZ920" s="682">
        <f t="shared" si="2283"/>
        <v>-3.1518624641833859E-2</v>
      </c>
      <c r="CA920" s="581"/>
      <c r="CB920" s="682">
        <f>+CB913/BX913-1</f>
        <v>2.8746092234625653E-2</v>
      </c>
      <c r="CC920" s="682">
        <f>+CC913/BY913-1</f>
        <v>4.2543859059444911E-2</v>
      </c>
      <c r="CD920" s="682">
        <f t="shared" si="2284"/>
        <v>3.6224645140859213E-2</v>
      </c>
      <c r="CE920" s="581"/>
      <c r="CF920" s="682">
        <f>+CF913/CB913-1</f>
        <v>3.400279135106854E-2</v>
      </c>
      <c r="CG920" s="682">
        <f>+CG913/CC913-1</f>
        <v>4.2738506478952498E-2</v>
      </c>
      <c r="CH920" s="682">
        <f t="shared" si="2285"/>
        <v>3.8766526957944691E-2</v>
      </c>
      <c r="CI920" s="581"/>
      <c r="CJ920" s="682">
        <f>+CJ913/CF913-1</f>
        <v>3.7744841183838806E-2</v>
      </c>
      <c r="CK920" s="682">
        <f>+CK913/CG913-1</f>
        <v>4.2927853039224306E-2</v>
      </c>
      <c r="CL920" s="682">
        <f t="shared" si="2286"/>
        <v>4.058203401361693E-2</v>
      </c>
      <c r="CM920" s="581"/>
      <c r="CN920" s="682">
        <f>+CN913/CJ913-1</f>
        <v>4.0387615550709688E-2</v>
      </c>
      <c r="CO920" s="682">
        <f>+CO913/CK913-1</f>
        <v>4.3111991299979779E-2</v>
      </c>
      <c r="CP920" s="682">
        <f t="shared" si="2287"/>
        <v>4.1882307171701605E-2</v>
      </c>
      <c r="CQ920" s="581"/>
      <c r="CR920" s="682">
        <f>+CR913/CN913-1</f>
        <v>4.2244635883660564E-2</v>
      </c>
      <c r="CS920" s="682">
        <f>+CS913/CO913-1</f>
        <v>4.3291016362604573E-2</v>
      </c>
      <c r="CT920" s="682">
        <f t="shared" si="2288"/>
        <v>4.281939583316996E-2</v>
      </c>
      <c r="CU920" s="581"/>
      <c r="CV920" s="682">
        <f>+CV913/CR913-1</f>
        <v>4.3545936793311091E-2</v>
      </c>
      <c r="CW920" s="682">
        <f>+CW913/CS913-1</f>
        <v>4.3465025513686584E-2</v>
      </c>
      <c r="CX920" s="682">
        <f t="shared" si="2289"/>
        <v>4.3501473430452409E-2</v>
      </c>
      <c r="CY920" s="581"/>
      <c r="CZ920" s="682">
        <f>+CZ913/CV913-1</f>
        <v>4.4457098562580732E-2</v>
      </c>
      <c r="DA920" s="682">
        <f>+DA913/CW913-1</f>
        <v>4.3634117885118506E-2</v>
      </c>
      <c r="DB920" s="682">
        <f t="shared" si="2290"/>
        <v>4.4004859881672687E-2</v>
      </c>
      <c r="DC920" s="581"/>
      <c r="DD920" s="682">
        <f>+DD913/CZ913-1</f>
        <v>4.5095763121852706E-2</v>
      </c>
      <c r="DE920" s="682">
        <f>+DE913/DA913-1</f>
        <v>4.379839413104003E-2</v>
      </c>
      <c r="DF920" s="682">
        <f t="shared" si="2291"/>
        <v>4.4383095007314521E-2</v>
      </c>
      <c r="DG920" s="581"/>
      <c r="DH920" s="682">
        <f>+DH913/DD913-1</f>
        <v>4.5544770098960852E-2</v>
      </c>
      <c r="DI920" s="682">
        <f>+DI913/DE913-1</f>
        <v>4.3957956121769115E-2</v>
      </c>
      <c r="DJ920" s="682">
        <f t="shared" si="2292"/>
        <v>4.4673592653325045E-2</v>
      </c>
      <c r="DK920" s="581"/>
      <c r="DL920" s="682">
        <f>+DL913/DH913-1</f>
        <v>4.5862095663987246E-2</v>
      </c>
      <c r="DM920" s="682">
        <f>+DM913/DI913-1</f>
        <v>4.4112906654755424E-2</v>
      </c>
      <c r="DN920" s="682">
        <f t="shared" si="2293"/>
        <v>4.4902430483533706E-2</v>
      </c>
      <c r="DO920" s="581"/>
      <c r="DP920" s="682">
        <f>+DP913/DL913-1</f>
        <v>4.6088143893905142E-2</v>
      </c>
      <c r="DQ920" s="682">
        <f>+DQ913/DM913-1</f>
        <v>4.4263349182486644E-2</v>
      </c>
      <c r="DR920" s="682">
        <f t="shared" si="2294"/>
        <v>4.5087755288895304E-2</v>
      </c>
      <c r="DS920" s="581"/>
      <c r="DT920" s="581"/>
      <c r="DU920" s="581"/>
      <c r="DV920" s="581"/>
      <c r="DW920" s="682"/>
      <c r="DX920" s="682"/>
      <c r="DY920" s="682"/>
      <c r="DZ920" s="581"/>
      <c r="EA920" s="682"/>
      <c r="EB920" s="682"/>
      <c r="EC920" s="682"/>
      <c r="ED920" s="581"/>
      <c r="EE920" s="682"/>
      <c r="EF920" s="682"/>
      <c r="EG920" s="682"/>
      <c r="EH920" s="581"/>
      <c r="EI920" s="682"/>
      <c r="EJ920" s="682"/>
      <c r="EK920" s="682"/>
      <c r="EL920" s="581"/>
      <c r="EM920" s="581"/>
      <c r="EN920" s="581"/>
      <c r="EO920" s="581"/>
      <c r="EP920" s="581"/>
      <c r="EQ920" s="581"/>
      <c r="ER920" s="581"/>
      <c r="ES920" s="581"/>
      <c r="ET920" s="581"/>
      <c r="EU920" s="581"/>
      <c r="JW920"/>
    </row>
    <row r="921" spans="1:283" s="332" customFormat="1" hidden="1" outlineLevel="1">
      <c r="AN921" s="1262"/>
      <c r="AO921" s="1262"/>
      <c r="AP921" s="1262"/>
      <c r="AQ921" s="1262"/>
      <c r="AR921" s="1262"/>
      <c r="AS921" s="1262"/>
      <c r="AT921" s="1262"/>
      <c r="AU921" s="1262"/>
      <c r="AV921" s="1262"/>
      <c r="AW921" s="1262"/>
      <c r="AX921" s="1262"/>
      <c r="AY921" s="1262"/>
      <c r="AZ921" s="1262"/>
      <c r="BA921" s="1262"/>
      <c r="BB921" s="1262"/>
      <c r="BC921" s="1262"/>
      <c r="BD921" s="1262"/>
      <c r="BE921" s="1262"/>
      <c r="BF921" s="1262"/>
      <c r="BG921" s="1262"/>
      <c r="BH921" s="1262"/>
      <c r="BI921" s="1262"/>
      <c r="BJ921" s="1262"/>
      <c r="BK921" s="1262"/>
      <c r="BL921" s="1262"/>
      <c r="BM921" s="1262"/>
      <c r="BN921" s="1262"/>
      <c r="BO921" s="1262"/>
      <c r="BP921" s="1262"/>
      <c r="BQ921" s="1262"/>
      <c r="BR921" s="1262"/>
      <c r="BS921" s="1262"/>
      <c r="BT921" s="1262"/>
      <c r="BU921" s="1262"/>
      <c r="BV921" s="1262"/>
      <c r="BW921" s="293"/>
      <c r="BX921" s="293"/>
      <c r="BY921" s="293"/>
      <c r="BZ921" s="293"/>
      <c r="CA921" s="293"/>
      <c r="CB921" s="293"/>
      <c r="CC921" s="293"/>
      <c r="CD921" s="293"/>
      <c r="CE921" s="293"/>
      <c r="CF921" s="293"/>
      <c r="CG921" s="293"/>
      <c r="CH921" s="293"/>
      <c r="CI921" s="293"/>
      <c r="CJ921" s="293"/>
      <c r="CK921" s="293"/>
      <c r="CL921" s="293"/>
      <c r="CM921" s="293"/>
      <c r="CN921" s="293"/>
      <c r="CO921" s="293"/>
      <c r="CP921" s="293"/>
      <c r="CQ921" s="293"/>
      <c r="CR921" s="293"/>
      <c r="CS921" s="293"/>
      <c r="CT921" s="293"/>
      <c r="CU921" s="293"/>
      <c r="CV921" s="293"/>
      <c r="CW921" s="293"/>
      <c r="CX921" s="293"/>
      <c r="CY921" s="293"/>
      <c r="CZ921" s="293"/>
      <c r="DA921" s="293"/>
      <c r="DB921" s="293"/>
      <c r="DC921" s="293"/>
      <c r="DD921" s="293"/>
      <c r="DE921" s="293"/>
      <c r="DF921" s="293"/>
      <c r="DG921" s="293"/>
      <c r="DH921" s="293"/>
      <c r="DI921" s="293"/>
      <c r="DJ921" s="293"/>
      <c r="DK921" s="293"/>
      <c r="DL921" s="293"/>
      <c r="DM921" s="293"/>
      <c r="DN921" s="293"/>
      <c r="DO921" s="293"/>
      <c r="DP921" s="293"/>
      <c r="DQ921" s="293"/>
      <c r="DR921" s="293"/>
      <c r="DS921" s="293"/>
      <c r="DT921" s="293"/>
      <c r="DU921" s="293"/>
      <c r="DV921" s="293"/>
      <c r="DW921" s="293"/>
      <c r="DX921" s="293"/>
      <c r="DY921" s="293"/>
      <c r="DZ921" s="293"/>
      <c r="EA921" s="293"/>
      <c r="EB921" s="293"/>
      <c r="EC921" s="293"/>
      <c r="ED921" s="293"/>
      <c r="EE921" s="293"/>
      <c r="EF921" s="293"/>
      <c r="EG921" s="293"/>
      <c r="EH921" s="293"/>
      <c r="EI921" s="293"/>
      <c r="EJ921" s="293"/>
      <c r="EK921" s="293"/>
      <c r="EL921" s="293"/>
      <c r="EM921" s="293"/>
      <c r="EN921" s="293"/>
      <c r="EO921" s="293"/>
      <c r="EP921" s="293"/>
      <c r="EQ921" s="293"/>
      <c r="ER921" s="293"/>
      <c r="ES921" s="293"/>
      <c r="ET921" s="293"/>
      <c r="EU921" s="293"/>
      <c r="JW921"/>
    </row>
    <row r="922" spans="1:283" s="327" customFormat="1" hidden="1" outlineLevel="1">
      <c r="A922" s="327" t="s">
        <v>566</v>
      </c>
      <c r="AN922" s="1265"/>
      <c r="AO922" s="1265"/>
      <c r="AP922" s="1265"/>
      <c r="AQ922" s="1265"/>
      <c r="AR922" s="1265"/>
      <c r="AS922" s="1265"/>
      <c r="AT922" s="1265"/>
      <c r="AU922" s="1265"/>
      <c r="AV922" s="1265"/>
      <c r="AW922" s="1265"/>
      <c r="AX922" s="1265"/>
      <c r="AY922" s="1265"/>
      <c r="AZ922" s="1265"/>
      <c r="BA922" s="1265"/>
      <c r="BB922" s="1265"/>
      <c r="BC922" s="1265"/>
      <c r="BD922" s="1265"/>
      <c r="BE922" s="1265"/>
      <c r="BF922" s="1265"/>
      <c r="BG922" s="1265"/>
      <c r="BH922" s="1265"/>
      <c r="BI922" s="1265"/>
      <c r="BJ922" s="1265"/>
      <c r="BK922" s="1265"/>
      <c r="BL922" s="1265"/>
      <c r="BM922" s="1265"/>
      <c r="BN922" s="1265"/>
      <c r="BO922" s="1265"/>
      <c r="BP922" s="1265"/>
      <c r="BQ922" s="1265"/>
      <c r="BR922" s="1265"/>
      <c r="BS922" s="1265"/>
      <c r="BT922" s="1265"/>
      <c r="BU922" s="1265"/>
      <c r="BV922" s="1265"/>
      <c r="BW922" s="295"/>
      <c r="BX922" s="295"/>
      <c r="BY922" s="295"/>
      <c r="BZ922" s="295"/>
      <c r="CA922" s="295"/>
      <c r="CB922" s="295"/>
      <c r="CC922" s="295"/>
      <c r="CD922" s="295"/>
      <c r="CE922" s="295"/>
      <c r="CF922" s="295"/>
      <c r="CG922" s="295"/>
      <c r="CH922" s="295"/>
      <c r="CI922" s="295"/>
      <c r="CJ922" s="295"/>
      <c r="CK922" s="295"/>
      <c r="CL922" s="295"/>
      <c r="CM922" s="295"/>
      <c r="CN922" s="295"/>
      <c r="CO922" s="295"/>
      <c r="CP922" s="295"/>
      <c r="CQ922" s="295"/>
      <c r="CR922" s="295"/>
      <c r="CS922" s="295"/>
      <c r="CT922" s="295"/>
      <c r="CU922" s="295"/>
      <c r="CV922" s="295"/>
      <c r="CW922" s="295"/>
      <c r="CX922" s="295"/>
      <c r="CY922" s="295"/>
      <c r="CZ922" s="295"/>
      <c r="DA922" s="295"/>
      <c r="DB922" s="295"/>
      <c r="DC922" s="295"/>
      <c r="DD922" s="295"/>
      <c r="DE922" s="295"/>
      <c r="DF922" s="295"/>
      <c r="DG922" s="295"/>
      <c r="DH922" s="295"/>
      <c r="DI922" s="295"/>
      <c r="DJ922" s="295"/>
      <c r="DK922" s="295"/>
      <c r="DL922" s="295"/>
      <c r="DM922" s="295"/>
      <c r="DN922" s="295"/>
      <c r="DO922" s="295"/>
      <c r="DP922" s="295"/>
      <c r="DQ922" s="295"/>
      <c r="DR922" s="295"/>
      <c r="DS922" s="295"/>
      <c r="DT922" s="295"/>
      <c r="DU922" s="295"/>
      <c r="DV922" s="295"/>
      <c r="DW922" s="295"/>
      <c r="DX922" s="295"/>
      <c r="DY922" s="295"/>
      <c r="DZ922" s="295"/>
      <c r="EA922" s="295"/>
      <c r="EB922" s="295"/>
      <c r="EC922" s="295"/>
      <c r="ED922" s="295"/>
      <c r="EE922" s="295"/>
      <c r="EF922" s="295"/>
      <c r="EG922" s="295"/>
      <c r="EH922" s="295"/>
      <c r="EI922" s="295"/>
      <c r="EJ922" s="295"/>
      <c r="EK922" s="295"/>
      <c r="EL922" s="295"/>
      <c r="EM922" s="295"/>
      <c r="EN922" s="295"/>
      <c r="EO922" s="295"/>
      <c r="EP922" s="295"/>
      <c r="EQ922" s="295"/>
      <c r="ER922" s="295"/>
      <c r="ES922" s="295"/>
      <c r="ET922" s="295"/>
      <c r="EU922" s="295"/>
      <c r="JW922"/>
    </row>
    <row r="923" spans="1:283" s="332" customFormat="1" hidden="1" outlineLevel="1">
      <c r="A923" s="332" t="s">
        <v>654</v>
      </c>
      <c r="AN923" s="1262"/>
      <c r="AO923" s="1262"/>
      <c r="AP923" s="1262"/>
      <c r="AQ923" s="1262"/>
      <c r="AR923" s="1262">
        <v>37</v>
      </c>
      <c r="AS923" s="1262">
        <v>49</v>
      </c>
      <c r="AT923" s="1262">
        <v>86</v>
      </c>
      <c r="AU923" s="1262"/>
      <c r="AV923" s="1262">
        <v>35</v>
      </c>
      <c r="AW923" s="1262">
        <v>34</v>
      </c>
      <c r="AX923" s="1262">
        <v>69</v>
      </c>
      <c r="AY923" s="1262"/>
      <c r="AZ923" s="1284">
        <v>41</v>
      </c>
      <c r="BA923" s="1284">
        <v>47</v>
      </c>
      <c r="BB923" s="1262">
        <v>88</v>
      </c>
      <c r="BC923" s="1262"/>
      <c r="BD923" s="1262">
        <v>50.5</v>
      </c>
      <c r="BE923" s="1262">
        <v>49</v>
      </c>
      <c r="BF923" s="1262">
        <v>99.5</v>
      </c>
      <c r="BG923" s="1262"/>
      <c r="BH923" s="1262">
        <v>44</v>
      </c>
      <c r="BI923" s="1262">
        <v>42</v>
      </c>
      <c r="BJ923" s="1262">
        <v>86</v>
      </c>
      <c r="BK923" s="1262"/>
      <c r="BL923" s="1262">
        <v>51</v>
      </c>
      <c r="BM923" s="1262">
        <v>51</v>
      </c>
      <c r="BN923" s="1262">
        <v>102</v>
      </c>
      <c r="BO923" s="1262"/>
      <c r="BP923" s="1262">
        <v>51</v>
      </c>
      <c r="BQ923" s="1262">
        <v>65</v>
      </c>
      <c r="BR923" s="1262">
        <v>116</v>
      </c>
      <c r="BS923" s="1262"/>
      <c r="BT923" s="1262">
        <v>69</v>
      </c>
      <c r="BU923" s="1262">
        <v>74</v>
      </c>
      <c r="BV923" s="1262">
        <v>143</v>
      </c>
      <c r="BW923" s="293"/>
      <c r="BX923" s="626">
        <v>81</v>
      </c>
      <c r="BY923" s="626">
        <v>74</v>
      </c>
      <c r="BZ923" s="293">
        <f>BX923+BY923</f>
        <v>155</v>
      </c>
      <c r="CA923" s="293"/>
      <c r="CB923" s="841">
        <f>'P&amp;L'!CB1166</f>
        <v>-3.8961038961038974E-2</v>
      </c>
      <c r="CC923" s="841">
        <f>'P&amp;L'!CC1166</f>
        <v>0.20270270270270263</v>
      </c>
      <c r="CD923" s="293">
        <f>CB923+CC923</f>
        <v>0.16374166374166366</v>
      </c>
      <c r="CE923" s="293"/>
      <c r="CF923" s="841">
        <f>'P&amp;L'!CF1166</f>
        <v>2.2471910112359605E-2</v>
      </c>
      <c r="CG923" s="841">
        <f>'P&amp;L'!CG1166</f>
        <v>4.3956043956044022E-2</v>
      </c>
      <c r="CH923" s="293">
        <f>CF923+CG923</f>
        <v>6.6427954068403627E-2</v>
      </c>
      <c r="CI923" s="293"/>
      <c r="CJ923" s="841">
        <f>'P&amp;L'!CJ1166</f>
        <v>2.1052631578947434E-2</v>
      </c>
      <c r="CK923" s="841">
        <f>'P&amp;L'!CK1166</f>
        <v>-0.11340206185567014</v>
      </c>
      <c r="CL923" s="293">
        <f>CJ923+CK923</f>
        <v>-9.234943027672271E-2</v>
      </c>
      <c r="CM923" s="293"/>
      <c r="CN923" s="841">
        <f>'P&amp;L'!CN1166</f>
        <v>-0.90697674418604657</v>
      </c>
      <c r="CO923" s="841">
        <f>'P&amp;L'!CO1166</f>
        <v>0.125</v>
      </c>
      <c r="CP923" s="293">
        <f>CN923+CO923</f>
        <v>-0.78197674418604657</v>
      </c>
      <c r="CQ923" s="293"/>
      <c r="CR923" s="841">
        <f>'P&amp;L'!CR1166</f>
        <v>0</v>
      </c>
      <c r="CS923" s="841">
        <f>'P&amp;L'!CS1166</f>
        <v>0</v>
      </c>
      <c r="CT923" s="293">
        <f>CR923+CS923</f>
        <v>0</v>
      </c>
      <c r="CU923" s="293"/>
      <c r="CV923" s="841">
        <f>'P&amp;L'!CV1166</f>
        <v>0</v>
      </c>
      <c r="CW923" s="841">
        <f>'P&amp;L'!CW1166</f>
        <v>0</v>
      </c>
      <c r="CX923" s="293">
        <f>CV923+CW923</f>
        <v>0</v>
      </c>
      <c r="CY923" s="293"/>
      <c r="CZ923" s="841">
        <f>'P&amp;L'!CZ1166</f>
        <v>0</v>
      </c>
      <c r="DA923" s="841">
        <f>'P&amp;L'!DA1166</f>
        <v>0</v>
      </c>
      <c r="DB923" s="293">
        <f>CZ923+DA923</f>
        <v>0</v>
      </c>
      <c r="DC923" s="293"/>
      <c r="DD923" s="841">
        <f>'P&amp;L'!DD1166</f>
        <v>0</v>
      </c>
      <c r="DE923" s="841">
        <f>'P&amp;L'!DE1166</f>
        <v>0</v>
      </c>
      <c r="DF923" s="293">
        <f>DD923+DE923</f>
        <v>0</v>
      </c>
      <c r="DG923" s="293"/>
      <c r="DH923" s="841">
        <f>'P&amp;L'!DH1166</f>
        <v>0</v>
      </c>
      <c r="DI923" s="841">
        <f>'P&amp;L'!DI1166</f>
        <v>2.5000000000000001E-2</v>
      </c>
      <c r="DJ923" s="293">
        <f>DH923+DI923</f>
        <v>2.5000000000000001E-2</v>
      </c>
      <c r="DK923" s="293"/>
      <c r="DL923" s="841">
        <f>'P&amp;L'!DL1166</f>
        <v>2.5000000000000001E-2</v>
      </c>
      <c r="DM923" s="841">
        <f>'P&amp;L'!DM1166</f>
        <v>2.5000000000000001E-2</v>
      </c>
      <c r="DN923" s="293">
        <f>DL923+DM923</f>
        <v>0.05</v>
      </c>
      <c r="DO923" s="293"/>
      <c r="DP923" s="841">
        <f>'P&amp;L'!DP1166</f>
        <v>2.5000000000000001E-2</v>
      </c>
      <c r="DQ923" s="841">
        <f>'P&amp;L'!DQ1166</f>
        <v>2.5000000000000001E-2</v>
      </c>
      <c r="DR923" s="293">
        <f>DP923+DQ923</f>
        <v>0.05</v>
      </c>
      <c r="DS923" s="293"/>
      <c r="DT923" s="293"/>
      <c r="DU923" s="293"/>
      <c r="DV923" s="293"/>
      <c r="DW923" s="1198" t="s">
        <v>174</v>
      </c>
      <c r="DX923" s="293"/>
      <c r="DY923" s="293"/>
      <c r="DZ923" s="293"/>
      <c r="EA923" s="293"/>
      <c r="EB923" s="293"/>
      <c r="EC923" s="293"/>
      <c r="ED923" s="293"/>
      <c r="EE923" s="293"/>
      <c r="EF923" s="293"/>
      <c r="EG923" s="293"/>
      <c r="EH923" s="293"/>
      <c r="EI923" s="293"/>
      <c r="EJ923" s="293"/>
      <c r="EK923" s="293"/>
      <c r="EL923" s="293"/>
      <c r="EM923" s="293"/>
      <c r="EN923" s="293"/>
      <c r="EO923" s="293"/>
      <c r="EP923" s="293"/>
      <c r="EQ923" s="293"/>
      <c r="ER923" s="293"/>
      <c r="ES923" s="293"/>
      <c r="ET923" s="293"/>
      <c r="EU923" s="293"/>
      <c r="JW923"/>
    </row>
    <row r="924" spans="1:283" s="332" customFormat="1" hidden="1" outlineLevel="1">
      <c r="A924" s="332" t="s">
        <v>655</v>
      </c>
      <c r="AN924" s="1262"/>
      <c r="AO924" s="1262"/>
      <c r="AP924" s="1262"/>
      <c r="AQ924" s="1262"/>
      <c r="AR924" s="1262">
        <v>30</v>
      </c>
      <c r="AS924" s="1262">
        <v>50</v>
      </c>
      <c r="AT924" s="1262">
        <v>80</v>
      </c>
      <c r="AU924" s="1262"/>
      <c r="AV924" s="1262">
        <v>33</v>
      </c>
      <c r="AW924" s="1262">
        <v>53</v>
      </c>
      <c r="AX924" s="1262">
        <v>86</v>
      </c>
      <c r="AY924" s="1262"/>
      <c r="AZ924" s="1284">
        <v>46</v>
      </c>
      <c r="BA924" s="1284">
        <v>37</v>
      </c>
      <c r="BB924" s="1262">
        <v>83</v>
      </c>
      <c r="BC924" s="1262"/>
      <c r="BD924" s="1262">
        <v>29</v>
      </c>
      <c r="BE924" s="1262">
        <v>19</v>
      </c>
      <c r="BF924" s="1262">
        <v>48</v>
      </c>
      <c r="BG924" s="1262"/>
      <c r="BH924" s="1262">
        <v>36</v>
      </c>
      <c r="BI924" s="1262">
        <v>49</v>
      </c>
      <c r="BJ924" s="1262">
        <v>85</v>
      </c>
      <c r="BK924" s="1262"/>
      <c r="BL924" s="1262">
        <v>30</v>
      </c>
      <c r="BM924" s="1262">
        <v>30</v>
      </c>
      <c r="BN924" s="1262">
        <v>60</v>
      </c>
      <c r="BO924" s="1262"/>
      <c r="BP924" s="1262">
        <v>42</v>
      </c>
      <c r="BQ924" s="1262">
        <v>260</v>
      </c>
      <c r="BR924" s="1262">
        <v>302</v>
      </c>
      <c r="BS924" s="1262"/>
      <c r="BT924" s="1262">
        <v>48</v>
      </c>
      <c r="BU924" s="1262">
        <v>37</v>
      </c>
      <c r="BV924" s="1262">
        <v>85</v>
      </c>
      <c r="BW924" s="293"/>
      <c r="BX924" s="626">
        <v>53</v>
      </c>
      <c r="BY924" s="626">
        <v>37</v>
      </c>
      <c r="BZ924" s="293">
        <f>BX924+BY924</f>
        <v>90</v>
      </c>
      <c r="CA924" s="293"/>
      <c r="CB924" s="841">
        <f>'P&amp;L'!CB1167</f>
        <v>3.5087719298245723E-2</v>
      </c>
      <c r="CC924" s="841">
        <f>'P&amp;L'!CC1167</f>
        <v>-6.7796610169491567E-2</v>
      </c>
      <c r="CD924" s="293">
        <f>CB924+CC924</f>
        <v>-3.2708890871245844E-2</v>
      </c>
      <c r="CE924" s="293"/>
      <c r="CF924" s="841">
        <f>'P&amp;L'!CF1167</f>
        <v>7.2727272727272751E-2</v>
      </c>
      <c r="CG924" s="841">
        <f>'P&amp;L'!CG1167</f>
        <v>1.6949152542372836E-2</v>
      </c>
      <c r="CH924" s="293">
        <f>CF924+CG924</f>
        <v>8.9676425269645588E-2</v>
      </c>
      <c r="CI924" s="293"/>
      <c r="CJ924" s="841">
        <f>'P&amp;L'!CJ1167</f>
        <v>0.1166666666666667</v>
      </c>
      <c r="CK924" s="841">
        <f>'P&amp;L'!CK1167</f>
        <v>7.4626865671641784E-2</v>
      </c>
      <c r="CL924" s="293">
        <f>CJ924+CK924</f>
        <v>0.19129353233830848</v>
      </c>
      <c r="CM924" s="293"/>
      <c r="CN924" s="841">
        <f>'P&amp;L'!CN1167</f>
        <v>-0.11111111111111116</v>
      </c>
      <c r="CO924" s="841">
        <f>'P&amp;L'!CO1167</f>
        <v>3.125E-2</v>
      </c>
      <c r="CP924" s="293">
        <f>CN924+CO924</f>
        <v>-7.986111111111116E-2</v>
      </c>
      <c r="CQ924" s="293"/>
      <c r="CR924" s="841">
        <f>'P&amp;L'!CR1167</f>
        <v>0.45454545454545459</v>
      </c>
      <c r="CS924" s="841">
        <f>'P&amp;L'!CS1167</f>
        <v>-0.14583333333333337</v>
      </c>
      <c r="CT924" s="293">
        <f>CR924+CS924</f>
        <v>0.30871212121212122</v>
      </c>
      <c r="CU924" s="293"/>
      <c r="CV924" s="841">
        <f>'P&amp;L'!CV1167</f>
        <v>0.15853658536585358</v>
      </c>
      <c r="CW924" s="841">
        <f>'P&amp;L'!CW1167</f>
        <v>6.315789473684208E-2</v>
      </c>
      <c r="CX924" s="293">
        <f>CV924+CW924</f>
        <v>0.22169448010269566</v>
      </c>
      <c r="CY924" s="293"/>
      <c r="CZ924" s="841">
        <f>'P&amp;L'!CZ1167</f>
        <v>-0.13861386138613863</v>
      </c>
      <c r="DA924" s="841">
        <f>'P&amp;L'!DA1167</f>
        <v>3.4482758620689724E-2</v>
      </c>
      <c r="DB924" s="293">
        <f>CZ924+DA924</f>
        <v>-0.1041311027654489</v>
      </c>
      <c r="DC924" s="293"/>
      <c r="DD924" s="841">
        <f>'P&amp;L'!DD1167</f>
        <v>3.3333333333333437E-2</v>
      </c>
      <c r="DE924" s="841">
        <f>'P&amp;L'!DE1167</f>
        <v>4.3010752688172005E-2</v>
      </c>
      <c r="DF924" s="293">
        <f>DD924+DE924</f>
        <v>7.6344086021505442E-2</v>
      </c>
      <c r="DG924" s="293"/>
      <c r="DH924" s="841">
        <f>'P&amp;L'!DH1167</f>
        <v>-0.14432989690721654</v>
      </c>
      <c r="DI924" s="841">
        <f>'P&amp;L'!DI1167</f>
        <v>2.5000000000000001E-2</v>
      </c>
      <c r="DJ924" s="293">
        <f>DH924+DI924</f>
        <v>-0.11932989690721654</v>
      </c>
      <c r="DK924" s="293"/>
      <c r="DL924" s="841">
        <f>'P&amp;L'!DL1167</f>
        <v>2.5000000000000001E-2</v>
      </c>
      <c r="DM924" s="841">
        <f>'P&amp;L'!DM1167</f>
        <v>2.5000000000000001E-2</v>
      </c>
      <c r="DN924" s="293">
        <f>DL924+DM924</f>
        <v>0.05</v>
      </c>
      <c r="DO924" s="293"/>
      <c r="DP924" s="841">
        <f>'P&amp;L'!DP1167</f>
        <v>2.5000000000000001E-2</v>
      </c>
      <c r="DQ924" s="841">
        <f>'P&amp;L'!DQ1167</f>
        <v>2.5000000000000001E-2</v>
      </c>
      <c r="DR924" s="293">
        <f>DP924+DQ924</f>
        <v>0.05</v>
      </c>
      <c r="DS924" s="293"/>
      <c r="DT924" s="293"/>
      <c r="DU924" s="293"/>
      <c r="DV924" s="293"/>
      <c r="DW924" s="1198" t="s">
        <v>174</v>
      </c>
      <c r="DX924" s="293"/>
      <c r="DY924" s="293"/>
      <c r="DZ924" s="293"/>
      <c r="EA924" s="293"/>
      <c r="EB924" s="293"/>
      <c r="EC924" s="293"/>
      <c r="ED924" s="293"/>
      <c r="EE924" s="293"/>
      <c r="EF924" s="293"/>
      <c r="EG924" s="293"/>
      <c r="EH924" s="293"/>
      <c r="EI924" s="293"/>
      <c r="EJ924" s="293"/>
      <c r="EK924" s="293"/>
      <c r="EL924" s="293"/>
      <c r="EM924" s="293"/>
      <c r="EN924" s="293"/>
      <c r="EO924" s="293"/>
      <c r="EP924" s="293"/>
      <c r="EQ924" s="293"/>
      <c r="ER924" s="293"/>
      <c r="ES924" s="293"/>
      <c r="ET924" s="293"/>
      <c r="EU924" s="293"/>
      <c r="JW924"/>
    </row>
    <row r="925" spans="1:283" s="327" customFormat="1" hidden="1" outlineLevel="1">
      <c r="A925" s="327" t="s">
        <v>613</v>
      </c>
      <c r="AN925" s="1265">
        <v>0</v>
      </c>
      <c r="AO925" s="1265">
        <v>0</v>
      </c>
      <c r="AP925" s="1265">
        <v>0</v>
      </c>
      <c r="AQ925" s="1265"/>
      <c r="AR925" s="1265">
        <v>67</v>
      </c>
      <c r="AS925" s="1265">
        <v>99</v>
      </c>
      <c r="AT925" s="1265">
        <v>166</v>
      </c>
      <c r="AU925" s="1265"/>
      <c r="AV925" s="1265">
        <v>68</v>
      </c>
      <c r="AW925" s="1265">
        <v>87</v>
      </c>
      <c r="AX925" s="1265">
        <v>155</v>
      </c>
      <c r="AY925" s="1265"/>
      <c r="AZ925" s="1265">
        <v>87</v>
      </c>
      <c r="BA925" s="1265">
        <v>84</v>
      </c>
      <c r="BB925" s="1265">
        <v>171</v>
      </c>
      <c r="BC925" s="1265"/>
      <c r="BD925" s="1265">
        <v>79.5</v>
      </c>
      <c r="BE925" s="1265">
        <v>68</v>
      </c>
      <c r="BF925" s="1265">
        <v>147.5</v>
      </c>
      <c r="BG925" s="1265"/>
      <c r="BH925" s="1265">
        <v>80</v>
      </c>
      <c r="BI925" s="1265">
        <v>91</v>
      </c>
      <c r="BJ925" s="1265">
        <v>171</v>
      </c>
      <c r="BK925" s="1265"/>
      <c r="BL925" s="1265">
        <v>81</v>
      </c>
      <c r="BM925" s="1265">
        <v>81</v>
      </c>
      <c r="BN925" s="1265">
        <v>162</v>
      </c>
      <c r="BO925" s="1265"/>
      <c r="BP925" s="1265">
        <v>93</v>
      </c>
      <c r="BQ925" s="1265">
        <v>325</v>
      </c>
      <c r="BR925" s="1265">
        <v>418</v>
      </c>
      <c r="BS925" s="1265"/>
      <c r="BT925" s="1265">
        <v>117</v>
      </c>
      <c r="BU925" s="1265">
        <v>111</v>
      </c>
      <c r="BV925" s="1265">
        <v>228</v>
      </c>
      <c r="BW925" s="295"/>
      <c r="BX925" s="295">
        <f>SUM(BX923:BX924)</f>
        <v>134</v>
      </c>
      <c r="BY925" s="295">
        <f>SUM(BY923:BY924)</f>
        <v>111</v>
      </c>
      <c r="BZ925" s="295">
        <f>BX925+BY925</f>
        <v>245</v>
      </c>
      <c r="CA925" s="295"/>
      <c r="CB925" s="295">
        <f>SUM(CB923:CB924)</f>
        <v>-3.8733196627932509E-3</v>
      </c>
      <c r="CC925" s="295">
        <f>SUM(CC923:CC924)</f>
        <v>0.13490609253321106</v>
      </c>
      <c r="CD925" s="295">
        <f>CB925+CC925</f>
        <v>0.13103277287041781</v>
      </c>
      <c r="CE925" s="295"/>
      <c r="CF925" s="295">
        <f>SUM(CF923:CF924)</f>
        <v>9.5199182839632357E-2</v>
      </c>
      <c r="CG925" s="295">
        <f>SUM(CG923:CG924)</f>
        <v>6.0905196498416858E-2</v>
      </c>
      <c r="CH925" s="295">
        <f>CF925+CG925</f>
        <v>0.15610437933804922</v>
      </c>
      <c r="CI925" s="295"/>
      <c r="CJ925" s="295">
        <f>SUM(CJ923:CJ924)</f>
        <v>0.13771929824561413</v>
      </c>
      <c r="CK925" s="295">
        <f>SUM(CK923:CK924)</f>
        <v>-3.877519618402836E-2</v>
      </c>
      <c r="CL925" s="295">
        <f>CJ925+CK925</f>
        <v>9.894410206158577E-2</v>
      </c>
      <c r="CM925" s="295"/>
      <c r="CN925" s="295">
        <f>SUM(CN923:CN924)</f>
        <v>-1.0180878552971577</v>
      </c>
      <c r="CO925" s="295">
        <f>SUM(CO923:CO924)</f>
        <v>0.15625</v>
      </c>
      <c r="CP925" s="295">
        <f>CN925+CO925</f>
        <v>-0.86183785529715773</v>
      </c>
      <c r="CQ925" s="295"/>
      <c r="CR925" s="295">
        <f>SUM(CR923:CR924)</f>
        <v>0.45454545454545459</v>
      </c>
      <c r="CS925" s="295">
        <f>SUM(CS923:CS924)</f>
        <v>-0.14583333333333337</v>
      </c>
      <c r="CT925" s="295">
        <f>CR925+CS925</f>
        <v>0.30871212121212122</v>
      </c>
      <c r="CU925" s="295"/>
      <c r="CV925" s="295">
        <f>SUM(CV923:CV924)</f>
        <v>0.15853658536585358</v>
      </c>
      <c r="CW925" s="295">
        <f>SUM(CW923:CW924)</f>
        <v>6.315789473684208E-2</v>
      </c>
      <c r="CX925" s="295">
        <f>CV925+CW925</f>
        <v>0.22169448010269566</v>
      </c>
      <c r="CY925" s="295"/>
      <c r="CZ925" s="295">
        <f>SUM(CZ923:CZ924)</f>
        <v>-0.13861386138613863</v>
      </c>
      <c r="DA925" s="295">
        <f>SUM(DA923:DA924)</f>
        <v>3.4482758620689724E-2</v>
      </c>
      <c r="DB925" s="295">
        <f>CZ925+DA925</f>
        <v>-0.1041311027654489</v>
      </c>
      <c r="DC925" s="295"/>
      <c r="DD925" s="295">
        <f>SUM(DD923:DD924)</f>
        <v>3.3333333333333437E-2</v>
      </c>
      <c r="DE925" s="295">
        <f>SUM(DE923:DE924)</f>
        <v>4.3010752688172005E-2</v>
      </c>
      <c r="DF925" s="295">
        <f>DD925+DE925</f>
        <v>7.6344086021505442E-2</v>
      </c>
      <c r="DG925" s="295"/>
      <c r="DH925" s="295">
        <f>SUM(DH923:DH924)</f>
        <v>-0.14432989690721654</v>
      </c>
      <c r="DI925" s="295">
        <f>SUM(DI923:DI924)</f>
        <v>0.05</v>
      </c>
      <c r="DJ925" s="295">
        <f>DH925+DI925</f>
        <v>-9.4329896907216534E-2</v>
      </c>
      <c r="DK925" s="295"/>
      <c r="DL925" s="295">
        <f>SUM(DL923:DL924)</f>
        <v>0.05</v>
      </c>
      <c r="DM925" s="295">
        <f>SUM(DM923:DM924)</f>
        <v>0.05</v>
      </c>
      <c r="DN925" s="295">
        <f>DL925+DM925</f>
        <v>0.1</v>
      </c>
      <c r="DO925" s="295"/>
      <c r="DP925" s="295">
        <f>SUM(DP923:DP924)</f>
        <v>0.05</v>
      </c>
      <c r="DQ925" s="295">
        <f>SUM(DQ923:DQ924)</f>
        <v>0.05</v>
      </c>
      <c r="DR925" s="295">
        <f>DP925+DQ925</f>
        <v>0.1</v>
      </c>
      <c r="DS925" s="295"/>
      <c r="DT925" s="295"/>
      <c r="DU925" s="295"/>
      <c r="DV925" s="295"/>
      <c r="DW925" s="295"/>
      <c r="DX925" s="295"/>
      <c r="DY925" s="295"/>
      <c r="DZ925" s="295"/>
      <c r="EA925" s="295"/>
      <c r="EB925" s="295"/>
      <c r="EC925" s="295"/>
      <c r="ED925" s="295"/>
      <c r="EE925" s="295"/>
      <c r="EF925" s="295"/>
      <c r="EG925" s="295"/>
      <c r="EH925" s="295"/>
      <c r="EI925" s="295"/>
      <c r="EJ925" s="295"/>
      <c r="EK925" s="295"/>
      <c r="EL925" s="295"/>
      <c r="EM925" s="295"/>
      <c r="EN925" s="295"/>
      <c r="EO925" s="295"/>
      <c r="EP925" s="295"/>
      <c r="EQ925" s="295"/>
      <c r="ER925" s="295"/>
      <c r="ES925" s="295"/>
      <c r="ET925" s="295"/>
      <c r="EU925" s="295"/>
      <c r="JW925"/>
    </row>
    <row r="926" spans="1:283" hidden="1" outlineLevel="1">
      <c r="A926" s="102" t="s">
        <v>835</v>
      </c>
      <c r="AN926" s="1275"/>
      <c r="AO926" s="1275"/>
      <c r="AP926" s="1275"/>
      <c r="AQ926" s="1275"/>
      <c r="AR926" s="1275"/>
      <c r="AS926" s="1275"/>
      <c r="AT926" s="1275"/>
      <c r="AU926" s="1275"/>
      <c r="AV926" s="1275"/>
      <c r="AW926" s="1275"/>
      <c r="AX926" s="1275"/>
      <c r="AY926" s="1275"/>
      <c r="AZ926" s="1275"/>
      <c r="BA926" s="1275"/>
      <c r="BB926" s="1275"/>
      <c r="BC926" s="1275"/>
      <c r="BD926" s="1275"/>
      <c r="BE926" s="1275"/>
      <c r="BF926" s="1275"/>
      <c r="BG926" s="1275"/>
      <c r="BH926" s="1275"/>
      <c r="BI926" s="1275"/>
      <c r="BJ926" s="1275"/>
      <c r="BK926" s="1275"/>
      <c r="BL926" s="1275"/>
      <c r="BM926" s="1275"/>
      <c r="BN926" s="1275"/>
      <c r="BO926" s="1275"/>
      <c r="BP926" s="1275"/>
      <c r="BQ926" s="1275"/>
      <c r="BR926" s="1275"/>
      <c r="BS926" s="1275"/>
      <c r="BT926" s="1275"/>
      <c r="BU926" s="1275"/>
      <c r="BV926" s="1275"/>
      <c r="CB926" s="293"/>
      <c r="CC926" s="293"/>
      <c r="CD926" s="293"/>
      <c r="CF926" s="293"/>
      <c r="CG926" s="293"/>
      <c r="CH926" s="293"/>
      <c r="CJ926" s="293"/>
      <c r="CK926" s="293"/>
      <c r="CL926" s="293"/>
      <c r="CN926" s="293"/>
      <c r="CO926" s="293"/>
      <c r="CP926" s="293"/>
      <c r="CR926" s="293"/>
      <c r="CS926" s="293"/>
      <c r="CT926" s="293"/>
      <c r="CV926" s="293"/>
      <c r="CW926" s="293"/>
      <c r="CX926" s="293"/>
      <c r="CZ926" s="293"/>
      <c r="DA926" s="293"/>
      <c r="DB926" s="293"/>
      <c r="DD926" s="293"/>
      <c r="DE926" s="293"/>
      <c r="DF926" s="293"/>
      <c r="DH926" s="293"/>
      <c r="DI926" s="293"/>
      <c r="DJ926" s="293"/>
      <c r="DL926" s="293"/>
      <c r="DM926" s="293"/>
      <c r="DN926" s="293"/>
      <c r="DP926" s="293"/>
      <c r="DQ926" s="293"/>
      <c r="DR926" s="293"/>
      <c r="DW926" s="1197"/>
      <c r="DX926" s="293"/>
      <c r="DY926" s="293"/>
      <c r="EA926" s="293"/>
      <c r="EB926" s="293"/>
      <c r="EC926" s="293"/>
      <c r="EE926" s="293"/>
      <c r="EF926" s="293"/>
      <c r="EG926" s="293"/>
      <c r="EI926" s="293"/>
      <c r="EJ926" s="293"/>
      <c r="EK926" s="293"/>
    </row>
    <row r="927" spans="1:283" s="323" customFormat="1" hidden="1" outlineLevel="1">
      <c r="A927" s="323" t="str">
        <f>+A923</f>
        <v xml:space="preserve"> - brokerage and commissions</v>
      </c>
      <c r="AN927" s="1276"/>
      <c r="AO927" s="1276"/>
      <c r="AP927" s="1276"/>
      <c r="AQ927" s="1276"/>
      <c r="AR927" s="1276"/>
      <c r="AS927" s="1276"/>
      <c r="AT927" s="1276"/>
      <c r="AU927" s="1276"/>
      <c r="AV927" s="1278"/>
      <c r="AW927" s="1278"/>
      <c r="AX927" s="1278"/>
      <c r="AY927" s="1276"/>
      <c r="AZ927" s="1278"/>
      <c r="BA927" s="1278"/>
      <c r="BB927" s="1278"/>
      <c r="BC927" s="1276"/>
      <c r="BD927" s="1278"/>
      <c r="BE927" s="1278"/>
      <c r="BF927" s="1278"/>
      <c r="BG927" s="1276"/>
      <c r="BH927" s="1278"/>
      <c r="BI927" s="1278"/>
      <c r="BJ927" s="1278"/>
      <c r="BK927" s="1276"/>
      <c r="BL927" s="1278">
        <v>0.15909090909090917</v>
      </c>
      <c r="BM927" s="1278"/>
      <c r="BN927" s="1278"/>
      <c r="BO927" s="1276"/>
      <c r="BP927" s="1278">
        <v>0</v>
      </c>
      <c r="BQ927" s="1278">
        <v>0.27450980392156854</v>
      </c>
      <c r="BR927" s="1278">
        <v>0.13725490196078427</v>
      </c>
      <c r="BS927" s="1276"/>
      <c r="BT927" s="1278">
        <v>0.35294117647058831</v>
      </c>
      <c r="BU927" s="1278">
        <v>0.13846153846153841</v>
      </c>
      <c r="BV927" s="1278">
        <v>0.23275862068965525</v>
      </c>
      <c r="BW927" s="115"/>
      <c r="BX927" s="648">
        <f t="shared" ref="BX927:BZ929" si="2295">+BX923/BT923-1</f>
        <v>0.17391304347826098</v>
      </c>
      <c r="BY927" s="648">
        <f t="shared" si="2295"/>
        <v>0</v>
      </c>
      <c r="BZ927" s="648">
        <f t="shared" si="2295"/>
        <v>8.3916083916083961E-2</v>
      </c>
      <c r="CA927" s="115"/>
      <c r="CB927" s="648">
        <f t="shared" ref="CB927:CD929" si="2296">+CB923/BX923-1</f>
        <v>-1.0004810004810005</v>
      </c>
      <c r="CC927" s="648">
        <f t="shared" si="2296"/>
        <v>-0.99726077428780135</v>
      </c>
      <c r="CD927" s="648">
        <f t="shared" si="2296"/>
        <v>-0.99894360216940858</v>
      </c>
      <c r="CE927" s="115"/>
      <c r="CF927" s="648">
        <f t="shared" ref="CF927:CJ929" si="2297">+CF923/CB923-1</f>
        <v>-1.5767790262172297</v>
      </c>
      <c r="CG927" s="648">
        <f t="shared" si="2297"/>
        <v>-0.78315018315018281</v>
      </c>
      <c r="CH927" s="648">
        <f t="shared" si="2297"/>
        <v>-0.59431245200239657</v>
      </c>
      <c r="CI927" s="115"/>
      <c r="CJ927" s="648">
        <f t="shared" si="2297"/>
        <v>-6.3157894736841524E-2</v>
      </c>
      <c r="CK927" s="648">
        <f t="shared" ref="CK927:CK929" si="2298">+CK923/CG923-1</f>
        <v>-3.5798969072164919</v>
      </c>
      <c r="CL927" s="648">
        <f t="shared" ref="CL927:CL929" si="2299">+CL923/CH923-1</f>
        <v>-2.3902193974185426</v>
      </c>
      <c r="CM927" s="115"/>
      <c r="CN927" s="648">
        <f t="shared" ref="CN927:CP929" si="2300">+CN923/CJ923-1</f>
        <v>-44.081395348837077</v>
      </c>
      <c r="CO927" s="648">
        <f t="shared" si="2300"/>
        <v>-2.1022727272727266</v>
      </c>
      <c r="CP927" s="648">
        <f t="shared" si="2300"/>
        <v>7.4675860137184742</v>
      </c>
      <c r="CQ927" s="115"/>
      <c r="CR927" s="648">
        <f t="shared" ref="CR927:CR929" si="2301">+CR923/CN923-1</f>
        <v>-1</v>
      </c>
      <c r="CS927" s="648">
        <f t="shared" ref="CS927:CS929" si="2302">+CS923/CO923-1</f>
        <v>-1</v>
      </c>
      <c r="CT927" s="648">
        <f t="shared" ref="CT927:CT929" si="2303">+CT923/CP923-1</f>
        <v>-1</v>
      </c>
      <c r="CU927" s="115"/>
      <c r="CV927" s="648"/>
      <c r="CW927" s="648"/>
      <c r="CX927" s="648"/>
      <c r="CY927" s="115"/>
      <c r="CZ927" s="648" t="e">
        <f t="shared" ref="CZ927:CZ929" si="2304">+CZ923/CV923-1</f>
        <v>#DIV/0!</v>
      </c>
      <c r="DA927" s="648" t="e">
        <f t="shared" ref="DA927:DA929" si="2305">+DA923/CW923-1</f>
        <v>#DIV/0!</v>
      </c>
      <c r="DB927" s="648" t="e">
        <f t="shared" ref="DB927:DB929" si="2306">+DB923/CX923-1</f>
        <v>#DIV/0!</v>
      </c>
      <c r="DC927" s="115"/>
      <c r="DD927" s="648" t="e">
        <f t="shared" ref="DD927:DD929" si="2307">+DD923/CZ923-1</f>
        <v>#DIV/0!</v>
      </c>
      <c r="DE927" s="648" t="e">
        <f t="shared" ref="DE927:DE929" si="2308">+DE923/DA923-1</f>
        <v>#DIV/0!</v>
      </c>
      <c r="DF927" s="648" t="e">
        <f t="shared" ref="DF927:DF929" si="2309">+DF923/DB923-1</f>
        <v>#DIV/0!</v>
      </c>
      <c r="DG927" s="115"/>
      <c r="DH927" s="648" t="e">
        <f t="shared" ref="DH927:DH929" si="2310">+DH923/DD923-1</f>
        <v>#DIV/0!</v>
      </c>
      <c r="DI927" s="648" t="e">
        <f t="shared" ref="DI927:DI929" si="2311">+DI923/DE923-1</f>
        <v>#DIV/0!</v>
      </c>
      <c r="DJ927" s="648" t="e">
        <f t="shared" ref="DJ927:DJ929" si="2312">+DJ923/DF923-1</f>
        <v>#DIV/0!</v>
      </c>
      <c r="DK927" s="115"/>
      <c r="DL927" s="648" t="e">
        <f t="shared" ref="DL927:DL929" si="2313">+DL923/DH923-1</f>
        <v>#DIV/0!</v>
      </c>
      <c r="DM927" s="648">
        <f t="shared" ref="DM927:DM929" si="2314">+DM923/DI923-1</f>
        <v>0</v>
      </c>
      <c r="DN927" s="648">
        <f t="shared" ref="DN927:DN929" si="2315">+DN923/DJ923-1</f>
        <v>1</v>
      </c>
      <c r="DO927" s="115"/>
      <c r="DP927" s="648">
        <f t="shared" ref="DP927:DP929" si="2316">+DP923/DL923-1</f>
        <v>0</v>
      </c>
      <c r="DQ927" s="648">
        <f t="shared" ref="DQ927:DQ929" si="2317">+DQ923/DM923-1</f>
        <v>0</v>
      </c>
      <c r="DR927" s="648">
        <f t="shared" ref="DR927:DR929" si="2318">+DR923/DN923-1</f>
        <v>0</v>
      </c>
      <c r="DS927" s="115"/>
      <c r="DT927" s="115"/>
      <c r="DU927" s="115"/>
      <c r="DV927" s="115"/>
      <c r="DW927" s="1198" t="s">
        <v>174</v>
      </c>
      <c r="DX927" s="648"/>
      <c r="DY927" s="648"/>
      <c r="DZ927" s="115"/>
      <c r="EA927" s="648"/>
      <c r="EB927" s="648"/>
      <c r="EC927" s="648"/>
      <c r="ED927" s="115"/>
      <c r="EE927" s="648"/>
      <c r="EF927" s="648"/>
      <c r="EG927" s="648"/>
      <c r="EH927" s="115"/>
      <c r="EI927" s="648"/>
      <c r="EJ927" s="648"/>
      <c r="EK927" s="648"/>
      <c r="EL927" s="115"/>
      <c r="EM927" s="115"/>
      <c r="EN927" s="115"/>
      <c r="EO927" s="115"/>
      <c r="EP927" s="115"/>
      <c r="EQ927" s="115"/>
      <c r="ER927" s="115"/>
      <c r="ES927" s="115"/>
      <c r="ET927" s="115"/>
      <c r="EU927" s="115"/>
      <c r="JW927"/>
    </row>
    <row r="928" spans="1:283" s="323" customFormat="1" hidden="1" outlineLevel="1">
      <c r="A928" s="323" t="str">
        <f>+A924</f>
        <v xml:space="preserve"> - other fee and commission income</v>
      </c>
      <c r="AN928" s="1276"/>
      <c r="AO928" s="1276"/>
      <c r="AP928" s="1276"/>
      <c r="AQ928" s="1276"/>
      <c r="AR928" s="1276"/>
      <c r="AS928" s="1276"/>
      <c r="AT928" s="1276"/>
      <c r="AU928" s="1276"/>
      <c r="AV928" s="1278"/>
      <c r="AW928" s="1278"/>
      <c r="AX928" s="1278"/>
      <c r="AY928" s="1276"/>
      <c r="AZ928" s="1278"/>
      <c r="BA928" s="1278"/>
      <c r="BB928" s="1278"/>
      <c r="BC928" s="1276"/>
      <c r="BD928" s="1278"/>
      <c r="BE928" s="1278"/>
      <c r="BF928" s="1278"/>
      <c r="BG928" s="1276"/>
      <c r="BH928" s="1278"/>
      <c r="BI928" s="1278"/>
      <c r="BJ928" s="1278"/>
      <c r="BK928" s="1276"/>
      <c r="BL928" s="1278">
        <v>-0.16666666666666663</v>
      </c>
      <c r="BM928" s="1278"/>
      <c r="BN928" s="1278"/>
      <c r="BO928" s="1276"/>
      <c r="BP928" s="1278">
        <v>0.39999999999999991</v>
      </c>
      <c r="BQ928" s="1278">
        <v>7.6666666666666661</v>
      </c>
      <c r="BR928" s="1278">
        <v>4.0333333333333332</v>
      </c>
      <c r="BS928" s="1276"/>
      <c r="BT928" s="1278">
        <v>0.14285714285714279</v>
      </c>
      <c r="BU928" s="1278">
        <v>-0.85769230769230775</v>
      </c>
      <c r="BV928" s="1278">
        <v>-0.7185430463576159</v>
      </c>
      <c r="BW928" s="115"/>
      <c r="BX928" s="648">
        <f t="shared" si="2295"/>
        <v>0.10416666666666674</v>
      </c>
      <c r="BY928" s="648">
        <f t="shared" si="2295"/>
        <v>0</v>
      </c>
      <c r="BZ928" s="648">
        <f t="shared" si="2295"/>
        <v>5.8823529411764719E-2</v>
      </c>
      <c r="CA928" s="115"/>
      <c r="CB928" s="648">
        <f t="shared" si="2296"/>
        <v>-0.99933796756041049</v>
      </c>
      <c r="CC928" s="648">
        <f t="shared" si="2296"/>
        <v>-1.0018323408153917</v>
      </c>
      <c r="CD928" s="648">
        <f t="shared" si="2296"/>
        <v>-1.0003634321207917</v>
      </c>
      <c r="CE928" s="115"/>
      <c r="CF928" s="648">
        <f t="shared" si="2297"/>
        <v>1.072727272727267</v>
      </c>
      <c r="CG928" s="648">
        <f t="shared" si="2297"/>
        <v>-1.2499999999999991</v>
      </c>
      <c r="CH928" s="648">
        <f t="shared" si="2297"/>
        <v>-3.7416528925619885</v>
      </c>
      <c r="CI928" s="115"/>
      <c r="CJ928" s="648">
        <f t="shared" si="2297"/>
        <v>0.60416666666666652</v>
      </c>
      <c r="CK928" s="648">
        <f t="shared" si="2298"/>
        <v>3.4029850746268773</v>
      </c>
      <c r="CL928" s="648">
        <f t="shared" si="2299"/>
        <v>1.1331529637038185</v>
      </c>
      <c r="CM928" s="115"/>
      <c r="CN928" s="648">
        <f t="shared" si="2300"/>
        <v>-1.9523809523809526</v>
      </c>
      <c r="CO928" s="648">
        <f t="shared" si="2300"/>
        <v>-0.58125000000000004</v>
      </c>
      <c r="CP928" s="648">
        <f t="shared" si="2300"/>
        <v>-1.4174794104898139</v>
      </c>
      <c r="CQ928" s="115"/>
      <c r="CR928" s="648">
        <f t="shared" si="2301"/>
        <v>-5.0909090909090891</v>
      </c>
      <c r="CS928" s="648">
        <f t="shared" si="2302"/>
        <v>-5.6666666666666679</v>
      </c>
      <c r="CT928" s="648">
        <f t="shared" si="2303"/>
        <v>-4.865612648221342</v>
      </c>
      <c r="CU928" s="115"/>
      <c r="CV928" s="648">
        <f t="shared" ref="CV928:CV929" si="2319">+CV924/CR924-1</f>
        <v>-0.65121951219512209</v>
      </c>
      <c r="CW928" s="648">
        <f t="shared" ref="CW928:CW929" si="2320">+CW924/CS924-1</f>
        <v>-1.433082706766917</v>
      </c>
      <c r="CX928" s="648">
        <f t="shared" ref="CX928:CX929" si="2321">+CX924/CT924-1</f>
        <v>-0.28187309512746439</v>
      </c>
      <c r="CY928" s="115"/>
      <c r="CZ928" s="648">
        <f t="shared" si="2304"/>
        <v>-1.874333587204875</v>
      </c>
      <c r="DA928" s="648">
        <f t="shared" si="2305"/>
        <v>-0.45402298850574585</v>
      </c>
      <c r="DB928" s="648">
        <f t="shared" si="2306"/>
        <v>-1.4697054374886203</v>
      </c>
      <c r="DC928" s="115"/>
      <c r="DD928" s="648">
        <f t="shared" si="2307"/>
        <v>-1.2404761904761912</v>
      </c>
      <c r="DE928" s="648">
        <f t="shared" si="2308"/>
        <v>0.2473118279569857</v>
      </c>
      <c r="DF928" s="648">
        <f t="shared" si="2309"/>
        <v>-1.7331535342852118</v>
      </c>
      <c r="DG928" s="115"/>
      <c r="DH928" s="648">
        <f t="shared" si="2310"/>
        <v>-5.329896907216483</v>
      </c>
      <c r="DI928" s="648">
        <f t="shared" si="2311"/>
        <v>-0.4187499999999994</v>
      </c>
      <c r="DJ928" s="648">
        <f t="shared" si="2312"/>
        <v>-2.5630535792072013</v>
      </c>
      <c r="DK928" s="115"/>
      <c r="DL928" s="648">
        <f t="shared" si="2313"/>
        <v>-1.1732142857142858</v>
      </c>
      <c r="DM928" s="648">
        <f t="shared" si="2314"/>
        <v>0</v>
      </c>
      <c r="DN928" s="648">
        <f t="shared" si="2315"/>
        <v>-1.4190064794816413</v>
      </c>
      <c r="DO928" s="115"/>
      <c r="DP928" s="648">
        <f t="shared" si="2316"/>
        <v>0</v>
      </c>
      <c r="DQ928" s="648">
        <f t="shared" si="2317"/>
        <v>0</v>
      </c>
      <c r="DR928" s="648">
        <f t="shared" si="2318"/>
        <v>0</v>
      </c>
      <c r="DS928" s="115"/>
      <c r="DT928" s="115"/>
      <c r="DU928" s="115"/>
      <c r="DV928" s="115"/>
      <c r="DW928" s="1198" t="s">
        <v>174</v>
      </c>
      <c r="DX928" s="648"/>
      <c r="DY928" s="648"/>
      <c r="DZ928" s="115"/>
      <c r="EA928" s="648"/>
      <c r="EB928" s="648"/>
      <c r="EC928" s="648"/>
      <c r="ED928" s="115"/>
      <c r="EE928" s="648"/>
      <c r="EF928" s="648"/>
      <c r="EG928" s="648"/>
      <c r="EH928" s="115"/>
      <c r="EI928" s="648"/>
      <c r="EJ928" s="648"/>
      <c r="EK928" s="648"/>
      <c r="EL928" s="115"/>
      <c r="EM928" s="115"/>
      <c r="EN928" s="115"/>
      <c r="EO928" s="115"/>
      <c r="EP928" s="115"/>
      <c r="EQ928" s="115"/>
      <c r="ER928" s="115"/>
      <c r="ES928" s="115"/>
      <c r="ET928" s="115"/>
      <c r="EU928" s="115"/>
      <c r="JW928"/>
    </row>
    <row r="929" spans="1:283" s="328" customFormat="1" hidden="1" outlineLevel="1">
      <c r="A929" s="328" t="str">
        <f>+A925</f>
        <v xml:space="preserve"> - total</v>
      </c>
      <c r="AN929" s="1279"/>
      <c r="AO929" s="1279"/>
      <c r="AP929" s="1279"/>
      <c r="AQ929" s="1279"/>
      <c r="AR929" s="1279"/>
      <c r="AS929" s="1279"/>
      <c r="AT929" s="1279"/>
      <c r="AU929" s="1279"/>
      <c r="AV929" s="1285"/>
      <c r="AW929" s="1285"/>
      <c r="AX929" s="1285"/>
      <c r="AY929" s="1279"/>
      <c r="AZ929" s="1285"/>
      <c r="BA929" s="1285"/>
      <c r="BB929" s="1285"/>
      <c r="BC929" s="1279"/>
      <c r="BD929" s="1285"/>
      <c r="BE929" s="1285"/>
      <c r="BF929" s="1285"/>
      <c r="BG929" s="1279"/>
      <c r="BH929" s="1285"/>
      <c r="BI929" s="1285"/>
      <c r="BJ929" s="1285"/>
      <c r="BK929" s="1279"/>
      <c r="BL929" s="1285">
        <v>1.2499999999999956E-2</v>
      </c>
      <c r="BM929" s="1285"/>
      <c r="BN929" s="1285"/>
      <c r="BO929" s="1279"/>
      <c r="BP929" s="1285">
        <v>0.14814814814814814</v>
      </c>
      <c r="BQ929" s="1285">
        <v>3.0123456790123457</v>
      </c>
      <c r="BR929" s="1285">
        <v>1.5802469135802468</v>
      </c>
      <c r="BS929" s="1279"/>
      <c r="BT929" s="1285">
        <v>0.25806451612903225</v>
      </c>
      <c r="BU929" s="1285">
        <v>-0.65846153846153843</v>
      </c>
      <c r="BV929" s="1285">
        <v>-0.45454545454545459</v>
      </c>
      <c r="BW929" s="581"/>
      <c r="BX929" s="650">
        <f t="shared" si="2295"/>
        <v>0.14529914529914523</v>
      </c>
      <c r="BY929" s="650">
        <f t="shared" si="2295"/>
        <v>0</v>
      </c>
      <c r="BZ929" s="650">
        <f t="shared" si="2295"/>
        <v>7.4561403508771829E-2</v>
      </c>
      <c r="CA929" s="581"/>
      <c r="CB929" s="650">
        <f t="shared" si="2296"/>
        <v>-1.0000289053706179</v>
      </c>
      <c r="CC929" s="650">
        <f t="shared" si="2296"/>
        <v>-0.99878462979699811</v>
      </c>
      <c r="CD929" s="650">
        <f t="shared" si="2296"/>
        <v>-0.99946517235563093</v>
      </c>
      <c r="CE929" s="581"/>
      <c r="CF929" s="650">
        <f t="shared" si="2297"/>
        <v>-25.578189028420987</v>
      </c>
      <c r="CG929" s="650">
        <f t="shared" si="2297"/>
        <v>-0.54853635329017281</v>
      </c>
      <c r="CH929" s="650">
        <f t="shared" si="2297"/>
        <v>0.19133844089848773</v>
      </c>
      <c r="CI929" s="581"/>
      <c r="CJ929" s="650">
        <f t="shared" si="2297"/>
        <v>0.44664370152849919</v>
      </c>
      <c r="CK929" s="650">
        <f t="shared" si="2298"/>
        <v>-1.6366484046240006</v>
      </c>
      <c r="CL929" s="650">
        <f t="shared" si="2299"/>
        <v>-0.36616703207717805</v>
      </c>
      <c r="CM929" s="581"/>
      <c r="CN929" s="650">
        <f t="shared" si="2300"/>
        <v>-8.392485063941141</v>
      </c>
      <c r="CO929" s="650">
        <f t="shared" si="2300"/>
        <v>-5.0296378968253919</v>
      </c>
      <c r="CP929" s="650">
        <f t="shared" si="2300"/>
        <v>-9.7103509692849013</v>
      </c>
      <c r="CQ929" s="581"/>
      <c r="CR929" s="650">
        <f t="shared" si="2301"/>
        <v>-1.4464697738809413</v>
      </c>
      <c r="CS929" s="650">
        <f t="shared" si="2302"/>
        <v>-1.9333333333333336</v>
      </c>
      <c r="CT929" s="650">
        <f t="shared" si="2303"/>
        <v>-1.3582020902361949</v>
      </c>
      <c r="CU929" s="581"/>
      <c r="CV929" s="650">
        <f t="shared" si="2319"/>
        <v>-0.65121951219512209</v>
      </c>
      <c r="CW929" s="650">
        <f t="shared" si="2320"/>
        <v>-1.433082706766917</v>
      </c>
      <c r="CX929" s="650">
        <f t="shared" si="2321"/>
        <v>-0.28187309512746439</v>
      </c>
      <c r="CY929" s="581"/>
      <c r="CZ929" s="650">
        <f t="shared" si="2304"/>
        <v>-1.874333587204875</v>
      </c>
      <c r="DA929" s="650">
        <f t="shared" si="2305"/>
        <v>-0.45402298850574585</v>
      </c>
      <c r="DB929" s="650">
        <f t="shared" si="2306"/>
        <v>-1.4697054374886203</v>
      </c>
      <c r="DC929" s="581"/>
      <c r="DD929" s="650">
        <f t="shared" si="2307"/>
        <v>-1.2404761904761912</v>
      </c>
      <c r="DE929" s="650">
        <f t="shared" si="2308"/>
        <v>0.2473118279569857</v>
      </c>
      <c r="DF929" s="650">
        <f t="shared" si="2309"/>
        <v>-1.7331535342852118</v>
      </c>
      <c r="DG929" s="581"/>
      <c r="DH929" s="650">
        <f t="shared" si="2310"/>
        <v>-5.329896907216483</v>
      </c>
      <c r="DI929" s="650">
        <f t="shared" si="2311"/>
        <v>0.1625000000000012</v>
      </c>
      <c r="DJ929" s="650">
        <f t="shared" si="2312"/>
        <v>-2.2355887904748073</v>
      </c>
      <c r="DK929" s="581"/>
      <c r="DL929" s="650">
        <f t="shared" si="2313"/>
        <v>-1.3464285714285713</v>
      </c>
      <c r="DM929" s="650">
        <f t="shared" si="2314"/>
        <v>0</v>
      </c>
      <c r="DN929" s="650">
        <f t="shared" si="2315"/>
        <v>-2.0601092896174862</v>
      </c>
      <c r="DO929" s="581"/>
      <c r="DP929" s="650">
        <f t="shared" si="2316"/>
        <v>0</v>
      </c>
      <c r="DQ929" s="650">
        <f t="shared" si="2317"/>
        <v>0</v>
      </c>
      <c r="DR929" s="650">
        <f t="shared" si="2318"/>
        <v>0</v>
      </c>
      <c r="DS929" s="581"/>
      <c r="DT929" s="581"/>
      <c r="DU929" s="581"/>
      <c r="DV929" s="581"/>
      <c r="DW929" s="650"/>
      <c r="DX929" s="650"/>
      <c r="DY929" s="650"/>
      <c r="DZ929" s="581"/>
      <c r="EA929" s="650"/>
      <c r="EB929" s="650"/>
      <c r="EC929" s="650"/>
      <c r="ED929" s="581"/>
      <c r="EE929" s="650"/>
      <c r="EF929" s="650"/>
      <c r="EG929" s="650"/>
      <c r="EH929" s="581"/>
      <c r="EI929" s="650"/>
      <c r="EJ929" s="650"/>
      <c r="EK929" s="650"/>
      <c r="EL929" s="581"/>
      <c r="EM929" s="581"/>
      <c r="EN929" s="581"/>
      <c r="EO929" s="581"/>
      <c r="EP929" s="581"/>
      <c r="EQ929" s="581"/>
      <c r="ER929" s="581"/>
      <c r="ES929" s="581"/>
      <c r="ET929" s="581"/>
      <c r="EU929" s="581"/>
      <c r="JW929"/>
    </row>
    <row r="930" spans="1:283" hidden="1" outlineLevel="1">
      <c r="AN930" s="1275"/>
      <c r="AO930" s="1275"/>
      <c r="AP930" s="1275"/>
      <c r="AQ930" s="1275"/>
      <c r="AR930" s="1275"/>
      <c r="AS930" s="1275"/>
      <c r="AT930" s="1275"/>
      <c r="AU930" s="1275"/>
      <c r="AV930" s="1275"/>
      <c r="AW930" s="1275"/>
      <c r="AX930" s="1275"/>
      <c r="AY930" s="1275"/>
      <c r="AZ930" s="1275"/>
      <c r="BA930" s="1275"/>
      <c r="BB930" s="1275"/>
      <c r="BC930" s="1275"/>
      <c r="BD930" s="1275"/>
      <c r="BE930" s="1275"/>
      <c r="BF930" s="1275"/>
      <c r="BG930" s="1275"/>
      <c r="BH930" s="1275"/>
      <c r="BI930" s="1275"/>
      <c r="BJ930" s="1275"/>
      <c r="BK930" s="1275"/>
      <c r="BL930" s="1275"/>
      <c r="BM930" s="1275"/>
      <c r="BN930" s="1275"/>
      <c r="BO930" s="1275"/>
      <c r="BP930" s="1275"/>
      <c r="BQ930" s="1275"/>
      <c r="BR930" s="1275"/>
      <c r="BS930" s="1275"/>
      <c r="BT930" s="1275"/>
      <c r="BU930" s="1275"/>
      <c r="BV930" s="1275"/>
      <c r="CR930" s="103"/>
      <c r="CS930" s="103"/>
      <c r="CT930" s="103"/>
      <c r="CV930" s="103"/>
      <c r="CW930" s="103"/>
      <c r="CX930" s="103"/>
      <c r="CZ930" s="103"/>
      <c r="DA930" s="103"/>
      <c r="DB930" s="103"/>
      <c r="DD930" s="103"/>
      <c r="DE930" s="103"/>
      <c r="DF930" s="103"/>
      <c r="DH930" s="103"/>
      <c r="DI930" s="103"/>
      <c r="DJ930" s="103"/>
      <c r="DL930" s="103"/>
      <c r="DM930" s="103"/>
      <c r="DN930" s="103"/>
      <c r="DP930" s="103"/>
      <c r="DQ930" s="103"/>
      <c r="DR930" s="103"/>
    </row>
    <row r="931" spans="1:283" s="289" customFormat="1" hidden="1" outlineLevel="1">
      <c r="A931" s="289" t="s">
        <v>621</v>
      </c>
      <c r="AN931" s="1286"/>
      <c r="AO931" s="1286"/>
      <c r="AP931" s="1286"/>
      <c r="AQ931" s="1286"/>
      <c r="AR931" s="1286"/>
      <c r="AS931" s="1286"/>
      <c r="AT931" s="1286"/>
      <c r="AU931" s="1286"/>
      <c r="AV931" s="1286"/>
      <c r="AW931" s="1286"/>
      <c r="AX931" s="1286"/>
      <c r="AY931" s="1286"/>
      <c r="AZ931" s="1286"/>
      <c r="BA931" s="1286"/>
      <c r="BB931" s="1286"/>
      <c r="BC931" s="1286"/>
      <c r="BD931" s="1286"/>
      <c r="BE931" s="1286"/>
      <c r="BF931" s="1286"/>
      <c r="BG931" s="1286"/>
      <c r="BH931" s="1286"/>
      <c r="BI931" s="1286"/>
      <c r="BJ931" s="1286"/>
      <c r="BK931" s="1286"/>
      <c r="BL931" s="1286"/>
      <c r="BM931" s="1286"/>
      <c r="BN931" s="1286"/>
      <c r="BO931" s="1286"/>
      <c r="BP931" s="1286"/>
      <c r="BQ931" s="1286"/>
      <c r="BR931" s="1286"/>
      <c r="BS931" s="1286"/>
      <c r="BT931" s="1286"/>
      <c r="BU931" s="1286"/>
      <c r="BV931" s="1286"/>
      <c r="BW931" s="290"/>
      <c r="BX931" s="290"/>
      <c r="BY931" s="290"/>
      <c r="BZ931" s="290"/>
      <c r="CA931" s="290"/>
      <c r="CB931" s="290"/>
      <c r="CC931" s="290"/>
      <c r="CD931" s="290"/>
      <c r="CE931" s="290"/>
      <c r="CF931" s="290"/>
      <c r="CG931" s="290"/>
      <c r="CH931" s="290"/>
      <c r="CI931" s="290"/>
      <c r="CJ931" s="290"/>
      <c r="CK931" s="290"/>
      <c r="CL931" s="290"/>
      <c r="CM931" s="290"/>
      <c r="CN931" s="290"/>
      <c r="CO931" s="290"/>
      <c r="CP931" s="290"/>
      <c r="CQ931" s="290"/>
      <c r="CR931" s="290"/>
      <c r="CS931" s="290"/>
      <c r="CT931" s="290"/>
      <c r="CU931" s="290"/>
      <c r="CV931" s="290"/>
      <c r="CW931" s="290"/>
      <c r="CX931" s="290"/>
      <c r="CY931" s="290"/>
      <c r="CZ931" s="290"/>
      <c r="DA931" s="290"/>
      <c r="DB931" s="290"/>
      <c r="DC931" s="290"/>
      <c r="DD931" s="290"/>
      <c r="DE931" s="290"/>
      <c r="DF931" s="290"/>
      <c r="DG931" s="290"/>
      <c r="DH931" s="290"/>
      <c r="DI931" s="290"/>
      <c r="DJ931" s="290"/>
      <c r="DK931" s="290"/>
      <c r="DL931" s="290"/>
      <c r="DM931" s="290"/>
      <c r="DN931" s="290"/>
      <c r="DO931" s="290"/>
      <c r="DP931" s="290"/>
      <c r="DQ931" s="290"/>
      <c r="DR931" s="290"/>
      <c r="DS931" s="290"/>
      <c r="DT931" s="290"/>
      <c r="DU931" s="290"/>
      <c r="DV931" s="290"/>
      <c r="DW931" s="290"/>
      <c r="DX931" s="290"/>
      <c r="DY931" s="290"/>
      <c r="DZ931" s="290"/>
      <c r="EA931" s="290"/>
      <c r="EB931" s="290"/>
      <c r="EC931" s="290"/>
      <c r="ED931" s="290"/>
      <c r="EE931" s="290"/>
      <c r="EF931" s="290"/>
      <c r="EG931" s="290"/>
      <c r="EH931" s="290"/>
      <c r="EI931" s="290"/>
      <c r="EJ931" s="290"/>
      <c r="EK931" s="290"/>
      <c r="EL931" s="290"/>
      <c r="EM931" s="290"/>
      <c r="EN931" s="290"/>
      <c r="EO931" s="290"/>
      <c r="EP931" s="290"/>
      <c r="EQ931" s="290"/>
      <c r="ER931" s="290"/>
      <c r="ES931" s="290"/>
      <c r="ET931" s="290"/>
      <c r="EU931" s="290"/>
      <c r="JW931"/>
    </row>
    <row r="932" spans="1:283" hidden="1" outlineLevel="1">
      <c r="A932" s="102" t="s">
        <v>657</v>
      </c>
      <c r="AN932" s="1275"/>
      <c r="AO932" s="1275"/>
      <c r="AP932" s="1275"/>
      <c r="AQ932" s="1275"/>
      <c r="AR932" s="1275"/>
      <c r="AS932" s="1275"/>
      <c r="AT932" s="1262"/>
      <c r="AU932" s="1275"/>
      <c r="AV932" s="1275">
        <v>26</v>
      </c>
      <c r="AW932" s="1275">
        <v>38</v>
      </c>
      <c r="AX932" s="1262">
        <v>64</v>
      </c>
      <c r="AY932" s="1275"/>
      <c r="AZ932" s="1275">
        <v>52</v>
      </c>
      <c r="BA932" s="1275">
        <v>87</v>
      </c>
      <c r="BB932" s="1262">
        <v>139</v>
      </c>
      <c r="BC932" s="1275"/>
      <c r="BD932" s="1262">
        <v>32</v>
      </c>
      <c r="BE932" s="1262">
        <v>113</v>
      </c>
      <c r="BF932" s="1262">
        <v>145</v>
      </c>
      <c r="BG932" s="1275"/>
      <c r="BH932" s="1262">
        <v>49</v>
      </c>
      <c r="BI932" s="1262">
        <v>65</v>
      </c>
      <c r="BJ932" s="1262">
        <v>114</v>
      </c>
      <c r="BK932" s="1262"/>
      <c r="BL932" s="1262">
        <v>18</v>
      </c>
      <c r="BM932" s="1262">
        <v>27</v>
      </c>
      <c r="BN932" s="1262">
        <v>45</v>
      </c>
      <c r="BO932" s="1262"/>
      <c r="BP932" s="1262">
        <v>23</v>
      </c>
      <c r="BQ932" s="1262">
        <v>9</v>
      </c>
      <c r="BR932" s="1262">
        <v>32</v>
      </c>
      <c r="BS932" s="1262"/>
      <c r="BT932" s="1262">
        <v>30</v>
      </c>
      <c r="BU932" s="1262">
        <v>1</v>
      </c>
      <c r="BV932" s="1262">
        <v>31</v>
      </c>
      <c r="BX932" s="626">
        <v>141</v>
      </c>
      <c r="BY932" s="626">
        <v>1</v>
      </c>
      <c r="BZ932" s="293">
        <f t="shared" ref="BZ932:BZ945" si="2322">BX932+BY932</f>
        <v>142</v>
      </c>
      <c r="CB932" s="851">
        <f>'P&amp;L'!CB1458</f>
        <v>0</v>
      </c>
      <c r="CC932" s="851">
        <f>'P&amp;L'!CC1458</f>
        <v>0</v>
      </c>
      <c r="CD932" s="293">
        <f t="shared" ref="CD932:CD945" si="2323">CB932+CC932</f>
        <v>0</v>
      </c>
      <c r="CF932" s="851">
        <f>'P&amp;L'!CF1458</f>
        <v>0</v>
      </c>
      <c r="CG932" s="851">
        <f>'P&amp;L'!CG1458</f>
        <v>0</v>
      </c>
      <c r="CH932" s="293">
        <f t="shared" ref="CH932:CH945" si="2324">CF932+CG932</f>
        <v>0</v>
      </c>
      <c r="CJ932" s="851">
        <f>'P&amp;L'!CJ1458</f>
        <v>0</v>
      </c>
      <c r="CK932" s="851">
        <f>'P&amp;L'!CK1458</f>
        <v>0</v>
      </c>
      <c r="CL932" s="293">
        <f t="shared" ref="CL932:CL945" si="2325">CJ932+CK932</f>
        <v>0</v>
      </c>
      <c r="CN932" s="851">
        <f>'P&amp;L'!CN1458</f>
        <v>0</v>
      </c>
      <c r="CO932" s="851">
        <f>'P&amp;L'!CO1458</f>
        <v>0</v>
      </c>
      <c r="CP932" s="293">
        <f t="shared" ref="CP932:CP945" si="2326">CN932+CO932</f>
        <v>0</v>
      </c>
      <c r="CR932" s="851">
        <f>'P&amp;L'!CR1458</f>
        <v>0</v>
      </c>
      <c r="CS932" s="851">
        <f>'P&amp;L'!CS1458</f>
        <v>0</v>
      </c>
      <c r="CT932" s="293">
        <f t="shared" ref="CT932:CT945" si="2327">CR932+CS932</f>
        <v>0</v>
      </c>
      <c r="CV932" s="851">
        <f>'P&amp;L'!CV1458</f>
        <v>0</v>
      </c>
      <c r="CW932" s="851">
        <f>'P&amp;L'!CW1458</f>
        <v>0</v>
      </c>
      <c r="CX932" s="293">
        <f t="shared" ref="CX932:CX945" si="2328">CV932+CW932</f>
        <v>0</v>
      </c>
      <c r="CZ932" s="851">
        <f>'P&amp;L'!CZ1458</f>
        <v>0</v>
      </c>
      <c r="DA932" s="851">
        <f>'P&amp;L'!DA1458</f>
        <v>0</v>
      </c>
      <c r="DB932" s="293">
        <f t="shared" ref="DB932:DB945" si="2329">CZ932+DA932</f>
        <v>0</v>
      </c>
      <c r="DD932" s="851">
        <f>'P&amp;L'!DD1458</f>
        <v>0</v>
      </c>
      <c r="DE932" s="851">
        <f>'P&amp;L'!DE1458</f>
        <v>0</v>
      </c>
      <c r="DF932" s="293">
        <f t="shared" ref="DF932:DF945" si="2330">DD932+DE932</f>
        <v>0</v>
      </c>
      <c r="DH932" s="851">
        <f>'P&amp;L'!DH1458</f>
        <v>0</v>
      </c>
      <c r="DI932" s="851">
        <f>'P&amp;L'!DI1458</f>
        <v>0</v>
      </c>
      <c r="DJ932" s="293">
        <f t="shared" ref="DJ932:DJ945" si="2331">DH932+DI932</f>
        <v>0</v>
      </c>
      <c r="DL932" s="851">
        <f>'P&amp;L'!DL1458</f>
        <v>0</v>
      </c>
      <c r="DM932" s="851">
        <f>'P&amp;L'!DM1458</f>
        <v>0</v>
      </c>
      <c r="DN932" s="293">
        <f t="shared" ref="DN932:DN945" si="2332">DL932+DM932</f>
        <v>0</v>
      </c>
      <c r="DP932" s="851">
        <f>'P&amp;L'!DP1458</f>
        <v>0</v>
      </c>
      <c r="DQ932" s="851">
        <f>'P&amp;L'!DQ1458</f>
        <v>0</v>
      </c>
      <c r="DR932" s="293">
        <f t="shared" ref="DR932:DR945" si="2333">DP932+DQ932</f>
        <v>0</v>
      </c>
      <c r="DW932" s="1198" t="s">
        <v>174</v>
      </c>
      <c r="DX932" s="818"/>
      <c r="DY932" s="818"/>
      <c r="EA932" s="818"/>
      <c r="EB932" s="818"/>
      <c r="EC932" s="293"/>
      <c r="EE932" s="818"/>
      <c r="EF932" s="818"/>
      <c r="EG932" s="293"/>
      <c r="EI932" s="818"/>
      <c r="EJ932" s="818"/>
      <c r="EK932" s="293"/>
    </row>
    <row r="933" spans="1:283" hidden="1" outlineLevel="1">
      <c r="A933" s="102" t="s">
        <v>674</v>
      </c>
      <c r="AN933" s="1275"/>
      <c r="AO933" s="1275"/>
      <c r="AP933" s="1275"/>
      <c r="AQ933" s="1275"/>
      <c r="AR933" s="1275"/>
      <c r="AS933" s="1275"/>
      <c r="AT933" s="1262"/>
      <c r="AU933" s="1275"/>
      <c r="AV933" s="1275">
        <v>0</v>
      </c>
      <c r="AW933" s="1275">
        <v>0</v>
      </c>
      <c r="AX933" s="1262">
        <v>0</v>
      </c>
      <c r="AY933" s="1275"/>
      <c r="AZ933" s="1275">
        <v>0</v>
      </c>
      <c r="BA933" s="1275">
        <v>0</v>
      </c>
      <c r="BB933" s="1262">
        <v>0</v>
      </c>
      <c r="BC933" s="1275"/>
      <c r="BD933" s="1262">
        <v>0</v>
      </c>
      <c r="BE933" s="1262">
        <v>0</v>
      </c>
      <c r="BF933" s="1262">
        <v>0</v>
      </c>
      <c r="BG933" s="1275"/>
      <c r="BH933" s="1262">
        <v>0</v>
      </c>
      <c r="BI933" s="1262">
        <v>0</v>
      </c>
      <c r="BJ933" s="1262">
        <v>0</v>
      </c>
      <c r="BK933" s="1262"/>
      <c r="BL933" s="1262">
        <v>0</v>
      </c>
      <c r="BM933" s="1262">
        <v>0</v>
      </c>
      <c r="BN933" s="1262">
        <v>0</v>
      </c>
      <c r="BO933" s="1262"/>
      <c r="BP933" s="1262">
        <v>0</v>
      </c>
      <c r="BQ933" s="1262">
        <v>0</v>
      </c>
      <c r="BR933" s="1262">
        <v>0</v>
      </c>
      <c r="BS933" s="1262"/>
      <c r="BT933" s="1262">
        <v>0</v>
      </c>
      <c r="BU933" s="1262">
        <v>0</v>
      </c>
      <c r="BV933" s="1262">
        <v>0</v>
      </c>
      <c r="BX933" s="626">
        <v>0</v>
      </c>
      <c r="BY933" s="626">
        <v>0</v>
      </c>
      <c r="BZ933" s="293">
        <f t="shared" si="2322"/>
        <v>0</v>
      </c>
      <c r="CB933" s="851">
        <f>'P&amp;L'!CB1469</f>
        <v>0</v>
      </c>
      <c r="CC933" s="851">
        <f>'P&amp;L'!CC1469</f>
        <v>0</v>
      </c>
      <c r="CD933" s="293">
        <f t="shared" si="2323"/>
        <v>0</v>
      </c>
      <c r="CF933" s="851">
        <f>'P&amp;L'!CF1469</f>
        <v>0</v>
      </c>
      <c r="CG933" s="851">
        <f>'P&amp;L'!CG1469</f>
        <v>0</v>
      </c>
      <c r="CH933" s="293">
        <f t="shared" si="2324"/>
        <v>0</v>
      </c>
      <c r="CJ933" s="851">
        <f>'P&amp;L'!CJ1469</f>
        <v>0</v>
      </c>
      <c r="CK933" s="851">
        <f>'P&amp;L'!CK1469</f>
        <v>0</v>
      </c>
      <c r="CL933" s="293">
        <f t="shared" si="2325"/>
        <v>0</v>
      </c>
      <c r="CN933" s="851">
        <f>'P&amp;L'!CN1469</f>
        <v>0</v>
      </c>
      <c r="CO933" s="851">
        <f>'P&amp;L'!CO1469</f>
        <v>0</v>
      </c>
      <c r="CP933" s="293">
        <f t="shared" si="2326"/>
        <v>0</v>
      </c>
      <c r="CR933" s="851">
        <f>'P&amp;L'!CR1469</f>
        <v>0</v>
      </c>
      <c r="CS933" s="851">
        <f>'P&amp;L'!CS1469</f>
        <v>0</v>
      </c>
      <c r="CT933" s="293">
        <f t="shared" si="2327"/>
        <v>0</v>
      </c>
      <c r="CV933" s="851">
        <f>'P&amp;L'!CV1469</f>
        <v>0</v>
      </c>
      <c r="CW933" s="851">
        <f>'P&amp;L'!CW1469</f>
        <v>0</v>
      </c>
      <c r="CX933" s="293">
        <f t="shared" si="2328"/>
        <v>0</v>
      </c>
      <c r="CZ933" s="851">
        <f>'P&amp;L'!CZ1469</f>
        <v>0</v>
      </c>
      <c r="DA933" s="851">
        <f>'P&amp;L'!DA1469</f>
        <v>0</v>
      </c>
      <c r="DB933" s="293">
        <f t="shared" si="2329"/>
        <v>0</v>
      </c>
      <c r="DD933" s="851">
        <f>'P&amp;L'!DD1469</f>
        <v>0</v>
      </c>
      <c r="DE933" s="851">
        <f>'P&amp;L'!DE1469</f>
        <v>0</v>
      </c>
      <c r="DF933" s="293">
        <f t="shared" si="2330"/>
        <v>0</v>
      </c>
      <c r="DH933" s="851">
        <f>'P&amp;L'!DH1469</f>
        <v>0</v>
      </c>
      <c r="DI933" s="851">
        <f>'P&amp;L'!DI1469</f>
        <v>0</v>
      </c>
      <c r="DJ933" s="293">
        <f t="shared" si="2331"/>
        <v>0</v>
      </c>
      <c r="DL933" s="851">
        <f>'P&amp;L'!DL1469</f>
        <v>0</v>
      </c>
      <c r="DM933" s="851">
        <f>'P&amp;L'!DM1469</f>
        <v>0</v>
      </c>
      <c r="DN933" s="293">
        <f t="shared" si="2332"/>
        <v>0</v>
      </c>
      <c r="DP933" s="851">
        <f>'P&amp;L'!DP1469</f>
        <v>0</v>
      </c>
      <c r="DQ933" s="851">
        <f>'P&amp;L'!DQ1469</f>
        <v>0</v>
      </c>
      <c r="DR933" s="293">
        <f t="shared" si="2333"/>
        <v>0</v>
      </c>
      <c r="DW933" s="1198" t="s">
        <v>174</v>
      </c>
      <c r="DX933" s="818"/>
      <c r="DY933" s="818"/>
      <c r="EA933" s="818"/>
      <c r="EB933" s="818"/>
      <c r="EC933" s="293"/>
      <c r="EE933" s="818"/>
      <c r="EF933" s="818"/>
      <c r="EG933" s="293"/>
      <c r="EI933" s="818"/>
      <c r="EJ933" s="818"/>
      <c r="EK933" s="293"/>
    </row>
    <row r="934" spans="1:283" hidden="1" outlineLevel="1">
      <c r="A934" s="102" t="s">
        <v>659</v>
      </c>
      <c r="AN934" s="1275"/>
      <c r="AO934" s="1275"/>
      <c r="AP934" s="1275"/>
      <c r="AQ934" s="1275"/>
      <c r="AR934" s="1275"/>
      <c r="AS934" s="1275"/>
      <c r="AT934" s="1262"/>
      <c r="AU934" s="1275"/>
      <c r="AV934" s="1275">
        <v>-2</v>
      </c>
      <c r="AW934" s="1275">
        <v>-1</v>
      </c>
      <c r="AX934" s="1262">
        <v>-3</v>
      </c>
      <c r="AY934" s="1275"/>
      <c r="AZ934" s="1275">
        <v>-2</v>
      </c>
      <c r="BA934" s="1275">
        <v>-7</v>
      </c>
      <c r="BB934" s="1262">
        <v>-9</v>
      </c>
      <c r="BC934" s="1275"/>
      <c r="BD934" s="1262">
        <v>-23</v>
      </c>
      <c r="BE934" s="1262">
        <v>-29</v>
      </c>
      <c r="BF934" s="1262">
        <v>-52</v>
      </c>
      <c r="BG934" s="1275"/>
      <c r="BH934" s="1262">
        <v>-90</v>
      </c>
      <c r="BI934" s="1262">
        <v>-81</v>
      </c>
      <c r="BJ934" s="1262">
        <v>-171</v>
      </c>
      <c r="BK934" s="1262"/>
      <c r="BL934" s="1262">
        <v>-104</v>
      </c>
      <c r="BM934" s="1262">
        <v>-12</v>
      </c>
      <c r="BN934" s="1262">
        <v>-116</v>
      </c>
      <c r="BO934" s="1262"/>
      <c r="BP934" s="1262">
        <v>-24</v>
      </c>
      <c r="BQ934" s="1262">
        <v>-75</v>
      </c>
      <c r="BR934" s="1262">
        <v>-99</v>
      </c>
      <c r="BS934" s="1262"/>
      <c r="BT934" s="1262">
        <v>-10</v>
      </c>
      <c r="BU934" s="1262">
        <v>-34</v>
      </c>
      <c r="BV934" s="1262">
        <v>-44</v>
      </c>
      <c r="BX934" s="626">
        <v>-10</v>
      </c>
      <c r="BY934" s="626">
        <v>-34</v>
      </c>
      <c r="BZ934" s="293">
        <f t="shared" si="2322"/>
        <v>-44</v>
      </c>
      <c r="CB934" s="851">
        <f>'P&amp;L'!CB1480</f>
        <v>0</v>
      </c>
      <c r="CC934" s="851">
        <f>'P&amp;L'!CC1480</f>
        <v>0</v>
      </c>
      <c r="CD934" s="293">
        <f t="shared" si="2323"/>
        <v>0</v>
      </c>
      <c r="CF934" s="851">
        <f>'P&amp;L'!CF1480</f>
        <v>0</v>
      </c>
      <c r="CG934" s="851">
        <f>'P&amp;L'!CG1480</f>
        <v>0</v>
      </c>
      <c r="CH934" s="293">
        <f t="shared" si="2324"/>
        <v>0</v>
      </c>
      <c r="CJ934" s="851">
        <f>'P&amp;L'!CJ1480</f>
        <v>0</v>
      </c>
      <c r="CK934" s="851">
        <f>'P&amp;L'!CK1480</f>
        <v>0</v>
      </c>
      <c r="CL934" s="293">
        <f t="shared" si="2325"/>
        <v>0</v>
      </c>
      <c r="CN934" s="851">
        <f>'P&amp;L'!CN1480</f>
        <v>0</v>
      </c>
      <c r="CO934" s="851">
        <f>'P&amp;L'!CO1480</f>
        <v>0</v>
      </c>
      <c r="CP934" s="293">
        <f t="shared" si="2326"/>
        <v>0</v>
      </c>
      <c r="CR934" s="851">
        <f>'P&amp;L'!CR1480</f>
        <v>0</v>
      </c>
      <c r="CS934" s="851">
        <f>'P&amp;L'!CS1480</f>
        <v>0</v>
      </c>
      <c r="CT934" s="293">
        <f t="shared" si="2327"/>
        <v>0</v>
      </c>
      <c r="CV934" s="851">
        <f>'P&amp;L'!CV1480</f>
        <v>0</v>
      </c>
      <c r="CW934" s="851">
        <f>'P&amp;L'!CW1480</f>
        <v>0</v>
      </c>
      <c r="CX934" s="293">
        <f t="shared" si="2328"/>
        <v>0</v>
      </c>
      <c r="CZ934" s="851">
        <f>'P&amp;L'!CZ1480</f>
        <v>0</v>
      </c>
      <c r="DA934" s="851">
        <f>'P&amp;L'!DA1480</f>
        <v>0</v>
      </c>
      <c r="DB934" s="293">
        <f t="shared" si="2329"/>
        <v>0</v>
      </c>
      <c r="DD934" s="851">
        <f>'P&amp;L'!DD1480</f>
        <v>0</v>
      </c>
      <c r="DE934" s="851">
        <f>'P&amp;L'!DE1480</f>
        <v>0</v>
      </c>
      <c r="DF934" s="293">
        <f t="shared" si="2330"/>
        <v>0</v>
      </c>
      <c r="DH934" s="851">
        <f>'P&amp;L'!DH1480</f>
        <v>0</v>
      </c>
      <c r="DI934" s="851">
        <f>'P&amp;L'!DI1480</f>
        <v>0</v>
      </c>
      <c r="DJ934" s="293">
        <f t="shared" si="2331"/>
        <v>0</v>
      </c>
      <c r="DL934" s="851">
        <f>'P&amp;L'!DL1480</f>
        <v>0</v>
      </c>
      <c r="DM934" s="851">
        <f>'P&amp;L'!DM1480</f>
        <v>0</v>
      </c>
      <c r="DN934" s="293">
        <f t="shared" si="2332"/>
        <v>0</v>
      </c>
      <c r="DP934" s="851">
        <f>'P&amp;L'!DP1480</f>
        <v>0</v>
      </c>
      <c r="DQ934" s="851">
        <f>'P&amp;L'!DQ1480</f>
        <v>0</v>
      </c>
      <c r="DR934" s="293">
        <f t="shared" si="2333"/>
        <v>0</v>
      </c>
      <c r="DW934" s="1198" t="s">
        <v>174</v>
      </c>
      <c r="DX934" s="818"/>
      <c r="DY934" s="818"/>
      <c r="EA934" s="818"/>
      <c r="EB934" s="818"/>
      <c r="EC934" s="293"/>
      <c r="EE934" s="818"/>
      <c r="EF934" s="818"/>
      <c r="EG934" s="293"/>
      <c r="EI934" s="818"/>
      <c r="EJ934" s="818"/>
      <c r="EK934" s="293"/>
    </row>
    <row r="935" spans="1:283" hidden="1" outlineLevel="1">
      <c r="A935" s="102" t="s">
        <v>660</v>
      </c>
      <c r="AN935" s="1275"/>
      <c r="AO935" s="1275"/>
      <c r="AP935" s="1275"/>
      <c r="AQ935" s="1275"/>
      <c r="AR935" s="1275"/>
      <c r="AS935" s="1275"/>
      <c r="AT935" s="1262"/>
      <c r="AU935" s="1275"/>
      <c r="AV935" s="1275">
        <v>0</v>
      </c>
      <c r="AW935" s="1275">
        <v>0</v>
      </c>
      <c r="AX935" s="1262">
        <v>0</v>
      </c>
      <c r="AY935" s="1275"/>
      <c r="AZ935" s="1275">
        <v>0</v>
      </c>
      <c r="BA935" s="1275">
        <v>0</v>
      </c>
      <c r="BB935" s="1262">
        <v>0</v>
      </c>
      <c r="BC935" s="1275"/>
      <c r="BD935" s="1262">
        <v>0</v>
      </c>
      <c r="BE935" s="1262">
        <v>0</v>
      </c>
      <c r="BF935" s="1262">
        <v>0</v>
      </c>
      <c r="BG935" s="1275"/>
      <c r="BH935" s="1262">
        <v>0</v>
      </c>
      <c r="BI935" s="1262">
        <v>0</v>
      </c>
      <c r="BJ935" s="1262">
        <v>0</v>
      </c>
      <c r="BK935" s="1262"/>
      <c r="BL935" s="1262">
        <v>0</v>
      </c>
      <c r="BM935" s="1262">
        <v>0</v>
      </c>
      <c r="BN935" s="1262">
        <v>0</v>
      </c>
      <c r="BO935" s="1262"/>
      <c r="BP935" s="1262">
        <v>0</v>
      </c>
      <c r="BQ935" s="1262">
        <v>0</v>
      </c>
      <c r="BR935" s="1262">
        <v>0</v>
      </c>
      <c r="BS935" s="1262"/>
      <c r="BT935" s="1262">
        <v>0</v>
      </c>
      <c r="BU935" s="1262">
        <v>0</v>
      </c>
      <c r="BV935" s="1262">
        <v>0</v>
      </c>
      <c r="BX935" s="626">
        <v>0</v>
      </c>
      <c r="BY935" s="626">
        <v>0</v>
      </c>
      <c r="BZ935" s="293">
        <f t="shared" si="2322"/>
        <v>0</v>
      </c>
      <c r="CB935" s="851">
        <f>'P&amp;L'!CB1491</f>
        <v>0</v>
      </c>
      <c r="CC935" s="851">
        <f>'P&amp;L'!CC1491</f>
        <v>0</v>
      </c>
      <c r="CD935" s="293">
        <f t="shared" si="2323"/>
        <v>0</v>
      </c>
      <c r="CF935" s="851">
        <f>'P&amp;L'!CF1491</f>
        <v>0</v>
      </c>
      <c r="CG935" s="851">
        <f>'P&amp;L'!CG1491</f>
        <v>0</v>
      </c>
      <c r="CH935" s="293">
        <f t="shared" si="2324"/>
        <v>0</v>
      </c>
      <c r="CJ935" s="851">
        <f>'P&amp;L'!CJ1491</f>
        <v>0</v>
      </c>
      <c r="CK935" s="851">
        <f>'P&amp;L'!CK1491</f>
        <v>0</v>
      </c>
      <c r="CL935" s="293">
        <f t="shared" si="2325"/>
        <v>0</v>
      </c>
      <c r="CN935" s="851">
        <f>'P&amp;L'!CN1491</f>
        <v>0</v>
      </c>
      <c r="CO935" s="851">
        <f>'P&amp;L'!CO1491</f>
        <v>0</v>
      </c>
      <c r="CP935" s="293">
        <f t="shared" si="2326"/>
        <v>0</v>
      </c>
      <c r="CR935" s="851">
        <f>'P&amp;L'!CR1491</f>
        <v>0</v>
      </c>
      <c r="CS935" s="851">
        <f>'P&amp;L'!CS1491</f>
        <v>0</v>
      </c>
      <c r="CT935" s="293">
        <f t="shared" si="2327"/>
        <v>0</v>
      </c>
      <c r="CV935" s="851">
        <f>'P&amp;L'!CV1491</f>
        <v>0</v>
      </c>
      <c r="CW935" s="851">
        <f>'P&amp;L'!CW1491</f>
        <v>0</v>
      </c>
      <c r="CX935" s="293">
        <f t="shared" si="2328"/>
        <v>0</v>
      </c>
      <c r="CZ935" s="851">
        <f>'P&amp;L'!CZ1491</f>
        <v>0</v>
      </c>
      <c r="DA935" s="851">
        <f>'P&amp;L'!DA1491</f>
        <v>0</v>
      </c>
      <c r="DB935" s="293">
        <f t="shared" si="2329"/>
        <v>0</v>
      </c>
      <c r="DD935" s="851">
        <f>'P&amp;L'!DD1491</f>
        <v>0</v>
      </c>
      <c r="DE935" s="851">
        <f>'P&amp;L'!DE1491</f>
        <v>0</v>
      </c>
      <c r="DF935" s="293">
        <f t="shared" si="2330"/>
        <v>0</v>
      </c>
      <c r="DH935" s="851">
        <f>'P&amp;L'!DH1491</f>
        <v>0</v>
      </c>
      <c r="DI935" s="851">
        <f>'P&amp;L'!DI1491</f>
        <v>0</v>
      </c>
      <c r="DJ935" s="293">
        <f t="shared" si="2331"/>
        <v>0</v>
      </c>
      <c r="DL935" s="851">
        <f>'P&amp;L'!DL1491</f>
        <v>0</v>
      </c>
      <c r="DM935" s="851">
        <f>'P&amp;L'!DM1491</f>
        <v>0</v>
      </c>
      <c r="DN935" s="293">
        <f t="shared" si="2332"/>
        <v>0</v>
      </c>
      <c r="DP935" s="851">
        <f>'P&amp;L'!DP1491</f>
        <v>0</v>
      </c>
      <c r="DQ935" s="851">
        <f>'P&amp;L'!DQ1491</f>
        <v>0</v>
      </c>
      <c r="DR935" s="293">
        <f t="shared" si="2333"/>
        <v>0</v>
      </c>
      <c r="DW935" s="1198" t="s">
        <v>174</v>
      </c>
      <c r="DX935" s="818"/>
      <c r="DY935" s="818"/>
      <c r="EA935" s="818"/>
      <c r="EB935" s="818"/>
      <c r="EC935" s="293"/>
      <c r="EE935" s="818"/>
      <c r="EF935" s="818"/>
      <c r="EG935" s="293"/>
      <c r="EI935" s="818"/>
      <c r="EJ935" s="818"/>
      <c r="EK935" s="293"/>
    </row>
    <row r="936" spans="1:283" hidden="1" outlineLevel="1">
      <c r="A936" s="102" t="s">
        <v>661</v>
      </c>
      <c r="AN936" s="1275"/>
      <c r="AO936" s="1275"/>
      <c r="AP936" s="1275"/>
      <c r="AQ936" s="1275"/>
      <c r="AR936" s="1275"/>
      <c r="AS936" s="1275"/>
      <c r="AT936" s="1262"/>
      <c r="AU936" s="1275"/>
      <c r="AV936" s="1275">
        <v>0</v>
      </c>
      <c r="AW936" s="1275">
        <v>0</v>
      </c>
      <c r="AX936" s="1262">
        <v>0</v>
      </c>
      <c r="AY936" s="1275"/>
      <c r="AZ936" s="1275">
        <v>0</v>
      </c>
      <c r="BA936" s="1275">
        <v>0</v>
      </c>
      <c r="BB936" s="1262">
        <v>0</v>
      </c>
      <c r="BC936" s="1275"/>
      <c r="BD936" s="1262">
        <v>0</v>
      </c>
      <c r="BE936" s="1262">
        <v>0</v>
      </c>
      <c r="BF936" s="1262">
        <v>0</v>
      </c>
      <c r="BG936" s="1275"/>
      <c r="BH936" s="1262">
        <v>0</v>
      </c>
      <c r="BI936" s="1262">
        <v>0</v>
      </c>
      <c r="BJ936" s="1262">
        <v>0</v>
      </c>
      <c r="BK936" s="1262"/>
      <c r="BL936" s="1262">
        <v>0</v>
      </c>
      <c r="BM936" s="1262">
        <v>0</v>
      </c>
      <c r="BN936" s="1262">
        <v>0</v>
      </c>
      <c r="BO936" s="1262"/>
      <c r="BP936" s="1262">
        <v>0</v>
      </c>
      <c r="BQ936" s="1262">
        <v>0</v>
      </c>
      <c r="BR936" s="1262">
        <v>0</v>
      </c>
      <c r="BS936" s="1262"/>
      <c r="BT936" s="1262">
        <v>0</v>
      </c>
      <c r="BU936" s="1262">
        <v>0</v>
      </c>
      <c r="BV936" s="1262">
        <v>0</v>
      </c>
      <c r="BX936" s="626">
        <v>0</v>
      </c>
      <c r="BY936" s="626">
        <v>0</v>
      </c>
      <c r="BZ936" s="293">
        <f t="shared" si="2322"/>
        <v>0</v>
      </c>
      <c r="CB936" s="851">
        <f>'P&amp;L'!CB1502</f>
        <v>0</v>
      </c>
      <c r="CC936" s="851">
        <f>'P&amp;L'!CC1502</f>
        <v>0</v>
      </c>
      <c r="CD936" s="293">
        <f t="shared" si="2323"/>
        <v>0</v>
      </c>
      <c r="CF936" s="851">
        <f>'P&amp;L'!CF1502</f>
        <v>0</v>
      </c>
      <c r="CG936" s="851">
        <f>'P&amp;L'!CG1502</f>
        <v>0</v>
      </c>
      <c r="CH936" s="293">
        <f t="shared" si="2324"/>
        <v>0</v>
      </c>
      <c r="CJ936" s="851">
        <f>'P&amp;L'!CJ1502</f>
        <v>0</v>
      </c>
      <c r="CK936" s="851">
        <f>'P&amp;L'!CK1502</f>
        <v>0</v>
      </c>
      <c r="CL936" s="293">
        <f t="shared" si="2325"/>
        <v>0</v>
      </c>
      <c r="CN936" s="851">
        <f>'P&amp;L'!CN1502</f>
        <v>0</v>
      </c>
      <c r="CO936" s="851">
        <f>'P&amp;L'!CO1502</f>
        <v>0</v>
      </c>
      <c r="CP936" s="293">
        <f t="shared" si="2326"/>
        <v>0</v>
      </c>
      <c r="CR936" s="851">
        <f>'P&amp;L'!CR1502</f>
        <v>0</v>
      </c>
      <c r="CS936" s="851">
        <f>'P&amp;L'!CS1502</f>
        <v>0</v>
      </c>
      <c r="CT936" s="293">
        <f t="shared" si="2327"/>
        <v>0</v>
      </c>
      <c r="CV936" s="851">
        <f>'P&amp;L'!CV1502</f>
        <v>0</v>
      </c>
      <c r="CW936" s="851">
        <f>'P&amp;L'!CW1502</f>
        <v>0</v>
      </c>
      <c r="CX936" s="293">
        <f t="shared" si="2328"/>
        <v>0</v>
      </c>
      <c r="CZ936" s="851">
        <f>'P&amp;L'!CZ1502</f>
        <v>0</v>
      </c>
      <c r="DA936" s="851">
        <f>'P&amp;L'!DA1502</f>
        <v>0</v>
      </c>
      <c r="DB936" s="293">
        <f t="shared" si="2329"/>
        <v>0</v>
      </c>
      <c r="DD936" s="851">
        <f>'P&amp;L'!DD1502</f>
        <v>0</v>
      </c>
      <c r="DE936" s="851">
        <f>'P&amp;L'!DE1502</f>
        <v>0</v>
      </c>
      <c r="DF936" s="293">
        <f t="shared" si="2330"/>
        <v>0</v>
      </c>
      <c r="DH936" s="851">
        <f>'P&amp;L'!DH1502</f>
        <v>0</v>
      </c>
      <c r="DI936" s="851">
        <f>'P&amp;L'!DI1502</f>
        <v>0</v>
      </c>
      <c r="DJ936" s="293">
        <f t="shared" si="2331"/>
        <v>0</v>
      </c>
      <c r="DL936" s="851">
        <f>'P&amp;L'!DL1502</f>
        <v>0</v>
      </c>
      <c r="DM936" s="851">
        <f>'P&amp;L'!DM1502</f>
        <v>0</v>
      </c>
      <c r="DN936" s="293">
        <f t="shared" si="2332"/>
        <v>0</v>
      </c>
      <c r="DP936" s="851">
        <f>'P&amp;L'!DP1502</f>
        <v>0</v>
      </c>
      <c r="DQ936" s="851">
        <f>'P&amp;L'!DQ1502</f>
        <v>0</v>
      </c>
      <c r="DR936" s="293">
        <f t="shared" si="2333"/>
        <v>0</v>
      </c>
      <c r="DW936" s="1198" t="s">
        <v>174</v>
      </c>
      <c r="DX936" s="818"/>
      <c r="DY936" s="818"/>
      <c r="EA936" s="818"/>
      <c r="EB936" s="818"/>
      <c r="EC936" s="293"/>
      <c r="EE936" s="818"/>
      <c r="EF936" s="818"/>
      <c r="EG936" s="293"/>
      <c r="EI936" s="818"/>
      <c r="EJ936" s="818"/>
      <c r="EK936" s="293"/>
    </row>
    <row r="937" spans="1:283" hidden="1" outlineLevel="1">
      <c r="A937" s="102" t="s">
        <v>662</v>
      </c>
      <c r="AN937" s="1275"/>
      <c r="AO937" s="1275"/>
      <c r="AP937" s="1275"/>
      <c r="AQ937" s="1275"/>
      <c r="AR937" s="1275"/>
      <c r="AS937" s="1275"/>
      <c r="AT937" s="1262"/>
      <c r="AU937" s="1275"/>
      <c r="AV937" s="1275">
        <v>0</v>
      </c>
      <c r="AW937" s="1275">
        <v>0</v>
      </c>
      <c r="AX937" s="1262">
        <v>0</v>
      </c>
      <c r="AY937" s="1275"/>
      <c r="AZ937" s="1275">
        <v>0</v>
      </c>
      <c r="BA937" s="1275">
        <v>0</v>
      </c>
      <c r="BB937" s="1262">
        <v>0</v>
      </c>
      <c r="BC937" s="1275"/>
      <c r="BD937" s="1262">
        <v>0</v>
      </c>
      <c r="BE937" s="1262">
        <v>0</v>
      </c>
      <c r="BF937" s="1262">
        <v>0</v>
      </c>
      <c r="BG937" s="1275"/>
      <c r="BH937" s="1262">
        <v>0</v>
      </c>
      <c r="BI937" s="1262">
        <v>0</v>
      </c>
      <c r="BJ937" s="1262">
        <v>0</v>
      </c>
      <c r="BK937" s="1262"/>
      <c r="BL937" s="1262">
        <v>0</v>
      </c>
      <c r="BM937" s="1262">
        <v>0</v>
      </c>
      <c r="BN937" s="1262">
        <v>0</v>
      </c>
      <c r="BO937" s="1262"/>
      <c r="BP937" s="1262">
        <v>0</v>
      </c>
      <c r="BQ937" s="1262">
        <v>0</v>
      </c>
      <c r="BR937" s="1262">
        <v>0</v>
      </c>
      <c r="BS937" s="1262"/>
      <c r="BT937" s="1262">
        <v>0</v>
      </c>
      <c r="BU937" s="1262">
        <v>0</v>
      </c>
      <c r="BV937" s="1262">
        <v>0</v>
      </c>
      <c r="BX937" s="626">
        <v>0</v>
      </c>
      <c r="BY937" s="626">
        <v>0</v>
      </c>
      <c r="BZ937" s="293">
        <f t="shared" si="2322"/>
        <v>0</v>
      </c>
      <c r="CB937" s="851">
        <f>'P&amp;L'!CB1513</f>
        <v>0</v>
      </c>
      <c r="CC937" s="851">
        <f>'P&amp;L'!CC1513</f>
        <v>0</v>
      </c>
      <c r="CD937" s="293">
        <f t="shared" si="2323"/>
        <v>0</v>
      </c>
      <c r="CF937" s="851">
        <f>'P&amp;L'!CF1513</f>
        <v>0</v>
      </c>
      <c r="CG937" s="851">
        <f>'P&amp;L'!CG1513</f>
        <v>0</v>
      </c>
      <c r="CH937" s="293">
        <f t="shared" si="2324"/>
        <v>0</v>
      </c>
      <c r="CJ937" s="851">
        <f>'P&amp;L'!CJ1513</f>
        <v>0</v>
      </c>
      <c r="CK937" s="851">
        <f>'P&amp;L'!CK1513</f>
        <v>0</v>
      </c>
      <c r="CL937" s="293">
        <f t="shared" si="2325"/>
        <v>0</v>
      </c>
      <c r="CN937" s="851">
        <f>'P&amp;L'!CN1513</f>
        <v>0</v>
      </c>
      <c r="CO937" s="851">
        <f>'P&amp;L'!CO1513</f>
        <v>0</v>
      </c>
      <c r="CP937" s="293">
        <f t="shared" si="2326"/>
        <v>0</v>
      </c>
      <c r="CR937" s="851">
        <f>'P&amp;L'!CR1513</f>
        <v>0</v>
      </c>
      <c r="CS937" s="851">
        <f>'P&amp;L'!CS1513</f>
        <v>0</v>
      </c>
      <c r="CT937" s="293">
        <f t="shared" si="2327"/>
        <v>0</v>
      </c>
      <c r="CV937" s="851">
        <f>'P&amp;L'!CV1513</f>
        <v>0</v>
      </c>
      <c r="CW937" s="851">
        <f>'P&amp;L'!CW1513</f>
        <v>0</v>
      </c>
      <c r="CX937" s="293">
        <f t="shared" si="2328"/>
        <v>0</v>
      </c>
      <c r="CZ937" s="851">
        <f>'P&amp;L'!CZ1513</f>
        <v>0</v>
      </c>
      <c r="DA937" s="851">
        <f>'P&amp;L'!DA1513</f>
        <v>0</v>
      </c>
      <c r="DB937" s="293">
        <f t="shared" si="2329"/>
        <v>0</v>
      </c>
      <c r="DD937" s="851">
        <f>'P&amp;L'!DD1513</f>
        <v>0</v>
      </c>
      <c r="DE937" s="851">
        <f>'P&amp;L'!DE1513</f>
        <v>0</v>
      </c>
      <c r="DF937" s="293">
        <f t="shared" si="2330"/>
        <v>0</v>
      </c>
      <c r="DH937" s="851">
        <f>'P&amp;L'!DH1513</f>
        <v>0</v>
      </c>
      <c r="DI937" s="851">
        <f>'P&amp;L'!DI1513</f>
        <v>0</v>
      </c>
      <c r="DJ937" s="293">
        <f t="shared" si="2331"/>
        <v>0</v>
      </c>
      <c r="DL937" s="851">
        <f>'P&amp;L'!DL1513</f>
        <v>0</v>
      </c>
      <c r="DM937" s="851">
        <f>'P&amp;L'!DM1513</f>
        <v>0</v>
      </c>
      <c r="DN937" s="293">
        <f t="shared" si="2332"/>
        <v>0</v>
      </c>
      <c r="DP937" s="851">
        <f>'P&amp;L'!DP1513</f>
        <v>0</v>
      </c>
      <c r="DQ937" s="851">
        <f>'P&amp;L'!DQ1513</f>
        <v>0</v>
      </c>
      <c r="DR937" s="293">
        <f t="shared" si="2333"/>
        <v>0</v>
      </c>
      <c r="DW937" s="1198" t="s">
        <v>174</v>
      </c>
      <c r="DX937" s="818"/>
      <c r="DY937" s="818"/>
      <c r="EA937" s="818"/>
      <c r="EB937" s="818"/>
      <c r="EC937" s="293"/>
      <c r="EE937" s="818"/>
      <c r="EF937" s="818"/>
      <c r="EG937" s="293"/>
      <c r="EI937" s="818"/>
      <c r="EJ937" s="818"/>
      <c r="EK937" s="293"/>
    </row>
    <row r="938" spans="1:283" hidden="1" outlineLevel="1">
      <c r="A938" s="102" t="s">
        <v>658</v>
      </c>
      <c r="AN938" s="1275"/>
      <c r="AO938" s="1275"/>
      <c r="AP938" s="1275"/>
      <c r="AQ938" s="1275"/>
      <c r="AR938" s="1275"/>
      <c r="AS938" s="1275"/>
      <c r="AT938" s="1262"/>
      <c r="AU938" s="1275"/>
      <c r="AV938" s="1275">
        <v>0</v>
      </c>
      <c r="AW938" s="1275">
        <v>0</v>
      </c>
      <c r="AX938" s="1262">
        <v>0</v>
      </c>
      <c r="AY938" s="1275"/>
      <c r="AZ938" s="1275">
        <v>0</v>
      </c>
      <c r="BA938" s="1275">
        <v>0</v>
      </c>
      <c r="BB938" s="1262">
        <v>0</v>
      </c>
      <c r="BC938" s="1275"/>
      <c r="BD938" s="1262">
        <v>0</v>
      </c>
      <c r="BE938" s="1262">
        <v>36</v>
      </c>
      <c r="BF938" s="1262">
        <v>36</v>
      </c>
      <c r="BG938" s="1275"/>
      <c r="BH938" s="1262">
        <v>0</v>
      </c>
      <c r="BI938" s="1262">
        <v>0</v>
      </c>
      <c r="BJ938" s="1262">
        <v>0</v>
      </c>
      <c r="BK938" s="1262"/>
      <c r="BL938" s="1262">
        <v>0</v>
      </c>
      <c r="BM938" s="1262">
        <v>0</v>
      </c>
      <c r="BN938" s="1262">
        <v>0</v>
      </c>
      <c r="BO938" s="1262"/>
      <c r="BP938" s="1262">
        <v>0</v>
      </c>
      <c r="BQ938" s="1262">
        <v>0</v>
      </c>
      <c r="BR938" s="1262">
        <v>0</v>
      </c>
      <c r="BS938" s="1262"/>
      <c r="BT938" s="1262">
        <v>0</v>
      </c>
      <c r="BU938" s="1262">
        <v>0</v>
      </c>
      <c r="BV938" s="1262">
        <v>0</v>
      </c>
      <c r="BX938" s="626">
        <v>0</v>
      </c>
      <c r="BY938" s="626">
        <v>0</v>
      </c>
      <c r="BZ938" s="293">
        <f t="shared" si="2322"/>
        <v>0</v>
      </c>
      <c r="CB938" s="851">
        <f>'P&amp;L'!CB1524</f>
        <v>0</v>
      </c>
      <c r="CC938" s="851">
        <f>'P&amp;L'!CC1524</f>
        <v>0</v>
      </c>
      <c r="CD938" s="293">
        <f t="shared" si="2323"/>
        <v>0</v>
      </c>
      <c r="CF938" s="851">
        <f>'P&amp;L'!CF1524</f>
        <v>0</v>
      </c>
      <c r="CG938" s="851">
        <f>'P&amp;L'!CG1524</f>
        <v>0</v>
      </c>
      <c r="CH938" s="293">
        <f t="shared" si="2324"/>
        <v>0</v>
      </c>
      <c r="CJ938" s="851">
        <f>'P&amp;L'!CJ1524</f>
        <v>0</v>
      </c>
      <c r="CK938" s="851">
        <f>'P&amp;L'!CK1524</f>
        <v>0</v>
      </c>
      <c r="CL938" s="293">
        <f t="shared" si="2325"/>
        <v>0</v>
      </c>
      <c r="CN938" s="851">
        <f>'P&amp;L'!CN1524</f>
        <v>0</v>
      </c>
      <c r="CO938" s="851">
        <f>'P&amp;L'!CO1524</f>
        <v>0</v>
      </c>
      <c r="CP938" s="293">
        <f t="shared" si="2326"/>
        <v>0</v>
      </c>
      <c r="CR938" s="851">
        <f>'P&amp;L'!CR1524</f>
        <v>0</v>
      </c>
      <c r="CS938" s="851">
        <f>'P&amp;L'!CS1524</f>
        <v>0</v>
      </c>
      <c r="CT938" s="293">
        <f t="shared" si="2327"/>
        <v>0</v>
      </c>
      <c r="CV938" s="851">
        <f>'P&amp;L'!CV1524</f>
        <v>0</v>
      </c>
      <c r="CW938" s="851">
        <f>'P&amp;L'!CW1524</f>
        <v>0</v>
      </c>
      <c r="CX938" s="293">
        <f t="shared" si="2328"/>
        <v>0</v>
      </c>
      <c r="CZ938" s="851">
        <f>'P&amp;L'!CZ1524</f>
        <v>0</v>
      </c>
      <c r="DA938" s="851">
        <f>'P&amp;L'!DA1524</f>
        <v>0</v>
      </c>
      <c r="DB938" s="293">
        <f t="shared" si="2329"/>
        <v>0</v>
      </c>
      <c r="DD938" s="851">
        <f>'P&amp;L'!DD1524</f>
        <v>0</v>
      </c>
      <c r="DE938" s="851">
        <f>'P&amp;L'!DE1524</f>
        <v>0</v>
      </c>
      <c r="DF938" s="293">
        <f t="shared" si="2330"/>
        <v>0</v>
      </c>
      <c r="DH938" s="851">
        <f>'P&amp;L'!DH1524</f>
        <v>0</v>
      </c>
      <c r="DI938" s="851">
        <f>'P&amp;L'!DI1524</f>
        <v>0</v>
      </c>
      <c r="DJ938" s="293">
        <f t="shared" si="2331"/>
        <v>0</v>
      </c>
      <c r="DL938" s="851">
        <f>'P&amp;L'!DL1524</f>
        <v>0</v>
      </c>
      <c r="DM938" s="851">
        <f>'P&amp;L'!DM1524</f>
        <v>0</v>
      </c>
      <c r="DN938" s="293">
        <f t="shared" si="2332"/>
        <v>0</v>
      </c>
      <c r="DP938" s="851">
        <f>'P&amp;L'!DP1524</f>
        <v>0</v>
      </c>
      <c r="DQ938" s="851">
        <f>'P&amp;L'!DQ1524</f>
        <v>0</v>
      </c>
      <c r="DR938" s="293">
        <f t="shared" si="2333"/>
        <v>0</v>
      </c>
      <c r="DW938" s="1198" t="s">
        <v>174</v>
      </c>
      <c r="DX938" s="818"/>
      <c r="DY938" s="818"/>
      <c r="EA938" s="818"/>
      <c r="EB938" s="818"/>
      <c r="EC938" s="293"/>
      <c r="EE938" s="818"/>
      <c r="EF938" s="818"/>
      <c r="EG938" s="293"/>
      <c r="EI938" s="818"/>
      <c r="EJ938" s="818"/>
      <c r="EK938" s="293"/>
    </row>
    <row r="939" spans="1:283" hidden="1" outlineLevel="1">
      <c r="A939" s="102" t="s">
        <v>887</v>
      </c>
      <c r="AN939" s="1275"/>
      <c r="AO939" s="1275"/>
      <c r="AP939" s="1275"/>
      <c r="AQ939" s="1275"/>
      <c r="AR939" s="1275"/>
      <c r="AS939" s="1275"/>
      <c r="AT939" s="1262"/>
      <c r="AU939" s="1275"/>
      <c r="AV939" s="1275"/>
      <c r="AW939" s="1275"/>
      <c r="AX939" s="1262"/>
      <c r="AY939" s="1275"/>
      <c r="AZ939" s="1275"/>
      <c r="BA939" s="1275"/>
      <c r="BB939" s="1262"/>
      <c r="BC939" s="1275"/>
      <c r="BD939" s="1262">
        <v>0</v>
      </c>
      <c r="BE939" s="1262">
        <v>104</v>
      </c>
      <c r="BF939" s="1262">
        <v>104</v>
      </c>
      <c r="BG939" s="1275"/>
      <c r="BH939" s="1262">
        <v>0</v>
      </c>
      <c r="BI939" s="1262">
        <v>0</v>
      </c>
      <c r="BJ939" s="1262">
        <v>0</v>
      </c>
      <c r="BK939" s="1262"/>
      <c r="BL939" s="1262">
        <v>0</v>
      </c>
      <c r="BM939" s="1262">
        <v>0</v>
      </c>
      <c r="BN939" s="1262">
        <v>0</v>
      </c>
      <c r="BO939" s="1262"/>
      <c r="BP939" s="1262">
        <v>0</v>
      </c>
      <c r="BQ939" s="1262">
        <v>0</v>
      </c>
      <c r="BR939" s="1262">
        <v>0</v>
      </c>
      <c r="BS939" s="1262"/>
      <c r="BT939" s="1262">
        <v>0</v>
      </c>
      <c r="BU939" s="1262">
        <v>0</v>
      </c>
      <c r="BV939" s="1262">
        <v>0</v>
      </c>
      <c r="BX939" s="626">
        <v>0</v>
      </c>
      <c r="BY939" s="626">
        <v>0</v>
      </c>
      <c r="BZ939" s="293">
        <f t="shared" si="2322"/>
        <v>0</v>
      </c>
      <c r="CB939" s="851">
        <f>'P&amp;L'!CB1535</f>
        <v>0</v>
      </c>
      <c r="CC939" s="851">
        <f>'P&amp;L'!CC1535</f>
        <v>0</v>
      </c>
      <c r="CD939" s="293">
        <f t="shared" si="2323"/>
        <v>0</v>
      </c>
      <c r="CF939" s="851">
        <f>'P&amp;L'!CF1535</f>
        <v>0</v>
      </c>
      <c r="CG939" s="851">
        <f>'P&amp;L'!CG1535</f>
        <v>0</v>
      </c>
      <c r="CH939" s="293">
        <f t="shared" si="2324"/>
        <v>0</v>
      </c>
      <c r="CJ939" s="851">
        <f>'P&amp;L'!CJ1535</f>
        <v>0</v>
      </c>
      <c r="CK939" s="851">
        <f>'P&amp;L'!CK1535</f>
        <v>0</v>
      </c>
      <c r="CL939" s="293">
        <f t="shared" si="2325"/>
        <v>0</v>
      </c>
      <c r="CN939" s="851">
        <f>'P&amp;L'!CN1535</f>
        <v>0</v>
      </c>
      <c r="CO939" s="851">
        <f>'P&amp;L'!CO1535</f>
        <v>0</v>
      </c>
      <c r="CP939" s="293">
        <f t="shared" si="2326"/>
        <v>0</v>
      </c>
      <c r="CR939" s="851">
        <f>'P&amp;L'!CR1535</f>
        <v>0</v>
      </c>
      <c r="CS939" s="851">
        <f>'P&amp;L'!CS1535</f>
        <v>0</v>
      </c>
      <c r="CT939" s="293">
        <f t="shared" si="2327"/>
        <v>0</v>
      </c>
      <c r="CV939" s="851">
        <f>'P&amp;L'!CV1535</f>
        <v>0</v>
      </c>
      <c r="CW939" s="851">
        <f>'P&amp;L'!CW1535</f>
        <v>0</v>
      </c>
      <c r="CX939" s="293">
        <f t="shared" si="2328"/>
        <v>0</v>
      </c>
      <c r="CZ939" s="851">
        <f>'P&amp;L'!CZ1535</f>
        <v>0</v>
      </c>
      <c r="DA939" s="851">
        <f>'P&amp;L'!DA1535</f>
        <v>0</v>
      </c>
      <c r="DB939" s="293">
        <f t="shared" si="2329"/>
        <v>0</v>
      </c>
      <c r="DD939" s="851">
        <f>'P&amp;L'!DD1535</f>
        <v>0</v>
      </c>
      <c r="DE939" s="851">
        <f>'P&amp;L'!DE1535</f>
        <v>0</v>
      </c>
      <c r="DF939" s="293">
        <f t="shared" si="2330"/>
        <v>0</v>
      </c>
      <c r="DH939" s="851">
        <f>'P&amp;L'!DH1535</f>
        <v>0</v>
      </c>
      <c r="DI939" s="851">
        <f>'P&amp;L'!DI1535</f>
        <v>0</v>
      </c>
      <c r="DJ939" s="293">
        <f t="shared" si="2331"/>
        <v>0</v>
      </c>
      <c r="DL939" s="851">
        <f>'P&amp;L'!DL1535</f>
        <v>0</v>
      </c>
      <c r="DM939" s="851">
        <f>'P&amp;L'!DM1535</f>
        <v>0</v>
      </c>
      <c r="DN939" s="293">
        <f t="shared" si="2332"/>
        <v>0</v>
      </c>
      <c r="DP939" s="851">
        <f>'P&amp;L'!DP1535</f>
        <v>0</v>
      </c>
      <c r="DQ939" s="851">
        <f>'P&amp;L'!DQ1535</f>
        <v>0</v>
      </c>
      <c r="DR939" s="293">
        <f t="shared" si="2333"/>
        <v>0</v>
      </c>
      <c r="DW939" s="1198" t="s">
        <v>174</v>
      </c>
      <c r="DX939" s="818"/>
      <c r="DY939" s="818"/>
      <c r="EA939" s="818"/>
      <c r="EB939" s="818"/>
      <c r="EC939" s="293"/>
      <c r="EE939" s="818"/>
      <c r="EF939" s="818"/>
      <c r="EG939" s="293"/>
      <c r="EI939" s="818"/>
      <c r="EJ939" s="818"/>
      <c r="EK939" s="293"/>
    </row>
    <row r="940" spans="1:283" hidden="1" outlineLevel="1">
      <c r="A940" s="102" t="s">
        <v>667</v>
      </c>
      <c r="AN940" s="1275"/>
      <c r="AO940" s="1275"/>
      <c r="AP940" s="1275"/>
      <c r="AQ940" s="1275"/>
      <c r="AR940" s="1275"/>
      <c r="AS940" s="1275"/>
      <c r="AT940" s="1262"/>
      <c r="AU940" s="1275"/>
      <c r="AV940" s="1275">
        <v>0</v>
      </c>
      <c r="AW940" s="1275">
        <v>0</v>
      </c>
      <c r="AX940" s="1262">
        <v>0</v>
      </c>
      <c r="AY940" s="1275"/>
      <c r="AZ940" s="1275">
        <v>0</v>
      </c>
      <c r="BA940" s="1275">
        <v>0</v>
      </c>
      <c r="BB940" s="1262">
        <v>0</v>
      </c>
      <c r="BC940" s="1275"/>
      <c r="BD940" s="1262">
        <v>0</v>
      </c>
      <c r="BE940" s="1262">
        <v>0</v>
      </c>
      <c r="BF940" s="1262">
        <v>0</v>
      </c>
      <c r="BG940" s="1275"/>
      <c r="BH940" s="1262">
        <v>0</v>
      </c>
      <c r="BI940" s="1262">
        <v>0</v>
      </c>
      <c r="BJ940" s="1262">
        <v>0</v>
      </c>
      <c r="BK940" s="1262"/>
      <c r="BL940" s="1262">
        <v>0</v>
      </c>
      <c r="BM940" s="1262">
        <v>0</v>
      </c>
      <c r="BN940" s="1262">
        <v>0</v>
      </c>
      <c r="BO940" s="1262"/>
      <c r="BP940" s="1262">
        <v>0</v>
      </c>
      <c r="BQ940" s="1262">
        <v>0</v>
      </c>
      <c r="BR940" s="1262">
        <v>0</v>
      </c>
      <c r="BS940" s="1262"/>
      <c r="BT940" s="1262">
        <v>0</v>
      </c>
      <c r="BU940" s="1262">
        <v>0</v>
      </c>
      <c r="BV940" s="1262">
        <v>0</v>
      </c>
      <c r="BX940" s="626">
        <v>0</v>
      </c>
      <c r="BY940" s="626">
        <v>0</v>
      </c>
      <c r="BZ940" s="293">
        <f t="shared" si="2322"/>
        <v>0</v>
      </c>
      <c r="CB940" s="851">
        <f>'P&amp;L'!CB1546</f>
        <v>0</v>
      </c>
      <c r="CC940" s="851">
        <f>'P&amp;L'!CC1546</f>
        <v>0</v>
      </c>
      <c r="CD940" s="293">
        <f t="shared" si="2323"/>
        <v>0</v>
      </c>
      <c r="CF940" s="851">
        <f>'P&amp;L'!CF1546</f>
        <v>0</v>
      </c>
      <c r="CG940" s="851">
        <f>'P&amp;L'!CG1546</f>
        <v>0</v>
      </c>
      <c r="CH940" s="293">
        <f t="shared" si="2324"/>
        <v>0</v>
      </c>
      <c r="CJ940" s="851">
        <f>'P&amp;L'!CJ1546</f>
        <v>0</v>
      </c>
      <c r="CK940" s="851">
        <f>'P&amp;L'!CK1546</f>
        <v>0</v>
      </c>
      <c r="CL940" s="293">
        <f t="shared" si="2325"/>
        <v>0</v>
      </c>
      <c r="CN940" s="851">
        <f>'P&amp;L'!CN1546</f>
        <v>0</v>
      </c>
      <c r="CO940" s="851">
        <f>'P&amp;L'!CO1546</f>
        <v>0</v>
      </c>
      <c r="CP940" s="293">
        <f t="shared" si="2326"/>
        <v>0</v>
      </c>
      <c r="CR940" s="851">
        <f>'P&amp;L'!CR1546</f>
        <v>0</v>
      </c>
      <c r="CS940" s="851">
        <f>'P&amp;L'!CS1546</f>
        <v>0</v>
      </c>
      <c r="CT940" s="293">
        <f t="shared" si="2327"/>
        <v>0</v>
      </c>
      <c r="CV940" s="851">
        <f>'P&amp;L'!CV1546</f>
        <v>0</v>
      </c>
      <c r="CW940" s="851">
        <f>'P&amp;L'!CW1546</f>
        <v>0</v>
      </c>
      <c r="CX940" s="293">
        <f t="shared" si="2328"/>
        <v>0</v>
      </c>
      <c r="CZ940" s="851">
        <f>'P&amp;L'!CZ1546</f>
        <v>0</v>
      </c>
      <c r="DA940" s="851">
        <f>'P&amp;L'!DA1546</f>
        <v>0</v>
      </c>
      <c r="DB940" s="293">
        <f t="shared" si="2329"/>
        <v>0</v>
      </c>
      <c r="DD940" s="851">
        <f>'P&amp;L'!DD1546</f>
        <v>0</v>
      </c>
      <c r="DE940" s="851">
        <f>'P&amp;L'!DE1546</f>
        <v>0</v>
      </c>
      <c r="DF940" s="293">
        <f t="shared" si="2330"/>
        <v>0</v>
      </c>
      <c r="DH940" s="851">
        <f>'P&amp;L'!DH1546</f>
        <v>0</v>
      </c>
      <c r="DI940" s="851">
        <f>'P&amp;L'!DI1546</f>
        <v>0</v>
      </c>
      <c r="DJ940" s="293">
        <f t="shared" si="2331"/>
        <v>0</v>
      </c>
      <c r="DL940" s="851">
        <f>'P&amp;L'!DL1546</f>
        <v>0</v>
      </c>
      <c r="DM940" s="851">
        <f>'P&amp;L'!DM1546</f>
        <v>0</v>
      </c>
      <c r="DN940" s="293">
        <f t="shared" si="2332"/>
        <v>0</v>
      </c>
      <c r="DP940" s="851">
        <f>'P&amp;L'!DP1546</f>
        <v>0</v>
      </c>
      <c r="DQ940" s="851">
        <f>'P&amp;L'!DQ1546</f>
        <v>0</v>
      </c>
      <c r="DR940" s="293">
        <f t="shared" si="2333"/>
        <v>0</v>
      </c>
      <c r="DW940" s="1198" t="s">
        <v>174</v>
      </c>
      <c r="DX940" s="818"/>
      <c r="DY940" s="818"/>
      <c r="EA940" s="818"/>
      <c r="EB940" s="818"/>
      <c r="EC940" s="293"/>
      <c r="EE940" s="818"/>
      <c r="EF940" s="818"/>
      <c r="EG940" s="293"/>
      <c r="EI940" s="818"/>
      <c r="EJ940" s="818"/>
      <c r="EK940" s="293"/>
    </row>
    <row r="941" spans="1:283" hidden="1" outlineLevel="1">
      <c r="A941" s="102" t="s">
        <v>675</v>
      </c>
      <c r="AN941" s="1275"/>
      <c r="AO941" s="1275"/>
      <c r="AP941" s="1275"/>
      <c r="AQ941" s="1275"/>
      <c r="AR941" s="1275"/>
      <c r="AS941" s="1275"/>
      <c r="AT941" s="1262"/>
      <c r="AU941" s="1275"/>
      <c r="AV941" s="1275">
        <v>0</v>
      </c>
      <c r="AW941" s="1275">
        <v>0</v>
      </c>
      <c r="AX941" s="1262">
        <v>0</v>
      </c>
      <c r="AY941" s="1275"/>
      <c r="AZ941" s="1275">
        <v>0</v>
      </c>
      <c r="BA941" s="1275">
        <v>0</v>
      </c>
      <c r="BB941" s="1262">
        <v>0</v>
      </c>
      <c r="BC941" s="1275"/>
      <c r="BD941" s="1262">
        <v>0</v>
      </c>
      <c r="BE941" s="1262">
        <v>0</v>
      </c>
      <c r="BF941" s="1262">
        <v>0</v>
      </c>
      <c r="BG941" s="1275"/>
      <c r="BH941" s="1262">
        <v>0</v>
      </c>
      <c r="BI941" s="1262">
        <v>0</v>
      </c>
      <c r="BJ941" s="1262">
        <v>0</v>
      </c>
      <c r="BK941" s="1262"/>
      <c r="BL941" s="1262">
        <v>0</v>
      </c>
      <c r="BM941" s="1262">
        <v>0</v>
      </c>
      <c r="BN941" s="1262">
        <v>0</v>
      </c>
      <c r="BO941" s="1262"/>
      <c r="BP941" s="1262">
        <v>0</v>
      </c>
      <c r="BQ941" s="1262">
        <v>0</v>
      </c>
      <c r="BR941" s="1262">
        <v>0</v>
      </c>
      <c r="BS941" s="1262"/>
      <c r="BT941" s="1262">
        <v>0</v>
      </c>
      <c r="BU941" s="1262">
        <v>0</v>
      </c>
      <c r="BV941" s="1262">
        <v>0</v>
      </c>
      <c r="BX941" s="626">
        <v>0</v>
      </c>
      <c r="BY941" s="626">
        <v>0</v>
      </c>
      <c r="BZ941" s="293">
        <f t="shared" si="2322"/>
        <v>0</v>
      </c>
      <c r="CB941" s="851">
        <f>'P&amp;L'!CB1557</f>
        <v>0</v>
      </c>
      <c r="CC941" s="851">
        <f>'P&amp;L'!CC1557</f>
        <v>0</v>
      </c>
      <c r="CD941" s="293">
        <f t="shared" si="2323"/>
        <v>0</v>
      </c>
      <c r="CF941" s="851">
        <f>'P&amp;L'!CF1557</f>
        <v>0</v>
      </c>
      <c r="CG941" s="851">
        <f>'P&amp;L'!CG1557</f>
        <v>0</v>
      </c>
      <c r="CH941" s="293">
        <f t="shared" si="2324"/>
        <v>0</v>
      </c>
      <c r="CJ941" s="851">
        <f>'P&amp;L'!CJ1557</f>
        <v>0</v>
      </c>
      <c r="CK941" s="851">
        <f>'P&amp;L'!CK1557</f>
        <v>0</v>
      </c>
      <c r="CL941" s="293">
        <f t="shared" si="2325"/>
        <v>0</v>
      </c>
      <c r="CN941" s="851">
        <f>'P&amp;L'!CN1557</f>
        <v>0</v>
      </c>
      <c r="CO941" s="851">
        <f>'P&amp;L'!CO1557</f>
        <v>0</v>
      </c>
      <c r="CP941" s="293">
        <f t="shared" si="2326"/>
        <v>0</v>
      </c>
      <c r="CR941" s="851">
        <f>'P&amp;L'!CR1557</f>
        <v>0</v>
      </c>
      <c r="CS941" s="851">
        <f>'P&amp;L'!CS1557</f>
        <v>0</v>
      </c>
      <c r="CT941" s="293">
        <f t="shared" si="2327"/>
        <v>0</v>
      </c>
      <c r="CV941" s="851">
        <f>'P&amp;L'!CV1557</f>
        <v>0</v>
      </c>
      <c r="CW941" s="851">
        <f>'P&amp;L'!CW1557</f>
        <v>0</v>
      </c>
      <c r="CX941" s="293">
        <f t="shared" si="2328"/>
        <v>0</v>
      </c>
      <c r="CZ941" s="851">
        <f>'P&amp;L'!CZ1557</f>
        <v>0</v>
      </c>
      <c r="DA941" s="851">
        <f>'P&amp;L'!DA1557</f>
        <v>0</v>
      </c>
      <c r="DB941" s="293">
        <f t="shared" si="2329"/>
        <v>0</v>
      </c>
      <c r="DD941" s="851">
        <f>'P&amp;L'!DD1557</f>
        <v>0</v>
      </c>
      <c r="DE941" s="851">
        <f>'P&amp;L'!DE1557</f>
        <v>0</v>
      </c>
      <c r="DF941" s="293">
        <f t="shared" si="2330"/>
        <v>0</v>
      </c>
      <c r="DH941" s="851">
        <f>'P&amp;L'!DH1557</f>
        <v>0</v>
      </c>
      <c r="DI941" s="851">
        <f>'P&amp;L'!DI1557</f>
        <v>0</v>
      </c>
      <c r="DJ941" s="293">
        <f t="shared" si="2331"/>
        <v>0</v>
      </c>
      <c r="DL941" s="851">
        <f>'P&amp;L'!DL1557</f>
        <v>0</v>
      </c>
      <c r="DM941" s="851">
        <f>'P&amp;L'!DM1557</f>
        <v>0</v>
      </c>
      <c r="DN941" s="293">
        <f t="shared" si="2332"/>
        <v>0</v>
      </c>
      <c r="DP941" s="851">
        <f>'P&amp;L'!DP1557</f>
        <v>0</v>
      </c>
      <c r="DQ941" s="851">
        <f>'P&amp;L'!DQ1557</f>
        <v>0</v>
      </c>
      <c r="DR941" s="293">
        <f t="shared" si="2333"/>
        <v>0</v>
      </c>
      <c r="DW941" s="1198" t="s">
        <v>174</v>
      </c>
      <c r="DX941" s="818"/>
      <c r="DY941" s="818"/>
      <c r="EA941" s="818"/>
      <c r="EB941" s="818"/>
      <c r="EC941" s="293"/>
      <c r="EE941" s="818"/>
      <c r="EF941" s="818"/>
      <c r="EG941" s="293"/>
      <c r="EI941" s="818"/>
      <c r="EJ941" s="818"/>
      <c r="EK941" s="293"/>
    </row>
    <row r="942" spans="1:283" hidden="1" outlineLevel="1">
      <c r="A942" s="102" t="s">
        <v>672</v>
      </c>
      <c r="AN942" s="1275"/>
      <c r="AO942" s="1275"/>
      <c r="AP942" s="1275"/>
      <c r="AQ942" s="1275"/>
      <c r="AR942" s="1275"/>
      <c r="AS942" s="1275"/>
      <c r="AT942" s="1262"/>
      <c r="AU942" s="1275"/>
      <c r="AV942" s="1275">
        <v>-50</v>
      </c>
      <c r="AW942" s="1275">
        <v>-3</v>
      </c>
      <c r="AX942" s="1262">
        <v>-53</v>
      </c>
      <c r="AY942" s="1275"/>
      <c r="AZ942" s="1275">
        <v>12</v>
      </c>
      <c r="BA942" s="1275">
        <v>1</v>
      </c>
      <c r="BB942" s="1262">
        <v>13</v>
      </c>
      <c r="BC942" s="1275"/>
      <c r="BD942" s="1262">
        <v>-15</v>
      </c>
      <c r="BE942" s="1262">
        <v>-14</v>
      </c>
      <c r="BF942" s="1262">
        <v>-29</v>
      </c>
      <c r="BG942" s="1275"/>
      <c r="BH942" s="1262">
        <v>-34</v>
      </c>
      <c r="BI942" s="1262">
        <v>-23</v>
      </c>
      <c r="BJ942" s="1262">
        <v>-57</v>
      </c>
      <c r="BK942" s="1262"/>
      <c r="BL942" s="1262">
        <v>-29</v>
      </c>
      <c r="BM942" s="1262">
        <v>-60</v>
      </c>
      <c r="BN942" s="1262">
        <v>-89</v>
      </c>
      <c r="BO942" s="1262"/>
      <c r="BP942" s="1262">
        <v>-48</v>
      </c>
      <c r="BQ942" s="1262">
        <v>-187</v>
      </c>
      <c r="BR942" s="1262">
        <v>-235</v>
      </c>
      <c r="BS942" s="1262"/>
      <c r="BT942" s="1262">
        <v>-166</v>
      </c>
      <c r="BU942" s="1262">
        <v>-120</v>
      </c>
      <c r="BV942" s="1262">
        <v>-286</v>
      </c>
      <c r="BX942" s="626">
        <v>-48</v>
      </c>
      <c r="BY942" s="626">
        <v>-120</v>
      </c>
      <c r="BZ942" s="293">
        <f t="shared" si="2322"/>
        <v>-168</v>
      </c>
      <c r="CB942" s="851">
        <f>'P&amp;L'!CB1568</f>
        <v>0</v>
      </c>
      <c r="CC942" s="851">
        <f>'P&amp;L'!CC1568</f>
        <v>0</v>
      </c>
      <c r="CD942" s="293">
        <f t="shared" si="2323"/>
        <v>0</v>
      </c>
      <c r="CF942" s="851">
        <f>'P&amp;L'!CF1568</f>
        <v>0</v>
      </c>
      <c r="CG942" s="851">
        <f>'P&amp;L'!CG1568</f>
        <v>0</v>
      </c>
      <c r="CH942" s="293">
        <f t="shared" si="2324"/>
        <v>0</v>
      </c>
      <c r="CJ942" s="851">
        <f>'P&amp;L'!CJ1568</f>
        <v>0</v>
      </c>
      <c r="CK942" s="851">
        <f>'P&amp;L'!CK1568</f>
        <v>0</v>
      </c>
      <c r="CL942" s="293">
        <f t="shared" si="2325"/>
        <v>0</v>
      </c>
      <c r="CN942" s="851">
        <f>'P&amp;L'!CN1568</f>
        <v>0</v>
      </c>
      <c r="CO942" s="851">
        <f>'P&amp;L'!CO1568</f>
        <v>0</v>
      </c>
      <c r="CP942" s="293">
        <f t="shared" si="2326"/>
        <v>0</v>
      </c>
      <c r="CR942" s="851">
        <f>'P&amp;L'!CR1568</f>
        <v>0</v>
      </c>
      <c r="CS942" s="851">
        <f>'P&amp;L'!CS1568</f>
        <v>0</v>
      </c>
      <c r="CT942" s="293">
        <f t="shared" si="2327"/>
        <v>0</v>
      </c>
      <c r="CV942" s="851">
        <f>'P&amp;L'!CV1568</f>
        <v>0</v>
      </c>
      <c r="CW942" s="851">
        <f>'P&amp;L'!CW1568</f>
        <v>0</v>
      </c>
      <c r="CX942" s="293">
        <f t="shared" si="2328"/>
        <v>0</v>
      </c>
      <c r="CZ942" s="851">
        <f>'P&amp;L'!CZ1568</f>
        <v>0</v>
      </c>
      <c r="DA942" s="851">
        <f>'P&amp;L'!DA1568</f>
        <v>0</v>
      </c>
      <c r="DB942" s="293">
        <f t="shared" si="2329"/>
        <v>0</v>
      </c>
      <c r="DD942" s="851">
        <f>'P&amp;L'!DD1568</f>
        <v>0</v>
      </c>
      <c r="DE942" s="851">
        <f>'P&amp;L'!DE1568</f>
        <v>0</v>
      </c>
      <c r="DF942" s="293">
        <f t="shared" si="2330"/>
        <v>0</v>
      </c>
      <c r="DH942" s="851">
        <f>'P&amp;L'!DH1568</f>
        <v>0</v>
      </c>
      <c r="DI942" s="851">
        <f>'P&amp;L'!DI1568</f>
        <v>0</v>
      </c>
      <c r="DJ942" s="293">
        <f t="shared" si="2331"/>
        <v>0</v>
      </c>
      <c r="DL942" s="851">
        <f>'P&amp;L'!DL1568</f>
        <v>0</v>
      </c>
      <c r="DM942" s="851">
        <f>'P&amp;L'!DM1568</f>
        <v>0</v>
      </c>
      <c r="DN942" s="293">
        <f t="shared" si="2332"/>
        <v>0</v>
      </c>
      <c r="DP942" s="851">
        <f>'P&amp;L'!DP1568</f>
        <v>0</v>
      </c>
      <c r="DQ942" s="851">
        <f>'P&amp;L'!DQ1568</f>
        <v>0</v>
      </c>
      <c r="DR942" s="293">
        <f t="shared" si="2333"/>
        <v>0</v>
      </c>
      <c r="DW942" s="1198" t="s">
        <v>174</v>
      </c>
      <c r="DX942" s="818"/>
      <c r="DY942" s="818"/>
      <c r="EA942" s="818"/>
      <c r="EB942" s="818"/>
      <c r="EC942" s="293"/>
      <c r="EE942" s="818"/>
      <c r="EF942" s="818"/>
      <c r="EG942" s="293"/>
      <c r="EI942" s="818"/>
      <c r="EJ942" s="818"/>
      <c r="EK942" s="293"/>
    </row>
    <row r="943" spans="1:283" hidden="1" outlineLevel="1">
      <c r="A943" s="102" t="s">
        <v>827</v>
      </c>
      <c r="AN943" s="1275"/>
      <c r="AO943" s="1275"/>
      <c r="AP943" s="1275"/>
      <c r="AQ943" s="1275"/>
      <c r="AR943" s="1275"/>
      <c r="AS943" s="1275"/>
      <c r="AT943" s="1262"/>
      <c r="AU943" s="1275"/>
      <c r="AV943" s="1275">
        <v>0</v>
      </c>
      <c r="AW943" s="1275">
        <v>0</v>
      </c>
      <c r="AX943" s="1262">
        <v>0</v>
      </c>
      <c r="AY943" s="1275"/>
      <c r="AZ943" s="1275">
        <v>0</v>
      </c>
      <c r="BA943" s="1275">
        <v>0</v>
      </c>
      <c r="BB943" s="1262">
        <v>0</v>
      </c>
      <c r="BC943" s="1275"/>
      <c r="BD943" s="1275">
        <v>0</v>
      </c>
      <c r="BE943" s="1262">
        <v>0</v>
      </c>
      <c r="BF943" s="1262">
        <v>0</v>
      </c>
      <c r="BG943" s="1275"/>
      <c r="BH943" s="1262">
        <v>0</v>
      </c>
      <c r="BI943" s="1262">
        <v>0</v>
      </c>
      <c r="BJ943" s="1262">
        <v>0</v>
      </c>
      <c r="BK943" s="1262"/>
      <c r="BL943" s="1262">
        <v>0</v>
      </c>
      <c r="BM943" s="1262">
        <v>0</v>
      </c>
      <c r="BN943" s="1262">
        <v>0</v>
      </c>
      <c r="BO943" s="1262"/>
      <c r="BP943" s="1262">
        <v>0</v>
      </c>
      <c r="BQ943" s="1262">
        <v>0</v>
      </c>
      <c r="BR943" s="1262">
        <v>0</v>
      </c>
      <c r="BS943" s="1262"/>
      <c r="BT943" s="1262">
        <v>0</v>
      </c>
      <c r="BU943" s="1262">
        <v>0</v>
      </c>
      <c r="BV943" s="1262">
        <v>0</v>
      </c>
      <c r="BX943" s="626">
        <v>0</v>
      </c>
      <c r="BY943" s="626">
        <v>0</v>
      </c>
      <c r="BZ943" s="293">
        <f t="shared" si="2322"/>
        <v>0</v>
      </c>
      <c r="CB943" s="851">
        <f>'P&amp;L'!CB1590</f>
        <v>0</v>
      </c>
      <c r="CC943" s="851">
        <f>'P&amp;L'!CC1590</f>
        <v>0</v>
      </c>
      <c r="CD943" s="293">
        <f t="shared" si="2323"/>
        <v>0</v>
      </c>
      <c r="CF943" s="851">
        <f>'P&amp;L'!CF1590</f>
        <v>0</v>
      </c>
      <c r="CG943" s="851">
        <f>'P&amp;L'!CG1590</f>
        <v>0</v>
      </c>
      <c r="CH943" s="293">
        <f t="shared" si="2324"/>
        <v>0</v>
      </c>
      <c r="CJ943" s="851">
        <f>'P&amp;L'!CJ1590</f>
        <v>0</v>
      </c>
      <c r="CK943" s="851">
        <f>'P&amp;L'!CK1590</f>
        <v>0</v>
      </c>
      <c r="CL943" s="293">
        <f t="shared" si="2325"/>
        <v>0</v>
      </c>
      <c r="CN943" s="851">
        <f>'P&amp;L'!CN1590</f>
        <v>0</v>
      </c>
      <c r="CO943" s="851">
        <f>'P&amp;L'!CO1590</f>
        <v>0</v>
      </c>
      <c r="CP943" s="293">
        <f t="shared" si="2326"/>
        <v>0</v>
      </c>
      <c r="CR943" s="851">
        <f>'P&amp;L'!CR1590</f>
        <v>0</v>
      </c>
      <c r="CS943" s="851">
        <f>'P&amp;L'!CS1590</f>
        <v>0</v>
      </c>
      <c r="CT943" s="293">
        <f t="shared" si="2327"/>
        <v>0</v>
      </c>
      <c r="CV943" s="851">
        <f>'P&amp;L'!CV1590</f>
        <v>0</v>
      </c>
      <c r="CW943" s="851">
        <f>'P&amp;L'!CW1590</f>
        <v>0</v>
      </c>
      <c r="CX943" s="293">
        <f t="shared" si="2328"/>
        <v>0</v>
      </c>
      <c r="CZ943" s="851">
        <f>'P&amp;L'!CZ1590</f>
        <v>0</v>
      </c>
      <c r="DA943" s="851">
        <f>'P&amp;L'!DA1590</f>
        <v>0</v>
      </c>
      <c r="DB943" s="293">
        <f t="shared" si="2329"/>
        <v>0</v>
      </c>
      <c r="DD943" s="851">
        <f>'P&amp;L'!DD1590</f>
        <v>0</v>
      </c>
      <c r="DE943" s="851">
        <f>'P&amp;L'!DE1590</f>
        <v>0</v>
      </c>
      <c r="DF943" s="293">
        <f t="shared" si="2330"/>
        <v>0</v>
      </c>
      <c r="DH943" s="851">
        <f>'P&amp;L'!DH1590</f>
        <v>0</v>
      </c>
      <c r="DI943" s="851">
        <f>'P&amp;L'!DI1590</f>
        <v>0</v>
      </c>
      <c r="DJ943" s="293">
        <f t="shared" si="2331"/>
        <v>0</v>
      </c>
      <c r="DL943" s="851">
        <f>'P&amp;L'!DL1590</f>
        <v>0</v>
      </c>
      <c r="DM943" s="851">
        <f>'P&amp;L'!DM1590</f>
        <v>0</v>
      </c>
      <c r="DN943" s="293">
        <f t="shared" si="2332"/>
        <v>0</v>
      </c>
      <c r="DP943" s="851">
        <f>'P&amp;L'!DP1590</f>
        <v>0</v>
      </c>
      <c r="DQ943" s="851">
        <f>'P&amp;L'!DQ1590</f>
        <v>0</v>
      </c>
      <c r="DR943" s="293">
        <f t="shared" si="2333"/>
        <v>0</v>
      </c>
      <c r="DW943" s="1198" t="s">
        <v>174</v>
      </c>
      <c r="DX943" s="818"/>
      <c r="DY943" s="818"/>
      <c r="EA943" s="818"/>
      <c r="EB943" s="818"/>
      <c r="EC943" s="293"/>
      <c r="EE943" s="818"/>
      <c r="EF943" s="818"/>
      <c r="EG943" s="293"/>
      <c r="EI943" s="818"/>
      <c r="EJ943" s="818"/>
      <c r="EK943" s="293"/>
    </row>
    <row r="944" spans="1:283" hidden="1" outlineLevel="1">
      <c r="A944" s="102" t="s">
        <v>828</v>
      </c>
      <c r="AN944" s="1275"/>
      <c r="AO944" s="1275"/>
      <c r="AP944" s="1275"/>
      <c r="AQ944" s="1275"/>
      <c r="AR944" s="1275"/>
      <c r="AS944" s="1275"/>
      <c r="AT944" s="1262"/>
      <c r="AU944" s="1275"/>
      <c r="AV944" s="1275">
        <v>0</v>
      </c>
      <c r="AW944" s="1275">
        <v>0</v>
      </c>
      <c r="AX944" s="1262">
        <v>0</v>
      </c>
      <c r="AY944" s="1275"/>
      <c r="AZ944" s="1275">
        <v>0</v>
      </c>
      <c r="BA944" s="1275">
        <v>0</v>
      </c>
      <c r="BB944" s="1262">
        <v>0</v>
      </c>
      <c r="BC944" s="1275"/>
      <c r="BD944" s="1275">
        <v>0</v>
      </c>
      <c r="BE944" s="1262">
        <v>0</v>
      </c>
      <c r="BF944" s="1262">
        <v>0</v>
      </c>
      <c r="BG944" s="1275"/>
      <c r="BH944" s="1262">
        <v>0</v>
      </c>
      <c r="BI944" s="1262">
        <v>0</v>
      </c>
      <c r="BJ944" s="1262">
        <v>0</v>
      </c>
      <c r="BK944" s="1262"/>
      <c r="BL944" s="1262">
        <v>0</v>
      </c>
      <c r="BM944" s="1262">
        <v>0</v>
      </c>
      <c r="BN944" s="1262">
        <v>0</v>
      </c>
      <c r="BO944" s="1262"/>
      <c r="BP944" s="1262">
        <v>0</v>
      </c>
      <c r="BQ944" s="1262">
        <v>0</v>
      </c>
      <c r="BR944" s="1262">
        <v>0</v>
      </c>
      <c r="BS944" s="1262"/>
      <c r="BT944" s="1262">
        <v>0</v>
      </c>
      <c r="BU944" s="1262">
        <v>0</v>
      </c>
      <c r="BV944" s="1262">
        <v>0</v>
      </c>
      <c r="BX944" s="626">
        <v>0</v>
      </c>
      <c r="BY944" s="626">
        <v>0</v>
      </c>
      <c r="BZ944" s="293">
        <f t="shared" si="2322"/>
        <v>0</v>
      </c>
      <c r="CB944" s="851">
        <f>'P&amp;L'!CB1579</f>
        <v>0</v>
      </c>
      <c r="CC944" s="851">
        <f>'P&amp;L'!CC1579</f>
        <v>0</v>
      </c>
      <c r="CD944" s="293">
        <f t="shared" si="2323"/>
        <v>0</v>
      </c>
      <c r="CF944" s="851">
        <f>'P&amp;L'!CF1579</f>
        <v>0</v>
      </c>
      <c r="CG944" s="851">
        <f>'P&amp;L'!CG1579</f>
        <v>0</v>
      </c>
      <c r="CH944" s="293">
        <f t="shared" si="2324"/>
        <v>0</v>
      </c>
      <c r="CJ944" s="851">
        <f>'P&amp;L'!CJ1579</f>
        <v>0</v>
      </c>
      <c r="CK944" s="851">
        <f>'P&amp;L'!CK1579</f>
        <v>0</v>
      </c>
      <c r="CL944" s="293">
        <f t="shared" si="2325"/>
        <v>0</v>
      </c>
      <c r="CN944" s="851">
        <f>'P&amp;L'!CN1579</f>
        <v>0</v>
      </c>
      <c r="CO944" s="851">
        <f>'P&amp;L'!CO1579</f>
        <v>0</v>
      </c>
      <c r="CP944" s="293">
        <f t="shared" si="2326"/>
        <v>0</v>
      </c>
      <c r="CR944" s="851">
        <f>'P&amp;L'!CR1579</f>
        <v>0</v>
      </c>
      <c r="CS944" s="851">
        <f>'P&amp;L'!CS1579</f>
        <v>0</v>
      </c>
      <c r="CT944" s="293">
        <f t="shared" si="2327"/>
        <v>0</v>
      </c>
      <c r="CV944" s="851">
        <f>'P&amp;L'!CV1579</f>
        <v>0</v>
      </c>
      <c r="CW944" s="851">
        <f>'P&amp;L'!CW1579</f>
        <v>0</v>
      </c>
      <c r="CX944" s="293">
        <f t="shared" si="2328"/>
        <v>0</v>
      </c>
      <c r="CZ944" s="851">
        <f>'P&amp;L'!CZ1579</f>
        <v>0</v>
      </c>
      <c r="DA944" s="851">
        <f>'P&amp;L'!DA1579</f>
        <v>0</v>
      </c>
      <c r="DB944" s="293">
        <f t="shared" si="2329"/>
        <v>0</v>
      </c>
      <c r="DD944" s="851">
        <f>'P&amp;L'!DD1579</f>
        <v>0</v>
      </c>
      <c r="DE944" s="851">
        <f>'P&amp;L'!DE1579</f>
        <v>0</v>
      </c>
      <c r="DF944" s="293">
        <f t="shared" si="2330"/>
        <v>0</v>
      </c>
      <c r="DH944" s="851">
        <f>'P&amp;L'!DH1579</f>
        <v>0</v>
      </c>
      <c r="DI944" s="851">
        <f>'P&amp;L'!DI1579</f>
        <v>0</v>
      </c>
      <c r="DJ944" s="293">
        <f t="shared" si="2331"/>
        <v>0</v>
      </c>
      <c r="DL944" s="851">
        <f>'P&amp;L'!DL1579</f>
        <v>0</v>
      </c>
      <c r="DM944" s="851">
        <f>'P&amp;L'!DM1579</f>
        <v>0</v>
      </c>
      <c r="DN944" s="293">
        <f t="shared" si="2332"/>
        <v>0</v>
      </c>
      <c r="DP944" s="851">
        <f>'P&amp;L'!DP1579</f>
        <v>0</v>
      </c>
      <c r="DQ944" s="851">
        <f>'P&amp;L'!DQ1579</f>
        <v>0</v>
      </c>
      <c r="DR944" s="293">
        <f t="shared" si="2333"/>
        <v>0</v>
      </c>
      <c r="DW944" s="1198" t="s">
        <v>174</v>
      </c>
      <c r="DX944" s="818"/>
      <c r="DY944" s="818"/>
      <c r="EA944" s="818"/>
      <c r="EB944" s="818"/>
      <c r="EC944" s="293"/>
      <c r="EE944" s="818"/>
      <c r="EF944" s="818"/>
      <c r="EG944" s="293"/>
      <c r="EI944" s="818"/>
      <c r="EJ944" s="818"/>
      <c r="EK944" s="293"/>
    </row>
    <row r="945" spans="1:283" s="289" customFormat="1" hidden="1" outlineLevel="1">
      <c r="A945" s="289" t="s">
        <v>663</v>
      </c>
      <c r="AN945" s="1286"/>
      <c r="AO945" s="1286"/>
      <c r="AP945" s="1286"/>
      <c r="AQ945" s="1286"/>
      <c r="AR945" s="1275"/>
      <c r="AS945" s="1275"/>
      <c r="AT945" s="1262"/>
      <c r="AU945" s="1286"/>
      <c r="AV945" s="1275">
        <v>12</v>
      </c>
      <c r="AW945" s="1275">
        <v>17</v>
      </c>
      <c r="AX945" s="1262">
        <v>29</v>
      </c>
      <c r="AY945" s="1286"/>
      <c r="AZ945" s="1275">
        <v>30</v>
      </c>
      <c r="BA945" s="1275">
        <v>77</v>
      </c>
      <c r="BB945" s="1262">
        <v>107</v>
      </c>
      <c r="BC945" s="1286"/>
      <c r="BD945" s="1262">
        <v>38</v>
      </c>
      <c r="BE945" s="1262">
        <v>56</v>
      </c>
      <c r="BF945" s="1262">
        <v>94</v>
      </c>
      <c r="BG945" s="1286"/>
      <c r="BH945" s="1262">
        <v>16</v>
      </c>
      <c r="BI945" s="1262">
        <v>11</v>
      </c>
      <c r="BJ945" s="1262">
        <v>27</v>
      </c>
      <c r="BK945" s="1262"/>
      <c r="BL945" s="1262">
        <v>51</v>
      </c>
      <c r="BM945" s="1262">
        <v>33</v>
      </c>
      <c r="BN945" s="1262">
        <v>84</v>
      </c>
      <c r="BO945" s="1262"/>
      <c r="BP945" s="1262">
        <v>9</v>
      </c>
      <c r="BQ945" s="1262">
        <v>24</v>
      </c>
      <c r="BR945" s="1262">
        <v>33</v>
      </c>
      <c r="BS945" s="1262"/>
      <c r="BT945" s="1262">
        <v>15</v>
      </c>
      <c r="BU945" s="1262">
        <v>2</v>
      </c>
      <c r="BV945" s="1262">
        <v>17</v>
      </c>
      <c r="BW945" s="290"/>
      <c r="BX945" s="655">
        <v>15</v>
      </c>
      <c r="BY945" s="655">
        <v>2</v>
      </c>
      <c r="BZ945" s="293">
        <f t="shared" si="2322"/>
        <v>17</v>
      </c>
      <c r="CA945" s="290"/>
      <c r="CB945" s="851">
        <f>'P&amp;L'!CB1601</f>
        <v>0</v>
      </c>
      <c r="CC945" s="851">
        <f>'P&amp;L'!CC1601</f>
        <v>0</v>
      </c>
      <c r="CD945" s="293">
        <f t="shared" si="2323"/>
        <v>0</v>
      </c>
      <c r="CE945" s="290"/>
      <c r="CF945" s="851">
        <f>'P&amp;L'!CF1601</f>
        <v>0</v>
      </c>
      <c r="CG945" s="851">
        <f>'P&amp;L'!CG1601</f>
        <v>0</v>
      </c>
      <c r="CH945" s="293">
        <f t="shared" si="2324"/>
        <v>0</v>
      </c>
      <c r="CI945" s="290"/>
      <c r="CJ945" s="851">
        <f>'P&amp;L'!CJ1601</f>
        <v>0</v>
      </c>
      <c r="CK945" s="851">
        <f>'P&amp;L'!CK1601</f>
        <v>0</v>
      </c>
      <c r="CL945" s="293">
        <f t="shared" si="2325"/>
        <v>0</v>
      </c>
      <c r="CM945" s="290"/>
      <c r="CN945" s="851">
        <f>'P&amp;L'!CN1601</f>
        <v>0</v>
      </c>
      <c r="CO945" s="851">
        <f>'P&amp;L'!CO1601</f>
        <v>0</v>
      </c>
      <c r="CP945" s="293">
        <f t="shared" si="2326"/>
        <v>0</v>
      </c>
      <c r="CQ945" s="290"/>
      <c r="CR945" s="851">
        <f>'P&amp;L'!CR1601</f>
        <v>0</v>
      </c>
      <c r="CS945" s="851">
        <f>'P&amp;L'!CS1601</f>
        <v>0</v>
      </c>
      <c r="CT945" s="293">
        <f t="shared" si="2327"/>
        <v>0</v>
      </c>
      <c r="CU945" s="290"/>
      <c r="CV945" s="851">
        <f>'P&amp;L'!CV1601</f>
        <v>0</v>
      </c>
      <c r="CW945" s="851">
        <f>'P&amp;L'!CW1601</f>
        <v>0</v>
      </c>
      <c r="CX945" s="293">
        <f t="shared" si="2328"/>
        <v>0</v>
      </c>
      <c r="CY945" s="290"/>
      <c r="CZ945" s="851">
        <f>'P&amp;L'!CZ1601</f>
        <v>0</v>
      </c>
      <c r="DA945" s="851">
        <f>'P&amp;L'!DA1601</f>
        <v>0</v>
      </c>
      <c r="DB945" s="293">
        <f t="shared" si="2329"/>
        <v>0</v>
      </c>
      <c r="DC945" s="290"/>
      <c r="DD945" s="851">
        <f>'P&amp;L'!DD1601</f>
        <v>0</v>
      </c>
      <c r="DE945" s="851">
        <f>'P&amp;L'!DE1601</f>
        <v>0</v>
      </c>
      <c r="DF945" s="293">
        <f t="shared" si="2330"/>
        <v>0</v>
      </c>
      <c r="DG945" s="290"/>
      <c r="DH945" s="851">
        <f>'P&amp;L'!DH1601</f>
        <v>0</v>
      </c>
      <c r="DI945" s="851">
        <f>'P&amp;L'!DI1601</f>
        <v>0</v>
      </c>
      <c r="DJ945" s="293">
        <f t="shared" si="2331"/>
        <v>0</v>
      </c>
      <c r="DK945" s="290"/>
      <c r="DL945" s="851">
        <f>'P&amp;L'!DL1601</f>
        <v>0</v>
      </c>
      <c r="DM945" s="851">
        <f>'P&amp;L'!DM1601</f>
        <v>0</v>
      </c>
      <c r="DN945" s="293">
        <f t="shared" si="2332"/>
        <v>0</v>
      </c>
      <c r="DO945" s="290"/>
      <c r="DP945" s="851">
        <f>'P&amp;L'!DP1601</f>
        <v>0</v>
      </c>
      <c r="DQ945" s="851">
        <f>'P&amp;L'!DQ1601</f>
        <v>0</v>
      </c>
      <c r="DR945" s="293">
        <f t="shared" si="2333"/>
        <v>0</v>
      </c>
      <c r="DS945" s="290"/>
      <c r="DT945" s="290"/>
      <c r="DU945" s="290"/>
      <c r="DV945" s="290"/>
      <c r="DW945" s="1198" t="s">
        <v>174</v>
      </c>
      <c r="DX945" s="818"/>
      <c r="DY945" s="818"/>
      <c r="DZ945" s="290"/>
      <c r="EA945" s="818"/>
      <c r="EB945" s="818"/>
      <c r="EC945" s="293"/>
      <c r="ED945" s="290"/>
      <c r="EE945" s="818"/>
      <c r="EF945" s="818"/>
      <c r="EG945" s="293"/>
      <c r="EH945" s="290"/>
      <c r="EI945" s="818"/>
      <c r="EJ945" s="818"/>
      <c r="EK945" s="293"/>
      <c r="EL945" s="290"/>
      <c r="EM945" s="290"/>
      <c r="EN945" s="290"/>
      <c r="EO945" s="290"/>
      <c r="EP945" s="290"/>
      <c r="EQ945" s="290"/>
      <c r="ER945" s="290"/>
      <c r="ES945" s="290"/>
      <c r="ET945" s="290"/>
      <c r="EU945" s="290"/>
      <c r="JW945"/>
    </row>
    <row r="946" spans="1:283" s="327" customFormat="1" hidden="1" outlineLevel="1">
      <c r="A946" s="327" t="s">
        <v>613</v>
      </c>
      <c r="AN946" s="1265"/>
      <c r="AO946" s="1265"/>
      <c r="AP946" s="1265"/>
      <c r="AQ946" s="1265"/>
      <c r="AR946" s="1265"/>
      <c r="AS946" s="1265"/>
      <c r="AT946" s="1265"/>
      <c r="AU946" s="1265"/>
      <c r="AV946" s="1265">
        <v>-14</v>
      </c>
      <c r="AW946" s="1265">
        <v>51</v>
      </c>
      <c r="AX946" s="1265">
        <v>37</v>
      </c>
      <c r="AY946" s="1265"/>
      <c r="AZ946" s="1265">
        <v>92</v>
      </c>
      <c r="BA946" s="1265">
        <v>158</v>
      </c>
      <c r="BB946" s="1265">
        <v>250</v>
      </c>
      <c r="BC946" s="1265"/>
      <c r="BD946" s="1265">
        <v>32</v>
      </c>
      <c r="BE946" s="1265">
        <v>266</v>
      </c>
      <c r="BF946" s="1265">
        <v>298</v>
      </c>
      <c r="BG946" s="1265"/>
      <c r="BH946" s="1265">
        <v>-59</v>
      </c>
      <c r="BI946" s="1265">
        <v>-28</v>
      </c>
      <c r="BJ946" s="1265">
        <v>-87</v>
      </c>
      <c r="BK946" s="1262"/>
      <c r="BL946" s="1265">
        <v>-64</v>
      </c>
      <c r="BM946" s="1265">
        <v>-12</v>
      </c>
      <c r="BN946" s="1265">
        <v>-76</v>
      </c>
      <c r="BO946" s="1262"/>
      <c r="BP946" s="1265">
        <v>-40</v>
      </c>
      <c r="BQ946" s="1265">
        <v>-229</v>
      </c>
      <c r="BR946" s="1265">
        <v>-269</v>
      </c>
      <c r="BS946" s="1262"/>
      <c r="BT946" s="1265">
        <v>-131</v>
      </c>
      <c r="BU946" s="1265">
        <v>-151</v>
      </c>
      <c r="BV946" s="1265">
        <v>-282</v>
      </c>
      <c r="BW946" s="295"/>
      <c r="BX946" s="295">
        <f>SUM(BX932:BX945)</f>
        <v>98</v>
      </c>
      <c r="BY946" s="295">
        <f>SUM(BY932:BY945)</f>
        <v>-151</v>
      </c>
      <c r="BZ946" s="295">
        <f>SUM(BZ932:BZ945)</f>
        <v>-53</v>
      </c>
      <c r="CA946" s="295"/>
      <c r="CB946" s="295">
        <f>SUM(CB932:CB945)</f>
        <v>0</v>
      </c>
      <c r="CC946" s="295">
        <f>SUM(CC932:CC945)</f>
        <v>0</v>
      </c>
      <c r="CD946" s="295">
        <f>SUM(CD932:CD945)</f>
        <v>0</v>
      </c>
      <c r="CE946" s="295"/>
      <c r="CF946" s="295">
        <f>SUM(CF932:CF945)</f>
        <v>0</v>
      </c>
      <c r="CG946" s="295">
        <f>SUM(CG932:CG945)</f>
        <v>0</v>
      </c>
      <c r="CH946" s="295">
        <f>SUM(CH932:CH945)</f>
        <v>0</v>
      </c>
      <c r="CI946" s="295"/>
      <c r="CJ946" s="295">
        <f>SUM(CJ932:CJ945)</f>
        <v>0</v>
      </c>
      <c r="CK946" s="295">
        <f>SUM(CK932:CK945)</f>
        <v>0</v>
      </c>
      <c r="CL946" s="295">
        <f>SUM(CL932:CL945)</f>
        <v>0</v>
      </c>
      <c r="CM946" s="295"/>
      <c r="CN946" s="295">
        <f>SUM(CN932:CN945)</f>
        <v>0</v>
      </c>
      <c r="CO946" s="295">
        <f>SUM(CO932:CO945)</f>
        <v>0</v>
      </c>
      <c r="CP946" s="295">
        <f>SUM(CP932:CP945)</f>
        <v>0</v>
      </c>
      <c r="CQ946" s="295"/>
      <c r="CR946" s="295">
        <f>SUM(CR932:CR945)</f>
        <v>0</v>
      </c>
      <c r="CS946" s="295">
        <f>SUM(CS932:CS945)</f>
        <v>0</v>
      </c>
      <c r="CT946" s="295">
        <f>SUM(CT932:CT945)</f>
        <v>0</v>
      </c>
      <c r="CU946" s="295"/>
      <c r="CV946" s="295">
        <f>SUM(CV932:CV945)</f>
        <v>0</v>
      </c>
      <c r="CW946" s="295">
        <f>SUM(CW932:CW945)</f>
        <v>0</v>
      </c>
      <c r="CX946" s="295">
        <f>SUM(CX932:CX945)</f>
        <v>0</v>
      </c>
      <c r="CY946" s="295"/>
      <c r="CZ946" s="295">
        <f>SUM(CZ932:CZ945)</f>
        <v>0</v>
      </c>
      <c r="DA946" s="295">
        <f>SUM(DA932:DA945)</f>
        <v>0</v>
      </c>
      <c r="DB946" s="295">
        <f>SUM(DB932:DB945)</f>
        <v>0</v>
      </c>
      <c r="DC946" s="295"/>
      <c r="DD946" s="295">
        <f>SUM(DD932:DD945)</f>
        <v>0</v>
      </c>
      <c r="DE946" s="295">
        <f>SUM(DE932:DE945)</f>
        <v>0</v>
      </c>
      <c r="DF946" s="295">
        <f>SUM(DF932:DF945)</f>
        <v>0</v>
      </c>
      <c r="DG946" s="295"/>
      <c r="DH946" s="295">
        <f>SUM(DH932:DH945)</f>
        <v>0</v>
      </c>
      <c r="DI946" s="295">
        <f>SUM(DI932:DI945)</f>
        <v>0</v>
      </c>
      <c r="DJ946" s="295">
        <f>SUM(DJ932:DJ945)</f>
        <v>0</v>
      </c>
      <c r="DK946" s="295"/>
      <c r="DL946" s="295">
        <f>SUM(DL932:DL945)</f>
        <v>0</v>
      </c>
      <c r="DM946" s="295">
        <f>SUM(DM932:DM945)</f>
        <v>0</v>
      </c>
      <c r="DN946" s="295">
        <f>SUM(DN932:DN945)</f>
        <v>0</v>
      </c>
      <c r="DO946" s="295"/>
      <c r="DP946" s="295">
        <f>SUM(DP932:DP945)</f>
        <v>0</v>
      </c>
      <c r="DQ946" s="295">
        <f>SUM(DQ932:DQ945)</f>
        <v>0</v>
      </c>
      <c r="DR946" s="295">
        <f>SUM(DR932:DR945)</f>
        <v>0</v>
      </c>
      <c r="DS946" s="295"/>
      <c r="DT946" s="295"/>
      <c r="DU946" s="295"/>
      <c r="DV946" s="295"/>
      <c r="DW946" s="295"/>
      <c r="DX946" s="295"/>
      <c r="DY946" s="295"/>
      <c r="DZ946" s="295"/>
      <c r="EA946" s="295"/>
      <c r="EB946" s="295"/>
      <c r="EC946" s="295"/>
      <c r="ED946" s="295"/>
      <c r="EE946" s="295"/>
      <c r="EF946" s="295"/>
      <c r="EG946" s="295"/>
      <c r="EH946" s="295"/>
      <c r="EI946" s="295"/>
      <c r="EJ946" s="295"/>
      <c r="EK946" s="295"/>
      <c r="EL946" s="295"/>
      <c r="EM946" s="295"/>
      <c r="EN946" s="295"/>
      <c r="EO946" s="295"/>
      <c r="EP946" s="295"/>
      <c r="EQ946" s="295"/>
      <c r="ER946" s="295"/>
      <c r="ES946" s="295"/>
      <c r="ET946" s="295"/>
      <c r="EU946" s="295"/>
      <c r="JW946"/>
    </row>
    <row r="947" spans="1:283" hidden="1" outlineLevel="1">
      <c r="A947" s="102" t="s">
        <v>865</v>
      </c>
      <c r="AN947" s="1275"/>
      <c r="AO947" s="1275"/>
      <c r="AP947" s="1275"/>
      <c r="AQ947" s="1275"/>
      <c r="AR947" s="1275"/>
      <c r="AS947" s="1275"/>
      <c r="AT947" s="1275"/>
      <c r="AU947" s="1275"/>
      <c r="AV947" s="1275">
        <v>38</v>
      </c>
      <c r="AW947" s="1275">
        <v>55</v>
      </c>
      <c r="AX947" s="1275">
        <v>93</v>
      </c>
      <c r="AY947" s="1275"/>
      <c r="AZ947" s="1275">
        <v>82</v>
      </c>
      <c r="BA947" s="1275">
        <v>164</v>
      </c>
      <c r="BB947" s="1275">
        <v>246</v>
      </c>
      <c r="BC947" s="1275"/>
      <c r="BD947" s="1275">
        <v>70</v>
      </c>
      <c r="BE947" s="1275">
        <v>309</v>
      </c>
      <c r="BF947" s="1275">
        <v>379</v>
      </c>
      <c r="BG947" s="1275"/>
      <c r="BH947" s="1275">
        <v>65</v>
      </c>
      <c r="BI947" s="1275">
        <v>76</v>
      </c>
      <c r="BJ947" s="1275">
        <v>141</v>
      </c>
      <c r="BK947" s="1275"/>
      <c r="BL947" s="1275">
        <v>69</v>
      </c>
      <c r="BM947" s="1275">
        <v>60</v>
      </c>
      <c r="BN947" s="1275">
        <v>129</v>
      </c>
      <c r="BO947" s="1275"/>
      <c r="BP947" s="1275">
        <v>32</v>
      </c>
      <c r="BQ947" s="1275">
        <v>33</v>
      </c>
      <c r="BR947" s="1275">
        <v>65</v>
      </c>
      <c r="BS947" s="1275"/>
      <c r="BT947" s="1275">
        <v>45</v>
      </c>
      <c r="BU947" s="1275">
        <v>3</v>
      </c>
      <c r="BV947" s="1275">
        <v>48</v>
      </c>
      <c r="BX947" s="103">
        <f>+BX932+BX933+BX936+BX938+BX939+BX940+BX941+BX943+BX945</f>
        <v>156</v>
      </c>
      <c r="BY947" s="103">
        <f>+BY932+BY933+BY936+BY938+BY939+BY940+BY941+BY943+BY945</f>
        <v>3</v>
      </c>
      <c r="BZ947" s="103">
        <f>+BZ932+BZ933+BZ936+BZ938+BZ939+BZ940+BZ941+BZ943+BZ945</f>
        <v>159</v>
      </c>
      <c r="CB947" s="293">
        <f>+CB932+CB933+CB936+CB938+CB939+CB940+CB941+CB943+CB945</f>
        <v>0</v>
      </c>
      <c r="CC947" s="293">
        <f>+CC932+CC933+CC936+CC938+CC939+CC940+CC941+CC943+CC945</f>
        <v>0</v>
      </c>
      <c r="CD947" s="293">
        <f>+CD932+CD933+CD936+CD938+CD939+CD940+CD941+CD943+CD945</f>
        <v>0</v>
      </c>
      <c r="CF947" s="293">
        <f>+CF932+CF933+CF936+CF938+CF939+CF940+CF941+CF943+CF945</f>
        <v>0</v>
      </c>
      <c r="CG947" s="293">
        <f>+CG932+CG933+CG936+CG938+CG939+CG940+CG941+CG943+CG945</f>
        <v>0</v>
      </c>
      <c r="CH947" s="293">
        <f>+CH932+CH933+CH936+CH938+CH939+CH940+CH941+CH943+CH945</f>
        <v>0</v>
      </c>
      <c r="CJ947" s="293">
        <f>+CJ932+CJ933+CJ936+CJ938+CJ939+CJ940+CJ941+CJ943+CJ945</f>
        <v>0</v>
      </c>
      <c r="CK947" s="293">
        <f>+CK932+CK933+CK936+CK938+CK939+CK940+CK941+CK943+CK945</f>
        <v>0</v>
      </c>
      <c r="CL947" s="293">
        <f>+CL932+CL933+CL936+CL938+CL939+CL940+CL941+CL943+CL945</f>
        <v>0</v>
      </c>
      <c r="CN947" s="293">
        <f>+CN932+CN933+CN936+CN938+CN939+CN940+CN941+CN943+CN945</f>
        <v>0</v>
      </c>
      <c r="CO947" s="293">
        <f>+CO932+CO933+CO936+CO938+CO939+CO940+CO941+CO943+CO945</f>
        <v>0</v>
      </c>
      <c r="CP947" s="293">
        <f>+CP932+CP933+CP936+CP938+CP939+CP940+CP941+CP943+CP945</f>
        <v>0</v>
      </c>
      <c r="CR947" s="293">
        <f>+CR932+CR933+CR936+CR938+CR939+CR940+CR941+CR943+CR945</f>
        <v>0</v>
      </c>
      <c r="CS947" s="293">
        <f>+CS932+CS933+CS936+CS938+CS939+CS940+CS941+CS943+CS945</f>
        <v>0</v>
      </c>
      <c r="CT947" s="293">
        <f>+CT932+CT933+CT936+CT938+CT939+CT940+CT941+CT943+CT945</f>
        <v>0</v>
      </c>
      <c r="CV947" s="293">
        <f>+CV932+CV933+CV936+CV938+CV939+CV940+CV941+CV943+CV945</f>
        <v>0</v>
      </c>
      <c r="CW947" s="293">
        <f>+CW932+CW933+CW936+CW938+CW939+CW940+CW941+CW943+CW945</f>
        <v>0</v>
      </c>
      <c r="CX947" s="293">
        <f>+CX932+CX933+CX936+CX938+CX939+CX940+CX941+CX943+CX945</f>
        <v>0</v>
      </c>
      <c r="CZ947" s="293">
        <f>+CZ932+CZ933+CZ936+CZ938+CZ939+CZ940+CZ941+CZ943+CZ945</f>
        <v>0</v>
      </c>
      <c r="DA947" s="293">
        <f>+DA932+DA933+DA936+DA938+DA939+DA940+DA941+DA943+DA945</f>
        <v>0</v>
      </c>
      <c r="DB947" s="293">
        <f>+DB932+DB933+DB936+DB938+DB939+DB940+DB941+DB943+DB945</f>
        <v>0</v>
      </c>
      <c r="DD947" s="293">
        <f>+DD932+DD933+DD936+DD938+DD939+DD940+DD941+DD943+DD945</f>
        <v>0</v>
      </c>
      <c r="DE947" s="293">
        <f>+DE932+DE933+DE936+DE938+DE939+DE940+DE941+DE943+DE945</f>
        <v>0</v>
      </c>
      <c r="DF947" s="293">
        <f>+DF932+DF933+DF936+DF938+DF939+DF940+DF941+DF943+DF945</f>
        <v>0</v>
      </c>
      <c r="DH947" s="293">
        <f>+DH932+DH933+DH936+DH938+DH939+DH940+DH941+DH943+DH945</f>
        <v>0</v>
      </c>
      <c r="DI947" s="293">
        <f>+DI932+DI933+DI936+DI938+DI939+DI940+DI941+DI943+DI945</f>
        <v>0</v>
      </c>
      <c r="DJ947" s="293">
        <f>+DJ932+DJ933+DJ936+DJ938+DJ939+DJ940+DJ941+DJ943+DJ945</f>
        <v>0</v>
      </c>
      <c r="DL947" s="293">
        <f>+DL932+DL933+DL936+DL938+DL939+DL940+DL941+DL943+DL945</f>
        <v>0</v>
      </c>
      <c r="DM947" s="293">
        <f>+DM932+DM933+DM936+DM938+DM939+DM940+DM941+DM943+DM945</f>
        <v>0</v>
      </c>
      <c r="DN947" s="293">
        <f>+DN932+DN933+DN936+DN938+DN939+DN940+DN941+DN943+DN945</f>
        <v>0</v>
      </c>
      <c r="DP947" s="293">
        <f>+DP932+DP933+DP936+DP938+DP939+DP940+DP941+DP943+DP945</f>
        <v>0</v>
      </c>
      <c r="DQ947" s="293">
        <f>+DQ932+DQ933+DQ936+DQ938+DQ939+DQ940+DQ941+DQ943+DQ945</f>
        <v>0</v>
      </c>
      <c r="DR947" s="293">
        <f>+DR932+DR933+DR936+DR938+DR939+DR940+DR941+DR943+DR945</f>
        <v>0</v>
      </c>
    </row>
    <row r="948" spans="1:283" hidden="1" outlineLevel="1">
      <c r="AN948" s="1275"/>
      <c r="AO948" s="1275"/>
      <c r="AP948" s="1275"/>
      <c r="AQ948" s="1275"/>
      <c r="AR948" s="1275"/>
      <c r="AS948" s="1275"/>
      <c r="AT948" s="1275"/>
      <c r="AU948" s="1275"/>
      <c r="AV948" s="1275"/>
      <c r="AW948" s="1275"/>
      <c r="AX948" s="1275"/>
      <c r="AY948" s="1275"/>
      <c r="AZ948" s="1275"/>
      <c r="BA948" s="1275"/>
      <c r="BB948" s="1275"/>
      <c r="BC948" s="1275"/>
      <c r="BD948" s="1275"/>
      <c r="BE948" s="1275"/>
      <c r="BF948" s="1275"/>
      <c r="BG948" s="1275"/>
      <c r="BH948" s="1275"/>
      <c r="BI948" s="1275"/>
      <c r="BJ948" s="1275"/>
      <c r="BK948" s="1275"/>
      <c r="BL948" s="1275"/>
      <c r="BM948" s="1275"/>
      <c r="BN948" s="1275"/>
      <c r="BO948" s="1275"/>
      <c r="BP948" s="1275"/>
      <c r="BQ948" s="1275"/>
      <c r="BR948" s="1275"/>
      <c r="BS948" s="1275"/>
      <c r="BT948" s="1275"/>
      <c r="BU948" s="1275"/>
      <c r="BV948" s="1275"/>
      <c r="CR948" s="103"/>
      <c r="CS948" s="103"/>
      <c r="CT948" s="103"/>
      <c r="CV948" s="103"/>
      <c r="CW948" s="103"/>
      <c r="CX948" s="103"/>
      <c r="CZ948" s="103"/>
      <c r="DA948" s="103"/>
      <c r="DB948" s="103"/>
      <c r="DD948" s="103"/>
      <c r="DE948" s="103"/>
      <c r="DF948" s="103"/>
      <c r="DH948" s="103"/>
      <c r="DI948" s="103"/>
      <c r="DJ948" s="103"/>
      <c r="DL948" s="103"/>
      <c r="DM948" s="103"/>
      <c r="DN948" s="103"/>
      <c r="DP948" s="103"/>
      <c r="DQ948" s="103"/>
      <c r="DR948" s="103"/>
    </row>
    <row r="949" spans="1:283" s="332" customFormat="1" hidden="1" outlineLevel="1">
      <c r="A949" s="332" t="s">
        <v>899</v>
      </c>
      <c r="AN949" s="1262"/>
      <c r="AO949" s="1262"/>
      <c r="AP949" s="1262"/>
      <c r="AQ949" s="1262"/>
      <c r="AR949" s="1262"/>
      <c r="AS949" s="1262"/>
      <c r="AT949" s="1262"/>
      <c r="AU949" s="1262"/>
      <c r="AV949" s="1262"/>
      <c r="AW949" s="1262"/>
      <c r="AX949" s="1262"/>
      <c r="AY949" s="1262"/>
      <c r="AZ949" s="1262"/>
      <c r="BA949" s="1262"/>
      <c r="BB949" s="1262"/>
      <c r="BC949" s="1262"/>
      <c r="BD949" s="1262"/>
      <c r="BE949" s="1262"/>
      <c r="BF949" s="1262"/>
      <c r="BG949" s="1262"/>
      <c r="BH949" s="1262"/>
      <c r="BI949" s="1262"/>
      <c r="BJ949" s="1262"/>
      <c r="BK949" s="1262"/>
      <c r="BL949" s="1262"/>
      <c r="BM949" s="1262"/>
      <c r="BN949" s="1262"/>
      <c r="BO949" s="1262"/>
      <c r="BP949" s="1262"/>
      <c r="BQ949" s="1262"/>
      <c r="BR949" s="1262"/>
      <c r="BS949" s="1262"/>
      <c r="BT949" s="1262"/>
      <c r="BU949" s="1262"/>
      <c r="BV949" s="1262"/>
      <c r="BW949" s="293"/>
      <c r="BX949" s="293"/>
      <c r="BY949" s="293"/>
      <c r="BZ949" s="293"/>
      <c r="CA949" s="293"/>
      <c r="CB949" s="293"/>
      <c r="CC949" s="293"/>
      <c r="CD949" s="293"/>
      <c r="CE949" s="293"/>
      <c r="CF949" s="293"/>
      <c r="CG949" s="293"/>
      <c r="CH949" s="293"/>
      <c r="CI949" s="293"/>
      <c r="CJ949" s="293"/>
      <c r="CK949" s="293"/>
      <c r="CL949" s="293"/>
      <c r="CM949" s="293"/>
      <c r="CN949" s="293"/>
      <c r="CO949" s="293"/>
      <c r="CP949" s="293"/>
      <c r="CQ949" s="293"/>
      <c r="CR949" s="293"/>
      <c r="CS949" s="293"/>
      <c r="CT949" s="293"/>
      <c r="CU949" s="293"/>
      <c r="CV949" s="293"/>
      <c r="CW949" s="293"/>
      <c r="CX949" s="293"/>
      <c r="CY949" s="293"/>
      <c r="CZ949" s="293"/>
      <c r="DA949" s="293"/>
      <c r="DB949" s="293"/>
      <c r="DC949" s="293"/>
      <c r="DD949" s="293"/>
      <c r="DE949" s="293"/>
      <c r="DF949" s="293"/>
      <c r="DG949" s="293"/>
      <c r="DH949" s="293"/>
      <c r="DI949" s="293"/>
      <c r="DJ949" s="293"/>
      <c r="DK949" s="293"/>
      <c r="DL949" s="293"/>
      <c r="DM949" s="293"/>
      <c r="DN949" s="293"/>
      <c r="DO949" s="293"/>
      <c r="DP949" s="293"/>
      <c r="DQ949" s="293"/>
      <c r="DR949" s="293"/>
      <c r="DS949" s="293"/>
      <c r="DT949" s="293"/>
      <c r="DU949" s="293"/>
      <c r="DV949" s="293"/>
      <c r="DW949" s="828"/>
      <c r="DX949" s="293"/>
      <c r="DY949" s="293"/>
      <c r="DZ949" s="293"/>
      <c r="EA949" s="293"/>
      <c r="EB949" s="293"/>
      <c r="EC949" s="293"/>
      <c r="ED949" s="293"/>
      <c r="EE949" s="293"/>
      <c r="EF949" s="293"/>
      <c r="EG949" s="293"/>
      <c r="EH949" s="293"/>
      <c r="EI949" s="293"/>
      <c r="EJ949" s="293"/>
      <c r="EK949" s="293"/>
      <c r="EL949" s="293"/>
      <c r="EM949" s="293"/>
      <c r="EN949" s="293"/>
      <c r="EO949" s="293"/>
      <c r="EP949" s="293"/>
      <c r="EQ949" s="293"/>
      <c r="ER949" s="293"/>
      <c r="ES949" s="293"/>
      <c r="ET949" s="293"/>
      <c r="EU949" s="293"/>
      <c r="JW949"/>
    </row>
    <row r="950" spans="1:283" s="332" customFormat="1" hidden="1" outlineLevel="1">
      <c r="A950" s="332" t="str">
        <f>A884</f>
        <v>Employment expenses</v>
      </c>
      <c r="AN950" s="1262">
        <v>0</v>
      </c>
      <c r="AO950" s="1262">
        <v>0</v>
      </c>
      <c r="AP950" s="1262">
        <v>0</v>
      </c>
      <c r="AQ950" s="1262"/>
      <c r="AR950" s="1262">
        <v>-72</v>
      </c>
      <c r="AS950" s="1262">
        <v>-103</v>
      </c>
      <c r="AT950" s="1262">
        <v>-175</v>
      </c>
      <c r="AU950" s="1262"/>
      <c r="AV950" s="1262">
        <v>-96</v>
      </c>
      <c r="AW950" s="1262">
        <v>-113</v>
      </c>
      <c r="AX950" s="1262">
        <v>-209</v>
      </c>
      <c r="AY950" s="1262"/>
      <c r="AZ950" s="1262">
        <v>-123</v>
      </c>
      <c r="BA950" s="1262">
        <v>-179</v>
      </c>
      <c r="BB950" s="1262">
        <v>-302</v>
      </c>
      <c r="BC950" s="1262"/>
      <c r="BD950" s="1262">
        <v>-121.66670000000001</v>
      </c>
      <c r="BE950" s="1262">
        <v>-135</v>
      </c>
      <c r="BF950" s="1262">
        <v>-256.66669999999999</v>
      </c>
      <c r="BG950" s="1262"/>
      <c r="BH950" s="1262">
        <v>-115</v>
      </c>
      <c r="BI950" s="1262">
        <v>-125</v>
      </c>
      <c r="BJ950" s="1262">
        <v>-240</v>
      </c>
      <c r="BK950" s="1262"/>
      <c r="BL950" s="1262">
        <v>-122</v>
      </c>
      <c r="BM950" s="1262">
        <v>-142</v>
      </c>
      <c r="BN950" s="1262">
        <v>-264</v>
      </c>
      <c r="BO950" s="1262"/>
      <c r="BP950" s="1262">
        <v>-133</v>
      </c>
      <c r="BQ950" s="1262">
        <v>-150</v>
      </c>
      <c r="BR950" s="1262">
        <v>-283</v>
      </c>
      <c r="BS950" s="1262"/>
      <c r="BT950" s="1262">
        <v>-166</v>
      </c>
      <c r="BU950" s="1262">
        <v>-178</v>
      </c>
      <c r="BV950" s="1262">
        <v>-344</v>
      </c>
      <c r="BW950" s="293"/>
      <c r="BX950" s="492">
        <f t="shared" ref="BX950:BZ952" si="2334">BX884</f>
        <v>-155</v>
      </c>
      <c r="BY950" s="492">
        <f t="shared" si="2334"/>
        <v>-178</v>
      </c>
      <c r="BZ950" s="492">
        <f t="shared" si="2334"/>
        <v>-333</v>
      </c>
      <c r="CA950" s="293"/>
      <c r="CB950" s="293">
        <f t="shared" ref="CB950:CC952" si="2335">+BX950*(1+CB955)</f>
        <v>-161.20000000000002</v>
      </c>
      <c r="CC950" s="293">
        <f t="shared" si="2335"/>
        <v>-185.12</v>
      </c>
      <c r="CD950" s="293">
        <f>CB950+CC950</f>
        <v>-346.32000000000005</v>
      </c>
      <c r="CE950" s="293"/>
      <c r="CF950" s="293">
        <f t="shared" ref="CF950:CG952" si="2336">+CB950*(1+CF955)</f>
        <v>-167.64800000000002</v>
      </c>
      <c r="CG950" s="293">
        <f t="shared" si="2336"/>
        <v>-192.5248</v>
      </c>
      <c r="CH950" s="293">
        <f>CF950+CG950</f>
        <v>-360.17280000000005</v>
      </c>
      <c r="CI950" s="293"/>
      <c r="CJ950" s="293">
        <f t="shared" ref="CJ950:CJ952" si="2337">+CF950*(1+CJ955)</f>
        <v>-174.35392000000004</v>
      </c>
      <c r="CK950" s="293">
        <f t="shared" ref="CK950:CK952" si="2338">+CG950*(1+CK955)</f>
        <v>-200.22579200000001</v>
      </c>
      <c r="CL950" s="293">
        <f>CJ950+CK950</f>
        <v>-374.57971200000009</v>
      </c>
      <c r="CM950" s="293"/>
      <c r="CN950" s="293">
        <f t="shared" ref="CN950:CO952" si="2339">+CJ950*(1+CN955)</f>
        <v>-181.32807680000005</v>
      </c>
      <c r="CO950" s="293">
        <f t="shared" si="2339"/>
        <v>-208.23482368000003</v>
      </c>
      <c r="CP950" s="293">
        <f>CN950+CO950</f>
        <v>-389.56290048000005</v>
      </c>
      <c r="CQ950" s="293"/>
      <c r="CR950" s="293">
        <f t="shared" ref="CR950:CR952" si="2340">+CN950*(1+CR955)</f>
        <v>-188.58119987200007</v>
      </c>
      <c r="CS950" s="293">
        <f t="shared" ref="CS950:CS952" si="2341">+CO950*(1+CS955)</f>
        <v>-216.56421662720004</v>
      </c>
      <c r="CT950" s="293">
        <f>CR950+CS950</f>
        <v>-405.14541649920011</v>
      </c>
      <c r="CU950" s="293"/>
      <c r="CV950" s="293">
        <f t="shared" ref="CV950:CV952" si="2342">+CR950*(1+CV955)</f>
        <v>-196.12444786688008</v>
      </c>
      <c r="CW950" s="293">
        <f t="shared" ref="CW950:CW952" si="2343">+CS950*(1+CW955)</f>
        <v>-225.22678529228804</v>
      </c>
      <c r="CX950" s="293">
        <f>CV950+CW950</f>
        <v>-421.35123315916815</v>
      </c>
      <c r="CY950" s="293"/>
      <c r="CZ950" s="293">
        <f t="shared" ref="CZ950:CZ952" si="2344">+CV950*(1+CZ955)</f>
        <v>-203.96942578155529</v>
      </c>
      <c r="DA950" s="293">
        <f t="shared" ref="DA950:DA952" si="2345">+CW950*(1+DA955)</f>
        <v>-234.23585670397958</v>
      </c>
      <c r="DB950" s="293">
        <f>CZ950+DA950</f>
        <v>-438.20528248553489</v>
      </c>
      <c r="DC950" s="293"/>
      <c r="DD950" s="293">
        <f t="shared" ref="DD950:DD952" si="2346">+CZ950*(1+DD955)</f>
        <v>-212.12820281281751</v>
      </c>
      <c r="DE950" s="293">
        <f t="shared" ref="DE950:DE952" si="2347">+DA950*(1+DE955)</f>
        <v>-243.60529097213876</v>
      </c>
      <c r="DF950" s="293">
        <f>DD950+DE950</f>
        <v>-455.73349378495629</v>
      </c>
      <c r="DG950" s="293"/>
      <c r="DH950" s="293">
        <f t="shared" ref="DH950:DH952" si="2348">+DD950*(1+DH955)</f>
        <v>-220.61333092533022</v>
      </c>
      <c r="DI950" s="293">
        <f t="shared" ref="DI950:DI952" si="2349">+DE950*(1+DI955)</f>
        <v>-253.34950261102432</v>
      </c>
      <c r="DJ950" s="293">
        <f>DH950+DI950</f>
        <v>-473.96283353635454</v>
      </c>
      <c r="DK950" s="293"/>
      <c r="DL950" s="293">
        <f t="shared" ref="DL950:DL952" si="2350">+DH950*(1+DL955)</f>
        <v>-229.43786416234343</v>
      </c>
      <c r="DM950" s="293">
        <f t="shared" ref="DM950:DM952" si="2351">+DI950*(1+DM955)</f>
        <v>-263.4834827154653</v>
      </c>
      <c r="DN950" s="293">
        <f>DL950+DM950</f>
        <v>-492.92134687780873</v>
      </c>
      <c r="DO950" s="293"/>
      <c r="DP950" s="293">
        <f t="shared" ref="DP950:DP952" si="2352">+DL950*(1+DP955)</f>
        <v>-238.61537872883719</v>
      </c>
      <c r="DQ950" s="293">
        <f t="shared" ref="DQ950:DQ952" si="2353">+DM950*(1+DQ955)</f>
        <v>-274.02282202408389</v>
      </c>
      <c r="DR950" s="293">
        <f>DP950+DQ950</f>
        <v>-512.63820075292108</v>
      </c>
      <c r="DS950" s="293"/>
      <c r="DT950" s="293"/>
      <c r="DU950" s="293"/>
      <c r="DV950" s="293"/>
      <c r="DW950" s="828" t="s">
        <v>514</v>
      </c>
      <c r="DX950" s="293"/>
      <c r="DY950" s="293"/>
      <c r="DZ950" s="293"/>
      <c r="EA950" s="293"/>
      <c r="EB950" s="293"/>
      <c r="EC950" s="293"/>
      <c r="ED950" s="293"/>
      <c r="EE950" s="293"/>
      <c r="EF950" s="293"/>
      <c r="EG950" s="293"/>
      <c r="EH950" s="293"/>
      <c r="EI950" s="293"/>
      <c r="EJ950" s="293"/>
      <c r="EK950" s="293"/>
      <c r="EL950" s="293"/>
      <c r="EM950" s="293"/>
      <c r="EN950" s="293"/>
      <c r="EO950" s="293"/>
      <c r="EP950" s="293"/>
      <c r="EQ950" s="293"/>
      <c r="ER950" s="293"/>
      <c r="ES950" s="293"/>
      <c r="ET950" s="293"/>
      <c r="EU950" s="293"/>
      <c r="JW950"/>
    </row>
    <row r="951" spans="1:283" s="332" customFormat="1" hidden="1" outlineLevel="1">
      <c r="A951" s="332" t="str">
        <f>A885</f>
        <v>Brokerage and commission expenses</v>
      </c>
      <c r="AN951" s="1262">
        <v>0</v>
      </c>
      <c r="AO951" s="1262">
        <v>0</v>
      </c>
      <c r="AP951" s="1262">
        <v>0</v>
      </c>
      <c r="AQ951" s="1262"/>
      <c r="AR951" s="1262">
        <v>-41</v>
      </c>
      <c r="AS951" s="1262">
        <v>-50</v>
      </c>
      <c r="AT951" s="1262">
        <v>-91</v>
      </c>
      <c r="AU951" s="1262"/>
      <c r="AV951" s="1262">
        <v>-55</v>
      </c>
      <c r="AW951" s="1262">
        <v>-83</v>
      </c>
      <c r="AX951" s="1262">
        <v>-138</v>
      </c>
      <c r="AY951" s="1262"/>
      <c r="AZ951" s="1262">
        <v>-91</v>
      </c>
      <c r="BA951" s="1262">
        <v>-82</v>
      </c>
      <c r="BB951" s="1262">
        <v>-173</v>
      </c>
      <c r="BC951" s="1262"/>
      <c r="BD951" s="1262">
        <v>-74</v>
      </c>
      <c r="BE951" s="1262">
        <v>-82</v>
      </c>
      <c r="BF951" s="1262">
        <v>-156</v>
      </c>
      <c r="BG951" s="1262"/>
      <c r="BH951" s="1262">
        <v>-74</v>
      </c>
      <c r="BI951" s="1262">
        <v>-68</v>
      </c>
      <c r="BJ951" s="1262">
        <v>-142</v>
      </c>
      <c r="BK951" s="1262"/>
      <c r="BL951" s="1262">
        <v>-124</v>
      </c>
      <c r="BM951" s="1262">
        <v>-157</v>
      </c>
      <c r="BN951" s="1262">
        <v>-281</v>
      </c>
      <c r="BO951" s="1262"/>
      <c r="BP951" s="1262">
        <v>-124</v>
      </c>
      <c r="BQ951" s="1262">
        <v>-134</v>
      </c>
      <c r="BR951" s="1262">
        <v>-258</v>
      </c>
      <c r="BS951" s="1262"/>
      <c r="BT951" s="1262">
        <v>-112</v>
      </c>
      <c r="BU951" s="1262">
        <v>-123</v>
      </c>
      <c r="BV951" s="1262">
        <v>-235</v>
      </c>
      <c r="BW951" s="293"/>
      <c r="BX951" s="492">
        <f t="shared" si="2334"/>
        <v>-103</v>
      </c>
      <c r="BY951" s="492">
        <f t="shared" si="2334"/>
        <v>-123</v>
      </c>
      <c r="BZ951" s="492">
        <f t="shared" si="2334"/>
        <v>-226</v>
      </c>
      <c r="CA951" s="293"/>
      <c r="CB951" s="293">
        <f t="shared" si="2335"/>
        <v>-107.12</v>
      </c>
      <c r="CC951" s="293">
        <f t="shared" si="2335"/>
        <v>-127.92</v>
      </c>
      <c r="CD951" s="293">
        <f>CB951+CC951</f>
        <v>-235.04000000000002</v>
      </c>
      <c r="CE951" s="293"/>
      <c r="CF951" s="293">
        <f t="shared" si="2336"/>
        <v>-111.40480000000001</v>
      </c>
      <c r="CG951" s="293">
        <f t="shared" si="2336"/>
        <v>-133.0368</v>
      </c>
      <c r="CH951" s="293">
        <f>CF951+CG951</f>
        <v>-244.44159999999999</v>
      </c>
      <c r="CI951" s="293"/>
      <c r="CJ951" s="293">
        <f t="shared" si="2337"/>
        <v>-115.86099200000001</v>
      </c>
      <c r="CK951" s="293">
        <f t="shared" si="2338"/>
        <v>-138.358272</v>
      </c>
      <c r="CL951" s="293">
        <f>CJ951+CK951</f>
        <v>-254.21926400000001</v>
      </c>
      <c r="CM951" s="293"/>
      <c r="CN951" s="293">
        <f t="shared" si="2339"/>
        <v>-120.49543168000001</v>
      </c>
      <c r="CO951" s="293">
        <f t="shared" si="2339"/>
        <v>-143.89260288</v>
      </c>
      <c r="CP951" s="293">
        <f>CN951+CO951</f>
        <v>-264.38803455999999</v>
      </c>
      <c r="CQ951" s="293"/>
      <c r="CR951" s="293">
        <f t="shared" si="2340"/>
        <v>-125.31524894720002</v>
      </c>
      <c r="CS951" s="293">
        <f t="shared" si="2341"/>
        <v>-149.64830699520002</v>
      </c>
      <c r="CT951" s="293">
        <f>CR951+CS951</f>
        <v>-274.96355594240003</v>
      </c>
      <c r="CU951" s="293"/>
      <c r="CV951" s="293">
        <f t="shared" si="2342"/>
        <v>-130.32785890508802</v>
      </c>
      <c r="CW951" s="293">
        <f t="shared" si="2343"/>
        <v>-155.63423927500801</v>
      </c>
      <c r="CX951" s="293">
        <f>CV951+CW951</f>
        <v>-285.96209818009606</v>
      </c>
      <c r="CY951" s="293"/>
      <c r="CZ951" s="293">
        <f t="shared" si="2344"/>
        <v>-135.54097326129155</v>
      </c>
      <c r="DA951" s="293">
        <f t="shared" si="2345"/>
        <v>-161.85960884600834</v>
      </c>
      <c r="DB951" s="293">
        <f>CZ951+DA951</f>
        <v>-297.4005821072999</v>
      </c>
      <c r="DC951" s="293"/>
      <c r="DD951" s="293">
        <f t="shared" si="2346"/>
        <v>-140.96261219174323</v>
      </c>
      <c r="DE951" s="293">
        <f t="shared" si="2347"/>
        <v>-168.33399319984869</v>
      </c>
      <c r="DF951" s="293">
        <f>DD951+DE951</f>
        <v>-309.29660539159192</v>
      </c>
      <c r="DG951" s="293"/>
      <c r="DH951" s="293">
        <f t="shared" si="2348"/>
        <v>-146.60111667941297</v>
      </c>
      <c r="DI951" s="293">
        <f t="shared" si="2349"/>
        <v>-175.06735292784265</v>
      </c>
      <c r="DJ951" s="293">
        <f>DH951+DI951</f>
        <v>-321.66846960725559</v>
      </c>
      <c r="DK951" s="293"/>
      <c r="DL951" s="293">
        <f t="shared" si="2350"/>
        <v>-152.4651613465895</v>
      </c>
      <c r="DM951" s="293">
        <f t="shared" si="2351"/>
        <v>-182.07004704495637</v>
      </c>
      <c r="DN951" s="293">
        <f>DL951+DM951</f>
        <v>-334.53520839154589</v>
      </c>
      <c r="DO951" s="293"/>
      <c r="DP951" s="293">
        <f t="shared" si="2352"/>
        <v>-158.56376780045309</v>
      </c>
      <c r="DQ951" s="293">
        <f t="shared" si="2353"/>
        <v>-189.35284892675463</v>
      </c>
      <c r="DR951" s="293">
        <f>DP951+DQ951</f>
        <v>-347.91661672720772</v>
      </c>
      <c r="DS951" s="293"/>
      <c r="DT951" s="293"/>
      <c r="DU951" s="293"/>
      <c r="DV951" s="293"/>
      <c r="DW951" s="828" t="s">
        <v>514</v>
      </c>
      <c r="DX951" s="293"/>
      <c r="DY951" s="293"/>
      <c r="DZ951" s="293"/>
      <c r="EA951" s="293"/>
      <c r="EB951" s="293"/>
      <c r="EC951" s="293"/>
      <c r="ED951" s="293"/>
      <c r="EE951" s="293"/>
      <c r="EF951" s="293"/>
      <c r="EG951" s="293"/>
      <c r="EH951" s="293"/>
      <c r="EI951" s="293"/>
      <c r="EJ951" s="293"/>
      <c r="EK951" s="293"/>
      <c r="EL951" s="293"/>
      <c r="EM951" s="293"/>
      <c r="EN951" s="293"/>
      <c r="EO951" s="293"/>
      <c r="EP951" s="293"/>
      <c r="EQ951" s="293"/>
      <c r="ER951" s="293"/>
      <c r="ES951" s="293"/>
      <c r="ET951" s="293"/>
      <c r="EU951" s="293"/>
      <c r="JW951"/>
    </row>
    <row r="952" spans="1:283" s="332" customFormat="1" hidden="1" outlineLevel="1">
      <c r="A952" s="332" t="str">
        <f>A886</f>
        <v>Other operating expenses</v>
      </c>
      <c r="AN952" s="1262">
        <v>0</v>
      </c>
      <c r="AO952" s="1262">
        <v>0</v>
      </c>
      <c r="AP952" s="1262">
        <v>0</v>
      </c>
      <c r="AQ952" s="1262"/>
      <c r="AR952" s="1262">
        <v>-110</v>
      </c>
      <c r="AS952" s="1262">
        <v>-153</v>
      </c>
      <c r="AT952" s="1262">
        <v>-263</v>
      </c>
      <c r="AU952" s="1262"/>
      <c r="AV952" s="1262">
        <v>-126</v>
      </c>
      <c r="AW952" s="1262">
        <v>-141</v>
      </c>
      <c r="AX952" s="1262">
        <v>-267</v>
      </c>
      <c r="AY952" s="1262"/>
      <c r="AZ952" s="1262">
        <v>-168</v>
      </c>
      <c r="BA952" s="1262">
        <v>-198</v>
      </c>
      <c r="BB952" s="1262">
        <v>-366</v>
      </c>
      <c r="BC952" s="1262"/>
      <c r="BD952" s="1262">
        <v>-213.33330000000001</v>
      </c>
      <c r="BE952" s="1262">
        <v>-199</v>
      </c>
      <c r="BF952" s="1262">
        <v>-412.33330000000001</v>
      </c>
      <c r="BG952" s="1262"/>
      <c r="BH952" s="1262">
        <v>-170</v>
      </c>
      <c r="BI952" s="1262">
        <v>-188</v>
      </c>
      <c r="BJ952" s="1262">
        <v>-358</v>
      </c>
      <c r="BK952" s="1262"/>
      <c r="BL952" s="1262">
        <v>-204</v>
      </c>
      <c r="BM952" s="1262">
        <v>-207</v>
      </c>
      <c r="BN952" s="1262">
        <v>-411</v>
      </c>
      <c r="BO952" s="1262"/>
      <c r="BP952" s="1262">
        <v>-218</v>
      </c>
      <c r="BQ952" s="1262">
        <v>-237</v>
      </c>
      <c r="BR952" s="1262">
        <v>-455</v>
      </c>
      <c r="BS952" s="1262"/>
      <c r="BT952" s="1262">
        <v>-251</v>
      </c>
      <c r="BU952" s="1262">
        <v>-289</v>
      </c>
      <c r="BV952" s="1262">
        <v>-540</v>
      </c>
      <c r="BW952" s="293"/>
      <c r="BX952" s="492">
        <f t="shared" si="2334"/>
        <v>-271</v>
      </c>
      <c r="BY952" s="492">
        <f t="shared" si="2334"/>
        <v>-289</v>
      </c>
      <c r="BZ952" s="492">
        <f t="shared" si="2334"/>
        <v>-560</v>
      </c>
      <c r="CA952" s="293"/>
      <c r="CB952" s="293">
        <f t="shared" si="2335"/>
        <v>-281.84000000000003</v>
      </c>
      <c r="CC952" s="293">
        <f t="shared" si="2335"/>
        <v>-300.56</v>
      </c>
      <c r="CD952" s="293">
        <f>CB952+CC952</f>
        <v>-582.40000000000009</v>
      </c>
      <c r="CE952" s="293"/>
      <c r="CF952" s="293">
        <f t="shared" si="2336"/>
        <v>-293.11360000000002</v>
      </c>
      <c r="CG952" s="293">
        <f t="shared" si="2336"/>
        <v>-312.58240000000001</v>
      </c>
      <c r="CH952" s="293">
        <f>CF952+CG952</f>
        <v>-605.69600000000003</v>
      </c>
      <c r="CI952" s="293"/>
      <c r="CJ952" s="293">
        <f t="shared" si="2337"/>
        <v>-304.83814400000006</v>
      </c>
      <c r="CK952" s="293">
        <f t="shared" si="2338"/>
        <v>-325.08569600000004</v>
      </c>
      <c r="CL952" s="293">
        <f>CJ952+CK952</f>
        <v>-629.92384000000015</v>
      </c>
      <c r="CM952" s="293"/>
      <c r="CN952" s="293">
        <f t="shared" si="2339"/>
        <v>-317.03166976000006</v>
      </c>
      <c r="CO952" s="293">
        <f t="shared" si="2339"/>
        <v>-338.08912384000007</v>
      </c>
      <c r="CP952" s="293">
        <f>CN952+CO952</f>
        <v>-655.12079360000007</v>
      </c>
      <c r="CQ952" s="293"/>
      <c r="CR952" s="293">
        <f t="shared" si="2340"/>
        <v>-329.71293655040006</v>
      </c>
      <c r="CS952" s="293">
        <f t="shared" si="2341"/>
        <v>-351.61268879360006</v>
      </c>
      <c r="CT952" s="293">
        <f>CR952+CS952</f>
        <v>-681.32562534400017</v>
      </c>
      <c r="CU952" s="293"/>
      <c r="CV952" s="293">
        <f t="shared" si="2342"/>
        <v>-342.90145401241608</v>
      </c>
      <c r="CW952" s="293">
        <f t="shared" si="2343"/>
        <v>-365.6771963453441</v>
      </c>
      <c r="CX952" s="293">
        <f>CV952+CW952</f>
        <v>-708.57865035776013</v>
      </c>
      <c r="CY952" s="293"/>
      <c r="CZ952" s="293">
        <f t="shared" si="2344"/>
        <v>-356.61751217291271</v>
      </c>
      <c r="DA952" s="293">
        <f t="shared" si="2345"/>
        <v>-380.30428419915791</v>
      </c>
      <c r="DB952" s="293">
        <f>CZ952+DA952</f>
        <v>-736.92179637207062</v>
      </c>
      <c r="DC952" s="293"/>
      <c r="DD952" s="293">
        <f t="shared" si="2346"/>
        <v>-370.88221265982924</v>
      </c>
      <c r="DE952" s="293">
        <f t="shared" si="2347"/>
        <v>-395.51645556712424</v>
      </c>
      <c r="DF952" s="293">
        <f>DD952+DE952</f>
        <v>-766.39866822695353</v>
      </c>
      <c r="DG952" s="293"/>
      <c r="DH952" s="293">
        <f t="shared" si="2348"/>
        <v>-385.71750116622241</v>
      </c>
      <c r="DI952" s="293">
        <f t="shared" si="2349"/>
        <v>-411.33711378980922</v>
      </c>
      <c r="DJ952" s="293">
        <f>DH952+DI952</f>
        <v>-797.05461495603163</v>
      </c>
      <c r="DK952" s="293"/>
      <c r="DL952" s="293">
        <f t="shared" si="2350"/>
        <v>-401.14620121287129</v>
      </c>
      <c r="DM952" s="293">
        <f t="shared" si="2351"/>
        <v>-427.79059834140162</v>
      </c>
      <c r="DN952" s="293">
        <f>DL952+DM952</f>
        <v>-828.93679955427297</v>
      </c>
      <c r="DO952" s="293"/>
      <c r="DP952" s="293">
        <f t="shared" si="2352"/>
        <v>-417.19204926138616</v>
      </c>
      <c r="DQ952" s="293">
        <f t="shared" si="2353"/>
        <v>-444.90222227505768</v>
      </c>
      <c r="DR952" s="293">
        <f>DP952+DQ952</f>
        <v>-862.09427153644378</v>
      </c>
      <c r="DS952" s="293"/>
      <c r="DT952" s="293"/>
      <c r="DU952" s="293"/>
      <c r="DV952" s="293"/>
      <c r="DW952" s="828" t="s">
        <v>514</v>
      </c>
      <c r="DX952" s="293"/>
      <c r="DY952" s="293"/>
      <c r="DZ952" s="293"/>
      <c r="EA952" s="293"/>
      <c r="EB952" s="293"/>
      <c r="EC952" s="293"/>
      <c r="ED952" s="293"/>
      <c r="EE952" s="293"/>
      <c r="EF952" s="293"/>
      <c r="EG952" s="293"/>
      <c r="EH952" s="293"/>
      <c r="EI952" s="293"/>
      <c r="EJ952" s="293"/>
      <c r="EK952" s="293"/>
      <c r="EL952" s="293"/>
      <c r="EM952" s="293"/>
      <c r="EN952" s="293"/>
      <c r="EO952" s="293"/>
      <c r="EP952" s="293"/>
      <c r="EQ952" s="293"/>
      <c r="ER952" s="293"/>
      <c r="ES952" s="293"/>
      <c r="ET952" s="293"/>
      <c r="EU952" s="293"/>
      <c r="JW952"/>
    </row>
    <row r="953" spans="1:283" s="332" customFormat="1" hidden="1" outlineLevel="1">
      <c r="A953" s="332" t="s">
        <v>913</v>
      </c>
      <c r="AN953" s="1265">
        <v>0</v>
      </c>
      <c r="AO953" s="1265">
        <v>0</v>
      </c>
      <c r="AP953" s="1265">
        <v>0</v>
      </c>
      <c r="AQ953" s="1262"/>
      <c r="AR953" s="1265">
        <v>-223</v>
      </c>
      <c r="AS953" s="1265">
        <v>-306</v>
      </c>
      <c r="AT953" s="1265">
        <v>-529</v>
      </c>
      <c r="AU953" s="1262"/>
      <c r="AV953" s="1265">
        <v>-277</v>
      </c>
      <c r="AW953" s="1265">
        <v>-337</v>
      </c>
      <c r="AX953" s="1265">
        <v>-614</v>
      </c>
      <c r="AY953" s="1262"/>
      <c r="AZ953" s="1265">
        <v>-382</v>
      </c>
      <c r="BA953" s="1265">
        <v>-459</v>
      </c>
      <c r="BB953" s="1265">
        <v>-841</v>
      </c>
      <c r="BC953" s="1262"/>
      <c r="BD953" s="1265">
        <v>-409</v>
      </c>
      <c r="BE953" s="1265">
        <v>-416</v>
      </c>
      <c r="BF953" s="1265">
        <v>-825</v>
      </c>
      <c r="BG953" s="1262"/>
      <c r="BH953" s="1265">
        <v>-359</v>
      </c>
      <c r="BI953" s="1265">
        <v>-381</v>
      </c>
      <c r="BJ953" s="1265">
        <v>-740</v>
      </c>
      <c r="BK953" s="1262"/>
      <c r="BL953" s="1265">
        <v>-450</v>
      </c>
      <c r="BM953" s="1265">
        <v>-506</v>
      </c>
      <c r="BN953" s="1265">
        <v>-956</v>
      </c>
      <c r="BO953" s="1262"/>
      <c r="BP953" s="1265">
        <v>-475</v>
      </c>
      <c r="BQ953" s="1265">
        <v>-521</v>
      </c>
      <c r="BR953" s="1265">
        <v>-996</v>
      </c>
      <c r="BS953" s="1262"/>
      <c r="BT953" s="1265">
        <v>-529</v>
      </c>
      <c r="BU953" s="1265">
        <v>-590</v>
      </c>
      <c r="BV953" s="1265">
        <v>-1119</v>
      </c>
      <c r="BW953" s="293"/>
      <c r="BX953" s="820">
        <f>SUM(BX950:BX952)</f>
        <v>-529</v>
      </c>
      <c r="BY953" s="820">
        <f>SUM(BY950:BY952)</f>
        <v>-590</v>
      </c>
      <c r="BZ953" s="820">
        <f>SUM(BZ950:BZ952)</f>
        <v>-1119</v>
      </c>
      <c r="CA953" s="293"/>
      <c r="CB953" s="820">
        <f>SUM(CB950:CB952)</f>
        <v>-550.16000000000008</v>
      </c>
      <c r="CC953" s="820">
        <f>SUM(CC950:CC952)</f>
        <v>-613.6</v>
      </c>
      <c r="CD953" s="820">
        <f>SUM(CD950:CD952)</f>
        <v>-1163.7600000000002</v>
      </c>
      <c r="CE953" s="293"/>
      <c r="CF953" s="820">
        <f>SUM(CF950:CF952)</f>
        <v>-572.16640000000007</v>
      </c>
      <c r="CG953" s="820">
        <f>SUM(CG950:CG952)</f>
        <v>-638.14400000000001</v>
      </c>
      <c r="CH953" s="820">
        <f>SUM(CH950:CH952)</f>
        <v>-1210.3104000000001</v>
      </c>
      <c r="CI953" s="293"/>
      <c r="CJ953" s="820">
        <f>SUM(CJ950:CJ952)</f>
        <v>-595.05305600000008</v>
      </c>
      <c r="CK953" s="820">
        <f>SUM(CK950:CK952)</f>
        <v>-663.66976</v>
      </c>
      <c r="CL953" s="820">
        <f>SUM(CL950:CL952)</f>
        <v>-1258.7228160000002</v>
      </c>
      <c r="CM953" s="293"/>
      <c r="CN953" s="820">
        <f>SUM(CN950:CN952)</f>
        <v>-618.8551782400001</v>
      </c>
      <c r="CO953" s="820">
        <f>SUM(CO950:CO952)</f>
        <v>-690.21655040000007</v>
      </c>
      <c r="CP953" s="820">
        <f>SUM(CP950:CP952)</f>
        <v>-1309.0717286400002</v>
      </c>
      <c r="CQ953" s="293"/>
      <c r="CR953" s="820">
        <f>SUM(CR950:CR952)</f>
        <v>-643.6093853696002</v>
      </c>
      <c r="CS953" s="820">
        <f>SUM(CS950:CS952)</f>
        <v>-717.82521241600011</v>
      </c>
      <c r="CT953" s="820">
        <f>SUM(CT950:CT952)</f>
        <v>-1361.4345977856003</v>
      </c>
      <c r="CU953" s="293"/>
      <c r="CV953" s="820">
        <f>SUM(CV950:CV952)</f>
        <v>-669.35376078438412</v>
      </c>
      <c r="CW953" s="820">
        <f>SUM(CW950:CW952)</f>
        <v>-746.5382209126401</v>
      </c>
      <c r="CX953" s="820">
        <f>SUM(CX950:CX952)</f>
        <v>-1415.8919816970242</v>
      </c>
      <c r="CY953" s="293"/>
      <c r="CZ953" s="820">
        <f>SUM(CZ950:CZ952)</f>
        <v>-696.12791121575958</v>
      </c>
      <c r="DA953" s="820">
        <f>SUM(DA950:DA952)</f>
        <v>-776.39974974914583</v>
      </c>
      <c r="DB953" s="820">
        <f>SUM(DB950:DB952)</f>
        <v>-1472.5276609649054</v>
      </c>
      <c r="DC953" s="293"/>
      <c r="DD953" s="820">
        <f>SUM(DD950:DD952)</f>
        <v>-723.97302766438997</v>
      </c>
      <c r="DE953" s="820">
        <f>SUM(DE950:DE952)</f>
        <v>-807.45573973911166</v>
      </c>
      <c r="DF953" s="820">
        <f>SUM(DF950:DF952)</f>
        <v>-1531.4287674035018</v>
      </c>
      <c r="DG953" s="293"/>
      <c r="DH953" s="820">
        <f>SUM(DH950:DH952)</f>
        <v>-752.93194877096562</v>
      </c>
      <c r="DI953" s="820">
        <f>SUM(DI950:DI952)</f>
        <v>-839.75396932867625</v>
      </c>
      <c r="DJ953" s="820">
        <f>SUM(DJ950:DJ952)</f>
        <v>-1592.6859180996416</v>
      </c>
      <c r="DK953" s="293"/>
      <c r="DL953" s="820">
        <f>SUM(DL950:DL952)</f>
        <v>-783.04922672180419</v>
      </c>
      <c r="DM953" s="820">
        <f>SUM(DM950:DM952)</f>
        <v>-873.34412810182334</v>
      </c>
      <c r="DN953" s="820">
        <f>SUM(DN950:DN952)</f>
        <v>-1656.3933548236275</v>
      </c>
      <c r="DO953" s="293"/>
      <c r="DP953" s="820">
        <f>SUM(DP950:DP952)</f>
        <v>-814.37119579067644</v>
      </c>
      <c r="DQ953" s="820">
        <f>SUM(DQ950:DQ952)</f>
        <v>-908.27789322589615</v>
      </c>
      <c r="DR953" s="820">
        <f>SUM(DR950:DR952)</f>
        <v>-1722.6490890165726</v>
      </c>
      <c r="DS953" s="293"/>
      <c r="DT953" s="293"/>
      <c r="DU953" s="293"/>
      <c r="DV953" s="293"/>
      <c r="DW953" s="1197"/>
      <c r="DX953" s="293"/>
      <c r="DY953" s="293"/>
      <c r="DZ953" s="293"/>
      <c r="EA953" s="293"/>
      <c r="EB953" s="293"/>
      <c r="EC953" s="293"/>
      <c r="ED953" s="293"/>
      <c r="EE953" s="293"/>
      <c r="EF953" s="293"/>
      <c r="EG953" s="293"/>
      <c r="EH953" s="293"/>
      <c r="EI953" s="293"/>
      <c r="EJ953" s="293"/>
      <c r="EK953" s="293"/>
      <c r="EL953" s="293"/>
      <c r="EM953" s="293"/>
      <c r="EN953" s="293"/>
      <c r="EO953" s="293"/>
      <c r="EP953" s="293"/>
      <c r="EQ953" s="293"/>
      <c r="ER953" s="293"/>
      <c r="ES953" s="293"/>
      <c r="ET953" s="293"/>
      <c r="EU953" s="293"/>
      <c r="JW953"/>
    </row>
    <row r="954" spans="1:283" hidden="1" outlineLevel="1">
      <c r="A954" s="102" t="s">
        <v>835</v>
      </c>
      <c r="AN954" s="1275"/>
      <c r="AO954" s="1275"/>
      <c r="AP954" s="1275"/>
      <c r="AQ954" s="1275"/>
      <c r="AR954" s="1275"/>
      <c r="AS954" s="1275"/>
      <c r="AT954" s="1275"/>
      <c r="AU954" s="1275"/>
      <c r="AV954" s="1275"/>
      <c r="AW954" s="1275"/>
      <c r="AX954" s="1275"/>
      <c r="AY954" s="1275"/>
      <c r="AZ954" s="1275"/>
      <c r="BA954" s="1275"/>
      <c r="BB954" s="1275"/>
      <c r="BC954" s="1275"/>
      <c r="BD954" s="1275"/>
      <c r="BE954" s="1275"/>
      <c r="BF954" s="1275"/>
      <c r="BG954" s="1275"/>
      <c r="BH954" s="1275"/>
      <c r="BI954" s="1275"/>
      <c r="BJ954" s="1275"/>
      <c r="BK954" s="1275"/>
      <c r="BL954" s="1275"/>
      <c r="BM954" s="1275"/>
      <c r="BN954" s="1275"/>
      <c r="BO954" s="1275"/>
      <c r="BP954" s="1275"/>
      <c r="BQ954" s="1275"/>
      <c r="BR954" s="1275"/>
      <c r="BS954" s="1275"/>
      <c r="BT954" s="1275"/>
      <c r="BU954" s="1275"/>
      <c r="BV954" s="1275"/>
      <c r="CB954" s="293"/>
      <c r="CC954" s="293"/>
      <c r="CD954" s="293"/>
      <c r="CF954" s="293"/>
      <c r="CG954" s="293"/>
      <c r="CH954" s="293"/>
      <c r="CJ954" s="293"/>
      <c r="CK954" s="293"/>
      <c r="CL954" s="293"/>
      <c r="CN954" s="293"/>
      <c r="CO954" s="293"/>
      <c r="CP954" s="293"/>
      <c r="CR954" s="293"/>
      <c r="CS954" s="293"/>
      <c r="CT954" s="293"/>
      <c r="CV954" s="293"/>
      <c r="CW954" s="293"/>
      <c r="CX954" s="293"/>
      <c r="CZ954" s="293"/>
      <c r="DA954" s="293"/>
      <c r="DB954" s="293"/>
      <c r="DD954" s="293"/>
      <c r="DE954" s="293"/>
      <c r="DF954" s="293"/>
      <c r="DH954" s="293"/>
      <c r="DI954" s="293"/>
      <c r="DJ954" s="293"/>
      <c r="DL954" s="293"/>
      <c r="DM954" s="293"/>
      <c r="DN954" s="293"/>
      <c r="DP954" s="293"/>
      <c r="DQ954" s="293"/>
      <c r="DR954" s="293"/>
      <c r="DW954" s="1197"/>
      <c r="DX954" s="293"/>
      <c r="DY954" s="293"/>
      <c r="EA954" s="293"/>
      <c r="EB954" s="293"/>
      <c r="EC954" s="293"/>
      <c r="EE954" s="293"/>
      <c r="EF954" s="293"/>
      <c r="EG954" s="293"/>
      <c r="EI954" s="293"/>
      <c r="EJ954" s="293"/>
      <c r="EK954" s="293"/>
    </row>
    <row r="955" spans="1:283" s="642" customFormat="1" hidden="1" outlineLevel="1">
      <c r="A955" s="642" t="str">
        <f>A950</f>
        <v>Employment expenses</v>
      </c>
      <c r="AN955" s="1283"/>
      <c r="AO955" s="1283"/>
      <c r="AP955" s="1283"/>
      <c r="AQ955" s="1283"/>
      <c r="AR955" s="1282"/>
      <c r="AS955" s="1282"/>
      <c r="AT955" s="1282"/>
      <c r="AU955" s="1283"/>
      <c r="AV955" s="1282">
        <v>0.33333333333333326</v>
      </c>
      <c r="AW955" s="1282">
        <v>9.7087378640776656E-2</v>
      </c>
      <c r="AX955" s="1282">
        <v>0.19428571428571439</v>
      </c>
      <c r="AY955" s="1283"/>
      <c r="AZ955" s="1282">
        <v>0.28125</v>
      </c>
      <c r="BA955" s="1282">
        <v>0.58407079646017701</v>
      </c>
      <c r="BB955" s="1282">
        <v>0.44497607655502391</v>
      </c>
      <c r="BC955" s="1283"/>
      <c r="BD955" s="1282">
        <v>-1.0839837398373908E-2</v>
      </c>
      <c r="BE955" s="1282">
        <v>-0.24581005586592175</v>
      </c>
      <c r="BF955" s="1282">
        <v>-0.15011026490066226</v>
      </c>
      <c r="BG955" s="1283"/>
      <c r="BH955" s="1282">
        <v>-5.4794779508279601E-2</v>
      </c>
      <c r="BI955" s="1282">
        <v>-7.407407407407407E-2</v>
      </c>
      <c r="BJ955" s="1282">
        <v>-6.4935186372053644E-2</v>
      </c>
      <c r="BK955" s="1283"/>
      <c r="BL955" s="1282">
        <v>6.0869565217391397E-2</v>
      </c>
      <c r="BM955" s="1282">
        <v>0.1359999999999999</v>
      </c>
      <c r="BN955" s="1282">
        <v>0.10000000000000009</v>
      </c>
      <c r="BO955" s="1283"/>
      <c r="BP955" s="1282">
        <v>9.0163934426229497E-2</v>
      </c>
      <c r="BQ955" s="1282">
        <v>5.6338028169014009E-2</v>
      </c>
      <c r="BR955" s="1282">
        <v>7.1969696969697017E-2</v>
      </c>
      <c r="BS955" s="1283"/>
      <c r="BT955" s="1282">
        <v>0.24812030075187974</v>
      </c>
      <c r="BU955" s="1282">
        <v>0.18666666666666676</v>
      </c>
      <c r="BV955" s="1282">
        <v>0.21554770318021199</v>
      </c>
      <c r="BW955" s="300"/>
      <c r="BX955" s="643">
        <f t="shared" ref="BX955:BZ958" si="2354">+BX950/BT950-1</f>
        <v>-6.6265060240963902E-2</v>
      </c>
      <c r="BY955" s="643">
        <f t="shared" si="2354"/>
        <v>0</v>
      </c>
      <c r="BZ955" s="643">
        <f t="shared" si="2354"/>
        <v>-3.1976744186046457E-2</v>
      </c>
      <c r="CA955" s="300"/>
      <c r="CB955" s="656">
        <v>0.04</v>
      </c>
      <c r="CC955" s="656">
        <v>0.04</v>
      </c>
      <c r="CD955" s="643">
        <f>+CD950/BZ950-1</f>
        <v>4.0000000000000258E-2</v>
      </c>
      <c r="CE955" s="300"/>
      <c r="CF955" s="656">
        <v>0.04</v>
      </c>
      <c r="CG955" s="656">
        <v>0.04</v>
      </c>
      <c r="CH955" s="643">
        <f>+CH950/CD950-1</f>
        <v>4.0000000000000036E-2</v>
      </c>
      <c r="CI955" s="300"/>
      <c r="CJ955" s="656">
        <v>0.04</v>
      </c>
      <c r="CK955" s="656">
        <v>0.04</v>
      </c>
      <c r="CL955" s="643">
        <f>+CL950/CH950-1</f>
        <v>4.0000000000000036E-2</v>
      </c>
      <c r="CM955" s="300"/>
      <c r="CN955" s="656">
        <v>0.04</v>
      </c>
      <c r="CO955" s="656">
        <v>0.04</v>
      </c>
      <c r="CP955" s="643">
        <f>+CP950/CL950-1</f>
        <v>3.9999999999999813E-2</v>
      </c>
      <c r="CQ955" s="300"/>
      <c r="CR955" s="656">
        <v>0.04</v>
      </c>
      <c r="CS955" s="656">
        <v>0.04</v>
      </c>
      <c r="CT955" s="643">
        <f>+CT950/CP950-1</f>
        <v>4.0000000000000036E-2</v>
      </c>
      <c r="CU955" s="300"/>
      <c r="CV955" s="656">
        <v>0.04</v>
      </c>
      <c r="CW955" s="656">
        <v>0.04</v>
      </c>
      <c r="CX955" s="643">
        <f>+CX950/CT950-1</f>
        <v>4.0000000000000036E-2</v>
      </c>
      <c r="CY955" s="300"/>
      <c r="CZ955" s="656">
        <v>0.04</v>
      </c>
      <c r="DA955" s="656">
        <v>0.04</v>
      </c>
      <c r="DB955" s="643">
        <f>+DB950/CX950-1</f>
        <v>4.0000000000000036E-2</v>
      </c>
      <c r="DC955" s="300"/>
      <c r="DD955" s="656">
        <v>0.04</v>
      </c>
      <c r="DE955" s="656">
        <v>0.04</v>
      </c>
      <c r="DF955" s="643">
        <f>+DF950/DB950-1</f>
        <v>4.0000000000000036E-2</v>
      </c>
      <c r="DG955" s="300"/>
      <c r="DH955" s="656">
        <v>0.04</v>
      </c>
      <c r="DI955" s="656">
        <v>0.04</v>
      </c>
      <c r="DJ955" s="643">
        <f>+DJ950/DF950-1</f>
        <v>4.0000000000000036E-2</v>
      </c>
      <c r="DK955" s="300"/>
      <c r="DL955" s="656">
        <v>0.04</v>
      </c>
      <c r="DM955" s="656">
        <v>0.04</v>
      </c>
      <c r="DN955" s="643">
        <f>+DN950/DJ950-1</f>
        <v>4.0000000000000036E-2</v>
      </c>
      <c r="DO955" s="300"/>
      <c r="DP955" s="656">
        <v>0.04</v>
      </c>
      <c r="DQ955" s="656">
        <v>0.04</v>
      </c>
      <c r="DR955" s="643">
        <f>+DR950/DN950-1</f>
        <v>4.0000000000000036E-2</v>
      </c>
      <c r="DS955" s="300"/>
      <c r="DT955" s="300"/>
      <c r="DU955" s="300"/>
      <c r="DV955" s="300"/>
      <c r="DW955" s="1211" t="s">
        <v>175</v>
      </c>
      <c r="DX955" s="643"/>
      <c r="DY955" s="643"/>
      <c r="DZ955" s="300"/>
      <c r="EA955" s="643"/>
      <c r="EB955" s="643"/>
      <c r="EC955" s="643"/>
      <c r="ED955" s="300"/>
      <c r="EE955" s="643"/>
      <c r="EF955" s="643"/>
      <c r="EG955" s="643"/>
      <c r="EH955" s="300"/>
      <c r="EI955" s="643"/>
      <c r="EJ955" s="643"/>
      <c r="EK955" s="643"/>
      <c r="EL955" s="300"/>
      <c r="EM955" s="300"/>
      <c r="EN955" s="300"/>
      <c r="EO955" s="300"/>
      <c r="EP955" s="300"/>
      <c r="EQ955" s="300"/>
      <c r="ER955" s="300"/>
      <c r="ES955" s="300"/>
      <c r="ET955" s="300"/>
      <c r="EU955" s="300"/>
      <c r="JW955"/>
    </row>
    <row r="956" spans="1:283" s="642" customFormat="1" hidden="1" outlineLevel="1">
      <c r="A956" s="642" t="str">
        <f>A951</f>
        <v>Brokerage and commission expenses</v>
      </c>
      <c r="AN956" s="1283"/>
      <c r="AO956" s="1283"/>
      <c r="AP956" s="1283"/>
      <c r="AQ956" s="1283"/>
      <c r="AR956" s="1282"/>
      <c r="AS956" s="1282"/>
      <c r="AT956" s="1282"/>
      <c r="AU956" s="1283"/>
      <c r="AV956" s="1282">
        <v>0.34146341463414642</v>
      </c>
      <c r="AW956" s="1282">
        <v>0.65999999999999992</v>
      </c>
      <c r="AX956" s="1282">
        <v>0.51648351648351642</v>
      </c>
      <c r="AY956" s="1283"/>
      <c r="AZ956" s="1282">
        <v>0.65454545454545454</v>
      </c>
      <c r="BA956" s="1282">
        <v>-1.2048192771084376E-2</v>
      </c>
      <c r="BB956" s="1282">
        <v>0.25362318840579712</v>
      </c>
      <c r="BC956" s="1283"/>
      <c r="BD956" s="1282">
        <v>-0.18681318681318682</v>
      </c>
      <c r="BE956" s="1282">
        <v>0</v>
      </c>
      <c r="BF956" s="1282">
        <v>-9.8265895953757232E-2</v>
      </c>
      <c r="BG956" s="1283"/>
      <c r="BH956" s="1282">
        <v>0</v>
      </c>
      <c r="BI956" s="1282">
        <v>-0.17073170731707321</v>
      </c>
      <c r="BJ956" s="1282">
        <v>-8.9743589743589758E-2</v>
      </c>
      <c r="BK956" s="1283"/>
      <c r="BL956" s="1282">
        <v>0.67567567567567566</v>
      </c>
      <c r="BM956" s="1282">
        <v>1.3088235294117645</v>
      </c>
      <c r="BN956" s="1282">
        <v>0.97887323943661975</v>
      </c>
      <c r="BO956" s="1283"/>
      <c r="BP956" s="1282">
        <v>0</v>
      </c>
      <c r="BQ956" s="1282">
        <v>-0.14649681528662417</v>
      </c>
      <c r="BR956" s="1282">
        <v>-8.185053380782914E-2</v>
      </c>
      <c r="BS956" s="1283"/>
      <c r="BT956" s="1282">
        <v>-9.6774193548387122E-2</v>
      </c>
      <c r="BU956" s="1282">
        <v>-8.2089552238805985E-2</v>
      </c>
      <c r="BV956" s="1282">
        <v>-8.9147286821705474E-2</v>
      </c>
      <c r="BW956" s="300"/>
      <c r="BX956" s="643">
        <f t="shared" si="2354"/>
        <v>-8.0357142857142905E-2</v>
      </c>
      <c r="BY956" s="643">
        <f t="shared" si="2354"/>
        <v>0</v>
      </c>
      <c r="BZ956" s="643">
        <f t="shared" si="2354"/>
        <v>-3.8297872340425587E-2</v>
      </c>
      <c r="CA956" s="300"/>
      <c r="CB956" s="656">
        <v>0.04</v>
      </c>
      <c r="CC956" s="656">
        <v>0.04</v>
      </c>
      <c r="CD956" s="643">
        <f>+CD951/BZ951-1</f>
        <v>4.0000000000000036E-2</v>
      </c>
      <c r="CE956" s="300"/>
      <c r="CF956" s="656">
        <v>0.04</v>
      </c>
      <c r="CG956" s="656">
        <v>0.04</v>
      </c>
      <c r="CH956" s="643">
        <f>+CH951/CD951-1</f>
        <v>3.9999999999999813E-2</v>
      </c>
      <c r="CI956" s="300"/>
      <c r="CJ956" s="656">
        <v>0.04</v>
      </c>
      <c r="CK956" s="656">
        <v>0.04</v>
      </c>
      <c r="CL956" s="643">
        <f>+CL951/CH951-1</f>
        <v>4.0000000000000036E-2</v>
      </c>
      <c r="CM956" s="300"/>
      <c r="CN956" s="656">
        <v>0.04</v>
      </c>
      <c r="CO956" s="656">
        <v>0.04</v>
      </c>
      <c r="CP956" s="643">
        <f>+CP951/CL951-1</f>
        <v>4.0000000000000036E-2</v>
      </c>
      <c r="CQ956" s="300"/>
      <c r="CR956" s="656">
        <v>0.04</v>
      </c>
      <c r="CS956" s="656">
        <v>0.04</v>
      </c>
      <c r="CT956" s="643">
        <f>+CT951/CP951-1</f>
        <v>4.0000000000000258E-2</v>
      </c>
      <c r="CU956" s="300"/>
      <c r="CV956" s="656">
        <v>0.04</v>
      </c>
      <c r="CW956" s="656">
        <v>0.04</v>
      </c>
      <c r="CX956" s="643">
        <f>+CX951/CT951-1</f>
        <v>4.0000000000000036E-2</v>
      </c>
      <c r="CY956" s="300"/>
      <c r="CZ956" s="656">
        <v>0.04</v>
      </c>
      <c r="DA956" s="656">
        <v>0.04</v>
      </c>
      <c r="DB956" s="643">
        <f>+DB951/CX951-1</f>
        <v>4.0000000000000036E-2</v>
      </c>
      <c r="DC956" s="300"/>
      <c r="DD956" s="656">
        <v>0.04</v>
      </c>
      <c r="DE956" s="656">
        <v>0.04</v>
      </c>
      <c r="DF956" s="643">
        <f>+DF951/DB951-1</f>
        <v>4.0000000000000036E-2</v>
      </c>
      <c r="DG956" s="300"/>
      <c r="DH956" s="656">
        <v>0.04</v>
      </c>
      <c r="DI956" s="656">
        <v>0.04</v>
      </c>
      <c r="DJ956" s="643">
        <f>+DJ951/DF951-1</f>
        <v>4.0000000000000036E-2</v>
      </c>
      <c r="DK956" s="300"/>
      <c r="DL956" s="656">
        <v>0.04</v>
      </c>
      <c r="DM956" s="656">
        <v>0.04</v>
      </c>
      <c r="DN956" s="643">
        <f>+DN951/DJ951-1</f>
        <v>4.0000000000000258E-2</v>
      </c>
      <c r="DO956" s="300"/>
      <c r="DP956" s="656">
        <v>0.04</v>
      </c>
      <c r="DQ956" s="656">
        <v>0.04</v>
      </c>
      <c r="DR956" s="643">
        <f>+DR951/DN951-1</f>
        <v>4.0000000000000036E-2</v>
      </c>
      <c r="DS956" s="300"/>
      <c r="DT956" s="300"/>
      <c r="DU956" s="300"/>
      <c r="DV956" s="300"/>
      <c r="DW956" s="1211" t="s">
        <v>175</v>
      </c>
      <c r="DX956" s="643"/>
      <c r="DY956" s="643"/>
      <c r="DZ956" s="300"/>
      <c r="EA956" s="643"/>
      <c r="EB956" s="643"/>
      <c r="EC956" s="643"/>
      <c r="ED956" s="300"/>
      <c r="EE956" s="643"/>
      <c r="EF956" s="643"/>
      <c r="EG956" s="643"/>
      <c r="EH956" s="300"/>
      <c r="EI956" s="643"/>
      <c r="EJ956" s="643"/>
      <c r="EK956" s="643"/>
      <c r="EL956" s="300"/>
      <c r="EM956" s="300"/>
      <c r="EN956" s="300"/>
      <c r="EO956" s="300"/>
      <c r="EP956" s="300"/>
      <c r="EQ956" s="300"/>
      <c r="ER956" s="300"/>
      <c r="ES956" s="300"/>
      <c r="ET956" s="300"/>
      <c r="EU956" s="300"/>
      <c r="JW956"/>
    </row>
    <row r="957" spans="1:283" s="642" customFormat="1" hidden="1" outlineLevel="1">
      <c r="A957" s="642" t="str">
        <f>A952</f>
        <v>Other operating expenses</v>
      </c>
      <c r="AN957" s="1283"/>
      <c r="AO957" s="1283"/>
      <c r="AP957" s="1283"/>
      <c r="AQ957" s="1283"/>
      <c r="AR957" s="1282"/>
      <c r="AS957" s="1282"/>
      <c r="AT957" s="1282"/>
      <c r="AU957" s="1283"/>
      <c r="AV957" s="1282">
        <v>0.1454545454545455</v>
      </c>
      <c r="AW957" s="1282">
        <v>-7.8431372549019662E-2</v>
      </c>
      <c r="AX957" s="1282">
        <v>1.5209125475285079E-2</v>
      </c>
      <c r="AY957" s="1283"/>
      <c r="AZ957" s="1282">
        <v>0.33333333333333326</v>
      </c>
      <c r="BA957" s="1282">
        <v>0.4042553191489362</v>
      </c>
      <c r="BB957" s="1282">
        <v>0.3707865168539326</v>
      </c>
      <c r="BC957" s="1283"/>
      <c r="BD957" s="1282">
        <v>0.2698410714285715</v>
      </c>
      <c r="BE957" s="1282">
        <v>5.050505050504972E-3</v>
      </c>
      <c r="BF957" s="1282">
        <v>0.12659371584699453</v>
      </c>
      <c r="BG957" s="1283"/>
      <c r="BH957" s="1282">
        <v>-0.20312487548826186</v>
      </c>
      <c r="BI957" s="1282">
        <v>-5.5276381909547756E-2</v>
      </c>
      <c r="BJ957" s="1282">
        <v>-0.13177034209946181</v>
      </c>
      <c r="BK957" s="1283"/>
      <c r="BL957" s="1282">
        <v>0.19999999999999996</v>
      </c>
      <c r="BM957" s="1282">
        <v>0.10106382978723394</v>
      </c>
      <c r="BN957" s="1282">
        <v>0.14804469273743015</v>
      </c>
      <c r="BO957" s="1283"/>
      <c r="BP957" s="1282">
        <v>6.8627450980392135E-2</v>
      </c>
      <c r="BQ957" s="1282">
        <v>0.14492753623188404</v>
      </c>
      <c r="BR957" s="1282">
        <v>0.1070559610705597</v>
      </c>
      <c r="BS957" s="1283"/>
      <c r="BT957" s="1282">
        <v>0.15137614678899092</v>
      </c>
      <c r="BU957" s="1282">
        <v>0.21940928270042193</v>
      </c>
      <c r="BV957" s="1282">
        <v>0.18681318681318682</v>
      </c>
      <c r="BW957" s="300"/>
      <c r="BX957" s="643">
        <f t="shared" si="2354"/>
        <v>7.9681274900398336E-2</v>
      </c>
      <c r="BY957" s="643">
        <f t="shared" si="2354"/>
        <v>0</v>
      </c>
      <c r="BZ957" s="643">
        <f t="shared" si="2354"/>
        <v>3.7037037037036979E-2</v>
      </c>
      <c r="CA957" s="300"/>
      <c r="CB957" s="656">
        <v>0.04</v>
      </c>
      <c r="CC957" s="656">
        <v>0.04</v>
      </c>
      <c r="CD957" s="643">
        <f>+CD952/BZ952-1</f>
        <v>4.0000000000000258E-2</v>
      </c>
      <c r="CE957" s="300"/>
      <c r="CF957" s="656">
        <v>0.04</v>
      </c>
      <c r="CG957" s="656">
        <v>0.04</v>
      </c>
      <c r="CH957" s="643">
        <f>+CH952/CD952-1</f>
        <v>3.9999999999999813E-2</v>
      </c>
      <c r="CI957" s="300"/>
      <c r="CJ957" s="656">
        <v>0.04</v>
      </c>
      <c r="CK957" s="656">
        <v>0.04</v>
      </c>
      <c r="CL957" s="643">
        <f>+CL952/CH952-1</f>
        <v>4.0000000000000258E-2</v>
      </c>
      <c r="CM957" s="300"/>
      <c r="CN957" s="656">
        <v>0.04</v>
      </c>
      <c r="CO957" s="656">
        <v>0.04</v>
      </c>
      <c r="CP957" s="643">
        <f>+CP952/CL952-1</f>
        <v>3.9999999999999813E-2</v>
      </c>
      <c r="CQ957" s="300"/>
      <c r="CR957" s="656">
        <v>0.04</v>
      </c>
      <c r="CS957" s="656">
        <v>0.04</v>
      </c>
      <c r="CT957" s="643">
        <f>+CT952/CP952-1</f>
        <v>4.0000000000000258E-2</v>
      </c>
      <c r="CU957" s="300"/>
      <c r="CV957" s="656">
        <v>0.04</v>
      </c>
      <c r="CW957" s="656">
        <v>0.04</v>
      </c>
      <c r="CX957" s="643">
        <f>+CX952/CT952-1</f>
        <v>3.9999999999999813E-2</v>
      </c>
      <c r="CY957" s="300"/>
      <c r="CZ957" s="656">
        <v>0.04</v>
      </c>
      <c r="DA957" s="656">
        <v>0.04</v>
      </c>
      <c r="DB957" s="643">
        <f>+DB952/CX952-1</f>
        <v>4.0000000000000036E-2</v>
      </c>
      <c r="DC957" s="300"/>
      <c r="DD957" s="656">
        <v>0.04</v>
      </c>
      <c r="DE957" s="656">
        <v>0.04</v>
      </c>
      <c r="DF957" s="643">
        <f>+DF952/DB952-1</f>
        <v>4.0000000000000036E-2</v>
      </c>
      <c r="DG957" s="300"/>
      <c r="DH957" s="656">
        <v>0.04</v>
      </c>
      <c r="DI957" s="656">
        <v>0.04</v>
      </c>
      <c r="DJ957" s="643">
        <f>+DJ952/DF952-1</f>
        <v>4.0000000000000036E-2</v>
      </c>
      <c r="DK957" s="300"/>
      <c r="DL957" s="656">
        <v>0.04</v>
      </c>
      <c r="DM957" s="656">
        <v>0.04</v>
      </c>
      <c r="DN957" s="643">
        <f>+DN952/DJ952-1</f>
        <v>4.0000000000000036E-2</v>
      </c>
      <c r="DO957" s="300"/>
      <c r="DP957" s="656">
        <v>0.04</v>
      </c>
      <c r="DQ957" s="656">
        <v>0.04</v>
      </c>
      <c r="DR957" s="643">
        <f>+DR952/DN952-1</f>
        <v>3.9999999999999813E-2</v>
      </c>
      <c r="DS957" s="300"/>
      <c r="DT957" s="300"/>
      <c r="DU957" s="300"/>
      <c r="DV957" s="300"/>
      <c r="DW957" s="1211" t="s">
        <v>175</v>
      </c>
      <c r="DX957" s="643"/>
      <c r="DY957" s="643"/>
      <c r="DZ957" s="300"/>
      <c r="EA957" s="643"/>
      <c r="EB957" s="643"/>
      <c r="EC957" s="643"/>
      <c r="ED957" s="300"/>
      <c r="EE957" s="643"/>
      <c r="EF957" s="643"/>
      <c r="EG957" s="643"/>
      <c r="EH957" s="300"/>
      <c r="EI957" s="643"/>
      <c r="EJ957" s="643"/>
      <c r="EK957" s="643"/>
      <c r="EL957" s="300"/>
      <c r="EM957" s="300"/>
      <c r="EN957" s="300"/>
      <c r="EO957" s="300"/>
      <c r="EP957" s="300"/>
      <c r="EQ957" s="300"/>
      <c r="ER957" s="300"/>
      <c r="ES957" s="300"/>
      <c r="ET957" s="300"/>
      <c r="EU957" s="300"/>
      <c r="JW957"/>
    </row>
    <row r="958" spans="1:283" s="328" customFormat="1" hidden="1" outlineLevel="1">
      <c r="A958" s="328" t="str">
        <f>A953</f>
        <v>Total Expenses</v>
      </c>
      <c r="AN958" s="1279"/>
      <c r="AO958" s="1279"/>
      <c r="AP958" s="1279"/>
      <c r="AQ958" s="1279"/>
      <c r="AR958" s="1285"/>
      <c r="AS958" s="1285"/>
      <c r="AT958" s="1285"/>
      <c r="AU958" s="1279"/>
      <c r="AV958" s="1285">
        <v>0.24215246636771304</v>
      </c>
      <c r="AW958" s="1285">
        <v>0.10130718954248374</v>
      </c>
      <c r="AX958" s="1285">
        <v>0.16068052930056709</v>
      </c>
      <c r="AY958" s="1279"/>
      <c r="AZ958" s="1285">
        <v>0.37906137184115529</v>
      </c>
      <c r="BA958" s="1285">
        <v>0.36201780415430274</v>
      </c>
      <c r="BB958" s="1285">
        <v>0.36970684039087942</v>
      </c>
      <c r="BC958" s="1279"/>
      <c r="BD958" s="1285">
        <v>7.0680628272251411E-2</v>
      </c>
      <c r="BE958" s="1285">
        <v>-9.3681917211329013E-2</v>
      </c>
      <c r="BF958" s="1285">
        <v>-1.9024970273483932E-2</v>
      </c>
      <c r="BG958" s="1279"/>
      <c r="BH958" s="1285">
        <v>-0.12224938875305624</v>
      </c>
      <c r="BI958" s="1285">
        <v>-8.4134615384615419E-2</v>
      </c>
      <c r="BJ958" s="1285">
        <v>-0.10303030303030303</v>
      </c>
      <c r="BK958" s="1279"/>
      <c r="BL958" s="1285">
        <v>0.25348189415041777</v>
      </c>
      <c r="BM958" s="1285">
        <v>0.32808398950131235</v>
      </c>
      <c r="BN958" s="1285">
        <v>0.2918918918918918</v>
      </c>
      <c r="BO958" s="1279"/>
      <c r="BP958" s="1285">
        <v>5.555555555555558E-2</v>
      </c>
      <c r="BQ958" s="1285">
        <v>2.9644268774703608E-2</v>
      </c>
      <c r="BR958" s="1285">
        <v>4.1841004184100417E-2</v>
      </c>
      <c r="BS958" s="1279"/>
      <c r="BT958" s="1285">
        <v>0.11368421052631583</v>
      </c>
      <c r="BU958" s="1285">
        <v>0.13243761996161219</v>
      </c>
      <c r="BV958" s="1285">
        <v>0.12349397590361444</v>
      </c>
      <c r="BW958" s="581"/>
      <c r="BX958" s="650">
        <f t="shared" si="2354"/>
        <v>0</v>
      </c>
      <c r="BY958" s="650">
        <f t="shared" si="2354"/>
        <v>0</v>
      </c>
      <c r="BZ958" s="650">
        <f t="shared" si="2354"/>
        <v>0</v>
      </c>
      <c r="CA958" s="581"/>
      <c r="CB958" s="650">
        <f>+CB953/BX953-1</f>
        <v>4.0000000000000258E-2</v>
      </c>
      <c r="CC958" s="650">
        <f>+CC953/BY953-1</f>
        <v>4.0000000000000036E-2</v>
      </c>
      <c r="CD958" s="650">
        <f>+CD953/BZ953-1</f>
        <v>4.0000000000000258E-2</v>
      </c>
      <c r="CE958" s="581"/>
      <c r="CF958" s="650">
        <f>+CF953/CB953-1</f>
        <v>4.0000000000000036E-2</v>
      </c>
      <c r="CG958" s="650">
        <f>+CG953/CC953-1</f>
        <v>4.0000000000000036E-2</v>
      </c>
      <c r="CH958" s="650">
        <f>+CH953/CD953-1</f>
        <v>3.9999999999999813E-2</v>
      </c>
      <c r="CI958" s="581"/>
      <c r="CJ958" s="650">
        <f>+CJ953/CF953-1</f>
        <v>4.0000000000000036E-2</v>
      </c>
      <c r="CK958" s="650">
        <f>+CK953/CG953-1</f>
        <v>4.0000000000000036E-2</v>
      </c>
      <c r="CL958" s="650">
        <f>+CL953/CH953-1</f>
        <v>4.0000000000000036E-2</v>
      </c>
      <c r="CM958" s="581"/>
      <c r="CN958" s="650">
        <f>+CN953/CJ953-1</f>
        <v>4.0000000000000036E-2</v>
      </c>
      <c r="CO958" s="650">
        <f>+CO953/CK953-1</f>
        <v>4.0000000000000036E-2</v>
      </c>
      <c r="CP958" s="650">
        <f>+CP953/CL953-1</f>
        <v>4.0000000000000036E-2</v>
      </c>
      <c r="CQ958" s="581"/>
      <c r="CR958" s="650">
        <f>+CR953/CN953-1</f>
        <v>4.0000000000000258E-2</v>
      </c>
      <c r="CS958" s="650">
        <f>+CS953/CO953-1</f>
        <v>4.0000000000000036E-2</v>
      </c>
      <c r="CT958" s="650">
        <f>+CT953/CP953-1</f>
        <v>4.0000000000000036E-2</v>
      </c>
      <c r="CU958" s="581"/>
      <c r="CV958" s="650">
        <f>+CV953/CR953-1</f>
        <v>3.9999999999999813E-2</v>
      </c>
      <c r="CW958" s="650">
        <f>+CW953/CS953-1</f>
        <v>4.0000000000000036E-2</v>
      </c>
      <c r="CX958" s="650">
        <f>+CX953/CT953-1</f>
        <v>3.9999999999999813E-2</v>
      </c>
      <c r="CY958" s="581"/>
      <c r="CZ958" s="650">
        <f>+CZ953/CV953-1</f>
        <v>4.0000000000000036E-2</v>
      </c>
      <c r="DA958" s="650">
        <f>+DA953/CW953-1</f>
        <v>4.0000000000000258E-2</v>
      </c>
      <c r="DB958" s="650">
        <f>+DB953/CX953-1</f>
        <v>4.0000000000000258E-2</v>
      </c>
      <c r="DC958" s="581"/>
      <c r="DD958" s="650">
        <f>+DD953/CZ953-1</f>
        <v>4.0000000000000036E-2</v>
      </c>
      <c r="DE958" s="650">
        <f>+DE953/DA953-1</f>
        <v>4.0000000000000036E-2</v>
      </c>
      <c r="DF958" s="650">
        <f>+DF953/DB953-1</f>
        <v>4.0000000000000036E-2</v>
      </c>
      <c r="DG958" s="581"/>
      <c r="DH958" s="650">
        <f>+DH953/DD953-1</f>
        <v>4.0000000000000036E-2</v>
      </c>
      <c r="DI958" s="650">
        <f>+DI953/DE953-1</f>
        <v>4.0000000000000036E-2</v>
      </c>
      <c r="DJ958" s="650">
        <f>+DJ953/DF953-1</f>
        <v>3.9999999999999813E-2</v>
      </c>
      <c r="DK958" s="581"/>
      <c r="DL958" s="650">
        <f>+DL953/DH953-1</f>
        <v>4.0000000000000036E-2</v>
      </c>
      <c r="DM958" s="650">
        <f>+DM953/DI953-1</f>
        <v>4.0000000000000036E-2</v>
      </c>
      <c r="DN958" s="650">
        <f>+DN953/DJ953-1</f>
        <v>4.0000000000000036E-2</v>
      </c>
      <c r="DO958" s="581"/>
      <c r="DP958" s="650">
        <f>+DP953/DL953-1</f>
        <v>4.0000000000000036E-2</v>
      </c>
      <c r="DQ958" s="650">
        <f>+DQ953/DM953-1</f>
        <v>3.9999999999999813E-2</v>
      </c>
      <c r="DR958" s="650">
        <f>+DR953/DN953-1</f>
        <v>4.0000000000000036E-2</v>
      </c>
      <c r="DS958" s="581"/>
      <c r="DT958" s="581"/>
      <c r="DU958" s="581"/>
      <c r="DV958" s="581"/>
      <c r="DW958" s="1212"/>
      <c r="DX958" s="682"/>
      <c r="DY958" s="682"/>
      <c r="DZ958" s="581"/>
      <c r="EA958" s="682"/>
      <c r="EB958" s="682"/>
      <c r="EC958" s="682"/>
      <c r="ED958" s="581"/>
      <c r="EE958" s="682"/>
      <c r="EF958" s="682"/>
      <c r="EG958" s="682"/>
      <c r="EH958" s="581"/>
      <c r="EI958" s="682"/>
      <c r="EJ958" s="682"/>
      <c r="EK958" s="682"/>
      <c r="EL958" s="581"/>
      <c r="EM958" s="581"/>
      <c r="EN958" s="581"/>
      <c r="EO958" s="581"/>
      <c r="EP958" s="581"/>
      <c r="EQ958" s="581"/>
      <c r="ER958" s="581"/>
      <c r="ES958" s="581"/>
      <c r="ET958" s="581"/>
      <c r="EU958" s="581"/>
      <c r="JW958"/>
    </row>
    <row r="959" spans="1:283" hidden="1" outlineLevel="1">
      <c r="AN959" s="1275"/>
      <c r="AO959" s="1275"/>
      <c r="AP959" s="1275"/>
      <c r="AQ959" s="1275"/>
      <c r="AR959" s="1275"/>
      <c r="AS959" s="1275"/>
      <c r="AT959" s="1275"/>
      <c r="AU959" s="1275"/>
      <c r="AV959" s="1275"/>
      <c r="AW959" s="1275"/>
      <c r="AX959" s="1275"/>
      <c r="AY959" s="1275"/>
      <c r="AZ959" s="1275"/>
      <c r="BA959" s="1275"/>
      <c r="BB959" s="1275"/>
      <c r="BC959" s="1275"/>
      <c r="BD959" s="1275"/>
      <c r="BE959" s="1275"/>
      <c r="BF959" s="1275"/>
      <c r="BG959" s="1275"/>
      <c r="BH959" s="1275"/>
      <c r="BI959" s="1275"/>
      <c r="BJ959" s="1275"/>
      <c r="BK959" s="1275"/>
      <c r="BL959" s="1275"/>
      <c r="BM959" s="1275"/>
      <c r="BN959" s="1275"/>
      <c r="BO959" s="1275"/>
      <c r="BP959" s="1275"/>
      <c r="BQ959" s="1275"/>
      <c r="BR959" s="1275"/>
      <c r="BS959" s="1275"/>
      <c r="BT959" s="1275"/>
      <c r="BU959" s="1275"/>
      <c r="BV959" s="1275"/>
      <c r="DW959" s="1101"/>
    </row>
    <row r="960" spans="1:283" s="642" customFormat="1" hidden="1" outlineLevel="1">
      <c r="A960" s="642" t="s">
        <v>1060</v>
      </c>
      <c r="AN960" s="1287"/>
      <c r="AO960" s="1287"/>
      <c r="AP960" s="1287"/>
      <c r="AQ960" s="1283"/>
      <c r="AR960" s="1287"/>
      <c r="AS960" s="1287"/>
      <c r="AT960" s="1287"/>
      <c r="AU960" s="1283"/>
      <c r="AV960" s="1287"/>
      <c r="AW960" s="1287"/>
      <c r="AX960" s="1287"/>
      <c r="AY960" s="1283"/>
      <c r="AZ960" s="1287"/>
      <c r="BA960" s="1287"/>
      <c r="BB960" s="1287"/>
      <c r="BC960" s="1283"/>
      <c r="BD960" s="1287"/>
      <c r="BE960" s="1287"/>
      <c r="BF960" s="1287"/>
      <c r="BG960" s="1283"/>
      <c r="BH960" s="1287"/>
      <c r="BI960" s="1287"/>
      <c r="BJ960" s="1287"/>
      <c r="BK960" s="1283"/>
      <c r="BL960" s="1287"/>
      <c r="BM960" s="1287"/>
      <c r="BN960" s="1287"/>
      <c r="BO960" s="1283"/>
      <c r="BP960" s="1287"/>
      <c r="BQ960" s="1287"/>
      <c r="BR960" s="1287"/>
      <c r="BS960" s="1283"/>
      <c r="BT960" s="1287"/>
      <c r="BU960" s="1287"/>
      <c r="BV960" s="1287"/>
      <c r="BW960" s="300"/>
      <c r="BX960" s="668"/>
      <c r="BY960" s="668"/>
      <c r="BZ960" s="668"/>
      <c r="CA960" s="300"/>
      <c r="CB960" s="668"/>
      <c r="CC960" s="668"/>
      <c r="CD960" s="668"/>
      <c r="CE960" s="300"/>
      <c r="CF960" s="668"/>
      <c r="CG960" s="668"/>
      <c r="CH960" s="668"/>
      <c r="CI960" s="300"/>
      <c r="CJ960" s="668"/>
      <c r="CK960" s="668"/>
      <c r="CL960" s="668"/>
      <c r="CM960" s="300"/>
      <c r="CN960" s="668"/>
      <c r="CO960" s="668"/>
      <c r="CP960" s="668"/>
      <c r="CQ960" s="300"/>
      <c r="CT960" s="1215" t="s">
        <v>175</v>
      </c>
      <c r="CU960" s="300"/>
      <c r="CX960" s="1215" t="s">
        <v>175</v>
      </c>
      <c r="CY960" s="300"/>
      <c r="DB960" s="1215" t="s">
        <v>175</v>
      </c>
      <c r="DC960" s="300"/>
      <c r="DF960" s="1215" t="s">
        <v>175</v>
      </c>
      <c r="DG960" s="300"/>
      <c r="DJ960" s="1215" t="s">
        <v>175</v>
      </c>
      <c r="DK960" s="300"/>
      <c r="DN960" s="1215" t="s">
        <v>175</v>
      </c>
      <c r="DO960" s="300"/>
      <c r="DR960" s="1215" t="s">
        <v>175</v>
      </c>
      <c r="DS960" s="300"/>
      <c r="DT960" s="300"/>
      <c r="DU960" s="300"/>
      <c r="DV960" s="300"/>
      <c r="DW960" s="1215" t="s">
        <v>175</v>
      </c>
      <c r="DX960" s="300"/>
      <c r="DY960" s="300"/>
      <c r="DZ960" s="300"/>
      <c r="EA960" s="300"/>
      <c r="EB960" s="300"/>
      <c r="EC960" s="300"/>
      <c r="ED960" s="300"/>
      <c r="EE960" s="300"/>
      <c r="EF960" s="300"/>
      <c r="EG960" s="300"/>
      <c r="EH960" s="300"/>
      <c r="EI960" s="300"/>
      <c r="EJ960" s="300"/>
      <c r="EK960" s="300"/>
      <c r="EL960" s="300"/>
      <c r="EM960" s="300"/>
      <c r="EN960" s="300"/>
      <c r="EO960" s="300"/>
      <c r="EP960" s="300"/>
      <c r="EQ960" s="300"/>
      <c r="ER960" s="300"/>
      <c r="ES960" s="300"/>
      <c r="ET960" s="300"/>
      <c r="EU960" s="300"/>
      <c r="JW960"/>
    </row>
    <row r="961" collapsed="1"/>
  </sheetData>
  <phoneticPr fontId="9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indexed="13"/>
    <pageSetUpPr autoPageBreaks="0"/>
  </sheetPr>
  <dimension ref="A1:JM1327"/>
  <sheetViews>
    <sheetView showGridLines="0" zoomScaleNormal="100" workbookViewId="0">
      <pane xSplit="2" ySplit="5" topLeftCell="CY63" activePane="bottomRight" state="frozen"/>
      <selection activeCell="JH1" sqref="JH1"/>
      <selection pane="topRight" activeCell="JH1" sqref="JH1"/>
      <selection pane="bottomLeft" activeCell="JH1" sqref="JH1"/>
      <selection pane="bottomRight" activeCell="DM88" sqref="DM88"/>
    </sheetView>
  </sheetViews>
  <sheetFormatPr defaultColWidth="9.109375" defaultRowHeight="13.8" outlineLevelRow="1" outlineLevelCol="1"/>
  <cols>
    <col min="1" max="1" width="38.5546875" style="102" customWidth="1"/>
    <col min="2" max="2" width="15.109375" style="103" customWidth="1"/>
    <col min="3" max="3" width="9.109375" style="102"/>
    <col min="4" max="39" width="9.109375" style="102" hidden="1" customWidth="1" outlineLevel="1"/>
    <col min="40" max="40" width="9.5546875" style="103" hidden="1" customWidth="1" outlineLevel="1" collapsed="1"/>
    <col min="41" max="41" width="9.5546875" style="103" hidden="1" customWidth="1" outlineLevel="1"/>
    <col min="42" max="43" width="9.109375" style="103" hidden="1" customWidth="1" outlineLevel="1"/>
    <col min="44" max="45" width="9.5546875" style="103" hidden="1" customWidth="1" outlineLevel="1"/>
    <col min="46" max="47" width="9.109375" style="103" hidden="1" customWidth="1" outlineLevel="1"/>
    <col min="48" max="49" width="9.5546875" style="103" hidden="1" customWidth="1" outlineLevel="1"/>
    <col min="50" max="51" width="9.109375" style="103" hidden="1" customWidth="1" outlineLevel="1"/>
    <col min="52" max="52" width="10.33203125" style="103" hidden="1" customWidth="1" outlineLevel="1"/>
    <col min="53" max="53" width="9" style="103" hidden="1" customWidth="1" outlineLevel="1"/>
    <col min="54" max="55" width="9.109375" style="103" hidden="1" customWidth="1" outlineLevel="1"/>
    <col min="56" max="57" width="9.88671875" style="103" hidden="1" customWidth="1" outlineLevel="1"/>
    <col min="58" max="59" width="9.109375" style="103" hidden="1" customWidth="1" outlineLevel="1"/>
    <col min="60" max="61" width="9.88671875" style="103" hidden="1" customWidth="1" outlineLevel="1"/>
    <col min="62" max="63" width="9.109375" style="103" hidden="1" customWidth="1" outlineLevel="1"/>
    <col min="64" max="65" width="9.88671875" style="103" hidden="1" customWidth="1" outlineLevel="1"/>
    <col min="66" max="67" width="9.109375" style="103" hidden="1" customWidth="1" outlineLevel="1"/>
    <col min="68" max="68" width="9.88671875" style="103" hidden="1" customWidth="1" outlineLevel="1"/>
    <col min="69" max="69" width="10" style="103" hidden="1" customWidth="1" outlineLevel="1"/>
    <col min="70" max="71" width="9.109375" style="103" hidden="1" customWidth="1" outlineLevel="1"/>
    <col min="72" max="72" width="10" style="103" hidden="1" customWidth="1" outlineLevel="1" collapsed="1"/>
    <col min="73" max="73" width="10" style="103" hidden="1" customWidth="1" outlineLevel="1"/>
    <col min="74" max="74" width="9.109375" style="103" collapsed="1"/>
    <col min="75" max="75" width="9.109375" style="103" customWidth="1" outlineLevel="1"/>
    <col min="76" max="77" width="10" style="103" customWidth="1" outlineLevel="1"/>
    <col min="78" max="78" width="9.109375" style="103"/>
    <col min="79" max="79" width="9.109375" style="103" customWidth="1" outlineLevel="1"/>
    <col min="80" max="81" width="10" style="103" customWidth="1" outlineLevel="1"/>
    <col min="82" max="82" width="10.88671875" style="103" customWidth="1"/>
    <col min="83" max="83" width="9.109375" style="115" customWidth="1" outlineLevel="1"/>
    <col min="84" max="85" width="10" style="103" customWidth="1" outlineLevel="1"/>
    <col min="86" max="86" width="9.109375" style="103"/>
    <col min="87" max="87" width="9.109375" style="115" customWidth="1" outlineLevel="1"/>
    <col min="88" max="89" width="10" style="103" customWidth="1" outlineLevel="1"/>
    <col min="90" max="90" width="9.109375" style="103"/>
    <col min="91" max="91" width="9.109375" style="115" customWidth="1" outlineLevel="1"/>
    <col min="92" max="93" width="10" style="103" customWidth="1" outlineLevel="1"/>
    <col min="94" max="94" width="10.5546875" style="103" customWidth="1"/>
    <col min="95" max="95" width="7.6640625" style="115" customWidth="1" outlineLevel="1"/>
    <col min="96" max="96" width="10.33203125" style="103" customWidth="1" outlineLevel="1"/>
    <col min="97" max="97" width="13.109375" style="103" customWidth="1" outlineLevel="1"/>
    <col min="98" max="98" width="10.109375" style="103" customWidth="1"/>
    <col min="99" max="99" width="8.6640625" style="103" customWidth="1" outlineLevel="1"/>
    <col min="100" max="101" width="9.109375" style="103" customWidth="1" outlineLevel="1"/>
    <col min="102" max="102" width="9.88671875" style="103" customWidth="1"/>
    <col min="103" max="105" width="9.109375" style="103" customWidth="1" outlineLevel="1"/>
    <col min="106" max="106" width="9.109375" style="103"/>
    <col min="107" max="109" width="9.109375" style="103" customWidth="1" outlineLevel="1"/>
    <col min="110" max="110" width="9.109375" style="103"/>
    <col min="111" max="111" width="12.44140625" style="103" customWidth="1"/>
    <col min="112" max="113" width="9.109375" style="103" outlineLevel="1"/>
    <col min="114" max="115" width="9.109375" style="103"/>
    <col min="116" max="117" width="9.109375" style="103" outlineLevel="1"/>
    <col min="118" max="119" width="9.109375" style="103"/>
    <col min="120" max="121" width="9.109375" style="103" outlineLevel="1"/>
    <col min="122" max="146" width="9.109375" style="103"/>
    <col min="147" max="272" width="9.109375" style="102"/>
    <col min="274" max="16384" width="9.109375" style="102"/>
  </cols>
  <sheetData>
    <row r="1" spans="1:273" s="103" customFormat="1">
      <c r="AN1" s="103">
        <f>EOMONTH(AN3,0)-EOMONTH(AN3,-6)</f>
        <v>183</v>
      </c>
      <c r="AO1" s="103">
        <f>EOMONTH(AO3,0)-EOMONTH(AO3,-6)</f>
        <v>183</v>
      </c>
      <c r="AR1" s="103">
        <f>EOMONTH(AR3,0)-EOMONTH(AR3,-6)</f>
        <v>183</v>
      </c>
      <c r="AS1" s="103">
        <f>EOMONTH(AS3,0)-EOMONTH(AS3,-6)</f>
        <v>182</v>
      </c>
      <c r="AV1" s="103">
        <f>EOMONTH(AV3,0)-EOMONTH(AV3,-6)</f>
        <v>183</v>
      </c>
      <c r="AW1" s="103">
        <f>EOMONTH(AW3,0)-EOMONTH(AW3,-6)</f>
        <v>182</v>
      </c>
      <c r="AX1" s="103">
        <f>+AW1+AV1</f>
        <v>365</v>
      </c>
      <c r="AZ1" s="103">
        <f>EOMONTH(AZ3,0)-EOMONTH(AZ3,-6)</f>
        <v>183</v>
      </c>
      <c r="BA1" s="103">
        <f>EOMONTH(BA3,0)-EOMONTH(BA3,-6)</f>
        <v>182</v>
      </c>
      <c r="BB1" s="103">
        <f>+BA1+AZ1</f>
        <v>365</v>
      </c>
      <c r="BD1" s="103">
        <f>EOMONTH(BD3,0)-EOMONTH(BD3,-6)</f>
        <v>183</v>
      </c>
      <c r="BE1" s="103">
        <f>EOMONTH(BE3,0)-EOMONTH(BE3,-6)</f>
        <v>183</v>
      </c>
      <c r="BF1" s="103">
        <f>+BE1+BD1</f>
        <v>366</v>
      </c>
      <c r="BH1" s="103">
        <f>EOMONTH(BH3,0)-EOMONTH(BH3,-6)</f>
        <v>183</v>
      </c>
      <c r="BI1" s="103">
        <f>EOMONTH(BI3,0)-EOMONTH(BI3,-6)</f>
        <v>182</v>
      </c>
      <c r="BJ1" s="103">
        <f>+BI1+BH1</f>
        <v>365</v>
      </c>
      <c r="BL1" s="103">
        <f>EOMONTH(BL3,0)-EOMONTH(BL3,-6)</f>
        <v>183</v>
      </c>
      <c r="BM1" s="103">
        <f>EOMONTH(BM3,0)-EOMONTH(BM3,-6)</f>
        <v>182</v>
      </c>
      <c r="BN1" s="103">
        <f>+BM1+BL1</f>
        <v>365</v>
      </c>
      <c r="BP1" s="103">
        <f>EOMONTH(BP3,0)-EOMONTH(BP3,-6)</f>
        <v>183</v>
      </c>
      <c r="BQ1" s="103">
        <f>EOMONTH(BQ3,0)-EOMONTH(BQ3,-6)</f>
        <v>182</v>
      </c>
      <c r="BR1" s="103">
        <f>+BQ1+BP1</f>
        <v>365</v>
      </c>
      <c r="BT1" s="103">
        <f>EOMONTH(BT3,0)-EOMONTH(BT3,-6)</f>
        <v>183</v>
      </c>
      <c r="BU1" s="103">
        <f>EOMONTH(BU3,0)-EOMONTH(BU3,-6)</f>
        <v>183</v>
      </c>
      <c r="BV1" s="103">
        <f>+BU1+BT1</f>
        <v>366</v>
      </c>
      <c r="BX1" s="103">
        <f>EOMONTH(BX3,0)-EOMONTH(BX3,-6)</f>
        <v>183</v>
      </c>
      <c r="BY1" s="103">
        <f>EOMONTH(BY3,0)-EOMONTH(BY3,-6)</f>
        <v>182</v>
      </c>
      <c r="BZ1" s="103">
        <f>+BY1+BX1</f>
        <v>365</v>
      </c>
      <c r="CB1" s="103">
        <f>EOMONTH(CB3,0)-EOMONTH(CB3,-6)</f>
        <v>183</v>
      </c>
      <c r="CC1" s="103">
        <f>EOMONTH(CC3,0)-EOMONTH(CC3,-6)</f>
        <v>182</v>
      </c>
      <c r="CD1" s="103">
        <f>+CC1+CB1</f>
        <v>365</v>
      </c>
      <c r="CE1" s="115"/>
      <c r="CF1" s="103">
        <f>EOMONTH(CF3,0)-EOMONTH(CF3,-6)</f>
        <v>183</v>
      </c>
      <c r="CG1" s="103">
        <f>EOMONTH(CG3,0)-EOMONTH(CG3,-6)</f>
        <v>182</v>
      </c>
      <c r="CH1" s="103">
        <f>+CG1+CF1</f>
        <v>365</v>
      </c>
      <c r="CI1" s="115"/>
      <c r="CJ1" s="103">
        <f>EOMONTH(CJ3,0)-EOMONTH(CJ3,-6)</f>
        <v>183</v>
      </c>
      <c r="CK1" s="103">
        <f>EOMONTH(CK3,0)-EOMONTH(CK3,-6)</f>
        <v>183</v>
      </c>
      <c r="CL1" s="103">
        <f>+CK1+CJ1</f>
        <v>366</v>
      </c>
      <c r="CM1" s="115"/>
      <c r="CN1" s="103">
        <f>EOMONTH(CN3,0)-EOMONTH(CN3,-6)</f>
        <v>183</v>
      </c>
      <c r="CO1" s="103">
        <f>EOMONTH(CO3,0)-EOMONTH(CO3,-6)</f>
        <v>182</v>
      </c>
      <c r="CP1" s="103">
        <f>+CO1+CN1</f>
        <v>365</v>
      </c>
      <c r="CQ1" s="115"/>
      <c r="CR1" s="103">
        <f>EOMONTH(CR3,0)-EOMONTH(CR3,-6)</f>
        <v>183</v>
      </c>
      <c r="CS1" s="103">
        <f>EOMONTH(CS3,0)-EOMONTH(CS3,-6)</f>
        <v>182</v>
      </c>
      <c r="CT1" s="103">
        <f>+CS1+CR1</f>
        <v>365</v>
      </c>
      <c r="CU1" s="819">
        <f t="shared" ref="CU1:CU2" si="0">CT158</f>
        <v>1683</v>
      </c>
      <c r="CV1" s="103">
        <f>EOMONTH(CV3,0)-EOMONTH(CV3,-6)</f>
        <v>183</v>
      </c>
      <c r="CW1" s="103">
        <f>EOMONTH(CW3,0)-EOMONTH(CW3,-6)</f>
        <v>182</v>
      </c>
      <c r="CX1" s="103">
        <f>+CW1+CV1</f>
        <v>365</v>
      </c>
      <c r="CZ1" s="103">
        <f>EOMONTH(CZ3,0)-EOMONTH(CZ3,-6)</f>
        <v>183</v>
      </c>
      <c r="DA1" s="103">
        <f>EOMONTH(DA3,0)-EOMONTH(DA3,-6)</f>
        <v>183</v>
      </c>
      <c r="DB1" s="103">
        <f>+DA1+CZ1</f>
        <v>366</v>
      </c>
      <c r="DD1" s="103">
        <f>EOMONTH(DD3,0)-EOMONTH(DD3,-6)</f>
        <v>183</v>
      </c>
      <c r="DE1" s="103">
        <f>EOMONTH(DE3,0)-EOMONTH(DE3,-6)</f>
        <v>182</v>
      </c>
      <c r="DF1" s="103">
        <f>+DE1+DD1</f>
        <v>365</v>
      </c>
      <c r="DH1" s="103">
        <f>EOMONTH(DH3,0)-EOMONTH(DH3,-6)</f>
        <v>183</v>
      </c>
      <c r="DI1" s="103">
        <f>EOMONTH(DI3,0)-EOMONTH(DI3,-6)</f>
        <v>182</v>
      </c>
      <c r="DJ1" s="103">
        <f>+DI1+DH1</f>
        <v>365</v>
      </c>
      <c r="DL1" s="103">
        <f>EOMONTH(DL3,0)-EOMONTH(DL3,-6)</f>
        <v>183</v>
      </c>
      <c r="DM1" s="103">
        <f>EOMONTH(DM3,0)-EOMONTH(DM3,-6)</f>
        <v>182</v>
      </c>
      <c r="DN1" s="103">
        <f>+DM1+DL1</f>
        <v>365</v>
      </c>
      <c r="DP1" s="103">
        <f>EOMONTH(DP3,0)-EOMONTH(DP3,-6)</f>
        <v>183</v>
      </c>
      <c r="DQ1" s="103">
        <f>EOMONTH(DQ3,0)-EOMONTH(DQ3,-6)</f>
        <v>183</v>
      </c>
      <c r="DR1" s="103">
        <f>+DQ1+DP1</f>
        <v>366</v>
      </c>
      <c r="JM1"/>
    </row>
    <row r="2" spans="1:273" s="103" customFormat="1">
      <c r="AV2" s="103">
        <f>+AX1</f>
        <v>365</v>
      </c>
      <c r="AW2" s="103">
        <f>+AX1</f>
        <v>365</v>
      </c>
      <c r="AX2" s="103">
        <f>+AX1+AY1</f>
        <v>365</v>
      </c>
      <c r="AZ2" s="103">
        <f>+BB1</f>
        <v>365</v>
      </c>
      <c r="BA2" s="103">
        <f>+BB1</f>
        <v>365</v>
      </c>
      <c r="BB2" s="103">
        <f>+BB1+BC1</f>
        <v>365</v>
      </c>
      <c r="BD2" s="103">
        <f>+BF1</f>
        <v>366</v>
      </c>
      <c r="BE2" s="103">
        <f>+BF1</f>
        <v>366</v>
      </c>
      <c r="BF2" s="103">
        <f>+BF1+BG1</f>
        <v>366</v>
      </c>
      <c r="BH2" s="103">
        <f>+BJ1</f>
        <v>365</v>
      </c>
      <c r="BI2" s="103">
        <f>+BJ1</f>
        <v>365</v>
      </c>
      <c r="BJ2" s="103">
        <f>+BJ1+BK1</f>
        <v>365</v>
      </c>
      <c r="BL2" s="103">
        <f>+BN1</f>
        <v>365</v>
      </c>
      <c r="BM2" s="103">
        <f>+BN1</f>
        <v>365</v>
      </c>
      <c r="BN2" s="103">
        <f>+BN1+BO1</f>
        <v>365</v>
      </c>
      <c r="BP2" s="103">
        <f>+BR1</f>
        <v>365</v>
      </c>
      <c r="BQ2" s="103">
        <f>+BR1</f>
        <v>365</v>
      </c>
      <c r="BR2" s="103">
        <f>+BR1+BS1</f>
        <v>365</v>
      </c>
      <c r="BT2" s="103">
        <f>+BV1</f>
        <v>366</v>
      </c>
      <c r="BU2" s="103">
        <f>+BV1</f>
        <v>366</v>
      </c>
      <c r="BV2" s="103">
        <f>+BV1+BW1</f>
        <v>366</v>
      </c>
      <c r="BX2" s="103">
        <f>+BZ1</f>
        <v>365</v>
      </c>
      <c r="BY2" s="103">
        <f>+BZ1</f>
        <v>365</v>
      </c>
      <c r="BZ2" s="103">
        <f>+BZ1+CA1</f>
        <v>365</v>
      </c>
      <c r="CB2" s="103">
        <f>+CD1</f>
        <v>365</v>
      </c>
      <c r="CC2" s="103">
        <f>+CD1</f>
        <v>365</v>
      </c>
      <c r="CD2" s="103">
        <f>+CD1+CE1</f>
        <v>365</v>
      </c>
      <c r="CE2" s="115"/>
      <c r="CF2" s="103">
        <f>+CH1</f>
        <v>365</v>
      </c>
      <c r="CG2" s="103">
        <f>+CH1</f>
        <v>365</v>
      </c>
      <c r="CH2" s="103">
        <f>+CH1+CI1</f>
        <v>365</v>
      </c>
      <c r="CI2" s="115"/>
      <c r="CJ2" s="103">
        <f>+CL1</f>
        <v>366</v>
      </c>
      <c r="CK2" s="103">
        <f>+CL1</f>
        <v>366</v>
      </c>
      <c r="CL2" s="103">
        <f>+CL1+CM1</f>
        <v>366</v>
      </c>
      <c r="CM2" s="115"/>
      <c r="CN2" s="103">
        <f>+CP1</f>
        <v>365</v>
      </c>
      <c r="CO2" s="103">
        <f>+CP1</f>
        <v>365</v>
      </c>
      <c r="CP2" s="103">
        <f>+CP1</f>
        <v>365</v>
      </c>
      <c r="CQ2" s="115"/>
      <c r="CR2" s="103">
        <f>+CT1</f>
        <v>365</v>
      </c>
      <c r="CS2" s="103">
        <f>+CT1</f>
        <v>365</v>
      </c>
      <c r="CT2" s="103">
        <f>+CT1</f>
        <v>365</v>
      </c>
      <c r="CU2" s="819">
        <f t="shared" si="0"/>
        <v>1088</v>
      </c>
      <c r="CV2" s="103">
        <f>+CX1</f>
        <v>365</v>
      </c>
      <c r="CW2" s="103">
        <f>+CX1</f>
        <v>365</v>
      </c>
      <c r="CX2" s="103">
        <f>+CX1</f>
        <v>365</v>
      </c>
      <c r="CZ2" s="103">
        <f>+DB1</f>
        <v>366</v>
      </c>
      <c r="DA2" s="103">
        <f>+DB1</f>
        <v>366</v>
      </c>
      <c r="DB2" s="103">
        <f>+DB1</f>
        <v>366</v>
      </c>
      <c r="DD2" s="103">
        <f>+DF1</f>
        <v>365</v>
      </c>
      <c r="DE2" s="103">
        <f>+DF1</f>
        <v>365</v>
      </c>
      <c r="DF2" s="103">
        <f>+DF1</f>
        <v>365</v>
      </c>
      <c r="DH2" s="103">
        <f>+DJ1</f>
        <v>365</v>
      </c>
      <c r="DI2" s="103">
        <f>+DJ1</f>
        <v>365</v>
      </c>
      <c r="DJ2" s="103">
        <f>+DJ1</f>
        <v>365</v>
      </c>
      <c r="DL2" s="103">
        <f>+DN1</f>
        <v>365</v>
      </c>
      <c r="DM2" s="103">
        <f>+DN1</f>
        <v>365</v>
      </c>
      <c r="DN2" s="103">
        <f>+DN1</f>
        <v>365</v>
      </c>
      <c r="DP2" s="103">
        <f>+DR1</f>
        <v>366</v>
      </c>
      <c r="DQ2" s="103">
        <f>+DR1</f>
        <v>366</v>
      </c>
      <c r="DR2" s="103">
        <f>+DR1</f>
        <v>366</v>
      </c>
      <c r="JM2"/>
    </row>
    <row r="3" spans="1:273" s="103" customFormat="1">
      <c r="D3" s="613">
        <v>36404</v>
      </c>
      <c r="E3" s="613">
        <v>36586</v>
      </c>
      <c r="F3" s="613"/>
      <c r="G3" s="613"/>
      <c r="H3" s="613">
        <v>36770</v>
      </c>
      <c r="I3" s="613">
        <v>36951</v>
      </c>
      <c r="J3" s="613"/>
      <c r="K3" s="613"/>
      <c r="L3" s="613">
        <v>37135</v>
      </c>
      <c r="M3" s="613">
        <v>37316</v>
      </c>
      <c r="N3" s="613"/>
      <c r="O3" s="613"/>
      <c r="P3" s="613">
        <v>37500</v>
      </c>
      <c r="Q3" s="613">
        <v>37681</v>
      </c>
      <c r="R3" s="613"/>
      <c r="S3" s="613"/>
      <c r="T3" s="613">
        <v>37865</v>
      </c>
      <c r="U3" s="613">
        <v>38047</v>
      </c>
      <c r="V3" s="613"/>
      <c r="W3" s="613"/>
      <c r="X3" s="613">
        <v>38231</v>
      </c>
      <c r="Y3" s="613">
        <v>38412</v>
      </c>
      <c r="Z3" s="613"/>
      <c r="AA3" s="613"/>
      <c r="AB3" s="613">
        <v>38596</v>
      </c>
      <c r="AC3" s="613">
        <v>38777</v>
      </c>
      <c r="AD3" s="613"/>
      <c r="AE3" s="613"/>
      <c r="AF3" s="613">
        <v>38961</v>
      </c>
      <c r="AG3" s="613">
        <v>39142</v>
      </c>
      <c r="AH3" s="613"/>
      <c r="AI3" s="613"/>
      <c r="AJ3" s="613">
        <v>39326</v>
      </c>
      <c r="AK3" s="613">
        <v>39508</v>
      </c>
      <c r="AL3" s="613"/>
      <c r="AM3" s="613"/>
      <c r="AN3" s="613">
        <v>39355</v>
      </c>
      <c r="AO3" s="613">
        <f>DATE(YEAR(AN3),MONTH(AN3)+6,1)</f>
        <v>39508</v>
      </c>
      <c r="AP3" s="613"/>
      <c r="AQ3" s="613"/>
      <c r="AR3" s="613">
        <f>DATE(YEAR(AO3),MONTH(AO3)+6,1)</f>
        <v>39692</v>
      </c>
      <c r="AS3" s="613">
        <f>DATE(YEAR(AR3),MONTH(AR3)+6,1)</f>
        <v>39873</v>
      </c>
      <c r="AT3" s="613"/>
      <c r="AU3" s="613"/>
      <c r="AV3" s="613">
        <f>DATE(YEAR(AS3),MONTH(AS3)+6,1)</f>
        <v>40057</v>
      </c>
      <c r="AW3" s="613">
        <f>DATE(YEAR(AV3),MONTH(AV3)+6,1)</f>
        <v>40238</v>
      </c>
      <c r="AX3" s="613"/>
      <c r="AY3" s="613"/>
      <c r="AZ3" s="613">
        <f>DATE(YEAR(AW3),MONTH(AW3)+6,1)</f>
        <v>40422</v>
      </c>
      <c r="BA3" s="613">
        <f>DATE(YEAR(AZ3),MONTH(AZ3)+6,1)</f>
        <v>40603</v>
      </c>
      <c r="BB3" s="613"/>
      <c r="BC3" s="613"/>
      <c r="BD3" s="613">
        <f>DATE(YEAR(BA3),MONTH(BA3)+6,1)</f>
        <v>40787</v>
      </c>
      <c r="BE3" s="613">
        <f>DATE(YEAR(BD3),MONTH(BD3)+6,1)</f>
        <v>40969</v>
      </c>
      <c r="BF3" s="613"/>
      <c r="BG3" s="613"/>
      <c r="BH3" s="613">
        <f>DATE(YEAR(BE3),MONTH(BE3)+6,1)</f>
        <v>41153</v>
      </c>
      <c r="BI3" s="613">
        <f>DATE(YEAR(BH3),MONTH(BH3)+6,1)</f>
        <v>41334</v>
      </c>
      <c r="BJ3" s="613"/>
      <c r="BK3" s="613"/>
      <c r="BL3" s="613">
        <f>DATE(YEAR(BI3),MONTH(BI3)+6,1)</f>
        <v>41518</v>
      </c>
      <c r="BM3" s="613">
        <f>DATE(YEAR(BL3),MONTH(BL3)+6,1)</f>
        <v>41699</v>
      </c>
      <c r="BN3" s="613"/>
      <c r="BO3" s="613"/>
      <c r="BP3" s="613">
        <f>DATE(YEAR(BM3),MONTH(BM3)+6,1)</f>
        <v>41883</v>
      </c>
      <c r="BQ3" s="613">
        <f>DATE(YEAR(BP3),MONTH(BP3)+6,1)</f>
        <v>42064</v>
      </c>
      <c r="BR3" s="613"/>
      <c r="BS3" s="613"/>
      <c r="BT3" s="613">
        <f>DATE(YEAR(BQ3),MONTH(BQ3)+6,1)</f>
        <v>42248</v>
      </c>
      <c r="BU3" s="613">
        <f>DATE(YEAR(BT3),MONTH(BT3)+6,1)</f>
        <v>42430</v>
      </c>
      <c r="BV3" s="613"/>
      <c r="BW3" s="613"/>
      <c r="BX3" s="613">
        <f>DATE(YEAR(BU3),MONTH(BU3)+6,1)</f>
        <v>42614</v>
      </c>
      <c r="BY3" s="613">
        <f>DATE(YEAR(BX3),MONTH(BX3)+6,1)</f>
        <v>42795</v>
      </c>
      <c r="BZ3" s="613"/>
      <c r="CA3" s="613"/>
      <c r="CB3" s="613">
        <f>DATE(YEAR(BY3),MONTH(BY3)+6,1)</f>
        <v>42979</v>
      </c>
      <c r="CC3" s="613">
        <f>DATE(YEAR(CB3),MONTH(CB3)+6,1)</f>
        <v>43160</v>
      </c>
      <c r="CD3" s="613"/>
      <c r="CE3" s="1605"/>
      <c r="CF3" s="613">
        <f>DATE(YEAR(CC3),MONTH(CC3)+6,1)</f>
        <v>43344</v>
      </c>
      <c r="CG3" s="613">
        <f>DATE(YEAR(CF3),MONTH(CF3)+6,1)</f>
        <v>43525</v>
      </c>
      <c r="CH3" s="613"/>
      <c r="CI3" s="1605"/>
      <c r="CJ3" s="613">
        <f>DATE(YEAR(CG3),MONTH(CG3)+6,1)</f>
        <v>43709</v>
      </c>
      <c r="CK3" s="613">
        <f>DATE(YEAR(CJ3),MONTH(CJ3)+6,1)</f>
        <v>43891</v>
      </c>
      <c r="CL3" s="613"/>
      <c r="CM3" s="1605"/>
      <c r="CN3" s="613">
        <f>EOMONTH(CK3,6)</f>
        <v>44104</v>
      </c>
      <c r="CO3" s="613">
        <f>EOMONTH(CN3,6)</f>
        <v>44286</v>
      </c>
      <c r="CP3" s="613"/>
      <c r="CQ3" s="1605"/>
      <c r="CR3" s="613">
        <f>EOMONTH(CO3,6)</f>
        <v>44469</v>
      </c>
      <c r="CS3" s="613">
        <f>EOMONTH(CR3,6)</f>
        <v>44651</v>
      </c>
      <c r="CT3" s="613"/>
      <c r="CU3" s="613"/>
      <c r="CV3" s="613">
        <f>EOMONTH(CS3,6)</f>
        <v>44834</v>
      </c>
      <c r="CW3" s="613">
        <f>EOMONTH(CV3,6)</f>
        <v>45016</v>
      </c>
      <c r="CX3" s="613"/>
      <c r="CY3" s="613"/>
      <c r="CZ3" s="2098">
        <f>EOMONTH(CW3,6)-1</f>
        <v>45198</v>
      </c>
      <c r="DA3" s="2098">
        <f>EOMONTH(CZ3,6)-2</f>
        <v>45380</v>
      </c>
      <c r="DB3" s="613"/>
      <c r="DC3" s="613"/>
      <c r="DD3" s="613">
        <f>EOMONTH(DA3,6)</f>
        <v>45565</v>
      </c>
      <c r="DE3" s="613">
        <f>EOMONTH(DD3,6)</f>
        <v>45747</v>
      </c>
      <c r="DF3" s="613"/>
      <c r="DG3" s="613"/>
      <c r="DH3" s="613">
        <f>EOMONTH(DE3,6)</f>
        <v>45930</v>
      </c>
      <c r="DI3" s="613">
        <f>EOMONTH(DH3,6)</f>
        <v>46112</v>
      </c>
      <c r="DJ3" s="613"/>
      <c r="DK3" s="613"/>
      <c r="DL3" s="613">
        <f>EOMONTH(DI3,6)</f>
        <v>46295</v>
      </c>
      <c r="DM3" s="613">
        <f>EOMONTH(DL3,6)</f>
        <v>46477</v>
      </c>
      <c r="DN3" s="613"/>
      <c r="DO3" s="613"/>
      <c r="DP3" s="613">
        <f>EOMONTH(DM3,6)</f>
        <v>46660</v>
      </c>
      <c r="DQ3" s="613">
        <f>EOMONTH(DP3,6)</f>
        <v>46843</v>
      </c>
      <c r="DR3" s="613"/>
      <c r="DS3" s="613"/>
      <c r="DT3" s="613"/>
      <c r="DU3" s="613"/>
      <c r="DV3" s="613"/>
      <c r="DW3" s="613"/>
      <c r="DX3" s="613"/>
      <c r="DY3" s="613"/>
      <c r="DZ3" s="613"/>
      <c r="EA3" s="613"/>
      <c r="EB3" s="613"/>
      <c r="EC3" s="613"/>
      <c r="ED3" s="613"/>
      <c r="EE3" s="613"/>
      <c r="EF3" s="613"/>
      <c r="EG3" s="613"/>
      <c r="JM3"/>
    </row>
    <row r="4" spans="1:273" s="291" customFormat="1" ht="13.5" customHeight="1">
      <c r="A4" s="1571" t="s">
        <v>622</v>
      </c>
      <c r="B4" s="1572"/>
      <c r="C4" s="1573"/>
      <c r="D4" s="1574" t="s">
        <v>623</v>
      </c>
      <c r="E4" s="1574" t="s">
        <v>624</v>
      </c>
      <c r="F4" s="1572" t="s">
        <v>625</v>
      </c>
      <c r="G4" s="1572" t="s">
        <v>626</v>
      </c>
      <c r="H4" s="1574" t="s">
        <v>627</v>
      </c>
      <c r="I4" s="1574" t="s">
        <v>628</v>
      </c>
      <c r="J4" s="1572" t="s">
        <v>629</v>
      </c>
      <c r="K4" s="1572" t="s">
        <v>626</v>
      </c>
      <c r="L4" s="1574" t="s">
        <v>630</v>
      </c>
      <c r="M4" s="1574" t="s">
        <v>631</v>
      </c>
      <c r="N4" s="1572" t="s">
        <v>632</v>
      </c>
      <c r="O4" s="1572" t="s">
        <v>626</v>
      </c>
      <c r="P4" s="1574" t="s">
        <v>633</v>
      </c>
      <c r="Q4" s="1574" t="s">
        <v>634</v>
      </c>
      <c r="R4" s="1572" t="s">
        <v>635</v>
      </c>
      <c r="S4" s="1572" t="s">
        <v>626</v>
      </c>
      <c r="T4" s="1574" t="s">
        <v>636</v>
      </c>
      <c r="U4" s="1574" t="s">
        <v>637</v>
      </c>
      <c r="V4" s="1572" t="s">
        <v>638</v>
      </c>
      <c r="W4" s="1572" t="s">
        <v>626</v>
      </c>
      <c r="X4" s="1574" t="s">
        <v>639</v>
      </c>
      <c r="Y4" s="1574" t="s">
        <v>640</v>
      </c>
      <c r="Z4" s="1575">
        <v>2005</v>
      </c>
      <c r="AA4" s="1576" t="s">
        <v>626</v>
      </c>
      <c r="AB4" s="1574" t="s">
        <v>639</v>
      </c>
      <c r="AC4" s="1574" t="s">
        <v>640</v>
      </c>
      <c r="AD4" s="1572" t="s">
        <v>641</v>
      </c>
      <c r="AE4" s="1576" t="s">
        <v>626</v>
      </c>
      <c r="AF4" s="1574" t="s">
        <v>642</v>
      </c>
      <c r="AG4" s="1574" t="s">
        <v>643</v>
      </c>
      <c r="AH4" s="1572" t="s">
        <v>644</v>
      </c>
      <c r="AI4" s="1576" t="s">
        <v>626</v>
      </c>
      <c r="AJ4" s="1572" t="s">
        <v>645</v>
      </c>
      <c r="AK4" s="1572" t="s">
        <v>646</v>
      </c>
      <c r="AL4" s="1572" t="s">
        <v>647</v>
      </c>
      <c r="AM4" s="1576" t="s">
        <v>626</v>
      </c>
      <c r="AN4" s="1572" t="s">
        <v>609</v>
      </c>
      <c r="AO4" s="1572" t="s">
        <v>610</v>
      </c>
      <c r="AP4" s="1572" t="s">
        <v>611</v>
      </c>
      <c r="AQ4" s="1576" t="s">
        <v>626</v>
      </c>
      <c r="AR4" s="1572" t="s">
        <v>573</v>
      </c>
      <c r="AS4" s="1572" t="s">
        <v>574</v>
      </c>
      <c r="AT4" s="1572" t="s">
        <v>583</v>
      </c>
      <c r="AU4" s="1576" t="s">
        <v>626</v>
      </c>
      <c r="AV4" s="1572" t="s">
        <v>575</v>
      </c>
      <c r="AW4" s="1572" t="s">
        <v>582</v>
      </c>
      <c r="AX4" s="1572" t="s">
        <v>584</v>
      </c>
      <c r="AY4" s="1576" t="s">
        <v>626</v>
      </c>
      <c r="AZ4" s="1572" t="s">
        <v>603</v>
      </c>
      <c r="BA4" s="1572" t="s">
        <v>813</v>
      </c>
      <c r="BB4" s="1572" t="s">
        <v>814</v>
      </c>
      <c r="BC4" s="1576" t="s">
        <v>626</v>
      </c>
      <c r="BD4" s="1572" t="s">
        <v>826</v>
      </c>
      <c r="BE4" s="1572" t="s">
        <v>885</v>
      </c>
      <c r="BF4" s="1572" t="s">
        <v>886</v>
      </c>
      <c r="BG4" s="1576" t="s">
        <v>626</v>
      </c>
      <c r="BH4" s="1572" t="s">
        <v>893</v>
      </c>
      <c r="BI4" s="1572" t="s">
        <v>901</v>
      </c>
      <c r="BJ4" s="1572" t="s">
        <v>902</v>
      </c>
      <c r="BK4" s="1572" t="s">
        <v>626</v>
      </c>
      <c r="BL4" s="1572" t="s">
        <v>69</v>
      </c>
      <c r="BM4" s="1572" t="s">
        <v>1</v>
      </c>
      <c r="BN4" s="1572" t="s">
        <v>2</v>
      </c>
      <c r="BO4" s="1572" t="s">
        <v>626</v>
      </c>
      <c r="BP4" s="1572" t="s">
        <v>944</v>
      </c>
      <c r="BQ4" s="1572" t="s">
        <v>894</v>
      </c>
      <c r="BR4" s="1572" t="s">
        <v>501</v>
      </c>
      <c r="BS4" s="1572" t="s">
        <v>626</v>
      </c>
      <c r="BT4" s="1572" t="s">
        <v>961</v>
      </c>
      <c r="BU4" s="1572" t="s">
        <v>976</v>
      </c>
      <c r="BV4" s="1572" t="s">
        <v>977</v>
      </c>
      <c r="BW4" s="1576" t="s">
        <v>626</v>
      </c>
      <c r="BX4" s="1572" t="s">
        <v>986</v>
      </c>
      <c r="BY4" s="1572" t="s">
        <v>1017</v>
      </c>
      <c r="BZ4" s="1572" t="s">
        <v>1018</v>
      </c>
      <c r="CA4" s="1576" t="s">
        <v>626</v>
      </c>
      <c r="CB4" s="1572" t="s">
        <v>1039</v>
      </c>
      <c r="CC4" s="1572" t="s">
        <v>1065</v>
      </c>
      <c r="CD4" s="1572" t="s">
        <v>1066</v>
      </c>
      <c r="CE4" s="1576" t="s">
        <v>626</v>
      </c>
      <c r="CF4" s="1572" t="s">
        <v>1152</v>
      </c>
      <c r="CG4" s="1572" t="s">
        <v>1166</v>
      </c>
      <c r="CH4" s="1572" t="s">
        <v>1167</v>
      </c>
      <c r="CI4" s="1576" t="s">
        <v>626</v>
      </c>
      <c r="CJ4" s="1572" t="s">
        <v>1185</v>
      </c>
      <c r="CK4" s="1572" t="s">
        <v>1209</v>
      </c>
      <c r="CL4" s="1572" t="s">
        <v>1204</v>
      </c>
      <c r="CM4" s="1576" t="s">
        <v>626</v>
      </c>
      <c r="CN4" s="1572" t="s">
        <v>1233</v>
      </c>
      <c r="CO4" s="1572" t="s">
        <v>1240</v>
      </c>
      <c r="CP4" s="1572" t="s">
        <v>1203</v>
      </c>
      <c r="CQ4" s="1576" t="s">
        <v>626</v>
      </c>
      <c r="CR4" s="1572" t="s">
        <v>1255</v>
      </c>
      <c r="CS4" s="1572" t="s">
        <v>1268</v>
      </c>
      <c r="CT4" s="1572" t="s">
        <v>1205</v>
      </c>
      <c r="CU4" s="1576" t="s">
        <v>626</v>
      </c>
      <c r="CV4" s="1572" t="s">
        <v>1357</v>
      </c>
      <c r="CW4" s="1572" t="s">
        <v>1365</v>
      </c>
      <c r="CX4" s="1572" t="s">
        <v>1241</v>
      </c>
      <c r="CY4" s="1576" t="s">
        <v>626</v>
      </c>
      <c r="CZ4" s="1572" t="s">
        <v>1375</v>
      </c>
      <c r="DA4" s="1572" t="s">
        <v>1383</v>
      </c>
      <c r="DB4" s="1572" t="s">
        <v>1292</v>
      </c>
      <c r="DC4" s="1576" t="s">
        <v>626</v>
      </c>
      <c r="DD4" s="1572" t="s">
        <v>1400</v>
      </c>
      <c r="DE4" s="1572" t="s">
        <v>1424</v>
      </c>
      <c r="DF4" s="1572" t="s">
        <v>1369</v>
      </c>
      <c r="DG4" s="1576" t="s">
        <v>626</v>
      </c>
      <c r="DH4" s="1572" t="s">
        <v>1454</v>
      </c>
      <c r="DI4" s="614" t="s">
        <v>1366</v>
      </c>
      <c r="DJ4" s="614" t="s">
        <v>1019</v>
      </c>
      <c r="DK4" s="615" t="s">
        <v>626</v>
      </c>
      <c r="DL4" s="614" t="s">
        <v>1376</v>
      </c>
      <c r="DM4" s="614" t="s">
        <v>1377</v>
      </c>
      <c r="DN4" s="614" t="s">
        <v>1020</v>
      </c>
      <c r="DO4" s="615" t="s">
        <v>626</v>
      </c>
      <c r="DP4" s="614" t="s">
        <v>1421</v>
      </c>
      <c r="DQ4" s="614" t="s">
        <v>1422</v>
      </c>
      <c r="DR4" s="614" t="s">
        <v>1423</v>
      </c>
      <c r="DS4" s="615" t="s">
        <v>626</v>
      </c>
      <c r="DT4" s="615"/>
      <c r="DU4" s="614"/>
      <c r="DV4" s="614"/>
      <c r="DW4" s="614"/>
      <c r="DX4" s="614"/>
      <c r="DY4" s="615"/>
      <c r="DZ4" s="614"/>
      <c r="EA4" s="614"/>
      <c r="EB4" s="614"/>
      <c r="EC4" s="615"/>
      <c r="ED4" s="614"/>
      <c r="EE4" s="614"/>
      <c r="EF4" s="614"/>
      <c r="EG4" s="615"/>
      <c r="EH4" s="330"/>
      <c r="EI4" s="330"/>
      <c r="EJ4" s="330"/>
      <c r="EK4" s="330"/>
      <c r="EL4" s="330"/>
      <c r="EM4" s="330"/>
      <c r="EN4" s="330"/>
      <c r="EO4" s="330"/>
      <c r="EP4" s="330"/>
      <c r="JM4"/>
    </row>
    <row r="5" spans="1:273" s="308" customFormat="1" ht="13.5" customHeight="1">
      <c r="A5" s="1577" t="s">
        <v>648</v>
      </c>
      <c r="B5" s="1578"/>
      <c r="C5" s="1578"/>
      <c r="D5" s="1579" t="s">
        <v>649</v>
      </c>
      <c r="E5" s="1579" t="s">
        <v>649</v>
      </c>
      <c r="F5" s="1579" t="s">
        <v>649</v>
      </c>
      <c r="G5" s="1578"/>
      <c r="H5" s="1579" t="s">
        <v>649</v>
      </c>
      <c r="I5" s="1579" t="s">
        <v>649</v>
      </c>
      <c r="J5" s="1579" t="s">
        <v>649</v>
      </c>
      <c r="K5" s="1578"/>
      <c r="L5" s="1579" t="s">
        <v>649</v>
      </c>
      <c r="M5" s="1579" t="s">
        <v>649</v>
      </c>
      <c r="N5" s="1579" t="s">
        <v>649</v>
      </c>
      <c r="O5" s="1578"/>
      <c r="P5" s="1579" t="s">
        <v>649</v>
      </c>
      <c r="Q5" s="1579" t="s">
        <v>649</v>
      </c>
      <c r="R5" s="1579" t="s">
        <v>649</v>
      </c>
      <c r="S5" s="1578"/>
      <c r="T5" s="1579" t="s">
        <v>649</v>
      </c>
      <c r="U5" s="1579" t="s">
        <v>649</v>
      </c>
      <c r="V5" s="1579" t="s">
        <v>649</v>
      </c>
      <c r="W5" s="1578"/>
      <c r="X5" s="1579" t="s">
        <v>649</v>
      </c>
      <c r="Y5" s="1579" t="s">
        <v>649</v>
      </c>
      <c r="Z5" s="1579" t="s">
        <v>649</v>
      </c>
      <c r="AA5" s="1580"/>
      <c r="AB5" s="1579" t="s">
        <v>650</v>
      </c>
      <c r="AC5" s="1579" t="s">
        <v>650</v>
      </c>
      <c r="AD5" s="1579" t="s">
        <v>650</v>
      </c>
      <c r="AE5" s="1580"/>
      <c r="AF5" s="1579" t="s">
        <v>650</v>
      </c>
      <c r="AG5" s="1579" t="s">
        <v>650</v>
      </c>
      <c r="AH5" s="1579" t="s">
        <v>650</v>
      </c>
      <c r="AI5" s="1580"/>
      <c r="AJ5" s="1579" t="s">
        <v>650</v>
      </c>
      <c r="AK5" s="1579" t="s">
        <v>650</v>
      </c>
      <c r="AL5" s="1579" t="s">
        <v>650</v>
      </c>
      <c r="AM5" s="1580"/>
      <c r="AN5" s="1579" t="s">
        <v>650</v>
      </c>
      <c r="AO5" s="1579" t="s">
        <v>650</v>
      </c>
      <c r="AP5" s="1579" t="s">
        <v>650</v>
      </c>
      <c r="AQ5" s="1580"/>
      <c r="AR5" s="1579" t="s">
        <v>650</v>
      </c>
      <c r="AS5" s="1579" t="s">
        <v>650</v>
      </c>
      <c r="AT5" s="1579" t="s">
        <v>650</v>
      </c>
      <c r="AU5" s="1580"/>
      <c r="AV5" s="1579" t="s">
        <v>650</v>
      </c>
      <c r="AW5" s="1579" t="s">
        <v>650</v>
      </c>
      <c r="AX5" s="1579" t="s">
        <v>650</v>
      </c>
      <c r="AY5" s="1580"/>
      <c r="AZ5" s="1579" t="s">
        <v>650</v>
      </c>
      <c r="BA5" s="1579" t="s">
        <v>650</v>
      </c>
      <c r="BB5" s="1579" t="s">
        <v>650</v>
      </c>
      <c r="BC5" s="1580"/>
      <c r="BD5" s="1579" t="s">
        <v>650</v>
      </c>
      <c r="BE5" s="1579" t="s">
        <v>650</v>
      </c>
      <c r="BF5" s="1579" t="s">
        <v>650</v>
      </c>
      <c r="BG5" s="1580"/>
      <c r="BH5" s="1579" t="s">
        <v>650</v>
      </c>
      <c r="BI5" s="1579" t="s">
        <v>650</v>
      </c>
      <c r="BJ5" s="1579" t="s">
        <v>650</v>
      </c>
      <c r="BK5" s="1579"/>
      <c r="BL5" s="1579" t="s">
        <v>650</v>
      </c>
      <c r="BM5" s="1579" t="s">
        <v>650</v>
      </c>
      <c r="BN5" s="1579" t="s">
        <v>650</v>
      </c>
      <c r="BO5" s="1579"/>
      <c r="BP5" s="1579" t="s">
        <v>650</v>
      </c>
      <c r="BQ5" s="1579" t="s">
        <v>650</v>
      </c>
      <c r="BR5" s="1579" t="s">
        <v>650</v>
      </c>
      <c r="BS5" s="1579"/>
      <c r="BT5" s="1579" t="s">
        <v>650</v>
      </c>
      <c r="BU5" s="1579" t="s">
        <v>650</v>
      </c>
      <c r="BV5" s="1579" t="s">
        <v>650</v>
      </c>
      <c r="BW5" s="1580"/>
      <c r="BX5" s="1579" t="s">
        <v>650</v>
      </c>
      <c r="BY5" s="1579" t="s">
        <v>650</v>
      </c>
      <c r="BZ5" s="1579" t="s">
        <v>650</v>
      </c>
      <c r="CA5" s="1580"/>
      <c r="CB5" s="1579" t="s">
        <v>650</v>
      </c>
      <c r="CC5" s="1579" t="s">
        <v>650</v>
      </c>
      <c r="CD5" s="1579" t="s">
        <v>650</v>
      </c>
      <c r="CE5" s="1580"/>
      <c r="CF5" s="1579" t="s">
        <v>650</v>
      </c>
      <c r="CG5" s="1579" t="s">
        <v>650</v>
      </c>
      <c r="CH5" s="1579" t="s">
        <v>650</v>
      </c>
      <c r="CI5" s="1580"/>
      <c r="CJ5" s="1579" t="s">
        <v>650</v>
      </c>
      <c r="CK5" s="1579" t="s">
        <v>650</v>
      </c>
      <c r="CL5" s="1579" t="s">
        <v>650</v>
      </c>
      <c r="CM5" s="1580"/>
      <c r="CN5" s="1579" t="s">
        <v>650</v>
      </c>
      <c r="CO5" s="1579" t="s">
        <v>650</v>
      </c>
      <c r="CP5" s="1579" t="s">
        <v>650</v>
      </c>
      <c r="CQ5" s="1580"/>
      <c r="CR5" s="1579" t="s">
        <v>650</v>
      </c>
      <c r="CS5" s="1579" t="s">
        <v>650</v>
      </c>
      <c r="CT5" s="1579" t="s">
        <v>650</v>
      </c>
      <c r="CU5" s="1580"/>
      <c r="CV5" s="1579" t="s">
        <v>650</v>
      </c>
      <c r="CW5" s="1579" t="s">
        <v>650</v>
      </c>
      <c r="CX5" s="1579" t="s">
        <v>650</v>
      </c>
      <c r="CY5" s="1580"/>
      <c r="CZ5" s="1579" t="s">
        <v>650</v>
      </c>
      <c r="DA5" s="1579" t="s">
        <v>650</v>
      </c>
      <c r="DB5" s="1579" t="s">
        <v>650</v>
      </c>
      <c r="DC5" s="1580"/>
      <c r="DD5" s="1579" t="s">
        <v>650</v>
      </c>
      <c r="DE5" s="1579" t="s">
        <v>650</v>
      </c>
      <c r="DF5" s="1579" t="s">
        <v>650</v>
      </c>
      <c r="DG5" s="1580"/>
      <c r="DH5" s="1579" t="s">
        <v>650</v>
      </c>
      <c r="DI5" s="618" t="s">
        <v>650</v>
      </c>
      <c r="DJ5" s="618" t="s">
        <v>650</v>
      </c>
      <c r="DK5" s="619"/>
      <c r="DL5" s="618" t="s">
        <v>650</v>
      </c>
      <c r="DM5" s="618" t="s">
        <v>650</v>
      </c>
      <c r="DN5" s="618" t="s">
        <v>650</v>
      </c>
      <c r="DO5" s="618"/>
      <c r="DP5" s="618" t="s">
        <v>650</v>
      </c>
      <c r="DQ5" s="618" t="s">
        <v>650</v>
      </c>
      <c r="DR5" s="618" t="s">
        <v>650</v>
      </c>
      <c r="DS5" s="618"/>
      <c r="DT5" s="619"/>
      <c r="DU5" s="618"/>
      <c r="DV5" s="618"/>
      <c r="DW5" s="618"/>
      <c r="DX5" s="618"/>
      <c r="DY5" s="619"/>
      <c r="DZ5" s="618"/>
      <c r="EA5" s="618"/>
      <c r="EB5" s="618"/>
      <c r="EC5" s="619"/>
      <c r="ED5" s="618"/>
      <c r="EE5" s="618"/>
      <c r="EF5" s="618"/>
      <c r="EG5" s="619"/>
      <c r="EH5" s="317"/>
      <c r="EI5" s="317"/>
      <c r="EJ5" s="317"/>
      <c r="EK5" s="317"/>
      <c r="EL5" s="317"/>
      <c r="EM5" s="317"/>
      <c r="EN5" s="317"/>
      <c r="EO5" s="317"/>
      <c r="EP5" s="317"/>
      <c r="JM5"/>
    </row>
    <row r="7" spans="1:273" s="824" customFormat="1">
      <c r="A7" s="292" t="s">
        <v>601</v>
      </c>
      <c r="B7" s="319"/>
      <c r="AN7" s="319"/>
      <c r="AO7" s="319"/>
      <c r="AP7" s="319"/>
      <c r="AQ7" s="319"/>
      <c r="AR7" s="319"/>
      <c r="AS7" s="319"/>
      <c r="AT7" s="319"/>
      <c r="AU7" s="319"/>
      <c r="AV7" s="825"/>
      <c r="AW7" s="825"/>
      <c r="AX7" s="319"/>
      <c r="AY7" s="319"/>
      <c r="AZ7" s="826"/>
      <c r="BA7" s="826"/>
      <c r="BB7" s="826"/>
      <c r="BC7" s="319"/>
      <c r="BD7" s="826"/>
      <c r="BE7" s="826"/>
      <c r="BF7" s="826"/>
      <c r="BG7" s="319"/>
      <c r="BH7" s="826"/>
      <c r="BI7" s="826"/>
      <c r="BJ7" s="826"/>
      <c r="BK7" s="319"/>
      <c r="BL7" s="319"/>
      <c r="BM7" s="319"/>
      <c r="BN7" s="319"/>
      <c r="BO7" s="319"/>
      <c r="BP7" s="319"/>
      <c r="BQ7" s="319"/>
      <c r="BR7" s="319"/>
      <c r="BS7" s="319"/>
      <c r="BT7" s="319"/>
      <c r="BU7" s="319"/>
      <c r="BV7" s="319"/>
      <c r="BW7" s="319"/>
      <c r="BX7" s="319"/>
      <c r="BY7" s="319"/>
      <c r="BZ7" s="319"/>
      <c r="CA7" s="319"/>
      <c r="CB7" s="319"/>
      <c r="CC7" s="319"/>
      <c r="CD7" s="319"/>
      <c r="CE7" s="1086"/>
      <c r="CF7" s="319"/>
      <c r="CG7" s="319"/>
      <c r="CH7" s="319"/>
      <c r="CI7" s="1086"/>
      <c r="CJ7" s="319"/>
      <c r="CK7" s="319"/>
      <c r="CL7" s="319"/>
      <c r="CM7" s="1086"/>
      <c r="CN7" s="319"/>
      <c r="CO7" s="319"/>
      <c r="CP7" s="319"/>
      <c r="CQ7" s="1086"/>
      <c r="CR7" s="319"/>
      <c r="CS7" s="319"/>
      <c r="CT7" s="319"/>
      <c r="CU7" s="319"/>
      <c r="CV7" s="319"/>
      <c r="CW7" s="319"/>
      <c r="CX7" s="319"/>
      <c r="CY7" s="319"/>
      <c r="CZ7" s="319"/>
      <c r="DA7" s="319"/>
      <c r="DB7" s="319"/>
      <c r="DC7" s="319"/>
      <c r="DD7" s="319"/>
      <c r="DE7" s="319"/>
      <c r="DF7" s="319"/>
      <c r="DG7" s="319"/>
      <c r="DH7" s="319"/>
      <c r="DI7" s="319"/>
      <c r="DJ7" s="319"/>
      <c r="DK7" s="319"/>
      <c r="DL7" s="319"/>
      <c r="DM7" s="319"/>
      <c r="DN7" s="319"/>
      <c r="DO7" s="319"/>
      <c r="DP7" s="319"/>
      <c r="DQ7" s="319"/>
      <c r="DR7" s="319"/>
      <c r="DS7" s="319"/>
      <c r="DT7" s="319"/>
      <c r="DU7" s="319"/>
      <c r="DV7" s="319"/>
      <c r="DW7" s="319"/>
      <c r="DX7" s="319"/>
      <c r="DY7" s="319"/>
      <c r="DZ7" s="319"/>
      <c r="EA7" s="319"/>
      <c r="EB7" s="319"/>
      <c r="EC7" s="319"/>
      <c r="ED7" s="319"/>
      <c r="EE7" s="319"/>
      <c r="EF7" s="319"/>
      <c r="EG7" s="319"/>
      <c r="EH7" s="319"/>
      <c r="EI7" s="319"/>
      <c r="EJ7" s="319"/>
      <c r="EK7" s="319"/>
      <c r="EL7" s="319"/>
      <c r="EM7" s="319"/>
      <c r="EN7" s="319"/>
      <c r="EO7" s="319"/>
      <c r="EP7" s="319"/>
      <c r="FL7" s="827"/>
      <c r="FM7" s="827"/>
      <c r="FN7" s="827"/>
      <c r="FO7" s="827"/>
      <c r="FP7" s="827"/>
      <c r="FQ7" s="827"/>
      <c r="FR7" s="827"/>
      <c r="FS7" s="827"/>
      <c r="FT7" s="827"/>
      <c r="FU7" s="827"/>
      <c r="FV7" s="827"/>
      <c r="FW7" s="827"/>
      <c r="FX7" s="827"/>
      <c r="FY7" s="827"/>
      <c r="FZ7" s="827"/>
      <c r="GA7" s="827"/>
      <c r="GB7" s="827"/>
      <c r="GC7" s="827"/>
      <c r="GD7" s="827"/>
      <c r="GE7" s="827"/>
      <c r="GF7" s="827"/>
      <c r="GG7" s="827"/>
      <c r="GH7" s="827"/>
      <c r="GI7" s="827"/>
      <c r="GJ7" s="827"/>
      <c r="GK7" s="827"/>
      <c r="GL7" s="827"/>
      <c r="GM7" s="827"/>
      <c r="GN7" s="827"/>
      <c r="GO7" s="827"/>
      <c r="GP7" s="827"/>
      <c r="GQ7" s="827"/>
      <c r="GR7" s="827"/>
      <c r="GS7" s="827"/>
      <c r="GT7" s="827"/>
      <c r="GU7" s="827"/>
      <c r="GV7" s="827"/>
      <c r="GW7" s="827"/>
      <c r="GX7" s="827"/>
      <c r="GY7" s="827"/>
      <c r="GZ7" s="827"/>
      <c r="HA7" s="827"/>
      <c r="HB7" s="827"/>
      <c r="HC7" s="827"/>
      <c r="HD7" s="827"/>
      <c r="HE7" s="827"/>
      <c r="HF7" s="827"/>
      <c r="HG7" s="827"/>
      <c r="HH7" s="827"/>
      <c r="HI7" s="827"/>
      <c r="HJ7" s="827"/>
      <c r="HK7" s="827"/>
      <c r="HL7" s="827"/>
      <c r="HM7" s="827"/>
      <c r="HN7" s="827"/>
      <c r="HO7" s="827"/>
      <c r="HP7" s="827"/>
      <c r="HQ7" s="827"/>
      <c r="HR7" s="827"/>
      <c r="HS7" s="827"/>
      <c r="HT7" s="827"/>
      <c r="HU7" s="827"/>
      <c r="HV7" s="827"/>
      <c r="HW7" s="827"/>
      <c r="HX7" s="827"/>
      <c r="HY7" s="827"/>
      <c r="HZ7" s="827"/>
      <c r="IA7" s="827"/>
      <c r="IB7" s="827"/>
      <c r="IC7" s="827"/>
      <c r="ID7" s="827"/>
      <c r="IE7" s="827"/>
      <c r="IF7" s="827"/>
      <c r="IG7" s="827"/>
      <c r="IH7" s="827"/>
      <c r="II7" s="827"/>
      <c r="IJ7" s="827"/>
      <c r="IK7" s="827"/>
      <c r="IL7" s="827"/>
      <c r="IM7" s="827"/>
      <c r="IN7" s="827"/>
      <c r="IO7" s="827"/>
      <c r="IP7" s="827"/>
      <c r="IQ7" s="827"/>
      <c r="IR7" s="827"/>
      <c r="IS7" s="827"/>
      <c r="IT7" s="827"/>
      <c r="IU7" s="827"/>
      <c r="IV7" s="827"/>
      <c r="IW7" s="827"/>
      <c r="IX7" s="827"/>
      <c r="IY7" s="827"/>
      <c r="IZ7" s="827"/>
      <c r="JA7" s="827"/>
      <c r="JB7" s="827"/>
      <c r="JC7" s="827"/>
      <c r="JD7" s="827"/>
      <c r="JE7" s="827"/>
      <c r="JF7" s="827"/>
      <c r="JG7" s="827"/>
      <c r="JH7" s="827"/>
      <c r="JI7" s="827"/>
      <c r="JJ7" s="827"/>
      <c r="JK7" s="827"/>
      <c r="JL7" s="827"/>
      <c r="JM7"/>
    </row>
    <row r="8" spans="1:273">
      <c r="AN8" s="293"/>
      <c r="AO8" s="293"/>
      <c r="AR8" s="293"/>
      <c r="AS8" s="293"/>
      <c r="AV8" s="293"/>
      <c r="AW8" s="293"/>
      <c r="AZ8" s="293"/>
    </row>
    <row r="9" spans="1:273" s="332" customFormat="1">
      <c r="A9" s="332" t="s">
        <v>571</v>
      </c>
      <c r="B9" s="293"/>
      <c r="AN9" s="626">
        <v>523</v>
      </c>
      <c r="AO9" s="626">
        <v>294</v>
      </c>
      <c r="AP9" s="293">
        <f>AN9+AO9</f>
        <v>817</v>
      </c>
      <c r="AQ9" s="293"/>
      <c r="AR9" s="626">
        <v>520</v>
      </c>
      <c r="AS9" s="626">
        <v>418</v>
      </c>
      <c r="AT9" s="293">
        <f>+AR9+AS9</f>
        <v>938</v>
      </c>
      <c r="AU9" s="293"/>
      <c r="AV9" s="626">
        <v>425</v>
      </c>
      <c r="AW9" s="626">
        <v>655</v>
      </c>
      <c r="AX9" s="293">
        <f>+AV9+AW9</f>
        <v>1080</v>
      </c>
      <c r="AY9" s="293"/>
      <c r="AZ9" s="626">
        <v>605</v>
      </c>
      <c r="BA9" s="626">
        <v>670</v>
      </c>
      <c r="BB9" s="293">
        <f>+AZ9+BA9</f>
        <v>1275</v>
      </c>
      <c r="BC9" s="293"/>
      <c r="BD9" s="626">
        <v>698</v>
      </c>
      <c r="BE9" s="626">
        <v>635</v>
      </c>
      <c r="BF9" s="293">
        <f>+BD9+BE9</f>
        <v>1333</v>
      </c>
      <c r="BG9" s="293"/>
      <c r="BH9" s="626">
        <v>644</v>
      </c>
      <c r="BI9" s="626">
        <v>723</v>
      </c>
      <c r="BJ9" s="293">
        <f>+BH9+BI9</f>
        <v>1367</v>
      </c>
      <c r="BK9" s="293"/>
      <c r="BL9" s="626">
        <v>860</v>
      </c>
      <c r="BM9" s="626">
        <v>845</v>
      </c>
      <c r="BN9" s="293">
        <f>+BL9+BM9</f>
        <v>1705</v>
      </c>
      <c r="BO9" s="293"/>
      <c r="BP9" s="626">
        <v>956</v>
      </c>
      <c r="BQ9" s="626">
        <v>1136</v>
      </c>
      <c r="BR9" s="293">
        <f>+BP9+BQ9</f>
        <v>2092</v>
      </c>
      <c r="BS9" s="293"/>
      <c r="BT9" s="626">
        <v>1165</v>
      </c>
      <c r="BU9" s="626">
        <v>1114</v>
      </c>
      <c r="BV9" s="293">
        <f>+BT9+BU9</f>
        <v>2279</v>
      </c>
      <c r="BW9" s="293"/>
      <c r="BX9" s="626">
        <v>1098</v>
      </c>
      <c r="BY9" s="626">
        <v>1087</v>
      </c>
      <c r="BZ9" s="293">
        <f>+BX9+BY9</f>
        <v>2185</v>
      </c>
      <c r="CA9" s="293"/>
      <c r="CB9" s="626">
        <v>1011</v>
      </c>
      <c r="CC9" s="626">
        <v>975</v>
      </c>
      <c r="CD9" s="293">
        <f>+CB9+CC9</f>
        <v>1986</v>
      </c>
      <c r="CE9" s="331"/>
      <c r="CF9" s="626">
        <v>998</v>
      </c>
      <c r="CG9" s="626">
        <v>762</v>
      </c>
      <c r="CH9" s="293">
        <f>+CF9+CG9</f>
        <v>1760</v>
      </c>
      <c r="CI9" s="331"/>
      <c r="CJ9" s="626">
        <v>790</v>
      </c>
      <c r="CK9" s="626">
        <v>1069</v>
      </c>
      <c r="CL9" s="293">
        <f>+CJ9+CK9</f>
        <v>1859</v>
      </c>
      <c r="CM9" s="331"/>
      <c r="CN9" s="1388">
        <v>1033</v>
      </c>
      <c r="CO9" s="1388">
        <v>1162</v>
      </c>
      <c r="CP9" s="293">
        <f>+CN9+CO9</f>
        <v>2195</v>
      </c>
      <c r="CQ9" s="331"/>
      <c r="CR9" s="1388">
        <v>1373</v>
      </c>
      <c r="CS9" s="1388">
        <v>1487</v>
      </c>
      <c r="CT9" s="293">
        <f>CR9+CS9</f>
        <v>2860</v>
      </c>
      <c r="CU9" s="293"/>
      <c r="CV9" s="1388">
        <v>1431</v>
      </c>
      <c r="CW9" s="626">
        <v>1597</v>
      </c>
      <c r="CX9" s="293">
        <f>CV9+CW9</f>
        <v>3028</v>
      </c>
      <c r="CY9" s="293"/>
      <c r="CZ9" s="1388">
        <v>1633</v>
      </c>
      <c r="DA9" s="1388">
        <v>1826</v>
      </c>
      <c r="DB9" s="293">
        <f>CZ9+DA9</f>
        <v>3459</v>
      </c>
      <c r="DC9" s="293"/>
      <c r="DD9" s="1388">
        <v>1669</v>
      </c>
      <c r="DE9" s="2176">
        <v>1838</v>
      </c>
      <c r="DF9" s="293">
        <f>DD9+DE9</f>
        <v>3507</v>
      </c>
      <c r="DG9" s="293"/>
      <c r="DH9" s="2255">
        <v>2066</v>
      </c>
      <c r="DI9" s="293">
        <f>DI58</f>
        <v>1961.8562328900316</v>
      </c>
      <c r="DJ9" s="293">
        <f>DH9+DI9</f>
        <v>4027.8562328900316</v>
      </c>
      <c r="DK9" s="293"/>
      <c r="DL9" s="293">
        <f>DL58</f>
        <v>2105.8243482422477</v>
      </c>
      <c r="DM9" s="293">
        <f>DM58</f>
        <v>2193.0643408970232</v>
      </c>
      <c r="DN9" s="293">
        <f>DL9+DM9</f>
        <v>4298.8886891392704</v>
      </c>
      <c r="DO9" s="293"/>
      <c r="DP9" s="293">
        <f>DP58</f>
        <v>2269.6231916062784</v>
      </c>
      <c r="DQ9" s="293">
        <f>DQ58</f>
        <v>2350.5513257509156</v>
      </c>
      <c r="DR9" s="293">
        <f>DP9+DQ9</f>
        <v>4620.1745173571944</v>
      </c>
      <c r="DS9" s="293"/>
      <c r="DT9" s="293"/>
      <c r="DU9" s="293"/>
      <c r="DV9" s="293"/>
      <c r="DW9" s="293"/>
      <c r="DX9" s="293"/>
      <c r="DY9" s="293"/>
      <c r="DZ9" s="293"/>
      <c r="EA9" s="293"/>
      <c r="EB9" s="293"/>
      <c r="EC9" s="293"/>
      <c r="ED9" s="293"/>
      <c r="EE9" s="293"/>
      <c r="EF9" s="293"/>
      <c r="EG9" s="293"/>
      <c r="EH9" s="293"/>
      <c r="EI9" s="293"/>
      <c r="EJ9" s="293"/>
      <c r="EK9" s="293"/>
      <c r="EL9" s="293"/>
      <c r="EM9" s="293"/>
      <c r="EN9" s="293"/>
      <c r="EO9" s="293"/>
      <c r="EP9" s="293"/>
      <c r="JM9"/>
    </row>
    <row r="10" spans="1:273">
      <c r="A10" s="102" t="s">
        <v>566</v>
      </c>
      <c r="AN10" s="626">
        <v>2478</v>
      </c>
      <c r="AO10" s="626">
        <v>2167</v>
      </c>
      <c r="AP10" s="293">
        <f t="shared" ref="AP10:AP30" si="1">AN10+AO10</f>
        <v>4645</v>
      </c>
      <c r="AR10" s="626">
        <v>2155</v>
      </c>
      <c r="AS10" s="626">
        <v>1890</v>
      </c>
      <c r="AT10" s="293">
        <f t="shared" ref="AT10:AT30" si="2">AR10+AS10</f>
        <v>4045</v>
      </c>
      <c r="AV10" s="293">
        <f>DIVISIONS!AV38+DIVISIONS!AV115+DIVISIONS!AV343+DIVISIONS!AV231+DIVISIONS!AV470+DIVISIONS!AV545+DIVISIONS!AV667+DIVISIONS!AV711</f>
        <v>1882</v>
      </c>
      <c r="AW10" s="293">
        <f>DIVISIONS!AW38+DIVISIONS!AW115+DIVISIONS!AW343+DIVISIONS!AW231+DIVISIONS!AW470+DIVISIONS!AW545+DIVISIONS!AW667+DIVISIONS!AW711</f>
        <v>1839</v>
      </c>
      <c r="AX10" s="293">
        <f t="shared" ref="AX10:AX30" si="3">AV10+AW10</f>
        <v>3721</v>
      </c>
      <c r="AZ10" s="293">
        <f>DIVISIONS!AZ38+DIVISIONS!AZ115+DIVISIONS!AZ343+DIVISIONS!AZ231+DIVISIONS!AZ470+DIVISIONS!AZ545+DIVISIONS!AZ667+DIVISIONS!AZ711</f>
        <v>1995</v>
      </c>
      <c r="BA10" s="293">
        <f>DIVISIONS!BA38+DIVISIONS!BA115+DIVISIONS!BA343+DIVISIONS!BA231+DIVISIONS!BA470+DIVISIONS!BA545+DIVISIONS!BA667+DIVISIONS!BA711</f>
        <v>1896</v>
      </c>
      <c r="BB10" s="293">
        <f t="shared" ref="BB10:BB30" si="4">AZ10+BA10</f>
        <v>3891</v>
      </c>
      <c r="BD10" s="293">
        <f>DIVISIONS!BD38+DIVISIONS!BD115+DIVISIONS!BD343+DIVISIONS!BD231+DIVISIONS!BD470+DIVISIONS!BD545+DIVISIONS!BD711</f>
        <v>1765.663</v>
      </c>
      <c r="BE10" s="293">
        <f>DIVISIONS!BE38+DIVISIONS!BE115+DIVISIONS!BE343+DIVISIONS!BE231+DIVISIONS!BE470+DIVISIONS!BE545+DIVISIONS!BE711</f>
        <v>1598</v>
      </c>
      <c r="BF10" s="293">
        <f t="shared" ref="BF10:BF30" si="5">BD10+BE10</f>
        <v>3363.663</v>
      </c>
      <c r="BH10" s="293">
        <f>+BH11+BH12+BH13+BH14+BH15</f>
        <v>1636</v>
      </c>
      <c r="BI10" s="293">
        <f>+BI11+BI12+BI13+BI14+BI15</f>
        <v>1743</v>
      </c>
      <c r="BJ10" s="293">
        <f t="shared" ref="BJ10:BJ30" si="6">BH10+BI10</f>
        <v>3379</v>
      </c>
      <c r="BL10" s="293">
        <f>+BL11+BL12+BL13+BL14+BL15</f>
        <v>1838</v>
      </c>
      <c r="BM10" s="293">
        <f>+BM11+BM12+BM13+BM14+BM15</f>
        <v>2017</v>
      </c>
      <c r="BN10" s="293">
        <f t="shared" ref="BN10:BN30" si="7">BL10+BM10</f>
        <v>3855</v>
      </c>
      <c r="BP10" s="293">
        <f>+BP11+BP12+BP13+BP14+BP15</f>
        <v>2167</v>
      </c>
      <c r="BQ10" s="293">
        <f>+BQ11+BQ12+BQ13+BQ14+BQ15</f>
        <v>2572</v>
      </c>
      <c r="BR10" s="293">
        <f t="shared" ref="BR10:BR30" si="8">BP10+BQ10</f>
        <v>4739</v>
      </c>
      <c r="BT10" s="293">
        <f>+BT11+BT12+BT13+BT14+BT15</f>
        <v>2794</v>
      </c>
      <c r="BU10" s="293">
        <f>+BU11+BU12+BU13+BU14+BU15</f>
        <v>2068</v>
      </c>
      <c r="BV10" s="293">
        <f t="shared" ref="BV10:BV30" si="9">BT10+BU10</f>
        <v>4862</v>
      </c>
      <c r="BX10" s="293">
        <f>+BX11+BX12+BX13+BX14+BX15</f>
        <v>2203</v>
      </c>
      <c r="BY10" s="293">
        <f>+BY11+BY12+BY13+BY14+BY15</f>
        <v>2128</v>
      </c>
      <c r="BZ10" s="293">
        <f t="shared" ref="BZ10:BZ30" si="10">BX10+BY10</f>
        <v>4331</v>
      </c>
      <c r="CB10" s="293">
        <f>+CB11+CB12+CB13+CB14+CB15</f>
        <v>2568</v>
      </c>
      <c r="CC10" s="293">
        <f>+CC11+CC12+CC13+CC14+CC15</f>
        <v>2102</v>
      </c>
      <c r="CD10" s="293">
        <f t="shared" ref="CD10:CD30" si="11">CB10+CC10</f>
        <v>4670</v>
      </c>
      <c r="CF10" s="293">
        <f>+CF11+CF12+CF13+CF14+CF15</f>
        <v>2661</v>
      </c>
      <c r="CG10" s="293">
        <f>+CG11+CG12+CG13+CG14+CG15</f>
        <v>2865</v>
      </c>
      <c r="CH10" s="293">
        <f t="shared" ref="CH10:CH30" si="12">CF10+CG10</f>
        <v>5526</v>
      </c>
      <c r="CJ10" s="293">
        <f>+CJ11+CJ12+CJ13+CJ14+CJ15</f>
        <v>2874</v>
      </c>
      <c r="CK10" s="293">
        <f>+CK11+CK12+CK13+CK14+CK15</f>
        <v>2963</v>
      </c>
      <c r="CL10" s="293">
        <f t="shared" ref="CL10:CL30" si="13">CJ10+CK10</f>
        <v>5837</v>
      </c>
      <c r="CN10" s="1010">
        <f>+CN11+CN12+CN13+CN14+CN15</f>
        <v>2613</v>
      </c>
      <c r="CO10" s="1010">
        <f>+CO11+CO12+CO13+CO14+CO15</f>
        <v>2563</v>
      </c>
      <c r="CP10" s="293">
        <f t="shared" ref="CP10:CP30" si="14">CN10+CO10</f>
        <v>5176</v>
      </c>
      <c r="CR10" s="1010">
        <f>+CR11+CR12+CR13+CR14+CR15</f>
        <v>3452</v>
      </c>
      <c r="CS10" s="293">
        <f>+CS11+CS12+CS13+CS14+CS15</f>
        <v>3435</v>
      </c>
      <c r="CT10" s="293">
        <f t="shared" ref="CT10:CT30" si="15">CR10+CS10</f>
        <v>6887</v>
      </c>
      <c r="CV10" s="1010">
        <f>+CV11+CV12+CV13+CV14+CV15</f>
        <v>3055</v>
      </c>
      <c r="CW10" s="293">
        <f>+CW11+CW12+CW13+CW14+CW15</f>
        <v>3345</v>
      </c>
      <c r="CX10" s="293">
        <f t="shared" ref="CX10:CX30" si="16">CV10+CW10</f>
        <v>6400</v>
      </c>
      <c r="CZ10" s="1010">
        <f>+CZ11+CZ12+CZ13+CZ14+CZ15</f>
        <v>3023</v>
      </c>
      <c r="DA10" s="1010">
        <f>+DA11+DA12+DA13+DA14+DA15</f>
        <v>3226</v>
      </c>
      <c r="DB10" s="1010">
        <f t="shared" ref="DB10:DB30" si="17">CZ10+DA10</f>
        <v>6249</v>
      </c>
      <c r="DC10" s="1009"/>
      <c r="DD10" s="1010">
        <f>+DD11+DD12+DD13+DD14+DD15</f>
        <v>3300</v>
      </c>
      <c r="DE10" s="1010">
        <f ca="1">+DE11+DE12+DE13+DE14+DE15</f>
        <v>3490</v>
      </c>
      <c r="DF10" s="1010">
        <f t="shared" ref="DF10:DF19" ca="1" si="18">DD10+DE10</f>
        <v>6790</v>
      </c>
      <c r="DH10" s="1010">
        <f>+DH11+DH12+DH13+DH14+DH15</f>
        <v>3901</v>
      </c>
      <c r="DI10" s="293">
        <f>+DI11+DI12+DI13+DI14+DI15</f>
        <v>3615.0750669774479</v>
      </c>
      <c r="DJ10" s="293">
        <f t="shared" ref="DJ10:DJ30" si="19">DH10+DI10</f>
        <v>7516.0750669774479</v>
      </c>
      <c r="DL10" s="293">
        <f>+DL11+DL12+DL13+DL14+DL15</f>
        <v>3486.4374788938881</v>
      </c>
      <c r="DM10" s="293">
        <f>+DM11+DM12+DM13+DM14+DM15</f>
        <v>3535.1484407541348</v>
      </c>
      <c r="DN10" s="293">
        <f t="shared" ref="DN10:DN30" si="20">DL10+DM10</f>
        <v>7021.5859196480233</v>
      </c>
      <c r="DO10" s="293"/>
      <c r="DP10" s="293">
        <f>+DP11+DP12+DP13+DP14+DP15</f>
        <v>3657.478527223222</v>
      </c>
      <c r="DQ10" s="293">
        <f>+DQ11+DQ12+DQ13+DQ14+DQ15</f>
        <v>3710.7117919172324</v>
      </c>
      <c r="DR10" s="293">
        <f t="shared" ref="DR10:DR30" si="21">DP10+DQ10</f>
        <v>7368.1903191404544</v>
      </c>
      <c r="DS10" s="293"/>
      <c r="DU10" s="293"/>
      <c r="DV10" s="293"/>
      <c r="DW10" s="293"/>
      <c r="DX10" s="293"/>
      <c r="DZ10" s="293"/>
      <c r="EA10" s="293"/>
      <c r="EB10" s="293"/>
      <c r="ED10" s="293"/>
      <c r="EE10" s="293"/>
      <c r="EF10" s="293"/>
    </row>
    <row r="11" spans="1:273" s="332" customFormat="1">
      <c r="A11" s="102" t="s">
        <v>665</v>
      </c>
      <c r="B11" s="103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626">
        <v>477</v>
      </c>
      <c r="AO11" s="626">
        <v>481</v>
      </c>
      <c r="AP11" s="293">
        <f t="shared" si="1"/>
        <v>958</v>
      </c>
      <c r="AQ11" s="103"/>
      <c r="AR11" s="626">
        <v>454</v>
      </c>
      <c r="AS11" s="626">
        <v>467</v>
      </c>
      <c r="AT11" s="293">
        <f t="shared" si="2"/>
        <v>921</v>
      </c>
      <c r="AU11" s="103"/>
      <c r="AV11" s="293">
        <f>DIVISIONS!AV400+DIVISIONS!AV621+DIVISIONS!AV684</f>
        <v>442</v>
      </c>
      <c r="AW11" s="293">
        <f>DIVISIONS!AW400+DIVISIONS!AW621+DIVISIONS!AW684</f>
        <v>484</v>
      </c>
      <c r="AX11" s="293">
        <f t="shared" si="3"/>
        <v>926</v>
      </c>
      <c r="AY11" s="103"/>
      <c r="AZ11" s="293">
        <f>DIVISIONS!AZ400+DIVISIONS!AZ621+DIVISIONS!AZ684</f>
        <v>496</v>
      </c>
      <c r="BA11" s="293">
        <f>DIVISIONS!BA400+DIVISIONS!BA621+DIVISIONS!BA684</f>
        <v>454</v>
      </c>
      <c r="BB11" s="293">
        <f t="shared" si="4"/>
        <v>950</v>
      </c>
      <c r="BC11" s="103"/>
      <c r="BD11" s="293">
        <f>DIVISIONS!BD400+DIVISIONS!BD621</f>
        <v>462.66300000000001</v>
      </c>
      <c r="BE11" s="293">
        <f>DIVISIONS!BE400+DIVISIONS!BE621</f>
        <v>476</v>
      </c>
      <c r="BF11" s="293">
        <f t="shared" si="5"/>
        <v>938.66300000000001</v>
      </c>
      <c r="BG11" s="103"/>
      <c r="BH11" s="293">
        <f>DIVISIONS!BH400+DIVISIONS!BH621</f>
        <v>499</v>
      </c>
      <c r="BI11" s="293">
        <f>DIVISIONS!BI400+DIVISIONS!BI621</f>
        <v>518</v>
      </c>
      <c r="BJ11" s="293">
        <f t="shared" si="6"/>
        <v>1017</v>
      </c>
      <c r="BK11" s="293"/>
      <c r="BL11" s="293">
        <f>BL165</f>
        <v>628</v>
      </c>
      <c r="BM11" s="293">
        <f>BM165</f>
        <v>660</v>
      </c>
      <c r="BN11" s="293">
        <f t="shared" si="7"/>
        <v>1288</v>
      </c>
      <c r="BO11" s="293"/>
      <c r="BP11" s="293">
        <f>BP165</f>
        <v>650</v>
      </c>
      <c r="BQ11" s="293">
        <f>BQ165</f>
        <v>738</v>
      </c>
      <c r="BR11" s="293">
        <f t="shared" si="8"/>
        <v>1388</v>
      </c>
      <c r="BS11" s="293"/>
      <c r="BT11" s="293">
        <f>BT165</f>
        <v>791</v>
      </c>
      <c r="BU11" s="293">
        <f>BU165</f>
        <v>791</v>
      </c>
      <c r="BV11" s="293">
        <f t="shared" si="9"/>
        <v>1582</v>
      </c>
      <c r="BW11" s="325">
        <f>BV11/BR11-1</f>
        <v>0.13976945244956762</v>
      </c>
      <c r="BX11" s="293">
        <f>BX165</f>
        <v>794</v>
      </c>
      <c r="BY11" s="293">
        <f>BY165</f>
        <v>786</v>
      </c>
      <c r="BZ11" s="293">
        <f t="shared" si="10"/>
        <v>1580</v>
      </c>
      <c r="CA11" s="829"/>
      <c r="CB11" s="293">
        <f>CB165</f>
        <v>804</v>
      </c>
      <c r="CC11" s="293">
        <f>CC165</f>
        <v>786</v>
      </c>
      <c r="CD11" s="293">
        <f t="shared" si="11"/>
        <v>1590</v>
      </c>
      <c r="CE11" s="331"/>
      <c r="CF11" s="293">
        <f>CF165</f>
        <v>899</v>
      </c>
      <c r="CG11" s="293">
        <f>CG165</f>
        <v>916</v>
      </c>
      <c r="CH11" s="293">
        <f t="shared" si="12"/>
        <v>1815</v>
      </c>
      <c r="CI11" s="331"/>
      <c r="CJ11" s="293">
        <f>CJ165</f>
        <v>967</v>
      </c>
      <c r="CK11" s="293">
        <f>CK165</f>
        <v>1086</v>
      </c>
      <c r="CL11" s="293">
        <f t="shared" si="13"/>
        <v>2053</v>
      </c>
      <c r="CM11" s="331"/>
      <c r="CN11" s="1010">
        <f>CN165</f>
        <v>985</v>
      </c>
      <c r="CO11" s="1010">
        <f>CO165</f>
        <v>1026</v>
      </c>
      <c r="CP11" s="1010">
        <f t="shared" si="14"/>
        <v>2011</v>
      </c>
      <c r="CQ11" s="331"/>
      <c r="CR11" s="1010">
        <f>CR165</f>
        <v>1374</v>
      </c>
      <c r="CS11" s="1010">
        <f>CS165</f>
        <v>1422</v>
      </c>
      <c r="CT11" s="293">
        <f t="shared" si="15"/>
        <v>2796</v>
      </c>
      <c r="CU11" s="293"/>
      <c r="CV11" s="1010">
        <f>CV165</f>
        <v>1389</v>
      </c>
      <c r="CW11" s="293">
        <f>CW165</f>
        <v>1415</v>
      </c>
      <c r="CX11" s="293">
        <f t="shared" si="16"/>
        <v>2804</v>
      </c>
      <c r="CY11" s="293"/>
      <c r="CZ11" s="1010">
        <f>CZ165</f>
        <v>1417</v>
      </c>
      <c r="DA11" s="1010">
        <f>DA165</f>
        <v>1478</v>
      </c>
      <c r="DB11" s="1010">
        <f t="shared" si="17"/>
        <v>2895</v>
      </c>
      <c r="DC11" s="1010"/>
      <c r="DD11" s="1010">
        <f>DD165</f>
        <v>1448</v>
      </c>
      <c r="DE11" s="1010">
        <f ca="1">DE165</f>
        <v>1500</v>
      </c>
      <c r="DF11" s="1010">
        <f t="shared" ca="1" si="18"/>
        <v>2948</v>
      </c>
      <c r="DG11" s="293"/>
      <c r="DH11" s="1010">
        <f>DH165</f>
        <v>1477</v>
      </c>
      <c r="DI11" s="293">
        <f>DI165</f>
        <v>1264.8718317971143</v>
      </c>
      <c r="DJ11" s="293">
        <f t="shared" si="19"/>
        <v>2741.8718317971143</v>
      </c>
      <c r="DK11" s="293"/>
      <c r="DL11" s="293">
        <f>DL165</f>
        <v>1188.7122515753802</v>
      </c>
      <c r="DM11" s="293">
        <f>DM165</f>
        <v>1202.9413318089396</v>
      </c>
      <c r="DN11" s="293">
        <f t="shared" si="20"/>
        <v>2391.65358338432</v>
      </c>
      <c r="DO11" s="293"/>
      <c r="DP11" s="293">
        <f>DP165</f>
        <v>1231.5552775971755</v>
      </c>
      <c r="DQ11" s="293">
        <f>DQ165</f>
        <v>1257.3738747826887</v>
      </c>
      <c r="DR11" s="293">
        <f t="shared" si="21"/>
        <v>2488.9291523798643</v>
      </c>
      <c r="DS11" s="293"/>
      <c r="DT11" s="293"/>
      <c r="DU11" s="293"/>
      <c r="DV11" s="293"/>
      <c r="DW11" s="293"/>
      <c r="DX11" s="293"/>
      <c r="DY11" s="293"/>
      <c r="DZ11" s="293"/>
      <c r="EA11" s="293"/>
      <c r="EB11" s="293"/>
      <c r="EC11" s="293"/>
      <c r="ED11" s="293"/>
      <c r="EE11" s="293"/>
      <c r="EF11" s="293"/>
      <c r="EG11" s="293"/>
      <c r="EH11" s="293"/>
      <c r="EI11" s="293"/>
      <c r="EJ11" s="293"/>
      <c r="EK11" s="293"/>
      <c r="EL11" s="293"/>
      <c r="EM11" s="293"/>
      <c r="EN11" s="293"/>
      <c r="EO11" s="293"/>
      <c r="EP11" s="293"/>
      <c r="JM11"/>
    </row>
    <row r="12" spans="1:273">
      <c r="A12" s="102" t="s">
        <v>666</v>
      </c>
      <c r="AN12" s="626">
        <v>169</v>
      </c>
      <c r="AO12" s="626">
        <v>217</v>
      </c>
      <c r="AP12" s="293">
        <f t="shared" si="1"/>
        <v>386</v>
      </c>
      <c r="AR12" s="626">
        <v>219</v>
      </c>
      <c r="AS12" s="626">
        <v>15</v>
      </c>
      <c r="AT12" s="293">
        <f t="shared" si="2"/>
        <v>234</v>
      </c>
      <c r="AV12" s="293">
        <f>DIVISIONS!AV404+DIVISIONS!AV622+DIVISIONS!AV685</f>
        <v>52</v>
      </c>
      <c r="AW12" s="293">
        <f>DIVISIONS!AW404+DIVISIONS!AW622+DIVISIONS!AW685</f>
        <v>5</v>
      </c>
      <c r="AX12" s="293">
        <f t="shared" si="3"/>
        <v>57</v>
      </c>
      <c r="AZ12" s="293">
        <f>DIVISIONS!AZ404+DIVISIONS!AZ622+DIVISIONS!AZ685</f>
        <v>15</v>
      </c>
      <c r="BA12" s="293">
        <f>DIVISIONS!BA404+DIVISIONS!BA622+DIVISIONS!BA685</f>
        <v>21</v>
      </c>
      <c r="BB12" s="293">
        <f t="shared" si="4"/>
        <v>36</v>
      </c>
      <c r="BD12" s="293">
        <f>DIVISIONS!BD404+DIVISIONS!BD622</f>
        <v>89</v>
      </c>
      <c r="BE12" s="293">
        <f>DIVISIONS!BE404+DIVISIONS!BE622</f>
        <v>41</v>
      </c>
      <c r="BF12" s="293">
        <f t="shared" si="5"/>
        <v>130</v>
      </c>
      <c r="BH12" s="293">
        <f>DIVISIONS!BH404+DIVISIONS!BH622</f>
        <v>76</v>
      </c>
      <c r="BI12" s="293">
        <f>DIVISIONS!BI404+DIVISIONS!BI622</f>
        <v>88</v>
      </c>
      <c r="BJ12" s="293">
        <f t="shared" si="6"/>
        <v>164</v>
      </c>
      <c r="BL12" s="293">
        <f>BL387</f>
        <v>76</v>
      </c>
      <c r="BM12" s="293">
        <f>BM387</f>
        <v>142</v>
      </c>
      <c r="BN12" s="293">
        <f t="shared" si="7"/>
        <v>218</v>
      </c>
      <c r="BP12" s="293">
        <f>BP387</f>
        <v>373</v>
      </c>
      <c r="BQ12" s="293">
        <f>BQ387</f>
        <v>294</v>
      </c>
      <c r="BR12" s="293">
        <f t="shared" si="8"/>
        <v>667</v>
      </c>
      <c r="BT12" s="293">
        <f>BT387</f>
        <v>629</v>
      </c>
      <c r="BU12" s="293">
        <f>BU387</f>
        <v>85</v>
      </c>
      <c r="BV12" s="293">
        <f t="shared" si="9"/>
        <v>714</v>
      </c>
      <c r="BX12" s="293">
        <f>BX387</f>
        <v>170</v>
      </c>
      <c r="BY12" s="293">
        <f>BY387</f>
        <v>94</v>
      </c>
      <c r="BZ12" s="293">
        <f t="shared" si="10"/>
        <v>264</v>
      </c>
      <c r="CB12" s="293">
        <f>CB387</f>
        <v>537</v>
      </c>
      <c r="CC12" s="293">
        <f>CC387</f>
        <v>58</v>
      </c>
      <c r="CD12" s="293">
        <f t="shared" si="11"/>
        <v>595</v>
      </c>
      <c r="CF12" s="293">
        <f>CF387</f>
        <v>282</v>
      </c>
      <c r="CG12" s="293">
        <f>CG387</f>
        <v>577</v>
      </c>
      <c r="CH12" s="293">
        <f t="shared" si="12"/>
        <v>859</v>
      </c>
      <c r="CJ12" s="293">
        <f>CJ387</f>
        <v>546</v>
      </c>
      <c r="CK12" s="293">
        <f>CK387</f>
        <v>275</v>
      </c>
      <c r="CL12" s="293">
        <f t="shared" si="13"/>
        <v>821</v>
      </c>
      <c r="CN12" s="1010">
        <f>CN387</f>
        <v>413</v>
      </c>
      <c r="CO12" s="1010">
        <f>CO387</f>
        <v>247</v>
      </c>
      <c r="CP12" s="293">
        <f t="shared" si="14"/>
        <v>660</v>
      </c>
      <c r="CR12" s="1010">
        <f>CR387</f>
        <v>177</v>
      </c>
      <c r="CS12" s="1010">
        <f>CS387</f>
        <v>218</v>
      </c>
      <c r="CT12" s="293">
        <f t="shared" si="15"/>
        <v>395</v>
      </c>
      <c r="CV12" s="1010">
        <f>CV387</f>
        <v>237</v>
      </c>
      <c r="CW12" s="293">
        <f>CW387</f>
        <v>455</v>
      </c>
      <c r="CX12" s="293">
        <f t="shared" si="16"/>
        <v>692</v>
      </c>
      <c r="CZ12" s="1010">
        <f>CZ387</f>
        <v>236</v>
      </c>
      <c r="DA12" s="293">
        <f>DA387</f>
        <v>396</v>
      </c>
      <c r="DB12" s="293">
        <f t="shared" si="17"/>
        <v>632</v>
      </c>
      <c r="DD12" s="1010">
        <f>DD387</f>
        <v>403</v>
      </c>
      <c r="DE12" s="293">
        <f ca="1">DE387</f>
        <v>434</v>
      </c>
      <c r="DF12" s="293">
        <f t="shared" ca="1" si="18"/>
        <v>837</v>
      </c>
      <c r="DH12" s="1010">
        <f>DH387</f>
        <v>756</v>
      </c>
      <c r="DI12" s="293">
        <f>DI387</f>
        <v>687.9232351803339</v>
      </c>
      <c r="DJ12" s="293">
        <f t="shared" si="19"/>
        <v>1443.9232351803339</v>
      </c>
      <c r="DL12" s="293">
        <f>DL387</f>
        <v>551.54082731850792</v>
      </c>
      <c r="DM12" s="293">
        <f>DM387</f>
        <v>564.66007294519545</v>
      </c>
      <c r="DN12" s="293">
        <f t="shared" si="20"/>
        <v>1116.2009002637033</v>
      </c>
      <c r="DO12" s="293"/>
      <c r="DP12" s="293">
        <f>DP387</f>
        <v>587.53366128604671</v>
      </c>
      <c r="DQ12" s="293">
        <f>DQ387</f>
        <v>608.07262499994374</v>
      </c>
      <c r="DR12" s="293">
        <f t="shared" si="21"/>
        <v>1195.6062862859903</v>
      </c>
      <c r="DS12" s="293"/>
      <c r="DU12" s="293"/>
      <c r="DV12" s="293"/>
      <c r="DW12" s="293"/>
      <c r="DX12" s="293"/>
      <c r="DZ12" s="293"/>
      <c r="EA12" s="293"/>
      <c r="EB12" s="293"/>
      <c r="ED12" s="293"/>
      <c r="EE12" s="293"/>
      <c r="EF12" s="293"/>
    </row>
    <row r="13" spans="1:273">
      <c r="A13" s="102" t="s">
        <v>656</v>
      </c>
      <c r="AN13" s="626">
        <v>898</v>
      </c>
      <c r="AO13" s="626">
        <v>561</v>
      </c>
      <c r="AP13" s="293">
        <f t="shared" si="1"/>
        <v>1459</v>
      </c>
      <c r="AR13" s="626">
        <v>614</v>
      </c>
      <c r="AS13" s="626">
        <v>615</v>
      </c>
      <c r="AT13" s="293">
        <f t="shared" si="2"/>
        <v>1229</v>
      </c>
      <c r="AV13" s="293">
        <f>DIVISIONS!AV148+DIVISIONS!AV408+DIVISIONS!AV623</f>
        <v>596</v>
      </c>
      <c r="AW13" s="293">
        <f>DIVISIONS!AW148+DIVISIONS!AW408+DIVISIONS!AW623</f>
        <v>489</v>
      </c>
      <c r="AX13" s="293">
        <f t="shared" si="3"/>
        <v>1085</v>
      </c>
      <c r="AZ13" s="293">
        <f>DIVISIONS!AZ148+DIVISIONS!AZ408+DIVISIONS!AZ623</f>
        <v>402</v>
      </c>
      <c r="BA13" s="293">
        <f>DIVISIONS!BA148+DIVISIONS!BA408+DIVISIONS!BA623</f>
        <v>529</v>
      </c>
      <c r="BB13" s="293">
        <f t="shared" si="4"/>
        <v>931</v>
      </c>
      <c r="BC13" s="685"/>
      <c r="BD13" s="293">
        <f>DIVISIONS!BD148+DIVISIONS!BD408+DIVISIONS!BD623</f>
        <v>339</v>
      </c>
      <c r="BE13" s="293">
        <f>DIVISIONS!BE148+DIVISIONS!BE408+DIVISIONS!BE623</f>
        <v>343</v>
      </c>
      <c r="BF13" s="293">
        <f t="shared" si="5"/>
        <v>682</v>
      </c>
      <c r="BH13" s="293">
        <f>DIVISIONS!BH148+DIVISIONS!BH408+DIVISIONS!BH623</f>
        <v>327</v>
      </c>
      <c r="BI13" s="293">
        <f>DIVISIONS!BI148+DIVISIONS!BI408+DIVISIONS!BI623</f>
        <v>327</v>
      </c>
      <c r="BJ13" s="293">
        <f t="shared" si="6"/>
        <v>654</v>
      </c>
      <c r="BL13" s="293">
        <f>BL95</f>
        <v>357</v>
      </c>
      <c r="BM13" s="293">
        <f>BM95</f>
        <v>452</v>
      </c>
      <c r="BN13" s="293">
        <f t="shared" si="7"/>
        <v>809</v>
      </c>
      <c r="BP13" s="293">
        <f>BP95</f>
        <v>429</v>
      </c>
      <c r="BQ13" s="293">
        <f>BQ95</f>
        <v>544</v>
      </c>
      <c r="BR13" s="293">
        <f t="shared" si="8"/>
        <v>973</v>
      </c>
      <c r="BT13" s="293">
        <f>BT95</f>
        <v>537</v>
      </c>
      <c r="BU13" s="293">
        <f>BU95</f>
        <v>425</v>
      </c>
      <c r="BV13" s="293">
        <f t="shared" si="9"/>
        <v>962</v>
      </c>
      <c r="BX13" s="293">
        <f>BX95</f>
        <v>471</v>
      </c>
      <c r="BY13" s="293">
        <f>BY95</f>
        <v>492</v>
      </c>
      <c r="BZ13" s="293">
        <f t="shared" si="10"/>
        <v>963</v>
      </c>
      <c r="CB13" s="293">
        <f>CB95</f>
        <v>458</v>
      </c>
      <c r="CC13" s="293">
        <f>CC95</f>
        <v>462</v>
      </c>
      <c r="CD13" s="293">
        <f t="shared" si="11"/>
        <v>920</v>
      </c>
      <c r="CF13" s="293">
        <f>CF95</f>
        <v>573</v>
      </c>
      <c r="CG13" s="293">
        <f>CG95</f>
        <v>433</v>
      </c>
      <c r="CH13" s="293">
        <f t="shared" si="12"/>
        <v>1006</v>
      </c>
      <c r="CJ13" s="293">
        <f>CJ95</f>
        <v>482</v>
      </c>
      <c r="CK13" s="293">
        <f>CK95</f>
        <v>578</v>
      </c>
      <c r="CL13" s="293">
        <f t="shared" si="13"/>
        <v>1060</v>
      </c>
      <c r="CN13" s="1010">
        <f>CN95</f>
        <v>413</v>
      </c>
      <c r="CO13" s="1010">
        <f>CO95</f>
        <v>445</v>
      </c>
      <c r="CP13" s="293">
        <f t="shared" si="14"/>
        <v>858</v>
      </c>
      <c r="CR13" s="1010">
        <f>CR95</f>
        <v>618</v>
      </c>
      <c r="CS13" s="293">
        <f>CS95</f>
        <v>755</v>
      </c>
      <c r="CT13" s="293">
        <f t="shared" si="15"/>
        <v>1373</v>
      </c>
      <c r="CV13" s="1010">
        <f>CV95</f>
        <v>438</v>
      </c>
      <c r="CW13" s="293">
        <f>CW95</f>
        <v>553</v>
      </c>
      <c r="CX13" s="293">
        <f t="shared" si="16"/>
        <v>991</v>
      </c>
      <c r="CZ13" s="1010">
        <f>CZ95</f>
        <v>408</v>
      </c>
      <c r="DA13" s="293">
        <f>DA95</f>
        <v>335</v>
      </c>
      <c r="DB13" s="293">
        <f t="shared" si="17"/>
        <v>743</v>
      </c>
      <c r="DD13" s="1010">
        <f>DD95</f>
        <v>413</v>
      </c>
      <c r="DE13" s="293">
        <f ca="1">DE95</f>
        <v>503</v>
      </c>
      <c r="DF13" s="293">
        <f t="shared" ca="1" si="18"/>
        <v>916</v>
      </c>
      <c r="DH13" s="1010">
        <f>DH95</f>
        <v>558</v>
      </c>
      <c r="DI13" s="293">
        <f>DI95</f>
        <v>581.6</v>
      </c>
      <c r="DJ13" s="293">
        <f t="shared" si="19"/>
        <v>1139.5999999999999</v>
      </c>
      <c r="DL13" s="293">
        <f>DL95</f>
        <v>606.04500000000007</v>
      </c>
      <c r="DM13" s="293">
        <f>DM95</f>
        <v>637.48024999999996</v>
      </c>
      <c r="DN13" s="293">
        <f t="shared" si="20"/>
        <v>1243.5252500000001</v>
      </c>
      <c r="DO13" s="293"/>
      <c r="DP13" s="293">
        <f>DP95</f>
        <v>647.04715499999998</v>
      </c>
      <c r="DQ13" s="293">
        <f>DQ95</f>
        <v>662.68278410000005</v>
      </c>
      <c r="DR13" s="293">
        <f t="shared" si="21"/>
        <v>1309.7299391000001</v>
      </c>
      <c r="DS13" s="293"/>
      <c r="DU13" s="293"/>
      <c r="DV13" s="293"/>
      <c r="DW13" s="293"/>
      <c r="DX13" s="293"/>
      <c r="DZ13" s="293"/>
      <c r="EA13" s="293"/>
      <c r="EB13" s="293"/>
      <c r="ED13" s="293"/>
      <c r="EE13" s="293"/>
      <c r="EF13" s="293"/>
    </row>
    <row r="14" spans="1:273">
      <c r="A14" s="102" t="s">
        <v>654</v>
      </c>
      <c r="AN14" s="626">
        <v>616</v>
      </c>
      <c r="AO14" s="626">
        <v>637</v>
      </c>
      <c r="AP14" s="293">
        <f t="shared" si="1"/>
        <v>1253</v>
      </c>
      <c r="AR14" s="626">
        <v>593</v>
      </c>
      <c r="AS14" s="626">
        <v>444</v>
      </c>
      <c r="AT14" s="293">
        <f t="shared" si="2"/>
        <v>1037</v>
      </c>
      <c r="AV14" s="293">
        <f>DIVISIONS!AV68+DIVISIONS!AV149+DIVISIONS!AV409+DIVISIONS!AV298+DIVISIONS!AV624+DIVISIONS!AV686</f>
        <v>546</v>
      </c>
      <c r="AW14" s="293">
        <f>DIVISIONS!AW68+DIVISIONS!AW149+DIVISIONS!AW409+DIVISIONS!AW298+DIVISIONS!AW624+DIVISIONS!AW686</f>
        <v>531</v>
      </c>
      <c r="AX14" s="293">
        <f t="shared" si="3"/>
        <v>1077</v>
      </c>
      <c r="AZ14" s="293">
        <f>DIVISIONS!AZ68+DIVISIONS!AZ149+DIVISIONS!AZ409+DIVISIONS!AZ298+DIVISIONS!AZ624+DIVISIONS!AZ686</f>
        <v>582</v>
      </c>
      <c r="BA14" s="293">
        <f>DIVISIONS!BA68+DIVISIONS!BA149+DIVISIONS!BA409+DIVISIONS!BA298+DIVISIONS!BA624+DIVISIONS!BA686</f>
        <v>555</v>
      </c>
      <c r="BB14" s="293">
        <f t="shared" si="4"/>
        <v>1137</v>
      </c>
      <c r="BC14" s="685"/>
      <c r="BD14" s="293">
        <f>DIVISIONS!BD68+DIVISIONS!BD149+DIVISIONS!BD409+DIVISIONS!BD298+DIVISIONS!BD624</f>
        <v>486.5</v>
      </c>
      <c r="BE14" s="293">
        <f>DIVISIONS!BE68+DIVISIONS!BE149+DIVISIONS!BE409+DIVISIONS!BE298+DIVISIONS!BE624</f>
        <v>420</v>
      </c>
      <c r="BF14" s="293">
        <f t="shared" si="5"/>
        <v>906.5</v>
      </c>
      <c r="BG14" s="685"/>
      <c r="BH14" s="293">
        <f>DIVISIONS!BH68+DIVISIONS!BH149+DIVISIONS!BH409+DIVISIONS!BH298+DIVISIONS!BH624</f>
        <v>394</v>
      </c>
      <c r="BI14" s="293">
        <f>DIVISIONS!BI68+DIVISIONS!BI149+DIVISIONS!BI409+DIVISIONS!BI298+DIVISIONS!BI624</f>
        <v>417</v>
      </c>
      <c r="BJ14" s="293">
        <f t="shared" si="6"/>
        <v>811</v>
      </c>
      <c r="BK14" s="685"/>
      <c r="BL14" s="293">
        <f>BL107</f>
        <v>469</v>
      </c>
      <c r="BM14" s="293">
        <f>BM107</f>
        <v>438</v>
      </c>
      <c r="BN14" s="293">
        <f t="shared" si="7"/>
        <v>907</v>
      </c>
      <c r="BO14" s="685"/>
      <c r="BP14" s="293">
        <f>BP107</f>
        <v>396</v>
      </c>
      <c r="BQ14" s="293">
        <f>BQ107</f>
        <v>440</v>
      </c>
      <c r="BR14" s="293">
        <f t="shared" si="8"/>
        <v>836</v>
      </c>
      <c r="BS14" s="685"/>
      <c r="BT14" s="293">
        <f>BT107</f>
        <v>461</v>
      </c>
      <c r="BU14" s="293">
        <f>BU107</f>
        <v>427</v>
      </c>
      <c r="BV14" s="293">
        <f t="shared" si="9"/>
        <v>888</v>
      </c>
      <c r="BX14" s="293">
        <f>BX107</f>
        <v>419</v>
      </c>
      <c r="BY14" s="293">
        <f>BY107</f>
        <v>394</v>
      </c>
      <c r="BZ14" s="293">
        <f t="shared" si="10"/>
        <v>813</v>
      </c>
      <c r="CB14" s="293">
        <f>CB107</f>
        <v>386</v>
      </c>
      <c r="CC14" s="293">
        <f>CC107</f>
        <v>388</v>
      </c>
      <c r="CD14" s="293">
        <f t="shared" si="11"/>
        <v>774</v>
      </c>
      <c r="CF14" s="293">
        <f>CF107</f>
        <v>473</v>
      </c>
      <c r="CG14" s="293">
        <f>CG107</f>
        <v>459</v>
      </c>
      <c r="CH14" s="293">
        <f t="shared" si="12"/>
        <v>932</v>
      </c>
      <c r="CJ14" s="293">
        <f>CJ107</f>
        <v>412</v>
      </c>
      <c r="CK14" s="293">
        <f>CK107</f>
        <v>458</v>
      </c>
      <c r="CL14" s="293">
        <f t="shared" si="13"/>
        <v>870</v>
      </c>
      <c r="CN14" s="1010">
        <f>CN107</f>
        <v>401</v>
      </c>
      <c r="CO14" s="1010">
        <f>CO107</f>
        <v>415</v>
      </c>
      <c r="CP14" s="293">
        <f t="shared" si="14"/>
        <v>816</v>
      </c>
      <c r="CR14" s="1010">
        <f>CR107</f>
        <v>381</v>
      </c>
      <c r="CS14" s="293">
        <f>CS107</f>
        <v>420</v>
      </c>
      <c r="CT14" s="293">
        <f t="shared" si="15"/>
        <v>801</v>
      </c>
      <c r="CV14" s="1010">
        <f>CV107</f>
        <v>358</v>
      </c>
      <c r="CW14" s="293">
        <f>CW107</f>
        <v>357</v>
      </c>
      <c r="CX14" s="293">
        <f t="shared" si="16"/>
        <v>715</v>
      </c>
      <c r="CZ14" s="1010">
        <f>CZ107</f>
        <v>377</v>
      </c>
      <c r="DA14" s="293">
        <f>DA107</f>
        <v>414</v>
      </c>
      <c r="DB14" s="293">
        <f t="shared" si="17"/>
        <v>791</v>
      </c>
      <c r="DD14" s="1010">
        <f>DD107</f>
        <v>429</v>
      </c>
      <c r="DE14" s="293">
        <f ca="1">DE107</f>
        <v>434</v>
      </c>
      <c r="DF14" s="293">
        <f t="shared" ca="1" si="18"/>
        <v>863</v>
      </c>
      <c r="DH14" s="1010">
        <f>DH107</f>
        <v>484</v>
      </c>
      <c r="DI14" s="293">
        <f>DI107</f>
        <v>426.65500564971751</v>
      </c>
      <c r="DJ14" s="293">
        <f t="shared" si="19"/>
        <v>910.65500564971751</v>
      </c>
      <c r="DL14" s="293">
        <f>DL107</f>
        <v>456.36391480225984</v>
      </c>
      <c r="DM14" s="293">
        <f>DM107</f>
        <v>438.90054957514121</v>
      </c>
      <c r="DN14" s="293">
        <f t="shared" si="20"/>
        <v>895.26446437740105</v>
      </c>
      <c r="DO14" s="293"/>
      <c r="DP14" s="293">
        <f>DP107</f>
        <v>468.89483732775136</v>
      </c>
      <c r="DQ14" s="293">
        <f>DQ107</f>
        <v>452.10594870617103</v>
      </c>
      <c r="DR14" s="293">
        <f t="shared" si="21"/>
        <v>921.0007860339224</v>
      </c>
      <c r="DS14" s="293"/>
      <c r="DU14" s="293"/>
      <c r="DV14" s="293"/>
      <c r="DW14" s="293"/>
      <c r="DX14" s="293"/>
      <c r="DZ14" s="293"/>
      <c r="EA14" s="293"/>
      <c r="EB14" s="293"/>
      <c r="ED14" s="293"/>
      <c r="EE14" s="293"/>
      <c r="EF14" s="293"/>
    </row>
    <row r="15" spans="1:273">
      <c r="A15" s="102" t="s">
        <v>655</v>
      </c>
      <c r="AN15" s="293">
        <f>AN10-SUM(AN11:AN14)</f>
        <v>318</v>
      </c>
      <c r="AO15" s="293">
        <f>AO10-SUM(AO11:AO14)</f>
        <v>271</v>
      </c>
      <c r="AP15" s="293">
        <f t="shared" si="1"/>
        <v>589</v>
      </c>
      <c r="AR15" s="293">
        <f>AR10-SUM(AR11:AR14)</f>
        <v>275</v>
      </c>
      <c r="AS15" s="293">
        <f>AS10-SUM(AS11:AS14)</f>
        <v>349</v>
      </c>
      <c r="AT15" s="293">
        <f t="shared" si="2"/>
        <v>624</v>
      </c>
      <c r="AV15" s="293">
        <f>DIVISIONS!AV69+DIVISIONS!AV150+DIVISIONS!AV410+DIVISIONS!AV299+DIVISIONS!AV470+DIVISIONS!AV625+DIVISIONS!AV626+DIVISIONS!AV687+DIVISIONS!AV711</f>
        <v>246</v>
      </c>
      <c r="AW15" s="293">
        <f>DIVISIONS!AW69+DIVISIONS!AW150+DIVISIONS!AW410+DIVISIONS!AW299+DIVISIONS!AW470+DIVISIONS!AW625+DIVISIONS!AW626+DIVISIONS!AW687+DIVISIONS!AW711</f>
        <v>330</v>
      </c>
      <c r="AX15" s="293">
        <f t="shared" si="3"/>
        <v>576</v>
      </c>
      <c r="AZ15" s="293">
        <f>DIVISIONS!AZ69+DIVISIONS!AZ150+DIVISIONS!AZ410+DIVISIONS!AZ299+DIVISIONS!AZ470+DIVISIONS!AZ625+DIVISIONS!AZ626+DIVISIONS!AZ687+DIVISIONS!AZ711</f>
        <v>500</v>
      </c>
      <c r="BA15" s="293">
        <f>DIVISIONS!BA69+DIVISIONS!BA150+DIVISIONS!BA410+DIVISIONS!BA299+DIVISIONS!BA470+DIVISIONS!BA625+DIVISIONS!BA626+DIVISIONS!BA687+DIVISIONS!BA711</f>
        <v>337</v>
      </c>
      <c r="BB15" s="293">
        <f t="shared" si="4"/>
        <v>837</v>
      </c>
      <c r="BD15" s="293">
        <f>DIVISIONS!BD69+DIVISIONS!BD150+DIVISIONS!BD410+DIVISIONS!BD299+DIVISIONS!BD470+DIVISIONS!BD625+DIVISIONS!BD626+DIVISIONS!BD711</f>
        <v>388.5</v>
      </c>
      <c r="BE15" s="293">
        <f>DIVISIONS!BE69+DIVISIONS!BE150+DIVISIONS!BE410+DIVISIONS!BE299+DIVISIONS!BE470+DIVISIONS!BE625+DIVISIONS!BE626+DIVISIONS!BE711</f>
        <v>318</v>
      </c>
      <c r="BF15" s="293">
        <f t="shared" si="5"/>
        <v>706.5</v>
      </c>
      <c r="BH15" s="293">
        <f>DIVISIONS!BH69+DIVISIONS!BH150+DIVISIONS!BH410+DIVISIONS!BH299+DIVISIONS!BH470+DIVISIONS!BH625+DIVISIONS!BH626+DIVISIONS!BH711</f>
        <v>340</v>
      </c>
      <c r="BI15" s="293">
        <f>DIVISIONS!BI69+DIVISIONS!BI150+DIVISIONS!BI410+DIVISIONS!BI299+DIVISIONS!BI470+DIVISIONS!BI625+DIVISIONS!BI626+DIVISIONS!BI711</f>
        <v>393</v>
      </c>
      <c r="BJ15" s="293">
        <f t="shared" si="6"/>
        <v>733</v>
      </c>
      <c r="BL15" s="293">
        <f>BL119</f>
        <v>308</v>
      </c>
      <c r="BM15" s="293">
        <f>BM119</f>
        <v>325</v>
      </c>
      <c r="BN15" s="293">
        <f t="shared" si="7"/>
        <v>633</v>
      </c>
      <c r="BP15" s="293">
        <f>BP119</f>
        <v>319</v>
      </c>
      <c r="BQ15" s="293">
        <f>BQ119</f>
        <v>556</v>
      </c>
      <c r="BR15" s="293">
        <f t="shared" si="8"/>
        <v>875</v>
      </c>
      <c r="BT15" s="293">
        <f>BT119</f>
        <v>376</v>
      </c>
      <c r="BU15" s="293">
        <f>BU119</f>
        <v>340</v>
      </c>
      <c r="BV15" s="293">
        <f t="shared" si="9"/>
        <v>716</v>
      </c>
      <c r="BX15" s="293">
        <f>BX119</f>
        <v>349</v>
      </c>
      <c r="BY15" s="293">
        <f>BY119</f>
        <v>362</v>
      </c>
      <c r="BZ15" s="293">
        <f t="shared" si="10"/>
        <v>711</v>
      </c>
      <c r="CB15" s="293">
        <f>CB119</f>
        <v>383</v>
      </c>
      <c r="CC15" s="293">
        <f>CC119</f>
        <v>408</v>
      </c>
      <c r="CD15" s="293">
        <f t="shared" si="11"/>
        <v>791</v>
      </c>
      <c r="CF15" s="293">
        <f>CF119</f>
        <v>434</v>
      </c>
      <c r="CG15" s="293">
        <f>CG119</f>
        <v>480</v>
      </c>
      <c r="CH15" s="293">
        <f t="shared" si="12"/>
        <v>914</v>
      </c>
      <c r="CJ15" s="293">
        <f>CJ119</f>
        <v>467</v>
      </c>
      <c r="CK15" s="293">
        <f>CK119</f>
        <v>566</v>
      </c>
      <c r="CL15" s="293">
        <f t="shared" si="13"/>
        <v>1033</v>
      </c>
      <c r="CN15" s="1010">
        <f>CN119</f>
        <v>401</v>
      </c>
      <c r="CO15" s="1010">
        <f>CO119</f>
        <v>430</v>
      </c>
      <c r="CP15" s="293">
        <f t="shared" si="14"/>
        <v>831</v>
      </c>
      <c r="CR15" s="1010">
        <f>CR119</f>
        <v>902</v>
      </c>
      <c r="CS15" s="293">
        <f>CS119</f>
        <v>620</v>
      </c>
      <c r="CT15" s="293">
        <f t="shared" si="15"/>
        <v>1522</v>
      </c>
      <c r="CV15" s="1010">
        <f>CV119</f>
        <v>633</v>
      </c>
      <c r="CW15" s="1010">
        <f>CW119</f>
        <v>565</v>
      </c>
      <c r="CX15" s="293">
        <f t="shared" si="16"/>
        <v>1198</v>
      </c>
      <c r="CY15" s="293"/>
      <c r="CZ15" s="1010">
        <f>CZ119</f>
        <v>585</v>
      </c>
      <c r="DA15" s="1010">
        <f>DA119</f>
        <v>603</v>
      </c>
      <c r="DB15" s="293">
        <f t="shared" si="17"/>
        <v>1188</v>
      </c>
      <c r="DD15" s="1010">
        <f>DD119</f>
        <v>607</v>
      </c>
      <c r="DE15" s="1010">
        <f ca="1">DE119</f>
        <v>619</v>
      </c>
      <c r="DF15" s="293">
        <f t="shared" ca="1" si="18"/>
        <v>1226</v>
      </c>
      <c r="DH15" s="1010">
        <f>DH119</f>
        <v>626</v>
      </c>
      <c r="DI15" s="293">
        <f>DI119</f>
        <v>654.02499435028244</v>
      </c>
      <c r="DJ15" s="293">
        <f t="shared" si="19"/>
        <v>1280.0249943502824</v>
      </c>
      <c r="DL15" s="293">
        <f>DL119</f>
        <v>683.77548519774018</v>
      </c>
      <c r="DM15" s="293">
        <f>DM119</f>
        <v>691.16623642485877</v>
      </c>
      <c r="DN15" s="293">
        <f t="shared" si="20"/>
        <v>1374.9417216225988</v>
      </c>
      <c r="DO15" s="293"/>
      <c r="DP15" s="293">
        <f>DP119</f>
        <v>722.4475960122486</v>
      </c>
      <c r="DQ15" s="293">
        <f>DQ119</f>
        <v>730.47655932842895</v>
      </c>
      <c r="DR15" s="293">
        <f t="shared" si="21"/>
        <v>1452.9241553406775</v>
      </c>
      <c r="DS15" s="293"/>
      <c r="DU15" s="293"/>
      <c r="DV15" s="293"/>
      <c r="DW15" s="293"/>
      <c r="DX15" s="293"/>
      <c r="DZ15" s="293"/>
      <c r="EA15" s="293"/>
      <c r="EB15" s="293"/>
      <c r="ED15" s="293"/>
      <c r="EE15" s="293"/>
      <c r="EF15" s="293"/>
    </row>
    <row r="16" spans="1:273">
      <c r="A16" s="102" t="s">
        <v>651</v>
      </c>
      <c r="AN16" s="626">
        <v>843</v>
      </c>
      <c r="AO16" s="626">
        <v>992</v>
      </c>
      <c r="AP16" s="293">
        <f t="shared" si="1"/>
        <v>1835</v>
      </c>
      <c r="AQ16" s="626"/>
      <c r="AR16" s="626">
        <v>722</v>
      </c>
      <c r="AS16" s="626">
        <v>435</v>
      </c>
      <c r="AT16" s="293">
        <f t="shared" si="2"/>
        <v>1157</v>
      </c>
      <c r="AU16" s="626"/>
      <c r="AV16" s="626">
        <v>633</v>
      </c>
      <c r="AW16" s="626">
        <v>666</v>
      </c>
      <c r="AX16" s="293">
        <f t="shared" si="3"/>
        <v>1299</v>
      </c>
      <c r="AY16" s="626"/>
      <c r="AZ16" s="626">
        <v>606</v>
      </c>
      <c r="BA16" s="626">
        <v>762</v>
      </c>
      <c r="BB16" s="293">
        <f t="shared" si="4"/>
        <v>1368</v>
      </c>
      <c r="BC16" s="626"/>
      <c r="BD16" s="626">
        <v>374</v>
      </c>
      <c r="BE16" s="626">
        <v>661</v>
      </c>
      <c r="BF16" s="293">
        <f t="shared" si="5"/>
        <v>1035</v>
      </c>
      <c r="BH16" s="626">
        <v>555</v>
      </c>
      <c r="BI16" s="626">
        <v>679</v>
      </c>
      <c r="BJ16" s="293">
        <f t="shared" si="6"/>
        <v>1234</v>
      </c>
      <c r="BL16" s="626">
        <v>591</v>
      </c>
      <c r="BM16" s="626">
        <v>979</v>
      </c>
      <c r="BN16" s="293">
        <f t="shared" si="7"/>
        <v>1570</v>
      </c>
      <c r="BP16" s="626">
        <v>687</v>
      </c>
      <c r="BQ16" s="626">
        <v>1040</v>
      </c>
      <c r="BR16" s="293">
        <f t="shared" si="8"/>
        <v>1727</v>
      </c>
      <c r="BT16" s="626">
        <v>1108</v>
      </c>
      <c r="BU16" s="626">
        <v>959</v>
      </c>
      <c r="BV16" s="293">
        <f t="shared" si="9"/>
        <v>2067</v>
      </c>
      <c r="BX16" s="626">
        <v>776</v>
      </c>
      <c r="BY16" s="626">
        <v>982</v>
      </c>
      <c r="BZ16" s="293">
        <f t="shared" si="10"/>
        <v>1758</v>
      </c>
      <c r="CB16" s="626">
        <v>881</v>
      </c>
      <c r="CC16" s="626">
        <v>1076</v>
      </c>
      <c r="CD16" s="293">
        <f t="shared" si="11"/>
        <v>1957</v>
      </c>
      <c r="CF16" s="626">
        <v>1231</v>
      </c>
      <c r="CG16" s="626">
        <v>1560</v>
      </c>
      <c r="CH16" s="293">
        <f t="shared" si="12"/>
        <v>2791</v>
      </c>
      <c r="CJ16" s="626">
        <v>1627</v>
      </c>
      <c r="CK16" s="626">
        <v>1234</v>
      </c>
      <c r="CL16" s="293">
        <f t="shared" si="13"/>
        <v>2861</v>
      </c>
      <c r="CN16" s="1388">
        <v>1487</v>
      </c>
      <c r="CO16" s="1388">
        <v>1995</v>
      </c>
      <c r="CP16" s="293">
        <f t="shared" si="14"/>
        <v>3482</v>
      </c>
      <c r="CR16" s="1388">
        <v>1659</v>
      </c>
      <c r="CS16" s="1388">
        <v>2337</v>
      </c>
      <c r="CT16" s="293">
        <f t="shared" si="15"/>
        <v>3996</v>
      </c>
      <c r="CV16" s="1388">
        <f>+CX16-CW16</f>
        <v>2817</v>
      </c>
      <c r="CW16" s="626">
        <v>4756</v>
      </c>
      <c r="CX16" s="626">
        <v>7573</v>
      </c>
      <c r="CZ16" s="1388">
        <v>2612</v>
      </c>
      <c r="DA16" s="1388">
        <v>2836</v>
      </c>
      <c r="DB16" s="293">
        <f t="shared" si="17"/>
        <v>5448</v>
      </c>
      <c r="DD16" s="1388">
        <v>2460</v>
      </c>
      <c r="DE16" s="2176">
        <v>2910</v>
      </c>
      <c r="DF16" s="293">
        <f t="shared" si="18"/>
        <v>5370</v>
      </c>
      <c r="DH16" s="2255">
        <v>2445</v>
      </c>
      <c r="DI16" s="293">
        <f>DI59</f>
        <v>3280.9700000000003</v>
      </c>
      <c r="DJ16" s="293">
        <f t="shared" si="19"/>
        <v>5725.97</v>
      </c>
      <c r="DL16" s="293">
        <f>DL59</f>
        <v>2623.5912999999996</v>
      </c>
      <c r="DM16" s="293">
        <f>DM59</f>
        <v>3347.8119890000003</v>
      </c>
      <c r="DN16" s="293">
        <f t="shared" si="20"/>
        <v>5971.4032889999999</v>
      </c>
      <c r="DO16" s="293"/>
      <c r="DP16" s="293">
        <f>DP59</f>
        <v>2678.5929496700001</v>
      </c>
      <c r="DQ16" s="293">
        <f>DQ59</f>
        <v>3425.7311526600997</v>
      </c>
      <c r="DR16" s="293">
        <f t="shared" si="21"/>
        <v>6104.3241023300998</v>
      </c>
      <c r="DS16" s="293"/>
      <c r="DU16" s="293"/>
      <c r="DV16" s="293"/>
      <c r="DW16" s="293"/>
      <c r="DX16" s="293"/>
      <c r="DZ16" s="293"/>
      <c r="EA16" s="293"/>
      <c r="EB16" s="293"/>
      <c r="ED16" s="293"/>
      <c r="EE16" s="293"/>
      <c r="EF16" s="293"/>
    </row>
    <row r="17" spans="1:273">
      <c r="A17" s="102" t="s">
        <v>652</v>
      </c>
      <c r="AN17" s="626">
        <v>94</v>
      </c>
      <c r="AO17" s="626">
        <v>62</v>
      </c>
      <c r="AP17" s="293">
        <f t="shared" si="1"/>
        <v>156</v>
      </c>
      <c r="AR17" s="293">
        <f>DIVISIONS!AR40+DIVISIONS!AR117+DIVISIONS!AR345+DIVISIONS!AR233+DIVISIONS!AR472+DIVISIONS!AR547+DIVISIONS!AR669+DIVISIONS!AR713</f>
        <v>118</v>
      </c>
      <c r="AS17" s="293">
        <f>DIVISIONS!AS40+DIVISIONS!AS117+DIVISIONS!AS345+DIVISIONS!AS233+DIVISIONS!AS472+DIVISIONS!AS547+DIVISIONS!AS669+DIVISIONS!AS713</f>
        <v>-44</v>
      </c>
      <c r="AT17" s="293">
        <f t="shared" si="2"/>
        <v>74</v>
      </c>
      <c r="AV17" s="293">
        <f>DIVISIONS!AV40+DIVISIONS!AV117+DIVISIONS!AV345+DIVISIONS!AV233+DIVISIONS!AV472+DIVISIONS!AV547+DIVISIONS!AV669+DIVISIONS!AV713</f>
        <v>-197</v>
      </c>
      <c r="AW17" s="293">
        <f>DIVISIONS!AW40+DIVISIONS!AW117+DIVISIONS!AW345+DIVISIONS!AW233+DIVISIONS!AW472+DIVISIONS!AW547+DIVISIONS!AW669+DIVISIONS!AW713</f>
        <v>-33</v>
      </c>
      <c r="AX17" s="293">
        <f t="shared" si="3"/>
        <v>-230</v>
      </c>
      <c r="AZ17" s="293">
        <f>DIVISIONS!AZ40+DIVISIONS!AZ117+DIVISIONS!AZ345+DIVISIONS!AZ233+DIVISIONS!AZ472+DIVISIONS!AZ547+DIVISIONS!AZ669+DIVISIONS!AZ713</f>
        <v>85</v>
      </c>
      <c r="BA17" s="293">
        <f>DIVISIONS!BA40+DIVISIONS!BA117+DIVISIONS!BA345+DIVISIONS!BA233+DIVISIONS!BA472+DIVISIONS!BA547+DIVISIONS!BA669+DIVISIONS!BA713</f>
        <v>94</v>
      </c>
      <c r="BB17" s="293">
        <f t="shared" si="4"/>
        <v>179</v>
      </c>
      <c r="BD17" s="293">
        <f>DIVISIONS!BD40+DIVISIONS!BD117+DIVISIONS!BD345+DIVISIONS!BD233+DIVISIONS!BD472+DIVISIONS!BD547+DIVISIONS!BD713</f>
        <v>49</v>
      </c>
      <c r="BE17" s="293">
        <f>DIVISIONS!BE40+DIVISIONS!BE117+DIVISIONS!BE345+DIVISIONS!BE233+DIVISIONS!BE472+DIVISIONS!BE547+DIVISIONS!BE713</f>
        <v>59</v>
      </c>
      <c r="BF17" s="293">
        <f t="shared" si="5"/>
        <v>108</v>
      </c>
      <c r="BH17" s="293">
        <f>BH423</f>
        <v>75</v>
      </c>
      <c r="BI17" s="293">
        <f>BI423</f>
        <v>17</v>
      </c>
      <c r="BJ17" s="293">
        <f t="shared" si="6"/>
        <v>92</v>
      </c>
      <c r="BL17" s="293">
        <f>BL423</f>
        <v>70</v>
      </c>
      <c r="BM17" s="293">
        <f>BM423</f>
        <v>79</v>
      </c>
      <c r="BN17" s="293">
        <f t="shared" si="7"/>
        <v>149</v>
      </c>
      <c r="BP17" s="293">
        <f>BP423</f>
        <v>19</v>
      </c>
      <c r="BQ17" s="293">
        <f>BQ423</f>
        <v>-14</v>
      </c>
      <c r="BR17" s="293">
        <f t="shared" si="8"/>
        <v>5</v>
      </c>
      <c r="BT17" s="293">
        <f>BT423</f>
        <v>-63</v>
      </c>
      <c r="BU17" s="293">
        <f>BU423</f>
        <v>67</v>
      </c>
      <c r="BV17" s="293">
        <f t="shared" si="9"/>
        <v>4</v>
      </c>
      <c r="BX17" s="293">
        <f>BX423</f>
        <v>-8</v>
      </c>
      <c r="BY17" s="293">
        <f>BY423</f>
        <v>59</v>
      </c>
      <c r="BZ17" s="293">
        <f t="shared" si="10"/>
        <v>51</v>
      </c>
      <c r="CB17" s="293">
        <f>CB423</f>
        <v>103</v>
      </c>
      <c r="CC17" s="293">
        <f>CC423</f>
        <v>138</v>
      </c>
      <c r="CD17" s="293">
        <f t="shared" si="11"/>
        <v>241</v>
      </c>
      <c r="CF17" s="293">
        <f>CF423</f>
        <v>7</v>
      </c>
      <c r="CG17" s="293">
        <f>CG423</f>
        <v>-63</v>
      </c>
      <c r="CH17" s="293">
        <f t="shared" si="12"/>
        <v>-56</v>
      </c>
      <c r="CJ17" s="293">
        <f>CJ423</f>
        <v>-49</v>
      </c>
      <c r="CK17" s="293">
        <f>CK423</f>
        <v>144</v>
      </c>
      <c r="CL17" s="293">
        <f t="shared" si="13"/>
        <v>95</v>
      </c>
      <c r="CN17" s="1010">
        <f>CN423</f>
        <v>-54</v>
      </c>
      <c r="CO17" s="1010">
        <f>CO423</f>
        <v>51</v>
      </c>
      <c r="CP17" s="293">
        <f t="shared" si="14"/>
        <v>-3</v>
      </c>
      <c r="CR17" s="1010">
        <f>CR423</f>
        <v>242</v>
      </c>
      <c r="CS17" s="293">
        <f>CS423</f>
        <v>-2</v>
      </c>
      <c r="CT17" s="293">
        <f t="shared" si="15"/>
        <v>240</v>
      </c>
      <c r="CV17" s="1010">
        <f>CV423</f>
        <v>-61</v>
      </c>
      <c r="CW17" s="293">
        <f>CW423</f>
        <v>-52</v>
      </c>
      <c r="CX17" s="293">
        <f t="shared" si="16"/>
        <v>-113</v>
      </c>
      <c r="CZ17" s="1010">
        <f>CZ423</f>
        <v>-5</v>
      </c>
      <c r="DA17" s="293">
        <f>DA423</f>
        <v>-44</v>
      </c>
      <c r="DB17" s="293">
        <f t="shared" si="17"/>
        <v>-49</v>
      </c>
      <c r="DD17" s="1010">
        <f>DD423</f>
        <v>1</v>
      </c>
      <c r="DE17" s="293">
        <f>DE423</f>
        <v>166</v>
      </c>
      <c r="DF17" s="293">
        <f t="shared" si="18"/>
        <v>167</v>
      </c>
      <c r="DH17" s="1010">
        <f>DH423</f>
        <v>-50</v>
      </c>
      <c r="DI17" s="293">
        <f>DI423</f>
        <v>7.98</v>
      </c>
      <c r="DJ17" s="293">
        <f t="shared" si="19"/>
        <v>-42.019999999999996</v>
      </c>
      <c r="DL17" s="293">
        <f>DL423</f>
        <v>1.9400000000000972E-2</v>
      </c>
      <c r="DM17" s="293">
        <f>DM423</f>
        <v>2.1199820000000003</v>
      </c>
      <c r="DN17" s="293">
        <f t="shared" si="20"/>
        <v>2.1393820000000012</v>
      </c>
      <c r="DO17" s="293"/>
      <c r="DP17" s="293">
        <f>DP423</f>
        <v>2.2835814599999971</v>
      </c>
      <c r="DQ17" s="293">
        <f>DQ423</f>
        <v>4.5120889037999952</v>
      </c>
      <c r="DR17" s="293">
        <f t="shared" si="21"/>
        <v>6.7956703637999922</v>
      </c>
      <c r="DS17" s="293"/>
      <c r="DU17" s="293"/>
      <c r="DV17" s="293"/>
      <c r="DW17" s="293"/>
      <c r="DX17" s="293"/>
      <c r="DZ17" s="293"/>
      <c r="EA17" s="293"/>
      <c r="EB17" s="293"/>
      <c r="ED17" s="293"/>
      <c r="EE17" s="293"/>
      <c r="EF17" s="293"/>
    </row>
    <row r="18" spans="1:273">
      <c r="A18" s="102" t="s">
        <v>621</v>
      </c>
      <c r="AN18" s="293">
        <f>DIVISIONS!AN41+DIVISIONS!AN118+DIVISIONS!AN346+DIVISIONS!AN234+DIVISIONS!AN473+DIVISIONS!AN548+DIVISIONS!AN670+DIVISIONS!AN714</f>
        <v>282</v>
      </c>
      <c r="AO18" s="293">
        <f>DIVISIONS!AO41+DIVISIONS!AO118+DIVISIONS!AO346+DIVISIONS!AO234+DIVISIONS!AO473+DIVISIONS!AO548+DIVISIONS!AO670+DIVISIONS!AO714</f>
        <v>94</v>
      </c>
      <c r="AP18" s="293">
        <f t="shared" si="1"/>
        <v>376</v>
      </c>
      <c r="AR18" s="293">
        <f>+AR20-AR17-AR16-AR10-AR9</f>
        <v>-545</v>
      </c>
      <c r="AS18" s="293">
        <f>+AS20-AS17-AS16-AS10-AS9</f>
        <v>-143</v>
      </c>
      <c r="AT18" s="293">
        <f t="shared" si="2"/>
        <v>-688</v>
      </c>
      <c r="AV18" s="293">
        <f>DIVISIONS!AV41+DIVISIONS!AV118+DIVISIONS!AV346+DIVISIONS!AV234+DIVISIONS!AV473+DIVISIONS!AV548+DIVISIONS!AV670+DIVISIONS!AV714</f>
        <v>362</v>
      </c>
      <c r="AW18" s="293">
        <f>DIVISIONS!AW41+DIVISIONS!AW118+DIVISIONS!AW346+DIVISIONS!AW234+DIVISIONS!AW473+DIVISIONS!AW548+DIVISIONS!AW670+DIVISIONS!AW714</f>
        <v>406</v>
      </c>
      <c r="AX18" s="293">
        <f t="shared" si="3"/>
        <v>768</v>
      </c>
      <c r="AZ18" s="293">
        <f>DIVISIONS!AZ41+DIVISIONS!AZ118+DIVISIONS!AZ346+DIVISIONS!AZ234+DIVISIONS!AZ473+DIVISIONS!AZ548+DIVISIONS!AZ670+DIVISIONS!AZ714</f>
        <v>370</v>
      </c>
      <c r="BA18" s="293">
        <f>DIVISIONS!BA41+DIVISIONS!BA118+DIVISIONS!BA346+DIVISIONS!BA234+DIVISIONS!BA473+DIVISIONS!BA548+DIVISIONS!BA670+DIVISIONS!BA714</f>
        <v>561</v>
      </c>
      <c r="BB18" s="293">
        <f t="shared" si="4"/>
        <v>931</v>
      </c>
      <c r="BD18" s="293">
        <f>DIVISIONS!BD41+DIVISIONS!BD118+DIVISIONS!BD346+DIVISIONS!BD234+DIVISIONS!BD473+DIVISIONS!BD548+DIVISIONS!BD714</f>
        <v>356</v>
      </c>
      <c r="BE18" s="293">
        <f>DIVISIONS!BE41+DIVISIONS!BE118+DIVISIONS!BE346+DIVISIONS!BE234+DIVISIONS!BE473+DIVISIONS!BE548+DIVISIONS!BE714</f>
        <v>767</v>
      </c>
      <c r="BF18" s="293">
        <f t="shared" si="5"/>
        <v>1123</v>
      </c>
      <c r="BH18" s="293">
        <f>BH449</f>
        <v>144</v>
      </c>
      <c r="BI18" s="293">
        <f>BI449</f>
        <v>441</v>
      </c>
      <c r="BJ18" s="293">
        <f t="shared" si="6"/>
        <v>585</v>
      </c>
      <c r="BL18" s="293">
        <f>BL449</f>
        <v>320</v>
      </c>
      <c r="BM18" s="293">
        <f>BM449</f>
        <v>535</v>
      </c>
      <c r="BN18" s="293">
        <f t="shared" si="7"/>
        <v>855</v>
      </c>
      <c r="BP18" s="293">
        <f>BP449</f>
        <v>455</v>
      </c>
      <c r="BQ18" s="293">
        <f>BQ449</f>
        <v>244</v>
      </c>
      <c r="BR18" s="293">
        <f t="shared" si="8"/>
        <v>699</v>
      </c>
      <c r="BT18" s="293">
        <f>BT449</f>
        <v>314</v>
      </c>
      <c r="BU18" s="293">
        <f>BU449</f>
        <v>632</v>
      </c>
      <c r="BV18" s="293">
        <f t="shared" si="9"/>
        <v>946</v>
      </c>
      <c r="BX18" s="293">
        <f>BX449</f>
        <v>1149</v>
      </c>
      <c r="BY18" s="293">
        <f>BY449</f>
        <v>890</v>
      </c>
      <c r="BZ18" s="293">
        <f t="shared" si="10"/>
        <v>2039</v>
      </c>
      <c r="CB18" s="293">
        <f>CB449</f>
        <v>834</v>
      </c>
      <c r="CC18" s="293">
        <f>CC449</f>
        <v>1232</v>
      </c>
      <c r="CD18" s="293">
        <f t="shared" si="11"/>
        <v>2066</v>
      </c>
      <c r="CF18" s="293">
        <f>CF449</f>
        <v>933</v>
      </c>
      <c r="CG18" s="293">
        <f>CG449</f>
        <v>1800</v>
      </c>
      <c r="CH18" s="293">
        <f t="shared" si="12"/>
        <v>2733</v>
      </c>
      <c r="CJ18" s="293">
        <f>CJ449</f>
        <v>1078</v>
      </c>
      <c r="CK18" s="293">
        <f>CK449</f>
        <v>595</v>
      </c>
      <c r="CL18" s="293">
        <f t="shared" si="13"/>
        <v>1673</v>
      </c>
      <c r="CN18" s="1010">
        <f>CN449</f>
        <v>440</v>
      </c>
      <c r="CO18" s="1010">
        <f>CO449</f>
        <v>1484</v>
      </c>
      <c r="CP18" s="293">
        <f t="shared" si="14"/>
        <v>1924</v>
      </c>
      <c r="CR18" s="1010">
        <f>CR449</f>
        <v>1078</v>
      </c>
      <c r="CS18" s="293">
        <f>CS449</f>
        <v>2263</v>
      </c>
      <c r="CT18" s="293">
        <f t="shared" si="15"/>
        <v>3341</v>
      </c>
      <c r="CV18" s="1010">
        <f>CV449</f>
        <v>1460</v>
      </c>
      <c r="CW18" s="293">
        <f>CW449</f>
        <v>774</v>
      </c>
      <c r="CX18" s="293">
        <f t="shared" si="16"/>
        <v>2234</v>
      </c>
      <c r="CZ18" s="1010">
        <f>CZ449</f>
        <v>647</v>
      </c>
      <c r="DA18" s="293">
        <f>DA449</f>
        <v>1133</v>
      </c>
      <c r="DB18" s="1010">
        <f t="shared" si="17"/>
        <v>1780</v>
      </c>
      <c r="DD18" s="1010">
        <f>DD449</f>
        <v>786</v>
      </c>
      <c r="DE18" s="293">
        <f>DE449</f>
        <v>588</v>
      </c>
      <c r="DF18" s="1010">
        <f t="shared" si="18"/>
        <v>1374</v>
      </c>
      <c r="DH18" s="1010">
        <f>DH449</f>
        <v>329</v>
      </c>
      <c r="DI18" s="293">
        <f>DI449</f>
        <v>1100.3424</v>
      </c>
      <c r="DJ18" s="293">
        <f t="shared" si="19"/>
        <v>1429.3424</v>
      </c>
      <c r="DL18" s="293">
        <f>DL449</f>
        <v>694.38060000000007</v>
      </c>
      <c r="DM18" s="293">
        <f>DM449</f>
        <v>935.69831799999997</v>
      </c>
      <c r="DN18" s="293">
        <f t="shared" si="20"/>
        <v>1630.0789180000002</v>
      </c>
      <c r="DO18" s="293"/>
      <c r="DP18" s="293">
        <f>DP449</f>
        <v>804.34669154000005</v>
      </c>
      <c r="DQ18" s="293">
        <f>DQ449</f>
        <v>1059.7373032861999</v>
      </c>
      <c r="DR18" s="293">
        <f t="shared" si="21"/>
        <v>1864.0839948262001</v>
      </c>
      <c r="DS18" s="293"/>
      <c r="DU18" s="293"/>
      <c r="DV18" s="293"/>
      <c r="DW18" s="293"/>
      <c r="DX18" s="293"/>
      <c r="DZ18" s="293"/>
      <c r="EA18" s="293"/>
      <c r="EB18" s="293"/>
      <c r="ED18" s="293"/>
      <c r="EE18" s="293"/>
      <c r="EF18" s="293"/>
    </row>
    <row r="19" spans="1:273">
      <c r="A19" s="102" t="s">
        <v>567</v>
      </c>
      <c r="AN19" s="293">
        <f>DIVISIONS!AN42+DIVISIONS!AN119+DIVISIONS!AN347+DIVISIONS!AN235+DIVISIONS!AN474+DIVISIONS!AN549+DIVISIONS!AN671+DIVISIONS!AN715</f>
        <v>0</v>
      </c>
      <c r="AO19" s="293">
        <f>DIVISIONS!AO42+DIVISIONS!AO119+DIVISIONS!AO347+DIVISIONS!AO235+DIVISIONS!AO474+DIVISIONS!AO549+DIVISIONS!AO671+DIVISIONS!AO715</f>
        <v>0</v>
      </c>
      <c r="AP19" s="293">
        <f t="shared" si="1"/>
        <v>0</v>
      </c>
      <c r="AR19" s="293">
        <f>DIVISIONS!AR42+DIVISIONS!AR119+DIVISIONS!AR347+DIVISIONS!AR235+DIVISIONS!AR474+DIVISIONS!AR549+DIVISIONS!AR671+DIVISIONS!AR715</f>
        <v>0</v>
      </c>
      <c r="AS19" s="293">
        <f>DIVISIONS!AS42+DIVISIONS!AS119+DIVISIONS!AS347+DIVISIONS!AS235+DIVISIONS!AS474+DIVISIONS!AS549+DIVISIONS!AS671+DIVISIONS!AS715</f>
        <v>0</v>
      </c>
      <c r="AT19" s="293">
        <f t="shared" si="2"/>
        <v>0</v>
      </c>
      <c r="AV19" s="293">
        <f>DIVISIONS!AV42+DIVISIONS!AV119+DIVISIONS!AV347+DIVISIONS!AV235+DIVISIONS!AV474+DIVISIONS!AV549+DIVISIONS!AV671+DIVISIONS!AV715</f>
        <v>0</v>
      </c>
      <c r="AW19" s="293">
        <f>DIVISIONS!AW42+DIVISIONS!AW119+DIVISIONS!AW347+DIVISIONS!AW235+DIVISIONS!AW474+DIVISIONS!AW549+DIVISIONS!AW671+DIVISIONS!AW715</f>
        <v>0</v>
      </c>
      <c r="AX19" s="293">
        <f t="shared" si="3"/>
        <v>0</v>
      </c>
      <c r="AZ19" s="293">
        <f>DIVISIONS!AZ42+DIVISIONS!AZ119+DIVISIONS!AZ347+DIVISIONS!AZ235+DIVISIONS!AZ474+DIVISIONS!AZ549+DIVISIONS!AZ671+DIVISIONS!AZ715</f>
        <v>0</v>
      </c>
      <c r="BA19" s="293">
        <f>DIVISIONS!BA42+DIVISIONS!BA119+DIVISIONS!BA347+DIVISIONS!BA235+DIVISIONS!BA474+DIVISIONS!BA549+DIVISIONS!BA671+DIVISIONS!BA715</f>
        <v>0</v>
      </c>
      <c r="BB19" s="293">
        <f t="shared" si="4"/>
        <v>0</v>
      </c>
      <c r="BD19" s="293">
        <f>DIVISIONS!BD42+DIVISIONS!BD119+DIVISIONS!BD347+DIVISIONS!BD235+DIVISIONS!BD474+DIVISIONS!BD549+DIVISIONS!BD715</f>
        <v>0</v>
      </c>
      <c r="BE19" s="293">
        <f>DIVISIONS!BE42+DIVISIONS!BE119+DIVISIONS!BE347+DIVISIONS!BE235+DIVISIONS!BE474+DIVISIONS!BE549+DIVISIONS!BE715</f>
        <v>0</v>
      </c>
      <c r="BF19" s="293">
        <f t="shared" si="5"/>
        <v>0</v>
      </c>
      <c r="BH19" s="293">
        <f>BH677</f>
        <v>0</v>
      </c>
      <c r="BI19" s="293">
        <f>BI677</f>
        <v>0</v>
      </c>
      <c r="BJ19" s="293">
        <f t="shared" si="6"/>
        <v>0</v>
      </c>
      <c r="BL19" s="293">
        <f>BL677</f>
        <v>0</v>
      </c>
      <c r="BM19" s="293">
        <f>BM677</f>
        <v>0</v>
      </c>
      <c r="BN19" s="293">
        <f t="shared" si="7"/>
        <v>0</v>
      </c>
      <c r="BP19" s="293">
        <f>BP677</f>
        <v>0</v>
      </c>
      <c r="BQ19" s="293">
        <f>BQ677</f>
        <v>0</v>
      </c>
      <c r="BR19" s="293">
        <f t="shared" si="8"/>
        <v>0</v>
      </c>
      <c r="BT19" s="293">
        <f>BT677</f>
        <v>0</v>
      </c>
      <c r="BU19" s="293">
        <f>BU677</f>
        <v>0</v>
      </c>
      <c r="BV19" s="293">
        <f t="shared" si="9"/>
        <v>0</v>
      </c>
      <c r="BX19" s="293">
        <f>BX677</f>
        <v>0</v>
      </c>
      <c r="BY19" s="293">
        <f>BY677</f>
        <v>0</v>
      </c>
      <c r="BZ19" s="293">
        <f t="shared" si="10"/>
        <v>0</v>
      </c>
      <c r="CB19" s="293">
        <f>CB677</f>
        <v>0</v>
      </c>
      <c r="CC19" s="293">
        <f>CC677</f>
        <v>0</v>
      </c>
      <c r="CD19" s="293">
        <f t="shared" si="11"/>
        <v>0</v>
      </c>
      <c r="CF19" s="293">
        <f>CF677</f>
        <v>0</v>
      </c>
      <c r="CG19" s="293">
        <f>CG677</f>
        <v>0</v>
      </c>
      <c r="CH19" s="293">
        <f t="shared" si="12"/>
        <v>0</v>
      </c>
      <c r="CJ19" s="293">
        <f>CJ677</f>
        <v>0</v>
      </c>
      <c r="CK19" s="293">
        <f>CK677</f>
        <v>0</v>
      </c>
      <c r="CL19" s="293">
        <f t="shared" si="13"/>
        <v>0</v>
      </c>
      <c r="CN19" s="293">
        <f>CN677</f>
        <v>0</v>
      </c>
      <c r="CO19" s="293">
        <f>CO677</f>
        <v>0</v>
      </c>
      <c r="CP19" s="293">
        <f t="shared" si="14"/>
        <v>0</v>
      </c>
      <c r="CR19" s="293">
        <f>CR677</f>
        <v>0</v>
      </c>
      <c r="CS19" s="293">
        <f>CS677</f>
        <v>0</v>
      </c>
      <c r="CT19" s="293">
        <f t="shared" si="15"/>
        <v>0</v>
      </c>
      <c r="CV19" s="293">
        <f>CV677</f>
        <v>0</v>
      </c>
      <c r="CW19" s="293">
        <f>CW677</f>
        <v>0</v>
      </c>
      <c r="CX19" s="293">
        <f t="shared" si="16"/>
        <v>0</v>
      </c>
      <c r="CZ19" s="293">
        <f>CZ677</f>
        <v>0</v>
      </c>
      <c r="DA19" s="293">
        <f>DA677</f>
        <v>0</v>
      </c>
      <c r="DB19" s="293">
        <f t="shared" si="17"/>
        <v>0</v>
      </c>
      <c r="DD19" s="293">
        <f>DD677</f>
        <v>0</v>
      </c>
      <c r="DE19" s="293">
        <f>DE677</f>
        <v>0</v>
      </c>
      <c r="DF19" s="293">
        <f t="shared" si="18"/>
        <v>0</v>
      </c>
      <c r="DH19" s="293">
        <f>DH677</f>
        <v>0</v>
      </c>
      <c r="DI19" s="293">
        <f>DI677</f>
        <v>0</v>
      </c>
      <c r="DJ19" s="293">
        <f t="shared" si="19"/>
        <v>0</v>
      </c>
      <c r="DL19" s="293">
        <f>DL677</f>
        <v>0</v>
      </c>
      <c r="DM19" s="293">
        <f>DM677</f>
        <v>0</v>
      </c>
      <c r="DN19" s="293">
        <f t="shared" si="20"/>
        <v>0</v>
      </c>
      <c r="DO19" s="293"/>
      <c r="DP19" s="293">
        <f>DP677</f>
        <v>0</v>
      </c>
      <c r="DQ19" s="293">
        <f>DQ677</f>
        <v>0</v>
      </c>
      <c r="DR19" s="293">
        <f t="shared" si="21"/>
        <v>0</v>
      </c>
      <c r="DS19" s="293"/>
      <c r="DU19" s="293"/>
      <c r="DV19" s="293"/>
      <c r="DW19" s="293"/>
      <c r="DX19" s="293"/>
      <c r="DZ19" s="293"/>
      <c r="EA19" s="293"/>
      <c r="EB19" s="293"/>
      <c r="ED19" s="293"/>
      <c r="EE19" s="293"/>
      <c r="EF19" s="293"/>
    </row>
    <row r="20" spans="1:273">
      <c r="A20" s="289" t="s">
        <v>568</v>
      </c>
      <c r="AN20" s="655">
        <v>4710</v>
      </c>
      <c r="AO20" s="655">
        <v>3538</v>
      </c>
      <c r="AP20" s="295">
        <f t="shared" si="1"/>
        <v>8248</v>
      </c>
      <c r="AR20" s="655">
        <v>2970</v>
      </c>
      <c r="AS20" s="655">
        <v>2556</v>
      </c>
      <c r="AT20" s="295">
        <f t="shared" si="2"/>
        <v>5526</v>
      </c>
      <c r="AV20" s="295">
        <f>SUM(AV9:AV10,AV16:AV19)</f>
        <v>3105</v>
      </c>
      <c r="AW20" s="295">
        <f>SUM(AW9:AW10,AW16:AW19)</f>
        <v>3533</v>
      </c>
      <c r="AX20" s="295">
        <f t="shared" si="3"/>
        <v>6638</v>
      </c>
      <c r="AZ20" s="295">
        <f>SUM(AZ9:AZ10,AZ16:AZ19)</f>
        <v>3661</v>
      </c>
      <c r="BA20" s="295">
        <f>SUM(BA9:BA10,BA16:BA19)</f>
        <v>3983</v>
      </c>
      <c r="BB20" s="295">
        <f t="shared" si="4"/>
        <v>7644</v>
      </c>
      <c r="BD20" s="295">
        <f>SUM(BD9:BD10,BD16:BD19)</f>
        <v>3242.663</v>
      </c>
      <c r="BE20" s="295">
        <f>SUM(BE9:BE10,BE16:BE19)</f>
        <v>3720</v>
      </c>
      <c r="BF20" s="295">
        <f t="shared" si="5"/>
        <v>6962.6630000000005</v>
      </c>
      <c r="BG20" s="830">
        <f>BF20/BB20-1</f>
        <v>-8.9133568812140185E-2</v>
      </c>
      <c r="BH20" s="295">
        <f>SUM(BH9:BH10,BH16:BH19)</f>
        <v>3054</v>
      </c>
      <c r="BI20" s="295">
        <f>SUM(BI9:BI10,BI16:BI19)</f>
        <v>3603</v>
      </c>
      <c r="BJ20" s="295">
        <f t="shared" si="6"/>
        <v>6657</v>
      </c>
      <c r="BK20" s="830">
        <f>BJ20/BF20-1</f>
        <v>-4.3900300790085667E-2</v>
      </c>
      <c r="BL20" s="295">
        <f>SUM(BL9:BL10,BL16:BL19)</f>
        <v>3679</v>
      </c>
      <c r="BM20" s="295">
        <f>SUM(BM9:BM10,BM16:BM19)</f>
        <v>4455</v>
      </c>
      <c r="BN20" s="295">
        <f t="shared" si="7"/>
        <v>8134</v>
      </c>
      <c r="BO20" s="830">
        <f>BN20/BJ20-1</f>
        <v>0.22187171398527861</v>
      </c>
      <c r="BP20" s="295">
        <f>SUM(BP9:BP10,BP16:BP19)</f>
        <v>4284</v>
      </c>
      <c r="BQ20" s="295">
        <f>SUM(BQ9:BQ10,BQ16:BQ19)</f>
        <v>4978</v>
      </c>
      <c r="BR20" s="295">
        <f t="shared" si="8"/>
        <v>9262</v>
      </c>
      <c r="BS20" s="830">
        <f>BR20/BN20-1</f>
        <v>0.13867715761003185</v>
      </c>
      <c r="BT20" s="295">
        <f>SUM(BT9:BT10,BT16:BT19)</f>
        <v>5318</v>
      </c>
      <c r="BU20" s="295">
        <f>SUM(BU9:BU10,BU16:BU19)</f>
        <v>4840</v>
      </c>
      <c r="BV20" s="295">
        <f t="shared" si="9"/>
        <v>10158</v>
      </c>
      <c r="BW20" s="830">
        <f>BV20/BR20-1</f>
        <v>9.6739365147916256E-2</v>
      </c>
      <c r="BX20" s="295">
        <f>SUM(BX9:BX10,BX16:BX19)</f>
        <v>5218</v>
      </c>
      <c r="BY20" s="295">
        <f>SUM(BY9:BY10,BY16:BY19)</f>
        <v>5146</v>
      </c>
      <c r="BZ20" s="295">
        <f t="shared" si="10"/>
        <v>10364</v>
      </c>
      <c r="CA20" s="830">
        <f>BZ20/BV20-1</f>
        <v>2.0279582594999068E-2</v>
      </c>
      <c r="CB20" s="295">
        <f>SUM(CB9:CB10,CB16:CB19)</f>
        <v>5397</v>
      </c>
      <c r="CC20" s="295">
        <f>SUM(CC9:CC10,CC16:CC19)</f>
        <v>5523</v>
      </c>
      <c r="CD20" s="295">
        <f t="shared" si="11"/>
        <v>10920</v>
      </c>
      <c r="CE20" s="830">
        <f>CD20/BZ20-1</f>
        <v>5.3647240447703526E-2</v>
      </c>
      <c r="CF20" s="295">
        <f>SUM(CF9:CF10,CF16:CF19)</f>
        <v>5830</v>
      </c>
      <c r="CG20" s="295">
        <f>SUM(CG9:CG10,CG16:CG19)</f>
        <v>6924</v>
      </c>
      <c r="CH20" s="295">
        <f t="shared" si="12"/>
        <v>12754</v>
      </c>
      <c r="CI20" s="830">
        <f>CH20/CD20-1</f>
        <v>0.16794871794871802</v>
      </c>
      <c r="CJ20" s="295">
        <f>SUM(CJ9:CJ10,CJ16:CJ19)</f>
        <v>6320</v>
      </c>
      <c r="CK20" s="295">
        <f>SUM(CK9:CK10,CK16:CK19)</f>
        <v>6005</v>
      </c>
      <c r="CL20" s="295">
        <f t="shared" si="13"/>
        <v>12325</v>
      </c>
      <c r="CM20" s="830">
        <f>CL20/CH20-1</f>
        <v>-3.3636506194135163E-2</v>
      </c>
      <c r="CN20" s="295">
        <f>SUM(CN9:CN10,CN16:CN19)</f>
        <v>5519</v>
      </c>
      <c r="CO20" s="295">
        <f>SUM(CO9:CO10,CO16:CO19)</f>
        <v>7255</v>
      </c>
      <c r="CP20" s="295">
        <f t="shared" si="14"/>
        <v>12774</v>
      </c>
      <c r="CQ20" s="830">
        <f>CP20/CL20-1</f>
        <v>3.6430020283975573E-2</v>
      </c>
      <c r="CR20" s="295">
        <f>SUM(CR9:CR10,CR16:CR19)</f>
        <v>7804</v>
      </c>
      <c r="CS20" s="295">
        <f>SUM(CS9:CS10,CS16:CS19)</f>
        <v>9520</v>
      </c>
      <c r="CT20" s="295">
        <f t="shared" si="15"/>
        <v>17324</v>
      </c>
      <c r="CU20" s="830">
        <f>CT20/CP20-1</f>
        <v>0.35619226553937677</v>
      </c>
      <c r="CV20" s="295">
        <f>SUM(CV9:CV10,CV16:CV19)</f>
        <v>8702</v>
      </c>
      <c r="CW20" s="295">
        <f>SUM(CW9:CW10,CW16:CW19)</f>
        <v>10420</v>
      </c>
      <c r="CX20" s="295">
        <f t="shared" si="16"/>
        <v>19122</v>
      </c>
      <c r="CY20" s="830">
        <f>CX20/CT20-1</f>
        <v>0.10378665435234358</v>
      </c>
      <c r="CZ20" s="295">
        <f>SUM(CZ9:CZ10,CZ16:CZ19)</f>
        <v>7910</v>
      </c>
      <c r="DA20" s="295">
        <f>SUM(DA9:DA10,DA16:DA19)</f>
        <v>8977</v>
      </c>
      <c r="DB20" s="295">
        <f>CZ20+DA20</f>
        <v>16887</v>
      </c>
      <c r="DC20" s="830">
        <f>DB20/CX20-1</f>
        <v>-0.11688107938500159</v>
      </c>
      <c r="DD20" s="295">
        <f>SUM(DD9:DD10,DD16:DD19)</f>
        <v>8216</v>
      </c>
      <c r="DE20" s="295">
        <f ca="1">SUM(DE9:DE10,DE16:DE19)</f>
        <v>8992</v>
      </c>
      <c r="DF20" s="295">
        <f ca="1">DD20+DE20</f>
        <v>17208</v>
      </c>
      <c r="DH20" s="295">
        <f>SUM(DH9:DH10,DH16:DH19)</f>
        <v>8691</v>
      </c>
      <c r="DI20" s="295">
        <f>SUM(DI9:DI10,DI16:DI19)</f>
        <v>9966.2236998674798</v>
      </c>
      <c r="DJ20" s="295">
        <f t="shared" si="19"/>
        <v>18657.223699867478</v>
      </c>
      <c r="DL20" s="295">
        <f>SUM(DL9:DL10,DL16:DL19)</f>
        <v>8910.2531271361349</v>
      </c>
      <c r="DM20" s="295">
        <f>SUM(DM9:DM10,DM16:DM19)</f>
        <v>10013.843070651159</v>
      </c>
      <c r="DN20" s="295">
        <f t="shared" si="20"/>
        <v>18924.096197787294</v>
      </c>
      <c r="DO20" s="295">
        <f>+DB20-CP20</f>
        <v>4113</v>
      </c>
      <c r="DP20" s="295">
        <f>SUM(DP9:DP10,DP16:DP19)</f>
        <v>9412.3249414995025</v>
      </c>
      <c r="DQ20" s="295">
        <f>SUM(DQ9:DQ10,DQ16:DQ19)</f>
        <v>10551.243662518247</v>
      </c>
      <c r="DR20" s="295">
        <f t="shared" si="21"/>
        <v>19963.56860401775</v>
      </c>
      <c r="DS20" s="295">
        <f ca="1">+DF20-CT20</f>
        <v>-116</v>
      </c>
      <c r="DT20" s="360">
        <f>+DB20/CP20</f>
        <v>1.3219821512447159</v>
      </c>
      <c r="DU20" s="295"/>
      <c r="DV20" s="295"/>
      <c r="DW20" s="295"/>
      <c r="DX20" s="295"/>
      <c r="DZ20" s="295"/>
      <c r="EA20" s="295"/>
      <c r="EB20" s="295"/>
      <c r="ED20" s="295"/>
      <c r="EE20" s="295"/>
      <c r="EF20" s="295"/>
    </row>
    <row r="21" spans="1:273">
      <c r="A21" s="102" t="s">
        <v>604</v>
      </c>
      <c r="AN21" s="626">
        <v>-2420</v>
      </c>
      <c r="AO21" s="626">
        <v>-1757</v>
      </c>
      <c r="AP21" s="293">
        <f t="shared" si="1"/>
        <v>-4177</v>
      </c>
      <c r="AR21" s="293">
        <f>DIVISIONS!AR45+DIVISIONS!AR122+DIVISIONS!AR350+DIVISIONS!AR238+DIVISIONS!AR477+DIVISIONS!AR552+DIVISIONS!AR674+DIVISIONS!AR718</f>
        <v>-1264.770729843332</v>
      </c>
      <c r="AS21" s="293">
        <f>DIVISIONS!AS45+DIVISIONS!AS122+DIVISIONS!AS350+DIVISIONS!AS238+DIVISIONS!AS477+DIVISIONS!AS552+DIVISIONS!AS674+DIVISIONS!AS718+2</f>
        <v>-1094.1471150171951</v>
      </c>
      <c r="AT21" s="293">
        <f t="shared" si="2"/>
        <v>-2358.9178448605271</v>
      </c>
      <c r="AV21" s="293">
        <f>DIVISIONS!AV45+DIVISIONS!AV122+DIVISIONS!AV350+DIVISIONS!AV238+DIVISIONS!AV477+DIVISIONS!AV552+DIVISIONS!AV674+DIVISIONS!AV718</f>
        <v>-1509</v>
      </c>
      <c r="AW21" s="293">
        <f>DIVISIONS!AW45+DIVISIONS!AW122+DIVISIONS!AW350+DIVISIONS!AW238+DIVISIONS!AW477+DIVISIONS!AW552+DIVISIONS!AW674+DIVISIONS!AW718</f>
        <v>-1593</v>
      </c>
      <c r="AX21" s="293">
        <f t="shared" si="3"/>
        <v>-3102</v>
      </c>
      <c r="AZ21" s="293">
        <f>AZ697</f>
        <v>-1895.6662999999999</v>
      </c>
      <c r="BA21" s="293">
        <f>BA697</f>
        <v>-1993.6666300000002</v>
      </c>
      <c r="BB21" s="293">
        <f t="shared" si="4"/>
        <v>-3889.33293</v>
      </c>
      <c r="BD21" s="293">
        <f>BD697</f>
        <v>-1652.3334399999999</v>
      </c>
      <c r="BE21" s="293">
        <f>BE697</f>
        <v>-1907.4994999999999</v>
      </c>
      <c r="BF21" s="293">
        <f t="shared" si="5"/>
        <v>-3559.8329399999998</v>
      </c>
      <c r="BG21" s="649"/>
      <c r="BH21" s="293">
        <f>BH697</f>
        <v>-1538</v>
      </c>
      <c r="BI21" s="293">
        <f>BI697</f>
        <v>-1735</v>
      </c>
      <c r="BJ21" s="293">
        <f t="shared" si="6"/>
        <v>-3273</v>
      </c>
      <c r="BL21" s="293">
        <f>BL697</f>
        <v>-1730</v>
      </c>
      <c r="BM21" s="293">
        <f>BM697</f>
        <v>-2006</v>
      </c>
      <c r="BN21" s="293">
        <f t="shared" si="7"/>
        <v>-3736</v>
      </c>
      <c r="BP21" s="293">
        <f>BP697</f>
        <v>-1944</v>
      </c>
      <c r="BQ21" s="293">
        <f>BQ697</f>
        <v>-2199</v>
      </c>
      <c r="BR21" s="293">
        <f t="shared" si="8"/>
        <v>-4143</v>
      </c>
      <c r="BT21" s="293">
        <f>BT697</f>
        <v>-2263</v>
      </c>
      <c r="BU21" s="293">
        <f>BU697</f>
        <v>-1981</v>
      </c>
      <c r="BV21" s="293">
        <f t="shared" si="9"/>
        <v>-4244</v>
      </c>
      <c r="BX21" s="293">
        <f>BX697</f>
        <v>-2290</v>
      </c>
      <c r="BY21" s="293">
        <f>BY697</f>
        <v>-2089</v>
      </c>
      <c r="BZ21" s="293">
        <f t="shared" si="10"/>
        <v>-4379</v>
      </c>
      <c r="CB21" s="293">
        <f>CB697</f>
        <v>-2261</v>
      </c>
      <c r="CC21" s="293">
        <f>CC697</f>
        <v>-2232</v>
      </c>
      <c r="CD21" s="293">
        <f t="shared" si="11"/>
        <v>-4493</v>
      </c>
      <c r="CF21" s="293">
        <f>CF697</f>
        <v>-2454</v>
      </c>
      <c r="CG21" s="293">
        <f>CG697</f>
        <v>-2763</v>
      </c>
      <c r="CH21" s="293">
        <f t="shared" si="12"/>
        <v>-5217</v>
      </c>
      <c r="CJ21" s="293">
        <f>CJ697</f>
        <v>-2776</v>
      </c>
      <c r="CK21" s="293">
        <f>CK697</f>
        <v>-2547</v>
      </c>
      <c r="CL21" s="293">
        <f t="shared" si="13"/>
        <v>-5323</v>
      </c>
      <c r="CN21" s="293">
        <f>CN697</f>
        <v>-2615</v>
      </c>
      <c r="CO21" s="293">
        <f>CO697</f>
        <v>-2902</v>
      </c>
      <c r="CP21" s="293">
        <f t="shared" si="14"/>
        <v>-5517</v>
      </c>
      <c r="CR21" s="293">
        <f>CR697</f>
        <v>-3164</v>
      </c>
      <c r="CS21" s="293">
        <f>CS697</f>
        <v>-3561</v>
      </c>
      <c r="CT21" s="293">
        <f t="shared" si="15"/>
        <v>-6725</v>
      </c>
      <c r="CV21" s="293">
        <f>CV697</f>
        <v>-3613</v>
      </c>
      <c r="CW21" s="293">
        <f>CW697</f>
        <v>-4090</v>
      </c>
      <c r="CX21" s="293">
        <f t="shared" si="16"/>
        <v>-7703</v>
      </c>
      <c r="CZ21" s="293">
        <f>CZ697</f>
        <v>-3734</v>
      </c>
      <c r="DA21" s="293">
        <f>DA697</f>
        <v>-3989</v>
      </c>
      <c r="DB21" s="293">
        <f t="shared" si="17"/>
        <v>-7723</v>
      </c>
      <c r="DD21" s="293">
        <f>DD697</f>
        <v>-3756</v>
      </c>
      <c r="DE21" s="293">
        <f>DE697</f>
        <v>-3904</v>
      </c>
      <c r="DF21" s="293">
        <f t="shared" ref="DF21:DF30" si="22">DD21+DE21</f>
        <v>-7660</v>
      </c>
      <c r="DH21" s="293">
        <f>DH697</f>
        <v>-3956</v>
      </c>
      <c r="DI21" s="293">
        <f>DIVISIONS!DI45+DIVISIONS!DI122+DIVISIONS!DI350+DIVISIONS!DI238+DIVISIONS!DI477+DIVISIONS!DI552+DIVISIONS!DI718</f>
        <v>-4113.2852697586586</v>
      </c>
      <c r="DJ21" s="293">
        <f t="shared" si="19"/>
        <v>-8069.2852697586586</v>
      </c>
      <c r="DL21" s="293">
        <f>DIVISIONS!DL45+DIVISIONS!DL122+DIVISIONS!DL350+DIVISIONS!DL238+DIVISIONS!DL477+DIVISIONS!DL552+DIVISIONS!DL718</f>
        <v>-4067.0201175485381</v>
      </c>
      <c r="DM21" s="293">
        <f>DIVISIONS!DM45+DIVISIONS!DM122+DIVISIONS!DM350+DIVISIONS!DM238+DIVISIONS!DM477+DIVISIONS!DM552+DIVISIONS!DM718</f>
        <v>-4196.8683706362663</v>
      </c>
      <c r="DN21" s="293">
        <f t="shared" si="20"/>
        <v>-8263.8884881848044</v>
      </c>
      <c r="DO21" s="293"/>
      <c r="DP21" s="293">
        <f>DIVISIONS!DP45+DIVISIONS!DP122+DIVISIONS!DP350+DIVISIONS!DP238+DIVISIONS!DP477+DIVISIONS!DP552+DIVISIONS!DP718</f>
        <v>-4268.4366146201601</v>
      </c>
      <c r="DQ21" s="293">
        <f>DIVISIONS!DQ45+DIVISIONS!DQ122+DIVISIONS!DQ350+DIVISIONS!DQ238+DIVISIONS!DQ477+DIVISIONS!DQ552+DIVISIONS!DQ718</f>
        <v>-4424.6462020054969</v>
      </c>
      <c r="DR21" s="293">
        <f t="shared" si="21"/>
        <v>-8693.0828166256579</v>
      </c>
      <c r="DS21" s="293"/>
      <c r="DU21" s="293"/>
      <c r="DV21" s="293"/>
      <c r="DW21" s="293"/>
      <c r="DX21" s="293"/>
      <c r="DZ21" s="293"/>
      <c r="EA21" s="293"/>
      <c r="EB21" s="293"/>
      <c r="ED21" s="293"/>
      <c r="EE21" s="293"/>
      <c r="EF21" s="293"/>
    </row>
    <row r="22" spans="1:273">
      <c r="A22" s="102" t="s">
        <v>605</v>
      </c>
      <c r="AN22" s="626">
        <v>-313</v>
      </c>
      <c r="AO22" s="626">
        <v>-389</v>
      </c>
      <c r="AP22" s="293">
        <f t="shared" si="1"/>
        <v>-702</v>
      </c>
      <c r="AR22" s="293">
        <f>DIVISIONS!AR46+DIVISIONS!AR123+DIVISIONS!AR351+DIVISIONS!AR239+DIVISIONS!AR478+DIVISIONS!AR553+DIVISIONS!AR675+DIVISIONS!AR719+3</f>
        <v>-311</v>
      </c>
      <c r="AS22" s="293">
        <f>DIVISIONS!AS46+DIVISIONS!AS123+DIVISIONS!AS351+DIVISIONS!AS239+DIVISIONS!AS478+DIVISIONS!AS553+DIVISIONS!AS675+DIVISIONS!AS719+1</f>
        <v>-374</v>
      </c>
      <c r="AT22" s="293">
        <f t="shared" si="2"/>
        <v>-685</v>
      </c>
      <c r="AV22" s="293">
        <f>DIVISIONS!AV46+DIVISIONS!AV123+DIVISIONS!AV351+DIVISIONS!AV239+DIVISIONS!AV478+DIVISIONS!AV553+DIVISIONS!AV675+DIVISIONS!AV719</f>
        <v>-329</v>
      </c>
      <c r="AW22" s="293">
        <f>DIVISIONS!AW46+DIVISIONS!AW123+DIVISIONS!AW351+DIVISIONS!AW239+DIVISIONS!AW478+DIVISIONS!AW553+DIVISIONS!AW675+DIVISIONS!AW719</f>
        <v>-315</v>
      </c>
      <c r="AX22" s="293">
        <f t="shared" si="3"/>
        <v>-644</v>
      </c>
      <c r="AZ22" s="293">
        <f>DIVISIONS!AZ46+DIVISIONS!AZ123+DIVISIONS!AZ351+DIVISIONS!AZ239+DIVISIONS!AZ478+DIVISIONS!AZ553+DIVISIONS!AZ675+DIVISIONS!AZ719</f>
        <v>-441</v>
      </c>
      <c r="BA22" s="293">
        <f>DIVISIONS!BA46+DIVISIONS!BA123+DIVISIONS!BA351+DIVISIONS!BA239+DIVISIONS!BA478+DIVISIONS!BA553+DIVISIONS!BA675+DIVISIONS!BA719</f>
        <v>-344</v>
      </c>
      <c r="BB22" s="293">
        <f t="shared" si="4"/>
        <v>-785</v>
      </c>
      <c r="BD22" s="293">
        <f>DIVISIONS!BD46+DIVISIONS!BD123+DIVISIONS!BD351+DIVISIONS!BD239+DIVISIONS!BD478+DIVISIONS!BD553+DIVISIONS!BD719</f>
        <v>-386</v>
      </c>
      <c r="BE22" s="293">
        <f>DIVISIONS!BE46+DIVISIONS!BE123+DIVISIONS!BE351+DIVISIONS!BE239+DIVISIONS!BE478+DIVISIONS!BE553+DIVISIONS!BE719</f>
        <v>-337.66629999999998</v>
      </c>
      <c r="BF22" s="293">
        <f t="shared" si="5"/>
        <v>-723.66629999999998</v>
      </c>
      <c r="BG22" s="649"/>
      <c r="BH22" s="293">
        <f>BH1136</f>
        <v>-320</v>
      </c>
      <c r="BI22" s="293">
        <f>BI1136</f>
        <v>-284</v>
      </c>
      <c r="BJ22" s="293">
        <f t="shared" si="6"/>
        <v>-604</v>
      </c>
      <c r="BK22" s="293"/>
      <c r="BL22" s="293">
        <f>BL1136</f>
        <v>-379</v>
      </c>
      <c r="BM22" s="293">
        <f>BM1136</f>
        <v>-400</v>
      </c>
      <c r="BN22" s="293">
        <f t="shared" si="7"/>
        <v>-779</v>
      </c>
      <c r="BO22" s="293"/>
      <c r="BP22" s="293">
        <f>BP1136</f>
        <v>-387</v>
      </c>
      <c r="BQ22" s="293">
        <f>BQ1136</f>
        <v>-437</v>
      </c>
      <c r="BR22" s="293">
        <f t="shared" si="8"/>
        <v>-824</v>
      </c>
      <c r="BS22" s="293"/>
      <c r="BT22" s="293">
        <f>BT1136</f>
        <v>-444</v>
      </c>
      <c r="BU22" s="293">
        <f>BU1136</f>
        <v>-448</v>
      </c>
      <c r="BV22" s="293">
        <f t="shared" si="9"/>
        <v>-892</v>
      </c>
      <c r="BX22" s="293">
        <f>BX1136</f>
        <v>-418</v>
      </c>
      <c r="BY22" s="293">
        <f>BY1136</f>
        <v>-434</v>
      </c>
      <c r="BZ22" s="293">
        <f t="shared" si="10"/>
        <v>-852</v>
      </c>
      <c r="CB22" s="293">
        <f>CB1136</f>
        <v>-422</v>
      </c>
      <c r="CC22" s="293">
        <f>CC1136</f>
        <v>-408</v>
      </c>
      <c r="CD22" s="293">
        <f t="shared" si="11"/>
        <v>-830</v>
      </c>
      <c r="CF22" s="293">
        <f>CF1136</f>
        <v>-579</v>
      </c>
      <c r="CG22" s="293">
        <f>CG1136</f>
        <v>-561</v>
      </c>
      <c r="CH22" s="293">
        <f t="shared" si="12"/>
        <v>-1140</v>
      </c>
      <c r="CJ22" s="293">
        <f>CJ1136</f>
        <v>-482</v>
      </c>
      <c r="CK22" s="293">
        <f>CK1136</f>
        <v>-482</v>
      </c>
      <c r="CL22" s="293">
        <f t="shared" si="13"/>
        <v>-964</v>
      </c>
      <c r="CN22" s="293">
        <f>CN1136</f>
        <v>-471</v>
      </c>
      <c r="CO22" s="293">
        <f>CO1136</f>
        <v>-408</v>
      </c>
      <c r="CP22" s="293">
        <f t="shared" si="14"/>
        <v>-879</v>
      </c>
      <c r="CR22" s="293">
        <f>CR1136</f>
        <v>-498</v>
      </c>
      <c r="CS22" s="293">
        <f>CS1136</f>
        <v>-531</v>
      </c>
      <c r="CT22" s="293">
        <f t="shared" si="15"/>
        <v>-1029</v>
      </c>
      <c r="CV22" s="293">
        <f>CV1136</f>
        <v>-500</v>
      </c>
      <c r="CW22" s="293">
        <f>CW1136</f>
        <v>-528</v>
      </c>
      <c r="CX22" s="293">
        <f t="shared" si="16"/>
        <v>-1028</v>
      </c>
      <c r="CZ22" s="293">
        <f>CZ1136</f>
        <v>-529</v>
      </c>
      <c r="DA22" s="293">
        <f>DA1136</f>
        <v>-542</v>
      </c>
      <c r="DB22" s="293">
        <f t="shared" si="17"/>
        <v>-1071</v>
      </c>
      <c r="DD22" s="293">
        <f>DD1136</f>
        <v>-580</v>
      </c>
      <c r="DE22" s="293">
        <f>DE1136</f>
        <v>-626</v>
      </c>
      <c r="DF22" s="293">
        <f t="shared" si="22"/>
        <v>-1206</v>
      </c>
      <c r="DH22" s="293">
        <f>DH1136</f>
        <v>-628</v>
      </c>
      <c r="DI22" s="293">
        <f>DI1136</f>
        <v>-561.50916065666809</v>
      </c>
      <c r="DJ22" s="293">
        <f t="shared" si="19"/>
        <v>-1189.509160656668</v>
      </c>
      <c r="DL22" s="293">
        <f>DL1136</f>
        <v>-549.01522593116874</v>
      </c>
      <c r="DM22" s="293">
        <f>DM1136</f>
        <v>-571.74769568802799</v>
      </c>
      <c r="DN22" s="293">
        <f t="shared" si="20"/>
        <v>-1120.7629216191967</v>
      </c>
      <c r="DO22" s="293"/>
      <c r="DP22" s="293">
        <f>DP1136</f>
        <v>-571.69703948997517</v>
      </c>
      <c r="DQ22" s="293">
        <f>DQ1136</f>
        <v>-595.42322325910618</v>
      </c>
      <c r="DR22" s="293">
        <f t="shared" si="21"/>
        <v>-1167.1202627490813</v>
      </c>
      <c r="DS22" s="293"/>
      <c r="DU22" s="293"/>
      <c r="DV22" s="293"/>
      <c r="DW22" s="293"/>
      <c r="DX22" s="293"/>
      <c r="DZ22" s="293"/>
      <c r="EA22" s="293"/>
      <c r="EB22" s="293"/>
      <c r="ED22" s="293"/>
      <c r="EE22" s="293"/>
      <c r="EF22" s="293"/>
    </row>
    <row r="23" spans="1:273">
      <c r="A23" s="102" t="s">
        <v>606</v>
      </c>
      <c r="AN23" s="626">
        <v>-604</v>
      </c>
      <c r="AO23" s="626">
        <v>-560</v>
      </c>
      <c r="AP23" s="293">
        <f t="shared" si="1"/>
        <v>-1164</v>
      </c>
      <c r="AR23" s="293">
        <f>DIVISIONS!AR47+DIVISIONS!AR124+DIVISIONS!AR352+DIVISIONS!AR240+DIVISIONS!AR479+DIVISIONS!AR554+DIVISIONS!AR676+DIVISIONS!AR720+9</f>
        <v>-667.33702713030186</v>
      </c>
      <c r="AS23" s="293">
        <f>DIVISIONS!AS47+DIVISIONS!AS124+DIVISIONS!AS352+DIVISIONS!AS240+DIVISIONS!AS479+DIVISIONS!AS554+DIVISIONS!AS676+DIVISIONS!AS720-3</f>
        <v>-826.02521971723343</v>
      </c>
      <c r="AT23" s="293">
        <f t="shared" si="2"/>
        <v>-1493.3622468475353</v>
      </c>
      <c r="AV23" s="293">
        <f>DIVISIONS!AV47+DIVISIONS!AV124+DIVISIONS!AV352+DIVISIONS!AV240+DIVISIONS!AV479+DIVISIONS!AV554+DIVISIONS!AV676+DIVISIONS!AV720</f>
        <v>-735</v>
      </c>
      <c r="AW23" s="293">
        <f>DIVISIONS!AW47+DIVISIONS!AW124+DIVISIONS!AW352+DIVISIONS!AW240+DIVISIONS!AW479+DIVISIONS!AW554+DIVISIONS!AW676+DIVISIONS!AW720</f>
        <v>-863</v>
      </c>
      <c r="AX23" s="293">
        <f t="shared" si="3"/>
        <v>-1598</v>
      </c>
      <c r="AZ23" s="293">
        <f>DIVISIONS!AZ47+DIVISIONS!AZ124+DIVISIONS!AZ352+DIVISIONS!AZ240+DIVISIONS!AZ479+DIVISIONS!AZ554+DIVISIONS!AZ676+DIVISIONS!AZ720</f>
        <v>-828</v>
      </c>
      <c r="BA23" s="293">
        <f>DIVISIONS!BA47+DIVISIONS!BA124+DIVISIONS!BA352+DIVISIONS!BA240+DIVISIONS!BA479+DIVISIONS!BA554+DIVISIONS!BA676+DIVISIONS!BA720</f>
        <v>-870</v>
      </c>
      <c r="BB23" s="293">
        <f t="shared" si="4"/>
        <v>-1698</v>
      </c>
      <c r="BD23" s="293">
        <f>BD1160</f>
        <v>-790</v>
      </c>
      <c r="BE23" s="293">
        <f>BE1160</f>
        <v>-840</v>
      </c>
      <c r="BF23" s="293">
        <f t="shared" si="5"/>
        <v>-1630</v>
      </c>
      <c r="BG23" s="649"/>
      <c r="BH23" s="293">
        <f>BH1160</f>
        <v>-679</v>
      </c>
      <c r="BI23" s="293">
        <f>BI1160</f>
        <v>-696</v>
      </c>
      <c r="BJ23" s="293">
        <f t="shared" si="6"/>
        <v>-1375</v>
      </c>
      <c r="BL23" s="293">
        <f>BL1160</f>
        <v>-760</v>
      </c>
      <c r="BM23" s="293">
        <f>BM1160</f>
        <v>-751</v>
      </c>
      <c r="BN23" s="293">
        <f t="shared" si="7"/>
        <v>-1511</v>
      </c>
      <c r="BP23" s="293">
        <f>BP1160</f>
        <v>-832</v>
      </c>
      <c r="BQ23" s="293">
        <f>BQ1160</f>
        <v>-941</v>
      </c>
      <c r="BR23" s="293">
        <f t="shared" si="8"/>
        <v>-1773</v>
      </c>
      <c r="BT23" s="293">
        <f>BT1160</f>
        <v>-992</v>
      </c>
      <c r="BU23" s="293">
        <f>BU1160</f>
        <v>-1015</v>
      </c>
      <c r="BV23" s="293">
        <f t="shared" si="9"/>
        <v>-2007</v>
      </c>
      <c r="BX23" s="293">
        <f>BX1160</f>
        <v>-1025</v>
      </c>
      <c r="BY23" s="293">
        <f>BY1160</f>
        <v>-1004</v>
      </c>
      <c r="BZ23" s="293">
        <f t="shared" si="10"/>
        <v>-2029</v>
      </c>
      <c r="CB23" s="293">
        <f>CB1160</f>
        <v>-1010</v>
      </c>
      <c r="CC23" s="293">
        <f>CC1160</f>
        <v>-1123</v>
      </c>
      <c r="CD23" s="293">
        <f t="shared" si="11"/>
        <v>-2133</v>
      </c>
      <c r="CF23" s="293">
        <f>CF1160</f>
        <v>-1092</v>
      </c>
      <c r="CG23" s="293">
        <f>CG1160</f>
        <v>-1438</v>
      </c>
      <c r="CH23" s="293">
        <f t="shared" si="12"/>
        <v>-2530</v>
      </c>
      <c r="CJ23" s="293">
        <f>CJ1160</f>
        <v>-1222</v>
      </c>
      <c r="CK23" s="293">
        <f>CK1160</f>
        <v>-1362</v>
      </c>
      <c r="CL23" s="293">
        <f t="shared" si="13"/>
        <v>-2584</v>
      </c>
      <c r="CN23" s="293">
        <f>CN1160</f>
        <v>-1180</v>
      </c>
      <c r="CO23" s="293">
        <f>CO1160</f>
        <v>-1291</v>
      </c>
      <c r="CP23" s="293">
        <f t="shared" si="14"/>
        <v>-2471</v>
      </c>
      <c r="CR23" s="293">
        <f>CR1160</f>
        <v>-1407</v>
      </c>
      <c r="CS23" s="293">
        <f>CS1160</f>
        <v>-1624</v>
      </c>
      <c r="CT23" s="293">
        <f t="shared" si="15"/>
        <v>-3031</v>
      </c>
      <c r="CV23" s="293">
        <f>CV1160</f>
        <v>-1483</v>
      </c>
      <c r="CW23" s="293">
        <f>CW1160</f>
        <v>-1916</v>
      </c>
      <c r="CX23" s="293">
        <f t="shared" si="16"/>
        <v>-3399</v>
      </c>
      <c r="CZ23" s="293">
        <f>CZ1160</f>
        <v>-1656</v>
      </c>
      <c r="DA23" s="293">
        <f>DA1160</f>
        <v>-1611</v>
      </c>
      <c r="DB23" s="293">
        <f t="shared" si="17"/>
        <v>-3267</v>
      </c>
      <c r="DD23" s="293">
        <f>DD1160</f>
        <v>-1583</v>
      </c>
      <c r="DE23" s="293">
        <f>DE1160</f>
        <v>-1691</v>
      </c>
      <c r="DF23" s="293">
        <f t="shared" si="22"/>
        <v>-3274</v>
      </c>
      <c r="DH23" s="293">
        <f>DH1160</f>
        <v>-1655</v>
      </c>
      <c r="DI23" s="293">
        <f>DI1160</f>
        <v>-1718.4049999999997</v>
      </c>
      <c r="DJ23" s="293">
        <f t="shared" si="19"/>
        <v>-3373.4049999999997</v>
      </c>
      <c r="DL23" s="293">
        <f>DL1160</f>
        <v>-1616.1849999999997</v>
      </c>
      <c r="DM23" s="293">
        <f>DM1160</f>
        <v>-1663.9884</v>
      </c>
      <c r="DN23" s="293">
        <f t="shared" si="20"/>
        <v>-3280.1733999999997</v>
      </c>
      <c r="DO23" s="293"/>
      <c r="DP23" s="293">
        <f>DP1160</f>
        <v>-1657.4045499999997</v>
      </c>
      <c r="DQ23" s="293">
        <f>DQ1160</f>
        <v>-1706.1287712000001</v>
      </c>
      <c r="DR23" s="293">
        <f t="shared" si="21"/>
        <v>-3363.5333211999996</v>
      </c>
      <c r="DS23" s="293"/>
      <c r="DU23" s="293"/>
      <c r="DV23" s="293"/>
      <c r="DW23" s="293"/>
      <c r="DX23" s="293"/>
      <c r="DZ23" s="293"/>
      <c r="EA23" s="293"/>
      <c r="EB23" s="293"/>
      <c r="ED23" s="293"/>
      <c r="EE23" s="293"/>
      <c r="EF23" s="293"/>
    </row>
    <row r="24" spans="1:273" s="289" customFormat="1">
      <c r="A24" s="289" t="s">
        <v>569</v>
      </c>
      <c r="B24" s="290"/>
      <c r="AN24" s="295">
        <f>SUM(AN21:AN23)</f>
        <v>-3337</v>
      </c>
      <c r="AO24" s="295">
        <f>SUM(AO21:AO23)</f>
        <v>-2706</v>
      </c>
      <c r="AP24" s="295">
        <f t="shared" si="1"/>
        <v>-6043</v>
      </c>
      <c r="AQ24" s="290"/>
      <c r="AR24" s="295">
        <f>SUM(AR21:AR23)</f>
        <v>-2243.107756973634</v>
      </c>
      <c r="AS24" s="295">
        <f>SUM(AS21:AS23)</f>
        <v>-2294.1723347344287</v>
      </c>
      <c r="AT24" s="295">
        <f t="shared" si="2"/>
        <v>-4537.2800917080622</v>
      </c>
      <c r="AU24" s="290"/>
      <c r="AV24" s="295">
        <f>SUM(AV21:AV23)</f>
        <v>-2573</v>
      </c>
      <c r="AW24" s="295">
        <f>SUM(AW21:AW23)</f>
        <v>-2771</v>
      </c>
      <c r="AX24" s="295">
        <f t="shared" si="3"/>
        <v>-5344</v>
      </c>
      <c r="AY24" s="290"/>
      <c r="AZ24" s="295">
        <f>SUM(AZ21:AZ23)</f>
        <v>-3164.6662999999999</v>
      </c>
      <c r="BA24" s="295">
        <f>SUM(BA21:BA23)</f>
        <v>-3207.6666300000002</v>
      </c>
      <c r="BB24" s="295">
        <f t="shared" si="4"/>
        <v>-6372.3329300000005</v>
      </c>
      <c r="BC24" s="685"/>
      <c r="BD24" s="295">
        <f>SUM(BD21:BD23)</f>
        <v>-2828.3334399999999</v>
      </c>
      <c r="BE24" s="295">
        <f>SUM(BE21:BE23)</f>
        <v>-3085.1657999999998</v>
      </c>
      <c r="BF24" s="295">
        <f t="shared" si="5"/>
        <v>-5913.4992399999992</v>
      </c>
      <c r="BG24" s="649"/>
      <c r="BH24" s="295">
        <f>SUM(BH21:BH23)</f>
        <v>-2537</v>
      </c>
      <c r="BI24" s="295">
        <f>SUM(BI21:BI23)</f>
        <v>-2715</v>
      </c>
      <c r="BJ24" s="295">
        <f t="shared" si="6"/>
        <v>-5252</v>
      </c>
      <c r="BK24" s="290"/>
      <c r="BL24" s="295">
        <f>SUM(BL21:BL23)</f>
        <v>-2869</v>
      </c>
      <c r="BM24" s="295">
        <f>SUM(BM21:BM23)</f>
        <v>-3157</v>
      </c>
      <c r="BN24" s="295">
        <f t="shared" si="7"/>
        <v>-6026</v>
      </c>
      <c r="BO24" s="290"/>
      <c r="BP24" s="295">
        <f>SUM(BP21:BP23)</f>
        <v>-3163</v>
      </c>
      <c r="BQ24" s="295">
        <f>SUM(BQ21:BQ23)</f>
        <v>-3577</v>
      </c>
      <c r="BR24" s="295">
        <f t="shared" si="8"/>
        <v>-6740</v>
      </c>
      <c r="BS24" s="290"/>
      <c r="BT24" s="295">
        <f>SUM(BT21:BT23)</f>
        <v>-3699</v>
      </c>
      <c r="BU24" s="295">
        <f>SUM(BU21:BU23)</f>
        <v>-3444</v>
      </c>
      <c r="BV24" s="295">
        <f t="shared" si="9"/>
        <v>-7143</v>
      </c>
      <c r="BW24" s="290"/>
      <c r="BX24" s="295">
        <f>SUM(BX21:BX23)</f>
        <v>-3733</v>
      </c>
      <c r="BY24" s="295">
        <f>SUM(BY21:BY23)</f>
        <v>-3527</v>
      </c>
      <c r="BZ24" s="295">
        <f t="shared" si="10"/>
        <v>-7260</v>
      </c>
      <c r="CA24" s="290"/>
      <c r="CB24" s="295">
        <f>SUM(CB21:CB23)</f>
        <v>-3693</v>
      </c>
      <c r="CC24" s="295">
        <f>SUM(CC21:CC23)</f>
        <v>-3763</v>
      </c>
      <c r="CD24" s="295">
        <f t="shared" si="11"/>
        <v>-7456</v>
      </c>
      <c r="CE24" s="581"/>
      <c r="CF24" s="295">
        <f>SUM(CF21:CF23)</f>
        <v>-4125</v>
      </c>
      <c r="CG24" s="295">
        <f>SUM(CG21:CG23)</f>
        <v>-4762</v>
      </c>
      <c r="CH24" s="295">
        <f t="shared" si="12"/>
        <v>-8887</v>
      </c>
      <c r="CI24" s="581"/>
      <c r="CJ24" s="295">
        <f>SUM(CJ21:CJ23)</f>
        <v>-4480</v>
      </c>
      <c r="CK24" s="295">
        <f>SUM(CK21:CK23)</f>
        <v>-4391</v>
      </c>
      <c r="CL24" s="295">
        <f t="shared" si="13"/>
        <v>-8871</v>
      </c>
      <c r="CM24" s="581"/>
      <c r="CN24" s="295">
        <f>SUM(CN21:CN23)</f>
        <v>-4266</v>
      </c>
      <c r="CO24" s="295">
        <f>SUM(CO21:CO23)</f>
        <v>-4601</v>
      </c>
      <c r="CP24" s="295">
        <f t="shared" si="14"/>
        <v>-8867</v>
      </c>
      <c r="CQ24" s="581"/>
      <c r="CR24" s="295">
        <f>SUM(CR21:CR23)</f>
        <v>-5069</v>
      </c>
      <c r="CS24" s="295">
        <f>SUM(CS21:CS23)</f>
        <v>-5716</v>
      </c>
      <c r="CT24" s="295">
        <f t="shared" si="15"/>
        <v>-10785</v>
      </c>
      <c r="CU24" s="290"/>
      <c r="CV24" s="295">
        <f>SUM(CV21:CV23)</f>
        <v>-5596</v>
      </c>
      <c r="CW24" s="295">
        <f>SUM(CW21:CW23)</f>
        <v>-6534</v>
      </c>
      <c r="CX24" s="295">
        <f t="shared" si="16"/>
        <v>-12130</v>
      </c>
      <c r="CY24" s="290"/>
      <c r="CZ24" s="295">
        <f>SUM(CZ21:CZ23)</f>
        <v>-5919</v>
      </c>
      <c r="DA24" s="295">
        <f>SUM(DA21:DA23)</f>
        <v>-6142</v>
      </c>
      <c r="DB24" s="295">
        <f t="shared" si="17"/>
        <v>-12061</v>
      </c>
      <c r="DC24" s="290"/>
      <c r="DD24" s="295">
        <f>SUM(DD21:DD23)</f>
        <v>-5919</v>
      </c>
      <c r="DE24" s="295">
        <f>SUM(DE21:DE23)</f>
        <v>-6221</v>
      </c>
      <c r="DF24" s="295">
        <f t="shared" si="22"/>
        <v>-12140</v>
      </c>
      <c r="DG24" s="290"/>
      <c r="DH24" s="295">
        <f>SUM(DH21:DH23)</f>
        <v>-6239</v>
      </c>
      <c r="DI24" s="295">
        <f>SUM(DI21:DI23)</f>
        <v>-6393.1994304153268</v>
      </c>
      <c r="DJ24" s="295">
        <f t="shared" si="19"/>
        <v>-12632.199430415327</v>
      </c>
      <c r="DK24" s="290"/>
      <c r="DL24" s="295">
        <f>SUM(DL21:DL23)</f>
        <v>-6232.2203434797066</v>
      </c>
      <c r="DM24" s="295">
        <f>SUM(DM21:DM23)</f>
        <v>-6432.6044663242947</v>
      </c>
      <c r="DN24" s="295">
        <f t="shared" si="20"/>
        <v>-12664.824809804002</v>
      </c>
      <c r="DO24" s="295">
        <f>+DB24-CP24</f>
        <v>-3194</v>
      </c>
      <c r="DP24" s="295">
        <f>SUM(DP21:DP23)</f>
        <v>-6497.5382041101348</v>
      </c>
      <c r="DQ24" s="295">
        <f>SUM(DQ21:DQ23)</f>
        <v>-6726.1981964646029</v>
      </c>
      <c r="DR24" s="295">
        <f t="shared" si="21"/>
        <v>-13223.736400574737</v>
      </c>
      <c r="DS24" s="295">
        <f>+DF24-CT24</f>
        <v>-1355</v>
      </c>
      <c r="DT24" s="360">
        <f>+DB24/CP24</f>
        <v>1.3602120221044323</v>
      </c>
      <c r="DU24" s="295"/>
      <c r="DV24" s="295"/>
      <c r="DW24" s="295"/>
      <c r="DX24" s="295"/>
      <c r="DY24" s="290"/>
      <c r="DZ24" s="295"/>
      <c r="EA24" s="295"/>
      <c r="EB24" s="295"/>
      <c r="EC24" s="290"/>
      <c r="ED24" s="295"/>
      <c r="EE24" s="295"/>
      <c r="EF24" s="295"/>
      <c r="EG24" s="290"/>
      <c r="EH24" s="290"/>
      <c r="EI24" s="290"/>
      <c r="EJ24" s="290"/>
      <c r="EK24" s="290"/>
      <c r="EL24" s="290"/>
      <c r="EM24" s="290"/>
      <c r="EN24" s="290"/>
      <c r="EO24" s="290"/>
      <c r="EP24" s="290"/>
      <c r="JM24"/>
    </row>
    <row r="25" spans="1:273">
      <c r="A25" s="289" t="s">
        <v>572</v>
      </c>
      <c r="AN25" s="295">
        <f>AN20+AN24</f>
        <v>1373</v>
      </c>
      <c r="AO25" s="295">
        <f>AO20+AO24</f>
        <v>832</v>
      </c>
      <c r="AP25" s="295">
        <f t="shared" si="1"/>
        <v>2205</v>
      </c>
      <c r="AR25" s="295">
        <f>AR20+AR24</f>
        <v>726.89224302636603</v>
      </c>
      <c r="AS25" s="295">
        <f>AS20+AS24</f>
        <v>261.82766526557134</v>
      </c>
      <c r="AT25" s="295">
        <f t="shared" si="2"/>
        <v>988.71990829193737</v>
      </c>
      <c r="AV25" s="295">
        <f>AV20+AV24</f>
        <v>532</v>
      </c>
      <c r="AW25" s="295">
        <f>AW20+AW24</f>
        <v>762</v>
      </c>
      <c r="AX25" s="295">
        <f t="shared" si="3"/>
        <v>1294</v>
      </c>
      <c r="AZ25" s="295">
        <f>AZ20+AZ24</f>
        <v>496.33370000000014</v>
      </c>
      <c r="BA25" s="295">
        <f>BA20+BA24</f>
        <v>775.33336999999983</v>
      </c>
      <c r="BB25" s="295">
        <f t="shared" si="4"/>
        <v>1271.66707</v>
      </c>
      <c r="BD25" s="295">
        <f>BD20+BD24</f>
        <v>414.32956000000013</v>
      </c>
      <c r="BE25" s="295">
        <f>BE20+BE24</f>
        <v>634.83420000000024</v>
      </c>
      <c r="BF25" s="295">
        <f t="shared" si="5"/>
        <v>1049.1637600000004</v>
      </c>
      <c r="BH25" s="295">
        <f>BH20+BH24</f>
        <v>517</v>
      </c>
      <c r="BI25" s="295">
        <f>BI20+BI24</f>
        <v>888</v>
      </c>
      <c r="BJ25" s="295">
        <f t="shared" si="6"/>
        <v>1405</v>
      </c>
      <c r="BL25" s="295">
        <f>BL20+BL24</f>
        <v>810</v>
      </c>
      <c r="BM25" s="295">
        <f>BM20+BM24</f>
        <v>1298</v>
      </c>
      <c r="BN25" s="295">
        <f t="shared" si="7"/>
        <v>2108</v>
      </c>
      <c r="BP25" s="295">
        <f>BP20+BP24</f>
        <v>1121</v>
      </c>
      <c r="BQ25" s="295">
        <f>BQ20+BQ24</f>
        <v>1401</v>
      </c>
      <c r="BR25" s="295">
        <f t="shared" si="8"/>
        <v>2522</v>
      </c>
      <c r="BT25" s="295">
        <f>BT20+BT24</f>
        <v>1619</v>
      </c>
      <c r="BU25" s="295">
        <f>BU20+BU24</f>
        <v>1396</v>
      </c>
      <c r="BV25" s="295">
        <f t="shared" si="9"/>
        <v>3015</v>
      </c>
      <c r="BX25" s="295">
        <f>BX20+BX24</f>
        <v>1485</v>
      </c>
      <c r="BY25" s="295">
        <f>BY20+BY24</f>
        <v>1619</v>
      </c>
      <c r="BZ25" s="295">
        <f t="shared" si="10"/>
        <v>3104</v>
      </c>
      <c r="CB25" s="295">
        <f>CB20+CB24</f>
        <v>1704</v>
      </c>
      <c r="CC25" s="295">
        <f>CC20+CC24</f>
        <v>1760</v>
      </c>
      <c r="CD25" s="295">
        <f t="shared" si="11"/>
        <v>3464</v>
      </c>
      <c r="CF25" s="295">
        <f>CF20+CF24</f>
        <v>1705</v>
      </c>
      <c r="CG25" s="295">
        <f>CG20+CG24</f>
        <v>2162</v>
      </c>
      <c r="CH25" s="295">
        <f t="shared" si="12"/>
        <v>3867</v>
      </c>
      <c r="CJ25" s="295">
        <f>CJ20+CJ24</f>
        <v>1840</v>
      </c>
      <c r="CK25" s="295">
        <f>CK20+CK24</f>
        <v>1614</v>
      </c>
      <c r="CL25" s="295">
        <f t="shared" si="13"/>
        <v>3454</v>
      </c>
      <c r="CN25" s="295">
        <f>CN20+CN24</f>
        <v>1253</v>
      </c>
      <c r="CO25" s="295">
        <f>CO20+CO24</f>
        <v>2654</v>
      </c>
      <c r="CP25" s="295">
        <f t="shared" si="14"/>
        <v>3907</v>
      </c>
      <c r="CR25" s="295">
        <f>CR20+CR24</f>
        <v>2735</v>
      </c>
      <c r="CS25" s="295">
        <f>CS20+CS24</f>
        <v>3804</v>
      </c>
      <c r="CT25" s="295">
        <f t="shared" si="15"/>
        <v>6539</v>
      </c>
      <c r="CV25" s="295">
        <f>CV20+CV24</f>
        <v>3106</v>
      </c>
      <c r="CW25" s="295">
        <f>CW20+CW24</f>
        <v>3886</v>
      </c>
      <c r="CX25" s="295">
        <f t="shared" si="16"/>
        <v>6992</v>
      </c>
      <c r="CZ25" s="295">
        <f>CZ20+CZ24</f>
        <v>1991</v>
      </c>
      <c r="DA25" s="295">
        <f>DA20+DA24</f>
        <v>2835</v>
      </c>
      <c r="DB25" s="295">
        <f t="shared" si="17"/>
        <v>4826</v>
      </c>
      <c r="DD25" s="295">
        <f>DD20+DD24</f>
        <v>2297</v>
      </c>
      <c r="DE25" s="295">
        <f ca="1">DE20+DE24</f>
        <v>2771</v>
      </c>
      <c r="DF25" s="295">
        <f t="shared" ca="1" si="22"/>
        <v>5068</v>
      </c>
      <c r="DH25" s="295">
        <f>DH20+DH24</f>
        <v>2452</v>
      </c>
      <c r="DI25" s="295">
        <f>DI20+DI24</f>
        <v>3573.024269452153</v>
      </c>
      <c r="DJ25" s="295">
        <f t="shared" si="19"/>
        <v>6025.024269452153</v>
      </c>
      <c r="DL25" s="295">
        <f>DL20+DL24</f>
        <v>2678.0327836564284</v>
      </c>
      <c r="DM25" s="295">
        <f>DM20+DM24</f>
        <v>3581.2386043268643</v>
      </c>
      <c r="DN25" s="295">
        <f t="shared" si="20"/>
        <v>6259.2713879832927</v>
      </c>
      <c r="DO25" s="295"/>
      <c r="DP25" s="295">
        <f>DP20+DP24</f>
        <v>2914.7867373893678</v>
      </c>
      <c r="DQ25" s="295">
        <f>DQ20+DQ24</f>
        <v>3825.0454660536443</v>
      </c>
      <c r="DR25" s="295">
        <f t="shared" si="21"/>
        <v>6739.8322034430121</v>
      </c>
      <c r="DS25" s="295"/>
      <c r="DU25" s="295"/>
      <c r="DV25" s="295"/>
      <c r="DW25" s="295"/>
      <c r="DX25" s="295"/>
      <c r="DZ25" s="295"/>
      <c r="EA25" s="295"/>
      <c r="EB25" s="295"/>
      <c r="ED25" s="295"/>
      <c r="EE25" s="295"/>
      <c r="EF25" s="295"/>
    </row>
    <row r="26" spans="1:273">
      <c r="A26" s="102" t="s">
        <v>664</v>
      </c>
      <c r="AN26" s="626">
        <v>0</v>
      </c>
      <c r="AO26" s="626">
        <v>0</v>
      </c>
      <c r="AP26" s="293">
        <f t="shared" si="1"/>
        <v>0</v>
      </c>
      <c r="AR26" s="293">
        <v>-2</v>
      </c>
      <c r="AS26" s="293">
        <v>-23</v>
      </c>
      <c r="AT26" s="293">
        <f t="shared" si="2"/>
        <v>-25</v>
      </c>
      <c r="AV26" s="293">
        <f>AV1208</f>
        <v>-1</v>
      </c>
      <c r="AW26" s="293">
        <f>AW1208</f>
        <v>-13</v>
      </c>
      <c r="AX26" s="293">
        <f t="shared" si="3"/>
        <v>-14</v>
      </c>
      <c r="AZ26" s="293">
        <f>AZ1208</f>
        <v>7</v>
      </c>
      <c r="BA26" s="293">
        <f>BA1208</f>
        <v>-10</v>
      </c>
      <c r="BB26" s="293">
        <f t="shared" si="4"/>
        <v>-3</v>
      </c>
      <c r="BD26" s="293">
        <f>BD1208</f>
        <v>12</v>
      </c>
      <c r="BE26" s="293">
        <f>BE1208</f>
        <v>-14</v>
      </c>
      <c r="BF26" s="293">
        <f t="shared" si="5"/>
        <v>-2</v>
      </c>
      <c r="BH26" s="293">
        <f>BH1208</f>
        <v>13</v>
      </c>
      <c r="BI26" s="293">
        <f>BI1208</f>
        <v>-9</v>
      </c>
      <c r="BJ26" s="293">
        <f t="shared" si="6"/>
        <v>4</v>
      </c>
      <c r="BL26" s="293">
        <f>BL1208</f>
        <v>9</v>
      </c>
      <c r="BM26" s="293">
        <f>BM1208</f>
        <v>-1</v>
      </c>
      <c r="BN26" s="293">
        <f t="shared" si="7"/>
        <v>8</v>
      </c>
      <c r="BP26" s="293">
        <f>BP1208</f>
        <v>0</v>
      </c>
      <c r="BQ26" s="293">
        <f>BQ1208</f>
        <v>5</v>
      </c>
      <c r="BR26" s="293">
        <f t="shared" si="8"/>
        <v>5</v>
      </c>
      <c r="BT26" s="293">
        <f>BT1208</f>
        <v>-10</v>
      </c>
      <c r="BU26" s="293">
        <f>BU1208</f>
        <v>2</v>
      </c>
      <c r="BV26" s="293">
        <f t="shared" si="9"/>
        <v>-8</v>
      </c>
      <c r="BX26" s="293">
        <f>BX1208</f>
        <v>11</v>
      </c>
      <c r="BY26" s="293">
        <f>BY1208</f>
        <v>-15</v>
      </c>
      <c r="BZ26" s="293">
        <f t="shared" si="10"/>
        <v>-4</v>
      </c>
      <c r="CB26" s="293">
        <f>CB1208</f>
        <v>-1</v>
      </c>
      <c r="CC26" s="293">
        <f>CC1208</f>
        <v>-9</v>
      </c>
      <c r="CD26" s="293">
        <f t="shared" si="11"/>
        <v>-10</v>
      </c>
      <c r="CF26" s="293">
        <f>CF1208</f>
        <v>-14</v>
      </c>
      <c r="CG26" s="293">
        <f>CG1208</f>
        <v>23</v>
      </c>
      <c r="CH26" s="293">
        <f t="shared" si="12"/>
        <v>9</v>
      </c>
      <c r="CJ26" s="293">
        <f>CJ1208</f>
        <v>-1</v>
      </c>
      <c r="CK26" s="293">
        <f>CK1208</f>
        <v>18</v>
      </c>
      <c r="CL26" s="293">
        <f t="shared" si="13"/>
        <v>17</v>
      </c>
      <c r="CN26" s="293">
        <f>CN1208</f>
        <v>7</v>
      </c>
      <c r="CO26" s="293">
        <f>CO1208</f>
        <v>0</v>
      </c>
      <c r="CP26" s="293">
        <f t="shared" si="14"/>
        <v>7</v>
      </c>
      <c r="CR26" s="293">
        <f>CR1208</f>
        <v>-89</v>
      </c>
      <c r="CS26" s="293">
        <f>CS1208</f>
        <v>-158</v>
      </c>
      <c r="CT26" s="293">
        <f t="shared" si="15"/>
        <v>-247</v>
      </c>
      <c r="CV26" s="293">
        <f>CV1208</f>
        <v>12</v>
      </c>
      <c r="CW26" s="293">
        <f>CW1208</f>
        <v>2</v>
      </c>
      <c r="CX26" s="293">
        <f t="shared" si="16"/>
        <v>14</v>
      </c>
      <c r="CZ26" s="293">
        <f>CZ1208</f>
        <v>11</v>
      </c>
      <c r="DA26" s="293">
        <f>DA1208</f>
        <v>-24</v>
      </c>
      <c r="DB26" s="293">
        <f t="shared" si="17"/>
        <v>-13</v>
      </c>
      <c r="DD26" s="293">
        <f>DD1208</f>
        <v>1</v>
      </c>
      <c r="DE26" s="293">
        <f>DE1208</f>
        <v>-28</v>
      </c>
      <c r="DF26" s="293">
        <f t="shared" si="22"/>
        <v>-27</v>
      </c>
      <c r="DH26" s="293">
        <f>DH1208</f>
        <v>-26</v>
      </c>
      <c r="DI26" s="293">
        <f>DI1208</f>
        <v>-2</v>
      </c>
      <c r="DJ26" s="293">
        <f t="shared" si="19"/>
        <v>-28</v>
      </c>
      <c r="DL26" s="293">
        <f>DL1208</f>
        <v>-2</v>
      </c>
      <c r="DM26" s="293">
        <f>DM1208</f>
        <v>-2</v>
      </c>
      <c r="DN26" s="293">
        <f t="shared" si="20"/>
        <v>-4</v>
      </c>
      <c r="DO26" s="293"/>
      <c r="DP26" s="293">
        <f>DP1208</f>
        <v>-2</v>
      </c>
      <c r="DQ26" s="293">
        <f>DQ1208</f>
        <v>-2</v>
      </c>
      <c r="DR26" s="293">
        <f t="shared" si="21"/>
        <v>-4</v>
      </c>
      <c r="DS26" s="293"/>
      <c r="DU26" s="293"/>
      <c r="DV26" s="293"/>
      <c r="DW26" s="293"/>
      <c r="DX26" s="293"/>
      <c r="DZ26" s="293"/>
      <c r="EA26" s="293"/>
      <c r="EB26" s="293"/>
      <c r="ED26" s="293"/>
      <c r="EE26" s="293"/>
      <c r="EF26" s="293"/>
    </row>
    <row r="27" spans="1:273">
      <c r="A27" s="102" t="s">
        <v>570</v>
      </c>
      <c r="AN27" s="626">
        <v>-273</v>
      </c>
      <c r="AO27" s="626">
        <v>-44</v>
      </c>
      <c r="AP27" s="293">
        <f t="shared" si="1"/>
        <v>-317</v>
      </c>
      <c r="AR27" s="626">
        <v>-79</v>
      </c>
      <c r="AS27" s="626">
        <v>64</v>
      </c>
      <c r="AT27" s="293">
        <f t="shared" si="2"/>
        <v>-15</v>
      </c>
      <c r="AV27" s="293">
        <f>DIVISIONS!AV724</f>
        <v>-36</v>
      </c>
      <c r="AW27" s="293">
        <f>DIVISIONS!AW724</f>
        <v>-165</v>
      </c>
      <c r="AX27" s="293">
        <f t="shared" si="3"/>
        <v>-201</v>
      </c>
      <c r="AZ27" s="293">
        <f>DIVISIONS!AZ724</f>
        <v>-85</v>
      </c>
      <c r="BA27" s="293">
        <f>DIVISIONS!BA724</f>
        <v>-197</v>
      </c>
      <c r="BB27" s="293">
        <f t="shared" si="4"/>
        <v>-282</v>
      </c>
      <c r="BD27" s="293">
        <f>DIVISIONS!BD724</f>
        <v>-107</v>
      </c>
      <c r="BE27" s="293">
        <f>DIVISIONS!BE724</f>
        <v>-180</v>
      </c>
      <c r="BF27" s="293">
        <f t="shared" si="5"/>
        <v>-287</v>
      </c>
      <c r="BH27" s="293">
        <f>DIVISIONS!BH724</f>
        <v>-156</v>
      </c>
      <c r="BI27" s="293">
        <f>DIVISIONS!BI724</f>
        <v>-377</v>
      </c>
      <c r="BJ27" s="293">
        <f t="shared" si="6"/>
        <v>-533</v>
      </c>
      <c r="BL27" s="293">
        <f>DIVISIONS!BL724</f>
        <v>-307</v>
      </c>
      <c r="BM27" s="293">
        <f>DIVISIONS!BM724</f>
        <v>-520</v>
      </c>
      <c r="BN27" s="293">
        <f t="shared" si="7"/>
        <v>-827</v>
      </c>
      <c r="BP27" s="293">
        <f>DIVISIONS!BP724</f>
        <v>-432</v>
      </c>
      <c r="BQ27" s="293">
        <f>DIVISIONS!BQ724</f>
        <v>-467</v>
      </c>
      <c r="BR27" s="293">
        <f t="shared" si="8"/>
        <v>-899</v>
      </c>
      <c r="BT27" s="293">
        <f>DIVISIONS!BT724</f>
        <v>-530</v>
      </c>
      <c r="BU27" s="293">
        <f>DIVISIONS!BU724</f>
        <v>-397</v>
      </c>
      <c r="BV27" s="293">
        <f t="shared" si="9"/>
        <v>-927</v>
      </c>
      <c r="BX27" s="293">
        <f>DIVISIONS!BX724</f>
        <v>-438</v>
      </c>
      <c r="BY27" s="293">
        <f>DIVISIONS!BY724</f>
        <v>-430</v>
      </c>
      <c r="BZ27" s="293">
        <f t="shared" si="10"/>
        <v>-868</v>
      </c>
      <c r="CB27" s="293">
        <f>DIVISIONS!CB724</f>
        <v>-448</v>
      </c>
      <c r="CC27" s="293">
        <f>DIVISIONS!CC724</f>
        <v>-435</v>
      </c>
      <c r="CD27" s="293">
        <f t="shared" si="11"/>
        <v>-883</v>
      </c>
      <c r="CF27" s="293">
        <f>DIVISIONS!CF724</f>
        <v>-374</v>
      </c>
      <c r="CG27" s="293">
        <f>DIVISIONS!CG724</f>
        <v>-505</v>
      </c>
      <c r="CH27" s="293">
        <f t="shared" si="12"/>
        <v>-879</v>
      </c>
      <c r="CJ27" s="293">
        <f>DIVISIONS!CJ724</f>
        <v>-376</v>
      </c>
      <c r="CK27" s="293">
        <f>DIVISIONS!CK724</f>
        <v>-352</v>
      </c>
      <c r="CL27" s="293">
        <f t="shared" si="13"/>
        <v>-728</v>
      </c>
      <c r="CN27" s="293">
        <f>DIVISIONS!CN724</f>
        <v>-275</v>
      </c>
      <c r="CO27" s="293">
        <f>DIVISIONS!CO724</f>
        <v>-624</v>
      </c>
      <c r="CP27" s="293">
        <f t="shared" si="14"/>
        <v>-899</v>
      </c>
      <c r="CR27" s="293">
        <f>DIVISIONS!CR724</f>
        <v>-603</v>
      </c>
      <c r="CS27" s="293">
        <f>DIVISIONS!CS724</f>
        <v>-983</v>
      </c>
      <c r="CT27" s="293">
        <f t="shared" si="15"/>
        <v>-1586</v>
      </c>
      <c r="CV27" s="293">
        <f>DIVISIONS!CV724</f>
        <v>-735</v>
      </c>
      <c r="CW27" s="293">
        <f>DIVISIONS!CW724</f>
        <v>-1089</v>
      </c>
      <c r="CX27" s="293">
        <f t="shared" si="16"/>
        <v>-1824</v>
      </c>
      <c r="CY27" s="320"/>
      <c r="CZ27" s="293">
        <f>DIVISIONS!CZ724</f>
        <v>-587</v>
      </c>
      <c r="DA27" s="293">
        <f>DIVISIONS!DA724</f>
        <v>-704</v>
      </c>
      <c r="DB27" s="293">
        <f t="shared" si="17"/>
        <v>-1291</v>
      </c>
      <c r="DC27" s="320"/>
      <c r="DD27" s="293">
        <f>DIVISIONS!DD724</f>
        <v>-686</v>
      </c>
      <c r="DE27" s="293">
        <f>DIVISIONS!DE724</f>
        <v>-640</v>
      </c>
      <c r="DF27" s="293">
        <f t="shared" si="22"/>
        <v>-1326</v>
      </c>
      <c r="DH27" s="293">
        <f>DIVISIONS!DH724</f>
        <v>-771</v>
      </c>
      <c r="DI27" s="293">
        <f>DIVISIONS!DI724</f>
        <v>-1053.334071488385</v>
      </c>
      <c r="DJ27" s="293">
        <f t="shared" si="19"/>
        <v>-1824.334071488385</v>
      </c>
      <c r="DL27" s="293">
        <f>DIVISIONS!DL724</f>
        <v>-760.19554334208203</v>
      </c>
      <c r="DM27" s="293">
        <f>DIVISIONS!DM724</f>
        <v>-922.36555712498478</v>
      </c>
      <c r="DN27" s="293">
        <f t="shared" si="20"/>
        <v>-1682.5611004670668</v>
      </c>
      <c r="DO27" s="293"/>
      <c r="DP27" s="293">
        <f>DIVISIONS!DP724</f>
        <v>-827.56306815596963</v>
      </c>
      <c r="DQ27" s="293">
        <f>DIVISIONS!DQ724</f>
        <v>-985.50108197394763</v>
      </c>
      <c r="DR27" s="293">
        <f t="shared" si="21"/>
        <v>-1813.0641501299174</v>
      </c>
      <c r="DS27" s="293"/>
      <c r="DU27" s="293"/>
      <c r="DV27" s="293"/>
      <c r="DW27" s="293"/>
      <c r="DX27" s="293"/>
      <c r="DZ27" s="293"/>
      <c r="EA27" s="293"/>
      <c r="EB27" s="293"/>
      <c r="ED27" s="293"/>
      <c r="EE27" s="293"/>
      <c r="EF27" s="293"/>
    </row>
    <row r="28" spans="1:273">
      <c r="A28" s="102" t="s">
        <v>676</v>
      </c>
      <c r="AN28" s="626">
        <f>-24-AN26</f>
        <v>-24</v>
      </c>
      <c r="AO28" s="626">
        <f>-27-AO26</f>
        <v>-27</v>
      </c>
      <c r="AP28" s="293">
        <f t="shared" si="1"/>
        <v>-51</v>
      </c>
      <c r="AR28" s="626">
        <v>-23</v>
      </c>
      <c r="AS28" s="626">
        <v>-22</v>
      </c>
      <c r="AT28" s="293">
        <f t="shared" si="2"/>
        <v>-45</v>
      </c>
      <c r="AV28" s="293">
        <f>DIVISIONS!AV725</f>
        <v>-6</v>
      </c>
      <c r="AW28" s="293">
        <f>DIVISIONS!AW725</f>
        <v>-2</v>
      </c>
      <c r="AX28" s="293">
        <f t="shared" si="3"/>
        <v>-8</v>
      </c>
      <c r="AZ28" s="293">
        <f>DIVISIONS!AZ725</f>
        <v>-2</v>
      </c>
      <c r="BA28" s="293">
        <f>DIVISIONS!BA725</f>
        <v>-2</v>
      </c>
      <c r="BB28" s="293">
        <f t="shared" si="4"/>
        <v>-4</v>
      </c>
      <c r="BD28" s="293">
        <f>DIVISIONS!BD725</f>
        <v>-2</v>
      </c>
      <c r="BE28" s="293">
        <f>DIVISIONS!BE725</f>
        <v>-2</v>
      </c>
      <c r="BF28" s="293">
        <f t="shared" si="5"/>
        <v>-4</v>
      </c>
      <c r="BH28" s="293">
        <f>DIVISIONS!BH725</f>
        <v>-2</v>
      </c>
      <c r="BI28" s="293">
        <f>DIVISIONS!BI725</f>
        <v>-2</v>
      </c>
      <c r="BJ28" s="293">
        <f t="shared" si="6"/>
        <v>-4</v>
      </c>
      <c r="BL28" s="293">
        <f>DIVISIONS!BL725</f>
        <v>-2</v>
      </c>
      <c r="BM28" s="293">
        <f>DIVISIONS!BM725</f>
        <v>-2</v>
      </c>
      <c r="BN28" s="293">
        <f t="shared" si="7"/>
        <v>-4</v>
      </c>
      <c r="BP28" s="293">
        <f>DIVISIONS!BP725</f>
        <v>-2</v>
      </c>
      <c r="BQ28" s="293">
        <f>DIVISIONS!BQ725</f>
        <v>-3</v>
      </c>
      <c r="BR28" s="293">
        <f t="shared" si="8"/>
        <v>-5</v>
      </c>
      <c r="BT28" s="293">
        <f>DIVISIONS!BT725</f>
        <v>-1</v>
      </c>
      <c r="BU28" s="293">
        <f>DIVISIONS!BU725</f>
        <v>0</v>
      </c>
      <c r="BV28" s="293">
        <f t="shared" si="9"/>
        <v>-1</v>
      </c>
      <c r="BX28" s="293">
        <f>DIVISIONS!BX725</f>
        <v>0</v>
      </c>
      <c r="BY28" s="293">
        <f>DIVISIONS!BY725</f>
        <v>0</v>
      </c>
      <c r="BZ28" s="293">
        <f t="shared" si="10"/>
        <v>0</v>
      </c>
      <c r="CB28" s="293">
        <f>DIVISIONS!CB725</f>
        <v>0</v>
      </c>
      <c r="CC28" s="293">
        <f>DIVISIONS!CC725</f>
        <v>0</v>
      </c>
      <c r="CD28" s="293">
        <f t="shared" si="11"/>
        <v>0</v>
      </c>
      <c r="CF28" s="293">
        <f>DIVISIONS!CF725</f>
        <v>0</v>
      </c>
      <c r="CG28" s="293">
        <f>DIVISIONS!CG725</f>
        <v>0</v>
      </c>
      <c r="CH28" s="293">
        <f t="shared" si="12"/>
        <v>0</v>
      </c>
      <c r="CJ28" s="293">
        <f>DIVISIONS!CJ725</f>
        <v>0</v>
      </c>
      <c r="CK28" s="293">
        <f>DIVISIONS!CK725</f>
        <v>0</v>
      </c>
      <c r="CL28" s="293">
        <f t="shared" si="13"/>
        <v>0</v>
      </c>
      <c r="CN28" s="293">
        <f>DIVISIONS!CN725</f>
        <v>0</v>
      </c>
      <c r="CO28" s="293">
        <f>DIVISIONS!CO725</f>
        <v>0</v>
      </c>
      <c r="CP28" s="293">
        <f t="shared" si="14"/>
        <v>0</v>
      </c>
      <c r="CR28" s="293">
        <f>DIVISIONS!CR725</f>
        <v>0</v>
      </c>
      <c r="CS28" s="293">
        <f>DIVISIONS!CS725</f>
        <v>0</v>
      </c>
      <c r="CT28" s="293">
        <f t="shared" si="15"/>
        <v>0</v>
      </c>
      <c r="CV28" s="293">
        <f>DIVISIONS!CV725</f>
        <v>0</v>
      </c>
      <c r="CW28" s="293">
        <f>DIVISIONS!CW725</f>
        <v>0</v>
      </c>
      <c r="CX28" s="293">
        <f t="shared" si="16"/>
        <v>0</v>
      </c>
      <c r="CY28" s="320"/>
      <c r="CZ28" s="293">
        <f>DIVISIONS!CZ725</f>
        <v>0</v>
      </c>
      <c r="DA28" s="293">
        <f>DIVISIONS!DA725</f>
        <v>0</v>
      </c>
      <c r="DB28" s="293">
        <f t="shared" si="17"/>
        <v>0</v>
      </c>
      <c r="DC28" s="320"/>
      <c r="DD28" s="293">
        <f>DIVISIONS!DD725</f>
        <v>0</v>
      </c>
      <c r="DE28" s="293">
        <f>DIVISIONS!DE725</f>
        <v>0</v>
      </c>
      <c r="DF28" s="293">
        <f t="shared" si="22"/>
        <v>0</v>
      </c>
      <c r="DH28" s="293">
        <f>DIVISIONS!DH725</f>
        <v>0</v>
      </c>
      <c r="DI28" s="293">
        <f>DIVISIONS!DI725</f>
        <v>0</v>
      </c>
      <c r="DJ28" s="293">
        <f t="shared" si="19"/>
        <v>0</v>
      </c>
      <c r="DL28" s="293">
        <f>DIVISIONS!DL725</f>
        <v>0</v>
      </c>
      <c r="DM28" s="293">
        <f>DIVISIONS!DM725</f>
        <v>0</v>
      </c>
      <c r="DN28" s="293">
        <f t="shared" si="20"/>
        <v>0</v>
      </c>
      <c r="DO28" s="293"/>
      <c r="DP28" s="293">
        <f>DIVISIONS!DP725</f>
        <v>0</v>
      </c>
      <c r="DQ28" s="293">
        <f>DIVISIONS!DQ725</f>
        <v>0</v>
      </c>
      <c r="DR28" s="293">
        <f t="shared" si="21"/>
        <v>0</v>
      </c>
      <c r="DS28" s="293"/>
      <c r="DU28" s="293"/>
      <c r="DV28" s="293"/>
      <c r="DW28" s="293"/>
      <c r="DX28" s="293"/>
      <c r="DZ28" s="293"/>
      <c r="EA28" s="293"/>
      <c r="EB28" s="293"/>
      <c r="ED28" s="293"/>
      <c r="EE28" s="293"/>
      <c r="EF28" s="293"/>
    </row>
    <row r="29" spans="1:273">
      <c r="A29" s="102" t="s">
        <v>1142</v>
      </c>
      <c r="AN29" s="626">
        <v>-16</v>
      </c>
      <c r="AO29" s="626">
        <v>-18</v>
      </c>
      <c r="AP29" s="293">
        <f t="shared" si="1"/>
        <v>-34</v>
      </c>
      <c r="AR29" s="626">
        <v>-19</v>
      </c>
      <c r="AS29" s="626">
        <v>-14</v>
      </c>
      <c r="AT29" s="293">
        <f t="shared" si="2"/>
        <v>-33</v>
      </c>
      <c r="AV29" s="293">
        <f>DIVISIONS!AV726</f>
        <v>-10</v>
      </c>
      <c r="AW29" s="293">
        <f>DIVISIONS!AW726</f>
        <v>-11</v>
      </c>
      <c r="AX29" s="293">
        <f t="shared" si="3"/>
        <v>-21</v>
      </c>
      <c r="AZ29" s="293">
        <f>DIVISIONS!AZ726</f>
        <v>-13</v>
      </c>
      <c r="BA29" s="293">
        <f>DIVISIONS!BA726</f>
        <v>-13</v>
      </c>
      <c r="BB29" s="293">
        <f t="shared" si="4"/>
        <v>-26</v>
      </c>
      <c r="BD29" s="293">
        <f>DIVISIONS!BD726</f>
        <v>-13</v>
      </c>
      <c r="BE29" s="293">
        <f>DIVISIONS!BE726</f>
        <v>-13</v>
      </c>
      <c r="BF29" s="293">
        <f t="shared" si="5"/>
        <v>-26</v>
      </c>
      <c r="BH29" s="293">
        <f>DIVISIONS!BH726</f>
        <v>-11</v>
      </c>
      <c r="BI29" s="293">
        <f>DIVISIONS!BI726</f>
        <v>-10</v>
      </c>
      <c r="BJ29" s="293">
        <f t="shared" si="6"/>
        <v>-21</v>
      </c>
      <c r="BL29" s="293">
        <f>DIVISIONS!BL726</f>
        <v>-9</v>
      </c>
      <c r="BM29" s="293">
        <f>DIVISIONS!BM726</f>
        <v>-9</v>
      </c>
      <c r="BN29" s="293">
        <f t="shared" si="7"/>
        <v>-18</v>
      </c>
      <c r="BP29" s="293">
        <f>DIVISIONS!BP726</f>
        <v>-9</v>
      </c>
      <c r="BQ29" s="293">
        <f>DIVISIONS!BQ726</f>
        <v>-10</v>
      </c>
      <c r="BR29" s="293">
        <f t="shared" si="8"/>
        <v>-19</v>
      </c>
      <c r="BT29" s="293">
        <f>DIVISIONS!BT726</f>
        <v>-8</v>
      </c>
      <c r="BU29" s="293">
        <f>DIVISIONS!BU726</f>
        <v>-8</v>
      </c>
      <c r="BV29" s="293">
        <f t="shared" si="9"/>
        <v>-16</v>
      </c>
      <c r="BX29" s="293">
        <f>DIVISIONS!BX726</f>
        <v>-8</v>
      </c>
      <c r="BY29" s="293">
        <f>DIVISIONS!BY726</f>
        <v>-7</v>
      </c>
      <c r="BZ29" s="293">
        <f t="shared" si="10"/>
        <v>-15</v>
      </c>
      <c r="CB29" s="293">
        <f>DIVISIONS!CB726</f>
        <v>-7</v>
      </c>
      <c r="CC29" s="293">
        <f>DIVISIONS!CC726</f>
        <v>-7</v>
      </c>
      <c r="CD29" s="293">
        <f t="shared" si="11"/>
        <v>-14</v>
      </c>
      <c r="CF29" s="293">
        <f>DIVISIONS!CF726</f>
        <v>-7</v>
      </c>
      <c r="CG29" s="293">
        <f>DIVISIONS!CG726</f>
        <v>-8</v>
      </c>
      <c r="CH29" s="293">
        <f t="shared" si="12"/>
        <v>-15</v>
      </c>
      <c r="CJ29" s="293">
        <f>DIVISIONS!CJ726</f>
        <v>-6</v>
      </c>
      <c r="CK29" s="293">
        <f>DIVISIONS!CK726</f>
        <v>-6</v>
      </c>
      <c r="CL29" s="293">
        <f t="shared" si="13"/>
        <v>-12</v>
      </c>
      <c r="CN29" s="293">
        <f>DIVISIONS!CN726</f>
        <v>0</v>
      </c>
      <c r="CO29" s="293">
        <f>DIVISIONS!CO726</f>
        <v>0</v>
      </c>
      <c r="CP29" s="293">
        <f t="shared" si="14"/>
        <v>0</v>
      </c>
      <c r="CR29" s="293">
        <f>DIVISIONS!CR726</f>
        <v>0</v>
      </c>
      <c r="CS29" s="293">
        <f>DIVISIONS!CS726</f>
        <v>0</v>
      </c>
      <c r="CT29" s="293">
        <f t="shared" si="15"/>
        <v>0</v>
      </c>
      <c r="CV29" s="293">
        <f>DIVISIONS!CV726</f>
        <v>0</v>
      </c>
      <c r="CW29" s="293">
        <f>DIVISIONS!CW726</f>
        <v>0</v>
      </c>
      <c r="CX29" s="293">
        <f t="shared" si="16"/>
        <v>0</v>
      </c>
      <c r="CZ29" s="293">
        <f>DIVISIONS!CZ726</f>
        <v>0</v>
      </c>
      <c r="DA29" s="293">
        <f>DIVISIONS!DA726</f>
        <v>0</v>
      </c>
      <c r="DB29" s="293">
        <f t="shared" si="17"/>
        <v>0</v>
      </c>
      <c r="DD29" s="293">
        <f>DIVISIONS!DD726</f>
        <v>0</v>
      </c>
      <c r="DE29" s="293">
        <f>DIVISIONS!DE726</f>
        <v>0</v>
      </c>
      <c r="DF29" s="293">
        <f t="shared" si="22"/>
        <v>0</v>
      </c>
      <c r="DH29" s="293">
        <f>DIVISIONS!DH726</f>
        <v>0</v>
      </c>
      <c r="DI29" s="293">
        <f>DIVISIONS!DI726</f>
        <v>0</v>
      </c>
      <c r="DJ29" s="293">
        <f t="shared" si="19"/>
        <v>0</v>
      </c>
      <c r="DL29" s="293">
        <f>DIVISIONS!DL726</f>
        <v>0</v>
      </c>
      <c r="DM29" s="293">
        <f>DIVISIONS!DM726</f>
        <v>0</v>
      </c>
      <c r="DN29" s="293">
        <f t="shared" si="20"/>
        <v>0</v>
      </c>
      <c r="DO29" s="293"/>
      <c r="DP29" s="293">
        <f>DIVISIONS!DP726</f>
        <v>0</v>
      </c>
      <c r="DQ29" s="293">
        <f>DIVISIONS!DQ726</f>
        <v>0</v>
      </c>
      <c r="DR29" s="293">
        <f t="shared" si="21"/>
        <v>0</v>
      </c>
      <c r="DS29" s="293"/>
      <c r="DU29" s="293"/>
      <c r="DV29" s="293"/>
      <c r="DW29" s="293"/>
      <c r="DX29" s="293"/>
      <c r="DZ29" s="293"/>
      <c r="EA29" s="293"/>
      <c r="EB29" s="293"/>
      <c r="ED29" s="293"/>
      <c r="EE29" s="293"/>
      <c r="EF29" s="293"/>
    </row>
    <row r="30" spans="1:273" s="1379" customFormat="1">
      <c r="A30" s="477" t="s">
        <v>769</v>
      </c>
      <c r="B30" s="1378"/>
      <c r="AN30" s="1070">
        <f>SUM(AN25:AN29)</f>
        <v>1060</v>
      </c>
      <c r="AO30" s="1070">
        <f>SUM(AO25:AO29)</f>
        <v>743</v>
      </c>
      <c r="AP30" s="1070">
        <f t="shared" si="1"/>
        <v>1803</v>
      </c>
      <c r="AQ30" s="1378"/>
      <c r="AR30" s="1070">
        <f>SUM(AR25:AR29)</f>
        <v>603.89224302636603</v>
      </c>
      <c r="AS30" s="1070">
        <f>SUM(AS25:AS29)</f>
        <v>266.82766526557134</v>
      </c>
      <c r="AT30" s="1070">
        <f t="shared" si="2"/>
        <v>870.71990829193737</v>
      </c>
      <c r="AU30" s="1378"/>
      <c r="AV30" s="1070">
        <f>SUM(AV25:AV29)</f>
        <v>479</v>
      </c>
      <c r="AW30" s="1070">
        <f>SUM(AW25:AW29)</f>
        <v>571</v>
      </c>
      <c r="AX30" s="1070">
        <f t="shared" si="3"/>
        <v>1050</v>
      </c>
      <c r="AY30" s="1378"/>
      <c r="AZ30" s="1070">
        <f>SUM(AZ25:AZ29)</f>
        <v>403.33370000000014</v>
      </c>
      <c r="BA30" s="1070">
        <f>SUM(BA25:BA29)</f>
        <v>553.33336999999983</v>
      </c>
      <c r="BB30" s="1070">
        <f t="shared" si="4"/>
        <v>956.66706999999997</v>
      </c>
      <c r="BC30" s="1378"/>
      <c r="BD30" s="1070">
        <f>SUM(BD25:BD29)</f>
        <v>304.32956000000013</v>
      </c>
      <c r="BE30" s="1070">
        <f>SUM(BE25:BE29)+0.49</f>
        <v>426.32420000000025</v>
      </c>
      <c r="BF30" s="1070">
        <f t="shared" si="5"/>
        <v>730.65376000000037</v>
      </c>
      <c r="BG30" s="1380">
        <f>+BF30/BB30-1</f>
        <v>-0.23625074708592153</v>
      </c>
      <c r="BH30" s="1070">
        <f>SUM(BH25:BH29)</f>
        <v>361</v>
      </c>
      <c r="BI30" s="1070">
        <f>SUM(BI25:BI29)+0.49</f>
        <v>490.49</v>
      </c>
      <c r="BJ30" s="1070">
        <f t="shared" si="6"/>
        <v>851.49</v>
      </c>
      <c r="BK30" s="1380">
        <f>+BJ30/BF30-1</f>
        <v>0.16538098702181392</v>
      </c>
      <c r="BL30" s="1070">
        <f>SUM(BL25:BL29)</f>
        <v>501</v>
      </c>
      <c r="BM30" s="1070">
        <f>SUM(BM25:BM29)+0.49</f>
        <v>766.49</v>
      </c>
      <c r="BN30" s="1070">
        <f t="shared" si="7"/>
        <v>1267.49</v>
      </c>
      <c r="BO30" s="1380">
        <f>+BN30/BJ30-1</f>
        <v>0.48855535590553023</v>
      </c>
      <c r="BP30" s="1070">
        <f>SUM(BP25:BP29)</f>
        <v>678</v>
      </c>
      <c r="BQ30" s="1070">
        <f>SUM(BQ25:BQ29)+0.49</f>
        <v>926.49</v>
      </c>
      <c r="BR30" s="1070">
        <f t="shared" si="8"/>
        <v>1604.49</v>
      </c>
      <c r="BS30" s="1380">
        <f>+BR30/BN30-1</f>
        <v>0.26587980970264069</v>
      </c>
      <c r="BT30" s="1070">
        <f>SUM(BT25:BT29)</f>
        <v>1070</v>
      </c>
      <c r="BU30" s="1070">
        <f>SUM(BU25:BU29)+0.49</f>
        <v>993.49</v>
      </c>
      <c r="BV30" s="1070">
        <f t="shared" si="9"/>
        <v>2063.4899999999998</v>
      </c>
      <c r="BW30" s="1380">
        <f>+BV30/BR30-1</f>
        <v>0.28607220986107729</v>
      </c>
      <c r="BX30" s="1070">
        <f>SUM(BX25:BX29)</f>
        <v>1050</v>
      </c>
      <c r="BY30" s="1070">
        <f>SUM(BY25:BY29)+0.49</f>
        <v>1167.49</v>
      </c>
      <c r="BZ30" s="1070">
        <f t="shared" si="10"/>
        <v>2217.4899999999998</v>
      </c>
      <c r="CA30" s="1380">
        <f>+BZ30/BV30-1</f>
        <v>7.4630843861613005E-2</v>
      </c>
      <c r="CB30" s="1070">
        <f>SUM(CB25:CB29)</f>
        <v>1248</v>
      </c>
      <c r="CC30" s="1070">
        <f>SUM(CC25:CC29)+0.49</f>
        <v>1309.49</v>
      </c>
      <c r="CD30" s="1070">
        <f t="shared" si="11"/>
        <v>2557.4899999999998</v>
      </c>
      <c r="CE30" s="1380">
        <f>+CD30/BZ30-1</f>
        <v>0.1533265088004907</v>
      </c>
      <c r="CF30" s="1070">
        <f>SUM(CF25:CF29)</f>
        <v>1310</v>
      </c>
      <c r="CG30" s="1070">
        <f>SUM(CG25:CG29)+0.49</f>
        <v>1672.49</v>
      </c>
      <c r="CH30" s="1070">
        <f t="shared" si="12"/>
        <v>2982.49</v>
      </c>
      <c r="CI30" s="1380">
        <f>+CH30/CD30-1</f>
        <v>0.16617855788292424</v>
      </c>
      <c r="CJ30" s="1070">
        <f>SUM(CJ25:CJ29)</f>
        <v>1457</v>
      </c>
      <c r="CK30" s="1070">
        <f>SUM(CK25:CK29)+0.49</f>
        <v>1274.49</v>
      </c>
      <c r="CL30" s="1070">
        <f t="shared" si="13"/>
        <v>2731.49</v>
      </c>
      <c r="CM30" s="1380">
        <f>+CL30/CH30-1</f>
        <v>-8.4157868090085852E-2</v>
      </c>
      <c r="CN30" s="1070">
        <f>SUM(CN25:CN29)</f>
        <v>985</v>
      </c>
      <c r="CO30" s="1070">
        <f>SUM(CO25:CO29)+0.49</f>
        <v>2030.49</v>
      </c>
      <c r="CP30" s="1070">
        <f t="shared" si="14"/>
        <v>3015.49</v>
      </c>
      <c r="CQ30" s="1380">
        <f>+CP30/CL30-1</f>
        <v>0.10397255710253384</v>
      </c>
      <c r="CR30" s="1070">
        <f>SUM(CR25:CR29)</f>
        <v>2043</v>
      </c>
      <c r="CS30" s="1070">
        <f>SUM(CS25:CS29)+0.49</f>
        <v>2663.49</v>
      </c>
      <c r="CT30" s="1070">
        <f t="shared" si="15"/>
        <v>4706.49</v>
      </c>
      <c r="CU30" s="1380">
        <f>+CT30/CP30-1</f>
        <v>0.5607712179446791</v>
      </c>
      <c r="CV30" s="1070">
        <f>SUM(CV25:CV29)</f>
        <v>2383</v>
      </c>
      <c r="CW30" s="1070">
        <f>SUM(CW25:CW29)+0.49</f>
        <v>2799.49</v>
      </c>
      <c r="CX30" s="1070">
        <f t="shared" si="16"/>
        <v>5182.49</v>
      </c>
      <c r="CY30" s="1380">
        <f>+CX30/CT30-1</f>
        <v>0.10113694069253309</v>
      </c>
      <c r="CZ30" s="1070">
        <f>SUM(CZ25:CZ29)</f>
        <v>1415</v>
      </c>
      <c r="DA30" s="1070">
        <f>SUM(DA25:DA29)+0.49</f>
        <v>2107.4899999999998</v>
      </c>
      <c r="DB30" s="1070">
        <f t="shared" si="17"/>
        <v>3522.49</v>
      </c>
      <c r="DC30" s="1380">
        <f>+DB30/CX30-1</f>
        <v>-0.32030934936681021</v>
      </c>
      <c r="DD30" s="1070">
        <f>SUM(DD25:DD29)</f>
        <v>1612</v>
      </c>
      <c r="DE30" s="1070">
        <f ca="1">SUM(DE25:DE29)+0.49</f>
        <v>2103.4899999999998</v>
      </c>
      <c r="DF30" s="1070">
        <f t="shared" ca="1" si="22"/>
        <v>3715.49</v>
      </c>
      <c r="DG30" s="1380">
        <f ca="1">+DF30/DB30-1</f>
        <v>5.4790787198828017E-2</v>
      </c>
      <c r="DH30" s="1070">
        <f>SUM(DH25:DH29)</f>
        <v>1655</v>
      </c>
      <c r="DI30" s="1070">
        <f>SUM(DI25:DI29)</f>
        <v>2517.6901979637678</v>
      </c>
      <c r="DJ30" s="1070">
        <f t="shared" si="19"/>
        <v>4172.6901979637678</v>
      </c>
      <c r="DK30" s="1380">
        <f ca="1">+DJ30/DF30-1</f>
        <v>0.12305246359531807</v>
      </c>
      <c r="DL30" s="1070">
        <f>SUM(DL25:DL29)</f>
        <v>1915.8372403143462</v>
      </c>
      <c r="DM30" s="1070">
        <f>SUM(DM25:DM29)</f>
        <v>2656.8730472018797</v>
      </c>
      <c r="DN30" s="1070">
        <f t="shared" si="20"/>
        <v>4572.7102875162254</v>
      </c>
      <c r="DO30" s="1380">
        <f>+DN30/DJ30-1</f>
        <v>9.5866232711851795E-2</v>
      </c>
      <c r="DP30" s="1070">
        <f>SUM(DP25:DP29)</f>
        <v>2085.2236692333981</v>
      </c>
      <c r="DQ30" s="1070">
        <f>SUM(DQ25:DQ29)</f>
        <v>2837.5443840796966</v>
      </c>
      <c r="DR30" s="1070">
        <f t="shared" si="21"/>
        <v>4922.7680533130952</v>
      </c>
      <c r="DS30" s="1380">
        <f>+DR30/DN30-1</f>
        <v>7.6553672501961989E-2</v>
      </c>
      <c r="DT30" s="1378"/>
      <c r="DU30" s="1070"/>
      <c r="DV30" s="1070"/>
      <c r="DW30" s="1070"/>
      <c r="DX30" s="1070"/>
      <c r="DY30" s="1378"/>
      <c r="DZ30" s="1070"/>
      <c r="EA30" s="1070"/>
      <c r="EB30" s="1070"/>
      <c r="EC30" s="1378"/>
      <c r="ED30" s="1070"/>
      <c r="EE30" s="1070"/>
      <c r="EF30" s="1070"/>
      <c r="EG30" s="1378"/>
      <c r="EH30" s="1378"/>
      <c r="EI30" s="1378"/>
      <c r="EJ30" s="1378"/>
      <c r="EK30" s="1378"/>
      <c r="EL30" s="1378"/>
      <c r="EM30" s="1378"/>
      <c r="EN30" s="1378"/>
      <c r="EO30" s="1378"/>
      <c r="EP30" s="1378"/>
      <c r="JM30"/>
    </row>
    <row r="31" spans="1:273" s="302" customFormat="1">
      <c r="A31" s="102" t="s">
        <v>770</v>
      </c>
      <c r="B31" s="103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626">
        <v>0</v>
      </c>
      <c r="AO31" s="626">
        <v>0</v>
      </c>
      <c r="AP31" s="492">
        <f>+AN31+AO31</f>
        <v>0</v>
      </c>
      <c r="AQ31" s="103"/>
      <c r="AR31" s="626">
        <v>0</v>
      </c>
      <c r="AS31" s="626">
        <v>0</v>
      </c>
      <c r="AT31" s="492">
        <f>+AR31+AS31</f>
        <v>0</v>
      </c>
      <c r="AU31" s="103"/>
      <c r="AV31" s="626">
        <v>0</v>
      </c>
      <c r="AW31" s="626">
        <v>0</v>
      </c>
      <c r="AX31" s="492">
        <f>+AV31+AW31</f>
        <v>0</v>
      </c>
      <c r="AY31" s="103"/>
      <c r="AZ31" s="626">
        <v>0</v>
      </c>
      <c r="BA31" s="626">
        <v>0</v>
      </c>
      <c r="BB31" s="492">
        <f>+AZ31+BA31</f>
        <v>0</v>
      </c>
      <c r="BC31" s="103"/>
      <c r="BD31" s="626">
        <v>0</v>
      </c>
      <c r="BE31" s="626">
        <v>0</v>
      </c>
      <c r="BF31" s="492">
        <f>+BD31+BE31</f>
        <v>0</v>
      </c>
      <c r="BG31" s="103"/>
      <c r="BH31" s="626">
        <v>0</v>
      </c>
      <c r="BI31" s="626">
        <v>0</v>
      </c>
      <c r="BJ31" s="492">
        <f>+BH31+BI31</f>
        <v>0</v>
      </c>
      <c r="BK31" s="103"/>
      <c r="BL31" s="626">
        <v>0</v>
      </c>
      <c r="BM31" s="626">
        <v>0</v>
      </c>
      <c r="BN31" s="492">
        <f>+BL31+BM31</f>
        <v>0</v>
      </c>
      <c r="BO31" s="103"/>
      <c r="BP31" s="626">
        <v>0</v>
      </c>
      <c r="BQ31" s="626">
        <v>0</v>
      </c>
      <c r="BR31" s="492">
        <f>+BP31+BQ31</f>
        <v>0</v>
      </c>
      <c r="BS31" s="103"/>
      <c r="BT31" s="626">
        <v>0</v>
      </c>
      <c r="BU31" s="626">
        <v>0</v>
      </c>
      <c r="BV31" s="492">
        <f>+BT31+BU31</f>
        <v>0</v>
      </c>
      <c r="BW31" s="103"/>
      <c r="BX31" s="626">
        <v>0</v>
      </c>
      <c r="BY31" s="626">
        <v>0</v>
      </c>
      <c r="BZ31" s="492">
        <f>+BX31+BY31</f>
        <v>0</v>
      </c>
      <c r="CA31" s="103"/>
      <c r="CB31" s="626">
        <v>0</v>
      </c>
      <c r="CC31" s="626">
        <v>0</v>
      </c>
      <c r="CD31" s="492">
        <f>+CB31+CC31</f>
        <v>0</v>
      </c>
      <c r="CE31" s="115"/>
      <c r="CF31" s="626">
        <v>0</v>
      </c>
      <c r="CG31" s="626">
        <v>0</v>
      </c>
      <c r="CH31" s="492">
        <f>+CF31+CG31</f>
        <v>0</v>
      </c>
      <c r="CI31" s="115"/>
      <c r="CJ31" s="626">
        <v>0</v>
      </c>
      <c r="CK31" s="626">
        <v>0</v>
      </c>
      <c r="CL31" s="492">
        <f>+CJ31+CK31</f>
        <v>0</v>
      </c>
      <c r="CM31" s="115"/>
      <c r="CN31" s="626">
        <v>0</v>
      </c>
      <c r="CO31" s="626">
        <v>0</v>
      </c>
      <c r="CP31" s="492">
        <f>+CN31+CO31</f>
        <v>0</v>
      </c>
      <c r="CQ31" s="115"/>
      <c r="CR31" s="626">
        <v>0</v>
      </c>
      <c r="CS31" s="626">
        <v>0</v>
      </c>
      <c r="CT31" s="492">
        <f>+CR31+CS31</f>
        <v>0</v>
      </c>
      <c r="CU31" s="103"/>
      <c r="CV31" s="626">
        <v>0</v>
      </c>
      <c r="CW31" s="626">
        <v>0</v>
      </c>
      <c r="CX31" s="492">
        <f>+CV31+CW31</f>
        <v>0</v>
      </c>
      <c r="CY31" s="103"/>
      <c r="CZ31" s="626">
        <v>0</v>
      </c>
      <c r="DA31" s="1388">
        <v>0</v>
      </c>
      <c r="DB31" s="492">
        <f>+CZ31+DA31</f>
        <v>0</v>
      </c>
      <c r="DC31" s="103"/>
      <c r="DD31" s="626">
        <v>0</v>
      </c>
      <c r="DE31" s="1388">
        <v>0</v>
      </c>
      <c r="DF31" s="492">
        <f>+DD31+DE31</f>
        <v>0</v>
      </c>
      <c r="DG31" s="103"/>
      <c r="DH31" s="626">
        <v>0</v>
      </c>
      <c r="DI31" s="630">
        <v>0</v>
      </c>
      <c r="DJ31" s="673">
        <f>+DH31+DI31</f>
        <v>0</v>
      </c>
      <c r="DK31" s="304"/>
      <c r="DL31" s="630">
        <v>0</v>
      </c>
      <c r="DM31" s="630">
        <v>0</v>
      </c>
      <c r="DN31" s="673">
        <f>+DL31+DM31</f>
        <v>0</v>
      </c>
      <c r="DO31" s="673"/>
      <c r="DP31" s="630">
        <v>0</v>
      </c>
      <c r="DQ31" s="630">
        <v>0</v>
      </c>
      <c r="DR31" s="673">
        <f>+DP31+DQ31</f>
        <v>0</v>
      </c>
      <c r="DS31" s="673"/>
      <c r="DT31" s="304"/>
      <c r="DU31" s="630"/>
      <c r="DV31" s="630"/>
      <c r="DW31" s="630"/>
      <c r="DX31" s="673"/>
      <c r="DY31" s="304"/>
      <c r="DZ31" s="630"/>
      <c r="EA31" s="630"/>
      <c r="EB31" s="673"/>
      <c r="EC31" s="304"/>
      <c r="ED31" s="630"/>
      <c r="EE31" s="630"/>
      <c r="EF31" s="673"/>
      <c r="EG31" s="304"/>
      <c r="EH31" s="304"/>
      <c r="EI31" s="304"/>
      <c r="EJ31" s="304"/>
      <c r="EK31" s="304"/>
      <c r="EL31" s="304"/>
      <c r="EM31" s="304"/>
      <c r="EN31" s="304"/>
      <c r="EO31" s="304"/>
      <c r="EP31" s="304"/>
      <c r="FL31" s="102"/>
      <c r="FM31" s="102"/>
      <c r="FN31" s="102"/>
      <c r="FO31" s="102"/>
      <c r="FP31" s="102"/>
      <c r="FQ31" s="102"/>
      <c r="FR31" s="102"/>
      <c r="FS31" s="102"/>
      <c r="FT31" s="102"/>
      <c r="FU31" s="102"/>
      <c r="FV31" s="102"/>
      <c r="FW31" s="102"/>
      <c r="FX31" s="102"/>
      <c r="FY31" s="102"/>
      <c r="FZ31" s="102"/>
      <c r="GA31" s="102"/>
      <c r="GB31" s="102"/>
      <c r="GC31" s="102"/>
      <c r="GD31" s="102"/>
      <c r="GE31" s="102"/>
      <c r="GF31" s="102"/>
      <c r="GG31" s="102"/>
      <c r="GH31" s="102"/>
      <c r="GI31" s="102"/>
      <c r="GJ31" s="102"/>
      <c r="GK31" s="102"/>
      <c r="GL31" s="102"/>
      <c r="GM31" s="102"/>
      <c r="GN31" s="102"/>
      <c r="GO31" s="102"/>
      <c r="GP31" s="102"/>
      <c r="GQ31" s="102"/>
      <c r="GR31" s="102"/>
      <c r="GS31" s="102"/>
      <c r="GT31" s="102"/>
      <c r="GU31" s="102"/>
      <c r="GV31" s="102"/>
      <c r="GW31" s="102"/>
      <c r="GX31" s="102"/>
      <c r="GY31" s="102"/>
      <c r="GZ31" s="102"/>
      <c r="HA31" s="102"/>
      <c r="HB31" s="102"/>
      <c r="HC31" s="102"/>
      <c r="HD31" s="102"/>
      <c r="HE31" s="102"/>
      <c r="HF31" s="102"/>
      <c r="HG31" s="102"/>
      <c r="HH31" s="102"/>
      <c r="HI31" s="102"/>
      <c r="HJ31" s="102"/>
      <c r="HK31" s="102"/>
      <c r="HL31" s="102"/>
      <c r="HM31" s="102"/>
      <c r="HN31" s="102"/>
      <c r="HO31" s="102"/>
      <c r="HP31" s="102"/>
      <c r="HQ31" s="102"/>
      <c r="HR31" s="102"/>
      <c r="HS31" s="102"/>
      <c r="HT31" s="102"/>
      <c r="HU31" s="102"/>
      <c r="HV31" s="102"/>
      <c r="HW31" s="102"/>
      <c r="HX31" s="102"/>
      <c r="HY31" s="102"/>
      <c r="HZ31" s="102"/>
      <c r="IA31" s="102"/>
      <c r="IB31" s="102"/>
      <c r="IC31" s="102"/>
      <c r="ID31" s="102"/>
      <c r="IE31" s="102"/>
      <c r="IF31" s="102"/>
      <c r="IG31" s="102"/>
      <c r="IH31" s="102"/>
      <c r="II31" s="102"/>
      <c r="IJ31" s="102"/>
      <c r="IK31" s="102"/>
      <c r="IL31" s="102"/>
      <c r="IM31" s="102"/>
      <c r="IN31" s="102"/>
      <c r="IO31" s="102"/>
      <c r="IP31" s="102"/>
      <c r="IQ31" s="102"/>
      <c r="IR31" s="102"/>
      <c r="IS31" s="102"/>
      <c r="IT31" s="102"/>
      <c r="IU31" s="102"/>
      <c r="IV31" s="102"/>
      <c r="IW31" s="102"/>
      <c r="IX31" s="102"/>
      <c r="IY31" s="102"/>
      <c r="IZ31" s="102"/>
      <c r="JA31" s="102"/>
      <c r="JB31" s="102"/>
      <c r="JC31" s="102"/>
      <c r="JD31" s="102"/>
      <c r="JE31" s="102"/>
      <c r="JF31" s="102"/>
      <c r="JG31" s="102"/>
      <c r="JH31" s="102"/>
      <c r="JI31" s="102"/>
      <c r="JJ31" s="102"/>
      <c r="JK31" s="102"/>
      <c r="JL31" s="102"/>
      <c r="JM31"/>
    </row>
    <row r="32" spans="1:273">
      <c r="A32" s="289" t="s">
        <v>771</v>
      </c>
      <c r="AN32" s="295">
        <f>SUM(AN30:AN31)</f>
        <v>1060</v>
      </c>
      <c r="AO32" s="295">
        <f>SUM(AO30:AO31)</f>
        <v>743</v>
      </c>
      <c r="AP32" s="295">
        <f>SUM(AP30:AP31)</f>
        <v>1803</v>
      </c>
      <c r="AR32" s="295">
        <f>SUM(AR30:AR31)</f>
        <v>603.89224302636603</v>
      </c>
      <c r="AS32" s="295">
        <f>SUM(AS30:AS31)</f>
        <v>266.82766526557134</v>
      </c>
      <c r="AT32" s="295">
        <f>SUM(AT30:AT31)</f>
        <v>870.71990829193737</v>
      </c>
      <c r="AV32" s="295">
        <f>SUM(AV30:AV31)</f>
        <v>479</v>
      </c>
      <c r="AW32" s="295">
        <f>SUM(AW30:AW31)</f>
        <v>571</v>
      </c>
      <c r="AX32" s="295">
        <f>SUM(AX30:AX31)</f>
        <v>1050</v>
      </c>
      <c r="AZ32" s="295">
        <f>SUM(AZ30:AZ31)</f>
        <v>403.33370000000014</v>
      </c>
      <c r="BA32" s="295">
        <f>SUM(BA30:BA31)</f>
        <v>553.33336999999983</v>
      </c>
      <c r="BB32" s="295">
        <f>SUM(BB30:BB31)</f>
        <v>956.66706999999997</v>
      </c>
      <c r="BD32" s="295">
        <f>SUM(BD30:BD31)</f>
        <v>304.32956000000013</v>
      </c>
      <c r="BE32" s="295">
        <f>SUM(BE30:BE31)</f>
        <v>426.32420000000025</v>
      </c>
      <c r="BF32" s="295">
        <f>SUM(BF30:BF31)</f>
        <v>730.65376000000037</v>
      </c>
      <c r="BH32" s="295">
        <f>SUM(BH30:BH31)</f>
        <v>361</v>
      </c>
      <c r="BI32" s="295">
        <f>SUM(BI30:BI31)</f>
        <v>490.49</v>
      </c>
      <c r="BJ32" s="295">
        <f>SUM(BJ30:BJ31)</f>
        <v>851.49</v>
      </c>
      <c r="BL32" s="295">
        <f>SUM(BL30:BL31)</f>
        <v>501</v>
      </c>
      <c r="BM32" s="295">
        <f>SUM(BM30:BM31)</f>
        <v>766.49</v>
      </c>
      <c r="BN32" s="295">
        <f>SUM(BN30:BN31)</f>
        <v>1267.49</v>
      </c>
      <c r="BP32" s="295">
        <f>SUM(BP30:BP31)</f>
        <v>678</v>
      </c>
      <c r="BQ32" s="295">
        <f>SUM(BQ30:BQ31)</f>
        <v>926.49</v>
      </c>
      <c r="BR32" s="295">
        <f>SUM(BR30:BR31)</f>
        <v>1604.49</v>
      </c>
      <c r="BT32" s="295">
        <f>SUM(BT30:BT31)</f>
        <v>1070</v>
      </c>
      <c r="BU32" s="295">
        <f>SUM(BU30:BU31)</f>
        <v>993.49</v>
      </c>
      <c r="BV32" s="295">
        <f>SUM(BV30:BV31)</f>
        <v>2063.4899999999998</v>
      </c>
      <c r="BX32" s="295">
        <f>SUM(BX30:BX31)</f>
        <v>1050</v>
      </c>
      <c r="BY32" s="295">
        <f>SUM(BY30:BY31)</f>
        <v>1167.49</v>
      </c>
      <c r="BZ32" s="295">
        <f>SUM(BZ30:BZ31)</f>
        <v>2217.4899999999998</v>
      </c>
      <c r="CB32" s="295">
        <f>SUM(CB30:CB31)</f>
        <v>1248</v>
      </c>
      <c r="CC32" s="295">
        <f>SUM(CC30:CC31)</f>
        <v>1309.49</v>
      </c>
      <c r="CD32" s="295">
        <f>SUM(CD30:CD31)</f>
        <v>2557.4899999999998</v>
      </c>
      <c r="CF32" s="295">
        <f>SUM(CF30:CF31)</f>
        <v>1310</v>
      </c>
      <c r="CG32" s="295">
        <f>SUM(CG30:CG31)</f>
        <v>1672.49</v>
      </c>
      <c r="CH32" s="295">
        <f>SUM(CH30:CH31)</f>
        <v>2982.49</v>
      </c>
      <c r="CJ32" s="295">
        <f>SUM(CJ30:CJ31)</f>
        <v>1457</v>
      </c>
      <c r="CK32" s="295">
        <f>SUM(CK30:CK31)</f>
        <v>1274.49</v>
      </c>
      <c r="CL32" s="295">
        <f>SUM(CL30:CL31)</f>
        <v>2731.49</v>
      </c>
      <c r="CN32" s="295">
        <f>SUM(CN30:CN31)</f>
        <v>985</v>
      </c>
      <c r="CO32" s="295">
        <f>SUM(CO30:CO31)</f>
        <v>2030.49</v>
      </c>
      <c r="CP32" s="295">
        <f>SUM(CP30:CP31)</f>
        <v>3015.49</v>
      </c>
      <c r="CR32" s="295">
        <f>SUM(CR30:CR31)</f>
        <v>2043</v>
      </c>
      <c r="CS32" s="295">
        <f>SUM(CS30:CS31)</f>
        <v>2663.49</v>
      </c>
      <c r="CT32" s="295">
        <f>SUM(CT30:CT31)</f>
        <v>4706.49</v>
      </c>
      <c r="CV32" s="295">
        <f>SUM(CV30:CV31)</f>
        <v>2383</v>
      </c>
      <c r="CW32" s="295">
        <f>SUM(CW30:CW31)</f>
        <v>2799.49</v>
      </c>
      <c r="CX32" s="295">
        <f>SUM(CX30:CX31)</f>
        <v>5182.49</v>
      </c>
      <c r="CZ32" s="295">
        <f>SUM(CZ30:CZ31)</f>
        <v>1415</v>
      </c>
      <c r="DA32" s="295">
        <f>SUM(DA30:DA31)</f>
        <v>2107.4899999999998</v>
      </c>
      <c r="DB32" s="295">
        <f>SUM(DB30:DB31)</f>
        <v>3522.49</v>
      </c>
      <c r="DD32" s="295">
        <f>SUM(DD30:DD31)</f>
        <v>1612</v>
      </c>
      <c r="DE32" s="295">
        <f ca="1">SUM(DE30:DE31)</f>
        <v>2103.4899999999998</v>
      </c>
      <c r="DF32" s="295">
        <f ca="1">SUM(DF30:DF31)</f>
        <v>3715.49</v>
      </c>
      <c r="DH32" s="295">
        <f>SUM(DH30:DH31)</f>
        <v>1655</v>
      </c>
      <c r="DI32" s="295">
        <f>SUM(DI30:DI31)</f>
        <v>2517.6901979637678</v>
      </c>
      <c r="DJ32" s="295">
        <f>SUM(DJ30:DJ31)</f>
        <v>4172.6901979637678</v>
      </c>
      <c r="DL32" s="295">
        <f>SUM(DL30:DL31)</f>
        <v>1915.8372403143462</v>
      </c>
      <c r="DM32" s="295">
        <f>SUM(DM30:DM31)</f>
        <v>2656.8730472018797</v>
      </c>
      <c r="DN32" s="295">
        <f>SUM(DN30:DN31)</f>
        <v>4572.7102875162254</v>
      </c>
      <c r="DO32" s="295"/>
      <c r="DP32" s="295">
        <f>SUM(DP30:DP31)</f>
        <v>2085.2236692333981</v>
      </c>
      <c r="DQ32" s="295">
        <f>SUM(DQ30:DQ31)</f>
        <v>2837.5443840796966</v>
      </c>
      <c r="DR32" s="295">
        <f>SUM(DR30:DR31)</f>
        <v>4922.7680533130952</v>
      </c>
      <c r="DS32" s="295"/>
      <c r="DU32" s="295"/>
      <c r="DV32" s="295"/>
      <c r="DW32" s="295"/>
      <c r="DX32" s="295"/>
      <c r="DZ32" s="295"/>
      <c r="EA32" s="295"/>
      <c r="EB32" s="295"/>
      <c r="ED32" s="295"/>
      <c r="EE32" s="295"/>
      <c r="EF32" s="295"/>
    </row>
    <row r="33" spans="1:273">
      <c r="A33" s="323" t="s">
        <v>956</v>
      </c>
      <c r="AP33" s="293"/>
      <c r="AT33" s="293"/>
      <c r="AX33" s="293"/>
      <c r="AZ33" s="324">
        <f>AZ30/BB30</f>
        <v>0.42160299298271042</v>
      </c>
      <c r="BA33" s="324">
        <f>BA30/BB30</f>
        <v>0.57839700701728958</v>
      </c>
      <c r="BB33" s="293"/>
      <c r="BD33" s="324">
        <f>BD30/BF30</f>
        <v>0.4165167917564675</v>
      </c>
      <c r="BE33" s="324">
        <f>BE30/BF30</f>
        <v>0.5834832082435325</v>
      </c>
      <c r="BF33" s="293"/>
      <c r="BH33" s="324">
        <f>BH30/BJ30</f>
        <v>0.4239627006776357</v>
      </c>
      <c r="BI33" s="324">
        <f>BI30/BJ30</f>
        <v>0.57603729932236436</v>
      </c>
      <c r="BJ33" s="685"/>
      <c r="BL33" s="324">
        <f>BL30/BN30</f>
        <v>0.39526939068552808</v>
      </c>
      <c r="BM33" s="324">
        <f>BM30/BN30</f>
        <v>0.60473060931447187</v>
      </c>
      <c r="BN33" s="685"/>
      <c r="BP33" s="324">
        <f>BP30/BR30</f>
        <v>0.42256417927191819</v>
      </c>
      <c r="BQ33" s="324">
        <f>BQ30/BR30</f>
        <v>0.57743582072808186</v>
      </c>
      <c r="BR33" s="685"/>
      <c r="BT33" s="324">
        <f>BT30/BV30</f>
        <v>0.5185389800774417</v>
      </c>
      <c r="BU33" s="324">
        <f>BU30/BV30</f>
        <v>0.48146101992255846</v>
      </c>
      <c r="BV33" s="685"/>
      <c r="BX33" s="324">
        <f>BX30/BZ30</f>
        <v>0.47350833600151526</v>
      </c>
      <c r="BY33" s="324">
        <f>BY30/BZ30</f>
        <v>0.52649166399848479</v>
      </c>
      <c r="BZ33" s="685"/>
      <c r="CB33" s="324">
        <f>CB30/CD30</f>
        <v>0.48797844761856357</v>
      </c>
      <c r="CC33" s="324">
        <f>CC30/CD30</f>
        <v>0.51202155238143654</v>
      </c>
      <c r="CD33" s="685"/>
      <c r="CF33" s="324">
        <f>CF30/CH30</f>
        <v>0.43923030756180242</v>
      </c>
      <c r="CG33" s="324">
        <f>CG30/CH30</f>
        <v>0.56076969243819763</v>
      </c>
      <c r="CH33" s="685"/>
      <c r="CJ33" s="324">
        <f>CJ30/CL30</f>
        <v>0.53340850598025258</v>
      </c>
      <c r="CK33" s="324">
        <f>CK30/CL30</f>
        <v>0.46659149401974748</v>
      </c>
      <c r="CL33" s="685"/>
      <c r="CN33" s="324">
        <f>CN30/CP30</f>
        <v>0.3266467472948012</v>
      </c>
      <c r="CO33" s="324">
        <f>CO30/CP30</f>
        <v>0.67335325270519886</v>
      </c>
      <c r="CP33" s="685"/>
      <c r="CR33" s="324">
        <f>CR30/CT30</f>
        <v>0.43408144923286784</v>
      </c>
      <c r="CS33" s="324">
        <f>CS30/CT30</f>
        <v>0.56591855076713216</v>
      </c>
      <c r="CT33" s="685"/>
      <c r="CV33" s="324">
        <f>CV30/CX30</f>
        <v>0.45981757803681245</v>
      </c>
      <c r="CW33" s="324">
        <f>CW30/CX30</f>
        <v>0.54018242196318755</v>
      </c>
      <c r="CX33" s="685"/>
      <c r="CZ33" s="324">
        <f>CZ30/DB30</f>
        <v>0.40170447609503507</v>
      </c>
      <c r="DA33" s="324">
        <f>DA30/DB30</f>
        <v>0.59829552390496488</v>
      </c>
      <c r="DB33" s="685"/>
      <c r="DD33" s="324">
        <f ca="1">DD30/DF30</f>
        <v>0.43385932945587258</v>
      </c>
      <c r="DE33" s="324">
        <f ca="1">DE30/DF30</f>
        <v>0.56614067054412742</v>
      </c>
      <c r="DF33" s="685"/>
      <c r="DH33" s="324">
        <f>DH30/DJ30</f>
        <v>0.39662661771718011</v>
      </c>
      <c r="DI33" s="324">
        <f>DI30/DJ30</f>
        <v>0.60337338228281989</v>
      </c>
      <c r="DJ33" s="293"/>
      <c r="DL33" s="324">
        <f>DL30/DN30</f>
        <v>0.41897192689961077</v>
      </c>
      <c r="DM33" s="324">
        <f>DM30/DN30</f>
        <v>0.58102807310038929</v>
      </c>
      <c r="DN33" s="293"/>
      <c r="DO33" s="293"/>
      <c r="DP33" s="324">
        <f>DP30/DR30</f>
        <v>0.42358763334990202</v>
      </c>
      <c r="DQ33" s="324">
        <f>DQ30/DR30</f>
        <v>0.57641236665009787</v>
      </c>
      <c r="DR33" s="293"/>
      <c r="DS33" s="293"/>
      <c r="DX33" s="293"/>
      <c r="EB33" s="293"/>
      <c r="EF33" s="293"/>
    </row>
    <row r="34" spans="1:273">
      <c r="A34" s="102" t="s">
        <v>1347</v>
      </c>
      <c r="AN34" s="817"/>
      <c r="AO34" s="817"/>
      <c r="AP34" s="817"/>
      <c r="AR34" s="817">
        <f t="shared" ref="AR34:AT34" si="23">+AR32/AN32-1</f>
        <v>-0.43029033676757922</v>
      </c>
      <c r="AS34" s="817">
        <f t="shared" si="23"/>
        <v>-0.64087797407056346</v>
      </c>
      <c r="AT34" s="817">
        <f t="shared" si="23"/>
        <v>-0.51707159828511517</v>
      </c>
      <c r="AV34" s="817">
        <f t="shared" ref="AV34:AX34" si="24">+AV32/AR32-1</f>
        <v>-0.20681213323833536</v>
      </c>
      <c r="AW34" s="817">
        <f t="shared" si="24"/>
        <v>1.1399580115940693</v>
      </c>
      <c r="AX34" s="817">
        <f t="shared" si="24"/>
        <v>0.20589869371397573</v>
      </c>
      <c r="AZ34" s="817">
        <f t="shared" ref="AZ34:BB34" si="25">+AZ32/AV32-1</f>
        <v>-0.15796722338204561</v>
      </c>
      <c r="BA34" s="817">
        <f t="shared" si="25"/>
        <v>-3.0939807355516935E-2</v>
      </c>
      <c r="BB34" s="817">
        <f t="shared" si="25"/>
        <v>-8.8888504761904796E-2</v>
      </c>
      <c r="BD34" s="817">
        <f t="shared" ref="BD34:BF34" si="26">+BD32/AZ32-1</f>
        <v>-0.24546458676773097</v>
      </c>
      <c r="BE34" s="817">
        <f t="shared" si="26"/>
        <v>-0.22953462936818658</v>
      </c>
      <c r="BF34" s="817">
        <f t="shared" si="26"/>
        <v>-0.23625074708592153</v>
      </c>
      <c r="BH34" s="817">
        <f t="shared" ref="BH34:BJ34" si="27">+BH32/BD32-1</f>
        <v>0.18621405032097393</v>
      </c>
      <c r="BI34" s="817">
        <f t="shared" si="27"/>
        <v>0.15050940106144517</v>
      </c>
      <c r="BJ34" s="817">
        <f t="shared" si="27"/>
        <v>0.16538098702181392</v>
      </c>
      <c r="BL34" s="817">
        <f t="shared" ref="BL34:BN34" si="28">+BL32/BH32-1</f>
        <v>0.38781163434903054</v>
      </c>
      <c r="BM34" s="817">
        <f t="shared" si="28"/>
        <v>0.56270260351892998</v>
      </c>
      <c r="BN34" s="817">
        <f t="shared" si="28"/>
        <v>0.48855535590553023</v>
      </c>
      <c r="BP34" s="817">
        <f t="shared" ref="BP34:BR34" si="29">+BP32/BL32-1</f>
        <v>0.3532934131736527</v>
      </c>
      <c r="BQ34" s="817">
        <f t="shared" si="29"/>
        <v>0.20874375399548595</v>
      </c>
      <c r="BR34" s="817">
        <f t="shared" si="29"/>
        <v>0.26587980970264069</v>
      </c>
      <c r="BT34" s="817">
        <f t="shared" ref="BT34:BU34" si="30">+BT32/BP32-1</f>
        <v>0.57817109144542767</v>
      </c>
      <c r="BU34" s="817">
        <f t="shared" si="30"/>
        <v>7.2315945126229186E-2</v>
      </c>
      <c r="BV34" s="817">
        <f>-BV24/BV20</f>
        <v>0.70318960425280563</v>
      </c>
      <c r="BW34" s="817">
        <f t="shared" ref="BW34:CT34" si="31">-BW24/BW20</f>
        <v>0</v>
      </c>
      <c r="BX34" s="817">
        <f t="shared" si="31"/>
        <v>0.71540820237638947</v>
      </c>
      <c r="BY34" s="817">
        <f t="shared" si="31"/>
        <v>0.68538670812281388</v>
      </c>
      <c r="BZ34" s="817">
        <f t="shared" si="31"/>
        <v>0.70050173678116556</v>
      </c>
      <c r="CA34" s="817">
        <f t="shared" si="31"/>
        <v>0</v>
      </c>
      <c r="CB34" s="817">
        <f t="shared" si="31"/>
        <v>0.68426903835464148</v>
      </c>
      <c r="CC34" s="817">
        <f t="shared" si="31"/>
        <v>0.68133260908926307</v>
      </c>
      <c r="CD34" s="817">
        <f t="shared" si="31"/>
        <v>0.6827838827838828</v>
      </c>
      <c r="CE34" s="817">
        <f t="shared" si="31"/>
        <v>0</v>
      </c>
      <c r="CF34" s="817">
        <f t="shared" si="31"/>
        <v>0.70754716981132071</v>
      </c>
      <c r="CG34" s="817">
        <f t="shared" si="31"/>
        <v>0.68775274407856735</v>
      </c>
      <c r="CH34" s="817">
        <f t="shared" si="31"/>
        <v>0.6968010036067116</v>
      </c>
      <c r="CI34" s="817">
        <f t="shared" si="31"/>
        <v>0</v>
      </c>
      <c r="CJ34" s="817">
        <f t="shared" si="31"/>
        <v>0.70886075949367089</v>
      </c>
      <c r="CK34" s="817">
        <f t="shared" si="31"/>
        <v>0.73122398001665279</v>
      </c>
      <c r="CL34" s="817">
        <f t="shared" si="31"/>
        <v>0.71975659229208921</v>
      </c>
      <c r="CN34" s="817">
        <f t="shared" si="31"/>
        <v>0.77296611705019025</v>
      </c>
      <c r="CO34" s="817">
        <f t="shared" si="31"/>
        <v>0.6341833218470021</v>
      </c>
      <c r="CP34" s="817">
        <f t="shared" si="31"/>
        <v>0.6941443557225615</v>
      </c>
      <c r="CR34" s="817">
        <f t="shared" si="31"/>
        <v>0.64953869810353659</v>
      </c>
      <c r="CS34" s="817">
        <f t="shared" si="31"/>
        <v>0.60042016806722687</v>
      </c>
      <c r="CT34" s="817">
        <f t="shared" si="31"/>
        <v>0.62254675594550912</v>
      </c>
      <c r="CU34" s="115"/>
      <c r="CV34" s="817">
        <f t="shared" ref="CV34:CX34" si="32">-CV24/CV20</f>
        <v>0.64307055849230066</v>
      </c>
      <c r="CW34" s="817">
        <f t="shared" si="32"/>
        <v>0.62706333973128603</v>
      </c>
      <c r="CX34" s="817">
        <f t="shared" si="32"/>
        <v>0.63434787156155215</v>
      </c>
      <c r="CY34" s="115"/>
      <c r="CZ34" s="817">
        <f t="shared" ref="CZ34:DB34" si="33">-CZ24/CZ20</f>
        <v>0.74829329962073321</v>
      </c>
      <c r="DA34" s="817">
        <f t="shared" si="33"/>
        <v>0.6841929375069622</v>
      </c>
      <c r="DB34" s="817">
        <f t="shared" si="33"/>
        <v>0.71421803754367263</v>
      </c>
      <c r="DC34" s="115"/>
      <c r="DD34" s="817">
        <f t="shared" ref="DD34:DF34" si="34">-DD24/DD20</f>
        <v>0.7204235637779941</v>
      </c>
      <c r="DE34" s="817">
        <f t="shared" ca="1" si="34"/>
        <v>0.69183718861209964</v>
      </c>
      <c r="DF34" s="817">
        <f t="shared" ca="1" si="34"/>
        <v>0.70548582054858211</v>
      </c>
      <c r="DG34" s="115"/>
      <c r="DH34" s="817">
        <f t="shared" ref="DH34" si="35">-DH24/DH20</f>
        <v>0.71786905994707173</v>
      </c>
      <c r="DI34" s="817">
        <f t="shared" ref="DI34:DJ34" si="36">-DI24/DI20</f>
        <v>0.64148664759555185</v>
      </c>
      <c r="DJ34" s="817">
        <f t="shared" si="36"/>
        <v>0.67706747979363369</v>
      </c>
      <c r="DK34" s="115"/>
      <c r="DL34" s="817">
        <f t="shared" ref="DL34:DN34" si="37">-DL24/DL20</f>
        <v>0.69944369195298262</v>
      </c>
      <c r="DM34" s="817">
        <f t="shared" si="37"/>
        <v>0.64237120763127842</v>
      </c>
      <c r="DN34" s="817">
        <f t="shared" si="37"/>
        <v>0.66924331167185891</v>
      </c>
      <c r="DO34" s="293"/>
      <c r="DP34" s="817">
        <f t="shared" ref="DP34:DR34" si="38">-DP24/DP20</f>
        <v>0.6903223427255577</v>
      </c>
      <c r="DQ34" s="817">
        <f t="shared" si="38"/>
        <v>0.63747918364907452</v>
      </c>
      <c r="DR34" s="817">
        <f t="shared" si="38"/>
        <v>0.66239341587021705</v>
      </c>
      <c r="DS34" s="293"/>
      <c r="DX34" s="293"/>
      <c r="EB34" s="293"/>
      <c r="EF34" s="293"/>
    </row>
    <row r="35" spans="1:273" s="824" customFormat="1">
      <c r="A35" s="292" t="s">
        <v>182</v>
      </c>
      <c r="B35" s="319"/>
      <c r="AN35" s="319"/>
      <c r="AO35" s="319"/>
      <c r="AP35" s="825"/>
      <c r="AQ35" s="319"/>
      <c r="AR35" s="319"/>
      <c r="AS35" s="319"/>
      <c r="AT35" s="825"/>
      <c r="AU35" s="319"/>
      <c r="AV35" s="319"/>
      <c r="AW35" s="319"/>
      <c r="AX35" s="825"/>
      <c r="AY35" s="319"/>
      <c r="AZ35" s="319"/>
      <c r="BA35" s="319"/>
      <c r="BB35" s="825"/>
      <c r="BC35" s="319"/>
      <c r="BD35" s="319"/>
      <c r="BE35" s="319"/>
      <c r="BF35" s="825"/>
      <c r="BG35" s="319"/>
      <c r="BH35" s="319"/>
      <c r="BI35" s="319"/>
      <c r="BJ35" s="826"/>
      <c r="BK35" s="319"/>
      <c r="BL35" s="319"/>
      <c r="BM35" s="319"/>
      <c r="BN35" s="826"/>
      <c r="BO35" s="319"/>
      <c r="BP35" s="319"/>
      <c r="BQ35" s="319"/>
      <c r="BR35" s="826"/>
      <c r="BS35" s="319"/>
      <c r="BT35" s="319"/>
      <c r="BU35" s="319"/>
      <c r="BV35" s="826"/>
      <c r="BW35" s="319"/>
      <c r="BX35" s="319"/>
      <c r="BY35" s="319"/>
      <c r="BZ35" s="826"/>
      <c r="CA35" s="319"/>
      <c r="CB35" s="319"/>
      <c r="CC35" s="319"/>
      <c r="CD35" s="826"/>
      <c r="CE35" s="1086"/>
      <c r="CF35" s="319"/>
      <c r="CG35" s="319"/>
      <c r="CH35" s="826"/>
      <c r="CI35" s="1086"/>
      <c r="CJ35" s="319"/>
      <c r="CK35" s="319"/>
      <c r="CL35" s="826"/>
      <c r="CM35" s="1086"/>
      <c r="CN35" s="319"/>
      <c r="CO35" s="319"/>
      <c r="CP35" s="826"/>
      <c r="CQ35" s="1086"/>
      <c r="CR35" s="319"/>
      <c r="CS35" s="319"/>
      <c r="CT35" s="825"/>
      <c r="CU35" s="319"/>
      <c r="CV35" s="319"/>
      <c r="CW35" s="319"/>
      <c r="CX35" s="825"/>
      <c r="CY35" s="319"/>
      <c r="CZ35" s="319"/>
      <c r="DA35" s="319"/>
      <c r="DB35" s="825"/>
      <c r="DC35" s="319"/>
      <c r="DD35" s="319"/>
      <c r="DE35" s="319"/>
      <c r="DF35" s="825"/>
      <c r="DG35" s="319"/>
      <c r="DH35" s="319"/>
      <c r="DI35" s="319"/>
      <c r="DJ35" s="825"/>
      <c r="DK35" s="319"/>
      <c r="DL35" s="319"/>
      <c r="DM35" s="319"/>
      <c r="DN35" s="825"/>
      <c r="DO35" s="825"/>
      <c r="DP35" s="319"/>
      <c r="DQ35" s="319"/>
      <c r="DR35" s="825"/>
      <c r="DS35" s="825"/>
      <c r="DT35" s="319"/>
      <c r="DU35" s="319"/>
      <c r="DV35" s="319"/>
      <c r="DW35" s="319"/>
      <c r="DX35" s="825"/>
      <c r="DY35" s="319"/>
      <c r="DZ35" s="319"/>
      <c r="EA35" s="319"/>
      <c r="EB35" s="825"/>
      <c r="EC35" s="319"/>
      <c r="ED35" s="319"/>
      <c r="EE35" s="319"/>
      <c r="EF35" s="825"/>
      <c r="EG35" s="319"/>
      <c r="EH35" s="319"/>
      <c r="EI35" s="319"/>
      <c r="EJ35" s="319"/>
      <c r="EK35" s="319"/>
      <c r="EL35" s="319"/>
      <c r="EM35" s="319"/>
      <c r="EN35" s="319"/>
      <c r="EO35" s="319"/>
      <c r="EP35" s="319"/>
      <c r="FL35" s="827"/>
      <c r="FM35" s="827"/>
      <c r="FN35" s="827"/>
      <c r="FO35" s="827"/>
      <c r="FP35" s="827"/>
      <c r="FQ35" s="827"/>
      <c r="FR35" s="827"/>
      <c r="FS35" s="827"/>
      <c r="FT35" s="827"/>
      <c r="FU35" s="827"/>
      <c r="FV35" s="827"/>
      <c r="FW35" s="827"/>
      <c r="FX35" s="827"/>
      <c r="FY35" s="827"/>
      <c r="FZ35" s="827"/>
      <c r="GA35" s="827"/>
      <c r="GB35" s="827"/>
      <c r="GC35" s="827"/>
      <c r="GD35" s="827"/>
      <c r="GE35" s="827"/>
      <c r="GF35" s="827"/>
      <c r="GG35" s="827"/>
      <c r="GH35" s="827"/>
      <c r="GI35" s="827"/>
      <c r="GJ35" s="827"/>
      <c r="GK35" s="827"/>
      <c r="GL35" s="827"/>
      <c r="GM35" s="827"/>
      <c r="GN35" s="827"/>
      <c r="GO35" s="827"/>
      <c r="GP35" s="827"/>
      <c r="GQ35" s="827"/>
      <c r="GR35" s="827"/>
      <c r="GS35" s="827"/>
      <c r="GT35" s="827"/>
      <c r="GU35" s="827"/>
      <c r="GV35" s="827"/>
      <c r="GW35" s="827"/>
      <c r="GX35" s="827"/>
      <c r="GY35" s="827"/>
      <c r="GZ35" s="827"/>
      <c r="HA35" s="827"/>
      <c r="HB35" s="827"/>
      <c r="HC35" s="827"/>
      <c r="HD35" s="827"/>
      <c r="HE35" s="827"/>
      <c r="HF35" s="827"/>
      <c r="HG35" s="827"/>
      <c r="HH35" s="827"/>
      <c r="HI35" s="827"/>
      <c r="HJ35" s="827"/>
      <c r="HK35" s="827"/>
      <c r="HL35" s="827"/>
      <c r="HM35" s="827"/>
      <c r="HN35" s="827"/>
      <c r="HO35" s="827"/>
      <c r="HP35" s="827"/>
      <c r="HQ35" s="827"/>
      <c r="HR35" s="827"/>
      <c r="HS35" s="827"/>
      <c r="HT35" s="827"/>
      <c r="HU35" s="827"/>
      <c r="HV35" s="827"/>
      <c r="HW35" s="827"/>
      <c r="HX35" s="827"/>
      <c r="HY35" s="827"/>
      <c r="HZ35" s="827"/>
      <c r="IA35" s="827"/>
      <c r="IB35" s="827"/>
      <c r="IC35" s="827"/>
      <c r="ID35" s="827"/>
      <c r="IE35" s="827"/>
      <c r="IF35" s="827"/>
      <c r="IG35" s="827"/>
      <c r="IH35" s="827"/>
      <c r="II35" s="827"/>
      <c r="IJ35" s="827"/>
      <c r="IK35" s="827"/>
      <c r="IL35" s="827"/>
      <c r="IM35" s="827"/>
      <c r="IN35" s="827"/>
      <c r="IO35" s="827"/>
      <c r="IP35" s="827"/>
      <c r="IQ35" s="827"/>
      <c r="IR35" s="827"/>
      <c r="IS35" s="827"/>
      <c r="IT35" s="827"/>
      <c r="IU35" s="827"/>
      <c r="IV35" s="827"/>
      <c r="IW35" s="827"/>
      <c r="IX35" s="827"/>
      <c r="IY35" s="827"/>
      <c r="IZ35" s="827"/>
      <c r="JA35" s="827"/>
      <c r="JB35" s="827"/>
      <c r="JC35" s="827"/>
      <c r="JD35" s="827"/>
      <c r="JE35" s="827"/>
      <c r="JF35" s="827"/>
      <c r="JG35" s="827"/>
      <c r="JH35" s="827"/>
      <c r="JI35" s="827"/>
      <c r="JJ35" s="827"/>
      <c r="JK35" s="827"/>
      <c r="JL35" s="827"/>
      <c r="JM35"/>
    </row>
    <row r="36" spans="1:273">
      <c r="A36" s="289"/>
      <c r="AP36" s="293"/>
      <c r="AT36" s="293"/>
      <c r="AX36" s="293"/>
      <c r="BB36" s="293"/>
      <c r="BF36" s="293"/>
      <c r="BJ36" s="685"/>
      <c r="BN36" s="685"/>
      <c r="BR36" s="685"/>
      <c r="BV36" s="685"/>
      <c r="BZ36" s="685"/>
      <c r="CD36" s="685"/>
      <c r="CH36" s="685"/>
      <c r="CL36" s="685"/>
      <c r="CP36" s="685"/>
      <c r="CT36" s="293"/>
      <c r="CX36" s="293"/>
      <c r="DB36" s="293"/>
      <c r="DF36" s="293"/>
      <c r="DJ36" s="293"/>
      <c r="DN36" s="293"/>
      <c r="DO36" s="293"/>
      <c r="DR36" s="293"/>
      <c r="DS36" s="293"/>
      <c r="DX36" s="293"/>
      <c r="EB36" s="293"/>
      <c r="EF36" s="293"/>
    </row>
    <row r="37" spans="1:273">
      <c r="A37" s="102" t="s">
        <v>730</v>
      </c>
      <c r="AN37" s="626"/>
      <c r="AO37" s="626"/>
      <c r="AP37" s="293"/>
      <c r="AR37" s="626"/>
      <c r="AS37" s="626"/>
      <c r="AT37" s="293"/>
      <c r="AU37" s="293"/>
      <c r="AV37" s="626"/>
      <c r="AW37" s="626"/>
      <c r="AX37" s="293"/>
      <c r="AY37" s="293"/>
      <c r="AZ37" s="293"/>
      <c r="BA37" s="293"/>
      <c r="BB37" s="293"/>
      <c r="BC37" s="293"/>
      <c r="BD37" s="293">
        <f>DIVISIONS!BD37+DIVISIONS!BD39+DIVISIONS!BD114+DIVISIONS!BD116+DIVISIONS!BD230+DIVISIONS!BD232+DIVISIONS!BD342+DIVISIONS!BD344+DIVISIONS!BD469+DIVISIONS!BD471+DIVISIONS!BD544+DIVISIONS!BD546+DIVISIONS!BD710+DIVISIONS!BD712</f>
        <v>1072</v>
      </c>
      <c r="BE37" s="293">
        <f>DIVISIONS!BE37+DIVISIONS!BE39+DIVISIONS!BE114+DIVISIONS!BE116+DIVISIONS!BE230+DIVISIONS!BE232+DIVISIONS!BE342+DIVISIONS!BE344+DIVISIONS!BE469+DIVISIONS!BE471+DIVISIONS!BE544+DIVISIONS!BE546+DIVISIONS!BE710+DIVISIONS!BE712</f>
        <v>1296</v>
      </c>
      <c r="BF37" s="293">
        <f>DIVISIONS!BF37+DIVISIONS!BF39+DIVISIONS!BF114+DIVISIONS!BF116+DIVISIONS!BF230+DIVISIONS!BF232+DIVISIONS!BF342+DIVISIONS!BF344+DIVISIONS!BF469+DIVISIONS!BF471+DIVISIONS!BF544+DIVISIONS!BF546+DIVISIONS!BF710+DIVISIONS!BF712</f>
        <v>2155</v>
      </c>
      <c r="BG37" s="293"/>
      <c r="BH37" s="293">
        <f>DIVISIONS!BH37+DIVISIONS!BH39+DIVISIONS!BH114+DIVISIONS!BH116+DIVISIONS!BH230+DIVISIONS!BH232+DIVISIONS!BH342+DIVISIONS!BH344+DIVISIONS!BH469+DIVISIONS!BH471+DIVISIONS!BH544+DIVISIONS!BH546+DIVISIONS!BH710+DIVISIONS!BH712</f>
        <v>1199</v>
      </c>
      <c r="BI37" s="293">
        <f>DIVISIONS!BI37+DIVISIONS!BI39+DIVISIONS!BI114+DIVISIONS!BI116+DIVISIONS!BI230+DIVISIONS!BI232+DIVISIONS!BI342+DIVISIONS!BI344+DIVISIONS!BI469+DIVISIONS!BI471+DIVISIONS!BI544+DIVISIONS!BI546+DIVISIONS!BI710+DIVISIONS!BI712</f>
        <v>1402</v>
      </c>
      <c r="BJ37" s="293">
        <f>DIVISIONS!BJ37+DIVISIONS!BJ39+DIVISIONS!BJ114+DIVISIONS!BJ116+DIVISIONS!BJ230+DIVISIONS!BJ232+DIVISIONS!BJ342+DIVISIONS!BJ344+DIVISIONS!BJ469+DIVISIONS!BJ471+DIVISIONS!BJ544+DIVISIONS!BJ546+DIVISIONS!BJ710+DIVISIONS!BJ712</f>
        <v>2601</v>
      </c>
      <c r="BK37" s="293"/>
      <c r="BL37" s="293">
        <f>DIVISIONS!BL37+DIVISIONS!BL39+DIVISIONS!BL114+DIVISIONS!BL116+DIVISIONS!BL230+DIVISIONS!BL232+DIVISIONS!BL342+DIVISIONS!BL344+DIVISIONS!BL469+DIVISIONS!BL471+DIVISIONS!BL544+DIVISIONS!BL546+DIVISIONS!BL710+DIVISIONS!BL712</f>
        <v>1451</v>
      </c>
      <c r="BM37" s="293">
        <f>DIVISIONS!BM37+DIVISIONS!BM39+DIVISIONS!BM114+DIVISIONS!BM116+DIVISIONS!BM230+DIVISIONS!BM232+DIVISIONS!BM342+DIVISIONS!BM344+DIVISIONS!BM469+DIVISIONS!BM471+DIVISIONS!BM544+DIVISIONS!BM546+DIVISIONS!BM710+DIVISIONS!BM712</f>
        <v>1824</v>
      </c>
      <c r="BN37" s="293">
        <f>DIVISIONS!BN37+DIVISIONS!BN39+DIVISIONS!BN114+DIVISIONS!BN116+DIVISIONS!BN230+DIVISIONS!BN232+DIVISIONS!BN342+DIVISIONS!BN344+DIVISIONS!BN469+DIVISIONS!BN471+DIVISIONS!BN544+DIVISIONS!BN546+DIVISIONS!BN710+DIVISIONS!BN712</f>
        <v>3275</v>
      </c>
      <c r="BP37" s="293">
        <f>DIVISIONS!BP37+DIVISIONS!BP39+DIVISIONS!BP114+DIVISIONS!BP116+DIVISIONS!BP230+DIVISIONS!BP232+DIVISIONS!BP342+DIVISIONS!BP344+DIVISIONS!BP469+DIVISIONS!BP471+DIVISIONS!BP544+DIVISIONS!BP546+DIVISIONS!BP710+DIVISIONS!BP712</f>
        <v>1643</v>
      </c>
      <c r="BQ37" s="293">
        <f>DIVISIONS!BQ37+DIVISIONS!BQ39+DIVISIONS!BQ114+DIVISIONS!BQ116+DIVISIONS!BQ230+DIVISIONS!BQ232+DIVISIONS!BQ342+DIVISIONS!BQ344+DIVISIONS!BQ469+DIVISIONS!BQ471+DIVISIONS!BQ544+DIVISIONS!BQ546+DIVISIONS!BQ710+DIVISIONS!BQ712</f>
        <v>2176</v>
      </c>
      <c r="BR37" s="293">
        <f>DIVISIONS!BR37+DIVISIONS!BR39+DIVISIONS!BR114+DIVISIONS!BR116+DIVISIONS!BR230+DIVISIONS!BR232+DIVISIONS!BR342+DIVISIONS!BR344+DIVISIONS!BR469+DIVISIONS!BR471+DIVISIONS!BR544+DIVISIONS!BR546+DIVISIONS!BR710+DIVISIONS!BR712</f>
        <v>3819</v>
      </c>
      <c r="BT37" s="293">
        <f>DIVISIONS!BT37+DIVISIONS!BT39+DIVISIONS!BT114+DIVISIONS!BT116+DIVISIONS!BT230+DIVISIONS!BT232+DIVISIONS!BT342+DIVISIONS!BT344+DIVISIONS!BT469+DIVISIONS!BT471+DIVISIONS!BT544+DIVISIONS!BT546+DIVISIONS!BT710+DIVISIONS!BT712</f>
        <v>2273</v>
      </c>
      <c r="BU37" s="293">
        <f>DIVISIONS!BU37+DIVISIONS!BU39+DIVISIONS!BU114+DIVISIONS!BU116+DIVISIONS!BU230+DIVISIONS!BU232+DIVISIONS!BU342+DIVISIONS!BU344+DIVISIONS!BU469+DIVISIONS!BU471+DIVISIONS!BU544+DIVISIONS!BU546+DIVISIONS!BU710+DIVISIONS!BU712</f>
        <v>2073</v>
      </c>
      <c r="BV37" s="293">
        <f>DIVISIONS!BV37+DIVISIONS!BV39+DIVISIONS!BV114+DIVISIONS!BV116+DIVISIONS!BV230+DIVISIONS!BV232+DIVISIONS!BV342+DIVISIONS!BV344+DIVISIONS!BV469+DIVISIONS!BV471+DIVISIONS!BV544+DIVISIONS!BV546+DIVISIONS!BV710+DIVISIONS!BV712</f>
        <v>4346</v>
      </c>
      <c r="BX37" s="293">
        <f>DIVISIONS!BX37+DIVISIONS!BX39+DIVISIONS!BX114+DIVISIONS!BX116+DIVISIONS!BX230+DIVISIONS!BX232+DIVISIONS!BX342+DIVISIONS!BX344+DIVISIONS!BX469+DIVISIONS!BX471+DIVISIONS!BX544+DIVISIONS!BX546+DIVISIONS!BX710+DIVISIONS!BX712</f>
        <v>1874</v>
      </c>
      <c r="BY37" s="293">
        <f>DIVISIONS!BY37+DIVISIONS!BY39+DIVISIONS!BY114+DIVISIONS!BY116+DIVISIONS!BY230+DIVISIONS!BY232+DIVISIONS!BY342+DIVISIONS!BY344+DIVISIONS!BY469+DIVISIONS!BY471+DIVISIONS!BY544+DIVISIONS!BY546+DIVISIONS!BY710+DIVISIONS!BY712</f>
        <v>2069</v>
      </c>
      <c r="BZ37" s="293">
        <f>DIVISIONS!BZ37+DIVISIONS!BZ39+DIVISIONS!BZ114+DIVISIONS!BZ116+DIVISIONS!BZ230+DIVISIONS!BZ232+DIVISIONS!BZ342+DIVISIONS!BZ344+DIVISIONS!BZ469+DIVISIONS!BZ471+DIVISIONS!BZ544+DIVISIONS!BZ546+DIVISIONS!BZ710+DIVISIONS!BZ712</f>
        <v>3943</v>
      </c>
      <c r="CB37" s="293">
        <f>DIVISIONS!CB37+DIVISIONS!CB39+DIVISIONS!CB114+DIVISIONS!CB116+DIVISIONS!CB230+DIVISIONS!CB232+DIVISIONS!CB342+DIVISIONS!CB344+DIVISIONS!CB469+DIVISIONS!CB471+DIVISIONS!CB544+DIVISIONS!CB546+DIVISIONS!CB710+DIVISIONS!CB712</f>
        <v>1892</v>
      </c>
      <c r="CC37" s="293">
        <f>DIVISIONS!CC37+DIVISIONS!CC39+DIVISIONS!CC114+DIVISIONS!CC116+DIVISIONS!CC230+DIVISIONS!CC232+DIVISIONS!CC342+DIVISIONS!CC344+DIVISIONS!CC469+DIVISIONS!CC471+DIVISIONS!CC544+DIVISIONS!CC546+DIVISIONS!CC710+DIVISIONS!CC712</f>
        <v>2051</v>
      </c>
      <c r="CD37" s="293">
        <f>DIVISIONS!CD37+DIVISIONS!CD39+DIVISIONS!CD114+DIVISIONS!CD116+DIVISIONS!CD230+DIVISIONS!CD232+DIVISIONS!CD342+DIVISIONS!CD344+DIVISIONS!CD469+DIVISIONS!CD471+DIVISIONS!CD544+DIVISIONS!CD546+DIVISIONS!CD710+DIVISIONS!CD712</f>
        <v>3943</v>
      </c>
      <c r="CF37" s="293">
        <f>DIVISIONS!CF37+DIVISIONS!CF39+DIVISIONS!CF114+DIVISIONS!CF116+DIVISIONS!CF230+DIVISIONS!CF232+DIVISIONS!CF342+DIVISIONS!CF344+DIVISIONS!CF469+DIVISIONS!CF471+DIVISIONS!CF544+DIVISIONS!CF546+DIVISIONS!CF710+DIVISIONS!CF712</f>
        <v>2229</v>
      </c>
      <c r="CG37" s="293">
        <f>DIVISIONS!CG37+DIVISIONS!CG39+DIVISIONS!CG114+DIVISIONS!CG116+DIVISIONS!CG230+DIVISIONS!CG232+DIVISIONS!CG342+DIVISIONS!CG344+DIVISIONS!CG469+DIVISIONS!CG471+DIVISIONS!CG544+DIVISIONS!CG546+DIVISIONS!CG710+DIVISIONS!CG712</f>
        <v>2322</v>
      </c>
      <c r="CH37" s="293">
        <f>DIVISIONS!CH37+DIVISIONS!CH39+DIVISIONS!CH114+DIVISIONS!CH116+DIVISIONS!CH230+DIVISIONS!CH232+DIVISIONS!CH342+DIVISIONS!CH344+DIVISIONS!CH469+DIVISIONS!CH471+DIVISIONS!CH544+DIVISIONS!CH546+DIVISIONS!CH710+DIVISIONS!CH712</f>
        <v>4551</v>
      </c>
      <c r="CJ37" s="293">
        <f>DIVISIONS!CJ37+DIVISIONS!CJ39+DIVISIONS!CJ114+DIVISIONS!CJ116+DIVISIONS!CJ230+DIVISIONS!CJ232+DIVISIONS!CJ342+DIVISIONS!CJ344+DIVISIONS!CJ469+DIVISIONS!CJ471+DIVISIONS!CJ544+DIVISIONS!CJ546+DIVISIONS!CJ710+DIVISIONS!CJ712</f>
        <v>2417</v>
      </c>
      <c r="CK37" s="293">
        <f>DIVISIONS!CK37+DIVISIONS!CK39+DIVISIONS!CK114+DIVISIONS!CK116+DIVISIONS!CK230+DIVISIONS!CK232+DIVISIONS!CK342+DIVISIONS!CK344+DIVISIONS!CK469+DIVISIONS!CK471+DIVISIONS!CK544+DIVISIONS!CK546+DIVISIONS!CK710+DIVISIONS!CK712</f>
        <v>2303</v>
      </c>
      <c r="CL37" s="293">
        <f>DIVISIONS!CL37+DIVISIONS!CL39+DIVISIONS!CL114+DIVISIONS!CL116+DIVISIONS!CL230+DIVISIONS!CL232+DIVISIONS!CL342+DIVISIONS!CL344+DIVISIONS!CL469+DIVISIONS!CL471+DIVISIONS!CL544+DIVISIONS!CL546+DIVISIONS!CL710+DIVISIONS!CL712</f>
        <v>4720</v>
      </c>
      <c r="CN37" s="293">
        <f>DIVISIONS!CN37+DIVISIONS!CN39+DIVISIONS!CN114+DIVISIONS!CN116+DIVISIONS!CN230+DIVISIONS!CN232+DIVISIONS!CN342+DIVISIONS!CN344+DIVISIONS!CN469+DIVISIONS!CN471+DIVISIONS!CN544+DIVISIONS!CN546+DIVISIONS!CN710+DIVISIONS!CN712</f>
        <v>2520</v>
      </c>
      <c r="CO37" s="293">
        <f>DIVISIONS!CO37+DIVISIONS!CO39+DIVISIONS!CO114+DIVISIONS!CO116+DIVISIONS!CO230+DIVISIONS!CO232+DIVISIONS!CO342+DIVISIONS!CO344+DIVISIONS!CO469+DIVISIONS!CO471+DIVISIONS!CO544+DIVISIONS!CO546+DIVISIONS!CO710+DIVISIONS!CO712</f>
        <v>3157</v>
      </c>
      <c r="CP37" s="293">
        <f>DIVISIONS!CP37+DIVISIONS!CP39+DIVISIONS!CP114+DIVISIONS!CP116+DIVISIONS!CP230+DIVISIONS!CP232+DIVISIONS!CP342+DIVISIONS!CP344+DIVISIONS!CP469+DIVISIONS!CP471+DIVISIONS!CP544+DIVISIONS!CP546+DIVISIONS!CP710+DIVISIONS!CP712</f>
        <v>5677</v>
      </c>
      <c r="CR37" s="293">
        <f>DIVISIONS!CR37+DIVISIONS!CR39+DIVISIONS!CR114+DIVISIONS!CR116+DIVISIONS!CR230+DIVISIONS!CR232+DIVISIONS!CR342+DIVISIONS!CR344+DIVISIONS!CR469+DIVISIONS!CR471+DIVISIONS!CR544+DIVISIONS!CR546+DIVISIONS!CR710+DIVISIONS!CR712</f>
        <v>3032</v>
      </c>
      <c r="CS37" s="293">
        <f>DIVISIONS!CS37+DIVISIONS!CS39+DIVISIONS!CS114+DIVISIONS!CS116+DIVISIONS!CS230+DIVISIONS!CS232+DIVISIONS!CS342+DIVISIONS!CS344+DIVISIONS!CS469+DIVISIONS!CS471+DIVISIONS!CS544+DIVISIONS!CS546+DIVISIONS!CS710+DIVISIONS!CS712</f>
        <v>3824</v>
      </c>
      <c r="CT37" s="293">
        <f>DIVISIONS!CT37+DIVISIONS!CT39+DIVISIONS!CT114+DIVISIONS!CT116+DIVISIONS!CT230+DIVISIONS!CT232+DIVISIONS!CT342+DIVISIONS!CT344+DIVISIONS!CT469+DIVISIONS!CT471+DIVISIONS!CT544+DIVISIONS!CT546+DIVISIONS!CT710+DIVISIONS!CT712</f>
        <v>6856</v>
      </c>
      <c r="CV37" s="293">
        <f>DIVISIONS!CV37+DIVISIONS!CV39+DIVISIONS!CV114+DIVISIONS!CV116+DIVISIONS!CV230+DIVISIONS!CV232+DIVISIONS!CV342+DIVISIONS!CV344+DIVISIONS!CV469+DIVISIONS!CV471+DIVISIONS!CV544+DIVISIONS!CV546+DIVISIONS!CV710+DIVISIONS!CV712</f>
        <v>4248</v>
      </c>
      <c r="CW37" s="293">
        <f>DIVISIONS!CW37+DIVISIONS!CW39+DIVISIONS!CW114+DIVISIONS!CW116+DIVISIONS!CW230+DIVISIONS!CW232+DIVISIONS!CW342+DIVISIONS!CW344+DIVISIONS!CW469+DIVISIONS!CW471+DIVISIONS!CW544+DIVISIONS!CW546+DIVISIONS!CW710+DIVISIONS!CW712</f>
        <v>6353</v>
      </c>
      <c r="CX37" s="293">
        <f>DIVISIONS!CX37+DIVISIONS!CX39+DIVISIONS!CX114+DIVISIONS!CX116+DIVISIONS!CX230+DIVISIONS!CX232+DIVISIONS!CX342+DIVISIONS!CX344+DIVISIONS!CX469+DIVISIONS!CX471+DIVISIONS!CX544+DIVISIONS!CX546+DIVISIONS!CX710+DIVISIONS!CX712</f>
        <v>10601</v>
      </c>
      <c r="CZ37" s="293">
        <f>DIVISIONS!CZ37+DIVISIONS!CZ39+DIVISIONS!CZ114+DIVISIONS!CZ116+DIVISIONS!CZ230+DIVISIONS!CZ232+DIVISIONS!CZ342+DIVISIONS!CZ344+DIVISIONS!CZ469+DIVISIONS!CZ471+DIVISIONS!CZ544+DIVISIONS!CZ546+DIVISIONS!CZ710+DIVISIONS!CZ712</f>
        <v>4245</v>
      </c>
      <c r="DA37" s="293">
        <f>DIVISIONS!DA37+DIVISIONS!DA39+DIVISIONS!DA114+DIVISIONS!DA116+DIVISIONS!DA230+DIVISIONS!DA232+DIVISIONS!DA342+DIVISIONS!DA344+DIVISIONS!DA469+DIVISIONS!DA471+DIVISIONS!DA544+DIVISIONS!DA546+DIVISIONS!DA710+DIVISIONS!DA712</f>
        <v>4662</v>
      </c>
      <c r="DB37" s="293">
        <f>DIVISIONS!DB37+DIVISIONS!DB39+DIVISIONS!DB114+DIVISIONS!DB116+DIVISIONS!DB230+DIVISIONS!DB232+DIVISIONS!DB342+DIVISIONS!DB344+DIVISIONS!DB469+DIVISIONS!DB471+DIVISIONS!DB544+DIVISIONS!DB546+DIVISIONS!DB710+DIVISIONS!DB712</f>
        <v>8907</v>
      </c>
      <c r="DD37" s="293">
        <f>DIVISIONS!DD37+DIVISIONS!DD39+DIVISIONS!DD114+DIVISIONS!DD116+DIVISIONS!DD230+DIVISIONS!DD232+DIVISIONS!DD342+DIVISIONS!DD344+DIVISIONS!DD469+DIVISIONS!DD471+DIVISIONS!DD544+DIVISIONS!DD546+DIVISIONS!DD710+DIVISIONS!DD712</f>
        <v>4129</v>
      </c>
      <c r="DE37" s="293">
        <f>DIVISIONS!DE37+DIVISIONS!DE39+DIVISIONS!DE114+DIVISIONS!DE116+DIVISIONS!DE230+DIVISIONS!DE232+DIVISIONS!DE342+DIVISIONS!DE344+DIVISIONS!DE469+DIVISIONS!DE471+DIVISIONS!DE544+DIVISIONS!DE546+DIVISIONS!DE710+DIVISIONS!DE712</f>
        <v>4748</v>
      </c>
      <c r="DF37" s="293">
        <f>DIVISIONS!DF37+DIVISIONS!DF39+DIVISIONS!DF114+DIVISIONS!DF116+DIVISIONS!DF230+DIVISIONS!DF232+DIVISIONS!DF342+DIVISIONS!DF344+DIVISIONS!DF469+DIVISIONS!DF471+DIVISIONS!DF544+DIVISIONS!DF546+DIVISIONS!DF710+DIVISIONS!DF712</f>
        <v>8877</v>
      </c>
      <c r="DH37" s="293">
        <f>DIVISIONS!DH37+DIVISIONS!DH39+DIVISIONS!DH114+DIVISIONS!DH116+DIVISIONS!DH230+DIVISIONS!DH232+DIVISIONS!DH342+DIVISIONS!DH344+DIVISIONS!DH469+DIVISIONS!DH471+DIVISIONS!DH544+DIVISIONS!DH546+DIVISIONS!DH710+DIVISIONS!DH712</f>
        <v>4511</v>
      </c>
      <c r="DI37" s="293">
        <f>DIVISIONS!DI37+DIVISIONS!DI39+DIVISIONS!DI114+DIVISIONS!DI116+DIVISIONS!DI230+DIVISIONS!DI232+DIVISIONS!DI342+DIVISIONS!DI344+DIVISIONS!DI469+DIVISIONS!DI471+DIVISIONS!DI544+DIVISIONS!DI546+DIVISIONS!DI710+DIVISIONS!DI712</f>
        <v>5242.826232890031</v>
      </c>
      <c r="DJ37" s="293">
        <f>DIVISIONS!DJ37+DIVISIONS!DJ39+DIVISIONS!DJ114+DIVISIONS!DJ116+DIVISIONS!DJ230+DIVISIONS!DJ232+DIVISIONS!DJ342+DIVISIONS!DJ344+DIVISIONS!DJ469+DIVISIONS!DJ471+DIVISIONS!DJ544+DIVISIONS!DJ546+DIVISIONS!DJ710+DIVISIONS!DJ712</f>
        <v>9753.826232890031</v>
      </c>
      <c r="DL37" s="293">
        <f>DIVISIONS!DL37+DIVISIONS!DL39+DIVISIONS!DL114+DIVISIONS!DL116+DIVISIONS!DL230+DIVISIONS!DL232+DIVISIONS!DL342+DIVISIONS!DL344+DIVISIONS!DL469+DIVISIONS!DL471+DIVISIONS!DL544+DIVISIONS!DL546+DIVISIONS!DL710+DIVISIONS!DL712</f>
        <v>4729.4156482422477</v>
      </c>
      <c r="DM37" s="293">
        <f>DIVISIONS!DM37+DIVISIONS!DM39+DIVISIONS!DM114+DIVISIONS!DM116+DIVISIONS!DM230+DIVISIONS!DM232+DIVISIONS!DM342+DIVISIONS!DM344+DIVISIONS!DM469+DIVISIONS!DM471+DIVISIONS!DM544+DIVISIONS!DM546+DIVISIONS!DM710+DIVISIONS!DM712</f>
        <v>5540.8763298970234</v>
      </c>
      <c r="DN37" s="293">
        <f>DIVISIONS!DN37+DIVISIONS!DN39+DIVISIONS!DN114+DIVISIONS!DN116+DIVISIONS!DN230+DIVISIONS!DN232+DIVISIONS!DN342+DIVISIONS!DN344+DIVISIONS!DN469+DIVISIONS!DN471+DIVISIONS!DN544+DIVISIONS!DN546+DIVISIONS!DN710+DIVISIONS!DN712</f>
        <v>10270.29197813927</v>
      </c>
      <c r="DO37" s="293"/>
      <c r="DP37" s="293">
        <f>DIVISIONS!DP37+DIVISIONS!DP39+DIVISIONS!DP114+DIVISIONS!DP116+DIVISIONS!DP230+DIVISIONS!DP232+DIVISIONS!DP342+DIVISIONS!DP344+DIVISIONS!DP469+DIVISIONS!DP471+DIVISIONS!DP544+DIVISIONS!DP546+DIVISIONS!DP710+DIVISIONS!DP712</f>
        <v>4948.2161412762789</v>
      </c>
      <c r="DQ37" s="293">
        <f>DIVISIONS!DQ37+DIVISIONS!DQ39+DIVISIONS!DQ114+DIVISIONS!DQ116+DIVISIONS!DQ230+DIVISIONS!DQ232+DIVISIONS!DQ342+DIVISIONS!DQ344+DIVISIONS!DQ469+DIVISIONS!DQ471+DIVISIONS!DQ544+DIVISIONS!DQ546+DIVISIONS!DQ710+DIVISIONS!DQ712</f>
        <v>5776.2824784110153</v>
      </c>
      <c r="DR37" s="293">
        <f>DIVISIONS!DR37+DIVISIONS!DR39+DIVISIONS!DR114+DIVISIONS!DR116+DIVISIONS!DR230+DIVISIONS!DR232+DIVISIONS!DR342+DIVISIONS!DR344+DIVISIONS!DR469+DIVISIONS!DR471+DIVISIONS!DR544+DIVISIONS!DR546+DIVISIONS!DR710+DIVISIONS!DR712</f>
        <v>10724.498619687292</v>
      </c>
      <c r="DS37" s="293"/>
      <c r="DU37" s="293"/>
      <c r="DV37" s="293"/>
      <c r="DW37" s="293"/>
      <c r="DX37" s="293"/>
      <c r="DZ37" s="293"/>
      <c r="EA37" s="293"/>
      <c r="EB37" s="293"/>
      <c r="ED37" s="293"/>
      <c r="EE37" s="293"/>
      <c r="EF37" s="293"/>
    </row>
    <row r="38" spans="1:273">
      <c r="A38" s="102" t="s">
        <v>566</v>
      </c>
      <c r="AN38" s="626"/>
      <c r="AO38" s="626"/>
      <c r="AP38" s="293"/>
      <c r="AR38" s="626"/>
      <c r="AS38" s="626"/>
      <c r="AT38" s="293"/>
      <c r="AV38" s="293"/>
      <c r="AW38" s="293"/>
      <c r="AX38" s="293"/>
      <c r="AZ38" s="293"/>
      <c r="BA38" s="293"/>
      <c r="BB38" s="293"/>
      <c r="BD38" s="293">
        <f>DIVISIONS!BD38+DIVISIONS!BD115+DIVISIONS!BD343+DIVISIONS!BD231+DIVISIONS!BD470+DIVISIONS!BD545+DIVISIONS!BD711</f>
        <v>1765.663</v>
      </c>
      <c r="BE38" s="293">
        <f>DIVISIONS!BE38+DIVISIONS!BE115+DIVISIONS!BE343+DIVISIONS!BE231+DIVISIONS!BE470+DIVISIONS!BE545+DIVISIONS!BE711</f>
        <v>1598</v>
      </c>
      <c r="BF38" s="293">
        <f>DIVISIONS!BF38+DIVISIONS!BF115+DIVISIONS!BF343+DIVISIONS!BF231+DIVISIONS!BF470+DIVISIONS!BF545+DIVISIONS!BF711</f>
        <v>3363.663</v>
      </c>
      <c r="BH38" s="293">
        <f>DIVISIONS!BH38+DIVISIONS!BH115+DIVISIONS!BH343+DIVISIONS!BH231+DIVISIONS!BH470+DIVISIONS!BH545+DIVISIONS!BH711</f>
        <v>1636</v>
      </c>
      <c r="BI38" s="293">
        <f>DIVISIONS!BI38+DIVISIONS!BI115+DIVISIONS!BI343+DIVISIONS!BI231+DIVISIONS!BI470+DIVISIONS!BI545+DIVISIONS!BI711</f>
        <v>1743</v>
      </c>
      <c r="BJ38" s="293">
        <f>DIVISIONS!BJ38+DIVISIONS!BJ115+DIVISIONS!BJ343+DIVISIONS!BJ231+DIVISIONS!BJ470+DIVISIONS!BJ545+DIVISIONS!BJ711</f>
        <v>3379</v>
      </c>
      <c r="BL38" s="293">
        <f>DIVISIONS!BL38+DIVISIONS!BL115+DIVISIONS!BL343+DIVISIONS!BL231+DIVISIONS!BL470+DIVISIONS!BL545+DIVISIONS!BL711</f>
        <v>1838</v>
      </c>
      <c r="BM38" s="293">
        <f>DIVISIONS!BM38+DIVISIONS!BM115+DIVISIONS!BM343+DIVISIONS!BM231+DIVISIONS!BM470+DIVISIONS!BM545+DIVISIONS!BM711</f>
        <v>2015</v>
      </c>
      <c r="BN38" s="293">
        <f>DIVISIONS!BN38+DIVISIONS!BN115+DIVISIONS!BN343+DIVISIONS!BN231+DIVISIONS!BN470+DIVISIONS!BN545+DIVISIONS!BN711</f>
        <v>3853</v>
      </c>
      <c r="BP38" s="293">
        <f>DIVISIONS!BP38+DIVISIONS!BP115+DIVISIONS!BP343+DIVISIONS!BP231+DIVISIONS!BP470+DIVISIONS!BP545+DIVISIONS!BP711</f>
        <v>2167</v>
      </c>
      <c r="BQ38" s="293">
        <f>DIVISIONS!BQ38+DIVISIONS!BQ115+DIVISIONS!BQ343+DIVISIONS!BQ231+DIVISIONS!BQ470+DIVISIONS!BQ545+DIVISIONS!BQ711</f>
        <v>2572</v>
      </c>
      <c r="BR38" s="293">
        <f>DIVISIONS!BR38+DIVISIONS!BR115+DIVISIONS!BR343+DIVISIONS!BR231+DIVISIONS!BR470+DIVISIONS!BR545+DIVISIONS!BR711</f>
        <v>4739</v>
      </c>
      <c r="BT38" s="293">
        <f>DIVISIONS!BT38+DIVISIONS!BT115+DIVISIONS!BT343+DIVISIONS!BT231+DIVISIONS!BT470+DIVISIONS!BT545+DIVISIONS!BT711</f>
        <v>2794</v>
      </c>
      <c r="BU38" s="293">
        <f>DIVISIONS!BU38+DIVISIONS!BU115+DIVISIONS!BU343+DIVISIONS!BU231+DIVISIONS!BU470+DIVISIONS!BU545+DIVISIONS!BU711</f>
        <v>2068</v>
      </c>
      <c r="BV38" s="293">
        <f>DIVISIONS!BV38+DIVISIONS!BV115+DIVISIONS!BV343+DIVISIONS!BV231+DIVISIONS!BV470+DIVISIONS!BV545+DIVISIONS!BV711</f>
        <v>4862</v>
      </c>
      <c r="BX38" s="293">
        <f>DIVISIONS!BX38+DIVISIONS!BX115+DIVISIONS!BX343+DIVISIONS!BX231+DIVISIONS!BX470+DIVISIONS!BX545+DIVISIONS!BX711</f>
        <v>2203</v>
      </c>
      <c r="BY38" s="293">
        <f>DIVISIONS!BY38+DIVISIONS!BY115+DIVISIONS!BY343+DIVISIONS!BY231+DIVISIONS!BY470+DIVISIONS!BY545+DIVISIONS!BY711</f>
        <v>2128</v>
      </c>
      <c r="BZ38" s="293">
        <f>DIVISIONS!BZ38+DIVISIONS!BZ115+DIVISIONS!BZ343+DIVISIONS!BZ231+DIVISIONS!BZ470+DIVISIONS!BZ545+DIVISIONS!BZ711</f>
        <v>4331</v>
      </c>
      <c r="CB38" s="293">
        <f>DIVISIONS!CB38+DIVISIONS!CB115+DIVISIONS!CB343+DIVISIONS!CB231+DIVISIONS!CB470+DIVISIONS!CB545+DIVISIONS!CB711</f>
        <v>2568</v>
      </c>
      <c r="CC38" s="293">
        <f>DIVISIONS!CC38+DIVISIONS!CC115+DIVISIONS!CC343+DIVISIONS!CC231+DIVISIONS!CC470+DIVISIONS!CC545+DIVISIONS!CC711</f>
        <v>2102</v>
      </c>
      <c r="CD38" s="293">
        <f>DIVISIONS!CD38+DIVISIONS!CD115+DIVISIONS!CD343+DIVISIONS!CD231+DIVISIONS!CD470+DIVISIONS!CD545+DIVISIONS!CD711</f>
        <v>4670</v>
      </c>
      <c r="CF38" s="293">
        <f>DIVISIONS!CF38+DIVISIONS!CF115+DIVISIONS!CF343+DIVISIONS!CF231+DIVISIONS!CF470+DIVISIONS!CF545+DIVISIONS!CF711</f>
        <v>2661</v>
      </c>
      <c r="CG38" s="293">
        <f>DIVISIONS!CG38+DIVISIONS!CG115+DIVISIONS!CG343+DIVISIONS!CG231+DIVISIONS!CG470+DIVISIONS!CG545+DIVISIONS!CG711</f>
        <v>2865</v>
      </c>
      <c r="CH38" s="293">
        <f>DIVISIONS!CH38+DIVISIONS!CH115+DIVISIONS!CH343+DIVISIONS!CH231+DIVISIONS!CH470+DIVISIONS!CH545+DIVISIONS!CH711</f>
        <v>5526</v>
      </c>
      <c r="CJ38" s="293">
        <f>DIVISIONS!CJ38+DIVISIONS!CJ115+DIVISIONS!CJ343+DIVISIONS!CJ231+DIVISIONS!CJ470+DIVISIONS!CJ545+DIVISIONS!CJ711</f>
        <v>2874</v>
      </c>
      <c r="CK38" s="293">
        <f>DIVISIONS!CK38+DIVISIONS!CK115+DIVISIONS!CK343+DIVISIONS!CK231+DIVISIONS!CK470+DIVISIONS!CK545+DIVISIONS!CK711</f>
        <v>2963</v>
      </c>
      <c r="CL38" s="293">
        <f>DIVISIONS!CL38+DIVISIONS!CL115+DIVISIONS!CL343+DIVISIONS!CL231+DIVISIONS!CL470+DIVISIONS!CL545+DIVISIONS!CL711</f>
        <v>5837</v>
      </c>
      <c r="CN38" s="293">
        <f>DIVISIONS!CN38+DIVISIONS!CN115+DIVISIONS!CN343+DIVISIONS!CN231+DIVISIONS!CN470+DIVISIONS!CN545+DIVISIONS!CN711</f>
        <v>2613</v>
      </c>
      <c r="CO38" s="293">
        <f>DIVISIONS!CO38+DIVISIONS!CO115+DIVISIONS!CO343+DIVISIONS!CO231+DIVISIONS!CO470+DIVISIONS!CO545+DIVISIONS!CO711</f>
        <v>2563</v>
      </c>
      <c r="CP38" s="293">
        <f>DIVISIONS!CP38+DIVISIONS!CP115+DIVISIONS!CP343+DIVISIONS!CP231+DIVISIONS!CP470+DIVISIONS!CP545+DIVISIONS!CP711</f>
        <v>5176</v>
      </c>
      <c r="CR38" s="293">
        <f>DIVISIONS!CR38+DIVISIONS!CR115+DIVISIONS!CR343+DIVISIONS!CR231+DIVISIONS!CR470+DIVISIONS!CR545+DIVISIONS!CR711</f>
        <v>3452</v>
      </c>
      <c r="CS38" s="293">
        <f>DIVISIONS!CS38+DIVISIONS!CS115+DIVISIONS!CS343+DIVISIONS!CS231+DIVISIONS!CS470+DIVISIONS!CS545+DIVISIONS!CS711</f>
        <v>3435</v>
      </c>
      <c r="CT38" s="293">
        <f>DIVISIONS!CT38+DIVISIONS!CT115+DIVISIONS!CT343+DIVISIONS!CT231+DIVISIONS!CT470+DIVISIONS!CT545+DIVISIONS!CT711</f>
        <v>6887</v>
      </c>
      <c r="CV38" s="293">
        <f>DIVISIONS!CV38+DIVISIONS!CV115+DIVISIONS!CV343+DIVISIONS!CV231+DIVISIONS!CV470+DIVISIONS!CV545+DIVISIONS!CV711</f>
        <v>2977</v>
      </c>
      <c r="CW38" s="293">
        <f>DIVISIONS!CW38+DIVISIONS!CW115+DIVISIONS!CW343+DIVISIONS!CW231+DIVISIONS!CW470+DIVISIONS!CW545+DIVISIONS!CW711</f>
        <v>3423</v>
      </c>
      <c r="CX38" s="293">
        <f>DIVISIONS!CX38+DIVISIONS!CX115+DIVISIONS!CX343+DIVISIONS!CX231+DIVISIONS!CX470+DIVISIONS!CX545+DIVISIONS!CX711</f>
        <v>6400</v>
      </c>
      <c r="CZ38" s="293">
        <f>DIVISIONS!CZ38+DIVISIONS!CZ115+DIVISIONS!CZ343+DIVISIONS!CZ231+DIVISIONS!CZ470+DIVISIONS!CZ545+DIVISIONS!CZ711</f>
        <v>3023</v>
      </c>
      <c r="DA38" s="293">
        <f>DIVISIONS!DA38+DIVISIONS!DA115+DIVISIONS!DA343+DIVISIONS!DA231+DIVISIONS!DA470+DIVISIONS!DA545+DIVISIONS!DA711</f>
        <v>3226</v>
      </c>
      <c r="DB38" s="293">
        <f>DIVISIONS!DB38+DIVISIONS!DB115+DIVISIONS!DB343+DIVISIONS!DB231+DIVISIONS!DB470+DIVISIONS!DB545+DIVISIONS!DB711</f>
        <v>6249</v>
      </c>
      <c r="DD38" s="293">
        <f>DIVISIONS!DD38+DIVISIONS!DD115+DIVISIONS!DD343+DIVISIONS!DD231+DIVISIONS!DD470+DIVISIONS!DD545+DIVISIONS!DD711</f>
        <v>3300</v>
      </c>
      <c r="DE38" s="293">
        <f>DIVISIONS!DE38+DIVISIONS!DE115+DIVISIONS!DE343+DIVISIONS!DE231+DIVISIONS!DE470+DIVISIONS!DE545+DIVISIONS!DE711</f>
        <v>3490</v>
      </c>
      <c r="DF38" s="293">
        <f>DIVISIONS!DF38+DIVISIONS!DF115+DIVISIONS!DF343+DIVISIONS!DF231+DIVISIONS!DF470+DIVISIONS!DF545+DIVISIONS!DF711</f>
        <v>6790</v>
      </c>
      <c r="DH38" s="293">
        <f>DIVISIONS!DH38+DIVISIONS!DH115+DIVISIONS!DH343+DIVISIONS!DH231+DIVISIONS!DH470+DIVISIONS!DH545+DIVISIONS!DH711</f>
        <v>3901</v>
      </c>
      <c r="DI38" s="293">
        <f>DIVISIONS!DI38+DIVISIONS!DI115+DIVISIONS!DI343+DIVISIONS!DI231+DIVISIONS!DI470+DIVISIONS!DI545+DIVISIONS!DI711</f>
        <v>3615.0750669774484</v>
      </c>
      <c r="DJ38" s="293">
        <f>DIVISIONS!DJ38+DIVISIONS!DJ115+DIVISIONS!DJ343+DIVISIONS!DJ231+DIVISIONS!DJ470+DIVISIONS!DJ545+DIVISIONS!DJ711</f>
        <v>7516.0750669774479</v>
      </c>
      <c r="DL38" s="293">
        <f>DIVISIONS!DL38+DIVISIONS!DL115+DIVISIONS!DL343+DIVISIONS!DL231+DIVISIONS!DL470+DIVISIONS!DL545+DIVISIONS!DL711</f>
        <v>3486.4374788938881</v>
      </c>
      <c r="DM38" s="293">
        <f>DIVISIONS!DM38+DIVISIONS!DM115+DIVISIONS!DM343+DIVISIONS!DM231+DIVISIONS!DM470+DIVISIONS!DM545+DIVISIONS!DM711</f>
        <v>3535.1484407541352</v>
      </c>
      <c r="DN38" s="293">
        <f>DIVISIONS!DN38+DIVISIONS!DN115+DIVISIONS!DN343+DIVISIONS!DN231+DIVISIONS!DN470+DIVISIONS!DN545+DIVISIONS!DN711</f>
        <v>7021.5859196480233</v>
      </c>
      <c r="DO38" s="293"/>
      <c r="DP38" s="293">
        <f>DIVISIONS!DP38+DIVISIONS!DP115+DIVISIONS!DP343+DIVISIONS!DP231+DIVISIONS!DP470+DIVISIONS!DP545+DIVISIONS!DP711</f>
        <v>3657.478527223222</v>
      </c>
      <c r="DQ38" s="293">
        <f>DIVISIONS!DQ38+DIVISIONS!DQ115+DIVISIONS!DQ343+DIVISIONS!DQ231+DIVISIONS!DQ470+DIVISIONS!DQ545+DIVISIONS!DQ711</f>
        <v>3710.7117919172329</v>
      </c>
      <c r="DR38" s="293">
        <f>DIVISIONS!DR38+DIVISIONS!DR115+DIVISIONS!DR343+DIVISIONS!DR231+DIVISIONS!DR470+DIVISIONS!DR545+DIVISIONS!DR711</f>
        <v>7368.1903191404563</v>
      </c>
      <c r="DS38" s="293"/>
      <c r="DU38" s="293"/>
      <c r="DV38" s="293"/>
      <c r="DW38" s="293"/>
      <c r="DX38" s="293"/>
      <c r="DZ38" s="293"/>
      <c r="EA38" s="293"/>
      <c r="EB38" s="293"/>
      <c r="ED38" s="293"/>
      <c r="EE38" s="293"/>
      <c r="EF38" s="293"/>
    </row>
    <row r="39" spans="1:273">
      <c r="A39" s="102" t="s">
        <v>652</v>
      </c>
      <c r="AP39" s="293"/>
      <c r="AT39" s="293"/>
      <c r="AX39" s="293"/>
      <c r="AZ39" s="293"/>
      <c r="BA39" s="293"/>
      <c r="BB39" s="293"/>
      <c r="BD39" s="293">
        <f>DIVISIONS!BD40+DIVISIONS!BD117+DIVISIONS!BD345+DIVISIONS!BD233+DIVISIONS!BD472+DIVISIONS!BD547+DIVISIONS!BD713</f>
        <v>49</v>
      </c>
      <c r="BE39" s="293">
        <f>DIVISIONS!BE40+DIVISIONS!BE117+DIVISIONS!BE345+DIVISIONS!BE233+DIVISIONS!BE472+DIVISIONS!BE547+DIVISIONS!BE713</f>
        <v>59</v>
      </c>
      <c r="BF39" s="293">
        <f>DIVISIONS!BF40+DIVISIONS!BF117+DIVISIONS!BF345+DIVISIONS!BF233+DIVISIONS!BF472+DIVISIONS!BF547+DIVISIONS!BF713</f>
        <v>108</v>
      </c>
      <c r="BH39" s="293">
        <f>DIVISIONS!BH40+DIVISIONS!BH117+DIVISIONS!BH345+DIVISIONS!BH233+DIVISIONS!BH472+DIVISIONS!BH547+DIVISIONS!BH713</f>
        <v>75</v>
      </c>
      <c r="BI39" s="293">
        <f>DIVISIONS!BI40+DIVISIONS!BI117+DIVISIONS!BI345+DIVISIONS!BI233+DIVISIONS!BI472+DIVISIONS!BI547+DIVISIONS!BI713</f>
        <v>17</v>
      </c>
      <c r="BJ39" s="293">
        <f>DIVISIONS!BJ40+DIVISIONS!BJ117+DIVISIONS!BJ345+DIVISIONS!BJ233+DIVISIONS!BJ472+DIVISIONS!BJ547+DIVISIONS!BJ713</f>
        <v>92</v>
      </c>
      <c r="BL39" s="293">
        <f>DIVISIONS!BL40+DIVISIONS!BL117+DIVISIONS!BL345+DIVISIONS!BL233+DIVISIONS!BL472+DIVISIONS!BL547+DIVISIONS!BL713</f>
        <v>70</v>
      </c>
      <c r="BM39" s="293">
        <f>DIVISIONS!BM40+DIVISIONS!BM117+DIVISIONS!BM345+DIVISIONS!BM233+DIVISIONS!BM472+DIVISIONS!BM547+DIVISIONS!BM713</f>
        <v>79</v>
      </c>
      <c r="BN39" s="293">
        <f>DIVISIONS!BN40+DIVISIONS!BN117+DIVISIONS!BN345+DIVISIONS!BN233+DIVISIONS!BN472+DIVISIONS!BN547+DIVISIONS!BN713</f>
        <v>149</v>
      </c>
      <c r="BP39" s="293">
        <f>DIVISIONS!BP40+DIVISIONS!BP117+DIVISIONS!BP345+DIVISIONS!BP233+DIVISIONS!BP472+DIVISIONS!BP547+DIVISIONS!BP713</f>
        <v>19</v>
      </c>
      <c r="BQ39" s="293">
        <f>DIVISIONS!BQ40+DIVISIONS!BQ117+DIVISIONS!BQ345+DIVISIONS!BQ233+DIVISIONS!BQ472+DIVISIONS!BQ547+DIVISIONS!BQ713</f>
        <v>-14</v>
      </c>
      <c r="BR39" s="293">
        <f>DIVISIONS!BR40+DIVISIONS!BR117+DIVISIONS!BR345+DIVISIONS!BR233+DIVISIONS!BR472+DIVISIONS!BR547+DIVISIONS!BR713</f>
        <v>5</v>
      </c>
      <c r="BT39" s="293">
        <f>DIVISIONS!BT40+DIVISIONS!BT117+DIVISIONS!BT345+DIVISIONS!BT233+DIVISIONS!BT472+DIVISIONS!BT547+DIVISIONS!BT713</f>
        <v>-63</v>
      </c>
      <c r="BU39" s="293">
        <f>DIVISIONS!BU40+DIVISIONS!BU117+DIVISIONS!BU345+DIVISIONS!BU233+DIVISIONS!BU472+DIVISIONS!BU547+DIVISIONS!BU713</f>
        <v>67</v>
      </c>
      <c r="BV39" s="293">
        <f>DIVISIONS!BV40+DIVISIONS!BV117+DIVISIONS!BV345+DIVISIONS!BV233+DIVISIONS!BV472+DIVISIONS!BV547+DIVISIONS!BV713</f>
        <v>4</v>
      </c>
      <c r="BX39" s="293">
        <f>DIVISIONS!BX40+DIVISIONS!BX117+DIVISIONS!BX345+DIVISIONS!BX233+DIVISIONS!BX472+DIVISIONS!BX547+DIVISIONS!BX713</f>
        <v>-8</v>
      </c>
      <c r="BY39" s="293">
        <f>DIVISIONS!BY40+DIVISIONS!BY117+DIVISIONS!BY345+DIVISIONS!BY233+DIVISIONS!BY472+DIVISIONS!BY547+DIVISIONS!BY713</f>
        <v>59</v>
      </c>
      <c r="BZ39" s="293">
        <f>DIVISIONS!BZ40+DIVISIONS!BZ117+DIVISIONS!BZ345+DIVISIONS!BZ233+DIVISIONS!BZ472+DIVISIONS!BZ547+DIVISIONS!BZ713</f>
        <v>51</v>
      </c>
      <c r="CB39" s="293">
        <f>DIVISIONS!CB40+DIVISIONS!CB117+DIVISIONS!CB345+DIVISIONS!CB233+DIVISIONS!CB472+DIVISIONS!CB547+DIVISIONS!CB713</f>
        <v>103</v>
      </c>
      <c r="CC39" s="293">
        <f>DIVISIONS!CC40+DIVISIONS!CC117+DIVISIONS!CC345+DIVISIONS!CC233+DIVISIONS!CC472+DIVISIONS!CC547+DIVISIONS!CC713</f>
        <v>138</v>
      </c>
      <c r="CD39" s="293">
        <f>DIVISIONS!CD40+DIVISIONS!CD117+DIVISIONS!CD345+DIVISIONS!CD233+DIVISIONS!CD472+DIVISIONS!CD547+DIVISIONS!CD713</f>
        <v>241</v>
      </c>
      <c r="CF39" s="293">
        <f>DIVISIONS!CF40+DIVISIONS!CF117+DIVISIONS!CF345+DIVISIONS!CF233+DIVISIONS!CF472+DIVISIONS!CF547+DIVISIONS!CF713</f>
        <v>7</v>
      </c>
      <c r="CG39" s="293">
        <f>DIVISIONS!CG40+DIVISIONS!CG117+DIVISIONS!CG345+DIVISIONS!CG233+DIVISIONS!CG472+DIVISIONS!CG547+DIVISIONS!CG713</f>
        <v>-63</v>
      </c>
      <c r="CH39" s="293">
        <f>DIVISIONS!CH40+DIVISIONS!CH117+DIVISIONS!CH345+DIVISIONS!CH233+DIVISIONS!CH472+DIVISIONS!CH547+DIVISIONS!CH713</f>
        <v>-56</v>
      </c>
      <c r="CJ39" s="293">
        <f>DIVISIONS!CJ40+DIVISIONS!CJ117+DIVISIONS!CJ345+DIVISIONS!CJ233+DIVISIONS!CJ472+DIVISIONS!CJ547+DIVISIONS!CJ713</f>
        <v>-49</v>
      </c>
      <c r="CK39" s="293">
        <f>DIVISIONS!CK40+DIVISIONS!CK117+DIVISIONS!CK345+DIVISIONS!CK233+DIVISIONS!CK472+DIVISIONS!CK547+DIVISIONS!CK713</f>
        <v>144</v>
      </c>
      <c r="CL39" s="293">
        <f>DIVISIONS!CL40+DIVISIONS!CL117+DIVISIONS!CL345+DIVISIONS!CL233+DIVISIONS!CL472+DIVISIONS!CL547+DIVISIONS!CL713</f>
        <v>95</v>
      </c>
      <c r="CN39" s="293">
        <f>DIVISIONS!CN40+DIVISIONS!CN117+DIVISIONS!CN345+DIVISIONS!CN233+DIVISIONS!CN472+DIVISIONS!CN547+DIVISIONS!CN713</f>
        <v>-54</v>
      </c>
      <c r="CO39" s="293">
        <f>DIVISIONS!CO40+DIVISIONS!CO117+DIVISIONS!CO345+DIVISIONS!CO233+DIVISIONS!CO472+DIVISIONS!CO547+DIVISIONS!CO713</f>
        <v>51</v>
      </c>
      <c r="CP39" s="293">
        <f>DIVISIONS!CP40+DIVISIONS!CP117+DIVISIONS!CP345+DIVISIONS!CP233+DIVISIONS!CP472+DIVISIONS!CP547+DIVISIONS!CP713</f>
        <v>-3</v>
      </c>
      <c r="CR39" s="293">
        <f>DIVISIONS!CR40+DIVISIONS!CR117+DIVISIONS!CR345+DIVISIONS!CR233+DIVISIONS!CR472+DIVISIONS!CR547+DIVISIONS!CR713</f>
        <v>242</v>
      </c>
      <c r="CS39" s="293">
        <f>DIVISIONS!CS40+DIVISIONS!CS117+DIVISIONS!CS345+DIVISIONS!CS233+DIVISIONS!CS472+DIVISIONS!CS547+DIVISIONS!CS713</f>
        <v>-2</v>
      </c>
      <c r="CT39" s="293">
        <f>DIVISIONS!CT40+DIVISIONS!CT117+DIVISIONS!CT345+DIVISIONS!CT233+DIVISIONS!CT472+DIVISIONS!CT547+DIVISIONS!CT713</f>
        <v>240</v>
      </c>
      <c r="CV39" s="293">
        <f>DIVISIONS!CV40+DIVISIONS!CV117+DIVISIONS!CV345+DIVISIONS!CV233+DIVISIONS!CV472+DIVISIONS!CV547+DIVISIONS!CV713</f>
        <v>-61</v>
      </c>
      <c r="CW39" s="293">
        <f>DIVISIONS!CW40+DIVISIONS!CW117+DIVISIONS!CW345+DIVISIONS!CW233+DIVISIONS!CW472+DIVISIONS!CW547+DIVISIONS!CW713</f>
        <v>-52</v>
      </c>
      <c r="CX39" s="293">
        <f>DIVISIONS!CX40+DIVISIONS!CX117+DIVISIONS!CX345+DIVISIONS!CX233+DIVISIONS!CX472+DIVISIONS!CX547+DIVISIONS!CX713</f>
        <v>-113</v>
      </c>
      <c r="CZ39" s="293">
        <f>DIVISIONS!CZ40+DIVISIONS!CZ117+DIVISIONS!CZ345+DIVISIONS!CZ233+DIVISIONS!CZ472+DIVISIONS!CZ547+DIVISIONS!CZ713</f>
        <v>-5</v>
      </c>
      <c r="DA39" s="293">
        <f>DIVISIONS!DA40+DIVISIONS!DA117+DIVISIONS!DA345+DIVISIONS!DA233+DIVISIONS!DA472+DIVISIONS!DA547+DIVISIONS!DA713</f>
        <v>-44</v>
      </c>
      <c r="DB39" s="293">
        <f>DIVISIONS!DB40+DIVISIONS!DB117+DIVISIONS!DB345+DIVISIONS!DB233+DIVISIONS!DB472+DIVISIONS!DB547+DIVISIONS!DB713</f>
        <v>-49</v>
      </c>
      <c r="DD39" s="293">
        <f>DIVISIONS!DD40+DIVISIONS!DD117+DIVISIONS!DD345+DIVISIONS!DD233+DIVISIONS!DD472+DIVISIONS!DD547+DIVISIONS!DD713</f>
        <v>1</v>
      </c>
      <c r="DE39" s="293">
        <f>DIVISIONS!DE40+DIVISIONS!DE117+DIVISIONS!DE345+DIVISIONS!DE233+DIVISIONS!DE472+DIVISIONS!DE547+DIVISIONS!DE713</f>
        <v>166</v>
      </c>
      <c r="DF39" s="293">
        <f>DIVISIONS!DF40+DIVISIONS!DF117+DIVISIONS!DF345+DIVISIONS!DF233+DIVISIONS!DF472+DIVISIONS!DF547+DIVISIONS!DF713</f>
        <v>167</v>
      </c>
      <c r="DH39" s="293">
        <f>DIVISIONS!DH40+DIVISIONS!DH117+DIVISIONS!DH345+DIVISIONS!DH233+DIVISIONS!DH472+DIVISIONS!DH547+DIVISIONS!DH713</f>
        <v>-50</v>
      </c>
      <c r="DI39" s="293">
        <f>DIVISIONS!DI40+DIVISIONS!DI117+DIVISIONS!DI345+DIVISIONS!DI233+DIVISIONS!DI472+DIVISIONS!DI547+DIVISIONS!DI713</f>
        <v>7.98</v>
      </c>
      <c r="DJ39" s="293">
        <f>DIVISIONS!DJ40+DIVISIONS!DJ117+DIVISIONS!DJ345+DIVISIONS!DJ233+DIVISIONS!DJ472+DIVISIONS!DJ547+DIVISIONS!DJ713</f>
        <v>-42.02000000000001</v>
      </c>
      <c r="DL39" s="293">
        <f>DIVISIONS!DL40+DIVISIONS!DL117+DIVISIONS!DL345+DIVISIONS!DL233+DIVISIONS!DL472+DIVISIONS!DL547+DIVISIONS!DL713</f>
        <v>1.9400000000000972E-2</v>
      </c>
      <c r="DM39" s="293">
        <f>DIVISIONS!DM40+DIVISIONS!DM117+DIVISIONS!DM345+DIVISIONS!DM233+DIVISIONS!DM472+DIVISIONS!DM547+DIVISIONS!DM713</f>
        <v>2.1199820000000003</v>
      </c>
      <c r="DN39" s="293">
        <f>DIVISIONS!DN40+DIVISIONS!DN117+DIVISIONS!DN345+DIVISIONS!DN233+DIVISIONS!DN472+DIVISIONS!DN547+DIVISIONS!DN713</f>
        <v>2.1393820000000119</v>
      </c>
      <c r="DO39" s="293"/>
      <c r="DP39" s="293">
        <f>DIVISIONS!DP40+DIVISIONS!DP117+DIVISIONS!DP345+DIVISIONS!DP233+DIVISIONS!DP472+DIVISIONS!DP547+DIVISIONS!DP713</f>
        <v>2.2835814599999971</v>
      </c>
      <c r="DQ39" s="293">
        <f>DIVISIONS!DQ40+DIVISIONS!DQ117+DIVISIONS!DQ345+DIVISIONS!DQ233+DIVISIONS!DQ472+DIVISIONS!DQ547+DIVISIONS!DQ713</f>
        <v>4.5120889037999952</v>
      </c>
      <c r="DR39" s="293">
        <f>DIVISIONS!DR40+DIVISIONS!DR117+DIVISIONS!DR345+DIVISIONS!DR233+DIVISIONS!DR472+DIVISIONS!DR547+DIVISIONS!DR713</f>
        <v>6.7956703637999922</v>
      </c>
      <c r="DS39" s="293"/>
      <c r="DX39" s="293"/>
      <c r="EB39" s="293"/>
      <c r="EF39" s="293"/>
    </row>
    <row r="40" spans="1:273">
      <c r="A40" s="102" t="s">
        <v>621</v>
      </c>
      <c r="AP40" s="293"/>
      <c r="AT40" s="293"/>
      <c r="AX40" s="293"/>
      <c r="AZ40" s="293"/>
      <c r="BA40" s="293"/>
      <c r="BB40" s="293"/>
      <c r="BD40" s="293">
        <f>DIVISIONS!BD41+DIVISIONS!BD118+DIVISIONS!BD346+DIVISIONS!BD234+DIVISIONS!BD473+DIVISIONS!BD548+DIVISIONS!BD714</f>
        <v>356</v>
      </c>
      <c r="BE40" s="293">
        <f>DIVISIONS!BE41+DIVISIONS!BE118+DIVISIONS!BE346+DIVISIONS!BE234+DIVISIONS!BE473+DIVISIONS!BE548+DIVISIONS!BE714</f>
        <v>767</v>
      </c>
      <c r="BF40" s="293">
        <f>DIVISIONS!BF41+DIVISIONS!BF118+DIVISIONS!BF346+DIVISIONS!BF234+DIVISIONS!BF473+DIVISIONS!BF548+DIVISIONS!BF714</f>
        <v>1123</v>
      </c>
      <c r="BH40" s="293">
        <f>DIVISIONS!BH41+DIVISIONS!BH118+DIVISIONS!BH346+DIVISIONS!BH234+DIVISIONS!BH473+DIVISIONS!BH548+DIVISIONS!BH714</f>
        <v>144</v>
      </c>
      <c r="BI40" s="293">
        <f>DIVISIONS!BI41+DIVISIONS!BI118+DIVISIONS!BI346+DIVISIONS!BI234+DIVISIONS!BI473+DIVISIONS!BI548+DIVISIONS!BI714</f>
        <v>441</v>
      </c>
      <c r="BJ40" s="293">
        <f>DIVISIONS!BJ41+DIVISIONS!BJ118+DIVISIONS!BJ346+DIVISIONS!BJ234+DIVISIONS!BJ473+DIVISIONS!BJ548+DIVISIONS!BJ714</f>
        <v>585</v>
      </c>
      <c r="BL40" s="293">
        <f>DIVISIONS!BL41+DIVISIONS!BL118+DIVISIONS!BL346+DIVISIONS!BL234+DIVISIONS!BL473+DIVISIONS!BL548+DIVISIONS!BL714</f>
        <v>320</v>
      </c>
      <c r="BM40" s="293">
        <f>DIVISIONS!BM41+DIVISIONS!BM118+DIVISIONS!BM346+DIVISIONS!BM234+DIVISIONS!BM473+DIVISIONS!BM548+DIVISIONS!BM714</f>
        <v>535</v>
      </c>
      <c r="BN40" s="293">
        <f>DIVISIONS!BN41+DIVISIONS!BN118+DIVISIONS!BN346+DIVISIONS!BN234+DIVISIONS!BN473+DIVISIONS!BN548+DIVISIONS!BN714</f>
        <v>855</v>
      </c>
      <c r="BP40" s="293">
        <f>DIVISIONS!BP41+DIVISIONS!BP118+DIVISIONS!BP346+DIVISIONS!BP234+DIVISIONS!BP473+DIVISIONS!BP548+DIVISIONS!BP714</f>
        <v>455</v>
      </c>
      <c r="BQ40" s="293">
        <f>DIVISIONS!BQ41+DIVISIONS!BQ118+DIVISIONS!BQ346+DIVISIONS!BQ234+DIVISIONS!BQ473+DIVISIONS!BQ548+DIVISIONS!BQ714</f>
        <v>244</v>
      </c>
      <c r="BR40" s="293">
        <f>DIVISIONS!BR41+DIVISIONS!BR118+DIVISIONS!BR346+DIVISIONS!BR234+DIVISIONS!BR473+DIVISIONS!BR548+DIVISIONS!BR714</f>
        <v>699</v>
      </c>
      <c r="BT40" s="293">
        <f>DIVISIONS!BT41+DIVISIONS!BT118+DIVISIONS!BT346+DIVISIONS!BT234+DIVISIONS!BT473+DIVISIONS!BT548+DIVISIONS!BT714</f>
        <v>314</v>
      </c>
      <c r="BU40" s="293">
        <f>DIVISIONS!BU41+DIVISIONS!BU118+DIVISIONS!BU346+DIVISIONS!BU234+DIVISIONS!BU473+DIVISIONS!BU548+DIVISIONS!BU714</f>
        <v>632</v>
      </c>
      <c r="BV40" s="293">
        <f>DIVISIONS!BV41+DIVISIONS!BV118+DIVISIONS!BV346+DIVISIONS!BV234+DIVISIONS!BV473+DIVISIONS!BV548+DIVISIONS!BV714</f>
        <v>946</v>
      </c>
      <c r="BX40" s="293">
        <f>DIVISIONS!BX41+DIVISIONS!BX118+DIVISIONS!BX346+DIVISIONS!BX234+DIVISIONS!BX473+DIVISIONS!BX548+DIVISIONS!BX714</f>
        <v>1149</v>
      </c>
      <c r="BY40" s="293">
        <f>DIVISIONS!BY41+DIVISIONS!BY118+DIVISIONS!BY346+DIVISIONS!BY234+DIVISIONS!BY473+DIVISIONS!BY548+DIVISIONS!BY714</f>
        <v>890</v>
      </c>
      <c r="BZ40" s="293">
        <f>DIVISIONS!BZ41+DIVISIONS!BZ118+DIVISIONS!BZ346+DIVISIONS!BZ234+DIVISIONS!BZ473+DIVISIONS!BZ548+DIVISIONS!BZ714</f>
        <v>2039</v>
      </c>
      <c r="CB40" s="293">
        <f>DIVISIONS!CB41+DIVISIONS!CB118+DIVISIONS!CB346+DIVISIONS!CB234+DIVISIONS!CB473+DIVISIONS!CB548+DIVISIONS!CB714</f>
        <v>834</v>
      </c>
      <c r="CC40" s="293">
        <f>DIVISIONS!CC41+DIVISIONS!CC118+DIVISIONS!CC346+DIVISIONS!CC234+DIVISIONS!CC473+DIVISIONS!CC548+DIVISIONS!CC714</f>
        <v>1232</v>
      </c>
      <c r="CD40" s="293">
        <f>DIVISIONS!CD41+DIVISIONS!CD118+DIVISIONS!CD346+DIVISIONS!CD234+DIVISIONS!CD473+DIVISIONS!CD548+DIVISIONS!CD714</f>
        <v>2066</v>
      </c>
      <c r="CF40" s="293">
        <f>DIVISIONS!CF41+DIVISIONS!CF118+DIVISIONS!CF346+DIVISIONS!CF234+DIVISIONS!CF473+DIVISIONS!CF548+DIVISIONS!CF714</f>
        <v>933</v>
      </c>
      <c r="CG40" s="293">
        <f>DIVISIONS!CG41+DIVISIONS!CG118+DIVISIONS!CG346+DIVISIONS!CG234+DIVISIONS!CG473+DIVISIONS!CG548+DIVISIONS!CG714</f>
        <v>1800</v>
      </c>
      <c r="CH40" s="293">
        <f>DIVISIONS!CH41+DIVISIONS!CH118+DIVISIONS!CH346+DIVISIONS!CH234+DIVISIONS!CH473+DIVISIONS!CH548+DIVISIONS!CH714</f>
        <v>2733</v>
      </c>
      <c r="CJ40" s="293">
        <f>DIVISIONS!CJ41+DIVISIONS!CJ118+DIVISIONS!CJ346+DIVISIONS!CJ234+DIVISIONS!CJ473+DIVISIONS!CJ548+DIVISIONS!CJ714</f>
        <v>1078</v>
      </c>
      <c r="CK40" s="293">
        <f>DIVISIONS!CK41+DIVISIONS!CK118+DIVISIONS!CK346+DIVISIONS!CK234+DIVISIONS!CK473+DIVISIONS!CK548+DIVISIONS!CK714</f>
        <v>595</v>
      </c>
      <c r="CL40" s="293">
        <f>DIVISIONS!CL41+DIVISIONS!CL118+DIVISIONS!CL346+DIVISIONS!CL234+DIVISIONS!CL473+DIVISIONS!CL548+DIVISIONS!CL714</f>
        <v>1673</v>
      </c>
      <c r="CN40" s="293">
        <f>DIVISIONS!CN41+DIVISIONS!CN118+DIVISIONS!CN346+DIVISIONS!CN234+DIVISIONS!CN473+DIVISIONS!CN548+DIVISIONS!CN714</f>
        <v>440</v>
      </c>
      <c r="CO40" s="293">
        <f>DIVISIONS!CO41+DIVISIONS!CO118+DIVISIONS!CO346+DIVISIONS!CO234+DIVISIONS!CO473+DIVISIONS!CO548+DIVISIONS!CO714</f>
        <v>1484</v>
      </c>
      <c r="CP40" s="293">
        <f>DIVISIONS!CP41+DIVISIONS!CP118+DIVISIONS!CP346+DIVISIONS!CP234+DIVISIONS!CP473+DIVISIONS!CP548+DIVISIONS!CP714</f>
        <v>1924</v>
      </c>
      <c r="CR40" s="293">
        <f>DIVISIONS!CR41+DIVISIONS!CR118+DIVISIONS!CR346+DIVISIONS!CR234+DIVISIONS!CR473+DIVISIONS!CR548+DIVISIONS!CR714</f>
        <v>1078</v>
      </c>
      <c r="CS40" s="293">
        <f>DIVISIONS!CS41+DIVISIONS!CS118+DIVISIONS!CS346+DIVISIONS!CS234+DIVISIONS!CS473+DIVISIONS!CS548+DIVISIONS!CS714</f>
        <v>2263</v>
      </c>
      <c r="CT40" s="293">
        <f>DIVISIONS!CT41+DIVISIONS!CT118+DIVISIONS!CT346+DIVISIONS!CT234+DIVISIONS!CT473+DIVISIONS!CT548+DIVISIONS!CT714</f>
        <v>3341</v>
      </c>
      <c r="CV40" s="293">
        <f>DIVISIONS!CV41+DIVISIONS!CV118+DIVISIONS!CV346+DIVISIONS!CV234+DIVISIONS!CV473+DIVISIONS!CV548+DIVISIONS!CV714</f>
        <v>1460</v>
      </c>
      <c r="CW40" s="293">
        <f>DIVISIONS!CW41+DIVISIONS!CW118+DIVISIONS!CW346+DIVISIONS!CW234+DIVISIONS!CW473+DIVISIONS!CW548+DIVISIONS!CW714</f>
        <v>774</v>
      </c>
      <c r="CX40" s="293">
        <f>DIVISIONS!CX41+DIVISIONS!CX118+DIVISIONS!CX346+DIVISIONS!CX234+DIVISIONS!CX473+DIVISIONS!CX548+DIVISIONS!CX714</f>
        <v>2234</v>
      </c>
      <c r="CZ40" s="293">
        <f>DIVISIONS!CZ41+DIVISIONS!CZ118+DIVISIONS!CZ346+DIVISIONS!CZ234+DIVISIONS!CZ473+DIVISIONS!CZ548+DIVISIONS!CZ714</f>
        <v>647</v>
      </c>
      <c r="DA40" s="293">
        <f>DIVISIONS!DA41+DIVISIONS!DA118+DIVISIONS!DA346+DIVISIONS!DA234+DIVISIONS!DA473+DIVISIONS!DA548+DIVISIONS!DA714</f>
        <v>1133</v>
      </c>
      <c r="DB40" s="293">
        <f>DIVISIONS!DB41+DIVISIONS!DB118+DIVISIONS!DB346+DIVISIONS!DB234+DIVISIONS!DB473+DIVISIONS!DB548+DIVISIONS!DB714</f>
        <v>1780</v>
      </c>
      <c r="DD40" s="293">
        <f>DIVISIONS!DD41+DIVISIONS!DD118+DIVISIONS!DD346+DIVISIONS!DD234+DIVISIONS!DD473+DIVISIONS!DD548+DIVISIONS!DD714</f>
        <v>786</v>
      </c>
      <c r="DE40" s="293">
        <f>DIVISIONS!DE41+DIVISIONS!DE118+DIVISIONS!DE346+DIVISIONS!DE234+DIVISIONS!DE473+DIVISIONS!DE548+DIVISIONS!DE714</f>
        <v>588</v>
      </c>
      <c r="DF40" s="293">
        <f>DIVISIONS!DF41+DIVISIONS!DF118+DIVISIONS!DF346+DIVISIONS!DF234+DIVISIONS!DF473+DIVISIONS!DF548+DIVISIONS!DF714</f>
        <v>1374</v>
      </c>
      <c r="DH40" s="293">
        <f>DIVISIONS!DH41+DIVISIONS!DH118+DIVISIONS!DH346+DIVISIONS!DH234+DIVISIONS!DH473+DIVISIONS!DH548+DIVISIONS!DH714</f>
        <v>329</v>
      </c>
      <c r="DI40" s="293">
        <f>DIVISIONS!DI41+DIVISIONS!DI118+DIVISIONS!DI346+DIVISIONS!DI234+DIVISIONS!DI473+DIVISIONS!DI548+DIVISIONS!DI714</f>
        <v>1100.3424</v>
      </c>
      <c r="DJ40" s="293">
        <f>DIVISIONS!DJ41+DIVISIONS!DJ118+DIVISIONS!DJ346+DIVISIONS!DJ234+DIVISIONS!DJ473+DIVISIONS!DJ548+DIVISIONS!DJ714</f>
        <v>1429.3424</v>
      </c>
      <c r="DL40" s="293">
        <f>DIVISIONS!DL41+DIVISIONS!DL118+DIVISIONS!DL346+DIVISIONS!DL234+DIVISIONS!DL473+DIVISIONS!DL548+DIVISIONS!DL714</f>
        <v>694.38060000000007</v>
      </c>
      <c r="DM40" s="293">
        <f>DIVISIONS!DM41+DIVISIONS!DM118+DIVISIONS!DM346+DIVISIONS!DM234+DIVISIONS!DM473+DIVISIONS!DM548+DIVISIONS!DM714</f>
        <v>935.69831799999997</v>
      </c>
      <c r="DN40" s="293">
        <f>DIVISIONS!DN41+DIVISIONS!DN118+DIVISIONS!DN346+DIVISIONS!DN234+DIVISIONS!DN473+DIVISIONS!DN548+DIVISIONS!DN714</f>
        <v>1630.0789180000002</v>
      </c>
      <c r="DO40" s="293"/>
      <c r="DP40" s="293">
        <f>DIVISIONS!DP41+DIVISIONS!DP118+DIVISIONS!DP346+DIVISIONS!DP234+DIVISIONS!DP473+DIVISIONS!DP548+DIVISIONS!DP714</f>
        <v>804.34669154000005</v>
      </c>
      <c r="DQ40" s="293">
        <f>DIVISIONS!DQ41+DIVISIONS!DQ118+DIVISIONS!DQ346+DIVISIONS!DQ234+DIVISIONS!DQ473+DIVISIONS!DQ548+DIVISIONS!DQ714</f>
        <v>1059.7373032861999</v>
      </c>
      <c r="DR40" s="293">
        <f>DIVISIONS!DR41+DIVISIONS!DR118+DIVISIONS!DR346+DIVISIONS!DR234+DIVISIONS!DR473+DIVISIONS!DR548+DIVISIONS!DR714</f>
        <v>1864.0839948261998</v>
      </c>
      <c r="DS40" s="293"/>
      <c r="DX40" s="293"/>
      <c r="EB40" s="293"/>
      <c r="EF40" s="293"/>
    </row>
    <row r="41" spans="1:273">
      <c r="A41" s="289" t="s">
        <v>180</v>
      </c>
      <c r="AP41" s="293"/>
      <c r="AT41" s="293"/>
      <c r="AX41" s="293"/>
      <c r="AZ41" s="295"/>
      <c r="BA41" s="295"/>
      <c r="BB41" s="295"/>
      <c r="BD41" s="295">
        <f>SUM(BD37:BD40)</f>
        <v>3242.663</v>
      </c>
      <c r="BE41" s="295">
        <f>SUM(BE37:BE40)</f>
        <v>3720</v>
      </c>
      <c r="BF41" s="295">
        <f>SUM(BF37:BF40)</f>
        <v>6749.6630000000005</v>
      </c>
      <c r="BH41" s="295">
        <f>SUM(BH37:BH40)</f>
        <v>3054</v>
      </c>
      <c r="BI41" s="295">
        <f>SUM(BI37:BI40)</f>
        <v>3603</v>
      </c>
      <c r="BJ41" s="295">
        <f>SUM(BJ37:BJ40)</f>
        <v>6657</v>
      </c>
      <c r="BL41" s="295">
        <f>SUM(BL37:BL40)</f>
        <v>3679</v>
      </c>
      <c r="BM41" s="295">
        <f>SUM(BM37:BM40)</f>
        <v>4453</v>
      </c>
      <c r="BN41" s="295">
        <f>SUM(BN37:BN40)</f>
        <v>8132</v>
      </c>
      <c r="BP41" s="295">
        <f>SUM(BP37:BP40)</f>
        <v>4284</v>
      </c>
      <c r="BQ41" s="295">
        <f>SUM(BQ37:BQ40)</f>
        <v>4978</v>
      </c>
      <c r="BR41" s="295">
        <f>SUM(BR37:BR40)</f>
        <v>9262</v>
      </c>
      <c r="BT41" s="295">
        <f>SUM(BT37:BT40)</f>
        <v>5318</v>
      </c>
      <c r="BU41" s="295">
        <f>SUM(BU37:BU40)</f>
        <v>4840</v>
      </c>
      <c r="BV41" s="295">
        <f>SUM(BV37:BV40)</f>
        <v>10158</v>
      </c>
      <c r="BX41" s="295">
        <f>SUM(BX37:BX40)</f>
        <v>5218</v>
      </c>
      <c r="BY41" s="295">
        <f>SUM(BY37:BY40)</f>
        <v>5146</v>
      </c>
      <c r="BZ41" s="295">
        <f>SUM(BZ37:BZ40)</f>
        <v>10364</v>
      </c>
      <c r="CB41" s="295">
        <f>SUM(CB37:CB40)</f>
        <v>5397</v>
      </c>
      <c r="CC41" s="295">
        <f>SUM(CC37:CC40)</f>
        <v>5523</v>
      </c>
      <c r="CD41" s="295">
        <f>SUM(CD37:CD40)</f>
        <v>10920</v>
      </c>
      <c r="CF41" s="295">
        <f>SUM(CF37:CF40)</f>
        <v>5830</v>
      </c>
      <c r="CG41" s="295">
        <f>SUM(CG37:CG40)</f>
        <v>6924</v>
      </c>
      <c r="CH41" s="295">
        <f>SUM(CH37:CH40)</f>
        <v>12754</v>
      </c>
      <c r="CJ41" s="295">
        <f>SUM(CJ37:CJ40)</f>
        <v>6320</v>
      </c>
      <c r="CK41" s="295">
        <f>SUM(CK37:CK40)</f>
        <v>6005</v>
      </c>
      <c r="CL41" s="295">
        <f>SUM(CL37:CL40)</f>
        <v>12325</v>
      </c>
      <c r="CN41" s="295">
        <f>SUM(CN37:CN40)</f>
        <v>5519</v>
      </c>
      <c r="CO41" s="295">
        <f>SUM(CO37:CO40)</f>
        <v>7255</v>
      </c>
      <c r="CP41" s="295">
        <f>SUM(CP37:CP40)</f>
        <v>12774</v>
      </c>
      <c r="CR41" s="295">
        <f>SUM(CR37:CR40)</f>
        <v>7804</v>
      </c>
      <c r="CS41" s="295">
        <f>SUM(CS37:CS40)</f>
        <v>9520</v>
      </c>
      <c r="CT41" s="295">
        <f>SUM(CT37:CT40)</f>
        <v>17324</v>
      </c>
      <c r="CV41" s="295">
        <f>SUM(CV37:CV40)</f>
        <v>8624</v>
      </c>
      <c r="CW41" s="295">
        <f>SUM(CW37:CW40)</f>
        <v>10498</v>
      </c>
      <c r="CX41" s="295">
        <f>SUM(CX37:CX40)</f>
        <v>19122</v>
      </c>
      <c r="CZ41" s="295">
        <f>SUM(CZ37:CZ40)</f>
        <v>7910</v>
      </c>
      <c r="DA41" s="295">
        <f>SUM(DA37:DA40)</f>
        <v>8977</v>
      </c>
      <c r="DB41" s="295">
        <f>SUM(DB37:DB40)</f>
        <v>16887</v>
      </c>
      <c r="DD41" s="295">
        <f>SUM(DD37:DD40)</f>
        <v>8216</v>
      </c>
      <c r="DE41" s="295">
        <f>SUM(DE37:DE40)</f>
        <v>8992</v>
      </c>
      <c r="DF41" s="295">
        <f>SUM(DF37:DF40)</f>
        <v>17208</v>
      </c>
      <c r="DH41" s="295">
        <f>SUM(DH37:DH40)</f>
        <v>8691</v>
      </c>
      <c r="DI41" s="295">
        <f>SUM(DI37:DI40)</f>
        <v>9966.223699867478</v>
      </c>
      <c r="DJ41" s="295">
        <f>SUM(DJ37:DJ40)</f>
        <v>18657.223699867482</v>
      </c>
      <c r="DL41" s="295">
        <f>SUM(DL37:DL40)</f>
        <v>8910.2531271361349</v>
      </c>
      <c r="DM41" s="295">
        <f>SUM(DM37:DM40)</f>
        <v>10013.843070651159</v>
      </c>
      <c r="DN41" s="295">
        <f>SUM(DN37:DN40)</f>
        <v>18924.096197787294</v>
      </c>
      <c r="DO41" s="293"/>
      <c r="DP41" s="295">
        <f>SUM(DP37:DP40)</f>
        <v>9412.3249414995025</v>
      </c>
      <c r="DQ41" s="295">
        <f>SUM(DQ37:DQ40)</f>
        <v>10551.243662518249</v>
      </c>
      <c r="DR41" s="295">
        <f>SUM(DR37:DR40)</f>
        <v>19963.56860401775</v>
      </c>
      <c r="DS41" s="293"/>
      <c r="DX41" s="293"/>
      <c r="EB41" s="293"/>
      <c r="EF41" s="293"/>
    </row>
    <row r="42" spans="1:273">
      <c r="AP42" s="293"/>
      <c r="AT42" s="293"/>
      <c r="AX42" s="293"/>
      <c r="AZ42" s="769"/>
      <c r="BA42" s="769"/>
      <c r="BB42" s="769"/>
      <c r="BD42" s="769">
        <f>BD20-BD41</f>
        <v>0</v>
      </c>
      <c r="BE42" s="769">
        <f>BE20-BE41</f>
        <v>0</v>
      </c>
      <c r="BF42" s="769">
        <f>BF20-BF41</f>
        <v>213</v>
      </c>
      <c r="BH42" s="769">
        <f>BH20-BH41</f>
        <v>0</v>
      </c>
      <c r="BI42" s="769">
        <f>BI20-BI41</f>
        <v>0</v>
      </c>
      <c r="BJ42" s="769">
        <f>BJ20-BJ41</f>
        <v>0</v>
      </c>
      <c r="BK42" s="638"/>
      <c r="BL42" s="769">
        <f>BL20-BL41</f>
        <v>0</v>
      </c>
      <c r="BM42" s="769">
        <f>BM20-BM41</f>
        <v>2</v>
      </c>
      <c r="BN42" s="769">
        <f>BN20-BN41</f>
        <v>2</v>
      </c>
      <c r="BP42" s="769">
        <f>BP20-BP41</f>
        <v>0</v>
      </c>
      <c r="BQ42" s="769">
        <f>BQ20-BQ41</f>
        <v>0</v>
      </c>
      <c r="BR42" s="769">
        <f>BR20-BR41</f>
        <v>0</v>
      </c>
      <c r="BT42" s="769">
        <f>BT20-BT41</f>
        <v>0</v>
      </c>
      <c r="BU42" s="769">
        <f>BU20-BU41</f>
        <v>0</v>
      </c>
      <c r="BV42" s="769">
        <f>BV20-BV41</f>
        <v>0</v>
      </c>
      <c r="BX42" s="769">
        <f>BX20-BX41</f>
        <v>0</v>
      </c>
      <c r="BY42" s="769">
        <f>BY20-BY41</f>
        <v>0</v>
      </c>
      <c r="BZ42" s="769">
        <f>BZ20-BZ41</f>
        <v>0</v>
      </c>
      <c r="CB42" s="769">
        <f>CB20-CB41</f>
        <v>0</v>
      </c>
      <c r="CC42" s="769">
        <f>CC20-CC41</f>
        <v>0</v>
      </c>
      <c r="CD42" s="769">
        <f>CD20-CD41</f>
        <v>0</v>
      </c>
      <c r="CF42" s="769">
        <f>CF20-CF41</f>
        <v>0</v>
      </c>
      <c r="CG42" s="769">
        <f>CG20-CG41</f>
        <v>0</v>
      </c>
      <c r="CH42" s="769">
        <f>CH20-CH41</f>
        <v>0</v>
      </c>
      <c r="CJ42" s="769">
        <f>CJ20-CJ41</f>
        <v>0</v>
      </c>
      <c r="CK42" s="769">
        <f>CK20-CK41</f>
        <v>0</v>
      </c>
      <c r="CL42" s="769">
        <f>CL20-CL41</f>
        <v>0</v>
      </c>
      <c r="CN42" s="769">
        <f>CN20-CN41</f>
        <v>0</v>
      </c>
      <c r="CO42" s="769">
        <f>CO20-CO41</f>
        <v>0</v>
      </c>
      <c r="CP42" s="769">
        <f>CP20-CP41</f>
        <v>0</v>
      </c>
      <c r="CR42" s="769">
        <f>CR20-CR41</f>
        <v>0</v>
      </c>
      <c r="CS42" s="769">
        <f>CS20-CS41</f>
        <v>0</v>
      </c>
      <c r="CT42" s="769">
        <f>CT20-CT41</f>
        <v>0</v>
      </c>
      <c r="CV42" s="769">
        <f>CV20-CV41</f>
        <v>78</v>
      </c>
      <c r="CW42" s="769">
        <f>CW20-CW41</f>
        <v>-78</v>
      </c>
      <c r="CX42" s="769">
        <f>CX20-CX41</f>
        <v>0</v>
      </c>
      <c r="CZ42" s="769">
        <f>CZ20-CZ41</f>
        <v>0</v>
      </c>
      <c r="DA42" s="769">
        <f>DA20-DA41</f>
        <v>0</v>
      </c>
      <c r="DB42" s="769">
        <f>DB20-DB41</f>
        <v>0</v>
      </c>
      <c r="DD42" s="769">
        <f>DD20-DD41</f>
        <v>0</v>
      </c>
      <c r="DE42" s="769">
        <f ca="1">DE20-DE41</f>
        <v>0</v>
      </c>
      <c r="DF42" s="769">
        <f ca="1">DF20-DF41</f>
        <v>0</v>
      </c>
      <c r="DH42" s="769">
        <f>DH20-DH41</f>
        <v>0</v>
      </c>
      <c r="DI42" s="769">
        <f>DI20-DI41</f>
        <v>0</v>
      </c>
      <c r="DJ42" s="769">
        <f>DJ20-DJ41</f>
        <v>0</v>
      </c>
      <c r="DL42" s="769">
        <f>DL20-DL41</f>
        <v>0</v>
      </c>
      <c r="DM42" s="769">
        <f>DM20-DM41</f>
        <v>0</v>
      </c>
      <c r="DN42" s="769">
        <f>DN20-DN41</f>
        <v>0</v>
      </c>
      <c r="DO42" s="293"/>
      <c r="DP42" s="769">
        <f>DP20-DP41</f>
        <v>0</v>
      </c>
      <c r="DQ42" s="769">
        <f>DQ20-DQ41</f>
        <v>0</v>
      </c>
      <c r="DR42" s="769">
        <f>DR20-DR41</f>
        <v>0</v>
      </c>
      <c r="DS42" s="293"/>
      <c r="DX42" s="293"/>
      <c r="EB42" s="293"/>
      <c r="EF42" s="293"/>
    </row>
    <row r="43" spans="1:273">
      <c r="A43" s="102" t="s">
        <v>604</v>
      </c>
      <c r="AP43" s="293"/>
      <c r="AT43" s="293"/>
      <c r="AX43" s="293"/>
      <c r="AZ43" s="293"/>
      <c r="BA43" s="293"/>
      <c r="BB43" s="293"/>
      <c r="BD43" s="293">
        <f>DIVISIONS!BD45+DIVISIONS!BD122+DIVISIONS!BD350+DIVISIONS!BD238+DIVISIONS!BD477+DIVISIONS!BD552+DIVISIONS!BD718</f>
        <v>-1652.3334399999999</v>
      </c>
      <c r="BE43" s="293">
        <f>DIVISIONS!BE45+DIVISIONS!BE122+DIVISIONS!BE350+DIVISIONS!BE238+DIVISIONS!BE477+DIVISIONS!BE552+DIVISIONS!BE718</f>
        <v>-1907.4994999999999</v>
      </c>
      <c r="BF43" s="293">
        <f>DIVISIONS!BF45+DIVISIONS!BF122+DIVISIONS!BF350+DIVISIONS!BF238+DIVISIONS!BF477+DIVISIONS!BF552+DIVISIONS!BF718</f>
        <v>-3559.8329400000002</v>
      </c>
      <c r="BH43" s="293">
        <f>DIVISIONS!BH45+DIVISIONS!BH122+DIVISIONS!BH350+DIVISIONS!BH238+DIVISIONS!BH477+DIVISIONS!BH552+DIVISIONS!BH718</f>
        <v>-1538</v>
      </c>
      <c r="BI43" s="293">
        <f>DIVISIONS!BI45+DIVISIONS!BI122+DIVISIONS!BI350+DIVISIONS!BI238+DIVISIONS!BI477+DIVISIONS!BI552+DIVISIONS!BI718</f>
        <v>-1735</v>
      </c>
      <c r="BJ43" s="293">
        <f>DIVISIONS!BJ45+DIVISIONS!BJ122+DIVISIONS!BJ350+DIVISIONS!BJ238+DIVISIONS!BJ477+DIVISIONS!BJ552+DIVISIONS!BJ718</f>
        <v>-3273</v>
      </c>
      <c r="BL43" s="293">
        <f>DIVISIONS!BL45+DIVISIONS!BL122+DIVISIONS!BL350+DIVISIONS!BL238+DIVISIONS!BL477+DIVISIONS!BL552+DIVISIONS!BL718</f>
        <v>-1730</v>
      </c>
      <c r="BM43" s="293">
        <f>DIVISIONS!BM45+DIVISIONS!BM122+DIVISIONS!BM350+DIVISIONS!BM238+DIVISIONS!BM477+DIVISIONS!BM552+DIVISIONS!BM718</f>
        <v>-2006</v>
      </c>
      <c r="BN43" s="293">
        <f>DIVISIONS!BN45+DIVISIONS!BN122+DIVISIONS!BN350+DIVISIONS!BN238+DIVISIONS!BN477+DIVISIONS!BN552+DIVISIONS!BN718</f>
        <v>-3736</v>
      </c>
      <c r="BP43" s="293">
        <f>DIVISIONS!BP45+DIVISIONS!BP122+DIVISIONS!BP350+DIVISIONS!BP238+DIVISIONS!BP477+DIVISIONS!BP552+DIVISIONS!BP718</f>
        <v>-1944</v>
      </c>
      <c r="BQ43" s="293">
        <f>DIVISIONS!BQ45+DIVISIONS!BQ122+DIVISIONS!BQ350+DIVISIONS!BQ238+DIVISIONS!BQ477+DIVISIONS!BQ552+DIVISIONS!BQ718</f>
        <v>-2199</v>
      </c>
      <c r="BR43" s="293">
        <f>DIVISIONS!BR45+DIVISIONS!BR122+DIVISIONS!BR350+DIVISIONS!BR238+DIVISIONS!BR477+DIVISIONS!BR552+DIVISIONS!BR718</f>
        <v>-4143</v>
      </c>
      <c r="BT43" s="293">
        <f>DIVISIONS!BT45+DIVISIONS!BT122+DIVISIONS!BT350+DIVISIONS!BT238+DIVISIONS!BT477+DIVISIONS!BT552+DIVISIONS!BT718</f>
        <v>-2263</v>
      </c>
      <c r="BU43" s="293">
        <f>DIVISIONS!BU45+DIVISIONS!BU122+DIVISIONS!BU350+DIVISIONS!BU238+DIVISIONS!BU477+DIVISIONS!BU552+DIVISIONS!BU718</f>
        <v>-1981</v>
      </c>
      <c r="BV43" s="293">
        <f>DIVISIONS!BV45+DIVISIONS!BV122+DIVISIONS!BV350+DIVISIONS!BV238+DIVISIONS!BV477+DIVISIONS!BV552+DIVISIONS!BV718</f>
        <v>-4244</v>
      </c>
      <c r="BX43" s="293">
        <f>DIVISIONS!BX45+DIVISIONS!BX122+DIVISIONS!BX350+DIVISIONS!BX238+DIVISIONS!BX477+DIVISIONS!BX552+DIVISIONS!BX718</f>
        <v>-2290</v>
      </c>
      <c r="BY43" s="293">
        <f>DIVISIONS!BY45+DIVISIONS!BY122+DIVISIONS!BY350+DIVISIONS!BY238+DIVISIONS!BY477+DIVISIONS!BY552+DIVISIONS!BY718</f>
        <v>-2089</v>
      </c>
      <c r="BZ43" s="293">
        <f>DIVISIONS!BZ45+DIVISIONS!BZ122+DIVISIONS!BZ350+DIVISIONS!BZ238+DIVISIONS!BZ477+DIVISIONS!BZ552+DIVISIONS!BZ718</f>
        <v>-4379</v>
      </c>
      <c r="CB43" s="293">
        <f>DIVISIONS!CB45+DIVISIONS!CB122+DIVISIONS!CB350+DIVISIONS!CB238+DIVISIONS!CB477+DIVISIONS!CB552+DIVISIONS!CB718</f>
        <v>-2261</v>
      </c>
      <c r="CC43" s="293">
        <f>DIVISIONS!CC45+DIVISIONS!CC122+DIVISIONS!CC350+DIVISIONS!CC238+DIVISIONS!CC477+DIVISIONS!CC552+DIVISIONS!CC718</f>
        <v>-2232</v>
      </c>
      <c r="CD43" s="293">
        <f>DIVISIONS!CD45+DIVISIONS!CD122+DIVISIONS!CD350+DIVISIONS!CD238+DIVISIONS!CD477+DIVISIONS!CD552+DIVISIONS!CD718</f>
        <v>-4493</v>
      </c>
      <c r="CF43" s="293">
        <f>DIVISIONS!CF45+DIVISIONS!CF122+DIVISIONS!CF350+DIVISIONS!CF238+DIVISIONS!CF477+DIVISIONS!CF552+DIVISIONS!CF718</f>
        <v>-2454</v>
      </c>
      <c r="CG43" s="293">
        <f>DIVISIONS!CG45+DIVISIONS!CG122+DIVISIONS!CG350+DIVISIONS!CG238+DIVISIONS!CG477+DIVISIONS!CG552+DIVISIONS!CG718</f>
        <v>-2763</v>
      </c>
      <c r="CH43" s="293">
        <f>DIVISIONS!CH45+DIVISIONS!CH122+DIVISIONS!CH350+DIVISIONS!CH238+DIVISIONS!CH477+DIVISIONS!CH552+DIVISIONS!CH718</f>
        <v>-5217</v>
      </c>
      <c r="CJ43" s="293">
        <f>DIVISIONS!CJ45+DIVISIONS!CJ122+DIVISIONS!CJ350+DIVISIONS!CJ238+DIVISIONS!CJ477+DIVISIONS!CJ552+DIVISIONS!CJ718</f>
        <v>-2776</v>
      </c>
      <c r="CK43" s="293">
        <f>DIVISIONS!CK45+DIVISIONS!CK122+DIVISIONS!CK350+DIVISIONS!CK238+DIVISIONS!CK477+DIVISIONS!CK552+DIVISIONS!CK718</f>
        <v>-2547</v>
      </c>
      <c r="CL43" s="293">
        <f>DIVISIONS!CL45+DIVISIONS!CL122+DIVISIONS!CL350+DIVISIONS!CL238+DIVISIONS!CL477+DIVISIONS!CL552+DIVISIONS!CL718</f>
        <v>-5323</v>
      </c>
      <c r="CN43" s="293">
        <f>DIVISIONS!CN45+DIVISIONS!CN122+DIVISIONS!CN350+DIVISIONS!CN238+DIVISIONS!CN477+DIVISIONS!CN552+DIVISIONS!CN718</f>
        <v>-2615</v>
      </c>
      <c r="CO43" s="293">
        <f>DIVISIONS!CO45+DIVISIONS!CO122+DIVISIONS!CO350+DIVISIONS!CO238+DIVISIONS!CO477+DIVISIONS!CO552+DIVISIONS!CO718</f>
        <v>-2902</v>
      </c>
      <c r="CP43" s="293">
        <f>DIVISIONS!CP45+DIVISIONS!CP122+DIVISIONS!CP350+DIVISIONS!CP238+DIVISIONS!CP477+DIVISIONS!CP552+DIVISIONS!CP718</f>
        <v>-5517</v>
      </c>
      <c r="CR43" s="293">
        <f>DIVISIONS!CR45+DIVISIONS!CR122+DIVISIONS!CR350+DIVISIONS!CR238+DIVISIONS!CR477+DIVISIONS!CR552+DIVISIONS!CR718</f>
        <v>-3164</v>
      </c>
      <c r="CS43" s="293">
        <f>DIVISIONS!CS45+DIVISIONS!CS122+DIVISIONS!CS350+DIVISIONS!CS238+DIVISIONS!CS477+DIVISIONS!CS552+DIVISIONS!CS718</f>
        <v>-3561</v>
      </c>
      <c r="CT43" s="293">
        <f>DIVISIONS!CT45+DIVISIONS!CT122+DIVISIONS!CT350+DIVISIONS!CT238+DIVISIONS!CT477+DIVISIONS!CT552+DIVISIONS!CT718</f>
        <v>-6725</v>
      </c>
      <c r="CV43" s="293">
        <f>DIVISIONS!CV45+DIVISIONS!CV122+DIVISIONS!CV350+DIVISIONS!CV238+DIVISIONS!CV477+DIVISIONS!CV552+DIVISIONS!CV718</f>
        <v>-3613</v>
      </c>
      <c r="CW43" s="293">
        <f>DIVISIONS!CW45+DIVISIONS!CW122+DIVISIONS!CW350+DIVISIONS!CW238+DIVISIONS!CW477+DIVISIONS!CW552+DIVISIONS!CW718</f>
        <v>-4089</v>
      </c>
      <c r="CX43" s="293">
        <f>DIVISIONS!CX45+DIVISIONS!CX122+DIVISIONS!CX350+DIVISIONS!CX238+DIVISIONS!CX477+DIVISIONS!CX552+DIVISIONS!CX718</f>
        <v>-7702</v>
      </c>
      <c r="CZ43" s="293">
        <f>DIVISIONS!CZ45+DIVISIONS!CZ122+DIVISIONS!CZ350+DIVISIONS!CZ238+DIVISIONS!CZ477+DIVISIONS!CZ552+DIVISIONS!CZ718</f>
        <v>-3734</v>
      </c>
      <c r="DA43" s="293">
        <f>DIVISIONS!DA45+DIVISIONS!DA122+DIVISIONS!DA350+DIVISIONS!DA238+DIVISIONS!DA477+DIVISIONS!DA552+DIVISIONS!DA718</f>
        <v>-3990</v>
      </c>
      <c r="DB43" s="293">
        <f>DIVISIONS!DB45+DIVISIONS!DB122+DIVISIONS!DB350+DIVISIONS!DB238+DIVISIONS!DB477+DIVISIONS!DB552+DIVISIONS!DB718</f>
        <v>-7724</v>
      </c>
      <c r="DD43" s="293">
        <f>DIVISIONS!DD45+DIVISIONS!DD122+DIVISIONS!DD350+DIVISIONS!DD238+DIVISIONS!DD477+DIVISIONS!DD552+DIVISIONS!DD718</f>
        <v>-3665</v>
      </c>
      <c r="DE43" s="293">
        <f>DIVISIONS!DE45+DIVISIONS!DE122+DIVISIONS!DE350+DIVISIONS!DE238+DIVISIONS!DE477+DIVISIONS!DE552+DIVISIONS!DE718</f>
        <v>-3820</v>
      </c>
      <c r="DF43" s="293">
        <f>DIVISIONS!DF45+DIVISIONS!DF122+DIVISIONS!DF350+DIVISIONS!DF238+DIVISIONS!DF477+DIVISIONS!DF552+DIVISIONS!DF718</f>
        <v>-7485</v>
      </c>
      <c r="DH43" s="293">
        <f>DIVISIONS!DH45+DIVISIONS!DH122+DIVISIONS!DH350+DIVISIONS!DH238+DIVISIONS!DH477+DIVISIONS!DH552+DIVISIONS!DH718</f>
        <v>-3814</v>
      </c>
      <c r="DI43" s="293">
        <f>DIVISIONS!DI45+DIVISIONS!DI122+DIVISIONS!DI350+DIVISIONS!DI238+DIVISIONS!DI477+DIVISIONS!DI552+DIVISIONS!DI718</f>
        <v>-4113.2852697586586</v>
      </c>
      <c r="DJ43" s="293">
        <f>DIVISIONS!DJ45+DIVISIONS!DJ122+DIVISIONS!DJ350+DIVISIONS!DJ238+DIVISIONS!DJ477+DIVISIONS!DJ552+DIVISIONS!DJ718</f>
        <v>-7927.2852697586577</v>
      </c>
      <c r="DL43" s="293">
        <f>DIVISIONS!DL45+DIVISIONS!DL122+DIVISIONS!DL350+DIVISIONS!DL238+DIVISIONS!DL477+DIVISIONS!DL552+DIVISIONS!DL718</f>
        <v>-4067.0201175485381</v>
      </c>
      <c r="DM43" s="293">
        <f>DIVISIONS!DM45+DIVISIONS!DM122+DIVISIONS!DM350+DIVISIONS!DM238+DIVISIONS!DM477+DIVISIONS!DM552+DIVISIONS!DM718</f>
        <v>-4196.8683706362663</v>
      </c>
      <c r="DN43" s="293">
        <f>DIVISIONS!DN45+DIVISIONS!DN122+DIVISIONS!DN350+DIVISIONS!DN238+DIVISIONS!DN477+DIVISIONS!DN552+DIVISIONS!DN718</f>
        <v>-8263.8884881848044</v>
      </c>
      <c r="DO43" s="293"/>
      <c r="DP43" s="293">
        <f>DIVISIONS!DP45+DIVISIONS!DP122+DIVISIONS!DP350+DIVISIONS!DP238+DIVISIONS!DP477+DIVISIONS!DP552+DIVISIONS!DP718</f>
        <v>-4268.4366146201601</v>
      </c>
      <c r="DQ43" s="293">
        <f>DIVISIONS!DQ45+DIVISIONS!DQ122+DIVISIONS!DQ350+DIVISIONS!DQ238+DIVISIONS!DQ477+DIVISIONS!DQ552+DIVISIONS!DQ718</f>
        <v>-4424.6462020054969</v>
      </c>
      <c r="DR43" s="293">
        <f>DIVISIONS!DR45+DIVISIONS!DR122+DIVISIONS!DR350+DIVISIONS!DR238+DIVISIONS!DR477+DIVISIONS!DR552+DIVISIONS!DR718</f>
        <v>-8693.0828166256579</v>
      </c>
      <c r="DS43" s="293"/>
      <c r="DX43" s="293"/>
      <c r="EB43" s="293"/>
      <c r="EF43" s="293"/>
    </row>
    <row r="44" spans="1:273">
      <c r="A44" s="102" t="s">
        <v>605</v>
      </c>
      <c r="AP44" s="293"/>
      <c r="AT44" s="293"/>
      <c r="AX44" s="293"/>
      <c r="AZ44" s="293"/>
      <c r="BA44" s="293"/>
      <c r="BB44" s="293"/>
      <c r="BD44" s="293">
        <f>DIVISIONS!BD46+DIVISIONS!BD123+DIVISIONS!BD351+DIVISIONS!BD239+DIVISIONS!BD478+DIVISIONS!BD553+DIVISIONS!BD719</f>
        <v>-386</v>
      </c>
      <c r="BE44" s="293">
        <f>DIVISIONS!BE46+DIVISIONS!BE123+DIVISIONS!BE351+DIVISIONS!BE239+DIVISIONS!BE478+DIVISIONS!BE553+DIVISIONS!BE719</f>
        <v>-337.66629999999998</v>
      </c>
      <c r="BF44" s="293">
        <f>DIVISIONS!BF46+DIVISIONS!BF123+DIVISIONS!BF351+DIVISIONS!BF239+DIVISIONS!BF478+DIVISIONS!BF553+DIVISIONS!BF719</f>
        <v>-723.66629999999998</v>
      </c>
      <c r="BH44" s="293">
        <f>DIVISIONS!BH46+DIVISIONS!BH123+DIVISIONS!BH351+DIVISIONS!BH239+DIVISIONS!BH478+DIVISIONS!BH553+DIVISIONS!BH719</f>
        <v>-320</v>
      </c>
      <c r="BI44" s="293">
        <f>DIVISIONS!BI46+DIVISIONS!BI123+DIVISIONS!BI351+DIVISIONS!BI239+DIVISIONS!BI478+DIVISIONS!BI553+DIVISIONS!BI719</f>
        <v>-284</v>
      </c>
      <c r="BJ44" s="293">
        <f>DIVISIONS!BJ46+DIVISIONS!BJ123+DIVISIONS!BJ351+DIVISIONS!BJ239+DIVISIONS!BJ478+DIVISIONS!BJ553+DIVISIONS!BJ719</f>
        <v>-604</v>
      </c>
      <c r="BL44" s="293">
        <f>DIVISIONS!BL46+DIVISIONS!BL123+DIVISIONS!BL351+DIVISIONS!BL239+DIVISIONS!BL478+DIVISIONS!BL553+DIVISIONS!BL719</f>
        <v>-379</v>
      </c>
      <c r="BM44" s="293">
        <f>DIVISIONS!BM46+DIVISIONS!BM123+DIVISIONS!BM351+DIVISIONS!BM239+DIVISIONS!BM478+DIVISIONS!BM553+DIVISIONS!BM719</f>
        <v>-400</v>
      </c>
      <c r="BN44" s="293">
        <f>DIVISIONS!BN46+DIVISIONS!BN123+DIVISIONS!BN351+DIVISIONS!BN239+DIVISIONS!BN478+DIVISIONS!BN553+DIVISIONS!BN719</f>
        <v>-779</v>
      </c>
      <c r="BP44" s="293">
        <f>DIVISIONS!BP46+DIVISIONS!BP123+DIVISIONS!BP351+DIVISIONS!BP239+DIVISIONS!BP478+DIVISIONS!BP553+DIVISIONS!BP719</f>
        <v>-387</v>
      </c>
      <c r="BQ44" s="293">
        <f>DIVISIONS!BQ46+DIVISIONS!BQ123+DIVISIONS!BQ351+DIVISIONS!BQ239+DIVISIONS!BQ478+DIVISIONS!BQ553+DIVISIONS!BQ719</f>
        <v>-437</v>
      </c>
      <c r="BR44" s="293">
        <f>DIVISIONS!BR46+DIVISIONS!BR123+DIVISIONS!BR351+DIVISIONS!BR239+DIVISIONS!BR478+DIVISIONS!BR553+DIVISIONS!BR719</f>
        <v>-824</v>
      </c>
      <c r="BT44" s="293">
        <f>DIVISIONS!BT46+DIVISIONS!BT123+DIVISIONS!BT351+DIVISIONS!BT239+DIVISIONS!BT478+DIVISIONS!BT553+DIVISIONS!BT719</f>
        <v>-444</v>
      </c>
      <c r="BU44" s="293">
        <f>DIVISIONS!BU46+DIVISIONS!BU123+DIVISIONS!BU351+DIVISIONS!BU239+DIVISIONS!BU478+DIVISIONS!BU553+DIVISIONS!BU719</f>
        <v>-448</v>
      </c>
      <c r="BV44" s="293">
        <f>DIVISIONS!BV46+DIVISIONS!BV123+DIVISIONS!BV351+DIVISIONS!BV239+DIVISIONS!BV478+DIVISIONS!BV553+DIVISIONS!BV719</f>
        <v>-892</v>
      </c>
      <c r="BX44" s="293">
        <f>DIVISIONS!BX46+DIVISIONS!BX123+DIVISIONS!BX351+DIVISIONS!BX239+DIVISIONS!BX478+DIVISIONS!BX553+DIVISIONS!BX719</f>
        <v>-418</v>
      </c>
      <c r="BY44" s="293">
        <f>DIVISIONS!BY46+DIVISIONS!BY123+DIVISIONS!BY351+DIVISIONS!BY239+DIVISIONS!BY478+DIVISIONS!BY553+DIVISIONS!BY719</f>
        <v>-434</v>
      </c>
      <c r="BZ44" s="293">
        <f>DIVISIONS!BZ46+DIVISIONS!BZ123+DIVISIONS!BZ351+DIVISIONS!BZ239+DIVISIONS!BZ478+DIVISIONS!BZ553+DIVISIONS!BZ719</f>
        <v>-852</v>
      </c>
      <c r="CB44" s="293">
        <f>DIVISIONS!CB46+DIVISIONS!CB123+DIVISIONS!CB351+DIVISIONS!CB239+DIVISIONS!CB478+DIVISIONS!CB553+DIVISIONS!CB719</f>
        <v>-422</v>
      </c>
      <c r="CC44" s="293">
        <f>DIVISIONS!CC46+DIVISIONS!CC123+DIVISIONS!CC351+DIVISIONS!CC239+DIVISIONS!CC478+DIVISIONS!CC553+DIVISIONS!CC719</f>
        <v>-408</v>
      </c>
      <c r="CD44" s="293">
        <f>DIVISIONS!CD46+DIVISIONS!CD123+DIVISIONS!CD351+DIVISIONS!CD239+DIVISIONS!CD478+DIVISIONS!CD553+DIVISIONS!CD719</f>
        <v>-830</v>
      </c>
      <c r="CF44" s="293">
        <f>DIVISIONS!CF46+DIVISIONS!CF123+DIVISIONS!CF351+DIVISIONS!CF239+DIVISIONS!CF478+DIVISIONS!CF553+DIVISIONS!CF719</f>
        <v>-579</v>
      </c>
      <c r="CG44" s="293">
        <f>DIVISIONS!CG46+DIVISIONS!CG123+DIVISIONS!CG351+DIVISIONS!CG239+DIVISIONS!CG478+DIVISIONS!CG553+DIVISIONS!CG719</f>
        <v>-561</v>
      </c>
      <c r="CH44" s="293">
        <f>DIVISIONS!CH46+DIVISIONS!CH123+DIVISIONS!CH351+DIVISIONS!CH239+DIVISIONS!CH478+DIVISIONS!CH553+DIVISIONS!CH719</f>
        <v>-1140</v>
      </c>
      <c r="CJ44" s="293">
        <f>DIVISIONS!CJ46+DIVISIONS!CJ123+DIVISIONS!CJ351+DIVISIONS!CJ239+DIVISIONS!CJ478+DIVISIONS!CJ553+DIVISIONS!CJ719</f>
        <v>-482</v>
      </c>
      <c r="CK44" s="293">
        <f>DIVISIONS!CK46+DIVISIONS!CK123+DIVISIONS!CK351+DIVISIONS!CK239+DIVISIONS!CK478+DIVISIONS!CK553+DIVISIONS!CK719</f>
        <v>-482</v>
      </c>
      <c r="CL44" s="293">
        <f>DIVISIONS!CL46+DIVISIONS!CL123+DIVISIONS!CL351+DIVISIONS!CL239+DIVISIONS!CL478+DIVISIONS!CL553+DIVISIONS!CL719</f>
        <v>-964</v>
      </c>
      <c r="CN44" s="293">
        <f>DIVISIONS!CN46+DIVISIONS!CN123+DIVISIONS!CN351+DIVISIONS!CN239+DIVISIONS!CN478+DIVISIONS!CN553+DIVISIONS!CN719</f>
        <v>-470</v>
      </c>
      <c r="CO44" s="293">
        <f>DIVISIONS!CO46+DIVISIONS!CO123+DIVISIONS!CO351+DIVISIONS!CO239+DIVISIONS!CO478+DIVISIONS!CO553+DIVISIONS!CO719</f>
        <v>-407</v>
      </c>
      <c r="CP44" s="293">
        <f>DIVISIONS!CP46+DIVISIONS!CP123+DIVISIONS!CP351+DIVISIONS!CP239+DIVISIONS!CP478+DIVISIONS!CP553+DIVISIONS!CP719</f>
        <v>-877</v>
      </c>
      <c r="CR44" s="293">
        <f>DIVISIONS!CR46+DIVISIONS!CR123+DIVISIONS!CR351+DIVISIONS!CR239+DIVISIONS!CR478+DIVISIONS!CR553+DIVISIONS!CR719</f>
        <v>-498</v>
      </c>
      <c r="CS44" s="293">
        <f>DIVISIONS!CS46+DIVISIONS!CS123+DIVISIONS!CS351+DIVISIONS!CS239+DIVISIONS!CS478+DIVISIONS!CS553+DIVISIONS!CS719</f>
        <v>-530</v>
      </c>
      <c r="CT44" s="293">
        <f>DIVISIONS!CT46+DIVISIONS!CT123+DIVISIONS!CT351+DIVISIONS!CT239+DIVISIONS!CT478+DIVISIONS!CT553+DIVISIONS!CT719</f>
        <v>-1028</v>
      </c>
      <c r="CV44" s="293">
        <f>DIVISIONS!CV46+DIVISIONS!CV123+DIVISIONS!CV351+DIVISIONS!CV239+DIVISIONS!CV478+DIVISIONS!CV553+DIVISIONS!CV719</f>
        <v>-498</v>
      </c>
      <c r="CW44" s="293">
        <f>DIVISIONS!CW46+DIVISIONS!CW123+DIVISIONS!CW351+DIVISIONS!CW239+DIVISIONS!CW478+DIVISIONS!CW553+DIVISIONS!CW719</f>
        <v>-528</v>
      </c>
      <c r="CX44" s="293">
        <f>DIVISIONS!CX46+DIVISIONS!CX123+DIVISIONS!CX351+DIVISIONS!CX239+DIVISIONS!CX478+DIVISIONS!CX553+DIVISIONS!CX719</f>
        <v>-1026</v>
      </c>
      <c r="CZ44" s="293">
        <f>DIVISIONS!CZ46+DIVISIONS!CZ123+DIVISIONS!CZ351+DIVISIONS!CZ239+DIVISIONS!CZ478+DIVISIONS!CZ553+DIVISIONS!CZ719</f>
        <v>-528</v>
      </c>
      <c r="DA44" s="293">
        <f>DIVISIONS!DA46+DIVISIONS!DA123+DIVISIONS!DA351+DIVISIONS!DA239+DIVISIONS!DA478+DIVISIONS!DA553+DIVISIONS!DA719</f>
        <v>-541</v>
      </c>
      <c r="DB44" s="293">
        <f>DIVISIONS!DB46+DIVISIONS!DB123+DIVISIONS!DB351+DIVISIONS!DB239+DIVISIONS!DB478+DIVISIONS!DB553+DIVISIONS!DB719</f>
        <v>-1069</v>
      </c>
      <c r="DD44" s="293">
        <f>DIVISIONS!DD46+DIVISIONS!DD123+DIVISIONS!DD351+DIVISIONS!DD239+DIVISIONS!DD478+DIVISIONS!DD553+DIVISIONS!DD719</f>
        <v>-578</v>
      </c>
      <c r="DE44" s="293">
        <f>DIVISIONS!DE46+DIVISIONS!DE123+DIVISIONS!DE351+DIVISIONS!DE239+DIVISIONS!DE478+DIVISIONS!DE553+DIVISIONS!DE719</f>
        <v>-625</v>
      </c>
      <c r="DF44" s="293">
        <f>DIVISIONS!DF46+DIVISIONS!DF123+DIVISIONS!DF351+DIVISIONS!DF239+DIVISIONS!DF478+DIVISIONS!DF553+DIVISIONS!DF719</f>
        <v>-1203</v>
      </c>
      <c r="DH44" s="293">
        <f>DIVISIONS!DH46+DIVISIONS!DH123+DIVISIONS!DH351+DIVISIONS!DH239+DIVISIONS!DH478+DIVISIONS!DH553+DIVISIONS!DH719</f>
        <v>-627</v>
      </c>
      <c r="DI44" s="293">
        <f>DIVISIONS!DI46+DIVISIONS!DI123+DIVISIONS!DI351+DIVISIONS!DI239+DIVISIONS!DI478+DIVISIONS!DI553+DIVISIONS!DI719</f>
        <v>-561.50916065666809</v>
      </c>
      <c r="DJ44" s="293">
        <f>DIVISIONS!DJ46+DIVISIONS!DJ123+DIVISIONS!DJ351+DIVISIONS!DJ239+DIVISIONS!DJ478+DIVISIONS!DJ553+DIVISIONS!DJ719</f>
        <v>-1188.5091606566682</v>
      </c>
      <c r="DL44" s="293">
        <f>DIVISIONS!DL46+DIVISIONS!DL123+DIVISIONS!DL351+DIVISIONS!DL239+DIVISIONS!DL478+DIVISIONS!DL553+DIVISIONS!DL719</f>
        <v>-549.01522593116874</v>
      </c>
      <c r="DM44" s="293">
        <f>DIVISIONS!DM46+DIVISIONS!DM123+DIVISIONS!DM351+DIVISIONS!DM239+DIVISIONS!DM478+DIVISIONS!DM553+DIVISIONS!DM719</f>
        <v>-571.74769568802799</v>
      </c>
      <c r="DN44" s="293">
        <f>DIVISIONS!DN46+DIVISIONS!DN123+DIVISIONS!DN351+DIVISIONS!DN239+DIVISIONS!DN478+DIVISIONS!DN553+DIVISIONS!DN719</f>
        <v>-1120.7629216191967</v>
      </c>
      <c r="DO44" s="293"/>
      <c r="DP44" s="293">
        <f>DIVISIONS!DP46+DIVISIONS!DP123+DIVISIONS!DP351+DIVISIONS!DP239+DIVISIONS!DP478+DIVISIONS!DP553+DIVISIONS!DP719</f>
        <v>-571.69703948997517</v>
      </c>
      <c r="DQ44" s="293">
        <f>DIVISIONS!DQ46+DIVISIONS!DQ123+DIVISIONS!DQ351+DIVISIONS!DQ239+DIVISIONS!DQ478+DIVISIONS!DQ553+DIVISIONS!DQ719</f>
        <v>-595.42322325910618</v>
      </c>
      <c r="DR44" s="293">
        <f>DIVISIONS!DR46+DIVISIONS!DR123+DIVISIONS!DR351+DIVISIONS!DR239+DIVISIONS!DR478+DIVISIONS!DR553+DIVISIONS!DR719</f>
        <v>-1167.1202627490813</v>
      </c>
      <c r="DS44" s="293"/>
      <c r="DX44" s="293"/>
      <c r="EB44" s="293"/>
      <c r="EF44" s="293"/>
    </row>
    <row r="45" spans="1:273">
      <c r="A45" s="102" t="s">
        <v>606</v>
      </c>
      <c r="AP45" s="293"/>
      <c r="AT45" s="293"/>
      <c r="AX45" s="293"/>
      <c r="AZ45" s="293"/>
      <c r="BA45" s="293"/>
      <c r="BB45" s="293"/>
      <c r="BD45" s="293">
        <f>DIVISIONS!BD47+DIVISIONS!BD124+DIVISIONS!BD352+DIVISIONS!BD240+DIVISIONS!BD479+DIVISIONS!BD554+DIVISIONS!BD720</f>
        <v>-789.65660000000003</v>
      </c>
      <c r="BE45" s="293">
        <f>DIVISIONS!BE47+DIVISIONS!BE124+DIVISIONS!BE352+DIVISIONS!BE240+DIVISIONS!BE479+DIVISIONS!BE554+DIVISIONS!BE720</f>
        <v>-841.66669999999999</v>
      </c>
      <c r="BF45" s="293">
        <f>DIVISIONS!BF47+DIVISIONS!BF124+DIVISIONS!BF352+DIVISIONS!BF240+DIVISIONS!BF479+DIVISIONS!BF554+DIVISIONS!BF720</f>
        <v>-1631.3233</v>
      </c>
      <c r="BH45" s="293">
        <f>DIVISIONS!BH47+DIVISIONS!BH124+DIVISIONS!BH352+DIVISIONS!BH240+DIVISIONS!BH479+DIVISIONS!BH554+DIVISIONS!BH720</f>
        <v>-679</v>
      </c>
      <c r="BI45" s="293">
        <f>DIVISIONS!BI47+DIVISIONS!BI124+DIVISIONS!BI352+DIVISIONS!BI240+DIVISIONS!BI479+DIVISIONS!BI554+DIVISIONS!BI720</f>
        <v>-696</v>
      </c>
      <c r="BJ45" s="293">
        <f>DIVISIONS!BJ47+DIVISIONS!BJ124+DIVISIONS!BJ352+DIVISIONS!BJ240+DIVISIONS!BJ479+DIVISIONS!BJ554+DIVISIONS!BJ720</f>
        <v>-1375</v>
      </c>
      <c r="BL45" s="293">
        <f>DIVISIONS!BL47+DIVISIONS!BL124+DIVISIONS!BL352+DIVISIONS!BL240+DIVISIONS!BL479+DIVISIONS!BL554+DIVISIONS!BL720</f>
        <v>-760</v>
      </c>
      <c r="BM45" s="293">
        <f>DIVISIONS!BM47+DIVISIONS!BM124+DIVISIONS!BM352+DIVISIONS!BM240+DIVISIONS!BM479+DIVISIONS!BM554+DIVISIONS!BM720</f>
        <v>-751</v>
      </c>
      <c r="BN45" s="293">
        <f>DIVISIONS!BN47+DIVISIONS!BN124+DIVISIONS!BN352+DIVISIONS!BN240+DIVISIONS!BN479+DIVISIONS!BN554+DIVISIONS!BN720</f>
        <v>-1511</v>
      </c>
      <c r="BP45" s="293">
        <f>DIVISIONS!BP47+DIVISIONS!BP124+DIVISIONS!BP352+DIVISIONS!BP240+DIVISIONS!BP479+DIVISIONS!BP554+DIVISIONS!BP720</f>
        <v>-832</v>
      </c>
      <c r="BQ45" s="293">
        <f>DIVISIONS!BQ47+DIVISIONS!BQ124+DIVISIONS!BQ352+DIVISIONS!BQ240+DIVISIONS!BQ479+DIVISIONS!BQ554+DIVISIONS!BQ720</f>
        <v>-941</v>
      </c>
      <c r="BR45" s="293">
        <f>DIVISIONS!BR47+DIVISIONS!BR124+DIVISIONS!BR352+DIVISIONS!BR240+DIVISIONS!BR479+DIVISIONS!BR554+DIVISIONS!BR720</f>
        <v>-1773</v>
      </c>
      <c r="BT45" s="293">
        <f>DIVISIONS!BT47+DIVISIONS!BT124+DIVISIONS!BT352+DIVISIONS!BT240+DIVISIONS!BT479+DIVISIONS!BT554+DIVISIONS!BT720</f>
        <v>-992</v>
      </c>
      <c r="BU45" s="293">
        <f>DIVISIONS!BU47+DIVISIONS!BU124+DIVISIONS!BU352+DIVISIONS!BU240+DIVISIONS!BU479+DIVISIONS!BU554+DIVISIONS!BU720</f>
        <v>-1015</v>
      </c>
      <c r="BV45" s="293">
        <f>DIVISIONS!BV47+DIVISIONS!BV124+DIVISIONS!BV352+DIVISIONS!BV240+DIVISIONS!BV479+DIVISIONS!BV554+DIVISIONS!BV720</f>
        <v>-2007</v>
      </c>
      <c r="BX45" s="293">
        <f>DIVISIONS!BX47+DIVISIONS!BX124+DIVISIONS!BX352+DIVISIONS!BX240+DIVISIONS!BX479+DIVISIONS!BX554+DIVISIONS!BX720</f>
        <v>-1025</v>
      </c>
      <c r="BY45" s="293">
        <f>DIVISIONS!BY47+DIVISIONS!BY124+DIVISIONS!BY352+DIVISIONS!BY240+DIVISIONS!BY479+DIVISIONS!BY554+DIVISIONS!BY720</f>
        <v>-1004</v>
      </c>
      <c r="BZ45" s="293">
        <f>DIVISIONS!BZ47+DIVISIONS!BZ124+DIVISIONS!BZ352+DIVISIONS!BZ240+DIVISIONS!BZ479+DIVISIONS!BZ554+DIVISIONS!BZ720</f>
        <v>-2029</v>
      </c>
      <c r="CB45" s="293">
        <f>DIVISIONS!CB47+DIVISIONS!CB124+DIVISIONS!CB352+DIVISIONS!CB240+DIVISIONS!CB479+DIVISIONS!CB554+DIVISIONS!CB720</f>
        <v>-1010</v>
      </c>
      <c r="CC45" s="293">
        <f>DIVISIONS!CC47+DIVISIONS!CC124+DIVISIONS!CC352+DIVISIONS!CC240+DIVISIONS!CC479+DIVISIONS!CC554+DIVISIONS!CC720</f>
        <v>-1123</v>
      </c>
      <c r="CD45" s="293">
        <f>DIVISIONS!CD47+DIVISIONS!CD124+DIVISIONS!CD352+DIVISIONS!CD240+DIVISIONS!CD479+DIVISIONS!CD554+DIVISIONS!CD720</f>
        <v>-2133</v>
      </c>
      <c r="CF45" s="293">
        <f>DIVISIONS!CF47+DIVISIONS!CF124+DIVISIONS!CF352+DIVISIONS!CF240+DIVISIONS!CF479+DIVISIONS!CF554+DIVISIONS!CF720</f>
        <v>-1092</v>
      </c>
      <c r="CG45" s="293">
        <f>DIVISIONS!CG47+DIVISIONS!CG124+DIVISIONS!CG352+DIVISIONS!CG240+DIVISIONS!CG479+DIVISIONS!CG554+DIVISIONS!CG720</f>
        <v>-1438</v>
      </c>
      <c r="CH45" s="293">
        <f>DIVISIONS!CH47+DIVISIONS!CH124+DIVISIONS!CH352+DIVISIONS!CH240+DIVISIONS!CH479+DIVISIONS!CH554+DIVISIONS!CH720</f>
        <v>-2530</v>
      </c>
      <c r="CJ45" s="293">
        <f>DIVISIONS!CJ47+DIVISIONS!CJ124+DIVISIONS!CJ352+DIVISIONS!CJ240+DIVISIONS!CJ479+DIVISIONS!CJ554+DIVISIONS!CJ720</f>
        <v>-1222</v>
      </c>
      <c r="CK45" s="293">
        <f>DIVISIONS!CK47+DIVISIONS!CK124+DIVISIONS!CK352+DIVISIONS!CK240+DIVISIONS!CK479+DIVISIONS!CK554+DIVISIONS!CK720</f>
        <v>-1362</v>
      </c>
      <c r="CL45" s="293">
        <f>DIVISIONS!CL47+DIVISIONS!CL124+DIVISIONS!CL352+DIVISIONS!CL240+DIVISIONS!CL479+DIVISIONS!CL554+DIVISIONS!CL720</f>
        <v>-2584</v>
      </c>
      <c r="CN45" s="293">
        <f>DIVISIONS!CN47+DIVISIONS!CN124+DIVISIONS!CN352+DIVISIONS!CN240+DIVISIONS!CN479+DIVISIONS!CN554+DIVISIONS!CN720</f>
        <v>-1181</v>
      </c>
      <c r="CO45" s="293">
        <f>DIVISIONS!CO47+DIVISIONS!CO124+DIVISIONS!CO352+DIVISIONS!CO240+DIVISIONS!CO479+DIVISIONS!CO554+DIVISIONS!CO720</f>
        <v>-1292</v>
      </c>
      <c r="CP45" s="293">
        <f>DIVISIONS!CP47+DIVISIONS!CP124+DIVISIONS!CP352+DIVISIONS!CP240+DIVISIONS!CP479+DIVISIONS!CP554+DIVISIONS!CP720</f>
        <v>-2473</v>
      </c>
      <c r="CR45" s="293">
        <f>DIVISIONS!CR47+DIVISIONS!CR124+DIVISIONS!CR352+DIVISIONS!CR240+DIVISIONS!CR479+DIVISIONS!CR554+DIVISIONS!CR720</f>
        <v>-1407</v>
      </c>
      <c r="CS45" s="293">
        <f>DIVISIONS!CS47+DIVISIONS!CS124+DIVISIONS!CS352+DIVISIONS!CS240+DIVISIONS!CS479+DIVISIONS!CS554+DIVISIONS!CS720</f>
        <v>-1625</v>
      </c>
      <c r="CT45" s="293">
        <f>DIVISIONS!CT47+DIVISIONS!CT124+DIVISIONS!CT352+DIVISIONS!CT240+DIVISIONS!CT479+DIVISIONS!CT554+DIVISIONS!CT720</f>
        <v>-3032</v>
      </c>
      <c r="CV45" s="293">
        <f>DIVISIONS!CV47+DIVISIONS!CV124+DIVISIONS!CV352+DIVISIONS!CV240+DIVISIONS!CV479+DIVISIONS!CV554+DIVISIONS!CV720</f>
        <v>-1485</v>
      </c>
      <c r="CW45" s="293">
        <f>DIVISIONS!CW47+DIVISIONS!CW124+DIVISIONS!CW352+DIVISIONS!CW240+DIVISIONS!CW479+DIVISIONS!CW554+DIVISIONS!CW720</f>
        <v>-1918</v>
      </c>
      <c r="CX45" s="293">
        <f>DIVISIONS!CX47+DIVISIONS!CX124+DIVISIONS!CX352+DIVISIONS!CX240+DIVISIONS!CX479+DIVISIONS!CX554+DIVISIONS!CX720</f>
        <v>-3403</v>
      </c>
      <c r="CZ45" s="293">
        <f>DIVISIONS!CZ47+DIVISIONS!CZ124+DIVISIONS!CZ352+DIVISIONS!CZ240+DIVISIONS!CZ479+DIVISIONS!CZ554+DIVISIONS!CZ720</f>
        <v>-1657</v>
      </c>
      <c r="DA45" s="293">
        <f>DIVISIONS!DA47+DIVISIONS!DA124+DIVISIONS!DA352+DIVISIONS!DA240+DIVISIONS!DA479+DIVISIONS!DA554+DIVISIONS!DA720</f>
        <v>-1611</v>
      </c>
      <c r="DB45" s="293">
        <f>DIVISIONS!DB47+DIVISIONS!DB124+DIVISIONS!DB352+DIVISIONS!DB240+DIVISIONS!DB479+DIVISIONS!DB554+DIVISIONS!DB720</f>
        <v>-3268</v>
      </c>
      <c r="DD45" s="293">
        <f>DIVISIONS!DD47+DIVISIONS!DD124+DIVISIONS!DD352+DIVISIONS!DD240+DIVISIONS!DD479+DIVISIONS!DD554+DIVISIONS!DD720</f>
        <v>-1676</v>
      </c>
      <c r="DE45" s="293">
        <f>DIVISIONS!DE47+DIVISIONS!DE124+DIVISIONS!DE352+DIVISIONS!DE240+DIVISIONS!DE479+DIVISIONS!DE554+DIVISIONS!DE720</f>
        <v>-1776</v>
      </c>
      <c r="DF45" s="293">
        <f>DIVISIONS!DF47+DIVISIONS!DF124+DIVISIONS!DF352+DIVISIONS!DF240+DIVISIONS!DF479+DIVISIONS!DF554+DIVISIONS!DF720</f>
        <v>-3452</v>
      </c>
      <c r="DH45" s="293">
        <f>DIVISIONS!DH47+DIVISIONS!DH124+DIVISIONS!DH352+DIVISIONS!DH240+DIVISIONS!DH479+DIVISIONS!DH554+DIVISIONS!DH720</f>
        <v>-1798</v>
      </c>
      <c r="DI45" s="293">
        <f>DIVISIONS!DI47+DIVISIONS!DI124+DIVISIONS!DI352+DIVISIONS!DI240+DIVISIONS!DI479+DIVISIONS!DI554+DIVISIONS!DI720</f>
        <v>-1718.4049999999997</v>
      </c>
      <c r="DJ45" s="293">
        <f>DIVISIONS!DJ47+DIVISIONS!DJ124+DIVISIONS!DJ352+DIVISIONS!DJ240+DIVISIONS!DJ479+DIVISIONS!DJ554+DIVISIONS!DJ720</f>
        <v>-3516.4050000000002</v>
      </c>
      <c r="DL45" s="293">
        <f>DIVISIONS!DL47+DIVISIONS!DL124+DIVISIONS!DL352+DIVISIONS!DL240+DIVISIONS!DL479+DIVISIONS!DL554+DIVISIONS!DL720</f>
        <v>-1616.1849999999997</v>
      </c>
      <c r="DM45" s="293">
        <f>DIVISIONS!DM47+DIVISIONS!DM124+DIVISIONS!DM352+DIVISIONS!DM240+DIVISIONS!DM479+DIVISIONS!DM554+DIVISIONS!DM720</f>
        <v>-1663.9884</v>
      </c>
      <c r="DN45" s="293">
        <f>DIVISIONS!DN47+DIVISIONS!DN124+DIVISIONS!DN352+DIVISIONS!DN240+DIVISIONS!DN479+DIVISIONS!DN554+DIVISIONS!DN720</f>
        <v>-3280.1733999999997</v>
      </c>
      <c r="DO45" s="293"/>
      <c r="DP45" s="293">
        <f>DIVISIONS!DP47+DIVISIONS!DP124+DIVISIONS!DP352+DIVISIONS!DP240+DIVISIONS!DP479+DIVISIONS!DP554+DIVISIONS!DP720</f>
        <v>-1657.4045499999997</v>
      </c>
      <c r="DQ45" s="293">
        <f>DIVISIONS!DQ47+DIVISIONS!DQ124+DIVISIONS!DQ352+DIVISIONS!DQ240+DIVISIONS!DQ479+DIVISIONS!DQ554+DIVISIONS!DQ720</f>
        <v>-1706.1287712000001</v>
      </c>
      <c r="DR45" s="293">
        <f>DIVISIONS!DR47+DIVISIONS!DR124+DIVISIONS!DR352+DIVISIONS!DR240+DIVISIONS!DR479+DIVISIONS!DR554+DIVISIONS!DR720</f>
        <v>-3363.5333212000005</v>
      </c>
      <c r="DS45" s="293"/>
      <c r="DX45" s="293"/>
      <c r="EB45" s="293"/>
      <c r="EF45" s="293"/>
    </row>
    <row r="46" spans="1:273">
      <c r="A46" s="289" t="s">
        <v>913</v>
      </c>
      <c r="AP46" s="293"/>
      <c r="AT46" s="293"/>
      <c r="AX46" s="293"/>
      <c r="AZ46" s="295"/>
      <c r="BA46" s="295"/>
      <c r="BB46" s="295"/>
      <c r="BD46" s="295">
        <f>DIVISIONS!BD48+DIVISIONS!BD125+DIVISIONS!BD353+DIVISIONS!BD241+DIVISIONS!BD480+DIVISIONS!BD555+DIVISIONS!BD721</f>
        <v>-2827.9900400000001</v>
      </c>
      <c r="BE46" s="295">
        <f>DIVISIONS!BE48+DIVISIONS!BE125+DIVISIONS!BE353+DIVISIONS!BE241+DIVISIONS!BE480+DIVISIONS!BE555+DIVISIONS!BE721</f>
        <v>-3086.8325</v>
      </c>
      <c r="BF46" s="295">
        <f>DIVISIONS!BF48+DIVISIONS!BF125+DIVISIONS!BF353+DIVISIONS!BF241+DIVISIONS!BF480+DIVISIONS!BF555+DIVISIONS!BF721</f>
        <v>-5914.8225400000001</v>
      </c>
      <c r="BH46" s="295">
        <f>DIVISIONS!BH48+DIVISIONS!BH125+DIVISIONS!BH353+DIVISIONS!BH241+DIVISIONS!BH480+DIVISIONS!BH555+DIVISIONS!BH721</f>
        <v>-2537</v>
      </c>
      <c r="BI46" s="295">
        <f>DIVISIONS!BI48+DIVISIONS!BI125+DIVISIONS!BI353+DIVISIONS!BI241+DIVISIONS!BI480+DIVISIONS!BI555+DIVISIONS!BI721</f>
        <v>-2715</v>
      </c>
      <c r="BJ46" s="295">
        <f>DIVISIONS!BJ48+DIVISIONS!BJ125+DIVISIONS!BJ353+DIVISIONS!BJ241+DIVISIONS!BJ480+DIVISIONS!BJ555+DIVISIONS!BJ721</f>
        <v>-5252</v>
      </c>
      <c r="BL46" s="295">
        <f>DIVISIONS!BL48+DIVISIONS!BL125+DIVISIONS!BL353+DIVISIONS!BL241+DIVISIONS!BL480+DIVISIONS!BL555+DIVISIONS!BL721</f>
        <v>-2869</v>
      </c>
      <c r="BM46" s="295">
        <f>DIVISIONS!BM48+DIVISIONS!BM125+DIVISIONS!BM353+DIVISIONS!BM241+DIVISIONS!BM480+DIVISIONS!BM555+DIVISIONS!BM721</f>
        <v>-3157</v>
      </c>
      <c r="BN46" s="295">
        <f>DIVISIONS!BN48+DIVISIONS!BN125+DIVISIONS!BN353+DIVISIONS!BN241+DIVISIONS!BN480+DIVISIONS!BN555+DIVISIONS!BN721</f>
        <v>-6026</v>
      </c>
      <c r="BP46" s="295">
        <f>DIVISIONS!BP48+DIVISIONS!BP125+DIVISIONS!BP353+DIVISIONS!BP241+DIVISIONS!BP480+DIVISIONS!BP555+DIVISIONS!BP721</f>
        <v>-3163</v>
      </c>
      <c r="BQ46" s="295">
        <f>DIVISIONS!BQ48+DIVISIONS!BQ125+DIVISIONS!BQ353+DIVISIONS!BQ241+DIVISIONS!BQ480+DIVISIONS!BQ555+DIVISIONS!BQ721</f>
        <v>-3577</v>
      </c>
      <c r="BR46" s="295">
        <f>DIVISIONS!BR48+DIVISIONS!BR125+DIVISIONS!BR353+DIVISIONS!BR241+DIVISIONS!BR480+DIVISIONS!BR555+DIVISIONS!BR721</f>
        <v>-6740</v>
      </c>
      <c r="BT46" s="295">
        <f>DIVISIONS!BT48+DIVISIONS!BT125+DIVISIONS!BT353+DIVISIONS!BT241+DIVISIONS!BT480+DIVISIONS!BT555+DIVISIONS!BT721</f>
        <v>-3699</v>
      </c>
      <c r="BU46" s="295">
        <f>DIVISIONS!BU48+DIVISIONS!BU125+DIVISIONS!BU353+DIVISIONS!BU241+DIVISIONS!BU480+DIVISIONS!BU555+DIVISIONS!BU721</f>
        <v>-3444</v>
      </c>
      <c r="BV46" s="295">
        <f>DIVISIONS!BV48+DIVISIONS!BV125+DIVISIONS!BV353+DIVISIONS!BV241+DIVISIONS!BV480+DIVISIONS!BV555+DIVISIONS!BV721</f>
        <v>-7143</v>
      </c>
      <c r="BX46" s="295">
        <f>DIVISIONS!BX48+DIVISIONS!BX125+DIVISIONS!BX353+DIVISIONS!BX241+DIVISIONS!BX480+DIVISIONS!BX555+DIVISIONS!BX721</f>
        <v>-3733</v>
      </c>
      <c r="BY46" s="295">
        <f>DIVISIONS!BY48+DIVISIONS!BY125+DIVISIONS!BY353+DIVISIONS!BY241+DIVISIONS!BY480+DIVISIONS!BY555+DIVISIONS!BY721</f>
        <v>-3527</v>
      </c>
      <c r="BZ46" s="295">
        <f>DIVISIONS!BZ48+DIVISIONS!BZ125+DIVISIONS!BZ353+DIVISIONS!BZ241+DIVISIONS!BZ480+DIVISIONS!BZ555+DIVISIONS!BZ721</f>
        <v>-7260</v>
      </c>
      <c r="CB46" s="295">
        <f>DIVISIONS!CB48+DIVISIONS!CB125+DIVISIONS!CB353+DIVISIONS!CB241+DIVISIONS!CB480+DIVISIONS!CB555+DIVISIONS!CB721</f>
        <v>-3693</v>
      </c>
      <c r="CC46" s="295">
        <f>DIVISIONS!CC48+DIVISIONS!CC125+DIVISIONS!CC353+DIVISIONS!CC241+DIVISIONS!CC480+DIVISIONS!CC555+DIVISIONS!CC721</f>
        <v>-3763</v>
      </c>
      <c r="CD46" s="295">
        <f>DIVISIONS!CD48+DIVISIONS!CD125+DIVISIONS!CD353+DIVISIONS!CD241+DIVISIONS!CD480+DIVISIONS!CD555+DIVISIONS!CD721</f>
        <v>-7456</v>
      </c>
      <c r="CF46" s="295">
        <f>DIVISIONS!CF48+DIVISIONS!CF125+DIVISIONS!CF353+DIVISIONS!CF241+DIVISIONS!CF480+DIVISIONS!CF555+DIVISIONS!CF721</f>
        <v>-4125</v>
      </c>
      <c r="CG46" s="295">
        <f>DIVISIONS!CG48+DIVISIONS!CG125+DIVISIONS!CG353+DIVISIONS!CG241+DIVISIONS!CG480+DIVISIONS!CG555+DIVISIONS!CG721</f>
        <v>-4762</v>
      </c>
      <c r="CH46" s="295">
        <f>DIVISIONS!CH48+DIVISIONS!CH125+DIVISIONS!CH353+DIVISIONS!CH241+DIVISIONS!CH480+DIVISIONS!CH555+DIVISIONS!CH721</f>
        <v>-8887</v>
      </c>
      <c r="CJ46" s="295">
        <f>DIVISIONS!CJ48+DIVISIONS!CJ125+DIVISIONS!CJ353+DIVISIONS!CJ241+DIVISIONS!CJ480+DIVISIONS!CJ555+DIVISIONS!CJ721</f>
        <v>-4480</v>
      </c>
      <c r="CK46" s="295">
        <f>DIVISIONS!CK48+DIVISIONS!CK125+DIVISIONS!CK353+DIVISIONS!CK241+DIVISIONS!CK480+DIVISIONS!CK555+DIVISIONS!CK721</f>
        <v>-4391</v>
      </c>
      <c r="CL46" s="295">
        <f>DIVISIONS!CL48+DIVISIONS!CL125+DIVISIONS!CL353+DIVISIONS!CL241+DIVISIONS!CL480+DIVISIONS!CL555+DIVISIONS!CL721</f>
        <v>-8871</v>
      </c>
      <c r="CN46" s="295">
        <f>DIVISIONS!CN48+DIVISIONS!CN125+DIVISIONS!CN353+DIVISIONS!CN241+DIVISIONS!CN480+DIVISIONS!CN555+DIVISIONS!CN721</f>
        <v>-4266</v>
      </c>
      <c r="CO46" s="295">
        <f>DIVISIONS!CO48+DIVISIONS!CO125+DIVISIONS!CO353+DIVISIONS!CO241+DIVISIONS!CO480+DIVISIONS!CO555+DIVISIONS!CO721</f>
        <v>-4601</v>
      </c>
      <c r="CP46" s="295">
        <f>DIVISIONS!CP48+DIVISIONS!CP125+DIVISIONS!CP353+DIVISIONS!CP241+DIVISIONS!CP480+DIVISIONS!CP555+DIVISIONS!CP721</f>
        <v>-8867</v>
      </c>
      <c r="CR46" s="295">
        <f>DIVISIONS!CR48+DIVISIONS!CR125+DIVISIONS!CR353+DIVISIONS!CR241+DIVISIONS!CR480+DIVISIONS!CR555+DIVISIONS!CR721</f>
        <v>-5069</v>
      </c>
      <c r="CS46" s="295">
        <f>DIVISIONS!CS48+DIVISIONS!CS125+DIVISIONS!CS353+DIVISIONS!CS241+DIVISIONS!CS480+DIVISIONS!CS555+DIVISIONS!CS721</f>
        <v>-5716</v>
      </c>
      <c r="CT46" s="295">
        <f>DIVISIONS!CT48+DIVISIONS!CT125+DIVISIONS!CT353+DIVISIONS!CT241+DIVISIONS!CT480+DIVISIONS!CT555+DIVISIONS!CT721</f>
        <v>-10785</v>
      </c>
      <c r="CV46" s="295">
        <f>DIVISIONS!CV48+DIVISIONS!CV125+DIVISIONS!CV353+DIVISIONS!CV241+DIVISIONS!CV480+DIVISIONS!CV555+DIVISIONS!CV721</f>
        <v>-5596</v>
      </c>
      <c r="CW46" s="295">
        <f>DIVISIONS!CW48+DIVISIONS!CW125+DIVISIONS!CW353+DIVISIONS!CW241+DIVISIONS!CW480+DIVISIONS!CW555+DIVISIONS!CW721</f>
        <v>-6535</v>
      </c>
      <c r="CX46" s="295">
        <f>DIVISIONS!CX48+DIVISIONS!CX125+DIVISIONS!CX353+DIVISIONS!CX241+DIVISIONS!CX480+DIVISIONS!CX555+DIVISIONS!CX721</f>
        <v>-12131</v>
      </c>
      <c r="CZ46" s="295">
        <f>DIVISIONS!CZ48+DIVISIONS!CZ125+DIVISIONS!CZ353+DIVISIONS!CZ241+DIVISIONS!CZ480+DIVISIONS!CZ555+DIVISIONS!CZ721</f>
        <v>-5919</v>
      </c>
      <c r="DA46" s="295">
        <f>DIVISIONS!DA48+DIVISIONS!DA125+DIVISIONS!DA353+DIVISIONS!DA241+DIVISIONS!DA480+DIVISIONS!DA555+DIVISIONS!DA721</f>
        <v>-6142</v>
      </c>
      <c r="DB46" s="295">
        <f>DIVISIONS!DB48+DIVISIONS!DB125+DIVISIONS!DB353+DIVISIONS!DB241+DIVISIONS!DB480+DIVISIONS!DB555+DIVISIONS!DB721</f>
        <v>-12061</v>
      </c>
      <c r="DD46" s="295">
        <f>DIVISIONS!DD48+DIVISIONS!DD125+DIVISIONS!DD353+DIVISIONS!DD241+DIVISIONS!DD480+DIVISIONS!DD555+DIVISIONS!DD721</f>
        <v>-5919</v>
      </c>
      <c r="DE46" s="295">
        <f>DIVISIONS!DE48+DIVISIONS!DE125+DIVISIONS!DE353+DIVISIONS!DE241+DIVISIONS!DE480+DIVISIONS!DE555+DIVISIONS!DE721</f>
        <v>-6221</v>
      </c>
      <c r="DF46" s="295">
        <f>DIVISIONS!DF48+DIVISIONS!DF125+DIVISIONS!DF353+DIVISIONS!DF241+DIVISIONS!DF480+DIVISIONS!DF555+DIVISIONS!DF721</f>
        <v>-12140</v>
      </c>
      <c r="DH46" s="295">
        <f>DIVISIONS!DH48+DIVISIONS!DH125+DIVISIONS!DH353+DIVISIONS!DH241+DIVISIONS!DH480+DIVISIONS!DH555+DIVISIONS!DH721</f>
        <v>-6239</v>
      </c>
      <c r="DI46" s="295">
        <f>DIVISIONS!DI48+DIVISIONS!DI125+DIVISIONS!DI353+DIVISIONS!DI241+DIVISIONS!DI480+DIVISIONS!DI555+DIVISIONS!DI721</f>
        <v>-6393.1994304153268</v>
      </c>
      <c r="DJ46" s="295">
        <f>DIVISIONS!DJ48+DIVISIONS!DJ125+DIVISIONS!DJ353+DIVISIONS!DJ241+DIVISIONS!DJ480+DIVISIONS!DJ555+DIVISIONS!DJ721</f>
        <v>-12632.199430415327</v>
      </c>
      <c r="DL46" s="295">
        <f>DIVISIONS!DL48+DIVISIONS!DL125+DIVISIONS!DL353+DIVISIONS!DL241+DIVISIONS!DL480+DIVISIONS!DL555+DIVISIONS!DL721</f>
        <v>-6232.2203434797057</v>
      </c>
      <c r="DM46" s="295">
        <f>DIVISIONS!DM48+DIVISIONS!DM125+DIVISIONS!DM353+DIVISIONS!DM241+DIVISIONS!DM480+DIVISIONS!DM555+DIVISIONS!DM721</f>
        <v>-6432.6044663242947</v>
      </c>
      <c r="DN46" s="295">
        <f>DIVISIONS!DN48+DIVISIONS!DN125+DIVISIONS!DN353+DIVISIONS!DN241+DIVISIONS!DN480+DIVISIONS!DN555+DIVISIONS!DN721</f>
        <v>-12664.824809804002</v>
      </c>
      <c r="DO46" s="293"/>
      <c r="DP46" s="295">
        <f>DIVISIONS!DP48+DIVISIONS!DP125+DIVISIONS!DP353+DIVISIONS!DP241+DIVISIONS!DP480+DIVISIONS!DP555+DIVISIONS!DP721</f>
        <v>-6497.5382041101357</v>
      </c>
      <c r="DQ46" s="295">
        <f>DIVISIONS!DQ48+DIVISIONS!DQ125+DIVISIONS!DQ353+DIVISIONS!DQ241+DIVISIONS!DQ480+DIVISIONS!DQ555+DIVISIONS!DQ721</f>
        <v>-6726.1981964646029</v>
      </c>
      <c r="DR46" s="295">
        <f>DIVISIONS!DR48+DIVISIONS!DR125+DIVISIONS!DR353+DIVISIONS!DR241+DIVISIONS!DR480+DIVISIONS!DR555+DIVISIONS!DR721</f>
        <v>-13223.736400574739</v>
      </c>
      <c r="DS46" s="293"/>
      <c r="DX46" s="293"/>
      <c r="EB46" s="293"/>
      <c r="EF46" s="293"/>
    </row>
    <row r="47" spans="1:273">
      <c r="AP47" s="293"/>
      <c r="AT47" s="293"/>
      <c r="AX47" s="293"/>
      <c r="AZ47" s="769"/>
      <c r="BA47" s="769"/>
      <c r="BB47" s="769"/>
      <c r="BD47" s="769">
        <f>BD24-BD46</f>
        <v>-0.3433999999997468</v>
      </c>
      <c r="BE47" s="769">
        <f>BE24-BE46</f>
        <v>1.666700000000219</v>
      </c>
      <c r="BF47" s="769">
        <f>BF24-BF46</f>
        <v>1.323300000000927</v>
      </c>
      <c r="BH47" s="769">
        <f>BH24-BH46</f>
        <v>0</v>
      </c>
      <c r="BI47" s="769">
        <f>BI24-BI46</f>
        <v>0</v>
      </c>
      <c r="BJ47" s="769">
        <f>BJ24-BJ46</f>
        <v>0</v>
      </c>
      <c r="BK47" s="638"/>
      <c r="BL47" s="769">
        <f>BL24-BL46</f>
        <v>0</v>
      </c>
      <c r="BM47" s="769">
        <f>BM24-BM46</f>
        <v>0</v>
      </c>
      <c r="BN47" s="769">
        <f>BN24-BN46</f>
        <v>0</v>
      </c>
      <c r="BP47" s="769">
        <f>BP24-BP46</f>
        <v>0</v>
      </c>
      <c r="BQ47" s="769">
        <f>BQ24-BQ46</f>
        <v>0</v>
      </c>
      <c r="BR47" s="769">
        <f>BR24-BR46</f>
        <v>0</v>
      </c>
      <c r="BT47" s="769">
        <f>BT24-BT46</f>
        <v>0</v>
      </c>
      <c r="BU47" s="769">
        <f>BU24-BU46</f>
        <v>0</v>
      </c>
      <c r="BV47" s="769">
        <f>BV24-BV46</f>
        <v>0</v>
      </c>
      <c r="BX47" s="769">
        <f>BX24-BX46</f>
        <v>0</v>
      </c>
      <c r="BY47" s="769">
        <f>BY24-BY46</f>
        <v>0</v>
      </c>
      <c r="BZ47" s="769">
        <f>BZ24-BZ46</f>
        <v>0</v>
      </c>
      <c r="CB47" s="769">
        <f>CB24-CB46</f>
        <v>0</v>
      </c>
      <c r="CC47" s="769">
        <f>CC24-CC46</f>
        <v>0</v>
      </c>
      <c r="CD47" s="769">
        <f>CD24-CD46</f>
        <v>0</v>
      </c>
      <c r="CF47" s="769">
        <f>CF24-CF46</f>
        <v>0</v>
      </c>
      <c r="CG47" s="769">
        <f>CG24-CG46</f>
        <v>0</v>
      </c>
      <c r="CH47" s="769">
        <f>CH24-CH46</f>
        <v>0</v>
      </c>
      <c r="CJ47" s="769">
        <f>CJ24-CJ46</f>
        <v>0</v>
      </c>
      <c r="CK47" s="769">
        <f>CK24-CK46</f>
        <v>0</v>
      </c>
      <c r="CL47" s="769">
        <f>CL24-CL46</f>
        <v>0</v>
      </c>
      <c r="CN47" s="769">
        <f>CN24-CN46</f>
        <v>0</v>
      </c>
      <c r="CO47" s="769">
        <f>CO24-CO46</f>
        <v>0</v>
      </c>
      <c r="CP47" s="769">
        <f>CP24-CP46</f>
        <v>0</v>
      </c>
      <c r="CR47" s="769">
        <f>CR24-CR46</f>
        <v>0</v>
      </c>
      <c r="CS47" s="769">
        <f>CS24-CS46</f>
        <v>0</v>
      </c>
      <c r="CT47" s="769">
        <f>CT24-CT46</f>
        <v>0</v>
      </c>
      <c r="CV47" s="769">
        <f>CV24-CV46</f>
        <v>0</v>
      </c>
      <c r="CW47" s="769">
        <f>CW24-CW46</f>
        <v>1</v>
      </c>
      <c r="CX47" s="769">
        <f>CX24-CX46</f>
        <v>1</v>
      </c>
      <c r="CZ47" s="769">
        <f>CZ24-CZ46</f>
        <v>0</v>
      </c>
      <c r="DA47" s="769">
        <f>DA24-DA46</f>
        <v>0</v>
      </c>
      <c r="DB47" s="769">
        <f>DB24-DB46</f>
        <v>0</v>
      </c>
      <c r="DD47" s="769">
        <f>DD24-DD46</f>
        <v>0</v>
      </c>
      <c r="DE47" s="769">
        <f>DE24-DE46</f>
        <v>0</v>
      </c>
      <c r="DF47" s="769">
        <f>DF24-DF46</f>
        <v>0</v>
      </c>
      <c r="DH47" s="769">
        <f>DH24-DH46</f>
        <v>0</v>
      </c>
      <c r="DI47" s="769">
        <f>DI24-DI46</f>
        <v>0</v>
      </c>
      <c r="DJ47" s="769">
        <f>DJ24-DJ46</f>
        <v>0</v>
      </c>
      <c r="DL47" s="769">
        <f>DL24-DL46</f>
        <v>0</v>
      </c>
      <c r="DM47" s="769">
        <f>DM24-DM46</f>
        <v>0</v>
      </c>
      <c r="DN47" s="769">
        <f>DN24-DN46</f>
        <v>0</v>
      </c>
      <c r="DO47" s="293"/>
      <c r="DP47" s="769">
        <f>DP24-DP46</f>
        <v>0</v>
      </c>
      <c r="DQ47" s="769">
        <f>DQ24-DQ46</f>
        <v>0</v>
      </c>
      <c r="DR47" s="769">
        <f>DR24-DR46</f>
        <v>0</v>
      </c>
      <c r="DS47" s="293"/>
      <c r="DX47" s="293"/>
      <c r="EB47" s="293"/>
      <c r="EF47" s="293"/>
    </row>
    <row r="48" spans="1:273">
      <c r="A48" s="102" t="s">
        <v>604</v>
      </c>
      <c r="AP48" s="293"/>
      <c r="AT48" s="293"/>
      <c r="AX48" s="293"/>
      <c r="BB48" s="293"/>
      <c r="BD48" s="360">
        <f>BD43/BD$46</f>
        <v>0.58427838027322043</v>
      </c>
      <c r="BE48" s="360">
        <f t="shared" ref="BE48:BF48" si="39">BE43/BE$46</f>
        <v>0.61794719992095459</v>
      </c>
      <c r="BF48" s="360">
        <f t="shared" si="39"/>
        <v>0.601849491836149</v>
      </c>
      <c r="BH48" s="360">
        <f t="shared" ref="BH48:BJ48" si="40">BH43/BH$46</f>
        <v>0.60622782814347653</v>
      </c>
      <c r="BI48" s="360">
        <f t="shared" si="40"/>
        <v>0.63904235727440151</v>
      </c>
      <c r="BJ48" s="360">
        <f t="shared" si="40"/>
        <v>0.62319116527037322</v>
      </c>
      <c r="BL48" s="360">
        <f t="shared" ref="BL48:BN48" si="41">BL43/BL$46</f>
        <v>0.60299756012547923</v>
      </c>
      <c r="BM48" s="360">
        <f t="shared" si="41"/>
        <v>0.63541336712068419</v>
      </c>
      <c r="BN48" s="360">
        <f t="shared" si="41"/>
        <v>0.61998008629273149</v>
      </c>
      <c r="BP48" s="360">
        <f t="shared" ref="BP48:BR48" si="42">BP43/BP$46</f>
        <v>0.61460638634208031</v>
      </c>
      <c r="BQ48" s="360">
        <f t="shared" si="42"/>
        <v>0.61476097288230358</v>
      </c>
      <c r="BR48" s="360">
        <f t="shared" si="42"/>
        <v>0.6146884272997033</v>
      </c>
      <c r="BT48" s="360">
        <f t="shared" ref="BT48:BV48" si="43">BT43/BT$46</f>
        <v>0.61178696945120303</v>
      </c>
      <c r="BU48" s="360">
        <f t="shared" si="43"/>
        <v>0.57520325203252032</v>
      </c>
      <c r="BV48" s="360">
        <f t="shared" si="43"/>
        <v>0.59414811703765924</v>
      </c>
      <c r="BX48" s="360">
        <f t="shared" ref="BX48:BZ48" si="44">BX43/BX$46</f>
        <v>0.61344762925261187</v>
      </c>
      <c r="BY48" s="360">
        <f t="shared" si="44"/>
        <v>0.59228806351006524</v>
      </c>
      <c r="BZ48" s="360">
        <f t="shared" si="44"/>
        <v>0.60316804407713498</v>
      </c>
      <c r="CB48" s="360">
        <f t="shared" ref="CB48:CD48" si="45">CB43/CB$46</f>
        <v>0.61223937178445709</v>
      </c>
      <c r="CC48" s="360">
        <f t="shared" si="45"/>
        <v>0.59314376826999737</v>
      </c>
      <c r="CD48" s="360">
        <f t="shared" si="45"/>
        <v>0.60260193133047213</v>
      </c>
      <c r="CF48" s="360">
        <f t="shared" ref="CF48:CH48" si="46">CF43/CF$46</f>
        <v>0.59490909090909094</v>
      </c>
      <c r="CG48" s="360">
        <f t="shared" si="46"/>
        <v>0.58021839563208732</v>
      </c>
      <c r="CH48" s="360">
        <f t="shared" si="46"/>
        <v>0.58703724541465063</v>
      </c>
      <c r="CJ48" s="360">
        <f t="shared" ref="CJ48:CL48" si="47">CJ43/CJ$46</f>
        <v>0.61964285714285716</v>
      </c>
      <c r="CK48" s="360">
        <f t="shared" si="47"/>
        <v>0.58005010248235023</v>
      </c>
      <c r="CL48" s="360">
        <f t="shared" si="47"/>
        <v>0.60004509074512458</v>
      </c>
      <c r="CN48" s="360">
        <f t="shared" ref="CN48:CP48" si="48">CN43/CN$46</f>
        <v>0.61298640412564465</v>
      </c>
      <c r="CO48" s="360">
        <f t="shared" si="48"/>
        <v>0.63073244946750706</v>
      </c>
      <c r="CP48" s="360">
        <f t="shared" si="48"/>
        <v>0.62219465433630317</v>
      </c>
      <c r="CR48" s="360">
        <f t="shared" ref="CR48:CT48" si="49">CR43/CR$46</f>
        <v>0.6241862300256461</v>
      </c>
      <c r="CS48" s="360">
        <f t="shared" si="49"/>
        <v>0.62298810356892931</v>
      </c>
      <c r="CT48" s="360">
        <f t="shared" si="49"/>
        <v>0.62355122855818268</v>
      </c>
      <c r="CV48" s="360">
        <f t="shared" ref="CV48:CX48" si="50">CV43/CV$46</f>
        <v>0.64563974267333812</v>
      </c>
      <c r="CW48" s="360">
        <f t="shared" si="50"/>
        <v>0.62570772762050497</v>
      </c>
      <c r="CX48" s="360">
        <f t="shared" si="50"/>
        <v>0.63490231637952355</v>
      </c>
      <c r="CZ48" s="360">
        <f t="shared" ref="CZ48:DB48" si="51">CZ43/CZ$46</f>
        <v>0.63084980571042404</v>
      </c>
      <c r="DA48" s="360">
        <f t="shared" si="51"/>
        <v>0.64962552914360139</v>
      </c>
      <c r="DB48" s="360">
        <f t="shared" si="51"/>
        <v>0.64041124284885165</v>
      </c>
      <c r="DD48" s="360">
        <f t="shared" ref="DD48:DF48" si="52">DD43/DD$46</f>
        <v>0.61919243115391109</v>
      </c>
      <c r="DE48" s="360">
        <f t="shared" si="52"/>
        <v>0.61404918823340304</v>
      </c>
      <c r="DF48" s="360">
        <f t="shared" si="52"/>
        <v>0.61655683690280061</v>
      </c>
      <c r="DH48" s="360">
        <f t="shared" ref="DH48" si="53">DH43/DH$46</f>
        <v>0.61131591601218149</v>
      </c>
      <c r="DI48" s="360">
        <f t="shared" ref="DI48:DJ48" si="54">DI43/DI$46</f>
        <v>0.64338447666592558</v>
      </c>
      <c r="DJ48" s="360">
        <f t="shared" si="54"/>
        <v>0.62754592447864965</v>
      </c>
      <c r="DL48" s="360">
        <f t="shared" ref="DL48:DN48" si="55">DL43/DL$46</f>
        <v>0.65257964150827075</v>
      </c>
      <c r="DM48" s="360">
        <f t="shared" si="55"/>
        <v>0.65243687725672206</v>
      </c>
      <c r="DN48" s="360">
        <f t="shared" si="55"/>
        <v>0.65250712996737414</v>
      </c>
      <c r="DO48" s="293"/>
      <c r="DP48" s="360">
        <f t="shared" ref="DP48:DR48" si="56">DP43/DP$46</f>
        <v>0.65693136085295856</v>
      </c>
      <c r="DQ48" s="360">
        <f t="shared" si="56"/>
        <v>0.6578227510945428</v>
      </c>
      <c r="DR48" s="360">
        <f t="shared" si="56"/>
        <v>0.65738476277006197</v>
      </c>
      <c r="DS48" s="293"/>
      <c r="DX48" s="293"/>
      <c r="EB48" s="293"/>
      <c r="EF48" s="293"/>
    </row>
    <row r="49" spans="1:273">
      <c r="A49" s="102" t="s">
        <v>605</v>
      </c>
      <c r="AP49" s="293"/>
      <c r="AT49" s="293"/>
      <c r="AX49" s="293"/>
      <c r="BB49" s="293"/>
      <c r="BD49" s="360">
        <f t="shared" ref="BD49:BF50" si="57">BD44/BD$46</f>
        <v>0.13649270136750552</v>
      </c>
      <c r="BE49" s="360">
        <f t="shared" si="57"/>
        <v>0.1093892525752531</v>
      </c>
      <c r="BF49" s="360">
        <f t="shared" si="57"/>
        <v>0.12234793099980308</v>
      </c>
      <c r="BH49" s="360">
        <f t="shared" ref="BH49:BJ49" si="58">BH44/BH$46</f>
        <v>0.12613322822230982</v>
      </c>
      <c r="BI49" s="360">
        <f t="shared" si="58"/>
        <v>0.10460405156537753</v>
      </c>
      <c r="BJ49" s="360">
        <f t="shared" si="58"/>
        <v>0.115003808073115</v>
      </c>
      <c r="BL49" s="360">
        <f t="shared" ref="BL49:BN49" si="59">BL44/BL$46</f>
        <v>0.1321017776228651</v>
      </c>
      <c r="BM49" s="360">
        <f t="shared" si="59"/>
        <v>0.12670256572695598</v>
      </c>
      <c r="BN49" s="360">
        <f t="shared" si="59"/>
        <v>0.12927314968469963</v>
      </c>
      <c r="BP49" s="360">
        <f t="shared" ref="BP49:BR49" si="60">BP44/BP$46</f>
        <v>0.12235219728106228</v>
      </c>
      <c r="BQ49" s="360">
        <f t="shared" si="60"/>
        <v>0.12216941571149008</v>
      </c>
      <c r="BR49" s="360">
        <f t="shared" si="60"/>
        <v>0.12225519287833828</v>
      </c>
      <c r="BT49" s="360">
        <f t="shared" ref="BT49:BV49" si="61">BT44/BT$46</f>
        <v>0.12003244120032441</v>
      </c>
      <c r="BU49" s="360">
        <f t="shared" si="61"/>
        <v>0.13008130081300814</v>
      </c>
      <c r="BV49" s="360">
        <f t="shared" si="61"/>
        <v>0.12487750244995099</v>
      </c>
      <c r="BX49" s="360">
        <f t="shared" ref="BX49:BZ49" si="62">BX44/BX$46</f>
        <v>0.11197428341816233</v>
      </c>
      <c r="BY49" s="360">
        <f t="shared" si="62"/>
        <v>0.12305075134675361</v>
      </c>
      <c r="BZ49" s="360">
        <f t="shared" si="62"/>
        <v>0.11735537190082644</v>
      </c>
      <c r="CB49" s="360">
        <f t="shared" ref="CB49:CD49" si="63">CB44/CB$46</f>
        <v>0.11427024099647982</v>
      </c>
      <c r="CC49" s="360">
        <f t="shared" si="63"/>
        <v>0.10842412968376296</v>
      </c>
      <c r="CD49" s="360">
        <f t="shared" si="63"/>
        <v>0.11131974248927039</v>
      </c>
      <c r="CF49" s="360">
        <f t="shared" ref="CF49:CH49" si="64">CF44/CF$46</f>
        <v>0.14036363636363636</v>
      </c>
      <c r="CG49" s="360">
        <f t="shared" si="64"/>
        <v>0.11780764384712306</v>
      </c>
      <c r="CH49" s="360">
        <f t="shared" si="64"/>
        <v>0.12827725891751998</v>
      </c>
      <c r="CJ49" s="360">
        <f t="shared" ref="CJ49:CL49" si="65">CJ44/CJ$46</f>
        <v>0.10758928571428572</v>
      </c>
      <c r="CK49" s="360">
        <f t="shared" si="65"/>
        <v>0.10976998405830107</v>
      </c>
      <c r="CL49" s="360">
        <f t="shared" si="65"/>
        <v>0.10866869575019728</v>
      </c>
      <c r="CN49" s="360">
        <f t="shared" ref="CN49:CP49" si="66">CN44/CN$46</f>
        <v>0.11017346460384435</v>
      </c>
      <c r="CO49" s="360">
        <f t="shared" si="66"/>
        <v>8.8459030645511846E-2</v>
      </c>
      <c r="CP49" s="360">
        <f t="shared" si="66"/>
        <v>9.8906056163302128E-2</v>
      </c>
      <c r="CR49" s="360">
        <f t="shared" ref="CR49:CT49" si="67">CR44/CR$46</f>
        <v>9.8244229631090946E-2</v>
      </c>
      <c r="CS49" s="360">
        <f t="shared" si="67"/>
        <v>9.2722183344996503E-2</v>
      </c>
      <c r="CT49" s="360">
        <f t="shared" si="67"/>
        <v>9.5317570700046358E-2</v>
      </c>
      <c r="CV49" s="360">
        <f t="shared" ref="CV49:CX49" si="68">CV44/CV$46</f>
        <v>8.8992137240886351E-2</v>
      </c>
      <c r="CW49" s="360">
        <f t="shared" si="68"/>
        <v>8.0795715378729913E-2</v>
      </c>
      <c r="CX49" s="360">
        <f t="shared" si="68"/>
        <v>8.4576704311268652E-2</v>
      </c>
      <c r="CZ49" s="360">
        <f t="shared" ref="CZ49:DB49" si="69">CZ44/CZ$46</f>
        <v>8.9204257475924989E-2</v>
      </c>
      <c r="DA49" s="360">
        <f t="shared" si="69"/>
        <v>8.8082057961576032E-2</v>
      </c>
      <c r="DB49" s="360">
        <f t="shared" si="69"/>
        <v>8.8632783351297567E-2</v>
      </c>
      <c r="DD49" s="360">
        <f t="shared" ref="DD49:DF49" si="70">DD44/DD$46</f>
        <v>9.7651630342963341E-2</v>
      </c>
      <c r="DE49" s="360">
        <f t="shared" si="70"/>
        <v>0.10046616299630284</v>
      </c>
      <c r="DF49" s="360">
        <f t="shared" si="70"/>
        <v>9.9093904448105438E-2</v>
      </c>
      <c r="DH49" s="360">
        <f t="shared" ref="DH49" si="71">DH44/DH$46</f>
        <v>0.10049687449911845</v>
      </c>
      <c r="DI49" s="360">
        <f t="shared" ref="DI49:DJ49" si="72">DI44/DI$46</f>
        <v>8.7829132622598366E-2</v>
      </c>
      <c r="DJ49" s="360">
        <f t="shared" si="72"/>
        <v>9.4085686914902669E-2</v>
      </c>
      <c r="DL49" s="360">
        <f t="shared" ref="DL49:DN49" si="73">DL44/DL$46</f>
        <v>8.8093038383272385E-2</v>
      </c>
      <c r="DM49" s="360">
        <f t="shared" si="73"/>
        <v>8.8882768819568789E-2</v>
      </c>
      <c r="DN49" s="360">
        <f t="shared" si="73"/>
        <v>8.849415119833319E-2</v>
      </c>
      <c r="DO49" s="293"/>
      <c r="DP49" s="360">
        <f t="shared" ref="DP49:DR49" si="74">DP44/DP$46</f>
        <v>8.7986714588047799E-2</v>
      </c>
      <c r="DQ49" s="360">
        <f t="shared" si="74"/>
        <v>8.8522997073156445E-2</v>
      </c>
      <c r="DR49" s="360">
        <f t="shared" si="74"/>
        <v>8.8259492430471861E-2</v>
      </c>
      <c r="DS49" s="293"/>
      <c r="DX49" s="293"/>
      <c r="EB49" s="293"/>
      <c r="EF49" s="293"/>
    </row>
    <row r="50" spans="1:273">
      <c r="A50" s="102" t="s">
        <v>606</v>
      </c>
      <c r="AP50" s="293"/>
      <c r="AT50" s="293"/>
      <c r="AX50" s="293"/>
      <c r="BB50" s="293"/>
      <c r="BD50" s="360">
        <f t="shared" si="57"/>
        <v>0.27922891835927399</v>
      </c>
      <c r="BE50" s="360">
        <f t="shared" si="57"/>
        <v>0.27266354750379229</v>
      </c>
      <c r="BF50" s="360">
        <f t="shared" si="57"/>
        <v>0.27580257716404794</v>
      </c>
      <c r="BH50" s="360">
        <f t="shared" ref="BH50:BJ50" si="75">BH45/BH$46</f>
        <v>0.26763894363421364</v>
      </c>
      <c r="BI50" s="360">
        <f t="shared" si="75"/>
        <v>0.25635359116022099</v>
      </c>
      <c r="BJ50" s="360">
        <f t="shared" si="75"/>
        <v>0.26180502665651179</v>
      </c>
      <c r="BL50" s="360">
        <f t="shared" ref="BL50:BN50" si="76">BL45/BL$46</f>
        <v>0.26490066225165565</v>
      </c>
      <c r="BM50" s="360">
        <f t="shared" si="76"/>
        <v>0.23788406715235982</v>
      </c>
      <c r="BN50" s="360">
        <f t="shared" si="76"/>
        <v>0.25074676402256885</v>
      </c>
      <c r="BP50" s="360">
        <f t="shared" ref="BP50:BR50" si="77">BP45/BP$46</f>
        <v>0.26304141637685741</v>
      </c>
      <c r="BQ50" s="360">
        <f t="shared" si="77"/>
        <v>0.26306961140620633</v>
      </c>
      <c r="BR50" s="360">
        <f t="shared" si="77"/>
        <v>0.26305637982195845</v>
      </c>
      <c r="BT50" s="360">
        <f t="shared" ref="BT50:BV50" si="78">BT45/BT$46</f>
        <v>0.26818058934847255</v>
      </c>
      <c r="BU50" s="360">
        <f t="shared" si="78"/>
        <v>0.29471544715447157</v>
      </c>
      <c r="BV50" s="360">
        <f t="shared" si="78"/>
        <v>0.28097438051238977</v>
      </c>
      <c r="BX50" s="360">
        <f t="shared" ref="BX50:BZ50" si="79">BX45/BX$46</f>
        <v>0.27457808732922584</v>
      </c>
      <c r="BY50" s="360">
        <f t="shared" si="79"/>
        <v>0.28466118514318117</v>
      </c>
      <c r="BZ50" s="360">
        <f t="shared" si="79"/>
        <v>0.27947658402203857</v>
      </c>
      <c r="CB50" s="360">
        <f t="shared" ref="CB50:CD50" si="80">CB45/CB$46</f>
        <v>0.2734903872190631</v>
      </c>
      <c r="CC50" s="360">
        <f t="shared" si="80"/>
        <v>0.29843210204623971</v>
      </c>
      <c r="CD50" s="360">
        <f t="shared" si="80"/>
        <v>0.28607832618025753</v>
      </c>
      <c r="CF50" s="360">
        <f t="shared" ref="CF50:CH50" si="81">CF45/CF$46</f>
        <v>0.2647272727272727</v>
      </c>
      <c r="CG50" s="360">
        <f t="shared" si="81"/>
        <v>0.30197396052078956</v>
      </c>
      <c r="CH50" s="360">
        <f t="shared" si="81"/>
        <v>0.28468549566782941</v>
      </c>
      <c r="CJ50" s="360">
        <f t="shared" ref="CJ50:CL50" si="82">CJ45/CJ$46</f>
        <v>0.27276785714285712</v>
      </c>
      <c r="CK50" s="360">
        <f t="shared" si="82"/>
        <v>0.31017991345934864</v>
      </c>
      <c r="CL50" s="360">
        <f t="shared" si="82"/>
        <v>0.29128621350467815</v>
      </c>
      <c r="CN50" s="360">
        <f t="shared" ref="CN50:CP50" si="83">CN45/CN$46</f>
        <v>0.27684013127051099</v>
      </c>
      <c r="CO50" s="360">
        <f t="shared" si="83"/>
        <v>0.28080851988698108</v>
      </c>
      <c r="CP50" s="360">
        <f t="shared" si="83"/>
        <v>0.27889928950039472</v>
      </c>
      <c r="CR50" s="360">
        <f t="shared" ref="CR50:CT50" si="84">CR45/CR$46</f>
        <v>0.27756954034326298</v>
      </c>
      <c r="CS50" s="360">
        <f t="shared" si="84"/>
        <v>0.2842897130860742</v>
      </c>
      <c r="CT50" s="360">
        <f t="shared" si="84"/>
        <v>0.281131200741771</v>
      </c>
      <c r="CV50" s="360">
        <f t="shared" ref="CV50:CX50" si="85">CV45/CV$46</f>
        <v>0.26536812008577554</v>
      </c>
      <c r="CW50" s="360">
        <f t="shared" si="85"/>
        <v>0.2934965570007651</v>
      </c>
      <c r="CX50" s="360">
        <f t="shared" si="85"/>
        <v>0.28052097930920783</v>
      </c>
      <c r="CZ50" s="360">
        <f t="shared" ref="CZ50:DB50" si="86">CZ45/CZ$46</f>
        <v>0.27994593681365093</v>
      </c>
      <c r="DA50" s="360">
        <f t="shared" si="86"/>
        <v>0.26229241289482252</v>
      </c>
      <c r="DB50" s="360">
        <f t="shared" si="86"/>
        <v>0.27095597379985076</v>
      </c>
      <c r="DD50" s="360">
        <f t="shared" ref="DD50:DF50" si="87">DD45/DD$46</f>
        <v>0.28315593850312554</v>
      </c>
      <c r="DE50" s="360">
        <f t="shared" si="87"/>
        <v>0.28548464877029417</v>
      </c>
      <c r="DF50" s="360">
        <f t="shared" si="87"/>
        <v>0.28434925864909388</v>
      </c>
      <c r="DH50" s="360">
        <f t="shared" ref="DH50" si="88">DH45/DH$46</f>
        <v>0.28818720948870014</v>
      </c>
      <c r="DI50" s="360">
        <f t="shared" ref="DI50:DJ50" si="89">DI45/DI$46</f>
        <v>0.26878639071147598</v>
      </c>
      <c r="DJ50" s="360">
        <f t="shared" si="89"/>
        <v>0.27836838860644764</v>
      </c>
      <c r="DL50" s="360">
        <f t="shared" ref="DL50:DN50" si="90">DL45/DL$46</f>
        <v>0.25932732010845705</v>
      </c>
      <c r="DM50" s="360">
        <f t="shared" si="90"/>
        <v>0.25868035392370903</v>
      </c>
      <c r="DN50" s="360">
        <f t="shared" si="90"/>
        <v>0.2589987188342926</v>
      </c>
      <c r="DO50" s="293"/>
      <c r="DP50" s="360">
        <f t="shared" ref="DP50:DR50" si="91">DP45/DP$46</f>
        <v>0.25508192455899348</v>
      </c>
      <c r="DQ50" s="360">
        <f t="shared" si="91"/>
        <v>0.25365425183230084</v>
      </c>
      <c r="DR50" s="360">
        <f t="shared" si="91"/>
        <v>0.25435574479946627</v>
      </c>
      <c r="DS50" s="293"/>
      <c r="DX50" s="293"/>
      <c r="EB50" s="293"/>
      <c r="EF50" s="293"/>
    </row>
    <row r="51" spans="1:273">
      <c r="A51" s="289" t="s">
        <v>913</v>
      </c>
      <c r="AP51" s="293"/>
      <c r="AT51" s="293"/>
      <c r="AX51" s="293"/>
      <c r="BB51" s="293"/>
      <c r="BD51" s="379">
        <f>SUM(BD48:BD50)</f>
        <v>1</v>
      </c>
      <c r="BE51" s="379">
        <f t="shared" ref="BE51:BF51" si="92">SUM(BE48:BE50)</f>
        <v>1</v>
      </c>
      <c r="BF51" s="379">
        <f t="shared" si="92"/>
        <v>1</v>
      </c>
      <c r="BH51" s="379">
        <f t="shared" ref="BH51" si="93">SUM(BH48:BH50)</f>
        <v>1</v>
      </c>
      <c r="BI51" s="379">
        <f t="shared" ref="BI51" si="94">SUM(BI48:BI50)</f>
        <v>1</v>
      </c>
      <c r="BJ51" s="379">
        <f t="shared" ref="BJ51" si="95">SUM(BJ48:BJ50)</f>
        <v>1</v>
      </c>
      <c r="BL51" s="379">
        <f t="shared" ref="BL51" si="96">SUM(BL48:BL50)</f>
        <v>1</v>
      </c>
      <c r="BM51" s="379">
        <f t="shared" ref="BM51" si="97">SUM(BM48:BM50)</f>
        <v>1</v>
      </c>
      <c r="BN51" s="379">
        <f t="shared" ref="BN51" si="98">SUM(BN48:BN50)</f>
        <v>1</v>
      </c>
      <c r="BP51" s="379">
        <f t="shared" ref="BP51" si="99">SUM(BP48:BP50)</f>
        <v>1</v>
      </c>
      <c r="BQ51" s="379">
        <f t="shared" ref="BQ51" si="100">SUM(BQ48:BQ50)</f>
        <v>1</v>
      </c>
      <c r="BR51" s="379">
        <f t="shared" ref="BR51" si="101">SUM(BR48:BR50)</f>
        <v>1</v>
      </c>
      <c r="BT51" s="379">
        <f t="shared" ref="BT51" si="102">SUM(BT48:BT50)</f>
        <v>1</v>
      </c>
      <c r="BU51" s="379">
        <f t="shared" ref="BU51" si="103">SUM(BU48:BU50)</f>
        <v>1</v>
      </c>
      <c r="BV51" s="379">
        <f t="shared" ref="BV51" si="104">SUM(BV48:BV50)</f>
        <v>1</v>
      </c>
      <c r="BX51" s="379">
        <f t="shared" ref="BX51" si="105">SUM(BX48:BX50)</f>
        <v>1</v>
      </c>
      <c r="BY51" s="379">
        <f t="shared" ref="BY51" si="106">SUM(BY48:BY50)</f>
        <v>1</v>
      </c>
      <c r="BZ51" s="379">
        <f t="shared" ref="BZ51" si="107">SUM(BZ48:BZ50)</f>
        <v>1</v>
      </c>
      <c r="CB51" s="379">
        <f t="shared" ref="CB51" si="108">SUM(CB48:CB50)</f>
        <v>1</v>
      </c>
      <c r="CC51" s="379">
        <f t="shared" ref="CC51" si="109">SUM(CC48:CC50)</f>
        <v>1</v>
      </c>
      <c r="CD51" s="379">
        <f t="shared" ref="CD51" si="110">SUM(CD48:CD50)</f>
        <v>1</v>
      </c>
      <c r="CF51" s="379">
        <f t="shared" ref="CF51:CH51" si="111">SUM(CF48:CF50)</f>
        <v>1</v>
      </c>
      <c r="CG51" s="379">
        <f t="shared" si="111"/>
        <v>1</v>
      </c>
      <c r="CH51" s="379">
        <f t="shared" si="111"/>
        <v>1</v>
      </c>
      <c r="CJ51" s="379">
        <f t="shared" ref="CJ51:CL51" si="112">SUM(CJ48:CJ50)</f>
        <v>1</v>
      </c>
      <c r="CK51" s="379">
        <f t="shared" si="112"/>
        <v>1</v>
      </c>
      <c r="CL51" s="379">
        <f t="shared" si="112"/>
        <v>1</v>
      </c>
      <c r="CN51" s="379">
        <f t="shared" ref="CN51:CP51" si="113">SUM(CN48:CN50)</f>
        <v>1</v>
      </c>
      <c r="CO51" s="379">
        <f t="shared" si="113"/>
        <v>1</v>
      </c>
      <c r="CP51" s="379">
        <f t="shared" si="113"/>
        <v>1</v>
      </c>
      <c r="CR51" s="379">
        <f t="shared" ref="CR51:CT51" si="114">SUM(CR48:CR50)</f>
        <v>1</v>
      </c>
      <c r="CS51" s="379">
        <f t="shared" si="114"/>
        <v>1</v>
      </c>
      <c r="CT51" s="379">
        <f t="shared" si="114"/>
        <v>1</v>
      </c>
      <c r="CV51" s="379">
        <f t="shared" ref="CV51:CX51" si="115">SUM(CV48:CV50)</f>
        <v>1</v>
      </c>
      <c r="CW51" s="379">
        <f t="shared" si="115"/>
        <v>1</v>
      </c>
      <c r="CX51" s="379">
        <f t="shared" si="115"/>
        <v>1</v>
      </c>
      <c r="CZ51" s="379">
        <f t="shared" ref="CZ51:DB51" si="116">SUM(CZ48:CZ50)</f>
        <v>1</v>
      </c>
      <c r="DA51" s="379">
        <f t="shared" si="116"/>
        <v>1</v>
      </c>
      <c r="DB51" s="379">
        <f t="shared" si="116"/>
        <v>1</v>
      </c>
      <c r="DD51" s="379">
        <f t="shared" ref="DD51:DF51" si="117">SUM(DD48:DD50)</f>
        <v>1</v>
      </c>
      <c r="DE51" s="379">
        <f t="shared" si="117"/>
        <v>1</v>
      </c>
      <c r="DF51" s="379">
        <f t="shared" si="117"/>
        <v>0.99999999999999989</v>
      </c>
      <c r="DH51" s="379">
        <f t="shared" ref="DH51" si="118">SUM(DH48:DH50)</f>
        <v>1</v>
      </c>
      <c r="DI51" s="379">
        <f t="shared" ref="DI51:DJ51" si="119">SUM(DI48:DI50)</f>
        <v>1</v>
      </c>
      <c r="DJ51" s="379">
        <f t="shared" si="119"/>
        <v>1</v>
      </c>
      <c r="DL51" s="379">
        <f t="shared" ref="DL51:DN51" si="120">SUM(DL48:DL50)</f>
        <v>1.0000000000000002</v>
      </c>
      <c r="DM51" s="379">
        <f t="shared" si="120"/>
        <v>0.99999999999999989</v>
      </c>
      <c r="DN51" s="379">
        <f t="shared" si="120"/>
        <v>0.99999999999999989</v>
      </c>
      <c r="DO51" s="293"/>
      <c r="DP51" s="379">
        <f t="shared" ref="DP51:DR51" si="121">SUM(DP48:DP50)</f>
        <v>0.99999999999999978</v>
      </c>
      <c r="DQ51" s="379">
        <f t="shared" si="121"/>
        <v>1</v>
      </c>
      <c r="DR51" s="379">
        <f t="shared" si="121"/>
        <v>1</v>
      </c>
      <c r="DS51" s="293"/>
      <c r="DX51" s="293"/>
      <c r="EB51" s="293"/>
      <c r="EF51" s="293"/>
    </row>
    <row r="52" spans="1:273">
      <c r="AP52" s="293"/>
      <c r="AT52" s="293"/>
      <c r="AX52" s="293"/>
      <c r="BB52" s="293"/>
      <c r="BF52" s="293"/>
      <c r="BJ52" s="685"/>
      <c r="BN52" s="685"/>
      <c r="BR52" s="685"/>
      <c r="BV52" s="685"/>
      <c r="BZ52" s="685"/>
      <c r="CD52" s="293"/>
      <c r="CH52" s="293"/>
      <c r="CL52" s="293"/>
      <c r="CP52" s="293"/>
      <c r="CT52" s="293"/>
      <c r="CX52" s="293"/>
      <c r="DB52" s="293"/>
      <c r="DF52" s="293"/>
      <c r="DJ52" s="293"/>
      <c r="DN52" s="293"/>
      <c r="DO52" s="293"/>
      <c r="DR52" s="293"/>
      <c r="DS52" s="293"/>
      <c r="DX52" s="293"/>
      <c r="EB52" s="293"/>
      <c r="EF52" s="293"/>
    </row>
    <row r="53" spans="1:273">
      <c r="AP53" s="293"/>
      <c r="AT53" s="293"/>
      <c r="AX53" s="293"/>
      <c r="BB53" s="293"/>
      <c r="BF53" s="293"/>
      <c r="BJ53" s="685"/>
      <c r="BN53" s="685"/>
      <c r="BR53" s="685"/>
      <c r="BV53" s="685"/>
      <c r="BZ53" s="685"/>
      <c r="CD53" s="293"/>
      <c r="CH53" s="293"/>
      <c r="CL53" s="293"/>
      <c r="CP53" s="293"/>
      <c r="CT53" s="293"/>
      <c r="CX53" s="293"/>
      <c r="DB53" s="293"/>
      <c r="DF53" s="293"/>
      <c r="DJ53" s="293"/>
      <c r="DN53" s="293"/>
      <c r="DO53" s="293"/>
      <c r="DR53" s="293"/>
      <c r="DS53" s="293"/>
      <c r="DX53" s="293"/>
      <c r="EB53" s="293"/>
      <c r="EF53" s="293"/>
    </row>
    <row r="54" spans="1:273" s="838" customFormat="1">
      <c r="A54" s="837" t="s">
        <v>884</v>
      </c>
      <c r="B54" s="825"/>
      <c r="AN54" s="825"/>
      <c r="AO54" s="825"/>
      <c r="AP54" s="825"/>
      <c r="AQ54" s="825"/>
      <c r="AR54" s="825"/>
      <c r="AS54" s="825"/>
      <c r="AT54" s="825"/>
      <c r="AU54" s="825"/>
      <c r="AV54" s="825"/>
      <c r="AW54" s="825"/>
      <c r="AX54" s="825"/>
      <c r="AY54" s="825"/>
      <c r="AZ54" s="825"/>
      <c r="BA54" s="825"/>
      <c r="BB54" s="825"/>
      <c r="BC54" s="825"/>
      <c r="BD54" s="825"/>
      <c r="BE54" s="825"/>
      <c r="BF54" s="825"/>
      <c r="BG54" s="825"/>
      <c r="BH54" s="825"/>
      <c r="BI54" s="825"/>
      <c r="BJ54" s="825"/>
      <c r="BK54" s="825"/>
      <c r="BL54" s="825"/>
      <c r="BM54" s="825"/>
      <c r="BN54" s="825"/>
      <c r="BO54" s="825"/>
      <c r="BP54" s="825"/>
      <c r="BQ54" s="825"/>
      <c r="BR54" s="825"/>
      <c r="BS54" s="825"/>
      <c r="BT54" s="825"/>
      <c r="BU54" s="825"/>
      <c r="BV54" s="825"/>
      <c r="BW54" s="825"/>
      <c r="BX54" s="825"/>
      <c r="BY54" s="825"/>
      <c r="BZ54" s="825"/>
      <c r="CA54" s="825"/>
      <c r="CB54" s="825"/>
      <c r="CC54" s="825"/>
      <c r="CD54" s="825"/>
      <c r="CE54" s="1606"/>
      <c r="CF54" s="825"/>
      <c r="CG54" s="825"/>
      <c r="CH54" s="825"/>
      <c r="CI54" s="1606"/>
      <c r="CJ54" s="825"/>
      <c r="CK54" s="825"/>
      <c r="CL54" s="825"/>
      <c r="CM54" s="1606"/>
      <c r="CN54" s="825"/>
      <c r="CO54" s="825"/>
      <c r="CP54" s="825"/>
      <c r="CQ54" s="1606"/>
      <c r="CR54" s="825"/>
      <c r="CS54" s="825"/>
      <c r="CT54" s="825"/>
      <c r="CU54" s="825"/>
      <c r="CV54" s="825"/>
      <c r="CW54" s="825"/>
      <c r="CX54" s="825"/>
      <c r="CY54" s="825"/>
      <c r="CZ54" s="825"/>
      <c r="DA54" s="825"/>
      <c r="DB54" s="825"/>
      <c r="DC54" s="825"/>
      <c r="DD54" s="825"/>
      <c r="DE54" s="825"/>
      <c r="DF54" s="825"/>
      <c r="DG54" s="825"/>
      <c r="DH54" s="825"/>
      <c r="DI54" s="825"/>
      <c r="DJ54" s="825"/>
      <c r="DK54" s="825"/>
      <c r="DL54" s="825"/>
      <c r="DM54" s="825"/>
      <c r="DN54" s="825"/>
      <c r="DO54" s="825"/>
      <c r="DP54" s="825"/>
      <c r="DQ54" s="825"/>
      <c r="DR54" s="825"/>
      <c r="DS54" s="825"/>
      <c r="DT54" s="825"/>
      <c r="DU54" s="825"/>
      <c r="DV54" s="825"/>
      <c r="DW54" s="825"/>
      <c r="DX54" s="825"/>
      <c r="DY54" s="825"/>
      <c r="DZ54" s="825"/>
      <c r="EA54" s="825"/>
      <c r="EB54" s="825"/>
      <c r="EC54" s="825"/>
      <c r="ED54" s="825"/>
      <c r="EE54" s="825"/>
      <c r="EF54" s="825"/>
      <c r="EG54" s="825"/>
      <c r="EH54" s="825"/>
      <c r="EI54" s="825"/>
      <c r="EJ54" s="825"/>
      <c r="EK54" s="825"/>
      <c r="EL54" s="825"/>
      <c r="EM54" s="825"/>
      <c r="EN54" s="825"/>
      <c r="EO54" s="825"/>
      <c r="EP54" s="825"/>
      <c r="FL54" s="839"/>
      <c r="FM54" s="839"/>
      <c r="FN54" s="839"/>
      <c r="FO54" s="839"/>
      <c r="FP54" s="839"/>
      <c r="FQ54" s="839"/>
      <c r="FR54" s="839"/>
      <c r="FS54" s="839"/>
      <c r="FT54" s="839"/>
      <c r="FU54" s="839"/>
      <c r="FV54" s="839"/>
      <c r="FW54" s="839"/>
      <c r="FX54" s="839"/>
      <c r="FY54" s="839"/>
      <c r="FZ54" s="839"/>
      <c r="GA54" s="839"/>
      <c r="GB54" s="839"/>
      <c r="GC54" s="839"/>
      <c r="GD54" s="839"/>
      <c r="GE54" s="839"/>
      <c r="GF54" s="839"/>
      <c r="GG54" s="839"/>
      <c r="GH54" s="839"/>
      <c r="GI54" s="839"/>
      <c r="GJ54" s="839"/>
      <c r="GK54" s="839"/>
      <c r="GL54" s="839"/>
      <c r="GM54" s="839"/>
      <c r="GN54" s="839"/>
      <c r="GO54" s="839"/>
      <c r="GP54" s="839"/>
      <c r="GQ54" s="839"/>
      <c r="GR54" s="839"/>
      <c r="GS54" s="839"/>
      <c r="GT54" s="839"/>
      <c r="GU54" s="839"/>
      <c r="GV54" s="839"/>
      <c r="GW54" s="839"/>
      <c r="GX54" s="839"/>
      <c r="GY54" s="839"/>
      <c r="GZ54" s="839"/>
      <c r="HA54" s="839"/>
      <c r="HB54" s="839"/>
      <c r="HC54" s="839"/>
      <c r="HD54" s="839"/>
      <c r="HE54" s="839"/>
      <c r="HF54" s="839"/>
      <c r="HG54" s="839"/>
      <c r="HH54" s="839"/>
      <c r="HI54" s="839"/>
      <c r="HJ54" s="839"/>
      <c r="HK54" s="839"/>
      <c r="HL54" s="839"/>
      <c r="HM54" s="839"/>
      <c r="HN54" s="839"/>
      <c r="HO54" s="839"/>
      <c r="HP54" s="839"/>
      <c r="HQ54" s="839"/>
      <c r="HR54" s="839"/>
      <c r="HS54" s="839"/>
      <c r="HT54" s="839"/>
      <c r="HU54" s="839"/>
      <c r="HV54" s="839"/>
      <c r="HW54" s="839"/>
      <c r="HX54" s="839"/>
      <c r="HY54" s="839"/>
      <c r="HZ54" s="839"/>
      <c r="IA54" s="839"/>
      <c r="IB54" s="839"/>
      <c r="IC54" s="839"/>
      <c r="ID54" s="839"/>
      <c r="IE54" s="839"/>
      <c r="IF54" s="839"/>
      <c r="IG54" s="839"/>
      <c r="IH54" s="839"/>
      <c r="II54" s="839"/>
      <c r="IJ54" s="839"/>
      <c r="IK54" s="839"/>
      <c r="IL54" s="839"/>
      <c r="IM54" s="839"/>
      <c r="IN54" s="839"/>
      <c r="IO54" s="839"/>
      <c r="IP54" s="839"/>
      <c r="IQ54" s="839"/>
      <c r="IR54" s="839"/>
      <c r="IS54" s="839"/>
      <c r="IT54" s="839"/>
      <c r="IU54" s="839"/>
      <c r="IV54" s="839"/>
      <c r="IW54" s="839"/>
      <c r="IX54" s="839"/>
      <c r="IY54" s="839"/>
      <c r="IZ54" s="839"/>
      <c r="JA54" s="839"/>
      <c r="JB54" s="839"/>
      <c r="JC54" s="839"/>
      <c r="JD54" s="839"/>
      <c r="JE54" s="839"/>
      <c r="JF54" s="839"/>
      <c r="JG54" s="839"/>
      <c r="JH54" s="839"/>
      <c r="JI54" s="839"/>
      <c r="JJ54" s="839"/>
      <c r="JK54" s="839"/>
      <c r="JL54" s="839"/>
      <c r="JM54"/>
    </row>
    <row r="55" spans="1:273" s="332" customFormat="1">
      <c r="B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360"/>
      <c r="BJ55" s="293"/>
      <c r="BK55" s="293"/>
      <c r="BL55" s="293"/>
      <c r="BM55" s="360"/>
      <c r="BN55" s="293"/>
      <c r="BO55" s="293"/>
      <c r="BP55" s="293"/>
      <c r="BQ55" s="360"/>
      <c r="BR55" s="293"/>
      <c r="BS55" s="293"/>
      <c r="BT55" s="293"/>
      <c r="BU55" s="360"/>
      <c r="BV55" s="293"/>
      <c r="BW55" s="293"/>
      <c r="BX55" s="293"/>
      <c r="BY55" s="293"/>
      <c r="BZ55" s="293"/>
      <c r="CA55" s="293"/>
      <c r="CB55" s="293"/>
      <c r="CC55" s="293"/>
      <c r="CD55" s="293"/>
      <c r="CE55" s="331"/>
      <c r="CF55" s="293"/>
      <c r="CG55" s="293"/>
      <c r="CH55" s="293"/>
      <c r="CI55" s="331"/>
      <c r="CJ55" s="293"/>
      <c r="CK55" s="293"/>
      <c r="CL55" s="293"/>
      <c r="CM55" s="331"/>
      <c r="CN55" s="293"/>
      <c r="CO55" s="293"/>
      <c r="CP55" s="293"/>
      <c r="CQ55" s="331"/>
      <c r="CR55" s="293"/>
      <c r="CS55" s="293"/>
      <c r="CT55" s="293"/>
      <c r="CU55" s="293"/>
      <c r="CV55" s="293"/>
      <c r="CW55" s="293"/>
      <c r="CX55" s="293"/>
      <c r="CY55" s="293"/>
      <c r="CZ55" s="293"/>
      <c r="DA55" s="293"/>
      <c r="DB55" s="293"/>
      <c r="DC55" s="293"/>
      <c r="DD55" s="293"/>
      <c r="DE55" s="293"/>
      <c r="DF55" s="293"/>
      <c r="DG55" s="293"/>
      <c r="DH55" s="293"/>
      <c r="DI55" s="293"/>
      <c r="DJ55" s="293"/>
      <c r="DK55" s="293"/>
      <c r="DL55" s="293"/>
      <c r="DM55" s="293"/>
      <c r="DN55" s="293"/>
      <c r="DO55" s="293"/>
      <c r="DP55" s="293"/>
      <c r="DQ55" s="293"/>
      <c r="DR55" s="293"/>
      <c r="DS55" s="293"/>
      <c r="DT55" s="293"/>
      <c r="DU55" s="293"/>
      <c r="DV55" s="293"/>
      <c r="DW55" s="293"/>
      <c r="DX55" s="293"/>
      <c r="DY55" s="293"/>
      <c r="DZ55" s="293"/>
      <c r="EA55" s="293"/>
      <c r="EB55" s="293"/>
      <c r="EC55" s="293"/>
      <c r="ED55" s="293"/>
      <c r="EE55" s="293"/>
      <c r="EF55" s="293"/>
      <c r="EG55" s="293"/>
      <c r="EH55" s="293"/>
      <c r="EI55" s="293"/>
      <c r="EJ55" s="293"/>
      <c r="EK55" s="293"/>
      <c r="EL55" s="293"/>
      <c r="EM55" s="293"/>
      <c r="EN55" s="293"/>
      <c r="EO55" s="293"/>
      <c r="EP55" s="293"/>
      <c r="JM55"/>
    </row>
    <row r="56" spans="1:273" s="834" customFormat="1">
      <c r="A56" s="832" t="s">
        <v>912</v>
      </c>
      <c r="B56" s="833"/>
      <c r="AN56" s="833"/>
      <c r="AO56" s="833"/>
      <c r="AP56" s="833"/>
      <c r="AQ56" s="833"/>
      <c r="AR56" s="833"/>
      <c r="AS56" s="833"/>
      <c r="AT56" s="833"/>
      <c r="AU56" s="833"/>
      <c r="AV56" s="833"/>
      <c r="AW56" s="833"/>
      <c r="AX56" s="833"/>
      <c r="AY56" s="833"/>
      <c r="AZ56" s="833"/>
      <c r="BA56" s="833"/>
      <c r="BB56" s="833"/>
      <c r="BC56" s="833"/>
      <c r="BD56" s="840"/>
      <c r="BE56" s="840"/>
      <c r="BF56" s="833"/>
      <c r="BG56" s="833"/>
      <c r="BH56" s="840"/>
      <c r="BI56" s="833"/>
      <c r="BJ56" s="833"/>
      <c r="BK56" s="833"/>
      <c r="BL56" s="833"/>
      <c r="BM56" s="833"/>
      <c r="BN56" s="833"/>
      <c r="BO56" s="833"/>
      <c r="BP56" s="833"/>
      <c r="BQ56" s="833"/>
      <c r="BR56" s="833"/>
      <c r="BS56" s="833"/>
      <c r="BT56" s="833"/>
      <c r="BU56" s="833"/>
      <c r="BV56" s="833"/>
      <c r="BW56" s="833"/>
      <c r="BX56" s="833"/>
      <c r="BY56" s="833"/>
      <c r="BZ56" s="833"/>
      <c r="CA56" s="833"/>
      <c r="CB56" s="833"/>
      <c r="CC56" s="833"/>
      <c r="CD56" s="833"/>
      <c r="CE56" s="1607"/>
      <c r="CF56" s="833"/>
      <c r="CG56" s="833"/>
      <c r="CH56" s="833"/>
      <c r="CI56" s="1607"/>
      <c r="CJ56" s="833"/>
      <c r="CK56" s="833"/>
      <c r="CL56" s="833"/>
      <c r="CM56" s="1607"/>
      <c r="CN56" s="833"/>
      <c r="CO56" s="833"/>
      <c r="CP56" s="833"/>
      <c r="CQ56" s="1607"/>
      <c r="CR56" s="833"/>
      <c r="CS56" s="833"/>
      <c r="CT56" s="833"/>
      <c r="CU56" s="833"/>
      <c r="CV56" s="833"/>
      <c r="CW56" s="833"/>
      <c r="CX56" s="833"/>
      <c r="CY56" s="833"/>
      <c r="CZ56" s="833"/>
      <c r="DA56" s="833"/>
      <c r="DB56" s="833"/>
      <c r="DC56" s="833"/>
      <c r="DD56" s="833"/>
      <c r="DE56" s="833"/>
      <c r="DF56" s="833"/>
      <c r="DG56" s="833"/>
      <c r="DH56" s="833"/>
      <c r="DI56" s="833"/>
      <c r="DJ56" s="833"/>
      <c r="DK56" s="833"/>
      <c r="DL56" s="833"/>
      <c r="DM56" s="833"/>
      <c r="DN56" s="833"/>
      <c r="DO56" s="833"/>
      <c r="DP56" s="833"/>
      <c r="DQ56" s="833"/>
      <c r="DR56" s="833"/>
      <c r="DS56" s="833"/>
      <c r="DT56" s="833"/>
      <c r="DU56" s="833"/>
      <c r="DV56" s="833"/>
      <c r="DW56" s="833"/>
      <c r="DX56" s="833"/>
      <c r="DY56" s="833"/>
      <c r="DZ56" s="833"/>
      <c r="EA56" s="833"/>
      <c r="EB56" s="833"/>
      <c r="EC56" s="833"/>
      <c r="ED56" s="833"/>
      <c r="EE56" s="833"/>
      <c r="EF56" s="833"/>
      <c r="EG56" s="833"/>
      <c r="EH56" s="833"/>
      <c r="EI56" s="833"/>
      <c r="EJ56" s="833"/>
      <c r="EK56" s="833"/>
      <c r="EL56" s="833"/>
      <c r="EM56" s="833"/>
      <c r="EN56" s="833"/>
      <c r="EO56" s="833"/>
      <c r="EP56" s="833"/>
      <c r="FL56" s="102"/>
      <c r="FM56" s="102"/>
      <c r="FN56" s="102"/>
      <c r="FO56" s="102"/>
      <c r="FP56" s="102"/>
      <c r="FQ56" s="102"/>
      <c r="FR56" s="102"/>
      <c r="FS56" s="102"/>
      <c r="FT56" s="102"/>
      <c r="FU56" s="102"/>
      <c r="FV56" s="102"/>
      <c r="FW56" s="102"/>
      <c r="FX56" s="102"/>
      <c r="FY56" s="102"/>
      <c r="FZ56" s="102"/>
      <c r="GA56" s="102"/>
      <c r="GB56" s="102"/>
      <c r="GC56" s="102"/>
      <c r="GD56" s="102"/>
      <c r="GE56" s="102"/>
      <c r="GF56" s="102"/>
      <c r="GG56" s="102"/>
      <c r="GH56" s="102"/>
      <c r="GI56" s="102"/>
      <c r="GJ56" s="102"/>
      <c r="GK56" s="102"/>
      <c r="GL56" s="102"/>
      <c r="GM56" s="102"/>
      <c r="GN56" s="102"/>
      <c r="GO56" s="102"/>
      <c r="GP56" s="102"/>
      <c r="GQ56" s="102"/>
      <c r="GR56" s="102"/>
      <c r="GS56" s="102"/>
      <c r="GT56" s="102"/>
      <c r="GU56" s="102"/>
      <c r="GV56" s="102"/>
      <c r="GW56" s="102"/>
      <c r="GX56" s="102"/>
      <c r="GY56" s="102"/>
      <c r="GZ56" s="102"/>
      <c r="HA56" s="102"/>
      <c r="HB56" s="102"/>
      <c r="HC56" s="102"/>
      <c r="HD56" s="102"/>
      <c r="HE56" s="102"/>
      <c r="HF56" s="102"/>
      <c r="HG56" s="102"/>
      <c r="HH56" s="102"/>
      <c r="HI56" s="102"/>
      <c r="HJ56" s="102"/>
      <c r="HK56" s="102"/>
      <c r="HL56" s="102"/>
      <c r="HM56" s="102"/>
      <c r="HN56" s="102"/>
      <c r="HO56" s="102"/>
      <c r="HP56" s="102"/>
      <c r="HQ56" s="102"/>
      <c r="HR56" s="102"/>
      <c r="HS56" s="102"/>
      <c r="HT56" s="102"/>
      <c r="HU56" s="102"/>
      <c r="HV56" s="102"/>
      <c r="HW56" s="102"/>
      <c r="HX56" s="102"/>
      <c r="HY56" s="102"/>
      <c r="HZ56" s="102"/>
      <c r="IA56" s="102"/>
      <c r="IB56" s="102"/>
      <c r="IC56" s="102"/>
      <c r="ID56" s="102"/>
      <c r="IE56" s="102"/>
      <c r="IF56" s="102"/>
      <c r="IG56" s="102"/>
      <c r="IH56" s="102"/>
      <c r="II56" s="102"/>
      <c r="IJ56" s="102"/>
      <c r="IK56" s="102"/>
      <c r="IL56" s="102"/>
      <c r="IM56" s="102"/>
      <c r="IN56" s="102"/>
      <c r="IO56" s="102"/>
      <c r="IP56" s="102"/>
      <c r="IQ56" s="102"/>
      <c r="IR56" s="102"/>
      <c r="IS56" s="102"/>
      <c r="IT56" s="102"/>
      <c r="IU56" s="102"/>
      <c r="IV56" s="102"/>
      <c r="IW56" s="102"/>
      <c r="IX56" s="102"/>
      <c r="IY56" s="102"/>
      <c r="IZ56" s="102"/>
      <c r="JA56" s="102"/>
      <c r="JB56" s="102"/>
      <c r="JC56" s="102"/>
      <c r="JD56" s="102"/>
      <c r="JE56" s="102"/>
      <c r="JF56" s="102"/>
      <c r="JG56" s="102"/>
      <c r="JH56" s="102"/>
      <c r="JI56" s="102"/>
      <c r="JJ56" s="102"/>
      <c r="JK56" s="102"/>
      <c r="JL56" s="102"/>
      <c r="JM56"/>
    </row>
    <row r="57" spans="1:273">
      <c r="A57" s="289"/>
      <c r="BD57" s="293"/>
      <c r="BE57" s="293"/>
      <c r="BH57" s="293"/>
    </row>
    <row r="58" spans="1:273">
      <c r="A58" s="102" t="s">
        <v>598</v>
      </c>
      <c r="AN58" s="293">
        <f>AN9</f>
        <v>523</v>
      </c>
      <c r="AO58" s="293">
        <f>AO9</f>
        <v>294</v>
      </c>
      <c r="AP58" s="293">
        <f>AP9</f>
        <v>817</v>
      </c>
      <c r="AR58" s="293">
        <f>AR9</f>
        <v>520</v>
      </c>
      <c r="AS58" s="293">
        <f>AS9</f>
        <v>418</v>
      </c>
      <c r="AT58" s="293">
        <f>AT9</f>
        <v>938</v>
      </c>
      <c r="AV58" s="293">
        <f>AV9</f>
        <v>425</v>
      </c>
      <c r="AW58" s="293">
        <f>AW9</f>
        <v>655</v>
      </c>
      <c r="AX58" s="293">
        <f>AX9</f>
        <v>1080</v>
      </c>
      <c r="AZ58" s="293">
        <f>AZ9</f>
        <v>605</v>
      </c>
      <c r="BA58" s="293">
        <f>BA9</f>
        <v>670</v>
      </c>
      <c r="BB58" s="293">
        <f>BB9</f>
        <v>1275</v>
      </c>
      <c r="BD58" s="293">
        <f>BD9</f>
        <v>698</v>
      </c>
      <c r="BE58" s="293">
        <f>BE9</f>
        <v>635</v>
      </c>
      <c r="BF58" s="293">
        <f>BF9</f>
        <v>1333</v>
      </c>
      <c r="BH58" s="293">
        <f>BH9</f>
        <v>644</v>
      </c>
      <c r="BI58" s="293">
        <f>BI9</f>
        <v>723</v>
      </c>
      <c r="BJ58" s="293">
        <f>BJ9</f>
        <v>1367</v>
      </c>
      <c r="BL58" s="293">
        <f>BL9</f>
        <v>860</v>
      </c>
      <c r="BM58" s="293">
        <f>BM9</f>
        <v>845</v>
      </c>
      <c r="BN58" s="293">
        <f>BN9</f>
        <v>1705</v>
      </c>
      <c r="BP58" s="293">
        <f>BP9</f>
        <v>956</v>
      </c>
      <c r="BQ58" s="293">
        <f>BQ9</f>
        <v>1136</v>
      </c>
      <c r="BR58" s="293">
        <f>BR9</f>
        <v>2092</v>
      </c>
      <c r="BT58" s="293">
        <f>BT9</f>
        <v>1165</v>
      </c>
      <c r="BU58" s="293">
        <f>BU9</f>
        <v>1114</v>
      </c>
      <c r="BV58" s="293">
        <f>BV9</f>
        <v>2279</v>
      </c>
      <c r="BX58" s="293">
        <f>BX9</f>
        <v>1098</v>
      </c>
      <c r="BY58" s="293">
        <f>BY9</f>
        <v>1087</v>
      </c>
      <c r="BZ58" s="293">
        <f>BZ9</f>
        <v>2185</v>
      </c>
      <c r="CB58" s="293">
        <f>CB9</f>
        <v>1011</v>
      </c>
      <c r="CC58" s="293">
        <f>CC9</f>
        <v>975</v>
      </c>
      <c r="CD58" s="293">
        <f>CD9</f>
        <v>1986</v>
      </c>
      <c r="CF58" s="293">
        <f>CF9</f>
        <v>998</v>
      </c>
      <c r="CG58" s="293">
        <f>CG9</f>
        <v>762</v>
      </c>
      <c r="CH58" s="293">
        <f>CH9</f>
        <v>1760</v>
      </c>
      <c r="CJ58" s="293">
        <f>CJ9</f>
        <v>790</v>
      </c>
      <c r="CK58" s="293">
        <f>CK9</f>
        <v>1069</v>
      </c>
      <c r="CL58" s="293">
        <f>CL9</f>
        <v>1859</v>
      </c>
      <c r="CN58" s="293">
        <f>CN9</f>
        <v>1033</v>
      </c>
      <c r="CO58" s="293">
        <f>CO9</f>
        <v>1162</v>
      </c>
      <c r="CP58" s="293">
        <f>CP9</f>
        <v>2195</v>
      </c>
      <c r="CR58" s="293">
        <f>CR9</f>
        <v>1373</v>
      </c>
      <c r="CS58" s="293">
        <f>CS9</f>
        <v>1487</v>
      </c>
      <c r="CT58" s="293">
        <f>CT9</f>
        <v>2860</v>
      </c>
      <c r="CV58" s="293">
        <f>CV9</f>
        <v>1431</v>
      </c>
      <c r="CW58" s="293">
        <f>CW9</f>
        <v>1597</v>
      </c>
      <c r="CX58" s="293">
        <f>CX9</f>
        <v>3028</v>
      </c>
      <c r="CY58" s="487">
        <f>+CX58-CW58-CV58</f>
        <v>0</v>
      </c>
      <c r="CZ58" s="293">
        <f>CZ9</f>
        <v>1633</v>
      </c>
      <c r="DA58" s="293">
        <f>DA9</f>
        <v>1826</v>
      </c>
      <c r="DB58" s="293">
        <f>DB9</f>
        <v>3459</v>
      </c>
      <c r="DC58" s="730"/>
      <c r="DD58" s="293">
        <f>DD9</f>
        <v>1669</v>
      </c>
      <c r="DE58" s="293">
        <f>DE9</f>
        <v>1838</v>
      </c>
      <c r="DF58" s="293">
        <f>DF9</f>
        <v>3507</v>
      </c>
      <c r="DH58" s="293">
        <f>DH9</f>
        <v>2066</v>
      </c>
      <c r="DI58" s="1552">
        <f>DIVISIONS!DI114+DIVISIONS!DI230+DIVISIONS!DI342+DIVISIONS!DI544+DIVISIONS!DI710</f>
        <v>1961.8562328900316</v>
      </c>
      <c r="DJ58" s="293">
        <f>SUM(DH58:DI58)</f>
        <v>4027.8562328900316</v>
      </c>
      <c r="DL58" s="1552">
        <f>DIVISIONS!DL114+DIVISIONS!DL230+DIVISIONS!DL342+DIVISIONS!DL544+DIVISIONS!DL710</f>
        <v>2105.8243482422477</v>
      </c>
      <c r="DM58" s="1552">
        <f>DIVISIONS!DM114+DIVISIONS!DM230+DIVISIONS!DM342+DIVISIONS!DM544+DIVISIONS!DM710</f>
        <v>2193.0643408970232</v>
      </c>
      <c r="DN58" s="293">
        <f>SUM(DL58:DM58)</f>
        <v>4298.8886891392704</v>
      </c>
      <c r="DO58" s="293"/>
      <c r="DP58" s="1552">
        <f>DIVISIONS!DP114+DIVISIONS!DP230+DIVISIONS!DP342+DIVISIONS!DP544+DIVISIONS!DP710</f>
        <v>2269.6231916062784</v>
      </c>
      <c r="DQ58" s="1552">
        <f>DIVISIONS!DQ114+DIVISIONS!DQ230+DIVISIONS!DQ342+DIVISIONS!DQ544+DIVISIONS!DQ710</f>
        <v>2350.5513257509156</v>
      </c>
      <c r="DR58" s="293">
        <f>SUM(DP58:DQ58)</f>
        <v>4620.1745173571944</v>
      </c>
      <c r="DS58" s="293"/>
    </row>
    <row r="59" spans="1:273">
      <c r="A59" s="102" t="s">
        <v>592</v>
      </c>
      <c r="AN59" s="293">
        <f>AN16</f>
        <v>843</v>
      </c>
      <c r="AO59" s="293">
        <f>AO16</f>
        <v>992</v>
      </c>
      <c r="AP59" s="293">
        <f>AP16</f>
        <v>1835</v>
      </c>
      <c r="AR59" s="293">
        <f>AR16</f>
        <v>722</v>
      </c>
      <c r="AS59" s="293">
        <f>AS16</f>
        <v>435</v>
      </c>
      <c r="AT59" s="293">
        <f>AT16</f>
        <v>1157</v>
      </c>
      <c r="AV59" s="293">
        <f>AV16</f>
        <v>633</v>
      </c>
      <c r="AW59" s="293">
        <f>AW16</f>
        <v>666</v>
      </c>
      <c r="AX59" s="293">
        <f>AX16</f>
        <v>1299</v>
      </c>
      <c r="AZ59" s="293">
        <f>AZ16</f>
        <v>606</v>
      </c>
      <c r="BA59" s="293">
        <f>BA16</f>
        <v>762</v>
      </c>
      <c r="BB59" s="293">
        <f>BB16</f>
        <v>1368</v>
      </c>
      <c r="BD59" s="293">
        <f>BD16</f>
        <v>374</v>
      </c>
      <c r="BE59" s="293">
        <f>BE16</f>
        <v>661</v>
      </c>
      <c r="BF59" s="293">
        <f>BF16</f>
        <v>1035</v>
      </c>
      <c r="BH59" s="293">
        <f>BH16</f>
        <v>555</v>
      </c>
      <c r="BI59" s="293">
        <f>BI16</f>
        <v>679</v>
      </c>
      <c r="BJ59" s="293">
        <f>BJ16</f>
        <v>1234</v>
      </c>
      <c r="BL59" s="293">
        <f>BL16</f>
        <v>591</v>
      </c>
      <c r="BM59" s="293">
        <f>BM16</f>
        <v>979</v>
      </c>
      <c r="BN59" s="293">
        <f>BN16</f>
        <v>1570</v>
      </c>
      <c r="BP59" s="293">
        <f>BP16</f>
        <v>687</v>
      </c>
      <c r="BQ59" s="293">
        <f>BQ16</f>
        <v>1040</v>
      </c>
      <c r="BR59" s="293">
        <f>BR16</f>
        <v>1727</v>
      </c>
      <c r="BT59" s="293">
        <f>BT16</f>
        <v>1108</v>
      </c>
      <c r="BU59" s="293">
        <f>BU16</f>
        <v>959</v>
      </c>
      <c r="BV59" s="293">
        <f>BV16</f>
        <v>2067</v>
      </c>
      <c r="BX59" s="293">
        <f>BX16</f>
        <v>776</v>
      </c>
      <c r="BY59" s="293">
        <f>BY16</f>
        <v>982</v>
      </c>
      <c r="BZ59" s="293">
        <f>BZ16</f>
        <v>1758</v>
      </c>
      <c r="CB59" s="293">
        <f>CB16</f>
        <v>881</v>
      </c>
      <c r="CC59" s="293">
        <f>CC16</f>
        <v>1076</v>
      </c>
      <c r="CD59" s="293">
        <f>CD16</f>
        <v>1957</v>
      </c>
      <c r="CF59" s="293">
        <f>CF16</f>
        <v>1231</v>
      </c>
      <c r="CG59" s="293">
        <f>CG16</f>
        <v>1560</v>
      </c>
      <c r="CH59" s="293">
        <f>CH16</f>
        <v>2791</v>
      </c>
      <c r="CI59" s="331">
        <v>2791</v>
      </c>
      <c r="CJ59" s="293">
        <f>CJ16</f>
        <v>1627</v>
      </c>
      <c r="CK59" s="293">
        <f>CK16</f>
        <v>1234</v>
      </c>
      <c r="CL59" s="293">
        <f>CL16</f>
        <v>2861</v>
      </c>
      <c r="CN59" s="293">
        <f>CN16</f>
        <v>1487</v>
      </c>
      <c r="CO59" s="293">
        <f>CO16</f>
        <v>1995</v>
      </c>
      <c r="CP59" s="293">
        <f>CP16</f>
        <v>3482</v>
      </c>
      <c r="CR59" s="293">
        <f>CR16</f>
        <v>1659</v>
      </c>
      <c r="CS59" s="293">
        <f>CS16</f>
        <v>2337</v>
      </c>
      <c r="CT59" s="293">
        <f>CT16</f>
        <v>3996</v>
      </c>
      <c r="CV59" s="293">
        <f>CV16</f>
        <v>2817</v>
      </c>
      <c r="CW59" s="293">
        <f>CW16</f>
        <v>4756</v>
      </c>
      <c r="CX59" s="293">
        <f>CX16</f>
        <v>7573</v>
      </c>
      <c r="CY59" s="487">
        <f>+CX59-CW59-CV59</f>
        <v>0</v>
      </c>
      <c r="CZ59" s="293">
        <f>CZ16</f>
        <v>2612</v>
      </c>
      <c r="DA59" s="293">
        <f>DA16</f>
        <v>2836</v>
      </c>
      <c r="DB59" s="293">
        <f>DB16</f>
        <v>5448</v>
      </c>
      <c r="DC59" s="730"/>
      <c r="DD59" s="293">
        <f>DD16</f>
        <v>2460</v>
      </c>
      <c r="DE59" s="293">
        <f>DE16</f>
        <v>2910</v>
      </c>
      <c r="DF59" s="293">
        <f>DF16</f>
        <v>5370</v>
      </c>
      <c r="DH59" s="293">
        <f>DH16</f>
        <v>2445</v>
      </c>
      <c r="DI59" s="293">
        <f>DIVISIONS!DI116+DIVISIONS!DI232+DIVISIONS!DI344+DIVISIONS!DI546+DIVISIONS!DI712</f>
        <v>3280.9700000000003</v>
      </c>
      <c r="DJ59" s="293">
        <f>SUM(DH59:DI59)</f>
        <v>5725.97</v>
      </c>
      <c r="DL59" s="293">
        <f>DIVISIONS!DL116+DIVISIONS!DL232+DIVISIONS!DL344+DIVISIONS!DL546+DIVISIONS!DL712</f>
        <v>2623.5912999999996</v>
      </c>
      <c r="DM59" s="293">
        <f>DIVISIONS!DM116+DIVISIONS!DM232+DIVISIONS!DM344+DIVISIONS!DM546+DIVISIONS!DM712</f>
        <v>3347.8119890000003</v>
      </c>
      <c r="DN59" s="293">
        <f>SUM(DL59:DM59)</f>
        <v>5971.4032889999999</v>
      </c>
      <c r="DO59" s="293"/>
      <c r="DP59" s="293">
        <f>DIVISIONS!DP116+DIVISIONS!DP232+DIVISIONS!DP344+DIVISIONS!DP546+DIVISIONS!DP712</f>
        <v>2678.5929496700001</v>
      </c>
      <c r="DQ59" s="293">
        <f>DIVISIONS!DQ116+DIVISIONS!DQ232+DIVISIONS!DQ344+DIVISIONS!DQ546+DIVISIONS!DQ712</f>
        <v>3425.7311526600997</v>
      </c>
      <c r="DR59" s="293">
        <f>SUM(DP59:DQ59)</f>
        <v>6104.3241023300998</v>
      </c>
      <c r="DS59" s="293"/>
    </row>
    <row r="60" spans="1:273">
      <c r="A60" s="289" t="s">
        <v>912</v>
      </c>
      <c r="AN60" s="295">
        <f>SUM(AN58:AN59)</f>
        <v>1366</v>
      </c>
      <c r="AO60" s="295">
        <f>SUM(AO58:AO59)</f>
        <v>1286</v>
      </c>
      <c r="AP60" s="295">
        <f>SUM(AP58:AP59)</f>
        <v>2652</v>
      </c>
      <c r="AR60" s="295">
        <f>SUM(AR58:AR59)</f>
        <v>1242</v>
      </c>
      <c r="AS60" s="295">
        <f>SUM(AS58:AS59)</f>
        <v>853</v>
      </c>
      <c r="AT60" s="295">
        <f>SUM(AT58:AT59)</f>
        <v>2095</v>
      </c>
      <c r="AV60" s="295">
        <f>SUM(AV58:AV59)</f>
        <v>1058</v>
      </c>
      <c r="AW60" s="295">
        <f>SUM(AW58:AW59)</f>
        <v>1321</v>
      </c>
      <c r="AX60" s="295">
        <f>SUM(AX58:AX59)</f>
        <v>2379</v>
      </c>
      <c r="AZ60" s="295">
        <f>SUM(AZ58:AZ59)</f>
        <v>1211</v>
      </c>
      <c r="BA60" s="295">
        <f>SUM(BA58:BA59)</f>
        <v>1432</v>
      </c>
      <c r="BB60" s="295">
        <f>SUM(BB58:BB59)</f>
        <v>2643</v>
      </c>
      <c r="BD60" s="295">
        <f>SUM(BD58:BD59)</f>
        <v>1072</v>
      </c>
      <c r="BE60" s="295">
        <f>SUM(BE58:BE59)</f>
        <v>1296</v>
      </c>
      <c r="BF60" s="295">
        <f>SUM(BF58:BF59)</f>
        <v>2368</v>
      </c>
      <c r="BH60" s="295">
        <f>SUM(BH58:BH59)</f>
        <v>1199</v>
      </c>
      <c r="BI60" s="295">
        <f>SUM(BI58:BI59)</f>
        <v>1402</v>
      </c>
      <c r="BJ60" s="295">
        <f>SUM(BJ58:BJ59)</f>
        <v>2601</v>
      </c>
      <c r="BL60" s="295">
        <f>SUM(BL58:BL59)</f>
        <v>1451</v>
      </c>
      <c r="BM60" s="295">
        <f>SUM(BM58:BM59)</f>
        <v>1824</v>
      </c>
      <c r="BN60" s="295">
        <f>SUM(BN58:BN59)</f>
        <v>3275</v>
      </c>
      <c r="BP60" s="295">
        <f>SUM(BP58:BP59)</f>
        <v>1643</v>
      </c>
      <c r="BQ60" s="295">
        <f>SUM(BQ58:BQ59)</f>
        <v>2176</v>
      </c>
      <c r="BR60" s="295">
        <f>SUM(BR58:BR59)</f>
        <v>3819</v>
      </c>
      <c r="BT60" s="295">
        <f>SUM(BT58:BT59)</f>
        <v>2273</v>
      </c>
      <c r="BU60" s="295">
        <f>SUM(BU58:BU59)</f>
        <v>2073</v>
      </c>
      <c r="BV60" s="295">
        <f>SUM(BV58:BV59)</f>
        <v>4346</v>
      </c>
      <c r="BX60" s="295">
        <f>SUM(BX58:BX59)</f>
        <v>1874</v>
      </c>
      <c r="BY60" s="295">
        <f>SUM(BY58:BY59)</f>
        <v>2069</v>
      </c>
      <c r="BZ60" s="295">
        <f>SUM(BZ58:BZ59)</f>
        <v>3943</v>
      </c>
      <c r="CB60" s="295">
        <f>SUM(CB58:CB59)</f>
        <v>1892</v>
      </c>
      <c r="CC60" s="295">
        <f>SUM(CC58:CC59)</f>
        <v>2051</v>
      </c>
      <c r="CD60" s="295">
        <f>SUM(CD58:CD59)</f>
        <v>3943</v>
      </c>
      <c r="CF60" s="295">
        <f>SUM(CF58:CF59)</f>
        <v>2229</v>
      </c>
      <c r="CG60" s="295">
        <f>SUM(CG58:CG59)</f>
        <v>2322</v>
      </c>
      <c r="CH60" s="295">
        <f>SUM(CH58:CH59)</f>
        <v>4551</v>
      </c>
      <c r="CJ60" s="295">
        <f>SUM(CJ58:CJ59)</f>
        <v>2417</v>
      </c>
      <c r="CK60" s="295">
        <f>SUM(CK58:CK59)</f>
        <v>2303</v>
      </c>
      <c r="CL60" s="295">
        <f>SUM(CL58:CL59)</f>
        <v>4720</v>
      </c>
      <c r="CN60" s="295">
        <f>SUM(CN58:CN59)</f>
        <v>2520</v>
      </c>
      <c r="CO60" s="295">
        <f>SUM(CO58:CO59)</f>
        <v>3157</v>
      </c>
      <c r="CP60" s="295">
        <f>SUM(CP58:CP59)</f>
        <v>5677</v>
      </c>
      <c r="CR60" s="295">
        <f>SUM(CR58:CR59)</f>
        <v>3032</v>
      </c>
      <c r="CS60" s="295">
        <f>SUM(CS58:CS59)</f>
        <v>3824</v>
      </c>
      <c r="CT60" s="295">
        <f>SUM(CT58:CT59)</f>
        <v>6856</v>
      </c>
      <c r="CV60" s="295">
        <f>SUM(CV58:CV59)</f>
        <v>4248</v>
      </c>
      <c r="CW60" s="295">
        <f>SUM(CW58:CW59)</f>
        <v>6353</v>
      </c>
      <c r="CX60" s="295">
        <f>SUM(CX58:CX59)</f>
        <v>10601</v>
      </c>
      <c r="CY60" s="487">
        <f>+CX60-CW60-CV60</f>
        <v>0</v>
      </c>
      <c r="CZ60" s="295">
        <f>SUM(CZ58:CZ59)</f>
        <v>4245</v>
      </c>
      <c r="DA60" s="295">
        <f>SUM(DA58:DA59)</f>
        <v>4662</v>
      </c>
      <c r="DB60" s="295">
        <f>SUM(DB58:DB59)</f>
        <v>8907</v>
      </c>
      <c r="DC60" s="674"/>
      <c r="DD60" s="295">
        <f>SUM(DD58:DD59)</f>
        <v>4129</v>
      </c>
      <c r="DE60" s="295">
        <f>SUM(DE58:DE59)</f>
        <v>4748</v>
      </c>
      <c r="DF60" s="295">
        <f>SUM(DF58:DF59)</f>
        <v>8877</v>
      </c>
      <c r="DH60" s="295">
        <f>SUM(DH58:DH59)</f>
        <v>4511</v>
      </c>
      <c r="DI60" s="295">
        <f>DI81</f>
        <v>5242.826232890031</v>
      </c>
      <c r="DJ60" s="295">
        <f>SUM(DH60:DI60)</f>
        <v>9753.826232890031</v>
      </c>
      <c r="DL60" s="295">
        <f>DL81</f>
        <v>4729.4156482422477</v>
      </c>
      <c r="DM60" s="295">
        <f>DM81</f>
        <v>5540.8763298970234</v>
      </c>
      <c r="DN60" s="295">
        <f>SUM(DL60:DM60)</f>
        <v>10270.29197813927</v>
      </c>
      <c r="DO60" s="295"/>
      <c r="DP60" s="295">
        <f>DP81</f>
        <v>4948.216141276278</v>
      </c>
      <c r="DQ60" s="295">
        <f>DQ81</f>
        <v>5776.2824784110153</v>
      </c>
      <c r="DR60" s="295">
        <f>SUM(DP60:DQ60)</f>
        <v>10724.498619687292</v>
      </c>
      <c r="DS60" s="295"/>
    </row>
    <row r="61" spans="1:273" s="641" customFormat="1">
      <c r="A61" s="786" t="s">
        <v>580</v>
      </c>
      <c r="B61" s="638"/>
      <c r="AN61" s="769">
        <f>+AN9+AN16</f>
        <v>1366</v>
      </c>
      <c r="AO61" s="769">
        <f>+AO9+AO16</f>
        <v>1286</v>
      </c>
      <c r="AP61" s="769">
        <f>+AP9+AP16</f>
        <v>2652</v>
      </c>
      <c r="AQ61" s="638"/>
      <c r="AR61" s="769">
        <f>+AR9+AR16</f>
        <v>1242</v>
      </c>
      <c r="AS61" s="769">
        <f>+AS9+AS16</f>
        <v>853</v>
      </c>
      <c r="AT61" s="769">
        <f>+AT9+AT16</f>
        <v>2095</v>
      </c>
      <c r="AU61" s="638"/>
      <c r="AV61" s="769">
        <f>+AV9+AV16</f>
        <v>1058</v>
      </c>
      <c r="AW61" s="769">
        <f>+AW9+AW16</f>
        <v>1321</v>
      </c>
      <c r="AX61" s="769">
        <f>+AX9+AX16</f>
        <v>2379</v>
      </c>
      <c r="AY61" s="638"/>
      <c r="AZ61" s="769">
        <f>+AZ9+AZ16</f>
        <v>1211</v>
      </c>
      <c r="BA61" s="769">
        <f>+BA9+BA16</f>
        <v>1432</v>
      </c>
      <c r="BB61" s="769">
        <f>+BB9+BB16</f>
        <v>2643</v>
      </c>
      <c r="BC61" s="638"/>
      <c r="BD61" s="769">
        <f>+BD9+BD16</f>
        <v>1072</v>
      </c>
      <c r="BE61" s="769">
        <f>+BE9+BE16</f>
        <v>1296</v>
      </c>
      <c r="BF61" s="769">
        <f>+BF9+BF16</f>
        <v>2368</v>
      </c>
      <c r="BG61" s="638"/>
      <c r="BH61" s="769">
        <f>+BH9+BH16</f>
        <v>1199</v>
      </c>
      <c r="BI61" s="769">
        <f>+BI9+BI16</f>
        <v>1402</v>
      </c>
      <c r="BJ61" s="769">
        <f>+BJ9+BJ16</f>
        <v>2601</v>
      </c>
      <c r="BK61" s="638"/>
      <c r="BL61" s="769">
        <f>+BL9+BL16</f>
        <v>1451</v>
      </c>
      <c r="BM61" s="769">
        <f>+BM9+BM16</f>
        <v>1824</v>
      </c>
      <c r="BN61" s="769">
        <f>+BN9+BN16</f>
        <v>3275</v>
      </c>
      <c r="BO61" s="638"/>
      <c r="BP61" s="769">
        <f>+BP9+BP16</f>
        <v>1643</v>
      </c>
      <c r="BQ61" s="769">
        <f>+BQ9+BQ16</f>
        <v>2176</v>
      </c>
      <c r="BR61" s="769">
        <f>+BR9+BR16</f>
        <v>3819</v>
      </c>
      <c r="BS61" s="638"/>
      <c r="BT61" s="769">
        <f>+BT9+BT16</f>
        <v>2273</v>
      </c>
      <c r="BU61" s="769">
        <f>+BU9+BU16</f>
        <v>2073</v>
      </c>
      <c r="BV61" s="769">
        <f>+BV9+BV16</f>
        <v>4346</v>
      </c>
      <c r="BW61" s="638"/>
      <c r="BX61" s="769">
        <f>+BX9+BX16</f>
        <v>1874</v>
      </c>
      <c r="BY61" s="769">
        <f>+BY9+BY16</f>
        <v>2069</v>
      </c>
      <c r="BZ61" s="769">
        <f>+BZ9+BZ16</f>
        <v>3943</v>
      </c>
      <c r="CA61" s="638"/>
      <c r="CB61" s="769">
        <f>+CB9+CB16</f>
        <v>1892</v>
      </c>
      <c r="CC61" s="769">
        <f>+CC9+CC16</f>
        <v>2051</v>
      </c>
      <c r="CD61" s="769">
        <f>+CD9+CD16</f>
        <v>3943</v>
      </c>
      <c r="CE61" s="787"/>
      <c r="CF61" s="769">
        <f>+CF9+CF16</f>
        <v>2229</v>
      </c>
      <c r="CG61" s="769">
        <f>+CG9+CG16</f>
        <v>2322</v>
      </c>
      <c r="CH61" s="769">
        <f>+CH9+CH16</f>
        <v>4551</v>
      </c>
      <c r="CI61" s="787"/>
      <c r="CJ61" s="769">
        <f>+CJ9+CJ16</f>
        <v>2417</v>
      </c>
      <c r="CK61" s="769">
        <f>+CK9+CK16</f>
        <v>2303</v>
      </c>
      <c r="CL61" s="769">
        <f>+CL9+CL16</f>
        <v>4720</v>
      </c>
      <c r="CM61" s="787"/>
      <c r="CN61" s="769">
        <f>+CN9+CN16</f>
        <v>2520</v>
      </c>
      <c r="CO61" s="769">
        <f>+CO9+CO16</f>
        <v>3157</v>
      </c>
      <c r="CP61" s="769">
        <f>+CP9+CP16</f>
        <v>5677</v>
      </c>
      <c r="CQ61" s="787"/>
      <c r="CR61" s="769">
        <f>+CR9+CR16</f>
        <v>3032</v>
      </c>
      <c r="CS61" s="769">
        <f>+CS9+CS16</f>
        <v>3824</v>
      </c>
      <c r="CT61" s="769">
        <f>+CT9+CT16</f>
        <v>6856</v>
      </c>
      <c r="CU61" s="638"/>
      <c r="CV61" s="769">
        <f>+CV9+CV16</f>
        <v>4248</v>
      </c>
      <c r="CW61" s="769">
        <f>+CW9+CW16</f>
        <v>6353</v>
      </c>
      <c r="CX61" s="769">
        <f>+CX9+CX16</f>
        <v>10601</v>
      </c>
      <c r="CY61" s="487">
        <f>+CX61-CW61-CV61</f>
        <v>0</v>
      </c>
      <c r="CZ61" s="769">
        <f>+CZ9+CZ16</f>
        <v>4245</v>
      </c>
      <c r="DA61" s="769">
        <f>+DA9+DA16</f>
        <v>4662</v>
      </c>
      <c r="DB61" s="769">
        <f>+DB9+DB16</f>
        <v>8907</v>
      </c>
      <c r="DC61" s="638"/>
      <c r="DD61" s="769">
        <f>+DD9+DD16</f>
        <v>4129</v>
      </c>
      <c r="DE61" s="769">
        <f>+DE9+DE16</f>
        <v>4748</v>
      </c>
      <c r="DF61" s="769">
        <f>+DF9+DF16</f>
        <v>8877</v>
      </c>
      <c r="DG61" s="638"/>
      <c r="DH61" s="769">
        <f>+DH9+DH16</f>
        <v>4511</v>
      </c>
      <c r="DI61" s="1555">
        <f t="shared" ref="DI61:DJ61" si="122">+DI58+DI59-DI60</f>
        <v>0</v>
      </c>
      <c r="DJ61" s="1555">
        <f t="shared" si="122"/>
        <v>0</v>
      </c>
      <c r="DK61" s="638"/>
      <c r="DL61" s="1555">
        <f t="shared" ref="DL61:DN61" si="123">+DL58+DL59-DL60</f>
        <v>0</v>
      </c>
      <c r="DM61" s="1555">
        <f t="shared" si="123"/>
        <v>0</v>
      </c>
      <c r="DN61" s="1555">
        <f t="shared" si="123"/>
        <v>0</v>
      </c>
      <c r="DO61" s="638"/>
      <c r="DP61" s="1555">
        <f t="shared" ref="DP61:DR61" si="124">+DP58+DP59-DP60</f>
        <v>0</v>
      </c>
      <c r="DQ61" s="1555">
        <f t="shared" si="124"/>
        <v>0</v>
      </c>
      <c r="DR61" s="1555">
        <f t="shared" si="124"/>
        <v>0</v>
      </c>
      <c r="DS61" s="638"/>
      <c r="DT61" s="638"/>
      <c r="DU61" s="638"/>
      <c r="DV61" s="638"/>
      <c r="DW61" s="638"/>
      <c r="DX61" s="638"/>
      <c r="DY61" s="638"/>
      <c r="DZ61" s="638"/>
      <c r="EA61" s="638"/>
      <c r="EB61" s="638"/>
      <c r="EC61" s="638"/>
      <c r="ED61" s="638"/>
      <c r="EE61" s="638"/>
      <c r="EF61" s="638"/>
      <c r="EG61" s="638"/>
      <c r="EH61" s="638"/>
      <c r="EI61" s="638"/>
      <c r="EJ61" s="638"/>
      <c r="EK61" s="638"/>
      <c r="EL61" s="638"/>
      <c r="EM61" s="638"/>
      <c r="EN61" s="638"/>
      <c r="EO61" s="638"/>
      <c r="EP61" s="638"/>
      <c r="JM61"/>
    </row>
    <row r="62" spans="1:273">
      <c r="A62" s="289"/>
      <c r="BD62" s="293"/>
      <c r="BE62" s="293"/>
      <c r="BH62" s="293"/>
    </row>
    <row r="63" spans="1:273" s="332" customFormat="1">
      <c r="A63" s="332" t="s">
        <v>923</v>
      </c>
      <c r="B63" s="293"/>
      <c r="AN63" s="842"/>
      <c r="AO63" s="842"/>
      <c r="AP63" s="293">
        <f>+AO63+AN63</f>
        <v>0</v>
      </c>
      <c r="AQ63" s="293"/>
      <c r="AR63" s="842"/>
      <c r="AS63" s="842"/>
      <c r="AT63" s="293">
        <f>+AS63+AR63</f>
        <v>0</v>
      </c>
      <c r="AU63" s="293"/>
      <c r="AV63" s="842"/>
      <c r="AW63" s="842"/>
      <c r="AX63" s="293">
        <f>+AW63+AV63</f>
        <v>0</v>
      </c>
      <c r="AY63" s="293"/>
      <c r="AZ63" s="842"/>
      <c r="BA63" s="842"/>
      <c r="BB63" s="293">
        <f>+BA63+AZ63</f>
        <v>0</v>
      </c>
      <c r="BC63" s="293"/>
      <c r="BD63" s="842"/>
      <c r="BE63" s="842"/>
      <c r="BF63" s="293">
        <f>+BE63+BD63</f>
        <v>0</v>
      </c>
      <c r="BG63" s="293"/>
      <c r="BH63" s="626">
        <v>2320</v>
      </c>
      <c r="BI63" s="626">
        <v>2329</v>
      </c>
      <c r="BJ63" s="293">
        <f>+BI63+BH63</f>
        <v>4649</v>
      </c>
      <c r="BK63" s="293"/>
      <c r="BL63" s="626">
        <v>2244</v>
      </c>
      <c r="BM63" s="626">
        <f>4611-BL63</f>
        <v>2367</v>
      </c>
      <c r="BN63" s="293">
        <f>+BM63+BL63</f>
        <v>4611</v>
      </c>
      <c r="BO63" s="293"/>
      <c r="BP63" s="626">
        <v>2396</v>
      </c>
      <c r="BQ63" s="626">
        <f>5009-BP63</f>
        <v>2613</v>
      </c>
      <c r="BR63" s="293">
        <f>+BQ63+BP63</f>
        <v>5009</v>
      </c>
      <c r="BS63" s="293"/>
      <c r="BT63" s="626">
        <v>2677</v>
      </c>
      <c r="BU63" s="626">
        <f>5461-BT63</f>
        <v>2784</v>
      </c>
      <c r="BV63" s="293">
        <f>+BU63+BT63</f>
        <v>5461</v>
      </c>
      <c r="BW63" s="293"/>
      <c r="BX63" s="626">
        <v>2615</v>
      </c>
      <c r="BY63" s="626">
        <f>5138-BX63</f>
        <v>2523</v>
      </c>
      <c r="BZ63" s="293">
        <f>+BY63+BX63</f>
        <v>5138</v>
      </c>
      <c r="CA63" s="293"/>
      <c r="CB63" s="626">
        <v>2462</v>
      </c>
      <c r="CC63" s="626">
        <f>4943-CB63</f>
        <v>2481</v>
      </c>
      <c r="CD63" s="293">
        <f>+CC63+CB63</f>
        <v>4943</v>
      </c>
      <c r="CE63" s="331"/>
      <c r="CF63" s="626">
        <f>2350+337</f>
        <v>2687</v>
      </c>
      <c r="CG63" s="626">
        <f>2261+407</f>
        <v>2668</v>
      </c>
      <c r="CH63" s="293">
        <f>+CG63+CF63</f>
        <v>5355</v>
      </c>
      <c r="CI63" s="331"/>
      <c r="CJ63" s="626">
        <f>2171+377</f>
        <v>2548</v>
      </c>
      <c r="CK63" s="626">
        <f>4411+745-CJ63</f>
        <v>2608</v>
      </c>
      <c r="CL63" s="293">
        <f>+CK63+CJ63</f>
        <v>5156</v>
      </c>
      <c r="CM63" s="331"/>
      <c r="CN63" s="1388">
        <f>1834+188</f>
        <v>2022</v>
      </c>
      <c r="CO63" s="1388">
        <f>3632+333-CN63</f>
        <v>1943</v>
      </c>
      <c r="CP63" s="293">
        <f>+CO63+CN63</f>
        <v>3965</v>
      </c>
      <c r="CQ63" s="331"/>
      <c r="CR63" s="1388">
        <f>1834+188</f>
        <v>2022</v>
      </c>
      <c r="CS63" s="1388">
        <f>3991+334-CR63</f>
        <v>2303</v>
      </c>
      <c r="CT63" s="293">
        <f>+CS63+CR63</f>
        <v>4325</v>
      </c>
      <c r="CU63" s="293"/>
      <c r="CV63" s="1388">
        <f>3313+340</f>
        <v>3653</v>
      </c>
      <c r="CW63" s="626">
        <f>9335+804-CV63</f>
        <v>6486</v>
      </c>
      <c r="CX63" s="293">
        <f>+CW63+CV63</f>
        <v>10139</v>
      </c>
      <c r="CY63" s="293"/>
      <c r="CZ63" s="1388">
        <f>6140+1307+307</f>
        <v>7754</v>
      </c>
      <c r="DA63" s="1388">
        <f>15751+741-CZ63</f>
        <v>8738</v>
      </c>
      <c r="DB63" s="293">
        <f>+DA63+CZ63</f>
        <v>16492</v>
      </c>
      <c r="DC63" s="293"/>
      <c r="DD63" s="2176">
        <f>7108+1358+514</f>
        <v>8980</v>
      </c>
      <c r="DE63" s="626">
        <f>14497+2642+997-DD63</f>
        <v>9156</v>
      </c>
      <c r="DF63" s="293">
        <f>+DE63+DD63</f>
        <v>18136</v>
      </c>
      <c r="DG63" s="293"/>
      <c r="DH63" s="2199">
        <f>7515+1167+604</f>
        <v>9286</v>
      </c>
      <c r="DI63" s="1551">
        <f>(DI66*DI67)*DI1/DI2</f>
        <v>6254.8160301265298</v>
      </c>
      <c r="DJ63" s="1551">
        <f>+DI63+DH63</f>
        <v>15540.816030126531</v>
      </c>
      <c r="DK63" s="293"/>
      <c r="DL63" s="1551">
        <f>(DL66*DL67)*DL1/DL2</f>
        <v>6677.7771655788456</v>
      </c>
      <c r="DM63" s="1551">
        <f>(DM66*DM67)*DM1/DM2</f>
        <v>6950.6684334166057</v>
      </c>
      <c r="DN63" s="1551">
        <f>+DM63+DL63</f>
        <v>13628.445598995451</v>
      </c>
      <c r="DO63" s="293"/>
      <c r="DP63" s="1551">
        <f>(DP66*DP67)*DP1/DP2</f>
        <v>7260.4654461087375</v>
      </c>
      <c r="DQ63" s="1551">
        <f>(DQ66*DQ67)*DQ1/DQ2</f>
        <v>7564.9228147541335</v>
      </c>
      <c r="DR63" s="1551">
        <f>+DQ63+DP63</f>
        <v>14825.38826086287</v>
      </c>
      <c r="DS63" s="293"/>
      <c r="DT63" s="293"/>
      <c r="DU63" s="293"/>
      <c r="DV63" s="293"/>
      <c r="DW63" s="293"/>
      <c r="DX63" s="293"/>
      <c r="DY63" s="293"/>
      <c r="DZ63" s="293"/>
      <c r="EA63" s="293"/>
      <c r="EB63" s="293"/>
      <c r="EC63" s="293"/>
      <c r="ED63" s="293"/>
      <c r="EE63" s="293"/>
      <c r="EF63" s="293"/>
      <c r="EG63" s="293"/>
      <c r="EH63" s="293"/>
      <c r="EI63" s="293"/>
      <c r="EJ63" s="293"/>
      <c r="EK63" s="293"/>
      <c r="EL63" s="293"/>
      <c r="EM63" s="293"/>
      <c r="EN63" s="293"/>
      <c r="EO63" s="293"/>
      <c r="EP63" s="293"/>
      <c r="JM63"/>
    </row>
    <row r="64" spans="1:273" s="332" customFormat="1">
      <c r="A64" s="332" t="s">
        <v>924</v>
      </c>
      <c r="B64" s="293"/>
      <c r="AN64" s="293">
        <f>AN65-AN63</f>
        <v>523</v>
      </c>
      <c r="AO64" s="293">
        <f>AO65-AO63</f>
        <v>294</v>
      </c>
      <c r="AP64" s="293">
        <f>+AO64+AN64</f>
        <v>817</v>
      </c>
      <c r="AQ64" s="293"/>
      <c r="AR64" s="293">
        <f>AR65-AR63</f>
        <v>520</v>
      </c>
      <c r="AS64" s="293">
        <f>AS65-AS63</f>
        <v>418</v>
      </c>
      <c r="AT64" s="293">
        <f>+AS64+AR64</f>
        <v>938</v>
      </c>
      <c r="AU64" s="293"/>
      <c r="AV64" s="293">
        <f>AV65-AV63</f>
        <v>425</v>
      </c>
      <c r="AW64" s="293">
        <f>AW65-AW63</f>
        <v>655</v>
      </c>
      <c r="AX64" s="293">
        <f>+AW64+AV64</f>
        <v>1080</v>
      </c>
      <c r="AY64" s="293"/>
      <c r="AZ64" s="293">
        <f>AZ65-AZ63</f>
        <v>605</v>
      </c>
      <c r="BA64" s="293">
        <f>BA65-BA63</f>
        <v>670</v>
      </c>
      <c r="BB64" s="293">
        <f>+BA64+AZ64</f>
        <v>1275</v>
      </c>
      <c r="BC64" s="293"/>
      <c r="BD64" s="293">
        <f>BD65-BD63</f>
        <v>698</v>
      </c>
      <c r="BE64" s="293">
        <f>BE65-BE63</f>
        <v>635</v>
      </c>
      <c r="BF64" s="293">
        <f>+BE64+BD64</f>
        <v>1333</v>
      </c>
      <c r="BG64" s="293"/>
      <c r="BH64" s="293">
        <f>BH65-BH63</f>
        <v>-1676</v>
      </c>
      <c r="BI64" s="293">
        <f>BI65-BI63</f>
        <v>-1606</v>
      </c>
      <c r="BJ64" s="293">
        <f>+BI64+BH64</f>
        <v>-3282</v>
      </c>
      <c r="BK64" s="293"/>
      <c r="BL64" s="293">
        <f>BL65-BL63</f>
        <v>-1384</v>
      </c>
      <c r="BM64" s="293">
        <f>BM65-BM63</f>
        <v>-1522</v>
      </c>
      <c r="BN64" s="293">
        <f>+BM64+BL64</f>
        <v>-2906</v>
      </c>
      <c r="BO64" s="293"/>
      <c r="BP64" s="293">
        <f>BP65-BP63</f>
        <v>-1440</v>
      </c>
      <c r="BQ64" s="293">
        <f>BQ65-BQ63</f>
        <v>-1477</v>
      </c>
      <c r="BR64" s="293">
        <f>+BQ64+BP64</f>
        <v>-2917</v>
      </c>
      <c r="BS64" s="293"/>
      <c r="BT64" s="293">
        <f>BT65-BT63</f>
        <v>-1512</v>
      </c>
      <c r="BU64" s="293">
        <f>BU65-BU63</f>
        <v>-1670</v>
      </c>
      <c r="BV64" s="293">
        <f>+BU64+BT64</f>
        <v>-3182</v>
      </c>
      <c r="BW64" s="293"/>
      <c r="BX64" s="293">
        <f>BX65-BX63</f>
        <v>-1517</v>
      </c>
      <c r="BY64" s="293">
        <f>BY65-BY63</f>
        <v>-1436</v>
      </c>
      <c r="BZ64" s="293">
        <f>+BY64+BX64</f>
        <v>-2953</v>
      </c>
      <c r="CA64" s="293"/>
      <c r="CB64" s="293">
        <f>CB65-CB63</f>
        <v>-1451</v>
      </c>
      <c r="CC64" s="293">
        <f>CC65-CC63</f>
        <v>-1506</v>
      </c>
      <c r="CD64" s="293">
        <f>+CC64+CB64</f>
        <v>-2957</v>
      </c>
      <c r="CE64" s="331"/>
      <c r="CF64" s="293">
        <f>CF65-CF63</f>
        <v>-1689</v>
      </c>
      <c r="CG64" s="293">
        <f>CG65-CG63</f>
        <v>-1906</v>
      </c>
      <c r="CH64" s="293">
        <f>+CG64+CF64</f>
        <v>-3595</v>
      </c>
      <c r="CI64" s="331"/>
      <c r="CJ64" s="293">
        <f>CJ65-CJ63</f>
        <v>-1758</v>
      </c>
      <c r="CK64" s="293">
        <f>CK65-CK63</f>
        <v>-1539</v>
      </c>
      <c r="CL64" s="293">
        <f>+CK64+CJ64</f>
        <v>-3297</v>
      </c>
      <c r="CM64" s="331"/>
      <c r="CN64" s="293">
        <f>CN65-CN63</f>
        <v>-989</v>
      </c>
      <c r="CO64" s="293">
        <f>CO65-CO63</f>
        <v>-781</v>
      </c>
      <c r="CP64" s="293">
        <f>+CO64+CN64</f>
        <v>-1770</v>
      </c>
      <c r="CQ64" s="331"/>
      <c r="CR64" s="293">
        <f>CR65-CR63</f>
        <v>-649</v>
      </c>
      <c r="CS64" s="293">
        <f>CS65-CS63</f>
        <v>-816</v>
      </c>
      <c r="CT64" s="293">
        <f>+CS64+CR64</f>
        <v>-1465</v>
      </c>
      <c r="CU64" s="293"/>
      <c r="CV64" s="293">
        <f>CV65-CV63</f>
        <v>-2222</v>
      </c>
      <c r="CW64" s="293">
        <f>CW65-CW63</f>
        <v>-4889</v>
      </c>
      <c r="CX64" s="293">
        <f>+CW64+CV64</f>
        <v>-7111</v>
      </c>
      <c r="CY64" s="293"/>
      <c r="CZ64" s="293">
        <f>CZ65-CZ63</f>
        <v>-6121</v>
      </c>
      <c r="DA64" s="293">
        <f>DA65-DA63</f>
        <v>-6912</v>
      </c>
      <c r="DB64" s="293">
        <f>+DA64+CZ64</f>
        <v>-13033</v>
      </c>
      <c r="DC64" s="293"/>
      <c r="DD64" s="293">
        <f>DD65-DD63</f>
        <v>-7311</v>
      </c>
      <c r="DE64" s="293">
        <f>DE65-DE63</f>
        <v>-7318</v>
      </c>
      <c r="DF64" s="293">
        <f>+DE64+DD64</f>
        <v>-14629</v>
      </c>
      <c r="DG64" s="293"/>
      <c r="DH64" s="293">
        <f>DH65-DH63</f>
        <v>-7220</v>
      </c>
      <c r="DI64" s="1551">
        <f>-(DI63-DI65)</f>
        <v>-4292.9597972364982</v>
      </c>
      <c r="DJ64" s="1551">
        <f>+DI64+DH64</f>
        <v>-11512.959797236497</v>
      </c>
      <c r="DK64" s="293"/>
      <c r="DL64" s="1551">
        <f>-(DL63-DL65)</f>
        <v>-4571.9528173365979</v>
      </c>
      <c r="DM64" s="1551">
        <f>-(DM63-DM65)</f>
        <v>-4757.604092519583</v>
      </c>
      <c r="DN64" s="1551">
        <f>+DM64+DL64</f>
        <v>-9329.5569098561809</v>
      </c>
      <c r="DO64" s="293"/>
      <c r="DP64" s="1551">
        <f>-(DP63-DP65)</f>
        <v>-4990.8422545024587</v>
      </c>
      <c r="DQ64" s="1551">
        <f>-(DQ63-DQ65)</f>
        <v>-5214.3714890032179</v>
      </c>
      <c r="DR64" s="1551">
        <f>+DQ64+DP64</f>
        <v>-10205.213743505676</v>
      </c>
      <c r="DS64" s="293"/>
      <c r="DT64" s="293"/>
      <c r="DU64" s="293"/>
      <c r="DV64" s="293"/>
      <c r="DW64" s="293"/>
      <c r="DX64" s="293"/>
      <c r="DY64" s="293"/>
      <c r="DZ64" s="293"/>
      <c r="EA64" s="293"/>
      <c r="EB64" s="293"/>
      <c r="EC64" s="293"/>
      <c r="ED64" s="293"/>
      <c r="EE64" s="293"/>
      <c r="EF64" s="293"/>
      <c r="EG64" s="293"/>
      <c r="EH64" s="293"/>
      <c r="EI64" s="293"/>
      <c r="EJ64" s="293"/>
      <c r="EK64" s="293"/>
      <c r="EL64" s="293"/>
      <c r="EM64" s="293"/>
      <c r="EN64" s="293"/>
      <c r="EO64" s="293"/>
      <c r="EP64" s="293"/>
      <c r="JM64"/>
    </row>
    <row r="65" spans="1:273" s="327" customFormat="1">
      <c r="A65" s="327" t="s">
        <v>598</v>
      </c>
      <c r="B65" s="295"/>
      <c r="AN65" s="655">
        <v>523</v>
      </c>
      <c r="AO65" s="655">
        <v>294</v>
      </c>
      <c r="AP65" s="295">
        <f>+AN65+AO65</f>
        <v>817</v>
      </c>
      <c r="AQ65" s="295"/>
      <c r="AR65" s="655">
        <v>520</v>
      </c>
      <c r="AS65" s="655">
        <v>418</v>
      </c>
      <c r="AT65" s="295">
        <f>+AR65+AS65</f>
        <v>938</v>
      </c>
      <c r="AU65" s="295"/>
      <c r="AV65" s="655">
        <v>425</v>
      </c>
      <c r="AW65" s="655">
        <v>655</v>
      </c>
      <c r="AX65" s="295">
        <f>+AV65+AW65</f>
        <v>1080</v>
      </c>
      <c r="AY65" s="295"/>
      <c r="AZ65" s="655">
        <v>605</v>
      </c>
      <c r="BA65" s="655">
        <v>670</v>
      </c>
      <c r="BB65" s="295">
        <f>+AZ65+BA65</f>
        <v>1275</v>
      </c>
      <c r="BC65" s="295"/>
      <c r="BD65" s="655">
        <v>698</v>
      </c>
      <c r="BE65" s="655">
        <v>635</v>
      </c>
      <c r="BF65" s="295">
        <f>+BD65+BE65</f>
        <v>1333</v>
      </c>
      <c r="BG65" s="295"/>
      <c r="BH65" s="655">
        <v>644</v>
      </c>
      <c r="BI65" s="655">
        <v>723</v>
      </c>
      <c r="BJ65" s="295">
        <f>+BH65+BI65</f>
        <v>1367</v>
      </c>
      <c r="BK65" s="295"/>
      <c r="BL65" s="655">
        <v>860</v>
      </c>
      <c r="BM65" s="655">
        <v>845</v>
      </c>
      <c r="BN65" s="295">
        <f>+BL65+BM65</f>
        <v>1705</v>
      </c>
      <c r="BO65" s="295"/>
      <c r="BP65" s="655">
        <v>956</v>
      </c>
      <c r="BQ65" s="655">
        <v>1136</v>
      </c>
      <c r="BR65" s="295">
        <f>+BP65+BQ65</f>
        <v>2092</v>
      </c>
      <c r="BS65" s="295"/>
      <c r="BT65" s="655">
        <v>1165</v>
      </c>
      <c r="BU65" s="655">
        <v>1114</v>
      </c>
      <c r="BV65" s="295">
        <f>+BT65+BU65</f>
        <v>2279</v>
      </c>
      <c r="BW65" s="295"/>
      <c r="BX65" s="843">
        <f>BX9</f>
        <v>1098</v>
      </c>
      <c r="BY65" s="843">
        <f>BY9</f>
        <v>1087</v>
      </c>
      <c r="BZ65" s="295">
        <f>+BX65+BY65</f>
        <v>2185</v>
      </c>
      <c r="CA65" s="295"/>
      <c r="CB65" s="843">
        <f>CB9</f>
        <v>1011</v>
      </c>
      <c r="CC65" s="843">
        <f>CC9</f>
        <v>975</v>
      </c>
      <c r="CD65" s="295">
        <f>+CB65+CC65</f>
        <v>1986</v>
      </c>
      <c r="CE65" s="791"/>
      <c r="CF65" s="843">
        <f>CF9</f>
        <v>998</v>
      </c>
      <c r="CG65" s="843">
        <f>CG9</f>
        <v>762</v>
      </c>
      <c r="CH65" s="295">
        <f>+CF65+CG65</f>
        <v>1760</v>
      </c>
      <c r="CI65" s="791">
        <v>1760</v>
      </c>
      <c r="CJ65" s="843">
        <f>CJ9</f>
        <v>790</v>
      </c>
      <c r="CK65" s="843">
        <f>CK9</f>
        <v>1069</v>
      </c>
      <c r="CL65" s="295">
        <f>+CJ65+CK65</f>
        <v>1859</v>
      </c>
      <c r="CM65" s="791"/>
      <c r="CN65" s="843">
        <f>CN9</f>
        <v>1033</v>
      </c>
      <c r="CO65" s="843">
        <f>CO9</f>
        <v>1162</v>
      </c>
      <c r="CP65" s="295">
        <f>+CN65+CO65</f>
        <v>2195</v>
      </c>
      <c r="CQ65" s="791"/>
      <c r="CR65" s="843">
        <f>CR9</f>
        <v>1373</v>
      </c>
      <c r="CS65" s="843">
        <f>CS9</f>
        <v>1487</v>
      </c>
      <c r="CT65" s="295">
        <f>+CR65+CS65</f>
        <v>2860</v>
      </c>
      <c r="CU65" s="295"/>
      <c r="CV65" s="843">
        <f>CV9</f>
        <v>1431</v>
      </c>
      <c r="CW65" s="843">
        <f>CW9</f>
        <v>1597</v>
      </c>
      <c r="CX65" s="295">
        <f>+CV65+CW65</f>
        <v>3028</v>
      </c>
      <c r="CY65" s="295"/>
      <c r="CZ65" s="843">
        <f>CZ9</f>
        <v>1633</v>
      </c>
      <c r="DA65" s="843">
        <f>DA9</f>
        <v>1826</v>
      </c>
      <c r="DB65" s="295">
        <f>+CZ65+DA65</f>
        <v>3459</v>
      </c>
      <c r="DC65" s="295"/>
      <c r="DD65" s="843">
        <f>DD9</f>
        <v>1669</v>
      </c>
      <c r="DE65" s="843">
        <f>DE9</f>
        <v>1838</v>
      </c>
      <c r="DF65" s="295">
        <f>+DD65+DE65</f>
        <v>3507</v>
      </c>
      <c r="DG65" s="295"/>
      <c r="DH65" s="843">
        <f>DH9</f>
        <v>2066</v>
      </c>
      <c r="DI65" s="295">
        <f>DI58</f>
        <v>1961.8562328900316</v>
      </c>
      <c r="DJ65" s="295">
        <f>+DH65+DI65</f>
        <v>4027.8562328900316</v>
      </c>
      <c r="DK65" s="295"/>
      <c r="DL65" s="295">
        <f>DL58</f>
        <v>2105.8243482422477</v>
      </c>
      <c r="DM65" s="295">
        <f>DM58</f>
        <v>2193.0643408970232</v>
      </c>
      <c r="DN65" s="295">
        <f>+DL65+DM65</f>
        <v>4298.8886891392704</v>
      </c>
      <c r="DO65" s="295"/>
      <c r="DP65" s="295">
        <f>DP58</f>
        <v>2269.6231916062784</v>
      </c>
      <c r="DQ65" s="295">
        <f>DQ58</f>
        <v>2350.5513257509156</v>
      </c>
      <c r="DR65" s="295">
        <f>+DP65+DQ65</f>
        <v>4620.1745173571944</v>
      </c>
      <c r="DS65" s="295"/>
      <c r="DT65" s="295"/>
      <c r="DU65" s="295"/>
      <c r="DV65" s="295"/>
      <c r="DW65" s="295"/>
      <c r="DX65" s="295"/>
      <c r="DY65" s="295"/>
      <c r="DZ65" s="295"/>
      <c r="EA65" s="295"/>
      <c r="EB65" s="295"/>
      <c r="EC65" s="295"/>
      <c r="ED65" s="295"/>
      <c r="EE65" s="295"/>
      <c r="EF65" s="295"/>
      <c r="EG65" s="295"/>
      <c r="EH65" s="295"/>
      <c r="EI65" s="295"/>
      <c r="EJ65" s="295"/>
      <c r="EK65" s="295"/>
      <c r="EL65" s="295"/>
      <c r="EM65" s="295"/>
      <c r="EN65" s="295"/>
      <c r="EO65" s="295"/>
      <c r="EP65" s="295"/>
      <c r="JM65"/>
    </row>
    <row r="66" spans="1:273" s="332" customFormat="1">
      <c r="A66" s="332" t="s">
        <v>549</v>
      </c>
      <c r="B66" s="293"/>
      <c r="AN66" s="293">
        <f>'Bal Sheet'!AN537</f>
        <v>144423.5</v>
      </c>
      <c r="AO66" s="293">
        <f>'Bal Sheet'!AO537</f>
        <v>159854</v>
      </c>
      <c r="AP66" s="293">
        <f>'Bal Sheet'!AP537</f>
        <v>152138.75</v>
      </c>
      <c r="AQ66" s="293"/>
      <c r="AR66" s="293">
        <f>'Bal Sheet'!AR537</f>
        <v>167342.5</v>
      </c>
      <c r="AS66" s="293">
        <f>'Bal Sheet'!AS537</f>
        <v>158289.5</v>
      </c>
      <c r="AT66" s="293">
        <f>'Bal Sheet'!AT537</f>
        <v>162816</v>
      </c>
      <c r="AU66" s="293"/>
      <c r="AV66" s="293">
        <f>'Bal Sheet'!AV537</f>
        <v>148037.5</v>
      </c>
      <c r="AW66" s="293">
        <f>'Bal Sheet'!AW537</f>
        <v>146435.5</v>
      </c>
      <c r="AX66" s="293">
        <f>'Bal Sheet'!AX537</f>
        <v>147236.5</v>
      </c>
      <c r="AY66" s="293"/>
      <c r="AZ66" s="293">
        <f>'Bal Sheet'!AZ537</f>
        <v>152000</v>
      </c>
      <c r="BA66" s="293">
        <f>'Bal Sheet'!BA537</f>
        <v>157814</v>
      </c>
      <c r="BB66" s="293">
        <f>'Bal Sheet'!BB537</f>
        <v>154907</v>
      </c>
      <c r="BC66" s="293"/>
      <c r="BD66" s="293">
        <f>'Bal Sheet'!BD537</f>
        <v>166128</v>
      </c>
      <c r="BE66" s="293">
        <f>'Bal Sheet'!BE537</f>
        <v>164157</v>
      </c>
      <c r="BF66" s="293">
        <f>'Bal Sheet'!BF537</f>
        <v>165142.5</v>
      </c>
      <c r="BG66" s="293"/>
      <c r="BH66" s="293">
        <f>'Bal Sheet'!BH537</f>
        <v>152903</v>
      </c>
      <c r="BI66" s="293">
        <f>'Bal Sheet'!BI537</f>
        <v>148464</v>
      </c>
      <c r="BJ66" s="293">
        <f>'Bal Sheet'!BJ537</f>
        <v>150683.5</v>
      </c>
      <c r="BK66" s="293"/>
      <c r="BL66" s="293">
        <f>'Bal Sheet'!BL537</f>
        <v>149674</v>
      </c>
      <c r="BM66" s="293">
        <f>'Bal Sheet'!BM537</f>
        <v>154252</v>
      </c>
      <c r="BN66" s="293">
        <f>'Bal Sheet'!BN537</f>
        <v>151963</v>
      </c>
      <c r="BO66" s="293"/>
      <c r="BP66" s="293">
        <f>'Bal Sheet'!BP537</f>
        <v>158118</v>
      </c>
      <c r="BQ66" s="293">
        <f>'Bal Sheet'!BQ537</f>
        <v>175154</v>
      </c>
      <c r="BR66" s="293">
        <f>'Bal Sheet'!BR537</f>
        <v>166636</v>
      </c>
      <c r="BS66" s="293"/>
      <c r="BT66" s="293">
        <f>'Bal Sheet'!BT537</f>
        <v>198533</v>
      </c>
      <c r="BU66" s="293">
        <f>'Bal Sheet'!BU537</f>
        <v>202922.5</v>
      </c>
      <c r="BV66" s="293">
        <f>'Bal Sheet'!BV537</f>
        <v>200727.75</v>
      </c>
      <c r="BW66" s="293"/>
      <c r="BX66" s="293">
        <f>'Bal Sheet'!BX537</f>
        <v>194924</v>
      </c>
      <c r="BY66" s="293">
        <f>'Bal Sheet'!BY537</f>
        <v>187985</v>
      </c>
      <c r="BZ66" s="293">
        <f>'Bal Sheet'!BZ537</f>
        <v>191454.5</v>
      </c>
      <c r="CA66" s="293"/>
      <c r="CB66" s="293">
        <f>'Bal Sheet'!CB537</f>
        <v>186318.5</v>
      </c>
      <c r="CC66" s="293">
        <f>'Bal Sheet'!CC537</f>
        <v>190542.5</v>
      </c>
      <c r="CD66" s="293">
        <f>'Bal Sheet'!CD537</f>
        <v>188430.5</v>
      </c>
      <c r="CE66" s="331"/>
      <c r="CF66" s="293">
        <f>'Bal Sheet'!CF537</f>
        <v>198461.5</v>
      </c>
      <c r="CG66" s="293">
        <f>'Bal Sheet'!CG537</f>
        <v>204390</v>
      </c>
      <c r="CH66" s="293">
        <f>'Bal Sheet'!CH537</f>
        <v>201425.75</v>
      </c>
      <c r="CI66" s="331"/>
      <c r="CJ66" s="293">
        <f>'Bal Sheet'!CJ537</f>
        <v>211338.5</v>
      </c>
      <c r="CK66" s="293">
        <f>'Bal Sheet'!CK537</f>
        <v>237648.5</v>
      </c>
      <c r="CL66" s="293">
        <f>'Bal Sheet'!CL537</f>
        <v>224493.5</v>
      </c>
      <c r="CM66" s="331"/>
      <c r="CN66" s="293">
        <f>'Bal Sheet'!CN537</f>
        <v>243268.5</v>
      </c>
      <c r="CO66" s="293">
        <f>'Bal Sheet'!CO537</f>
        <v>238194</v>
      </c>
      <c r="CP66" s="293">
        <f>'Bal Sheet'!CP537</f>
        <v>240731.25</v>
      </c>
      <c r="CQ66" s="331"/>
      <c r="CR66" s="293">
        <f>'Bal Sheet'!CR537</f>
        <v>297110</v>
      </c>
      <c r="CS66" s="293">
        <f>'Bal Sheet'!CS537</f>
        <v>373871.5</v>
      </c>
      <c r="CT66" s="293">
        <f>'Bal Sheet'!CT537</f>
        <v>335490.75</v>
      </c>
      <c r="CU66" s="293"/>
      <c r="CV66" s="293">
        <f>'Bal Sheet'!CV537</f>
        <v>442875</v>
      </c>
      <c r="CW66" s="293">
        <f>'Bal Sheet'!CW537</f>
        <v>437223</v>
      </c>
      <c r="CX66" s="293">
        <f>'Bal Sheet'!CX537</f>
        <v>440049</v>
      </c>
      <c r="CY66" s="293"/>
      <c r="CZ66" s="293">
        <f>'Bal Sheet'!CZ537</f>
        <v>391233</v>
      </c>
      <c r="DA66" s="293">
        <f>'Bal Sheet'!DA537</f>
        <v>398999</v>
      </c>
      <c r="DB66" s="293">
        <f>'Bal Sheet'!DB537</f>
        <v>395116</v>
      </c>
      <c r="DC66" s="293"/>
      <c r="DD66" s="293">
        <f>'Bal Sheet'!DD537</f>
        <v>408859.5</v>
      </c>
      <c r="DE66" s="293">
        <f>'Bal Sheet'!DE537</f>
        <v>429768</v>
      </c>
      <c r="DF66" s="293">
        <f>'Bal Sheet'!DF537</f>
        <v>419313.75</v>
      </c>
      <c r="DG66" s="293"/>
      <c r="DH66" s="293">
        <f>'Bal Sheet'!DH537</f>
        <v>464718.5</v>
      </c>
      <c r="DI66" s="293">
        <f>'Bal Sheet'!DI537</f>
        <v>501759.96725190838</v>
      </c>
      <c r="DJ66" s="293">
        <f>'Bal Sheet'!DJ537</f>
        <v>483239.23362595419</v>
      </c>
      <c r="DK66" s="293"/>
      <c r="DL66" s="293">
        <f>'Bal Sheet'!DL537</f>
        <v>532762.54982213734</v>
      </c>
      <c r="DM66" s="293">
        <f>'Bal Sheet'!DM537</f>
        <v>557581.09410924418</v>
      </c>
      <c r="DN66" s="293">
        <f>'Bal Sheet'!DN537</f>
        <v>545171.8219656907</v>
      </c>
      <c r="DO66" s="293"/>
      <c r="DP66" s="293">
        <f>'Bal Sheet'!DP537</f>
        <v>580837.23568869894</v>
      </c>
      <c r="DQ66" s="293">
        <f>'Bal Sheet'!DQ537</f>
        <v>605193.82518033055</v>
      </c>
      <c r="DR66" s="293">
        <f>'Bal Sheet'!DR537</f>
        <v>593015.53043451475</v>
      </c>
      <c r="DS66" s="293"/>
      <c r="DT66" s="293"/>
      <c r="DU66" s="293"/>
      <c r="DV66" s="293"/>
      <c r="DW66" s="293"/>
      <c r="DX66" s="293"/>
      <c r="DY66" s="293"/>
      <c r="DZ66" s="293"/>
      <c r="EA66" s="293"/>
      <c r="EB66" s="293"/>
      <c r="EC66" s="293"/>
      <c r="ED66" s="293"/>
      <c r="EE66" s="293"/>
      <c r="EF66" s="293"/>
      <c r="EG66" s="293"/>
      <c r="EH66" s="293"/>
      <c r="EI66" s="293"/>
      <c r="EJ66" s="293"/>
      <c r="EK66" s="293"/>
      <c r="EL66" s="293"/>
      <c r="EM66" s="293"/>
      <c r="EN66" s="293"/>
      <c r="EO66" s="293"/>
      <c r="EP66" s="293"/>
      <c r="JM66"/>
    </row>
    <row r="67" spans="1:273" s="845" customFormat="1">
      <c r="A67" s="844" t="s">
        <v>550</v>
      </c>
      <c r="B67" s="303"/>
      <c r="AN67" s="846">
        <f>+AN63*(AN$2/AN$1)/AN66</f>
        <v>0</v>
      </c>
      <c r="AO67" s="846">
        <f>+AO63*(AO$2/AO$1)/AO66</f>
        <v>0</v>
      </c>
      <c r="AP67" s="846"/>
      <c r="AQ67" s="303"/>
      <c r="AR67" s="846">
        <f>+AR63*(AR$2/AR$1)/AR66</f>
        <v>0</v>
      </c>
      <c r="AS67" s="846">
        <f>+AS63*(AS$2/AS$1)/AS66</f>
        <v>0</v>
      </c>
      <c r="AT67" s="846"/>
      <c r="AU67" s="303"/>
      <c r="AV67" s="846">
        <f>+AV63*(AV$2/AV$1)/AV66</f>
        <v>0</v>
      </c>
      <c r="AW67" s="846">
        <f>+AW63*(AW$2/AW$1)/AW66</f>
        <v>0</v>
      </c>
      <c r="AX67" s="846">
        <f>+AX63*(AX$2/AX$1)/AX66</f>
        <v>0</v>
      </c>
      <c r="AY67" s="303"/>
      <c r="AZ67" s="846">
        <f>+AZ63*(AZ$2/AZ$1)/AZ66</f>
        <v>0</v>
      </c>
      <c r="BA67" s="846">
        <f>+BA63*(BA$2/BA$1)/BA66</f>
        <v>0</v>
      </c>
      <c r="BB67" s="846">
        <f>+BB63*(BB$2/BB$1)/BB66</f>
        <v>0</v>
      </c>
      <c r="BC67" s="303"/>
      <c r="BD67" s="846">
        <f>+BD63*(BD$2/BD$1)/BD66</f>
        <v>0</v>
      </c>
      <c r="BE67" s="846">
        <f>+BE63*(BE$2/BE$1)/BE66</f>
        <v>0</v>
      </c>
      <c r="BF67" s="846">
        <f>+BF63*(BF$2/BF$1)/BF66</f>
        <v>0</v>
      </c>
      <c r="BG67" s="303"/>
      <c r="BH67" s="846">
        <f>+BH63*(BH$2/BH$1)/BH66</f>
        <v>3.0263123708309088E-2</v>
      </c>
      <c r="BI67" s="846">
        <f>+BI63*(BI$2/BI$1)/BI66</f>
        <v>3.1460803314586054E-2</v>
      </c>
      <c r="BJ67" s="846">
        <f>+BJ63*(BJ$2/BJ$1)/BJ66</f>
        <v>3.0852747646557186E-2</v>
      </c>
      <c r="BK67" s="303"/>
      <c r="BL67" s="846">
        <f>+BL63*(BL$2/BL$1)/BL66</f>
        <v>2.9903241076726976E-2</v>
      </c>
      <c r="BM67" s="846">
        <f>+BM63*(BM$2/BM$1)/BM66</f>
        <v>3.0774352971147827E-2</v>
      </c>
      <c r="BN67" s="846">
        <f>+BN63*(BN$2/BN$1)/BN66</f>
        <v>3.0342912419470527E-2</v>
      </c>
      <c r="BO67" s="303"/>
      <c r="BP67" s="846">
        <f>+BP63*(BP$2/BP$1)/BP66</f>
        <v>3.0223675380571073E-2</v>
      </c>
      <c r="BQ67" s="846">
        <f>+BQ63*(BQ$2/BQ$1)/BQ66</f>
        <v>2.9918569617919905E-2</v>
      </c>
      <c r="BR67" s="846">
        <f>+BR63*(BR$2/BR$1)/BR66</f>
        <v>3.0059530953695481E-2</v>
      </c>
      <c r="BS67" s="303"/>
      <c r="BT67" s="846">
        <f>+BT63*(BT$2/BT$1)/BT66</f>
        <v>2.6967808878121016E-2</v>
      </c>
      <c r="BU67" s="846">
        <f>+BU63*(BU$2/BU$1)/BU66</f>
        <v>2.7439046926782392E-2</v>
      </c>
      <c r="BV67" s="846">
        <f>+BV63*(BV$2/BV$1)/BV66</f>
        <v>2.7206004152390488E-2</v>
      </c>
      <c r="BW67" s="303"/>
      <c r="BX67" s="846">
        <f>+BX63*(BX$2/BX$1)/BX66</f>
        <v>2.6757661357830032E-2</v>
      </c>
      <c r="BY67" s="846">
        <f>+BY63*(BY$2/BY$1)/BY66</f>
        <v>2.6916310542663711E-2</v>
      </c>
      <c r="BZ67" s="846">
        <f>+BZ63*(BZ$2/BZ$1)/BZ66</f>
        <v>2.6836663541468079E-2</v>
      </c>
      <c r="CA67" s="303"/>
      <c r="CB67" s="846">
        <f>+CB63*(CB$2/CB$1)/CB66</f>
        <v>2.6355656835405136E-2</v>
      </c>
      <c r="CC67" s="846">
        <f>+CC63*(CC$2/CC$1)/CC66</f>
        <v>2.6112976727668987E-2</v>
      </c>
      <c r="CD67" s="846">
        <f>+CD63*(CD$2/CD$1)/CD66</f>
        <v>2.6232483594747134E-2</v>
      </c>
      <c r="CE67" s="720"/>
      <c r="CF67" s="846">
        <f>+CF63*(CF$2/CF$1)/CF66</f>
        <v>2.7004315395634471E-2</v>
      </c>
      <c r="CG67" s="846">
        <f>+CG63*(CG$2/CG$1)/CG66</f>
        <v>2.6178674791620629E-2</v>
      </c>
      <c r="CH67" s="846">
        <f>+CH63*(CH$2/CH$1)/CH66</f>
        <v>2.6585478768230975E-2</v>
      </c>
      <c r="CI67" s="720"/>
      <c r="CJ67" s="846">
        <f>+CJ63*(CJ$2/CJ$1)/CJ66</f>
        <v>2.4112975155970162E-2</v>
      </c>
      <c r="CK67" s="846">
        <f>+CK63*(CK$2/CK$1)/CK66</f>
        <v>2.1948381748675038E-2</v>
      </c>
      <c r="CL67" s="846">
        <f>+CL63*(CL$2/CL$1)/CL66</f>
        <v>2.2967257403889198E-2</v>
      </c>
      <c r="CM67" s="720"/>
      <c r="CN67" s="846">
        <f>+CN63*(CN$2/CN$1)/CN66</f>
        <v>1.657818755684411E-2</v>
      </c>
      <c r="CO67" s="846">
        <f>+CO63*(CO$2/CO$1)/CO66</f>
        <v>1.6359252643541922E-2</v>
      </c>
      <c r="CP67" s="846">
        <f>+CP63*(CP$2/CP$1)/CP66</f>
        <v>1.6470649323675261E-2</v>
      </c>
      <c r="CQ67" s="916"/>
      <c r="CR67" s="846">
        <f>+CR63*(CR$2/CR$1)/CR66</f>
        <v>1.3573931606718492E-2</v>
      </c>
      <c r="CS67" s="846">
        <f>+CS63*(CS$2/CS$1)/CS66</f>
        <v>1.2353586315495687E-2</v>
      </c>
      <c r="CT67" s="846">
        <f>+CT63*(CT$2/CT$1)/CT66</f>
        <v>1.2891562584065283E-2</v>
      </c>
      <c r="CU67" s="303"/>
      <c r="CV67" s="846">
        <f>+CV63*(CV$2/CV$1)/CV66</f>
        <v>1.6451681064332192E-2</v>
      </c>
      <c r="CW67" s="846">
        <f>+CW63*(CW$2/CW$1)/CW66</f>
        <v>2.9750578909703659E-2</v>
      </c>
      <c r="CX67" s="846">
        <f>+CX63*(CX$2/CX$1)/CX66</f>
        <v>2.3040615931407639E-2</v>
      </c>
      <c r="CY67" s="303"/>
      <c r="CZ67" s="846">
        <f>+CZ63*(CZ$2/CZ$1)/CZ66</f>
        <v>3.9638783026994147E-2</v>
      </c>
      <c r="DA67" s="846">
        <f>+DA63*(DA$2/DA$1)/DA66</f>
        <v>4.3799608520322109E-2</v>
      </c>
      <c r="DB67" s="846">
        <f>+DB63*(DB$2/DB$1)/DB66</f>
        <v>4.1739641016815314E-2</v>
      </c>
      <c r="DC67" s="303"/>
      <c r="DD67" s="846">
        <f>+DD63*(DD$2/DD$1)/DD66</f>
        <v>4.3807050983892107E-2</v>
      </c>
      <c r="DE67" s="846">
        <f>+DE63*(DE$2/DE$1)/DE66</f>
        <v>4.2726093362715913E-2</v>
      </c>
      <c r="DF67" s="846">
        <f>+DF63*(DF$2/DF$1)/DF66</f>
        <v>4.3251622442622019E-2</v>
      </c>
      <c r="DG67" s="303"/>
      <c r="DH67" s="846">
        <f>+DH63*(DH$2/DH$1)/DH66</f>
        <v>3.9854786996001007E-2</v>
      </c>
      <c r="DI67" s="1553">
        <v>2.5000000000000001E-2</v>
      </c>
      <c r="DJ67" s="1554">
        <f>+DJ63*(DJ$2/DJ$1)/DJ66</f>
        <v>3.2159673612419726E-2</v>
      </c>
      <c r="DK67" s="303"/>
      <c r="DL67" s="1553">
        <v>2.5000000000000001E-2</v>
      </c>
      <c r="DM67" s="1553">
        <v>2.5000000000000001E-2</v>
      </c>
      <c r="DN67" s="1554">
        <f>+DN63*(DN$2/DN$1)/DN66</f>
        <v>2.4998440949967386E-2</v>
      </c>
      <c r="DO67" s="846"/>
      <c r="DP67" s="1553">
        <v>2.5000000000000001E-2</v>
      </c>
      <c r="DQ67" s="1553">
        <v>2.5000000000000001E-2</v>
      </c>
      <c r="DR67" s="1554">
        <f>+DR63*(DR$2/DR$1)/DR66</f>
        <v>2.5000000000000001E-2</v>
      </c>
      <c r="DS67" s="846"/>
      <c r="DT67" s="303"/>
      <c r="DU67" s="847"/>
      <c r="DV67" s="847"/>
      <c r="DW67" s="847"/>
      <c r="DX67" s="846"/>
      <c r="DY67" s="303"/>
      <c r="DZ67" s="847"/>
      <c r="EA67" s="847"/>
      <c r="EB67" s="846"/>
      <c r="EC67" s="303"/>
      <c r="ED67" s="847"/>
      <c r="EE67" s="847"/>
      <c r="EF67" s="846"/>
      <c r="EG67" s="303"/>
      <c r="EH67" s="303"/>
      <c r="EI67" s="303"/>
      <c r="EJ67" s="303"/>
      <c r="EK67" s="303"/>
      <c r="EL67" s="303"/>
      <c r="EM67" s="303"/>
      <c r="EN67" s="303"/>
      <c r="EO67" s="303"/>
      <c r="EP67" s="303"/>
      <c r="FL67" s="332"/>
      <c r="FM67" s="332"/>
      <c r="FN67" s="332"/>
      <c r="FO67" s="332"/>
      <c r="FP67" s="332"/>
      <c r="FQ67" s="332"/>
      <c r="FR67" s="332"/>
      <c r="FS67" s="332"/>
      <c r="FT67" s="332"/>
      <c r="FU67" s="332"/>
      <c r="FV67" s="332"/>
      <c r="FW67" s="332"/>
      <c r="FX67" s="332"/>
      <c r="FY67" s="332"/>
      <c r="FZ67" s="332"/>
      <c r="GA67" s="332"/>
      <c r="GB67" s="332"/>
      <c r="GC67" s="332"/>
      <c r="GD67" s="332"/>
      <c r="GE67" s="332"/>
      <c r="GF67" s="332"/>
      <c r="GG67" s="332"/>
      <c r="GH67" s="332"/>
      <c r="GI67" s="332"/>
      <c r="GJ67" s="332"/>
      <c r="GK67" s="332"/>
      <c r="GL67" s="332"/>
      <c r="GM67" s="332"/>
      <c r="GN67" s="332"/>
      <c r="GO67" s="332"/>
      <c r="GP67" s="332"/>
      <c r="GQ67" s="332"/>
      <c r="GR67" s="332"/>
      <c r="GS67" s="332"/>
      <c r="GT67" s="332"/>
      <c r="GU67" s="332"/>
      <c r="GV67" s="332"/>
      <c r="GW67" s="332"/>
      <c r="GX67" s="332"/>
      <c r="GY67" s="332"/>
      <c r="GZ67" s="332"/>
      <c r="HA67" s="332"/>
      <c r="HB67" s="332"/>
      <c r="HC67" s="332"/>
      <c r="HD67" s="332"/>
      <c r="HE67" s="332"/>
      <c r="HF67" s="332"/>
      <c r="HG67" s="332"/>
      <c r="HH67" s="332"/>
      <c r="HI67" s="332"/>
      <c r="HJ67" s="332"/>
      <c r="HK67" s="332"/>
      <c r="HL67" s="332"/>
      <c r="HM67" s="332"/>
      <c r="HN67" s="332"/>
      <c r="HO67" s="332"/>
      <c r="HP67" s="332"/>
      <c r="HQ67" s="332"/>
      <c r="HR67" s="332"/>
      <c r="HS67" s="332"/>
      <c r="HT67" s="332"/>
      <c r="HU67" s="332"/>
      <c r="HV67" s="332"/>
      <c r="HW67" s="332"/>
      <c r="HX67" s="332"/>
      <c r="HY67" s="332"/>
      <c r="HZ67" s="332"/>
      <c r="IA67" s="332"/>
      <c r="IB67" s="332"/>
      <c r="IC67" s="332"/>
      <c r="ID67" s="332"/>
      <c r="IE67" s="332"/>
      <c r="IF67" s="332"/>
      <c r="IG67" s="332"/>
      <c r="IH67" s="332"/>
      <c r="II67" s="332"/>
      <c r="IJ67" s="332"/>
      <c r="IK67" s="332"/>
      <c r="IL67" s="332"/>
      <c r="IM67" s="332"/>
      <c r="IN67" s="332"/>
      <c r="IO67" s="332"/>
      <c r="IP67" s="332"/>
      <c r="IQ67" s="332"/>
      <c r="IR67" s="332"/>
      <c r="IS67" s="332"/>
      <c r="IT67" s="332"/>
      <c r="IU67" s="332"/>
      <c r="IV67" s="332"/>
      <c r="IW67" s="332"/>
      <c r="IX67" s="332"/>
      <c r="IY67" s="332"/>
      <c r="IZ67" s="332"/>
      <c r="JA67" s="332"/>
      <c r="JB67" s="332"/>
      <c r="JC67" s="332"/>
      <c r="JD67" s="332"/>
      <c r="JE67" s="332"/>
      <c r="JF67" s="332"/>
      <c r="JG67" s="332"/>
      <c r="JH67" s="332"/>
      <c r="JI67" s="332"/>
      <c r="JJ67" s="332"/>
      <c r="JK67" s="332"/>
      <c r="JL67" s="332"/>
      <c r="JM67"/>
    </row>
    <row r="68" spans="1:273" s="845" customFormat="1">
      <c r="A68" s="844" t="s">
        <v>1290</v>
      </c>
      <c r="B68" s="303"/>
      <c r="AN68" s="846"/>
      <c r="AO68" s="846"/>
      <c r="AP68" s="846"/>
      <c r="AQ68" s="303"/>
      <c r="AR68" s="846"/>
      <c r="AS68" s="846"/>
      <c r="AT68" s="846"/>
      <c r="AU68" s="303"/>
      <c r="AV68" s="846"/>
      <c r="AW68" s="846"/>
      <c r="AX68" s="846"/>
      <c r="AY68" s="303"/>
      <c r="AZ68" s="846"/>
      <c r="BA68" s="846"/>
      <c r="BB68" s="846"/>
      <c r="BC68" s="303"/>
      <c r="BD68" s="846"/>
      <c r="BE68" s="846"/>
      <c r="BF68" s="846"/>
      <c r="BG68" s="303"/>
      <c r="BH68" s="846"/>
      <c r="BI68" s="846"/>
      <c r="BJ68" s="846"/>
      <c r="BK68" s="303"/>
      <c r="BL68" s="846"/>
      <c r="BM68" s="846"/>
      <c r="BN68" s="846"/>
      <c r="BO68" s="303"/>
      <c r="BP68" s="846"/>
      <c r="BQ68" s="846"/>
      <c r="BR68" s="846"/>
      <c r="BS68" s="303"/>
      <c r="BT68" s="846"/>
      <c r="BU68" s="846"/>
      <c r="BV68" s="846"/>
      <c r="BW68" s="303"/>
      <c r="BX68" s="846"/>
      <c r="BY68" s="846"/>
      <c r="BZ68" s="846"/>
      <c r="CA68" s="303"/>
      <c r="CB68" s="846"/>
      <c r="CC68" s="846"/>
      <c r="CD68" s="846"/>
      <c r="CE68" s="720"/>
      <c r="CF68" s="846"/>
      <c r="CG68" s="846"/>
      <c r="CH68" s="846"/>
      <c r="CI68" s="720"/>
      <c r="CJ68" s="846">
        <f>+CJ64*(CJ$2/CJ$1)/CJ66</f>
        <v>-1.663681723869527E-2</v>
      </c>
      <c r="CK68" s="846">
        <f>+CK64*(CK$2/CK$1)/CK66</f>
        <v>-1.2951901653071658E-2</v>
      </c>
      <c r="CL68" s="846">
        <f>+CL64*(CL$2/CL$1)/CL66</f>
        <v>-1.4686394038134735E-2</v>
      </c>
      <c r="CM68" s="720"/>
      <c r="CN68" s="846">
        <f>+CN64*(CN$2/CN$1)/CN66</f>
        <v>-8.1087178505038701E-3</v>
      </c>
      <c r="CO68" s="846">
        <f>+CO64*(CO$2/CO$1)/CO66</f>
        <v>-6.5756954784386206E-3</v>
      </c>
      <c r="CP68" s="846">
        <f>+CP64*(CP$2/CP$1)/CP66</f>
        <v>-7.3525975543266607E-3</v>
      </c>
      <c r="CQ68" s="916"/>
      <c r="CR68" s="846">
        <f>+CR64*(CR$2/CR$1)/CR66</f>
        <v>-4.3568158322256686E-3</v>
      </c>
      <c r="CS68" s="846">
        <f>+CS64*(CS$2/CS$1)/CS66</f>
        <v>-4.3771282819993406E-3</v>
      </c>
      <c r="CT68" s="846">
        <f>+CT64*(CT$2/CT$1)/CT66</f>
        <v>-4.3667373839666223E-3</v>
      </c>
      <c r="CU68" s="303"/>
      <c r="CV68" s="846">
        <f>+CV64*(CV$2/CV$1)/CV66</f>
        <v>-1.0007017608799927E-2</v>
      </c>
      <c r="CW68" s="846">
        <f>+CW64*(CW$2/CW$1)/CW66</f>
        <v>-2.2425313026447916E-2</v>
      </c>
      <c r="CX68" s="846">
        <f>+CX64*(CX$2/CX$1)/CX66</f>
        <v>-1.6159564048549138E-2</v>
      </c>
      <c r="CY68" s="303"/>
      <c r="CZ68" s="846">
        <f>+CZ64*(CZ$2/CZ$1)/CZ66</f>
        <v>-3.1290816469980803E-2</v>
      </c>
      <c r="DA68" s="846">
        <f>+DA64*(DA$2/DA$1)/DA66</f>
        <v>-3.464670337519643E-2</v>
      </c>
      <c r="DB68" s="846">
        <f>+DB64*(DB$2/DB$1)/DB66</f>
        <v>-3.2985249901294811E-2</v>
      </c>
      <c r="DC68" s="303"/>
      <c r="DD68" s="846">
        <f>+DD64*(DD$2/DD$1)/DD66</f>
        <v>-3.5665183713055146E-2</v>
      </c>
      <c r="DE68" s="846">
        <f>+DE64*(DE$2/DE$1)/DE66</f>
        <v>-3.4149142772865342E-2</v>
      </c>
      <c r="DF68" s="846">
        <f>+DF64*(DF$2/DF$1)/DF66</f>
        <v>-3.4887956810383633E-2</v>
      </c>
      <c r="DG68" s="303"/>
      <c r="DH68" s="846">
        <f>+DH64*(DH$2/DH$1)/DH66</f>
        <v>-3.0987676298850665E-2</v>
      </c>
      <c r="DI68" s="846">
        <f>+DI64*(DI$2/DI$1)/DI66</f>
        <v>-1.7158617362042761E-2</v>
      </c>
      <c r="DJ68" s="846">
        <f>+DJ64*(DJ$2/DJ$1)/DJ66</f>
        <v>-2.3824555201881585E-2</v>
      </c>
      <c r="DK68" s="303"/>
      <c r="DL68" s="846">
        <f>+DL64*(DL$2/DL$1)/DL66</f>
        <v>-1.7116297474341863E-2</v>
      </c>
      <c r="DM68" s="846">
        <f>+DM64*(DM$2/DM$1)/DM66</f>
        <v>-1.7112037993520644E-2</v>
      </c>
      <c r="DN68" s="846">
        <f>+DN64*(DN$2/DN$1)/DN66</f>
        <v>-1.7113057817656829E-2</v>
      </c>
      <c r="DO68" s="846"/>
      <c r="DP68" s="846">
        <f>+DP64*(DP$2/DP$1)/DP66</f>
        <v>-1.7184994169958182E-2</v>
      </c>
      <c r="DQ68" s="846">
        <f>+DQ64*(DQ$2/DQ$1)/DQ66</f>
        <v>-1.723207102269916E-2</v>
      </c>
      <c r="DR68" s="846">
        <f>+DR64*(DR$2/DR$1)/DR66</f>
        <v>-1.7209015986525859E-2</v>
      </c>
      <c r="DS68" s="846"/>
      <c r="DT68" s="303"/>
      <c r="DU68" s="847"/>
      <c r="DV68" s="847"/>
      <c r="DW68" s="847"/>
      <c r="DX68" s="846"/>
      <c r="DY68" s="303"/>
      <c r="DZ68" s="847"/>
      <c r="EA68" s="847"/>
      <c r="EB68" s="846"/>
      <c r="EC68" s="303"/>
      <c r="ED68" s="847"/>
      <c r="EE68" s="847"/>
      <c r="EF68" s="846"/>
      <c r="EG68" s="303"/>
      <c r="EH68" s="303"/>
      <c r="EI68" s="303"/>
      <c r="EJ68" s="303"/>
      <c r="EK68" s="303"/>
      <c r="EL68" s="303"/>
      <c r="EM68" s="303"/>
      <c r="EN68" s="303"/>
      <c r="EO68" s="303"/>
      <c r="EP68" s="303"/>
      <c r="FL68" s="332"/>
      <c r="FM68" s="332"/>
      <c r="FN68" s="332"/>
      <c r="FO68" s="332"/>
      <c r="FP68" s="332"/>
      <c r="FQ68" s="332"/>
      <c r="FR68" s="332"/>
      <c r="FS68" s="332"/>
      <c r="FT68" s="332"/>
      <c r="FU68" s="332"/>
      <c r="FV68" s="332"/>
      <c r="FW68" s="332"/>
      <c r="FX68" s="332"/>
      <c r="FY68" s="332"/>
      <c r="FZ68" s="332"/>
      <c r="GA68" s="332"/>
      <c r="GB68" s="332"/>
      <c r="GC68" s="332"/>
      <c r="GD68" s="332"/>
      <c r="GE68" s="332"/>
      <c r="GF68" s="332"/>
      <c r="GG68" s="332"/>
      <c r="GH68" s="332"/>
      <c r="GI68" s="332"/>
      <c r="GJ68" s="332"/>
      <c r="GK68" s="332"/>
      <c r="GL68" s="332"/>
      <c r="GM68" s="332"/>
      <c r="GN68" s="332"/>
      <c r="GO68" s="332"/>
      <c r="GP68" s="332"/>
      <c r="GQ68" s="332"/>
      <c r="GR68" s="332"/>
      <c r="GS68" s="332"/>
      <c r="GT68" s="332"/>
      <c r="GU68" s="332"/>
      <c r="GV68" s="332"/>
      <c r="GW68" s="332"/>
      <c r="GX68" s="332"/>
      <c r="GY68" s="332"/>
      <c r="GZ68" s="332"/>
      <c r="HA68" s="332"/>
      <c r="HB68" s="332"/>
      <c r="HC68" s="332"/>
      <c r="HD68" s="332"/>
      <c r="HE68" s="332"/>
      <c r="HF68" s="332"/>
      <c r="HG68" s="332"/>
      <c r="HH68" s="332"/>
      <c r="HI68" s="332"/>
      <c r="HJ68" s="332"/>
      <c r="HK68" s="332"/>
      <c r="HL68" s="332"/>
      <c r="HM68" s="332"/>
      <c r="HN68" s="332"/>
      <c r="HO68" s="332"/>
      <c r="HP68" s="332"/>
      <c r="HQ68" s="332"/>
      <c r="HR68" s="332"/>
      <c r="HS68" s="332"/>
      <c r="HT68" s="332"/>
      <c r="HU68" s="332"/>
      <c r="HV68" s="332"/>
      <c r="HW68" s="332"/>
      <c r="HX68" s="332"/>
      <c r="HY68" s="332"/>
      <c r="HZ68" s="332"/>
      <c r="IA68" s="332"/>
      <c r="IB68" s="332"/>
      <c r="IC68" s="332"/>
      <c r="ID68" s="332"/>
      <c r="IE68" s="332"/>
      <c r="IF68" s="332"/>
      <c r="IG68" s="332"/>
      <c r="IH68" s="332"/>
      <c r="II68" s="332"/>
      <c r="IJ68" s="332"/>
      <c r="IK68" s="332"/>
      <c r="IL68" s="332"/>
      <c r="IM68" s="332"/>
      <c r="IN68" s="332"/>
      <c r="IO68" s="332"/>
      <c r="IP68" s="332"/>
      <c r="IQ68" s="332"/>
      <c r="IR68" s="332"/>
      <c r="IS68" s="332"/>
      <c r="IT68" s="332"/>
      <c r="IU68" s="332"/>
      <c r="IV68" s="332"/>
      <c r="IW68" s="332"/>
      <c r="IX68" s="332"/>
      <c r="IY68" s="332"/>
      <c r="IZ68" s="332"/>
      <c r="JA68" s="332"/>
      <c r="JB68" s="332"/>
      <c r="JC68" s="332"/>
      <c r="JD68" s="332"/>
      <c r="JE68" s="332"/>
      <c r="JF68" s="332"/>
      <c r="JG68" s="332"/>
      <c r="JH68" s="332"/>
      <c r="JI68" s="332"/>
      <c r="JJ68" s="332"/>
      <c r="JK68" s="332"/>
      <c r="JL68" s="332"/>
      <c r="JM68"/>
    </row>
    <row r="69" spans="1:273" s="327" customFormat="1">
      <c r="A69" s="327" t="s">
        <v>551</v>
      </c>
      <c r="B69" s="295"/>
      <c r="AN69" s="808">
        <f>+AN65*(AN$2/AN$1)/AN66</f>
        <v>0</v>
      </c>
      <c r="AO69" s="808">
        <f>+AO65*(AO$2/AO$1)/AO66</f>
        <v>0</v>
      </c>
      <c r="AP69" s="808"/>
      <c r="AQ69" s="295"/>
      <c r="AR69" s="808">
        <f>+AR65*(AR$2/AR$1)/AR66</f>
        <v>0</v>
      </c>
      <c r="AS69" s="808">
        <f>+AS65*(AS$2/AS$1)/AS66</f>
        <v>0</v>
      </c>
      <c r="AT69" s="808"/>
      <c r="AU69" s="295"/>
      <c r="AV69" s="808">
        <f>+AV65*(AV$2/AV$1)/AV66</f>
        <v>5.7261004517667165E-3</v>
      </c>
      <c r="AW69" s="808">
        <f>+AW65*(AW$2/AW$1)/AW66</f>
        <v>8.9704948670158609E-3</v>
      </c>
      <c r="AX69" s="808">
        <f>+AX65*(AX$2/AX$1)/AX66</f>
        <v>7.335137686646993E-3</v>
      </c>
      <c r="AY69" s="295"/>
      <c r="AZ69" s="808">
        <f>+AZ65*(AZ$2/AZ$1)/AZ66</f>
        <v>7.9387762438884093E-3</v>
      </c>
      <c r="BA69" s="808">
        <f>+BA65*(BA$2/BA$1)/BA66</f>
        <v>8.5143353484565289E-3</v>
      </c>
      <c r="BB69" s="808">
        <f>+BB65*(BB$2/BB$1)/BB66</f>
        <v>8.2307448985520348E-3</v>
      </c>
      <c r="BC69" s="295"/>
      <c r="BD69" s="808">
        <f>+BD65*(BD$2/BD$1)/BD66</f>
        <v>8.4031590099200616E-3</v>
      </c>
      <c r="BE69" s="808">
        <f>+BE65*(BE$2/BE$1)/BE66</f>
        <v>7.7364961591647021E-3</v>
      </c>
      <c r="BF69" s="808">
        <f>+BF65*(BF$2/BF$1)/BF66</f>
        <v>8.0718167643096111E-3</v>
      </c>
      <c r="BG69" s="295"/>
      <c r="BH69" s="808">
        <f>+BH65*(BH$2/BH$1)/BH66</f>
        <v>8.4006257190306268E-3</v>
      </c>
      <c r="BI69" s="808">
        <f>+BI65*(BI$2/BI$1)/BI66</f>
        <v>9.7664923986456476E-3</v>
      </c>
      <c r="BJ69" s="808">
        <f>+BJ65*(BJ$2/BJ$1)/BJ66</f>
        <v>9.0719952748642019E-3</v>
      </c>
      <c r="BK69" s="295"/>
      <c r="BL69" s="808">
        <f>+BL65*(BL$2/BL$1)/BL66</f>
        <v>1.1460243906410516E-2</v>
      </c>
      <c r="BM69" s="808">
        <f>+BM65*(BM$2/BM$1)/BM66</f>
        <v>1.0986196983785345E-2</v>
      </c>
      <c r="BN69" s="808">
        <f>+BN65*(BN$2/BN$1)/BN66</f>
        <v>1.1219836407546573E-2</v>
      </c>
      <c r="BO69" s="295"/>
      <c r="BP69" s="808">
        <f>+BP65*(BP$2/BP$1)/BP66</f>
        <v>1.2059196019960744E-2</v>
      </c>
      <c r="BQ69" s="808">
        <f>+BQ65*(BQ$2/BQ$1)/BQ66</f>
        <v>1.3007078104078459E-2</v>
      </c>
      <c r="BR69" s="808">
        <f>+BR65*(BR$2/BR$1)/BR66</f>
        <v>1.2554309993038719E-2</v>
      </c>
      <c r="BS69" s="295"/>
      <c r="BT69" s="808">
        <f>+BT65*(BT$2/BT$1)/BT66</f>
        <v>1.1736084177441534E-2</v>
      </c>
      <c r="BU69" s="808">
        <f>+BU65*(BU$2/BU$1)/BU66</f>
        <v>1.0979561162512782E-2</v>
      </c>
      <c r="BV69" s="808">
        <f>+BV65*(BV$2/BV$1)/BV66</f>
        <v>1.1353686772257449E-2</v>
      </c>
      <c r="BW69" s="295"/>
      <c r="BX69" s="808">
        <f>+BX65*(BX$2/BX$1)/BX66</f>
        <v>1.1235148057704541E-2</v>
      </c>
      <c r="BY69" s="808">
        <f>+BY65*(BY$2/BY$1)/BY66</f>
        <v>1.159652380494469E-2</v>
      </c>
      <c r="BZ69" s="808">
        <f>+BZ65*(BZ$2/BZ$1)/BZ66</f>
        <v>1.1412633288849309E-2</v>
      </c>
      <c r="CA69" s="295"/>
      <c r="CB69" s="808">
        <f>+CB65*(CB$2/CB$1)/CB66</f>
        <v>1.0822733168397479E-2</v>
      </c>
      <c r="CC69" s="808">
        <f>+CC65*(CC$2/CC$1)/CC66</f>
        <v>1.0262052522965442E-2</v>
      </c>
      <c r="CD69" s="808">
        <f>+CD65*(CD$2/CD$1)/CD66</f>
        <v>1.0539695006912363E-2</v>
      </c>
      <c r="CE69" s="791"/>
      <c r="CF69" s="808">
        <f>+CF65*(CF$2/CF$1)/CF66</f>
        <v>1.00298871473179E-2</v>
      </c>
      <c r="CG69" s="808">
        <f>+CG65*(CG$2/CG$1)/CG66</f>
        <v>7.476817912749221E-3</v>
      </c>
      <c r="CH69" s="808">
        <f>+CH65*(CH$2/CH$1)/CH66</f>
        <v>8.7377110424064451E-3</v>
      </c>
      <c r="CI69" s="791"/>
      <c r="CJ69" s="808">
        <f>+CJ65*(CJ$2/CJ$1)/CJ66</f>
        <v>7.476157917274893E-3</v>
      </c>
      <c r="CK69" s="808">
        <f>+CK65*(CK$2/CK$1)/CK66</f>
        <v>8.9964800956033805E-3</v>
      </c>
      <c r="CL69" s="808">
        <f>+CL65*(CL$2/CL$1)/CL66</f>
        <v>8.2808633657544643E-3</v>
      </c>
      <c r="CM69" s="791"/>
      <c r="CN69" s="808">
        <f>+CN65*(CN$2/CN$1)/CN66</f>
        <v>8.4694697063402401E-3</v>
      </c>
      <c r="CO69" s="808">
        <f>+CO65*(CO$2/CO$1)/CO66</f>
        <v>9.7835571651032991E-3</v>
      </c>
      <c r="CP69" s="808">
        <f>+CP65*(CP$2/CP$1)/CP66</f>
        <v>9.118051769348599E-3</v>
      </c>
      <c r="CQ69" s="791"/>
      <c r="CR69" s="808">
        <f>+CR65*(CR$2/CR$1)/CR66</f>
        <v>9.2171157744928237E-3</v>
      </c>
      <c r="CS69" s="808">
        <f>+CS65*(CS$2/CS$1)/CS66</f>
        <v>7.9764580334963468E-3</v>
      </c>
      <c r="CT69" s="808">
        <f>+CT65*(CT$2/CT$1)/CT66</f>
        <v>8.5248252000986614E-3</v>
      </c>
      <c r="CU69" s="295"/>
      <c r="CV69" s="808">
        <f>+CV65*(CV$2/CV$1)/CV66</f>
        <v>6.4446634555322671E-3</v>
      </c>
      <c r="CW69" s="808">
        <f>+CW65*(CW$2/CW$1)/CW66</f>
        <v>7.3252658832557421E-3</v>
      </c>
      <c r="CX69" s="808">
        <f>+CX65*(CX$2/CX$1)/CX66</f>
        <v>6.8810518828584999E-3</v>
      </c>
      <c r="CY69" s="295"/>
      <c r="CZ69" s="808">
        <f>+CZ65*(CZ$2/CZ$1)/CZ66</f>
        <v>8.34796655701334E-3</v>
      </c>
      <c r="DA69" s="808">
        <f>+DA65*(DA$2/DA$1)/DA66</f>
        <v>9.1529051451256765E-3</v>
      </c>
      <c r="DB69" s="808">
        <f>+DB65*(DB$2/DB$1)/DB66</f>
        <v>8.7543911155205049E-3</v>
      </c>
      <c r="DC69" s="295"/>
      <c r="DD69" s="808">
        <f>+DD65*(DD$2/DD$1)/DD66</f>
        <v>8.1418672708369628E-3</v>
      </c>
      <c r="DE69" s="808">
        <f>+DE65*(DE$2/DE$1)/DE66</f>
        <v>8.5769505898505728E-3</v>
      </c>
      <c r="DF69" s="808">
        <f>+DF65*(DF$2/DF$1)/DF66</f>
        <v>8.3636656322383894E-3</v>
      </c>
      <c r="DG69" s="295"/>
      <c r="DH69" s="808">
        <f>+DH65*(DH$2/DH$1)/DH66</f>
        <v>8.8671106971503419E-3</v>
      </c>
      <c r="DI69" s="808">
        <f>+DI65*(DI$2/DI$1)/DI66</f>
        <v>7.8413826379572383E-3</v>
      </c>
      <c r="DJ69" s="808">
        <f>+DJ65*(DJ$2/DJ$1)/DJ66</f>
        <v>8.3351184105381389E-3</v>
      </c>
      <c r="DK69" s="295"/>
      <c r="DL69" s="808">
        <f>+DL65*(DL$2/DL$1)/DL66</f>
        <v>7.8837025256581397E-3</v>
      </c>
      <c r="DM69" s="808">
        <f>+DM65*(DM$2/DM$1)/DM66</f>
        <v>7.8879620064793571E-3</v>
      </c>
      <c r="DN69" s="808">
        <f>+DN65*(DN$2/DN$1)/DN66</f>
        <v>7.8853831323105542E-3</v>
      </c>
      <c r="DO69" s="808"/>
      <c r="DP69" s="808">
        <f>+DP65*(DP$2/DP$1)/DP66</f>
        <v>7.8150058300418199E-3</v>
      </c>
      <c r="DQ69" s="808">
        <f>+DQ65*(DQ$2/DQ$1)/DQ66</f>
        <v>7.7679289773008448E-3</v>
      </c>
      <c r="DR69" s="808">
        <f>+DR65*(DR$2/DR$1)/DR66</f>
        <v>7.7909840134741445E-3</v>
      </c>
      <c r="DS69" s="808"/>
      <c r="DT69" s="295"/>
      <c r="DU69" s="808"/>
      <c r="DV69" s="808"/>
      <c r="DW69" s="808"/>
      <c r="DX69" s="808"/>
      <c r="DY69" s="295"/>
      <c r="DZ69" s="808"/>
      <c r="EA69" s="808"/>
      <c r="EB69" s="808"/>
      <c r="EC69" s="295"/>
      <c r="ED69" s="808"/>
      <c r="EE69" s="808"/>
      <c r="EF69" s="808"/>
      <c r="EG69" s="295"/>
      <c r="EH69" s="295"/>
      <c r="EI69" s="295"/>
      <c r="EJ69" s="295"/>
      <c r="EK69" s="295"/>
      <c r="EL69" s="295"/>
      <c r="EM69" s="295"/>
      <c r="EN69" s="295"/>
      <c r="EO69" s="295"/>
      <c r="EP69" s="295"/>
      <c r="JM69"/>
    </row>
    <row r="70" spans="1:273" s="845" customFormat="1">
      <c r="A70" s="848" t="s">
        <v>382</v>
      </c>
      <c r="B70" s="303"/>
      <c r="AN70" s="846"/>
      <c r="AO70" s="846"/>
      <c r="AP70" s="846"/>
      <c r="AQ70" s="303"/>
      <c r="AR70" s="846"/>
      <c r="AS70" s="846"/>
      <c r="AT70" s="846"/>
      <c r="AU70" s="303"/>
      <c r="AV70" s="846"/>
      <c r="AW70" s="846"/>
      <c r="AX70" s="846"/>
      <c r="AY70" s="303"/>
      <c r="AZ70" s="846"/>
      <c r="BA70" s="846"/>
      <c r="BB70" s="846"/>
      <c r="BC70" s="303"/>
      <c r="BD70" s="849">
        <f>+BD69-BA69</f>
        <v>-1.1117633853646725E-4</v>
      </c>
      <c r="BE70" s="849">
        <f>BE69-BD69</f>
        <v>-6.6666285075535955E-4</v>
      </c>
      <c r="BF70" s="846"/>
      <c r="BG70" s="303"/>
      <c r="BH70" s="849">
        <f>+BH69-BE69</f>
        <v>6.6412955986592474E-4</v>
      </c>
      <c r="BI70" s="849">
        <f>BI69-BH69</f>
        <v>1.3658666796150208E-3</v>
      </c>
      <c r="BJ70" s="846"/>
      <c r="BK70" s="303"/>
      <c r="BL70" s="849">
        <f>+BL69-BI69</f>
        <v>1.6937515077648686E-3</v>
      </c>
      <c r="BM70" s="849">
        <f>BM69-BL69</f>
        <v>-4.7404692262517124E-4</v>
      </c>
      <c r="BN70" s="846"/>
      <c r="BO70" s="303"/>
      <c r="BP70" s="849">
        <f>+BP69-BM69</f>
        <v>1.0729990361753993E-3</v>
      </c>
      <c r="BQ70" s="849">
        <f>BQ69-BP69</f>
        <v>9.4788208411771512E-4</v>
      </c>
      <c r="BR70" s="846"/>
      <c r="BS70" s="303"/>
      <c r="BT70" s="849">
        <f>+BT69-BQ69</f>
        <v>-1.270993926636925E-3</v>
      </c>
      <c r="BU70" s="849">
        <f>BU69-BT69</f>
        <v>-7.5652301492875294E-4</v>
      </c>
      <c r="BV70" s="846"/>
      <c r="BW70" s="303"/>
      <c r="BX70" s="849">
        <f>+BX69-BU69</f>
        <v>2.5558689519175962E-4</v>
      </c>
      <c r="BY70" s="849">
        <f>BY69-BX69</f>
        <v>3.6137574724014881E-4</v>
      </c>
      <c r="BZ70" s="846"/>
      <c r="CA70" s="303"/>
      <c r="CB70" s="849">
        <f>+CB69-BY69</f>
        <v>-7.7379063654721067E-4</v>
      </c>
      <c r="CC70" s="849">
        <f>CC69-CB69</f>
        <v>-5.6068064543203684E-4</v>
      </c>
      <c r="CD70" s="846"/>
      <c r="CE70" s="720"/>
      <c r="CF70" s="849">
        <f>+CF69-CC69</f>
        <v>-2.3216537564754204E-4</v>
      </c>
      <c r="CG70" s="849">
        <f>CG69-CF69</f>
        <v>-2.5530692345686794E-3</v>
      </c>
      <c r="CH70" s="846"/>
      <c r="CI70" s="720"/>
      <c r="CJ70" s="849">
        <f>+CJ69-CG69</f>
        <v>-6.5999547432804562E-7</v>
      </c>
      <c r="CK70" s="849">
        <f>CK69-CJ69</f>
        <v>1.5203221783284876E-3</v>
      </c>
      <c r="CL70" s="846"/>
      <c r="CM70" s="720"/>
      <c r="CN70" s="849">
        <f>+CN69-CK69</f>
        <v>-5.2701038926314045E-4</v>
      </c>
      <c r="CO70" s="849">
        <f>CO69-CN69</f>
        <v>1.314087458763059E-3</v>
      </c>
      <c r="CP70" s="846"/>
      <c r="CQ70" s="916"/>
      <c r="CR70" s="849">
        <f>+CR69-CO69</f>
        <v>-5.6644139061047538E-4</v>
      </c>
      <c r="CS70" s="849">
        <f>CS69-CR69</f>
        <v>-1.2406577409964769E-3</v>
      </c>
      <c r="CT70" s="846"/>
      <c r="CU70" s="303"/>
      <c r="CV70" s="849">
        <f>+CV69-CS69</f>
        <v>-1.5317945779640798E-3</v>
      </c>
      <c r="CW70" s="849">
        <f>CW69-CV69</f>
        <v>8.8060242772347499E-4</v>
      </c>
      <c r="CX70" s="846"/>
      <c r="CY70" s="303"/>
      <c r="CZ70" s="849">
        <f>+CZ69-CW69</f>
        <v>1.022700673757598E-3</v>
      </c>
      <c r="DA70" s="849">
        <f>DA69-CZ69</f>
        <v>8.0493858811233644E-4</v>
      </c>
      <c r="DB70" s="846"/>
      <c r="DC70" s="303"/>
      <c r="DD70" s="849">
        <f>+DD69-DA69</f>
        <v>-1.0110378742887137E-3</v>
      </c>
      <c r="DE70" s="849">
        <f>DE69-DD69</f>
        <v>4.3508331901360997E-4</v>
      </c>
      <c r="DF70" s="846"/>
      <c r="DG70" s="303"/>
      <c r="DH70" s="849">
        <f>+DH69-DE69</f>
        <v>2.9016010729976914E-4</v>
      </c>
      <c r="DI70" s="849">
        <f>DI69-DH69</f>
        <v>-1.0257280591931036E-3</v>
      </c>
      <c r="DJ70" s="846"/>
      <c r="DK70" s="303"/>
      <c r="DL70" s="849">
        <f>+DL69-DI69</f>
        <v>4.2319887700901365E-5</v>
      </c>
      <c r="DM70" s="849">
        <f>DM69-DL69</f>
        <v>4.2594808212174234E-6</v>
      </c>
      <c r="DN70" s="846"/>
      <c r="DO70" s="846"/>
      <c r="DP70" s="849">
        <f>+DP69-DM69</f>
        <v>-7.2956176437537212E-5</v>
      </c>
      <c r="DQ70" s="849">
        <f>DQ69-DP69</f>
        <v>-4.7076852740975117E-5</v>
      </c>
      <c r="DR70" s="846"/>
      <c r="DS70" s="846"/>
      <c r="DT70" s="303"/>
      <c r="DU70" s="846"/>
      <c r="DV70" s="846"/>
      <c r="DW70" s="846"/>
      <c r="DX70" s="846"/>
      <c r="DY70" s="303"/>
      <c r="DZ70" s="846"/>
      <c r="EA70" s="846"/>
      <c r="EB70" s="846"/>
      <c r="EC70" s="303"/>
      <c r="ED70" s="846"/>
      <c r="EE70" s="846"/>
      <c r="EF70" s="846"/>
      <c r="EG70" s="303"/>
      <c r="EH70" s="303"/>
      <c r="EI70" s="303"/>
      <c r="EJ70" s="303"/>
      <c r="EK70" s="303"/>
      <c r="EL70" s="303"/>
      <c r="EM70" s="303"/>
      <c r="EN70" s="303"/>
      <c r="EO70" s="303"/>
      <c r="EP70" s="303"/>
      <c r="FL70" s="332"/>
      <c r="FM70" s="332"/>
      <c r="FN70" s="332"/>
      <c r="FO70" s="332"/>
      <c r="FP70" s="332"/>
      <c r="FQ70" s="332"/>
      <c r="FR70" s="332"/>
      <c r="FS70" s="332"/>
      <c r="FT70" s="332"/>
      <c r="FU70" s="332"/>
      <c r="FV70" s="332"/>
      <c r="FW70" s="332"/>
      <c r="FX70" s="332"/>
      <c r="FY70" s="332"/>
      <c r="FZ70" s="332"/>
      <c r="GA70" s="332"/>
      <c r="GB70" s="332"/>
      <c r="GC70" s="332"/>
      <c r="GD70" s="332"/>
      <c r="GE70" s="332"/>
      <c r="GF70" s="332"/>
      <c r="GG70" s="332"/>
      <c r="GH70" s="332"/>
      <c r="GI70" s="332"/>
      <c r="GJ70" s="332"/>
      <c r="GK70" s="332"/>
      <c r="GL70" s="332"/>
      <c r="GM70" s="332"/>
      <c r="GN70" s="332"/>
      <c r="GO70" s="332"/>
      <c r="GP70" s="332"/>
      <c r="GQ70" s="332"/>
      <c r="GR70" s="332"/>
      <c r="GS70" s="332"/>
      <c r="GT70" s="332"/>
      <c r="GU70" s="332"/>
      <c r="GV70" s="332"/>
      <c r="GW70" s="332"/>
      <c r="GX70" s="332"/>
      <c r="GY70" s="332"/>
      <c r="GZ70" s="332"/>
      <c r="HA70" s="332"/>
      <c r="HB70" s="332"/>
      <c r="HC70" s="332"/>
      <c r="HD70" s="332"/>
      <c r="HE70" s="332"/>
      <c r="HF70" s="332"/>
      <c r="HG70" s="332"/>
      <c r="HH70" s="332"/>
      <c r="HI70" s="332"/>
      <c r="HJ70" s="332"/>
      <c r="HK70" s="332"/>
      <c r="HL70" s="332"/>
      <c r="HM70" s="332"/>
      <c r="HN70" s="332"/>
      <c r="HO70" s="332"/>
      <c r="HP70" s="332"/>
      <c r="HQ70" s="332"/>
      <c r="HR70" s="332"/>
      <c r="HS70" s="332"/>
      <c r="HT70" s="332"/>
      <c r="HU70" s="332"/>
      <c r="HV70" s="332"/>
      <c r="HW70" s="332"/>
      <c r="HX70" s="332"/>
      <c r="HY70" s="332"/>
      <c r="HZ70" s="332"/>
      <c r="IA70" s="332"/>
      <c r="IB70" s="332"/>
      <c r="IC70" s="332"/>
      <c r="ID70" s="332"/>
      <c r="IE70" s="332"/>
      <c r="IF70" s="332"/>
      <c r="IG70" s="332"/>
      <c r="IH70" s="332"/>
      <c r="II70" s="332"/>
      <c r="IJ70" s="332"/>
      <c r="IK70" s="332"/>
      <c r="IL70" s="332"/>
      <c r="IM70" s="332"/>
      <c r="IN70" s="332"/>
      <c r="IO70" s="332"/>
      <c r="IP70" s="332"/>
      <c r="IQ70" s="332"/>
      <c r="IR70" s="332"/>
      <c r="IS70" s="332"/>
      <c r="IT70" s="332"/>
      <c r="IU70" s="332"/>
      <c r="IV70" s="332"/>
      <c r="IW70" s="332"/>
      <c r="IX70" s="332"/>
      <c r="IY70" s="332"/>
      <c r="IZ70" s="332"/>
      <c r="JA70" s="332"/>
      <c r="JB70" s="332"/>
      <c r="JC70" s="332"/>
      <c r="JD70" s="332"/>
      <c r="JE70" s="332"/>
      <c r="JF70" s="332"/>
      <c r="JG70" s="332"/>
      <c r="JH70" s="332"/>
      <c r="JI70" s="332"/>
      <c r="JJ70" s="332"/>
      <c r="JK70" s="332"/>
      <c r="JL70" s="332"/>
      <c r="JM70"/>
    </row>
    <row r="71" spans="1:273">
      <c r="A71" s="289"/>
      <c r="BD71" s="293"/>
      <c r="BE71" s="293"/>
      <c r="BH71" s="293"/>
    </row>
    <row r="72" spans="1:273">
      <c r="A72" s="815" t="s">
        <v>912</v>
      </c>
    </row>
    <row r="73" spans="1:273">
      <c r="A73" s="102" t="s">
        <v>685</v>
      </c>
      <c r="AN73" s="293"/>
      <c r="AO73" s="293"/>
      <c r="AP73" s="293"/>
      <c r="AQ73" s="293"/>
      <c r="AR73" s="293"/>
      <c r="AS73" s="293"/>
      <c r="AT73" s="626"/>
      <c r="AU73" s="626"/>
      <c r="AV73" s="293"/>
      <c r="AW73" s="293"/>
      <c r="AX73" s="293"/>
      <c r="AY73" s="626"/>
      <c r="AZ73" s="293"/>
      <c r="BA73" s="293"/>
      <c r="BB73" s="293"/>
      <c r="BD73" s="293"/>
      <c r="BE73" s="293"/>
      <c r="BF73" s="293"/>
      <c r="BG73" s="850"/>
      <c r="BH73" s="293"/>
      <c r="BI73" s="293"/>
      <c r="BJ73" s="293"/>
      <c r="BK73" s="487"/>
      <c r="BL73" s="293"/>
      <c r="BM73" s="293"/>
      <c r="BN73" s="293"/>
      <c r="BO73" s="487"/>
      <c r="BP73" s="293"/>
      <c r="BQ73" s="293"/>
      <c r="BR73" s="293"/>
      <c r="BS73" s="487"/>
      <c r="BT73" s="293"/>
      <c r="BU73" s="293"/>
      <c r="BV73" s="293"/>
      <c r="BW73" s="487"/>
      <c r="BX73" s="293"/>
      <c r="BY73" s="293"/>
      <c r="BZ73" s="293"/>
      <c r="CA73" s="487"/>
      <c r="CB73" s="293"/>
      <c r="CC73" s="293"/>
      <c r="CD73" s="293"/>
      <c r="CE73" s="769"/>
      <c r="CF73" s="293"/>
      <c r="CG73" s="293"/>
      <c r="CH73" s="293"/>
      <c r="CI73" s="769"/>
      <c r="CJ73" s="293"/>
      <c r="CK73" s="293"/>
      <c r="CL73" s="293"/>
      <c r="CM73" s="769"/>
      <c r="CN73" s="293"/>
      <c r="CO73" s="293"/>
      <c r="CP73" s="293"/>
      <c r="CQ73" s="769"/>
      <c r="CR73" s="293"/>
      <c r="CS73" s="293"/>
      <c r="CT73" s="293"/>
      <c r="CU73" s="487"/>
      <c r="CV73" s="293"/>
      <c r="CW73" s="293"/>
      <c r="CX73" s="293"/>
      <c r="CY73" s="487"/>
      <c r="CZ73" s="293"/>
      <c r="DA73" s="293"/>
      <c r="DB73" s="293"/>
      <c r="DC73" s="487"/>
      <c r="DD73" s="293"/>
      <c r="DE73" s="293"/>
      <c r="DF73" s="293"/>
      <c r="DG73" s="487"/>
      <c r="DH73" s="293"/>
      <c r="DI73" s="293"/>
      <c r="DJ73" s="293"/>
      <c r="DK73" s="487"/>
      <c r="DL73" s="293"/>
      <c r="DM73" s="293"/>
      <c r="DN73" s="293"/>
      <c r="DO73" s="818"/>
      <c r="DP73" s="293"/>
      <c r="DQ73" s="293"/>
      <c r="DR73" s="293"/>
      <c r="DS73" s="818"/>
      <c r="DT73" s="850"/>
      <c r="DU73" s="850"/>
      <c r="DV73" s="850"/>
      <c r="DW73" s="850"/>
      <c r="DX73" s="818"/>
      <c r="DZ73" s="850"/>
      <c r="EA73" s="850"/>
      <c r="EB73" s="818"/>
      <c r="ED73" s="850"/>
      <c r="EE73" s="850"/>
      <c r="EF73" s="818"/>
    </row>
    <row r="74" spans="1:273">
      <c r="A74" s="1548" t="s">
        <v>686</v>
      </c>
      <c r="B74" s="1550" t="s">
        <v>1289</v>
      </c>
      <c r="AN74" s="626"/>
      <c r="AO74" s="626"/>
      <c r="AP74" s="293"/>
      <c r="AQ74" s="293"/>
      <c r="AR74" s="293"/>
      <c r="AS74" s="293"/>
      <c r="AT74" s="293"/>
      <c r="AU74" s="293"/>
      <c r="AV74" s="293">
        <f>DIVISIONS!AV114+DIVISIONS!AV116</f>
        <v>16</v>
      </c>
      <c r="AW74" s="293">
        <f>DIVISIONS!AW114+DIVISIONS!AW116</f>
        <v>-52</v>
      </c>
      <c r="AX74" s="293">
        <f>DIVISIONS!AX114+DIVISIONS!AX116</f>
        <v>-36</v>
      </c>
      <c r="AY74" s="626"/>
      <c r="AZ74" s="293">
        <f>DIVISIONS!AZ114+DIVISIONS!AZ116</f>
        <v>-31</v>
      </c>
      <c r="BA74" s="293">
        <f>DIVISIONS!BA114+DIVISIONS!BA116</f>
        <v>-51</v>
      </c>
      <c r="BB74" s="293">
        <f>DIVISIONS!BB114+DIVISIONS!BB116</f>
        <v>-82</v>
      </c>
      <c r="BD74" s="293">
        <f>DIVISIONS!BD114+DIVISIONS!BD116</f>
        <v>-71</v>
      </c>
      <c r="BE74" s="293">
        <f>DIVISIONS!BE114+DIVISIONS!BE116</f>
        <v>-50</v>
      </c>
      <c r="BF74" s="293">
        <f>DIVISIONS!BF114+DIVISIONS!BF116</f>
        <v>-121</v>
      </c>
      <c r="BG74" s="850"/>
      <c r="BH74" s="293">
        <f>DIVISIONS!BH114+DIVISIONS!BH116</f>
        <v>-37</v>
      </c>
      <c r="BI74" s="293">
        <f>DIVISIONS!BI114+DIVISIONS!BI116</f>
        <v>-22</v>
      </c>
      <c r="BJ74" s="293">
        <f>DIVISIONS!BJ114+DIVISIONS!BJ116</f>
        <v>-59</v>
      </c>
      <c r="BK74" s="487"/>
      <c r="BL74" s="293">
        <f>DIVISIONS!BL114+DIVISIONS!BL116</f>
        <v>-3</v>
      </c>
      <c r="BM74" s="293">
        <f>DIVISIONS!BM114+DIVISIONS!BM116</f>
        <v>-32</v>
      </c>
      <c r="BN74" s="293">
        <f>DIVISIONS!BN114+DIVISIONS!BN116</f>
        <v>-35</v>
      </c>
      <c r="BO74" s="487"/>
      <c r="BP74" s="293">
        <f>DIVISIONS!BP114+DIVISIONS!BP116</f>
        <v>-13</v>
      </c>
      <c r="BQ74" s="293">
        <f>DIVISIONS!BQ114+DIVISIONS!BQ116</f>
        <v>-11</v>
      </c>
      <c r="BR74" s="293">
        <f>DIVISIONS!BR114+DIVISIONS!BR116</f>
        <v>-24</v>
      </c>
      <c r="BS74" s="487"/>
      <c r="BT74" s="293">
        <f>DIVISIONS!BT114+DIVISIONS!BT116</f>
        <v>31</v>
      </c>
      <c r="BU74" s="293">
        <f>DIVISIONS!BU114+DIVISIONS!BU116</f>
        <v>-15</v>
      </c>
      <c r="BV74" s="293">
        <f>DIVISIONS!BV114+DIVISIONS!BV116</f>
        <v>16</v>
      </c>
      <c r="BW74" s="487"/>
      <c r="BX74" s="293">
        <f>DIVISIONS!BX114+DIVISIONS!BX116</f>
        <v>11</v>
      </c>
      <c r="BY74" s="293">
        <f>DIVISIONS!BY114+DIVISIONS!BY116</f>
        <v>-8</v>
      </c>
      <c r="BZ74" s="293">
        <f>DIVISIONS!BZ114+DIVISIONS!BZ116</f>
        <v>3</v>
      </c>
      <c r="CA74" s="487"/>
      <c r="CB74" s="293">
        <f>DIVISIONS!CB114+DIVISIONS!CB116</f>
        <v>-54</v>
      </c>
      <c r="CC74" s="293">
        <f>DIVISIONS!CC114+DIVISIONS!CC116</f>
        <v>-11</v>
      </c>
      <c r="CD74" s="293">
        <f>DIVISIONS!CD114+DIVISIONS!CD116</f>
        <v>-65</v>
      </c>
      <c r="CE74" s="769"/>
      <c r="CF74" s="293">
        <f>DIVISIONS!CF114+DIVISIONS!CF116</f>
        <v>61</v>
      </c>
      <c r="CG74" s="293">
        <f>DIVISIONS!CG114+DIVISIONS!CG116</f>
        <v>26</v>
      </c>
      <c r="CH74" s="293">
        <f>DIVISIONS!CH114+DIVISIONS!CH116</f>
        <v>87</v>
      </c>
      <c r="CI74" s="769">
        <v>0</v>
      </c>
      <c r="CJ74" s="293">
        <f>DIVISIONS!CJ114+DIVISIONS!CJ116</f>
        <v>-20</v>
      </c>
      <c r="CK74" s="293">
        <f>DIVISIONS!CK114+DIVISIONS!CK116</f>
        <v>-39</v>
      </c>
      <c r="CL74" s="293">
        <f>DIVISIONS!CL114+DIVISIONS!CL116</f>
        <v>-59</v>
      </c>
      <c r="CM74" s="769"/>
      <c r="CN74" s="293">
        <f>DIVISIONS!CN114+DIVISIONS!CN116</f>
        <v>6</v>
      </c>
      <c r="CO74" s="293">
        <f>DIVISIONS!CO114+DIVISIONS!CO116</f>
        <v>63</v>
      </c>
      <c r="CP74" s="293">
        <f>DIVISIONS!CP114+DIVISIONS!CP116</f>
        <v>69</v>
      </c>
      <c r="CQ74" s="769"/>
      <c r="CR74" s="293">
        <f>DIVISIONS!CR114+DIVISIONS!CR116</f>
        <v>158</v>
      </c>
      <c r="CS74" s="293">
        <f>DIVISIONS!CS114+DIVISIONS!CS116</f>
        <v>256</v>
      </c>
      <c r="CT74" s="293">
        <f>DIVISIONS!CT114+DIVISIONS!CT116</f>
        <v>414</v>
      </c>
      <c r="CU74" s="487"/>
      <c r="CV74" s="293">
        <f>DIVISIONS!CV114+DIVISIONS!CV116</f>
        <v>154</v>
      </c>
      <c r="CW74" s="293">
        <f>DIVISIONS!CW114+DIVISIONS!CW116</f>
        <v>256</v>
      </c>
      <c r="CX74" s="1552">
        <f>DIVISIONS!CX114+DIVISIONS!CX116</f>
        <v>410</v>
      </c>
      <c r="CY74" s="487">
        <f t="shared" ref="CY74:CY81" si="125">+CX74-CW74-CV74</f>
        <v>0</v>
      </c>
      <c r="CZ74" s="293">
        <f>DIVISIONS!CZ114+DIVISIONS!CZ116</f>
        <v>334</v>
      </c>
      <c r="DA74" s="293">
        <f>DIVISIONS!DA114+DIVISIONS!DA116</f>
        <v>356</v>
      </c>
      <c r="DB74" s="293">
        <f>DIVISIONS!DB114+DIVISIONS!DB116</f>
        <v>690</v>
      </c>
      <c r="DC74" s="487"/>
      <c r="DD74" s="293">
        <f>DIVISIONS!DD114+DIVISIONS!DD116</f>
        <v>322</v>
      </c>
      <c r="DE74" s="293">
        <f>DIVISIONS!DE114+DIVISIONS!DE116</f>
        <v>490</v>
      </c>
      <c r="DF74" s="293">
        <f>DIVISIONS!DF114+DIVISIONS!DF116</f>
        <v>812</v>
      </c>
      <c r="DG74" s="487"/>
      <c r="DH74" s="293">
        <f>DIVISIONS!DH114+DIVISIONS!DH116</f>
        <v>497</v>
      </c>
      <c r="DI74" s="293">
        <f>DIVISIONS!DI114+DIVISIONS!DI116</f>
        <v>539</v>
      </c>
      <c r="DJ74" s="293">
        <f>DIVISIONS!DJ114+DIVISIONS!DJ116</f>
        <v>1036</v>
      </c>
      <c r="DK74" s="487"/>
      <c r="DL74" s="293">
        <f>DIVISIONS!DL114+DIVISIONS!DL116</f>
        <v>531.79000000000008</v>
      </c>
      <c r="DM74" s="293">
        <f>DIVISIONS!DM114+DIVISIONS!DM116</f>
        <v>576.73</v>
      </c>
      <c r="DN74" s="293">
        <f>DIVISIONS!DN114+DIVISIONS!DN116</f>
        <v>1108.52</v>
      </c>
      <c r="DO74" s="818"/>
      <c r="DP74" s="293">
        <f>DIVISIONS!DP114+DIVISIONS!DP116</f>
        <v>569.01530000000014</v>
      </c>
      <c r="DQ74" s="293">
        <f>DIVISIONS!DQ114+DIVISIONS!DQ116</f>
        <v>617.10110000000009</v>
      </c>
      <c r="DR74" s="293">
        <f>DIVISIONS!DR114+DIVISIONS!DR116</f>
        <v>1186.1164000000003</v>
      </c>
      <c r="DS74" s="818"/>
      <c r="DT74" s="850"/>
      <c r="DU74" s="850"/>
      <c r="DV74" s="850"/>
      <c r="DW74" s="850"/>
      <c r="DX74" s="818"/>
      <c r="DZ74" s="850"/>
      <c r="EA74" s="850"/>
      <c r="EB74" s="818"/>
      <c r="ED74" s="850"/>
      <c r="EE74" s="850"/>
      <c r="EF74" s="818"/>
    </row>
    <row r="75" spans="1:273">
      <c r="A75" s="1548" t="s">
        <v>616</v>
      </c>
      <c r="B75" s="1550" t="s">
        <v>1289</v>
      </c>
      <c r="AN75" s="626"/>
      <c r="AO75" s="626"/>
      <c r="AP75" s="293"/>
      <c r="AQ75" s="293"/>
      <c r="AR75" s="293"/>
      <c r="AS75" s="293"/>
      <c r="AT75" s="626"/>
      <c r="AU75" s="626"/>
      <c r="AV75" s="293">
        <f>DIVISIONS!AV342+DIVISIONS!AV344</f>
        <v>-41</v>
      </c>
      <c r="AW75" s="293">
        <f>DIVISIONS!AW342+DIVISIONS!AW344</f>
        <v>-54</v>
      </c>
      <c r="AX75" s="293">
        <f>DIVISIONS!AX342+DIVISIONS!AX344</f>
        <v>-95</v>
      </c>
      <c r="AY75" s="626"/>
      <c r="AZ75" s="293">
        <f>DIVISIONS!AZ342+DIVISIONS!AZ344</f>
        <v>-25</v>
      </c>
      <c r="BA75" s="293">
        <f>DIVISIONS!BA342+DIVISIONS!BA344</f>
        <v>7</v>
      </c>
      <c r="BB75" s="293">
        <f>DIVISIONS!BB342+DIVISIONS!BB344</f>
        <v>-18</v>
      </c>
      <c r="BD75" s="293">
        <f>DIVISIONS!BD342+DIVISIONS!BD344</f>
        <v>92</v>
      </c>
      <c r="BE75" s="293">
        <f>DIVISIONS!BE342+DIVISIONS!BE344</f>
        <v>18</v>
      </c>
      <c r="BF75" s="293">
        <f>DIVISIONS!BF342+DIVISIONS!BF344</f>
        <v>110</v>
      </c>
      <c r="BG75" s="850"/>
      <c r="BH75" s="293">
        <f>DIVISIONS!BH342+DIVISIONS!BH344</f>
        <v>7</v>
      </c>
      <c r="BI75" s="293">
        <f>DIVISIONS!BI342+DIVISIONS!BI344</f>
        <v>-7</v>
      </c>
      <c r="BJ75" s="293">
        <f>DIVISIONS!BJ342+DIVISIONS!BJ344</f>
        <v>0</v>
      </c>
      <c r="BK75" s="487"/>
      <c r="BL75" s="293">
        <f>DIVISIONS!BL342+DIVISIONS!BL344</f>
        <v>-5</v>
      </c>
      <c r="BM75" s="293">
        <f>DIVISIONS!BM342+DIVISIONS!BM344</f>
        <v>-18</v>
      </c>
      <c r="BN75" s="293">
        <f>DIVISIONS!BN342+DIVISIONS!BN344</f>
        <v>-23</v>
      </c>
      <c r="BO75" s="487"/>
      <c r="BP75" s="293">
        <f>DIVISIONS!BP342+DIVISIONS!BP344</f>
        <v>11</v>
      </c>
      <c r="BQ75" s="293">
        <f>DIVISIONS!BQ342+DIVISIONS!BQ344</f>
        <v>0</v>
      </c>
      <c r="BR75" s="293">
        <f>DIVISIONS!BR342+DIVISIONS!BR344</f>
        <v>11</v>
      </c>
      <c r="BS75" s="487"/>
      <c r="BT75" s="293">
        <f>DIVISIONS!BT342+DIVISIONS!BT344</f>
        <v>9</v>
      </c>
      <c r="BU75" s="293">
        <f>DIVISIONS!BU342+DIVISIONS!BU344</f>
        <v>-24</v>
      </c>
      <c r="BV75" s="293">
        <f>DIVISIONS!BV342+DIVISIONS!BV344</f>
        <v>-15</v>
      </c>
      <c r="BW75" s="487"/>
      <c r="BX75" s="293">
        <f>DIVISIONS!BX342+DIVISIONS!BX344</f>
        <v>-22</v>
      </c>
      <c r="BY75" s="293">
        <f>DIVISIONS!BY342+DIVISIONS!BY344</f>
        <v>-20</v>
      </c>
      <c r="BZ75" s="293">
        <f>DIVISIONS!BZ342+DIVISIONS!BZ344</f>
        <v>-42</v>
      </c>
      <c r="CA75" s="487"/>
      <c r="CB75" s="293">
        <f>DIVISIONS!CB342+DIVISIONS!CB344</f>
        <v>-81</v>
      </c>
      <c r="CC75" s="293">
        <f>DIVISIONS!CC342+DIVISIONS!CC344</f>
        <v>-87</v>
      </c>
      <c r="CD75" s="293">
        <f>DIVISIONS!CD342+DIVISIONS!CD344</f>
        <v>-168</v>
      </c>
      <c r="CE75" s="769"/>
      <c r="CF75" s="293">
        <f>DIVISIONS!CF342+DIVISIONS!CF344</f>
        <v>-217</v>
      </c>
      <c r="CG75" s="293">
        <f>DIVISIONS!CG342+DIVISIONS!CG344</f>
        <v>-252</v>
      </c>
      <c r="CH75" s="293">
        <f>DIVISIONS!CH342+DIVISIONS!CH344</f>
        <v>-469</v>
      </c>
      <c r="CI75" s="769">
        <v>87</v>
      </c>
      <c r="CJ75" s="293">
        <f>DIVISIONS!CJ342+DIVISIONS!CJ344</f>
        <v>-258</v>
      </c>
      <c r="CK75" s="293">
        <f>DIVISIONS!CK342+DIVISIONS!CK344</f>
        <v>-144</v>
      </c>
      <c r="CL75" s="293">
        <f>DIVISIONS!CL342+DIVISIONS!CL344</f>
        <v>-402</v>
      </c>
      <c r="CM75" s="769"/>
      <c r="CN75" s="293">
        <f>DIVISIONS!CN342+DIVISIONS!CN344</f>
        <v>-123</v>
      </c>
      <c r="CO75" s="293">
        <f>DIVISIONS!CO342+DIVISIONS!CO344</f>
        <v>-126</v>
      </c>
      <c r="CP75" s="293">
        <f>DIVISIONS!CP342+DIVISIONS!CP344</f>
        <v>-249</v>
      </c>
      <c r="CQ75" s="769"/>
      <c r="CR75" s="293">
        <f>DIVISIONS!CR342+DIVISIONS!CR344</f>
        <v>-178</v>
      </c>
      <c r="CS75" s="293">
        <f>DIVISIONS!CS342+DIVISIONS!CS344</f>
        <v>-150</v>
      </c>
      <c r="CT75" s="293">
        <f>DIVISIONS!CT342+DIVISIONS!CT344</f>
        <v>-328</v>
      </c>
      <c r="CU75" s="487"/>
      <c r="CV75" s="293">
        <f>DIVISIONS!CV342+DIVISIONS!CV344</f>
        <v>-143</v>
      </c>
      <c r="CW75" s="293">
        <f>DIVISIONS!CW342+DIVISIONS!CW344</f>
        <v>-253</v>
      </c>
      <c r="CX75" s="1552">
        <f>DIVISIONS!CX342+DIVISIONS!CX344</f>
        <v>-396</v>
      </c>
      <c r="CY75" s="487">
        <f t="shared" si="125"/>
        <v>0</v>
      </c>
      <c r="CZ75" s="293">
        <f>DIVISIONS!CZ342+DIVISIONS!CZ344</f>
        <v>-265</v>
      </c>
      <c r="DA75" s="293">
        <f>DIVISIONS!DA342+DIVISIONS!DA344</f>
        <v>-292</v>
      </c>
      <c r="DB75" s="293">
        <f>DIVISIONS!DB342+DIVISIONS!DB344</f>
        <v>-557</v>
      </c>
      <c r="DC75" s="487"/>
      <c r="DD75" s="293">
        <f>DIVISIONS!DD342+DIVISIONS!DD344</f>
        <v>-245</v>
      </c>
      <c r="DE75" s="293">
        <f>DIVISIONS!DE342+DIVISIONS!DE344</f>
        <v>-269</v>
      </c>
      <c r="DF75" s="293">
        <f>DIVISIONS!DF342+DIVISIONS!DF344</f>
        <v>-514</v>
      </c>
      <c r="DG75" s="487"/>
      <c r="DH75" s="293">
        <f>DIVISIONS!DH342+DIVISIONS!DH344</f>
        <v>-193</v>
      </c>
      <c r="DI75" s="293">
        <f>DIVISIONS!DI342+DIVISIONS!DI344</f>
        <v>-198.79</v>
      </c>
      <c r="DJ75" s="293">
        <f>DIVISIONS!DJ342+DIVISIONS!DJ344</f>
        <v>-391.78999999999996</v>
      </c>
      <c r="DK75" s="487"/>
      <c r="DL75" s="293">
        <f>DIVISIONS!DL342+DIVISIONS!DL344</f>
        <v>-204.75370000000001</v>
      </c>
      <c r="DM75" s="293">
        <f>DIVISIONS!DM342+DIVISIONS!DM344</f>
        <v>-210.89631100000003</v>
      </c>
      <c r="DN75" s="293">
        <f>DIVISIONS!DN342+DIVISIONS!DN344</f>
        <v>-415.65001100000006</v>
      </c>
      <c r="DO75" s="818"/>
      <c r="DP75" s="293">
        <f>DIVISIONS!DP342+DIVISIONS!DP344</f>
        <v>-217.22320033000003</v>
      </c>
      <c r="DQ75" s="293">
        <f>DIVISIONS!DQ342+DIVISIONS!DQ344</f>
        <v>-223.73989633990004</v>
      </c>
      <c r="DR75" s="293">
        <f>DIVISIONS!DR342+DIVISIONS!DR344</f>
        <v>-440.9630966699001</v>
      </c>
      <c r="DS75" s="818"/>
      <c r="DT75" s="850"/>
      <c r="DU75" s="850"/>
      <c r="DV75" s="850"/>
      <c r="DW75" s="850"/>
      <c r="DX75" s="818"/>
      <c r="DZ75" s="850"/>
      <c r="EA75" s="850"/>
      <c r="EB75" s="818"/>
      <c r="ED75" s="850"/>
      <c r="EE75" s="850"/>
      <c r="EF75" s="818"/>
    </row>
    <row r="76" spans="1:273">
      <c r="A76" s="1548" t="s">
        <v>1024</v>
      </c>
      <c r="B76" s="1549"/>
      <c r="AN76" s="626"/>
      <c r="AO76" s="626"/>
      <c r="AP76" s="293"/>
      <c r="AQ76" s="293"/>
      <c r="AR76" s="293"/>
      <c r="AS76" s="293"/>
      <c r="AT76" s="626"/>
      <c r="AU76" s="626"/>
      <c r="AV76" s="293">
        <f>DIVISIONS!AV230+DIVISIONS!AV232</f>
        <v>826</v>
      </c>
      <c r="AW76" s="293">
        <f>DIVISIONS!AW230+DIVISIONS!AW232</f>
        <v>811</v>
      </c>
      <c r="AX76" s="293">
        <f>DIVISIONS!AX230+DIVISIONS!AX232</f>
        <v>1637</v>
      </c>
      <c r="AY76" s="626"/>
      <c r="AZ76" s="293">
        <f>DIVISIONS!AZ230+DIVISIONS!AZ232</f>
        <v>481</v>
      </c>
      <c r="BA76" s="293">
        <f>DIVISIONS!BA230+DIVISIONS!BA232</f>
        <v>819</v>
      </c>
      <c r="BB76" s="293">
        <f>DIVISIONS!BB230+DIVISIONS!BB232</f>
        <v>906</v>
      </c>
      <c r="BD76" s="293">
        <f>DIVISIONS!BD230+DIVISIONS!BD232</f>
        <v>457</v>
      </c>
      <c r="BE76" s="293">
        <f>DIVISIONS!BE230+DIVISIONS!BE232</f>
        <v>653</v>
      </c>
      <c r="BF76" s="293">
        <f>DIVISIONS!BF230+DIVISIONS!BF232</f>
        <v>897</v>
      </c>
      <c r="BG76" s="850"/>
      <c r="BH76" s="293">
        <f>DIVISIONS!BH230+DIVISIONS!BH232</f>
        <v>599</v>
      </c>
      <c r="BI76" s="293">
        <f>DIVISIONS!BI230+DIVISIONS!BI232</f>
        <v>707</v>
      </c>
      <c r="BJ76" s="293">
        <f>DIVISIONS!BJ230+DIVISIONS!BJ232</f>
        <v>1306</v>
      </c>
      <c r="BK76" s="487"/>
      <c r="BL76" s="293">
        <f>DIVISIONS!BL230+DIVISIONS!BL232</f>
        <v>741</v>
      </c>
      <c r="BM76" s="293">
        <f>DIVISIONS!BM230+DIVISIONS!BM232</f>
        <v>1073</v>
      </c>
      <c r="BN76" s="293">
        <f>DIVISIONS!BN230+DIVISIONS!BN232</f>
        <v>1814</v>
      </c>
      <c r="BO76" s="487"/>
      <c r="BP76" s="293">
        <f>DIVISIONS!BP230+DIVISIONS!BP232</f>
        <v>784</v>
      </c>
      <c r="BQ76" s="293">
        <f>DIVISIONS!BQ230+DIVISIONS!BQ232</f>
        <v>1198</v>
      </c>
      <c r="BR76" s="293">
        <f>DIVISIONS!BR230+DIVISIONS!BR232</f>
        <v>1982</v>
      </c>
      <c r="BS76" s="487"/>
      <c r="BT76" s="293">
        <f>DIVISIONS!BT230+DIVISIONS!BT232</f>
        <v>1204</v>
      </c>
      <c r="BU76" s="293">
        <f>DIVISIONS!BU230+DIVISIONS!BU232</f>
        <v>1081</v>
      </c>
      <c r="BV76" s="293">
        <f>DIVISIONS!BV230+DIVISIONS!BV232</f>
        <v>2285</v>
      </c>
      <c r="BW76" s="487"/>
      <c r="BX76" s="293">
        <f>DIVISIONS!BX230+DIVISIONS!BX232</f>
        <v>935</v>
      </c>
      <c r="BY76" s="293">
        <f>DIVISIONS!BY230+DIVISIONS!BY232</f>
        <v>1125</v>
      </c>
      <c r="BZ76" s="293">
        <f>DIVISIONS!BZ230+DIVISIONS!BZ232</f>
        <v>2060</v>
      </c>
      <c r="CA76" s="487"/>
      <c r="CB76" s="293">
        <f>DIVISIONS!CB230+DIVISIONS!CB232</f>
        <v>904</v>
      </c>
      <c r="CC76" s="293">
        <f>DIVISIONS!CC230+DIVISIONS!CC232</f>
        <v>1056</v>
      </c>
      <c r="CD76" s="293">
        <f>DIVISIONS!CD230+DIVISIONS!CD232</f>
        <v>1960</v>
      </c>
      <c r="CE76" s="769"/>
      <c r="CF76" s="293">
        <f>DIVISIONS!CF230+DIVISIONS!CF232</f>
        <v>1357</v>
      </c>
      <c r="CG76" s="293">
        <f>DIVISIONS!CG230+DIVISIONS!CG232</f>
        <v>1583</v>
      </c>
      <c r="CH76" s="293">
        <f>DIVISIONS!CH230+DIVISIONS!CH232</f>
        <v>2940</v>
      </c>
      <c r="CI76" s="769">
        <v>-469</v>
      </c>
      <c r="CJ76" s="293">
        <f>DIVISIONS!CJ230+DIVISIONS!CJ232</f>
        <v>1690</v>
      </c>
      <c r="CK76" s="293">
        <f>DIVISIONS!CK230+DIVISIONS!CK232</f>
        <v>1267</v>
      </c>
      <c r="CL76" s="293">
        <f>DIVISIONS!CL230+DIVISIONS!CL232</f>
        <v>2957</v>
      </c>
      <c r="CM76" s="769"/>
      <c r="CN76" s="293">
        <f>DIVISIONS!CN230+DIVISIONS!CN232</f>
        <v>1737</v>
      </c>
      <c r="CO76" s="293">
        <f>DIVISIONS!CO230+DIVISIONS!CO232</f>
        <v>2119</v>
      </c>
      <c r="CP76" s="293">
        <f>DIVISIONS!CP230+DIVISIONS!CP232</f>
        <v>3856</v>
      </c>
      <c r="CQ76" s="769"/>
      <c r="CR76" s="293">
        <f>DIVISIONS!CR230+DIVISIONS!CR232</f>
        <v>1878</v>
      </c>
      <c r="CS76" s="293">
        <f>DIVISIONS!CS230+DIVISIONS!CS232</f>
        <v>2854</v>
      </c>
      <c r="CT76" s="293">
        <f>DIVISIONS!CT230+DIVISIONS!CT232</f>
        <v>4732</v>
      </c>
      <c r="CU76" s="487"/>
      <c r="CV76" s="293">
        <f>DIVISIONS!CV230+DIVISIONS!CV232</f>
        <v>2852</v>
      </c>
      <c r="CW76" s="293">
        <f>DIVISIONS!CW230+DIVISIONS!CW232</f>
        <v>4787</v>
      </c>
      <c r="CX76" s="293">
        <f>DIVISIONS!CX230+DIVISIONS!CX232</f>
        <v>7639</v>
      </c>
      <c r="CY76" s="487">
        <f t="shared" si="125"/>
        <v>0</v>
      </c>
      <c r="CZ76" s="293">
        <f>DIVISIONS!CZ230+DIVISIONS!CZ232</f>
        <v>2363</v>
      </c>
      <c r="DA76" s="293">
        <f>DIVISIONS!DA230+DIVISIONS!DA232</f>
        <v>2793</v>
      </c>
      <c r="DB76" s="293">
        <f>DIVISIONS!DB230+DIVISIONS!DB232</f>
        <v>5156</v>
      </c>
      <c r="DC76" s="487"/>
      <c r="DD76" s="293">
        <f>DIVISIONS!DD230+DIVISIONS!DD232</f>
        <v>2269</v>
      </c>
      <c r="DE76" s="293">
        <f>DIVISIONS!DE230+DIVISIONS!DE232</f>
        <v>2621</v>
      </c>
      <c r="DF76" s="293">
        <f>DIVISIONS!DF230+DIVISIONS!DF232</f>
        <v>4890</v>
      </c>
      <c r="DG76" s="487"/>
      <c r="DH76" s="293">
        <f>DIVISIONS!DH230+DIVISIONS!DH232</f>
        <v>2321</v>
      </c>
      <c r="DI76" s="293">
        <f>DIVISIONS!DI230+DIVISIONS!DI232</f>
        <v>3003.4</v>
      </c>
      <c r="DJ76" s="293">
        <f>DIVISIONS!DJ230+DIVISIONS!DJ232</f>
        <v>5324.4000000000005</v>
      </c>
      <c r="DK76" s="487"/>
      <c r="DL76" s="293">
        <f>DIVISIONS!DL230+DIVISIONS!DL232</f>
        <v>2359.7349999999997</v>
      </c>
      <c r="DM76" s="293">
        <f>DIVISIONS!DM230+DIVISIONS!DM232</f>
        <v>3052.1351000000004</v>
      </c>
      <c r="DN76" s="293">
        <f>DIVISIONS!DN230+DIVISIONS!DN232</f>
        <v>5411.8701000000001</v>
      </c>
      <c r="DO76" s="818"/>
      <c r="DP76" s="293">
        <f>DIVISIONS!DP230+DIVISIONS!DP232</f>
        <v>2397.5624499999999</v>
      </c>
      <c r="DQ76" s="293">
        <f>DIVISIONS!DQ230+DIVISIONS!DQ232</f>
        <v>3110.945565</v>
      </c>
      <c r="DR76" s="293">
        <f>DIVISIONS!DR230+DIVISIONS!DR232</f>
        <v>5508.5080149999994</v>
      </c>
      <c r="DS76" s="818"/>
      <c r="DT76" s="850"/>
      <c r="DU76" s="850"/>
      <c r="DV76" s="850"/>
      <c r="DW76" s="850"/>
      <c r="DX76" s="818"/>
      <c r="DZ76" s="850"/>
      <c r="EA76" s="850"/>
      <c r="EB76" s="818"/>
      <c r="ED76" s="850"/>
      <c r="EE76" s="850"/>
      <c r="EF76" s="818"/>
    </row>
    <row r="77" spans="1:273">
      <c r="A77" s="1548" t="s">
        <v>690</v>
      </c>
      <c r="B77" s="1549"/>
      <c r="AN77" s="626"/>
      <c r="AO77" s="626"/>
      <c r="AP77" s="293"/>
      <c r="AQ77" s="293"/>
      <c r="AR77" s="293"/>
      <c r="AS77" s="293"/>
      <c r="AT77" s="626"/>
      <c r="AU77" s="626"/>
      <c r="AV77" s="293">
        <f>DIVISIONS!AV469+DIVISIONS!AV471</f>
        <v>192</v>
      </c>
      <c r="AW77" s="293">
        <f>DIVISIONS!AW469+DIVISIONS!AW471</f>
        <v>231</v>
      </c>
      <c r="AX77" s="293">
        <f>DIVISIONS!AX469+DIVISIONS!AX471</f>
        <v>423</v>
      </c>
      <c r="AY77" s="626"/>
      <c r="AZ77" s="293">
        <f>DIVISIONS!AZ469+DIVISIONS!AZ471</f>
        <v>277</v>
      </c>
      <c r="BA77" s="293">
        <f>DIVISIONS!BA469+DIVISIONS!BA471</f>
        <v>285</v>
      </c>
      <c r="BB77" s="293">
        <f>DIVISIONS!BB469+DIVISIONS!BB471</f>
        <v>562</v>
      </c>
      <c r="BD77" s="293">
        <f>DIVISIONS!BD469+DIVISIONS!BD471</f>
        <v>293</v>
      </c>
      <c r="BE77" s="293">
        <f>DIVISIONS!BE469+DIVISIONS!BE471</f>
        <v>293</v>
      </c>
      <c r="BF77" s="293">
        <f>DIVISIONS!BF469+DIVISIONS!BF471</f>
        <v>586</v>
      </c>
      <c r="BG77" s="850"/>
      <c r="BH77" s="293">
        <f>DIVISIONS!BH469+DIVISIONS!BH471</f>
        <v>251</v>
      </c>
      <c r="BI77" s="293">
        <f>DIVISIONS!BI469+DIVISIONS!BI471</f>
        <v>328</v>
      </c>
      <c r="BJ77" s="293">
        <f>DIVISIONS!BJ469+DIVISIONS!BJ471</f>
        <v>579</v>
      </c>
      <c r="BK77" s="487"/>
      <c r="BL77" s="293">
        <f>DIVISIONS!BL469+DIVISIONS!BL471</f>
        <v>277</v>
      </c>
      <c r="BM77" s="293">
        <f>DIVISIONS!BM469+DIVISIONS!BM471</f>
        <v>386</v>
      </c>
      <c r="BN77" s="293">
        <f>DIVISIONS!BN469+DIVISIONS!BN471</f>
        <v>663</v>
      </c>
      <c r="BO77" s="487"/>
      <c r="BP77" s="293">
        <f>DIVISIONS!BP469+DIVISIONS!BP471</f>
        <v>326</v>
      </c>
      <c r="BQ77" s="293">
        <f>DIVISIONS!BQ469+DIVISIONS!BQ471</f>
        <v>411</v>
      </c>
      <c r="BR77" s="293">
        <f>DIVISIONS!BR469+DIVISIONS!BR471</f>
        <v>737</v>
      </c>
      <c r="BS77" s="487"/>
      <c r="BT77" s="293">
        <f>DIVISIONS!BT469+DIVISIONS!BT471</f>
        <v>460</v>
      </c>
      <c r="BU77" s="293">
        <f>DIVISIONS!BU469+DIVISIONS!BU471</f>
        <v>388</v>
      </c>
      <c r="BV77" s="293">
        <f>DIVISIONS!BV469+DIVISIONS!BV471</f>
        <v>848</v>
      </c>
      <c r="BW77" s="487"/>
      <c r="BX77" s="293">
        <f>DIVISIONS!BX469+DIVISIONS!BX471</f>
        <v>354</v>
      </c>
      <c r="BY77" s="293">
        <f>DIVISIONS!BY469+DIVISIONS!BY471</f>
        <v>358</v>
      </c>
      <c r="BZ77" s="293">
        <f>DIVISIONS!BZ469+DIVISIONS!BZ471</f>
        <v>712</v>
      </c>
      <c r="CA77" s="487"/>
      <c r="CB77" s="293">
        <f>DIVISIONS!CB469+DIVISIONS!CB471</f>
        <v>194</v>
      </c>
      <c r="CC77" s="293">
        <f>DIVISIONS!CC469+DIVISIONS!CC471</f>
        <v>95</v>
      </c>
      <c r="CD77" s="293">
        <f>DIVISIONS!CD469+DIVISIONS!CD471</f>
        <v>289</v>
      </c>
      <c r="CE77" s="769"/>
      <c r="CF77" s="293">
        <f>DIVISIONS!CF469+DIVISIONS!CF471</f>
        <v>0</v>
      </c>
      <c r="CG77" s="293">
        <f>DIVISIONS!CG469+DIVISIONS!CG471</f>
        <v>0</v>
      </c>
      <c r="CH77" s="293">
        <f>DIVISIONS!CH469+DIVISIONS!CH471</f>
        <v>0</v>
      </c>
      <c r="CI77" s="769">
        <v>2940</v>
      </c>
      <c r="CJ77" s="293">
        <f>DIVISIONS!CJ469+DIVISIONS!CJ471</f>
        <v>0</v>
      </c>
      <c r="CK77" s="293">
        <f>DIVISIONS!CK469+DIVISIONS!CK471</f>
        <v>0</v>
      </c>
      <c r="CL77" s="293">
        <f>DIVISIONS!CL469+DIVISIONS!CL471</f>
        <v>0</v>
      </c>
      <c r="CM77" s="769"/>
      <c r="CN77" s="293">
        <f>DIVISIONS!CN469+DIVISIONS!CN471</f>
        <v>0</v>
      </c>
      <c r="CO77" s="293">
        <f>DIVISIONS!CO469+DIVISIONS!CO471</f>
        <v>0</v>
      </c>
      <c r="CP77" s="293">
        <f>DIVISIONS!CP469+DIVISIONS!CP471</f>
        <v>0</v>
      </c>
      <c r="CQ77" s="769"/>
      <c r="CR77" s="293">
        <f>DIVISIONS!CR469+DIVISIONS!CR471</f>
        <v>0</v>
      </c>
      <c r="CS77" s="293">
        <f>DIVISIONS!CS469+DIVISIONS!CS471</f>
        <v>0</v>
      </c>
      <c r="CT77" s="293">
        <f>DIVISIONS!CT469+DIVISIONS!CT471</f>
        <v>0</v>
      </c>
      <c r="CU77" s="487"/>
      <c r="CV77" s="293">
        <f>DIVISIONS!CV469+DIVISIONS!CV471</f>
        <v>0</v>
      </c>
      <c r="CW77" s="293">
        <f>DIVISIONS!CW469+DIVISIONS!CW471</f>
        <v>0</v>
      </c>
      <c r="CX77" s="293">
        <f>DIVISIONS!CX469+DIVISIONS!CX471</f>
        <v>0</v>
      </c>
      <c r="CY77" s="487">
        <f t="shared" si="125"/>
        <v>0</v>
      </c>
      <c r="CZ77" s="293">
        <f>DIVISIONS!CZ469+DIVISIONS!CZ471</f>
        <v>0</v>
      </c>
      <c r="DA77" s="293">
        <f>DIVISIONS!DA469+DIVISIONS!DA471</f>
        <v>0</v>
      </c>
      <c r="DB77" s="293">
        <f>DIVISIONS!DB469+DIVISIONS!DB471</f>
        <v>0</v>
      </c>
      <c r="DC77" s="487"/>
      <c r="DD77" s="293">
        <f>DIVISIONS!DD469+DIVISIONS!DD471</f>
        <v>0</v>
      </c>
      <c r="DE77" s="293">
        <f>DIVISIONS!DE469+DIVISIONS!DE471</f>
        <v>0</v>
      </c>
      <c r="DF77" s="293">
        <f>DIVISIONS!DF469+DIVISIONS!DF471</f>
        <v>0</v>
      </c>
      <c r="DG77" s="487"/>
      <c r="DH77" s="293">
        <f>DIVISIONS!DH469+DIVISIONS!DH471</f>
        <v>0</v>
      </c>
      <c r="DI77" s="293">
        <f>DIVISIONS!DI469+DIVISIONS!DI471</f>
        <v>0</v>
      </c>
      <c r="DJ77" s="293">
        <f>DIVISIONS!DJ469+DIVISIONS!DJ471</f>
        <v>0</v>
      </c>
      <c r="DK77" s="487"/>
      <c r="DL77" s="293">
        <f>DIVISIONS!DL469+DIVISIONS!DL471</f>
        <v>0</v>
      </c>
      <c r="DM77" s="293">
        <f>DIVISIONS!DM469+DIVISIONS!DM471</f>
        <v>0</v>
      </c>
      <c r="DN77" s="293">
        <f>DIVISIONS!DN469+DIVISIONS!DN471</f>
        <v>0</v>
      </c>
      <c r="DO77" s="818"/>
      <c r="DP77" s="293">
        <f>DIVISIONS!DP469+DIVISIONS!DP471</f>
        <v>0</v>
      </c>
      <c r="DQ77" s="293">
        <f>DIVISIONS!DQ469+DIVISIONS!DQ471</f>
        <v>0</v>
      </c>
      <c r="DR77" s="293">
        <f>DIVISIONS!DR469+DIVISIONS!DR471</f>
        <v>0</v>
      </c>
      <c r="DS77" s="818"/>
      <c r="DT77" s="850"/>
      <c r="DU77" s="850"/>
      <c r="DV77" s="850"/>
      <c r="DW77" s="850"/>
      <c r="DX77" s="818"/>
      <c r="DZ77" s="850"/>
      <c r="EA77" s="850"/>
      <c r="EB77" s="818"/>
      <c r="ED77" s="850"/>
      <c r="EE77" s="850"/>
      <c r="EF77" s="818"/>
    </row>
    <row r="78" spans="1:273">
      <c r="A78" s="1548" t="s">
        <v>689</v>
      </c>
      <c r="B78" s="1549"/>
      <c r="AN78" s="293"/>
      <c r="AO78" s="293"/>
      <c r="AP78" s="626"/>
      <c r="AQ78" s="626"/>
      <c r="AR78" s="293"/>
      <c r="AS78" s="293"/>
      <c r="AT78" s="626"/>
      <c r="AU78" s="626"/>
      <c r="AV78" s="293">
        <f>DIVISIONS!AV544+DIVISIONS!AV546</f>
        <v>253</v>
      </c>
      <c r="AW78" s="293">
        <f>DIVISIONS!AW544+DIVISIONS!AW546</f>
        <v>299</v>
      </c>
      <c r="AX78" s="293">
        <f>DIVISIONS!AX544+DIVISIONS!AX546</f>
        <v>552</v>
      </c>
      <c r="AY78" s="626"/>
      <c r="AZ78" s="293">
        <f>DIVISIONS!AZ544+DIVISIONS!AZ546</f>
        <v>342</v>
      </c>
      <c r="BA78" s="293">
        <f>DIVISIONS!BA544+DIVISIONS!BA546</f>
        <v>377</v>
      </c>
      <c r="BB78" s="293">
        <f>DIVISIONS!BB544+DIVISIONS!BB546</f>
        <v>719</v>
      </c>
      <c r="BD78" s="293">
        <f>DIVISIONS!BD544+DIVISIONS!BD546</f>
        <v>357</v>
      </c>
      <c r="BE78" s="293">
        <f>DIVISIONS!BE544+DIVISIONS!BE546</f>
        <v>346</v>
      </c>
      <c r="BF78" s="293">
        <f>DIVISIONS!BF544+DIVISIONS!BF546</f>
        <v>703</v>
      </c>
      <c r="BG78" s="850"/>
      <c r="BH78" s="293">
        <f>DIVISIONS!BH544+DIVISIONS!BH546</f>
        <v>311</v>
      </c>
      <c r="BI78" s="293">
        <f>DIVISIONS!BI544+DIVISIONS!BI546</f>
        <v>331</v>
      </c>
      <c r="BJ78" s="293">
        <f>DIVISIONS!BJ544+DIVISIONS!BJ546</f>
        <v>642</v>
      </c>
      <c r="BK78" s="487"/>
      <c r="BL78" s="293">
        <f>DIVISIONS!BL544+DIVISIONS!BL546</f>
        <v>366</v>
      </c>
      <c r="BM78" s="293">
        <f>DIVISIONS!BM544+DIVISIONS!BM546</f>
        <v>372</v>
      </c>
      <c r="BN78" s="293">
        <f>DIVISIONS!BN544+DIVISIONS!BN546</f>
        <v>738</v>
      </c>
      <c r="BO78" s="487"/>
      <c r="BP78" s="293">
        <f>DIVISIONS!BP544+DIVISIONS!BP546</f>
        <v>406</v>
      </c>
      <c r="BQ78" s="293">
        <f>DIVISIONS!BQ544+DIVISIONS!BQ546</f>
        <v>419</v>
      </c>
      <c r="BR78" s="293">
        <f>DIVISIONS!BR544+DIVISIONS!BR546</f>
        <v>825</v>
      </c>
      <c r="BS78" s="487"/>
      <c r="BT78" s="293">
        <f>DIVISIONS!BT544+DIVISIONS!BT546</f>
        <v>456</v>
      </c>
      <c r="BU78" s="293">
        <f>DIVISIONS!BU544+DIVISIONS!BU546</f>
        <v>485</v>
      </c>
      <c r="BV78" s="293">
        <f>DIVISIONS!BV544+DIVISIONS!BV546</f>
        <v>941</v>
      </c>
      <c r="BW78" s="487"/>
      <c r="BX78" s="293">
        <f>DIVISIONS!BX544+DIVISIONS!BX546</f>
        <v>498</v>
      </c>
      <c r="BY78" s="293">
        <f>DIVISIONS!BY544+DIVISIONS!BY546</f>
        <v>551</v>
      </c>
      <c r="BZ78" s="293">
        <f>DIVISIONS!BZ544+DIVISIONS!BZ546</f>
        <v>1049</v>
      </c>
      <c r="CA78" s="487"/>
      <c r="CB78" s="293">
        <f>DIVISIONS!CB544+DIVISIONS!CB546</f>
        <v>787</v>
      </c>
      <c r="CC78" s="293">
        <f>DIVISIONS!CC544+DIVISIONS!CC546</f>
        <v>797</v>
      </c>
      <c r="CD78" s="293">
        <f>DIVISIONS!CD544+DIVISIONS!CD546</f>
        <v>1584</v>
      </c>
      <c r="CE78" s="769"/>
      <c r="CF78" s="293">
        <f>DIVISIONS!CF544+DIVISIONS!CF546</f>
        <v>834</v>
      </c>
      <c r="CG78" s="293">
        <f>DIVISIONS!CG544+DIVISIONS!CG546</f>
        <v>844</v>
      </c>
      <c r="CH78" s="293">
        <f>DIVISIONS!CH544+DIVISIONS!CH546</f>
        <v>1678</v>
      </c>
      <c r="CI78" s="769">
        <v>0</v>
      </c>
      <c r="CJ78" s="293">
        <f>DIVISIONS!CJ544+DIVISIONS!CJ546</f>
        <v>838</v>
      </c>
      <c r="CK78" s="293">
        <f>DIVISIONS!CK544+DIVISIONS!CK546</f>
        <v>890</v>
      </c>
      <c r="CL78" s="293">
        <f>DIVISIONS!CL544+DIVISIONS!CL546</f>
        <v>1728</v>
      </c>
      <c r="CM78" s="769"/>
      <c r="CN78" s="293">
        <f>DIVISIONS!CN544+DIVISIONS!CN546</f>
        <v>844</v>
      </c>
      <c r="CO78" s="293">
        <f>DIVISIONS!CO544+DIVISIONS!CO546</f>
        <v>902</v>
      </c>
      <c r="CP78" s="293">
        <f>DIVISIONS!CP544+DIVISIONS!CP546</f>
        <v>1746</v>
      </c>
      <c r="CQ78" s="769"/>
      <c r="CR78" s="293">
        <f>DIVISIONS!CR544+DIVISIONS!CR546</f>
        <v>974</v>
      </c>
      <c r="CS78" s="293">
        <f>DIVISIONS!CS544+DIVISIONS!CS546</f>
        <v>998</v>
      </c>
      <c r="CT78" s="293">
        <f>DIVISIONS!CT544+DIVISIONS!CT546</f>
        <v>1972</v>
      </c>
      <c r="CU78" s="487"/>
      <c r="CV78" s="293">
        <f>DIVISIONS!CV544+DIVISIONS!CV546</f>
        <v>1197</v>
      </c>
      <c r="CW78" s="293">
        <f>DIVISIONS!CW544+DIVISIONS!CW546</f>
        <v>1323</v>
      </c>
      <c r="CX78" s="1552">
        <f>DIVISIONS!CX544+DIVISIONS!CX546</f>
        <v>2520</v>
      </c>
      <c r="CY78" s="487">
        <f t="shared" si="125"/>
        <v>0</v>
      </c>
      <c r="CZ78" s="293">
        <f>DIVISIONS!CZ544+DIVISIONS!CZ546</f>
        <v>1360</v>
      </c>
      <c r="DA78" s="293">
        <f>DIVISIONS!DA544+DIVISIONS!DA546</f>
        <v>1285</v>
      </c>
      <c r="DB78" s="293">
        <f>DIVISIONS!DB544+DIVISIONS!DB546</f>
        <v>2645</v>
      </c>
      <c r="DC78" s="487"/>
      <c r="DD78" s="293">
        <f>DIVISIONS!DD544+DIVISIONS!DD546</f>
        <v>1326</v>
      </c>
      <c r="DE78" s="293">
        <f>DIVISIONS!DE544+DIVISIONS!DE546</f>
        <v>1391</v>
      </c>
      <c r="DF78" s="293">
        <f>DIVISIONS!DF544+DIVISIONS!DF546</f>
        <v>2717</v>
      </c>
      <c r="DG78" s="487"/>
      <c r="DH78" s="293">
        <f>DIVISIONS!DH544+DIVISIONS!DH546</f>
        <v>1456</v>
      </c>
      <c r="DI78" s="293">
        <f>DIVISIONS!DI544+DIVISIONS!DI546</f>
        <v>1477.8162328900316</v>
      </c>
      <c r="DJ78" s="293">
        <f>DIVISIONS!DJ544+DIVISIONS!DJ546</f>
        <v>2933.8162328900316</v>
      </c>
      <c r="DK78" s="487"/>
      <c r="DL78" s="293">
        <f>DIVISIONS!DL544+DIVISIONS!DL546</f>
        <v>1612.8163482422478</v>
      </c>
      <c r="DM78" s="293">
        <f>DIVISIONS!DM544+DIVISIONS!DM546</f>
        <v>1684.482980897023</v>
      </c>
      <c r="DN78" s="293">
        <f>DIVISIONS!DN544+DIVISIONS!DN546</f>
        <v>3297.2993291392709</v>
      </c>
      <c r="DO78" s="818"/>
      <c r="DP78" s="293">
        <f>DIVISIONS!DP544+DIVISIONS!DP546</f>
        <v>1751.6685404062785</v>
      </c>
      <c r="DQ78" s="293">
        <f>DIVISIONS!DQ544+DIVISIONS!DQ546</f>
        <v>1815.8387975269154</v>
      </c>
      <c r="DR78" s="293">
        <f>DIVISIONS!DR544+DIVISIONS!DR546</f>
        <v>3567.5073379331939</v>
      </c>
      <c r="DS78" s="818"/>
      <c r="DT78" s="850"/>
      <c r="DU78" s="851"/>
      <c r="DV78" s="851"/>
      <c r="DW78" s="851"/>
      <c r="DX78" s="818"/>
      <c r="DZ78" s="851"/>
      <c r="EA78" s="851"/>
      <c r="EB78" s="818"/>
      <c r="ED78" s="851"/>
      <c r="EE78" s="851"/>
      <c r="EF78" s="818"/>
    </row>
    <row r="79" spans="1:273">
      <c r="A79" s="102" t="s">
        <v>688</v>
      </c>
      <c r="AN79" s="293"/>
      <c r="AO79" s="293"/>
      <c r="AP79" s="626"/>
      <c r="AQ79" s="626"/>
      <c r="AR79" s="293"/>
      <c r="AS79" s="293"/>
      <c r="AT79" s="626"/>
      <c r="AU79" s="626"/>
      <c r="AV79" s="293">
        <f>DIVISIONS!AV666+DIVISIONS!AV668</f>
        <v>-26</v>
      </c>
      <c r="AW79" s="293">
        <f>DIVISIONS!AW666+DIVISIONS!AW668</f>
        <v>-23</v>
      </c>
      <c r="AX79" s="293">
        <f>DIVISIONS!AX666+DIVISIONS!AX668</f>
        <v>-49</v>
      </c>
      <c r="AY79" s="626"/>
      <c r="AZ79" s="293">
        <f>DIVISIONS!AZ666+DIVISIONS!AZ668</f>
        <v>-7</v>
      </c>
      <c r="BA79" s="293">
        <f>DIVISIONS!BA666+DIVISIONS!BA668</f>
        <v>-6</v>
      </c>
      <c r="BB79" s="293">
        <f>DIVISIONS!BB666+DIVISIONS!BB668</f>
        <v>-13</v>
      </c>
      <c r="BD79" s="293"/>
      <c r="BE79" s="293"/>
      <c r="BG79" s="850"/>
      <c r="BH79" s="293"/>
      <c r="BI79" s="293"/>
      <c r="BJ79" s="293"/>
      <c r="BK79" s="487"/>
      <c r="BL79" s="293"/>
      <c r="BM79" s="293"/>
      <c r="BN79" s="293"/>
      <c r="BO79" s="487"/>
      <c r="BP79" s="293"/>
      <c r="BQ79" s="293"/>
      <c r="BR79" s="293"/>
      <c r="BS79" s="487"/>
      <c r="BT79" s="293"/>
      <c r="BU79" s="293"/>
      <c r="BV79" s="293"/>
      <c r="BW79" s="487"/>
      <c r="BX79" s="293"/>
      <c r="BY79" s="293"/>
      <c r="BZ79" s="293"/>
      <c r="CA79" s="487"/>
      <c r="CB79" s="293"/>
      <c r="CC79" s="293"/>
      <c r="CD79" s="293"/>
      <c r="CE79" s="769"/>
      <c r="CF79" s="293"/>
      <c r="CG79" s="293"/>
      <c r="CH79" s="293"/>
      <c r="CI79" s="769"/>
      <c r="CJ79" s="293"/>
      <c r="CK79" s="293"/>
      <c r="CL79" s="293"/>
      <c r="CM79" s="769"/>
      <c r="CN79" s="293"/>
      <c r="CO79" s="293"/>
      <c r="CP79" s="293"/>
      <c r="CQ79" s="769"/>
      <c r="CR79" s="487"/>
      <c r="CS79" s="293"/>
      <c r="CT79" s="293"/>
      <c r="CU79" s="487"/>
      <c r="CV79" s="487"/>
      <c r="CW79" s="293"/>
      <c r="CX79" s="293"/>
      <c r="CY79" s="487">
        <f t="shared" si="125"/>
        <v>0</v>
      </c>
      <c r="CZ79" s="487"/>
      <c r="DA79" s="293"/>
      <c r="DB79" s="293"/>
      <c r="DC79" s="487"/>
      <c r="DD79" s="487"/>
      <c r="DE79" s="293"/>
      <c r="DF79" s="293"/>
      <c r="DG79" s="487"/>
      <c r="DH79" s="487"/>
      <c r="DI79" s="487"/>
      <c r="DJ79" s="293"/>
      <c r="DK79" s="487"/>
      <c r="DL79" s="487"/>
      <c r="DM79" s="487"/>
      <c r="DN79" s="293"/>
      <c r="DO79" s="818"/>
      <c r="DP79" s="487"/>
      <c r="DQ79" s="487"/>
      <c r="DR79" s="293"/>
      <c r="DS79" s="818"/>
      <c r="DT79" s="850"/>
      <c r="DU79" s="850"/>
      <c r="DV79" s="850"/>
      <c r="DW79" s="850"/>
      <c r="DX79" s="818"/>
      <c r="DZ79" s="850"/>
      <c r="EA79" s="850"/>
      <c r="EB79" s="818"/>
      <c r="ED79" s="850"/>
      <c r="EE79" s="850"/>
      <c r="EF79" s="818"/>
    </row>
    <row r="80" spans="1:273">
      <c r="A80" s="1548" t="s">
        <v>691</v>
      </c>
      <c r="B80" s="1549"/>
      <c r="AN80" s="293"/>
      <c r="AO80" s="293"/>
      <c r="AP80" s="626"/>
      <c r="AQ80" s="626"/>
      <c r="AR80" s="293"/>
      <c r="AS80" s="293"/>
      <c r="AT80" s="626"/>
      <c r="AU80" s="626"/>
      <c r="AV80" s="293">
        <f>DIVISIONS!AV710+DIVISIONS!AV712</f>
        <v>-162</v>
      </c>
      <c r="AW80" s="293">
        <f>DIVISIONS!AW710+DIVISIONS!AW712</f>
        <v>109</v>
      </c>
      <c r="AX80" s="293">
        <f>DIVISIONS!AX710+DIVISIONS!AX712</f>
        <v>-53</v>
      </c>
      <c r="AY80" s="626"/>
      <c r="AZ80" s="293">
        <f>DIVISIONS!AZ710+DIVISIONS!AZ712</f>
        <v>174</v>
      </c>
      <c r="BA80" s="293">
        <f>DIVISIONS!BA710+DIVISIONS!BA712</f>
        <v>1</v>
      </c>
      <c r="BB80" s="293">
        <f>DIVISIONS!BB710+DIVISIONS!BB712</f>
        <v>175</v>
      </c>
      <c r="BD80" s="293">
        <f>DIVISIONS!BD710+DIVISIONS!BD712</f>
        <v>-56</v>
      </c>
      <c r="BE80" s="293">
        <f>DIVISIONS!BE710+DIVISIONS!BE712</f>
        <v>36</v>
      </c>
      <c r="BF80" s="293">
        <f>DIVISIONS!BF710+DIVISIONS!BF712</f>
        <v>-20</v>
      </c>
      <c r="BG80" s="850"/>
      <c r="BH80" s="293">
        <f>DIVISIONS!BH710+DIVISIONS!BH712</f>
        <v>68</v>
      </c>
      <c r="BI80" s="293">
        <f>DIVISIONS!BI710+DIVISIONS!BI712</f>
        <v>65</v>
      </c>
      <c r="BJ80" s="293">
        <f>DIVISIONS!BJ710+DIVISIONS!BJ712</f>
        <v>133</v>
      </c>
      <c r="BK80" s="487"/>
      <c r="BL80" s="293">
        <f>DIVISIONS!BL710+DIVISIONS!BL712</f>
        <v>75</v>
      </c>
      <c r="BM80" s="293">
        <f>DIVISIONS!BM710+DIVISIONS!BM712</f>
        <v>43</v>
      </c>
      <c r="BN80" s="293">
        <f>DIVISIONS!BN710+DIVISIONS!BN712</f>
        <v>118</v>
      </c>
      <c r="BO80" s="487"/>
      <c r="BP80" s="293">
        <f>DIVISIONS!BP710+DIVISIONS!BP712</f>
        <v>129</v>
      </c>
      <c r="BQ80" s="293">
        <f>DIVISIONS!BQ710+DIVISIONS!BQ712</f>
        <v>159</v>
      </c>
      <c r="BR80" s="293">
        <f>DIVISIONS!BR710+DIVISIONS!BR712</f>
        <v>288</v>
      </c>
      <c r="BS80" s="487"/>
      <c r="BT80" s="293">
        <f>DIVISIONS!BT710+DIVISIONS!BT712</f>
        <v>113</v>
      </c>
      <c r="BU80" s="293">
        <f>DIVISIONS!BU710+DIVISIONS!BU712</f>
        <v>158</v>
      </c>
      <c r="BV80" s="293">
        <f>DIVISIONS!BV710+DIVISIONS!BV712</f>
        <v>271</v>
      </c>
      <c r="BW80" s="487"/>
      <c r="BX80" s="293">
        <f>DIVISIONS!BX710+DIVISIONS!BX712</f>
        <v>98</v>
      </c>
      <c r="BY80" s="293">
        <f>DIVISIONS!BY710+DIVISIONS!BY712</f>
        <v>63</v>
      </c>
      <c r="BZ80" s="293">
        <f>DIVISIONS!BZ710+DIVISIONS!BZ712</f>
        <v>161</v>
      </c>
      <c r="CA80" s="487"/>
      <c r="CB80" s="293">
        <f>DIVISIONS!CB710+DIVISIONS!CB712</f>
        <v>142</v>
      </c>
      <c r="CC80" s="293">
        <f>DIVISIONS!CC710+DIVISIONS!CC712</f>
        <v>201</v>
      </c>
      <c r="CD80" s="293">
        <f>DIVISIONS!CD710+DIVISIONS!CD712</f>
        <v>343</v>
      </c>
      <c r="CE80" s="769"/>
      <c r="CF80" s="293">
        <f>DIVISIONS!CF710+DIVISIONS!CF712</f>
        <v>194</v>
      </c>
      <c r="CG80" s="293">
        <f>DIVISIONS!CG710+DIVISIONS!CG712</f>
        <v>121</v>
      </c>
      <c r="CH80" s="293">
        <f>DIVISIONS!CH710+DIVISIONS!CH712</f>
        <v>315</v>
      </c>
      <c r="CI80" s="769">
        <v>0</v>
      </c>
      <c r="CJ80" s="293">
        <f>DIVISIONS!CJ710+DIVISIONS!CJ712</f>
        <v>167</v>
      </c>
      <c r="CK80" s="293">
        <f>DIVISIONS!CK710+DIVISIONS!CK712</f>
        <v>329</v>
      </c>
      <c r="CL80" s="293">
        <f>DIVISIONS!CL710+DIVISIONS!CL712</f>
        <v>496</v>
      </c>
      <c r="CM80" s="769"/>
      <c r="CN80" s="293">
        <f>DIVISIONS!CN710+DIVISIONS!CN712</f>
        <v>56</v>
      </c>
      <c r="CO80" s="293">
        <f>DIVISIONS!CO710+DIVISIONS!CO712</f>
        <v>199</v>
      </c>
      <c r="CP80" s="293">
        <f>DIVISIONS!CP710+DIVISIONS!CP712</f>
        <v>255</v>
      </c>
      <c r="CQ80" s="769"/>
      <c r="CR80" s="293">
        <f>DIVISIONS!CR710+DIVISIONS!CR712</f>
        <v>200</v>
      </c>
      <c r="CS80" s="293">
        <f>DIVISIONS!CS710+DIVISIONS!CS712</f>
        <v>-134</v>
      </c>
      <c r="CT80" s="293">
        <f>DIVISIONS!CT710+DIVISIONS!CT712</f>
        <v>66</v>
      </c>
      <c r="CU80" s="487"/>
      <c r="CV80" s="293">
        <f>DIVISIONS!CV710+DIVISIONS!CV712</f>
        <v>188</v>
      </c>
      <c r="CW80" s="293">
        <f>DIVISIONS!CW710+DIVISIONS!CW712</f>
        <v>240</v>
      </c>
      <c r="CX80" s="1552">
        <f>DIVISIONS!CX710+DIVISIONS!CX712</f>
        <v>428</v>
      </c>
      <c r="CY80" s="487">
        <f t="shared" si="125"/>
        <v>0</v>
      </c>
      <c r="CZ80" s="293">
        <f>DIVISIONS!CZ710+DIVISIONS!CZ712</f>
        <v>453</v>
      </c>
      <c r="DA80" s="293">
        <f>DIVISIONS!DA710+DIVISIONS!DA712</f>
        <v>520</v>
      </c>
      <c r="DB80" s="293">
        <f>DIVISIONS!DB710+DIVISIONS!DB712</f>
        <v>973</v>
      </c>
      <c r="DC80" s="487"/>
      <c r="DD80" s="293">
        <f>DIVISIONS!DD710+DIVISIONS!DD712</f>
        <v>457</v>
      </c>
      <c r="DE80" s="293">
        <f>DIVISIONS!DE710+DIVISIONS!DE712</f>
        <v>515</v>
      </c>
      <c r="DF80" s="293">
        <f>DIVISIONS!DF710+DIVISIONS!DF712</f>
        <v>972</v>
      </c>
      <c r="DG80" s="487"/>
      <c r="DH80" s="293">
        <f>DIVISIONS!DH710+DIVISIONS!DH712</f>
        <v>430</v>
      </c>
      <c r="DI80" s="293">
        <f>DIVISIONS!DI710+DIVISIONS!DI712</f>
        <v>421.4</v>
      </c>
      <c r="DJ80" s="293">
        <f>DIVISIONS!DJ710+DIVISIONS!DJ712</f>
        <v>851.4</v>
      </c>
      <c r="DK80" s="487"/>
      <c r="DL80" s="293">
        <f>DIVISIONS!DL710+DIVISIONS!DL712</f>
        <v>429.82799999999997</v>
      </c>
      <c r="DM80" s="293">
        <f>DIVISIONS!DM710+DIVISIONS!DM712</f>
        <v>438.42455999999999</v>
      </c>
      <c r="DN80" s="293">
        <f>DIVISIONS!DN710+DIVISIONS!DN712</f>
        <v>868.2525599999999</v>
      </c>
      <c r="DO80" s="818"/>
      <c r="DP80" s="293">
        <f>DIVISIONS!DP710+DIVISIONS!DP712</f>
        <v>447.19305120000001</v>
      </c>
      <c r="DQ80" s="293">
        <f>DIVISIONS!DQ710+DIVISIONS!DQ712</f>
        <v>456.13691222400001</v>
      </c>
      <c r="DR80" s="293">
        <f>DIVISIONS!DR710+DIVISIONS!DR712</f>
        <v>903.32996342399997</v>
      </c>
      <c r="DS80" s="818"/>
      <c r="DT80" s="850"/>
      <c r="DU80" s="850"/>
      <c r="DV80" s="850"/>
      <c r="DW80" s="850"/>
      <c r="DX80" s="818"/>
      <c r="DZ80" s="850"/>
      <c r="EA80" s="850"/>
      <c r="EB80" s="818"/>
      <c r="ED80" s="850"/>
      <c r="EE80" s="850"/>
      <c r="EF80" s="818"/>
    </row>
    <row r="81" spans="1:273" s="289" customFormat="1">
      <c r="A81" s="289" t="s">
        <v>694</v>
      </c>
      <c r="B81" s="290"/>
      <c r="AN81" s="295"/>
      <c r="AO81" s="295"/>
      <c r="AP81" s="290"/>
      <c r="AQ81" s="290"/>
      <c r="AR81" s="295"/>
      <c r="AS81" s="295"/>
      <c r="AT81" s="290"/>
      <c r="AU81" s="290"/>
      <c r="AV81" s="295">
        <f>SUM(AV73:AV80)</f>
        <v>1058</v>
      </c>
      <c r="AW81" s="295">
        <f>SUM(AW73:AW80)</f>
        <v>1321</v>
      </c>
      <c r="AX81" s="295">
        <f>+AW81+AV81</f>
        <v>2379</v>
      </c>
      <c r="AY81" s="290"/>
      <c r="AZ81" s="295">
        <f>SUM(AZ73:AZ80)</f>
        <v>1211</v>
      </c>
      <c r="BA81" s="295">
        <f>SUM(BA73:BA80)</f>
        <v>1432</v>
      </c>
      <c r="BB81" s="295">
        <f>+BA81+AZ81</f>
        <v>2643</v>
      </c>
      <c r="BC81" s="290"/>
      <c r="BD81" s="295">
        <f>SUM(BD73:BD80)</f>
        <v>1072</v>
      </c>
      <c r="BE81" s="295">
        <f>SUM(BE73:BE80)</f>
        <v>1296</v>
      </c>
      <c r="BF81" s="295">
        <f>+BE81+BD81</f>
        <v>2368</v>
      </c>
      <c r="BG81" s="290"/>
      <c r="BH81" s="295">
        <f>SUM(BH73:BH80)</f>
        <v>1199</v>
      </c>
      <c r="BI81" s="295">
        <f>SUM(BI73:BI80)</f>
        <v>1402</v>
      </c>
      <c r="BJ81" s="295">
        <f>+BI81+BH81</f>
        <v>2601</v>
      </c>
      <c r="BK81" s="295"/>
      <c r="BL81" s="295">
        <f>SUM(BL73:BL80)</f>
        <v>1451</v>
      </c>
      <c r="BM81" s="295">
        <f>SUM(BM73:BM80)</f>
        <v>1824</v>
      </c>
      <c r="BN81" s="295">
        <f>+BM81+BL81</f>
        <v>3275</v>
      </c>
      <c r="BO81" s="295"/>
      <c r="BP81" s="295">
        <f>SUM(BP73:BP80)</f>
        <v>1643</v>
      </c>
      <c r="BQ81" s="295">
        <f>SUM(BQ73:BQ80)</f>
        <v>2176</v>
      </c>
      <c r="BR81" s="295">
        <f>+BQ81+BP81</f>
        <v>3819</v>
      </c>
      <c r="BS81" s="295"/>
      <c r="BT81" s="295">
        <f>SUM(BT73:BT80)</f>
        <v>2273</v>
      </c>
      <c r="BU81" s="295">
        <f>SUM(BU73:BU80)</f>
        <v>2073</v>
      </c>
      <c r="BV81" s="295">
        <f>+BU81+BT81</f>
        <v>4346</v>
      </c>
      <c r="BW81" s="295"/>
      <c r="BX81" s="295">
        <f>SUM(BX73:BX80)</f>
        <v>1874</v>
      </c>
      <c r="BY81" s="295">
        <f>SUM(BY73:BY80)</f>
        <v>2069</v>
      </c>
      <c r="BZ81" s="295">
        <f>+BY81+BX81</f>
        <v>3943</v>
      </c>
      <c r="CA81" s="295"/>
      <c r="CB81" s="295">
        <f>SUM(CB73:CB80)</f>
        <v>1892</v>
      </c>
      <c r="CC81" s="295">
        <f>SUM(CC73:CC80)</f>
        <v>2051</v>
      </c>
      <c r="CD81" s="295">
        <f>+CC81+CB81</f>
        <v>3943</v>
      </c>
      <c r="CE81" s="791"/>
      <c r="CF81" s="295">
        <f>SUM(CF73:CF80)</f>
        <v>2229</v>
      </c>
      <c r="CG81" s="295">
        <f>SUM(CG73:CG80)</f>
        <v>2322</v>
      </c>
      <c r="CH81" s="295">
        <f>+CG81+CF81</f>
        <v>4551</v>
      </c>
      <c r="CI81" s="791">
        <v>315</v>
      </c>
      <c r="CJ81" s="295">
        <f>SUM(CJ73:CJ80)</f>
        <v>2417</v>
      </c>
      <c r="CK81" s="295">
        <f>SUM(CK73:CK80)</f>
        <v>2303</v>
      </c>
      <c r="CL81" s="295">
        <f>+CK81+CJ81</f>
        <v>4720</v>
      </c>
      <c r="CM81" s="791"/>
      <c r="CN81" s="295">
        <f>SUM(CN73:CN80)</f>
        <v>2520</v>
      </c>
      <c r="CO81" s="295">
        <f>SUM(CO73:CO80)</f>
        <v>3157</v>
      </c>
      <c r="CP81" s="295">
        <f>+CO81+CN81</f>
        <v>5677</v>
      </c>
      <c r="CQ81" s="791"/>
      <c r="CR81" s="295">
        <f>SUM(CR73:CR80)</f>
        <v>3032</v>
      </c>
      <c r="CS81" s="295">
        <f>SUM(CS73:CS80)</f>
        <v>3824</v>
      </c>
      <c r="CT81" s="295">
        <f>+CS81+CR81</f>
        <v>6856</v>
      </c>
      <c r="CU81" s="295"/>
      <c r="CV81" s="295">
        <f>SUM(CV73:CV80)</f>
        <v>4248</v>
      </c>
      <c r="CW81" s="295">
        <f>SUM(CW73:CW80)</f>
        <v>6353</v>
      </c>
      <c r="CX81" s="295">
        <f>+CW81+CV81</f>
        <v>10601</v>
      </c>
      <c r="CY81" s="487">
        <f t="shared" si="125"/>
        <v>0</v>
      </c>
      <c r="CZ81" s="295">
        <f>SUM(CZ73:CZ80)</f>
        <v>4245</v>
      </c>
      <c r="DA81" s="295">
        <f>SUM(DA73:DA80)</f>
        <v>4662</v>
      </c>
      <c r="DB81" s="295">
        <f>+DA81+CZ81</f>
        <v>8907</v>
      </c>
      <c r="DC81" s="295"/>
      <c r="DD81" s="295">
        <f>SUM(DD73:DD80)</f>
        <v>4129</v>
      </c>
      <c r="DE81" s="295">
        <f>SUM(DE73:DE80)</f>
        <v>4748</v>
      </c>
      <c r="DF81" s="295">
        <f>+DE81+DD81</f>
        <v>8877</v>
      </c>
      <c r="DG81" s="295"/>
      <c r="DH81" s="295">
        <f>SUM(DH73:DH80)</f>
        <v>4511</v>
      </c>
      <c r="DI81" s="295">
        <f>SUM(DI73:DI80)</f>
        <v>5242.826232890031</v>
      </c>
      <c r="DJ81" s="295">
        <f>SUM(DJ73:DJ80)</f>
        <v>9753.8262328900328</v>
      </c>
      <c r="DK81" s="295"/>
      <c r="DL81" s="295">
        <f>SUM(DL73:DL80)</f>
        <v>4729.4156482422477</v>
      </c>
      <c r="DM81" s="295">
        <f>SUM(DM73:DM80)</f>
        <v>5540.8763298970234</v>
      </c>
      <c r="DN81" s="295">
        <f>SUM(DN73:DN80)</f>
        <v>10270.29197813927</v>
      </c>
      <c r="DO81" s="295"/>
      <c r="DP81" s="295">
        <f>SUM(DP73:DP80)</f>
        <v>4948.216141276278</v>
      </c>
      <c r="DQ81" s="295">
        <f>SUM(DQ73:DQ80)</f>
        <v>5776.2824784110153</v>
      </c>
      <c r="DR81" s="295">
        <f>SUM(DR73:DR80)</f>
        <v>10724.498619687292</v>
      </c>
      <c r="DS81" s="295"/>
      <c r="DT81" s="290"/>
      <c r="DU81" s="295"/>
      <c r="DV81" s="295"/>
      <c r="DW81" s="295"/>
      <c r="DX81" s="295"/>
      <c r="DY81" s="290"/>
      <c r="DZ81" s="295"/>
      <c r="EA81" s="295"/>
      <c r="EB81" s="295"/>
      <c r="EC81" s="290"/>
      <c r="ED81" s="295"/>
      <c r="EE81" s="295"/>
      <c r="EF81" s="295"/>
      <c r="EG81" s="290"/>
      <c r="EH81" s="290"/>
      <c r="EI81" s="290"/>
      <c r="EJ81" s="290"/>
      <c r="EK81" s="290"/>
      <c r="EL81" s="290"/>
      <c r="EM81" s="290"/>
      <c r="EN81" s="290"/>
      <c r="EO81" s="290"/>
      <c r="EP81" s="290"/>
      <c r="JM81"/>
    </row>
    <row r="82" spans="1:273" s="641" customFormat="1">
      <c r="A82" s="786" t="s">
        <v>580</v>
      </c>
      <c r="B82" s="638"/>
      <c r="AN82" s="638"/>
      <c r="AO82" s="638"/>
      <c r="AP82" s="638"/>
      <c r="AQ82" s="638"/>
      <c r="AR82" s="638"/>
      <c r="AS82" s="638"/>
      <c r="AT82" s="638"/>
      <c r="AU82" s="638"/>
      <c r="AV82" s="769">
        <f>AV60-AV81</f>
        <v>0</v>
      </c>
      <c r="AW82" s="769">
        <f>AW60-AW81</f>
        <v>0</v>
      </c>
      <c r="AX82" s="769">
        <f>AX60-AX81</f>
        <v>0</v>
      </c>
      <c r="AY82" s="638"/>
      <c r="AZ82" s="769">
        <f>AZ60-AZ81</f>
        <v>0</v>
      </c>
      <c r="BA82" s="769">
        <f>BA60-BA81</f>
        <v>0</v>
      </c>
      <c r="BB82" s="769">
        <f>BB60-BB81</f>
        <v>0</v>
      </c>
      <c r="BC82" s="638"/>
      <c r="BD82" s="769">
        <f>BD60-BD81</f>
        <v>0</v>
      </c>
      <c r="BE82" s="769">
        <f>BE60-BE81</f>
        <v>0</v>
      </c>
      <c r="BF82" s="769">
        <f>BF60-BF81</f>
        <v>0</v>
      </c>
      <c r="BG82" s="638"/>
      <c r="BH82" s="769">
        <f>BH60-BH81</f>
        <v>0</v>
      </c>
      <c r="BI82" s="769">
        <f>BI60-BI81</f>
        <v>0</v>
      </c>
      <c r="BJ82" s="769">
        <f>BJ60-BJ81</f>
        <v>0</v>
      </c>
      <c r="BK82" s="638"/>
      <c r="BL82" s="769">
        <f>BL60-BL81</f>
        <v>0</v>
      </c>
      <c r="BM82" s="769">
        <f>BM60-BM81</f>
        <v>0</v>
      </c>
      <c r="BN82" s="769">
        <f>BN60-BN81</f>
        <v>0</v>
      </c>
      <c r="BO82" s="638"/>
      <c r="BP82" s="769">
        <f>BP60-BP81</f>
        <v>0</v>
      </c>
      <c r="BQ82" s="769">
        <f>BQ60-BQ81</f>
        <v>0</v>
      </c>
      <c r="BR82" s="769">
        <f>BR60-BR81</f>
        <v>0</v>
      </c>
      <c r="BS82" s="638"/>
      <c r="BT82" s="769">
        <f>BT60-BT81</f>
        <v>0</v>
      </c>
      <c r="BU82" s="769">
        <f>BU60-BU81</f>
        <v>0</v>
      </c>
      <c r="BV82" s="769">
        <f>BV60-BV81</f>
        <v>0</v>
      </c>
      <c r="BW82" s="638"/>
      <c r="BX82" s="769">
        <f>BX60-BX81</f>
        <v>0</v>
      </c>
      <c r="BY82" s="769">
        <f>BY60-BY81</f>
        <v>0</v>
      </c>
      <c r="BZ82" s="769">
        <f>BZ60-BZ81</f>
        <v>0</v>
      </c>
      <c r="CA82" s="638"/>
      <c r="CB82" s="769">
        <f>CB60-CB81</f>
        <v>0</v>
      </c>
      <c r="CC82" s="769">
        <f>CC60-CC81</f>
        <v>0</v>
      </c>
      <c r="CD82" s="769">
        <f>CD60-CD81</f>
        <v>0</v>
      </c>
      <c r="CE82" s="787"/>
      <c r="CF82" s="769">
        <f>CF60-CF81</f>
        <v>0</v>
      </c>
      <c r="CG82" s="769">
        <f>CG60-CG81</f>
        <v>0</v>
      </c>
      <c r="CH82" s="769">
        <f>CH60-CH81</f>
        <v>0</v>
      </c>
      <c r="CI82" s="787"/>
      <c r="CJ82" s="769">
        <f>CJ60-CJ81</f>
        <v>0</v>
      </c>
      <c r="CK82" s="769">
        <f>CK60-CK81</f>
        <v>0</v>
      </c>
      <c r="CL82" s="769">
        <f>CL60-CL81</f>
        <v>0</v>
      </c>
      <c r="CM82" s="787"/>
      <c r="CN82" s="769">
        <f>CN60-CN81</f>
        <v>0</v>
      </c>
      <c r="CO82" s="769">
        <f>CO60-CO81</f>
        <v>0</v>
      </c>
      <c r="CP82" s="769">
        <f>CP60-CP81</f>
        <v>0</v>
      </c>
      <c r="CQ82" s="787"/>
      <c r="CR82" s="769">
        <f>CR60-CR81</f>
        <v>0</v>
      </c>
      <c r="CS82" s="769">
        <f>CS60-CS81</f>
        <v>0</v>
      </c>
      <c r="CT82" s="769">
        <f>CT60-CT81</f>
        <v>0</v>
      </c>
      <c r="CU82" s="638"/>
      <c r="CV82" s="769">
        <f>CV60-CV81</f>
        <v>0</v>
      </c>
      <c r="CW82" s="769">
        <f>CW60-CW81</f>
        <v>0</v>
      </c>
      <c r="CX82" s="769">
        <f>CX60-CX81</f>
        <v>0</v>
      </c>
      <c r="CY82" s="638"/>
      <c r="CZ82" s="769">
        <f>CZ60-CZ81</f>
        <v>0</v>
      </c>
      <c r="DA82" s="769">
        <f>DA60-DA81</f>
        <v>0</v>
      </c>
      <c r="DB82" s="769">
        <f>DB60-DB81</f>
        <v>0</v>
      </c>
      <c r="DC82" s="638"/>
      <c r="DD82" s="769">
        <f>DD60-DD81</f>
        <v>0</v>
      </c>
      <c r="DE82" s="769">
        <f>DE60-DE81</f>
        <v>0</v>
      </c>
      <c r="DF82" s="769">
        <f>DF60-DF81</f>
        <v>0</v>
      </c>
      <c r="DG82" s="638"/>
      <c r="DH82" s="769">
        <f>DH60-DH81</f>
        <v>0</v>
      </c>
      <c r="DI82" s="769">
        <f>DI60-DI81</f>
        <v>0</v>
      </c>
      <c r="DJ82" s="769">
        <f>DJ60-DJ81</f>
        <v>0</v>
      </c>
      <c r="DK82" s="638"/>
      <c r="DL82" s="769">
        <f>DL60-DL81</f>
        <v>0</v>
      </c>
      <c r="DM82" s="769">
        <f>DM60-DM81</f>
        <v>0</v>
      </c>
      <c r="DN82" s="769">
        <f>DN60-DN81</f>
        <v>0</v>
      </c>
      <c r="DO82" s="638"/>
      <c r="DP82" s="769">
        <f>DP60-DP81</f>
        <v>0</v>
      </c>
      <c r="DQ82" s="769">
        <f>DQ60-DQ81</f>
        <v>0</v>
      </c>
      <c r="DR82" s="769">
        <f>DR60-DR81</f>
        <v>0</v>
      </c>
      <c r="DS82" s="638"/>
      <c r="DT82" s="638"/>
      <c r="DU82" s="638"/>
      <c r="DV82" s="638"/>
      <c r="DW82" s="638"/>
      <c r="DX82" s="638"/>
      <c r="DY82" s="638"/>
      <c r="DZ82" s="638"/>
      <c r="EA82" s="638"/>
      <c r="EB82" s="638"/>
      <c r="EC82" s="638"/>
      <c r="ED82" s="638"/>
      <c r="EE82" s="638"/>
      <c r="EF82" s="638"/>
      <c r="EG82" s="638"/>
      <c r="EH82" s="638"/>
      <c r="EI82" s="638"/>
      <c r="EJ82" s="638"/>
      <c r="EK82" s="638"/>
      <c r="EL82" s="638"/>
      <c r="EM82" s="638"/>
      <c r="EN82" s="638"/>
      <c r="EO82" s="638"/>
      <c r="EP82" s="638"/>
      <c r="JM82"/>
    </row>
    <row r="83" spans="1:273">
      <c r="A83" s="289"/>
      <c r="BD83" s="293"/>
      <c r="BE83" s="293"/>
      <c r="BH83" s="293"/>
    </row>
    <row r="84" spans="1:273" s="834" customFormat="1" ht="15.6">
      <c r="A84" s="852" t="s">
        <v>732</v>
      </c>
      <c r="B84" s="833"/>
      <c r="AN84" s="833"/>
      <c r="AO84" s="833"/>
      <c r="AP84" s="833"/>
      <c r="AQ84" s="833"/>
      <c r="AR84" s="833"/>
      <c r="AS84" s="833"/>
      <c r="AT84" s="833"/>
      <c r="AU84" s="833"/>
      <c r="AV84" s="833"/>
      <c r="AW84" s="833"/>
      <c r="AX84" s="833"/>
      <c r="AY84" s="833"/>
      <c r="AZ84" s="833"/>
      <c r="BA84" s="833"/>
      <c r="BB84" s="833"/>
      <c r="BC84" s="833"/>
      <c r="BD84" s="833"/>
      <c r="BE84" s="833"/>
      <c r="BF84" s="833"/>
      <c r="BG84" s="833"/>
      <c r="BH84" s="833"/>
      <c r="BI84" s="833"/>
      <c r="BJ84" s="833"/>
      <c r="BK84" s="833"/>
      <c r="BL84" s="833"/>
      <c r="BM84" s="833"/>
      <c r="BN84" s="833"/>
      <c r="BO84" s="833"/>
      <c r="BP84" s="833"/>
      <c r="BQ84" s="833"/>
      <c r="BR84" s="833"/>
      <c r="BS84" s="833"/>
      <c r="BT84" s="833"/>
      <c r="BU84" s="833"/>
      <c r="BV84" s="833"/>
      <c r="BW84" s="833"/>
      <c r="BX84" s="833"/>
      <c r="BY84" s="833"/>
      <c r="BZ84" s="833"/>
      <c r="CA84" s="833"/>
      <c r="CB84" s="833"/>
      <c r="CC84" s="833"/>
      <c r="CD84" s="833"/>
      <c r="CE84" s="1607"/>
      <c r="CF84" s="833"/>
      <c r="CG84" s="833"/>
      <c r="CH84" s="833"/>
      <c r="CI84" s="1607"/>
      <c r="CJ84" s="833"/>
      <c r="CK84" s="833"/>
      <c r="CL84" s="833"/>
      <c r="CM84" s="1607"/>
      <c r="CN84" s="833"/>
      <c r="CO84" s="833"/>
      <c r="CP84" s="833"/>
      <c r="CQ84" s="1607"/>
      <c r="CR84" s="833"/>
      <c r="CS84" s="833"/>
      <c r="CT84" s="833"/>
      <c r="CU84" s="833"/>
      <c r="CV84" s="833"/>
      <c r="CW84" s="833"/>
      <c r="CX84" s="833"/>
      <c r="CY84" s="833"/>
      <c r="CZ84" s="833"/>
      <c r="DA84" s="833"/>
      <c r="DB84" s="833"/>
      <c r="DC84" s="833"/>
      <c r="DD84" s="833"/>
      <c r="DE84" s="833"/>
      <c r="DF84" s="833"/>
      <c r="DG84" s="833"/>
      <c r="DH84" s="833"/>
      <c r="DI84" s="833"/>
      <c r="DJ84" s="833"/>
      <c r="DK84" s="833"/>
      <c r="DL84" s="833"/>
      <c r="DM84" s="833"/>
      <c r="DN84" s="833"/>
      <c r="DO84" s="833"/>
      <c r="DP84" s="833"/>
      <c r="DQ84" s="833"/>
      <c r="DR84" s="833"/>
      <c r="DS84" s="833"/>
      <c r="DT84" s="833"/>
      <c r="DU84" s="833"/>
      <c r="DV84" s="833"/>
      <c r="DW84" s="833"/>
      <c r="DX84" s="833"/>
      <c r="DY84" s="833"/>
      <c r="DZ84" s="833"/>
      <c r="EA84" s="833"/>
      <c r="EB84" s="833"/>
      <c r="EC84" s="833"/>
      <c r="ED84" s="833"/>
      <c r="EE84" s="833"/>
      <c r="EF84" s="833"/>
      <c r="EG84" s="833"/>
      <c r="EH84" s="833"/>
      <c r="EI84" s="833"/>
      <c r="EJ84" s="833"/>
      <c r="EK84" s="833"/>
      <c r="EL84" s="833"/>
      <c r="EM84" s="833"/>
      <c r="EN84" s="833"/>
      <c r="EO84" s="833"/>
      <c r="EP84" s="833"/>
      <c r="FL84" s="102"/>
      <c r="FM84" s="102"/>
      <c r="FN84" s="102"/>
      <c r="FO84" s="102"/>
      <c r="FP84" s="102"/>
      <c r="FQ84" s="102"/>
      <c r="FR84" s="102"/>
      <c r="FS84" s="102"/>
      <c r="FT84" s="102"/>
      <c r="FU84" s="102"/>
      <c r="FV84" s="102"/>
      <c r="FW84" s="102"/>
      <c r="FX84" s="102"/>
      <c r="FY84" s="102"/>
      <c r="FZ84" s="102"/>
      <c r="GA84" s="102"/>
      <c r="GB84" s="102"/>
      <c r="GC84" s="102"/>
      <c r="GD84" s="102"/>
      <c r="GE84" s="102"/>
      <c r="GF84" s="102"/>
      <c r="GG84" s="102"/>
      <c r="GH84" s="102"/>
      <c r="GI84" s="102"/>
      <c r="GJ84" s="102"/>
      <c r="GK84" s="102"/>
      <c r="GL84" s="102"/>
      <c r="GM84" s="102"/>
      <c r="GN84" s="102"/>
      <c r="GO84" s="102"/>
      <c r="GP84" s="102"/>
      <c r="GQ84" s="102"/>
      <c r="GR84" s="102"/>
      <c r="GS84" s="102"/>
      <c r="GT84" s="102"/>
      <c r="GU84" s="102"/>
      <c r="GV84" s="102"/>
      <c r="GW84" s="102"/>
      <c r="GX84" s="102"/>
      <c r="GY84" s="102"/>
      <c r="GZ84" s="102"/>
      <c r="HA84" s="102"/>
      <c r="HB84" s="102"/>
      <c r="HC84" s="102"/>
      <c r="HD84" s="102"/>
      <c r="HE84" s="102"/>
      <c r="HF84" s="102"/>
      <c r="HG84" s="102"/>
      <c r="HH84" s="102"/>
      <c r="HI84" s="102"/>
      <c r="HJ84" s="102"/>
      <c r="HK84" s="102"/>
      <c r="HL84" s="102"/>
      <c r="HM84" s="102"/>
      <c r="HN84" s="102"/>
      <c r="HO84" s="102"/>
      <c r="HP84" s="102"/>
      <c r="HQ84" s="102"/>
      <c r="HR84" s="102"/>
      <c r="HS84" s="102"/>
      <c r="HT84" s="102"/>
      <c r="HU84" s="102"/>
      <c r="HV84" s="102"/>
      <c r="HW84" s="102"/>
      <c r="HX84" s="102"/>
      <c r="HY84" s="102"/>
      <c r="HZ84" s="102"/>
      <c r="IA84" s="102"/>
      <c r="IB84" s="102"/>
      <c r="IC84" s="102"/>
      <c r="ID84" s="102"/>
      <c r="IE84" s="102"/>
      <c r="IF84" s="102"/>
      <c r="IG84" s="102"/>
      <c r="IH84" s="102"/>
      <c r="II84" s="102"/>
      <c r="IJ84" s="102"/>
      <c r="IK84" s="102"/>
      <c r="IL84" s="102"/>
      <c r="IM84" s="102"/>
      <c r="IN84" s="102"/>
      <c r="IO84" s="102"/>
      <c r="IP84" s="102"/>
      <c r="IQ84" s="102"/>
      <c r="IR84" s="102"/>
      <c r="IS84" s="102"/>
      <c r="IT84" s="102"/>
      <c r="IU84" s="102"/>
      <c r="IV84" s="102"/>
      <c r="IW84" s="102"/>
      <c r="IX84" s="102"/>
      <c r="IY84" s="102"/>
      <c r="IZ84" s="102"/>
      <c r="JA84" s="102"/>
      <c r="JB84" s="102"/>
      <c r="JC84" s="102"/>
      <c r="JD84" s="102"/>
      <c r="JE84" s="102"/>
      <c r="JF84" s="102"/>
      <c r="JG84" s="102"/>
      <c r="JH84" s="102"/>
      <c r="JI84" s="102"/>
      <c r="JJ84" s="102"/>
      <c r="JK84" s="102"/>
      <c r="JL84" s="102"/>
      <c r="JM84"/>
    </row>
    <row r="86" spans="1:273">
      <c r="A86" s="815" t="s">
        <v>780</v>
      </c>
    </row>
    <row r="87" spans="1:273" s="854" customFormat="1">
      <c r="A87" s="102" t="s">
        <v>685</v>
      </c>
      <c r="B87" s="103"/>
      <c r="C87" s="102"/>
      <c r="D87" s="102"/>
      <c r="E87" s="102"/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293"/>
      <c r="AO87" s="293"/>
      <c r="AP87" s="293"/>
      <c r="AQ87" s="293"/>
      <c r="AR87" s="293"/>
      <c r="AS87" s="293"/>
      <c r="AT87" s="293"/>
      <c r="AU87" s="626"/>
      <c r="AV87" s="293"/>
      <c r="AW87" s="293"/>
      <c r="AX87" s="293"/>
      <c r="AY87" s="626"/>
      <c r="AZ87" s="293"/>
      <c r="BA87" s="293"/>
      <c r="BB87" s="293"/>
      <c r="BC87" s="853"/>
      <c r="BD87" s="293"/>
      <c r="BE87" s="293"/>
      <c r="BF87" s="293"/>
      <c r="BG87" s="853"/>
      <c r="BH87" s="293"/>
      <c r="BI87" s="293"/>
      <c r="BJ87" s="293"/>
      <c r="BK87" s="853"/>
      <c r="BL87" s="293"/>
      <c r="BM87" s="293"/>
      <c r="BN87" s="293"/>
      <c r="BO87" s="853"/>
      <c r="BP87" s="293"/>
      <c r="BQ87" s="293"/>
      <c r="BR87" s="293"/>
      <c r="BS87" s="853"/>
      <c r="BT87" s="293"/>
      <c r="BU87" s="293"/>
      <c r="BV87" s="293"/>
      <c r="BW87" s="853"/>
      <c r="BX87" s="293"/>
      <c r="BY87" s="293"/>
      <c r="BZ87" s="293"/>
      <c r="CA87" s="853"/>
      <c r="CB87" s="293"/>
      <c r="CC87" s="293"/>
      <c r="CD87" s="293"/>
      <c r="CE87" s="862"/>
      <c r="CF87" s="293"/>
      <c r="CG87" s="293"/>
      <c r="CH87" s="293"/>
      <c r="CI87" s="862"/>
      <c r="CJ87" s="293"/>
      <c r="CK87" s="293" t="s">
        <v>1211</v>
      </c>
      <c r="CL87" s="293"/>
      <c r="CM87" s="862"/>
      <c r="CN87" s="293"/>
      <c r="CO87" s="293" t="s">
        <v>1211</v>
      </c>
      <c r="CP87" s="293"/>
      <c r="CQ87" s="862"/>
      <c r="CR87" s="293"/>
      <c r="CS87" s="293"/>
      <c r="CT87" s="293"/>
      <c r="CU87" s="853"/>
      <c r="CV87" s="293"/>
      <c r="CW87" s="293"/>
      <c r="CX87" s="293"/>
      <c r="CY87" s="853"/>
      <c r="CZ87" s="293"/>
      <c r="DA87" s="293"/>
      <c r="DB87" s="293"/>
      <c r="DC87" s="853"/>
      <c r="DD87" s="293"/>
      <c r="DE87" s="293"/>
      <c r="DF87" s="293"/>
      <c r="DG87" s="853"/>
      <c r="DH87" s="293"/>
      <c r="DI87" s="293"/>
      <c r="DJ87" s="293"/>
      <c r="DK87" s="853"/>
      <c r="DL87" s="293"/>
      <c r="DM87" s="293"/>
      <c r="DN87" s="293"/>
      <c r="DO87" s="853"/>
      <c r="DP87" s="293"/>
      <c r="DQ87" s="293"/>
      <c r="DR87" s="293"/>
      <c r="DS87" s="853"/>
      <c r="DT87" s="853"/>
      <c r="DU87" s="850"/>
      <c r="DV87" s="850"/>
      <c r="DW87" s="850"/>
      <c r="DX87" s="853"/>
      <c r="DY87" s="853"/>
      <c r="DZ87" s="850"/>
      <c r="EA87" s="850"/>
      <c r="EB87" s="853"/>
      <c r="EC87" s="853"/>
      <c r="ED87" s="850"/>
      <c r="EE87" s="850"/>
      <c r="EF87" s="853"/>
      <c r="EG87" s="853"/>
      <c r="EH87" s="853"/>
      <c r="EI87" s="853"/>
      <c r="EJ87" s="853"/>
      <c r="EK87" s="853"/>
      <c r="EL87" s="853"/>
      <c r="EM87" s="853"/>
      <c r="EN87" s="853"/>
      <c r="EO87" s="853"/>
      <c r="EP87" s="853"/>
      <c r="EQ87" s="855"/>
      <c r="ER87" s="855"/>
      <c r="ES87" s="855"/>
      <c r="ET87" s="855"/>
      <c r="EU87" s="855"/>
      <c r="EV87" s="855"/>
      <c r="EW87" s="855"/>
      <c r="EX87" s="855"/>
      <c r="EY87" s="855"/>
      <c r="EZ87" s="855"/>
      <c r="FA87" s="855"/>
      <c r="FB87" s="855"/>
      <c r="FC87" s="855"/>
      <c r="FD87" s="855"/>
      <c r="FE87" s="855"/>
      <c r="FF87" s="855"/>
      <c r="FG87" s="855"/>
      <c r="FH87" s="855"/>
      <c r="FI87" s="855"/>
      <c r="FJ87" s="855"/>
      <c r="FK87" s="855"/>
      <c r="FL87" s="855"/>
      <c r="FM87" s="855"/>
      <c r="FN87" s="855"/>
      <c r="FO87" s="855"/>
      <c r="FP87" s="855"/>
      <c r="FQ87" s="855"/>
      <c r="FR87" s="855"/>
      <c r="FS87" s="855"/>
      <c r="FT87" s="855"/>
      <c r="FU87" s="855"/>
      <c r="FV87" s="855"/>
      <c r="FW87" s="855"/>
      <c r="FX87" s="855"/>
      <c r="FY87" s="855"/>
      <c r="FZ87" s="855"/>
      <c r="GA87" s="855"/>
      <c r="GB87" s="855"/>
      <c r="GC87" s="855"/>
      <c r="GD87" s="855"/>
      <c r="GE87" s="855"/>
      <c r="GF87" s="855"/>
      <c r="GG87" s="855"/>
      <c r="GH87" s="855"/>
      <c r="GI87" s="855"/>
      <c r="GJ87" s="855"/>
      <c r="GK87" s="855"/>
      <c r="GL87" s="855"/>
      <c r="GM87" s="855"/>
      <c r="GN87" s="855"/>
      <c r="GO87" s="855"/>
      <c r="GP87" s="855"/>
      <c r="GQ87" s="855"/>
      <c r="GR87" s="855"/>
      <c r="GS87" s="855"/>
      <c r="GT87" s="855"/>
      <c r="GU87" s="855"/>
      <c r="GV87" s="855"/>
      <c r="GW87" s="855"/>
      <c r="GX87" s="855"/>
      <c r="GY87" s="855"/>
      <c r="GZ87" s="855"/>
      <c r="HA87" s="855"/>
      <c r="HB87" s="855"/>
      <c r="HC87" s="855"/>
      <c r="HD87" s="855"/>
      <c r="HE87" s="855"/>
      <c r="HF87" s="855"/>
      <c r="HG87" s="855"/>
      <c r="HH87" s="855"/>
      <c r="HI87" s="855"/>
      <c r="HJ87" s="855"/>
      <c r="HK87" s="855"/>
      <c r="HL87" s="855"/>
      <c r="HM87" s="855"/>
      <c r="HN87" s="855"/>
      <c r="HO87" s="855"/>
      <c r="HP87" s="855"/>
      <c r="HQ87" s="855"/>
      <c r="HR87" s="855"/>
      <c r="HS87" s="855"/>
      <c r="HT87" s="855"/>
      <c r="HU87" s="855"/>
      <c r="HV87" s="855"/>
      <c r="HW87" s="855"/>
      <c r="HX87" s="855"/>
      <c r="HY87" s="855"/>
      <c r="HZ87" s="855"/>
      <c r="IA87" s="855"/>
      <c r="IB87" s="855"/>
      <c r="IC87" s="855"/>
      <c r="ID87" s="855"/>
      <c r="IE87" s="855"/>
      <c r="IF87" s="855"/>
      <c r="IG87" s="855"/>
      <c r="IH87" s="855"/>
      <c r="II87" s="855"/>
      <c r="IJ87" s="855"/>
      <c r="IK87" s="855"/>
      <c r="IL87" s="855"/>
      <c r="IM87" s="855"/>
      <c r="IN87" s="855"/>
      <c r="IO87" s="855"/>
      <c r="IP87" s="855"/>
      <c r="IQ87" s="855"/>
      <c r="IR87" s="855"/>
      <c r="IS87" s="855"/>
      <c r="IT87" s="855"/>
      <c r="IU87" s="855"/>
      <c r="IV87" s="855"/>
      <c r="IW87" s="855"/>
      <c r="IX87" s="855"/>
      <c r="IY87" s="855"/>
      <c r="IZ87" s="855"/>
      <c r="JA87" s="855"/>
      <c r="JB87" s="855"/>
      <c r="JC87" s="855"/>
      <c r="JD87" s="855"/>
      <c r="JE87" s="855"/>
      <c r="JF87" s="855"/>
      <c r="JG87" s="855"/>
      <c r="JH87" s="855"/>
      <c r="JI87" s="855"/>
      <c r="JJ87" s="855"/>
      <c r="JK87" s="855"/>
      <c r="JL87" s="855"/>
      <c r="JM87"/>
    </row>
    <row r="88" spans="1:273" s="854" customFormat="1">
      <c r="A88" s="102" t="s">
        <v>686</v>
      </c>
      <c r="B88" s="103"/>
      <c r="C88" s="102"/>
      <c r="D88" s="102"/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293"/>
      <c r="AO88" s="293"/>
      <c r="AP88" s="293"/>
      <c r="AQ88" s="293"/>
      <c r="AR88" s="293"/>
      <c r="AS88" s="293"/>
      <c r="AT88" s="293"/>
      <c r="AU88" s="626"/>
      <c r="AV88" s="293">
        <f>DIVISIONS!AV148</f>
        <v>546</v>
      </c>
      <c r="AW88" s="293">
        <f>DIVISIONS!AW148</f>
        <v>450</v>
      </c>
      <c r="AX88" s="293">
        <f>DIVISIONS!AX148</f>
        <v>996</v>
      </c>
      <c r="AY88" s="626"/>
      <c r="AZ88" s="293">
        <f>DIVISIONS!AZ148</f>
        <v>376</v>
      </c>
      <c r="BA88" s="293">
        <f>DIVISIONS!BA148</f>
        <v>477</v>
      </c>
      <c r="BB88" s="293">
        <f>DIVISIONS!BB148</f>
        <v>853</v>
      </c>
      <c r="BC88" s="853"/>
      <c r="BD88" s="293">
        <f>DIVISIONS!BD148</f>
        <v>313</v>
      </c>
      <c r="BE88" s="293">
        <f>DIVISIONS!BE148</f>
        <v>322</v>
      </c>
      <c r="BF88" s="293">
        <f>DIVISIONS!BF148</f>
        <v>635</v>
      </c>
      <c r="BG88" s="853"/>
      <c r="BH88" s="293">
        <f>DIVISIONS!BH148</f>
        <v>273</v>
      </c>
      <c r="BI88" s="293">
        <f>DIVISIONS!BI148</f>
        <v>267</v>
      </c>
      <c r="BJ88" s="293">
        <f>DIVISIONS!BJ148</f>
        <v>540</v>
      </c>
      <c r="BK88" s="853"/>
      <c r="BL88" s="293">
        <f>DIVISIONS!BL148</f>
        <v>288</v>
      </c>
      <c r="BM88" s="293">
        <f>DIVISIONS!BM148</f>
        <v>379</v>
      </c>
      <c r="BN88" s="293">
        <f>DIVISIONS!BN148</f>
        <v>667</v>
      </c>
      <c r="BO88" s="853" t="s">
        <v>184</v>
      </c>
      <c r="BP88" s="293">
        <f>DIVISIONS!BP148</f>
        <v>332</v>
      </c>
      <c r="BQ88" s="293">
        <f>DIVISIONS!BQ148</f>
        <v>465</v>
      </c>
      <c r="BR88" s="293">
        <f>DIVISIONS!BR148</f>
        <v>797</v>
      </c>
      <c r="BS88" s="853" t="s">
        <v>184</v>
      </c>
      <c r="BT88" s="293">
        <f>DIVISIONS!BT148</f>
        <v>448</v>
      </c>
      <c r="BU88" s="293">
        <f>DIVISIONS!BU148</f>
        <v>351</v>
      </c>
      <c r="BV88" s="293">
        <f>DIVISIONS!BV148</f>
        <v>799</v>
      </c>
      <c r="BW88" s="853"/>
      <c r="BX88" s="293">
        <f>DIVISIONS!BX148</f>
        <v>382.05057471264371</v>
      </c>
      <c r="BY88" s="293">
        <f>DIVISIONS!BY148</f>
        <v>432.56206896551726</v>
      </c>
      <c r="BZ88" s="293">
        <f>DIVISIONS!BZ148</f>
        <v>814.61264367816102</v>
      </c>
      <c r="CA88" s="853"/>
      <c r="CB88" s="293">
        <f>DIVISIONS!CB148</f>
        <v>387.56091954022992</v>
      </c>
      <c r="CC88" s="293">
        <f>DIVISIONS!CC148</f>
        <v>388.47931034482758</v>
      </c>
      <c r="CD88" s="293">
        <f>DIVISIONS!CD148</f>
        <v>776.04022988505744</v>
      </c>
      <c r="CE88" s="862"/>
      <c r="CF88" s="293">
        <f>DIVISIONS!CF148</f>
        <v>514</v>
      </c>
      <c r="CG88" s="293">
        <f>DIVISIONS!CG148</f>
        <v>388</v>
      </c>
      <c r="CH88" s="293">
        <f>DIVISIONS!CH148</f>
        <v>902</v>
      </c>
      <c r="CI88" s="862"/>
      <c r="CJ88" s="293">
        <f>DIVISIONS!CJ148</f>
        <v>411</v>
      </c>
      <c r="CK88" s="293">
        <f>DIVISIONS!CK148</f>
        <v>441</v>
      </c>
      <c r="CL88" s="293">
        <f>DIVISIONS!CL148</f>
        <v>852</v>
      </c>
      <c r="CM88" s="862"/>
      <c r="CN88" s="293">
        <f>DIVISIONS!CN148</f>
        <v>413</v>
      </c>
      <c r="CO88" s="293">
        <f>DIVISIONS!CO148</f>
        <v>445</v>
      </c>
      <c r="CP88" s="293">
        <f>DIVISIONS!CP148</f>
        <v>858</v>
      </c>
      <c r="CQ88" s="862"/>
      <c r="CR88" s="293">
        <f>DIVISIONS!CR148</f>
        <v>618</v>
      </c>
      <c r="CS88" s="293">
        <f>DIVISIONS!CS148</f>
        <v>755</v>
      </c>
      <c r="CT88" s="293">
        <f>DIVISIONS!CT148</f>
        <v>1373</v>
      </c>
      <c r="CU88" s="853"/>
      <c r="CV88" s="293">
        <f>DIVISIONS!CV148</f>
        <v>438</v>
      </c>
      <c r="CW88" s="293">
        <f>DIVISIONS!CW148</f>
        <v>553</v>
      </c>
      <c r="CX88" s="293">
        <f>DIVISIONS!CX148</f>
        <v>991</v>
      </c>
      <c r="CY88" s="853"/>
      <c r="CZ88" s="293">
        <f>DIVISIONS!CZ148</f>
        <v>408</v>
      </c>
      <c r="DA88" s="293">
        <f>DIVISIONS!DA148</f>
        <v>335</v>
      </c>
      <c r="DB88" s="293">
        <f>DIVISIONS!DB148</f>
        <v>743</v>
      </c>
      <c r="DC88" s="853"/>
      <c r="DD88" s="293">
        <f>DIVISIONS!DD148</f>
        <v>413</v>
      </c>
      <c r="DE88" s="293">
        <f>DIVISIONS!DE148</f>
        <v>503</v>
      </c>
      <c r="DF88" s="293">
        <f>DIVISIONS!DF148</f>
        <v>916</v>
      </c>
      <c r="DG88" s="853"/>
      <c r="DH88" s="293">
        <f>DIVISIONS!DH148</f>
        <v>558</v>
      </c>
      <c r="DI88" s="293">
        <f>DIVISIONS!DI148</f>
        <v>530.1</v>
      </c>
      <c r="DJ88" s="293">
        <f>DIVISIONS!DJ148</f>
        <v>1088.0999999999999</v>
      </c>
      <c r="DK88" s="853"/>
      <c r="DL88" s="293">
        <f>DIVISIONS!DL148</f>
        <v>556.60500000000002</v>
      </c>
      <c r="DM88" s="293">
        <f>DIVISIONS!DM148</f>
        <v>584.43525</v>
      </c>
      <c r="DN88" s="293">
        <f>DIVISIONS!DN148</f>
        <v>1141.04025</v>
      </c>
      <c r="DO88" s="853"/>
      <c r="DP88" s="293">
        <f>DIVISIONS!DP148</f>
        <v>596.12395500000002</v>
      </c>
      <c r="DQ88" s="293">
        <f>DIVISIONS!DQ148</f>
        <v>608.04643410000006</v>
      </c>
      <c r="DR88" s="293">
        <f>DIVISIONS!DR148</f>
        <v>1204.1703891000002</v>
      </c>
      <c r="DS88" s="853"/>
      <c r="DT88" s="853"/>
      <c r="DU88" s="850"/>
      <c r="DV88" s="850"/>
      <c r="DW88" s="850"/>
      <c r="DX88" s="853"/>
      <c r="DY88" s="853"/>
      <c r="DZ88" s="850"/>
      <c r="EA88" s="850"/>
      <c r="EB88" s="853"/>
      <c r="EC88" s="853"/>
      <c r="ED88" s="850"/>
      <c r="EE88" s="850"/>
      <c r="EF88" s="853"/>
      <c r="EG88" s="853"/>
      <c r="EH88" s="853"/>
      <c r="EI88" s="853"/>
      <c r="EJ88" s="853"/>
      <c r="EK88" s="853"/>
      <c r="EL88" s="853"/>
      <c r="EM88" s="853"/>
      <c r="EN88" s="853"/>
      <c r="EO88" s="853"/>
      <c r="EP88" s="853"/>
      <c r="EQ88" s="855"/>
      <c r="ER88" s="855"/>
      <c r="ES88" s="855"/>
      <c r="ET88" s="855"/>
      <c r="EU88" s="855"/>
      <c r="EV88" s="855"/>
      <c r="EW88" s="855"/>
      <c r="EX88" s="855"/>
      <c r="EY88" s="855"/>
      <c r="EZ88" s="855"/>
      <c r="FA88" s="855"/>
      <c r="FB88" s="855"/>
      <c r="FC88" s="855"/>
      <c r="FD88" s="855"/>
      <c r="FE88" s="855"/>
      <c r="FF88" s="855"/>
      <c r="FG88" s="855"/>
      <c r="FH88" s="855"/>
      <c r="FI88" s="855"/>
      <c r="FJ88" s="855"/>
      <c r="FK88" s="855"/>
      <c r="FL88" s="855"/>
      <c r="FM88" s="855"/>
      <c r="FN88" s="855"/>
      <c r="FO88" s="855"/>
      <c r="FP88" s="855"/>
      <c r="FQ88" s="855"/>
      <c r="FR88" s="855"/>
      <c r="FS88" s="855"/>
      <c r="FT88" s="855"/>
      <c r="FU88" s="855"/>
      <c r="FV88" s="855"/>
      <c r="FW88" s="855"/>
      <c r="FX88" s="855"/>
      <c r="FY88" s="855"/>
      <c r="FZ88" s="855"/>
      <c r="GA88" s="855"/>
      <c r="GB88" s="855"/>
      <c r="GC88" s="855"/>
      <c r="GD88" s="855"/>
      <c r="GE88" s="855"/>
      <c r="GF88" s="855"/>
      <c r="GG88" s="855"/>
      <c r="GH88" s="855"/>
      <c r="GI88" s="855"/>
      <c r="GJ88" s="855"/>
      <c r="GK88" s="855"/>
      <c r="GL88" s="855"/>
      <c r="GM88" s="855"/>
      <c r="GN88" s="855"/>
      <c r="GO88" s="855"/>
      <c r="GP88" s="855"/>
      <c r="GQ88" s="855"/>
      <c r="GR88" s="855"/>
      <c r="GS88" s="855"/>
      <c r="GT88" s="855"/>
      <c r="GU88" s="855"/>
      <c r="GV88" s="855"/>
      <c r="GW88" s="855"/>
      <c r="GX88" s="855"/>
      <c r="GY88" s="855"/>
      <c r="GZ88" s="855"/>
      <c r="HA88" s="855"/>
      <c r="HB88" s="855"/>
      <c r="HC88" s="855"/>
      <c r="HD88" s="855"/>
      <c r="HE88" s="855"/>
      <c r="HF88" s="855"/>
      <c r="HG88" s="855"/>
      <c r="HH88" s="855"/>
      <c r="HI88" s="855"/>
      <c r="HJ88" s="855"/>
      <c r="HK88" s="855"/>
      <c r="HL88" s="855"/>
      <c r="HM88" s="855"/>
      <c r="HN88" s="855"/>
      <c r="HO88" s="855"/>
      <c r="HP88" s="855"/>
      <c r="HQ88" s="855"/>
      <c r="HR88" s="855"/>
      <c r="HS88" s="855"/>
      <c r="HT88" s="855"/>
      <c r="HU88" s="855"/>
      <c r="HV88" s="855"/>
      <c r="HW88" s="855"/>
      <c r="HX88" s="855"/>
      <c r="HY88" s="855"/>
      <c r="HZ88" s="855"/>
      <c r="IA88" s="855"/>
      <c r="IB88" s="855"/>
      <c r="IC88" s="855"/>
      <c r="ID88" s="855"/>
      <c r="IE88" s="855"/>
      <c r="IF88" s="855"/>
      <c r="IG88" s="855"/>
      <c r="IH88" s="855"/>
      <c r="II88" s="855"/>
      <c r="IJ88" s="855"/>
      <c r="IK88" s="855"/>
      <c r="IL88" s="855"/>
      <c r="IM88" s="855"/>
      <c r="IN88" s="855"/>
      <c r="IO88" s="855"/>
      <c r="IP88" s="855"/>
      <c r="IQ88" s="855"/>
      <c r="IR88" s="855"/>
      <c r="IS88" s="855"/>
      <c r="IT88" s="855"/>
      <c r="IU88" s="855"/>
      <c r="IV88" s="855"/>
      <c r="IW88" s="855"/>
      <c r="IX88" s="855"/>
      <c r="IY88" s="855"/>
      <c r="IZ88" s="855"/>
      <c r="JA88" s="855"/>
      <c r="JB88" s="855"/>
      <c r="JC88" s="855"/>
      <c r="JD88" s="855"/>
      <c r="JE88" s="855"/>
      <c r="JF88" s="855"/>
      <c r="JG88" s="855"/>
      <c r="JH88" s="855"/>
      <c r="JI88" s="855"/>
      <c r="JJ88" s="855"/>
      <c r="JK88" s="855"/>
      <c r="JL88" s="855"/>
      <c r="JM88"/>
    </row>
    <row r="89" spans="1:273" s="854" customFormat="1">
      <c r="A89" s="102" t="s">
        <v>616</v>
      </c>
      <c r="B89" s="103"/>
      <c r="C89" s="102"/>
      <c r="D89" s="102"/>
      <c r="E89" s="102"/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293"/>
      <c r="AO89" s="293"/>
      <c r="AP89" s="293"/>
      <c r="AQ89" s="293"/>
      <c r="AR89" s="293"/>
      <c r="AS89" s="293"/>
      <c r="AT89" s="293"/>
      <c r="AU89" s="626"/>
      <c r="AV89" s="293">
        <f>DIVISIONS!AV408</f>
        <v>20</v>
      </c>
      <c r="AW89" s="293">
        <f>DIVISIONS!AW408</f>
        <v>19</v>
      </c>
      <c r="AX89" s="293">
        <f>DIVISIONS!AX408</f>
        <v>39</v>
      </c>
      <c r="AY89" s="626"/>
      <c r="AZ89" s="293">
        <f>DIVISIONS!AZ408</f>
        <v>3</v>
      </c>
      <c r="BA89" s="293">
        <f>DIVISIONS!BA408</f>
        <v>18</v>
      </c>
      <c r="BB89" s="293">
        <f>DIVISIONS!BB408</f>
        <v>21</v>
      </c>
      <c r="BC89" s="853"/>
      <c r="BD89" s="293">
        <f>DIVISIONS!BD408</f>
        <v>2</v>
      </c>
      <c r="BE89" s="293">
        <f>DIVISIONS!BE408</f>
        <v>5</v>
      </c>
      <c r="BF89" s="293">
        <f>DIVISIONS!BF408</f>
        <v>7</v>
      </c>
      <c r="BG89" s="853"/>
      <c r="BH89" s="293">
        <f>DIVISIONS!BH408</f>
        <v>5</v>
      </c>
      <c r="BI89" s="293">
        <f>DIVISIONS!BI408</f>
        <v>5</v>
      </c>
      <c r="BJ89" s="293">
        <f>DIVISIONS!BJ408</f>
        <v>10</v>
      </c>
      <c r="BK89" s="853"/>
      <c r="BL89" s="293">
        <f>DIVISIONS!BL408</f>
        <v>5</v>
      </c>
      <c r="BM89" s="293">
        <f>DIVISIONS!BM408</f>
        <v>5</v>
      </c>
      <c r="BN89" s="293">
        <f>DIVISIONS!BN408</f>
        <v>10</v>
      </c>
      <c r="BO89" s="853" t="s">
        <v>184</v>
      </c>
      <c r="BP89" s="293">
        <f>DIVISIONS!BP408</f>
        <v>0</v>
      </c>
      <c r="BQ89" s="293">
        <f>DIVISIONS!BQ408</f>
        <v>0</v>
      </c>
      <c r="BR89" s="293">
        <f>DIVISIONS!BR408</f>
        <v>0</v>
      </c>
      <c r="BS89" s="853" t="s">
        <v>184</v>
      </c>
      <c r="BT89" s="293">
        <f>DIVISIONS!BT408</f>
        <v>0</v>
      </c>
      <c r="BU89" s="293">
        <f>DIVISIONS!BU408</f>
        <v>0</v>
      </c>
      <c r="BV89" s="293">
        <f>DIVISIONS!BV408</f>
        <v>0</v>
      </c>
      <c r="BW89" s="853"/>
      <c r="BX89" s="293">
        <f>DIVISIONS!BX408</f>
        <v>0</v>
      </c>
      <c r="BY89" s="293">
        <f>DIVISIONS!BY408</f>
        <v>0</v>
      </c>
      <c r="BZ89" s="293">
        <f>DIVISIONS!BZ408</f>
        <v>0</v>
      </c>
      <c r="CA89" s="853"/>
      <c r="CB89" s="293">
        <f>DIVISIONS!CB408</f>
        <v>0</v>
      </c>
      <c r="CC89" s="293">
        <f>DIVISIONS!CC408</f>
        <v>0</v>
      </c>
      <c r="CD89" s="293">
        <f>DIVISIONS!CD408</f>
        <v>0</v>
      </c>
      <c r="CE89" s="862"/>
      <c r="CF89" s="293">
        <f>DIVISIONS!CF408</f>
        <v>0</v>
      </c>
      <c r="CG89" s="293">
        <f>DIVISIONS!CG408</f>
        <v>0</v>
      </c>
      <c r="CH89" s="293">
        <f>DIVISIONS!CH408</f>
        <v>0</v>
      </c>
      <c r="CI89" s="862"/>
      <c r="CJ89" s="293">
        <f>DIVISIONS!CJ408</f>
        <v>0</v>
      </c>
      <c r="CK89" s="293">
        <f>DIVISIONS!CK408</f>
        <v>0</v>
      </c>
      <c r="CL89" s="293">
        <f>DIVISIONS!CL408</f>
        <v>0</v>
      </c>
      <c r="CM89" s="862"/>
      <c r="CN89" s="293">
        <f>DIVISIONS!CN408</f>
        <v>0</v>
      </c>
      <c r="CO89" s="293">
        <f>DIVISIONS!CO408</f>
        <v>0</v>
      </c>
      <c r="CP89" s="293">
        <f>DIVISIONS!CP408</f>
        <v>0</v>
      </c>
      <c r="CQ89" s="862"/>
      <c r="CR89" s="293">
        <f>DIVISIONS!CR408</f>
        <v>0</v>
      </c>
      <c r="CS89" s="293">
        <f>DIVISIONS!CS408</f>
        <v>0</v>
      </c>
      <c r="CT89" s="293">
        <f>DIVISIONS!CT408</f>
        <v>0</v>
      </c>
      <c r="CU89" s="853"/>
      <c r="CV89" s="293">
        <f>DIVISIONS!CV408</f>
        <v>0</v>
      </c>
      <c r="CW89" s="293">
        <f>DIVISIONS!CW408</f>
        <v>0</v>
      </c>
      <c r="CX89" s="293">
        <f>DIVISIONS!CX408</f>
        <v>0</v>
      </c>
      <c r="CY89" s="853"/>
      <c r="CZ89" s="293">
        <f>DIVISIONS!CZ408</f>
        <v>0</v>
      </c>
      <c r="DA89" s="293">
        <f>DIVISIONS!DA408</f>
        <v>0</v>
      </c>
      <c r="DB89" s="293">
        <f>DIVISIONS!DB408</f>
        <v>0</v>
      </c>
      <c r="DC89" s="853"/>
      <c r="DD89" s="293">
        <f>DIVISIONS!DD408</f>
        <v>0</v>
      </c>
      <c r="DE89" s="293">
        <f>DIVISIONS!DE408</f>
        <v>0</v>
      </c>
      <c r="DF89" s="293">
        <f>DIVISIONS!DF408</f>
        <v>0</v>
      </c>
      <c r="DG89" s="853"/>
      <c r="DH89" s="293">
        <f>DIVISIONS!DH408</f>
        <v>0</v>
      </c>
      <c r="DI89" s="293">
        <f>DIVISIONS!DI408</f>
        <v>0</v>
      </c>
      <c r="DJ89" s="293">
        <f>DIVISIONS!DJ408</f>
        <v>0</v>
      </c>
      <c r="DK89" s="853"/>
      <c r="DL89" s="293">
        <f>DIVISIONS!DL408</f>
        <v>0</v>
      </c>
      <c r="DM89" s="293">
        <f>DIVISIONS!DM408</f>
        <v>0</v>
      </c>
      <c r="DN89" s="293">
        <f>DIVISIONS!DN408</f>
        <v>0</v>
      </c>
      <c r="DO89" s="853"/>
      <c r="DP89" s="293">
        <f>DIVISIONS!DP408</f>
        <v>0</v>
      </c>
      <c r="DQ89" s="293">
        <f>DIVISIONS!DQ408</f>
        <v>0</v>
      </c>
      <c r="DR89" s="293">
        <f>DIVISIONS!DR408</f>
        <v>0</v>
      </c>
      <c r="DS89" s="853"/>
      <c r="DT89" s="853"/>
      <c r="DU89" s="850"/>
      <c r="DV89" s="850"/>
      <c r="DW89" s="850"/>
      <c r="DX89" s="853"/>
      <c r="DY89" s="853"/>
      <c r="DZ89" s="850"/>
      <c r="EA89" s="850"/>
      <c r="EB89" s="853"/>
      <c r="EC89" s="853"/>
      <c r="ED89" s="850"/>
      <c r="EE89" s="850"/>
      <c r="EF89" s="853"/>
      <c r="EG89" s="853"/>
      <c r="EH89" s="853"/>
      <c r="EI89" s="853"/>
      <c r="EJ89" s="853"/>
      <c r="EK89" s="853"/>
      <c r="EL89" s="853"/>
      <c r="EM89" s="853"/>
      <c r="EN89" s="853"/>
      <c r="EO89" s="853"/>
      <c r="EP89" s="853"/>
      <c r="EQ89" s="855"/>
      <c r="ER89" s="855"/>
      <c r="ES89" s="855"/>
      <c r="ET89" s="855"/>
      <c r="EU89" s="855"/>
      <c r="EV89" s="855"/>
      <c r="EW89" s="855"/>
      <c r="EX89" s="855"/>
      <c r="EY89" s="855"/>
      <c r="EZ89" s="855"/>
      <c r="FA89" s="855"/>
      <c r="FB89" s="855"/>
      <c r="FC89" s="855"/>
      <c r="FD89" s="855"/>
      <c r="FE89" s="855"/>
      <c r="FF89" s="855"/>
      <c r="FG89" s="855"/>
      <c r="FH89" s="855"/>
      <c r="FI89" s="855"/>
      <c r="FJ89" s="855"/>
      <c r="FK89" s="855"/>
      <c r="FL89" s="855"/>
      <c r="FM89" s="855"/>
      <c r="FN89" s="855"/>
      <c r="FO89" s="855"/>
      <c r="FP89" s="855"/>
      <c r="FQ89" s="855"/>
      <c r="FR89" s="855"/>
      <c r="FS89" s="855"/>
      <c r="FT89" s="855"/>
      <c r="FU89" s="855"/>
      <c r="FV89" s="855"/>
      <c r="FW89" s="855"/>
      <c r="FX89" s="855"/>
      <c r="FY89" s="855"/>
      <c r="FZ89" s="855"/>
      <c r="GA89" s="855"/>
      <c r="GB89" s="855"/>
      <c r="GC89" s="855"/>
      <c r="GD89" s="855"/>
      <c r="GE89" s="855"/>
      <c r="GF89" s="855"/>
      <c r="GG89" s="855"/>
      <c r="GH89" s="855"/>
      <c r="GI89" s="855"/>
      <c r="GJ89" s="855"/>
      <c r="GK89" s="855"/>
      <c r="GL89" s="855"/>
      <c r="GM89" s="855"/>
      <c r="GN89" s="855"/>
      <c r="GO89" s="855"/>
      <c r="GP89" s="855"/>
      <c r="GQ89" s="855"/>
      <c r="GR89" s="855"/>
      <c r="GS89" s="855"/>
      <c r="GT89" s="855"/>
      <c r="GU89" s="855"/>
      <c r="GV89" s="855"/>
      <c r="GW89" s="855"/>
      <c r="GX89" s="855"/>
      <c r="GY89" s="855"/>
      <c r="GZ89" s="855"/>
      <c r="HA89" s="855"/>
      <c r="HB89" s="855"/>
      <c r="HC89" s="855"/>
      <c r="HD89" s="855"/>
      <c r="HE89" s="855"/>
      <c r="HF89" s="855"/>
      <c r="HG89" s="855"/>
      <c r="HH89" s="855"/>
      <c r="HI89" s="855"/>
      <c r="HJ89" s="855"/>
      <c r="HK89" s="855"/>
      <c r="HL89" s="855"/>
      <c r="HM89" s="855"/>
      <c r="HN89" s="855"/>
      <c r="HO89" s="855"/>
      <c r="HP89" s="855"/>
      <c r="HQ89" s="855"/>
      <c r="HR89" s="855"/>
      <c r="HS89" s="855"/>
      <c r="HT89" s="855"/>
      <c r="HU89" s="855"/>
      <c r="HV89" s="855"/>
      <c r="HW89" s="855"/>
      <c r="HX89" s="855"/>
      <c r="HY89" s="855"/>
      <c r="HZ89" s="855"/>
      <c r="IA89" s="855"/>
      <c r="IB89" s="855"/>
      <c r="IC89" s="855"/>
      <c r="ID89" s="855"/>
      <c r="IE89" s="855"/>
      <c r="IF89" s="855"/>
      <c r="IG89" s="855"/>
      <c r="IH89" s="855"/>
      <c r="II89" s="855"/>
      <c r="IJ89" s="855"/>
      <c r="IK89" s="855"/>
      <c r="IL89" s="855"/>
      <c r="IM89" s="855"/>
      <c r="IN89" s="855"/>
      <c r="IO89" s="855"/>
      <c r="IP89" s="855"/>
      <c r="IQ89" s="855"/>
      <c r="IR89" s="855"/>
      <c r="IS89" s="855"/>
      <c r="IT89" s="855"/>
      <c r="IU89" s="855"/>
      <c r="IV89" s="855"/>
      <c r="IW89" s="855"/>
      <c r="IX89" s="855"/>
      <c r="IY89" s="855"/>
      <c r="IZ89" s="855"/>
      <c r="JA89" s="855"/>
      <c r="JB89" s="855"/>
      <c r="JC89" s="855"/>
      <c r="JD89" s="855"/>
      <c r="JE89" s="855"/>
      <c r="JF89" s="855"/>
      <c r="JG89" s="855"/>
      <c r="JH89" s="855"/>
      <c r="JI89" s="855"/>
      <c r="JJ89" s="855"/>
      <c r="JK89" s="855"/>
      <c r="JL89" s="855"/>
      <c r="JM89"/>
    </row>
    <row r="90" spans="1:273" s="854" customFormat="1">
      <c r="A90" s="102" t="s">
        <v>1024</v>
      </c>
      <c r="B90" s="103"/>
      <c r="C90" s="102"/>
      <c r="D90" s="102"/>
      <c r="E90" s="102"/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293"/>
      <c r="AO90" s="293"/>
      <c r="AP90" s="293"/>
      <c r="AQ90" s="293"/>
      <c r="AR90" s="293"/>
      <c r="AS90" s="293"/>
      <c r="AT90" s="293"/>
      <c r="AU90" s="626"/>
      <c r="AV90" s="293"/>
      <c r="AW90" s="293"/>
      <c r="AX90" s="293"/>
      <c r="AY90" s="626"/>
      <c r="AZ90" s="293"/>
      <c r="BA90" s="293"/>
      <c r="BB90" s="293"/>
      <c r="BC90" s="853"/>
      <c r="BD90" s="293"/>
      <c r="BE90" s="293"/>
      <c r="BF90" s="293"/>
      <c r="BG90" s="853"/>
      <c r="BH90" s="293"/>
      <c r="BI90" s="293"/>
      <c r="BJ90" s="293"/>
      <c r="BK90" s="853"/>
      <c r="BL90" s="293"/>
      <c r="BM90" s="293"/>
      <c r="BN90" s="293"/>
      <c r="BO90" s="853"/>
      <c r="BP90" s="293"/>
      <c r="BQ90" s="293"/>
      <c r="BR90" s="293"/>
      <c r="BS90" s="853"/>
      <c r="BT90" s="293"/>
      <c r="BU90" s="293"/>
      <c r="BV90" s="293"/>
      <c r="BW90" s="853"/>
      <c r="BX90" s="293"/>
      <c r="BY90" s="293"/>
      <c r="BZ90" s="293"/>
      <c r="CA90" s="853"/>
      <c r="CB90" s="293"/>
      <c r="CC90" s="293"/>
      <c r="CD90" s="293"/>
      <c r="CE90" s="862"/>
      <c r="CF90" s="293">
        <f>DIVISIONS!CF300</f>
        <v>55</v>
      </c>
      <c r="CG90" s="293">
        <f>DIVISIONS!CG300</f>
        <v>16</v>
      </c>
      <c r="CH90" s="293">
        <f>DIVISIONS!CH300</f>
        <v>71</v>
      </c>
      <c r="CI90" s="862"/>
      <c r="CJ90" s="293">
        <f>DIVISIONS!CJ300</f>
        <v>58</v>
      </c>
      <c r="CK90" s="293">
        <f>DIVISIONS!CK300</f>
        <v>78</v>
      </c>
      <c r="CL90" s="293">
        <f>DIVISIONS!CL300</f>
        <v>136</v>
      </c>
      <c r="CM90" s="862"/>
      <c r="CN90" s="293">
        <f>DIVISIONS!CN300</f>
        <v>17</v>
      </c>
      <c r="CO90" s="293">
        <f>DIVISIONS!CO300</f>
        <v>50</v>
      </c>
      <c r="CP90" s="293">
        <f>DIVISIONS!CP300</f>
        <v>67</v>
      </c>
      <c r="CQ90" s="862"/>
      <c r="CR90" s="293">
        <f>DIVISIONS!CR300</f>
        <v>51</v>
      </c>
      <c r="CS90" s="293">
        <f>DIVISIONS!CS300</f>
        <v>50</v>
      </c>
      <c r="CT90" s="293">
        <f>DIVISIONS!CT300</f>
        <v>101</v>
      </c>
      <c r="CU90" s="853"/>
      <c r="CV90" s="293">
        <f>DIVISIONS!CV300</f>
        <v>51</v>
      </c>
      <c r="CW90" s="293">
        <f>DIVISIONS!CW300</f>
        <v>50</v>
      </c>
      <c r="CX90" s="293">
        <f>DIVISIONS!CX300</f>
        <v>101</v>
      </c>
      <c r="CY90" s="853"/>
      <c r="CZ90" s="293">
        <f>DIVISIONS!CZ300</f>
        <v>51</v>
      </c>
      <c r="DA90" s="293">
        <f>DIVISIONS!DA300</f>
        <v>50</v>
      </c>
      <c r="DB90" s="293">
        <f>DIVISIONS!DB300</f>
        <v>101</v>
      </c>
      <c r="DC90" s="853"/>
      <c r="DD90" s="293">
        <f>DIVISIONS!DD300</f>
        <v>48</v>
      </c>
      <c r="DE90" s="293">
        <f>DIVISIONS!DE300</f>
        <v>50</v>
      </c>
      <c r="DF90" s="293">
        <f>DIVISIONS!DF300</f>
        <v>98</v>
      </c>
      <c r="DG90" s="853"/>
      <c r="DH90" s="293">
        <f>DIVISIONS!DH300</f>
        <v>48</v>
      </c>
      <c r="DI90" s="293">
        <f>DIVISIONS!DI300</f>
        <v>51.5</v>
      </c>
      <c r="DJ90" s="293">
        <f>DIVISIONS!DJ300</f>
        <v>99.5</v>
      </c>
      <c r="DK90" s="853"/>
      <c r="DL90" s="293">
        <f>DIVISIONS!DL300</f>
        <v>49.44</v>
      </c>
      <c r="DM90" s="293">
        <f>DIVISIONS!DM300</f>
        <v>53.045000000000002</v>
      </c>
      <c r="DN90" s="293">
        <f>DIVISIONS!DN300</f>
        <v>102.485</v>
      </c>
      <c r="DO90" s="853"/>
      <c r="DP90" s="293">
        <f>DIVISIONS!DP300</f>
        <v>50.923200000000001</v>
      </c>
      <c r="DQ90" s="293">
        <f>DIVISIONS!DQ300</f>
        <v>54.63635</v>
      </c>
      <c r="DR90" s="293">
        <f>DIVISIONS!DR300</f>
        <v>105.55955</v>
      </c>
      <c r="DS90" s="853"/>
      <c r="DT90" s="853"/>
      <c r="DU90" s="850"/>
      <c r="DV90" s="850"/>
      <c r="DW90" s="850"/>
      <c r="DX90" s="853"/>
      <c r="DY90" s="853"/>
      <c r="DZ90" s="850"/>
      <c r="EA90" s="850"/>
      <c r="EB90" s="853"/>
      <c r="EC90" s="853"/>
      <c r="ED90" s="850"/>
      <c r="EE90" s="850"/>
      <c r="EF90" s="853"/>
      <c r="EG90" s="853"/>
      <c r="EH90" s="853"/>
      <c r="EI90" s="853"/>
      <c r="EJ90" s="853"/>
      <c r="EK90" s="853"/>
      <c r="EL90" s="853"/>
      <c r="EM90" s="853"/>
      <c r="EN90" s="853"/>
      <c r="EO90" s="853"/>
      <c r="EP90" s="853"/>
      <c r="EQ90" s="855"/>
      <c r="ER90" s="855"/>
      <c r="ES90" s="855"/>
      <c r="ET90" s="855"/>
      <c r="EU90" s="855"/>
      <c r="EV90" s="855"/>
      <c r="EW90" s="855"/>
      <c r="EX90" s="855"/>
      <c r="EY90" s="855"/>
      <c r="EZ90" s="855"/>
      <c r="FA90" s="855"/>
      <c r="FB90" s="855"/>
      <c r="FC90" s="855"/>
      <c r="FD90" s="855"/>
      <c r="FE90" s="855"/>
      <c r="FF90" s="855"/>
      <c r="FG90" s="855"/>
      <c r="FH90" s="855"/>
      <c r="FI90" s="855"/>
      <c r="FJ90" s="855"/>
      <c r="FK90" s="855"/>
      <c r="FL90" s="855"/>
      <c r="FM90" s="855"/>
      <c r="FN90" s="855"/>
      <c r="FO90" s="855"/>
      <c r="FP90" s="855"/>
      <c r="FQ90" s="855"/>
      <c r="FR90" s="855"/>
      <c r="FS90" s="855"/>
      <c r="FT90" s="855"/>
      <c r="FU90" s="855"/>
      <c r="FV90" s="855"/>
      <c r="FW90" s="855"/>
      <c r="FX90" s="855"/>
      <c r="FY90" s="855"/>
      <c r="FZ90" s="855"/>
      <c r="GA90" s="855"/>
      <c r="GB90" s="855"/>
      <c r="GC90" s="855"/>
      <c r="GD90" s="855"/>
      <c r="GE90" s="855"/>
      <c r="GF90" s="855"/>
      <c r="GG90" s="855"/>
      <c r="GH90" s="855"/>
      <c r="GI90" s="855"/>
      <c r="GJ90" s="855"/>
      <c r="GK90" s="855"/>
      <c r="GL90" s="855"/>
      <c r="GM90" s="855"/>
      <c r="GN90" s="855"/>
      <c r="GO90" s="855"/>
      <c r="GP90" s="855"/>
      <c r="GQ90" s="855"/>
      <c r="GR90" s="855"/>
      <c r="GS90" s="855"/>
      <c r="GT90" s="855"/>
      <c r="GU90" s="855"/>
      <c r="GV90" s="855"/>
      <c r="GW90" s="855"/>
      <c r="GX90" s="855"/>
      <c r="GY90" s="855"/>
      <c r="GZ90" s="855"/>
      <c r="HA90" s="855"/>
      <c r="HB90" s="855"/>
      <c r="HC90" s="855"/>
      <c r="HD90" s="855"/>
      <c r="HE90" s="855"/>
      <c r="HF90" s="855"/>
      <c r="HG90" s="855"/>
      <c r="HH90" s="855"/>
      <c r="HI90" s="855"/>
      <c r="HJ90" s="855"/>
      <c r="HK90" s="855"/>
      <c r="HL90" s="855"/>
      <c r="HM90" s="855"/>
      <c r="HN90" s="855"/>
      <c r="HO90" s="855"/>
      <c r="HP90" s="855"/>
      <c r="HQ90" s="855"/>
      <c r="HR90" s="855"/>
      <c r="HS90" s="855"/>
      <c r="HT90" s="855"/>
      <c r="HU90" s="855"/>
      <c r="HV90" s="855"/>
      <c r="HW90" s="855"/>
      <c r="HX90" s="855"/>
      <c r="HY90" s="855"/>
      <c r="HZ90" s="855"/>
      <c r="IA90" s="855"/>
      <c r="IB90" s="855"/>
      <c r="IC90" s="855"/>
      <c r="ID90" s="855"/>
      <c r="IE90" s="855"/>
      <c r="IF90" s="855"/>
      <c r="IG90" s="855"/>
      <c r="IH90" s="855"/>
      <c r="II90" s="855"/>
      <c r="IJ90" s="855"/>
      <c r="IK90" s="855"/>
      <c r="IL90" s="855"/>
      <c r="IM90" s="855"/>
      <c r="IN90" s="855"/>
      <c r="IO90" s="855"/>
      <c r="IP90" s="855"/>
      <c r="IQ90" s="855"/>
      <c r="IR90" s="855"/>
      <c r="IS90" s="855"/>
      <c r="IT90" s="855"/>
      <c r="IU90" s="855"/>
      <c r="IV90" s="855"/>
      <c r="IW90" s="855"/>
      <c r="IX90" s="855"/>
      <c r="IY90" s="855"/>
      <c r="IZ90" s="855"/>
      <c r="JA90" s="855"/>
      <c r="JB90" s="855"/>
      <c r="JC90" s="855"/>
      <c r="JD90" s="855"/>
      <c r="JE90" s="855"/>
      <c r="JF90" s="855"/>
      <c r="JG90" s="855"/>
      <c r="JH90" s="855"/>
      <c r="JI90" s="855"/>
      <c r="JJ90" s="855"/>
      <c r="JK90" s="855"/>
      <c r="JL90" s="855"/>
      <c r="JM90"/>
    </row>
    <row r="91" spans="1:273" s="854" customFormat="1">
      <c r="A91" s="102" t="s">
        <v>690</v>
      </c>
      <c r="B91" s="103"/>
      <c r="C91" s="102"/>
      <c r="D91" s="102"/>
      <c r="E91" s="102"/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293"/>
      <c r="AO91" s="293"/>
      <c r="AP91" s="293"/>
      <c r="AQ91" s="293"/>
      <c r="AR91" s="293"/>
      <c r="AS91" s="293"/>
      <c r="AT91" s="293"/>
      <c r="AU91" s="626"/>
      <c r="AV91" s="293"/>
      <c r="AW91" s="293"/>
      <c r="AX91" s="293"/>
      <c r="AY91" s="626"/>
      <c r="AZ91" s="293"/>
      <c r="BA91" s="293"/>
      <c r="BB91" s="293"/>
      <c r="BC91" s="853"/>
      <c r="BD91" s="293"/>
      <c r="BE91" s="293"/>
      <c r="BF91" s="293"/>
      <c r="BG91" s="853"/>
      <c r="BH91" s="293"/>
      <c r="BI91" s="293"/>
      <c r="BJ91" s="293"/>
      <c r="BK91" s="853"/>
      <c r="BL91" s="293"/>
      <c r="BM91" s="293"/>
      <c r="BN91" s="293"/>
      <c r="BO91" s="853"/>
      <c r="BP91" s="293"/>
      <c r="BQ91" s="293"/>
      <c r="BR91" s="293"/>
      <c r="BS91" s="853"/>
      <c r="BT91" s="293"/>
      <c r="BU91" s="293"/>
      <c r="BV91" s="293"/>
      <c r="BW91" s="853"/>
      <c r="BX91" s="293"/>
      <c r="BY91" s="293"/>
      <c r="BZ91" s="293"/>
      <c r="CA91" s="853"/>
      <c r="CB91" s="293"/>
      <c r="CC91" s="293"/>
      <c r="CD91" s="293"/>
      <c r="CE91" s="862"/>
      <c r="CF91" s="293"/>
      <c r="CG91" s="293"/>
      <c r="CH91" s="293"/>
      <c r="CI91" s="862"/>
      <c r="CJ91" s="293"/>
      <c r="CK91" s="293"/>
      <c r="CL91" s="293"/>
      <c r="CM91" s="862"/>
      <c r="CN91" s="293"/>
      <c r="CO91" s="293"/>
      <c r="CP91" s="293"/>
      <c r="CQ91" s="862"/>
      <c r="CR91" s="293"/>
      <c r="CS91" s="293"/>
      <c r="CT91" s="293"/>
      <c r="CU91" s="853"/>
      <c r="CV91" s="293"/>
      <c r="CW91" s="293"/>
      <c r="CX91" s="293"/>
      <c r="CY91" s="853"/>
      <c r="CZ91" s="293"/>
      <c r="DA91" s="293"/>
      <c r="DB91" s="293"/>
      <c r="DC91" s="853"/>
      <c r="DD91" s="293"/>
      <c r="DE91" s="293"/>
      <c r="DF91" s="293"/>
      <c r="DG91" s="853"/>
      <c r="DH91" s="293"/>
      <c r="DI91" s="293"/>
      <c r="DJ91" s="293"/>
      <c r="DK91" s="853"/>
      <c r="DL91" s="293"/>
      <c r="DM91" s="293"/>
      <c r="DN91" s="293"/>
      <c r="DO91" s="853"/>
      <c r="DP91" s="293"/>
      <c r="DQ91" s="293"/>
      <c r="DR91" s="293"/>
      <c r="DS91" s="853"/>
      <c r="DT91" s="853"/>
      <c r="DU91" s="850"/>
      <c r="DV91" s="850"/>
      <c r="DW91" s="850"/>
      <c r="DX91" s="853"/>
      <c r="DY91" s="853"/>
      <c r="DZ91" s="850"/>
      <c r="EA91" s="850"/>
      <c r="EB91" s="853"/>
      <c r="EC91" s="853"/>
      <c r="ED91" s="850"/>
      <c r="EE91" s="850"/>
      <c r="EF91" s="853"/>
      <c r="EG91" s="853"/>
      <c r="EH91" s="853"/>
      <c r="EI91" s="853"/>
      <c r="EJ91" s="853"/>
      <c r="EK91" s="853"/>
      <c r="EL91" s="853"/>
      <c r="EM91" s="853"/>
      <c r="EN91" s="853"/>
      <c r="EO91" s="853"/>
      <c r="EP91" s="853"/>
      <c r="EQ91" s="855"/>
      <c r="ER91" s="855"/>
      <c r="ES91" s="855"/>
      <c r="ET91" s="855"/>
      <c r="EU91" s="855"/>
      <c r="EV91" s="855"/>
      <c r="EW91" s="855"/>
      <c r="EX91" s="855"/>
      <c r="EY91" s="855"/>
      <c r="EZ91" s="855"/>
      <c r="FA91" s="855"/>
      <c r="FB91" s="855"/>
      <c r="FC91" s="855"/>
      <c r="FD91" s="855"/>
      <c r="FE91" s="855"/>
      <c r="FF91" s="855"/>
      <c r="FG91" s="855"/>
      <c r="FH91" s="855"/>
      <c r="FI91" s="855"/>
      <c r="FJ91" s="855"/>
      <c r="FK91" s="855"/>
      <c r="FL91" s="855"/>
      <c r="FM91" s="855"/>
      <c r="FN91" s="855"/>
      <c r="FO91" s="855"/>
      <c r="FP91" s="855"/>
      <c r="FQ91" s="855"/>
      <c r="FR91" s="855"/>
      <c r="FS91" s="855"/>
      <c r="FT91" s="855"/>
      <c r="FU91" s="855"/>
      <c r="FV91" s="855"/>
      <c r="FW91" s="855"/>
      <c r="FX91" s="855"/>
      <c r="FY91" s="855"/>
      <c r="FZ91" s="855"/>
      <c r="GA91" s="855"/>
      <c r="GB91" s="855"/>
      <c r="GC91" s="855"/>
      <c r="GD91" s="855"/>
      <c r="GE91" s="855"/>
      <c r="GF91" s="855"/>
      <c r="GG91" s="855"/>
      <c r="GH91" s="855"/>
      <c r="GI91" s="855"/>
      <c r="GJ91" s="855"/>
      <c r="GK91" s="855"/>
      <c r="GL91" s="855"/>
      <c r="GM91" s="855"/>
      <c r="GN91" s="855"/>
      <c r="GO91" s="855"/>
      <c r="GP91" s="855"/>
      <c r="GQ91" s="855"/>
      <c r="GR91" s="855"/>
      <c r="GS91" s="855"/>
      <c r="GT91" s="855"/>
      <c r="GU91" s="855"/>
      <c r="GV91" s="855"/>
      <c r="GW91" s="855"/>
      <c r="GX91" s="855"/>
      <c r="GY91" s="855"/>
      <c r="GZ91" s="855"/>
      <c r="HA91" s="855"/>
      <c r="HB91" s="855"/>
      <c r="HC91" s="855"/>
      <c r="HD91" s="855"/>
      <c r="HE91" s="855"/>
      <c r="HF91" s="855"/>
      <c r="HG91" s="855"/>
      <c r="HH91" s="855"/>
      <c r="HI91" s="855"/>
      <c r="HJ91" s="855"/>
      <c r="HK91" s="855"/>
      <c r="HL91" s="855"/>
      <c r="HM91" s="855"/>
      <c r="HN91" s="855"/>
      <c r="HO91" s="855"/>
      <c r="HP91" s="855"/>
      <c r="HQ91" s="855"/>
      <c r="HR91" s="855"/>
      <c r="HS91" s="855"/>
      <c r="HT91" s="855"/>
      <c r="HU91" s="855"/>
      <c r="HV91" s="855"/>
      <c r="HW91" s="855"/>
      <c r="HX91" s="855"/>
      <c r="HY91" s="855"/>
      <c r="HZ91" s="855"/>
      <c r="IA91" s="855"/>
      <c r="IB91" s="855"/>
      <c r="IC91" s="855"/>
      <c r="ID91" s="855"/>
      <c r="IE91" s="855"/>
      <c r="IF91" s="855"/>
      <c r="IG91" s="855"/>
      <c r="IH91" s="855"/>
      <c r="II91" s="855"/>
      <c r="IJ91" s="855"/>
      <c r="IK91" s="855"/>
      <c r="IL91" s="855"/>
      <c r="IM91" s="855"/>
      <c r="IN91" s="855"/>
      <c r="IO91" s="855"/>
      <c r="IP91" s="855"/>
      <c r="IQ91" s="855"/>
      <c r="IR91" s="855"/>
      <c r="IS91" s="855"/>
      <c r="IT91" s="855"/>
      <c r="IU91" s="855"/>
      <c r="IV91" s="855"/>
      <c r="IW91" s="855"/>
      <c r="IX91" s="855"/>
      <c r="IY91" s="855"/>
      <c r="IZ91" s="855"/>
      <c r="JA91" s="855"/>
      <c r="JB91" s="855"/>
      <c r="JC91" s="855"/>
      <c r="JD91" s="855"/>
      <c r="JE91" s="855"/>
      <c r="JF91" s="855"/>
      <c r="JG91" s="855"/>
      <c r="JH91" s="855"/>
      <c r="JI91" s="855"/>
      <c r="JJ91" s="855"/>
      <c r="JK91" s="855"/>
      <c r="JL91" s="855"/>
      <c r="JM91"/>
    </row>
    <row r="92" spans="1:273" s="854" customFormat="1">
      <c r="A92" s="102" t="s">
        <v>689</v>
      </c>
      <c r="B92" s="103"/>
      <c r="C92" s="102"/>
      <c r="D92" s="102"/>
      <c r="E92" s="102"/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290"/>
      <c r="AO92" s="290"/>
      <c r="AP92" s="290"/>
      <c r="AQ92" s="290"/>
      <c r="AR92" s="293"/>
      <c r="AS92" s="293"/>
      <c r="AT92" s="293"/>
      <c r="AU92" s="626"/>
      <c r="AV92" s="293">
        <f>DIVISIONS!AV623</f>
        <v>30</v>
      </c>
      <c r="AW92" s="293">
        <f>DIVISIONS!AW623</f>
        <v>20</v>
      </c>
      <c r="AX92" s="293">
        <f>DIVISIONS!AX623</f>
        <v>50</v>
      </c>
      <c r="AY92" s="626"/>
      <c r="AZ92" s="293">
        <f>DIVISIONS!AZ623</f>
        <v>23</v>
      </c>
      <c r="BA92" s="293">
        <f>DIVISIONS!BA623</f>
        <v>34</v>
      </c>
      <c r="BB92" s="293">
        <f>DIVISIONS!BB623</f>
        <v>57</v>
      </c>
      <c r="BC92" s="853"/>
      <c r="BD92" s="293">
        <f>DIVISIONS!BD623</f>
        <v>24</v>
      </c>
      <c r="BE92" s="293">
        <f>DIVISIONS!BE623</f>
        <v>16</v>
      </c>
      <c r="BF92" s="293">
        <f>DIVISIONS!BF623</f>
        <v>40</v>
      </c>
      <c r="BG92" s="853"/>
      <c r="BH92" s="626">
        <f>327-BH88-BH89</f>
        <v>49</v>
      </c>
      <c r="BI92" s="626">
        <f>327-BI88-BI89</f>
        <v>55</v>
      </c>
      <c r="BJ92" s="293">
        <f>+BH92+BI92</f>
        <v>104</v>
      </c>
      <c r="BK92" s="853"/>
      <c r="BL92" s="626">
        <f>357-BL88-BL89</f>
        <v>64</v>
      </c>
      <c r="BM92" s="626">
        <f>452-BM88-BM89</f>
        <v>68</v>
      </c>
      <c r="BN92" s="293">
        <f>+BL92+BM92</f>
        <v>132</v>
      </c>
      <c r="BO92" s="853" t="s">
        <v>184</v>
      </c>
      <c r="BP92" s="626">
        <f>429-BP88-BP89</f>
        <v>97</v>
      </c>
      <c r="BQ92" s="626">
        <f>544-BQ88-BQ89</f>
        <v>79</v>
      </c>
      <c r="BR92" s="293">
        <f>+BP92+BQ92</f>
        <v>176</v>
      </c>
      <c r="BS92" s="853" t="s">
        <v>184</v>
      </c>
      <c r="BT92" s="626">
        <f>537-BT88-BT89</f>
        <v>89</v>
      </c>
      <c r="BU92" s="626">
        <f>425-BU88-BU89</f>
        <v>74</v>
      </c>
      <c r="BV92" s="293">
        <f>+BT92+BU92</f>
        <v>163</v>
      </c>
      <c r="BW92" s="853"/>
      <c r="BX92" s="626">
        <f>471-BX88-BX89</f>
        <v>88.949425287356291</v>
      </c>
      <c r="BY92" s="626">
        <f>492-BY88-BY89</f>
        <v>59.437931034482745</v>
      </c>
      <c r="BZ92" s="293">
        <f>+BX92+BY92</f>
        <v>148.38735632183904</v>
      </c>
      <c r="CA92" s="853"/>
      <c r="CB92" s="626">
        <f>458-CB88-CB89</f>
        <v>70.439080459770082</v>
      </c>
      <c r="CC92" s="626">
        <f>462-CC88-CC89</f>
        <v>73.520689655172418</v>
      </c>
      <c r="CD92" s="293">
        <f>+CB92+CC92</f>
        <v>143.9597701149425</v>
      </c>
      <c r="CE92" s="862"/>
      <c r="CF92" s="626">
        <f>DIVISIONS!CF623</f>
        <v>0</v>
      </c>
      <c r="CG92" s="626">
        <f>DIVISIONS!CG623</f>
        <v>0</v>
      </c>
      <c r="CH92" s="293">
        <f>DIVISIONS!CH623</f>
        <v>0</v>
      </c>
      <c r="CI92" s="862"/>
      <c r="CJ92" s="626">
        <f>DIVISIONS!CJ623</f>
        <v>0</v>
      </c>
      <c r="CK92" s="626">
        <f>DIVISIONS!CK623</f>
        <v>0</v>
      </c>
      <c r="CL92" s="293">
        <f>DIVISIONS!CL623</f>
        <v>0</v>
      </c>
      <c r="CM92" s="862"/>
      <c r="CN92" s="293">
        <f>DIVISIONS!CN623</f>
        <v>0</v>
      </c>
      <c r="CO92" s="626">
        <f>DIVISIONS!CO623</f>
        <v>0</v>
      </c>
      <c r="CP92" s="293">
        <f>DIVISIONS!CP623</f>
        <v>0</v>
      </c>
      <c r="CQ92" s="862"/>
      <c r="CR92" s="293">
        <f>DIVISIONS!CR623</f>
        <v>0</v>
      </c>
      <c r="CS92" s="1388">
        <f>DIVISIONS!CS623</f>
        <v>0</v>
      </c>
      <c r="CT92" s="293">
        <f>DIVISIONS!CT623</f>
        <v>0</v>
      </c>
      <c r="CU92" s="853"/>
      <c r="CV92" s="293">
        <f>DIVISIONS!CV623</f>
        <v>0</v>
      </c>
      <c r="CW92" s="1388">
        <f>DIVISIONS!CW623</f>
        <v>0</v>
      </c>
      <c r="CX92" s="293">
        <f>DIVISIONS!CX623</f>
        <v>0</v>
      </c>
      <c r="CY92" s="853"/>
      <c r="CZ92" s="293">
        <f>DIVISIONS!CZ623</f>
        <v>0</v>
      </c>
      <c r="DA92" s="1388">
        <f>DIVISIONS!DA623</f>
        <v>0</v>
      </c>
      <c r="DB92" s="293">
        <f>DIVISIONS!DB623</f>
        <v>0</v>
      </c>
      <c r="DC92" s="853"/>
      <c r="DD92" s="293">
        <f>DIVISIONS!DD623</f>
        <v>0</v>
      </c>
      <c r="DE92" s="1388">
        <f ca="1">DIVISIONS!DE623</f>
        <v>0</v>
      </c>
      <c r="DF92" s="293">
        <f ca="1">DIVISIONS!DF623</f>
        <v>0</v>
      </c>
      <c r="DG92" s="853"/>
      <c r="DH92" s="293">
        <f>DIVISIONS!DH623</f>
        <v>0</v>
      </c>
      <c r="DI92" s="293">
        <f>DIVISIONS!DI623</f>
        <v>0</v>
      </c>
      <c r="DJ92" s="293">
        <f>DIVISIONS!DJ623</f>
        <v>0</v>
      </c>
      <c r="DK92" s="853"/>
      <c r="DL92" s="293">
        <f>DIVISIONS!DL623</f>
        <v>0</v>
      </c>
      <c r="DM92" s="293">
        <f>DIVISIONS!DM623</f>
        <v>0</v>
      </c>
      <c r="DN92" s="293">
        <f>DIVISIONS!DN623</f>
        <v>0</v>
      </c>
      <c r="DO92" s="853"/>
      <c r="DP92" s="293">
        <f>DIVISIONS!DP623</f>
        <v>0</v>
      </c>
      <c r="DQ92" s="293">
        <f>DIVISIONS!DQ623</f>
        <v>0</v>
      </c>
      <c r="DR92" s="293">
        <f>DIVISIONS!DR623</f>
        <v>0</v>
      </c>
      <c r="DS92" s="853"/>
      <c r="DT92" s="853"/>
      <c r="DU92" s="850"/>
      <c r="DV92" s="850"/>
      <c r="DW92" s="850"/>
      <c r="DX92" s="853"/>
      <c r="DY92" s="853"/>
      <c r="DZ92" s="850"/>
      <c r="EA92" s="850"/>
      <c r="EB92" s="853"/>
      <c r="EC92" s="853"/>
      <c r="ED92" s="850"/>
      <c r="EE92" s="850"/>
      <c r="EF92" s="853"/>
      <c r="EG92" s="853"/>
      <c r="EH92" s="853"/>
      <c r="EI92" s="853"/>
      <c r="EJ92" s="853"/>
      <c r="EK92" s="853"/>
      <c r="EL92" s="853"/>
      <c r="EM92" s="853"/>
      <c r="EN92" s="853"/>
      <c r="EO92" s="853"/>
      <c r="EP92" s="853"/>
      <c r="EQ92" s="855"/>
      <c r="ER92" s="855"/>
      <c r="ES92" s="855"/>
      <c r="ET92" s="855"/>
      <c r="EU92" s="855"/>
      <c r="EV92" s="855"/>
      <c r="EW92" s="855"/>
      <c r="EX92" s="855"/>
      <c r="EY92" s="855"/>
      <c r="EZ92" s="855"/>
      <c r="FA92" s="855"/>
      <c r="FB92" s="855"/>
      <c r="FC92" s="855"/>
      <c r="FD92" s="855"/>
      <c r="FE92" s="855"/>
      <c r="FF92" s="855"/>
      <c r="FG92" s="855"/>
      <c r="FH92" s="855"/>
      <c r="FI92" s="855"/>
      <c r="FJ92" s="855"/>
      <c r="FK92" s="855"/>
      <c r="FL92" s="855"/>
      <c r="FM92" s="855"/>
      <c r="FN92" s="855"/>
      <c r="FO92" s="855"/>
      <c r="FP92" s="855"/>
      <c r="FQ92" s="855"/>
      <c r="FR92" s="855"/>
      <c r="FS92" s="855"/>
      <c r="FT92" s="855"/>
      <c r="FU92" s="855"/>
      <c r="FV92" s="855"/>
      <c r="FW92" s="855"/>
      <c r="FX92" s="855"/>
      <c r="FY92" s="855"/>
      <c r="FZ92" s="855"/>
      <c r="GA92" s="855"/>
      <c r="GB92" s="855"/>
      <c r="GC92" s="855"/>
      <c r="GD92" s="855"/>
      <c r="GE92" s="855"/>
      <c r="GF92" s="855"/>
      <c r="GG92" s="855"/>
      <c r="GH92" s="855"/>
      <c r="GI92" s="855"/>
      <c r="GJ92" s="855"/>
      <c r="GK92" s="855"/>
      <c r="GL92" s="855"/>
      <c r="GM92" s="855"/>
      <c r="GN92" s="855"/>
      <c r="GO92" s="855"/>
      <c r="GP92" s="855"/>
      <c r="GQ92" s="855"/>
      <c r="GR92" s="855"/>
      <c r="GS92" s="855"/>
      <c r="GT92" s="855"/>
      <c r="GU92" s="855"/>
      <c r="GV92" s="855"/>
      <c r="GW92" s="855"/>
      <c r="GX92" s="855"/>
      <c r="GY92" s="855"/>
      <c r="GZ92" s="855"/>
      <c r="HA92" s="855"/>
      <c r="HB92" s="855"/>
      <c r="HC92" s="855"/>
      <c r="HD92" s="855"/>
      <c r="HE92" s="855"/>
      <c r="HF92" s="855"/>
      <c r="HG92" s="855"/>
      <c r="HH92" s="855"/>
      <c r="HI92" s="855"/>
      <c r="HJ92" s="855"/>
      <c r="HK92" s="855"/>
      <c r="HL92" s="855"/>
      <c r="HM92" s="855"/>
      <c r="HN92" s="855"/>
      <c r="HO92" s="855"/>
      <c r="HP92" s="855"/>
      <c r="HQ92" s="855"/>
      <c r="HR92" s="855"/>
      <c r="HS92" s="855"/>
      <c r="HT92" s="855"/>
      <c r="HU92" s="855"/>
      <c r="HV92" s="855"/>
      <c r="HW92" s="855"/>
      <c r="HX92" s="855"/>
      <c r="HY92" s="855"/>
      <c r="HZ92" s="855"/>
      <c r="IA92" s="855"/>
      <c r="IB92" s="855"/>
      <c r="IC92" s="855"/>
      <c r="ID92" s="855"/>
      <c r="IE92" s="855"/>
      <c r="IF92" s="855"/>
      <c r="IG92" s="855"/>
      <c r="IH92" s="855"/>
      <c r="II92" s="855"/>
      <c r="IJ92" s="855"/>
      <c r="IK92" s="855"/>
      <c r="IL92" s="855"/>
      <c r="IM92" s="855"/>
      <c r="IN92" s="855"/>
      <c r="IO92" s="855"/>
      <c r="IP92" s="855"/>
      <c r="IQ92" s="855"/>
      <c r="IR92" s="855"/>
      <c r="IS92" s="855"/>
      <c r="IT92" s="855"/>
      <c r="IU92" s="855"/>
      <c r="IV92" s="855"/>
      <c r="IW92" s="855"/>
      <c r="IX92" s="855"/>
      <c r="IY92" s="855"/>
      <c r="IZ92" s="855"/>
      <c r="JA92" s="855"/>
      <c r="JB92" s="855"/>
      <c r="JC92" s="855"/>
      <c r="JD92" s="855"/>
      <c r="JE92" s="855"/>
      <c r="JF92" s="855"/>
      <c r="JG92" s="855"/>
      <c r="JH92" s="855"/>
      <c r="JI92" s="855"/>
      <c r="JJ92" s="855"/>
      <c r="JK92" s="855"/>
      <c r="JL92" s="855"/>
      <c r="JM92"/>
    </row>
    <row r="93" spans="1:273" s="854" customFormat="1">
      <c r="A93" s="102" t="s">
        <v>688</v>
      </c>
      <c r="B93" s="103"/>
      <c r="C93" s="102"/>
      <c r="D93" s="102"/>
      <c r="E93" s="102"/>
      <c r="F93" s="102"/>
      <c r="G93" s="102"/>
      <c r="H93" s="102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293"/>
      <c r="AO93" s="293"/>
      <c r="AP93" s="293"/>
      <c r="AQ93" s="293"/>
      <c r="AR93" s="293"/>
      <c r="AS93" s="293"/>
      <c r="AT93" s="293"/>
      <c r="AU93" s="626"/>
      <c r="AV93" s="293"/>
      <c r="AW93" s="293"/>
      <c r="AX93" s="293"/>
      <c r="AY93" s="626"/>
      <c r="AZ93" s="293"/>
      <c r="BA93" s="293"/>
      <c r="BB93" s="293"/>
      <c r="BC93" s="853"/>
      <c r="BD93" s="293"/>
      <c r="BE93" s="293"/>
      <c r="BF93" s="293"/>
      <c r="BG93" s="853"/>
      <c r="BH93" s="293"/>
      <c r="BI93" s="293"/>
      <c r="BJ93" s="293"/>
      <c r="BK93" s="853"/>
      <c r="BL93" s="293"/>
      <c r="BM93" s="293"/>
      <c r="BN93" s="293"/>
      <c r="BO93" s="853"/>
      <c r="BP93" s="293"/>
      <c r="BQ93" s="293"/>
      <c r="BR93" s="293"/>
      <c r="BS93" s="853"/>
      <c r="BT93" s="293"/>
      <c r="BU93" s="293"/>
      <c r="BV93" s="293"/>
      <c r="BW93" s="853"/>
      <c r="BX93" s="293"/>
      <c r="BY93" s="293"/>
      <c r="BZ93" s="293"/>
      <c r="CA93" s="853"/>
      <c r="CB93" s="293"/>
      <c r="CC93" s="293"/>
      <c r="CD93" s="293"/>
      <c r="CE93" s="862"/>
      <c r="CF93" s="293"/>
      <c r="CG93" s="293"/>
      <c r="CH93" s="293"/>
      <c r="CI93" s="862"/>
      <c r="CJ93" s="293"/>
      <c r="CK93" s="293"/>
      <c r="CL93" s="293"/>
      <c r="CM93" s="862"/>
      <c r="CN93" s="293"/>
      <c r="CO93" s="293"/>
      <c r="CP93" s="293"/>
      <c r="CQ93" s="862"/>
      <c r="CR93" s="293"/>
      <c r="CS93" s="293"/>
      <c r="CT93" s="293"/>
      <c r="CU93" s="853"/>
      <c r="CV93" s="293"/>
      <c r="CW93" s="293"/>
      <c r="CX93" s="293"/>
      <c r="CY93" s="853"/>
      <c r="CZ93" s="293"/>
      <c r="DA93" s="293"/>
      <c r="DB93" s="293"/>
      <c r="DC93" s="853"/>
      <c r="DD93" s="293"/>
      <c r="DE93" s="293"/>
      <c r="DF93" s="293"/>
      <c r="DG93" s="853"/>
      <c r="DH93" s="293"/>
      <c r="DI93" s="293"/>
      <c r="DJ93" s="293"/>
      <c r="DK93" s="853"/>
      <c r="DL93" s="293"/>
      <c r="DM93" s="293"/>
      <c r="DN93" s="293"/>
      <c r="DO93" s="853"/>
      <c r="DP93" s="293"/>
      <c r="DQ93" s="293"/>
      <c r="DR93" s="293"/>
      <c r="DS93" s="853"/>
      <c r="DT93" s="853"/>
      <c r="DU93" s="850"/>
      <c r="DV93" s="850"/>
      <c r="DW93" s="850"/>
      <c r="DX93" s="853"/>
      <c r="DY93" s="853"/>
      <c r="DZ93" s="850"/>
      <c r="EA93" s="850"/>
      <c r="EB93" s="853"/>
      <c r="EC93" s="853"/>
      <c r="ED93" s="850"/>
      <c r="EE93" s="850"/>
      <c r="EF93" s="853"/>
      <c r="EG93" s="853"/>
      <c r="EH93" s="853"/>
      <c r="EI93" s="853"/>
      <c r="EJ93" s="853"/>
      <c r="EK93" s="853"/>
      <c r="EL93" s="853"/>
      <c r="EM93" s="853"/>
      <c r="EN93" s="853"/>
      <c r="EO93" s="853"/>
      <c r="EP93" s="853"/>
      <c r="EQ93" s="855"/>
      <c r="ER93" s="855"/>
      <c r="ES93" s="855"/>
      <c r="ET93" s="855"/>
      <c r="EU93" s="855"/>
      <c r="EV93" s="855"/>
      <c r="EW93" s="855"/>
      <c r="EX93" s="855"/>
      <c r="EY93" s="855"/>
      <c r="EZ93" s="855"/>
      <c r="FA93" s="855"/>
      <c r="FB93" s="855"/>
      <c r="FC93" s="855"/>
      <c r="FD93" s="855"/>
      <c r="FE93" s="855"/>
      <c r="FF93" s="855"/>
      <c r="FG93" s="855"/>
      <c r="FH93" s="855"/>
      <c r="FI93" s="855"/>
      <c r="FJ93" s="855"/>
      <c r="FK93" s="855"/>
      <c r="FL93" s="855"/>
      <c r="FM93" s="855"/>
      <c r="FN93" s="855"/>
      <c r="FO93" s="855"/>
      <c r="FP93" s="855"/>
      <c r="FQ93" s="855"/>
      <c r="FR93" s="855"/>
      <c r="FS93" s="855"/>
      <c r="FT93" s="855"/>
      <c r="FU93" s="855"/>
      <c r="FV93" s="855"/>
      <c r="FW93" s="855"/>
      <c r="FX93" s="855"/>
      <c r="FY93" s="855"/>
      <c r="FZ93" s="855"/>
      <c r="GA93" s="855"/>
      <c r="GB93" s="855"/>
      <c r="GC93" s="855"/>
      <c r="GD93" s="855"/>
      <c r="GE93" s="855"/>
      <c r="GF93" s="855"/>
      <c r="GG93" s="855"/>
      <c r="GH93" s="855"/>
      <c r="GI93" s="855"/>
      <c r="GJ93" s="855"/>
      <c r="GK93" s="855"/>
      <c r="GL93" s="855"/>
      <c r="GM93" s="855"/>
      <c r="GN93" s="855"/>
      <c r="GO93" s="855"/>
      <c r="GP93" s="855"/>
      <c r="GQ93" s="855"/>
      <c r="GR93" s="855"/>
      <c r="GS93" s="855"/>
      <c r="GT93" s="855"/>
      <c r="GU93" s="855"/>
      <c r="GV93" s="855"/>
      <c r="GW93" s="855"/>
      <c r="GX93" s="855"/>
      <c r="GY93" s="855"/>
      <c r="GZ93" s="855"/>
      <c r="HA93" s="855"/>
      <c r="HB93" s="855"/>
      <c r="HC93" s="855"/>
      <c r="HD93" s="855"/>
      <c r="HE93" s="855"/>
      <c r="HF93" s="855"/>
      <c r="HG93" s="855"/>
      <c r="HH93" s="855"/>
      <c r="HI93" s="855"/>
      <c r="HJ93" s="855"/>
      <c r="HK93" s="855"/>
      <c r="HL93" s="855"/>
      <c r="HM93" s="855"/>
      <c r="HN93" s="855"/>
      <c r="HO93" s="855"/>
      <c r="HP93" s="855"/>
      <c r="HQ93" s="855"/>
      <c r="HR93" s="855"/>
      <c r="HS93" s="855"/>
      <c r="HT93" s="855"/>
      <c r="HU93" s="855"/>
      <c r="HV93" s="855"/>
      <c r="HW93" s="855"/>
      <c r="HX93" s="855"/>
      <c r="HY93" s="855"/>
      <c r="HZ93" s="855"/>
      <c r="IA93" s="855"/>
      <c r="IB93" s="855"/>
      <c r="IC93" s="855"/>
      <c r="ID93" s="855"/>
      <c r="IE93" s="855"/>
      <c r="IF93" s="855"/>
      <c r="IG93" s="855"/>
      <c r="IH93" s="855"/>
      <c r="II93" s="855"/>
      <c r="IJ93" s="855"/>
      <c r="IK93" s="855"/>
      <c r="IL93" s="855"/>
      <c r="IM93" s="855"/>
      <c r="IN93" s="855"/>
      <c r="IO93" s="855"/>
      <c r="IP93" s="855"/>
      <c r="IQ93" s="855"/>
      <c r="IR93" s="855"/>
      <c r="IS93" s="855"/>
      <c r="IT93" s="855"/>
      <c r="IU93" s="855"/>
      <c r="IV93" s="855"/>
      <c r="IW93" s="855"/>
      <c r="IX93" s="855"/>
      <c r="IY93" s="855"/>
      <c r="IZ93" s="855"/>
      <c r="JA93" s="855"/>
      <c r="JB93" s="855"/>
      <c r="JC93" s="855"/>
      <c r="JD93" s="855"/>
      <c r="JE93" s="855"/>
      <c r="JF93" s="855"/>
      <c r="JG93" s="855"/>
      <c r="JH93" s="855"/>
      <c r="JI93" s="855"/>
      <c r="JJ93" s="855"/>
      <c r="JK93" s="855"/>
      <c r="JL93" s="855"/>
      <c r="JM93"/>
    </row>
    <row r="94" spans="1:273" s="854" customFormat="1">
      <c r="A94" s="102" t="s">
        <v>691</v>
      </c>
      <c r="B94" s="103"/>
      <c r="C94" s="102"/>
      <c r="D94" s="102"/>
      <c r="E94" s="102"/>
      <c r="F94" s="102"/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290"/>
      <c r="AO94" s="290"/>
      <c r="AP94" s="290"/>
      <c r="AQ94" s="290"/>
      <c r="AR94" s="293"/>
      <c r="AS94" s="293"/>
      <c r="AT94" s="293"/>
      <c r="AU94" s="626"/>
      <c r="AV94" s="293"/>
      <c r="AW94" s="293"/>
      <c r="AX94" s="293"/>
      <c r="AY94" s="626"/>
      <c r="AZ94" s="293"/>
      <c r="BA94" s="293"/>
      <c r="BB94" s="293"/>
      <c r="BC94" s="853"/>
      <c r="BD94" s="293"/>
      <c r="BE94" s="293"/>
      <c r="BF94" s="293"/>
      <c r="BG94" s="853"/>
      <c r="BH94" s="293"/>
      <c r="BI94" s="293"/>
      <c r="BJ94" s="293"/>
      <c r="BK94" s="853"/>
      <c r="BL94" s="293"/>
      <c r="BM94" s="293"/>
      <c r="BN94" s="293"/>
      <c r="BO94" s="853"/>
      <c r="BP94" s="293"/>
      <c r="BQ94" s="293"/>
      <c r="BR94" s="293"/>
      <c r="BS94" s="853"/>
      <c r="BT94" s="293"/>
      <c r="BU94" s="293"/>
      <c r="BV94" s="293"/>
      <c r="BW94" s="853"/>
      <c r="BX94" s="293"/>
      <c r="BY94" s="293"/>
      <c r="BZ94" s="293"/>
      <c r="CA94" s="853"/>
      <c r="CB94" s="293"/>
      <c r="CC94" s="293"/>
      <c r="CD94" s="293"/>
      <c r="CE94" s="862"/>
      <c r="CF94" s="293">
        <f>573-CF88-CF90</f>
        <v>4</v>
      </c>
      <c r="CG94" s="293">
        <f>433-CG88-CG90</f>
        <v>29</v>
      </c>
      <c r="CH94" s="293">
        <f>+CF94+CG94</f>
        <v>33</v>
      </c>
      <c r="CI94" s="862"/>
      <c r="CJ94" s="293">
        <f>482-CJ88-CJ90</f>
        <v>13</v>
      </c>
      <c r="CK94" s="293">
        <f>578-CK88-CK90</f>
        <v>59</v>
      </c>
      <c r="CL94" s="293">
        <f>+CJ94+CK94</f>
        <v>72</v>
      </c>
      <c r="CM94" s="862"/>
      <c r="CN94" s="1328">
        <f>CN96-CN88-CN90</f>
        <v>-17</v>
      </c>
      <c r="CO94" s="293">
        <f>CO96-CO88-CO90</f>
        <v>-50</v>
      </c>
      <c r="CP94" s="293">
        <f>+CN94+CO94</f>
        <v>-67</v>
      </c>
      <c r="CQ94" s="862"/>
      <c r="CR94" s="1010">
        <f>CR96-CR88-CR90</f>
        <v>-51</v>
      </c>
      <c r="CS94" s="293">
        <f>CS96-CS88-CS90</f>
        <v>-50</v>
      </c>
      <c r="CT94" s="293">
        <f>+CR94+CS94</f>
        <v>-101</v>
      </c>
      <c r="CU94" s="853"/>
      <c r="CV94" s="1010">
        <f>CV96-CV88-CV90</f>
        <v>-51</v>
      </c>
      <c r="CW94" s="293">
        <f>CW96-CW88-CW90</f>
        <v>-50</v>
      </c>
      <c r="CX94" s="293">
        <f>+CV94+CW94</f>
        <v>-101</v>
      </c>
      <c r="CY94" s="853"/>
      <c r="CZ94" s="1010">
        <f>CZ96-CZ88-CZ90</f>
        <v>-51</v>
      </c>
      <c r="DA94" s="293">
        <f>DA96-DA88-DA90</f>
        <v>-50</v>
      </c>
      <c r="DB94" s="293">
        <f>+CZ94+DA94</f>
        <v>-101</v>
      </c>
      <c r="DC94" s="853"/>
      <c r="DD94" s="1010">
        <f>DD96-DD88-DD90</f>
        <v>-48</v>
      </c>
      <c r="DE94" s="293">
        <f>DE96-DE88-DE90</f>
        <v>-50</v>
      </c>
      <c r="DF94" s="293">
        <f>+DD94+DE94</f>
        <v>-98</v>
      </c>
      <c r="DG94" s="853"/>
      <c r="DH94" s="1010">
        <f>DH96-DH88-DH90</f>
        <v>-48</v>
      </c>
      <c r="DI94" s="627">
        <v>0</v>
      </c>
      <c r="DJ94" s="492">
        <f>+DH94+DI94</f>
        <v>-48</v>
      </c>
      <c r="DK94" s="853"/>
      <c r="DL94" s="627">
        <v>0</v>
      </c>
      <c r="DM94" s="627">
        <v>0</v>
      </c>
      <c r="DN94" s="492">
        <f>+DL94+DM94</f>
        <v>0</v>
      </c>
      <c r="DO94" s="853"/>
      <c r="DP94" s="627">
        <v>0</v>
      </c>
      <c r="DQ94" s="627">
        <v>0</v>
      </c>
      <c r="DR94" s="492">
        <f>+DP94+DQ94</f>
        <v>0</v>
      </c>
      <c r="DS94" s="853"/>
      <c r="DT94" s="853"/>
      <c r="DU94" s="850"/>
      <c r="DV94" s="850"/>
      <c r="DW94" s="850"/>
      <c r="DX94" s="853"/>
      <c r="DY94" s="853"/>
      <c r="DZ94" s="850"/>
      <c r="EA94" s="850"/>
      <c r="EB94" s="853"/>
      <c r="EC94" s="853"/>
      <c r="ED94" s="850"/>
      <c r="EE94" s="850"/>
      <c r="EF94" s="853"/>
      <c r="EG94" s="853"/>
      <c r="EH94" s="853"/>
      <c r="EI94" s="853"/>
      <c r="EJ94" s="853"/>
      <c r="EK94" s="853"/>
      <c r="EL94" s="853"/>
      <c r="EM94" s="853"/>
      <c r="EN94" s="853"/>
      <c r="EO94" s="853"/>
      <c r="EP94" s="853"/>
      <c r="EQ94" s="855"/>
      <c r="ER94" s="855"/>
      <c r="ES94" s="855"/>
      <c r="ET94" s="855"/>
      <c r="EU94" s="855"/>
      <c r="EV94" s="855"/>
      <c r="EW94" s="855"/>
      <c r="EX94" s="855"/>
      <c r="EY94" s="855"/>
      <c r="EZ94" s="855"/>
      <c r="FA94" s="855"/>
      <c r="FB94" s="855"/>
      <c r="FC94" s="855"/>
      <c r="FD94" s="855"/>
      <c r="FE94" s="855"/>
      <c r="FF94" s="855"/>
      <c r="FG94" s="855"/>
      <c r="FH94" s="855"/>
      <c r="FI94" s="855"/>
      <c r="FJ94" s="855"/>
      <c r="FK94" s="855"/>
      <c r="FL94" s="855"/>
      <c r="FM94" s="855"/>
      <c r="FN94" s="855"/>
      <c r="FO94" s="855"/>
      <c r="FP94" s="855"/>
      <c r="FQ94" s="855"/>
      <c r="FR94" s="855"/>
      <c r="FS94" s="855"/>
      <c r="FT94" s="855"/>
      <c r="FU94" s="855"/>
      <c r="FV94" s="855"/>
      <c r="FW94" s="855"/>
      <c r="FX94" s="855"/>
      <c r="FY94" s="855"/>
      <c r="FZ94" s="855"/>
      <c r="GA94" s="855"/>
      <c r="GB94" s="855"/>
      <c r="GC94" s="855"/>
      <c r="GD94" s="855"/>
      <c r="GE94" s="855"/>
      <c r="GF94" s="855"/>
      <c r="GG94" s="855"/>
      <c r="GH94" s="855"/>
      <c r="GI94" s="855"/>
      <c r="GJ94" s="855"/>
      <c r="GK94" s="855"/>
      <c r="GL94" s="855"/>
      <c r="GM94" s="855"/>
      <c r="GN94" s="855"/>
      <c r="GO94" s="855"/>
      <c r="GP94" s="855"/>
      <c r="GQ94" s="855"/>
      <c r="GR94" s="855"/>
      <c r="GS94" s="855"/>
      <c r="GT94" s="855"/>
      <c r="GU94" s="855"/>
      <c r="GV94" s="855"/>
      <c r="GW94" s="855"/>
      <c r="GX94" s="855"/>
      <c r="GY94" s="855"/>
      <c r="GZ94" s="855"/>
      <c r="HA94" s="855"/>
      <c r="HB94" s="855"/>
      <c r="HC94" s="855"/>
      <c r="HD94" s="855"/>
      <c r="HE94" s="855"/>
      <c r="HF94" s="855"/>
      <c r="HG94" s="855"/>
      <c r="HH94" s="855"/>
      <c r="HI94" s="855"/>
      <c r="HJ94" s="855"/>
      <c r="HK94" s="855"/>
      <c r="HL94" s="855"/>
      <c r="HM94" s="855"/>
      <c r="HN94" s="855"/>
      <c r="HO94" s="855"/>
      <c r="HP94" s="855"/>
      <c r="HQ94" s="855"/>
      <c r="HR94" s="855"/>
      <c r="HS94" s="855"/>
      <c r="HT94" s="855"/>
      <c r="HU94" s="855"/>
      <c r="HV94" s="855"/>
      <c r="HW94" s="855"/>
      <c r="HX94" s="855"/>
      <c r="HY94" s="855"/>
      <c r="HZ94" s="855"/>
      <c r="IA94" s="855"/>
      <c r="IB94" s="855"/>
      <c r="IC94" s="855"/>
      <c r="ID94" s="855"/>
      <c r="IE94" s="855"/>
      <c r="IF94" s="855"/>
      <c r="IG94" s="855"/>
      <c r="IH94" s="855"/>
      <c r="II94" s="855"/>
      <c r="IJ94" s="855"/>
      <c r="IK94" s="855"/>
      <c r="IL94" s="855"/>
      <c r="IM94" s="855"/>
      <c r="IN94" s="855"/>
      <c r="IO94" s="855"/>
      <c r="IP94" s="855"/>
      <c r="IQ94" s="855"/>
      <c r="IR94" s="855"/>
      <c r="IS94" s="855"/>
      <c r="IT94" s="855"/>
      <c r="IU94" s="855"/>
      <c r="IV94" s="855"/>
      <c r="IW94" s="855"/>
      <c r="IX94" s="855"/>
      <c r="IY94" s="855"/>
      <c r="IZ94" s="855"/>
      <c r="JA94" s="855"/>
      <c r="JB94" s="855"/>
      <c r="JC94" s="855"/>
      <c r="JD94" s="855"/>
      <c r="JE94" s="855"/>
      <c r="JF94" s="855"/>
      <c r="JG94" s="855"/>
      <c r="JH94" s="855"/>
      <c r="JI94" s="855"/>
      <c r="JJ94" s="855"/>
      <c r="JK94" s="855"/>
      <c r="JL94" s="855"/>
      <c r="JM94"/>
    </row>
    <row r="95" spans="1:273" s="855" customFormat="1">
      <c r="A95" s="289" t="s">
        <v>613</v>
      </c>
      <c r="B95" s="290"/>
      <c r="C95" s="289"/>
      <c r="D95" s="289"/>
      <c r="E95" s="289"/>
      <c r="F95" s="289"/>
      <c r="G95" s="289"/>
      <c r="H95" s="289"/>
      <c r="I95" s="289"/>
      <c r="J95" s="289"/>
      <c r="K95" s="289"/>
      <c r="L95" s="289"/>
      <c r="M95" s="289"/>
      <c r="N95" s="289"/>
      <c r="O95" s="289"/>
      <c r="P95" s="289"/>
      <c r="Q95" s="289"/>
      <c r="R95" s="289"/>
      <c r="S95" s="289"/>
      <c r="T95" s="289"/>
      <c r="U95" s="289"/>
      <c r="V95" s="289"/>
      <c r="W95" s="289"/>
      <c r="X95" s="289"/>
      <c r="Y95" s="289"/>
      <c r="Z95" s="289"/>
      <c r="AA95" s="289"/>
      <c r="AB95" s="289"/>
      <c r="AC95" s="289"/>
      <c r="AD95" s="289"/>
      <c r="AE95" s="289"/>
      <c r="AF95" s="289"/>
      <c r="AG95" s="289"/>
      <c r="AH95" s="289"/>
      <c r="AI95" s="289"/>
      <c r="AJ95" s="289"/>
      <c r="AK95" s="289"/>
      <c r="AL95" s="289"/>
      <c r="AM95" s="289"/>
      <c r="AN95" s="290"/>
      <c r="AO95" s="290"/>
      <c r="AP95" s="290"/>
      <c r="AQ95" s="290"/>
      <c r="AR95" s="295"/>
      <c r="AS95" s="295"/>
      <c r="AT95" s="295"/>
      <c r="AU95" s="290"/>
      <c r="AV95" s="295">
        <f>SUM(AV87:AV94)</f>
        <v>596</v>
      </c>
      <c r="AW95" s="295">
        <f>SUM(AW87:AW94)</f>
        <v>489</v>
      </c>
      <c r="AX95" s="295">
        <f>SUM(AX87:AX94)</f>
        <v>1085</v>
      </c>
      <c r="AY95" s="853"/>
      <c r="AZ95" s="295">
        <f>SUM(AZ87:AZ94)</f>
        <v>402</v>
      </c>
      <c r="BA95" s="295">
        <f>SUM(BA87:BA94)</f>
        <v>529</v>
      </c>
      <c r="BB95" s="295">
        <f>SUM(BB87:BB94)</f>
        <v>931</v>
      </c>
      <c r="BC95" s="853"/>
      <c r="BD95" s="295">
        <f>SUM(BD87:BD94)</f>
        <v>339</v>
      </c>
      <c r="BE95" s="295">
        <f>SUM(BE87:BE94)</f>
        <v>343</v>
      </c>
      <c r="BF95" s="295">
        <f>SUM(BF87:BF94)</f>
        <v>682</v>
      </c>
      <c r="BG95" s="853"/>
      <c r="BH95" s="295">
        <f>SUM(BH87:BH94)</f>
        <v>327</v>
      </c>
      <c r="BI95" s="295">
        <f>SUM(BI87:BI94)</f>
        <v>327</v>
      </c>
      <c r="BJ95" s="295">
        <f>SUM(BJ87:BJ94)</f>
        <v>654</v>
      </c>
      <c r="BK95" s="853"/>
      <c r="BL95" s="295">
        <f>SUM(BL87:BL94)</f>
        <v>357</v>
      </c>
      <c r="BM95" s="295">
        <f>SUM(BM87:BM94)</f>
        <v>452</v>
      </c>
      <c r="BN95" s="295">
        <f>SUM(BN87:BN94)</f>
        <v>809</v>
      </c>
      <c r="BO95" s="853"/>
      <c r="BP95" s="295">
        <f>SUM(BP87:BP94)</f>
        <v>429</v>
      </c>
      <c r="BQ95" s="295">
        <f>SUM(BQ87:BQ94)</f>
        <v>544</v>
      </c>
      <c r="BR95" s="295">
        <f>SUM(BR87:BR94)</f>
        <v>973</v>
      </c>
      <c r="BS95" s="853"/>
      <c r="BT95" s="295">
        <f>SUM(BT87:BT94)</f>
        <v>537</v>
      </c>
      <c r="BU95" s="295">
        <f>SUM(BU87:BU94)</f>
        <v>425</v>
      </c>
      <c r="BV95" s="295">
        <f>SUM(BV87:BV94)</f>
        <v>962</v>
      </c>
      <c r="BW95" s="295"/>
      <c r="BX95" s="295">
        <f>SUM(BX87:BX94)</f>
        <v>471</v>
      </c>
      <c r="BY95" s="295">
        <f>SUM(BY87:BY94)</f>
        <v>492</v>
      </c>
      <c r="BZ95" s="295">
        <f>SUM(BZ87:BZ94)</f>
        <v>963</v>
      </c>
      <c r="CA95" s="295"/>
      <c r="CB95" s="295">
        <f>SUM(CB87:CB94)</f>
        <v>458</v>
      </c>
      <c r="CC95" s="295">
        <f>SUM(CC87:CC94)</f>
        <v>462</v>
      </c>
      <c r="CD95" s="295">
        <f>SUM(CD87:CD94)</f>
        <v>920</v>
      </c>
      <c r="CE95" s="791"/>
      <c r="CF95" s="295">
        <f>SUM(CF88:CF94)</f>
        <v>573</v>
      </c>
      <c r="CG95" s="295">
        <f>SUM(CG88:CG94)</f>
        <v>433</v>
      </c>
      <c r="CH95" s="295">
        <f>SUM(CH88:CH94)</f>
        <v>1006</v>
      </c>
      <c r="CI95" s="791"/>
      <c r="CJ95" s="295">
        <f>SUM(CJ88:CJ94)</f>
        <v>482</v>
      </c>
      <c r="CK95" s="295">
        <f>SUM(CK88:CK94)</f>
        <v>578</v>
      </c>
      <c r="CL95" s="295">
        <f>SUM(CL88:CL94)</f>
        <v>1060</v>
      </c>
      <c r="CM95" s="791"/>
      <c r="CN95" s="295">
        <f>SUM(CN88:CN94)</f>
        <v>413</v>
      </c>
      <c r="CO95" s="295">
        <f>SUM(CO88:CO94)</f>
        <v>445</v>
      </c>
      <c r="CP95" s="295">
        <f>SUM(CP88:CP94)</f>
        <v>858</v>
      </c>
      <c r="CQ95" s="791"/>
      <c r="CR95" s="295">
        <f>SUM(CR88:CR94)</f>
        <v>618</v>
      </c>
      <c r="CS95" s="295">
        <f>SUM(CS88:CS94)</f>
        <v>755</v>
      </c>
      <c r="CT95" s="295">
        <f>SUM(CT88:CT94)</f>
        <v>1373</v>
      </c>
      <c r="CU95" s="295"/>
      <c r="CV95" s="295">
        <f>SUM(CV88:CV94)</f>
        <v>438</v>
      </c>
      <c r="CW95" s="295">
        <f>SUM(CW88:CW94)</f>
        <v>553</v>
      </c>
      <c r="CX95" s="295">
        <f>SUM(CX88:CX94)</f>
        <v>991</v>
      </c>
      <c r="CY95" s="295"/>
      <c r="CZ95" s="295">
        <f>SUM(CZ88:CZ94)</f>
        <v>408</v>
      </c>
      <c r="DA95" s="295">
        <f>SUM(DA88:DA94)</f>
        <v>335</v>
      </c>
      <c r="DB95" s="295">
        <f>SUM(DB88:DB94)</f>
        <v>743</v>
      </c>
      <c r="DC95" s="295"/>
      <c r="DD95" s="295">
        <f>SUM(DD88:DD94)</f>
        <v>413</v>
      </c>
      <c r="DE95" s="295">
        <f ca="1">SUM(DE88:DE94)</f>
        <v>503</v>
      </c>
      <c r="DF95" s="295">
        <f ca="1">SUM(DF88:DF94)</f>
        <v>916</v>
      </c>
      <c r="DG95" s="295"/>
      <c r="DH95" s="295">
        <f>SUM(DH88:DH94)</f>
        <v>558</v>
      </c>
      <c r="DI95" s="295">
        <f>SUM(DI88:DI94)</f>
        <v>581.6</v>
      </c>
      <c r="DJ95" s="295">
        <f>SUM(DJ88:DJ94)</f>
        <v>1139.5999999999999</v>
      </c>
      <c r="DK95" s="295"/>
      <c r="DL95" s="295">
        <f>SUM(DL88:DL94)</f>
        <v>606.04500000000007</v>
      </c>
      <c r="DM95" s="295">
        <f>SUM(DM88:DM94)</f>
        <v>637.48024999999996</v>
      </c>
      <c r="DN95" s="295">
        <f>SUM(DN88:DN94)</f>
        <v>1243.5252499999999</v>
      </c>
      <c r="DO95" s="853"/>
      <c r="DP95" s="295">
        <f>SUM(DP88:DP94)</f>
        <v>647.04715499999998</v>
      </c>
      <c r="DQ95" s="295">
        <f>SUM(DQ88:DQ94)</f>
        <v>662.68278410000005</v>
      </c>
      <c r="DR95" s="295">
        <f>SUM(DR88:DR94)</f>
        <v>1309.7299391000001</v>
      </c>
      <c r="DS95" s="853"/>
      <c r="DT95" s="853"/>
      <c r="DU95" s="295"/>
      <c r="DV95" s="295"/>
      <c r="DW95" s="295"/>
      <c r="DX95" s="853"/>
      <c r="DY95" s="853"/>
      <c r="DZ95" s="295"/>
      <c r="EA95" s="295"/>
      <c r="EB95" s="853"/>
      <c r="EC95" s="853"/>
      <c r="ED95" s="295"/>
      <c r="EE95" s="295"/>
      <c r="EF95" s="853"/>
      <c r="EG95" s="853"/>
      <c r="EH95" s="853"/>
      <c r="EI95" s="853"/>
      <c r="EJ95" s="853"/>
      <c r="EK95" s="853"/>
      <c r="EL95" s="853"/>
      <c r="EM95" s="853"/>
      <c r="EN95" s="853"/>
      <c r="EO95" s="853"/>
      <c r="EP95" s="853"/>
      <c r="JM95"/>
    </row>
    <row r="96" spans="1:273" s="854" customFormat="1">
      <c r="A96" s="856" t="s">
        <v>1186</v>
      </c>
      <c r="B96" s="304"/>
      <c r="C96" s="302"/>
      <c r="D96" s="302"/>
      <c r="E96" s="302"/>
      <c r="F96" s="302"/>
      <c r="G96" s="302"/>
      <c r="H96" s="302"/>
      <c r="I96" s="302"/>
      <c r="J96" s="302"/>
      <c r="K96" s="302"/>
      <c r="L96" s="302"/>
      <c r="M96" s="302"/>
      <c r="N96" s="302"/>
      <c r="O96" s="302"/>
      <c r="P96" s="302"/>
      <c r="Q96" s="302"/>
      <c r="R96" s="302"/>
      <c r="S96" s="302"/>
      <c r="T96" s="302"/>
      <c r="U96" s="302"/>
      <c r="V96" s="302"/>
      <c r="W96" s="302"/>
      <c r="X96" s="302"/>
      <c r="Y96" s="302"/>
      <c r="Z96" s="302"/>
      <c r="AA96" s="302"/>
      <c r="AB96" s="302"/>
      <c r="AC96" s="302"/>
      <c r="AD96" s="302"/>
      <c r="AE96" s="302"/>
      <c r="AF96" s="302"/>
      <c r="AG96" s="302"/>
      <c r="AH96" s="302"/>
      <c r="AI96" s="302"/>
      <c r="AJ96" s="302"/>
      <c r="AK96" s="302"/>
      <c r="AL96" s="302"/>
      <c r="AM96" s="302"/>
      <c r="AN96" s="298"/>
      <c r="AO96" s="298"/>
      <c r="AP96" s="298"/>
      <c r="AQ96" s="298"/>
      <c r="AR96" s="303"/>
      <c r="AS96" s="303"/>
      <c r="AT96" s="303"/>
      <c r="AU96" s="627"/>
      <c r="AV96" s="303"/>
      <c r="AW96" s="303"/>
      <c r="AX96" s="303"/>
      <c r="AY96" s="627"/>
      <c r="AZ96" s="303"/>
      <c r="BA96" s="303"/>
      <c r="BB96" s="303"/>
      <c r="BC96" s="857"/>
      <c r="BD96" s="627">
        <v>339</v>
      </c>
      <c r="BE96" s="627">
        <v>343</v>
      </c>
      <c r="BF96" s="303"/>
      <c r="BG96" s="857"/>
      <c r="BH96" s="627">
        <v>327</v>
      </c>
      <c r="BI96" s="627">
        <v>332</v>
      </c>
      <c r="BJ96" s="303"/>
      <c r="BK96" s="857"/>
      <c r="BL96" s="627">
        <v>357</v>
      </c>
      <c r="BM96" s="627">
        <v>452</v>
      </c>
      <c r="BN96" s="303"/>
      <c r="BO96" s="857"/>
      <c r="BP96" s="627">
        <v>429</v>
      </c>
      <c r="BQ96" s="627">
        <v>544</v>
      </c>
      <c r="BR96" s="303"/>
      <c r="BS96" s="857"/>
      <c r="BT96" s="627">
        <v>537</v>
      </c>
      <c r="BU96" s="627">
        <v>425</v>
      </c>
      <c r="BV96" s="303"/>
      <c r="BW96" s="857"/>
      <c r="BX96" s="627">
        <v>471</v>
      </c>
      <c r="BY96" s="627">
        <v>492</v>
      </c>
      <c r="BZ96" s="303"/>
      <c r="CA96" s="857"/>
      <c r="CB96" s="629">
        <v>458</v>
      </c>
      <c r="CC96" s="629">
        <v>462</v>
      </c>
      <c r="CD96" s="303"/>
      <c r="CE96" s="931"/>
      <c r="CF96" s="629">
        <v>573</v>
      </c>
      <c r="CG96" s="629">
        <v>433</v>
      </c>
      <c r="CH96" s="303"/>
      <c r="CI96" s="931"/>
      <c r="CJ96" s="629">
        <v>482</v>
      </c>
      <c r="CK96" s="629">
        <v>578</v>
      </c>
      <c r="CL96" s="303"/>
      <c r="CM96" s="931"/>
      <c r="CN96" s="1327">
        <v>413</v>
      </c>
      <c r="CO96" s="1326">
        <v>445</v>
      </c>
      <c r="CP96" s="303"/>
      <c r="CQ96" s="931"/>
      <c r="CR96" s="636">
        <v>618</v>
      </c>
      <c r="CS96" s="629">
        <v>755</v>
      </c>
      <c r="CT96" s="888"/>
      <c r="CU96" s="857"/>
      <c r="CV96" s="1389">
        <v>438</v>
      </c>
      <c r="CW96" s="626">
        <v>553</v>
      </c>
      <c r="CX96" s="888"/>
      <c r="CY96" s="857"/>
      <c r="CZ96" s="1389">
        <v>408</v>
      </c>
      <c r="DA96" s="1389">
        <v>335</v>
      </c>
      <c r="DB96" s="293"/>
      <c r="DC96" s="853"/>
      <c r="DD96" s="1389">
        <v>413</v>
      </c>
      <c r="DE96" s="655">
        <v>503</v>
      </c>
      <c r="DF96" s="293"/>
      <c r="DG96" s="853"/>
      <c r="DH96" s="2200">
        <f>DIVISIONS!DH148</f>
        <v>558</v>
      </c>
      <c r="DI96" s="293"/>
      <c r="DJ96" s="293"/>
      <c r="DK96" s="853"/>
      <c r="DL96" s="293"/>
      <c r="DM96" s="293"/>
      <c r="DN96" s="293"/>
      <c r="DO96" s="853"/>
      <c r="DP96" s="293"/>
      <c r="DQ96" s="293"/>
      <c r="DR96" s="293"/>
      <c r="DS96" s="853"/>
      <c r="DT96" s="853"/>
      <c r="DU96" s="850"/>
      <c r="DV96" s="850"/>
      <c r="DW96" s="850"/>
      <c r="DX96" s="853"/>
      <c r="DY96" s="853"/>
      <c r="DZ96" s="850"/>
      <c r="EA96" s="850"/>
      <c r="EB96" s="853"/>
      <c r="EC96" s="853"/>
      <c r="ED96" s="850"/>
      <c r="EE96" s="850"/>
      <c r="EF96" s="853"/>
      <c r="EG96" s="853"/>
      <c r="EH96" s="853"/>
      <c r="EI96" s="853"/>
      <c r="EJ96" s="853"/>
      <c r="EK96" s="853"/>
      <c r="EL96" s="853"/>
      <c r="EM96" s="853"/>
      <c r="EN96" s="853"/>
      <c r="EO96" s="853"/>
      <c r="EP96" s="853"/>
      <c r="EQ96" s="855"/>
      <c r="ER96" s="855"/>
      <c r="ES96" s="855"/>
      <c r="ET96" s="855"/>
      <c r="EU96" s="855"/>
      <c r="EV96" s="855"/>
      <c r="EW96" s="855"/>
      <c r="EX96" s="855"/>
      <c r="EY96" s="855"/>
      <c r="EZ96" s="855"/>
      <c r="FA96" s="855"/>
      <c r="FB96" s="855"/>
      <c r="FC96" s="855"/>
      <c r="FD96" s="855"/>
      <c r="FE96" s="855"/>
      <c r="FF96" s="855"/>
      <c r="FG96" s="855"/>
      <c r="FH96" s="855"/>
      <c r="FI96" s="855"/>
      <c r="FJ96" s="855"/>
      <c r="FK96" s="855"/>
      <c r="FL96" s="855"/>
      <c r="FM96" s="855"/>
      <c r="FN96" s="855"/>
      <c r="FO96" s="855"/>
      <c r="FP96" s="855"/>
      <c r="FQ96" s="855"/>
      <c r="FR96" s="855"/>
      <c r="FS96" s="855"/>
      <c r="FT96" s="855"/>
      <c r="FU96" s="855"/>
      <c r="FV96" s="855"/>
      <c r="FW96" s="855"/>
      <c r="FX96" s="855"/>
      <c r="FY96" s="855"/>
      <c r="FZ96" s="855"/>
      <c r="GA96" s="855"/>
      <c r="GB96" s="855"/>
      <c r="GC96" s="855"/>
      <c r="GD96" s="855"/>
      <c r="GE96" s="855"/>
      <c r="GF96" s="855"/>
      <c r="GG96" s="855"/>
      <c r="GH96" s="855"/>
      <c r="GI96" s="855"/>
      <c r="GJ96" s="855"/>
      <c r="GK96" s="855"/>
      <c r="GL96" s="855"/>
      <c r="GM96" s="855"/>
      <c r="GN96" s="855"/>
      <c r="GO96" s="855"/>
      <c r="GP96" s="855"/>
      <c r="GQ96" s="855"/>
      <c r="GR96" s="855"/>
      <c r="GS96" s="855"/>
      <c r="GT96" s="855"/>
      <c r="GU96" s="855"/>
      <c r="GV96" s="855"/>
      <c r="GW96" s="855"/>
      <c r="GX96" s="855"/>
      <c r="GY96" s="855"/>
      <c r="GZ96" s="855"/>
      <c r="HA96" s="855"/>
      <c r="HB96" s="855"/>
      <c r="HC96" s="855"/>
      <c r="HD96" s="855"/>
      <c r="HE96" s="855"/>
      <c r="HF96" s="855"/>
      <c r="HG96" s="855"/>
      <c r="HH96" s="855"/>
      <c r="HI96" s="855"/>
      <c r="HJ96" s="855"/>
      <c r="HK96" s="855"/>
      <c r="HL96" s="855"/>
      <c r="HM96" s="855"/>
      <c r="HN96" s="855"/>
      <c r="HO96" s="855"/>
      <c r="HP96" s="855"/>
      <c r="HQ96" s="855"/>
      <c r="HR96" s="855"/>
      <c r="HS96" s="855"/>
      <c r="HT96" s="855"/>
      <c r="HU96" s="855"/>
      <c r="HV96" s="855"/>
      <c r="HW96" s="855"/>
      <c r="HX96" s="855"/>
      <c r="HY96" s="855"/>
      <c r="HZ96" s="855"/>
      <c r="IA96" s="855"/>
      <c r="IB96" s="855"/>
      <c r="IC96" s="855"/>
      <c r="ID96" s="855"/>
      <c r="IE96" s="855"/>
      <c r="IF96" s="855"/>
      <c r="IG96" s="855"/>
      <c r="IH96" s="855"/>
      <c r="II96" s="855"/>
      <c r="IJ96" s="855"/>
      <c r="IK96" s="855"/>
      <c r="IL96" s="855"/>
      <c r="IM96" s="855"/>
      <c r="IN96" s="855"/>
      <c r="IO96" s="855"/>
      <c r="IP96" s="855"/>
      <c r="IQ96" s="855"/>
      <c r="IR96" s="855"/>
      <c r="IS96" s="855"/>
      <c r="IT96" s="855"/>
      <c r="IU96" s="855"/>
      <c r="IV96" s="855"/>
      <c r="IW96" s="855"/>
      <c r="IX96" s="855"/>
      <c r="IY96" s="855"/>
      <c r="IZ96" s="855"/>
      <c r="JA96" s="855"/>
      <c r="JB96" s="855"/>
      <c r="JC96" s="855"/>
      <c r="JD96" s="855"/>
      <c r="JE96" s="855"/>
      <c r="JF96" s="855"/>
      <c r="JG96" s="855"/>
      <c r="JH96" s="855"/>
      <c r="JI96" s="855"/>
      <c r="JJ96" s="855"/>
      <c r="JK96" s="855"/>
      <c r="JL96" s="855"/>
      <c r="JM96"/>
    </row>
    <row r="97" spans="1:273" s="854" customFormat="1">
      <c r="A97" s="328"/>
      <c r="B97" s="103"/>
      <c r="C97" s="102"/>
      <c r="D97" s="102"/>
      <c r="E97" s="102"/>
      <c r="F97" s="102"/>
      <c r="G97" s="102"/>
      <c r="H97" s="102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290"/>
      <c r="AO97" s="290"/>
      <c r="AP97" s="290"/>
      <c r="AQ97" s="290"/>
      <c r="AR97" s="293"/>
      <c r="AS97" s="293"/>
      <c r="AT97" s="293"/>
      <c r="AU97" s="626"/>
      <c r="AV97" s="293"/>
      <c r="AW97" s="293"/>
      <c r="AX97" s="293"/>
      <c r="AY97" s="626"/>
      <c r="AZ97" s="293"/>
      <c r="BA97" s="293"/>
      <c r="BB97" s="293"/>
      <c r="BC97" s="853"/>
      <c r="BD97" s="626"/>
      <c r="BE97" s="626"/>
      <c r="BF97" s="293"/>
      <c r="BG97" s="853"/>
      <c r="BH97" s="626"/>
      <c r="BI97" s="626"/>
      <c r="BJ97" s="293"/>
      <c r="BK97" s="853"/>
      <c r="BL97" s="626"/>
      <c r="BM97" s="626"/>
      <c r="BN97" s="293"/>
      <c r="BO97" s="853"/>
      <c r="BP97" s="626"/>
      <c r="BQ97" s="626"/>
      <c r="BR97" s="293"/>
      <c r="BS97" s="853"/>
      <c r="BT97" s="626"/>
      <c r="BU97" s="626"/>
      <c r="BV97" s="293"/>
      <c r="BW97" s="853"/>
      <c r="BX97" s="626"/>
      <c r="BY97" s="626"/>
      <c r="BZ97" s="293"/>
      <c r="CA97" s="853"/>
      <c r="CB97" s="626"/>
      <c r="CC97" s="626"/>
      <c r="CD97" s="293"/>
      <c r="CE97" s="862"/>
      <c r="CF97" s="626"/>
      <c r="CG97" s="626"/>
      <c r="CH97" s="293"/>
      <c r="CI97" s="862"/>
      <c r="CJ97" s="626"/>
      <c r="CK97" s="626"/>
      <c r="CL97" s="293"/>
      <c r="CM97" s="862"/>
      <c r="CN97" s="655"/>
      <c r="CO97" s="626"/>
      <c r="CP97" s="293"/>
      <c r="CQ97" s="862"/>
      <c r="CR97" s="293"/>
      <c r="CS97" s="626"/>
      <c r="CT97" s="293"/>
      <c r="CU97" s="853"/>
      <c r="CV97" s="293"/>
      <c r="CW97" s="626"/>
      <c r="CX97" s="293"/>
      <c r="CY97" s="853"/>
      <c r="CZ97" s="293"/>
      <c r="DA97" s="1388"/>
      <c r="DB97" s="293"/>
      <c r="DC97" s="853"/>
      <c r="DD97" s="293"/>
      <c r="DE97" s="293"/>
      <c r="DF97" s="293"/>
      <c r="DG97" s="853"/>
      <c r="DH97" s="293"/>
      <c r="DI97" s="293"/>
      <c r="DJ97" s="293"/>
      <c r="DK97" s="853"/>
      <c r="DL97" s="293"/>
      <c r="DM97" s="293"/>
      <c r="DN97" s="293"/>
      <c r="DO97" s="853"/>
      <c r="DP97" s="293"/>
      <c r="DQ97" s="293"/>
      <c r="DR97" s="293"/>
      <c r="DS97" s="853"/>
      <c r="DT97" s="853"/>
      <c r="DU97" s="850"/>
      <c r="DV97" s="850"/>
      <c r="DW97" s="850"/>
      <c r="DX97" s="853"/>
      <c r="DY97" s="853"/>
      <c r="DZ97" s="850"/>
      <c r="EA97" s="850"/>
      <c r="EB97" s="853"/>
      <c r="EC97" s="853"/>
      <c r="ED97" s="850"/>
      <c r="EE97" s="850"/>
      <c r="EF97" s="853"/>
      <c r="EG97" s="853"/>
      <c r="EH97" s="853"/>
      <c r="EI97" s="853"/>
      <c r="EJ97" s="853"/>
      <c r="EK97" s="853"/>
      <c r="EL97" s="853"/>
      <c r="EM97" s="853"/>
      <c r="EN97" s="853"/>
      <c r="EO97" s="853"/>
      <c r="EP97" s="853"/>
      <c r="EQ97" s="855"/>
      <c r="ER97" s="855"/>
      <c r="ES97" s="855"/>
      <c r="ET97" s="855"/>
      <c r="EU97" s="855"/>
      <c r="EV97" s="855"/>
      <c r="EW97" s="855"/>
      <c r="EX97" s="855"/>
      <c r="EY97" s="855"/>
      <c r="EZ97" s="855"/>
      <c r="FA97" s="855"/>
      <c r="FB97" s="855"/>
      <c r="FC97" s="855"/>
      <c r="FD97" s="855"/>
      <c r="FE97" s="855"/>
      <c r="FF97" s="855"/>
      <c r="FG97" s="855"/>
      <c r="FH97" s="855"/>
      <c r="FI97" s="855"/>
      <c r="FJ97" s="855"/>
      <c r="FK97" s="855"/>
      <c r="FL97" s="855"/>
      <c r="FM97" s="855"/>
      <c r="FN97" s="855"/>
      <c r="FO97" s="855"/>
      <c r="FP97" s="855"/>
      <c r="FQ97" s="855"/>
      <c r="FR97" s="855"/>
      <c r="FS97" s="855"/>
      <c r="FT97" s="855"/>
      <c r="FU97" s="855"/>
      <c r="FV97" s="855"/>
      <c r="FW97" s="855"/>
      <c r="FX97" s="855"/>
      <c r="FY97" s="855"/>
      <c r="FZ97" s="855"/>
      <c r="GA97" s="855"/>
      <c r="GB97" s="855"/>
      <c r="GC97" s="855"/>
      <c r="GD97" s="855"/>
      <c r="GE97" s="855"/>
      <c r="GF97" s="855"/>
      <c r="GG97" s="855"/>
      <c r="GH97" s="855"/>
      <c r="GI97" s="855"/>
      <c r="GJ97" s="855"/>
      <c r="GK97" s="855"/>
      <c r="GL97" s="855"/>
      <c r="GM97" s="855"/>
      <c r="GN97" s="855"/>
      <c r="GO97" s="855"/>
      <c r="GP97" s="855"/>
      <c r="GQ97" s="855"/>
      <c r="GR97" s="855"/>
      <c r="GS97" s="855"/>
      <c r="GT97" s="855"/>
      <c r="GU97" s="855"/>
      <c r="GV97" s="855"/>
      <c r="GW97" s="855"/>
      <c r="GX97" s="855"/>
      <c r="GY97" s="855"/>
      <c r="GZ97" s="855"/>
      <c r="HA97" s="855"/>
      <c r="HB97" s="855"/>
      <c r="HC97" s="855"/>
      <c r="HD97" s="855"/>
      <c r="HE97" s="855"/>
      <c r="HF97" s="855"/>
      <c r="HG97" s="855"/>
      <c r="HH97" s="855"/>
      <c r="HI97" s="855"/>
      <c r="HJ97" s="855"/>
      <c r="HK97" s="855"/>
      <c r="HL97" s="855"/>
      <c r="HM97" s="855"/>
      <c r="HN97" s="855"/>
      <c r="HO97" s="855"/>
      <c r="HP97" s="855"/>
      <c r="HQ97" s="855"/>
      <c r="HR97" s="855"/>
      <c r="HS97" s="855"/>
      <c r="HT97" s="855"/>
      <c r="HU97" s="855"/>
      <c r="HV97" s="855"/>
      <c r="HW97" s="855"/>
      <c r="HX97" s="855"/>
      <c r="HY97" s="855"/>
      <c r="HZ97" s="855"/>
      <c r="IA97" s="855"/>
      <c r="IB97" s="855"/>
      <c r="IC97" s="855"/>
      <c r="ID97" s="855"/>
      <c r="IE97" s="855"/>
      <c r="IF97" s="855"/>
      <c r="IG97" s="855"/>
      <c r="IH97" s="855"/>
      <c r="II97" s="855"/>
      <c r="IJ97" s="855"/>
      <c r="IK97" s="855"/>
      <c r="IL97" s="855"/>
      <c r="IM97" s="855"/>
      <c r="IN97" s="855"/>
      <c r="IO97" s="855"/>
      <c r="IP97" s="855"/>
      <c r="IQ97" s="855"/>
      <c r="IR97" s="855"/>
      <c r="IS97" s="855"/>
      <c r="IT97" s="855"/>
      <c r="IU97" s="855"/>
      <c r="IV97" s="855"/>
      <c r="IW97" s="855"/>
      <c r="IX97" s="855"/>
      <c r="IY97" s="855"/>
      <c r="IZ97" s="855"/>
      <c r="JA97" s="855"/>
      <c r="JB97" s="855"/>
      <c r="JC97" s="855"/>
      <c r="JD97" s="855"/>
      <c r="JE97" s="855"/>
      <c r="JF97" s="855"/>
      <c r="JG97" s="855"/>
      <c r="JH97" s="855"/>
      <c r="JI97" s="855"/>
      <c r="JJ97" s="855"/>
      <c r="JK97" s="855"/>
      <c r="JL97" s="855"/>
      <c r="JM97"/>
    </row>
    <row r="98" spans="1:273">
      <c r="A98" s="815" t="s">
        <v>811</v>
      </c>
      <c r="DA98" s="1009"/>
    </row>
    <row r="99" spans="1:273" s="854" customFormat="1">
      <c r="A99" s="102" t="s">
        <v>685</v>
      </c>
      <c r="B99" s="103"/>
      <c r="C99" s="102"/>
      <c r="D99" s="102"/>
      <c r="E99" s="102"/>
      <c r="F99" s="102"/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293"/>
      <c r="AO99" s="293"/>
      <c r="AP99" s="293"/>
      <c r="AQ99" s="293"/>
      <c r="AR99" s="293"/>
      <c r="AS99" s="293"/>
      <c r="AT99" s="626"/>
      <c r="AU99" s="626"/>
      <c r="AV99" s="293"/>
      <c r="AW99" s="293"/>
      <c r="AX99" s="626"/>
      <c r="AY99" s="626"/>
      <c r="AZ99" s="293"/>
      <c r="BA99" s="293"/>
      <c r="BB99" s="853"/>
      <c r="BC99" s="853"/>
      <c r="BD99" s="293"/>
      <c r="BE99" s="293"/>
      <c r="BF99" s="293"/>
      <c r="BG99" s="853"/>
      <c r="BH99" s="293"/>
      <c r="BI99" s="293"/>
      <c r="BJ99" s="293"/>
      <c r="BK99" s="853"/>
      <c r="BL99" s="293"/>
      <c r="BM99" s="293"/>
      <c r="BN99" s="293"/>
      <c r="BO99" s="853"/>
      <c r="BP99" s="293"/>
      <c r="BQ99" s="293"/>
      <c r="BR99" s="293"/>
      <c r="BS99" s="853"/>
      <c r="BT99" s="293"/>
      <c r="BU99" s="293"/>
      <c r="BV99" s="293"/>
      <c r="BW99" s="853"/>
      <c r="BX99" s="293"/>
      <c r="BY99" s="293"/>
      <c r="BZ99" s="293"/>
      <c r="CA99" s="853"/>
      <c r="CB99" s="293"/>
      <c r="CC99" s="293"/>
      <c r="CD99" s="293"/>
      <c r="CE99" s="862"/>
      <c r="CF99" s="293"/>
      <c r="CG99" s="293"/>
      <c r="CH99" s="293"/>
      <c r="CI99" s="862"/>
      <c r="CJ99" s="293"/>
      <c r="CK99" s="293"/>
      <c r="CL99" s="293"/>
      <c r="CM99" s="862"/>
      <c r="CN99" s="293"/>
      <c r="CO99" s="293"/>
      <c r="CP99" s="293"/>
      <c r="CQ99" s="862"/>
      <c r="CR99" s="293"/>
      <c r="CS99" s="293"/>
      <c r="CT99" s="293"/>
      <c r="CU99" s="853"/>
      <c r="CV99" s="293"/>
      <c r="CW99" s="293"/>
      <c r="CX99" s="293"/>
      <c r="CY99" s="853"/>
      <c r="CZ99" s="293"/>
      <c r="DA99" s="1010"/>
      <c r="DB99" s="293"/>
      <c r="DC99" s="853"/>
      <c r="DD99" s="293"/>
      <c r="DE99" s="293"/>
      <c r="DF99" s="293"/>
      <c r="DG99" s="853"/>
      <c r="DH99" s="293"/>
      <c r="DI99" s="293"/>
      <c r="DJ99" s="293"/>
      <c r="DK99" s="853"/>
      <c r="DL99" s="293"/>
      <c r="DM99" s="293"/>
      <c r="DN99" s="293"/>
      <c r="DO99" s="853"/>
      <c r="DP99" s="293"/>
      <c r="DQ99" s="293"/>
      <c r="DR99" s="293"/>
      <c r="DS99" s="853"/>
      <c r="DT99" s="853"/>
      <c r="DU99" s="850"/>
      <c r="DV99" s="850"/>
      <c r="DW99" s="850"/>
      <c r="DX99" s="853"/>
      <c r="DY99" s="853"/>
      <c r="DZ99" s="850"/>
      <c r="EA99" s="850"/>
      <c r="EB99" s="853"/>
      <c r="EC99" s="853"/>
      <c r="ED99" s="850"/>
      <c r="EE99" s="850"/>
      <c r="EF99" s="853"/>
      <c r="EG99" s="853"/>
      <c r="EH99" s="853"/>
      <c r="EI99" s="853"/>
      <c r="EJ99" s="853"/>
      <c r="EK99" s="853"/>
      <c r="EL99" s="853"/>
      <c r="EM99" s="853"/>
      <c r="EN99" s="853"/>
      <c r="EO99" s="853"/>
      <c r="EP99" s="853"/>
      <c r="EQ99" s="855"/>
      <c r="ER99" s="855"/>
      <c r="ES99" s="855"/>
      <c r="ET99" s="855"/>
      <c r="EU99" s="855"/>
      <c r="EV99" s="855"/>
      <c r="EW99" s="855"/>
      <c r="EX99" s="855"/>
      <c r="EY99" s="855"/>
      <c r="EZ99" s="855"/>
      <c r="FA99" s="855"/>
      <c r="FB99" s="855"/>
      <c r="FC99" s="855"/>
      <c r="FD99" s="855"/>
      <c r="FE99" s="855"/>
      <c r="FF99" s="855"/>
      <c r="FG99" s="855"/>
      <c r="FH99" s="855"/>
      <c r="FI99" s="855"/>
      <c r="FJ99" s="855"/>
      <c r="FK99" s="855"/>
      <c r="FL99" s="855"/>
      <c r="FM99" s="855"/>
      <c r="FN99" s="855"/>
      <c r="FO99" s="855"/>
      <c r="FP99" s="855"/>
      <c r="FQ99" s="855"/>
      <c r="FR99" s="855"/>
      <c r="FS99" s="855"/>
      <c r="FT99" s="855"/>
      <c r="FU99" s="855"/>
      <c r="FV99" s="855"/>
      <c r="FW99" s="855"/>
      <c r="FX99" s="855"/>
      <c r="FY99" s="855"/>
      <c r="FZ99" s="855"/>
      <c r="GA99" s="855"/>
      <c r="GB99" s="855"/>
      <c r="GC99" s="855"/>
      <c r="GD99" s="855"/>
      <c r="GE99" s="855"/>
      <c r="GF99" s="855"/>
      <c r="GG99" s="855"/>
      <c r="GH99" s="855"/>
      <c r="GI99" s="855"/>
      <c r="GJ99" s="855"/>
      <c r="GK99" s="855"/>
      <c r="GL99" s="855"/>
      <c r="GM99" s="855"/>
      <c r="GN99" s="855"/>
      <c r="GO99" s="855"/>
      <c r="GP99" s="855"/>
      <c r="GQ99" s="855"/>
      <c r="GR99" s="855"/>
      <c r="GS99" s="855"/>
      <c r="GT99" s="855"/>
      <c r="GU99" s="855"/>
      <c r="GV99" s="855"/>
      <c r="GW99" s="855"/>
      <c r="GX99" s="855"/>
      <c r="GY99" s="855"/>
      <c r="GZ99" s="855"/>
      <c r="HA99" s="855"/>
      <c r="HB99" s="855"/>
      <c r="HC99" s="855"/>
      <c r="HD99" s="855"/>
      <c r="HE99" s="855"/>
      <c r="HF99" s="855"/>
      <c r="HG99" s="855"/>
      <c r="HH99" s="855"/>
      <c r="HI99" s="855"/>
      <c r="HJ99" s="855"/>
      <c r="HK99" s="855"/>
      <c r="HL99" s="855"/>
      <c r="HM99" s="855"/>
      <c r="HN99" s="855"/>
      <c r="HO99" s="855"/>
      <c r="HP99" s="855"/>
      <c r="HQ99" s="855"/>
      <c r="HR99" s="855"/>
      <c r="HS99" s="855"/>
      <c r="HT99" s="855"/>
      <c r="HU99" s="855"/>
      <c r="HV99" s="855"/>
      <c r="HW99" s="855"/>
      <c r="HX99" s="855"/>
      <c r="HY99" s="855"/>
      <c r="HZ99" s="855"/>
      <c r="IA99" s="855"/>
      <c r="IB99" s="855"/>
      <c r="IC99" s="855"/>
      <c r="ID99" s="855"/>
      <c r="IE99" s="855"/>
      <c r="IF99" s="855"/>
      <c r="IG99" s="855"/>
      <c r="IH99" s="855"/>
      <c r="II99" s="855"/>
      <c r="IJ99" s="855"/>
      <c r="IK99" s="855"/>
      <c r="IL99" s="855"/>
      <c r="IM99" s="855"/>
      <c r="IN99" s="855"/>
      <c r="IO99" s="855"/>
      <c r="IP99" s="855"/>
      <c r="IQ99" s="855"/>
      <c r="IR99" s="855"/>
      <c r="IS99" s="855"/>
      <c r="IT99" s="855"/>
      <c r="IU99" s="855"/>
      <c r="IV99" s="855"/>
      <c r="IW99" s="855"/>
      <c r="IX99" s="855"/>
      <c r="IY99" s="855"/>
      <c r="IZ99" s="855"/>
      <c r="JA99" s="855"/>
      <c r="JB99" s="855"/>
      <c r="JC99" s="855"/>
      <c r="JD99" s="855"/>
      <c r="JE99" s="855"/>
      <c r="JF99" s="855"/>
      <c r="JG99" s="855"/>
      <c r="JH99" s="855"/>
      <c r="JI99" s="855"/>
      <c r="JJ99" s="855"/>
      <c r="JK99" s="855"/>
      <c r="JL99" s="855"/>
      <c r="JM99"/>
    </row>
    <row r="100" spans="1:273" s="854" customFormat="1">
      <c r="A100" s="102" t="s">
        <v>686</v>
      </c>
      <c r="B100" s="103"/>
      <c r="C100" s="102"/>
      <c r="D100" s="102"/>
      <c r="E100" s="102"/>
      <c r="F100" s="102"/>
      <c r="G100" s="102"/>
      <c r="H100" s="102"/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293"/>
      <c r="AO100" s="293"/>
      <c r="AP100" s="293"/>
      <c r="AQ100" s="293"/>
      <c r="AR100" s="293"/>
      <c r="AS100" s="293"/>
      <c r="AT100" s="626"/>
      <c r="AU100" s="626"/>
      <c r="AV100" s="293"/>
      <c r="AW100" s="293"/>
      <c r="AX100" s="626"/>
      <c r="AY100" s="626"/>
      <c r="AZ100" s="293"/>
      <c r="BA100" s="293"/>
      <c r="BB100" s="853"/>
      <c r="BC100" s="853"/>
      <c r="BD100" s="293">
        <f>DIVISIONS!BD149</f>
        <v>21</v>
      </c>
      <c r="BE100" s="293">
        <f>DIVISIONS!BE149</f>
        <v>18</v>
      </c>
      <c r="BF100" s="293">
        <f>DIVISIONS!BF149</f>
        <v>39</v>
      </c>
      <c r="BG100" s="853"/>
      <c r="BH100" s="293">
        <f>DIVISIONS!BH149</f>
        <v>16</v>
      </c>
      <c r="BI100" s="293">
        <f>DIVISIONS!BI149</f>
        <v>18</v>
      </c>
      <c r="BJ100" s="293">
        <f>DIVISIONS!BJ149</f>
        <v>34</v>
      </c>
      <c r="BK100" s="853"/>
      <c r="BL100" s="293">
        <f>DIVISIONS!BL149</f>
        <v>24</v>
      </c>
      <c r="BM100" s="293">
        <f>DIVISIONS!BM149</f>
        <v>22</v>
      </c>
      <c r="BN100" s="293">
        <f>DIVISIONS!BN149</f>
        <v>46</v>
      </c>
      <c r="BO100" s="853" t="s">
        <v>184</v>
      </c>
      <c r="BP100" s="293">
        <f>DIVISIONS!BP149</f>
        <v>18</v>
      </c>
      <c r="BQ100" s="293">
        <f>DIVISIONS!BQ149</f>
        <v>25</v>
      </c>
      <c r="BR100" s="293">
        <f>DIVISIONS!BR149</f>
        <v>43</v>
      </c>
      <c r="BS100" s="853" t="s">
        <v>184</v>
      </c>
      <c r="BT100" s="293">
        <f>DIVISIONS!BT149</f>
        <v>32</v>
      </c>
      <c r="BU100" s="293">
        <f>DIVISIONS!BU149</f>
        <v>16</v>
      </c>
      <c r="BV100" s="293">
        <f>DIVISIONS!BV149</f>
        <v>48</v>
      </c>
      <c r="BW100" s="853"/>
      <c r="BX100" s="293">
        <f>DIVISIONS!BX149</f>
        <v>22.951724137931034</v>
      </c>
      <c r="BY100" s="293">
        <f>DIVISIONS!BY149</f>
        <v>25.986206896551725</v>
      </c>
      <c r="BZ100" s="293">
        <f>DIVISIONS!BZ149</f>
        <v>48.937931034482759</v>
      </c>
      <c r="CA100" s="853"/>
      <c r="CB100" s="293">
        <f>DIVISIONS!CB149</f>
        <v>23.282758620689656</v>
      </c>
      <c r="CC100" s="293">
        <f>DIVISIONS!CC149</f>
        <v>23.337931034482757</v>
      </c>
      <c r="CD100" s="293">
        <f>DIVISIONS!CD149</f>
        <v>46.620689655172413</v>
      </c>
      <c r="CE100" s="862"/>
      <c r="CF100" s="293">
        <f>DIVISIONS!CF149</f>
        <v>0</v>
      </c>
      <c r="CG100" s="293">
        <f>DIVISIONS!CG149</f>
        <v>0</v>
      </c>
      <c r="CH100" s="293">
        <f>DIVISIONS!CH149</f>
        <v>0</v>
      </c>
      <c r="CI100" s="862"/>
      <c r="CJ100" s="293">
        <f>DIVISIONS!CJ149</f>
        <v>0</v>
      </c>
      <c r="CK100" s="293">
        <f>DIVISIONS!CK149</f>
        <v>0</v>
      </c>
      <c r="CL100" s="293">
        <f>DIVISIONS!CL149</f>
        <v>0</v>
      </c>
      <c r="CM100" s="862"/>
      <c r="CN100" s="293">
        <f>DIVISIONS!CN149</f>
        <v>0</v>
      </c>
      <c r="CO100" s="293">
        <f>DIVISIONS!CO149</f>
        <v>0</v>
      </c>
      <c r="CP100" s="293">
        <f>DIVISIONS!CP149</f>
        <v>0</v>
      </c>
      <c r="CQ100" s="862"/>
      <c r="CR100" s="293">
        <f>DIVISIONS!CR149</f>
        <v>0</v>
      </c>
      <c r="CS100" s="293">
        <f>DIVISIONS!CS149</f>
        <v>0</v>
      </c>
      <c r="CT100" s="293">
        <f>DIVISIONS!CT149</f>
        <v>0</v>
      </c>
      <c r="CU100" s="853"/>
      <c r="CV100" s="293">
        <f>DIVISIONS!CV149</f>
        <v>0</v>
      </c>
      <c r="CW100" s="293">
        <f>DIVISIONS!CW149</f>
        <v>0</v>
      </c>
      <c r="CX100" s="293">
        <f>DIVISIONS!CX149</f>
        <v>0</v>
      </c>
      <c r="CY100" s="853"/>
      <c r="CZ100" s="293">
        <f>DIVISIONS!CZ149</f>
        <v>0</v>
      </c>
      <c r="DA100" s="1010">
        <f>DIVISIONS!DA149</f>
        <v>0</v>
      </c>
      <c r="DB100" s="293">
        <f>DIVISIONS!DB149</f>
        <v>0</v>
      </c>
      <c r="DC100" s="853"/>
      <c r="DD100" s="293">
        <f>DIVISIONS!DD149</f>
        <v>0</v>
      </c>
      <c r="DE100" s="1010">
        <f>DIVISIONS!DE149</f>
        <v>0</v>
      </c>
      <c r="DF100" s="293">
        <f>DIVISIONS!DF149</f>
        <v>0</v>
      </c>
      <c r="DG100" s="853"/>
      <c r="DH100" s="293">
        <f>DIVISIONS!DH149</f>
        <v>0</v>
      </c>
      <c r="DI100" s="293">
        <f>DIVISIONS!DI149</f>
        <v>0</v>
      </c>
      <c r="DJ100" s="293">
        <f>DIVISIONS!DJ149</f>
        <v>0</v>
      </c>
      <c r="DK100" s="853"/>
      <c r="DL100" s="293">
        <f>DIVISIONS!DL149</f>
        <v>0</v>
      </c>
      <c r="DM100" s="293">
        <f>DIVISIONS!DM149</f>
        <v>0</v>
      </c>
      <c r="DN100" s="293">
        <f>DIVISIONS!DN149</f>
        <v>0</v>
      </c>
      <c r="DO100" s="853"/>
      <c r="DP100" s="293">
        <f>DIVISIONS!DP149</f>
        <v>0</v>
      </c>
      <c r="DQ100" s="293">
        <f>DIVISIONS!DQ149</f>
        <v>0</v>
      </c>
      <c r="DR100" s="293">
        <f>DIVISIONS!DR149</f>
        <v>0</v>
      </c>
      <c r="DS100" s="853"/>
      <c r="DT100" s="853"/>
      <c r="DU100" s="850"/>
      <c r="DV100" s="850"/>
      <c r="DW100" s="850"/>
      <c r="DX100" s="853"/>
      <c r="DY100" s="853"/>
      <c r="DZ100" s="850"/>
      <c r="EA100" s="850"/>
      <c r="EB100" s="853"/>
      <c r="EC100" s="853"/>
      <c r="ED100" s="850"/>
      <c r="EE100" s="850"/>
      <c r="EF100" s="853"/>
      <c r="EG100" s="853"/>
      <c r="EH100" s="853"/>
      <c r="EI100" s="853"/>
      <c r="EJ100" s="853"/>
      <c r="EK100" s="853"/>
      <c r="EL100" s="853"/>
      <c r="EM100" s="853"/>
      <c r="EN100" s="853"/>
      <c r="EO100" s="853"/>
      <c r="EP100" s="853"/>
      <c r="EQ100" s="855"/>
      <c r="ER100" s="855"/>
      <c r="ES100" s="855"/>
      <c r="ET100" s="855"/>
      <c r="EU100" s="855"/>
      <c r="EV100" s="855"/>
      <c r="EW100" s="855"/>
      <c r="EX100" s="855"/>
      <c r="EY100" s="855"/>
      <c r="EZ100" s="855"/>
      <c r="FA100" s="855"/>
      <c r="FB100" s="855"/>
      <c r="FC100" s="855"/>
      <c r="FD100" s="855"/>
      <c r="FE100" s="855"/>
      <c r="FF100" s="855"/>
      <c r="FG100" s="855"/>
      <c r="FH100" s="855"/>
      <c r="FI100" s="855"/>
      <c r="FJ100" s="855"/>
      <c r="FK100" s="855"/>
      <c r="FL100" s="855"/>
      <c r="FM100" s="855"/>
      <c r="FN100" s="855"/>
      <c r="FO100" s="855"/>
      <c r="FP100" s="855"/>
      <c r="FQ100" s="855"/>
      <c r="FR100" s="855"/>
      <c r="FS100" s="855"/>
      <c r="FT100" s="855"/>
      <c r="FU100" s="855"/>
      <c r="FV100" s="855"/>
      <c r="FW100" s="855"/>
      <c r="FX100" s="855"/>
      <c r="FY100" s="855"/>
      <c r="FZ100" s="855"/>
      <c r="GA100" s="855"/>
      <c r="GB100" s="855"/>
      <c r="GC100" s="855"/>
      <c r="GD100" s="855"/>
      <c r="GE100" s="855"/>
      <c r="GF100" s="855"/>
      <c r="GG100" s="855"/>
      <c r="GH100" s="855"/>
      <c r="GI100" s="855"/>
      <c r="GJ100" s="855"/>
      <c r="GK100" s="855"/>
      <c r="GL100" s="855"/>
      <c r="GM100" s="855"/>
      <c r="GN100" s="855"/>
      <c r="GO100" s="855"/>
      <c r="GP100" s="855"/>
      <c r="GQ100" s="855"/>
      <c r="GR100" s="855"/>
      <c r="GS100" s="855"/>
      <c r="GT100" s="855"/>
      <c r="GU100" s="855"/>
      <c r="GV100" s="855"/>
      <c r="GW100" s="855"/>
      <c r="GX100" s="855"/>
      <c r="GY100" s="855"/>
      <c r="GZ100" s="855"/>
      <c r="HA100" s="855"/>
      <c r="HB100" s="855"/>
      <c r="HC100" s="855"/>
      <c r="HD100" s="855"/>
      <c r="HE100" s="855"/>
      <c r="HF100" s="855"/>
      <c r="HG100" s="855"/>
      <c r="HH100" s="855"/>
      <c r="HI100" s="855"/>
      <c r="HJ100" s="855"/>
      <c r="HK100" s="855"/>
      <c r="HL100" s="855"/>
      <c r="HM100" s="855"/>
      <c r="HN100" s="855"/>
      <c r="HO100" s="855"/>
      <c r="HP100" s="855"/>
      <c r="HQ100" s="855"/>
      <c r="HR100" s="855"/>
      <c r="HS100" s="855"/>
      <c r="HT100" s="855"/>
      <c r="HU100" s="855"/>
      <c r="HV100" s="855"/>
      <c r="HW100" s="855"/>
      <c r="HX100" s="855"/>
      <c r="HY100" s="855"/>
      <c r="HZ100" s="855"/>
      <c r="IA100" s="855"/>
      <c r="IB100" s="855"/>
      <c r="IC100" s="855"/>
      <c r="ID100" s="855"/>
      <c r="IE100" s="855"/>
      <c r="IF100" s="855"/>
      <c r="IG100" s="855"/>
      <c r="IH100" s="855"/>
      <c r="II100" s="855"/>
      <c r="IJ100" s="855"/>
      <c r="IK100" s="855"/>
      <c r="IL100" s="855"/>
      <c r="IM100" s="855"/>
      <c r="IN100" s="855"/>
      <c r="IO100" s="855"/>
      <c r="IP100" s="855"/>
      <c r="IQ100" s="855"/>
      <c r="IR100" s="855"/>
      <c r="IS100" s="855"/>
      <c r="IT100" s="855"/>
      <c r="IU100" s="855"/>
      <c r="IV100" s="855"/>
      <c r="IW100" s="855"/>
      <c r="IX100" s="855"/>
      <c r="IY100" s="855"/>
      <c r="IZ100" s="855"/>
      <c r="JA100" s="855"/>
      <c r="JB100" s="855"/>
      <c r="JC100" s="855"/>
      <c r="JD100" s="855"/>
      <c r="JE100" s="855"/>
      <c r="JF100" s="855"/>
      <c r="JG100" s="855"/>
      <c r="JH100" s="855"/>
      <c r="JI100" s="855"/>
      <c r="JJ100" s="855"/>
      <c r="JK100" s="855"/>
      <c r="JL100" s="855"/>
      <c r="JM100"/>
    </row>
    <row r="101" spans="1:273" s="854" customFormat="1">
      <c r="A101" s="102" t="s">
        <v>616</v>
      </c>
      <c r="B101" s="103"/>
      <c r="C101" s="102"/>
      <c r="D101" s="102"/>
      <c r="E101" s="102"/>
      <c r="F101" s="102"/>
      <c r="G101" s="102"/>
      <c r="H101" s="102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293"/>
      <c r="AO101" s="293"/>
      <c r="AP101" s="293"/>
      <c r="AQ101" s="293"/>
      <c r="AR101" s="293"/>
      <c r="AS101" s="293"/>
      <c r="AT101" s="626"/>
      <c r="AU101" s="626"/>
      <c r="AV101" s="293"/>
      <c r="AW101" s="293"/>
      <c r="AX101" s="626"/>
      <c r="AY101" s="626"/>
      <c r="AZ101" s="293"/>
      <c r="BA101" s="293"/>
      <c r="BB101" s="853"/>
      <c r="BC101" s="853"/>
      <c r="BD101" s="293">
        <f>DIVISIONS!BD409</f>
        <v>14</v>
      </c>
      <c r="BE101" s="293">
        <f>DIVISIONS!BE409</f>
        <v>12</v>
      </c>
      <c r="BF101" s="293">
        <f>DIVISIONS!BF409</f>
        <v>26</v>
      </c>
      <c r="BG101" s="853"/>
      <c r="BH101" s="293">
        <f>DIVISIONS!BH409</f>
        <v>15</v>
      </c>
      <c r="BI101" s="293">
        <f>DIVISIONS!BI409</f>
        <v>12</v>
      </c>
      <c r="BJ101" s="293">
        <f>DIVISIONS!BJ409</f>
        <v>27</v>
      </c>
      <c r="BK101" s="853"/>
      <c r="BL101" s="293">
        <f>DIVISIONS!BL409</f>
        <v>16</v>
      </c>
      <c r="BM101" s="293">
        <f>DIVISIONS!BM409</f>
        <v>16</v>
      </c>
      <c r="BN101" s="293">
        <f>DIVISIONS!BN409</f>
        <v>32</v>
      </c>
      <c r="BO101" s="853" t="s">
        <v>184</v>
      </c>
      <c r="BP101" s="293">
        <f>DIVISIONS!BP409</f>
        <v>15</v>
      </c>
      <c r="BQ101" s="293">
        <f>DIVISIONS!BQ409</f>
        <v>0</v>
      </c>
      <c r="BR101" s="293">
        <f>DIVISIONS!BR409</f>
        <v>15</v>
      </c>
      <c r="BS101" s="853" t="s">
        <v>184</v>
      </c>
      <c r="BT101" s="293">
        <f>DIVISIONS!BT409</f>
        <v>0</v>
      </c>
      <c r="BU101" s="293">
        <f>DIVISIONS!BU409</f>
        <v>0</v>
      </c>
      <c r="BV101" s="293">
        <f>DIVISIONS!BV409</f>
        <v>0</v>
      </c>
      <c r="BW101" s="853"/>
      <c r="BX101" s="293">
        <f>DIVISIONS!BX409</f>
        <v>0</v>
      </c>
      <c r="BY101" s="293">
        <f>DIVISIONS!BY409</f>
        <v>0</v>
      </c>
      <c r="BZ101" s="293">
        <f>DIVISIONS!BZ409</f>
        <v>0</v>
      </c>
      <c r="CA101" s="853"/>
      <c r="CB101" s="293">
        <f>DIVISIONS!CB409</f>
        <v>0</v>
      </c>
      <c r="CC101" s="293">
        <f>DIVISIONS!CC409</f>
        <v>0</v>
      </c>
      <c r="CD101" s="293">
        <f>DIVISIONS!CD409</f>
        <v>0</v>
      </c>
      <c r="CE101" s="862"/>
      <c r="CF101" s="293">
        <f>DIVISIONS!CF409</f>
        <v>0</v>
      </c>
      <c r="CG101" s="293">
        <f>DIVISIONS!CG409</f>
        <v>0</v>
      </c>
      <c r="CH101" s="293">
        <f>DIVISIONS!CH409</f>
        <v>0</v>
      </c>
      <c r="CI101" s="862"/>
      <c r="CJ101" s="293">
        <f>DIVISIONS!CJ409</f>
        <v>0</v>
      </c>
      <c r="CK101" s="293">
        <f>DIVISIONS!CK409</f>
        <v>0</v>
      </c>
      <c r="CL101" s="293">
        <f>DIVISIONS!CL409</f>
        <v>0</v>
      </c>
      <c r="CM101" s="862"/>
      <c r="CN101" s="293">
        <f>DIVISIONS!CN409</f>
        <v>0</v>
      </c>
      <c r="CO101" s="293">
        <f>DIVISIONS!CO409</f>
        <v>0</v>
      </c>
      <c r="CP101" s="293">
        <f>DIVISIONS!CP409</f>
        <v>0</v>
      </c>
      <c r="CQ101" s="862"/>
      <c r="CR101" s="293">
        <f>DIVISIONS!CR409</f>
        <v>0</v>
      </c>
      <c r="CS101" s="293">
        <f>DIVISIONS!CS409</f>
        <v>0</v>
      </c>
      <c r="CT101" s="293">
        <f>DIVISIONS!CT409</f>
        <v>0</v>
      </c>
      <c r="CU101" s="853"/>
      <c r="CV101" s="293">
        <f>DIVISIONS!CV409</f>
        <v>0</v>
      </c>
      <c r="CW101" s="293">
        <f>DIVISIONS!CW409</f>
        <v>0</v>
      </c>
      <c r="CX101" s="293">
        <f>DIVISIONS!CX409</f>
        <v>0</v>
      </c>
      <c r="CY101" s="853"/>
      <c r="CZ101" s="293">
        <f>DIVISIONS!CZ409</f>
        <v>0</v>
      </c>
      <c r="DA101" s="1010">
        <f>DIVISIONS!DA409</f>
        <v>0</v>
      </c>
      <c r="DB101" s="293">
        <f>DIVISIONS!DB409</f>
        <v>0</v>
      </c>
      <c r="DC101" s="853"/>
      <c r="DD101" s="293">
        <f>DIVISIONS!DD409</f>
        <v>0</v>
      </c>
      <c r="DE101" s="1010">
        <f>DIVISIONS!DE409</f>
        <v>0</v>
      </c>
      <c r="DF101" s="293">
        <f>DIVISIONS!DF409</f>
        <v>0</v>
      </c>
      <c r="DG101" s="853"/>
      <c r="DH101" s="293">
        <f>DIVISIONS!DH409</f>
        <v>0</v>
      </c>
      <c r="DI101" s="293">
        <f>DIVISIONS!DI409</f>
        <v>0</v>
      </c>
      <c r="DJ101" s="293">
        <f>DIVISIONS!DJ409</f>
        <v>0</v>
      </c>
      <c r="DK101" s="853"/>
      <c r="DL101" s="293">
        <f>DIVISIONS!DL409</f>
        <v>0</v>
      </c>
      <c r="DM101" s="293">
        <f>DIVISIONS!DM409</f>
        <v>0</v>
      </c>
      <c r="DN101" s="293">
        <f>DIVISIONS!DN409</f>
        <v>0</v>
      </c>
      <c r="DO101" s="853"/>
      <c r="DP101" s="293">
        <f>DIVISIONS!DP409</f>
        <v>0</v>
      </c>
      <c r="DQ101" s="293">
        <f>DIVISIONS!DQ409</f>
        <v>0</v>
      </c>
      <c r="DR101" s="293">
        <f>DIVISIONS!DR409</f>
        <v>0</v>
      </c>
      <c r="DS101" s="853"/>
      <c r="DT101" s="853"/>
      <c r="DU101" s="850"/>
      <c r="DV101" s="850"/>
      <c r="DW101" s="850"/>
      <c r="DX101" s="853"/>
      <c r="DY101" s="853"/>
      <c r="DZ101" s="850"/>
      <c r="EA101" s="850"/>
      <c r="EB101" s="853"/>
      <c r="EC101" s="853"/>
      <c r="ED101" s="850"/>
      <c r="EE101" s="850"/>
      <c r="EF101" s="853"/>
      <c r="EG101" s="853"/>
      <c r="EH101" s="853"/>
      <c r="EI101" s="853"/>
      <c r="EJ101" s="853"/>
      <c r="EK101" s="853"/>
      <c r="EL101" s="853"/>
      <c r="EM101" s="853"/>
      <c r="EN101" s="853"/>
      <c r="EO101" s="853"/>
      <c r="EP101" s="853"/>
      <c r="EQ101" s="855"/>
      <c r="ER101" s="855"/>
      <c r="ES101" s="855"/>
      <c r="ET101" s="855"/>
      <c r="EU101" s="855"/>
      <c r="EV101" s="855"/>
      <c r="EW101" s="855"/>
      <c r="EX101" s="855"/>
      <c r="EY101" s="855"/>
      <c r="EZ101" s="855"/>
      <c r="FA101" s="855"/>
      <c r="FB101" s="855"/>
      <c r="FC101" s="855"/>
      <c r="FD101" s="855"/>
      <c r="FE101" s="855"/>
      <c r="FF101" s="855"/>
      <c r="FG101" s="855"/>
      <c r="FH101" s="855"/>
      <c r="FI101" s="855"/>
      <c r="FJ101" s="855"/>
      <c r="FK101" s="855"/>
      <c r="FL101" s="855"/>
      <c r="FM101" s="855"/>
      <c r="FN101" s="855"/>
      <c r="FO101" s="855"/>
      <c r="FP101" s="855"/>
      <c r="FQ101" s="855"/>
      <c r="FR101" s="855"/>
      <c r="FS101" s="855"/>
      <c r="FT101" s="855"/>
      <c r="FU101" s="855"/>
      <c r="FV101" s="855"/>
      <c r="FW101" s="855"/>
      <c r="FX101" s="855"/>
      <c r="FY101" s="855"/>
      <c r="FZ101" s="855"/>
      <c r="GA101" s="855"/>
      <c r="GB101" s="855"/>
      <c r="GC101" s="855"/>
      <c r="GD101" s="855"/>
      <c r="GE101" s="855"/>
      <c r="GF101" s="855"/>
      <c r="GG101" s="855"/>
      <c r="GH101" s="855"/>
      <c r="GI101" s="855"/>
      <c r="GJ101" s="855"/>
      <c r="GK101" s="855"/>
      <c r="GL101" s="855"/>
      <c r="GM101" s="855"/>
      <c r="GN101" s="855"/>
      <c r="GO101" s="855"/>
      <c r="GP101" s="855"/>
      <c r="GQ101" s="855"/>
      <c r="GR101" s="855"/>
      <c r="GS101" s="855"/>
      <c r="GT101" s="855"/>
      <c r="GU101" s="855"/>
      <c r="GV101" s="855"/>
      <c r="GW101" s="855"/>
      <c r="GX101" s="855"/>
      <c r="GY101" s="855"/>
      <c r="GZ101" s="855"/>
      <c r="HA101" s="855"/>
      <c r="HB101" s="855"/>
      <c r="HC101" s="855"/>
      <c r="HD101" s="855"/>
      <c r="HE101" s="855"/>
      <c r="HF101" s="855"/>
      <c r="HG101" s="855"/>
      <c r="HH101" s="855"/>
      <c r="HI101" s="855"/>
      <c r="HJ101" s="855"/>
      <c r="HK101" s="855"/>
      <c r="HL101" s="855"/>
      <c r="HM101" s="855"/>
      <c r="HN101" s="855"/>
      <c r="HO101" s="855"/>
      <c r="HP101" s="855"/>
      <c r="HQ101" s="855"/>
      <c r="HR101" s="855"/>
      <c r="HS101" s="855"/>
      <c r="HT101" s="855"/>
      <c r="HU101" s="855"/>
      <c r="HV101" s="855"/>
      <c r="HW101" s="855"/>
      <c r="HX101" s="855"/>
      <c r="HY101" s="855"/>
      <c r="HZ101" s="855"/>
      <c r="IA101" s="855"/>
      <c r="IB101" s="855"/>
      <c r="IC101" s="855"/>
      <c r="ID101" s="855"/>
      <c r="IE101" s="855"/>
      <c r="IF101" s="855"/>
      <c r="IG101" s="855"/>
      <c r="IH101" s="855"/>
      <c r="II101" s="855"/>
      <c r="IJ101" s="855"/>
      <c r="IK101" s="855"/>
      <c r="IL101" s="855"/>
      <c r="IM101" s="855"/>
      <c r="IN101" s="855"/>
      <c r="IO101" s="855"/>
      <c r="IP101" s="855"/>
      <c r="IQ101" s="855"/>
      <c r="IR101" s="855"/>
      <c r="IS101" s="855"/>
      <c r="IT101" s="855"/>
      <c r="IU101" s="855"/>
      <c r="IV101" s="855"/>
      <c r="IW101" s="855"/>
      <c r="IX101" s="855"/>
      <c r="IY101" s="855"/>
      <c r="IZ101" s="855"/>
      <c r="JA101" s="855"/>
      <c r="JB101" s="855"/>
      <c r="JC101" s="855"/>
      <c r="JD101" s="855"/>
      <c r="JE101" s="855"/>
      <c r="JF101" s="855"/>
      <c r="JG101" s="855"/>
      <c r="JH101" s="855"/>
      <c r="JI101" s="855"/>
      <c r="JJ101" s="855"/>
      <c r="JK101" s="855"/>
      <c r="JL101" s="855"/>
      <c r="JM101"/>
    </row>
    <row r="102" spans="1:273" s="854" customFormat="1">
      <c r="A102" s="1338" t="s">
        <v>1237</v>
      </c>
      <c r="B102" s="103"/>
      <c r="C102" s="102"/>
      <c r="D102" s="102"/>
      <c r="E102" s="102"/>
      <c r="F102" s="102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293"/>
      <c r="AO102" s="293"/>
      <c r="AP102" s="293"/>
      <c r="AQ102" s="293"/>
      <c r="AR102" s="293"/>
      <c r="AS102" s="293"/>
      <c r="AT102" s="626"/>
      <c r="AU102" s="626"/>
      <c r="AV102" s="293"/>
      <c r="AW102" s="293"/>
      <c r="AX102" s="626"/>
      <c r="AY102" s="626"/>
      <c r="AZ102" s="293"/>
      <c r="BA102" s="293"/>
      <c r="BB102" s="853"/>
      <c r="BC102" s="853"/>
      <c r="BD102" s="293">
        <f>DIVISIONS!BD298</f>
        <v>333.5</v>
      </c>
      <c r="BE102" s="293">
        <f>DIVISIONS!BE298</f>
        <v>291</v>
      </c>
      <c r="BF102" s="293">
        <f>DIVISIONS!BF298</f>
        <v>624.5</v>
      </c>
      <c r="BG102" s="853"/>
      <c r="BH102" s="293">
        <f>DIVISIONS!BH298</f>
        <v>260</v>
      </c>
      <c r="BI102" s="293">
        <f>DIVISIONS!BI298</f>
        <v>276</v>
      </c>
      <c r="BJ102" s="293">
        <f>DIVISIONS!BJ298</f>
        <v>536</v>
      </c>
      <c r="BK102" s="853"/>
      <c r="BL102" s="293">
        <f>DIVISIONS!BL298</f>
        <v>323</v>
      </c>
      <c r="BM102" s="293">
        <f>DIVISIONS!BM298</f>
        <v>326</v>
      </c>
      <c r="BN102" s="293">
        <f>DIVISIONS!BN298</f>
        <v>649</v>
      </c>
      <c r="BO102" s="853" t="s">
        <v>184</v>
      </c>
      <c r="BP102" s="293">
        <f>DIVISIONS!BP298</f>
        <v>313</v>
      </c>
      <c r="BQ102" s="293">
        <f>DIVISIONS!BQ298</f>
        <v>345</v>
      </c>
      <c r="BR102" s="293">
        <f>DIVISIONS!BR298</f>
        <v>658</v>
      </c>
      <c r="BS102" s="853" t="s">
        <v>184</v>
      </c>
      <c r="BT102" s="293">
        <f>DIVISIONS!BT298</f>
        <v>380</v>
      </c>
      <c r="BU102" s="293">
        <f>DIVISIONS!BU298</f>
        <v>358</v>
      </c>
      <c r="BV102" s="293">
        <f>DIVISIONS!BV298</f>
        <v>738</v>
      </c>
      <c r="BW102" s="853"/>
      <c r="BX102" s="293">
        <f>DIVISIONS!BX298</f>
        <v>355</v>
      </c>
      <c r="BY102" s="293">
        <f>DIVISIONS!BY298</f>
        <v>349</v>
      </c>
      <c r="BZ102" s="293">
        <f>DIVISIONS!BZ298</f>
        <v>704</v>
      </c>
      <c r="CA102" s="853"/>
      <c r="CB102" s="293">
        <f>DIVISIONS!CB298</f>
        <v>341</v>
      </c>
      <c r="CC102" s="293">
        <f>DIVISIONS!CC298</f>
        <v>345</v>
      </c>
      <c r="CD102" s="293">
        <f>DIVISIONS!CD298</f>
        <v>686</v>
      </c>
      <c r="CE102" s="862"/>
      <c r="CF102" s="293">
        <f>DIVISIONS!CF298</f>
        <v>432</v>
      </c>
      <c r="CG102" s="293">
        <f>DIVISIONS!CG298</f>
        <v>425</v>
      </c>
      <c r="CH102" s="293">
        <f>DIVISIONS!CH298</f>
        <v>857</v>
      </c>
      <c r="CI102" s="862"/>
      <c r="CJ102" s="293">
        <f>DIVISIONS!CJ298</f>
        <v>112</v>
      </c>
      <c r="CK102" s="293">
        <f>DIVISIONS!CK298</f>
        <v>139</v>
      </c>
      <c r="CL102" s="293">
        <f>DIVISIONS!CL298</f>
        <v>251</v>
      </c>
      <c r="CM102" s="862"/>
      <c r="CN102" s="293">
        <f>DIVISIONS!CN298</f>
        <v>112</v>
      </c>
      <c r="CO102" s="293">
        <f>DIVISIONS!CO298</f>
        <v>97</v>
      </c>
      <c r="CP102" s="293">
        <f>DIVISIONS!CP298</f>
        <v>209</v>
      </c>
      <c r="CQ102" s="862"/>
      <c r="CR102" s="293">
        <f>DIVISIONS!CR298</f>
        <v>112</v>
      </c>
      <c r="CS102" s="293">
        <f>DIVISIONS!CS298</f>
        <v>127</v>
      </c>
      <c r="CT102" s="293">
        <f>DIVISIONS!CT298</f>
        <v>239</v>
      </c>
      <c r="CU102" s="853"/>
      <c r="CV102" s="293">
        <f>DIVISIONS!CV298</f>
        <v>125</v>
      </c>
      <c r="CW102" s="293">
        <f>DIVISIONS!CW298</f>
        <v>127</v>
      </c>
      <c r="CX102" s="293">
        <f>DIVISIONS!CX298</f>
        <v>252</v>
      </c>
      <c r="CY102" s="853"/>
      <c r="CZ102" s="293">
        <f>DIVISIONS!CZ298</f>
        <v>135</v>
      </c>
      <c r="DA102" s="1010">
        <f>DIVISIONS!DA298</f>
        <v>162</v>
      </c>
      <c r="DB102" s="293">
        <f>DIVISIONS!DB298</f>
        <v>297</v>
      </c>
      <c r="DC102" s="853"/>
      <c r="DD102" s="293">
        <f>DIVISIONS!DD298</f>
        <v>154</v>
      </c>
      <c r="DE102" s="1010">
        <f>DIVISIONS!DE298</f>
        <v>153</v>
      </c>
      <c r="DF102" s="293">
        <f>DIVISIONS!DF298</f>
        <v>307</v>
      </c>
      <c r="DG102" s="853"/>
      <c r="DH102" s="293">
        <f>DIVISIONS!DH298</f>
        <v>177</v>
      </c>
      <c r="DI102" s="293">
        <f>DIVISIONS!DI298</f>
        <v>156.06</v>
      </c>
      <c r="DJ102" s="293">
        <f>DIVISIONS!DJ298</f>
        <v>333.06</v>
      </c>
      <c r="DK102" s="853"/>
      <c r="DL102" s="293">
        <f>DIVISIONS!DL298</f>
        <v>173.46</v>
      </c>
      <c r="DM102" s="293">
        <f>DIVISIONS!DM298</f>
        <v>152.93879999999999</v>
      </c>
      <c r="DN102" s="293">
        <f>DIVISIONS!DN298</f>
        <v>326.39879999999999</v>
      </c>
      <c r="DO102" s="853"/>
      <c r="DP102" s="293">
        <f>DIVISIONS!DP298</f>
        <v>169.99080000000001</v>
      </c>
      <c r="DQ102" s="293">
        <f>DIVISIONS!DQ298</f>
        <v>149.88002399999999</v>
      </c>
      <c r="DR102" s="293">
        <f>DIVISIONS!DR298</f>
        <v>319.87082399999997</v>
      </c>
      <c r="DS102" s="853"/>
      <c r="DT102" s="853"/>
      <c r="DU102" s="850"/>
      <c r="DV102" s="850"/>
      <c r="DW102" s="850"/>
      <c r="DX102" s="853"/>
      <c r="DY102" s="853"/>
      <c r="DZ102" s="850"/>
      <c r="EA102" s="850"/>
      <c r="EB102" s="853"/>
      <c r="EC102" s="853"/>
      <c r="ED102" s="850"/>
      <c r="EE102" s="850"/>
      <c r="EF102" s="853"/>
      <c r="EG102" s="853"/>
      <c r="EH102" s="853"/>
      <c r="EI102" s="853"/>
      <c r="EJ102" s="853"/>
      <c r="EK102" s="853"/>
      <c r="EL102" s="853"/>
      <c r="EM102" s="853"/>
      <c r="EN102" s="853"/>
      <c r="EO102" s="853"/>
      <c r="EP102" s="853"/>
      <c r="EQ102" s="855"/>
      <c r="ER102" s="855"/>
      <c r="ES102" s="855"/>
      <c r="ET102" s="855"/>
      <c r="EU102" s="855"/>
      <c r="EV102" s="855"/>
      <c r="EW102" s="855"/>
      <c r="EX102" s="855"/>
      <c r="EY102" s="855"/>
      <c r="EZ102" s="855"/>
      <c r="FA102" s="855"/>
      <c r="FB102" s="855"/>
      <c r="FC102" s="855"/>
      <c r="FD102" s="855"/>
      <c r="FE102" s="855"/>
      <c r="FF102" s="855"/>
      <c r="FG102" s="855"/>
      <c r="FH102" s="855"/>
      <c r="FI102" s="855"/>
      <c r="FJ102" s="855"/>
      <c r="FK102" s="855"/>
      <c r="FL102" s="855"/>
      <c r="FM102" s="855"/>
      <c r="FN102" s="855"/>
      <c r="FO102" s="855"/>
      <c r="FP102" s="855"/>
      <c r="FQ102" s="855"/>
      <c r="FR102" s="855"/>
      <c r="FS102" s="855"/>
      <c r="FT102" s="855"/>
      <c r="FU102" s="855"/>
      <c r="FV102" s="855"/>
      <c r="FW102" s="855"/>
      <c r="FX102" s="855"/>
      <c r="FY102" s="855"/>
      <c r="FZ102" s="855"/>
      <c r="GA102" s="855"/>
      <c r="GB102" s="855"/>
      <c r="GC102" s="855"/>
      <c r="GD102" s="855"/>
      <c r="GE102" s="855"/>
      <c r="GF102" s="855"/>
      <c r="GG102" s="855"/>
      <c r="GH102" s="855"/>
      <c r="GI102" s="855"/>
      <c r="GJ102" s="855"/>
      <c r="GK102" s="855"/>
      <c r="GL102" s="855"/>
      <c r="GM102" s="855"/>
      <c r="GN102" s="855"/>
      <c r="GO102" s="855"/>
      <c r="GP102" s="855"/>
      <c r="GQ102" s="855"/>
      <c r="GR102" s="855"/>
      <c r="GS102" s="855"/>
      <c r="GT102" s="855"/>
      <c r="GU102" s="855"/>
      <c r="GV102" s="855"/>
      <c r="GW102" s="855"/>
      <c r="GX102" s="855"/>
      <c r="GY102" s="855"/>
      <c r="GZ102" s="855"/>
      <c r="HA102" s="855"/>
      <c r="HB102" s="855"/>
      <c r="HC102" s="855"/>
      <c r="HD102" s="855"/>
      <c r="HE102" s="855"/>
      <c r="HF102" s="855"/>
      <c r="HG102" s="855"/>
      <c r="HH102" s="855"/>
      <c r="HI102" s="855"/>
      <c r="HJ102" s="855"/>
      <c r="HK102" s="855"/>
      <c r="HL102" s="855"/>
      <c r="HM102" s="855"/>
      <c r="HN102" s="855"/>
      <c r="HO102" s="855"/>
      <c r="HP102" s="855"/>
      <c r="HQ102" s="855"/>
      <c r="HR102" s="855"/>
      <c r="HS102" s="855"/>
      <c r="HT102" s="855"/>
      <c r="HU102" s="855"/>
      <c r="HV102" s="855"/>
      <c r="HW102" s="855"/>
      <c r="HX102" s="855"/>
      <c r="HY102" s="855"/>
      <c r="HZ102" s="855"/>
      <c r="IA102" s="855"/>
      <c r="IB102" s="855"/>
      <c r="IC102" s="855"/>
      <c r="ID102" s="855"/>
      <c r="IE102" s="855"/>
      <c r="IF102" s="855"/>
      <c r="IG102" s="855"/>
      <c r="IH102" s="855"/>
      <c r="II102" s="855"/>
      <c r="IJ102" s="855"/>
      <c r="IK102" s="855"/>
      <c r="IL102" s="855"/>
      <c r="IM102" s="855"/>
      <c r="IN102" s="855"/>
      <c r="IO102" s="855"/>
      <c r="IP102" s="855"/>
      <c r="IQ102" s="855"/>
      <c r="IR102" s="855"/>
      <c r="IS102" s="855"/>
      <c r="IT102" s="855"/>
      <c r="IU102" s="855"/>
      <c r="IV102" s="855"/>
      <c r="IW102" s="855"/>
      <c r="IX102" s="855"/>
      <c r="IY102" s="855"/>
      <c r="IZ102" s="855"/>
      <c r="JA102" s="855"/>
      <c r="JB102" s="855"/>
      <c r="JC102" s="855"/>
      <c r="JD102" s="855"/>
      <c r="JE102" s="855"/>
      <c r="JF102" s="855"/>
      <c r="JG102" s="855"/>
      <c r="JH102" s="855"/>
      <c r="JI102" s="855"/>
      <c r="JJ102" s="855"/>
      <c r="JK102" s="855"/>
      <c r="JL102" s="855"/>
      <c r="JM102"/>
    </row>
    <row r="103" spans="1:273" s="854" customFormat="1">
      <c r="A103" s="102" t="s">
        <v>690</v>
      </c>
      <c r="B103" s="103"/>
      <c r="C103" s="102"/>
      <c r="D103" s="102"/>
      <c r="E103" s="102"/>
      <c r="F103" s="102"/>
      <c r="G103" s="102"/>
      <c r="H103" s="102"/>
      <c r="I103" s="102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293"/>
      <c r="AO103" s="293"/>
      <c r="AP103" s="293"/>
      <c r="AQ103" s="293"/>
      <c r="AR103" s="293"/>
      <c r="AS103" s="293"/>
      <c r="AT103" s="626"/>
      <c r="AU103" s="626"/>
      <c r="AV103" s="293"/>
      <c r="AW103" s="293"/>
      <c r="AX103" s="626"/>
      <c r="AY103" s="626"/>
      <c r="AZ103" s="293"/>
      <c r="BA103" s="293"/>
      <c r="BB103" s="853"/>
      <c r="BC103" s="853"/>
      <c r="BD103" s="293"/>
      <c r="BE103" s="293"/>
      <c r="BF103" s="293"/>
      <c r="BG103" s="853"/>
      <c r="BH103" s="293"/>
      <c r="BI103" s="293"/>
      <c r="BJ103" s="293"/>
      <c r="BK103" s="853"/>
      <c r="BL103" s="293"/>
      <c r="BM103" s="293"/>
      <c r="BN103" s="293"/>
      <c r="BO103" s="853"/>
      <c r="BP103" s="293"/>
      <c r="BQ103" s="293"/>
      <c r="BR103" s="293"/>
      <c r="BS103" s="853"/>
      <c r="BT103" s="293"/>
      <c r="BU103" s="293"/>
      <c r="BV103" s="293"/>
      <c r="BW103" s="853"/>
      <c r="BX103" s="293"/>
      <c r="BY103" s="293"/>
      <c r="BZ103" s="293"/>
      <c r="CA103" s="853"/>
      <c r="CB103" s="293"/>
      <c r="CC103" s="293"/>
      <c r="CD103" s="293"/>
      <c r="CE103" s="862"/>
      <c r="CF103" s="293"/>
      <c r="CG103" s="293"/>
      <c r="CH103" s="293"/>
      <c r="CI103" s="862"/>
      <c r="CJ103" s="293"/>
      <c r="CK103" s="293"/>
      <c r="CL103" s="293"/>
      <c r="CM103" s="862"/>
      <c r="CN103" s="293"/>
      <c r="CO103" s="293"/>
      <c r="CP103" s="293"/>
      <c r="CQ103" s="862"/>
      <c r="CR103" s="293"/>
      <c r="CS103" s="293"/>
      <c r="CT103" s="293"/>
      <c r="CU103" s="853"/>
      <c r="CV103" s="293"/>
      <c r="CW103" s="293"/>
      <c r="CX103" s="293"/>
      <c r="CY103" s="853"/>
      <c r="CZ103" s="293"/>
      <c r="DA103" s="1010"/>
      <c r="DB103" s="293"/>
      <c r="DC103" s="853"/>
      <c r="DD103" s="293"/>
      <c r="DE103" s="1010"/>
      <c r="DF103" s="293"/>
      <c r="DG103" s="853"/>
      <c r="DH103" s="293"/>
      <c r="DI103" s="293"/>
      <c r="DJ103" s="293"/>
      <c r="DK103" s="853"/>
      <c r="DL103" s="293"/>
      <c r="DM103" s="293"/>
      <c r="DN103" s="293"/>
      <c r="DO103" s="853"/>
      <c r="DP103" s="293"/>
      <c r="DQ103" s="293"/>
      <c r="DR103" s="293"/>
      <c r="DS103" s="853"/>
      <c r="DT103" s="853"/>
      <c r="DU103" s="850"/>
      <c r="DV103" s="850"/>
      <c r="DW103" s="850"/>
      <c r="DX103" s="853"/>
      <c r="DY103" s="853"/>
      <c r="DZ103" s="850"/>
      <c r="EA103" s="850"/>
      <c r="EB103" s="853"/>
      <c r="EC103" s="853"/>
      <c r="ED103" s="850"/>
      <c r="EE103" s="850"/>
      <c r="EF103" s="853"/>
      <c r="EG103" s="853"/>
      <c r="EH103" s="853"/>
      <c r="EI103" s="853"/>
      <c r="EJ103" s="853"/>
      <c r="EK103" s="853"/>
      <c r="EL103" s="853"/>
      <c r="EM103" s="853"/>
      <c r="EN103" s="853"/>
      <c r="EO103" s="853"/>
      <c r="EP103" s="853"/>
      <c r="EQ103" s="855"/>
      <c r="ER103" s="855"/>
      <c r="ES103" s="855"/>
      <c r="ET103" s="855"/>
      <c r="EU103" s="855"/>
      <c r="EV103" s="855"/>
      <c r="EW103" s="855"/>
      <c r="EX103" s="855"/>
      <c r="EY103" s="855"/>
      <c r="EZ103" s="855"/>
      <c r="FA103" s="855"/>
      <c r="FB103" s="855"/>
      <c r="FC103" s="855"/>
      <c r="FD103" s="855"/>
      <c r="FE103" s="855"/>
      <c r="FF103" s="855"/>
      <c r="FG103" s="855"/>
      <c r="FH103" s="855"/>
      <c r="FI103" s="855"/>
      <c r="FJ103" s="855"/>
      <c r="FK103" s="855"/>
      <c r="FL103" s="855"/>
      <c r="FM103" s="855"/>
      <c r="FN103" s="855"/>
      <c r="FO103" s="855"/>
      <c r="FP103" s="855"/>
      <c r="FQ103" s="855"/>
      <c r="FR103" s="855"/>
      <c r="FS103" s="855"/>
      <c r="FT103" s="855"/>
      <c r="FU103" s="855"/>
      <c r="FV103" s="855"/>
      <c r="FW103" s="855"/>
      <c r="FX103" s="855"/>
      <c r="FY103" s="855"/>
      <c r="FZ103" s="855"/>
      <c r="GA103" s="855"/>
      <c r="GB103" s="855"/>
      <c r="GC103" s="855"/>
      <c r="GD103" s="855"/>
      <c r="GE103" s="855"/>
      <c r="GF103" s="855"/>
      <c r="GG103" s="855"/>
      <c r="GH103" s="855"/>
      <c r="GI103" s="855"/>
      <c r="GJ103" s="855"/>
      <c r="GK103" s="855"/>
      <c r="GL103" s="855"/>
      <c r="GM103" s="855"/>
      <c r="GN103" s="855"/>
      <c r="GO103" s="855"/>
      <c r="GP103" s="855"/>
      <c r="GQ103" s="855"/>
      <c r="GR103" s="855"/>
      <c r="GS103" s="855"/>
      <c r="GT103" s="855"/>
      <c r="GU103" s="855"/>
      <c r="GV103" s="855"/>
      <c r="GW103" s="855"/>
      <c r="GX103" s="855"/>
      <c r="GY103" s="855"/>
      <c r="GZ103" s="855"/>
      <c r="HA103" s="855"/>
      <c r="HB103" s="855"/>
      <c r="HC103" s="855"/>
      <c r="HD103" s="855"/>
      <c r="HE103" s="855"/>
      <c r="HF103" s="855"/>
      <c r="HG103" s="855"/>
      <c r="HH103" s="855"/>
      <c r="HI103" s="855"/>
      <c r="HJ103" s="855"/>
      <c r="HK103" s="855"/>
      <c r="HL103" s="855"/>
      <c r="HM103" s="855"/>
      <c r="HN103" s="855"/>
      <c r="HO103" s="855"/>
      <c r="HP103" s="855"/>
      <c r="HQ103" s="855"/>
      <c r="HR103" s="855"/>
      <c r="HS103" s="855"/>
      <c r="HT103" s="855"/>
      <c r="HU103" s="855"/>
      <c r="HV103" s="855"/>
      <c r="HW103" s="855"/>
      <c r="HX103" s="855"/>
      <c r="HY103" s="855"/>
      <c r="HZ103" s="855"/>
      <c r="IA103" s="855"/>
      <c r="IB103" s="855"/>
      <c r="IC103" s="855"/>
      <c r="ID103" s="855"/>
      <c r="IE103" s="855"/>
      <c r="IF103" s="855"/>
      <c r="IG103" s="855"/>
      <c r="IH103" s="855"/>
      <c r="II103" s="855"/>
      <c r="IJ103" s="855"/>
      <c r="IK103" s="855"/>
      <c r="IL103" s="855"/>
      <c r="IM103" s="855"/>
      <c r="IN103" s="855"/>
      <c r="IO103" s="855"/>
      <c r="IP103" s="855"/>
      <c r="IQ103" s="855"/>
      <c r="IR103" s="855"/>
      <c r="IS103" s="855"/>
      <c r="IT103" s="855"/>
      <c r="IU103" s="855"/>
      <c r="IV103" s="855"/>
      <c r="IW103" s="855"/>
      <c r="IX103" s="855"/>
      <c r="IY103" s="855"/>
      <c r="IZ103" s="855"/>
      <c r="JA103" s="855"/>
      <c r="JB103" s="855"/>
      <c r="JC103" s="855"/>
      <c r="JD103" s="855"/>
      <c r="JE103" s="855"/>
      <c r="JF103" s="855"/>
      <c r="JG103" s="855"/>
      <c r="JH103" s="855"/>
      <c r="JI103" s="855"/>
      <c r="JJ103" s="855"/>
      <c r="JK103" s="855"/>
      <c r="JL103" s="855"/>
      <c r="JM103"/>
    </row>
    <row r="104" spans="1:273" s="854" customFormat="1">
      <c r="A104" s="102" t="s">
        <v>689</v>
      </c>
      <c r="B104" s="103"/>
      <c r="C104" s="102"/>
      <c r="D104" s="102"/>
      <c r="E104" s="102"/>
      <c r="F104" s="102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290"/>
      <c r="AO104" s="290"/>
      <c r="AP104" s="290"/>
      <c r="AQ104" s="290"/>
      <c r="AR104" s="293"/>
      <c r="AS104" s="293"/>
      <c r="AT104" s="626"/>
      <c r="AU104" s="626"/>
      <c r="AV104" s="293"/>
      <c r="AW104" s="293"/>
      <c r="AX104" s="626"/>
      <c r="AY104" s="626"/>
      <c r="AZ104" s="293"/>
      <c r="BA104" s="293"/>
      <c r="BB104" s="853"/>
      <c r="BC104" s="853"/>
      <c r="BD104" s="293">
        <f>DIVISIONS!BD624</f>
        <v>118</v>
      </c>
      <c r="BE104" s="293">
        <f>DIVISIONS!BE624</f>
        <v>99</v>
      </c>
      <c r="BF104" s="293">
        <f>DIVISIONS!BF624</f>
        <v>217</v>
      </c>
      <c r="BG104" s="853"/>
      <c r="BH104" s="293">
        <f>DIVISIONS!BH624</f>
        <v>103</v>
      </c>
      <c r="BI104" s="293">
        <f>DIVISIONS!BI624</f>
        <v>111</v>
      </c>
      <c r="BJ104" s="293">
        <f>DIVISIONS!BJ624</f>
        <v>214</v>
      </c>
      <c r="BK104" s="853"/>
      <c r="BL104" s="293">
        <f>DIVISIONS!BL624</f>
        <v>106</v>
      </c>
      <c r="BM104" s="293">
        <f>DIVISIONS!BM624</f>
        <v>73</v>
      </c>
      <c r="BN104" s="293">
        <f>DIVISIONS!BN624</f>
        <v>179</v>
      </c>
      <c r="BO104" s="853" t="s">
        <v>184</v>
      </c>
      <c r="BP104" s="293">
        <f>DIVISIONS!BP624</f>
        <v>64</v>
      </c>
      <c r="BQ104" s="293">
        <f>DIVISIONS!BQ624</f>
        <v>58</v>
      </c>
      <c r="BR104" s="293">
        <f>DIVISIONS!BR624</f>
        <v>122</v>
      </c>
      <c r="BS104" s="853" t="s">
        <v>184</v>
      </c>
      <c r="BT104" s="293">
        <f>DIVISIONS!BT624</f>
        <v>50</v>
      </c>
      <c r="BU104" s="293">
        <f>DIVISIONS!BU624</f>
        <v>39</v>
      </c>
      <c r="BV104" s="293">
        <f>DIVISIONS!BV624</f>
        <v>89</v>
      </c>
      <c r="BW104" s="853"/>
      <c r="BX104" s="293">
        <f>DIVISIONS!BX624</f>
        <v>40</v>
      </c>
      <c r="BY104" s="293">
        <f>DIVISIONS!BY624</f>
        <v>36</v>
      </c>
      <c r="BZ104" s="293">
        <f>DIVISIONS!BZ624</f>
        <v>76</v>
      </c>
      <c r="CA104" s="853"/>
      <c r="CB104" s="293">
        <f>DIVISIONS!CB624</f>
        <v>41</v>
      </c>
      <c r="CC104" s="293">
        <f>DIVISIONS!CC624</f>
        <v>41</v>
      </c>
      <c r="CD104" s="293">
        <f>DIVISIONS!CD624</f>
        <v>82</v>
      </c>
      <c r="CE104" s="862"/>
      <c r="CF104" s="293">
        <f>DIVISIONS!CF624</f>
        <v>39</v>
      </c>
      <c r="CG104" s="293">
        <f>DIVISIONS!CG624</f>
        <v>28</v>
      </c>
      <c r="CH104" s="293">
        <f>DIVISIONS!CH624</f>
        <v>67</v>
      </c>
      <c r="CI104" s="862"/>
      <c r="CJ104" s="293">
        <f>DIVISIONS!CJ624</f>
        <v>25</v>
      </c>
      <c r="CK104" s="293">
        <f>DIVISIONS!CK624</f>
        <v>25</v>
      </c>
      <c r="CL104" s="293">
        <f>DIVISIONS!CL624</f>
        <v>50</v>
      </c>
      <c r="CM104" s="862"/>
      <c r="CN104" s="293">
        <f>DIVISIONS!CN624</f>
        <v>25</v>
      </c>
      <c r="CO104" s="293">
        <f>DIVISIONS!CO624</f>
        <v>25</v>
      </c>
      <c r="CP104" s="293">
        <f>DIVISIONS!CP624</f>
        <v>50</v>
      </c>
      <c r="CQ104" s="862"/>
      <c r="CR104" s="293">
        <f>DIVISIONS!CR624</f>
        <v>0</v>
      </c>
      <c r="CS104" s="293">
        <f>DIVISIONS!CS624</f>
        <v>0</v>
      </c>
      <c r="CT104" s="293">
        <f>DIVISIONS!CT624</f>
        <v>0</v>
      </c>
      <c r="CU104" s="853"/>
      <c r="CV104" s="293">
        <f>DIVISIONS!CV624</f>
        <v>0</v>
      </c>
      <c r="CW104" s="293">
        <f>DIVISIONS!CW624</f>
        <v>0</v>
      </c>
      <c r="CX104" s="293">
        <f>DIVISIONS!CX624</f>
        <v>0</v>
      </c>
      <c r="CY104" s="853"/>
      <c r="CZ104" s="293">
        <f>DIVISIONS!CZ624</f>
        <v>0</v>
      </c>
      <c r="DA104" s="1010">
        <f>DIVISIONS!DA624</f>
        <v>0</v>
      </c>
      <c r="DB104" s="293">
        <f>DIVISIONS!DB624</f>
        <v>0</v>
      </c>
      <c r="DC104" s="853"/>
      <c r="DD104" s="293">
        <f>DIVISIONS!DD624</f>
        <v>0</v>
      </c>
      <c r="DE104" s="1010">
        <f ca="1">DIVISIONS!DE624</f>
        <v>0</v>
      </c>
      <c r="DF104" s="293">
        <f ca="1">DIVISIONS!DF624</f>
        <v>0</v>
      </c>
      <c r="DG104" s="853"/>
      <c r="DH104" s="293">
        <f>DIVISIONS!DH624</f>
        <v>0</v>
      </c>
      <c r="DI104" s="293">
        <f>DIVISIONS!DI624</f>
        <v>0</v>
      </c>
      <c r="DJ104" s="293">
        <f>DIVISIONS!DJ624</f>
        <v>0</v>
      </c>
      <c r="DK104" s="853"/>
      <c r="DL104" s="293">
        <f>DIVISIONS!DL624</f>
        <v>0</v>
      </c>
      <c r="DM104" s="293">
        <f>DIVISIONS!DM624</f>
        <v>0</v>
      </c>
      <c r="DN104" s="293">
        <f>DIVISIONS!DN624</f>
        <v>0</v>
      </c>
      <c r="DO104" s="853"/>
      <c r="DP104" s="293">
        <f>DIVISIONS!DP624</f>
        <v>0</v>
      </c>
      <c r="DQ104" s="293">
        <f>DIVISIONS!DQ624</f>
        <v>0</v>
      </c>
      <c r="DR104" s="293">
        <f>DIVISIONS!DR624</f>
        <v>0</v>
      </c>
      <c r="DS104" s="853"/>
      <c r="DT104" s="853"/>
      <c r="DU104" s="850"/>
      <c r="DV104" s="850"/>
      <c r="DW104" s="850"/>
      <c r="DX104" s="853"/>
      <c r="DY104" s="853"/>
      <c r="DZ104" s="850"/>
      <c r="EA104" s="850"/>
      <c r="EB104" s="853"/>
      <c r="EC104" s="853"/>
      <c r="ED104" s="850"/>
      <c r="EE104" s="850"/>
      <c r="EF104" s="853"/>
      <c r="EG104" s="853"/>
      <c r="EH104" s="853"/>
      <c r="EI104" s="853"/>
      <c r="EJ104" s="853"/>
      <c r="EK104" s="853"/>
      <c r="EL104" s="853"/>
      <c r="EM104" s="853"/>
      <c r="EN104" s="853"/>
      <c r="EO104" s="853"/>
      <c r="EP104" s="853"/>
      <c r="EQ104" s="855"/>
      <c r="ER104" s="855"/>
      <c r="ES104" s="855"/>
      <c r="ET104" s="855"/>
      <c r="EU104" s="855"/>
      <c r="EV104" s="855"/>
      <c r="EW104" s="855"/>
      <c r="EX104" s="855"/>
      <c r="EY104" s="855"/>
      <c r="EZ104" s="855"/>
      <c r="FA104" s="855"/>
      <c r="FB104" s="855"/>
      <c r="FC104" s="855"/>
      <c r="FD104" s="855"/>
      <c r="FE104" s="855"/>
      <c r="FF104" s="855"/>
      <c r="FG104" s="855"/>
      <c r="FH104" s="855"/>
      <c r="FI104" s="855"/>
      <c r="FJ104" s="855"/>
      <c r="FK104" s="855"/>
      <c r="FL104" s="855"/>
      <c r="FM104" s="855"/>
      <c r="FN104" s="855"/>
      <c r="FO104" s="855"/>
      <c r="FP104" s="855"/>
      <c r="FQ104" s="855"/>
      <c r="FR104" s="855"/>
      <c r="FS104" s="855"/>
      <c r="FT104" s="855"/>
      <c r="FU104" s="855"/>
      <c r="FV104" s="855"/>
      <c r="FW104" s="855"/>
      <c r="FX104" s="855"/>
      <c r="FY104" s="855"/>
      <c r="FZ104" s="855"/>
      <c r="GA104" s="855"/>
      <c r="GB104" s="855"/>
      <c r="GC104" s="855"/>
      <c r="GD104" s="855"/>
      <c r="GE104" s="855"/>
      <c r="GF104" s="855"/>
      <c r="GG104" s="855"/>
      <c r="GH104" s="855"/>
      <c r="GI104" s="855"/>
      <c r="GJ104" s="855"/>
      <c r="GK104" s="855"/>
      <c r="GL104" s="855"/>
      <c r="GM104" s="855"/>
      <c r="GN104" s="855"/>
      <c r="GO104" s="855"/>
      <c r="GP104" s="855"/>
      <c r="GQ104" s="855"/>
      <c r="GR104" s="855"/>
      <c r="GS104" s="855"/>
      <c r="GT104" s="855"/>
      <c r="GU104" s="855"/>
      <c r="GV104" s="855"/>
      <c r="GW104" s="855"/>
      <c r="GX104" s="855"/>
      <c r="GY104" s="855"/>
      <c r="GZ104" s="855"/>
      <c r="HA104" s="855"/>
      <c r="HB104" s="855"/>
      <c r="HC104" s="855"/>
      <c r="HD104" s="855"/>
      <c r="HE104" s="855"/>
      <c r="HF104" s="855"/>
      <c r="HG104" s="855"/>
      <c r="HH104" s="855"/>
      <c r="HI104" s="855"/>
      <c r="HJ104" s="855"/>
      <c r="HK104" s="855"/>
      <c r="HL104" s="855"/>
      <c r="HM104" s="855"/>
      <c r="HN104" s="855"/>
      <c r="HO104" s="855"/>
      <c r="HP104" s="855"/>
      <c r="HQ104" s="855"/>
      <c r="HR104" s="855"/>
      <c r="HS104" s="855"/>
      <c r="HT104" s="855"/>
      <c r="HU104" s="855"/>
      <c r="HV104" s="855"/>
      <c r="HW104" s="855"/>
      <c r="HX104" s="855"/>
      <c r="HY104" s="855"/>
      <c r="HZ104" s="855"/>
      <c r="IA104" s="855"/>
      <c r="IB104" s="855"/>
      <c r="IC104" s="855"/>
      <c r="ID104" s="855"/>
      <c r="IE104" s="855"/>
      <c r="IF104" s="855"/>
      <c r="IG104" s="855"/>
      <c r="IH104" s="855"/>
      <c r="II104" s="855"/>
      <c r="IJ104" s="855"/>
      <c r="IK104" s="855"/>
      <c r="IL104" s="855"/>
      <c r="IM104" s="855"/>
      <c r="IN104" s="855"/>
      <c r="IO104" s="855"/>
      <c r="IP104" s="855"/>
      <c r="IQ104" s="855"/>
      <c r="IR104" s="855"/>
      <c r="IS104" s="855"/>
      <c r="IT104" s="855"/>
      <c r="IU104" s="855"/>
      <c r="IV104" s="855"/>
      <c r="IW104" s="855"/>
      <c r="IX104" s="855"/>
      <c r="IY104" s="855"/>
      <c r="IZ104" s="855"/>
      <c r="JA104" s="855"/>
      <c r="JB104" s="855"/>
      <c r="JC104" s="855"/>
      <c r="JD104" s="855"/>
      <c r="JE104" s="855"/>
      <c r="JF104" s="855"/>
      <c r="JG104" s="855"/>
      <c r="JH104" s="855"/>
      <c r="JI104" s="855"/>
      <c r="JJ104" s="855"/>
      <c r="JK104" s="855"/>
      <c r="JL104" s="855"/>
      <c r="JM104"/>
    </row>
    <row r="105" spans="1:273" s="854" customFormat="1">
      <c r="A105" s="1080" t="s">
        <v>1246</v>
      </c>
      <c r="B105" s="103"/>
      <c r="C105" s="102"/>
      <c r="D105" s="102"/>
      <c r="E105" s="102"/>
      <c r="F105" s="102"/>
      <c r="G105" s="102"/>
      <c r="H105" s="102"/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293"/>
      <c r="AO105" s="293"/>
      <c r="AP105" s="293"/>
      <c r="AQ105" s="293"/>
      <c r="AR105" s="293"/>
      <c r="AS105" s="293"/>
      <c r="AT105" s="626"/>
      <c r="AU105" s="626"/>
      <c r="AV105" s="293"/>
      <c r="AW105" s="293"/>
      <c r="AX105" s="626"/>
      <c r="AY105" s="626"/>
      <c r="AZ105" s="293"/>
      <c r="BA105" s="293"/>
      <c r="BB105" s="853"/>
      <c r="BC105" s="853"/>
      <c r="BD105" s="626">
        <v>1</v>
      </c>
      <c r="BE105" s="626">
        <v>2</v>
      </c>
      <c r="BF105" s="293">
        <f>+BE105+BD105</f>
        <v>3</v>
      </c>
      <c r="BG105" s="853"/>
      <c r="BH105" s="626">
        <v>-1</v>
      </c>
      <c r="BI105" s="626">
        <v>1</v>
      </c>
      <c r="BJ105" s="293">
        <f>+BI105+BH105</f>
        <v>0</v>
      </c>
      <c r="BK105" s="853"/>
      <c r="BL105" s="626">
        <v>0</v>
      </c>
      <c r="BM105" s="626">
        <v>1</v>
      </c>
      <c r="BN105" s="293">
        <f>+BM105+BL105</f>
        <v>1</v>
      </c>
      <c r="BO105" s="853"/>
      <c r="BP105" s="626">
        <f>BP108-SUM(BP99:BP104)</f>
        <v>-14</v>
      </c>
      <c r="BQ105" s="626">
        <f>BQ108-SUM(BQ99:BQ104)</f>
        <v>12</v>
      </c>
      <c r="BR105" s="293">
        <f>+BQ105+BP105</f>
        <v>-2</v>
      </c>
      <c r="BS105" s="853"/>
      <c r="BT105" s="626">
        <f>BT108-SUM(BT99:BT104)</f>
        <v>-1</v>
      </c>
      <c r="BU105" s="626">
        <f>427-SUM(BU99:BU104)</f>
        <v>14</v>
      </c>
      <c r="BV105" s="293">
        <f>+BU105+BT105</f>
        <v>13</v>
      </c>
      <c r="BW105" s="853"/>
      <c r="BX105" s="918">
        <f>BX108-SUM(BX99:BX104)</f>
        <v>1.0482758620689765</v>
      </c>
      <c r="BY105" s="293">
        <f>394-SUM(BY99:BY104)</f>
        <v>-16.986206896551721</v>
      </c>
      <c r="BZ105" s="293">
        <f>+BY105+BX105</f>
        <v>-15.937931034482745</v>
      </c>
      <c r="CA105" s="853"/>
      <c r="CB105" s="918">
        <f>CB108-SUM(CB99:CB104)</f>
        <v>-19.282758620689663</v>
      </c>
      <c r="CC105" s="293">
        <f>388-SUM(CC99:CC104)</f>
        <v>-21.337931034482779</v>
      </c>
      <c r="CD105" s="293">
        <f>+CC105+CB105</f>
        <v>-40.620689655172441</v>
      </c>
      <c r="CE105" s="862"/>
      <c r="CF105" s="918">
        <f>CF108-SUM(CF99:CF104)</f>
        <v>2</v>
      </c>
      <c r="CG105" s="293">
        <f>CG108-SUM(CG99:CG104)</f>
        <v>6</v>
      </c>
      <c r="CH105" s="293">
        <f>+CG105+CF105</f>
        <v>8</v>
      </c>
      <c r="CI105" s="862"/>
      <c r="CJ105" s="918">
        <f>CJ108-SUM(CJ99:CJ104)</f>
        <v>275</v>
      </c>
      <c r="CK105" s="293">
        <f>CK108-SUM(CK99:CK104)</f>
        <v>294</v>
      </c>
      <c r="CL105" s="293">
        <f>+CK105+CJ105</f>
        <v>569</v>
      </c>
      <c r="CM105" s="862"/>
      <c r="CN105" s="640">
        <f>CN108-SUM(CN99:CN104)</f>
        <v>264</v>
      </c>
      <c r="CO105" s="640">
        <f>CO108-SUM(CO99:CO104)</f>
        <v>293</v>
      </c>
      <c r="CP105" s="293">
        <f>+CO105+CN105</f>
        <v>557</v>
      </c>
      <c r="CQ105" s="862"/>
      <c r="CR105" s="640">
        <f>CR108-SUM(CR99:CR104)</f>
        <v>269</v>
      </c>
      <c r="CS105" s="640">
        <f>CS108-SUM(CS99:CS104)</f>
        <v>293</v>
      </c>
      <c r="CT105" s="293">
        <f>+CS105+CR105</f>
        <v>562</v>
      </c>
      <c r="CU105" s="853"/>
      <c r="CV105" s="640">
        <f>CV108-SUM(CV99:CV104)</f>
        <v>233</v>
      </c>
      <c r="CW105" s="640">
        <f>CW108-SUM(CW99:CW104)</f>
        <v>230</v>
      </c>
      <c r="CX105" s="293">
        <f>+CW105+CV105</f>
        <v>463</v>
      </c>
      <c r="CY105" s="853"/>
      <c r="CZ105" s="640">
        <f>CZ108-SUM(CZ99:CZ104)</f>
        <v>242</v>
      </c>
      <c r="DA105" s="2028">
        <f>DA108-SUM(DA99:DA104)</f>
        <v>252</v>
      </c>
      <c r="DB105" s="293">
        <f>+DA105+CZ105</f>
        <v>494</v>
      </c>
      <c r="DC105" s="853"/>
      <c r="DD105" s="640">
        <f>DD108-SUM(DD99:DD104)</f>
        <v>275</v>
      </c>
      <c r="DE105" s="2028">
        <f ca="1">DE108-SUM(DE99:DE104)</f>
        <v>281</v>
      </c>
      <c r="DF105" s="293">
        <f ca="1">+DE105+DD105</f>
        <v>556</v>
      </c>
      <c r="DG105" s="853"/>
      <c r="DH105" s="640">
        <f>DH108-SUM(DH99:DH104)</f>
        <v>307</v>
      </c>
      <c r="DI105" s="640">
        <f>-DI117</f>
        <v>270.59500564971751</v>
      </c>
      <c r="DJ105" s="293">
        <f>+DI105+DH105</f>
        <v>577.59500564971745</v>
      </c>
      <c r="DK105" s="853"/>
      <c r="DL105" s="640">
        <f>-DL117</f>
        <v>282.90391480225986</v>
      </c>
      <c r="DM105" s="640">
        <f>-DM117</f>
        <v>285.9617495751412</v>
      </c>
      <c r="DN105" s="293">
        <f>+DM105+DL105</f>
        <v>568.86566437740112</v>
      </c>
      <c r="DO105" s="853"/>
      <c r="DP105" s="640">
        <f>-DP117</f>
        <v>298.90403732775138</v>
      </c>
      <c r="DQ105" s="640">
        <f>-DQ117</f>
        <v>302.22592470617104</v>
      </c>
      <c r="DR105" s="293">
        <f>+DQ105+DP105</f>
        <v>601.12996203392242</v>
      </c>
      <c r="DS105" s="853"/>
      <c r="DT105" s="853"/>
      <c r="DU105" s="850"/>
      <c r="DV105" s="850"/>
      <c r="DW105" s="850"/>
      <c r="DX105" s="853"/>
      <c r="DY105" s="853"/>
      <c r="DZ105" s="850"/>
      <c r="EA105" s="850"/>
      <c r="EB105" s="853"/>
      <c r="EC105" s="853"/>
      <c r="ED105" s="850"/>
      <c r="EE105" s="850"/>
      <c r="EF105" s="853"/>
      <c r="EG105" s="853"/>
      <c r="EH105" s="853"/>
      <c r="EI105" s="853"/>
      <c r="EJ105" s="853"/>
      <c r="EK105" s="853"/>
      <c r="EL105" s="853"/>
      <c r="EM105" s="853"/>
      <c r="EN105" s="853"/>
      <c r="EO105" s="853"/>
      <c r="EP105" s="853"/>
      <c r="EQ105" s="855"/>
      <c r="ER105" s="855"/>
      <c r="ES105" s="855"/>
      <c r="ET105" s="855"/>
      <c r="EU105" s="855"/>
      <c r="EV105" s="855"/>
      <c r="EW105" s="855"/>
      <c r="EX105" s="855"/>
      <c r="EY105" s="855"/>
      <c r="EZ105" s="855"/>
      <c r="FA105" s="855"/>
      <c r="FB105" s="855"/>
      <c r="FC105" s="855"/>
      <c r="FD105" s="855"/>
      <c r="FE105" s="855"/>
      <c r="FF105" s="855"/>
      <c r="FG105" s="855"/>
      <c r="FH105" s="855"/>
      <c r="FI105" s="855"/>
      <c r="FJ105" s="855"/>
      <c r="FK105" s="855"/>
      <c r="FL105" s="855"/>
      <c r="FM105" s="855"/>
      <c r="FN105" s="855"/>
      <c r="FO105" s="855"/>
      <c r="FP105" s="855"/>
      <c r="FQ105" s="855"/>
      <c r="FR105" s="855"/>
      <c r="FS105" s="855"/>
      <c r="FT105" s="855"/>
      <c r="FU105" s="855"/>
      <c r="FV105" s="855"/>
      <c r="FW105" s="855"/>
      <c r="FX105" s="855"/>
      <c r="FY105" s="855"/>
      <c r="FZ105" s="855"/>
      <c r="GA105" s="855"/>
      <c r="GB105" s="855"/>
      <c r="GC105" s="855"/>
      <c r="GD105" s="855"/>
      <c r="GE105" s="855"/>
      <c r="GF105" s="855"/>
      <c r="GG105" s="855"/>
      <c r="GH105" s="855"/>
      <c r="GI105" s="855"/>
      <c r="GJ105" s="855"/>
      <c r="GK105" s="855"/>
      <c r="GL105" s="855"/>
      <c r="GM105" s="855"/>
      <c r="GN105" s="855"/>
      <c r="GO105" s="855"/>
      <c r="GP105" s="855"/>
      <c r="GQ105" s="855"/>
      <c r="GR105" s="855"/>
      <c r="GS105" s="855"/>
      <c r="GT105" s="855"/>
      <c r="GU105" s="855"/>
      <c r="GV105" s="855"/>
      <c r="GW105" s="855"/>
      <c r="GX105" s="855"/>
      <c r="GY105" s="855"/>
      <c r="GZ105" s="855"/>
      <c r="HA105" s="855"/>
      <c r="HB105" s="855"/>
      <c r="HC105" s="855"/>
      <c r="HD105" s="855"/>
      <c r="HE105" s="855"/>
      <c r="HF105" s="855"/>
      <c r="HG105" s="855"/>
      <c r="HH105" s="855"/>
      <c r="HI105" s="855"/>
      <c r="HJ105" s="855"/>
      <c r="HK105" s="855"/>
      <c r="HL105" s="855"/>
      <c r="HM105" s="855"/>
      <c r="HN105" s="855"/>
      <c r="HO105" s="855"/>
      <c r="HP105" s="855"/>
      <c r="HQ105" s="855"/>
      <c r="HR105" s="855"/>
      <c r="HS105" s="855"/>
      <c r="HT105" s="855"/>
      <c r="HU105" s="855"/>
      <c r="HV105" s="855"/>
      <c r="HW105" s="855"/>
      <c r="HX105" s="855"/>
      <c r="HY105" s="855"/>
      <c r="HZ105" s="855"/>
      <c r="IA105" s="855"/>
      <c r="IB105" s="855"/>
      <c r="IC105" s="855"/>
      <c r="ID105" s="855"/>
      <c r="IE105" s="855"/>
      <c r="IF105" s="855"/>
      <c r="IG105" s="855"/>
      <c r="IH105" s="855"/>
      <c r="II105" s="855"/>
      <c r="IJ105" s="855"/>
      <c r="IK105" s="855"/>
      <c r="IL105" s="855"/>
      <c r="IM105" s="855"/>
      <c r="IN105" s="855"/>
      <c r="IO105" s="855"/>
      <c r="IP105" s="855"/>
      <c r="IQ105" s="855"/>
      <c r="IR105" s="855"/>
      <c r="IS105" s="855"/>
      <c r="IT105" s="855"/>
      <c r="IU105" s="855"/>
      <c r="IV105" s="855"/>
      <c r="IW105" s="855"/>
      <c r="IX105" s="855"/>
      <c r="IY105" s="855"/>
      <c r="IZ105" s="855"/>
      <c r="JA105" s="855"/>
      <c r="JB105" s="855"/>
      <c r="JC105" s="855"/>
      <c r="JD105" s="855"/>
      <c r="JE105" s="855"/>
      <c r="JF105" s="855"/>
      <c r="JG105" s="855"/>
      <c r="JH105" s="855"/>
      <c r="JI105" s="855"/>
      <c r="JJ105" s="855"/>
      <c r="JK105" s="855"/>
      <c r="JL105" s="855"/>
      <c r="JM105"/>
    </row>
    <row r="106" spans="1:273" s="854" customFormat="1">
      <c r="A106" s="1339" t="s">
        <v>1238</v>
      </c>
      <c r="B106" s="103"/>
      <c r="C106" s="102"/>
      <c r="D106" s="102"/>
      <c r="E106" s="102"/>
      <c r="F106" s="102"/>
      <c r="G106" s="102"/>
      <c r="H106" s="102"/>
      <c r="I106" s="102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290"/>
      <c r="AO106" s="290"/>
      <c r="AP106" s="290"/>
      <c r="AQ106" s="290"/>
      <c r="AR106" s="293"/>
      <c r="AS106" s="293"/>
      <c r="AT106" s="626"/>
      <c r="AU106" s="626"/>
      <c r="AV106" s="293"/>
      <c r="AW106" s="293"/>
      <c r="AX106" s="626"/>
      <c r="AY106" s="626"/>
      <c r="AZ106" s="293"/>
      <c r="BA106" s="293"/>
      <c r="BB106" s="853"/>
      <c r="BC106" s="853"/>
      <c r="BD106" s="293"/>
      <c r="BE106" s="293"/>
      <c r="BF106" s="293"/>
      <c r="BG106" s="853"/>
      <c r="BH106" s="293"/>
      <c r="BI106" s="293"/>
      <c r="BJ106" s="293"/>
      <c r="BK106" s="853"/>
      <c r="BL106" s="293"/>
      <c r="BM106" s="293"/>
      <c r="BN106" s="293"/>
      <c r="BO106" s="853"/>
      <c r="BP106" s="293"/>
      <c r="BQ106" s="293"/>
      <c r="BR106" s="293"/>
      <c r="BS106" s="853"/>
      <c r="BT106" s="293"/>
      <c r="BU106" s="293"/>
      <c r="BV106" s="293"/>
      <c r="BW106" s="853"/>
      <c r="BX106" s="293"/>
      <c r="BY106" s="293"/>
      <c r="BZ106" s="293"/>
      <c r="CA106" s="853"/>
      <c r="CB106" s="293"/>
      <c r="CC106" s="293"/>
      <c r="CD106" s="293"/>
      <c r="CE106" s="862"/>
      <c r="CF106" s="293"/>
      <c r="CG106" s="293"/>
      <c r="CH106" s="293"/>
      <c r="CI106" s="862"/>
      <c r="CJ106" s="293"/>
      <c r="CK106" s="293"/>
      <c r="CL106" s="293"/>
      <c r="CM106" s="862"/>
      <c r="CN106" s="293"/>
      <c r="CO106" s="293"/>
      <c r="CP106" s="293"/>
      <c r="CQ106" s="862"/>
      <c r="CR106" s="293"/>
      <c r="CS106" s="293"/>
      <c r="CT106" s="293"/>
      <c r="CU106" s="853"/>
      <c r="CV106" s="293"/>
      <c r="CW106" s="293"/>
      <c r="CX106" s="293"/>
      <c r="CY106" s="853"/>
      <c r="CZ106" s="293"/>
      <c r="DA106" s="1010"/>
      <c r="DB106" s="293"/>
      <c r="DC106" s="853"/>
      <c r="DD106" s="293"/>
      <c r="DE106" s="1010"/>
      <c r="DF106" s="293"/>
      <c r="DG106" s="853"/>
      <c r="DH106" s="293"/>
      <c r="DI106" s="293"/>
      <c r="DJ106" s="293"/>
      <c r="DK106" s="853"/>
      <c r="DL106" s="293"/>
      <c r="DM106" s="293"/>
      <c r="DN106" s="293"/>
      <c r="DO106" s="853"/>
      <c r="DP106" s="293"/>
      <c r="DQ106" s="293"/>
      <c r="DR106" s="293"/>
      <c r="DS106" s="853"/>
      <c r="DT106" s="853"/>
      <c r="DU106" s="850"/>
      <c r="DV106" s="850"/>
      <c r="DW106" s="850"/>
      <c r="DX106" s="853"/>
      <c r="DY106" s="853"/>
      <c r="DZ106" s="850"/>
      <c r="EA106" s="850"/>
      <c r="EB106" s="853"/>
      <c r="EC106" s="853"/>
      <c r="ED106" s="850"/>
      <c r="EE106" s="850"/>
      <c r="EF106" s="853"/>
      <c r="EG106" s="853"/>
      <c r="EH106" s="853"/>
      <c r="EI106" s="853"/>
      <c r="EJ106" s="853"/>
      <c r="EK106" s="853"/>
      <c r="EL106" s="853"/>
      <c r="EM106" s="853"/>
      <c r="EN106" s="853"/>
      <c r="EO106" s="853"/>
      <c r="EP106" s="853"/>
      <c r="EQ106" s="855"/>
      <c r="ER106" s="855"/>
      <c r="ES106" s="855"/>
      <c r="ET106" s="855"/>
      <c r="EU106" s="855"/>
      <c r="EV106" s="855"/>
      <c r="EW106" s="855"/>
      <c r="EX106" s="855"/>
      <c r="EY106" s="855"/>
      <c r="EZ106" s="855"/>
      <c r="FA106" s="855"/>
      <c r="FB106" s="855"/>
      <c r="FC106" s="855"/>
      <c r="FD106" s="855"/>
      <c r="FE106" s="855"/>
      <c r="FF106" s="855"/>
      <c r="FG106" s="855"/>
      <c r="FH106" s="855"/>
      <c r="FI106" s="855"/>
      <c r="FJ106" s="855"/>
      <c r="FK106" s="855"/>
      <c r="FL106" s="855"/>
      <c r="FM106" s="855"/>
      <c r="FN106" s="855"/>
      <c r="FO106" s="855"/>
      <c r="FP106" s="855"/>
      <c r="FQ106" s="855"/>
      <c r="FR106" s="855"/>
      <c r="FS106" s="855"/>
      <c r="FT106" s="855"/>
      <c r="FU106" s="855"/>
      <c r="FV106" s="855"/>
      <c r="FW106" s="855"/>
      <c r="FX106" s="855"/>
      <c r="FY106" s="855"/>
      <c r="FZ106" s="855"/>
      <c r="GA106" s="855"/>
      <c r="GB106" s="855"/>
      <c r="GC106" s="855"/>
      <c r="GD106" s="855"/>
      <c r="GE106" s="855"/>
      <c r="GF106" s="855"/>
      <c r="GG106" s="855"/>
      <c r="GH106" s="855"/>
      <c r="GI106" s="855"/>
      <c r="GJ106" s="855"/>
      <c r="GK106" s="855"/>
      <c r="GL106" s="855"/>
      <c r="GM106" s="855"/>
      <c r="GN106" s="855"/>
      <c r="GO106" s="855"/>
      <c r="GP106" s="855"/>
      <c r="GQ106" s="855"/>
      <c r="GR106" s="855"/>
      <c r="GS106" s="855"/>
      <c r="GT106" s="855"/>
      <c r="GU106" s="855"/>
      <c r="GV106" s="855"/>
      <c r="GW106" s="855"/>
      <c r="GX106" s="855"/>
      <c r="GY106" s="855"/>
      <c r="GZ106" s="855"/>
      <c r="HA106" s="855"/>
      <c r="HB106" s="855"/>
      <c r="HC106" s="855"/>
      <c r="HD106" s="855"/>
      <c r="HE106" s="855"/>
      <c r="HF106" s="855"/>
      <c r="HG106" s="855"/>
      <c r="HH106" s="855"/>
      <c r="HI106" s="855"/>
      <c r="HJ106" s="855"/>
      <c r="HK106" s="855"/>
      <c r="HL106" s="855"/>
      <c r="HM106" s="855"/>
      <c r="HN106" s="855"/>
      <c r="HO106" s="855"/>
      <c r="HP106" s="855"/>
      <c r="HQ106" s="855"/>
      <c r="HR106" s="855"/>
      <c r="HS106" s="855"/>
      <c r="HT106" s="855"/>
      <c r="HU106" s="855"/>
      <c r="HV106" s="855"/>
      <c r="HW106" s="855"/>
      <c r="HX106" s="855"/>
      <c r="HY106" s="855"/>
      <c r="HZ106" s="855"/>
      <c r="IA106" s="855"/>
      <c r="IB106" s="855"/>
      <c r="IC106" s="855"/>
      <c r="ID106" s="855"/>
      <c r="IE106" s="855"/>
      <c r="IF106" s="855"/>
      <c r="IG106" s="855"/>
      <c r="IH106" s="855"/>
      <c r="II106" s="855"/>
      <c r="IJ106" s="855"/>
      <c r="IK106" s="855"/>
      <c r="IL106" s="855"/>
      <c r="IM106" s="855"/>
      <c r="IN106" s="855"/>
      <c r="IO106" s="855"/>
      <c r="IP106" s="855"/>
      <c r="IQ106" s="855"/>
      <c r="IR106" s="855"/>
      <c r="IS106" s="855"/>
      <c r="IT106" s="855"/>
      <c r="IU106" s="855"/>
      <c r="IV106" s="855"/>
      <c r="IW106" s="855"/>
      <c r="IX106" s="855"/>
      <c r="IY106" s="855"/>
      <c r="IZ106" s="855"/>
      <c r="JA106" s="855"/>
      <c r="JB106" s="855"/>
      <c r="JC106" s="855"/>
      <c r="JD106" s="855"/>
      <c r="JE106" s="855"/>
      <c r="JF106" s="855"/>
      <c r="JG106" s="855"/>
      <c r="JH106" s="855"/>
      <c r="JI106" s="855"/>
      <c r="JJ106" s="855"/>
      <c r="JK106" s="855"/>
      <c r="JL106" s="855"/>
      <c r="JM106"/>
    </row>
    <row r="107" spans="1:273" s="855" customFormat="1">
      <c r="A107" s="289" t="s">
        <v>613</v>
      </c>
      <c r="B107" s="290"/>
      <c r="C107" s="289"/>
      <c r="D107" s="289"/>
      <c r="E107" s="289"/>
      <c r="F107" s="289"/>
      <c r="G107" s="289"/>
      <c r="H107" s="289"/>
      <c r="I107" s="289"/>
      <c r="J107" s="289"/>
      <c r="K107" s="289"/>
      <c r="L107" s="289"/>
      <c r="M107" s="289"/>
      <c r="N107" s="289"/>
      <c r="O107" s="289"/>
      <c r="P107" s="289"/>
      <c r="Q107" s="289"/>
      <c r="R107" s="289"/>
      <c r="S107" s="289"/>
      <c r="T107" s="289"/>
      <c r="U107" s="289"/>
      <c r="V107" s="289"/>
      <c r="W107" s="289"/>
      <c r="X107" s="289"/>
      <c r="Y107" s="289"/>
      <c r="Z107" s="289"/>
      <c r="AA107" s="289"/>
      <c r="AB107" s="289"/>
      <c r="AC107" s="289"/>
      <c r="AD107" s="289"/>
      <c r="AE107" s="289"/>
      <c r="AF107" s="289"/>
      <c r="AG107" s="289"/>
      <c r="AH107" s="289"/>
      <c r="AI107" s="289"/>
      <c r="AJ107" s="289"/>
      <c r="AK107" s="289"/>
      <c r="AL107" s="289"/>
      <c r="AM107" s="289"/>
      <c r="AN107" s="290"/>
      <c r="AO107" s="290"/>
      <c r="AP107" s="290"/>
      <c r="AQ107" s="290"/>
      <c r="AR107" s="295"/>
      <c r="AS107" s="295"/>
      <c r="AT107" s="290"/>
      <c r="AU107" s="290"/>
      <c r="AV107" s="295"/>
      <c r="AW107" s="295"/>
      <c r="AX107" s="853"/>
      <c r="AY107" s="853"/>
      <c r="AZ107" s="295"/>
      <c r="BA107" s="295"/>
      <c r="BB107" s="853"/>
      <c r="BC107" s="853"/>
      <c r="BD107" s="295">
        <f>SUM(BD99:BD106)</f>
        <v>487.5</v>
      </c>
      <c r="BE107" s="295">
        <f>SUM(BE99:BE106)</f>
        <v>422</v>
      </c>
      <c r="BF107" s="295">
        <f>SUM(BF99:BF106)</f>
        <v>909.5</v>
      </c>
      <c r="BG107" s="853"/>
      <c r="BH107" s="295">
        <f>SUM(BH99:BH106)</f>
        <v>393</v>
      </c>
      <c r="BI107" s="295">
        <f>SUM(BI99:BI106)</f>
        <v>418</v>
      </c>
      <c r="BJ107" s="295">
        <f>SUM(BJ99:BJ106)</f>
        <v>811</v>
      </c>
      <c r="BK107" s="853"/>
      <c r="BL107" s="295">
        <f>SUM(BL99:BL106)</f>
        <v>469</v>
      </c>
      <c r="BM107" s="295">
        <f>SUM(BM99:BM106)</f>
        <v>438</v>
      </c>
      <c r="BN107" s="295">
        <f>SUM(BN99:BN106)</f>
        <v>907</v>
      </c>
      <c r="BO107" s="853"/>
      <c r="BP107" s="295">
        <f>SUM(BP99:BP106)</f>
        <v>396</v>
      </c>
      <c r="BQ107" s="295">
        <f>SUM(BQ99:BQ106)</f>
        <v>440</v>
      </c>
      <c r="BR107" s="295">
        <f>SUM(BR99:BR106)</f>
        <v>836</v>
      </c>
      <c r="BS107" s="853"/>
      <c r="BT107" s="295">
        <f>SUM(BT99:BT106)</f>
        <v>461</v>
      </c>
      <c r="BU107" s="295">
        <f>SUM(BU99:BU106)</f>
        <v>427</v>
      </c>
      <c r="BV107" s="295">
        <f>SUM(BV99:BV106)</f>
        <v>888</v>
      </c>
      <c r="BW107" s="295"/>
      <c r="BX107" s="295">
        <f>SUM(BX99:BX106)</f>
        <v>419</v>
      </c>
      <c r="BY107" s="295">
        <f>SUM(BY99:BY106)</f>
        <v>394</v>
      </c>
      <c r="BZ107" s="295">
        <f>SUM(BZ99:BZ106)</f>
        <v>813</v>
      </c>
      <c r="CA107" s="295"/>
      <c r="CB107" s="295">
        <f>SUM(CB99:CB106)</f>
        <v>386</v>
      </c>
      <c r="CC107" s="295">
        <f>SUM(CC99:CC106)</f>
        <v>388</v>
      </c>
      <c r="CD107" s="295">
        <f>SUM(CD99:CD106)</f>
        <v>774</v>
      </c>
      <c r="CE107" s="791"/>
      <c r="CF107" s="295">
        <f>SUM(CF99:CF106)</f>
        <v>473</v>
      </c>
      <c r="CG107" s="295">
        <f>SUM(CG99:CG106)</f>
        <v>459</v>
      </c>
      <c r="CH107" s="295">
        <f>SUM(CH99:CH106)</f>
        <v>932</v>
      </c>
      <c r="CI107" s="791"/>
      <c r="CJ107" s="295">
        <f>SUM(CJ99:CJ106)</f>
        <v>412</v>
      </c>
      <c r="CK107" s="295">
        <f>SUM(CK99:CK106)</f>
        <v>458</v>
      </c>
      <c r="CL107" s="295">
        <f>SUM(CL99:CL106)</f>
        <v>870</v>
      </c>
      <c r="CM107" s="791"/>
      <c r="CN107" s="295">
        <f>SUM(CN99:CN106)</f>
        <v>401</v>
      </c>
      <c r="CO107" s="295">
        <f>SUM(CO99:CO106)</f>
        <v>415</v>
      </c>
      <c r="CP107" s="295">
        <f>SUM(CP99:CP106)</f>
        <v>816</v>
      </c>
      <c r="CQ107" s="791"/>
      <c r="CR107" s="295">
        <f>SUM(CR99:CR106)</f>
        <v>381</v>
      </c>
      <c r="CS107" s="295">
        <f>SUM(CS99:CS106)</f>
        <v>420</v>
      </c>
      <c r="CT107" s="295">
        <f>SUM(CT99:CT106)</f>
        <v>801</v>
      </c>
      <c r="CU107" s="295"/>
      <c r="CV107" s="295">
        <f>SUM(CV99:CV106)</f>
        <v>358</v>
      </c>
      <c r="CW107" s="295">
        <f>SUM(CW99:CW106)</f>
        <v>357</v>
      </c>
      <c r="CX107" s="295">
        <f>SUM(CX99:CX106)</f>
        <v>715</v>
      </c>
      <c r="CY107" s="295"/>
      <c r="CZ107" s="295">
        <f>SUM(CZ99:CZ106)</f>
        <v>377</v>
      </c>
      <c r="DA107" s="1412">
        <f>SUM(DA99:DA106)</f>
        <v>414</v>
      </c>
      <c r="DB107" s="295">
        <f>SUM(DB99:DB106)</f>
        <v>791</v>
      </c>
      <c r="DC107" s="295"/>
      <c r="DD107" s="295">
        <f>SUM(DD99:DD106)</f>
        <v>429</v>
      </c>
      <c r="DE107" s="1412">
        <f ca="1">SUM(DE99:DE106)</f>
        <v>434</v>
      </c>
      <c r="DF107" s="295">
        <f ca="1">SUM(DF99:DF106)</f>
        <v>863</v>
      </c>
      <c r="DG107" s="295"/>
      <c r="DH107" s="295">
        <f>SUM(DH99:DH106)</f>
        <v>484</v>
      </c>
      <c r="DI107" s="295">
        <f>SUM(DI99:DI106)</f>
        <v>426.65500564971751</v>
      </c>
      <c r="DJ107" s="295">
        <f>SUM(DJ99:DJ106)</f>
        <v>910.6550056497174</v>
      </c>
      <c r="DK107" s="295"/>
      <c r="DL107" s="295">
        <f>SUM(DL99:DL106)</f>
        <v>456.36391480225984</v>
      </c>
      <c r="DM107" s="295">
        <f>SUM(DM99:DM106)</f>
        <v>438.90054957514121</v>
      </c>
      <c r="DN107" s="295">
        <f>SUM(DN99:DN106)</f>
        <v>895.26446437740105</v>
      </c>
      <c r="DO107" s="853"/>
      <c r="DP107" s="295">
        <f>SUM(DP99:DP106)</f>
        <v>468.89483732775136</v>
      </c>
      <c r="DQ107" s="295">
        <f>SUM(DQ99:DQ106)</f>
        <v>452.10594870617103</v>
      </c>
      <c r="DR107" s="295">
        <f>SUM(DR99:DR106)</f>
        <v>921.0007860339224</v>
      </c>
      <c r="DS107" s="853"/>
      <c r="DT107" s="853"/>
      <c r="DU107" s="295"/>
      <c r="DV107" s="295"/>
      <c r="DW107" s="295"/>
      <c r="DX107" s="853"/>
      <c r="DY107" s="853"/>
      <c r="DZ107" s="295"/>
      <c r="EA107" s="295"/>
      <c r="EB107" s="853"/>
      <c r="EC107" s="853"/>
      <c r="ED107" s="295"/>
      <c r="EE107" s="295"/>
      <c r="EF107" s="853"/>
      <c r="EG107" s="853"/>
      <c r="EH107" s="853"/>
      <c r="EI107" s="853"/>
      <c r="EJ107" s="853"/>
      <c r="EK107" s="853"/>
      <c r="EL107" s="853"/>
      <c r="EM107" s="853"/>
      <c r="EN107" s="853"/>
      <c r="EO107" s="853"/>
      <c r="EP107" s="853"/>
      <c r="JM107"/>
    </row>
    <row r="108" spans="1:273" s="854" customFormat="1" ht="18" customHeight="1">
      <c r="A108" s="861" t="s">
        <v>1197</v>
      </c>
      <c r="B108" s="103"/>
      <c r="C108" s="102"/>
      <c r="D108" s="102"/>
      <c r="E108" s="102"/>
      <c r="F108" s="102"/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293"/>
      <c r="AO108" s="293"/>
      <c r="AP108" s="293"/>
      <c r="AQ108" s="293"/>
      <c r="AR108" s="293"/>
      <c r="AS108" s="293"/>
      <c r="AT108" s="626"/>
      <c r="AU108" s="626"/>
      <c r="AV108" s="293"/>
      <c r="AW108" s="293"/>
      <c r="AX108" s="626"/>
      <c r="AY108" s="626"/>
      <c r="AZ108" s="293"/>
      <c r="BA108" s="293"/>
      <c r="BB108" s="853"/>
      <c r="BC108" s="853"/>
      <c r="BD108" s="626">
        <v>488</v>
      </c>
      <c r="BE108" s="626">
        <v>422</v>
      </c>
      <c r="BF108" s="293"/>
      <c r="BG108" s="853"/>
      <c r="BH108" s="626">
        <v>393</v>
      </c>
      <c r="BI108" s="626">
        <v>418</v>
      </c>
      <c r="BJ108" s="293"/>
      <c r="BK108" s="853"/>
      <c r="BL108" s="626">
        <v>469</v>
      </c>
      <c r="BM108" s="626">
        <v>438</v>
      </c>
      <c r="BN108" s="293"/>
      <c r="BO108" s="853"/>
      <c r="BP108" s="626">
        <v>396</v>
      </c>
      <c r="BQ108" s="626">
        <v>440</v>
      </c>
      <c r="BR108" s="293"/>
      <c r="BS108" s="853"/>
      <c r="BT108" s="626">
        <v>461</v>
      </c>
      <c r="BU108" s="626">
        <v>427</v>
      </c>
      <c r="BV108" s="293"/>
      <c r="BW108" s="853"/>
      <c r="BX108" s="626">
        <v>419</v>
      </c>
      <c r="BY108" s="626">
        <v>394</v>
      </c>
      <c r="BZ108" s="293"/>
      <c r="CA108" s="853"/>
      <c r="CB108" s="626">
        <v>386</v>
      </c>
      <c r="CC108" s="626">
        <v>388</v>
      </c>
      <c r="CD108" s="293"/>
      <c r="CE108" s="862"/>
      <c r="CF108" s="626">
        <v>473</v>
      </c>
      <c r="CG108" s="626">
        <v>459</v>
      </c>
      <c r="CH108" s="293"/>
      <c r="CI108" s="862"/>
      <c r="CJ108" s="626">
        <v>412</v>
      </c>
      <c r="CK108" s="626">
        <v>458</v>
      </c>
      <c r="CL108" s="293"/>
      <c r="CM108" s="862"/>
      <c r="CN108" s="1327">
        <v>401</v>
      </c>
      <c r="CO108" s="1326">
        <v>415</v>
      </c>
      <c r="CP108" s="293"/>
      <c r="CQ108" s="862"/>
      <c r="CR108" s="1389">
        <v>381</v>
      </c>
      <c r="CS108" s="1388">
        <v>420</v>
      </c>
      <c r="CT108" s="293"/>
      <c r="CU108" s="928"/>
      <c r="CV108" s="1389">
        <v>358</v>
      </c>
      <c r="CW108" s="626">
        <v>357</v>
      </c>
      <c r="CX108" s="293"/>
      <c r="CY108" s="928"/>
      <c r="CZ108" s="1389">
        <v>377</v>
      </c>
      <c r="DA108" s="1388">
        <v>414</v>
      </c>
      <c r="DB108" s="293"/>
      <c r="DC108" s="928"/>
      <c r="DD108" s="1389">
        <v>429</v>
      </c>
      <c r="DE108" s="626">
        <v>434</v>
      </c>
      <c r="DF108" s="293"/>
      <c r="DG108" s="853"/>
      <c r="DH108" s="655">
        <v>484</v>
      </c>
      <c r="DI108" s="655"/>
      <c r="DJ108" s="655"/>
      <c r="DK108" s="853"/>
      <c r="DL108" s="655"/>
      <c r="DM108" s="655"/>
      <c r="DN108" s="655"/>
      <c r="DO108" s="853"/>
      <c r="DP108" s="655"/>
      <c r="DQ108" s="655"/>
      <c r="DR108" s="655"/>
      <c r="DS108" s="853"/>
      <c r="DT108" s="853"/>
      <c r="DU108" s="850"/>
      <c r="DV108" s="850"/>
      <c r="DW108" s="850"/>
      <c r="DX108" s="853"/>
      <c r="DY108" s="853"/>
      <c r="DZ108" s="850"/>
      <c r="EA108" s="850"/>
      <c r="EB108" s="853"/>
      <c r="EC108" s="853"/>
      <c r="ED108" s="850"/>
      <c r="EE108" s="850"/>
      <c r="EF108" s="853"/>
      <c r="EG108" s="853"/>
      <c r="EH108" s="853"/>
      <c r="EI108" s="853"/>
      <c r="EJ108" s="853"/>
      <c r="EK108" s="853"/>
      <c r="EL108" s="853"/>
      <c r="EM108" s="853"/>
      <c r="EN108" s="853"/>
      <c r="EO108" s="853"/>
      <c r="EP108" s="853"/>
      <c r="EQ108" s="855"/>
      <c r="ER108" s="855"/>
      <c r="ES108" s="855"/>
      <c r="ET108" s="855"/>
      <c r="EU108" s="855"/>
      <c r="EV108" s="855"/>
      <c r="EW108" s="855"/>
      <c r="EX108" s="855"/>
      <c r="EY108" s="855"/>
      <c r="EZ108" s="855"/>
      <c r="FA108" s="855"/>
      <c r="FB108" s="855"/>
      <c r="FC108" s="855"/>
      <c r="FD108" s="855"/>
      <c r="FE108" s="855"/>
      <c r="FF108" s="855"/>
      <c r="FG108" s="855"/>
      <c r="FH108" s="855"/>
      <c r="FI108" s="855"/>
      <c r="FJ108" s="855"/>
      <c r="FK108" s="855"/>
      <c r="FL108" s="855"/>
      <c r="FM108" s="855"/>
      <c r="FN108" s="855"/>
      <c r="FO108" s="855"/>
      <c r="FP108" s="855"/>
      <c r="FQ108" s="855"/>
      <c r="FR108" s="855"/>
      <c r="FS108" s="855"/>
      <c r="FT108" s="855"/>
      <c r="FU108" s="855"/>
      <c r="FV108" s="855"/>
      <c r="FW108" s="855"/>
      <c r="FX108" s="855"/>
      <c r="FY108" s="855"/>
      <c r="FZ108" s="855"/>
      <c r="GA108" s="855"/>
      <c r="GB108" s="855"/>
      <c r="GC108" s="855"/>
      <c r="GD108" s="855"/>
      <c r="GE108" s="855"/>
      <c r="GF108" s="855"/>
      <c r="GG108" s="855"/>
      <c r="GH108" s="855"/>
      <c r="GI108" s="855"/>
      <c r="GJ108" s="855"/>
      <c r="GK108" s="855"/>
      <c r="GL108" s="855"/>
      <c r="GM108" s="855"/>
      <c r="GN108" s="855"/>
      <c r="GO108" s="855"/>
      <c r="GP108" s="855"/>
      <c r="GQ108" s="855"/>
      <c r="GR108" s="855"/>
      <c r="GS108" s="855"/>
      <c r="GT108" s="855"/>
      <c r="GU108" s="855"/>
      <c r="GV108" s="855"/>
      <c r="GW108" s="855"/>
      <c r="GX108" s="855"/>
      <c r="GY108" s="855"/>
      <c r="GZ108" s="855"/>
      <c r="HA108" s="855"/>
      <c r="HB108" s="855"/>
      <c r="HC108" s="855"/>
      <c r="HD108" s="855"/>
      <c r="HE108" s="855"/>
      <c r="HF108" s="855"/>
      <c r="HG108" s="855"/>
      <c r="HH108" s="855"/>
      <c r="HI108" s="855"/>
      <c r="HJ108" s="855"/>
      <c r="HK108" s="855"/>
      <c r="HL108" s="855"/>
      <c r="HM108" s="855"/>
      <c r="HN108" s="855"/>
      <c r="HO108" s="855"/>
      <c r="HP108" s="855"/>
      <c r="HQ108" s="855"/>
      <c r="HR108" s="855"/>
      <c r="HS108" s="855"/>
      <c r="HT108" s="855"/>
      <c r="HU108" s="855"/>
      <c r="HV108" s="855"/>
      <c r="HW108" s="855"/>
      <c r="HX108" s="855"/>
      <c r="HY108" s="855"/>
      <c r="HZ108" s="855"/>
      <c r="IA108" s="855"/>
      <c r="IB108" s="855"/>
      <c r="IC108" s="855"/>
      <c r="ID108" s="855"/>
      <c r="IE108" s="855"/>
      <c r="IF108" s="855"/>
      <c r="IG108" s="855"/>
      <c r="IH108" s="855"/>
      <c r="II108" s="855"/>
      <c r="IJ108" s="855"/>
      <c r="IK108" s="855"/>
      <c r="IL108" s="855"/>
      <c r="IM108" s="855"/>
      <c r="IN108" s="855"/>
      <c r="IO108" s="855"/>
      <c r="IP108" s="855"/>
      <c r="IQ108" s="855"/>
      <c r="IR108" s="855"/>
      <c r="IS108" s="855"/>
      <c r="IT108" s="855"/>
      <c r="IU108" s="855"/>
      <c r="IV108" s="855"/>
      <c r="IW108" s="855"/>
      <c r="IX108" s="855"/>
      <c r="IY108" s="855"/>
      <c r="IZ108" s="855"/>
      <c r="JA108" s="855"/>
      <c r="JB108" s="855"/>
      <c r="JC108" s="855"/>
      <c r="JD108" s="855"/>
      <c r="JE108" s="855"/>
      <c r="JF108" s="855"/>
      <c r="JG108" s="855"/>
      <c r="JH108" s="855"/>
      <c r="JI108" s="855"/>
      <c r="JJ108" s="855"/>
      <c r="JK108" s="855"/>
      <c r="JL108" s="855"/>
      <c r="JM108"/>
    </row>
    <row r="109" spans="1:273" s="854" customFormat="1">
      <c r="A109" s="102"/>
      <c r="B109" s="103"/>
      <c r="C109" s="102"/>
      <c r="D109" s="102"/>
      <c r="E109" s="102"/>
      <c r="F109" s="102"/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293"/>
      <c r="AO109" s="293"/>
      <c r="AP109" s="293"/>
      <c r="AQ109" s="293"/>
      <c r="AR109" s="293"/>
      <c r="AS109" s="293"/>
      <c r="AT109" s="626"/>
      <c r="AU109" s="626"/>
      <c r="AV109" s="293"/>
      <c r="AW109" s="293"/>
      <c r="AX109" s="626"/>
      <c r="AY109" s="626"/>
      <c r="AZ109" s="293"/>
      <c r="BA109" s="293"/>
      <c r="BB109" s="853"/>
      <c r="BC109" s="853"/>
      <c r="BD109" s="626"/>
      <c r="BE109" s="626"/>
      <c r="BF109" s="293"/>
      <c r="BG109" s="853"/>
      <c r="BH109" s="626"/>
      <c r="BI109" s="626"/>
      <c r="BJ109" s="293"/>
      <c r="BK109" s="853"/>
      <c r="BL109" s="626"/>
      <c r="BM109" s="626"/>
      <c r="BN109" s="293"/>
      <c r="BO109" s="853"/>
      <c r="BP109" s="626"/>
      <c r="BQ109" s="626"/>
      <c r="BR109" s="293"/>
      <c r="BS109" s="853"/>
      <c r="BT109" s="626"/>
      <c r="BU109" s="626"/>
      <c r="BV109" s="293"/>
      <c r="BW109" s="853"/>
      <c r="BX109" s="626"/>
      <c r="BY109" s="626"/>
      <c r="BZ109" s="293"/>
      <c r="CA109" s="853"/>
      <c r="CB109" s="626"/>
      <c r="CC109" s="626"/>
      <c r="CD109" s="293"/>
      <c r="CE109" s="862"/>
      <c r="CF109" s="626"/>
      <c r="CG109" s="626"/>
      <c r="CH109" s="293"/>
      <c r="CI109" s="862"/>
      <c r="CJ109" s="626"/>
      <c r="CK109" s="626"/>
      <c r="CL109" s="293"/>
      <c r="CM109" s="862"/>
      <c r="CN109" s="655"/>
      <c r="CO109" s="626"/>
      <c r="CP109" s="293"/>
      <c r="CQ109" s="862"/>
      <c r="CR109" s="626"/>
      <c r="CS109" s="626"/>
      <c r="CT109" s="293"/>
      <c r="CU109" s="626"/>
      <c r="CV109" s="626"/>
      <c r="CW109" s="626"/>
      <c r="CX109" s="293"/>
      <c r="CY109" s="626"/>
      <c r="CZ109" s="626"/>
      <c r="DA109" s="1388"/>
      <c r="DB109" s="293"/>
      <c r="DC109" s="626"/>
      <c r="DD109" s="626"/>
      <c r="DE109" s="626"/>
      <c r="DF109" s="626"/>
      <c r="DG109" s="853"/>
      <c r="DH109" s="626"/>
      <c r="DI109" s="626"/>
      <c r="DJ109" s="626"/>
      <c r="DK109" s="853"/>
      <c r="DL109" s="626"/>
      <c r="DM109" s="626"/>
      <c r="DN109" s="626"/>
      <c r="DO109" s="853"/>
      <c r="DP109" s="626"/>
      <c r="DQ109" s="626"/>
      <c r="DR109" s="626"/>
      <c r="DS109" s="853"/>
      <c r="DT109" s="853"/>
      <c r="DU109" s="850"/>
      <c r="DV109" s="850"/>
      <c r="DW109" s="850"/>
      <c r="DX109" s="853"/>
      <c r="DY109" s="853"/>
      <c r="DZ109" s="850"/>
      <c r="EA109" s="850"/>
      <c r="EB109" s="853"/>
      <c r="EC109" s="853"/>
      <c r="ED109" s="850"/>
      <c r="EE109" s="850"/>
      <c r="EF109" s="853"/>
      <c r="EG109" s="853"/>
      <c r="EH109" s="853"/>
      <c r="EI109" s="853"/>
      <c r="EJ109" s="853"/>
      <c r="EK109" s="853"/>
      <c r="EL109" s="853"/>
      <c r="EM109" s="853"/>
      <c r="EN109" s="853"/>
      <c r="EO109" s="853"/>
      <c r="EP109" s="853"/>
      <c r="EQ109" s="855"/>
      <c r="ER109" s="855"/>
      <c r="ES109" s="855"/>
      <c r="ET109" s="855"/>
      <c r="EU109" s="855"/>
      <c r="EV109" s="855"/>
      <c r="EW109" s="855"/>
      <c r="EX109" s="855"/>
      <c r="EY109" s="855"/>
      <c r="EZ109" s="855"/>
      <c r="FA109" s="855"/>
      <c r="FB109" s="855"/>
      <c r="FC109" s="855"/>
      <c r="FD109" s="855"/>
      <c r="FE109" s="855"/>
      <c r="FF109" s="855"/>
      <c r="FG109" s="855"/>
      <c r="FH109" s="855"/>
      <c r="FI109" s="855"/>
      <c r="FJ109" s="855"/>
      <c r="FK109" s="855"/>
      <c r="FL109" s="855"/>
      <c r="FM109" s="855"/>
      <c r="FN109" s="855"/>
      <c r="FO109" s="855"/>
      <c r="FP109" s="855"/>
      <c r="FQ109" s="855"/>
      <c r="FR109" s="855"/>
      <c r="FS109" s="855"/>
      <c r="FT109" s="855"/>
      <c r="FU109" s="855"/>
      <c r="FV109" s="855"/>
      <c r="FW109" s="855"/>
      <c r="FX109" s="855"/>
      <c r="FY109" s="855"/>
      <c r="FZ109" s="855"/>
      <c r="GA109" s="855"/>
      <c r="GB109" s="855"/>
      <c r="GC109" s="855"/>
      <c r="GD109" s="855"/>
      <c r="GE109" s="855"/>
      <c r="GF109" s="855"/>
      <c r="GG109" s="855"/>
      <c r="GH109" s="855"/>
      <c r="GI109" s="855"/>
      <c r="GJ109" s="855"/>
      <c r="GK109" s="855"/>
      <c r="GL109" s="855"/>
      <c r="GM109" s="855"/>
      <c r="GN109" s="855"/>
      <c r="GO109" s="855"/>
      <c r="GP109" s="855"/>
      <c r="GQ109" s="855"/>
      <c r="GR109" s="855"/>
      <c r="GS109" s="855"/>
      <c r="GT109" s="855"/>
      <c r="GU109" s="855"/>
      <c r="GV109" s="855"/>
      <c r="GW109" s="855"/>
      <c r="GX109" s="855"/>
      <c r="GY109" s="855"/>
      <c r="GZ109" s="855"/>
      <c r="HA109" s="855"/>
      <c r="HB109" s="855"/>
      <c r="HC109" s="855"/>
      <c r="HD109" s="855"/>
      <c r="HE109" s="855"/>
      <c r="HF109" s="855"/>
      <c r="HG109" s="855"/>
      <c r="HH109" s="855"/>
      <c r="HI109" s="855"/>
      <c r="HJ109" s="855"/>
      <c r="HK109" s="855"/>
      <c r="HL109" s="855"/>
      <c r="HM109" s="855"/>
      <c r="HN109" s="855"/>
      <c r="HO109" s="855"/>
      <c r="HP109" s="855"/>
      <c r="HQ109" s="855"/>
      <c r="HR109" s="855"/>
      <c r="HS109" s="855"/>
      <c r="HT109" s="855"/>
      <c r="HU109" s="855"/>
      <c r="HV109" s="855"/>
      <c r="HW109" s="855"/>
      <c r="HX109" s="855"/>
      <c r="HY109" s="855"/>
      <c r="HZ109" s="855"/>
      <c r="IA109" s="855"/>
      <c r="IB109" s="855"/>
      <c r="IC109" s="855"/>
      <c r="ID109" s="855"/>
      <c r="IE109" s="855"/>
      <c r="IF109" s="855"/>
      <c r="IG109" s="855"/>
      <c r="IH109" s="855"/>
      <c r="II109" s="855"/>
      <c r="IJ109" s="855"/>
      <c r="IK109" s="855"/>
      <c r="IL109" s="855"/>
      <c r="IM109" s="855"/>
      <c r="IN109" s="855"/>
      <c r="IO109" s="855"/>
      <c r="IP109" s="855"/>
      <c r="IQ109" s="855"/>
      <c r="IR109" s="855"/>
      <c r="IS109" s="855"/>
      <c r="IT109" s="855"/>
      <c r="IU109" s="855"/>
      <c r="IV109" s="855"/>
      <c r="IW109" s="855"/>
      <c r="IX109" s="855"/>
      <c r="IY109" s="855"/>
      <c r="IZ109" s="855"/>
      <c r="JA109" s="855"/>
      <c r="JB109" s="855"/>
      <c r="JC109" s="855"/>
      <c r="JD109" s="855"/>
      <c r="JE109" s="855"/>
      <c r="JF109" s="855"/>
      <c r="JG109" s="855"/>
      <c r="JH109" s="855"/>
      <c r="JI109" s="855"/>
      <c r="JJ109" s="855"/>
      <c r="JK109" s="855"/>
      <c r="JL109" s="855"/>
      <c r="JM109"/>
    </row>
    <row r="110" spans="1:273">
      <c r="A110" s="815" t="s">
        <v>179</v>
      </c>
      <c r="CB110" s="293">
        <f>+CB108+CC108</f>
        <v>774</v>
      </c>
      <c r="CF110" s="293"/>
      <c r="CJ110" s="293"/>
      <c r="DA110" s="1009"/>
    </row>
    <row r="111" spans="1:273" s="854" customFormat="1">
      <c r="A111" s="102" t="s">
        <v>685</v>
      </c>
      <c r="B111" s="103"/>
      <c r="C111" s="102"/>
      <c r="D111" s="102"/>
      <c r="E111" s="102"/>
      <c r="F111" s="102"/>
      <c r="G111" s="102"/>
      <c r="H111" s="102"/>
      <c r="I111" s="102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293"/>
      <c r="AO111" s="293"/>
      <c r="AP111" s="293"/>
      <c r="AQ111" s="293"/>
      <c r="AR111" s="293"/>
      <c r="AS111" s="293"/>
      <c r="AT111" s="626"/>
      <c r="AU111" s="626"/>
      <c r="AV111" s="293"/>
      <c r="AW111" s="293"/>
      <c r="AX111" s="626"/>
      <c r="AY111" s="626"/>
      <c r="AZ111" s="293"/>
      <c r="BA111" s="293"/>
      <c r="BB111" s="853"/>
      <c r="BC111" s="853"/>
      <c r="BD111" s="293"/>
      <c r="BE111" s="293"/>
      <c r="BF111" s="293"/>
      <c r="BG111" s="853"/>
      <c r="BH111" s="293"/>
      <c r="BI111" s="293"/>
      <c r="BJ111" s="293"/>
      <c r="BK111" s="853"/>
      <c r="BL111" s="293"/>
      <c r="BM111" s="293"/>
      <c r="BN111" s="293"/>
      <c r="BO111" s="853"/>
      <c r="BP111" s="293"/>
      <c r="BQ111" s="293"/>
      <c r="BR111" s="293"/>
      <c r="BS111" s="853"/>
      <c r="BT111" s="293"/>
      <c r="BU111" s="293"/>
      <c r="BV111" s="293"/>
      <c r="BW111" s="853"/>
      <c r="BX111" s="293"/>
      <c r="BY111" s="293"/>
      <c r="BZ111" s="293"/>
      <c r="CA111" s="853"/>
      <c r="CB111" s="293"/>
      <c r="CC111" s="293"/>
      <c r="CD111" s="293"/>
      <c r="CE111" s="331"/>
      <c r="CF111" s="293"/>
      <c r="CG111" s="293"/>
      <c r="CH111" s="293"/>
      <c r="CI111" s="331"/>
      <c r="CJ111" s="293"/>
      <c r="CK111" s="293"/>
      <c r="CL111" s="293"/>
      <c r="CM111" s="331"/>
      <c r="CN111" s="293"/>
      <c r="CO111" s="293"/>
      <c r="CP111" s="293"/>
      <c r="CQ111" s="331"/>
      <c r="CR111" s="293"/>
      <c r="CS111" s="293"/>
      <c r="CT111" s="293"/>
      <c r="CU111" s="853"/>
      <c r="CV111" s="293"/>
      <c r="CW111" s="293"/>
      <c r="CX111" s="293"/>
      <c r="CY111" s="853"/>
      <c r="CZ111" s="293"/>
      <c r="DA111" s="1010"/>
      <c r="DB111" s="293"/>
      <c r="DC111" s="853"/>
      <c r="DD111" s="293"/>
      <c r="DE111" s="293"/>
      <c r="DF111" s="293"/>
      <c r="DG111" s="853"/>
      <c r="DH111" s="293"/>
      <c r="DI111" s="293"/>
      <c r="DJ111" s="293"/>
      <c r="DK111" s="853"/>
      <c r="DL111" s="293"/>
      <c r="DM111" s="293"/>
      <c r="DN111" s="293"/>
      <c r="DO111" s="853"/>
      <c r="DP111" s="293"/>
      <c r="DQ111" s="293"/>
      <c r="DR111" s="293"/>
      <c r="DS111" s="853"/>
      <c r="DT111" s="853"/>
      <c r="DU111" s="850"/>
      <c r="DV111" s="850"/>
      <c r="DW111" s="850"/>
      <c r="DX111" s="853"/>
      <c r="DY111" s="853"/>
      <c r="DZ111" s="850"/>
      <c r="EA111" s="850"/>
      <c r="EB111" s="853"/>
      <c r="EC111" s="853"/>
      <c r="ED111" s="850"/>
      <c r="EE111" s="850"/>
      <c r="EF111" s="853"/>
      <c r="EG111" s="853"/>
      <c r="EH111" s="853"/>
      <c r="EI111" s="853"/>
      <c r="EJ111" s="853"/>
      <c r="EK111" s="853"/>
      <c r="EL111" s="853"/>
      <c r="EM111" s="853"/>
      <c r="EN111" s="853"/>
      <c r="EO111" s="853"/>
      <c r="EP111" s="853"/>
      <c r="EQ111" s="855"/>
      <c r="ER111" s="855"/>
      <c r="ES111" s="855"/>
      <c r="ET111" s="855"/>
      <c r="EU111" s="855"/>
      <c r="EV111" s="855"/>
      <c r="EW111" s="855"/>
      <c r="EX111" s="855"/>
      <c r="EY111" s="855"/>
      <c r="EZ111" s="855"/>
      <c r="FA111" s="855"/>
      <c r="FB111" s="855"/>
      <c r="FC111" s="855"/>
      <c r="FD111" s="855"/>
      <c r="FE111" s="855"/>
      <c r="FF111" s="855"/>
      <c r="FG111" s="855"/>
      <c r="FH111" s="855"/>
      <c r="FI111" s="855"/>
      <c r="FJ111" s="855"/>
      <c r="FK111" s="855"/>
      <c r="FL111" s="855"/>
      <c r="FM111" s="855"/>
      <c r="FN111" s="855"/>
      <c r="FO111" s="855"/>
      <c r="FP111" s="855"/>
      <c r="FQ111" s="855"/>
      <c r="FR111" s="855"/>
      <c r="FS111" s="855"/>
      <c r="FT111" s="855"/>
      <c r="FU111" s="855"/>
      <c r="FV111" s="855"/>
      <c r="FW111" s="855"/>
      <c r="FX111" s="855"/>
      <c r="FY111" s="855"/>
      <c r="FZ111" s="855"/>
      <c r="GA111" s="855"/>
      <c r="GB111" s="855"/>
      <c r="GC111" s="855"/>
      <c r="GD111" s="855"/>
      <c r="GE111" s="855"/>
      <c r="GF111" s="855"/>
      <c r="GG111" s="855"/>
      <c r="GH111" s="855"/>
      <c r="GI111" s="855"/>
      <c r="GJ111" s="855"/>
      <c r="GK111" s="855"/>
      <c r="GL111" s="855"/>
      <c r="GM111" s="855"/>
      <c r="GN111" s="855"/>
      <c r="GO111" s="855"/>
      <c r="GP111" s="855"/>
      <c r="GQ111" s="855"/>
      <c r="GR111" s="855"/>
      <c r="GS111" s="855"/>
      <c r="GT111" s="855"/>
      <c r="GU111" s="855"/>
      <c r="GV111" s="855"/>
      <c r="GW111" s="855"/>
      <c r="GX111" s="855"/>
      <c r="GY111" s="855"/>
      <c r="GZ111" s="855"/>
      <c r="HA111" s="855"/>
      <c r="HB111" s="855"/>
      <c r="HC111" s="855"/>
      <c r="HD111" s="855"/>
      <c r="HE111" s="855"/>
      <c r="HF111" s="855"/>
      <c r="HG111" s="855"/>
      <c r="HH111" s="855"/>
      <c r="HI111" s="855"/>
      <c r="HJ111" s="855"/>
      <c r="HK111" s="855"/>
      <c r="HL111" s="855"/>
      <c r="HM111" s="855"/>
      <c r="HN111" s="855"/>
      <c r="HO111" s="855"/>
      <c r="HP111" s="855"/>
      <c r="HQ111" s="855"/>
      <c r="HR111" s="855"/>
      <c r="HS111" s="855"/>
      <c r="HT111" s="855"/>
      <c r="HU111" s="855"/>
      <c r="HV111" s="855"/>
      <c r="HW111" s="855"/>
      <c r="HX111" s="855"/>
      <c r="HY111" s="855"/>
      <c r="HZ111" s="855"/>
      <c r="IA111" s="855"/>
      <c r="IB111" s="855"/>
      <c r="IC111" s="855"/>
      <c r="ID111" s="855"/>
      <c r="IE111" s="855"/>
      <c r="IF111" s="855"/>
      <c r="IG111" s="855"/>
      <c r="IH111" s="855"/>
      <c r="II111" s="855"/>
      <c r="IJ111" s="855"/>
      <c r="IK111" s="855"/>
      <c r="IL111" s="855"/>
      <c r="IM111" s="855"/>
      <c r="IN111" s="855"/>
      <c r="IO111" s="855"/>
      <c r="IP111" s="855"/>
      <c r="IQ111" s="855"/>
      <c r="IR111" s="855"/>
      <c r="IS111" s="855"/>
      <c r="IT111" s="855"/>
      <c r="IU111" s="855"/>
      <c r="IV111" s="855"/>
      <c r="IW111" s="855"/>
      <c r="IX111" s="855"/>
      <c r="IY111" s="855"/>
      <c r="IZ111" s="855"/>
      <c r="JA111" s="855"/>
      <c r="JB111" s="855"/>
      <c r="JC111" s="855"/>
      <c r="JD111" s="855"/>
      <c r="JE111" s="855"/>
      <c r="JF111" s="855"/>
      <c r="JG111" s="855"/>
      <c r="JH111" s="855"/>
      <c r="JI111" s="855"/>
      <c r="JJ111" s="855"/>
      <c r="JK111" s="855"/>
      <c r="JL111" s="855"/>
      <c r="JM111"/>
    </row>
    <row r="112" spans="1:273" s="854" customFormat="1">
      <c r="A112" s="102" t="s">
        <v>686</v>
      </c>
      <c r="B112" s="103"/>
      <c r="C112" s="102"/>
      <c r="D112" s="102"/>
      <c r="E112" s="102"/>
      <c r="F112" s="102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293"/>
      <c r="AO112" s="293"/>
      <c r="AP112" s="293"/>
      <c r="AQ112" s="293"/>
      <c r="AR112" s="293"/>
      <c r="AS112" s="293"/>
      <c r="AT112" s="626"/>
      <c r="AU112" s="626"/>
      <c r="AV112" s="293"/>
      <c r="AW112" s="293"/>
      <c r="AX112" s="626"/>
      <c r="AY112" s="626"/>
      <c r="AZ112" s="293"/>
      <c r="BA112" s="293"/>
      <c r="BB112" s="853"/>
      <c r="BC112" s="853"/>
      <c r="BD112" s="293">
        <f>DIVISIONS!BD150</f>
        <v>-42</v>
      </c>
      <c r="BE112" s="293">
        <f>DIVISIONS!BE150</f>
        <v>-59</v>
      </c>
      <c r="BF112" s="293">
        <f>DIVISIONS!BF150</f>
        <v>-101</v>
      </c>
      <c r="BG112" s="853"/>
      <c r="BH112" s="293">
        <f>DIVISIONS!BH150</f>
        <v>11</v>
      </c>
      <c r="BI112" s="293">
        <f>DIVISIONS!BI150</f>
        <v>1</v>
      </c>
      <c r="BJ112" s="293">
        <f>DIVISIONS!BJ150</f>
        <v>12</v>
      </c>
      <c r="BK112" s="853"/>
      <c r="BL112" s="293">
        <f>DIVISIONS!BL150</f>
        <v>9</v>
      </c>
      <c r="BM112" s="293">
        <f>DIVISIONS!BM150</f>
        <v>5</v>
      </c>
      <c r="BN112" s="293">
        <f>DIVISIONS!BN150</f>
        <v>14</v>
      </c>
      <c r="BO112" s="853" t="s">
        <v>184</v>
      </c>
      <c r="BP112" s="293">
        <f>DIVISIONS!BP150</f>
        <v>11</v>
      </c>
      <c r="BQ112" s="293">
        <f>DIVISIONS!BQ150</f>
        <v>9</v>
      </c>
      <c r="BR112" s="293">
        <f>DIVISIONS!BR150</f>
        <v>20</v>
      </c>
      <c r="BS112" s="853" t="s">
        <v>184</v>
      </c>
      <c r="BT112" s="293">
        <f>DIVISIONS!BT150</f>
        <v>21</v>
      </c>
      <c r="BU112" s="293">
        <f>DIVISIONS!BU150</f>
        <v>2</v>
      </c>
      <c r="BV112" s="293">
        <f>DIVISIONS!BV150</f>
        <v>23</v>
      </c>
      <c r="BW112" s="853"/>
      <c r="BX112" s="293">
        <f>DIVISIONS!BX150</f>
        <v>10.997701149425287</v>
      </c>
      <c r="BY112" s="293">
        <f>DIVISIONS!BY150</f>
        <v>12.451724137931034</v>
      </c>
      <c r="BZ112" s="293">
        <f>DIVISIONS!BZ150</f>
        <v>23.44942528735632</v>
      </c>
      <c r="CA112" s="853"/>
      <c r="CB112" s="293">
        <f>DIVISIONS!CB150</f>
        <v>11.15632183908046</v>
      </c>
      <c r="CC112" s="293">
        <f>DIVISIONS!CC150</f>
        <v>11.182758620689656</v>
      </c>
      <c r="CD112" s="293">
        <f>DIVISIONS!CD150</f>
        <v>22.339080459770116</v>
      </c>
      <c r="CE112" s="862"/>
      <c r="CF112" s="293">
        <f>DIVISIONS!CF150</f>
        <v>12</v>
      </c>
      <c r="CG112" s="293">
        <f>DIVISIONS!CG150</f>
        <v>15</v>
      </c>
      <c r="CH112" s="293">
        <f>DIVISIONS!CH150</f>
        <v>27</v>
      </c>
      <c r="CI112" s="862"/>
      <c r="CJ112" s="293">
        <f>DIVISIONS!CJ150</f>
        <v>4</v>
      </c>
      <c r="CK112" s="293">
        <f>DIVISIONS!CK150</f>
        <v>95</v>
      </c>
      <c r="CL112" s="293">
        <f>DIVISIONS!CL150</f>
        <v>99</v>
      </c>
      <c r="CM112" s="862"/>
      <c r="CN112" s="293">
        <f>DIVISIONS!CN150</f>
        <v>252</v>
      </c>
      <c r="CO112" s="293">
        <f>DIVISIONS!CO150</f>
        <v>277</v>
      </c>
      <c r="CP112" s="293">
        <f>DIVISIONS!CP150</f>
        <v>529</v>
      </c>
      <c r="CQ112" s="862"/>
      <c r="CR112" s="293">
        <f>DIVISIONS!CR150</f>
        <v>247</v>
      </c>
      <c r="CS112" s="293">
        <f>DIVISIONS!CS150</f>
        <v>247</v>
      </c>
      <c r="CT112" s="293">
        <f>DIVISIONS!CT150</f>
        <v>494</v>
      </c>
      <c r="CU112" s="853"/>
      <c r="CV112" s="293">
        <f>DIVISIONS!CV150</f>
        <v>226</v>
      </c>
      <c r="CW112" s="293">
        <f>DIVISIONS!CW150</f>
        <v>139</v>
      </c>
      <c r="CX112" s="293">
        <f>DIVISIONS!CX150</f>
        <v>365</v>
      </c>
      <c r="CY112" s="853">
        <f>+CV112+CW112-CX112</f>
        <v>0</v>
      </c>
      <c r="CZ112" s="293">
        <f>DIVISIONS!CZ150</f>
        <v>220</v>
      </c>
      <c r="DA112" s="1010">
        <f>DIVISIONS!DA150</f>
        <v>238</v>
      </c>
      <c r="DB112" s="293">
        <f>DIVISIONS!DB150</f>
        <v>458</v>
      </c>
      <c r="DC112" s="853">
        <f>+CZ112+DA112-DB112</f>
        <v>0</v>
      </c>
      <c r="DD112" s="293">
        <f>DIVISIONS!DD150</f>
        <v>258</v>
      </c>
      <c r="DE112" s="1010">
        <f>DIVISIONS!DE150</f>
        <v>279</v>
      </c>
      <c r="DF112" s="293">
        <f>DIVISIONS!DF150</f>
        <v>537</v>
      </c>
      <c r="DG112" s="853">
        <f>+DD112+DE112-DF112</f>
        <v>0</v>
      </c>
      <c r="DH112" s="293">
        <f>DIVISIONS!DH150</f>
        <v>292</v>
      </c>
      <c r="DI112" s="293">
        <f>DIVISIONS!DI150</f>
        <v>335.79999999999995</v>
      </c>
      <c r="DJ112" s="293">
        <f>DIVISIONS!DJ150</f>
        <v>627.79999999999995</v>
      </c>
      <c r="DK112" s="853"/>
      <c r="DL112" s="293">
        <f>DIVISIONS!DL150</f>
        <v>345.87399999999997</v>
      </c>
      <c r="DM112" s="293">
        <f>DIVISIONS!DM150</f>
        <v>356.25021999999996</v>
      </c>
      <c r="DN112" s="293">
        <f>DIVISIONS!DN150</f>
        <v>702.12421999999992</v>
      </c>
      <c r="DO112" s="853"/>
      <c r="DP112" s="293">
        <f>DIVISIONS!DP150</f>
        <v>366.93772659999996</v>
      </c>
      <c r="DQ112" s="293">
        <f>DIVISIONS!DQ150</f>
        <v>377.94585839799998</v>
      </c>
      <c r="DR112" s="293">
        <f>DIVISIONS!DR150</f>
        <v>744.88358499799995</v>
      </c>
      <c r="DS112" s="853"/>
      <c r="DT112" s="853"/>
      <c r="DU112" s="850"/>
      <c r="DV112" s="850"/>
      <c r="DW112" s="850"/>
      <c r="DX112" s="853"/>
      <c r="DY112" s="853"/>
      <c r="DZ112" s="850"/>
      <c r="EA112" s="850"/>
      <c r="EB112" s="853"/>
      <c r="EC112" s="853"/>
      <c r="ED112" s="850"/>
      <c r="EE112" s="850"/>
      <c r="EF112" s="853"/>
      <c r="EG112" s="853"/>
      <c r="EH112" s="853"/>
      <c r="EI112" s="853"/>
      <c r="EJ112" s="853"/>
      <c r="EK112" s="853"/>
      <c r="EL112" s="853"/>
      <c r="EM112" s="853"/>
      <c r="EN112" s="853"/>
      <c r="EO112" s="853"/>
      <c r="EP112" s="853"/>
      <c r="EQ112" s="855"/>
      <c r="ER112" s="855"/>
      <c r="ES112" s="855"/>
      <c r="ET112" s="855"/>
      <c r="EU112" s="855"/>
      <c r="EV112" s="855"/>
      <c r="EW112" s="855"/>
      <c r="EX112" s="855"/>
      <c r="EY112" s="855"/>
      <c r="EZ112" s="855"/>
      <c r="FA112" s="855"/>
      <c r="FB112" s="855"/>
      <c r="FC112" s="855"/>
      <c r="FD112" s="855"/>
      <c r="FE112" s="855"/>
      <c r="FF112" s="855"/>
      <c r="FG112" s="855"/>
      <c r="FH112" s="855"/>
      <c r="FI112" s="855"/>
      <c r="FJ112" s="855"/>
      <c r="FK112" s="855"/>
      <c r="FL112" s="855"/>
      <c r="FM112" s="855"/>
      <c r="FN112" s="855"/>
      <c r="FO112" s="855"/>
      <c r="FP112" s="855"/>
      <c r="FQ112" s="855"/>
      <c r="FR112" s="855"/>
      <c r="FS112" s="855"/>
      <c r="FT112" s="855"/>
      <c r="FU112" s="855"/>
      <c r="FV112" s="855"/>
      <c r="FW112" s="855"/>
      <c r="FX112" s="855"/>
      <c r="FY112" s="855"/>
      <c r="FZ112" s="855"/>
      <c r="GA112" s="855"/>
      <c r="GB112" s="855"/>
      <c r="GC112" s="855"/>
      <c r="GD112" s="855"/>
      <c r="GE112" s="855"/>
      <c r="GF112" s="855"/>
      <c r="GG112" s="855"/>
      <c r="GH112" s="855"/>
      <c r="GI112" s="855"/>
      <c r="GJ112" s="855"/>
      <c r="GK112" s="855"/>
      <c r="GL112" s="855"/>
      <c r="GM112" s="855"/>
      <c r="GN112" s="855"/>
      <c r="GO112" s="855"/>
      <c r="GP112" s="855"/>
      <c r="GQ112" s="855"/>
      <c r="GR112" s="855"/>
      <c r="GS112" s="855"/>
      <c r="GT112" s="855"/>
      <c r="GU112" s="855"/>
      <c r="GV112" s="855"/>
      <c r="GW112" s="855"/>
      <c r="GX112" s="855"/>
      <c r="GY112" s="855"/>
      <c r="GZ112" s="855"/>
      <c r="HA112" s="855"/>
      <c r="HB112" s="855"/>
      <c r="HC112" s="855"/>
      <c r="HD112" s="855"/>
      <c r="HE112" s="855"/>
      <c r="HF112" s="855"/>
      <c r="HG112" s="855"/>
      <c r="HH112" s="855"/>
      <c r="HI112" s="855"/>
      <c r="HJ112" s="855"/>
      <c r="HK112" s="855"/>
      <c r="HL112" s="855"/>
      <c r="HM112" s="855"/>
      <c r="HN112" s="855"/>
      <c r="HO112" s="855"/>
      <c r="HP112" s="855"/>
      <c r="HQ112" s="855"/>
      <c r="HR112" s="855"/>
      <c r="HS112" s="855"/>
      <c r="HT112" s="855"/>
      <c r="HU112" s="855"/>
      <c r="HV112" s="855"/>
      <c r="HW112" s="855"/>
      <c r="HX112" s="855"/>
      <c r="HY112" s="855"/>
      <c r="HZ112" s="855"/>
      <c r="IA112" s="855"/>
      <c r="IB112" s="855"/>
      <c r="IC112" s="855"/>
      <c r="ID112" s="855"/>
      <c r="IE112" s="855"/>
      <c r="IF112" s="855"/>
      <c r="IG112" s="855"/>
      <c r="IH112" s="855"/>
      <c r="II112" s="855"/>
      <c r="IJ112" s="855"/>
      <c r="IK112" s="855"/>
      <c r="IL112" s="855"/>
      <c r="IM112" s="855"/>
      <c r="IN112" s="855"/>
      <c r="IO112" s="855"/>
      <c r="IP112" s="855"/>
      <c r="IQ112" s="855"/>
      <c r="IR112" s="855"/>
      <c r="IS112" s="855"/>
      <c r="IT112" s="855"/>
      <c r="IU112" s="855"/>
      <c r="IV112" s="855"/>
      <c r="IW112" s="855"/>
      <c r="IX112" s="855"/>
      <c r="IY112" s="855"/>
      <c r="IZ112" s="855"/>
      <c r="JA112" s="855"/>
      <c r="JB112" s="855"/>
      <c r="JC112" s="855"/>
      <c r="JD112" s="855"/>
      <c r="JE112" s="855"/>
      <c r="JF112" s="855"/>
      <c r="JG112" s="855"/>
      <c r="JH112" s="855"/>
      <c r="JI112" s="855"/>
      <c r="JJ112" s="855"/>
      <c r="JK112" s="855"/>
      <c r="JL112" s="855"/>
      <c r="JM112"/>
    </row>
    <row r="113" spans="1:273" s="854" customFormat="1">
      <c r="A113" s="102" t="s">
        <v>616</v>
      </c>
      <c r="B113" s="103"/>
      <c r="C113" s="102"/>
      <c r="D113" s="102"/>
      <c r="E113" s="102"/>
      <c r="F113" s="102"/>
      <c r="G113" s="102"/>
      <c r="H113" s="102"/>
      <c r="I113" s="102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293"/>
      <c r="AO113" s="293"/>
      <c r="AP113" s="293"/>
      <c r="AQ113" s="293"/>
      <c r="AR113" s="293"/>
      <c r="AS113" s="293"/>
      <c r="AT113" s="626"/>
      <c r="AU113" s="626"/>
      <c r="AV113" s="293"/>
      <c r="AW113" s="293"/>
      <c r="AX113" s="626"/>
      <c r="AY113" s="626"/>
      <c r="AZ113" s="293"/>
      <c r="BA113" s="293"/>
      <c r="BB113" s="853"/>
      <c r="BC113" s="853"/>
      <c r="BD113" s="293">
        <f>DIVISIONS!BD410</f>
        <v>97</v>
      </c>
      <c r="BE113" s="293">
        <f>DIVISIONS!BE410</f>
        <v>93</v>
      </c>
      <c r="BF113" s="293">
        <f>DIVISIONS!BF410</f>
        <v>190</v>
      </c>
      <c r="BG113" s="853"/>
      <c r="BH113" s="293">
        <f>DIVISIONS!BH410</f>
        <v>88</v>
      </c>
      <c r="BI113" s="293">
        <f>DIVISIONS!BI410</f>
        <v>164</v>
      </c>
      <c r="BJ113" s="293">
        <f>DIVISIONS!BJ410</f>
        <v>252</v>
      </c>
      <c r="BK113" s="853"/>
      <c r="BL113" s="293">
        <f>DIVISIONS!BL410</f>
        <v>99</v>
      </c>
      <c r="BM113" s="293">
        <f>DIVISIONS!BM410</f>
        <v>100</v>
      </c>
      <c r="BN113" s="293">
        <f>DIVISIONS!BN410</f>
        <v>199</v>
      </c>
      <c r="BO113" s="853" t="s">
        <v>184</v>
      </c>
      <c r="BP113" s="293">
        <f>DIVISIONS!BP410</f>
        <v>90</v>
      </c>
      <c r="BQ113" s="293">
        <f>DIVISIONS!BQ410</f>
        <v>128</v>
      </c>
      <c r="BR113" s="293">
        <f>DIVISIONS!BR410</f>
        <v>218</v>
      </c>
      <c r="BS113" s="853" t="s">
        <v>184</v>
      </c>
      <c r="BT113" s="293">
        <f>DIVISIONS!BT410</f>
        <v>124</v>
      </c>
      <c r="BU113" s="293">
        <f>DIVISIONS!BU410</f>
        <v>118</v>
      </c>
      <c r="BV113" s="293">
        <f>DIVISIONS!BV410</f>
        <v>242</v>
      </c>
      <c r="BW113" s="853"/>
      <c r="BX113" s="293">
        <f>DIVISIONS!BX410</f>
        <v>105</v>
      </c>
      <c r="BY113" s="293">
        <f>DIVISIONS!BY410</f>
        <v>124</v>
      </c>
      <c r="BZ113" s="293">
        <f>DIVISIONS!BZ410</f>
        <v>229</v>
      </c>
      <c r="CA113" s="853"/>
      <c r="CB113" s="293">
        <f>DIVISIONS!CB410</f>
        <v>104</v>
      </c>
      <c r="CC113" s="293">
        <f>DIVISIONS!CC410</f>
        <v>108</v>
      </c>
      <c r="CD113" s="293">
        <f>DIVISIONS!CD410</f>
        <v>212</v>
      </c>
      <c r="CE113" s="862"/>
      <c r="CF113" s="293">
        <f>DIVISIONS!CF410</f>
        <v>131</v>
      </c>
      <c r="CG113" s="293">
        <f>DIVISIONS!CG410</f>
        <v>156</v>
      </c>
      <c r="CH113" s="293">
        <f>DIVISIONS!CH410</f>
        <v>287</v>
      </c>
      <c r="CI113" s="862"/>
      <c r="CJ113" s="293">
        <f>DIVISIONS!CJ410</f>
        <v>152</v>
      </c>
      <c r="CK113" s="293">
        <f>DIVISIONS!CK410</f>
        <v>213</v>
      </c>
      <c r="CL113" s="293">
        <f>DIVISIONS!CL410</f>
        <v>365</v>
      </c>
      <c r="CM113" s="862"/>
      <c r="CN113" s="293">
        <f>DIVISIONS!CN410</f>
        <v>121</v>
      </c>
      <c r="CO113" s="293">
        <f>DIVISIONS!CO410</f>
        <v>162</v>
      </c>
      <c r="CP113" s="293">
        <f>DIVISIONS!CP410</f>
        <v>283</v>
      </c>
      <c r="CQ113" s="862"/>
      <c r="CR113" s="293">
        <f>DIVISIONS!CR410</f>
        <v>610</v>
      </c>
      <c r="CS113" s="293">
        <f>DIVISIONS!CS410</f>
        <v>313</v>
      </c>
      <c r="CT113" s="293">
        <f>DIVISIONS!CT410</f>
        <v>923</v>
      </c>
      <c r="CU113" s="853"/>
      <c r="CV113" s="293">
        <f>DIVISIONS!CV410</f>
        <v>267</v>
      </c>
      <c r="CW113" s="293">
        <f>DIVISIONS!CW410</f>
        <v>288</v>
      </c>
      <c r="CX113" s="293">
        <f>DIVISIONS!CX410</f>
        <v>555</v>
      </c>
      <c r="CY113" s="853">
        <f t="shared" ref="CY113:CY119" si="126">+CV113+CW113-CX113</f>
        <v>0</v>
      </c>
      <c r="CZ113" s="293">
        <f>DIVISIONS!CZ410</f>
        <v>212</v>
      </c>
      <c r="DA113" s="1010">
        <f>DIVISIONS!DA410</f>
        <v>224</v>
      </c>
      <c r="DB113" s="293">
        <f>DIVISIONS!DB410</f>
        <v>436</v>
      </c>
      <c r="DC113" s="853">
        <f t="shared" ref="DC113:DC119" si="127">+CZ113+DA113-DB113</f>
        <v>0</v>
      </c>
      <c r="DD113" s="293">
        <f>DIVISIONS!DD410</f>
        <v>208</v>
      </c>
      <c r="DE113" s="1010">
        <f>DIVISIONS!DE410</f>
        <v>242</v>
      </c>
      <c r="DF113" s="293">
        <f>DIVISIONS!DF410</f>
        <v>450</v>
      </c>
      <c r="DG113" s="853">
        <f t="shared" ref="DG113:DG119" si="128">+DD113+DE113-DF113</f>
        <v>0</v>
      </c>
      <c r="DH113" s="293">
        <f>DIVISIONS!DH410</f>
        <v>194</v>
      </c>
      <c r="DI113" s="293">
        <f>DIVISIONS!DI410</f>
        <v>199.82</v>
      </c>
      <c r="DJ113" s="293">
        <f>DIVISIONS!DJ410</f>
        <v>393.82</v>
      </c>
      <c r="DK113" s="853"/>
      <c r="DL113" s="293">
        <f>DIVISIONS!DL410</f>
        <v>205.81459999999998</v>
      </c>
      <c r="DM113" s="293">
        <f>DIVISIONS!DM410</f>
        <v>211.98903799999999</v>
      </c>
      <c r="DN113" s="293">
        <f>DIVISIONS!DN410</f>
        <v>417.80363799999998</v>
      </c>
      <c r="DO113" s="853"/>
      <c r="DP113" s="293">
        <f>DIVISIONS!DP410</f>
        <v>218.34870914000001</v>
      </c>
      <c r="DQ113" s="293">
        <f>DIVISIONS!DQ410</f>
        <v>224.89917041420003</v>
      </c>
      <c r="DR113" s="293">
        <f>DIVISIONS!DR410</f>
        <v>443.24787955420004</v>
      </c>
      <c r="DS113" s="853"/>
      <c r="DT113" s="853"/>
      <c r="DU113" s="850"/>
      <c r="DV113" s="850"/>
      <c r="DW113" s="850"/>
      <c r="DX113" s="853"/>
      <c r="DY113" s="853"/>
      <c r="DZ113" s="850"/>
      <c r="EA113" s="850"/>
      <c r="EB113" s="853"/>
      <c r="EC113" s="853"/>
      <c r="ED113" s="850"/>
      <c r="EE113" s="850"/>
      <c r="EF113" s="853"/>
      <c r="EG113" s="853"/>
      <c r="EH113" s="853"/>
      <c r="EI113" s="853"/>
      <c r="EJ113" s="853"/>
      <c r="EK113" s="853"/>
      <c r="EL113" s="853"/>
      <c r="EM113" s="853"/>
      <c r="EN113" s="853"/>
      <c r="EO113" s="853"/>
      <c r="EP113" s="853"/>
      <c r="EQ113" s="855"/>
      <c r="ER113" s="855"/>
      <c r="ES113" s="855"/>
      <c r="ET113" s="855"/>
      <c r="EU113" s="855"/>
      <c r="EV113" s="855"/>
      <c r="EW113" s="855"/>
      <c r="EX113" s="855"/>
      <c r="EY113" s="855"/>
      <c r="EZ113" s="855"/>
      <c r="FA113" s="855"/>
      <c r="FB113" s="855"/>
      <c r="FC113" s="855"/>
      <c r="FD113" s="855"/>
      <c r="FE113" s="855"/>
      <c r="FF113" s="855"/>
      <c r="FG113" s="855"/>
      <c r="FH113" s="855"/>
      <c r="FI113" s="855"/>
      <c r="FJ113" s="855"/>
      <c r="FK113" s="855"/>
      <c r="FL113" s="855"/>
      <c r="FM113" s="855"/>
      <c r="FN113" s="855"/>
      <c r="FO113" s="855"/>
      <c r="FP113" s="855"/>
      <c r="FQ113" s="855"/>
      <c r="FR113" s="855"/>
      <c r="FS113" s="855"/>
      <c r="FT113" s="855"/>
      <c r="FU113" s="855"/>
      <c r="FV113" s="855"/>
      <c r="FW113" s="855"/>
      <c r="FX113" s="855"/>
      <c r="FY113" s="855"/>
      <c r="FZ113" s="855"/>
      <c r="GA113" s="855"/>
      <c r="GB113" s="855"/>
      <c r="GC113" s="855"/>
      <c r="GD113" s="855"/>
      <c r="GE113" s="855"/>
      <c r="GF113" s="855"/>
      <c r="GG113" s="855"/>
      <c r="GH113" s="855"/>
      <c r="GI113" s="855"/>
      <c r="GJ113" s="855"/>
      <c r="GK113" s="855"/>
      <c r="GL113" s="855"/>
      <c r="GM113" s="855"/>
      <c r="GN113" s="855"/>
      <c r="GO113" s="855"/>
      <c r="GP113" s="855"/>
      <c r="GQ113" s="855"/>
      <c r="GR113" s="855"/>
      <c r="GS113" s="855"/>
      <c r="GT113" s="855"/>
      <c r="GU113" s="855"/>
      <c r="GV113" s="855"/>
      <c r="GW113" s="855"/>
      <c r="GX113" s="855"/>
      <c r="GY113" s="855"/>
      <c r="GZ113" s="855"/>
      <c r="HA113" s="855"/>
      <c r="HB113" s="855"/>
      <c r="HC113" s="855"/>
      <c r="HD113" s="855"/>
      <c r="HE113" s="855"/>
      <c r="HF113" s="855"/>
      <c r="HG113" s="855"/>
      <c r="HH113" s="855"/>
      <c r="HI113" s="855"/>
      <c r="HJ113" s="855"/>
      <c r="HK113" s="855"/>
      <c r="HL113" s="855"/>
      <c r="HM113" s="855"/>
      <c r="HN113" s="855"/>
      <c r="HO113" s="855"/>
      <c r="HP113" s="855"/>
      <c r="HQ113" s="855"/>
      <c r="HR113" s="855"/>
      <c r="HS113" s="855"/>
      <c r="HT113" s="855"/>
      <c r="HU113" s="855"/>
      <c r="HV113" s="855"/>
      <c r="HW113" s="855"/>
      <c r="HX113" s="855"/>
      <c r="HY113" s="855"/>
      <c r="HZ113" s="855"/>
      <c r="IA113" s="855"/>
      <c r="IB113" s="855"/>
      <c r="IC113" s="855"/>
      <c r="ID113" s="855"/>
      <c r="IE113" s="855"/>
      <c r="IF113" s="855"/>
      <c r="IG113" s="855"/>
      <c r="IH113" s="855"/>
      <c r="II113" s="855"/>
      <c r="IJ113" s="855"/>
      <c r="IK113" s="855"/>
      <c r="IL113" s="855"/>
      <c r="IM113" s="855"/>
      <c r="IN113" s="855"/>
      <c r="IO113" s="855"/>
      <c r="IP113" s="855"/>
      <c r="IQ113" s="855"/>
      <c r="IR113" s="855"/>
      <c r="IS113" s="855"/>
      <c r="IT113" s="855"/>
      <c r="IU113" s="855"/>
      <c r="IV113" s="855"/>
      <c r="IW113" s="855"/>
      <c r="IX113" s="855"/>
      <c r="IY113" s="855"/>
      <c r="IZ113" s="855"/>
      <c r="JA113" s="855"/>
      <c r="JB113" s="855"/>
      <c r="JC113" s="855"/>
      <c r="JD113" s="855"/>
      <c r="JE113" s="855"/>
      <c r="JF113" s="855"/>
      <c r="JG113" s="855"/>
      <c r="JH113" s="855"/>
      <c r="JI113" s="855"/>
      <c r="JJ113" s="855"/>
      <c r="JK113" s="855"/>
      <c r="JL113" s="855"/>
      <c r="JM113"/>
    </row>
    <row r="114" spans="1:273" s="854" customFormat="1">
      <c r="A114" s="102" t="s">
        <v>1024</v>
      </c>
      <c r="B114" s="103"/>
      <c r="C114" s="102"/>
      <c r="D114" s="102"/>
      <c r="E114" s="102"/>
      <c r="F114" s="102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293"/>
      <c r="AO114" s="293"/>
      <c r="AP114" s="293"/>
      <c r="AQ114" s="293"/>
      <c r="AR114" s="293"/>
      <c r="AS114" s="293"/>
      <c r="AT114" s="626"/>
      <c r="AU114" s="626"/>
      <c r="AV114" s="293"/>
      <c r="AW114" s="293"/>
      <c r="AX114" s="626"/>
      <c r="AY114" s="626"/>
      <c r="AZ114" s="293"/>
      <c r="BA114" s="293"/>
      <c r="BB114" s="853"/>
      <c r="BC114" s="853"/>
      <c r="BD114" s="293">
        <f>DIVISIONS!BD299</f>
        <v>118</v>
      </c>
      <c r="BE114" s="293">
        <f>DIVISIONS!BE299</f>
        <v>70</v>
      </c>
      <c r="BF114" s="293">
        <f>DIVISIONS!BF299</f>
        <v>188</v>
      </c>
      <c r="BG114" s="853"/>
      <c r="BH114" s="293">
        <f>DIVISIONS!BH299</f>
        <v>62</v>
      </c>
      <c r="BI114" s="293">
        <f>DIVISIONS!BI299</f>
        <v>75</v>
      </c>
      <c r="BJ114" s="293">
        <f>DIVISIONS!BJ299</f>
        <v>137</v>
      </c>
      <c r="BK114" s="853"/>
      <c r="BL114" s="293">
        <f>DIVISIONS!BL299</f>
        <v>73</v>
      </c>
      <c r="BM114" s="293">
        <f>DIVISIONS!BM299</f>
        <v>73</v>
      </c>
      <c r="BN114" s="293">
        <f>DIVISIONS!BN299</f>
        <v>146</v>
      </c>
      <c r="BO114" s="853"/>
      <c r="BP114" s="293">
        <f>DIVISIONS!BP299</f>
        <v>103</v>
      </c>
      <c r="BQ114" s="293">
        <f>DIVISIONS!BQ299</f>
        <v>309</v>
      </c>
      <c r="BR114" s="293">
        <f>DIVISIONS!BR299</f>
        <v>412</v>
      </c>
      <c r="BS114" s="853"/>
      <c r="BT114" s="293">
        <f>DIVISIONS!BT299</f>
        <v>106</v>
      </c>
      <c r="BU114" s="293">
        <f>DIVISIONS!BU299</f>
        <v>78</v>
      </c>
      <c r="BV114" s="293">
        <f>DIVISIONS!BV299</f>
        <v>184</v>
      </c>
      <c r="BW114" s="853"/>
      <c r="BX114" s="293">
        <f>DIVISIONS!BX299</f>
        <v>92</v>
      </c>
      <c r="BY114" s="293">
        <f>DIVISIONS!BY299</f>
        <v>61</v>
      </c>
      <c r="BZ114" s="293">
        <f>DIVISIONS!BZ299</f>
        <v>153</v>
      </c>
      <c r="CA114" s="853"/>
      <c r="CB114" s="293">
        <f>DIVISIONS!CB299</f>
        <v>95</v>
      </c>
      <c r="CC114" s="293">
        <f>DIVISIONS!CC299</f>
        <v>112</v>
      </c>
      <c r="CD114" s="293">
        <f>DIVISIONS!CD299</f>
        <v>207</v>
      </c>
      <c r="CE114" s="862"/>
      <c r="CF114" s="293">
        <f>DIVISIONS!CF299</f>
        <v>124</v>
      </c>
      <c r="CG114" s="293">
        <f>DIVISIONS!CG299</f>
        <v>170</v>
      </c>
      <c r="CH114" s="293">
        <f>DIVISIONS!CH299</f>
        <v>294</v>
      </c>
      <c r="CI114" s="862"/>
      <c r="CJ114" s="293">
        <f>DIVISIONS!CJ299</f>
        <v>113</v>
      </c>
      <c r="CK114" s="293">
        <f>DIVISIONS!CK299</f>
        <v>130</v>
      </c>
      <c r="CL114" s="293">
        <f>DIVISIONS!CL299</f>
        <v>243</v>
      </c>
      <c r="CM114" s="862"/>
      <c r="CN114" s="293">
        <f>DIVISIONS!CN299</f>
        <v>128</v>
      </c>
      <c r="CO114" s="293">
        <f>DIVISIONS!CO299</f>
        <v>81</v>
      </c>
      <c r="CP114" s="293">
        <f>DIVISIONS!CP299</f>
        <v>209</v>
      </c>
      <c r="CQ114" s="862"/>
      <c r="CR114" s="293">
        <f>DIVISIONS!CR299</f>
        <v>65</v>
      </c>
      <c r="CS114" s="293">
        <f>DIVISIONS!CS299</f>
        <v>102</v>
      </c>
      <c r="CT114" s="293">
        <f>DIVISIONS!CT299</f>
        <v>167</v>
      </c>
      <c r="CU114" s="853"/>
      <c r="CV114" s="293">
        <f>DIVISIONS!CV299</f>
        <v>25</v>
      </c>
      <c r="CW114" s="293">
        <f>DIVISIONS!CW299</f>
        <v>161</v>
      </c>
      <c r="CX114" s="293">
        <f>DIVISIONS!CX299</f>
        <v>186</v>
      </c>
      <c r="CY114" s="853">
        <f t="shared" si="126"/>
        <v>0</v>
      </c>
      <c r="CZ114" s="293">
        <f>DIVISIONS!CZ299</f>
        <v>97</v>
      </c>
      <c r="DA114" s="293">
        <f>DIVISIONS!DA299</f>
        <v>91</v>
      </c>
      <c r="DB114" s="293">
        <f>DIVISIONS!DB299</f>
        <v>188</v>
      </c>
      <c r="DC114" s="853">
        <f t="shared" si="127"/>
        <v>0</v>
      </c>
      <c r="DD114" s="293">
        <f>DIVISIONS!DD299</f>
        <v>87</v>
      </c>
      <c r="DE114" s="293">
        <f>DIVISIONS!DE299</f>
        <v>37</v>
      </c>
      <c r="DF114" s="293">
        <f>DIVISIONS!DF299</f>
        <v>124</v>
      </c>
      <c r="DG114" s="853">
        <f t="shared" si="128"/>
        <v>0</v>
      </c>
      <c r="DH114" s="293">
        <f>DIVISIONS!DH299</f>
        <v>93</v>
      </c>
      <c r="DI114" s="293">
        <f>DIVISIONS!DI299</f>
        <v>96.72</v>
      </c>
      <c r="DJ114" s="293">
        <f>DIVISIONS!DJ299</f>
        <v>189.72</v>
      </c>
      <c r="DK114" s="853"/>
      <c r="DL114" s="293">
        <f>DIVISIONS!DL299</f>
        <v>94.785600000000002</v>
      </c>
      <c r="DM114" s="293">
        <f>DIVISIONS!DM299</f>
        <v>98.577024000000009</v>
      </c>
      <c r="DN114" s="293">
        <f>DIVISIONS!DN299</f>
        <v>193.36262400000001</v>
      </c>
      <c r="DO114" s="853"/>
      <c r="DP114" s="293">
        <f>DIVISIONS!DP299</f>
        <v>96.605483520000007</v>
      </c>
      <c r="DQ114" s="293">
        <f>DIVISIONS!DQ299</f>
        <v>100.46970286080001</v>
      </c>
      <c r="DR114" s="293">
        <f>DIVISIONS!DR299</f>
        <v>197.07518638080001</v>
      </c>
      <c r="DS114" s="853"/>
      <c r="DT114" s="853"/>
      <c r="DU114" s="850"/>
      <c r="DV114" s="850"/>
      <c r="DW114" s="850"/>
      <c r="DX114" s="853"/>
      <c r="DY114" s="853"/>
      <c r="DZ114" s="850"/>
      <c r="EA114" s="850"/>
      <c r="EB114" s="853"/>
      <c r="EC114" s="853"/>
      <c r="ED114" s="850"/>
      <c r="EE114" s="850"/>
      <c r="EF114" s="853"/>
      <c r="EG114" s="853"/>
      <c r="EH114" s="853"/>
      <c r="EI114" s="853"/>
      <c r="EJ114" s="853"/>
      <c r="EK114" s="853"/>
      <c r="EL114" s="853"/>
      <c r="EM114" s="853"/>
      <c r="EN114" s="853"/>
      <c r="EO114" s="853"/>
      <c r="EP114" s="853"/>
      <c r="EQ114" s="855"/>
      <c r="ER114" s="855"/>
      <c r="ES114" s="855"/>
      <c r="ET114" s="855"/>
      <c r="EU114" s="855"/>
      <c r="EV114" s="855"/>
      <c r="EW114" s="855"/>
      <c r="EX114" s="855"/>
      <c r="EY114" s="855"/>
      <c r="EZ114" s="855"/>
      <c r="FA114" s="855"/>
      <c r="FB114" s="855"/>
      <c r="FC114" s="855"/>
      <c r="FD114" s="855"/>
      <c r="FE114" s="855"/>
      <c r="FF114" s="855"/>
      <c r="FG114" s="855"/>
      <c r="FH114" s="855"/>
      <c r="FI114" s="855"/>
      <c r="FJ114" s="855"/>
      <c r="FK114" s="855"/>
      <c r="FL114" s="855"/>
      <c r="FM114" s="855"/>
      <c r="FN114" s="855"/>
      <c r="FO114" s="855"/>
      <c r="FP114" s="855"/>
      <c r="FQ114" s="855"/>
      <c r="FR114" s="855"/>
      <c r="FS114" s="855"/>
      <c r="FT114" s="855"/>
      <c r="FU114" s="855"/>
      <c r="FV114" s="855"/>
      <c r="FW114" s="855"/>
      <c r="FX114" s="855"/>
      <c r="FY114" s="855"/>
      <c r="FZ114" s="855"/>
      <c r="GA114" s="855"/>
      <c r="GB114" s="855"/>
      <c r="GC114" s="855"/>
      <c r="GD114" s="855"/>
      <c r="GE114" s="855"/>
      <c r="GF114" s="855"/>
      <c r="GG114" s="855"/>
      <c r="GH114" s="855"/>
      <c r="GI114" s="855"/>
      <c r="GJ114" s="855"/>
      <c r="GK114" s="855"/>
      <c r="GL114" s="855"/>
      <c r="GM114" s="855"/>
      <c r="GN114" s="855"/>
      <c r="GO114" s="855"/>
      <c r="GP114" s="855"/>
      <c r="GQ114" s="855"/>
      <c r="GR114" s="855"/>
      <c r="GS114" s="855"/>
      <c r="GT114" s="855"/>
      <c r="GU114" s="855"/>
      <c r="GV114" s="855"/>
      <c r="GW114" s="855"/>
      <c r="GX114" s="855"/>
      <c r="GY114" s="855"/>
      <c r="GZ114" s="855"/>
      <c r="HA114" s="855"/>
      <c r="HB114" s="855"/>
      <c r="HC114" s="855"/>
      <c r="HD114" s="855"/>
      <c r="HE114" s="855"/>
      <c r="HF114" s="855"/>
      <c r="HG114" s="855"/>
      <c r="HH114" s="855"/>
      <c r="HI114" s="855"/>
      <c r="HJ114" s="855"/>
      <c r="HK114" s="855"/>
      <c r="HL114" s="855"/>
      <c r="HM114" s="855"/>
      <c r="HN114" s="855"/>
      <c r="HO114" s="855"/>
      <c r="HP114" s="855"/>
      <c r="HQ114" s="855"/>
      <c r="HR114" s="855"/>
      <c r="HS114" s="855"/>
      <c r="HT114" s="855"/>
      <c r="HU114" s="855"/>
      <c r="HV114" s="855"/>
      <c r="HW114" s="855"/>
      <c r="HX114" s="855"/>
      <c r="HY114" s="855"/>
      <c r="HZ114" s="855"/>
      <c r="IA114" s="855"/>
      <c r="IB114" s="855"/>
      <c r="IC114" s="855"/>
      <c r="ID114" s="855"/>
      <c r="IE114" s="855"/>
      <c r="IF114" s="855"/>
      <c r="IG114" s="855"/>
      <c r="IH114" s="855"/>
      <c r="II114" s="855"/>
      <c r="IJ114" s="855"/>
      <c r="IK114" s="855"/>
      <c r="IL114" s="855"/>
      <c r="IM114" s="855"/>
      <c r="IN114" s="855"/>
      <c r="IO114" s="855"/>
      <c r="IP114" s="855"/>
      <c r="IQ114" s="855"/>
      <c r="IR114" s="855"/>
      <c r="IS114" s="855"/>
      <c r="IT114" s="855"/>
      <c r="IU114" s="855"/>
      <c r="IV114" s="855"/>
      <c r="IW114" s="855"/>
      <c r="IX114" s="855"/>
      <c r="IY114" s="855"/>
      <c r="IZ114" s="855"/>
      <c r="JA114" s="855"/>
      <c r="JB114" s="855"/>
      <c r="JC114" s="855"/>
      <c r="JD114" s="855"/>
      <c r="JE114" s="855"/>
      <c r="JF114" s="855"/>
      <c r="JG114" s="855"/>
      <c r="JH114" s="855"/>
      <c r="JI114" s="855"/>
      <c r="JJ114" s="855"/>
      <c r="JK114" s="855"/>
      <c r="JL114" s="855"/>
      <c r="JM114"/>
    </row>
    <row r="115" spans="1:273" s="854" customFormat="1">
      <c r="A115" s="102" t="s">
        <v>690</v>
      </c>
      <c r="B115" s="103"/>
      <c r="C115" s="102"/>
      <c r="D115" s="102"/>
      <c r="E115" s="102"/>
      <c r="F115" s="102"/>
      <c r="G115" s="102"/>
      <c r="H115" s="102"/>
      <c r="I115" s="102"/>
      <c r="J115" s="102"/>
      <c r="K115" s="102"/>
      <c r="L115" s="102"/>
      <c r="M115" s="102"/>
      <c r="N115" s="102"/>
      <c r="O115" s="102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293"/>
      <c r="AO115" s="293"/>
      <c r="AP115" s="293"/>
      <c r="AQ115" s="293"/>
      <c r="AR115" s="293"/>
      <c r="AS115" s="293"/>
      <c r="AT115" s="626"/>
      <c r="AU115" s="626"/>
      <c r="AV115" s="293"/>
      <c r="AW115" s="293"/>
      <c r="AX115" s="626"/>
      <c r="AY115" s="626"/>
      <c r="AZ115" s="293"/>
      <c r="BA115" s="293"/>
      <c r="BB115" s="853"/>
      <c r="BC115" s="853"/>
      <c r="BD115" s="293">
        <f>DIVISIONS!BD507</f>
        <v>14.5</v>
      </c>
      <c r="BE115" s="293">
        <f>DIVISIONS!BE507</f>
        <v>18</v>
      </c>
      <c r="BF115" s="293">
        <f>DIVISIONS!BF507</f>
        <v>32.5</v>
      </c>
      <c r="BG115" s="853"/>
      <c r="BH115" s="293">
        <f>DIVISIONS!BH507</f>
        <v>16</v>
      </c>
      <c r="BI115" s="293">
        <f>DIVISIONS!BI507</f>
        <v>25</v>
      </c>
      <c r="BJ115" s="293">
        <f>DIVISIONS!BJ507</f>
        <v>41</v>
      </c>
      <c r="BK115" s="853"/>
      <c r="BL115" s="293">
        <f>DIVISIONS!BL507</f>
        <v>7</v>
      </c>
      <c r="BM115" s="293">
        <f>DIVISIONS!BM507</f>
        <v>29</v>
      </c>
      <c r="BN115" s="293">
        <f>DIVISIONS!BN507</f>
        <v>36</v>
      </c>
      <c r="BO115" s="853"/>
      <c r="BP115" s="293">
        <f>DIVISIONS!BP507</f>
        <v>21</v>
      </c>
      <c r="BQ115" s="293">
        <f>DIVISIONS!BQ507</f>
        <v>12</v>
      </c>
      <c r="BR115" s="293">
        <f>DIVISIONS!BR507</f>
        <v>33</v>
      </c>
      <c r="BS115" s="853"/>
      <c r="BT115" s="293">
        <f>DIVISIONS!BT507</f>
        <v>13</v>
      </c>
      <c r="BU115" s="293">
        <f>DIVISIONS!BU507</f>
        <v>30</v>
      </c>
      <c r="BV115" s="293">
        <f>DIVISIONS!BV507</f>
        <v>43</v>
      </c>
      <c r="BW115" s="853"/>
      <c r="BX115" s="293">
        <f>DIVISIONS!BX507</f>
        <v>21</v>
      </c>
      <c r="BY115" s="293">
        <f>DIVISIONS!BY507</f>
        <v>32</v>
      </c>
      <c r="BZ115" s="293">
        <f>DIVISIONS!BZ507</f>
        <v>53</v>
      </c>
      <c r="CA115" s="853"/>
      <c r="CB115" s="293">
        <f>DIVISIONS!CB507</f>
        <v>52</v>
      </c>
      <c r="CC115" s="293">
        <f>DIVISIONS!CC507</f>
        <v>28</v>
      </c>
      <c r="CD115" s="293">
        <f>DIVISIONS!CD507</f>
        <v>80</v>
      </c>
      <c r="CE115" s="862"/>
      <c r="CF115" s="293">
        <f>DIVISIONS!CF507</f>
        <v>0</v>
      </c>
      <c r="CG115" s="293">
        <f>DIVISIONS!CG507</f>
        <v>0</v>
      </c>
      <c r="CH115" s="293">
        <f>DIVISIONS!CH507</f>
        <v>0</v>
      </c>
      <c r="CI115" s="862"/>
      <c r="CJ115" s="293">
        <f>DIVISIONS!CJ507</f>
        <v>0</v>
      </c>
      <c r="CK115" s="293">
        <f>DIVISIONS!CK507</f>
        <v>0</v>
      </c>
      <c r="CL115" s="293">
        <f>DIVISIONS!CL507</f>
        <v>0</v>
      </c>
      <c r="CM115" s="862"/>
      <c r="CN115" s="293">
        <f>DIVISIONS!CN507</f>
        <v>0</v>
      </c>
      <c r="CO115" s="293">
        <f>DIVISIONS!CO507</f>
        <v>0</v>
      </c>
      <c r="CP115" s="293">
        <f>DIVISIONS!CP507</f>
        <v>0</v>
      </c>
      <c r="CQ115" s="862"/>
      <c r="CR115" s="293">
        <f>DIVISIONS!CR507</f>
        <v>0</v>
      </c>
      <c r="CS115" s="293">
        <f>DIVISIONS!CS507</f>
        <v>0</v>
      </c>
      <c r="CT115" s="293">
        <f>DIVISIONS!CT507</f>
        <v>0</v>
      </c>
      <c r="CU115" s="853"/>
      <c r="CV115" s="293">
        <f>DIVISIONS!CV507</f>
        <v>0</v>
      </c>
      <c r="CW115" s="293">
        <f>DIVISIONS!CW507</f>
        <v>0</v>
      </c>
      <c r="CX115" s="293">
        <f>DIVISIONS!CX507</f>
        <v>0</v>
      </c>
      <c r="CY115" s="853">
        <f t="shared" si="126"/>
        <v>0</v>
      </c>
      <c r="CZ115" s="293">
        <f>DIVISIONS!CZ507</f>
        <v>0</v>
      </c>
      <c r="DA115" s="293">
        <f>DIVISIONS!DA507</f>
        <v>0</v>
      </c>
      <c r="DB115" s="293">
        <f>DIVISIONS!DB507</f>
        <v>0</v>
      </c>
      <c r="DC115" s="853">
        <f t="shared" si="127"/>
        <v>0</v>
      </c>
      <c r="DD115" s="293">
        <f>DIVISIONS!DD507</f>
        <v>0</v>
      </c>
      <c r="DE115" s="293">
        <f>DIVISIONS!DE507</f>
        <v>0</v>
      </c>
      <c r="DF115" s="293">
        <f>DIVISIONS!DF507</f>
        <v>0</v>
      </c>
      <c r="DG115" s="853">
        <f t="shared" si="128"/>
        <v>0</v>
      </c>
      <c r="DH115" s="293">
        <f>DIVISIONS!DH507</f>
        <v>0</v>
      </c>
      <c r="DI115" s="293">
        <f>DIVISIONS!DI507</f>
        <v>0</v>
      </c>
      <c r="DJ115" s="293">
        <f>DIVISIONS!DJ507</f>
        <v>0</v>
      </c>
      <c r="DK115" s="853"/>
      <c r="DL115" s="293">
        <f>DIVISIONS!DL507</f>
        <v>0</v>
      </c>
      <c r="DM115" s="293">
        <f>DIVISIONS!DM507</f>
        <v>0</v>
      </c>
      <c r="DN115" s="293">
        <f>DIVISIONS!DN507</f>
        <v>0</v>
      </c>
      <c r="DO115" s="853"/>
      <c r="DP115" s="293">
        <f>DIVISIONS!DP507</f>
        <v>0</v>
      </c>
      <c r="DQ115" s="293">
        <f>DIVISIONS!DQ507</f>
        <v>0</v>
      </c>
      <c r="DR115" s="293">
        <f>DIVISIONS!DR507</f>
        <v>0</v>
      </c>
      <c r="DS115" s="853"/>
      <c r="DT115" s="853"/>
      <c r="DU115" s="850"/>
      <c r="DV115" s="850"/>
      <c r="DW115" s="850"/>
      <c r="DX115" s="853"/>
      <c r="DY115" s="853"/>
      <c r="DZ115" s="850"/>
      <c r="EA115" s="850"/>
      <c r="EB115" s="853"/>
      <c r="EC115" s="853"/>
      <c r="ED115" s="850"/>
      <c r="EE115" s="850"/>
      <c r="EF115" s="853"/>
      <c r="EG115" s="853"/>
      <c r="EH115" s="853"/>
      <c r="EI115" s="853"/>
      <c r="EJ115" s="853"/>
      <c r="EK115" s="853"/>
      <c r="EL115" s="853"/>
      <c r="EM115" s="853"/>
      <c r="EN115" s="853"/>
      <c r="EO115" s="853"/>
      <c r="EP115" s="853"/>
      <c r="EQ115" s="855"/>
      <c r="ER115" s="855"/>
      <c r="ES115" s="855"/>
      <c r="ET115" s="855"/>
      <c r="EU115" s="855"/>
      <c r="EV115" s="855"/>
      <c r="EW115" s="855"/>
      <c r="EX115" s="855"/>
      <c r="EY115" s="855"/>
      <c r="EZ115" s="855"/>
      <c r="FA115" s="855"/>
      <c r="FB115" s="855"/>
      <c r="FC115" s="855"/>
      <c r="FD115" s="855"/>
      <c r="FE115" s="855"/>
      <c r="FF115" s="855"/>
      <c r="FG115" s="855"/>
      <c r="FH115" s="855"/>
      <c r="FI115" s="855"/>
      <c r="FJ115" s="855"/>
      <c r="FK115" s="855"/>
      <c r="FL115" s="855"/>
      <c r="FM115" s="855"/>
      <c r="FN115" s="855"/>
      <c r="FO115" s="855"/>
      <c r="FP115" s="855"/>
      <c r="FQ115" s="855"/>
      <c r="FR115" s="855"/>
      <c r="FS115" s="855"/>
      <c r="FT115" s="855"/>
      <c r="FU115" s="855"/>
      <c r="FV115" s="855"/>
      <c r="FW115" s="855"/>
      <c r="FX115" s="855"/>
      <c r="FY115" s="855"/>
      <c r="FZ115" s="855"/>
      <c r="GA115" s="855"/>
      <c r="GB115" s="855"/>
      <c r="GC115" s="855"/>
      <c r="GD115" s="855"/>
      <c r="GE115" s="855"/>
      <c r="GF115" s="855"/>
      <c r="GG115" s="855"/>
      <c r="GH115" s="855"/>
      <c r="GI115" s="855"/>
      <c r="GJ115" s="855"/>
      <c r="GK115" s="855"/>
      <c r="GL115" s="855"/>
      <c r="GM115" s="855"/>
      <c r="GN115" s="855"/>
      <c r="GO115" s="855"/>
      <c r="GP115" s="855"/>
      <c r="GQ115" s="855"/>
      <c r="GR115" s="855"/>
      <c r="GS115" s="855"/>
      <c r="GT115" s="855"/>
      <c r="GU115" s="855"/>
      <c r="GV115" s="855"/>
      <c r="GW115" s="855"/>
      <c r="GX115" s="855"/>
      <c r="GY115" s="855"/>
      <c r="GZ115" s="855"/>
      <c r="HA115" s="855"/>
      <c r="HB115" s="855"/>
      <c r="HC115" s="855"/>
      <c r="HD115" s="855"/>
      <c r="HE115" s="855"/>
      <c r="HF115" s="855"/>
      <c r="HG115" s="855"/>
      <c r="HH115" s="855"/>
      <c r="HI115" s="855"/>
      <c r="HJ115" s="855"/>
      <c r="HK115" s="855"/>
      <c r="HL115" s="855"/>
      <c r="HM115" s="855"/>
      <c r="HN115" s="855"/>
      <c r="HO115" s="855"/>
      <c r="HP115" s="855"/>
      <c r="HQ115" s="855"/>
      <c r="HR115" s="855"/>
      <c r="HS115" s="855"/>
      <c r="HT115" s="855"/>
      <c r="HU115" s="855"/>
      <c r="HV115" s="855"/>
      <c r="HW115" s="855"/>
      <c r="HX115" s="855"/>
      <c r="HY115" s="855"/>
      <c r="HZ115" s="855"/>
      <c r="IA115" s="855"/>
      <c r="IB115" s="855"/>
      <c r="IC115" s="855"/>
      <c r="ID115" s="855"/>
      <c r="IE115" s="855"/>
      <c r="IF115" s="855"/>
      <c r="IG115" s="855"/>
      <c r="IH115" s="855"/>
      <c r="II115" s="855"/>
      <c r="IJ115" s="855"/>
      <c r="IK115" s="855"/>
      <c r="IL115" s="855"/>
      <c r="IM115" s="855"/>
      <c r="IN115" s="855"/>
      <c r="IO115" s="855"/>
      <c r="IP115" s="855"/>
      <c r="IQ115" s="855"/>
      <c r="IR115" s="855"/>
      <c r="IS115" s="855"/>
      <c r="IT115" s="855"/>
      <c r="IU115" s="855"/>
      <c r="IV115" s="855"/>
      <c r="IW115" s="855"/>
      <c r="IX115" s="855"/>
      <c r="IY115" s="855"/>
      <c r="IZ115" s="855"/>
      <c r="JA115" s="855"/>
      <c r="JB115" s="855"/>
      <c r="JC115" s="855"/>
      <c r="JD115" s="855"/>
      <c r="JE115" s="855"/>
      <c r="JF115" s="855"/>
      <c r="JG115" s="855"/>
      <c r="JH115" s="855"/>
      <c r="JI115" s="855"/>
      <c r="JJ115" s="855"/>
      <c r="JK115" s="855"/>
      <c r="JL115" s="855"/>
      <c r="JM115"/>
    </row>
    <row r="116" spans="1:273" s="854" customFormat="1">
      <c r="A116" s="102" t="s">
        <v>689</v>
      </c>
      <c r="B116" s="103"/>
      <c r="C116" s="102"/>
      <c r="D116" s="102"/>
      <c r="E116" s="102"/>
      <c r="F116" s="102"/>
      <c r="G116" s="102"/>
      <c r="H116" s="102"/>
      <c r="I116" s="102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290"/>
      <c r="AO116" s="290"/>
      <c r="AP116" s="290"/>
      <c r="AQ116" s="290"/>
      <c r="AR116" s="293"/>
      <c r="AS116" s="293"/>
      <c r="AT116" s="626"/>
      <c r="AU116" s="626"/>
      <c r="AV116" s="293"/>
      <c r="AW116" s="293"/>
      <c r="AX116" s="626"/>
      <c r="AY116" s="626"/>
      <c r="AZ116" s="293"/>
      <c r="BA116" s="293"/>
      <c r="BB116" s="853"/>
      <c r="BC116" s="853"/>
      <c r="BD116" s="293">
        <f>DIVISIONS!BD625+DIVISIONS!BD626</f>
        <v>198</v>
      </c>
      <c r="BE116" s="293">
        <f>DIVISIONS!BE625+DIVISIONS!BE626</f>
        <v>196</v>
      </c>
      <c r="BF116" s="293">
        <f>DIVISIONS!BF625+DIVISIONS!BF626</f>
        <v>394</v>
      </c>
      <c r="BG116" s="853"/>
      <c r="BH116" s="293">
        <f>DIVISIONS!BH625+DIVISIONS!BH626</f>
        <v>165</v>
      </c>
      <c r="BI116" s="293">
        <f>DIVISIONS!BI625+DIVISIONS!BI626</f>
        <v>134</v>
      </c>
      <c r="BJ116" s="293">
        <f>DIVISIONS!BJ625+DIVISIONS!BJ626</f>
        <v>299</v>
      </c>
      <c r="BK116" s="853"/>
      <c r="BL116" s="293">
        <f>DIVISIONS!BL625+DIVISIONS!BL626</f>
        <v>131</v>
      </c>
      <c r="BM116" s="293">
        <f>DIVISIONS!BM625+DIVISIONS!BM626</f>
        <v>110</v>
      </c>
      <c r="BN116" s="293">
        <f>DIVISIONS!BN625+DIVISIONS!BN626</f>
        <v>241</v>
      </c>
      <c r="BO116" s="853"/>
      <c r="BP116" s="293">
        <f>DIVISIONS!BP625+DIVISIONS!BP626</f>
        <v>92</v>
      </c>
      <c r="BQ116" s="293">
        <f>DIVISIONS!BQ625+DIVISIONS!BQ626</f>
        <v>127</v>
      </c>
      <c r="BR116" s="293">
        <f>DIVISIONS!BR625+DIVISIONS!BR626</f>
        <v>219</v>
      </c>
      <c r="BS116" s="853"/>
      <c r="BT116" s="293">
        <f>DIVISIONS!BT625+DIVISIONS!BT626</f>
        <v>196</v>
      </c>
      <c r="BU116" s="293">
        <f>DIVISIONS!BU625+DIVISIONS!BU626</f>
        <v>200</v>
      </c>
      <c r="BV116" s="293">
        <f>DIVISIONS!BV625+DIVISIONS!BV626</f>
        <v>396</v>
      </c>
      <c r="BW116" s="853"/>
      <c r="BX116" s="293">
        <f>DIVISIONS!BX625+DIVISIONS!BX626</f>
        <v>206</v>
      </c>
      <c r="BY116" s="293">
        <f>DIVISIONS!BY625+DIVISIONS!BY626</f>
        <v>180</v>
      </c>
      <c r="BZ116" s="293">
        <f>DIVISIONS!BZ625+DIVISIONS!BZ626</f>
        <v>386</v>
      </c>
      <c r="CA116" s="853"/>
      <c r="CB116" s="293">
        <f>DIVISIONS!CB625+DIVISIONS!CB626</f>
        <v>178</v>
      </c>
      <c r="CC116" s="293">
        <f>DIVISIONS!CC625+DIVISIONS!CC626</f>
        <v>210</v>
      </c>
      <c r="CD116" s="293">
        <f>DIVISIONS!CD625+DIVISIONS!CD626</f>
        <v>388</v>
      </c>
      <c r="CE116" s="862"/>
      <c r="CF116" s="293">
        <f>DIVISIONS!CF625+DIVISIONS!CF626</f>
        <v>170</v>
      </c>
      <c r="CG116" s="293">
        <f>DIVISIONS!CG625+DIVISIONS!CG626</f>
        <v>211</v>
      </c>
      <c r="CH116" s="293">
        <f>DIVISIONS!CH625+DIVISIONS!CH626</f>
        <v>381</v>
      </c>
      <c r="CI116" s="862"/>
      <c r="CJ116" s="293">
        <f>DIVISIONS!CJ625+DIVISIONS!CJ626</f>
        <v>201</v>
      </c>
      <c r="CK116" s="293">
        <f>DIVISIONS!CK625+DIVISIONS!CK626</f>
        <v>194</v>
      </c>
      <c r="CL116" s="293">
        <f>DIVISIONS!CL625+DIVISIONS!CL626</f>
        <v>395</v>
      </c>
      <c r="CM116" s="862"/>
      <c r="CN116" s="293">
        <f>DIVISIONS!CN625+DIVISIONS!CN626</f>
        <v>178</v>
      </c>
      <c r="CO116" s="293">
        <f>DIVISIONS!CO625+DIVISIONS!CO626</f>
        <v>191</v>
      </c>
      <c r="CP116" s="293">
        <f>DIVISIONS!CP625+DIVISIONS!CP626</f>
        <v>369</v>
      </c>
      <c r="CQ116" s="862"/>
      <c r="CR116" s="293">
        <f>DIVISIONS!CR625+DIVISIONS!CR626</f>
        <v>220</v>
      </c>
      <c r="CS116" s="293">
        <f>DIVISIONS!CS625+DIVISIONS!CS626</f>
        <v>237</v>
      </c>
      <c r="CT116" s="293">
        <f>DIVISIONS!CT625+DIVISIONS!CT626</f>
        <v>457</v>
      </c>
      <c r="CU116" s="853"/>
      <c r="CV116" s="293">
        <f>DIVISIONS!CV625+DIVISIONS!CV626</f>
        <v>249</v>
      </c>
      <c r="CW116" s="293">
        <f>DIVISIONS!CW625+DIVISIONS!CW626</f>
        <v>255</v>
      </c>
      <c r="CX116" s="293">
        <f>DIVISIONS!CX625+DIVISIONS!CX626</f>
        <v>504</v>
      </c>
      <c r="CY116" s="853">
        <f t="shared" si="126"/>
        <v>0</v>
      </c>
      <c r="CZ116" s="293">
        <f>DIVISIONS!CZ625+DIVISIONS!CZ626</f>
        <v>273</v>
      </c>
      <c r="DA116" s="293">
        <f>DIVISIONS!DA625+DIVISIONS!DA626</f>
        <v>281</v>
      </c>
      <c r="DB116" s="293">
        <f>DIVISIONS!DB625+DIVISIONS!DB626</f>
        <v>554</v>
      </c>
      <c r="DC116" s="853">
        <f t="shared" si="127"/>
        <v>0</v>
      </c>
      <c r="DD116" s="293">
        <f>DIVISIONS!DD625+DIVISIONS!DD626</f>
        <v>304</v>
      </c>
      <c r="DE116" s="293">
        <f ca="1">DIVISIONS!DE625+DIVISIONS!DE626</f>
        <v>307</v>
      </c>
      <c r="DF116" s="293">
        <f ca="1">DIVISIONS!DF625+DIVISIONS!DF626</f>
        <v>611</v>
      </c>
      <c r="DG116" s="853">
        <f t="shared" ca="1" si="128"/>
        <v>0</v>
      </c>
      <c r="DH116" s="293">
        <f>DIVISIONS!DH625+DIVISIONS!DH626</f>
        <v>329</v>
      </c>
      <c r="DI116" s="293">
        <f>DIVISIONS!DI625+DIVISIONS!DI626</f>
        <v>324.52</v>
      </c>
      <c r="DJ116" s="293">
        <f>DIVISIONS!DJ625+DIVISIONS!DJ626</f>
        <v>653.52</v>
      </c>
      <c r="DK116" s="853"/>
      <c r="DL116" s="293">
        <f>DIVISIONS!DL625+DIVISIONS!DL626</f>
        <v>347.69</v>
      </c>
      <c r="DM116" s="293">
        <f>DIVISIONS!DM625+DIVISIONS!DM626</f>
        <v>343.04620000000006</v>
      </c>
      <c r="DN116" s="293">
        <f>DIVISIONS!DN625+DIVISIONS!DN626</f>
        <v>690.73620000000005</v>
      </c>
      <c r="DO116" s="853"/>
      <c r="DP116" s="293">
        <f>DIVISIONS!DP625+DIVISIONS!DP626</f>
        <v>367.44890000000004</v>
      </c>
      <c r="DQ116" s="293">
        <f>DIVISIONS!DQ625+DIVISIONS!DQ626</f>
        <v>362.63672200000008</v>
      </c>
      <c r="DR116" s="293">
        <f>DIVISIONS!DR625+DIVISIONS!DR626</f>
        <v>730.08562200000006</v>
      </c>
      <c r="DS116" s="853"/>
      <c r="DT116" s="853"/>
      <c r="DU116" s="850"/>
      <c r="DV116" s="850"/>
      <c r="DW116" s="850"/>
      <c r="DX116" s="853"/>
      <c r="DY116" s="853"/>
      <c r="DZ116" s="850"/>
      <c r="EA116" s="850"/>
      <c r="EB116" s="853"/>
      <c r="EC116" s="853"/>
      <c r="ED116" s="850"/>
      <c r="EE116" s="850"/>
      <c r="EF116" s="853"/>
      <c r="EG116" s="853"/>
      <c r="EH116" s="853"/>
      <c r="EI116" s="853"/>
      <c r="EJ116" s="853"/>
      <c r="EK116" s="853"/>
      <c r="EL116" s="853"/>
      <c r="EM116" s="853"/>
      <c r="EN116" s="853"/>
      <c r="EO116" s="853"/>
      <c r="EP116" s="853"/>
      <c r="EQ116" s="855"/>
      <c r="ER116" s="855"/>
      <c r="ES116" s="855"/>
      <c r="ET116" s="855"/>
      <c r="EU116" s="855"/>
      <c r="EV116" s="855"/>
      <c r="EW116" s="855"/>
      <c r="EX116" s="855"/>
      <c r="EY116" s="855"/>
      <c r="EZ116" s="855"/>
      <c r="FA116" s="855"/>
      <c r="FB116" s="855"/>
      <c r="FC116" s="855"/>
      <c r="FD116" s="855"/>
      <c r="FE116" s="855"/>
      <c r="FF116" s="855"/>
      <c r="FG116" s="855"/>
      <c r="FH116" s="855"/>
      <c r="FI116" s="855"/>
      <c r="FJ116" s="855"/>
      <c r="FK116" s="855"/>
      <c r="FL116" s="855"/>
      <c r="FM116" s="855"/>
      <c r="FN116" s="855"/>
      <c r="FO116" s="855"/>
      <c r="FP116" s="855"/>
      <c r="FQ116" s="855"/>
      <c r="FR116" s="855"/>
      <c r="FS116" s="855"/>
      <c r="FT116" s="855"/>
      <c r="FU116" s="855"/>
      <c r="FV116" s="855"/>
      <c r="FW116" s="855"/>
      <c r="FX116" s="855"/>
      <c r="FY116" s="855"/>
      <c r="FZ116" s="855"/>
      <c r="GA116" s="855"/>
      <c r="GB116" s="855"/>
      <c r="GC116" s="855"/>
      <c r="GD116" s="855"/>
      <c r="GE116" s="855"/>
      <c r="GF116" s="855"/>
      <c r="GG116" s="855"/>
      <c r="GH116" s="855"/>
      <c r="GI116" s="855"/>
      <c r="GJ116" s="855"/>
      <c r="GK116" s="855"/>
      <c r="GL116" s="855"/>
      <c r="GM116" s="855"/>
      <c r="GN116" s="855"/>
      <c r="GO116" s="855"/>
      <c r="GP116" s="855"/>
      <c r="GQ116" s="855"/>
      <c r="GR116" s="855"/>
      <c r="GS116" s="855"/>
      <c r="GT116" s="855"/>
      <c r="GU116" s="855"/>
      <c r="GV116" s="855"/>
      <c r="GW116" s="855"/>
      <c r="GX116" s="855"/>
      <c r="GY116" s="855"/>
      <c r="GZ116" s="855"/>
      <c r="HA116" s="855"/>
      <c r="HB116" s="855"/>
      <c r="HC116" s="855"/>
      <c r="HD116" s="855"/>
      <c r="HE116" s="855"/>
      <c r="HF116" s="855"/>
      <c r="HG116" s="855"/>
      <c r="HH116" s="855"/>
      <c r="HI116" s="855"/>
      <c r="HJ116" s="855"/>
      <c r="HK116" s="855"/>
      <c r="HL116" s="855"/>
      <c r="HM116" s="855"/>
      <c r="HN116" s="855"/>
      <c r="HO116" s="855"/>
      <c r="HP116" s="855"/>
      <c r="HQ116" s="855"/>
      <c r="HR116" s="855"/>
      <c r="HS116" s="855"/>
      <c r="HT116" s="855"/>
      <c r="HU116" s="855"/>
      <c r="HV116" s="855"/>
      <c r="HW116" s="855"/>
      <c r="HX116" s="855"/>
      <c r="HY116" s="855"/>
      <c r="HZ116" s="855"/>
      <c r="IA116" s="855"/>
      <c r="IB116" s="855"/>
      <c r="IC116" s="855"/>
      <c r="ID116" s="855"/>
      <c r="IE116" s="855"/>
      <c r="IF116" s="855"/>
      <c r="IG116" s="855"/>
      <c r="IH116" s="855"/>
      <c r="II116" s="855"/>
      <c r="IJ116" s="855"/>
      <c r="IK116" s="855"/>
      <c r="IL116" s="855"/>
      <c r="IM116" s="855"/>
      <c r="IN116" s="855"/>
      <c r="IO116" s="855"/>
      <c r="IP116" s="855"/>
      <c r="IQ116" s="855"/>
      <c r="IR116" s="855"/>
      <c r="IS116" s="855"/>
      <c r="IT116" s="855"/>
      <c r="IU116" s="855"/>
      <c r="IV116" s="855"/>
      <c r="IW116" s="855"/>
      <c r="IX116" s="855"/>
      <c r="IY116" s="855"/>
      <c r="IZ116" s="855"/>
      <c r="JA116" s="855"/>
      <c r="JB116" s="855"/>
      <c r="JC116" s="855"/>
      <c r="JD116" s="855"/>
      <c r="JE116" s="855"/>
      <c r="JF116" s="855"/>
      <c r="JG116" s="855"/>
      <c r="JH116" s="855"/>
      <c r="JI116" s="855"/>
      <c r="JJ116" s="855"/>
      <c r="JK116" s="855"/>
      <c r="JL116" s="855"/>
      <c r="JM116"/>
    </row>
    <row r="117" spans="1:273" s="858" customFormat="1" ht="18">
      <c r="A117" s="861" t="s">
        <v>1246</v>
      </c>
      <c r="B117" s="103"/>
      <c r="C117" s="102"/>
      <c r="D117" s="102"/>
      <c r="E117" s="102"/>
      <c r="F117" s="102"/>
      <c r="G117" s="102"/>
      <c r="H117" s="102"/>
      <c r="I117" s="102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293"/>
      <c r="AO117" s="293"/>
      <c r="AP117" s="293"/>
      <c r="AQ117" s="293"/>
      <c r="AR117" s="293"/>
      <c r="AS117" s="293"/>
      <c r="AT117" s="626"/>
      <c r="AU117" s="626"/>
      <c r="AV117" s="293"/>
      <c r="AW117" s="293"/>
      <c r="AX117" s="626"/>
      <c r="AY117" s="626"/>
      <c r="AZ117" s="293"/>
      <c r="BA117" s="293"/>
      <c r="BB117" s="853"/>
      <c r="BC117" s="853"/>
      <c r="BD117" s="293"/>
      <c r="BE117" s="293"/>
      <c r="BF117" s="293"/>
      <c r="BG117" s="853"/>
      <c r="BH117" s="626">
        <v>0</v>
      </c>
      <c r="BI117" s="626">
        <v>-7</v>
      </c>
      <c r="BJ117" s="293">
        <f>+BH117+BI117</f>
        <v>-7</v>
      </c>
      <c r="BK117" s="853"/>
      <c r="BL117" s="626">
        <v>-3</v>
      </c>
      <c r="BM117" s="626">
        <v>1</v>
      </c>
      <c r="BN117" s="293">
        <f>+BL117+BM117</f>
        <v>-2</v>
      </c>
      <c r="BO117" s="853"/>
      <c r="BP117" s="626">
        <v>14</v>
      </c>
      <c r="BQ117" s="626">
        <v>-13</v>
      </c>
      <c r="BR117" s="293">
        <f>+BP117+BQ117</f>
        <v>1</v>
      </c>
      <c r="BS117" s="853"/>
      <c r="BT117" s="140">
        <v>-79</v>
      </c>
      <c r="BU117" s="140">
        <f>340-BU118-SUM(BU111:BU116)</f>
        <v>-90</v>
      </c>
      <c r="BV117" s="293">
        <f>+BT117+BU117</f>
        <v>-169</v>
      </c>
      <c r="BW117" s="853"/>
      <c r="BX117" s="140">
        <f>349-BX118-SUM(BX111:BX116)</f>
        <v>-83.997701149425268</v>
      </c>
      <c r="BY117" s="140">
        <f>362-BY118-SUM(BY111:BY116)</f>
        <v>-44.451724137931024</v>
      </c>
      <c r="BZ117" s="293">
        <f>+BX117+BY117</f>
        <v>-128.44942528735629</v>
      </c>
      <c r="CA117" s="853"/>
      <c r="CB117" s="140">
        <f>383-CB118-SUM(CB111:CB116)</f>
        <v>-51.156321839080476</v>
      </c>
      <c r="CC117" s="1970">
        <f>366-CC118-SUM(CC111:CC116)+42</f>
        <v>-52.18275862068964</v>
      </c>
      <c r="CD117" s="293">
        <f>+CB117+CC117</f>
        <v>-103.33908045977012</v>
      </c>
      <c r="CE117" s="862"/>
      <c r="CF117" s="140">
        <f>276+158-CF118-SUM(CF111:CF116)</f>
        <v>-6</v>
      </c>
      <c r="CG117" s="1970">
        <f>334+146-CG118-SUM(CG111:CG116)</f>
        <v>-35</v>
      </c>
      <c r="CH117" s="293">
        <f>+CF117+CG117</f>
        <v>-41</v>
      </c>
      <c r="CI117" s="862"/>
      <c r="CJ117" s="140">
        <f>CJ120-CJ118-SUM(CJ111:CJ116)</f>
        <v>18</v>
      </c>
      <c r="CK117" s="1970">
        <f>CK120-CK118-SUM(CK111:CK116)</f>
        <v>-35</v>
      </c>
      <c r="CL117" s="293">
        <f>+CJ117+CK117</f>
        <v>-17</v>
      </c>
      <c r="CM117" s="862"/>
      <c r="CN117" s="140">
        <f>CN120-CN118-SUM(CN111:CN116)</f>
        <v>-261</v>
      </c>
      <c r="CO117" s="1970">
        <f>CO120-CO118-SUM(CO111:CO116)</f>
        <v>-250</v>
      </c>
      <c r="CP117" s="293">
        <f>+CN117+CO117</f>
        <v>-511</v>
      </c>
      <c r="CQ117" s="853"/>
      <c r="CR117" s="140">
        <f>CR120-CR118-SUM(CR111:CR116)</f>
        <v>-218</v>
      </c>
      <c r="CS117" s="140">
        <f>CS120-CS118-SUM(CS111:CS116)</f>
        <v>-243</v>
      </c>
      <c r="CT117" s="293">
        <f>+CR117+CS117</f>
        <v>-461</v>
      </c>
      <c r="CU117" s="853"/>
      <c r="CV117" s="140">
        <f>CV120-CV118-SUM(CV111:CV116)</f>
        <v>-104</v>
      </c>
      <c r="CW117" s="140">
        <f>CW120-CW118-SUM(CW111:CW116)</f>
        <v>-258</v>
      </c>
      <c r="CX117" s="293">
        <f>+CV117+CW117</f>
        <v>-362</v>
      </c>
      <c r="CY117" s="853">
        <f t="shared" si="126"/>
        <v>0</v>
      </c>
      <c r="CZ117" s="140">
        <f>CZ120-CZ118-SUM(CZ111:CZ116)</f>
        <v>-191</v>
      </c>
      <c r="DA117" s="140">
        <f>DA120-DA118-SUM(DA111:DA116)</f>
        <v>-203</v>
      </c>
      <c r="DB117" s="293">
        <f>+CZ117+DA117</f>
        <v>-394</v>
      </c>
      <c r="DC117" s="853">
        <f t="shared" si="127"/>
        <v>0</v>
      </c>
      <c r="DD117" s="140">
        <f>DD120-DD118-SUM(DD111:DD116)</f>
        <v>-227</v>
      </c>
      <c r="DE117" s="140">
        <f ca="1">DE120-DE118-SUM(DE111:DE116)</f>
        <v>-231</v>
      </c>
      <c r="DF117" s="293">
        <f ca="1">+DD117+DE117</f>
        <v>-458</v>
      </c>
      <c r="DG117" s="853">
        <f t="shared" ca="1" si="128"/>
        <v>0</v>
      </c>
      <c r="DH117" s="148">
        <f>DH120-DH118-SUM(DH111:DH116)</f>
        <v>-259</v>
      </c>
      <c r="DI117" s="1971">
        <f>+DH117/SUM(DH112:DH116,DH118)*SUM(DI112:DI116,DI118)</f>
        <v>-270.59500564971751</v>
      </c>
      <c r="DJ117" s="293">
        <f>+DH117+DI117</f>
        <v>-529.59500564971745</v>
      </c>
      <c r="DK117" s="853"/>
      <c r="DL117" s="1971">
        <f>+DJ117/SUM(DJ112:DJ116,DJ118)*SUM(DL112:DL116,DL118)</f>
        <v>-282.90391480225986</v>
      </c>
      <c r="DM117" s="1971">
        <f>+DL117/SUM(DL112:DL116,DL118)*SUM(DM112:DM116,DM118)</f>
        <v>-285.9617495751412</v>
      </c>
      <c r="DN117" s="293">
        <f>+DL117+DM117</f>
        <v>-568.86566437740112</v>
      </c>
      <c r="DO117" s="853"/>
      <c r="DP117" s="1971">
        <f>+DN117/SUM(DN112:DN116,DN118)*SUM(DP112:DP116,DP118)</f>
        <v>-298.90403732775138</v>
      </c>
      <c r="DQ117" s="1971">
        <f>+DP117/SUM(DP112:DP116,DP118)*SUM(DQ112:DQ116,DQ118)</f>
        <v>-302.22592470617104</v>
      </c>
      <c r="DR117" s="293">
        <f>+DP117+DQ117</f>
        <v>-601.12996203392242</v>
      </c>
      <c r="DS117" s="853"/>
      <c r="DT117" s="853"/>
      <c r="DU117" s="859"/>
      <c r="DV117" s="859"/>
      <c r="DW117" s="859"/>
      <c r="DX117" s="857"/>
      <c r="DY117" s="857"/>
      <c r="DZ117" s="859"/>
      <c r="EA117" s="859"/>
      <c r="EB117" s="857"/>
      <c r="EC117" s="857"/>
      <c r="ED117" s="859"/>
      <c r="EE117" s="859"/>
      <c r="EF117" s="857"/>
      <c r="EG117" s="857"/>
      <c r="EH117" s="857"/>
      <c r="EI117" s="857"/>
      <c r="EJ117" s="857"/>
      <c r="EK117" s="857"/>
      <c r="EL117" s="857"/>
      <c r="EM117" s="857"/>
      <c r="EN117" s="857"/>
      <c r="EO117" s="857"/>
      <c r="EP117" s="857"/>
      <c r="EQ117" s="860"/>
      <c r="ER117" s="860"/>
      <c r="ES117" s="860"/>
      <c r="ET117" s="860"/>
      <c r="EU117" s="860"/>
      <c r="EV117" s="860"/>
      <c r="EW117" s="860"/>
      <c r="EX117" s="860"/>
      <c r="EY117" s="860"/>
      <c r="EZ117" s="860"/>
      <c r="FA117" s="860"/>
      <c r="FB117" s="860"/>
      <c r="FC117" s="860"/>
      <c r="FD117" s="860"/>
      <c r="FE117" s="860"/>
      <c r="FF117" s="860"/>
      <c r="FG117" s="860"/>
      <c r="FH117" s="860"/>
      <c r="FI117" s="860"/>
      <c r="FJ117" s="860"/>
      <c r="FK117" s="860"/>
      <c r="FL117" s="855"/>
      <c r="FM117" s="855"/>
      <c r="FN117" s="855"/>
      <c r="FO117" s="855"/>
      <c r="FP117" s="855"/>
      <c r="FQ117" s="855"/>
      <c r="FR117" s="855"/>
      <c r="FS117" s="855"/>
      <c r="FT117" s="855"/>
      <c r="FU117" s="855"/>
      <c r="FV117" s="855"/>
      <c r="FW117" s="855"/>
      <c r="FX117" s="855"/>
      <c r="FY117" s="855"/>
      <c r="FZ117" s="855"/>
      <c r="GA117" s="855"/>
      <c r="GB117" s="855"/>
      <c r="GC117" s="855"/>
      <c r="GD117" s="855"/>
      <c r="GE117" s="855"/>
      <c r="GF117" s="855"/>
      <c r="GG117" s="855"/>
      <c r="GH117" s="855"/>
      <c r="GI117" s="855"/>
      <c r="GJ117" s="855"/>
      <c r="GK117" s="855"/>
      <c r="GL117" s="855"/>
      <c r="GM117" s="855"/>
      <c r="GN117" s="855"/>
      <c r="GO117" s="855"/>
      <c r="GP117" s="855"/>
      <c r="GQ117" s="855"/>
      <c r="GR117" s="855"/>
      <c r="GS117" s="855"/>
      <c r="GT117" s="855"/>
      <c r="GU117" s="855"/>
      <c r="GV117" s="855"/>
      <c r="GW117" s="855"/>
      <c r="GX117" s="855"/>
      <c r="GY117" s="855"/>
      <c r="GZ117" s="855"/>
      <c r="HA117" s="855"/>
      <c r="HB117" s="855"/>
      <c r="HC117" s="855"/>
      <c r="HD117" s="855"/>
      <c r="HE117" s="855"/>
      <c r="HF117" s="855"/>
      <c r="HG117" s="855"/>
      <c r="HH117" s="855"/>
      <c r="HI117" s="855"/>
      <c r="HJ117" s="855"/>
      <c r="HK117" s="855"/>
      <c r="HL117" s="855"/>
      <c r="HM117" s="855"/>
      <c r="HN117" s="855"/>
      <c r="HO117" s="855"/>
      <c r="HP117" s="855"/>
      <c r="HQ117" s="855"/>
      <c r="HR117" s="855"/>
      <c r="HS117" s="855"/>
      <c r="HT117" s="855"/>
      <c r="HU117" s="855"/>
      <c r="HV117" s="855"/>
      <c r="HW117" s="855"/>
      <c r="HX117" s="855"/>
      <c r="HY117" s="855"/>
      <c r="HZ117" s="855"/>
      <c r="IA117" s="855"/>
      <c r="IB117" s="855"/>
      <c r="IC117" s="855"/>
      <c r="ID117" s="855"/>
      <c r="IE117" s="855"/>
      <c r="IF117" s="855"/>
      <c r="IG117" s="855"/>
      <c r="IH117" s="855"/>
      <c r="II117" s="855"/>
      <c r="IJ117" s="855"/>
      <c r="IK117" s="855"/>
      <c r="IL117" s="855"/>
      <c r="IM117" s="855"/>
      <c r="IN117" s="855"/>
      <c r="IO117" s="855"/>
      <c r="IP117" s="855"/>
      <c r="IQ117" s="855"/>
      <c r="IR117" s="855"/>
      <c r="IS117" s="855"/>
      <c r="IT117" s="855"/>
      <c r="IU117" s="855"/>
      <c r="IV117" s="855"/>
      <c r="IW117" s="855"/>
      <c r="IX117" s="855"/>
      <c r="IY117" s="855"/>
      <c r="IZ117" s="855"/>
      <c r="JA117" s="855"/>
      <c r="JB117" s="855"/>
      <c r="JC117" s="855"/>
      <c r="JD117" s="855"/>
      <c r="JE117" s="855"/>
      <c r="JF117" s="855"/>
      <c r="JG117" s="855"/>
      <c r="JH117" s="855"/>
      <c r="JI117" s="855"/>
      <c r="JJ117" s="855"/>
      <c r="JK117" s="855"/>
      <c r="JL117" s="855"/>
      <c r="JM117"/>
    </row>
    <row r="118" spans="1:273" s="854" customFormat="1">
      <c r="A118" s="102" t="s">
        <v>691</v>
      </c>
      <c r="B118" s="103"/>
      <c r="C118" s="102"/>
      <c r="D118" s="102"/>
      <c r="E118" s="102"/>
      <c r="F118" s="102"/>
      <c r="G118" s="102"/>
      <c r="H118" s="102"/>
      <c r="I118" s="102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290"/>
      <c r="AO118" s="290"/>
      <c r="AP118" s="290"/>
      <c r="AQ118" s="290"/>
      <c r="AR118" s="293"/>
      <c r="AS118" s="293"/>
      <c r="AT118" s="626"/>
      <c r="AU118" s="626"/>
      <c r="AV118" s="293"/>
      <c r="AW118" s="293"/>
      <c r="AX118" s="626"/>
      <c r="AY118" s="626"/>
      <c r="AZ118" s="293"/>
      <c r="BA118" s="293"/>
      <c r="BB118" s="853"/>
      <c r="BC118" s="853"/>
      <c r="BD118" s="293">
        <f>DIVISIONS!BD711</f>
        <v>3</v>
      </c>
      <c r="BE118" s="293">
        <f>DIVISIONS!BE711</f>
        <v>0</v>
      </c>
      <c r="BF118" s="293">
        <f>DIVISIONS!BF711</f>
        <v>3</v>
      </c>
      <c r="BG118" s="853"/>
      <c r="BH118" s="293">
        <f>DIVISIONS!BH711</f>
        <v>-2</v>
      </c>
      <c r="BI118" s="293">
        <f>DIVISIONS!BI711</f>
        <v>-6</v>
      </c>
      <c r="BJ118" s="293">
        <f>DIVISIONS!BJ711</f>
        <v>-8</v>
      </c>
      <c r="BK118" s="853"/>
      <c r="BL118" s="293">
        <f>DIVISIONS!BL711</f>
        <v>-8</v>
      </c>
      <c r="BM118" s="293">
        <f>DIVISIONS!BM711</f>
        <v>7</v>
      </c>
      <c r="BN118" s="293">
        <f>DIVISIONS!BN711</f>
        <v>-1</v>
      </c>
      <c r="BO118" s="853"/>
      <c r="BP118" s="293">
        <f>DIVISIONS!BP711</f>
        <v>-12</v>
      </c>
      <c r="BQ118" s="293">
        <f>DIVISIONS!BQ711</f>
        <v>-16</v>
      </c>
      <c r="BR118" s="293">
        <f>DIVISIONS!BR711</f>
        <v>-28</v>
      </c>
      <c r="BS118" s="853"/>
      <c r="BT118" s="293">
        <f>DIVISIONS!BT711</f>
        <v>-5</v>
      </c>
      <c r="BU118" s="293">
        <f>DIVISIONS!BU711</f>
        <v>2</v>
      </c>
      <c r="BV118" s="293">
        <f>DIVISIONS!BV711</f>
        <v>-3</v>
      </c>
      <c r="BW118" s="853"/>
      <c r="BX118" s="293">
        <f>DIVISIONS!BX711</f>
        <v>-2</v>
      </c>
      <c r="BY118" s="293">
        <f>DIVISIONS!BY711</f>
        <v>-3</v>
      </c>
      <c r="BZ118" s="293">
        <f>DIVISIONS!BZ711</f>
        <v>-5</v>
      </c>
      <c r="CA118" s="853"/>
      <c r="CB118" s="293">
        <f>DIVISIONS!CB711</f>
        <v>-6</v>
      </c>
      <c r="CC118" s="293">
        <f>DIVISIONS!CC711</f>
        <v>-9</v>
      </c>
      <c r="CD118" s="293">
        <f>DIVISIONS!CD711</f>
        <v>-15</v>
      </c>
      <c r="CE118" s="862"/>
      <c r="CF118" s="293">
        <f>DIVISIONS!CF740</f>
        <v>3</v>
      </c>
      <c r="CG118" s="293">
        <f>DIVISIONS!CG740</f>
        <v>-37</v>
      </c>
      <c r="CH118" s="293">
        <f>DIVISIONS!CH740</f>
        <v>-34</v>
      </c>
      <c r="CI118" s="862"/>
      <c r="CJ118" s="293">
        <f>DIVISIONS!CJ711</f>
        <v>-21</v>
      </c>
      <c r="CK118" s="293">
        <f>DIVISIONS!CK740</f>
        <v>-31</v>
      </c>
      <c r="CL118" s="293">
        <f>DIVISIONS!CL740</f>
        <v>-69</v>
      </c>
      <c r="CM118" s="862"/>
      <c r="CN118" s="293">
        <f>DIVISIONS!CN711</f>
        <v>-17</v>
      </c>
      <c r="CO118" s="293">
        <f>DIVISIONS!CO740</f>
        <v>-31</v>
      </c>
      <c r="CP118" s="293">
        <f>DIVISIONS!CP740</f>
        <v>-62</v>
      </c>
      <c r="CQ118" s="862"/>
      <c r="CR118" s="293">
        <f>DIVISIONS!CR740</f>
        <v>-22</v>
      </c>
      <c r="CS118" s="293">
        <f>DIVISIONS!CS740</f>
        <v>-36</v>
      </c>
      <c r="CT118" s="293">
        <f>DIVISIONS!CT740</f>
        <v>-58</v>
      </c>
      <c r="CU118" s="853"/>
      <c r="CV118" s="293">
        <f>DIVISIONS!CV740</f>
        <v>-30</v>
      </c>
      <c r="CW118" s="293">
        <f>DIVISIONS!CW740</f>
        <v>-20</v>
      </c>
      <c r="CX118" s="293">
        <f>DIVISIONS!CX740</f>
        <v>-50</v>
      </c>
      <c r="CY118" s="853">
        <f t="shared" si="126"/>
        <v>0</v>
      </c>
      <c r="CZ118" s="293">
        <f>DIVISIONS!CZ740</f>
        <v>-26</v>
      </c>
      <c r="DA118" s="293">
        <f>DIVISIONS!DA740</f>
        <v>-28</v>
      </c>
      <c r="DB118" s="293">
        <f>DIVISIONS!DB740</f>
        <v>-54</v>
      </c>
      <c r="DC118" s="853">
        <f t="shared" si="127"/>
        <v>0</v>
      </c>
      <c r="DD118" s="293">
        <f>DIVISIONS!DD740</f>
        <v>-23</v>
      </c>
      <c r="DE118" s="293">
        <f>DIVISIONS!DE740</f>
        <v>-15</v>
      </c>
      <c r="DF118" s="293">
        <f>DIVISIONS!DF740</f>
        <v>-38</v>
      </c>
      <c r="DG118" s="853">
        <f t="shared" si="128"/>
        <v>0</v>
      </c>
      <c r="DH118" s="293">
        <f>DIVISIONS!DH740</f>
        <v>-23</v>
      </c>
      <c r="DI118" s="819">
        <f>DIVISIONS!DI740</f>
        <v>-32.24</v>
      </c>
      <c r="DJ118" s="819">
        <f>DIVISIONS!DJ740</f>
        <v>-55.24</v>
      </c>
      <c r="DK118" s="853"/>
      <c r="DL118" s="819">
        <f>DIVISIONS!DL740</f>
        <v>-27.4848</v>
      </c>
      <c r="DM118" s="819">
        <f>DIVISIONS!DM740</f>
        <v>-32.734496</v>
      </c>
      <c r="DN118" s="819">
        <f>DIVISIONS!DN740</f>
        <v>-60.219296</v>
      </c>
      <c r="DO118" s="853"/>
      <c r="DP118" s="819">
        <f>DIVISIONS!DP740</f>
        <v>-27.989185920000001</v>
      </c>
      <c r="DQ118" s="819">
        <f>DIVISIONS!DQ740</f>
        <v>-33.248969638399998</v>
      </c>
      <c r="DR118" s="819">
        <f>DIVISIONS!DR740</f>
        <v>-61.238155558399995</v>
      </c>
      <c r="DS118" s="853"/>
      <c r="DT118" s="853"/>
      <c r="DU118" s="850"/>
      <c r="DV118" s="850"/>
      <c r="DW118" s="850"/>
      <c r="DX118" s="853"/>
      <c r="DY118" s="853"/>
      <c r="DZ118" s="850"/>
      <c r="EA118" s="850"/>
      <c r="EB118" s="853"/>
      <c r="EC118" s="853"/>
      <c r="ED118" s="850"/>
      <c r="EE118" s="850"/>
      <c r="EF118" s="853"/>
      <c r="EG118" s="853"/>
      <c r="EH118" s="853"/>
      <c r="EI118" s="853"/>
      <c r="EJ118" s="853"/>
      <c r="EK118" s="853"/>
      <c r="EL118" s="853"/>
      <c r="EM118" s="853"/>
      <c r="EN118" s="853"/>
      <c r="EO118" s="853"/>
      <c r="EP118" s="853"/>
      <c r="EQ118" s="855"/>
      <c r="ER118" s="855"/>
      <c r="ES118" s="855"/>
      <c r="ET118" s="855"/>
      <c r="EU118" s="855"/>
      <c r="EV118" s="855"/>
      <c r="EW118" s="855"/>
      <c r="EX118" s="855"/>
      <c r="EY118" s="855"/>
      <c r="EZ118" s="855"/>
      <c r="FA118" s="855"/>
      <c r="FB118" s="855"/>
      <c r="FC118" s="855"/>
      <c r="FD118" s="855"/>
      <c r="FE118" s="855"/>
      <c r="FF118" s="855"/>
      <c r="FG118" s="855"/>
      <c r="FH118" s="855"/>
      <c r="FI118" s="855"/>
      <c r="FJ118" s="855"/>
      <c r="FK118" s="855"/>
      <c r="FL118" s="855"/>
      <c r="FM118" s="855"/>
      <c r="FN118" s="855"/>
      <c r="FO118" s="855"/>
      <c r="FP118" s="855"/>
      <c r="FQ118" s="855"/>
      <c r="FR118" s="855"/>
      <c r="FS118" s="855"/>
      <c r="FT118" s="855"/>
      <c r="FU118" s="855"/>
      <c r="FV118" s="855"/>
      <c r="FW118" s="855"/>
      <c r="FX118" s="855"/>
      <c r="FY118" s="855"/>
      <c r="FZ118" s="855"/>
      <c r="GA118" s="855"/>
      <c r="GB118" s="855"/>
      <c r="GC118" s="855"/>
      <c r="GD118" s="855"/>
      <c r="GE118" s="855"/>
      <c r="GF118" s="855"/>
      <c r="GG118" s="855"/>
      <c r="GH118" s="855"/>
      <c r="GI118" s="855"/>
      <c r="GJ118" s="855"/>
      <c r="GK118" s="855"/>
      <c r="GL118" s="855"/>
      <c r="GM118" s="855"/>
      <c r="GN118" s="855"/>
      <c r="GO118" s="855"/>
      <c r="GP118" s="855"/>
      <c r="GQ118" s="855"/>
      <c r="GR118" s="855"/>
      <c r="GS118" s="855"/>
      <c r="GT118" s="855"/>
      <c r="GU118" s="855"/>
      <c r="GV118" s="855"/>
      <c r="GW118" s="855"/>
      <c r="GX118" s="855"/>
      <c r="GY118" s="855"/>
      <c r="GZ118" s="855"/>
      <c r="HA118" s="855"/>
      <c r="HB118" s="855"/>
      <c r="HC118" s="855"/>
      <c r="HD118" s="855"/>
      <c r="HE118" s="855"/>
      <c r="HF118" s="855"/>
      <c r="HG118" s="855"/>
      <c r="HH118" s="855"/>
      <c r="HI118" s="855"/>
      <c r="HJ118" s="855"/>
      <c r="HK118" s="855"/>
      <c r="HL118" s="855"/>
      <c r="HM118" s="855"/>
      <c r="HN118" s="855"/>
      <c r="HO118" s="855"/>
      <c r="HP118" s="855"/>
      <c r="HQ118" s="855"/>
      <c r="HR118" s="855"/>
      <c r="HS118" s="855"/>
      <c r="HT118" s="855"/>
      <c r="HU118" s="855"/>
      <c r="HV118" s="855"/>
      <c r="HW118" s="855"/>
      <c r="HX118" s="855"/>
      <c r="HY118" s="855"/>
      <c r="HZ118" s="855"/>
      <c r="IA118" s="855"/>
      <c r="IB118" s="855"/>
      <c r="IC118" s="855"/>
      <c r="ID118" s="855"/>
      <c r="IE118" s="855"/>
      <c r="IF118" s="855"/>
      <c r="IG118" s="855"/>
      <c r="IH118" s="855"/>
      <c r="II118" s="855"/>
      <c r="IJ118" s="855"/>
      <c r="IK118" s="855"/>
      <c r="IL118" s="855"/>
      <c r="IM118" s="855"/>
      <c r="IN118" s="855"/>
      <c r="IO118" s="855"/>
      <c r="IP118" s="855"/>
      <c r="IQ118" s="855"/>
      <c r="IR118" s="855"/>
      <c r="IS118" s="855"/>
      <c r="IT118" s="855"/>
      <c r="IU118" s="855"/>
      <c r="IV118" s="855"/>
      <c r="IW118" s="855"/>
      <c r="IX118" s="855"/>
      <c r="IY118" s="855"/>
      <c r="IZ118" s="855"/>
      <c r="JA118" s="855"/>
      <c r="JB118" s="855"/>
      <c r="JC118" s="855"/>
      <c r="JD118" s="855"/>
      <c r="JE118" s="855"/>
      <c r="JF118" s="855"/>
      <c r="JG118" s="855"/>
      <c r="JH118" s="855"/>
      <c r="JI118" s="855"/>
      <c r="JJ118" s="855"/>
      <c r="JK118" s="855"/>
      <c r="JL118" s="855"/>
      <c r="JM118"/>
    </row>
    <row r="119" spans="1:273" s="855" customFormat="1">
      <c r="A119" s="289" t="s">
        <v>613</v>
      </c>
      <c r="B119" s="290"/>
      <c r="C119" s="289"/>
      <c r="D119" s="289"/>
      <c r="E119" s="289"/>
      <c r="F119" s="289"/>
      <c r="G119" s="289"/>
      <c r="H119" s="289"/>
      <c r="I119" s="289"/>
      <c r="J119" s="289"/>
      <c r="K119" s="289"/>
      <c r="L119" s="289"/>
      <c r="M119" s="289"/>
      <c r="N119" s="289"/>
      <c r="O119" s="289"/>
      <c r="P119" s="289"/>
      <c r="Q119" s="289"/>
      <c r="R119" s="289"/>
      <c r="S119" s="289"/>
      <c r="T119" s="289"/>
      <c r="U119" s="289"/>
      <c r="V119" s="289"/>
      <c r="W119" s="289"/>
      <c r="X119" s="289"/>
      <c r="Y119" s="289"/>
      <c r="Z119" s="289"/>
      <c r="AA119" s="289"/>
      <c r="AB119" s="289"/>
      <c r="AC119" s="289"/>
      <c r="AD119" s="289"/>
      <c r="AE119" s="289"/>
      <c r="AF119" s="289"/>
      <c r="AG119" s="289"/>
      <c r="AH119" s="289"/>
      <c r="AI119" s="289"/>
      <c r="AJ119" s="289"/>
      <c r="AK119" s="289"/>
      <c r="AL119" s="289"/>
      <c r="AM119" s="289"/>
      <c r="AN119" s="290"/>
      <c r="AO119" s="290"/>
      <c r="AP119" s="290"/>
      <c r="AQ119" s="290"/>
      <c r="AR119" s="295"/>
      <c r="AS119" s="295"/>
      <c r="AT119" s="290"/>
      <c r="AU119" s="290"/>
      <c r="AV119" s="295"/>
      <c r="AW119" s="295"/>
      <c r="AX119" s="853"/>
      <c r="AY119" s="853"/>
      <c r="AZ119" s="295"/>
      <c r="BA119" s="295"/>
      <c r="BB119" s="853"/>
      <c r="BC119" s="853"/>
      <c r="BD119" s="295">
        <f>SUM(BD111:BD118)</f>
        <v>388.5</v>
      </c>
      <c r="BE119" s="295">
        <f>SUM(BE111:BE118)</f>
        <v>318</v>
      </c>
      <c r="BF119" s="295">
        <f>SUM(BF111:BF118)</f>
        <v>706.5</v>
      </c>
      <c r="BG119" s="853"/>
      <c r="BH119" s="295">
        <f>SUM(BH111:BH118)</f>
        <v>340</v>
      </c>
      <c r="BI119" s="295">
        <f>SUM(BI111:BI118)</f>
        <v>386</v>
      </c>
      <c r="BJ119" s="295">
        <f>SUM(BJ111:BJ118)</f>
        <v>726</v>
      </c>
      <c r="BK119" s="853"/>
      <c r="BL119" s="295">
        <f>SUM(BL111:BL118)</f>
        <v>308</v>
      </c>
      <c r="BM119" s="295">
        <f>SUM(BM111:BM118)</f>
        <v>325</v>
      </c>
      <c r="BN119" s="295">
        <f>SUM(BN111:BN118)</f>
        <v>633</v>
      </c>
      <c r="BO119" s="853"/>
      <c r="BP119" s="295">
        <f>SUM(BP111:BP118)</f>
        <v>319</v>
      </c>
      <c r="BQ119" s="295">
        <f>SUM(BQ111:BQ118)</f>
        <v>556</v>
      </c>
      <c r="BR119" s="295">
        <f>SUM(BR111:BR118)</f>
        <v>875</v>
      </c>
      <c r="BS119" s="853"/>
      <c r="BT119" s="295">
        <f>SUM(BT111:BT118)</f>
        <v>376</v>
      </c>
      <c r="BU119" s="295">
        <f>SUM(BU111:BU118)</f>
        <v>340</v>
      </c>
      <c r="BV119" s="295">
        <f>SUM(BV111:BV118)</f>
        <v>716</v>
      </c>
      <c r="BW119" s="295"/>
      <c r="BX119" s="295">
        <f>SUM(BX111:BX118)</f>
        <v>349</v>
      </c>
      <c r="BY119" s="295">
        <f>SUM(BY111:BY118)</f>
        <v>362</v>
      </c>
      <c r="BZ119" s="295">
        <f>SUM(BZ111:BZ118)</f>
        <v>711</v>
      </c>
      <c r="CA119" s="295"/>
      <c r="CB119" s="295">
        <f>SUM(CB111:CB118)</f>
        <v>383</v>
      </c>
      <c r="CC119" s="295">
        <f>SUM(CC111:CC118)</f>
        <v>408</v>
      </c>
      <c r="CD119" s="295">
        <f>SUM(CD111:CD118)</f>
        <v>791</v>
      </c>
      <c r="CE119" s="791"/>
      <c r="CF119" s="295">
        <f>SUM(CF111:CF118)</f>
        <v>434</v>
      </c>
      <c r="CG119" s="295">
        <f>SUM(CG111:CG118)</f>
        <v>480</v>
      </c>
      <c r="CH119" s="295">
        <f>SUM(CH111:CH118)</f>
        <v>914</v>
      </c>
      <c r="CI119" s="791"/>
      <c r="CJ119" s="295">
        <f>SUM(CJ111:CJ118)</f>
        <v>467</v>
      </c>
      <c r="CK119" s="295">
        <f>SUM(CK111:CK118)</f>
        <v>566</v>
      </c>
      <c r="CL119" s="295">
        <f>SUM(CL111:CL118)</f>
        <v>1016</v>
      </c>
      <c r="CM119" s="791"/>
      <c r="CN119" s="295">
        <f>SUM(CN111:CN118)</f>
        <v>401</v>
      </c>
      <c r="CO119" s="295">
        <f>SUM(CO111:CO118)</f>
        <v>430</v>
      </c>
      <c r="CP119" s="295">
        <f>SUM(CP111:CP118)</f>
        <v>817</v>
      </c>
      <c r="CQ119" s="791"/>
      <c r="CR119" s="295">
        <f>SUM(CR111:CR118)</f>
        <v>902</v>
      </c>
      <c r="CS119" s="295">
        <f>SUM(CS111:CS118)</f>
        <v>620</v>
      </c>
      <c r="CT119" s="295">
        <f>SUM(CT111:CT118)</f>
        <v>1522</v>
      </c>
      <c r="CU119" s="295"/>
      <c r="CV119" s="295">
        <f>SUM(CV111:CV118)</f>
        <v>633</v>
      </c>
      <c r="CW119" s="295">
        <f>SUM(CW111:CW118)</f>
        <v>565</v>
      </c>
      <c r="CX119" s="295">
        <f>SUM(CX111:CX118)</f>
        <v>1198</v>
      </c>
      <c r="CY119" s="853">
        <f t="shared" si="126"/>
        <v>0</v>
      </c>
      <c r="CZ119" s="295">
        <f>SUM(CZ111:CZ118)</f>
        <v>585</v>
      </c>
      <c r="DA119" s="295">
        <f>SUM(DA111:DA118)</f>
        <v>603</v>
      </c>
      <c r="DB119" s="295">
        <f>SUM(DB111:DB118)</f>
        <v>1188</v>
      </c>
      <c r="DC119" s="853">
        <f t="shared" si="127"/>
        <v>0</v>
      </c>
      <c r="DD119" s="295">
        <f>SUM(DD111:DD118)</f>
        <v>607</v>
      </c>
      <c r="DE119" s="295">
        <f ca="1">SUM(DE111:DE118)</f>
        <v>619</v>
      </c>
      <c r="DF119" s="295">
        <f ca="1">SUM(DF111:DF118)</f>
        <v>1226</v>
      </c>
      <c r="DG119" s="853">
        <f t="shared" ca="1" si="128"/>
        <v>0</v>
      </c>
      <c r="DH119" s="295">
        <f>SUM(DH111:DH118)</f>
        <v>626</v>
      </c>
      <c r="DI119" s="295">
        <f>SUM(DI111:DI118)</f>
        <v>654.02499435028244</v>
      </c>
      <c r="DJ119" s="295">
        <f>SUM(DJ111:DJ118)</f>
        <v>1280.0249943502824</v>
      </c>
      <c r="DK119" s="295"/>
      <c r="DL119" s="295">
        <f>SUM(DL111:DL118)</f>
        <v>683.77548519774018</v>
      </c>
      <c r="DM119" s="295">
        <f>SUM(DM111:DM118)</f>
        <v>691.16623642485877</v>
      </c>
      <c r="DN119" s="295">
        <f>SUM(DN111:DN118)</f>
        <v>1374.9417216225991</v>
      </c>
      <c r="DO119" s="853"/>
      <c r="DP119" s="295">
        <f>SUM(DP111:DP118)</f>
        <v>722.4475960122486</v>
      </c>
      <c r="DQ119" s="295">
        <f>SUM(DQ111:DQ118)</f>
        <v>730.47655932842895</v>
      </c>
      <c r="DR119" s="295">
        <f>SUM(DR111:DR118)</f>
        <v>1452.924155340678</v>
      </c>
      <c r="DS119" s="853"/>
      <c r="DT119" s="853"/>
      <c r="DU119" s="295"/>
      <c r="DV119" s="295"/>
      <c r="DW119" s="295"/>
      <c r="DX119" s="853"/>
      <c r="DY119" s="853"/>
      <c r="DZ119" s="295"/>
      <c r="EA119" s="295"/>
      <c r="EB119" s="853"/>
      <c r="EC119" s="853"/>
      <c r="ED119" s="295"/>
      <c r="EE119" s="295"/>
      <c r="EF119" s="853"/>
      <c r="EG119" s="853"/>
      <c r="EH119" s="853"/>
      <c r="EI119" s="853"/>
      <c r="EJ119" s="853"/>
      <c r="EK119" s="853"/>
      <c r="EL119" s="853"/>
      <c r="EM119" s="853"/>
      <c r="EN119" s="853"/>
      <c r="EO119" s="853"/>
      <c r="EP119" s="853"/>
      <c r="JM119"/>
    </row>
    <row r="120" spans="1:273" s="863" customFormat="1">
      <c r="A120" s="328" t="s">
        <v>1186</v>
      </c>
      <c r="B120" s="115"/>
      <c r="C120" s="323"/>
      <c r="D120" s="323"/>
      <c r="E120" s="323"/>
      <c r="F120" s="323"/>
      <c r="G120" s="323"/>
      <c r="H120" s="323"/>
      <c r="I120" s="323"/>
      <c r="J120" s="323"/>
      <c r="K120" s="323"/>
      <c r="L120" s="323"/>
      <c r="M120" s="323"/>
      <c r="N120" s="323"/>
      <c r="O120" s="323"/>
      <c r="P120" s="323"/>
      <c r="Q120" s="323"/>
      <c r="R120" s="323"/>
      <c r="S120" s="323"/>
      <c r="T120" s="323"/>
      <c r="U120" s="323"/>
      <c r="V120" s="323"/>
      <c r="W120" s="323"/>
      <c r="X120" s="323"/>
      <c r="Y120" s="323"/>
      <c r="Z120" s="323"/>
      <c r="AA120" s="323"/>
      <c r="AB120" s="323"/>
      <c r="AC120" s="323"/>
      <c r="AD120" s="323"/>
      <c r="AE120" s="323"/>
      <c r="AF120" s="323"/>
      <c r="AG120" s="323"/>
      <c r="AH120" s="323"/>
      <c r="AI120" s="323"/>
      <c r="AJ120" s="323"/>
      <c r="AK120" s="323"/>
      <c r="AL120" s="323"/>
      <c r="AM120" s="323"/>
      <c r="AN120" s="331"/>
      <c r="AO120" s="331"/>
      <c r="AP120" s="331"/>
      <c r="AQ120" s="331"/>
      <c r="AR120" s="331"/>
      <c r="AS120" s="331"/>
      <c r="AT120" s="658"/>
      <c r="AU120" s="658"/>
      <c r="AV120" s="331"/>
      <c r="AW120" s="331"/>
      <c r="AX120" s="658"/>
      <c r="AY120" s="658"/>
      <c r="AZ120" s="331"/>
      <c r="BA120" s="331"/>
      <c r="BB120" s="862"/>
      <c r="BC120" s="862"/>
      <c r="BD120" s="658">
        <v>388.5</v>
      </c>
      <c r="BE120" s="658">
        <v>318</v>
      </c>
      <c r="BF120" s="331"/>
      <c r="BG120" s="862"/>
      <c r="BH120" s="658">
        <v>340</v>
      </c>
      <c r="BI120" s="658">
        <v>386</v>
      </c>
      <c r="BJ120" s="331"/>
      <c r="BK120" s="862"/>
      <c r="BL120" s="658">
        <v>308</v>
      </c>
      <c r="BM120" s="658">
        <v>325</v>
      </c>
      <c r="BN120" s="331"/>
      <c r="BO120" s="862"/>
      <c r="BP120" s="658">
        <v>319</v>
      </c>
      <c r="BQ120" s="658">
        <v>556</v>
      </c>
      <c r="BR120" s="331"/>
      <c r="BS120" s="862"/>
      <c r="BT120" s="658">
        <v>376</v>
      </c>
      <c r="BU120" s="658">
        <v>340</v>
      </c>
      <c r="BV120" s="331"/>
      <c r="BW120" s="862"/>
      <c r="BX120" s="658">
        <v>349</v>
      </c>
      <c r="BY120" s="658">
        <v>362</v>
      </c>
      <c r="BZ120" s="331"/>
      <c r="CA120" s="862"/>
      <c r="CB120" s="658">
        <v>383</v>
      </c>
      <c r="CC120" s="658">
        <v>366</v>
      </c>
      <c r="CD120" s="331"/>
      <c r="CE120" s="862"/>
      <c r="CF120" s="658">
        <f>276+158</f>
        <v>434</v>
      </c>
      <c r="CG120" s="658">
        <f>334+146</f>
        <v>480</v>
      </c>
      <c r="CH120" s="331"/>
      <c r="CI120" s="862"/>
      <c r="CJ120" s="658">
        <f>321+146</f>
        <v>467</v>
      </c>
      <c r="CK120" s="658">
        <f>409+157</f>
        <v>566</v>
      </c>
      <c r="CL120" s="331"/>
      <c r="CM120" s="862"/>
      <c r="CN120" s="1329">
        <f>256+145</f>
        <v>401</v>
      </c>
      <c r="CO120" s="1329">
        <f>281+149</f>
        <v>430</v>
      </c>
      <c r="CP120" s="331"/>
      <c r="CQ120" s="862"/>
      <c r="CR120" s="1000">
        <f>684+218</f>
        <v>902</v>
      </c>
      <c r="CS120" s="1000">
        <f>380+240</f>
        <v>620</v>
      </c>
      <c r="CT120" s="331"/>
      <c r="CU120" s="862"/>
      <c r="CV120" s="1000">
        <f>398+131+104</f>
        <v>633</v>
      </c>
      <c r="CW120" s="1000">
        <f>140+94+458-127</f>
        <v>565</v>
      </c>
      <c r="CX120" s="331">
        <f>271+198+729</f>
        <v>1198</v>
      </c>
      <c r="CY120" s="862">
        <f>+CX119-CX120</f>
        <v>0</v>
      </c>
      <c r="CZ120" s="1000">
        <f>102+335+148</f>
        <v>585</v>
      </c>
      <c r="DA120" s="1000">
        <f>355+98+150</f>
        <v>603</v>
      </c>
      <c r="DB120" s="331"/>
      <c r="DC120" s="862"/>
      <c r="DD120" s="1000">
        <f>158+100+349</f>
        <v>607</v>
      </c>
      <c r="DE120" s="658">
        <f>163+102+354</f>
        <v>619</v>
      </c>
      <c r="DF120" s="331"/>
      <c r="DG120" s="862"/>
      <c r="DH120" s="658">
        <f>167+95+364</f>
        <v>626</v>
      </c>
      <c r="DI120" s="658"/>
      <c r="DJ120" s="331"/>
      <c r="DK120" s="862"/>
      <c r="DL120" s="658"/>
      <c r="DM120" s="658"/>
      <c r="DN120" s="331"/>
      <c r="DO120" s="862"/>
      <c r="DP120" s="658"/>
      <c r="DQ120" s="658"/>
      <c r="DR120" s="331"/>
      <c r="DS120" s="862"/>
      <c r="DT120" s="862"/>
      <c r="DU120" s="864"/>
      <c r="DV120" s="864"/>
      <c r="DW120" s="864"/>
      <c r="DX120" s="862"/>
      <c r="DY120" s="862"/>
      <c r="DZ120" s="864"/>
      <c r="EA120" s="864"/>
      <c r="EB120" s="862"/>
      <c r="EC120" s="862"/>
      <c r="ED120" s="864"/>
      <c r="EE120" s="864"/>
      <c r="EF120" s="862"/>
      <c r="EG120" s="862"/>
      <c r="EH120" s="862"/>
      <c r="EI120" s="862"/>
      <c r="EJ120" s="862"/>
      <c r="EK120" s="862"/>
      <c r="EL120" s="862"/>
      <c r="EM120" s="862"/>
      <c r="EN120" s="862"/>
      <c r="EO120" s="862"/>
      <c r="EP120" s="862"/>
      <c r="EQ120" s="865"/>
      <c r="ER120" s="865"/>
      <c r="ES120" s="865"/>
      <c r="ET120" s="865"/>
      <c r="EU120" s="865"/>
      <c r="EV120" s="865"/>
      <c r="EW120" s="865"/>
      <c r="EX120" s="865"/>
      <c r="EY120" s="865"/>
      <c r="EZ120" s="865"/>
      <c r="FA120" s="865"/>
      <c r="FB120" s="865"/>
      <c r="FC120" s="865"/>
      <c r="FD120" s="865"/>
      <c r="FE120" s="865"/>
      <c r="FF120" s="865"/>
      <c r="FG120" s="865"/>
      <c r="FH120" s="865"/>
      <c r="FI120" s="865"/>
      <c r="FJ120" s="865"/>
      <c r="FK120" s="865"/>
      <c r="FL120" s="865"/>
      <c r="FM120" s="865"/>
      <c r="FN120" s="865"/>
      <c r="FO120" s="865"/>
      <c r="FP120" s="865"/>
      <c r="FQ120" s="865"/>
      <c r="FR120" s="865"/>
      <c r="FS120" s="865"/>
      <c r="FT120" s="865"/>
      <c r="FU120" s="865"/>
      <c r="FV120" s="865"/>
      <c r="FW120" s="865"/>
      <c r="FX120" s="865"/>
      <c r="FY120" s="865"/>
      <c r="FZ120" s="865"/>
      <c r="GA120" s="865"/>
      <c r="GB120" s="865"/>
      <c r="GC120" s="865"/>
      <c r="GD120" s="865"/>
      <c r="GE120" s="865"/>
      <c r="GF120" s="865"/>
      <c r="GG120" s="865"/>
      <c r="GH120" s="865"/>
      <c r="GI120" s="865"/>
      <c r="GJ120" s="865"/>
      <c r="GK120" s="865"/>
      <c r="GL120" s="865"/>
      <c r="GM120" s="865"/>
      <c r="GN120" s="865"/>
      <c r="GO120" s="865"/>
      <c r="GP120" s="865"/>
      <c r="GQ120" s="865"/>
      <c r="GR120" s="865"/>
      <c r="GS120" s="865"/>
      <c r="GT120" s="865"/>
      <c r="GU120" s="865"/>
      <c r="GV120" s="865"/>
      <c r="GW120" s="865"/>
      <c r="GX120" s="865"/>
      <c r="GY120" s="865"/>
      <c r="GZ120" s="865"/>
      <c r="HA120" s="865"/>
      <c r="HB120" s="865"/>
      <c r="HC120" s="865"/>
      <c r="HD120" s="865"/>
      <c r="HE120" s="865"/>
      <c r="HF120" s="865"/>
      <c r="HG120" s="865"/>
      <c r="HH120" s="865"/>
      <c r="HI120" s="865"/>
      <c r="HJ120" s="865"/>
      <c r="HK120" s="865"/>
      <c r="HL120" s="865"/>
      <c r="HM120" s="865"/>
      <c r="HN120" s="865"/>
      <c r="HO120" s="865"/>
      <c r="HP120" s="865"/>
      <c r="HQ120" s="865"/>
      <c r="HR120" s="865"/>
      <c r="HS120" s="865"/>
      <c r="HT120" s="865"/>
      <c r="HU120" s="865"/>
      <c r="HV120" s="865"/>
      <c r="HW120" s="865"/>
      <c r="HX120" s="865"/>
      <c r="HY120" s="865"/>
      <c r="HZ120" s="865"/>
      <c r="IA120" s="865"/>
      <c r="IB120" s="865"/>
      <c r="IC120" s="865"/>
      <c r="ID120" s="865"/>
      <c r="IE120" s="865"/>
      <c r="IF120" s="865"/>
      <c r="IG120" s="865"/>
      <c r="IH120" s="865"/>
      <c r="II120" s="865"/>
      <c r="IJ120" s="865"/>
      <c r="IK120" s="865"/>
      <c r="IL120" s="865"/>
      <c r="IM120" s="865"/>
      <c r="IN120" s="865"/>
      <c r="IO120" s="865"/>
      <c r="IP120" s="865"/>
      <c r="IQ120" s="865"/>
      <c r="IR120" s="865"/>
      <c r="IS120" s="865"/>
      <c r="IT120" s="865"/>
      <c r="IU120" s="865"/>
      <c r="IV120" s="865"/>
      <c r="IW120" s="865"/>
      <c r="IX120" s="865"/>
      <c r="IY120" s="865"/>
      <c r="IZ120" s="865"/>
      <c r="JA120" s="865"/>
      <c r="JB120" s="865"/>
      <c r="JC120" s="865"/>
      <c r="JD120" s="865"/>
      <c r="JE120" s="865"/>
      <c r="JF120" s="865"/>
      <c r="JG120" s="865"/>
      <c r="JH120" s="865"/>
      <c r="JI120" s="865"/>
      <c r="JJ120" s="865"/>
      <c r="JK120" s="865"/>
      <c r="JL120" s="865"/>
      <c r="JM120"/>
    </row>
    <row r="121" spans="1:273">
      <c r="CV121" s="103">
        <f>431+102+148</f>
        <v>681</v>
      </c>
      <c r="CW121" s="103">
        <f>94+140+458</f>
        <v>692</v>
      </c>
      <c r="CX121" s="293">
        <f>+CX120-CX119</f>
        <v>0</v>
      </c>
    </row>
    <row r="122" spans="1:273" s="699" customFormat="1">
      <c r="A122" s="866" t="s">
        <v>185</v>
      </c>
      <c r="B122" s="867"/>
      <c r="AN122" s="867"/>
      <c r="AO122" s="867"/>
      <c r="AP122" s="867"/>
      <c r="AQ122" s="867"/>
      <c r="AR122" s="867"/>
      <c r="AS122" s="867"/>
      <c r="AT122" s="867"/>
      <c r="AU122" s="867"/>
      <c r="AV122" s="867"/>
      <c r="AW122" s="867"/>
      <c r="AX122" s="867"/>
      <c r="AY122" s="867"/>
      <c r="AZ122" s="867"/>
      <c r="BA122" s="867"/>
      <c r="BB122" s="867"/>
      <c r="BC122" s="867"/>
      <c r="BD122" s="867"/>
      <c r="BE122" s="867"/>
      <c r="BF122" s="867"/>
      <c r="BG122" s="867"/>
      <c r="BH122" s="867"/>
      <c r="BI122" s="867"/>
      <c r="BJ122" s="867"/>
      <c r="BK122" s="867"/>
      <c r="BL122" s="867"/>
      <c r="BM122" s="867"/>
      <c r="BN122" s="867"/>
      <c r="BO122" s="867"/>
      <c r="BP122" s="867"/>
      <c r="BQ122" s="867"/>
      <c r="BR122" s="867"/>
      <c r="BS122" s="867"/>
      <c r="BT122" s="867"/>
      <c r="BU122" s="867"/>
      <c r="BV122" s="867"/>
      <c r="BW122" s="867"/>
      <c r="BX122" s="867"/>
      <c r="BY122" s="867"/>
      <c r="BZ122" s="867"/>
      <c r="CA122" s="867"/>
      <c r="CB122" s="867"/>
      <c r="CC122" s="867"/>
      <c r="CD122" s="867"/>
      <c r="CE122" s="1608"/>
      <c r="CF122" s="867"/>
      <c r="CG122" s="867"/>
      <c r="CH122" s="867"/>
      <c r="CI122" s="1608"/>
      <c r="CJ122" s="867"/>
      <c r="CK122" s="867"/>
      <c r="CL122" s="867"/>
      <c r="CM122" s="1608"/>
      <c r="CN122" s="867"/>
      <c r="CO122" s="867"/>
      <c r="CP122" s="867"/>
      <c r="CQ122" s="1608"/>
      <c r="CR122" s="867"/>
      <c r="CS122" s="867"/>
      <c r="CT122" s="867"/>
      <c r="CU122" s="867"/>
      <c r="CV122" s="867"/>
      <c r="CW122" s="867"/>
      <c r="CX122" s="867"/>
      <c r="CY122" s="867"/>
      <c r="CZ122" s="867"/>
      <c r="DA122" s="867"/>
      <c r="DB122" s="867"/>
      <c r="DC122" s="867"/>
      <c r="DD122" s="867"/>
      <c r="DE122" s="867"/>
      <c r="DF122" s="867"/>
      <c r="DG122" s="867"/>
      <c r="DH122" s="867"/>
      <c r="DI122" s="867"/>
      <c r="DJ122" s="867"/>
      <c r="DK122" s="867"/>
      <c r="DL122" s="867"/>
      <c r="DM122" s="867"/>
      <c r="DN122" s="867"/>
      <c r="DO122" s="867"/>
      <c r="DP122" s="867"/>
      <c r="DQ122" s="867"/>
      <c r="DR122" s="867"/>
      <c r="DS122" s="867"/>
      <c r="DT122" s="867"/>
      <c r="DU122" s="867"/>
      <c r="DV122" s="867"/>
      <c r="DW122" s="867"/>
      <c r="DX122" s="867"/>
      <c r="DY122" s="867"/>
      <c r="DZ122" s="867"/>
      <c r="EA122" s="867"/>
      <c r="EB122" s="867"/>
      <c r="EC122" s="867"/>
      <c r="ED122" s="867"/>
      <c r="EE122" s="867"/>
      <c r="EF122" s="867"/>
      <c r="EG122" s="867"/>
      <c r="EH122" s="867"/>
      <c r="EI122" s="867"/>
      <c r="EJ122" s="867"/>
      <c r="EK122" s="867"/>
      <c r="EL122" s="867"/>
      <c r="EM122" s="867"/>
      <c r="EN122" s="867"/>
      <c r="EO122" s="867"/>
      <c r="EP122" s="867"/>
      <c r="FL122" s="102"/>
      <c r="FM122" s="102"/>
      <c r="FN122" s="102"/>
      <c r="FO122" s="102"/>
      <c r="FP122" s="102"/>
      <c r="FQ122" s="102"/>
      <c r="FR122" s="102"/>
      <c r="FS122" s="102"/>
      <c r="FT122" s="102"/>
      <c r="FU122" s="102"/>
      <c r="FV122" s="102"/>
      <c r="FW122" s="102"/>
      <c r="FX122" s="102"/>
      <c r="FY122" s="102"/>
      <c r="FZ122" s="102"/>
      <c r="GA122" s="102"/>
      <c r="GB122" s="102"/>
      <c r="GC122" s="102"/>
      <c r="GD122" s="102"/>
      <c r="GE122" s="102"/>
      <c r="GF122" s="102"/>
      <c r="GG122" s="102"/>
      <c r="GH122" s="102"/>
      <c r="GI122" s="102"/>
      <c r="GJ122" s="102"/>
      <c r="GK122" s="102"/>
      <c r="GL122" s="102"/>
      <c r="GM122" s="102"/>
      <c r="GN122" s="102"/>
      <c r="GO122" s="102"/>
      <c r="GP122" s="102"/>
      <c r="GQ122" s="102"/>
      <c r="GR122" s="102"/>
      <c r="GS122" s="102"/>
      <c r="GT122" s="102"/>
      <c r="GU122" s="102"/>
      <c r="GV122" s="102"/>
      <c r="GW122" s="102"/>
      <c r="GX122" s="102"/>
      <c r="GY122" s="102"/>
      <c r="GZ122" s="102"/>
      <c r="HA122" s="102"/>
      <c r="HB122" s="102"/>
      <c r="HC122" s="102"/>
      <c r="HD122" s="102"/>
      <c r="HE122" s="102"/>
      <c r="HF122" s="102"/>
      <c r="HG122" s="102"/>
      <c r="HH122" s="102"/>
      <c r="HI122" s="102"/>
      <c r="HJ122" s="102"/>
      <c r="HK122" s="102"/>
      <c r="HL122" s="102"/>
      <c r="HM122" s="102"/>
      <c r="HN122" s="102"/>
      <c r="HO122" s="102"/>
      <c r="HP122" s="102"/>
      <c r="HQ122" s="102"/>
      <c r="HR122" s="102"/>
      <c r="HS122" s="102"/>
      <c r="HT122" s="102"/>
      <c r="HU122" s="102"/>
      <c r="HV122" s="102"/>
      <c r="HW122" s="102"/>
      <c r="HX122" s="102"/>
      <c r="HY122" s="102"/>
      <c r="HZ122" s="102"/>
      <c r="IA122" s="102"/>
      <c r="IB122" s="102"/>
      <c r="IC122" s="102"/>
      <c r="ID122" s="102"/>
      <c r="IE122" s="102"/>
      <c r="IF122" s="102"/>
      <c r="IG122" s="102"/>
      <c r="IH122" s="102"/>
      <c r="II122" s="102"/>
      <c r="IJ122" s="102"/>
      <c r="IK122" s="102"/>
      <c r="IL122" s="102"/>
      <c r="IM122" s="102"/>
      <c r="IN122" s="102"/>
      <c r="IO122" s="102"/>
      <c r="IP122" s="102"/>
      <c r="IQ122" s="102"/>
      <c r="IR122" s="102"/>
      <c r="IS122" s="102"/>
      <c r="IT122" s="102"/>
      <c r="IU122" s="102"/>
      <c r="IV122" s="102"/>
      <c r="IW122" s="102"/>
      <c r="IX122" s="102"/>
      <c r="IY122" s="102"/>
      <c r="IZ122" s="102"/>
      <c r="JA122" s="102"/>
      <c r="JB122" s="102"/>
      <c r="JC122" s="102"/>
      <c r="JD122" s="102"/>
      <c r="JE122" s="102"/>
      <c r="JF122" s="102"/>
      <c r="JG122" s="102"/>
      <c r="JH122" s="102"/>
      <c r="JI122" s="102"/>
      <c r="JJ122" s="102"/>
      <c r="JK122" s="102"/>
      <c r="JL122" s="102"/>
      <c r="JM122"/>
    </row>
    <row r="124" spans="1:273">
      <c r="A124" s="815" t="s">
        <v>678</v>
      </c>
      <c r="AZ124" s="293"/>
      <c r="BA124" s="293"/>
    </row>
    <row r="125" spans="1:273">
      <c r="A125" s="102" t="s">
        <v>679</v>
      </c>
      <c r="AN125" s="293">
        <f>DIVISIONS!AN148</f>
        <v>850</v>
      </c>
      <c r="AO125" s="293">
        <f>DIVISIONS!AO148</f>
        <v>538</v>
      </c>
      <c r="AP125" s="626"/>
      <c r="AQ125" s="626"/>
      <c r="AR125" s="293">
        <f>DIVISIONS!AR148</f>
        <v>566</v>
      </c>
      <c r="AS125" s="293">
        <f>DIVISIONS!AS148</f>
        <v>590</v>
      </c>
      <c r="AT125" s="626"/>
      <c r="AU125" s="626"/>
      <c r="AV125" s="293">
        <f>DIVISIONS!AV148</f>
        <v>546</v>
      </c>
      <c r="AW125" s="293">
        <f>DIVISIONS!AW148</f>
        <v>450</v>
      </c>
      <c r="AX125" s="626"/>
      <c r="AY125" s="626"/>
      <c r="AZ125" s="293">
        <f>DIVISIONS!AZ148</f>
        <v>376</v>
      </c>
      <c r="BA125" s="293">
        <f>DIVISIONS!BA148</f>
        <v>477</v>
      </c>
      <c r="BB125" s="293"/>
      <c r="BC125" s="293"/>
      <c r="BD125" s="293">
        <f>DIVISIONS!BD148</f>
        <v>313</v>
      </c>
      <c r="BE125" s="293">
        <f>DIVISIONS!BE148</f>
        <v>322</v>
      </c>
      <c r="BF125" s="293"/>
      <c r="BG125" s="293"/>
      <c r="BH125" s="293">
        <f>DIVISIONS!BH148</f>
        <v>273</v>
      </c>
      <c r="BI125" s="293">
        <f>DIVISIONS!BI148</f>
        <v>267</v>
      </c>
      <c r="BJ125" s="293">
        <f t="shared" ref="BJ125:BJ130" si="129">+BH125+BI125</f>
        <v>540</v>
      </c>
      <c r="BK125" s="293"/>
      <c r="BL125" s="293">
        <f>DIVISIONS!BL148</f>
        <v>288</v>
      </c>
      <c r="BM125" s="293">
        <f>DIVISIONS!BM148</f>
        <v>379</v>
      </c>
      <c r="BN125" s="293">
        <f t="shared" ref="BN125:BN130" si="130">+BL125+BM125</f>
        <v>667</v>
      </c>
      <c r="BO125" s="293"/>
      <c r="BP125" s="293">
        <f>DIVISIONS!BP148</f>
        <v>332</v>
      </c>
      <c r="BQ125" s="293">
        <f>DIVISIONS!BQ148</f>
        <v>465</v>
      </c>
      <c r="BR125" s="293">
        <f t="shared" ref="BR125:BR130" si="131">+BP125+BQ125</f>
        <v>797</v>
      </c>
      <c r="BS125" s="293"/>
      <c r="BT125" s="293">
        <f>DIVISIONS!BT148</f>
        <v>448</v>
      </c>
      <c r="BU125" s="293">
        <f>DIVISIONS!BU148</f>
        <v>351</v>
      </c>
      <c r="BV125" s="293">
        <f t="shared" ref="BV125:BV130" si="132">+BT125+BU125</f>
        <v>799</v>
      </c>
      <c r="BW125" s="293"/>
      <c r="BX125" s="293">
        <f>DIVISIONS!BX148</f>
        <v>382.05057471264371</v>
      </c>
      <c r="BY125" s="293">
        <f>DIVISIONS!BY148</f>
        <v>432.56206896551726</v>
      </c>
      <c r="BZ125" s="293">
        <f t="shared" ref="BZ125:BZ130" si="133">+BX125+BY125</f>
        <v>814.61264367816102</v>
      </c>
      <c r="CB125" s="293">
        <f>DIVISIONS!CB148</f>
        <v>387.56091954022992</v>
      </c>
      <c r="CC125" s="293">
        <f>DIVISIONS!CC148</f>
        <v>388.47931034482758</v>
      </c>
      <c r="CD125" s="293">
        <f t="shared" ref="CD125:CD130" si="134">+CB125+CC125</f>
        <v>776.04022988505744</v>
      </c>
      <c r="CF125" s="293">
        <f>DIVISIONS!CF148</f>
        <v>514</v>
      </c>
      <c r="CG125" s="293">
        <f>DIVISIONS!CG148</f>
        <v>388</v>
      </c>
      <c r="CH125" s="293">
        <f t="shared" ref="CH125:CH130" si="135">+CF125+CG125</f>
        <v>902</v>
      </c>
      <c r="CJ125" s="293">
        <f>DIVISIONS!CJ148</f>
        <v>411</v>
      </c>
      <c r="CK125" s="293">
        <f>DIVISIONS!CK148</f>
        <v>441</v>
      </c>
      <c r="CL125" s="293">
        <f t="shared" ref="CL125:CL126" si="136">+CJ125+CK125</f>
        <v>852</v>
      </c>
      <c r="CN125" s="293">
        <f>DIVISIONS!CN148</f>
        <v>413</v>
      </c>
      <c r="CO125" s="293">
        <f>DIVISIONS!CO148</f>
        <v>445</v>
      </c>
      <c r="CP125" s="293">
        <f t="shared" ref="CP125:CP126" si="137">+CN125+CO125</f>
        <v>858</v>
      </c>
      <c r="CR125" s="293">
        <f>DIVISIONS!CR148</f>
        <v>618</v>
      </c>
      <c r="CS125" s="293">
        <f>DIVISIONS!CS148</f>
        <v>755</v>
      </c>
      <c r="CT125" s="293">
        <f t="shared" ref="CT125:CT126" si="138">+CR125+CS125</f>
        <v>1373</v>
      </c>
      <c r="CV125" s="293">
        <f>DIVISIONS!CV148</f>
        <v>438</v>
      </c>
      <c r="CW125" s="293">
        <f>DIVISIONS!CW148</f>
        <v>553</v>
      </c>
      <c r="CX125" s="293">
        <f t="shared" ref="CX125:CX126" si="139">+CV125+CW125</f>
        <v>991</v>
      </c>
      <c r="CZ125" s="293">
        <f>DIVISIONS!CZ148</f>
        <v>408</v>
      </c>
      <c r="DA125" s="293">
        <f>DIVISIONS!DA148</f>
        <v>335</v>
      </c>
      <c r="DB125" s="293">
        <f t="shared" ref="DB125:DB126" si="140">+CZ125+DA125</f>
        <v>743</v>
      </c>
      <c r="DD125" s="293">
        <f>DIVISIONS!DD148</f>
        <v>413</v>
      </c>
      <c r="DE125" s="293">
        <f>DIVISIONS!DE148</f>
        <v>503</v>
      </c>
      <c r="DF125" s="293">
        <f t="shared" ref="DF125:DF126" si="141">+DD125+DE125</f>
        <v>916</v>
      </c>
      <c r="DH125" s="293">
        <f>DIVISIONS!DH148</f>
        <v>558</v>
      </c>
      <c r="DI125" s="293">
        <f>DIVISIONS!DI148</f>
        <v>530.1</v>
      </c>
      <c r="DJ125" s="293">
        <f>DIVISIONS!DJ148</f>
        <v>1088.0999999999999</v>
      </c>
      <c r="DL125" s="293">
        <f>DIVISIONS!DL148</f>
        <v>556.60500000000002</v>
      </c>
      <c r="DM125" s="293">
        <f>DIVISIONS!DM148</f>
        <v>584.43525</v>
      </c>
      <c r="DN125" s="293">
        <f>DIVISIONS!DN148</f>
        <v>1141.04025</v>
      </c>
      <c r="DP125" s="293">
        <f>DIVISIONS!DP148</f>
        <v>596.12395500000002</v>
      </c>
      <c r="DQ125" s="293">
        <f>DIVISIONS!DQ148</f>
        <v>608.04643410000006</v>
      </c>
      <c r="DR125" s="293">
        <f>DIVISIONS!DR148</f>
        <v>1204.1703891000002</v>
      </c>
      <c r="DU125" s="818"/>
      <c r="DV125" s="818"/>
      <c r="DW125" s="818"/>
      <c r="DZ125" s="818"/>
      <c r="EA125" s="818"/>
      <c r="ED125" s="818"/>
      <c r="EE125" s="818"/>
    </row>
    <row r="126" spans="1:273">
      <c r="A126" s="102" t="s">
        <v>680</v>
      </c>
      <c r="AP126" s="102"/>
      <c r="AQ126" s="102"/>
      <c r="AR126" s="293">
        <f>DIVISIONS!AR150</f>
        <v>24</v>
      </c>
      <c r="AS126" s="293">
        <f>DIVISIONS!AS150</f>
        <v>95</v>
      </c>
      <c r="AT126" s="626"/>
      <c r="AU126" s="626"/>
      <c r="AV126" s="293">
        <f>DIVISIONS!AV150</f>
        <v>-87</v>
      </c>
      <c r="AW126" s="293">
        <f>DIVISIONS!AW150</f>
        <v>-105</v>
      </c>
      <c r="AX126" s="626"/>
      <c r="AY126" s="626"/>
      <c r="AZ126" s="293">
        <f>DIVISIONS!AZ150</f>
        <v>-94.5</v>
      </c>
      <c r="BA126" s="293">
        <f>DIVISIONS!BA150</f>
        <v>-89.5</v>
      </c>
      <c r="BB126" s="293"/>
      <c r="BC126" s="293"/>
      <c r="BD126" s="293">
        <f>DIVISIONS!BD150</f>
        <v>-42</v>
      </c>
      <c r="BE126" s="293">
        <f>DIVISIONS!BE150</f>
        <v>-59</v>
      </c>
      <c r="BF126" s="293"/>
      <c r="BG126" s="293"/>
      <c r="BH126" s="293">
        <f>DIVISIONS!BH150</f>
        <v>11</v>
      </c>
      <c r="BI126" s="293">
        <f>DIVISIONS!BI150</f>
        <v>1</v>
      </c>
      <c r="BJ126" s="293">
        <f t="shared" si="129"/>
        <v>12</v>
      </c>
      <c r="BK126" s="293"/>
      <c r="BL126" s="293">
        <f>DIVISIONS!BL150</f>
        <v>9</v>
      </c>
      <c r="BM126" s="293">
        <f>DIVISIONS!BM150</f>
        <v>5</v>
      </c>
      <c r="BN126" s="293">
        <f t="shared" si="130"/>
        <v>14</v>
      </c>
      <c r="BO126" s="293"/>
      <c r="BP126" s="293">
        <f>DIVISIONS!BP150</f>
        <v>11</v>
      </c>
      <c r="BQ126" s="293">
        <f>DIVISIONS!BQ150</f>
        <v>9</v>
      </c>
      <c r="BR126" s="293">
        <f t="shared" si="131"/>
        <v>20</v>
      </c>
      <c r="BS126" s="293"/>
      <c r="BT126" s="293">
        <f>DIVISIONS!BT150</f>
        <v>21</v>
      </c>
      <c r="BU126" s="293">
        <f>DIVISIONS!BU150</f>
        <v>2</v>
      </c>
      <c r="BV126" s="293">
        <f t="shared" si="132"/>
        <v>23</v>
      </c>
      <c r="BW126" s="293"/>
      <c r="BX126" s="293">
        <f>DIVISIONS!BX150</f>
        <v>10.997701149425287</v>
      </c>
      <c r="BY126" s="293">
        <f>DIVISIONS!BY150</f>
        <v>12.451724137931034</v>
      </c>
      <c r="BZ126" s="293">
        <f t="shared" si="133"/>
        <v>23.44942528735632</v>
      </c>
      <c r="CB126" s="293">
        <f>DIVISIONS!CB150</f>
        <v>11.15632183908046</v>
      </c>
      <c r="CC126" s="293">
        <f>DIVISIONS!CC150</f>
        <v>11.182758620689656</v>
      </c>
      <c r="CD126" s="293">
        <f t="shared" si="134"/>
        <v>22.339080459770116</v>
      </c>
      <c r="CF126" s="293">
        <f>DIVISIONS!CF150</f>
        <v>12</v>
      </c>
      <c r="CG126" s="293">
        <f>DIVISIONS!CG150</f>
        <v>15</v>
      </c>
      <c r="CH126" s="293">
        <f t="shared" si="135"/>
        <v>27</v>
      </c>
      <c r="CJ126" s="293">
        <f>DIVISIONS!CJ150</f>
        <v>4</v>
      </c>
      <c r="CK126" s="293">
        <f>DIVISIONS!CK150</f>
        <v>95</v>
      </c>
      <c r="CL126" s="293">
        <f t="shared" si="136"/>
        <v>99</v>
      </c>
      <c r="CN126" s="293">
        <f>DIVISIONS!CN150</f>
        <v>252</v>
      </c>
      <c r="CO126" s="293">
        <f>DIVISIONS!CO150</f>
        <v>277</v>
      </c>
      <c r="CP126" s="293">
        <f t="shared" si="137"/>
        <v>529</v>
      </c>
      <c r="CR126" s="293">
        <f>DIVISIONS!CR150</f>
        <v>247</v>
      </c>
      <c r="CS126" s="293">
        <f>DIVISIONS!CS150</f>
        <v>247</v>
      </c>
      <c r="CT126" s="293">
        <f t="shared" si="138"/>
        <v>494</v>
      </c>
      <c r="CV126" s="293">
        <f>DIVISIONS!CV150</f>
        <v>226</v>
      </c>
      <c r="CW126" s="293">
        <f>DIVISIONS!CW150</f>
        <v>139</v>
      </c>
      <c r="CX126" s="293">
        <f t="shared" si="139"/>
        <v>365</v>
      </c>
      <c r="CZ126" s="293">
        <f>DIVISIONS!CZ150</f>
        <v>220</v>
      </c>
      <c r="DA126" s="293">
        <f>DIVISIONS!DA150</f>
        <v>238</v>
      </c>
      <c r="DB126" s="293">
        <f t="shared" si="140"/>
        <v>458</v>
      </c>
      <c r="DD126" s="293">
        <f>DIVISIONS!DD150</f>
        <v>258</v>
      </c>
      <c r="DE126" s="293">
        <f>DIVISIONS!DE150</f>
        <v>279</v>
      </c>
      <c r="DF126" s="293">
        <f t="shared" si="141"/>
        <v>537</v>
      </c>
      <c r="DH126" s="293">
        <f>DIVISIONS!DH150</f>
        <v>292</v>
      </c>
      <c r="DI126" s="293">
        <f>DI112</f>
        <v>335.79999999999995</v>
      </c>
      <c r="DJ126" s="293">
        <f>DH126+DI126</f>
        <v>627.79999999999995</v>
      </c>
      <c r="DL126" s="293">
        <f>DL112</f>
        <v>345.87399999999997</v>
      </c>
      <c r="DM126" s="293">
        <f>DM112</f>
        <v>356.25021999999996</v>
      </c>
      <c r="DN126" s="293">
        <f>DL126+DM126</f>
        <v>702.12421999999992</v>
      </c>
      <c r="DP126" s="293">
        <f>DP112</f>
        <v>366.93772659999996</v>
      </c>
      <c r="DQ126" s="293">
        <f>DQ112</f>
        <v>377.94585839799998</v>
      </c>
      <c r="DR126" s="293">
        <f>DP126+DQ126</f>
        <v>744.88358499799995</v>
      </c>
      <c r="DU126" s="818"/>
      <c r="DV126" s="818"/>
      <c r="DW126" s="818"/>
      <c r="DZ126" s="818"/>
      <c r="EA126" s="818"/>
      <c r="ED126" s="818"/>
      <c r="EE126" s="818"/>
    </row>
    <row r="127" spans="1:273">
      <c r="A127" s="102" t="s">
        <v>681</v>
      </c>
      <c r="AP127" s="102"/>
      <c r="AQ127" s="102"/>
      <c r="AR127" s="293">
        <f>DIVISIONS!AR69</f>
        <v>0</v>
      </c>
      <c r="AS127" s="293">
        <f>DIVISIONS!AS69</f>
        <v>0</v>
      </c>
      <c r="AT127" s="626"/>
      <c r="AU127" s="626"/>
      <c r="AV127" s="293">
        <f>DIVISIONS!AV69</f>
        <v>0</v>
      </c>
      <c r="AW127" s="293">
        <f>DIVISIONS!AW69</f>
        <v>0</v>
      </c>
      <c r="AX127" s="626"/>
      <c r="AY127" s="626"/>
      <c r="AZ127" s="293">
        <f>DIVISIONS!AZ69</f>
        <v>0</v>
      </c>
      <c r="BA127" s="293">
        <f>DIVISIONS!BA69</f>
        <v>0</v>
      </c>
      <c r="BB127" s="293"/>
      <c r="BC127" s="293"/>
      <c r="BD127" s="293">
        <f>DIVISIONS!BD69</f>
        <v>0</v>
      </c>
      <c r="BE127" s="293">
        <f>DIVISIONS!BE69</f>
        <v>0</v>
      </c>
      <c r="BF127" s="293"/>
      <c r="BG127" s="293"/>
      <c r="BH127" s="293">
        <f>DIVISIONS!BH69</f>
        <v>0</v>
      </c>
      <c r="BI127" s="293">
        <f>DIVISIONS!BI69</f>
        <v>0</v>
      </c>
      <c r="BJ127" s="293">
        <f t="shared" si="129"/>
        <v>0</v>
      </c>
      <c r="BK127" s="293"/>
      <c r="BL127" s="293">
        <f>DIVISIONS!BL69</f>
        <v>0</v>
      </c>
      <c r="BM127" s="293">
        <f>DIVISIONS!BM69</f>
        <v>0</v>
      </c>
      <c r="BN127" s="293">
        <f t="shared" si="130"/>
        <v>0</v>
      </c>
      <c r="BO127" s="293"/>
      <c r="BP127" s="293">
        <f>DIVISIONS!BP69</f>
        <v>0</v>
      </c>
      <c r="BQ127" s="293">
        <f>DIVISIONS!BQ69</f>
        <v>0</v>
      </c>
      <c r="BR127" s="293">
        <f t="shared" si="131"/>
        <v>0</v>
      </c>
      <c r="BS127" s="293"/>
      <c r="BT127" s="293">
        <f>DIVISIONS!BT69</f>
        <v>0</v>
      </c>
      <c r="BU127" s="293">
        <f>DIVISIONS!BU69</f>
        <v>0</v>
      </c>
      <c r="BV127" s="293">
        <f t="shared" si="132"/>
        <v>0</v>
      </c>
      <c r="BW127" s="293"/>
      <c r="BX127" s="293">
        <f>DIVISIONS!BX69</f>
        <v>0</v>
      </c>
      <c r="BY127" s="293">
        <f>DIVISIONS!BY69</f>
        <v>0</v>
      </c>
      <c r="BZ127" s="293">
        <f t="shared" si="133"/>
        <v>0</v>
      </c>
      <c r="CC127" s="293"/>
      <c r="CD127" s="293"/>
      <c r="CG127" s="293"/>
      <c r="CH127" s="293"/>
      <c r="CK127" s="293"/>
      <c r="CL127" s="293"/>
      <c r="CO127" s="293"/>
      <c r="CP127" s="293"/>
      <c r="CS127" s="293"/>
      <c r="CT127" s="293"/>
      <c r="CW127" s="293"/>
      <c r="CX127" s="293"/>
      <c r="DA127" s="293"/>
      <c r="DB127" s="293"/>
      <c r="DE127" s="293"/>
      <c r="DF127" s="293"/>
      <c r="DU127" s="818"/>
      <c r="DV127" s="818"/>
      <c r="DW127" s="818"/>
      <c r="DZ127" s="818"/>
      <c r="EA127" s="818"/>
      <c r="ED127" s="818"/>
      <c r="EE127" s="818"/>
    </row>
    <row r="128" spans="1:273">
      <c r="A128" s="102" t="s">
        <v>682</v>
      </c>
      <c r="AP128" s="102"/>
      <c r="AQ128" s="102"/>
      <c r="AR128" s="840"/>
      <c r="AS128" s="840"/>
      <c r="AT128" s="293"/>
      <c r="AU128" s="293"/>
      <c r="AV128" s="293">
        <f>DIVISIONS!AV408</f>
        <v>20</v>
      </c>
      <c r="AW128" s="293">
        <f>DIVISIONS!AW408</f>
        <v>19</v>
      </c>
      <c r="AX128" s="626"/>
      <c r="AY128" s="293"/>
      <c r="AZ128" s="293">
        <f>DIVISIONS!AZ408</f>
        <v>3</v>
      </c>
      <c r="BA128" s="293">
        <f>DIVISIONS!BA408</f>
        <v>18</v>
      </c>
      <c r="BB128" s="293"/>
      <c r="BC128" s="293"/>
      <c r="BD128" s="293">
        <f>DIVISIONS!BD408</f>
        <v>2</v>
      </c>
      <c r="BE128" s="293">
        <f>DIVISIONS!BE408</f>
        <v>5</v>
      </c>
      <c r="BF128" s="293"/>
      <c r="BG128" s="293"/>
      <c r="BH128" s="293">
        <f>DIVISIONS!BH408</f>
        <v>5</v>
      </c>
      <c r="BI128" s="293">
        <f>DIVISIONS!BI408</f>
        <v>5</v>
      </c>
      <c r="BJ128" s="293">
        <f t="shared" si="129"/>
        <v>10</v>
      </c>
      <c r="BK128" s="293"/>
      <c r="BL128" s="293">
        <f>DIVISIONS!BL408</f>
        <v>5</v>
      </c>
      <c r="BM128" s="293">
        <f>DIVISIONS!BM408</f>
        <v>5</v>
      </c>
      <c r="BN128" s="293">
        <f t="shared" si="130"/>
        <v>10</v>
      </c>
      <c r="BO128" s="293"/>
      <c r="BP128" s="293">
        <f>DIVISIONS!BP408</f>
        <v>0</v>
      </c>
      <c r="BQ128" s="293">
        <f>DIVISIONS!BQ408</f>
        <v>0</v>
      </c>
      <c r="BR128" s="293">
        <f t="shared" si="131"/>
        <v>0</v>
      </c>
      <c r="BS128" s="293"/>
      <c r="BT128" s="293">
        <f>DIVISIONS!BT408</f>
        <v>0</v>
      </c>
      <c r="BU128" s="293">
        <f>DIVISIONS!BU408</f>
        <v>0</v>
      </c>
      <c r="BV128" s="293">
        <f t="shared" si="132"/>
        <v>0</v>
      </c>
      <c r="BW128" s="293"/>
      <c r="BX128" s="293">
        <f>DIVISIONS!BX408</f>
        <v>0</v>
      </c>
      <c r="BY128" s="293">
        <f>DIVISIONS!BY408</f>
        <v>0</v>
      </c>
      <c r="BZ128" s="293">
        <f t="shared" si="133"/>
        <v>0</v>
      </c>
      <c r="CB128" s="293">
        <f>DIVISIONS!CB408</f>
        <v>0</v>
      </c>
      <c r="CC128" s="293">
        <f>DIVISIONS!CC408</f>
        <v>0</v>
      </c>
      <c r="CD128" s="293">
        <f t="shared" si="134"/>
        <v>0</v>
      </c>
      <c r="CF128" s="293">
        <f>DIVISIONS!CF408</f>
        <v>0</v>
      </c>
      <c r="CG128" s="293">
        <f>DIVISIONS!CG408</f>
        <v>0</v>
      </c>
      <c r="CH128" s="293">
        <f t="shared" si="135"/>
        <v>0</v>
      </c>
      <c r="CJ128" s="293">
        <f>DIVISIONS!CJ408</f>
        <v>0</v>
      </c>
      <c r="CK128" s="293">
        <f>DIVISIONS!CK408</f>
        <v>0</v>
      </c>
      <c r="CL128" s="293">
        <f t="shared" ref="CL128:CL130" si="142">+CJ128+CK128</f>
        <v>0</v>
      </c>
      <c r="CN128" s="293">
        <f>DIVISIONS!CN408</f>
        <v>0</v>
      </c>
      <c r="CO128" s="293">
        <f>DIVISIONS!CO408</f>
        <v>0</v>
      </c>
      <c r="CP128" s="293">
        <f t="shared" ref="CP128:CP130" si="143">+CN128+CO128</f>
        <v>0</v>
      </c>
      <c r="CR128" s="293">
        <f>DIVISIONS!CR408</f>
        <v>0</v>
      </c>
      <c r="CS128" s="293">
        <f>DIVISIONS!CS408</f>
        <v>0</v>
      </c>
      <c r="CT128" s="293">
        <f t="shared" ref="CT128:CT130" si="144">+CR128+CS128</f>
        <v>0</v>
      </c>
      <c r="CV128" s="293">
        <f>DIVISIONS!CV408</f>
        <v>0</v>
      </c>
      <c r="CW128" s="293">
        <f>DIVISIONS!CW408</f>
        <v>0</v>
      </c>
      <c r="CX128" s="293">
        <f t="shared" ref="CX128:CX130" si="145">+CV128+CW128</f>
        <v>0</v>
      </c>
      <c r="CZ128" s="293">
        <f>DIVISIONS!CZ408</f>
        <v>0</v>
      </c>
      <c r="DA128" s="293">
        <f>DIVISIONS!DA408</f>
        <v>0</v>
      </c>
      <c r="DB128" s="293">
        <f t="shared" ref="DB128:DB130" si="146">+CZ128+DA128</f>
        <v>0</v>
      </c>
      <c r="DD128" s="293">
        <f>DIVISIONS!DD408</f>
        <v>0</v>
      </c>
      <c r="DE128" s="293">
        <f>DIVISIONS!DE408</f>
        <v>0</v>
      </c>
      <c r="DF128" s="293">
        <f t="shared" ref="DF128:DF130" si="147">+DD128+DE128</f>
        <v>0</v>
      </c>
      <c r="DH128" s="293">
        <f>DIVISIONS!DH408</f>
        <v>0</v>
      </c>
      <c r="DI128" s="293">
        <f>DIVISIONS!DI408</f>
        <v>0</v>
      </c>
      <c r="DJ128" s="293">
        <f>DIVISIONS!DJ408</f>
        <v>0</v>
      </c>
      <c r="DL128" s="293">
        <f>DIVISIONS!DL408</f>
        <v>0</v>
      </c>
      <c r="DM128" s="293">
        <f>DIVISIONS!DM408</f>
        <v>0</v>
      </c>
      <c r="DN128" s="293">
        <f>DIVISIONS!DN408</f>
        <v>0</v>
      </c>
      <c r="DP128" s="293">
        <f>DIVISIONS!DP408</f>
        <v>0</v>
      </c>
      <c r="DQ128" s="293">
        <f>DIVISIONS!DQ408</f>
        <v>0</v>
      </c>
      <c r="DR128" s="293">
        <f>DIVISIONS!DR408</f>
        <v>0</v>
      </c>
      <c r="DU128" s="818"/>
      <c r="DV128" s="818"/>
      <c r="DW128" s="818"/>
      <c r="DZ128" s="818"/>
      <c r="EA128" s="818"/>
      <c r="ED128" s="818"/>
      <c r="EE128" s="818"/>
    </row>
    <row r="129" spans="1:273">
      <c r="A129" s="102" t="s">
        <v>817</v>
      </c>
      <c r="AP129" s="102"/>
      <c r="AQ129" s="102"/>
      <c r="AR129" s="840"/>
      <c r="AS129" s="840"/>
      <c r="AT129" s="293"/>
      <c r="AU129" s="293"/>
      <c r="AV129" s="293">
        <f>DIVISIONS!AV623</f>
        <v>30</v>
      </c>
      <c r="AW129" s="293">
        <f>DIVISIONS!AW623</f>
        <v>20</v>
      </c>
      <c r="AX129" s="626"/>
      <c r="AY129" s="293"/>
      <c r="AZ129" s="293">
        <f>DIVISIONS!AZ623</f>
        <v>23</v>
      </c>
      <c r="BA129" s="293">
        <f>DIVISIONS!BA623</f>
        <v>34</v>
      </c>
      <c r="BB129" s="293"/>
      <c r="BC129" s="293"/>
      <c r="BD129" s="293">
        <f>DIVISIONS!BD623</f>
        <v>24</v>
      </c>
      <c r="BE129" s="293">
        <f>DIVISIONS!BE623</f>
        <v>16</v>
      </c>
      <c r="BF129" s="293"/>
      <c r="BG129" s="293"/>
      <c r="BH129" s="293">
        <f>DIVISIONS!BH623</f>
        <v>49</v>
      </c>
      <c r="BI129" s="293">
        <f>DIVISIONS!BI623</f>
        <v>55</v>
      </c>
      <c r="BJ129" s="293">
        <f t="shared" si="129"/>
        <v>104</v>
      </c>
      <c r="BK129" s="293"/>
      <c r="BL129" s="293">
        <f>DIVISIONS!BL623</f>
        <v>64</v>
      </c>
      <c r="BM129" s="293">
        <f>DIVISIONS!BM623</f>
        <v>68</v>
      </c>
      <c r="BN129" s="293">
        <f t="shared" si="130"/>
        <v>132</v>
      </c>
      <c r="BO129" s="293"/>
      <c r="BP129" s="293">
        <f>DIVISIONS!BP623</f>
        <v>100</v>
      </c>
      <c r="BQ129" s="293">
        <f>DIVISIONS!BQ623</f>
        <v>79</v>
      </c>
      <c r="BR129" s="293">
        <f t="shared" si="131"/>
        <v>179</v>
      </c>
      <c r="BS129" s="293"/>
      <c r="BT129" s="293">
        <f>DIVISIONS!BT623</f>
        <v>10</v>
      </c>
      <c r="BU129" s="293">
        <f>DIVISIONS!BU623</f>
        <v>0</v>
      </c>
      <c r="BV129" s="293">
        <f t="shared" si="132"/>
        <v>10</v>
      </c>
      <c r="BW129" s="293"/>
      <c r="BX129" s="293">
        <f>DIVISIONS!BX623</f>
        <v>10</v>
      </c>
      <c r="BY129" s="293">
        <f>DIVISIONS!BY623</f>
        <v>0</v>
      </c>
      <c r="BZ129" s="293">
        <f t="shared" si="133"/>
        <v>10</v>
      </c>
      <c r="CB129" s="293">
        <f>DIVISIONS!CB623</f>
        <v>0</v>
      </c>
      <c r="CC129" s="293">
        <f>DIVISIONS!CC623</f>
        <v>0</v>
      </c>
      <c r="CD129" s="293">
        <f t="shared" si="134"/>
        <v>0</v>
      </c>
      <c r="CF129" s="293">
        <f>DIVISIONS!CF623</f>
        <v>0</v>
      </c>
      <c r="CG129" s="293">
        <f>DIVISIONS!CG623</f>
        <v>0</v>
      </c>
      <c r="CH129" s="293">
        <f t="shared" si="135"/>
        <v>0</v>
      </c>
      <c r="CJ129" s="293">
        <f>DIVISIONS!CJ623</f>
        <v>0</v>
      </c>
      <c r="CK129" s="293">
        <f>DIVISIONS!CK623</f>
        <v>0</v>
      </c>
      <c r="CL129" s="293">
        <f t="shared" si="142"/>
        <v>0</v>
      </c>
      <c r="CN129" s="293">
        <f>DIVISIONS!CN623</f>
        <v>0</v>
      </c>
      <c r="CO129" s="293">
        <f>DIVISIONS!CO623</f>
        <v>0</v>
      </c>
      <c r="CP129" s="293">
        <f t="shared" si="143"/>
        <v>0</v>
      </c>
      <c r="CR129" s="293">
        <f>DIVISIONS!CR623</f>
        <v>0</v>
      </c>
      <c r="CS129" s="293">
        <f>DIVISIONS!CS623</f>
        <v>0</v>
      </c>
      <c r="CT129" s="293">
        <f t="shared" si="144"/>
        <v>0</v>
      </c>
      <c r="CV129" s="293">
        <f>DIVISIONS!CV623</f>
        <v>0</v>
      </c>
      <c r="CW129" s="293">
        <f>DIVISIONS!CW623</f>
        <v>0</v>
      </c>
      <c r="CX129" s="293">
        <f t="shared" si="145"/>
        <v>0</v>
      </c>
      <c r="CZ129" s="293">
        <f>DIVISIONS!CZ623</f>
        <v>0</v>
      </c>
      <c r="DA129" s="293">
        <f>DIVISIONS!DA623</f>
        <v>0</v>
      </c>
      <c r="DB129" s="293">
        <f t="shared" si="146"/>
        <v>0</v>
      </c>
      <c r="DD129" s="293">
        <f>DIVISIONS!DD623</f>
        <v>0</v>
      </c>
      <c r="DE129" s="293">
        <f ca="1">DIVISIONS!DE623</f>
        <v>0</v>
      </c>
      <c r="DF129" s="293">
        <f t="shared" ca="1" si="147"/>
        <v>0</v>
      </c>
      <c r="DH129" s="293">
        <f>DIVISIONS!DH623</f>
        <v>0</v>
      </c>
      <c r="DI129" s="293">
        <f>DH129*(1+DI$134)</f>
        <v>0</v>
      </c>
      <c r="DJ129" s="293">
        <f>DH129+DI129</f>
        <v>0</v>
      </c>
      <c r="DL129" s="293">
        <f>DI129*(1+DL$134)</f>
        <v>0</v>
      </c>
      <c r="DM129" s="293">
        <f>DL129*(1+DM$134)</f>
        <v>0</v>
      </c>
      <c r="DN129" s="293">
        <f>DL129+DM129</f>
        <v>0</v>
      </c>
      <c r="DP129" s="293">
        <f>DM129*(1+DP$134)</f>
        <v>0</v>
      </c>
      <c r="DQ129" s="293">
        <f>DP129*(1+DQ$134)</f>
        <v>0</v>
      </c>
      <c r="DR129" s="293">
        <f>DP129+DQ129</f>
        <v>0</v>
      </c>
      <c r="DU129" s="818"/>
      <c r="DV129" s="818"/>
      <c r="DW129" s="818"/>
      <c r="DZ129" s="818"/>
      <c r="EA129" s="818"/>
      <c r="ED129" s="818"/>
      <c r="EE129" s="818"/>
    </row>
    <row r="130" spans="1:273" s="289" customFormat="1">
      <c r="A130" s="289" t="s">
        <v>613</v>
      </c>
      <c r="B130" s="290"/>
      <c r="AN130" s="290">
        <f>SUM(AN125:AN128)</f>
        <v>850</v>
      </c>
      <c r="AO130" s="290">
        <f>SUM(AO125:AO128)</f>
        <v>538</v>
      </c>
      <c r="AR130" s="295">
        <f>SUM(AR125:AR128)</f>
        <v>590</v>
      </c>
      <c r="AS130" s="295">
        <f>SUM(AS125:AS128)</f>
        <v>685</v>
      </c>
      <c r="AT130" s="295">
        <f>AR130+AS130</f>
        <v>1275</v>
      </c>
      <c r="AU130" s="295"/>
      <c r="AV130" s="295">
        <f>SUM(AV125:AV129)</f>
        <v>509</v>
      </c>
      <c r="AW130" s="295">
        <f>SUM(AW125:AW129)</f>
        <v>384</v>
      </c>
      <c r="AX130" s="295">
        <f>AV130+AW130</f>
        <v>893</v>
      </c>
      <c r="AY130" s="295"/>
      <c r="AZ130" s="295">
        <f>SUM(AZ125:AZ129)</f>
        <v>307.5</v>
      </c>
      <c r="BA130" s="295">
        <f>SUM(BA125:BA129)</f>
        <v>439.5</v>
      </c>
      <c r="BB130" s="295">
        <f>AZ130+BA130</f>
        <v>747</v>
      </c>
      <c r="BC130" s="295"/>
      <c r="BD130" s="295">
        <f>SUM(BD125:BD129)</f>
        <v>297</v>
      </c>
      <c r="BE130" s="295">
        <f>SUM(BE125:BE129)</f>
        <v>284</v>
      </c>
      <c r="BF130" s="295">
        <f>BD130+BE130</f>
        <v>581</v>
      </c>
      <c r="BG130" s="295"/>
      <c r="BH130" s="295">
        <f>SUM(BH125:BH129)</f>
        <v>338</v>
      </c>
      <c r="BI130" s="295">
        <f>SUM(BI125:BI129)</f>
        <v>328</v>
      </c>
      <c r="BJ130" s="295">
        <f t="shared" si="129"/>
        <v>666</v>
      </c>
      <c r="BK130" s="295"/>
      <c r="BL130" s="295">
        <f>SUM(BL125:BL129)</f>
        <v>366</v>
      </c>
      <c r="BM130" s="295">
        <f>SUM(BM125:BM129)</f>
        <v>457</v>
      </c>
      <c r="BN130" s="295">
        <f t="shared" si="130"/>
        <v>823</v>
      </c>
      <c r="BO130" s="295"/>
      <c r="BP130" s="295">
        <f>SUM(BP125:BP129)</f>
        <v>443</v>
      </c>
      <c r="BQ130" s="295">
        <f>SUM(BQ125:BQ129)</f>
        <v>553</v>
      </c>
      <c r="BR130" s="295">
        <f t="shared" si="131"/>
        <v>996</v>
      </c>
      <c r="BS130" s="295"/>
      <c r="BT130" s="295">
        <f>SUM(BT125:BT129)</f>
        <v>479</v>
      </c>
      <c r="BU130" s="295">
        <f>SUM(BU125:BU129)</f>
        <v>353</v>
      </c>
      <c r="BV130" s="295">
        <f t="shared" si="132"/>
        <v>832</v>
      </c>
      <c r="BW130" s="295"/>
      <c r="BX130" s="295">
        <f>SUM(BX125:BX129)</f>
        <v>403.04827586206898</v>
      </c>
      <c r="BY130" s="295">
        <f>SUM(BY125:BY129)</f>
        <v>445.01379310344828</v>
      </c>
      <c r="BZ130" s="295">
        <f t="shared" si="133"/>
        <v>848.06206896551726</v>
      </c>
      <c r="CA130" s="290"/>
      <c r="CB130" s="295">
        <f>SUM(CB125:CB129)</f>
        <v>398.71724137931039</v>
      </c>
      <c r="CC130" s="295">
        <f>SUM(CC125:CC129)</f>
        <v>399.66206896551722</v>
      </c>
      <c r="CD130" s="295">
        <f t="shared" si="134"/>
        <v>798.37931034482767</v>
      </c>
      <c r="CE130" s="581"/>
      <c r="CF130" s="295">
        <f>SUM(CF125:CF129)</f>
        <v>526</v>
      </c>
      <c r="CG130" s="295">
        <f>SUM(CG125:CG129)</f>
        <v>403</v>
      </c>
      <c r="CH130" s="295">
        <f t="shared" si="135"/>
        <v>929</v>
      </c>
      <c r="CI130" s="581"/>
      <c r="CJ130" s="295">
        <f>SUM(CJ125:CJ129)</f>
        <v>415</v>
      </c>
      <c r="CK130" s="295">
        <f>SUM(CK125:CK129)</f>
        <v>536</v>
      </c>
      <c r="CL130" s="295">
        <f t="shared" si="142"/>
        <v>951</v>
      </c>
      <c r="CM130" s="581"/>
      <c r="CN130" s="295">
        <f>SUM(CN125:CN129)</f>
        <v>665</v>
      </c>
      <c r="CO130" s="295">
        <f>SUM(CO125:CO129)</f>
        <v>722</v>
      </c>
      <c r="CP130" s="295">
        <f t="shared" si="143"/>
        <v>1387</v>
      </c>
      <c r="CQ130" s="581"/>
      <c r="CR130" s="295">
        <f>SUM(CR125:CR129)</f>
        <v>865</v>
      </c>
      <c r="CS130" s="295">
        <f>SUM(CS125:CS129)</f>
        <v>1002</v>
      </c>
      <c r="CT130" s="295">
        <f t="shared" si="144"/>
        <v>1867</v>
      </c>
      <c r="CU130" s="290"/>
      <c r="CV130" s="295">
        <f>SUM(CV125:CV129)</f>
        <v>664</v>
      </c>
      <c r="CW130" s="295">
        <f>SUM(CW125:CW129)</f>
        <v>692</v>
      </c>
      <c r="CX130" s="295">
        <f t="shared" si="145"/>
        <v>1356</v>
      </c>
      <c r="CY130" s="290"/>
      <c r="CZ130" s="295">
        <f>SUM(CZ125:CZ129)</f>
        <v>628</v>
      </c>
      <c r="DA130" s="295">
        <f>SUM(DA125:DA129)</f>
        <v>573</v>
      </c>
      <c r="DB130" s="295">
        <f t="shared" si="146"/>
        <v>1201</v>
      </c>
      <c r="DC130" s="290"/>
      <c r="DD130" s="295">
        <f>SUM(DD125:DD129)</f>
        <v>671</v>
      </c>
      <c r="DE130" s="295">
        <f ca="1">SUM(DE125:DE129)</f>
        <v>782</v>
      </c>
      <c r="DF130" s="295">
        <f t="shared" ca="1" si="147"/>
        <v>1453</v>
      </c>
      <c r="DG130" s="290"/>
      <c r="DH130" s="295">
        <f>SUM(DH125:DH129)</f>
        <v>850</v>
      </c>
      <c r="DI130" s="295">
        <f>SUM(DI125:DI129)</f>
        <v>865.9</v>
      </c>
      <c r="DJ130" s="295">
        <f>DH130+DI130</f>
        <v>1715.9</v>
      </c>
      <c r="DK130" s="290"/>
      <c r="DL130" s="295">
        <f>SUM(DL125:DL129)</f>
        <v>902.47900000000004</v>
      </c>
      <c r="DM130" s="295">
        <f>SUM(DM125:DM129)</f>
        <v>940.6854699999999</v>
      </c>
      <c r="DN130" s="295">
        <f>DL130+DM130</f>
        <v>1843.1644699999999</v>
      </c>
      <c r="DO130" s="290"/>
      <c r="DP130" s="295">
        <f>SUM(DP125:DP129)</f>
        <v>963.06168159999993</v>
      </c>
      <c r="DQ130" s="295">
        <f>SUM(DQ125:DQ129)</f>
        <v>985.9922924980001</v>
      </c>
      <c r="DR130" s="295">
        <f>DP130+DQ130</f>
        <v>1949.053974098</v>
      </c>
      <c r="DS130" s="290"/>
      <c r="DT130" s="290"/>
      <c r="DU130" s="853"/>
      <c r="DV130" s="853"/>
      <c r="DW130" s="853"/>
      <c r="DX130" s="290"/>
      <c r="DY130" s="290"/>
      <c r="DZ130" s="853"/>
      <c r="EA130" s="853"/>
      <c r="EB130" s="290"/>
      <c r="EC130" s="290"/>
      <c r="ED130" s="853"/>
      <c r="EE130" s="853"/>
      <c r="EF130" s="290"/>
      <c r="EG130" s="290"/>
      <c r="EH130" s="290"/>
      <c r="EI130" s="290"/>
      <c r="EJ130" s="290"/>
      <c r="EK130" s="290"/>
      <c r="EL130" s="290"/>
      <c r="EM130" s="290"/>
      <c r="EN130" s="290"/>
      <c r="EO130" s="290"/>
      <c r="EP130" s="290"/>
      <c r="JM130"/>
    </row>
    <row r="131" spans="1:273" s="289" customFormat="1">
      <c r="A131" s="328" t="s">
        <v>382</v>
      </c>
      <c r="B131" s="290"/>
      <c r="AN131" s="290"/>
      <c r="AO131" s="290"/>
      <c r="AR131" s="290"/>
      <c r="AS131" s="290"/>
      <c r="AT131" s="853"/>
      <c r="AU131" s="290"/>
      <c r="AV131" s="290"/>
      <c r="AW131" s="290"/>
      <c r="AX131" s="853"/>
      <c r="AY131" s="290"/>
      <c r="AZ131" s="290"/>
      <c r="BA131" s="853"/>
      <c r="BB131" s="853"/>
      <c r="BC131" s="295"/>
      <c r="BD131" s="290"/>
      <c r="BE131" s="853"/>
      <c r="BF131" s="853"/>
      <c r="BG131" s="295"/>
      <c r="BH131" s="290"/>
      <c r="BI131" s="853"/>
      <c r="BJ131" s="853"/>
      <c r="BK131" s="290"/>
      <c r="BL131" s="290"/>
      <c r="BM131" s="853"/>
      <c r="BN131" s="853"/>
      <c r="BO131" s="290"/>
      <c r="BP131" s="290"/>
      <c r="BQ131" s="853"/>
      <c r="BR131" s="853"/>
      <c r="BS131" s="290"/>
      <c r="BT131" s="868">
        <v>537</v>
      </c>
      <c r="BU131" s="853"/>
      <c r="BV131" s="853"/>
      <c r="BW131" s="290"/>
      <c r="BX131" s="868"/>
      <c r="BY131" s="868"/>
      <c r="BZ131" s="853"/>
      <c r="CA131" s="290"/>
      <c r="CB131" s="868"/>
      <c r="CC131" s="868"/>
      <c r="CD131" s="853"/>
      <c r="CE131" s="581"/>
      <c r="CF131" s="868"/>
      <c r="CG131" s="868"/>
      <c r="CH131" s="853"/>
      <c r="CI131" s="581"/>
      <c r="CJ131" s="868"/>
      <c r="CK131" s="868"/>
      <c r="CL131" s="853"/>
      <c r="CM131" s="581"/>
      <c r="CN131" s="868"/>
      <c r="CO131" s="868"/>
      <c r="CP131" s="853"/>
      <c r="CQ131" s="581"/>
      <c r="CR131" s="868"/>
      <c r="CS131" s="868"/>
      <c r="CT131" s="853"/>
      <c r="CU131" s="290"/>
      <c r="CV131" s="868"/>
      <c r="CW131" s="868"/>
      <c r="CX131" s="853"/>
      <c r="CY131" s="290"/>
      <c r="CZ131" s="868"/>
      <c r="DA131" s="868"/>
      <c r="DB131" s="853"/>
      <c r="DC131" s="290"/>
      <c r="DD131" s="868"/>
      <c r="DE131" s="868"/>
      <c r="DF131" s="853"/>
      <c r="DG131" s="290"/>
      <c r="DH131" s="868"/>
      <c r="DI131" s="853"/>
      <c r="DJ131" s="853"/>
      <c r="DK131" s="290"/>
      <c r="DL131" s="853"/>
      <c r="DM131" s="853"/>
      <c r="DN131" s="853"/>
      <c r="DO131" s="290"/>
      <c r="DP131" s="853"/>
      <c r="DQ131" s="853"/>
      <c r="DR131" s="853"/>
      <c r="DS131" s="290"/>
      <c r="DT131" s="290"/>
      <c r="DU131" s="853"/>
      <c r="DV131" s="853"/>
      <c r="DW131" s="853"/>
      <c r="DX131" s="290"/>
      <c r="DY131" s="290"/>
      <c r="DZ131" s="853"/>
      <c r="EA131" s="853"/>
      <c r="EB131" s="290"/>
      <c r="EC131" s="290"/>
      <c r="ED131" s="853"/>
      <c r="EE131" s="853"/>
      <c r="EF131" s="290"/>
      <c r="EG131" s="290"/>
      <c r="EH131" s="290"/>
      <c r="EI131" s="290"/>
      <c r="EJ131" s="290"/>
      <c r="EK131" s="290"/>
      <c r="EL131" s="290"/>
      <c r="EM131" s="290"/>
      <c r="EN131" s="290"/>
      <c r="EO131" s="290"/>
      <c r="EP131" s="290"/>
      <c r="JM131"/>
    </row>
    <row r="132" spans="1:273" s="870" customFormat="1">
      <c r="A132" s="323" t="s">
        <v>186</v>
      </c>
      <c r="B132" s="115"/>
      <c r="C132" s="323"/>
      <c r="D132" s="323"/>
      <c r="E132" s="323"/>
      <c r="F132" s="323"/>
      <c r="G132" s="323"/>
      <c r="H132" s="323"/>
      <c r="I132" s="323"/>
      <c r="J132" s="323"/>
      <c r="K132" s="323"/>
      <c r="L132" s="323"/>
      <c r="M132" s="323"/>
      <c r="N132" s="323"/>
      <c r="O132" s="323"/>
      <c r="P132" s="323"/>
      <c r="Q132" s="323"/>
      <c r="R132" s="323"/>
      <c r="S132" s="323"/>
      <c r="T132" s="323"/>
      <c r="U132" s="323"/>
      <c r="V132" s="323"/>
      <c r="W132" s="323"/>
      <c r="X132" s="323"/>
      <c r="Y132" s="323"/>
      <c r="Z132" s="323"/>
      <c r="AA132" s="323"/>
      <c r="AB132" s="323"/>
      <c r="AC132" s="323"/>
      <c r="AD132" s="323"/>
      <c r="AE132" s="323"/>
      <c r="AF132" s="323"/>
      <c r="AG132" s="323"/>
      <c r="AH132" s="323"/>
      <c r="AI132" s="323"/>
      <c r="AJ132" s="323"/>
      <c r="AK132" s="323"/>
      <c r="AL132" s="323"/>
      <c r="AM132" s="323"/>
      <c r="AN132" s="115"/>
      <c r="AO132" s="817"/>
      <c r="AP132" s="115"/>
      <c r="AQ132" s="115"/>
      <c r="AR132" s="817">
        <f>+(AR125+AR126)/(AO125+AO126)-1</f>
        <v>9.6654275092936892E-2</v>
      </c>
      <c r="AS132" s="817">
        <f>+(AS125+AS126)/(AR125+AR126)-1</f>
        <v>0.16101694915254239</v>
      </c>
      <c r="AT132" s="115"/>
      <c r="AU132" s="115"/>
      <c r="AV132" s="817">
        <f>+(AV125+AV126)/(AS125+AS126)-1</f>
        <v>-0.32992700729927005</v>
      </c>
      <c r="AW132" s="817">
        <f>+(AW125+AW126)/(AV125+AV126)-1</f>
        <v>-0.24836601307189543</v>
      </c>
      <c r="AX132" s="115"/>
      <c r="AY132" s="115"/>
      <c r="AZ132" s="817">
        <f>+(AZ125+AZ126)/(AW125+AW126)-1</f>
        <v>-0.18405797101449273</v>
      </c>
      <c r="BA132" s="817">
        <f>+(BA125+BA126)/(AZ125+AZ126)-1</f>
        <v>0.37655417406749558</v>
      </c>
      <c r="BB132" s="869"/>
      <c r="BC132" s="115"/>
      <c r="BD132" s="817">
        <f>+(BD125+BD126)/(BA125+BA126)-1</f>
        <v>-0.30064516129032259</v>
      </c>
      <c r="BE132" s="817">
        <f>+(BE125+BE126)/(BD125+BD126)-1</f>
        <v>-2.9520295202952074E-2</v>
      </c>
      <c r="BF132" s="869"/>
      <c r="BG132" s="869"/>
      <c r="BH132" s="817">
        <f>+(BH125+BH126)/(BE125+BE126)-1</f>
        <v>7.9847908745247054E-2</v>
      </c>
      <c r="BI132" s="817">
        <f>+(BI125+BI126)/(BH125+BH126)-1</f>
        <v>-5.633802816901412E-2</v>
      </c>
      <c r="BJ132" s="869"/>
      <c r="BK132" s="869"/>
      <c r="BL132" s="817">
        <f>+(BL125+BL126)/(BI125+BI126)-1</f>
        <v>0.10820895522388052</v>
      </c>
      <c r="BM132" s="817">
        <f>+(BM125+BM126)/(BL125+BL126)-1</f>
        <v>0.29292929292929304</v>
      </c>
      <c r="BN132" s="869"/>
      <c r="BO132" s="869"/>
      <c r="BP132" s="817">
        <f>+(BP125+BP126)/(BM125+BM126)-1</f>
        <v>-0.10677083333333337</v>
      </c>
      <c r="BQ132" s="817">
        <f>+(BQ125+BQ126)/(BP125+BP126)-1</f>
        <v>0.38192419825072887</v>
      </c>
      <c r="BR132" s="869"/>
      <c r="BS132" s="869"/>
      <c r="BT132" s="817">
        <f>+(BT125+BT126)/(BQ125+BQ126)-1</f>
        <v>-1.0548523206751037E-2</v>
      </c>
      <c r="BU132" s="817">
        <f>+(BU125+BU126)/(BT125+BT126)-1</f>
        <v>-0.24733475479744138</v>
      </c>
      <c r="BV132" s="869"/>
      <c r="BW132" s="869"/>
      <c r="BX132" s="817">
        <f>+(BX125+BX126)/(BU125+BU126)-1</f>
        <v>0.11345120640812745</v>
      </c>
      <c r="BY132" s="817">
        <f>+(BY125+BY126)/(BX125+BX126)-1</f>
        <v>0.13221153846153855</v>
      </c>
      <c r="BZ132" s="869"/>
      <c r="CA132" s="869"/>
      <c r="CB132" s="817">
        <f>+(CB125+CB126)/(BY125+BY126)-1</f>
        <v>-0.10403397027600836</v>
      </c>
      <c r="CC132" s="817">
        <f>+(CC125+CC126)/(CB125+CB126)-1</f>
        <v>2.3696682464453556E-3</v>
      </c>
      <c r="CD132" s="869"/>
      <c r="CE132" s="869"/>
      <c r="CF132" s="817">
        <f>+(CF125+CF126)/(CC125+CC126)-1</f>
        <v>0.31611188762920395</v>
      </c>
      <c r="CG132" s="817">
        <f>+(CG125+CG126)/(CF125+CF126)-1</f>
        <v>-0.23384030418250945</v>
      </c>
      <c r="CH132" s="869"/>
      <c r="CI132" s="869"/>
      <c r="CJ132" s="817">
        <f>+(CJ125+CJ126)/(CG125+CG126)-1</f>
        <v>2.977667493796532E-2</v>
      </c>
      <c r="CK132" s="817">
        <f>+(CK125+CK126)/(CJ125+CJ126)-1</f>
        <v>0.29156626506024086</v>
      </c>
      <c r="CL132" s="869"/>
      <c r="CM132" s="869"/>
      <c r="CN132" s="817">
        <f>+(CN125+CN126)/(CK125+CK126)-1</f>
        <v>0.24067164179104483</v>
      </c>
      <c r="CO132" s="817">
        <f>+(CO125+CO126)/(CN125+CN126)-1</f>
        <v>8.5714285714285632E-2</v>
      </c>
      <c r="CP132" s="869"/>
      <c r="CQ132" s="869"/>
      <c r="CR132" s="817">
        <f>+(CR125+CR126)/(CO125+CO126)-1</f>
        <v>0.19806094182825484</v>
      </c>
      <c r="CS132" s="817">
        <f>+(CS125+CS126)/(CR125+CR126)-1</f>
        <v>0.15838150289017339</v>
      </c>
      <c r="CT132" s="869"/>
      <c r="CU132" s="869"/>
      <c r="CV132" s="817">
        <f>+(CV125+CV126)/(CS125+CS126)-1</f>
        <v>-0.33732534930139724</v>
      </c>
      <c r="CW132" s="817">
        <f>+(CW125+CW126)/(CV125+CV126)-1</f>
        <v>4.2168674698795261E-2</v>
      </c>
      <c r="CX132" s="869"/>
      <c r="CY132" s="869"/>
      <c r="CZ132" s="817">
        <f>+(CZ125+CZ126)/(CW125+CW126)-1</f>
        <v>-9.2485549132947931E-2</v>
      </c>
      <c r="DA132" s="817">
        <f>+(DA125+DA126)/(CZ125+CZ126)-1</f>
        <v>-8.7579617834394941E-2</v>
      </c>
      <c r="DB132" s="869"/>
      <c r="DC132" s="869"/>
      <c r="DD132" s="817">
        <f>+(DD125+DD126)/(DA125+DA126)-1</f>
        <v>0.17102966841186729</v>
      </c>
      <c r="DE132" s="817">
        <f>+(DE125+DE126)/(DD125+DD126)-1</f>
        <v>0.16542473919523104</v>
      </c>
      <c r="DF132" s="869"/>
      <c r="DG132" s="869"/>
      <c r="DH132" s="817">
        <f>+(DH125+DH126)/(DE125+DE126)-1</f>
        <v>8.6956521739130377E-2</v>
      </c>
      <c r="DI132" s="817">
        <f>DI130/DH130-1</f>
        <v>1.8705882352941128E-2</v>
      </c>
      <c r="DJ132" s="869"/>
      <c r="DK132" s="869"/>
      <c r="DL132" s="817">
        <f>DL130/DI130-1</f>
        <v>4.2243908072525871E-2</v>
      </c>
      <c r="DM132" s="817">
        <f>DM130/DL130-1</f>
        <v>4.2335023862051013E-2</v>
      </c>
      <c r="DN132" s="869"/>
      <c r="DO132" s="869"/>
      <c r="DP132" s="817">
        <f>DP130/DM130-1</f>
        <v>2.3787134290487177E-2</v>
      </c>
      <c r="DQ132" s="817">
        <f>DQ130/DP130-1</f>
        <v>2.3810116564812356E-2</v>
      </c>
      <c r="DR132" s="869"/>
      <c r="DS132" s="869"/>
      <c r="DT132" s="869"/>
      <c r="DU132" s="869"/>
      <c r="DV132" s="869"/>
      <c r="DW132" s="869"/>
      <c r="DX132" s="869"/>
      <c r="DY132" s="869"/>
      <c r="DZ132" s="869"/>
      <c r="EA132" s="869"/>
      <c r="EB132" s="869"/>
      <c r="EC132" s="869"/>
      <c r="ED132" s="869"/>
      <c r="EE132" s="869"/>
      <c r="EF132" s="869"/>
      <c r="EG132" s="869"/>
      <c r="EH132" s="869"/>
      <c r="EI132" s="869"/>
      <c r="EJ132" s="869"/>
      <c r="EK132" s="869"/>
      <c r="EL132" s="869"/>
      <c r="EM132" s="869"/>
      <c r="EN132" s="869"/>
      <c r="EO132" s="869"/>
      <c r="EP132" s="869"/>
      <c r="JM132"/>
    </row>
    <row r="133" spans="1:273" s="870" customFormat="1">
      <c r="A133" s="323" t="s">
        <v>187</v>
      </c>
      <c r="B133" s="115"/>
      <c r="C133" s="323"/>
      <c r="D133" s="323"/>
      <c r="E133" s="323"/>
      <c r="F133" s="323"/>
      <c r="G133" s="323"/>
      <c r="H133" s="323"/>
      <c r="I133" s="323"/>
      <c r="J133" s="323"/>
      <c r="K133" s="323"/>
      <c r="L133" s="323"/>
      <c r="M133" s="323"/>
      <c r="N133" s="323"/>
      <c r="O133" s="323"/>
      <c r="P133" s="323"/>
      <c r="Q133" s="323"/>
      <c r="R133" s="323"/>
      <c r="S133" s="323"/>
      <c r="T133" s="323"/>
      <c r="U133" s="323"/>
      <c r="V133" s="323"/>
      <c r="W133" s="323"/>
      <c r="X133" s="323"/>
      <c r="Y133" s="323"/>
      <c r="Z133" s="323"/>
      <c r="AA133" s="323"/>
      <c r="AB133" s="323"/>
      <c r="AC133" s="323"/>
      <c r="AD133" s="323"/>
      <c r="AE133" s="323"/>
      <c r="AF133" s="323"/>
      <c r="AG133" s="323"/>
      <c r="AH133" s="323"/>
      <c r="AI133" s="323"/>
      <c r="AJ133" s="323"/>
      <c r="AK133" s="323"/>
      <c r="AL133" s="323"/>
      <c r="AM133" s="323"/>
      <c r="AN133" s="115"/>
      <c r="AO133" s="817"/>
      <c r="AP133" s="115"/>
      <c r="AQ133" s="115"/>
      <c r="AR133" s="817"/>
      <c r="AS133" s="817"/>
      <c r="AT133" s="115"/>
      <c r="AU133" s="115"/>
      <c r="AV133" s="817" t="str">
        <f>IFERROR(+AV127/AS127-1,"na")</f>
        <v>na</v>
      </c>
      <c r="AW133" s="817" t="str">
        <f>IFERROR(+AW127/AV127-1,"na")</f>
        <v>na</v>
      </c>
      <c r="AX133" s="115"/>
      <c r="AY133" s="115"/>
      <c r="AZ133" s="817" t="str">
        <f>IFERROR(+AZ127/AW127-1,"na")</f>
        <v>na</v>
      </c>
      <c r="BA133" s="817" t="str">
        <f>IFERROR(+BA127/AZ127-1,"na")</f>
        <v>na</v>
      </c>
      <c r="BB133" s="869"/>
      <c r="BC133" s="115"/>
      <c r="BD133" s="817" t="str">
        <f>IFERROR(+BD127/BA127-1,"na")</f>
        <v>na</v>
      </c>
      <c r="BE133" s="817" t="str">
        <f>IFERROR(+BE127/BD127-1,"na")</f>
        <v>na</v>
      </c>
      <c r="BF133" s="869"/>
      <c r="BG133" s="869"/>
      <c r="BH133" s="817" t="str">
        <f>IFERROR(+BH127/BE127-1,"na")</f>
        <v>na</v>
      </c>
      <c r="BI133" s="817" t="str">
        <f>IFERROR(+BI127/BH127-1,"na")</f>
        <v>na</v>
      </c>
      <c r="BJ133" s="869"/>
      <c r="BK133" s="869"/>
      <c r="BL133" s="817" t="str">
        <f>IFERROR(+BL127/BI127-1,"na")</f>
        <v>na</v>
      </c>
      <c r="BM133" s="817" t="str">
        <f>IFERROR(+BM127/BL127-1,"na")</f>
        <v>na</v>
      </c>
      <c r="BN133" s="869"/>
      <c r="BO133" s="869"/>
      <c r="BP133" s="817" t="str">
        <f>IFERROR(+BP127/BM127-1,"na")</f>
        <v>na</v>
      </c>
      <c r="BQ133" s="817" t="str">
        <f>IFERROR(+BQ127/BP127-1,"na")</f>
        <v>na</v>
      </c>
      <c r="BR133" s="869"/>
      <c r="BS133" s="869"/>
      <c r="BT133" s="817" t="str">
        <f>IFERROR(+BT127/BQ127-1,"na")</f>
        <v>na</v>
      </c>
      <c r="BU133" s="817" t="str">
        <f>IFERROR(+BU127/BT127-1,"na")</f>
        <v>na</v>
      </c>
      <c r="BV133" s="869"/>
      <c r="BW133" s="869"/>
      <c r="BX133" s="817" t="str">
        <f>IFERROR(+BX127/BU127-1,"na")</f>
        <v>na</v>
      </c>
      <c r="BY133" s="817" t="str">
        <f>IFERROR(+BY127/BX127-1,"na")</f>
        <v>na</v>
      </c>
      <c r="BZ133" s="869"/>
      <c r="CA133" s="869"/>
      <c r="CB133" s="817" t="str">
        <f>IFERROR(+CB127/BY127-1,"na")</f>
        <v>na</v>
      </c>
      <c r="CC133" s="817" t="str">
        <f>IFERROR(+CC127/CB127-1,"na")</f>
        <v>na</v>
      </c>
      <c r="CD133" s="869"/>
      <c r="CE133" s="869"/>
      <c r="CF133" s="817" t="str">
        <f>IFERROR(+CF127/CC127-1,"na")</f>
        <v>na</v>
      </c>
      <c r="CG133" s="817" t="str">
        <f>IFERROR(+CG127/CF127-1,"na")</f>
        <v>na</v>
      </c>
      <c r="CH133" s="869"/>
      <c r="CI133" s="869"/>
      <c r="CJ133" s="817" t="str">
        <f>IFERROR(+CJ127/CG127-1,"na")</f>
        <v>na</v>
      </c>
      <c r="CK133" s="817" t="str">
        <f>IFERROR(+CK127/CJ127-1,"na")</f>
        <v>na</v>
      </c>
      <c r="CL133" s="869"/>
      <c r="CM133" s="869"/>
      <c r="CN133" s="817" t="str">
        <f>IFERROR(+CN127/CK127-1,"na")</f>
        <v>na</v>
      </c>
      <c r="CO133" s="817" t="str">
        <f>IFERROR(+CO127/CN127-1,"na")</f>
        <v>na</v>
      </c>
      <c r="CP133" s="869"/>
      <c r="CQ133" s="869"/>
      <c r="CR133" s="817" t="str">
        <f>IFERROR(+CR127/CO127-1,"na")</f>
        <v>na</v>
      </c>
      <c r="CS133" s="817" t="str">
        <f>IFERROR(+CS127/CR127-1,"na")</f>
        <v>na</v>
      </c>
      <c r="CT133" s="869"/>
      <c r="CU133" s="869"/>
      <c r="CV133" s="817" t="str">
        <f>IFERROR(+CV127/CS127-1,"na")</f>
        <v>na</v>
      </c>
      <c r="CW133" s="817" t="str">
        <f>IFERROR(+CW127/CV127-1,"na")</f>
        <v>na</v>
      </c>
      <c r="CX133" s="869"/>
      <c r="CY133" s="869"/>
      <c r="CZ133" s="817" t="str">
        <f>IFERROR(+CZ127/CW127-1,"na")</f>
        <v>na</v>
      </c>
      <c r="DA133" s="817" t="str">
        <f>IFERROR(+DA127/CZ127-1,"na")</f>
        <v>na</v>
      </c>
      <c r="DB133" s="869"/>
      <c r="DC133" s="869"/>
      <c r="DD133" s="817" t="str">
        <f>IFERROR(+DD127/DA127-1,"na")</f>
        <v>na</v>
      </c>
      <c r="DE133" s="817" t="str">
        <f>IFERROR(+DE127/DD127-1,"na")</f>
        <v>na</v>
      </c>
      <c r="DF133" s="869"/>
      <c r="DG133" s="869"/>
      <c r="DH133" s="817" t="str">
        <f>IFERROR(+DH127/DE127-1,"na")</f>
        <v>na</v>
      </c>
      <c r="DI133" s="817" t="str">
        <f>IFERROR(+DI127/DH127-1,"na")</f>
        <v>na</v>
      </c>
      <c r="DJ133" s="869"/>
      <c r="DK133" s="869"/>
      <c r="DL133" s="817" t="str">
        <f>IFERROR(+DL127/DI127-1,"na")</f>
        <v>na</v>
      </c>
      <c r="DM133" s="817" t="str">
        <f>IFERROR(+DM127/DL127-1,"na")</f>
        <v>na</v>
      </c>
      <c r="DN133" s="869"/>
      <c r="DO133" s="869"/>
      <c r="DP133" s="817" t="str">
        <f>IFERROR(+DP127/DM127-1,"na")</f>
        <v>na</v>
      </c>
      <c r="DQ133" s="817" t="str">
        <f>IFERROR(+DQ127/DP127-1,"na")</f>
        <v>na</v>
      </c>
      <c r="DR133" s="869"/>
      <c r="DS133" s="869"/>
      <c r="DT133" s="869"/>
      <c r="DU133" s="869"/>
      <c r="DV133" s="869"/>
      <c r="DW133" s="869"/>
      <c r="DX133" s="869"/>
      <c r="DY133" s="869"/>
      <c r="DZ133" s="869"/>
      <c r="EA133" s="869"/>
      <c r="EB133" s="869"/>
      <c r="EC133" s="869"/>
      <c r="ED133" s="869"/>
      <c r="EE133" s="869"/>
      <c r="EF133" s="869"/>
      <c r="EG133" s="869"/>
      <c r="EH133" s="869"/>
      <c r="EI133" s="869"/>
      <c r="EJ133" s="869"/>
      <c r="EK133" s="869"/>
      <c r="EL133" s="869"/>
      <c r="EM133" s="869"/>
      <c r="EN133" s="869"/>
      <c r="EO133" s="869"/>
      <c r="EP133" s="869"/>
      <c r="JM133"/>
    </row>
    <row r="134" spans="1:273" s="870" customFormat="1">
      <c r="A134" s="323" t="s">
        <v>188</v>
      </c>
      <c r="B134" s="115"/>
      <c r="C134" s="323"/>
      <c r="D134" s="323"/>
      <c r="E134" s="323"/>
      <c r="F134" s="323"/>
      <c r="G134" s="323"/>
      <c r="H134" s="323"/>
      <c r="I134" s="323"/>
      <c r="J134" s="323"/>
      <c r="K134" s="323"/>
      <c r="L134" s="323"/>
      <c r="M134" s="323"/>
      <c r="N134" s="323"/>
      <c r="O134" s="323"/>
      <c r="P134" s="323"/>
      <c r="Q134" s="323"/>
      <c r="R134" s="323"/>
      <c r="S134" s="323"/>
      <c r="T134" s="323"/>
      <c r="U134" s="323"/>
      <c r="V134" s="323"/>
      <c r="W134" s="323"/>
      <c r="X134" s="323"/>
      <c r="Y134" s="323"/>
      <c r="Z134" s="323"/>
      <c r="AA134" s="323"/>
      <c r="AB134" s="323"/>
      <c r="AC134" s="323"/>
      <c r="AD134" s="323"/>
      <c r="AE134" s="323"/>
      <c r="AF134" s="323"/>
      <c r="AG134" s="323"/>
      <c r="AH134" s="323"/>
      <c r="AI134" s="323"/>
      <c r="AJ134" s="323"/>
      <c r="AK134" s="323"/>
      <c r="AL134" s="323"/>
      <c r="AM134" s="323"/>
      <c r="AN134" s="115"/>
      <c r="AO134" s="817"/>
      <c r="AP134" s="115"/>
      <c r="AQ134" s="115"/>
      <c r="AR134" s="817"/>
      <c r="AS134" s="817"/>
      <c r="AT134" s="115"/>
      <c r="AU134" s="115"/>
      <c r="AV134" s="817"/>
      <c r="AW134" s="817"/>
      <c r="AX134" s="115"/>
      <c r="AY134" s="115"/>
      <c r="AZ134" s="817">
        <f>+AZ129/AW129-1</f>
        <v>0.14999999999999991</v>
      </c>
      <c r="BA134" s="817">
        <f>+BA129/AZ129-1</f>
        <v>0.47826086956521729</v>
      </c>
      <c r="BB134" s="869"/>
      <c r="BC134" s="115"/>
      <c r="BD134" s="817">
        <f>+BD129/BA129-1</f>
        <v>-0.29411764705882348</v>
      </c>
      <c r="BE134" s="817">
        <f>+BE129/BD129-1</f>
        <v>-0.33333333333333337</v>
      </c>
      <c r="BF134" s="869"/>
      <c r="BG134" s="869"/>
      <c r="BH134" s="817">
        <f>+BH129/BE129-1</f>
        <v>2.0625</v>
      </c>
      <c r="BI134" s="817">
        <f>+BI129/BH129-1</f>
        <v>0.12244897959183665</v>
      </c>
      <c r="BJ134" s="869"/>
      <c r="BK134" s="869"/>
      <c r="BL134" s="817">
        <f>+BL129/BI129-1</f>
        <v>0.16363636363636358</v>
      </c>
      <c r="BM134" s="817">
        <f>+BM129/BL129-1</f>
        <v>6.25E-2</v>
      </c>
      <c r="BN134" s="869"/>
      <c r="BO134" s="869"/>
      <c r="BP134" s="817">
        <f>+BP129/BM129-1</f>
        <v>0.47058823529411775</v>
      </c>
      <c r="BQ134" s="817">
        <f>+BQ129/BP129-1</f>
        <v>-0.20999999999999996</v>
      </c>
      <c r="BR134" s="869"/>
      <c r="BS134" s="869"/>
      <c r="BT134" s="817">
        <f>+BT129/BQ129-1</f>
        <v>-0.87341772151898733</v>
      </c>
      <c r="BU134" s="817">
        <f>+BU129/BT129-1</f>
        <v>-1</v>
      </c>
      <c r="BV134" s="869"/>
      <c r="BW134" s="869"/>
      <c r="BX134" s="817" t="str">
        <f>IFERROR(+BX129/BU129-1,"na")</f>
        <v>na</v>
      </c>
      <c r="BY134" s="817">
        <f>+BY129/BX129-1</f>
        <v>-1</v>
      </c>
      <c r="BZ134" s="869"/>
      <c r="CA134" s="869"/>
      <c r="CB134" s="817" t="str">
        <f>IFERROR(+CB129/BY129-1,"na")</f>
        <v>na</v>
      </c>
      <c r="CC134" s="817"/>
      <c r="CD134" s="869"/>
      <c r="CE134" s="869"/>
      <c r="CF134" s="817" t="str">
        <f>IFERROR(+CF129/CC129-1,"na")</f>
        <v>na</v>
      </c>
      <c r="CG134" s="817"/>
      <c r="CH134" s="869"/>
      <c r="CI134" s="869"/>
      <c r="CJ134" s="817" t="str">
        <f>IFERROR(+CJ129/CG129-1,"na")</f>
        <v>na</v>
      </c>
      <c r="CK134" s="817"/>
      <c r="CL134" s="869"/>
      <c r="CM134" s="869"/>
      <c r="CN134" s="817" t="str">
        <f>IFERROR(+CN129/CK129-1,"na")</f>
        <v>na</v>
      </c>
      <c r="CO134" s="817"/>
      <c r="CP134" s="869"/>
      <c r="CQ134" s="869"/>
      <c r="CR134" s="817" t="str">
        <f>IFERROR(+CR129/CO129-1,"na")</f>
        <v>na</v>
      </c>
      <c r="CS134" s="817"/>
      <c r="CT134" s="869"/>
      <c r="CU134" s="869"/>
      <c r="CV134" s="817" t="str">
        <f>IFERROR(+CV129/CS129-1,"na")</f>
        <v>na</v>
      </c>
      <c r="CW134" s="817"/>
      <c r="CX134" s="869"/>
      <c r="CY134" s="869"/>
      <c r="CZ134" s="817" t="str">
        <f>IFERROR(+CZ129/CW129-1,"na")</f>
        <v>na</v>
      </c>
      <c r="DA134" s="817"/>
      <c r="DB134" s="869"/>
      <c r="DC134" s="869"/>
      <c r="DD134" s="817" t="str">
        <f>IFERROR(+DD129/DA129-1,"na")</f>
        <v>na</v>
      </c>
      <c r="DE134" s="817"/>
      <c r="DF134" s="869"/>
      <c r="DG134" s="869"/>
      <c r="DH134" s="817" t="str">
        <f ca="1">IFERROR(+DH129/DE129-1,"na")</f>
        <v>na</v>
      </c>
      <c r="DI134" s="869">
        <v>2.5000000000000001E-2</v>
      </c>
      <c r="DJ134" s="869"/>
      <c r="DK134" s="869"/>
      <c r="DL134" s="869">
        <v>2.5000000000000001E-2</v>
      </c>
      <c r="DM134" s="869">
        <v>2.5000000000000001E-2</v>
      </c>
      <c r="DN134" s="869"/>
      <c r="DO134" s="869"/>
      <c r="DP134" s="869">
        <v>2.5000000000000001E-2</v>
      </c>
      <c r="DQ134" s="869">
        <v>2.5000000000000001E-2</v>
      </c>
      <c r="DR134" s="869"/>
      <c r="DS134" s="869"/>
      <c r="DT134" s="869"/>
      <c r="DU134" s="869"/>
      <c r="DV134" s="869"/>
      <c r="DW134" s="869"/>
      <c r="DX134" s="869"/>
      <c r="DY134" s="869"/>
      <c r="DZ134" s="869"/>
      <c r="EA134" s="869"/>
      <c r="EB134" s="869"/>
      <c r="EC134" s="869"/>
      <c r="ED134" s="869"/>
      <c r="EE134" s="869"/>
      <c r="EF134" s="869"/>
      <c r="EG134" s="869"/>
      <c r="EH134" s="869"/>
      <c r="EI134" s="869"/>
      <c r="EJ134" s="869"/>
      <c r="EK134" s="869"/>
      <c r="EL134" s="869"/>
      <c r="EM134" s="869"/>
      <c r="EN134" s="869"/>
      <c r="EO134" s="869"/>
      <c r="EP134" s="869"/>
      <c r="JM134"/>
    </row>
    <row r="135" spans="1:273" s="874" customFormat="1">
      <c r="A135" s="328" t="s">
        <v>189</v>
      </c>
      <c r="B135" s="581"/>
      <c r="C135" s="328"/>
      <c r="D135" s="328"/>
      <c r="E135" s="328"/>
      <c r="F135" s="328"/>
      <c r="G135" s="328"/>
      <c r="H135" s="328"/>
      <c r="I135" s="328"/>
      <c r="J135" s="328"/>
      <c r="K135" s="328"/>
      <c r="L135" s="328"/>
      <c r="M135" s="328"/>
      <c r="N135" s="328"/>
      <c r="O135" s="328"/>
      <c r="P135" s="328"/>
      <c r="Q135" s="328"/>
      <c r="R135" s="328"/>
      <c r="S135" s="328"/>
      <c r="T135" s="328"/>
      <c r="U135" s="328"/>
      <c r="V135" s="328"/>
      <c r="W135" s="328"/>
      <c r="X135" s="328"/>
      <c r="Y135" s="328"/>
      <c r="Z135" s="328"/>
      <c r="AA135" s="328"/>
      <c r="AB135" s="328"/>
      <c r="AC135" s="328"/>
      <c r="AD135" s="328"/>
      <c r="AE135" s="328"/>
      <c r="AF135" s="328"/>
      <c r="AG135" s="328"/>
      <c r="AH135" s="328"/>
      <c r="AI135" s="328"/>
      <c r="AJ135" s="328"/>
      <c r="AK135" s="328"/>
      <c r="AL135" s="328"/>
      <c r="AM135" s="328"/>
      <c r="AN135" s="581"/>
      <c r="AO135" s="811"/>
      <c r="AP135" s="581"/>
      <c r="AQ135" s="581"/>
      <c r="AR135" s="811"/>
      <c r="AS135" s="811"/>
      <c r="AT135" s="581"/>
      <c r="AU135" s="581"/>
      <c r="AV135" s="811"/>
      <c r="AW135" s="811"/>
      <c r="AX135" s="581"/>
      <c r="AY135" s="581"/>
      <c r="AZ135" s="811"/>
      <c r="BA135" s="811"/>
      <c r="BB135" s="873"/>
      <c r="BC135" s="581"/>
      <c r="BD135" s="811"/>
      <c r="BE135" s="811"/>
      <c r="BF135" s="873"/>
      <c r="BG135" s="873"/>
      <c r="BH135" s="811"/>
      <c r="BI135" s="811"/>
      <c r="BJ135" s="873"/>
      <c r="BK135" s="873"/>
      <c r="BL135" s="811"/>
      <c r="BM135" s="811"/>
      <c r="BN135" s="873"/>
      <c r="BO135" s="873"/>
      <c r="BP135" s="811"/>
      <c r="BQ135" s="811"/>
      <c r="BR135" s="873"/>
      <c r="BS135" s="873"/>
      <c r="BT135" s="811"/>
      <c r="BU135" s="811"/>
      <c r="BV135" s="873"/>
      <c r="BW135" s="873"/>
      <c r="BX135" s="811"/>
      <c r="BY135" s="811"/>
      <c r="BZ135" s="873"/>
      <c r="CA135" s="873"/>
      <c r="CB135" s="811"/>
      <c r="CC135" s="811"/>
      <c r="CD135" s="873"/>
      <c r="CE135" s="873"/>
      <c r="CF135" s="811"/>
      <c r="CG135" s="811"/>
      <c r="CH135" s="873"/>
      <c r="CI135" s="873"/>
      <c r="CJ135" s="811"/>
      <c r="CK135" s="811"/>
      <c r="CL135" s="873"/>
      <c r="CM135" s="873"/>
      <c r="CN135" s="811"/>
      <c r="CO135" s="811"/>
      <c r="CP135" s="873"/>
      <c r="CQ135" s="873"/>
      <c r="CR135" s="873"/>
      <c r="CS135" s="811"/>
      <c r="CT135" s="873"/>
      <c r="CU135" s="873"/>
      <c r="CV135" s="873"/>
      <c r="CW135" s="811"/>
      <c r="CX135" s="873"/>
      <c r="CY135" s="873"/>
      <c r="CZ135" s="873"/>
      <c r="DA135" s="873"/>
      <c r="DB135" s="873"/>
      <c r="DC135" s="873"/>
      <c r="DD135" s="873"/>
      <c r="DE135" s="873"/>
      <c r="DF135" s="873"/>
      <c r="DG135" s="873"/>
      <c r="DH135" s="873"/>
      <c r="DI135" s="873"/>
      <c r="DJ135" s="873"/>
      <c r="DK135" s="873"/>
      <c r="DL135" s="873"/>
      <c r="DM135" s="873"/>
      <c r="DN135" s="873"/>
      <c r="DO135" s="873"/>
      <c r="DP135" s="873"/>
      <c r="DQ135" s="873"/>
      <c r="DR135" s="873"/>
      <c r="DS135" s="873"/>
      <c r="DT135" s="873"/>
      <c r="DU135" s="873"/>
      <c r="DV135" s="873"/>
      <c r="DW135" s="873"/>
      <c r="DX135" s="873"/>
      <c r="DY135" s="873"/>
      <c r="DZ135" s="873"/>
      <c r="EA135" s="873"/>
      <c r="EB135" s="873"/>
      <c r="EC135" s="873"/>
      <c r="ED135" s="873"/>
      <c r="EE135" s="873"/>
      <c r="EF135" s="873"/>
      <c r="EG135" s="873"/>
      <c r="EH135" s="873"/>
      <c r="EI135" s="873"/>
      <c r="EJ135" s="873"/>
      <c r="EK135" s="873"/>
      <c r="EL135" s="873"/>
      <c r="EM135" s="873"/>
      <c r="EN135" s="873"/>
      <c r="EO135" s="873"/>
      <c r="EP135" s="873"/>
      <c r="JM135"/>
    </row>
    <row r="136" spans="1:273">
      <c r="AO136" s="685"/>
      <c r="AR136" s="685"/>
      <c r="AS136" s="685"/>
      <c r="AV136" s="685"/>
      <c r="AW136" s="685"/>
      <c r="AZ136" s="685"/>
      <c r="BA136" s="685"/>
      <c r="BD136" s="685"/>
      <c r="BE136" s="685"/>
      <c r="BH136" s="685"/>
      <c r="BI136" s="685"/>
      <c r="BL136" s="685"/>
      <c r="BM136" s="685"/>
      <c r="BP136" s="685"/>
      <c r="BQ136" s="685"/>
      <c r="BT136" s="685"/>
      <c r="BU136" s="685"/>
      <c r="BX136" s="685"/>
      <c r="BY136" s="685"/>
      <c r="CB136" s="685"/>
      <c r="CC136" s="685"/>
      <c r="CF136" s="685"/>
      <c r="CG136" s="685"/>
      <c r="CJ136" s="685"/>
      <c r="CK136" s="685"/>
      <c r="CN136" s="685"/>
      <c r="CO136" s="685"/>
      <c r="CR136" s="685"/>
      <c r="CS136" s="685"/>
      <c r="CV136" s="685"/>
      <c r="CW136" s="685"/>
      <c r="CZ136" s="685"/>
      <c r="DA136" s="685"/>
      <c r="DD136" s="685"/>
      <c r="DE136" s="685"/>
      <c r="DH136" s="685"/>
      <c r="DI136" s="685"/>
      <c r="DL136" s="685"/>
      <c r="DM136" s="685"/>
      <c r="DP136" s="685"/>
      <c r="DQ136" s="685"/>
      <c r="DU136" s="685"/>
      <c r="DV136" s="685"/>
      <c r="DW136" s="685"/>
      <c r="DZ136" s="685"/>
      <c r="EA136" s="685"/>
      <c r="ED136" s="685"/>
      <c r="EE136" s="685"/>
    </row>
    <row r="137" spans="1:273">
      <c r="A137" s="815" t="s">
        <v>995</v>
      </c>
    </row>
    <row r="138" spans="1:273">
      <c r="A138" s="102" t="s">
        <v>614</v>
      </c>
      <c r="AN138" s="293"/>
      <c r="AO138" s="293"/>
      <c r="AR138" s="293">
        <f>DIVISIONS!AR68</f>
        <v>0</v>
      </c>
      <c r="AS138" s="293">
        <f>DIVISIONS!AS68</f>
        <v>0</v>
      </c>
      <c r="AT138" s="626"/>
      <c r="AU138" s="626"/>
      <c r="AV138" s="293">
        <f>DIVISIONS!AV68</f>
        <v>0</v>
      </c>
      <c r="AW138" s="293">
        <f>DIVISIONS!AW68</f>
        <v>0</v>
      </c>
      <c r="AX138" s="685"/>
      <c r="AY138" s="293"/>
      <c r="AZ138" s="293">
        <f>DIVISIONS!AZ68</f>
        <v>0</v>
      </c>
      <c r="BA138" s="293">
        <f>DIVISIONS!BA68</f>
        <v>0</v>
      </c>
      <c r="BB138" s="685"/>
      <c r="BD138" s="293">
        <f>DIVISIONS!BD68</f>
        <v>0</v>
      </c>
      <c r="BE138" s="293">
        <f>DIVISIONS!BE68</f>
        <v>0</v>
      </c>
      <c r="BF138" s="685"/>
      <c r="BH138" s="293">
        <f>DIVISIONS!BH68</f>
        <v>0</v>
      </c>
      <c r="BI138" s="293">
        <f>DIVISIONS!BI68</f>
        <v>0</v>
      </c>
      <c r="BJ138" s="685"/>
      <c r="BL138" s="293">
        <f>DIVISIONS!BL68</f>
        <v>0</v>
      </c>
      <c r="BM138" s="293">
        <f>DIVISIONS!BM68</f>
        <v>0</v>
      </c>
      <c r="BN138" s="685"/>
      <c r="BP138" s="293">
        <f>DIVISIONS!BP68</f>
        <v>0</v>
      </c>
      <c r="BQ138" s="293">
        <f>DIVISIONS!BQ68</f>
        <v>0</v>
      </c>
      <c r="BR138" s="685"/>
      <c r="BT138" s="293">
        <f>DIVISIONS!BT68</f>
        <v>0</v>
      </c>
      <c r="BU138" s="293">
        <f>DIVISIONS!BU68</f>
        <v>0</v>
      </c>
      <c r="BV138" s="685"/>
      <c r="BX138" s="293">
        <f>DIVISIONS!BX68</f>
        <v>0</v>
      </c>
      <c r="BY138" s="293">
        <f>DIVISIONS!BY68</f>
        <v>0</v>
      </c>
      <c r="BZ138" s="685"/>
      <c r="CC138" s="293">
        <f>DIVISIONS!CC68</f>
        <v>0</v>
      </c>
      <c r="CD138" s="685"/>
      <c r="CG138" s="293"/>
      <c r="CH138" s="685"/>
      <c r="CK138" s="293"/>
      <c r="CL138" s="685"/>
      <c r="CO138" s="293"/>
      <c r="CP138" s="685"/>
      <c r="CS138" s="293"/>
      <c r="CT138" s="685"/>
      <c r="CW138" s="293"/>
      <c r="CX138" s="685"/>
      <c r="DU138" s="293"/>
      <c r="DV138" s="293"/>
      <c r="DW138" s="293"/>
      <c r="DZ138" s="293"/>
      <c r="EA138" s="293"/>
      <c r="ED138" s="293"/>
      <c r="EE138" s="293"/>
    </row>
    <row r="139" spans="1:273">
      <c r="A139" s="102" t="s">
        <v>1239</v>
      </c>
      <c r="AN139" s="293"/>
      <c r="AO139" s="293"/>
      <c r="AR139" s="293"/>
      <c r="AS139" s="293"/>
      <c r="AV139" s="293">
        <f>DIVISIONS!AV149</f>
        <v>14</v>
      </c>
      <c r="AW139" s="293">
        <f>DIVISIONS!AW149</f>
        <v>19</v>
      </c>
      <c r="AX139" s="685"/>
      <c r="AY139" s="293"/>
      <c r="AZ139" s="293">
        <f>DIVISIONS!AZ149</f>
        <v>21</v>
      </c>
      <c r="BA139" s="293">
        <f>DIVISIONS!BA149</f>
        <v>22</v>
      </c>
      <c r="BB139" s="685"/>
      <c r="BD139" s="293">
        <f>DIVISIONS!BD149</f>
        <v>21</v>
      </c>
      <c r="BE139" s="293">
        <f>DIVISIONS!BE149</f>
        <v>18</v>
      </c>
      <c r="BF139" s="685"/>
      <c r="BH139" s="293">
        <f>DIVISIONS!BH149</f>
        <v>16</v>
      </c>
      <c r="BI139" s="293">
        <f>DIVISIONS!BI149</f>
        <v>18</v>
      </c>
      <c r="BJ139" s="685"/>
      <c r="BL139" s="293">
        <f>DIVISIONS!BL149</f>
        <v>24</v>
      </c>
      <c r="BM139" s="293">
        <f>DIVISIONS!BM149</f>
        <v>22</v>
      </c>
      <c r="BN139" s="685"/>
      <c r="BP139" s="293">
        <f>DIVISIONS!BP149</f>
        <v>18</v>
      </c>
      <c r="BQ139" s="293">
        <f>DIVISIONS!BQ149</f>
        <v>25</v>
      </c>
      <c r="BR139" s="685"/>
      <c r="BT139" s="293">
        <f>DIVISIONS!BT149</f>
        <v>32</v>
      </c>
      <c r="BU139" s="293">
        <f>DIVISIONS!BU149</f>
        <v>16</v>
      </c>
      <c r="BV139" s="685"/>
      <c r="BX139" s="293">
        <f>DIVISIONS!BX149</f>
        <v>22.951724137931034</v>
      </c>
      <c r="BY139" s="293">
        <f>DIVISIONS!BY149</f>
        <v>25.986206896551725</v>
      </c>
      <c r="BZ139" s="685"/>
      <c r="CB139" s="293">
        <f>DIVISIONS!CB149</f>
        <v>23.282758620689656</v>
      </c>
      <c r="CC139" s="293">
        <f>DIVISIONS!CC149</f>
        <v>23.337931034482757</v>
      </c>
      <c r="CD139" s="685"/>
      <c r="CF139" s="293">
        <f>DIVISIONS!CF149</f>
        <v>0</v>
      </c>
      <c r="CG139" s="293">
        <f>DIVISIONS!CG149</f>
        <v>0</v>
      </c>
      <c r="CH139" s="685"/>
      <c r="CJ139" s="293">
        <f>DIVISIONS!CJ149</f>
        <v>0</v>
      </c>
      <c r="CK139" s="293">
        <f>DIVISIONS!CK149</f>
        <v>0</v>
      </c>
      <c r="CL139" s="685"/>
      <c r="CN139" s="293">
        <f>DIVISIONS!CN149</f>
        <v>0</v>
      </c>
      <c r="CO139" s="293">
        <f>DIVISIONS!CO149</f>
        <v>0</v>
      </c>
      <c r="CP139" s="685"/>
      <c r="CR139" s="293">
        <f>DIVISIONS!CR149</f>
        <v>0</v>
      </c>
      <c r="CS139" s="293">
        <f>DIVISIONS!CS149</f>
        <v>0</v>
      </c>
      <c r="CT139" s="685"/>
      <c r="CV139" s="293">
        <f>DIVISIONS!CV149</f>
        <v>0</v>
      </c>
      <c r="CW139" s="293">
        <f>DIVISIONS!CW149</f>
        <v>0</v>
      </c>
      <c r="CX139" s="685"/>
      <c r="CZ139" s="293">
        <f>DIVISIONS!CZ149</f>
        <v>0</v>
      </c>
      <c r="DA139" s="293">
        <f>DIVISIONS!DA149</f>
        <v>0</v>
      </c>
      <c r="DB139" s="685"/>
      <c r="DD139" s="293">
        <f>DIVISIONS!DD149</f>
        <v>0</v>
      </c>
      <c r="DE139" s="293">
        <f>DIVISIONS!DE149</f>
        <v>0</v>
      </c>
      <c r="DF139" s="685"/>
      <c r="DH139" s="293">
        <f>DIVISIONS!DH149</f>
        <v>0</v>
      </c>
      <c r="DI139" s="293">
        <f>DH139*(1+DI$145)</f>
        <v>0</v>
      </c>
      <c r="DL139" s="293">
        <f>DI139*(1+DL$145)</f>
        <v>0</v>
      </c>
      <c r="DM139" s="293">
        <f>DL139*(1+DM$145)</f>
        <v>0</v>
      </c>
      <c r="DP139" s="293">
        <f>DM139*(1+DP$145)</f>
        <v>0</v>
      </c>
      <c r="DQ139" s="293">
        <f>DP139*(1+DQ$145)</f>
        <v>0</v>
      </c>
      <c r="DU139" s="293"/>
      <c r="DV139" s="293"/>
      <c r="DW139" s="293"/>
      <c r="DZ139" s="293"/>
      <c r="EA139" s="293"/>
      <c r="ED139" s="293"/>
      <c r="EE139" s="293"/>
    </row>
    <row r="140" spans="1:273">
      <c r="A140" s="102" t="s">
        <v>619</v>
      </c>
      <c r="AN140" s="293"/>
      <c r="AO140" s="293"/>
      <c r="AR140" s="293">
        <f>DIVISIONS!AR624</f>
        <v>118</v>
      </c>
      <c r="AS140" s="293">
        <f>DIVISIONS!AS624</f>
        <v>80</v>
      </c>
      <c r="AV140" s="293">
        <f>DIVISIONS!AV624</f>
        <v>105</v>
      </c>
      <c r="AW140" s="293">
        <f>DIVISIONS!AW624</f>
        <v>119</v>
      </c>
      <c r="AX140" s="685"/>
      <c r="AY140" s="626"/>
      <c r="AZ140" s="293">
        <f>DIVISIONS!AZ624</f>
        <v>130</v>
      </c>
      <c r="BA140" s="293">
        <f>DIVISIONS!BA624</f>
        <v>130</v>
      </c>
      <c r="BB140" s="685"/>
      <c r="BD140" s="293">
        <f>DIVISIONS!BD624</f>
        <v>118</v>
      </c>
      <c r="BE140" s="293">
        <f>DIVISIONS!BE624</f>
        <v>99</v>
      </c>
      <c r="BF140" s="685"/>
      <c r="BH140" s="293">
        <f>DIVISIONS!BH624</f>
        <v>103</v>
      </c>
      <c r="BI140" s="293">
        <f>DIVISIONS!BI624</f>
        <v>111</v>
      </c>
      <c r="BJ140" s="685"/>
      <c r="BL140" s="293">
        <f>DIVISIONS!BL624</f>
        <v>106</v>
      </c>
      <c r="BM140" s="293">
        <f>DIVISIONS!BM624</f>
        <v>73</v>
      </c>
      <c r="BN140" s="685"/>
      <c r="BP140" s="293">
        <f>DIVISIONS!BP624</f>
        <v>64</v>
      </c>
      <c r="BQ140" s="293">
        <f>DIVISIONS!BQ624</f>
        <v>58</v>
      </c>
      <c r="BR140" s="685"/>
      <c r="BT140" s="293">
        <f>DIVISIONS!BT624</f>
        <v>50</v>
      </c>
      <c r="BU140" s="293">
        <f>DIVISIONS!BU624</f>
        <v>39</v>
      </c>
      <c r="BV140" s="685"/>
      <c r="BX140" s="293">
        <f>DIVISIONS!BX624</f>
        <v>40</v>
      </c>
      <c r="BY140" s="293">
        <f>DIVISIONS!BY624</f>
        <v>36</v>
      </c>
      <c r="BZ140" s="685"/>
      <c r="CB140" s="293">
        <f>DIVISIONS!CB624</f>
        <v>41</v>
      </c>
      <c r="CC140" s="293">
        <f>DIVISIONS!CC624</f>
        <v>41</v>
      </c>
      <c r="CD140" s="685"/>
      <c r="CF140" s="293">
        <f>DIVISIONS!CF624</f>
        <v>39</v>
      </c>
      <c r="CG140" s="293">
        <f>DIVISIONS!CG624</f>
        <v>28</v>
      </c>
      <c r="CH140" s="685"/>
      <c r="CJ140" s="293">
        <f>DIVISIONS!CJ624</f>
        <v>25</v>
      </c>
      <c r="CK140" s="293">
        <f>DIVISIONS!CK624</f>
        <v>25</v>
      </c>
      <c r="CL140" s="685"/>
      <c r="CN140" s="293">
        <f>DIVISIONS!CN624</f>
        <v>25</v>
      </c>
      <c r="CO140" s="293">
        <f>DIVISIONS!CO624</f>
        <v>25</v>
      </c>
      <c r="CP140" s="685"/>
      <c r="CR140" s="293">
        <f>DIVISIONS!CR624</f>
        <v>0</v>
      </c>
      <c r="CS140" s="293">
        <f>DIVISIONS!CS624</f>
        <v>0</v>
      </c>
      <c r="CT140" s="685"/>
      <c r="CV140" s="293">
        <f>DIVISIONS!CV624</f>
        <v>0</v>
      </c>
      <c r="CW140" s="293">
        <f>DIVISIONS!CW624</f>
        <v>0</v>
      </c>
      <c r="CX140" s="685"/>
      <c r="CZ140" s="293">
        <f>DIVISIONS!CZ624</f>
        <v>0</v>
      </c>
      <c r="DA140" s="293">
        <f>DIVISIONS!DA624</f>
        <v>0</v>
      </c>
      <c r="DB140" s="685"/>
      <c r="DD140" s="293">
        <f>DIVISIONS!DD624</f>
        <v>0</v>
      </c>
      <c r="DE140" s="293">
        <f ca="1">DIVISIONS!DE624</f>
        <v>0</v>
      </c>
      <c r="DF140" s="685"/>
      <c r="DH140" s="293">
        <f>DIVISIONS!DH624</f>
        <v>0</v>
      </c>
      <c r="DI140" s="293">
        <f>DH140*(1+DI$146)</f>
        <v>0</v>
      </c>
      <c r="DL140" s="293">
        <f>DI140*(1+DL$146)</f>
        <v>0</v>
      </c>
      <c r="DM140" s="293">
        <f>DL140*(1+DM$146)</f>
        <v>0</v>
      </c>
      <c r="DP140" s="293">
        <f>DM140*(1+DP$146)</f>
        <v>0</v>
      </c>
      <c r="DQ140" s="293">
        <f>DP140*(1+DQ$146)</f>
        <v>0</v>
      </c>
      <c r="DU140" s="293"/>
      <c r="DV140" s="293"/>
      <c r="DW140" s="293"/>
      <c r="DZ140" s="293"/>
      <c r="EA140" s="293"/>
      <c r="ED140" s="293"/>
      <c r="EE140" s="293"/>
    </row>
    <row r="141" spans="1:273">
      <c r="A141" s="102" t="s">
        <v>620</v>
      </c>
      <c r="AN141" s="293"/>
      <c r="AO141" s="293"/>
      <c r="AR141" s="293">
        <f>DIVISIONS!AR625</f>
        <v>133</v>
      </c>
      <c r="AS141" s="293">
        <f>DIVISIONS!AS625</f>
        <v>107</v>
      </c>
      <c r="AV141" s="293">
        <f>DIVISIONS!AV625</f>
        <v>105</v>
      </c>
      <c r="AW141" s="293">
        <f>DIVISIONS!AW625</f>
        <v>109</v>
      </c>
      <c r="AX141" s="685"/>
      <c r="AY141" s="293"/>
      <c r="AZ141" s="293">
        <f>DIVISIONS!AZ625</f>
        <v>160</v>
      </c>
      <c r="BA141" s="293">
        <f>DIVISIONS!BA625</f>
        <v>148</v>
      </c>
      <c r="BB141" s="685"/>
      <c r="BD141" s="293">
        <f>DIVISIONS!BD625</f>
        <v>167</v>
      </c>
      <c r="BE141" s="293">
        <f>DIVISIONS!BE625</f>
        <v>169</v>
      </c>
      <c r="BF141" s="685"/>
      <c r="BH141" s="293">
        <f>DIVISIONS!BH625</f>
        <v>165</v>
      </c>
      <c r="BI141" s="293">
        <f>DIVISIONS!BI625</f>
        <v>134</v>
      </c>
      <c r="BJ141" s="685"/>
      <c r="BL141" s="293">
        <f>DIVISIONS!BL625</f>
        <v>131</v>
      </c>
      <c r="BM141" s="293">
        <f>DIVISIONS!BM625</f>
        <v>110</v>
      </c>
      <c r="BN141" s="685"/>
      <c r="BP141" s="293">
        <f>DIVISIONS!BP625</f>
        <v>92</v>
      </c>
      <c r="BQ141" s="293">
        <f>DIVISIONS!BQ625</f>
        <v>127</v>
      </c>
      <c r="BR141" s="685"/>
      <c r="BT141" s="293">
        <f>DIVISIONS!BT625</f>
        <v>196</v>
      </c>
      <c r="BU141" s="293">
        <f>DIVISIONS!BU625</f>
        <v>200</v>
      </c>
      <c r="BV141" s="685"/>
      <c r="BX141" s="293">
        <f>DIVISIONS!BX625</f>
        <v>206</v>
      </c>
      <c r="BY141" s="293">
        <f>DIVISIONS!BY625</f>
        <v>180</v>
      </c>
      <c r="BZ141" s="685"/>
      <c r="CB141" s="293">
        <f>DIVISIONS!CB625</f>
        <v>178</v>
      </c>
      <c r="CC141" s="293">
        <f>DIVISIONS!CC625</f>
        <v>210</v>
      </c>
      <c r="CD141" s="685"/>
      <c r="CF141" s="293">
        <f>DIVISIONS!CF625</f>
        <v>170</v>
      </c>
      <c r="CG141" s="293">
        <f>DIVISIONS!CG625</f>
        <v>211</v>
      </c>
      <c r="CH141" s="685"/>
      <c r="CJ141" s="293">
        <f>DIVISIONS!CJ625</f>
        <v>201</v>
      </c>
      <c r="CK141" s="293">
        <f>DIVISIONS!CK625</f>
        <v>194</v>
      </c>
      <c r="CL141" s="685"/>
      <c r="CN141" s="293">
        <f>DIVISIONS!CN625</f>
        <v>178</v>
      </c>
      <c r="CO141" s="293">
        <f>DIVISIONS!CO625</f>
        <v>191</v>
      </c>
      <c r="CP141" s="685"/>
      <c r="CR141" s="293">
        <f>DIVISIONS!CR625</f>
        <v>220</v>
      </c>
      <c r="CS141" s="293">
        <f>DIVISIONS!CS625</f>
        <v>237</v>
      </c>
      <c r="CT141" s="685"/>
      <c r="CV141" s="293">
        <f>DIVISIONS!CV625</f>
        <v>249</v>
      </c>
      <c r="CW141" s="293">
        <f>DIVISIONS!CW625</f>
        <v>255</v>
      </c>
      <c r="CX141" s="685"/>
      <c r="CZ141" s="293">
        <f>DIVISIONS!CZ625</f>
        <v>273</v>
      </c>
      <c r="DA141" s="293">
        <f>DIVISIONS!DA625</f>
        <v>281</v>
      </c>
      <c r="DB141" s="685"/>
      <c r="DD141" s="293">
        <f>DIVISIONS!DD625</f>
        <v>304</v>
      </c>
      <c r="DE141" s="293">
        <f ca="1">DIVISIONS!DE625</f>
        <v>307</v>
      </c>
      <c r="DF141" s="685"/>
      <c r="DH141" s="293">
        <f>DIVISIONS!DH625</f>
        <v>329</v>
      </c>
      <c r="DI141" s="293">
        <f>DIVISIONS!DI625</f>
        <v>324.52</v>
      </c>
      <c r="DL141" s="293">
        <f>DIVISIONS!DL625</f>
        <v>347.69</v>
      </c>
      <c r="DM141" s="293">
        <f>DIVISIONS!DM625</f>
        <v>343.04620000000006</v>
      </c>
      <c r="DP141" s="293">
        <f>DIVISIONS!DP625</f>
        <v>367.44890000000004</v>
      </c>
      <c r="DQ141" s="293">
        <f>DIVISIONS!DQ625</f>
        <v>362.63672200000008</v>
      </c>
      <c r="DU141" s="293"/>
      <c r="DV141" s="293"/>
      <c r="DW141" s="293"/>
      <c r="DZ141" s="293"/>
      <c r="EA141" s="293"/>
      <c r="ED141" s="293"/>
      <c r="EE141" s="293"/>
    </row>
    <row r="142" spans="1:273" s="289" customFormat="1">
      <c r="A142" s="289" t="s">
        <v>613</v>
      </c>
      <c r="B142" s="290"/>
      <c r="AN142" s="295"/>
      <c r="AO142" s="295"/>
      <c r="AP142" s="290"/>
      <c r="AQ142" s="290"/>
      <c r="AR142" s="295">
        <f>SUM(AR138:AR141)</f>
        <v>251</v>
      </c>
      <c r="AS142" s="295">
        <f>SUM(AS138:AS141)</f>
        <v>187</v>
      </c>
      <c r="AT142" s="290"/>
      <c r="AU142" s="290"/>
      <c r="AV142" s="295">
        <f>SUM(AV138:AV141)</f>
        <v>224</v>
      </c>
      <c r="AW142" s="295">
        <f>SUM(AW138:AW141)</f>
        <v>247</v>
      </c>
      <c r="AX142" s="685"/>
      <c r="AY142" s="290"/>
      <c r="AZ142" s="295">
        <f>SUM(AZ138:AZ141)</f>
        <v>311</v>
      </c>
      <c r="BA142" s="295">
        <f>SUM(BA138:BA141)</f>
        <v>300</v>
      </c>
      <c r="BB142" s="685"/>
      <c r="BC142" s="290"/>
      <c r="BD142" s="295">
        <f>SUM(BD138:BD141)</f>
        <v>306</v>
      </c>
      <c r="BE142" s="295">
        <f>SUM(BE138:BE141)</f>
        <v>286</v>
      </c>
      <c r="BF142" s="685"/>
      <c r="BG142" s="290"/>
      <c r="BH142" s="295">
        <f>SUM(BH138:BH141)</f>
        <v>284</v>
      </c>
      <c r="BI142" s="295">
        <f>SUM(BI138:BI141)</f>
        <v>263</v>
      </c>
      <c r="BJ142" s="685"/>
      <c r="BK142" s="290"/>
      <c r="BL142" s="295">
        <f>SUM(BL138:BL141)</f>
        <v>261</v>
      </c>
      <c r="BM142" s="295">
        <f>SUM(BM138:BM141)</f>
        <v>205</v>
      </c>
      <c r="BN142" s="685"/>
      <c r="BO142" s="290"/>
      <c r="BP142" s="295">
        <f>SUM(BP138:BP141)</f>
        <v>174</v>
      </c>
      <c r="BQ142" s="295">
        <f>SUM(BQ138:BQ141)</f>
        <v>210</v>
      </c>
      <c r="BR142" s="685"/>
      <c r="BS142" s="290"/>
      <c r="BT142" s="295">
        <f>SUM(BT138:BT141)</f>
        <v>278</v>
      </c>
      <c r="BU142" s="295">
        <f>SUM(BU138:BU141)</f>
        <v>255</v>
      </c>
      <c r="BV142" s="685"/>
      <c r="BW142" s="290"/>
      <c r="BX142" s="295">
        <f>SUM(BX138:BX141)</f>
        <v>268.95172413793102</v>
      </c>
      <c r="BY142" s="295">
        <f>SUM(BY138:BY141)</f>
        <v>241.98620689655172</v>
      </c>
      <c r="BZ142" s="685"/>
      <c r="CA142" s="290"/>
      <c r="CB142" s="295">
        <f>SUM(CB138:CB141)</f>
        <v>242.28275862068966</v>
      </c>
      <c r="CC142" s="295">
        <f>SUM(CC138:CC141)</f>
        <v>274.33793103448272</v>
      </c>
      <c r="CD142" s="685"/>
      <c r="CE142" s="581"/>
      <c r="CF142" s="295">
        <f>SUM(CF138:CF141)</f>
        <v>209</v>
      </c>
      <c r="CG142" s="295">
        <f>SUM(CG138:CG141)</f>
        <v>239</v>
      </c>
      <c r="CH142" s="685"/>
      <c r="CI142" s="581"/>
      <c r="CJ142" s="295">
        <f>SUM(CJ138:CJ141)</f>
        <v>226</v>
      </c>
      <c r="CK142" s="295">
        <f>SUM(CK138:CK141)</f>
        <v>219</v>
      </c>
      <c r="CL142" s="685"/>
      <c r="CM142" s="581"/>
      <c r="CN142" s="295">
        <f>SUM(CN138:CN141)</f>
        <v>203</v>
      </c>
      <c r="CO142" s="295">
        <f>SUM(CO138:CO141)</f>
        <v>216</v>
      </c>
      <c r="CP142" s="685"/>
      <c r="CQ142" s="581"/>
      <c r="CR142" s="295">
        <f>SUM(CR138:CR141)</f>
        <v>220</v>
      </c>
      <c r="CS142" s="295">
        <f>SUM(CS138:CS141)</f>
        <v>237</v>
      </c>
      <c r="CT142" s="685"/>
      <c r="CU142" s="290"/>
      <c r="CV142" s="295">
        <f>SUM(CV138:CV141)</f>
        <v>249</v>
      </c>
      <c r="CW142" s="295">
        <f>SUM(CW138:CW141)</f>
        <v>255</v>
      </c>
      <c r="CX142" s="685"/>
      <c r="CY142" s="290"/>
      <c r="CZ142" s="295">
        <f>SUM(CZ138:CZ141)</f>
        <v>273</v>
      </c>
      <c r="DA142" s="295">
        <f>SUM(DA138:DA141)</f>
        <v>281</v>
      </c>
      <c r="DB142" s="685"/>
      <c r="DC142" s="290"/>
      <c r="DD142" s="295">
        <f>SUM(DD138:DD141)</f>
        <v>304</v>
      </c>
      <c r="DE142" s="295">
        <f ca="1">SUM(DE138:DE141)</f>
        <v>307</v>
      </c>
      <c r="DF142" s="685"/>
      <c r="DG142" s="290"/>
      <c r="DH142" s="295">
        <f>SUM(DH138:DH141)</f>
        <v>329</v>
      </c>
      <c r="DI142" s="295">
        <f>SUM(DI138:DI141)</f>
        <v>324.52</v>
      </c>
      <c r="DJ142" s="290"/>
      <c r="DK142" s="290"/>
      <c r="DL142" s="295">
        <f>SUM(DL138:DL141)</f>
        <v>347.69</v>
      </c>
      <c r="DM142" s="295">
        <f>SUM(DM138:DM141)</f>
        <v>343.04620000000006</v>
      </c>
      <c r="DN142" s="290"/>
      <c r="DO142" s="290"/>
      <c r="DP142" s="295">
        <f>SUM(DP138:DP141)</f>
        <v>367.44890000000004</v>
      </c>
      <c r="DQ142" s="295">
        <f>SUM(DQ138:DQ141)</f>
        <v>362.63672200000008</v>
      </c>
      <c r="DR142" s="290"/>
      <c r="DS142" s="290"/>
      <c r="DT142" s="290"/>
      <c r="DU142" s="295"/>
      <c r="DV142" s="295"/>
      <c r="DW142" s="295"/>
      <c r="DX142" s="290"/>
      <c r="DY142" s="290"/>
      <c r="DZ142" s="295"/>
      <c r="EA142" s="295"/>
      <c r="EB142" s="290"/>
      <c r="EC142" s="290"/>
      <c r="ED142" s="295"/>
      <c r="EE142" s="295"/>
      <c r="EF142" s="290"/>
      <c r="EG142" s="290"/>
      <c r="EH142" s="290"/>
      <c r="EI142" s="290"/>
      <c r="EJ142" s="290"/>
      <c r="EK142" s="290"/>
      <c r="EL142" s="290"/>
      <c r="EM142" s="290"/>
      <c r="EN142" s="290"/>
      <c r="EO142" s="290"/>
      <c r="EP142" s="290"/>
      <c r="JM142"/>
    </row>
    <row r="143" spans="1:273" s="289" customFormat="1">
      <c r="A143" s="328" t="s">
        <v>382</v>
      </c>
      <c r="B143" s="290"/>
      <c r="AN143" s="295"/>
      <c r="AO143" s="295"/>
      <c r="AP143" s="290"/>
      <c r="AQ143" s="290"/>
      <c r="AR143" s="295"/>
      <c r="AS143" s="295"/>
      <c r="AT143" s="290"/>
      <c r="AU143" s="290"/>
      <c r="AV143" s="295"/>
      <c r="AW143" s="295"/>
      <c r="AX143" s="685"/>
      <c r="AY143" s="290"/>
      <c r="AZ143" s="295"/>
      <c r="BA143" s="295"/>
      <c r="BB143" s="685"/>
      <c r="BC143" s="290"/>
      <c r="BD143" s="295"/>
      <c r="BE143" s="295"/>
      <c r="BF143" s="685"/>
      <c r="BG143" s="290"/>
      <c r="BH143" s="295"/>
      <c r="BI143" s="295"/>
      <c r="BJ143" s="685"/>
      <c r="BK143" s="290"/>
      <c r="BL143" s="295"/>
      <c r="BM143" s="295"/>
      <c r="BN143" s="685"/>
      <c r="BO143" s="290"/>
      <c r="BP143" s="295"/>
      <c r="BQ143" s="295"/>
      <c r="BR143" s="685"/>
      <c r="BS143" s="290"/>
      <c r="BT143" s="295"/>
      <c r="BU143" s="295"/>
      <c r="BV143" s="685"/>
      <c r="BW143" s="290"/>
      <c r="BX143" s="295"/>
      <c r="BY143" s="295"/>
      <c r="BZ143" s="685"/>
      <c r="CA143" s="290"/>
      <c r="CB143" s="295"/>
      <c r="CC143" s="295"/>
      <c r="CD143" s="685"/>
      <c r="CE143" s="581"/>
      <c r="CF143" s="295"/>
      <c r="CG143" s="295"/>
      <c r="CH143" s="685"/>
      <c r="CI143" s="581"/>
      <c r="CJ143" s="295"/>
      <c r="CK143" s="295"/>
      <c r="CL143" s="685"/>
      <c r="CM143" s="581"/>
      <c r="CN143" s="295"/>
      <c r="CO143" s="295"/>
      <c r="CP143" s="685"/>
      <c r="CQ143" s="581"/>
      <c r="CR143" s="295"/>
      <c r="CS143" s="295"/>
      <c r="CT143" s="685"/>
      <c r="CU143" s="290"/>
      <c r="CV143" s="295"/>
      <c r="CW143" s="295"/>
      <c r="CX143" s="685"/>
      <c r="CY143" s="290"/>
      <c r="CZ143" s="295"/>
      <c r="DA143" s="295"/>
      <c r="DB143" s="685"/>
      <c r="DC143" s="290"/>
      <c r="DD143" s="295"/>
      <c r="DE143" s="295"/>
      <c r="DF143" s="685"/>
      <c r="DG143" s="290"/>
      <c r="DH143" s="295"/>
      <c r="DI143" s="295"/>
      <c r="DJ143" s="290"/>
      <c r="DK143" s="290"/>
      <c r="DL143" s="295"/>
      <c r="DM143" s="295"/>
      <c r="DN143" s="290"/>
      <c r="DO143" s="290"/>
      <c r="DP143" s="295"/>
      <c r="DQ143" s="295"/>
      <c r="DR143" s="290"/>
      <c r="DS143" s="290"/>
      <c r="DT143" s="290"/>
      <c r="DU143" s="295"/>
      <c r="DV143" s="295"/>
      <c r="DW143" s="295"/>
      <c r="DX143" s="290"/>
      <c r="DY143" s="290"/>
      <c r="DZ143" s="295"/>
      <c r="EA143" s="295"/>
      <c r="EB143" s="290"/>
      <c r="EC143" s="290"/>
      <c r="ED143" s="295"/>
      <c r="EE143" s="295"/>
      <c r="EF143" s="290"/>
      <c r="EG143" s="290"/>
      <c r="EH143" s="290"/>
      <c r="EI143" s="290"/>
      <c r="EJ143" s="290"/>
      <c r="EK143" s="290"/>
      <c r="EL143" s="290"/>
      <c r="EM143" s="290"/>
      <c r="EN143" s="290"/>
      <c r="EO143" s="290"/>
      <c r="EP143" s="290"/>
      <c r="JM143"/>
    </row>
    <row r="144" spans="1:273" s="328" customFormat="1">
      <c r="A144" s="323" t="s">
        <v>831</v>
      </c>
      <c r="B144" s="581"/>
      <c r="AN144" s="791"/>
      <c r="AO144" s="791"/>
      <c r="AP144" s="581"/>
      <c r="AQ144" s="581"/>
      <c r="AR144" s="817"/>
      <c r="AS144" s="817" t="str">
        <f>IFERROR(AS138/AR138-1,"na")</f>
        <v>na</v>
      </c>
      <c r="AT144" s="581"/>
      <c r="AU144" s="581"/>
      <c r="AV144" s="817" t="str">
        <f>IFERROR(AV138/AS138-1,"na")</f>
        <v>na</v>
      </c>
      <c r="AW144" s="817" t="str">
        <f>IFERROR(AW138/AV138-1,"na")</f>
        <v>na</v>
      </c>
      <c r="AX144" s="817"/>
      <c r="AY144" s="581"/>
      <c r="AZ144" s="817" t="str">
        <f>IFERROR(AZ138/AW138-1,"na")</f>
        <v>na</v>
      </c>
      <c r="BA144" s="817" t="str">
        <f>IFERROR(BA138/AZ138-1,"na")</f>
        <v>na</v>
      </c>
      <c r="BB144" s="817"/>
      <c r="BC144" s="581"/>
      <c r="BD144" s="817" t="str">
        <f>IFERROR(BD138/BA138-1,"na")</f>
        <v>na</v>
      </c>
      <c r="BE144" s="817" t="str">
        <f>IFERROR(BE138/BD138-1,"na")</f>
        <v>na</v>
      </c>
      <c r="BF144" s="869"/>
      <c r="BG144" s="869"/>
      <c r="BH144" s="817" t="str">
        <f>IFERROR(BH138/BE138-1,"na")</f>
        <v>na</v>
      </c>
      <c r="BI144" s="817" t="str">
        <f>IFERROR(BI138/BH138-1,"na")</f>
        <v>na</v>
      </c>
      <c r="BJ144" s="869"/>
      <c r="BK144" s="869"/>
      <c r="BL144" s="817" t="str">
        <f>IFERROR(BL138/BI138-1,"na")</f>
        <v>na</v>
      </c>
      <c r="BM144" s="817" t="str">
        <f>IFERROR(BM138/BL138-1,"na")</f>
        <v>na</v>
      </c>
      <c r="BN144" s="869"/>
      <c r="BO144" s="115"/>
      <c r="BP144" s="817" t="str">
        <f>IFERROR(BP138/BM138-1,"na")</f>
        <v>na</v>
      </c>
      <c r="BQ144" s="817" t="str">
        <f>IFERROR(BQ138/BP138-1,"na")</f>
        <v>na</v>
      </c>
      <c r="BR144" s="869"/>
      <c r="BS144" s="115"/>
      <c r="BT144" s="817" t="str">
        <f>IFERROR(BT138/BQ138-1,"na")</f>
        <v>na</v>
      </c>
      <c r="BU144" s="817" t="str">
        <f>IFERROR(BU138/BT138-1,"na")</f>
        <v>na</v>
      </c>
      <c r="BV144" s="869"/>
      <c r="BW144" s="869"/>
      <c r="BX144" s="817" t="str">
        <f>IFERROR(BX138/BU138-1,"na")</f>
        <v>na</v>
      </c>
      <c r="BY144" s="817" t="str">
        <f>IFERROR(BY138/BX138-1,"na")</f>
        <v>na</v>
      </c>
      <c r="BZ144" s="869"/>
      <c r="CA144" s="869"/>
      <c r="CB144" s="817" t="str">
        <f>IFERROR(CB138/BY138-1,"na")</f>
        <v>na</v>
      </c>
      <c r="CC144" s="817" t="str">
        <f>IFERROR(CC138/CB138-1,"na")</f>
        <v>na</v>
      </c>
      <c r="CD144" s="869"/>
      <c r="CE144" s="869"/>
      <c r="CF144" s="817" t="str">
        <f>IFERROR(CF138/CC138-1,"na")</f>
        <v>na</v>
      </c>
      <c r="CG144" s="817" t="str">
        <f>IFERROR(CG138/CF138-1,"na")</f>
        <v>na</v>
      </c>
      <c r="CH144" s="869"/>
      <c r="CI144" s="869"/>
      <c r="CJ144" s="817" t="str">
        <f>IFERROR(CJ138/CG138-1,"na")</f>
        <v>na</v>
      </c>
      <c r="CK144" s="817" t="str">
        <f>IFERROR(CK138/CJ138-1,"na")</f>
        <v>na</v>
      </c>
      <c r="CL144" s="869"/>
      <c r="CM144" s="869"/>
      <c r="CN144" s="817" t="str">
        <f>IFERROR(CN138/CK138-1,"na")</f>
        <v>na</v>
      </c>
      <c r="CO144" s="817" t="str">
        <f>IFERROR(CO138/CN138-1,"na")</f>
        <v>na</v>
      </c>
      <c r="CP144" s="869"/>
      <c r="CQ144" s="869"/>
      <c r="CR144" s="817" t="str">
        <f>IFERROR(CR138/CO138-1,"na")</f>
        <v>na</v>
      </c>
      <c r="CS144" s="817" t="str">
        <f>IFERROR(CS138/CR138-1,"na")</f>
        <v>na</v>
      </c>
      <c r="CT144" s="869"/>
      <c r="CU144" s="869"/>
      <c r="CV144" s="817" t="str">
        <f>IFERROR(CV138/CS138-1,"na")</f>
        <v>na</v>
      </c>
      <c r="CW144" s="817" t="str">
        <f>IFERROR(CW138/CV138-1,"na")</f>
        <v>na</v>
      </c>
      <c r="CX144" s="869"/>
      <c r="CY144" s="869"/>
      <c r="CZ144" s="817" t="str">
        <f>IFERROR(CZ138/CW138-1,"na")</f>
        <v>na</v>
      </c>
      <c r="DA144" s="817" t="str">
        <f>IFERROR(DA138/CZ138-1,"na")</f>
        <v>na</v>
      </c>
      <c r="DB144" s="869"/>
      <c r="DC144" s="869"/>
      <c r="DD144" s="817" t="str">
        <f>IFERROR(DD138/DA138-1,"na")</f>
        <v>na</v>
      </c>
      <c r="DE144" s="817" t="str">
        <f>IFERROR(DE138/DD138-1,"na")</f>
        <v>na</v>
      </c>
      <c r="DF144" s="869"/>
      <c r="DG144" s="869"/>
      <c r="DH144" s="817" t="str">
        <f>IFERROR(DH138/DE138-1,"na")</f>
        <v>na</v>
      </c>
      <c r="DI144" s="817" t="str">
        <f>IFERROR(DI138/DH138-1,"na")</f>
        <v>na</v>
      </c>
      <c r="DJ144" s="869"/>
      <c r="DK144" s="869"/>
      <c r="DL144" s="817" t="str">
        <f>IFERROR(DL138/DI138-1,"na")</f>
        <v>na</v>
      </c>
      <c r="DM144" s="817" t="str">
        <f>IFERROR(DM138/DL138-1,"na")</f>
        <v>na</v>
      </c>
      <c r="DN144" s="869"/>
      <c r="DO144" s="869"/>
      <c r="DP144" s="817" t="str">
        <f>IFERROR(DP138/DM138-1,"na")</f>
        <v>na</v>
      </c>
      <c r="DQ144" s="817" t="str">
        <f>IFERROR(DQ138/DP138-1,"na")</f>
        <v>na</v>
      </c>
      <c r="DR144" s="869"/>
      <c r="DS144" s="869"/>
      <c r="DT144" s="869"/>
      <c r="DU144" s="869"/>
      <c r="DV144" s="869"/>
      <c r="DW144" s="869"/>
      <c r="DX144" s="581"/>
      <c r="DY144" s="581"/>
      <c r="DZ144" s="869"/>
      <c r="EA144" s="869"/>
      <c r="EB144" s="581"/>
      <c r="EC144" s="581"/>
      <c r="ED144" s="869"/>
      <c r="EE144" s="869"/>
      <c r="EF144" s="581"/>
      <c r="EG144" s="581"/>
      <c r="EH144" s="581"/>
      <c r="EI144" s="581"/>
      <c r="EJ144" s="581"/>
      <c r="EK144" s="581"/>
      <c r="EL144" s="581"/>
      <c r="EM144" s="581"/>
      <c r="EN144" s="581"/>
      <c r="EO144" s="581"/>
      <c r="EP144" s="581"/>
      <c r="JM144"/>
    </row>
    <row r="145" spans="1:273" s="323" customFormat="1">
      <c r="A145" s="115" t="s">
        <v>830</v>
      </c>
      <c r="B145" s="115"/>
      <c r="AN145" s="331"/>
      <c r="AO145" s="817"/>
      <c r="AP145" s="115"/>
      <c r="AQ145" s="115"/>
      <c r="AR145" s="817"/>
      <c r="AS145" s="817"/>
      <c r="AT145" s="115"/>
      <c r="AU145" s="115"/>
      <c r="AV145" s="817"/>
      <c r="AW145" s="817">
        <f>AW139/AV139-1</f>
        <v>0.35714285714285721</v>
      </c>
      <c r="AX145" s="115"/>
      <c r="AY145" s="115"/>
      <c r="AZ145" s="817">
        <f>AZ139/AW139-1</f>
        <v>0.10526315789473695</v>
      </c>
      <c r="BA145" s="817">
        <f>BA139/AZ139-1</f>
        <v>4.7619047619047672E-2</v>
      </c>
      <c r="BB145" s="115"/>
      <c r="BC145" s="115"/>
      <c r="BD145" s="817">
        <f>BD139/BA139-1</f>
        <v>-4.5454545454545414E-2</v>
      </c>
      <c r="BE145" s="817">
        <f>BE139/BD139-1</f>
        <v>-0.1428571428571429</v>
      </c>
      <c r="BF145" s="869"/>
      <c r="BG145" s="869"/>
      <c r="BH145" s="817">
        <f>BH139/BE139-1</f>
        <v>-0.11111111111111116</v>
      </c>
      <c r="BI145" s="817">
        <f>BI139/BH139-1</f>
        <v>0.125</v>
      </c>
      <c r="BJ145" s="869"/>
      <c r="BK145" s="869"/>
      <c r="BL145" s="817">
        <f>BL139/BI139-1</f>
        <v>0.33333333333333326</v>
      </c>
      <c r="BM145" s="817">
        <f>BM139/BL139-1</f>
        <v>-8.333333333333337E-2</v>
      </c>
      <c r="BN145" s="869"/>
      <c r="BO145" s="115"/>
      <c r="BP145" s="817">
        <f>BP139/BM139-1</f>
        <v>-0.18181818181818177</v>
      </c>
      <c r="BQ145" s="817">
        <f>BQ139/BP139-1</f>
        <v>0.38888888888888884</v>
      </c>
      <c r="BR145" s="869"/>
      <c r="BS145" s="115"/>
      <c r="BT145" s="817">
        <f>BT139/BQ139-1</f>
        <v>0.28000000000000003</v>
      </c>
      <c r="BU145" s="817">
        <f>BU139/BT139-1</f>
        <v>-0.5</v>
      </c>
      <c r="BV145" s="869"/>
      <c r="BW145" s="869"/>
      <c r="BX145" s="817">
        <f>BX139/BU139-1</f>
        <v>0.43448275862068964</v>
      </c>
      <c r="BY145" s="817">
        <f>BY139/BX139-1</f>
        <v>0.13221153846153855</v>
      </c>
      <c r="BZ145" s="869"/>
      <c r="CA145" s="869"/>
      <c r="CB145" s="817">
        <f>CB139/BY139-1</f>
        <v>-0.10403397027600847</v>
      </c>
      <c r="CC145" s="817">
        <f>CC139/CB139-1</f>
        <v>2.3696682464453556E-3</v>
      </c>
      <c r="CD145" s="869"/>
      <c r="CE145" s="869"/>
      <c r="CF145" s="817">
        <f>IFERROR((CF139/CC139-1),"na")</f>
        <v>-1</v>
      </c>
      <c r="CG145" s="817" t="str">
        <f>IFERROR((CG139/CF139-1),"na")</f>
        <v>na</v>
      </c>
      <c r="CH145" s="869"/>
      <c r="CI145" s="869"/>
      <c r="CJ145" s="817" t="str">
        <f>IFERROR((CJ139/CG139-1),"na")</f>
        <v>na</v>
      </c>
      <c r="CK145" s="817" t="str">
        <f>IFERROR((CK139/CJ139-1),"na")</f>
        <v>na</v>
      </c>
      <c r="CL145" s="869"/>
      <c r="CM145" s="869"/>
      <c r="CN145" s="817" t="str">
        <f>IFERROR((CN139/CK139-1),"na")</f>
        <v>na</v>
      </c>
      <c r="CO145" s="817" t="str">
        <f>IFERROR((CO139/CN139-1),"na")</f>
        <v>na</v>
      </c>
      <c r="CP145" s="869"/>
      <c r="CQ145" s="869"/>
      <c r="CR145" s="817" t="str">
        <f>IFERROR((CR139/CO139-1),"na")</f>
        <v>na</v>
      </c>
      <c r="CS145" s="817" t="str">
        <f>IFERROR((CS139/CR139-1),"na")</f>
        <v>na</v>
      </c>
      <c r="CT145" s="869"/>
      <c r="CU145" s="869"/>
      <c r="CV145" s="817" t="str">
        <f>IFERROR((CV139/CS139-1),"na")</f>
        <v>na</v>
      </c>
      <c r="CW145" s="817" t="str">
        <f>IFERROR((CW139/CV139-1),"na")</f>
        <v>na</v>
      </c>
      <c r="CX145" s="869"/>
      <c r="CY145" s="869"/>
      <c r="CZ145" s="817" t="str">
        <f>IFERROR((CZ139/CW139-1),"na")</f>
        <v>na</v>
      </c>
      <c r="DA145" s="817" t="str">
        <f>IFERROR((DA139/CZ139-1),"na")</f>
        <v>na</v>
      </c>
      <c r="DB145" s="869"/>
      <c r="DC145" s="869"/>
      <c r="DD145" s="817" t="str">
        <f>IFERROR((DD139/DA139-1),"na")</f>
        <v>na</v>
      </c>
      <c r="DE145" s="817" t="str">
        <f>IFERROR((DE139/DD139-1),"na")</f>
        <v>na</v>
      </c>
      <c r="DF145" s="869"/>
      <c r="DG145" s="869"/>
      <c r="DH145" s="817" t="str">
        <f>IFERROR((DH139/DE139-1),"na")</f>
        <v>na</v>
      </c>
      <c r="DI145" s="869">
        <v>0.01</v>
      </c>
      <c r="DJ145" s="869"/>
      <c r="DK145" s="869"/>
      <c r="DL145" s="869">
        <v>0.01</v>
      </c>
      <c r="DM145" s="869">
        <v>0.01</v>
      </c>
      <c r="DN145" s="869"/>
      <c r="DO145" s="869"/>
      <c r="DP145" s="869">
        <v>0.01</v>
      </c>
      <c r="DQ145" s="869">
        <v>0.01</v>
      </c>
      <c r="DR145" s="869"/>
      <c r="DS145" s="869"/>
      <c r="DT145" s="869"/>
      <c r="DU145" s="869"/>
      <c r="DV145" s="869"/>
      <c r="DW145" s="869"/>
      <c r="DX145" s="115"/>
      <c r="DY145" s="115"/>
      <c r="DZ145" s="869"/>
      <c r="EA145" s="869"/>
      <c r="EB145" s="115"/>
      <c r="EC145" s="115"/>
      <c r="ED145" s="869"/>
      <c r="EE145" s="869"/>
      <c r="EF145" s="115"/>
      <c r="EG145" s="115"/>
      <c r="EH145" s="115"/>
      <c r="EI145" s="115"/>
      <c r="EJ145" s="115"/>
      <c r="EK145" s="115"/>
      <c r="EL145" s="115"/>
      <c r="EM145" s="115"/>
      <c r="EN145" s="115"/>
      <c r="EO145" s="115"/>
      <c r="EP145" s="115"/>
      <c r="JM145"/>
    </row>
    <row r="146" spans="1:273" s="323" customFormat="1">
      <c r="A146" s="115" t="s">
        <v>891</v>
      </c>
      <c r="B146" s="115"/>
      <c r="AN146" s="331"/>
      <c r="AO146" s="817"/>
      <c r="AP146" s="115"/>
      <c r="AQ146" s="115"/>
      <c r="AR146" s="817"/>
      <c r="AS146" s="817">
        <f>AS140/AR140-1</f>
        <v>-0.32203389830508478</v>
      </c>
      <c r="AT146" s="115"/>
      <c r="AU146" s="115"/>
      <c r="AV146" s="817">
        <f>AV140/AS140-1</f>
        <v>0.3125</v>
      </c>
      <c r="AW146" s="817">
        <f>AW140/AV140-1</f>
        <v>0.1333333333333333</v>
      </c>
      <c r="AX146" s="115"/>
      <c r="AY146" s="115"/>
      <c r="AZ146" s="817">
        <f>AZ140/AW140-1</f>
        <v>9.243697478991586E-2</v>
      </c>
      <c r="BA146" s="817">
        <f>BA140/AZ140-1</f>
        <v>0</v>
      </c>
      <c r="BB146" s="115"/>
      <c r="BC146" s="115"/>
      <c r="BD146" s="817">
        <f>BD140/BA140-1</f>
        <v>-9.2307692307692313E-2</v>
      </c>
      <c r="BE146" s="817">
        <f>BE140/BD140-1</f>
        <v>-0.16101694915254239</v>
      </c>
      <c r="BF146" s="869"/>
      <c r="BG146" s="869"/>
      <c r="BH146" s="817">
        <f>BH140/BE140-1</f>
        <v>4.0404040404040442E-2</v>
      </c>
      <c r="BI146" s="817">
        <f>BI140/BH140-1</f>
        <v>7.7669902912621325E-2</v>
      </c>
      <c r="BJ146" s="869"/>
      <c r="BK146" s="869"/>
      <c r="BL146" s="817">
        <f>BL140/BI140-1</f>
        <v>-4.5045045045045029E-2</v>
      </c>
      <c r="BM146" s="817">
        <f>BM140/BL140-1</f>
        <v>-0.31132075471698117</v>
      </c>
      <c r="BN146" s="869"/>
      <c r="BO146" s="115"/>
      <c r="BP146" s="817">
        <f>BP140/BM140-1</f>
        <v>-0.12328767123287676</v>
      </c>
      <c r="BQ146" s="817">
        <f>BQ140/BP140-1</f>
        <v>-9.375E-2</v>
      </c>
      <c r="BR146" s="869"/>
      <c r="BS146" s="115"/>
      <c r="BT146" s="817">
        <f>BT140/BQ140-1</f>
        <v>-0.13793103448275867</v>
      </c>
      <c r="BU146" s="817">
        <f>BU140/BT140-1</f>
        <v>-0.21999999999999997</v>
      </c>
      <c r="BV146" s="869"/>
      <c r="BW146" s="869"/>
      <c r="BX146" s="817">
        <f>BX140/BU140-1</f>
        <v>2.564102564102555E-2</v>
      </c>
      <c r="BY146" s="817">
        <f>BY140/BX140-1</f>
        <v>-9.9999999999999978E-2</v>
      </c>
      <c r="BZ146" s="869"/>
      <c r="CA146" s="869"/>
      <c r="CB146" s="817">
        <f>CB140/BY140-1</f>
        <v>0.13888888888888884</v>
      </c>
      <c r="CC146" s="817">
        <f>CC140/CB140-1</f>
        <v>0</v>
      </c>
      <c r="CD146" s="869"/>
      <c r="CE146" s="869"/>
      <c r="CF146" s="817">
        <f>IFERROR((CF140/CC140-1),"na")</f>
        <v>-4.8780487804878092E-2</v>
      </c>
      <c r="CG146" s="817">
        <f>IFERROR((CG140/CF140-1),"na")</f>
        <v>-0.28205128205128205</v>
      </c>
      <c r="CH146" s="869"/>
      <c r="CI146" s="869"/>
      <c r="CJ146" s="817">
        <f>CJ140/CG140-1</f>
        <v>-0.1071428571428571</v>
      </c>
      <c r="CK146" s="817">
        <f>IFERROR((CK140/CJ140-1),"na")</f>
        <v>0</v>
      </c>
      <c r="CL146" s="869"/>
      <c r="CM146" s="869"/>
      <c r="CN146" s="817">
        <f>CN140/CK140-1</f>
        <v>0</v>
      </c>
      <c r="CO146" s="817">
        <f>IFERROR((CO140/CN140-1),"na")</f>
        <v>0</v>
      </c>
      <c r="CP146" s="869"/>
      <c r="CQ146" s="869"/>
      <c r="CR146" s="817">
        <f>CR140/CO140-1</f>
        <v>-1</v>
      </c>
      <c r="CS146" s="817" t="str">
        <f>IFERROR((CS140/CR140-1),"na")</f>
        <v>na</v>
      </c>
      <c r="CT146" s="869"/>
      <c r="CU146" s="869"/>
      <c r="CV146" s="817" t="str">
        <f>IFERROR((CV140/CS140-1),"na")</f>
        <v>na</v>
      </c>
      <c r="CW146" s="817" t="str">
        <f>IFERROR((CW140/CV140-1),"na")</f>
        <v>na</v>
      </c>
      <c r="CX146" s="869"/>
      <c r="CY146" s="869"/>
      <c r="CZ146" s="817" t="str">
        <f>IFERROR((CZ140/CW140-1),"na")</f>
        <v>na</v>
      </c>
      <c r="DA146" s="817" t="str">
        <f>IFERROR((DA140/CZ140-1),"na")</f>
        <v>na</v>
      </c>
      <c r="DB146" s="869"/>
      <c r="DC146" s="869"/>
      <c r="DD146" s="817" t="str">
        <f>IFERROR((DD140/DA140-1),"na")</f>
        <v>na</v>
      </c>
      <c r="DE146" s="817" t="str">
        <f ca="1">IFERROR((DE140/DD140-1),"na")</f>
        <v>na</v>
      </c>
      <c r="DF146" s="869"/>
      <c r="DG146" s="869"/>
      <c r="DH146" s="817" t="str">
        <f ca="1">IFERROR((DH140/DE140-1),"na")</f>
        <v>na</v>
      </c>
      <c r="DI146" s="869">
        <v>0.03</v>
      </c>
      <c r="DJ146" s="869"/>
      <c r="DK146" s="869"/>
      <c r="DL146" s="869">
        <v>0.03</v>
      </c>
      <c r="DM146" s="869">
        <v>0.03</v>
      </c>
      <c r="DN146" s="869"/>
      <c r="DO146" s="869"/>
      <c r="DP146" s="869">
        <v>0.03</v>
      </c>
      <c r="DQ146" s="869">
        <v>0.03</v>
      </c>
      <c r="DR146" s="869"/>
      <c r="DS146" s="869"/>
      <c r="DT146" s="869"/>
      <c r="DU146" s="869"/>
      <c r="DV146" s="869"/>
      <c r="DW146" s="869"/>
      <c r="DX146" s="115"/>
      <c r="DY146" s="115"/>
      <c r="DZ146" s="869"/>
      <c r="EA146" s="869"/>
      <c r="EB146" s="115"/>
      <c r="EC146" s="115"/>
      <c r="ED146" s="869"/>
      <c r="EE146" s="869"/>
      <c r="EF146" s="115"/>
      <c r="EG146" s="115"/>
      <c r="EH146" s="115"/>
      <c r="EI146" s="115"/>
      <c r="EJ146" s="115"/>
      <c r="EK146" s="115"/>
      <c r="EL146" s="115"/>
      <c r="EM146" s="115"/>
      <c r="EN146" s="115"/>
      <c r="EO146" s="115"/>
      <c r="EP146" s="115"/>
      <c r="JM146"/>
    </row>
    <row r="147" spans="1:273">
      <c r="A147" s="323" t="s">
        <v>892</v>
      </c>
      <c r="AN147" s="626"/>
      <c r="AO147" s="626"/>
      <c r="AR147" s="817"/>
      <c r="AS147" s="817">
        <f>AS141/AR141-1</f>
        <v>-0.19548872180451127</v>
      </c>
      <c r="AT147" s="626"/>
      <c r="AU147" s="626"/>
      <c r="AV147" s="817">
        <f>AV141/AS141-1</f>
        <v>-1.8691588785046731E-2</v>
      </c>
      <c r="AW147" s="817">
        <f>AW141/AV141-1</f>
        <v>3.8095238095238182E-2</v>
      </c>
      <c r="AX147" s="626"/>
      <c r="AZ147" s="817">
        <f>AZ141/AW141-1</f>
        <v>0.46788990825688082</v>
      </c>
      <c r="BA147" s="817">
        <f>BA141/AZ141-1</f>
        <v>-7.4999999999999956E-2</v>
      </c>
      <c r="BD147" s="817">
        <f>BD141/BA141-1</f>
        <v>0.12837837837837829</v>
      </c>
      <c r="BE147" s="817">
        <f>BE141/BD141-1</f>
        <v>1.1976047904191711E-2</v>
      </c>
      <c r="BH147" s="817">
        <f>BH141/BE141-1</f>
        <v>-2.3668639053254448E-2</v>
      </c>
      <c r="BI147" s="817">
        <f>BI141/BH141-1</f>
        <v>-0.18787878787878787</v>
      </c>
      <c r="BL147" s="817">
        <f>BL141/BI141-1</f>
        <v>-2.2388059701492491E-2</v>
      </c>
      <c r="BM147" s="817">
        <f>BM141/BL141-1</f>
        <v>-0.16030534351145043</v>
      </c>
      <c r="BP147" s="817">
        <f>BP141/BM141-1</f>
        <v>-0.16363636363636369</v>
      </c>
      <c r="BQ147" s="817">
        <f>BQ141/BP141-1</f>
        <v>0.38043478260869557</v>
      </c>
      <c r="BT147" s="817">
        <f>BT141/BQ141-1</f>
        <v>0.54330708661417315</v>
      </c>
      <c r="BU147" s="817">
        <f>BU141/BT141-1</f>
        <v>2.0408163265306145E-2</v>
      </c>
      <c r="BX147" s="817">
        <f>BX141/BU141-1</f>
        <v>3.0000000000000027E-2</v>
      </c>
      <c r="BY147" s="817">
        <f>BY141/BX141-1</f>
        <v>-0.12621359223300976</v>
      </c>
      <c r="CB147" s="817">
        <f>CB141/BY141-1</f>
        <v>-1.1111111111111072E-2</v>
      </c>
      <c r="CC147" s="817">
        <f>CC141/CB141-1</f>
        <v>0.1797752808988764</v>
      </c>
      <c r="CF147" s="817">
        <f>CF141/CC141-1</f>
        <v>-0.19047619047619047</v>
      </c>
      <c r="CG147" s="817">
        <f>CG141/CF141-1</f>
        <v>0.24117647058823533</v>
      </c>
      <c r="CJ147" s="817">
        <f>CJ141/CG141-1</f>
        <v>-4.7393364928909998E-2</v>
      </c>
      <c r="CK147" s="817">
        <f>CK141/CJ141-1</f>
        <v>-3.4825870646766122E-2</v>
      </c>
      <c r="CN147" s="817">
        <f>CN141/CK141-1</f>
        <v>-8.2474226804123751E-2</v>
      </c>
      <c r="CO147" s="817">
        <f>CO141/CN141-1</f>
        <v>7.3033707865168607E-2</v>
      </c>
      <c r="CR147" s="817">
        <f>CR141/CO141-1</f>
        <v>0.1518324607329844</v>
      </c>
      <c r="CS147" s="817">
        <f>CS141/CR141-1</f>
        <v>7.7272727272727382E-2</v>
      </c>
      <c r="CV147" s="817">
        <f>CV141/CS141-1</f>
        <v>5.0632911392405111E-2</v>
      </c>
      <c r="CW147" s="817">
        <f>CW141/CV141-1</f>
        <v>2.4096385542168752E-2</v>
      </c>
      <c r="CZ147" s="817">
        <f>CZ141/CW141-1</f>
        <v>7.0588235294117618E-2</v>
      </c>
      <c r="DA147" s="817">
        <f>DA141/CZ141-1</f>
        <v>2.93040293040292E-2</v>
      </c>
      <c r="DD147" s="817">
        <f>DD141/DA141-1</f>
        <v>8.1850533807829251E-2</v>
      </c>
      <c r="DE147" s="817">
        <f ca="1">DE141/DD141-1</f>
        <v>9.8684210526316374E-3</v>
      </c>
      <c r="DH147" s="817">
        <f ca="1">DH141/DE141-1</f>
        <v>7.1661237785016318E-2</v>
      </c>
      <c r="DI147" s="817">
        <f>DI141/DH141-1</f>
        <v>-1.3617021276595809E-2</v>
      </c>
      <c r="DL147" s="817">
        <f>DL141/DI141-1</f>
        <v>7.139775668679893E-2</v>
      </c>
      <c r="DM147" s="817">
        <f>DM141/DL141-1</f>
        <v>-1.3356150593919702E-2</v>
      </c>
      <c r="DP147" s="817">
        <f>DP141/DM141-1</f>
        <v>7.1135316467577869E-2</v>
      </c>
      <c r="DQ147" s="817">
        <f>DQ141/DP141-1</f>
        <v>-1.3096182897812336E-2</v>
      </c>
      <c r="DU147" s="869"/>
      <c r="DV147" s="869"/>
      <c r="DW147" s="869"/>
      <c r="DZ147" s="869"/>
      <c r="EA147" s="869"/>
      <c r="ED147" s="869"/>
      <c r="EE147" s="869"/>
    </row>
    <row r="148" spans="1:273">
      <c r="A148" s="328" t="s">
        <v>190</v>
      </c>
      <c r="AN148" s="626"/>
      <c r="AO148" s="626"/>
      <c r="AR148" s="817"/>
      <c r="AS148" s="817"/>
      <c r="AT148" s="626"/>
      <c r="AU148" s="626"/>
      <c r="AV148" s="817"/>
      <c r="AW148" s="817"/>
      <c r="AX148" s="626"/>
      <c r="AZ148" s="817">
        <f>AZ142/AW142-1</f>
        <v>0.25910931174089069</v>
      </c>
      <c r="BA148" s="817">
        <f>BA142/AZ142-1</f>
        <v>-3.5369774919614128E-2</v>
      </c>
      <c r="BD148" s="817">
        <f>BD142/BA142-1</f>
        <v>2.0000000000000018E-2</v>
      </c>
      <c r="BE148" s="817">
        <f>BE142/BD142-1</f>
        <v>-6.5359477124182996E-2</v>
      </c>
      <c r="BH148" s="817">
        <f>BH142/BE142-1</f>
        <v>-6.9930069930069783E-3</v>
      </c>
      <c r="BI148" s="817">
        <f>BI142/BH142-1</f>
        <v>-7.3943661971830998E-2</v>
      </c>
      <c r="BL148" s="817">
        <f>BL142/BI142-1</f>
        <v>-7.6045627376425395E-3</v>
      </c>
      <c r="BM148" s="817">
        <f>BM142/BL142-1</f>
        <v>-0.21455938697318011</v>
      </c>
      <c r="BP148" s="817">
        <f>BP142/BM142-1</f>
        <v>-0.15121951219512197</v>
      </c>
      <c r="BQ148" s="817">
        <f>BQ142/BP142-1</f>
        <v>0.2068965517241379</v>
      </c>
      <c r="BT148" s="817">
        <f>BT142/BQ142-1</f>
        <v>0.32380952380952377</v>
      </c>
      <c r="BU148" s="817">
        <f>BU142/BT142-1</f>
        <v>-8.2733812949640329E-2</v>
      </c>
      <c r="BX148" s="817">
        <f>BX142/BU142-1</f>
        <v>5.4712643678160866E-2</v>
      </c>
      <c r="BY148" s="817">
        <f>BY142/BX142-1</f>
        <v>-0.10026155187445507</v>
      </c>
      <c r="CB148" s="817">
        <f>CB142/BY142-1</f>
        <v>1.225490196078427E-3</v>
      </c>
      <c r="CC148" s="817">
        <f>CC142/CB142-1</f>
        <v>0.13230480202669992</v>
      </c>
      <c r="CF148" s="817">
        <f>CF142/CC142-1</f>
        <v>-0.23816586641192583</v>
      </c>
      <c r="CG148" s="817">
        <f>CG142/CF142-1</f>
        <v>0.14354066985645941</v>
      </c>
      <c r="CJ148" s="817">
        <f>CJ142/CG142-1</f>
        <v>-5.4393305439330519E-2</v>
      </c>
      <c r="CK148" s="817">
        <f>CK142/CJ142-1</f>
        <v>-3.0973451327433676E-2</v>
      </c>
      <c r="CN148" s="817">
        <f>CN142/CK142-1</f>
        <v>-7.3059360730593603E-2</v>
      </c>
      <c r="CO148" s="817">
        <f>CO142/CN142-1</f>
        <v>6.4039408866995107E-2</v>
      </c>
      <c r="CR148" s="817">
        <f>CR142/CO142-1</f>
        <v>1.8518518518518601E-2</v>
      </c>
      <c r="CS148" s="817">
        <f>CS142/CR142-1</f>
        <v>7.7272727272727382E-2</v>
      </c>
      <c r="CV148" s="817">
        <f>CV142/CS142-1</f>
        <v>5.0632911392405111E-2</v>
      </c>
      <c r="CW148" s="817">
        <f>CW142/CV142-1</f>
        <v>2.4096385542168752E-2</v>
      </c>
      <c r="CZ148" s="817">
        <f>CZ142/CW142-1</f>
        <v>7.0588235294117618E-2</v>
      </c>
      <c r="DA148" s="817">
        <f>DA142/CZ142-1</f>
        <v>2.93040293040292E-2</v>
      </c>
      <c r="DD148" s="817">
        <f>DD142/DA142-1</f>
        <v>8.1850533807829251E-2</v>
      </c>
      <c r="DE148" s="817">
        <f ca="1">DE142/DD142-1</f>
        <v>9.8684210526316374E-3</v>
      </c>
      <c r="DH148" s="817">
        <f ca="1">DH142/DE142-1</f>
        <v>7.1661237785016318E-2</v>
      </c>
      <c r="DI148" s="817">
        <f>DI142/DH142-1</f>
        <v>-1.3617021276595809E-2</v>
      </c>
      <c r="DL148" s="817">
        <f>DL142/DI142-1</f>
        <v>7.139775668679893E-2</v>
      </c>
      <c r="DM148" s="817">
        <f>DM142/DL142-1</f>
        <v>-1.3356150593919702E-2</v>
      </c>
      <c r="DP148" s="817">
        <f>DP142/DM142-1</f>
        <v>7.1135316467577869E-2</v>
      </c>
      <c r="DQ148" s="817">
        <f>DQ142/DP142-1</f>
        <v>-1.3096182897812336E-2</v>
      </c>
      <c r="DU148" s="869"/>
      <c r="DV148" s="869"/>
      <c r="DW148" s="869"/>
      <c r="DZ148" s="869"/>
      <c r="EA148" s="869"/>
      <c r="ED148" s="869"/>
      <c r="EE148" s="869"/>
    </row>
    <row r="149" spans="1:273">
      <c r="A149" s="323"/>
      <c r="AN149" s="626"/>
      <c r="AO149" s="626"/>
      <c r="AR149" s="817"/>
      <c r="AS149" s="817"/>
      <c r="AT149" s="626"/>
      <c r="AU149" s="626"/>
      <c r="AV149" s="817"/>
      <c r="AW149" s="817"/>
      <c r="AX149" s="626"/>
      <c r="AZ149" s="817"/>
      <c r="BA149" s="817"/>
      <c r="BD149" s="817"/>
      <c r="BE149" s="817"/>
      <c r="BH149" s="817"/>
      <c r="BI149" s="817"/>
      <c r="BL149" s="817"/>
      <c r="BM149" s="817"/>
      <c r="BP149" s="817"/>
      <c r="BQ149" s="817"/>
      <c r="BT149" s="817"/>
      <c r="BU149" s="817"/>
      <c r="BX149" s="817"/>
      <c r="BY149" s="817"/>
      <c r="CB149" s="817"/>
      <c r="CC149" s="817"/>
      <c r="CF149" s="817"/>
      <c r="CG149" s="817"/>
      <c r="CJ149" s="817"/>
      <c r="CK149" s="817"/>
      <c r="CN149" s="817"/>
      <c r="CO149" s="817"/>
      <c r="CR149" s="817"/>
      <c r="CS149" s="817"/>
      <c r="CV149" s="817"/>
      <c r="CW149" s="869"/>
      <c r="CZ149" s="817"/>
      <c r="DA149" s="869"/>
      <c r="DD149" s="817"/>
      <c r="DE149" s="869"/>
      <c r="DH149" s="817"/>
      <c r="DI149" s="869"/>
      <c r="DL149" s="869"/>
      <c r="DM149" s="869"/>
      <c r="DP149" s="869"/>
      <c r="DQ149" s="869"/>
      <c r="DU149" s="869"/>
      <c r="DV149" s="869"/>
      <c r="DW149" s="869"/>
      <c r="DZ149" s="869"/>
      <c r="EA149" s="869"/>
      <c r="ED149" s="869"/>
      <c r="EE149" s="869"/>
    </row>
    <row r="150" spans="1:273">
      <c r="A150" s="815" t="s">
        <v>697</v>
      </c>
      <c r="AN150" s="626"/>
      <c r="AO150" s="626"/>
      <c r="AR150" s="626"/>
      <c r="AS150" s="626"/>
      <c r="AT150" s="626"/>
      <c r="AU150" s="626"/>
      <c r="AV150" s="626"/>
      <c r="AW150" s="626"/>
      <c r="AX150" s="626"/>
      <c r="AZ150" s="626"/>
      <c r="BA150" s="685"/>
      <c r="BD150" s="685"/>
      <c r="BE150" s="685"/>
      <c r="BH150" s="685"/>
      <c r="BI150" s="685"/>
      <c r="BL150" s="685"/>
      <c r="BM150" s="685"/>
      <c r="BP150" s="685"/>
      <c r="BQ150" s="685"/>
      <c r="BT150" s="685"/>
      <c r="BU150" s="685"/>
      <c r="BX150" s="685"/>
      <c r="BY150" s="685"/>
      <c r="CB150" s="685"/>
      <c r="CC150" s="685"/>
      <c r="CF150" s="685"/>
      <c r="CG150" s="685"/>
      <c r="CJ150" s="685"/>
      <c r="CK150" s="685"/>
      <c r="CN150" s="685"/>
      <c r="CO150" s="685"/>
      <c r="CR150" s="685"/>
      <c r="CS150" s="685"/>
      <c r="CU150" s="640"/>
      <c r="CV150" s="685"/>
      <c r="CW150" s="640"/>
      <c r="CX150" s="640"/>
      <c r="CY150" s="640"/>
      <c r="CZ150" s="685"/>
      <c r="DA150" s="640"/>
      <c r="DB150" s="640"/>
      <c r="DC150" s="640"/>
      <c r="DD150" s="685"/>
      <c r="DE150" s="640"/>
      <c r="DF150" s="640"/>
      <c r="DH150" s="685"/>
      <c r="DI150" s="640"/>
      <c r="DJ150" s="640"/>
      <c r="DL150" s="640"/>
      <c r="DM150" s="640"/>
      <c r="DN150" s="640"/>
      <c r="DP150" s="640"/>
      <c r="DQ150" s="640"/>
      <c r="DR150" s="640"/>
    </row>
    <row r="151" spans="1:273">
      <c r="A151" s="102" t="s">
        <v>1027</v>
      </c>
      <c r="AN151" s="626"/>
      <c r="AO151" s="626"/>
      <c r="AR151" s="293">
        <f>DIVISIONS!AR298</f>
        <v>444</v>
      </c>
      <c r="AS151" s="293">
        <f>DIVISIONS!AS298</f>
        <v>330</v>
      </c>
      <c r="AT151" s="626"/>
      <c r="AU151" s="626"/>
      <c r="AV151" s="293">
        <f>DIVISIONS!AV298</f>
        <v>409</v>
      </c>
      <c r="AW151" s="293">
        <f>DIVISIONS!AW298</f>
        <v>374</v>
      </c>
      <c r="AX151" s="626"/>
      <c r="AY151" s="626"/>
      <c r="AZ151" s="293">
        <f>DIVISIONS!AZ298</f>
        <v>413</v>
      </c>
      <c r="BA151" s="293">
        <f>DIVISIONS!BA298</f>
        <v>390</v>
      </c>
      <c r="BD151" s="293">
        <f>DIVISIONS!BD298</f>
        <v>333.5</v>
      </c>
      <c r="BE151" s="293">
        <f>DIVISIONS!BE298</f>
        <v>291</v>
      </c>
      <c r="BH151" s="293">
        <f>DIVISIONS!BH298</f>
        <v>260</v>
      </c>
      <c r="BI151" s="293">
        <f>DIVISIONS!BI298</f>
        <v>276</v>
      </c>
      <c r="BL151" s="293">
        <f>DIVISIONS!BL298</f>
        <v>323</v>
      </c>
      <c r="BM151" s="293">
        <f>DIVISIONS!BM298</f>
        <v>326</v>
      </c>
      <c r="BP151" s="293">
        <f>DIVISIONS!BP298</f>
        <v>313</v>
      </c>
      <c r="BQ151" s="293">
        <f>DIVISIONS!BQ298</f>
        <v>345</v>
      </c>
      <c r="BT151" s="293">
        <f>DIVISIONS!BT298</f>
        <v>380</v>
      </c>
      <c r="BU151" s="293">
        <f>DIVISIONS!BU298</f>
        <v>358</v>
      </c>
      <c r="BX151" s="293">
        <f>DIVISIONS!BX298</f>
        <v>355</v>
      </c>
      <c r="BY151" s="293">
        <f>DIVISIONS!BY298</f>
        <v>349</v>
      </c>
      <c r="CB151" s="293">
        <f>DIVISIONS!CB298</f>
        <v>341</v>
      </c>
      <c r="CC151" s="293">
        <f>DIVISIONS!CC298</f>
        <v>345</v>
      </c>
      <c r="CF151" s="293">
        <f>DIVISIONS!CF298</f>
        <v>432</v>
      </c>
      <c r="CG151" s="293">
        <f>DIVISIONS!CG298</f>
        <v>425</v>
      </c>
      <c r="CJ151" s="293">
        <f>DIVISIONS!CJ298</f>
        <v>112</v>
      </c>
      <c r="CK151" s="293">
        <f>DIVISIONS!CK298</f>
        <v>139</v>
      </c>
      <c r="CN151" s="293">
        <f>DIVISIONS!CN298</f>
        <v>112</v>
      </c>
      <c r="CO151" s="293">
        <f>DIVISIONS!CO298</f>
        <v>97</v>
      </c>
      <c r="CR151" s="293">
        <f>DIVISIONS!CR298</f>
        <v>112</v>
      </c>
      <c r="CS151" s="293">
        <f>DIVISIONS!CS298</f>
        <v>127</v>
      </c>
      <c r="CU151" s="1019"/>
      <c r="CV151" s="293">
        <f>DIVISIONS!CV298</f>
        <v>125</v>
      </c>
      <c r="CW151" s="293">
        <f>DIVISIONS!CW298</f>
        <v>127</v>
      </c>
      <c r="CY151" s="1019"/>
      <c r="CZ151" s="293">
        <f>DIVISIONS!CZ298</f>
        <v>135</v>
      </c>
      <c r="DA151" s="293">
        <f>DIVISIONS!DA298</f>
        <v>162</v>
      </c>
      <c r="DC151" s="1019"/>
      <c r="DD151" s="293">
        <f>DIVISIONS!DD298</f>
        <v>154</v>
      </c>
      <c r="DE151" s="293">
        <f>DIVISIONS!DE298</f>
        <v>153</v>
      </c>
      <c r="DH151" s="293">
        <f>DIVISIONS!DH298</f>
        <v>177</v>
      </c>
      <c r="DI151" s="293">
        <f>DIVISIONS!DI298</f>
        <v>156.06</v>
      </c>
      <c r="DL151" s="293">
        <f>DIVISIONS!DL298</f>
        <v>173.46</v>
      </c>
      <c r="DM151" s="293">
        <f>DIVISIONS!DM298</f>
        <v>152.93879999999999</v>
      </c>
      <c r="DP151" s="293">
        <f>DIVISIONS!DP298</f>
        <v>169.99080000000001</v>
      </c>
      <c r="DQ151" s="293">
        <f>DIVISIONS!DQ298</f>
        <v>149.88002399999999</v>
      </c>
      <c r="DU151" s="293"/>
      <c r="DV151" s="293"/>
      <c r="DW151" s="293"/>
      <c r="DZ151" s="293"/>
      <c r="EA151" s="293"/>
      <c r="ED151" s="293"/>
      <c r="EE151" s="293"/>
    </row>
    <row r="152" spans="1:273">
      <c r="A152" s="102" t="s">
        <v>1028</v>
      </c>
      <c r="AN152" s="626"/>
      <c r="AO152" s="626"/>
      <c r="AR152" s="293">
        <f>DIVISIONS!AR299</f>
        <v>95</v>
      </c>
      <c r="AS152" s="293">
        <f>DIVISIONS!AS299</f>
        <v>141</v>
      </c>
      <c r="AT152" s="626"/>
      <c r="AU152" s="626"/>
      <c r="AV152" s="293">
        <f>DIVISIONS!AV299</f>
        <v>161</v>
      </c>
      <c r="AW152" s="293">
        <f>DIVISIONS!AW299</f>
        <v>188</v>
      </c>
      <c r="AX152" s="626"/>
      <c r="AY152" s="626"/>
      <c r="AZ152" s="293">
        <f>DIVISIONS!AZ299</f>
        <v>136.5</v>
      </c>
      <c r="BA152" s="293">
        <f>DIVISIONS!BA299</f>
        <v>157.5</v>
      </c>
      <c r="BD152" s="293">
        <f>DIVISIONS!BD299</f>
        <v>118</v>
      </c>
      <c r="BE152" s="293">
        <f>DIVISIONS!BE299</f>
        <v>70</v>
      </c>
      <c r="BH152" s="293">
        <f>DIVISIONS!BH299</f>
        <v>62</v>
      </c>
      <c r="BI152" s="293">
        <f>DIVISIONS!BI299</f>
        <v>75</v>
      </c>
      <c r="BL152" s="293">
        <f>DIVISIONS!BL299</f>
        <v>73</v>
      </c>
      <c r="BM152" s="293">
        <f>DIVISIONS!BM299</f>
        <v>73</v>
      </c>
      <c r="BP152" s="293">
        <f>DIVISIONS!BP299</f>
        <v>103</v>
      </c>
      <c r="BQ152" s="293">
        <f>DIVISIONS!BQ299</f>
        <v>309</v>
      </c>
      <c r="BT152" s="293">
        <f>DIVISIONS!BT299</f>
        <v>106</v>
      </c>
      <c r="BU152" s="293">
        <f>DIVISIONS!BU299</f>
        <v>78</v>
      </c>
      <c r="BX152" s="293">
        <f>DIVISIONS!BX299</f>
        <v>92</v>
      </c>
      <c r="BY152" s="293">
        <f>DIVISIONS!BY299</f>
        <v>61</v>
      </c>
      <c r="CB152" s="293">
        <f>DIVISIONS!CB299</f>
        <v>95</v>
      </c>
      <c r="CC152" s="293">
        <f>DIVISIONS!CC299</f>
        <v>112</v>
      </c>
      <c r="CF152" s="293">
        <f>DIVISIONS!CF299</f>
        <v>124</v>
      </c>
      <c r="CG152" s="293">
        <f>DIVISIONS!CG299</f>
        <v>170</v>
      </c>
      <c r="CJ152" s="293">
        <f>DIVISIONS!CJ299</f>
        <v>113</v>
      </c>
      <c r="CK152" s="293">
        <f>DIVISIONS!CK299</f>
        <v>130</v>
      </c>
      <c r="CN152" s="293">
        <f>DIVISIONS!CN299</f>
        <v>128</v>
      </c>
      <c r="CO152" s="293">
        <f>DIVISIONS!CO299</f>
        <v>81</v>
      </c>
      <c r="CR152" s="293">
        <f>DIVISIONS!CR299</f>
        <v>65</v>
      </c>
      <c r="CS152" s="293">
        <f>DIVISIONS!CS299</f>
        <v>102</v>
      </c>
      <c r="CV152" s="293">
        <f>DIVISIONS!CV299</f>
        <v>25</v>
      </c>
      <c r="CW152" s="293">
        <f>DIVISIONS!CW299</f>
        <v>161</v>
      </c>
      <c r="CZ152" s="293">
        <f>DIVISIONS!CZ299</f>
        <v>97</v>
      </c>
      <c r="DA152" s="293">
        <f>DIVISIONS!DA299</f>
        <v>91</v>
      </c>
      <c r="DD152" s="293">
        <f>DIVISIONS!DD299</f>
        <v>87</v>
      </c>
      <c r="DE152" s="293">
        <f>DIVISIONS!DE299</f>
        <v>37</v>
      </c>
      <c r="DH152" s="293">
        <f>DIVISIONS!DH299</f>
        <v>93</v>
      </c>
      <c r="DI152" s="293">
        <f>DH152*(1+DI$155)</f>
        <v>96.72</v>
      </c>
      <c r="DL152" s="293">
        <f>DI152*(1+DL$155)</f>
        <v>94.785600000000002</v>
      </c>
      <c r="DM152" s="293">
        <f>DL152*(1+DM$155)</f>
        <v>98.577024000000009</v>
      </c>
      <c r="DP152" s="293">
        <f>DM152*(1+DP$155)</f>
        <v>96.605483520000007</v>
      </c>
      <c r="DQ152" s="293">
        <f>DP152*(1+DQ$155)</f>
        <v>100.46970286080001</v>
      </c>
      <c r="DU152" s="293"/>
      <c r="DV152" s="293"/>
      <c r="DW152" s="293"/>
      <c r="DZ152" s="293"/>
      <c r="EA152" s="293"/>
      <c r="ED152" s="293"/>
      <c r="EE152" s="293"/>
    </row>
    <row r="153" spans="1:273">
      <c r="A153" s="102" t="s">
        <v>700</v>
      </c>
      <c r="AN153" s="626"/>
      <c r="AO153" s="626"/>
      <c r="AR153" s="293">
        <f>DIVISIONS!AR410</f>
        <v>71</v>
      </c>
      <c r="AS153" s="293">
        <f>DIVISIONS!AS410</f>
        <v>58</v>
      </c>
      <c r="AT153" s="626"/>
      <c r="AU153" s="626"/>
      <c r="AV153" s="293">
        <f>DIVISIONS!AV410</f>
        <v>45</v>
      </c>
      <c r="AW153" s="293">
        <f>DIVISIONS!AW410</f>
        <v>75</v>
      </c>
      <c r="AX153" s="626"/>
      <c r="AY153" s="293"/>
      <c r="AZ153" s="293">
        <f>DIVISIONS!AZ410</f>
        <v>152</v>
      </c>
      <c r="BA153" s="293">
        <f>DIVISIONS!BA410</f>
        <v>97</v>
      </c>
      <c r="BD153" s="293">
        <f>DIVISIONS!BD410</f>
        <v>97</v>
      </c>
      <c r="BE153" s="293">
        <f>DIVISIONS!BE410</f>
        <v>93</v>
      </c>
      <c r="BH153" s="293">
        <f>DIVISIONS!BH410</f>
        <v>88</v>
      </c>
      <c r="BI153" s="293">
        <f>DIVISIONS!BI410</f>
        <v>164</v>
      </c>
      <c r="BL153" s="293">
        <f>DIVISIONS!BL410</f>
        <v>99</v>
      </c>
      <c r="BM153" s="293">
        <f>DIVISIONS!BM410</f>
        <v>100</v>
      </c>
      <c r="BP153" s="293">
        <f>DIVISIONS!BP410</f>
        <v>90</v>
      </c>
      <c r="BQ153" s="293">
        <f>DIVISIONS!BQ410</f>
        <v>128</v>
      </c>
      <c r="BT153" s="293">
        <f>DIVISIONS!BT410</f>
        <v>124</v>
      </c>
      <c r="BU153" s="293">
        <f>DIVISIONS!BU410</f>
        <v>118</v>
      </c>
      <c r="BX153" s="293">
        <f>DIVISIONS!BX410</f>
        <v>105</v>
      </c>
      <c r="BY153" s="293">
        <f>DIVISIONS!BY410</f>
        <v>124</v>
      </c>
      <c r="CB153" s="293">
        <f>DIVISIONS!CB410</f>
        <v>104</v>
      </c>
      <c r="CC153" s="293">
        <f>DIVISIONS!CC410</f>
        <v>108</v>
      </c>
      <c r="CF153" s="293">
        <f>DIVISIONS!CF410</f>
        <v>131</v>
      </c>
      <c r="CG153" s="293">
        <f>DIVISIONS!CG410</f>
        <v>156</v>
      </c>
      <c r="CJ153" s="293">
        <f>DIVISIONS!CJ410</f>
        <v>152</v>
      </c>
      <c r="CK153" s="293">
        <f>DIVISIONS!CK410</f>
        <v>213</v>
      </c>
      <c r="CN153" s="293">
        <f>DIVISIONS!CN410</f>
        <v>121</v>
      </c>
      <c r="CO153" s="293">
        <f>DIVISIONS!CO410</f>
        <v>162</v>
      </c>
      <c r="CR153" s="293">
        <f>DIVISIONS!CR410</f>
        <v>610</v>
      </c>
      <c r="CS153" s="293">
        <f>DIVISIONS!CS410</f>
        <v>313</v>
      </c>
      <c r="CV153" s="293">
        <f>DIVISIONS!CV410</f>
        <v>267</v>
      </c>
      <c r="CW153" s="293">
        <f>DIVISIONS!CW410</f>
        <v>288</v>
      </c>
      <c r="CZ153" s="293">
        <f>DIVISIONS!CZ410</f>
        <v>212</v>
      </c>
      <c r="DA153" s="293">
        <f>DIVISIONS!DA410</f>
        <v>224</v>
      </c>
      <c r="DD153" s="293">
        <f>DIVISIONS!DD410</f>
        <v>208</v>
      </c>
      <c r="DE153" s="293">
        <f>DIVISIONS!DE410</f>
        <v>242</v>
      </c>
      <c r="DH153" s="293">
        <f>DIVISIONS!DH410</f>
        <v>194</v>
      </c>
      <c r="DI153" s="293">
        <f>DH153*(1+DI$155)</f>
        <v>201.76000000000002</v>
      </c>
      <c r="DL153" s="293">
        <f>DI153*(1+DL$155)</f>
        <v>197.72480000000002</v>
      </c>
      <c r="DM153" s="293">
        <f>DL153*(1+DM$155)</f>
        <v>205.63379200000003</v>
      </c>
      <c r="DP153" s="293">
        <f>DM153*(1+DP$155)</f>
        <v>201.52111616000002</v>
      </c>
      <c r="DQ153" s="293">
        <f>DP153*(1+DQ$155)</f>
        <v>209.58196080640002</v>
      </c>
      <c r="DU153" s="293"/>
      <c r="DV153" s="293"/>
      <c r="DW153" s="293"/>
      <c r="DZ153" s="293"/>
      <c r="EA153" s="293"/>
      <c r="ED153" s="293"/>
      <c r="EE153" s="293"/>
    </row>
    <row r="154" spans="1:273" s="289" customFormat="1">
      <c r="A154" s="289" t="s">
        <v>613</v>
      </c>
      <c r="B154" s="290"/>
      <c r="AN154" s="295">
        <f>SUM(AN151:AN153)</f>
        <v>0</v>
      </c>
      <c r="AO154" s="295">
        <f>SUM(AO151:AO153)</f>
        <v>0</v>
      </c>
      <c r="AP154" s="290"/>
      <c r="AQ154" s="290"/>
      <c r="AR154" s="295">
        <f>SUM(AR151:AR153)</f>
        <v>610</v>
      </c>
      <c r="AS154" s="295">
        <f>SUM(AS151:AS153)</f>
        <v>529</v>
      </c>
      <c r="AT154" s="655"/>
      <c r="AU154" s="655"/>
      <c r="AV154" s="295">
        <f>SUM(AV151:AV153)</f>
        <v>615</v>
      </c>
      <c r="AW154" s="295">
        <f>SUM(AW151:AW153)</f>
        <v>637</v>
      </c>
      <c r="AX154" s="655"/>
      <c r="AY154" s="290"/>
      <c r="AZ154" s="295">
        <f>SUM(AZ151:AZ153)</f>
        <v>701.5</v>
      </c>
      <c r="BA154" s="295">
        <f>SUM(BA151:BA153)</f>
        <v>644.5</v>
      </c>
      <c r="BB154" s="290"/>
      <c r="BC154" s="290"/>
      <c r="BD154" s="295">
        <f>SUM(BD151:BD153)</f>
        <v>548.5</v>
      </c>
      <c r="BE154" s="295">
        <f>SUM(BE151:BE153)</f>
        <v>454</v>
      </c>
      <c r="BF154" s="290"/>
      <c r="BG154" s="290"/>
      <c r="BH154" s="295">
        <f>SUM(BH151:BH153)</f>
        <v>410</v>
      </c>
      <c r="BI154" s="295">
        <f>SUM(BI151:BI153)</f>
        <v>515</v>
      </c>
      <c r="BJ154" s="290"/>
      <c r="BK154" s="290"/>
      <c r="BL154" s="295">
        <f>SUM(BL151:BL153)</f>
        <v>495</v>
      </c>
      <c r="BM154" s="295">
        <f>SUM(BM151:BM153)</f>
        <v>499</v>
      </c>
      <c r="BN154" s="290"/>
      <c r="BO154" s="290"/>
      <c r="BP154" s="295">
        <f>SUM(BP151:BP153)</f>
        <v>506</v>
      </c>
      <c r="BQ154" s="295">
        <f>SUM(BQ151:BQ153)</f>
        <v>782</v>
      </c>
      <c r="BR154" s="290"/>
      <c r="BS154" s="290"/>
      <c r="BT154" s="295">
        <f>SUM(BT151:BT153)</f>
        <v>610</v>
      </c>
      <c r="BU154" s="295">
        <f>SUM(BU151:BU153)</f>
        <v>554</v>
      </c>
      <c r="BV154" s="290"/>
      <c r="BW154" s="290"/>
      <c r="BX154" s="295">
        <f>SUM(BX151:BX153)</f>
        <v>552</v>
      </c>
      <c r="BY154" s="295">
        <f>SUM(BY151:BY153)</f>
        <v>534</v>
      </c>
      <c r="BZ154" s="290"/>
      <c r="CA154" s="290"/>
      <c r="CB154" s="295">
        <f>SUM(CB151:CB153)</f>
        <v>540</v>
      </c>
      <c r="CC154" s="295">
        <f>SUM(CC151:CC153)</f>
        <v>565</v>
      </c>
      <c r="CD154" s="290"/>
      <c r="CE154" s="581"/>
      <c r="CF154" s="295">
        <f>SUM(CF151:CF153)</f>
        <v>687</v>
      </c>
      <c r="CG154" s="295">
        <f>SUM(CG151:CG153)</f>
        <v>751</v>
      </c>
      <c r="CH154" s="290"/>
      <c r="CI154" s="581"/>
      <c r="CJ154" s="295">
        <f>SUM(CJ151:CJ153)</f>
        <v>377</v>
      </c>
      <c r="CK154" s="295">
        <f>SUM(CK151:CK153)</f>
        <v>482</v>
      </c>
      <c r="CL154" s="290"/>
      <c r="CM154" s="581"/>
      <c r="CN154" s="295">
        <f>SUM(CN151:CN153)</f>
        <v>361</v>
      </c>
      <c r="CO154" s="295">
        <f>SUM(CO151:CO153)</f>
        <v>340</v>
      </c>
      <c r="CP154" s="290"/>
      <c r="CQ154" s="581"/>
      <c r="CR154" s="295">
        <f>SUM(CR151:CR153)</f>
        <v>787</v>
      </c>
      <c r="CS154" s="295">
        <f>SUM(CS151:CS153)</f>
        <v>542</v>
      </c>
      <c r="CT154" s="290"/>
      <c r="CU154" s="290"/>
      <c r="CV154" s="295">
        <f>SUM(CV151:CV153)</f>
        <v>417</v>
      </c>
      <c r="CW154" s="295">
        <f>SUM(CW151:CW153)</f>
        <v>576</v>
      </c>
      <c r="CX154" s="290"/>
      <c r="CY154" s="290"/>
      <c r="CZ154" s="295">
        <f>SUM(CZ151:CZ153)</f>
        <v>444</v>
      </c>
      <c r="DA154" s="295">
        <f>SUM(DA151:DA153)</f>
        <v>477</v>
      </c>
      <c r="DB154" s="290"/>
      <c r="DC154" s="290"/>
      <c r="DD154" s="295">
        <f>SUM(DD151:DD153)</f>
        <v>449</v>
      </c>
      <c r="DE154" s="295">
        <f>SUM(DE151:DE153)</f>
        <v>432</v>
      </c>
      <c r="DF154" s="290"/>
      <c r="DG154" s="290"/>
      <c r="DH154" s="295">
        <f>SUM(DH151:DH153)</f>
        <v>464</v>
      </c>
      <c r="DI154" s="295">
        <f>SUM(DI151:DI153)</f>
        <v>454.54</v>
      </c>
      <c r="DJ154" s="290"/>
      <c r="DK154" s="290"/>
      <c r="DL154" s="295">
        <f>SUM(DL151:DL153)</f>
        <v>465.97040000000004</v>
      </c>
      <c r="DM154" s="295">
        <f>SUM(DM151:DM153)</f>
        <v>457.14961600000004</v>
      </c>
      <c r="DN154" s="290"/>
      <c r="DO154" s="290"/>
      <c r="DP154" s="295">
        <f>SUM(DP151:DP153)</f>
        <v>468.11739968000006</v>
      </c>
      <c r="DQ154" s="295">
        <f>SUM(DQ151:DQ153)</f>
        <v>459.93168766719998</v>
      </c>
      <c r="DR154" s="290"/>
      <c r="DS154" s="290"/>
      <c r="DT154" s="290"/>
      <c r="DU154" s="295"/>
      <c r="DV154" s="295"/>
      <c r="DW154" s="295"/>
      <c r="DX154" s="290"/>
      <c r="DY154" s="290"/>
      <c r="DZ154" s="295"/>
      <c r="EA154" s="295"/>
      <c r="EB154" s="290"/>
      <c r="EC154" s="290"/>
      <c r="ED154" s="295"/>
      <c r="EE154" s="295"/>
      <c r="EF154" s="290"/>
      <c r="EG154" s="290"/>
      <c r="EH154" s="290"/>
      <c r="EI154" s="290"/>
      <c r="EJ154" s="290"/>
      <c r="EK154" s="290"/>
      <c r="EL154" s="290"/>
      <c r="EM154" s="290"/>
      <c r="EN154" s="290"/>
      <c r="EO154" s="290"/>
      <c r="EP154" s="290"/>
      <c r="JM154"/>
    </row>
    <row r="155" spans="1:273" s="642" customFormat="1">
      <c r="A155" s="642" t="s">
        <v>683</v>
      </c>
      <c r="B155" s="300"/>
      <c r="AN155" s="657"/>
      <c r="AO155" s="657"/>
      <c r="AP155" s="300"/>
      <c r="AQ155" s="300"/>
      <c r="AR155" s="657"/>
      <c r="AS155" s="657"/>
      <c r="AT155" s="657"/>
      <c r="AU155" s="657"/>
      <c r="AV155" s="795">
        <f>AV154/AS154-1</f>
        <v>0.16257088846880907</v>
      </c>
      <c r="AW155" s="795">
        <f>AW154/AV154-1</f>
        <v>3.5772357723577342E-2</v>
      </c>
      <c r="AX155" s="657"/>
      <c r="AY155" s="300"/>
      <c r="AZ155" s="795">
        <f>AZ154/AW154-1</f>
        <v>0.10125588697017274</v>
      </c>
      <c r="BA155" s="795">
        <f>BA154/AZ154-1</f>
        <v>-8.1254454739843163E-2</v>
      </c>
      <c r="BB155" s="300"/>
      <c r="BC155" s="300"/>
      <c r="BD155" s="795">
        <f>BD154/BA154-1</f>
        <v>-0.14895267649340571</v>
      </c>
      <c r="BE155" s="795">
        <f>BE154/BD154-1</f>
        <v>-0.17228805834092986</v>
      </c>
      <c r="BF155" s="871"/>
      <c r="BG155" s="871"/>
      <c r="BH155" s="795">
        <f>BH154/BE154-1</f>
        <v>-9.6916299559471342E-2</v>
      </c>
      <c r="BI155" s="795">
        <f>BI154/BH154-1</f>
        <v>0.25609756097560976</v>
      </c>
      <c r="BJ155" s="871"/>
      <c r="BK155" s="871"/>
      <c r="BL155" s="795">
        <f>BL154/BI154-1</f>
        <v>-3.8834951456310662E-2</v>
      </c>
      <c r="BM155" s="795">
        <f>BM154/BL154-1</f>
        <v>8.0808080808081328E-3</v>
      </c>
      <c r="BN155" s="871"/>
      <c r="BO155" s="300"/>
      <c r="BP155" s="795">
        <f>BP154/BM154-1</f>
        <v>1.4028056112224352E-2</v>
      </c>
      <c r="BQ155" s="795">
        <f>BQ154/BP154-1</f>
        <v>0.54545454545454541</v>
      </c>
      <c r="BR155" s="871"/>
      <c r="BS155" s="300"/>
      <c r="BT155" s="795">
        <f>BT154/BQ154-1</f>
        <v>-0.21994884910485935</v>
      </c>
      <c r="BU155" s="795">
        <f>BU154/BT154-1</f>
        <v>-9.1803278688524559E-2</v>
      </c>
      <c r="BV155" s="871"/>
      <c r="BW155" s="871"/>
      <c r="BX155" s="795">
        <f>BX154/BU154-1</f>
        <v>-3.6101083032491488E-3</v>
      </c>
      <c r="BY155" s="795">
        <f>BY154/BX154-1</f>
        <v>-3.2608695652173947E-2</v>
      </c>
      <c r="BZ155" s="871"/>
      <c r="CA155" s="871"/>
      <c r="CB155" s="795">
        <f>CB154/BY154-1</f>
        <v>1.1235955056179803E-2</v>
      </c>
      <c r="CC155" s="795">
        <f>CC154/CB154-1</f>
        <v>4.629629629629628E-2</v>
      </c>
      <c r="CD155" s="871"/>
      <c r="CE155" s="871"/>
      <c r="CF155" s="795">
        <f>CF154/CC154-1</f>
        <v>0.21592920353982303</v>
      </c>
      <c r="CG155" s="795">
        <f>CG154/CF154-1</f>
        <v>9.3158660844250285E-2</v>
      </c>
      <c r="CH155" s="871"/>
      <c r="CI155" s="871"/>
      <c r="CJ155" s="795">
        <f>CJ154/CG154-1</f>
        <v>-0.49800266311584551</v>
      </c>
      <c r="CK155" s="795">
        <f>CK154/CJ154-1</f>
        <v>0.27851458885941649</v>
      </c>
      <c r="CL155" s="871"/>
      <c r="CM155" s="871"/>
      <c r="CN155" s="795">
        <f>CN154/CK154-1</f>
        <v>-0.25103734439834025</v>
      </c>
      <c r="CO155" s="795">
        <f>CO154/CN154-1</f>
        <v>-5.817174515235457E-2</v>
      </c>
      <c r="CP155" s="871"/>
      <c r="CQ155" s="869"/>
      <c r="CR155" s="795">
        <f>CR154/CO154-1</f>
        <v>1.3147058823529414</v>
      </c>
      <c r="CS155" s="795">
        <f>CS154/CR154-1</f>
        <v>-0.31130876747141045</v>
      </c>
      <c r="CT155" s="871"/>
      <c r="CU155" s="871"/>
      <c r="CV155" s="795">
        <f>CV154/CS154-1</f>
        <v>-0.23062730627306272</v>
      </c>
      <c r="CW155" s="795">
        <f>CW154/CV154-1</f>
        <v>0.38129496402877705</v>
      </c>
      <c r="CX155" s="871"/>
      <c r="CY155" s="871"/>
      <c r="CZ155" s="795">
        <f>CZ154/CW154-1</f>
        <v>-0.22916666666666663</v>
      </c>
      <c r="DA155" s="795">
        <f>DA154/CZ154-1</f>
        <v>7.4324324324324342E-2</v>
      </c>
      <c r="DB155" s="871"/>
      <c r="DC155" s="871"/>
      <c r="DD155" s="795">
        <f>DD154/DA154-1</f>
        <v>-5.8700209643605894E-2</v>
      </c>
      <c r="DE155" s="795">
        <f>DE154/DD154-1</f>
        <v>-3.786191536748329E-2</v>
      </c>
      <c r="DF155" s="871"/>
      <c r="DG155" s="871"/>
      <c r="DH155" s="795">
        <f>DH154/DE154-1</f>
        <v>7.4074074074074181E-2</v>
      </c>
      <c r="DI155" s="871">
        <v>0.04</v>
      </c>
      <c r="DJ155" s="871"/>
      <c r="DK155" s="871"/>
      <c r="DL155" s="871">
        <v>-0.02</v>
      </c>
      <c r="DM155" s="871">
        <v>0.04</v>
      </c>
      <c r="DN155" s="871"/>
      <c r="DO155" s="871"/>
      <c r="DP155" s="871">
        <v>-0.02</v>
      </c>
      <c r="DQ155" s="871">
        <v>0.04</v>
      </c>
      <c r="DR155" s="871"/>
      <c r="DS155" s="871"/>
      <c r="DT155" s="871"/>
      <c r="DU155" s="871"/>
      <c r="DV155" s="871"/>
      <c r="DW155" s="871"/>
      <c r="DX155" s="300"/>
      <c r="DY155" s="300"/>
      <c r="DZ155" s="871"/>
      <c r="EA155" s="871"/>
      <c r="EB155" s="300"/>
      <c r="EC155" s="300"/>
      <c r="ED155" s="871"/>
      <c r="EE155" s="871"/>
      <c r="EF155" s="300"/>
      <c r="EG155" s="300"/>
      <c r="EH155" s="300"/>
      <c r="EI155" s="300"/>
      <c r="EJ155" s="300"/>
      <c r="EK155" s="300"/>
      <c r="EL155" s="300"/>
      <c r="EM155" s="300"/>
      <c r="EN155" s="300"/>
      <c r="EO155" s="300"/>
      <c r="EP155" s="300"/>
      <c r="FL155" s="323"/>
      <c r="FM155" s="323"/>
      <c r="FN155" s="323"/>
      <c r="FO155" s="323"/>
      <c r="FP155" s="323"/>
      <c r="FQ155" s="323"/>
      <c r="FR155" s="323"/>
      <c r="FS155" s="323"/>
      <c r="FT155" s="323"/>
      <c r="FU155" s="323"/>
      <c r="FV155" s="323"/>
      <c r="FW155" s="323"/>
      <c r="FX155" s="323"/>
      <c r="FY155" s="323"/>
      <c r="FZ155" s="323"/>
      <c r="GA155" s="323"/>
      <c r="GB155" s="323"/>
      <c r="GC155" s="323"/>
      <c r="GD155" s="323"/>
      <c r="GE155" s="323"/>
      <c r="GF155" s="323"/>
      <c r="GG155" s="323"/>
      <c r="GH155" s="323"/>
      <c r="GI155" s="323"/>
      <c r="GJ155" s="323"/>
      <c r="GK155" s="323"/>
      <c r="GL155" s="323"/>
      <c r="GM155" s="323"/>
      <c r="GN155" s="323"/>
      <c r="GO155" s="323"/>
      <c r="GP155" s="323"/>
      <c r="GQ155" s="323"/>
      <c r="GR155" s="323"/>
      <c r="GS155" s="323"/>
      <c r="GT155" s="323"/>
      <c r="GU155" s="323"/>
      <c r="GV155" s="323"/>
      <c r="GW155" s="323"/>
      <c r="GX155" s="323"/>
      <c r="GY155" s="323"/>
      <c r="GZ155" s="323"/>
      <c r="HA155" s="323"/>
      <c r="HB155" s="323"/>
      <c r="HC155" s="323"/>
      <c r="HD155" s="323"/>
      <c r="HE155" s="323"/>
      <c r="HF155" s="323"/>
      <c r="HG155" s="323"/>
      <c r="HH155" s="323"/>
      <c r="HI155" s="323"/>
      <c r="HJ155" s="323"/>
      <c r="HK155" s="323"/>
      <c r="HL155" s="323"/>
      <c r="HM155" s="323"/>
      <c r="HN155" s="323"/>
      <c r="HO155" s="323"/>
      <c r="HP155" s="323"/>
      <c r="HQ155" s="323"/>
      <c r="HR155" s="323"/>
      <c r="HS155" s="323"/>
      <c r="HT155" s="323"/>
      <c r="HU155" s="323"/>
      <c r="HV155" s="323"/>
      <c r="HW155" s="323"/>
      <c r="HX155" s="323"/>
      <c r="HY155" s="323"/>
      <c r="HZ155" s="323"/>
      <c r="IA155" s="323"/>
      <c r="IB155" s="323"/>
      <c r="IC155" s="323"/>
      <c r="ID155" s="323"/>
      <c r="IE155" s="323"/>
      <c r="IF155" s="323"/>
      <c r="IG155" s="323"/>
      <c r="IH155" s="323"/>
      <c r="II155" s="323"/>
      <c r="IJ155" s="323"/>
      <c r="IK155" s="323"/>
      <c r="IL155" s="323"/>
      <c r="IM155" s="323"/>
      <c r="IN155" s="323"/>
      <c r="IO155" s="323"/>
      <c r="IP155" s="323"/>
      <c r="IQ155" s="323"/>
      <c r="IR155" s="323"/>
      <c r="IS155" s="323"/>
      <c r="IT155" s="323"/>
      <c r="IU155" s="323"/>
      <c r="IV155" s="323"/>
      <c r="IW155" s="323"/>
      <c r="IX155" s="323"/>
      <c r="IY155" s="323"/>
      <c r="IZ155" s="323"/>
      <c r="JA155" s="323"/>
      <c r="JB155" s="323"/>
      <c r="JC155" s="323"/>
      <c r="JD155" s="323"/>
      <c r="JE155" s="323"/>
      <c r="JF155" s="323"/>
      <c r="JG155" s="323"/>
      <c r="JH155" s="323"/>
      <c r="JI155" s="323"/>
      <c r="JJ155" s="323"/>
      <c r="JK155" s="323"/>
      <c r="JL155" s="323"/>
      <c r="JM155"/>
    </row>
    <row r="156" spans="1:273">
      <c r="AN156" s="626"/>
      <c r="AO156" s="626"/>
      <c r="AR156" s="626"/>
      <c r="AS156" s="626"/>
      <c r="AT156" s="626"/>
      <c r="AU156" s="626"/>
      <c r="AV156" s="685"/>
      <c r="AW156" s="685"/>
      <c r="AX156" s="626"/>
      <c r="AZ156" s="685"/>
      <c r="BA156" s="876"/>
      <c r="BD156" s="876"/>
      <c r="BE156" s="876"/>
      <c r="BF156" s="876"/>
      <c r="BG156" s="876"/>
      <c r="BH156" s="876"/>
      <c r="BI156" s="876"/>
      <c r="BJ156" s="876"/>
      <c r="BK156" s="876"/>
      <c r="BL156" s="876"/>
      <c r="BM156" s="876"/>
      <c r="BN156" s="876"/>
      <c r="BP156" s="876"/>
      <c r="BQ156" s="876"/>
      <c r="BR156" s="876"/>
      <c r="BT156" s="876"/>
      <c r="BU156" s="876"/>
      <c r="BV156" s="876"/>
      <c r="BW156" s="876"/>
      <c r="BX156" s="876"/>
      <c r="BY156" s="876"/>
      <c r="BZ156" s="876"/>
      <c r="CA156" s="876"/>
      <c r="CB156" s="876"/>
      <c r="CC156" s="876"/>
      <c r="CD156" s="876"/>
      <c r="CE156" s="869"/>
      <c r="CF156" s="876"/>
      <c r="CG156" s="876"/>
      <c r="CH156" s="876"/>
      <c r="CI156" s="869"/>
      <c r="CJ156" s="876"/>
      <c r="CK156" s="876"/>
      <c r="CL156" s="876"/>
      <c r="CM156" s="869"/>
      <c r="CN156" s="876"/>
      <c r="CO156" s="876"/>
      <c r="CP156" s="876"/>
      <c r="CQ156" s="869"/>
      <c r="CR156" s="876"/>
      <c r="CS156" s="876"/>
      <c r="CT156" s="876"/>
      <c r="CU156" s="876"/>
      <c r="CV156" s="876"/>
      <c r="CW156" s="876"/>
      <c r="CX156" s="876"/>
      <c r="CY156" s="876"/>
      <c r="CZ156" s="876"/>
      <c r="DA156" s="876"/>
      <c r="DB156" s="876"/>
      <c r="DC156" s="876"/>
      <c r="DD156" s="876"/>
      <c r="DE156" s="876"/>
      <c r="DF156" s="876"/>
      <c r="DG156" s="876"/>
      <c r="DH156" s="876"/>
      <c r="DI156" s="876"/>
      <c r="DJ156" s="876"/>
      <c r="DK156" s="876"/>
      <c r="DL156" s="876"/>
      <c r="DM156" s="876"/>
      <c r="DN156" s="876"/>
      <c r="DO156" s="876"/>
      <c r="DP156" s="876"/>
      <c r="DQ156" s="876"/>
      <c r="DR156" s="876"/>
      <c r="DS156" s="876"/>
      <c r="DT156" s="876"/>
      <c r="DU156" s="876"/>
      <c r="DV156" s="876"/>
      <c r="DW156" s="876"/>
      <c r="DZ156" s="876"/>
      <c r="EA156" s="876"/>
      <c r="ED156" s="876"/>
      <c r="EE156" s="876"/>
    </row>
    <row r="157" spans="1:273" s="699" customFormat="1">
      <c r="A157" s="877" t="s">
        <v>711</v>
      </c>
      <c r="B157" s="867"/>
      <c r="AN157" s="878"/>
      <c r="AO157" s="878"/>
      <c r="AP157" s="867"/>
      <c r="AQ157" s="867"/>
      <c r="AR157" s="878"/>
      <c r="AS157" s="878"/>
      <c r="AT157" s="867"/>
      <c r="AU157" s="867"/>
      <c r="AV157" s="878"/>
      <c r="AW157" s="878"/>
      <c r="AX157" s="867"/>
      <c r="AY157" s="867"/>
      <c r="AZ157" s="878"/>
      <c r="BA157" s="867"/>
      <c r="BB157" s="867"/>
      <c r="BC157" s="867"/>
      <c r="BD157" s="879"/>
      <c r="BE157" s="879"/>
      <c r="BF157" s="867"/>
      <c r="BG157" s="867"/>
      <c r="BH157" s="879"/>
      <c r="BI157" s="879"/>
      <c r="BJ157" s="867"/>
      <c r="BK157" s="867"/>
      <c r="BL157" s="879"/>
      <c r="BM157" s="879"/>
      <c r="BN157" s="867"/>
      <c r="BO157" s="867"/>
      <c r="BP157" s="879"/>
      <c r="BQ157" s="879"/>
      <c r="BR157" s="867"/>
      <c r="BS157" s="867"/>
      <c r="BT157" s="879"/>
      <c r="BU157" s="879"/>
      <c r="BV157" s="867"/>
      <c r="BW157" s="879"/>
      <c r="BX157" s="879"/>
      <c r="BY157" s="879"/>
      <c r="BZ157" s="867"/>
      <c r="CA157" s="867"/>
      <c r="CB157" s="879"/>
      <c r="CC157" s="879"/>
      <c r="CD157" s="867"/>
      <c r="CE157" s="1635"/>
      <c r="CF157" s="879"/>
      <c r="CG157" s="879"/>
      <c r="CH157" s="867"/>
      <c r="CI157" s="1635"/>
      <c r="CJ157" s="879"/>
      <c r="CK157" s="879"/>
      <c r="CL157" s="867"/>
      <c r="CM157" s="1635"/>
      <c r="CN157" s="880"/>
      <c r="CO157" s="879"/>
      <c r="CP157" s="867"/>
      <c r="CQ157" s="1608"/>
      <c r="CR157" s="1393"/>
      <c r="CS157" s="1393"/>
      <c r="CT157" s="1341"/>
      <c r="CU157" s="867"/>
      <c r="CV157" s="880"/>
      <c r="CW157" s="880"/>
      <c r="CX157" s="880"/>
      <c r="CY157" s="867"/>
      <c r="CZ157" s="880"/>
      <c r="DA157" s="880"/>
      <c r="DB157" s="880"/>
      <c r="DC157" s="867"/>
      <c r="DD157" s="880"/>
      <c r="DE157" s="880"/>
      <c r="DF157" s="880"/>
      <c r="DG157" s="867"/>
      <c r="DH157" s="880"/>
      <c r="DI157" s="880"/>
      <c r="DJ157" s="880"/>
      <c r="DK157" s="867"/>
      <c r="DL157" s="880"/>
      <c r="DM157" s="880"/>
      <c r="DN157" s="880"/>
      <c r="DO157" s="867"/>
      <c r="DP157" s="880"/>
      <c r="DQ157" s="880"/>
      <c r="DR157" s="880"/>
      <c r="DS157" s="867"/>
      <c r="DT157" s="867"/>
      <c r="DU157" s="867"/>
      <c r="DV157" s="867"/>
      <c r="DW157" s="867"/>
      <c r="DX157" s="867"/>
      <c r="DY157" s="867"/>
      <c r="DZ157" s="867"/>
      <c r="EA157" s="867"/>
      <c r="EB157" s="867"/>
      <c r="EC157" s="867"/>
      <c r="ED157" s="867"/>
      <c r="EE157" s="867"/>
      <c r="EF157" s="867"/>
      <c r="EG157" s="867"/>
      <c r="EH157" s="867"/>
      <c r="EI157" s="867"/>
      <c r="EJ157" s="867"/>
      <c r="EK157" s="867"/>
      <c r="EL157" s="867"/>
      <c r="EM157" s="867"/>
      <c r="EN157" s="867"/>
      <c r="EO157" s="867"/>
      <c r="EP157" s="867"/>
      <c r="FL157" s="102"/>
      <c r="FM157" s="102"/>
      <c r="FN157" s="102"/>
      <c r="FO157" s="102"/>
      <c r="FP157" s="102"/>
      <c r="FQ157" s="102"/>
      <c r="FR157" s="102"/>
      <c r="FS157" s="102"/>
      <c r="FT157" s="102"/>
      <c r="FU157" s="102"/>
      <c r="FV157" s="102"/>
      <c r="FW157" s="102"/>
      <c r="FX157" s="102"/>
      <c r="FY157" s="102"/>
      <c r="FZ157" s="102"/>
      <c r="GA157" s="102"/>
      <c r="GB157" s="102"/>
      <c r="GC157" s="102"/>
      <c r="GD157" s="102"/>
      <c r="GE157" s="102"/>
      <c r="GF157" s="102"/>
      <c r="GG157" s="102"/>
      <c r="GH157" s="102"/>
      <c r="GI157" s="102"/>
      <c r="GJ157" s="102"/>
      <c r="GK157" s="102"/>
      <c r="GL157" s="102"/>
      <c r="GM157" s="102"/>
      <c r="GN157" s="102"/>
      <c r="GO157" s="102"/>
      <c r="GP157" s="102"/>
      <c r="GQ157" s="102"/>
      <c r="GR157" s="102"/>
      <c r="GS157" s="102"/>
      <c r="GT157" s="102"/>
      <c r="GU157" s="102"/>
      <c r="GV157" s="102"/>
      <c r="GW157" s="102"/>
      <c r="GX157" s="102"/>
      <c r="GY157" s="102"/>
      <c r="GZ157" s="102"/>
      <c r="HA157" s="102"/>
      <c r="HB157" s="102"/>
      <c r="HC157" s="102"/>
      <c r="HD157" s="102"/>
      <c r="HE157" s="102"/>
      <c r="HF157" s="102"/>
      <c r="HG157" s="102"/>
      <c r="HH157" s="102"/>
      <c r="HI157" s="102"/>
      <c r="HJ157" s="102"/>
      <c r="HK157" s="102"/>
      <c r="HL157" s="102"/>
      <c r="HM157" s="102"/>
      <c r="HN157" s="102"/>
      <c r="HO157" s="102"/>
      <c r="HP157" s="102"/>
      <c r="HQ157" s="102"/>
      <c r="HR157" s="102"/>
      <c r="HS157" s="102"/>
      <c r="HT157" s="102"/>
      <c r="HU157" s="102"/>
      <c r="HV157" s="102"/>
      <c r="HW157" s="102"/>
      <c r="HX157" s="102"/>
      <c r="HY157" s="102"/>
      <c r="HZ157" s="102"/>
      <c r="IA157" s="102"/>
      <c r="IB157" s="102"/>
      <c r="IC157" s="102"/>
      <c r="ID157" s="102"/>
      <c r="IE157" s="102"/>
      <c r="IF157" s="102"/>
      <c r="IG157" s="102"/>
      <c r="IH157" s="102"/>
      <c r="II157" s="102"/>
      <c r="IJ157" s="102"/>
      <c r="IK157" s="102"/>
      <c r="IL157" s="102"/>
      <c r="IM157" s="102"/>
      <c r="IN157" s="102"/>
      <c r="IO157" s="102"/>
      <c r="IP157" s="102"/>
      <c r="IQ157" s="102"/>
      <c r="IR157" s="102"/>
      <c r="IS157" s="102"/>
      <c r="IT157" s="102"/>
      <c r="IU157" s="102"/>
      <c r="IV157" s="102"/>
      <c r="IW157" s="102"/>
      <c r="IX157" s="102"/>
      <c r="IY157" s="102"/>
      <c r="IZ157" s="102"/>
      <c r="JA157" s="102"/>
      <c r="JB157" s="102"/>
      <c r="JC157" s="102"/>
      <c r="JD157" s="102"/>
      <c r="JE157" s="102"/>
      <c r="JF157" s="102"/>
      <c r="JG157" s="102"/>
      <c r="JH157" s="102"/>
      <c r="JI157" s="102"/>
      <c r="JJ157" s="102"/>
      <c r="JK157" s="102"/>
      <c r="JL157" s="102"/>
      <c r="JM157"/>
    </row>
    <row r="158" spans="1:273">
      <c r="A158" s="102" t="s">
        <v>702</v>
      </c>
      <c r="AN158" s="293"/>
      <c r="AO158" s="293"/>
      <c r="AR158" s="840"/>
      <c r="AS158" s="840"/>
      <c r="AV158" s="293">
        <f>DIVISIONS!AV401</f>
        <v>59</v>
      </c>
      <c r="AW158" s="293">
        <f>DIVISIONS!AW401</f>
        <v>151</v>
      </c>
      <c r="AX158" s="293">
        <f>+AW158+AV158</f>
        <v>210</v>
      </c>
      <c r="AZ158" s="293">
        <f>DIVISIONS!AZ401</f>
        <v>250</v>
      </c>
      <c r="BA158" s="293">
        <f>DIVISIONS!BA401</f>
        <v>251</v>
      </c>
      <c r="BB158" s="293">
        <f>+AZ158+BA158</f>
        <v>501</v>
      </c>
      <c r="BD158" s="293">
        <f>DIVISIONS!BD401</f>
        <v>262.33300000000003</v>
      </c>
      <c r="BE158" s="293">
        <f>DIVISIONS!BE401</f>
        <v>267</v>
      </c>
      <c r="BF158" s="293">
        <f>+BD158+BE158</f>
        <v>529.33300000000008</v>
      </c>
      <c r="BH158" s="293">
        <f>DIVISIONS!BH401</f>
        <v>283</v>
      </c>
      <c r="BI158" s="293">
        <f>DIVISIONS!BI401</f>
        <v>308</v>
      </c>
      <c r="BJ158" s="293">
        <f>+BH158+BI158</f>
        <v>591</v>
      </c>
      <c r="BL158" s="293">
        <f>DIVISIONS!BL401</f>
        <v>356</v>
      </c>
      <c r="BM158" s="293">
        <f>DIVISIONS!BM401</f>
        <v>393</v>
      </c>
      <c r="BN158" s="293">
        <f>+BL158+BM158</f>
        <v>749</v>
      </c>
      <c r="BO158" s="671">
        <f>+BN158/BJ158-1</f>
        <v>0.26734348561759735</v>
      </c>
      <c r="BP158" s="293">
        <f>DIVISIONS!BP401</f>
        <v>384</v>
      </c>
      <c r="BQ158" s="293">
        <f>DIVISIONS!BQ401</f>
        <v>442</v>
      </c>
      <c r="BR158" s="293">
        <f>+BP158+BQ158</f>
        <v>826</v>
      </c>
      <c r="BS158" s="671">
        <f>+BR158/BN158-1</f>
        <v>0.10280373831775691</v>
      </c>
      <c r="BT158" s="293">
        <f>DIVISIONS!BT401</f>
        <v>472</v>
      </c>
      <c r="BU158" s="293">
        <f>DIVISIONS!BU401</f>
        <v>447</v>
      </c>
      <c r="BV158" s="293">
        <f>+BT158+BU158</f>
        <v>919</v>
      </c>
      <c r="BW158" s="671">
        <f>+BV158/BR158-1</f>
        <v>0.11259079903147695</v>
      </c>
      <c r="BX158" s="293">
        <f>DIVISIONS!BX401</f>
        <v>448</v>
      </c>
      <c r="BY158" s="293">
        <f>DIVISIONS!BY401</f>
        <v>443</v>
      </c>
      <c r="BZ158" s="293">
        <f>+BX158+BY158</f>
        <v>891</v>
      </c>
      <c r="CA158" s="671">
        <f>+BZ158/BV158-1</f>
        <v>-3.0467899891186034E-2</v>
      </c>
      <c r="CB158" s="293">
        <f>DIVISIONS!CB401</f>
        <v>450</v>
      </c>
      <c r="CC158" s="293">
        <f>DIVISIONS!CC401</f>
        <v>468</v>
      </c>
      <c r="CD158" s="293">
        <f>+CB158+CC158</f>
        <v>918</v>
      </c>
      <c r="CE158" s="671">
        <f>+CD158/BZ158-1</f>
        <v>3.0303030303030276E-2</v>
      </c>
      <c r="CF158" s="293">
        <f>DIVISIONS!CF401</f>
        <v>494</v>
      </c>
      <c r="CG158" s="293">
        <f>DIVISIONS!CG401</f>
        <v>482</v>
      </c>
      <c r="CH158" s="293">
        <f>+CF158+CG158</f>
        <v>976</v>
      </c>
      <c r="CI158" s="671">
        <f>+CH158/CD158-1</f>
        <v>6.3180827886710311E-2</v>
      </c>
      <c r="CJ158" s="293">
        <f>DIVISIONS!CJ401</f>
        <v>514</v>
      </c>
      <c r="CK158" s="293">
        <f>DIVISIONS!CK401</f>
        <v>573</v>
      </c>
      <c r="CL158" s="293">
        <f>+CJ158+CK158</f>
        <v>1087</v>
      </c>
      <c r="CM158" s="671"/>
      <c r="CN158" s="293">
        <f>DIVISIONS!CN401</f>
        <v>500</v>
      </c>
      <c r="CO158" s="293">
        <f>DIVISIONS!CO401</f>
        <v>528</v>
      </c>
      <c r="CP158" s="293">
        <f>+CN158+CO158</f>
        <v>1028</v>
      </c>
      <c r="CQ158" s="1609"/>
      <c r="CR158" s="293">
        <f>DIVISIONS!CR401</f>
        <v>833</v>
      </c>
      <c r="CS158" s="293">
        <f>DIVISIONS!CS401</f>
        <v>850</v>
      </c>
      <c r="CT158" s="293">
        <f>+CR158+CS158</f>
        <v>1683</v>
      </c>
      <c r="CU158" s="881">
        <v>1683</v>
      </c>
      <c r="CV158" s="293">
        <f>DIVISIONS!CV401</f>
        <v>787</v>
      </c>
      <c r="CW158" s="293">
        <f>DIVISIONS!CW401</f>
        <v>742</v>
      </c>
      <c r="CX158" s="293">
        <f>+CV158+CW158</f>
        <v>1529</v>
      </c>
      <c r="CY158" s="881">
        <v>1529</v>
      </c>
      <c r="CZ158" s="293">
        <f>DIVISIONS!CZ401</f>
        <v>741</v>
      </c>
      <c r="DA158" s="293">
        <f>DIVISIONS!DA401</f>
        <v>733</v>
      </c>
      <c r="DB158" s="293">
        <f>+CZ158+DA158</f>
        <v>1474</v>
      </c>
      <c r="DC158" s="881">
        <v>1474</v>
      </c>
      <c r="DD158" s="293">
        <f>DIVISIONS!DD401</f>
        <v>721</v>
      </c>
      <c r="DE158" s="293">
        <f>DIVISIONS!DE401</f>
        <v>744</v>
      </c>
      <c r="DF158" s="293">
        <f>+DD158+DE158</f>
        <v>1465</v>
      </c>
      <c r="DG158" s="881">
        <v>1465</v>
      </c>
      <c r="DH158" s="293">
        <f>DIVISIONS!DH401</f>
        <v>716</v>
      </c>
      <c r="DI158" s="293">
        <f>DI168*DI202*(DI$1/DI$2)/10000*1</f>
        <v>479.07674049224255</v>
      </c>
      <c r="DJ158" s="293">
        <f>+DH158+DI158</f>
        <v>1195.0767404922426</v>
      </c>
      <c r="DK158" s="671"/>
      <c r="DL158" s="293">
        <f>DL168*DL202*(DL$1/DL$2)/10000</f>
        <v>380.72484178990874</v>
      </c>
      <c r="DM158" s="293">
        <f>DM168*DM202*(DM$1/DM$2)/10000</f>
        <v>386.81871207141376</v>
      </c>
      <c r="DN158" s="293">
        <f>+DL158+DM158</f>
        <v>767.54355386132249</v>
      </c>
      <c r="DO158" s="293"/>
      <c r="DP158" s="293">
        <f>DP168*DP202*(DP$1/DP$2)/10000</f>
        <v>396.24836816714878</v>
      </c>
      <c r="DQ158" s="293">
        <f>DQ168*DQ202*(DQ$1/DQ$2)/10000</f>
        <v>404.78824807614319</v>
      </c>
      <c r="DR158" s="293">
        <f>+DP158+DQ158</f>
        <v>801.03661624329197</v>
      </c>
      <c r="DS158" s="293"/>
      <c r="DU158" s="293"/>
      <c r="DV158" s="293"/>
      <c r="DW158" s="293"/>
      <c r="DX158" s="293"/>
      <c r="DZ158" s="293"/>
      <c r="EA158" s="293"/>
      <c r="EB158" s="293"/>
      <c r="ED158" s="293"/>
      <c r="EE158" s="293"/>
    </row>
    <row r="159" spans="1:273" s="289" customFormat="1">
      <c r="A159" s="289" t="s">
        <v>703</v>
      </c>
      <c r="B159" s="290"/>
      <c r="AN159" s="295"/>
      <c r="AO159" s="295"/>
      <c r="AP159" s="290"/>
      <c r="AQ159" s="290"/>
      <c r="AR159" s="835"/>
      <c r="AS159" s="835"/>
      <c r="AT159" s="290"/>
      <c r="AU159" s="290"/>
      <c r="AV159" s="295">
        <f>DIVISIONS!AV402</f>
        <v>243</v>
      </c>
      <c r="AW159" s="295">
        <f>DIVISIONS!AW402</f>
        <v>220</v>
      </c>
      <c r="AX159" s="295">
        <f t="shared" ref="AX159:AX165" si="148">+AW159+AV159</f>
        <v>463</v>
      </c>
      <c r="AY159" s="290"/>
      <c r="AZ159" s="295">
        <f>DIVISIONS!AZ402</f>
        <v>181</v>
      </c>
      <c r="BA159" s="295">
        <f>DIVISIONS!BA402</f>
        <v>170</v>
      </c>
      <c r="BB159" s="295">
        <f t="shared" ref="BB159:BB165" si="149">+AZ159+BA159</f>
        <v>351</v>
      </c>
      <c r="BC159" s="290"/>
      <c r="BD159" s="295">
        <f>DIVISIONS!BD402</f>
        <v>175</v>
      </c>
      <c r="BE159" s="295">
        <f>DIVISIONS!BE402</f>
        <v>178</v>
      </c>
      <c r="BF159" s="295">
        <f t="shared" ref="BF159:BF165" si="150">+BD159+BE159</f>
        <v>353</v>
      </c>
      <c r="BG159" s="290"/>
      <c r="BH159" s="295">
        <f>DIVISIONS!BH402</f>
        <v>190</v>
      </c>
      <c r="BI159" s="295">
        <f>DIVISIONS!BI402</f>
        <v>193</v>
      </c>
      <c r="BJ159" s="295">
        <f t="shared" ref="BJ159:BJ165" si="151">+BH159+BI159</f>
        <v>383</v>
      </c>
      <c r="BK159" s="290"/>
      <c r="BL159" s="295">
        <f>DIVISIONS!BL402</f>
        <v>246</v>
      </c>
      <c r="BM159" s="295">
        <f>DIVISIONS!BM402</f>
        <v>247</v>
      </c>
      <c r="BN159" s="295">
        <f t="shared" ref="BN159:BN165" si="152">+BL159+BM159</f>
        <v>493</v>
      </c>
      <c r="BO159" s="672">
        <f>+BN159/BJ159-1</f>
        <v>0.28720626631853796</v>
      </c>
      <c r="BP159" s="295">
        <f>DIVISIONS!BP402</f>
        <v>248</v>
      </c>
      <c r="BQ159" s="295">
        <f>DIVISIONS!BQ402</f>
        <v>274</v>
      </c>
      <c r="BR159" s="295">
        <f>+BP159+BQ159</f>
        <v>522</v>
      </c>
      <c r="BS159" s="672">
        <f>+BR159/BN159-1</f>
        <v>5.8823529411764719E-2</v>
      </c>
      <c r="BT159" s="295">
        <f>DIVISIONS!BT402</f>
        <v>303</v>
      </c>
      <c r="BU159" s="295">
        <f>DIVISIONS!BU402</f>
        <v>314</v>
      </c>
      <c r="BV159" s="295">
        <f>+BT159+BU159</f>
        <v>617</v>
      </c>
      <c r="BW159" s="672">
        <f>+BV159/BR159-1</f>
        <v>0.18199233716475094</v>
      </c>
      <c r="BX159" s="295">
        <f>DIVISIONS!BX402</f>
        <v>325</v>
      </c>
      <c r="BY159" s="295">
        <f>DIVISIONS!BY402</f>
        <v>319</v>
      </c>
      <c r="BZ159" s="295">
        <f>+BX159+BY159</f>
        <v>644</v>
      </c>
      <c r="CA159" s="672">
        <f>+BZ159/BV159-1</f>
        <v>4.3760129659643487E-2</v>
      </c>
      <c r="CB159" s="295">
        <f>DIVISIONS!CB402</f>
        <v>325</v>
      </c>
      <c r="CC159" s="295">
        <f>DIVISIONS!CC402</f>
        <v>325</v>
      </c>
      <c r="CD159" s="295">
        <f>+CB159+CC159</f>
        <v>650</v>
      </c>
      <c r="CE159" s="672">
        <f>+CD159/BZ159-1</f>
        <v>9.3167701863354768E-3</v>
      </c>
      <c r="CF159" s="295">
        <f>DIVISIONS!CF402</f>
        <v>385</v>
      </c>
      <c r="CG159" s="295">
        <f>DIVISIONS!CG402</f>
        <v>417</v>
      </c>
      <c r="CH159" s="295">
        <f>+CF159+CG159</f>
        <v>802</v>
      </c>
      <c r="CI159" s="672">
        <f>+CH159/CD159-1</f>
        <v>0.23384615384615381</v>
      </c>
      <c r="CJ159" s="295">
        <f>DIVISIONS!CJ402</f>
        <v>436</v>
      </c>
      <c r="CK159" s="295">
        <f>DIVISIONS!CK402</f>
        <v>498</v>
      </c>
      <c r="CL159" s="295">
        <f>+CJ159+CK159</f>
        <v>934</v>
      </c>
      <c r="CM159" s="672"/>
      <c r="CN159" s="295">
        <f>DIVISIONS!CN402</f>
        <v>471</v>
      </c>
      <c r="CO159" s="295">
        <f>DIVISIONS!CO402</f>
        <v>486</v>
      </c>
      <c r="CP159" s="295">
        <f>+CN159+CO159</f>
        <v>957</v>
      </c>
      <c r="CQ159" s="1609"/>
      <c r="CR159" s="295">
        <f>DIVISIONS!CR402</f>
        <v>529</v>
      </c>
      <c r="CS159" s="295">
        <f>DIVISIONS!CS402</f>
        <v>559</v>
      </c>
      <c r="CT159" s="295">
        <f>+CR159+CS159</f>
        <v>1088</v>
      </c>
      <c r="CV159" s="295">
        <f>DIVISIONS!CV402</f>
        <v>591</v>
      </c>
      <c r="CW159" s="295">
        <f>DIVISIONS!CW402</f>
        <v>662</v>
      </c>
      <c r="CX159" s="295">
        <f>+CV159+CW159</f>
        <v>1253</v>
      </c>
      <c r="CZ159" s="295">
        <f>DIVISIONS!CZ402</f>
        <v>666</v>
      </c>
      <c r="DA159" s="295">
        <f>DIVISIONS!DA402</f>
        <v>734</v>
      </c>
      <c r="DB159" s="295">
        <f>+CZ159+DA159</f>
        <v>1400</v>
      </c>
      <c r="DD159" s="295">
        <f>DIVISIONS!DD402</f>
        <v>715</v>
      </c>
      <c r="DE159" s="295">
        <f>DIVISIONS!DE402</f>
        <v>745</v>
      </c>
      <c r="DF159" s="295">
        <f>+DD159+DE159</f>
        <v>1460</v>
      </c>
      <c r="DH159" s="295">
        <f>DIVISIONS!DH402</f>
        <v>749</v>
      </c>
      <c r="DI159" s="295">
        <f>DI175*DI378*(DI$1/DI$2)/10000*1</f>
        <v>773.55509130487178</v>
      </c>
      <c r="DJ159" s="295">
        <f>+DH159+DI159</f>
        <v>1522.5550913048719</v>
      </c>
      <c r="DK159" s="672"/>
      <c r="DL159" s="295">
        <f>DL175*DL378*(DL$1/DL$2)/10000</f>
        <v>795.50260978547135</v>
      </c>
      <c r="DM159" s="295">
        <f>DM175*DM378*(DM$1/DM$2)/10000</f>
        <v>803.3881237375258</v>
      </c>
      <c r="DN159" s="295">
        <f>+DL159+DM159</f>
        <v>1598.8907335229972</v>
      </c>
      <c r="DO159" s="295"/>
      <c r="DP159" s="295">
        <f>DP175*DP378*(DP$1/DP$2)/10000</f>
        <v>822.31772351002678</v>
      </c>
      <c r="DQ159" s="295">
        <f>DQ175*DQ378*(DQ$1/DQ$2)/10000</f>
        <v>839.33665706814566</v>
      </c>
      <c r="DR159" s="295">
        <f>+DP159+DQ159</f>
        <v>1661.6543805781725</v>
      </c>
      <c r="DS159" s="295"/>
      <c r="DT159" s="290"/>
      <c r="DU159" s="295"/>
      <c r="DV159" s="295"/>
      <c r="DW159" s="295"/>
      <c r="DX159" s="295"/>
      <c r="DY159" s="290"/>
      <c r="DZ159" s="295"/>
      <c r="EA159" s="295"/>
      <c r="EB159" s="295"/>
      <c r="EC159" s="290"/>
      <c r="ED159" s="295"/>
      <c r="EE159" s="295"/>
      <c r="EF159" s="290"/>
      <c r="EG159" s="290"/>
      <c r="EH159" s="290"/>
      <c r="EI159" s="290"/>
      <c r="EJ159" s="290"/>
      <c r="EK159" s="290"/>
      <c r="EL159" s="290"/>
      <c r="EM159" s="290"/>
      <c r="EN159" s="290"/>
      <c r="EO159" s="290"/>
      <c r="EP159" s="290"/>
      <c r="JM159"/>
    </row>
    <row r="160" spans="1:273">
      <c r="A160" s="102" t="s">
        <v>704</v>
      </c>
      <c r="AN160" s="293"/>
      <c r="AO160" s="293"/>
      <c r="AR160" s="840"/>
      <c r="AS160" s="840"/>
      <c r="AV160" s="293">
        <f>DIVISIONS!AV403</f>
        <v>13</v>
      </c>
      <c r="AW160" s="293">
        <f>DIVISIONS!AW403</f>
        <v>11</v>
      </c>
      <c r="AX160" s="293">
        <f t="shared" si="148"/>
        <v>24</v>
      </c>
      <c r="AZ160" s="293">
        <f>DIVISIONS!AZ403</f>
        <v>10</v>
      </c>
      <c r="BA160" s="293">
        <f>DIVISIONS!BA403</f>
        <v>10</v>
      </c>
      <c r="BB160" s="293">
        <f t="shared" si="149"/>
        <v>20</v>
      </c>
      <c r="BD160" s="293">
        <f>DIVISIONS!BD403</f>
        <v>9</v>
      </c>
      <c r="BE160" s="293">
        <f>DIVISIONS!BE403</f>
        <v>14</v>
      </c>
      <c r="BF160" s="293">
        <f t="shared" si="150"/>
        <v>23</v>
      </c>
      <c r="BH160" s="293">
        <f>DIVISIONS!BH403</f>
        <v>7</v>
      </c>
      <c r="BI160" s="293">
        <f>DIVISIONS!BI403</f>
        <v>8</v>
      </c>
      <c r="BJ160" s="293">
        <f t="shared" si="151"/>
        <v>15</v>
      </c>
      <c r="BL160" s="293">
        <f>DIVISIONS!BL403</f>
        <v>8</v>
      </c>
      <c r="BM160" s="293">
        <f>DIVISIONS!BM403</f>
        <v>12</v>
      </c>
      <c r="BN160" s="293">
        <f t="shared" si="152"/>
        <v>20</v>
      </c>
      <c r="BP160" s="293">
        <f>DIVISIONS!BP403</f>
        <v>9</v>
      </c>
      <c r="BQ160" s="293">
        <f>DIVISIONS!BQ403</f>
        <v>15</v>
      </c>
      <c r="BR160" s="293">
        <f>+BP160+BQ160</f>
        <v>24</v>
      </c>
      <c r="BT160" s="293">
        <f>DIVISIONS!BT403</f>
        <v>9</v>
      </c>
      <c r="BU160" s="293">
        <f>DIVISIONS!BU403</f>
        <v>24</v>
      </c>
      <c r="BV160" s="293">
        <f>+BT160+BU160</f>
        <v>33</v>
      </c>
      <c r="BX160" s="293">
        <f>DIVISIONS!BX403</f>
        <v>17</v>
      </c>
      <c r="BY160" s="293">
        <f>DIVISIONS!BY403</f>
        <v>22</v>
      </c>
      <c r="BZ160" s="293">
        <f>+BX160+BY160</f>
        <v>39</v>
      </c>
      <c r="CB160" s="293">
        <f>DIVISIONS!CB403</f>
        <v>0</v>
      </c>
      <c r="CC160" s="293">
        <f>DIVISIONS!CC403</f>
        <v>0</v>
      </c>
      <c r="CD160" s="293">
        <f>+CB160+CC160</f>
        <v>0</v>
      </c>
      <c r="CF160" s="293">
        <f>DIVISIONS!CF403</f>
        <v>0</v>
      </c>
      <c r="CG160" s="293">
        <f>DIVISIONS!CG403</f>
        <v>0</v>
      </c>
      <c r="CH160" s="293">
        <f>+CF160+CG160</f>
        <v>0</v>
      </c>
      <c r="CJ160" s="293">
        <f>DIVISIONS!CJ403</f>
        <v>0</v>
      </c>
      <c r="CK160" s="293">
        <f>DIVISIONS!CK403</f>
        <v>0</v>
      </c>
      <c r="CL160" s="293">
        <f>+CJ160+CK160</f>
        <v>0</v>
      </c>
      <c r="CN160" s="293">
        <f>DIVISIONS!CN403</f>
        <v>0</v>
      </c>
      <c r="CO160" s="293">
        <f>DIVISIONS!CO403</f>
        <v>0</v>
      </c>
      <c r="CP160" s="293">
        <f>+CN160+CO160</f>
        <v>0</v>
      </c>
      <c r="CQ160" s="294"/>
      <c r="CR160" s="293">
        <f>DIVISIONS!CR403</f>
        <v>0</v>
      </c>
      <c r="CS160" s="293">
        <f>DIVISIONS!CS403</f>
        <v>0</v>
      </c>
      <c r="CT160" s="293">
        <f>+CR160+CS160</f>
        <v>0</v>
      </c>
      <c r="CU160" s="360"/>
      <c r="CV160" s="293">
        <f>DIVISIONS!CV403</f>
        <v>0</v>
      </c>
      <c r="CW160" s="293">
        <f>DIVISIONS!CW403</f>
        <v>0</v>
      </c>
      <c r="CX160" s="293">
        <f>+CV160+CW160</f>
        <v>0</v>
      </c>
      <c r="CZ160" s="293">
        <f>DIVISIONS!CZ403</f>
        <v>0</v>
      </c>
      <c r="DA160" s="293">
        <f>DIVISIONS!DA403</f>
        <v>0</v>
      </c>
      <c r="DB160" s="293">
        <f>+CZ160+DA160</f>
        <v>0</v>
      </c>
      <c r="DD160" s="293">
        <f>DIVISIONS!DD403</f>
        <v>0</v>
      </c>
      <c r="DE160" s="293">
        <f>DIVISIONS!DE403</f>
        <v>0</v>
      </c>
      <c r="DF160" s="293">
        <f>+DD160+DE160</f>
        <v>0</v>
      </c>
      <c r="DH160" s="293">
        <f>DIVISIONS!DH403</f>
        <v>0</v>
      </c>
      <c r="DI160" s="293">
        <f>DI170*DI204*(DI$1/DI$2)/10000</f>
        <v>0</v>
      </c>
      <c r="DJ160" s="293">
        <f>+DH160+DI160</f>
        <v>0</v>
      </c>
      <c r="DL160" s="293">
        <f>DL170*DL204*(DL$1/DL$2)/10000</f>
        <v>0</v>
      </c>
      <c r="DM160" s="293">
        <f>DM170*DM204*(DM$1/DM$2)/10000</f>
        <v>0</v>
      </c>
      <c r="DN160" s="293">
        <f>+DL160+DM160</f>
        <v>0</v>
      </c>
      <c r="DO160" s="293"/>
      <c r="DP160" s="293">
        <f>DP170*DP204*(DP$1/DP$2)/10000</f>
        <v>0</v>
      </c>
      <c r="DQ160" s="293">
        <f>DQ170*DQ204*(DQ$1/DQ$2)/10000</f>
        <v>0</v>
      </c>
      <c r="DR160" s="293">
        <f>+DP160+DQ160</f>
        <v>0</v>
      </c>
      <c r="DS160" s="293"/>
      <c r="DU160" s="293"/>
      <c r="DV160" s="293"/>
      <c r="DW160" s="293"/>
      <c r="DX160" s="293"/>
      <c r="DZ160" s="293"/>
      <c r="EA160" s="293"/>
      <c r="EB160" s="293"/>
      <c r="ED160" s="293"/>
      <c r="EE160" s="293"/>
    </row>
    <row r="161" spans="1:273">
      <c r="A161" s="102" t="s">
        <v>705</v>
      </c>
      <c r="AN161" s="293"/>
      <c r="AO161" s="293"/>
      <c r="AR161" s="293">
        <f>DIVISIONS!AR400</f>
        <v>0</v>
      </c>
      <c r="AS161" s="293">
        <f>DIVISIONS!AS400</f>
        <v>0</v>
      </c>
      <c r="AT161" s="626"/>
      <c r="AU161" s="626"/>
      <c r="AV161" s="293">
        <f>SUM(AV158:AV160)</f>
        <v>315</v>
      </c>
      <c r="AW161" s="293">
        <f>SUM(AW158:AW160)</f>
        <v>382</v>
      </c>
      <c r="AX161" s="293">
        <f t="shared" si="148"/>
        <v>697</v>
      </c>
      <c r="AY161" s="293"/>
      <c r="AZ161" s="293">
        <f>SUM(AZ158:AZ160)</f>
        <v>441</v>
      </c>
      <c r="BA161" s="293">
        <f>SUM(BA158:BA160)</f>
        <v>431</v>
      </c>
      <c r="BB161" s="293">
        <f t="shared" si="149"/>
        <v>872</v>
      </c>
      <c r="BD161" s="293">
        <f>SUM(BD158:BD160)</f>
        <v>446.33300000000003</v>
      </c>
      <c r="BE161" s="293">
        <f>SUM(BE158:BE160)</f>
        <v>459</v>
      </c>
      <c r="BF161" s="293">
        <f t="shared" si="150"/>
        <v>905.33300000000008</v>
      </c>
      <c r="BH161" s="293">
        <f>SUM(BH158:BH160)</f>
        <v>480</v>
      </c>
      <c r="BI161" s="293">
        <f>SUM(BI158:BI160)</f>
        <v>509</v>
      </c>
      <c r="BJ161" s="293">
        <f t="shared" si="151"/>
        <v>989</v>
      </c>
      <c r="BL161" s="293">
        <f>SUM(BL158:BL160)</f>
        <v>610</v>
      </c>
      <c r="BM161" s="293">
        <f>SUM(BM158:BM160)</f>
        <v>652</v>
      </c>
      <c r="BN161" s="293">
        <f t="shared" si="152"/>
        <v>1262</v>
      </c>
      <c r="BP161" s="293">
        <f>SUM(BP158:BP160)</f>
        <v>641</v>
      </c>
      <c r="BQ161" s="293">
        <f>SUM(BQ158:BQ160)</f>
        <v>731</v>
      </c>
      <c r="BR161" s="293">
        <f>+BP161+BQ161</f>
        <v>1372</v>
      </c>
      <c r="BT161" s="293">
        <f>SUM(BT158:BT160)</f>
        <v>784</v>
      </c>
      <c r="BU161" s="293">
        <f>SUM(BU158:BU160)</f>
        <v>785</v>
      </c>
      <c r="BV161" s="293">
        <f>+BT161+BU161</f>
        <v>1569</v>
      </c>
      <c r="BX161" s="293">
        <f>SUM(BX158:BX160)</f>
        <v>790</v>
      </c>
      <c r="BY161" s="293">
        <f>SUM(BY158:BY160)</f>
        <v>784</v>
      </c>
      <c r="BZ161" s="293">
        <f>+BX161+BY161</f>
        <v>1574</v>
      </c>
      <c r="CB161" s="293">
        <f>SUM(CB158:CB160)</f>
        <v>775</v>
      </c>
      <c r="CC161" s="293">
        <f>SUM(CC158:CC160)</f>
        <v>793</v>
      </c>
      <c r="CD161" s="293">
        <f>+CB161+CC161</f>
        <v>1568</v>
      </c>
      <c r="CF161" s="293">
        <f>SUM(CF158:CF160)</f>
        <v>879</v>
      </c>
      <c r="CG161" s="293">
        <f>SUM(CG158:CG160)</f>
        <v>899</v>
      </c>
      <c r="CH161" s="293">
        <f>+CF161+CG161</f>
        <v>1778</v>
      </c>
      <c r="CJ161" s="293">
        <f>SUM(CJ158:CJ160)</f>
        <v>950</v>
      </c>
      <c r="CK161" s="293">
        <f>SUM(CK158:CK160)</f>
        <v>1071</v>
      </c>
      <c r="CL161" s="293">
        <f>+CJ161+CK161</f>
        <v>2021</v>
      </c>
      <c r="CN161" s="293">
        <f>SUM(CN158:CN160)</f>
        <v>971</v>
      </c>
      <c r="CO161" s="293">
        <f>SUM(CO158:CO160)</f>
        <v>1014</v>
      </c>
      <c r="CP161" s="293">
        <f>+CN161+CO161</f>
        <v>1985</v>
      </c>
      <c r="CQ161" s="294"/>
      <c r="CR161" s="293">
        <f>SUM(CR158:CR160)</f>
        <v>1362</v>
      </c>
      <c r="CS161" s="293">
        <f>SUM(CS158:CS160)</f>
        <v>1409</v>
      </c>
      <c r="CT161" s="293">
        <f>+CR161+CS161</f>
        <v>2771</v>
      </c>
      <c r="CU161" s="360">
        <f>+CT159/CU158-1</f>
        <v>-0.35353535353535348</v>
      </c>
      <c r="CV161" s="293">
        <f>SUM(CV158:CV160)</f>
        <v>1378</v>
      </c>
      <c r="CW161" s="293">
        <f>SUM(CW158:CW160)</f>
        <v>1404</v>
      </c>
      <c r="CX161" s="293">
        <f>+CV161+CW161</f>
        <v>2782</v>
      </c>
      <c r="CZ161" s="293">
        <f>SUM(CZ158:CZ160)</f>
        <v>1407</v>
      </c>
      <c r="DA161" s="293">
        <f>SUM(DA158:DA160)</f>
        <v>1467</v>
      </c>
      <c r="DB161" s="293">
        <f>+CZ161+DA161</f>
        <v>2874</v>
      </c>
      <c r="DD161" s="293">
        <f>SUM(DD158:DD160)</f>
        <v>1436</v>
      </c>
      <c r="DE161" s="293">
        <f>SUM(DE158:DE160)</f>
        <v>1489</v>
      </c>
      <c r="DF161" s="293">
        <f>+DD161+DE161</f>
        <v>2925</v>
      </c>
      <c r="DH161" s="293">
        <f>SUM(DH158:DH160)</f>
        <v>1465</v>
      </c>
      <c r="DI161" s="293">
        <f>SUM(DI158:DI160)</f>
        <v>1252.6318317971143</v>
      </c>
      <c r="DJ161" s="293">
        <f>+DH161+DI161</f>
        <v>2717.6318317971145</v>
      </c>
      <c r="DL161" s="293">
        <f>SUM(DL158:DL160)</f>
        <v>1176.2274515753802</v>
      </c>
      <c r="DM161" s="293">
        <f>SUM(DM158:DM160)</f>
        <v>1190.2068358089396</v>
      </c>
      <c r="DN161" s="293">
        <f>+DL161+DM161</f>
        <v>2366.4342873843198</v>
      </c>
      <c r="DO161" s="293"/>
      <c r="DP161" s="293">
        <f>SUM(DP158:DP160)</f>
        <v>1218.5660916771756</v>
      </c>
      <c r="DQ161" s="293">
        <f>SUM(DQ158:DQ160)</f>
        <v>1244.1249051442887</v>
      </c>
      <c r="DR161" s="293">
        <f>+DP161+DQ161</f>
        <v>2462.6909968214641</v>
      </c>
      <c r="DS161" s="293"/>
      <c r="DU161" s="293"/>
      <c r="DV161" s="293"/>
      <c r="DW161" s="293"/>
      <c r="DX161" s="293"/>
      <c r="DZ161" s="293"/>
      <c r="EA161" s="293"/>
      <c r="EB161" s="293"/>
      <c r="ED161" s="293"/>
      <c r="EE161" s="293"/>
    </row>
    <row r="162" spans="1:273">
      <c r="A162" s="102" t="s">
        <v>689</v>
      </c>
      <c r="AN162" s="293"/>
      <c r="AO162" s="293"/>
      <c r="AR162" s="293"/>
      <c r="AS162" s="293"/>
      <c r="AV162" s="293">
        <f>DIVISIONS!AV621</f>
        <v>102</v>
      </c>
      <c r="AW162" s="293">
        <f>DIVISIONS!AW621</f>
        <v>97</v>
      </c>
      <c r="AX162" s="293">
        <f t="shared" si="148"/>
        <v>199</v>
      </c>
      <c r="AY162" s="293"/>
      <c r="AZ162" s="293">
        <f>DIVISIONS!AZ621</f>
        <v>54</v>
      </c>
      <c r="BA162" s="293">
        <f>DIVISIONS!BA621</f>
        <v>22</v>
      </c>
      <c r="BB162" s="293">
        <f t="shared" si="149"/>
        <v>76</v>
      </c>
      <c r="BD162" s="293">
        <f>DIVISIONS!BD621</f>
        <v>16.329999999999998</v>
      </c>
      <c r="BE162" s="293">
        <f>DIVISIONS!BE621</f>
        <v>17</v>
      </c>
      <c r="BF162" s="293">
        <f t="shared" si="150"/>
        <v>33.33</v>
      </c>
      <c r="BH162" s="293">
        <f>DIVISIONS!BH621</f>
        <v>19</v>
      </c>
      <c r="BI162" s="293">
        <f>DIVISIONS!BI621</f>
        <v>9</v>
      </c>
      <c r="BJ162" s="293">
        <f t="shared" si="151"/>
        <v>28</v>
      </c>
      <c r="BL162" s="293">
        <f>DIVISIONS!BL621</f>
        <v>16</v>
      </c>
      <c r="BM162" s="293">
        <f>DIVISIONS!BM621</f>
        <v>8</v>
      </c>
      <c r="BN162" s="293">
        <f t="shared" si="152"/>
        <v>24</v>
      </c>
      <c r="BP162" s="293">
        <f>DIVISIONS!BP621</f>
        <v>6</v>
      </c>
      <c r="BQ162" s="293">
        <f>DIVISIONS!BQ621</f>
        <v>6</v>
      </c>
      <c r="BR162" s="293">
        <f>+BP162+BQ162</f>
        <v>12</v>
      </c>
      <c r="BT162" s="293">
        <f>DIVISIONS!BT621</f>
        <v>6</v>
      </c>
      <c r="BU162" s="293">
        <f>DIVISIONS!BU621</f>
        <v>4</v>
      </c>
      <c r="BV162" s="293">
        <f>+BT162+BU162</f>
        <v>10</v>
      </c>
      <c r="BX162" s="293">
        <f>DIVISIONS!BX621</f>
        <v>0</v>
      </c>
      <c r="BY162" s="293">
        <f>DIVISIONS!BY621</f>
        <v>0</v>
      </c>
      <c r="BZ162" s="293">
        <f>+BX162+BY162</f>
        <v>0</v>
      </c>
      <c r="CB162" s="293">
        <f>DIVISIONS!CB621</f>
        <v>29</v>
      </c>
      <c r="CC162" s="293">
        <f>DIVISIONS!CC621</f>
        <v>-7</v>
      </c>
      <c r="CD162" s="293">
        <f>+CB162+CC162</f>
        <v>22</v>
      </c>
      <c r="CF162" s="293">
        <f>DIVISIONS!CF621</f>
        <v>35</v>
      </c>
      <c r="CG162" s="293">
        <f>DIVISIONS!CG621</f>
        <v>-7</v>
      </c>
      <c r="CH162" s="293">
        <f>+CF162+CG162</f>
        <v>28</v>
      </c>
      <c r="CJ162" s="293">
        <f>DIVISIONS!CJ621</f>
        <v>0</v>
      </c>
      <c r="CK162" s="293">
        <f>DIVISIONS!CK621</f>
        <v>0</v>
      </c>
      <c r="CL162" s="293">
        <f>+CJ162+CK162</f>
        <v>0</v>
      </c>
      <c r="CN162" s="293">
        <f>DIVISIONS!CN621</f>
        <v>0</v>
      </c>
      <c r="CO162" s="293">
        <f>DIVISIONS!CO621</f>
        <v>0</v>
      </c>
      <c r="CP162" s="293">
        <f>+CN162+CO162</f>
        <v>0</v>
      </c>
      <c r="CR162" s="293">
        <f>DIVISIONS!CR621</f>
        <v>0</v>
      </c>
      <c r="CS162" s="293">
        <f>DIVISIONS!CS621</f>
        <v>0</v>
      </c>
      <c r="CT162" s="293">
        <f>+CR162+CS162</f>
        <v>0</v>
      </c>
      <c r="CV162" s="293">
        <f>DIVISIONS!CV621</f>
        <v>0</v>
      </c>
      <c r="CW162" s="293">
        <f>DIVISIONS!CW621</f>
        <v>0</v>
      </c>
      <c r="CX162" s="293">
        <f>+CV162+CW162</f>
        <v>0</v>
      </c>
      <c r="CZ162" s="293">
        <f>DIVISIONS!CZ621</f>
        <v>0</v>
      </c>
      <c r="DA162" s="293">
        <f>DIVISIONS!DA621</f>
        <v>0</v>
      </c>
      <c r="DB162" s="293">
        <f>+CZ162+DA162</f>
        <v>0</v>
      </c>
      <c r="DD162" s="293">
        <f>DIVISIONS!DD621</f>
        <v>0</v>
      </c>
      <c r="DE162" s="293">
        <f ca="1">DIVISIONS!DE621</f>
        <v>0</v>
      </c>
      <c r="DF162" s="293">
        <f ca="1">+DD162+DE162</f>
        <v>0</v>
      </c>
      <c r="DH162" s="293">
        <f>DIVISIONS!DH621</f>
        <v>0</v>
      </c>
      <c r="DI162" s="293">
        <f>DI172*DI188*(DI$1/DI$2)/10000</f>
        <v>0</v>
      </c>
      <c r="DJ162" s="293">
        <f>+DH162+DI162</f>
        <v>0</v>
      </c>
      <c r="DL162" s="293">
        <f>DL172*DL188*(DL$1/DL$2)/10000</f>
        <v>0</v>
      </c>
      <c r="DM162" s="293">
        <f>DM172*DM188*(DM$1/DM$2)/10000</f>
        <v>0</v>
      </c>
      <c r="DN162" s="293">
        <f>+DL162+DM162</f>
        <v>0</v>
      </c>
      <c r="DO162" s="293"/>
      <c r="DP162" s="293">
        <f>DP172*DP188*(DP$1/DP$2)/10000</f>
        <v>0</v>
      </c>
      <c r="DQ162" s="293">
        <f>DQ172*DQ188*(DQ$1/DQ$2)/10000</f>
        <v>0</v>
      </c>
      <c r="DR162" s="293">
        <f>+DP162+DQ162</f>
        <v>0</v>
      </c>
      <c r="DS162" s="293"/>
      <c r="DU162" s="293"/>
      <c r="DV162" s="293"/>
      <c r="DW162" s="293"/>
      <c r="DX162" s="293"/>
      <c r="DZ162" s="293"/>
      <c r="EA162" s="293"/>
      <c r="EB162" s="293"/>
      <c r="ED162" s="293"/>
      <c r="EE162" s="293"/>
    </row>
    <row r="163" spans="1:273" s="302" customFormat="1">
      <c r="A163" s="102" t="s">
        <v>1202</v>
      </c>
      <c r="B163" s="103"/>
      <c r="AN163" s="303"/>
      <c r="AO163" s="303"/>
      <c r="AP163" s="304"/>
      <c r="AQ163" s="304"/>
      <c r="AR163" s="303"/>
      <c r="AS163" s="303"/>
      <c r="AT163" s="304"/>
      <c r="AU163" s="304"/>
      <c r="AV163" s="303"/>
      <c r="AW163" s="303"/>
      <c r="AX163" s="303"/>
      <c r="AY163" s="303"/>
      <c r="AZ163" s="303"/>
      <c r="BA163" s="303"/>
      <c r="BB163" s="303"/>
      <c r="BC163" s="304"/>
      <c r="BD163" s="627">
        <v>0</v>
      </c>
      <c r="BE163" s="627">
        <v>0</v>
      </c>
      <c r="BF163" s="303">
        <f>+BE163+BD163</f>
        <v>0</v>
      </c>
      <c r="BG163" s="304"/>
      <c r="BH163" s="627">
        <v>0</v>
      </c>
      <c r="BI163" s="627">
        <v>0</v>
      </c>
      <c r="BJ163" s="303">
        <f>+BI163+BH163</f>
        <v>0</v>
      </c>
      <c r="BK163" s="304"/>
      <c r="BL163" s="627">
        <v>0</v>
      </c>
      <c r="BM163" s="627">
        <v>0</v>
      </c>
      <c r="BN163" s="303">
        <f>+BM163+BL163</f>
        <v>0</v>
      </c>
      <c r="BO163" s="304"/>
      <c r="BP163" s="627">
        <f>9-BP162</f>
        <v>3</v>
      </c>
      <c r="BQ163" s="627">
        <f>7-BQ162</f>
        <v>1</v>
      </c>
      <c r="BR163" s="303">
        <f>+BQ163+BP163</f>
        <v>4</v>
      </c>
      <c r="BS163" s="304"/>
      <c r="BT163" s="627">
        <f>7-BT162</f>
        <v>1</v>
      </c>
      <c r="BU163" s="627">
        <f>6-BU162</f>
        <v>2</v>
      </c>
      <c r="BV163" s="303">
        <f>+BU163+BT163</f>
        <v>3</v>
      </c>
      <c r="BW163" s="304"/>
      <c r="BX163" s="627">
        <v>4</v>
      </c>
      <c r="BY163" s="627">
        <v>2</v>
      </c>
      <c r="BZ163" s="303">
        <f>+BY163+BX163</f>
        <v>6</v>
      </c>
      <c r="CA163" s="304"/>
      <c r="CB163" s="627">
        <v>0</v>
      </c>
      <c r="CC163" s="629">
        <v>0</v>
      </c>
      <c r="CD163" s="303">
        <f>+CC163+CB163</f>
        <v>0</v>
      </c>
      <c r="CE163" s="300"/>
      <c r="CF163" s="627">
        <v>-15</v>
      </c>
      <c r="CG163" s="629">
        <f>47+2-25</f>
        <v>24</v>
      </c>
      <c r="CH163" s="303">
        <f>+CG163+CF163</f>
        <v>9</v>
      </c>
      <c r="CI163" s="300"/>
      <c r="CJ163" s="627">
        <v>17</v>
      </c>
      <c r="CK163" s="629">
        <v>15</v>
      </c>
      <c r="CL163" s="303">
        <f>+CK163+CJ163</f>
        <v>32</v>
      </c>
      <c r="CM163" s="115"/>
      <c r="CN163" s="1326">
        <v>14</v>
      </c>
      <c r="CO163" s="1326">
        <v>12</v>
      </c>
      <c r="CP163" s="303">
        <f>+CO163+CN163</f>
        <v>26</v>
      </c>
      <c r="CQ163" s="115"/>
      <c r="CR163" s="627">
        <v>12</v>
      </c>
      <c r="CS163" s="1388">
        <v>13</v>
      </c>
      <c r="CT163" s="303">
        <f>+CS163+CR163</f>
        <v>25</v>
      </c>
      <c r="CU163" s="304"/>
      <c r="CV163" s="1388">
        <v>11</v>
      </c>
      <c r="CW163" s="626">
        <v>11</v>
      </c>
      <c r="CX163" s="293">
        <f>+CW163+CV163</f>
        <v>22</v>
      </c>
      <c r="CY163" s="103"/>
      <c r="CZ163" s="1388">
        <v>10</v>
      </c>
      <c r="DA163" s="1388">
        <v>11</v>
      </c>
      <c r="DB163" s="293">
        <f>+DA163+CZ163</f>
        <v>21</v>
      </c>
      <c r="DC163" s="103"/>
      <c r="DD163" s="1388">
        <v>12</v>
      </c>
      <c r="DE163" s="2176">
        <v>11</v>
      </c>
      <c r="DF163" s="293">
        <f>+DE163+DD163</f>
        <v>23</v>
      </c>
      <c r="DG163" s="103"/>
      <c r="DH163" s="1388">
        <v>12</v>
      </c>
      <c r="DI163" s="630">
        <f>+DH163*1.02</f>
        <v>12.24</v>
      </c>
      <c r="DJ163" s="303">
        <f>+DI163+DH163</f>
        <v>24.240000000000002</v>
      </c>
      <c r="DK163" s="304"/>
      <c r="DL163" s="630">
        <f>+DI163*1.02</f>
        <v>12.4848</v>
      </c>
      <c r="DM163" s="630">
        <f>+DL163*1.02</f>
        <v>12.734496</v>
      </c>
      <c r="DN163" s="303">
        <f>+DM163+DL163</f>
        <v>25.219296</v>
      </c>
      <c r="DO163" s="303"/>
      <c r="DP163" s="630">
        <f>+DM163*1.02</f>
        <v>12.989185920000001</v>
      </c>
      <c r="DQ163" s="630">
        <f>+DP163*1.02</f>
        <v>13.2489696384</v>
      </c>
      <c r="DR163" s="303">
        <f>+DQ163+DP163</f>
        <v>26.238155558400003</v>
      </c>
      <c r="DS163" s="303"/>
      <c r="DT163" s="304"/>
      <c r="DU163" s="303"/>
      <c r="DV163" s="303"/>
      <c r="DW163" s="303"/>
      <c r="DX163" s="303"/>
      <c r="DY163" s="304"/>
      <c r="DZ163" s="303"/>
      <c r="EA163" s="303"/>
      <c r="EB163" s="303"/>
      <c r="EC163" s="304"/>
      <c r="ED163" s="303"/>
      <c r="EE163" s="303"/>
      <c r="EF163" s="304"/>
      <c r="EG163" s="304"/>
      <c r="EH163" s="304"/>
      <c r="EI163" s="304"/>
      <c r="EJ163" s="304"/>
      <c r="EK163" s="304"/>
      <c r="EL163" s="304"/>
      <c r="EM163" s="304"/>
      <c r="EN163" s="304"/>
      <c r="EO163" s="304"/>
      <c r="EP163" s="304"/>
      <c r="FL163" s="102"/>
      <c r="FM163" s="102"/>
      <c r="FN163" s="102"/>
      <c r="FO163" s="102"/>
      <c r="FP163" s="102"/>
      <c r="FQ163" s="102"/>
      <c r="FR163" s="102"/>
      <c r="FS163" s="102"/>
      <c r="FT163" s="102"/>
      <c r="FU163" s="102"/>
      <c r="FV163" s="102"/>
      <c r="FW163" s="102"/>
      <c r="FX163" s="102"/>
      <c r="FY163" s="102"/>
      <c r="FZ163" s="102"/>
      <c r="GA163" s="102"/>
      <c r="GB163" s="102"/>
      <c r="GC163" s="102"/>
      <c r="GD163" s="102"/>
      <c r="GE163" s="102"/>
      <c r="GF163" s="102"/>
      <c r="GG163" s="102"/>
      <c r="GH163" s="102"/>
      <c r="GI163" s="102"/>
      <c r="GJ163" s="102"/>
      <c r="GK163" s="102"/>
      <c r="GL163" s="102"/>
      <c r="GM163" s="102"/>
      <c r="GN163" s="102"/>
      <c r="GO163" s="102"/>
      <c r="GP163" s="102"/>
      <c r="GQ163" s="102"/>
      <c r="GR163" s="102"/>
      <c r="GS163" s="102"/>
      <c r="GT163" s="102"/>
      <c r="GU163" s="102"/>
      <c r="GV163" s="102"/>
      <c r="GW163" s="102"/>
      <c r="GX163" s="102"/>
      <c r="GY163" s="102"/>
      <c r="GZ163" s="102"/>
      <c r="HA163" s="102"/>
      <c r="HB163" s="102"/>
      <c r="HC163" s="102"/>
      <c r="HD163" s="102"/>
      <c r="HE163" s="102"/>
      <c r="HF163" s="102"/>
      <c r="HG163" s="102"/>
      <c r="HH163" s="102"/>
      <c r="HI163" s="102"/>
      <c r="HJ163" s="102"/>
      <c r="HK163" s="102"/>
      <c r="HL163" s="102"/>
      <c r="HM163" s="102"/>
      <c r="HN163" s="102"/>
      <c r="HO163" s="102"/>
      <c r="HP163" s="102"/>
      <c r="HQ163" s="102"/>
      <c r="HR163" s="102"/>
      <c r="HS163" s="102"/>
      <c r="HT163" s="102"/>
      <c r="HU163" s="102"/>
      <c r="HV163" s="102"/>
      <c r="HW163" s="102"/>
      <c r="HX163" s="102"/>
      <c r="HY163" s="102"/>
      <c r="HZ163" s="102"/>
      <c r="IA163" s="102"/>
      <c r="IB163" s="102"/>
      <c r="IC163" s="102"/>
      <c r="ID163" s="102"/>
      <c r="IE163" s="102"/>
      <c r="IF163" s="102"/>
      <c r="IG163" s="102"/>
      <c r="IH163" s="102"/>
      <c r="II163" s="102"/>
      <c r="IJ163" s="102"/>
      <c r="IK163" s="102"/>
      <c r="IL163" s="102"/>
      <c r="IM163" s="102"/>
      <c r="IN163" s="102"/>
      <c r="IO163" s="102"/>
      <c r="IP163" s="102"/>
      <c r="IQ163" s="102"/>
      <c r="IR163" s="102"/>
      <c r="IS163" s="102"/>
      <c r="IT163" s="102"/>
      <c r="IU163" s="102"/>
      <c r="IV163" s="102"/>
      <c r="IW163" s="102"/>
      <c r="IX163" s="102"/>
      <c r="IY163" s="102"/>
      <c r="IZ163" s="102"/>
      <c r="JA163" s="102"/>
      <c r="JB163" s="102"/>
      <c r="JC163" s="102"/>
      <c r="JD163" s="102"/>
      <c r="JE163" s="102"/>
      <c r="JF163" s="102"/>
      <c r="JG163" s="102"/>
      <c r="JH163" s="102"/>
      <c r="JI163" s="102"/>
      <c r="JJ163" s="102"/>
      <c r="JK163" s="102"/>
      <c r="JL163" s="102"/>
      <c r="JM163"/>
    </row>
    <row r="164" spans="1:273">
      <c r="A164" s="102" t="s">
        <v>688</v>
      </c>
      <c r="AN164" s="293"/>
      <c r="AO164" s="293"/>
      <c r="AR164" s="293"/>
      <c r="AS164" s="293"/>
      <c r="AV164" s="293">
        <f>DIVISIONS!AV684</f>
        <v>25</v>
      </c>
      <c r="AW164" s="293">
        <f>DIVISIONS!AW684</f>
        <v>5</v>
      </c>
      <c r="AX164" s="293">
        <f t="shared" si="148"/>
        <v>30</v>
      </c>
      <c r="AY164" s="293"/>
      <c r="AZ164" s="293">
        <f>DIVISIONS!AZ684</f>
        <v>1</v>
      </c>
      <c r="BA164" s="293">
        <f>DIVISIONS!BA684</f>
        <v>1</v>
      </c>
      <c r="BB164" s="293">
        <f t="shared" si="149"/>
        <v>2</v>
      </c>
      <c r="BD164" s="293">
        <f>DIVISIONS!BD684</f>
        <v>1</v>
      </c>
      <c r="BE164" s="293">
        <f>DIVISIONS!BE684</f>
        <v>0</v>
      </c>
      <c r="BF164" s="293">
        <f t="shared" si="150"/>
        <v>1</v>
      </c>
      <c r="BH164" s="293">
        <f>DIVISIONS!BH684</f>
        <v>1</v>
      </c>
      <c r="BI164" s="293">
        <f>DIVISIONS!BI684</f>
        <v>1</v>
      </c>
      <c r="BJ164" s="293">
        <f t="shared" si="151"/>
        <v>2</v>
      </c>
      <c r="BL164" s="293">
        <f>DIVISIONS!BL684</f>
        <v>2</v>
      </c>
      <c r="BM164" s="293">
        <f>DIVISIONS!BM684</f>
        <v>0</v>
      </c>
      <c r="BN164" s="293">
        <f t="shared" si="152"/>
        <v>2</v>
      </c>
      <c r="BP164" s="293">
        <f>DIVISIONS!BP684</f>
        <v>0</v>
      </c>
      <c r="BQ164" s="293">
        <f>DIVISIONS!BQ684</f>
        <v>0</v>
      </c>
      <c r="BR164" s="293">
        <f>+BP164+BQ164</f>
        <v>0</v>
      </c>
      <c r="BT164" s="293">
        <f>DIVISIONS!BT684</f>
        <v>0</v>
      </c>
      <c r="BU164" s="293">
        <f>DIVISIONS!BU684</f>
        <v>0</v>
      </c>
      <c r="BV164" s="293">
        <f>+BT164+BU164</f>
        <v>0</v>
      </c>
      <c r="BX164" s="293">
        <f>DIVISIONS!BX684</f>
        <v>0</v>
      </c>
      <c r="BY164" s="293">
        <f>DIVISIONS!BY684</f>
        <v>0</v>
      </c>
      <c r="BZ164" s="293">
        <f>+BX164+BY164</f>
        <v>0</v>
      </c>
      <c r="CB164" s="293">
        <f>DIVISIONS!CB684</f>
        <v>0</v>
      </c>
      <c r="CC164" s="293">
        <f>DIVISIONS!CC684</f>
        <v>0</v>
      </c>
      <c r="CD164" s="293">
        <f>+CB164+CC164</f>
        <v>0</v>
      </c>
      <c r="CF164" s="293">
        <f>DIVISIONS!CF684</f>
        <v>0</v>
      </c>
      <c r="CG164" s="293">
        <f>DIVISIONS!CG684</f>
        <v>0</v>
      </c>
      <c r="CH164" s="293">
        <f>+CF164+CG164</f>
        <v>0</v>
      </c>
      <c r="CJ164" s="293">
        <f>DIVISIONS!CJ684</f>
        <v>0</v>
      </c>
      <c r="CK164" s="293">
        <f>DIVISIONS!CK684</f>
        <v>0</v>
      </c>
      <c r="CL164" s="293">
        <f>+CJ164+CK164</f>
        <v>0</v>
      </c>
      <c r="CN164" s="293">
        <f>DIVISIONS!CN684</f>
        <v>0</v>
      </c>
      <c r="CO164" s="293">
        <f>DIVISIONS!CO684</f>
        <v>0</v>
      </c>
      <c r="CP164" s="293">
        <f>+CN164+CO164</f>
        <v>0</v>
      </c>
      <c r="CR164" s="293">
        <f>DIVISIONS!CR684</f>
        <v>0</v>
      </c>
      <c r="CS164" s="293">
        <f>DIVISIONS!CS684</f>
        <v>0</v>
      </c>
      <c r="CT164" s="293">
        <f>+CR164+CS164</f>
        <v>0</v>
      </c>
      <c r="CV164" s="293">
        <f>DIVISIONS!CV684</f>
        <v>0</v>
      </c>
      <c r="CW164" s="293">
        <f>DIVISIONS!CW684</f>
        <v>0</v>
      </c>
      <c r="CX164" s="293">
        <f>+CV164+CW164</f>
        <v>0</v>
      </c>
      <c r="CZ164" s="293">
        <f>DIVISIONS!CZ684</f>
        <v>0</v>
      </c>
      <c r="DA164" s="293">
        <f>DIVISIONS!DA684</f>
        <v>0</v>
      </c>
      <c r="DB164" s="293">
        <f>+CZ164+DA164</f>
        <v>0</v>
      </c>
      <c r="DD164" s="293">
        <f>DIVISIONS!DD684</f>
        <v>0</v>
      </c>
      <c r="DE164" s="293">
        <f>DIVISIONS!DE684</f>
        <v>0</v>
      </c>
      <c r="DF164" s="293">
        <f>+DD164+DE164</f>
        <v>0</v>
      </c>
      <c r="DH164" s="293">
        <f>DIVISIONS!DH684</f>
        <v>0</v>
      </c>
      <c r="DI164" s="293">
        <f>DIVISIONS!DI684</f>
        <v>0</v>
      </c>
      <c r="DJ164" s="293">
        <f>+DH164+DI164</f>
        <v>0</v>
      </c>
      <c r="DL164" s="293">
        <f>DIVISIONS!DL684</f>
        <v>0</v>
      </c>
      <c r="DM164" s="293">
        <f>DIVISIONS!DM684</f>
        <v>0</v>
      </c>
      <c r="DN164" s="293">
        <f>+DL164+DM164</f>
        <v>0</v>
      </c>
      <c r="DO164" s="293"/>
      <c r="DP164" s="293">
        <f>DIVISIONS!DP684</f>
        <v>0</v>
      </c>
      <c r="DQ164" s="293">
        <f>DIVISIONS!DQ684</f>
        <v>0</v>
      </c>
      <c r="DR164" s="293">
        <f>+DP164+DQ164</f>
        <v>0</v>
      </c>
      <c r="DS164" s="293"/>
      <c r="DU164" s="293"/>
      <c r="DV164" s="293"/>
      <c r="DW164" s="293"/>
      <c r="DX164" s="293"/>
      <c r="DZ164" s="293"/>
      <c r="EA164" s="293"/>
      <c r="EB164" s="293"/>
      <c r="ED164" s="293"/>
      <c r="EE164" s="293"/>
    </row>
    <row r="165" spans="1:273" s="289" customFormat="1">
      <c r="A165" s="289" t="s">
        <v>613</v>
      </c>
      <c r="B165" s="290"/>
      <c r="AN165" s="295"/>
      <c r="AO165" s="295"/>
      <c r="AP165" s="290"/>
      <c r="AQ165" s="290"/>
      <c r="AR165" s="295"/>
      <c r="AS165" s="295"/>
      <c r="AT165" s="290"/>
      <c r="AU165" s="290"/>
      <c r="AV165" s="295">
        <f>SUM(AV161:AV164)</f>
        <v>442</v>
      </c>
      <c r="AW165" s="295">
        <f>SUM(AW161:AW164)</f>
        <v>484</v>
      </c>
      <c r="AX165" s="295">
        <f t="shared" si="148"/>
        <v>926</v>
      </c>
      <c r="AY165" s="295"/>
      <c r="AZ165" s="295">
        <f>SUM(AZ161:AZ164)</f>
        <v>496</v>
      </c>
      <c r="BA165" s="295">
        <f>SUM(BA161:BA164)</f>
        <v>454</v>
      </c>
      <c r="BB165" s="295">
        <f t="shared" si="149"/>
        <v>950</v>
      </c>
      <c r="BC165" s="290"/>
      <c r="BD165" s="295">
        <f>SUM(BD161:BD164)</f>
        <v>463.66300000000001</v>
      </c>
      <c r="BE165" s="295">
        <f>SUM(BE161:BE164)</f>
        <v>476</v>
      </c>
      <c r="BF165" s="295">
        <f t="shared" si="150"/>
        <v>939.66300000000001</v>
      </c>
      <c r="BG165" s="290"/>
      <c r="BH165" s="295">
        <f>SUM(BH161:BH164)</f>
        <v>500</v>
      </c>
      <c r="BI165" s="295">
        <f>SUM(BI161:BI164)</f>
        <v>519</v>
      </c>
      <c r="BJ165" s="295">
        <f t="shared" si="151"/>
        <v>1019</v>
      </c>
      <c r="BK165" s="290"/>
      <c r="BL165" s="295">
        <f>SUM(BL161:BL164)</f>
        <v>628</v>
      </c>
      <c r="BM165" s="295">
        <f>SUM(BM161:BM164)</f>
        <v>660</v>
      </c>
      <c r="BN165" s="295">
        <f t="shared" si="152"/>
        <v>1288</v>
      </c>
      <c r="BO165" s="672">
        <f>+BN165/BJ165-1</f>
        <v>0.26398429833169779</v>
      </c>
      <c r="BP165" s="295">
        <f>SUM(BP161:BP164)</f>
        <v>650</v>
      </c>
      <c r="BQ165" s="295">
        <f>SUM(BQ161:BQ164)</f>
        <v>738</v>
      </c>
      <c r="BR165" s="295">
        <f>+BP165+BQ165</f>
        <v>1388</v>
      </c>
      <c r="BS165" s="672">
        <f>+BR165/BN165-1</f>
        <v>7.7639751552795122E-2</v>
      </c>
      <c r="BT165" s="295">
        <f>SUM(BT161:BT164)</f>
        <v>791</v>
      </c>
      <c r="BU165" s="295">
        <f>SUM(BU161:BU164)</f>
        <v>791</v>
      </c>
      <c r="BV165" s="295">
        <f>+BT165+BU165</f>
        <v>1582</v>
      </c>
      <c r="BW165" s="672">
        <f>+BV165/BR165-1</f>
        <v>0.13976945244956762</v>
      </c>
      <c r="BX165" s="295">
        <f>SUM(BX161:BX164)</f>
        <v>794</v>
      </c>
      <c r="BY165" s="295">
        <f>SUM(BY161:BY164)</f>
        <v>786</v>
      </c>
      <c r="BZ165" s="295">
        <f>+BX165+BY165</f>
        <v>1580</v>
      </c>
      <c r="CA165" s="672">
        <f>+BZ165/BV165-1</f>
        <v>-1.2642225031606058E-3</v>
      </c>
      <c r="CB165" s="295">
        <f>SUM(CB161:CB164)</f>
        <v>804</v>
      </c>
      <c r="CC165" s="295">
        <f>SUM(CC161:CC164)</f>
        <v>786</v>
      </c>
      <c r="CD165" s="295">
        <f>+CB165+CC165</f>
        <v>1590</v>
      </c>
      <c r="CE165" s="672">
        <f>+CD165/BZ165-1</f>
        <v>6.3291139240506666E-3</v>
      </c>
      <c r="CF165" s="295">
        <f>SUM(CF161:CF164)</f>
        <v>899</v>
      </c>
      <c r="CG165" s="295">
        <f>SUM(CG161:CG164)</f>
        <v>916</v>
      </c>
      <c r="CH165" s="295">
        <f>+CF165+CG165</f>
        <v>1815</v>
      </c>
      <c r="CI165" s="672">
        <f>+CH165/CD165-1</f>
        <v>0.14150943396226423</v>
      </c>
      <c r="CJ165" s="295">
        <f>SUM(CJ161:CJ164)</f>
        <v>967</v>
      </c>
      <c r="CK165" s="295">
        <f>SUM(CK161:CK164)</f>
        <v>1086</v>
      </c>
      <c r="CL165" s="295">
        <f>+CJ165+CK165</f>
        <v>2053</v>
      </c>
      <c r="CM165" s="905"/>
      <c r="CN165" s="295">
        <f>SUM(CN161:CN164)</f>
        <v>985</v>
      </c>
      <c r="CO165" s="295">
        <f>SUM(CO161:CO164)</f>
        <v>1026</v>
      </c>
      <c r="CP165" s="295">
        <f>+CN165+CO165</f>
        <v>2011</v>
      </c>
      <c r="CQ165" s="905"/>
      <c r="CR165" s="295">
        <f>SUM(CR161:CR164)</f>
        <v>1374</v>
      </c>
      <c r="CS165" s="295">
        <f>SUM(CS161:CS164)</f>
        <v>1422</v>
      </c>
      <c r="CT165" s="295">
        <f>+CR165+CS165</f>
        <v>2796</v>
      </c>
      <c r="CU165" s="672">
        <f>+CT165/CP165-1</f>
        <v>0.39035305818000987</v>
      </c>
      <c r="CV165" s="295">
        <f>SUM(CV161:CV164)</f>
        <v>1389</v>
      </c>
      <c r="CW165" s="295">
        <f>SUM(CW161:CW164)</f>
        <v>1415</v>
      </c>
      <c r="CX165" s="295">
        <f>+CV165+CW165</f>
        <v>2804</v>
      </c>
      <c r="CY165" s="672">
        <f>+CX165/CT165-1</f>
        <v>2.8612303290413976E-3</v>
      </c>
      <c r="CZ165" s="295">
        <f>SUM(CZ161:CZ164)</f>
        <v>1417</v>
      </c>
      <c r="DA165" s="295">
        <f>SUM(DA161:DA164)</f>
        <v>1478</v>
      </c>
      <c r="DB165" s="295">
        <f>+CZ165+DA165</f>
        <v>2895</v>
      </c>
      <c r="DC165" s="672">
        <f>+DB165/CX165-1</f>
        <v>3.2453637660484924E-2</v>
      </c>
      <c r="DD165" s="295">
        <f>SUM(DD161:DD164)</f>
        <v>1448</v>
      </c>
      <c r="DE165" s="295">
        <f ca="1">SUM(DE161:DE164)</f>
        <v>1500</v>
      </c>
      <c r="DF165" s="295">
        <f ca="1">+DD165+DE165</f>
        <v>2948</v>
      </c>
      <c r="DG165" s="672">
        <f ca="1">+DF165/DB165-1</f>
        <v>1.8307426597581999E-2</v>
      </c>
      <c r="DH165" s="295">
        <f>SUM(DH161:DH164)</f>
        <v>1477</v>
      </c>
      <c r="DI165" s="295">
        <f>SUM(DI161:DI164)</f>
        <v>1264.8718317971143</v>
      </c>
      <c r="DJ165" s="295">
        <f>+DH165+DI165</f>
        <v>2741.8718317971143</v>
      </c>
      <c r="DK165" s="672">
        <f ca="1">+DJ165/DF165-1</f>
        <v>-6.9921359634628755E-2</v>
      </c>
      <c r="DL165" s="295">
        <f>SUM(DL161:DL164)</f>
        <v>1188.7122515753802</v>
      </c>
      <c r="DM165" s="295">
        <f>SUM(DM161:DM164)</f>
        <v>1202.9413318089396</v>
      </c>
      <c r="DN165" s="295">
        <f>+DL165+DM165</f>
        <v>2391.65358338432</v>
      </c>
      <c r="DO165" s="295"/>
      <c r="DP165" s="295">
        <f>SUM(DP161:DP164)</f>
        <v>1231.5552775971755</v>
      </c>
      <c r="DQ165" s="295">
        <f>SUM(DQ161:DQ164)</f>
        <v>1257.3738747826887</v>
      </c>
      <c r="DR165" s="295">
        <f>+DP165+DQ165</f>
        <v>2488.9291523798643</v>
      </c>
      <c r="DS165" s="295"/>
      <c r="DT165" s="290"/>
      <c r="DU165" s="295"/>
      <c r="DV165" s="295"/>
      <c r="DW165" s="295"/>
      <c r="DX165" s="295"/>
      <c r="DY165" s="290"/>
      <c r="DZ165" s="295"/>
      <c r="EA165" s="295"/>
      <c r="EB165" s="295"/>
      <c r="EC165" s="290"/>
      <c r="ED165" s="295"/>
      <c r="EE165" s="295"/>
      <c r="EF165" s="290"/>
      <c r="EG165" s="290"/>
      <c r="EH165" s="290"/>
      <c r="EI165" s="290"/>
      <c r="EJ165" s="290"/>
      <c r="EK165" s="290"/>
      <c r="EL165" s="290"/>
      <c r="EM165" s="290"/>
      <c r="EN165" s="290"/>
      <c r="EO165" s="290"/>
      <c r="EP165" s="290"/>
      <c r="JM165"/>
    </row>
    <row r="166" spans="1:273" s="854" customFormat="1">
      <c r="A166" s="102"/>
      <c r="B166" s="103"/>
      <c r="C166" s="102"/>
      <c r="D166" s="102"/>
      <c r="E166" s="102"/>
      <c r="F166" s="102"/>
      <c r="G166" s="102"/>
      <c r="H166" s="102"/>
      <c r="I166" s="102"/>
      <c r="J166" s="102"/>
      <c r="K166" s="102"/>
      <c r="L166" s="102"/>
      <c r="M166" s="102"/>
      <c r="N166" s="102"/>
      <c r="O166" s="102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  <c r="AA166" s="102"/>
      <c r="AB166" s="102"/>
      <c r="AC166" s="102"/>
      <c r="AD166" s="102"/>
      <c r="AE166" s="102"/>
      <c r="AF166" s="102"/>
      <c r="AG166" s="102"/>
      <c r="AH166" s="102"/>
      <c r="AI166" s="102"/>
      <c r="AJ166" s="102"/>
      <c r="AK166" s="102"/>
      <c r="AL166" s="102"/>
      <c r="AM166" s="102"/>
      <c r="AN166" s="293"/>
      <c r="AO166" s="293"/>
      <c r="AP166" s="293"/>
      <c r="AQ166" s="293"/>
      <c r="AR166" s="293"/>
      <c r="AS166" s="293"/>
      <c r="AT166" s="626"/>
      <c r="AU166" s="626"/>
      <c r="AV166" s="293"/>
      <c r="AW166" s="293"/>
      <c r="AX166" s="626"/>
      <c r="AY166" s="626"/>
      <c r="AZ166" s="293"/>
      <c r="BA166" s="293"/>
      <c r="BB166" s="853"/>
      <c r="BC166" s="853"/>
      <c r="BD166" s="293"/>
      <c r="BE166" s="293"/>
      <c r="BF166" s="293"/>
      <c r="BG166" s="853"/>
      <c r="BH166" s="626">
        <v>500</v>
      </c>
      <c r="BI166" s="626">
        <v>519</v>
      </c>
      <c r="BJ166" s="293"/>
      <c r="BK166" s="862"/>
      <c r="BL166" s="658">
        <v>628</v>
      </c>
      <c r="BM166" s="658">
        <v>661</v>
      </c>
      <c r="BN166" s="331"/>
      <c r="BO166" s="862"/>
      <c r="BP166" s="658">
        <v>650</v>
      </c>
      <c r="BQ166" s="658">
        <v>738</v>
      </c>
      <c r="BR166" s="331"/>
      <c r="BS166" s="862"/>
      <c r="BT166" s="658">
        <v>791</v>
      </c>
      <c r="BU166" s="658">
        <v>791</v>
      </c>
      <c r="BV166" s="331"/>
      <c r="BW166" s="853"/>
      <c r="BX166" s="658">
        <v>794</v>
      </c>
      <c r="BY166" s="658">
        <v>786</v>
      </c>
      <c r="BZ166" s="331"/>
      <c r="CA166" s="853"/>
      <c r="CB166" s="658">
        <v>804</v>
      </c>
      <c r="CC166" s="658">
        <v>828</v>
      </c>
      <c r="CD166" s="648"/>
      <c r="CE166" s="862"/>
      <c r="CF166" s="658">
        <v>899</v>
      </c>
      <c r="CG166" s="658">
        <v>916</v>
      </c>
      <c r="CH166" s="648"/>
      <c r="CI166" s="862"/>
      <c r="CJ166" s="658">
        <v>967</v>
      </c>
      <c r="CK166" s="658">
        <v>1086</v>
      </c>
      <c r="CL166" s="648"/>
      <c r="CM166" s="862"/>
      <c r="CN166" s="1329">
        <v>985</v>
      </c>
      <c r="CO166" s="1329">
        <v>1026</v>
      </c>
      <c r="CP166" s="648"/>
      <c r="CQ166" s="862"/>
      <c r="CR166" s="1000">
        <v>1374</v>
      </c>
      <c r="CS166" s="1000">
        <v>1422</v>
      </c>
      <c r="CT166" s="648"/>
      <c r="CU166" s="853"/>
      <c r="CV166" s="1000">
        <v>1389</v>
      </c>
      <c r="CW166" s="658">
        <v>1415</v>
      </c>
      <c r="CX166" s="648"/>
      <c r="CY166" s="853"/>
      <c r="CZ166" s="1000">
        <v>1417</v>
      </c>
      <c r="DA166" s="1000">
        <v>1478</v>
      </c>
      <c r="DB166" s="648"/>
      <c r="DC166" s="853"/>
      <c r="DD166" s="1000">
        <v>1448</v>
      </c>
      <c r="DE166" s="658">
        <v>1500</v>
      </c>
      <c r="DF166" s="648"/>
      <c r="DG166" s="853"/>
      <c r="DH166" s="658">
        <v>1477</v>
      </c>
      <c r="DI166" s="626"/>
      <c r="DJ166" s="293"/>
      <c r="DK166" s="853"/>
      <c r="DL166" s="626"/>
      <c r="DM166" s="626"/>
      <c r="DN166" s="293"/>
      <c r="DO166" s="853"/>
      <c r="DP166" s="626"/>
      <c r="DQ166" s="626"/>
      <c r="DR166" s="293"/>
      <c r="DS166" s="853"/>
      <c r="DT166" s="853"/>
      <c r="DU166" s="850"/>
      <c r="DV166" s="850"/>
      <c r="DW166" s="850"/>
      <c r="DX166" s="853"/>
      <c r="DY166" s="853"/>
      <c r="DZ166" s="850"/>
      <c r="EA166" s="850"/>
      <c r="EB166" s="853"/>
      <c r="EC166" s="853"/>
      <c r="ED166" s="850"/>
      <c r="EE166" s="850"/>
      <c r="EF166" s="853"/>
      <c r="EG166" s="853"/>
      <c r="EH166" s="853"/>
      <c r="EI166" s="853"/>
      <c r="EJ166" s="853"/>
      <c r="EK166" s="853"/>
      <c r="EL166" s="853"/>
      <c r="EM166" s="853"/>
      <c r="EN166" s="853"/>
      <c r="EO166" s="853"/>
      <c r="EP166" s="853"/>
      <c r="EQ166" s="855"/>
      <c r="ER166" s="855"/>
      <c r="ES166" s="855"/>
      <c r="ET166" s="855"/>
      <c r="EU166" s="855"/>
      <c r="EV166" s="855"/>
      <c r="EW166" s="855"/>
      <c r="EX166" s="855"/>
      <c r="EY166" s="855"/>
      <c r="EZ166" s="855"/>
      <c r="FA166" s="855"/>
      <c r="FB166" s="855"/>
      <c r="FC166" s="855"/>
      <c r="FD166" s="855"/>
      <c r="FE166" s="855"/>
      <c r="FF166" s="855"/>
      <c r="FG166" s="855"/>
      <c r="FH166" s="855"/>
      <c r="FI166" s="855"/>
      <c r="FJ166" s="855"/>
      <c r="FK166" s="855"/>
      <c r="FL166" s="855"/>
      <c r="FM166" s="855"/>
      <c r="FN166" s="855"/>
      <c r="FO166" s="855"/>
      <c r="FP166" s="855"/>
      <c r="FQ166" s="855"/>
      <c r="FR166" s="855"/>
      <c r="FS166" s="855"/>
      <c r="FT166" s="855"/>
      <c r="FU166" s="855"/>
      <c r="FV166" s="855"/>
      <c r="FW166" s="855"/>
      <c r="FX166" s="855"/>
      <c r="FY166" s="855"/>
      <c r="FZ166" s="855"/>
      <c r="GA166" s="855"/>
      <c r="GB166" s="855"/>
      <c r="GC166" s="855"/>
      <c r="GD166" s="855"/>
      <c r="GE166" s="855"/>
      <c r="GF166" s="855"/>
      <c r="GG166" s="855"/>
      <c r="GH166" s="855"/>
      <c r="GI166" s="855"/>
      <c r="GJ166" s="855"/>
      <c r="GK166" s="855"/>
      <c r="GL166" s="855"/>
      <c r="GM166" s="855"/>
      <c r="GN166" s="855"/>
      <c r="GO166" s="855"/>
      <c r="GP166" s="855"/>
      <c r="GQ166" s="855"/>
      <c r="GR166" s="855"/>
      <c r="GS166" s="855"/>
      <c r="GT166" s="855"/>
      <c r="GU166" s="855"/>
      <c r="GV166" s="855"/>
      <c r="GW166" s="855"/>
      <c r="GX166" s="855"/>
      <c r="GY166" s="855"/>
      <c r="GZ166" s="855"/>
      <c r="HA166" s="855"/>
      <c r="HB166" s="855"/>
      <c r="HC166" s="855"/>
      <c r="HD166" s="855"/>
      <c r="HE166" s="855"/>
      <c r="HF166" s="855"/>
      <c r="HG166" s="855"/>
      <c r="HH166" s="855"/>
      <c r="HI166" s="855"/>
      <c r="HJ166" s="855"/>
      <c r="HK166" s="855"/>
      <c r="HL166" s="855"/>
      <c r="HM166" s="855"/>
      <c r="HN166" s="855"/>
      <c r="HO166" s="855"/>
      <c r="HP166" s="855"/>
      <c r="HQ166" s="855"/>
      <c r="HR166" s="855"/>
      <c r="HS166" s="855"/>
      <c r="HT166" s="855"/>
      <c r="HU166" s="855"/>
      <c r="HV166" s="855"/>
      <c r="HW166" s="855"/>
      <c r="HX166" s="855"/>
      <c r="HY166" s="855"/>
      <c r="HZ166" s="855"/>
      <c r="IA166" s="855"/>
      <c r="IB166" s="855"/>
      <c r="IC166" s="855"/>
      <c r="ID166" s="855"/>
      <c r="IE166" s="855"/>
      <c r="IF166" s="855"/>
      <c r="IG166" s="855"/>
      <c r="IH166" s="855"/>
      <c r="II166" s="855"/>
      <c r="IJ166" s="855"/>
      <c r="IK166" s="855"/>
      <c r="IL166" s="855"/>
      <c r="IM166" s="855"/>
      <c r="IN166" s="855"/>
      <c r="IO166" s="855"/>
      <c r="IP166" s="855"/>
      <c r="IQ166" s="855"/>
      <c r="IR166" s="855"/>
      <c r="IS166" s="855"/>
      <c r="IT166" s="855"/>
      <c r="IU166" s="855"/>
      <c r="IV166" s="855"/>
      <c r="IW166" s="855"/>
      <c r="IX166" s="855"/>
      <c r="IY166" s="855"/>
      <c r="IZ166" s="855"/>
      <c r="JA166" s="855"/>
      <c r="JB166" s="855"/>
      <c r="JC166" s="855"/>
      <c r="JD166" s="855"/>
      <c r="JE166" s="855"/>
      <c r="JF166" s="855"/>
      <c r="JG166" s="855"/>
      <c r="JH166" s="855"/>
      <c r="JI166" s="855"/>
      <c r="JJ166" s="855"/>
      <c r="JK166" s="855"/>
      <c r="JL166" s="855"/>
      <c r="JM166"/>
    </row>
    <row r="167" spans="1:273">
      <c r="A167" s="815" t="s">
        <v>807</v>
      </c>
      <c r="AN167" s="293"/>
      <c r="AO167" s="293"/>
      <c r="AR167" s="293"/>
      <c r="AS167" s="293"/>
      <c r="AV167" s="293"/>
      <c r="AW167" s="293"/>
      <c r="AZ167" s="293"/>
      <c r="BD167" s="293"/>
      <c r="BH167" s="293"/>
      <c r="BL167" s="293"/>
      <c r="BP167" s="293"/>
      <c r="BT167" s="293"/>
      <c r="BX167" s="293"/>
      <c r="BY167" s="293"/>
      <c r="CB167" s="293"/>
      <c r="CC167" s="293"/>
      <c r="CF167" s="293"/>
      <c r="CG167" s="293"/>
      <c r="CJ167" s="293">
        <f>+CJ165/CF165</f>
        <v>1.0756395995550612</v>
      </c>
      <c r="CK167" s="293">
        <f>+CK165/CG165</f>
        <v>1.185589519650655</v>
      </c>
      <c r="CN167" s="360">
        <f>+CN165/CJ165</f>
        <v>1.0186142709410548</v>
      </c>
      <c r="CO167" s="293">
        <f>+CO165/CK165</f>
        <v>0.94475138121546964</v>
      </c>
      <c r="CR167" s="360">
        <f>+CR165/CN165</f>
        <v>1.3949238578680203</v>
      </c>
      <c r="CS167" s="293">
        <f>+CS165/CO165</f>
        <v>1.3859649122807018</v>
      </c>
      <c r="CV167" s="360">
        <f>+CV165/CR165</f>
        <v>1.0109170305676856</v>
      </c>
      <c r="CW167" s="293">
        <f>+CW165/CS165</f>
        <v>0.99507735583684953</v>
      </c>
      <c r="CZ167" s="360">
        <f>+CZ165/CV165</f>
        <v>1.0201583873290136</v>
      </c>
      <c r="DA167" s="293">
        <f>+DA165/CW165</f>
        <v>1.0445229681978798</v>
      </c>
      <c r="DD167" s="360">
        <f>+DD165/CZ165</f>
        <v>1.021877205363444</v>
      </c>
      <c r="DE167" s="293">
        <f ca="1">+DE165/DA165</f>
        <v>1.0148849797023005</v>
      </c>
      <c r="DH167" s="360">
        <f>+DH165/DD165</f>
        <v>1.0200276243093922</v>
      </c>
    </row>
    <row r="168" spans="1:273" s="289" customFormat="1">
      <c r="A168" s="289" t="s">
        <v>702</v>
      </c>
      <c r="B168" s="290"/>
      <c r="AN168" s="295"/>
      <c r="AO168" s="295"/>
      <c r="AP168" s="290"/>
      <c r="AQ168" s="290"/>
      <c r="AR168" s="295"/>
      <c r="AS168" s="295"/>
      <c r="AT168" s="290"/>
      <c r="AU168" s="290"/>
      <c r="AV168" s="715">
        <f t="shared" ref="AV168:AX170" si="153">AV158/AV202*(365/AV$1)*10000</f>
        <v>21.169604164282813</v>
      </c>
      <c r="AW168" s="715">
        <f t="shared" si="153"/>
        <v>23.035966995893819</v>
      </c>
      <c r="AX168" s="715">
        <f t="shared" si="153"/>
        <v>22.454189443857842</v>
      </c>
      <c r="AY168" s="715"/>
      <c r="AZ168" s="715">
        <f t="shared" ref="AZ168:BB170" si="154">AZ158/AZ202*(365/AZ$1)*10000</f>
        <v>23.942221816931792</v>
      </c>
      <c r="BA168" s="715">
        <f t="shared" si="154"/>
        <v>24.274091655091109</v>
      </c>
      <c r="BB168" s="715">
        <f t="shared" si="154"/>
        <v>24.107487636491808</v>
      </c>
      <c r="BC168" s="715"/>
      <c r="BD168" s="715">
        <f t="shared" ref="BD168:BF170" si="155">BD158/BD202*(365/BD$1)*10000</f>
        <v>24.567327592804826</v>
      </c>
      <c r="BE168" s="715">
        <f t="shared" si="155"/>
        <v>24.061003327914147</v>
      </c>
      <c r="BF168" s="715">
        <f t="shared" si="155"/>
        <v>24.309297882619276</v>
      </c>
      <c r="BG168" s="715"/>
      <c r="BH168" s="715">
        <f t="shared" ref="BH168:BI170" si="156">BH158/BH202*(BH$2/BH$1)*10000</f>
        <v>25.011955409588111</v>
      </c>
      <c r="BI168" s="715">
        <f t="shared" si="156"/>
        <v>26.374564803258227</v>
      </c>
      <c r="BJ168" s="715">
        <f>BJ158/BJ202*(365/BJ$1)*10000</f>
        <v>25.702720422029103</v>
      </c>
      <c r="BK168" s="715"/>
      <c r="BL168" s="715">
        <f t="shared" ref="BL168:BM170" si="157">BL158/BL202*(BL$2/BL$1)*10000</f>
        <v>28.176771619394572</v>
      </c>
      <c r="BM168" s="715">
        <f t="shared" si="157"/>
        <v>27.404705864372065</v>
      </c>
      <c r="BN168" s="715">
        <f>BN158/BN202*(365/BN$1)*10000</f>
        <v>27.76130467012602</v>
      </c>
      <c r="BO168" s="715"/>
      <c r="BP168" s="715">
        <f t="shared" ref="BP168:BQ170" si="158">BP158/BP202*(BP$2/BP$1)*10000</f>
        <v>24.7944849253565</v>
      </c>
      <c r="BQ168" s="715">
        <f t="shared" si="158"/>
        <v>27.054130060386736</v>
      </c>
      <c r="BR168" s="715">
        <f>BR158/BR202*(365/BR$1)*10000</f>
        <v>25.95239965438693</v>
      </c>
      <c r="BS168" s="715"/>
      <c r="BT168" s="715">
        <f t="shared" ref="BT168:BU170" si="159">BT158/BT202*(BT$2/BT$1)*10000</f>
        <v>27.002288329519452</v>
      </c>
      <c r="BU168" s="715">
        <f t="shared" si="159"/>
        <v>25.977044893215165</v>
      </c>
      <c r="BV168" s="715">
        <f>BV158/BV202*(365/BV$1)*10000</f>
        <v>26.421306552454091</v>
      </c>
      <c r="BW168" s="715"/>
      <c r="BX168" s="715">
        <f t="shared" ref="BX168:BY170" si="160">BX158/BX202*(BX$2/BX$1)*10000</f>
        <v>25.967797517242253</v>
      </c>
      <c r="BY168" s="715">
        <f t="shared" si="160"/>
        <v>26.465119628658503</v>
      </c>
      <c r="BZ168" s="715">
        <f>BZ158/BZ202*(365/BZ$1)*10000</f>
        <v>26.21359223300971</v>
      </c>
      <c r="CA168" s="715"/>
      <c r="CB168" s="715">
        <f t="shared" ref="CB168:CC170" si="161">CB158/CB202*(CB$2/CB$1)*10000</f>
        <v>27.809170677197752</v>
      </c>
      <c r="CC168" s="715">
        <f t="shared" si="161"/>
        <v>28.497690255698455</v>
      </c>
      <c r="CD168" s="715">
        <f>CD158/CD202*(365/CD$1)*10000</f>
        <v>28.155190921637786</v>
      </c>
      <c r="CE168" s="581"/>
      <c r="CF168" s="715">
        <f>CF158/CF202*(CF$2/CF$1)*10000</f>
        <v>28.268556776591232</v>
      </c>
      <c r="CG168" s="715">
        <f>CG158/CG202*(CG$2/CG$1)*10000</f>
        <v>26.680881911353897</v>
      </c>
      <c r="CH168" s="715">
        <f>CH158/CH202*(365/CH$1)*10000</f>
        <v>27.460082999226277</v>
      </c>
      <c r="CI168" s="581"/>
      <c r="CJ168" s="715">
        <f>CJ158/CJ202*(CJ$2/CJ$1)*10000</f>
        <v>28.472510732585516</v>
      </c>
      <c r="CK168" s="715">
        <f>CK158/CK202*(CK$2/CK$1)*10000</f>
        <v>30.81887858007261</v>
      </c>
      <c r="CL168" s="715">
        <f>CL158/CL202*(365/CL$1)*10000</f>
        <v>29.581936270836646</v>
      </c>
      <c r="CM168" s="581"/>
      <c r="CN168" s="715">
        <f>CN158/CN202*(CN$2/CN$1)*10000</f>
        <v>27.192031617255395</v>
      </c>
      <c r="CO168" s="715">
        <f>CO158/CO202*(CO$2/CO$1)*10000</f>
        <v>29.49585233707796</v>
      </c>
      <c r="CP168" s="715">
        <f>CP158/CP202*(365/CP$1)*10000</f>
        <v>28.329314502239061</v>
      </c>
      <c r="CQ168" s="581"/>
      <c r="CR168" s="715">
        <f>CR158/CR202*(CR$2/CR$1)*10000</f>
        <v>33.905950561512071</v>
      </c>
      <c r="CS168" s="715">
        <f>CS158/CS202*(CS$2/CS$1)*10000</f>
        <v>32.907634818770255</v>
      </c>
      <c r="CT168" s="715">
        <f>CT158/CT202*(365/CT$1)*10000</f>
        <v>33.391752918223609</v>
      </c>
      <c r="CU168" s="290"/>
      <c r="CV168" s="715">
        <f>CV158/CV202*(CV$2/CV$1)*10000</f>
        <v>29.734787905889615</v>
      </c>
      <c r="CW168" s="715">
        <f>CW158/CW202*(CW$2/CW$1)*10000</f>
        <v>28.204642211465565</v>
      </c>
      <c r="CX168" s="715">
        <f>CX158/CX202*(365/CX$1)*10000</f>
        <v>28.972051160587398</v>
      </c>
      <c r="CY168" s="290"/>
      <c r="CZ168" s="715">
        <f>CZ158/CZ202*(CZ$2/CZ$1)*10000</f>
        <v>27.408914370260774</v>
      </c>
      <c r="DA168" s="715">
        <f>DA158/DA202*(DA$2/DA$1)*10000</f>
        <v>26.312483173292648</v>
      </c>
      <c r="DB168" s="715">
        <f>DB158/DB202*(365/DB$1)*10000</f>
        <v>26.779116957610395</v>
      </c>
      <c r="DC168" s="290"/>
      <c r="DD168" s="715">
        <f>DD158/DD202*(DD$2/DD$1)*10000</f>
        <v>25.896994584722087</v>
      </c>
      <c r="DE168" s="715">
        <f>DE158/DE202*(DE$2/DE$1)*10000</f>
        <v>27.247770491013735</v>
      </c>
      <c r="DF168" s="715">
        <f>DF158/DF202*(365/DF$1)*10000</f>
        <v>26.566325142805329</v>
      </c>
      <c r="DG168" s="290"/>
      <c r="DH168" s="715">
        <f>DH158/DH202*(DH$2/DH$1)*10000</f>
        <v>26.095704553567643</v>
      </c>
      <c r="DI168" s="1062">
        <f>+(DH168*DH239-DG234*27)/(DH239-DG234)</f>
        <v>25.29954842395302</v>
      </c>
      <c r="DJ168" s="715">
        <f>DJ158/DJ202*(365/DJ$1)*10000</f>
        <v>25.783359053741208</v>
      </c>
      <c r="DK168" s="290"/>
      <c r="DL168" s="1587">
        <f>DI168-0.25</f>
        <v>25.04954842395302</v>
      </c>
      <c r="DM168" s="1587">
        <f>DL168-0.25</f>
        <v>24.79954842395302</v>
      </c>
      <c r="DN168" s="715">
        <f>DN158/DN202*(365/DN$1)*10000</f>
        <v>24.921857600303461</v>
      </c>
      <c r="DO168" s="290"/>
      <c r="DP168" s="1587">
        <f>DM168-0.25</f>
        <v>24.54954842395302</v>
      </c>
      <c r="DQ168" s="1587">
        <f>DP168-0.25</f>
        <v>24.29954842395302</v>
      </c>
      <c r="DR168" s="715">
        <f>DR158/DR202*(365/DR$1)*10000</f>
        <v>24.355847826660984</v>
      </c>
      <c r="DS168" s="290"/>
      <c r="DT168" s="290"/>
      <c r="DU168" s="1019"/>
      <c r="DV168" s="1019"/>
      <c r="DW168" s="1019"/>
      <c r="DX168" s="290"/>
      <c r="DY168" s="290"/>
      <c r="DZ168" s="1019"/>
      <c r="EA168" s="1019"/>
      <c r="EB168" s="290"/>
      <c r="EC168" s="290"/>
      <c r="ED168" s="1019"/>
      <c r="EE168" s="1019"/>
      <c r="EF168" s="290"/>
      <c r="EG168" s="290"/>
      <c r="EH168" s="290"/>
      <c r="EI168" s="290"/>
      <c r="EJ168" s="290"/>
      <c r="EK168" s="290"/>
      <c r="EL168" s="290"/>
      <c r="EM168" s="290"/>
      <c r="EN168" s="290"/>
      <c r="EO168" s="290"/>
      <c r="EP168" s="290"/>
      <c r="JM168"/>
    </row>
    <row r="169" spans="1:273">
      <c r="A169" s="102" t="s">
        <v>703</v>
      </c>
      <c r="AN169" s="293"/>
      <c r="AO169" s="293"/>
      <c r="AR169" s="293"/>
      <c r="AS169" s="293"/>
      <c r="AV169" s="711">
        <f t="shared" si="153"/>
        <v>37.089321850634846</v>
      </c>
      <c r="AW169" s="711">
        <f t="shared" si="153"/>
        <v>38.078735729069081</v>
      </c>
      <c r="AX169" s="711">
        <f t="shared" si="153"/>
        <v>37.559142467181381</v>
      </c>
      <c r="AY169" s="711"/>
      <c r="AZ169" s="711">
        <f t="shared" si="154"/>
        <v>35.712893741207935</v>
      </c>
      <c r="BA169" s="711">
        <f t="shared" si="154"/>
        <v>34.360733096900482</v>
      </c>
      <c r="BB169" s="711">
        <f t="shared" si="154"/>
        <v>35.045854155330012</v>
      </c>
      <c r="BC169" s="711"/>
      <c r="BD169" s="711">
        <f t="shared" si="155"/>
        <v>34.969414696034079</v>
      </c>
      <c r="BE169" s="711">
        <f t="shared" si="155"/>
        <v>35.064426904135466</v>
      </c>
      <c r="BF169" s="711">
        <f t="shared" si="155"/>
        <v>35.017260088895384</v>
      </c>
      <c r="BG169" s="711"/>
      <c r="BH169" s="711">
        <f t="shared" si="156"/>
        <v>36.810271843990265</v>
      </c>
      <c r="BI169" s="711">
        <f t="shared" si="156"/>
        <v>37.217349957734569</v>
      </c>
      <c r="BJ169" s="711">
        <f>BJ159/BJ203*(365/BJ$1)*10000</f>
        <v>37.013771442377383</v>
      </c>
      <c r="BK169" s="711"/>
      <c r="BL169" s="711">
        <f t="shared" si="157"/>
        <v>45.305238938588921</v>
      </c>
      <c r="BM169" s="711">
        <f t="shared" si="157"/>
        <v>43.624583254702145</v>
      </c>
      <c r="BN169" s="711">
        <f>BN159/BN203*(365/BN$1)*10000</f>
        <v>44.444444444444443</v>
      </c>
      <c r="BO169" s="711"/>
      <c r="BP169" s="711">
        <f t="shared" si="158"/>
        <v>43.581040417900383</v>
      </c>
      <c r="BQ169" s="711">
        <f t="shared" si="158"/>
        <v>44.332835377611502</v>
      </c>
      <c r="BR169" s="711">
        <f>BR159/BR203*(365/BR$1)*10000</f>
        <v>43.967150979153509</v>
      </c>
      <c r="BS169" s="711"/>
      <c r="BT169" s="711">
        <f t="shared" si="159"/>
        <v>43.055062166962699</v>
      </c>
      <c r="BU169" s="711">
        <f t="shared" si="159"/>
        <v>44.225352112676056</v>
      </c>
      <c r="BV169" s="711">
        <f>BV159/BV203*(365/BV$1)*10000</f>
        <v>43.523551381098017</v>
      </c>
      <c r="BW169" s="711"/>
      <c r="BX169" s="711">
        <f t="shared" si="160"/>
        <v>47.628511661708082</v>
      </c>
      <c r="BY169" s="711">
        <f t="shared" si="160"/>
        <v>44.090471898879898</v>
      </c>
      <c r="BZ169" s="711">
        <f>BZ159/BZ203*(365/BZ$1)*10000</f>
        <v>45.803698435277383</v>
      </c>
      <c r="CA169" s="711"/>
      <c r="CB169" s="711">
        <f t="shared" si="161"/>
        <v>43.858189696606701</v>
      </c>
      <c r="CC169" s="711">
        <f t="shared" si="161"/>
        <v>43.950486465658415</v>
      </c>
      <c r="CD169" s="711">
        <f>CD159/CD203*(365/CD$1)*10000</f>
        <v>43.904086457277941</v>
      </c>
      <c r="CF169" s="711">
        <f>CF159/CF203*(CF$2/CF$1)*10000</f>
        <v>45.130542160645781</v>
      </c>
      <c r="CG169" s="711">
        <f>CG159/CG203*(CG$2/CG$1)*10000</f>
        <v>44.709500603646553</v>
      </c>
      <c r="CH169" s="711">
        <f>CH159/CH203*(365/CH$1)*10000</f>
        <v>44.904815229563269</v>
      </c>
      <c r="CJ169" s="711">
        <f>CJ159/CJ203*(CJ$2/CJ$1)*10000</f>
        <v>44.729417799435751</v>
      </c>
      <c r="CK169" s="711">
        <f>CK159/CK203*(CK$2/CK$1)*10000</f>
        <v>46.981132075471699</v>
      </c>
      <c r="CL169" s="711">
        <f>CL159/CL203*(365/CL$1)*10000</f>
        <v>45.77702850137333</v>
      </c>
      <c r="CN169" s="711">
        <f>CN159/CN203*(CN$2/CN$1)*10000</f>
        <v>43.990926223750726</v>
      </c>
      <c r="CO169" s="711">
        <f>CO159/CO203*(CO$2/CO$1)*10000</f>
        <v>48.843414165388609</v>
      </c>
      <c r="CP169" s="711">
        <f>CP159/CP203*(365/CP$1)*10000</f>
        <v>46.33260711692084</v>
      </c>
      <c r="CR169" s="711">
        <f>CR159/CR203*(CR$2/CR$1)*10000</f>
        <v>50.726408154686844</v>
      </c>
      <c r="CS169" s="711">
        <f>CS159/CS203*(CS$2/CS$1)*10000</f>
        <v>46.828380474997019</v>
      </c>
      <c r="CT169" s="711">
        <f>CT159/CT203*(365/CT$1)*10000</f>
        <v>48.636566830576669</v>
      </c>
      <c r="CV169" s="711">
        <f>CV159/CV203*(CV$2/CV$1)*10000</f>
        <v>41.353113201307792</v>
      </c>
      <c r="CW169" s="711">
        <f>CW159/CW203*(CW$2/CW$1)*10000</f>
        <v>40.458246613968079</v>
      </c>
      <c r="CX169" s="711">
        <f>CX159/CX203*(365/CX$1)*10000</f>
        <v>40.8675799086758</v>
      </c>
      <c r="CZ169" s="711">
        <f>CZ159/CZ203*(CZ$2/CZ$1)*10000</f>
        <v>38.65351131746953</v>
      </c>
      <c r="DA169" s="711">
        <f>DA159/DA203*(DA$2/DA$1)*10000</f>
        <v>41.005586592178773</v>
      </c>
      <c r="DB169" s="711">
        <f>DB159/DB203*(365/DB$1)*10000</f>
        <v>39.74309317927635</v>
      </c>
      <c r="DD169" s="711">
        <f>DD159/DD203*(DD$2/DD$1)*10000</f>
        <v>38.310084517793506</v>
      </c>
      <c r="DE169" s="711">
        <f>DE159/DE203*(DE$2/DE$1)*10000</f>
        <v>39.184196343913108</v>
      </c>
      <c r="DF169" s="711">
        <f>DF159/DF203*(365/DF$1)*10000</f>
        <v>38.749917059252866</v>
      </c>
      <c r="DH169" s="711">
        <f>DH159/DH203*(DH$2/DH$1)*10000</f>
        <v>37.088061167456218</v>
      </c>
      <c r="DI169" s="711">
        <f>DI159/DI203*(DI$2/DI$1)*10000</f>
        <v>36.374710451763903</v>
      </c>
      <c r="DJ169" s="711">
        <f>DJ159/DJ203*(365/DJ$1)*10000</f>
        <v>36.719296951712181</v>
      </c>
      <c r="DL169" s="711">
        <f>DL159/DL203*(DL$2/DL$1)*10000</f>
        <v>35.777461878001702</v>
      </c>
      <c r="DM169" s="711">
        <f>DM159/DM203*(DM$2/DM$1)*10000</f>
        <v>35.100710265316579</v>
      </c>
      <c r="DN169" s="711">
        <f>DN159/DN203*(365/DN$1)*10000</f>
        <v>35.432515079489868</v>
      </c>
      <c r="DP169" s="711">
        <f>DP159/DP203*(DP$2/DP$1)*10000</f>
        <v>34.619247599089356</v>
      </c>
      <c r="DQ169" s="711">
        <f>DQ159/DQ203*(DQ$2/DQ$1)*10000</f>
        <v>34.139490977871269</v>
      </c>
      <c r="DR169" s="711">
        <f>DR159/DR203*(365/DR$1)*10000</f>
        <v>34.281317568277565</v>
      </c>
      <c r="DU169" s="638"/>
      <c r="DV169" s="638"/>
      <c r="DW169" s="638"/>
      <c r="DZ169" s="638"/>
      <c r="EA169" s="638"/>
      <c r="ED169" s="638"/>
      <c r="EE169" s="638"/>
    </row>
    <row r="170" spans="1:273">
      <c r="A170" s="102" t="s">
        <v>704</v>
      </c>
      <c r="AN170" s="293"/>
      <c r="AO170" s="293"/>
      <c r="AR170" s="293"/>
      <c r="AS170" s="293"/>
      <c r="AV170" s="711">
        <f t="shared" si="153"/>
        <v>109.49730468173092</v>
      </c>
      <c r="AW170" s="711">
        <f t="shared" si="153"/>
        <v>89.476534416708816</v>
      </c>
      <c r="AX170" s="711">
        <f t="shared" si="153"/>
        <v>99.306920451018925</v>
      </c>
      <c r="AY170" s="711"/>
      <c r="AZ170" s="711">
        <f t="shared" si="154"/>
        <v>84.56796773905802</v>
      </c>
      <c r="BA170" s="711">
        <f t="shared" si="154"/>
        <v>85.649989557740994</v>
      </c>
      <c r="BB170" s="711">
        <f t="shared" si="154"/>
        <v>85.106382978723403</v>
      </c>
      <c r="BC170" s="711"/>
      <c r="BD170" s="711">
        <f t="shared" si="155"/>
        <v>74.345908768404001</v>
      </c>
      <c r="BE170" s="711">
        <f t="shared" si="155"/>
        <v>118.8233926287641</v>
      </c>
      <c r="BF170" s="711">
        <f t="shared" si="155"/>
        <v>96.283591016666421</v>
      </c>
      <c r="BG170" s="711"/>
      <c r="BH170" s="711">
        <f t="shared" si="156"/>
        <v>63.462493790362643</v>
      </c>
      <c r="BI170" s="711">
        <f t="shared" si="156"/>
        <v>82.276697661313037</v>
      </c>
      <c r="BJ170" s="711">
        <f>BJ160/BJ204*(365/BJ$1)*10000</f>
        <v>72.289156626506028</v>
      </c>
      <c r="BK170" s="711"/>
      <c r="BL170" s="711">
        <f t="shared" si="157"/>
        <v>88.646023072252589</v>
      </c>
      <c r="BM170" s="711">
        <f t="shared" si="157"/>
        <v>150.41208791208788</v>
      </c>
      <c r="BN170" s="711">
        <f>BN160/BN204*(365/BN$1)*10000</f>
        <v>117.64705882352941</v>
      </c>
      <c r="BO170" s="711"/>
      <c r="BP170" s="711">
        <f t="shared" si="158"/>
        <v>108.79284649776454</v>
      </c>
      <c r="BQ170" s="711">
        <f t="shared" si="158"/>
        <v>146.743500402037</v>
      </c>
      <c r="BR170" s="711">
        <f>BR160/BR204*(365/BR$1)*10000</f>
        <v>129.72972972972971</v>
      </c>
      <c r="BS170" s="711"/>
      <c r="BT170" s="711">
        <f t="shared" si="159"/>
        <v>64.285714285714278</v>
      </c>
      <c r="BU170" s="711">
        <f t="shared" si="159"/>
        <v>139.13043478260869</v>
      </c>
      <c r="BV170" s="711">
        <f>BV160/BV204*(365/BV$1)*10000</f>
        <v>105.31147540983606</v>
      </c>
      <c r="BW170" s="711"/>
      <c r="BX170" s="711">
        <f t="shared" si="160"/>
        <v>86.941291859324636</v>
      </c>
      <c r="BY170" s="711">
        <f t="shared" si="160"/>
        <v>90.970884785317764</v>
      </c>
      <c r="BZ170" s="711">
        <f>BZ160/BZ204*(365/BZ$1)*10000</f>
        <v>89.142857142857153</v>
      </c>
      <c r="CA170" s="711"/>
      <c r="CB170" s="711">
        <f t="shared" si="161"/>
        <v>0</v>
      </c>
      <c r="CC170" s="711">
        <f t="shared" si="161"/>
        <v>0</v>
      </c>
      <c r="CD170" s="711">
        <f>CD160/CD204*(365/CD$1)*10000</f>
        <v>0</v>
      </c>
      <c r="CF170" s="711"/>
      <c r="CG170" s="711"/>
      <c r="CH170" s="711"/>
      <c r="CJ170" s="711"/>
      <c r="CK170" s="711"/>
      <c r="CL170" s="711"/>
      <c r="CN170" s="711"/>
      <c r="CO170" s="711"/>
      <c r="CP170" s="711"/>
      <c r="CR170" s="711"/>
      <c r="CS170" s="711"/>
      <c r="CT170" s="711"/>
      <c r="CV170" s="711"/>
      <c r="CW170" s="711"/>
      <c r="CX170" s="711"/>
      <c r="CZ170" s="711"/>
      <c r="DA170" s="711"/>
      <c r="DB170" s="711"/>
      <c r="DD170" s="711"/>
      <c r="DE170" s="711"/>
      <c r="DF170" s="711"/>
      <c r="DH170" s="711"/>
      <c r="DI170" s="885"/>
      <c r="DJ170" s="711"/>
      <c r="DL170" s="885"/>
      <c r="DM170" s="885"/>
      <c r="DN170" s="711"/>
      <c r="DP170" s="885"/>
      <c r="DQ170" s="885"/>
      <c r="DR170" s="711"/>
      <c r="DU170" s="638"/>
      <c r="DV170" s="638"/>
      <c r="DW170" s="638"/>
      <c r="DZ170" s="638"/>
      <c r="EA170" s="638"/>
      <c r="ED170" s="638"/>
      <c r="EE170" s="638"/>
    </row>
    <row r="171" spans="1:273">
      <c r="A171" s="102" t="s">
        <v>705</v>
      </c>
      <c r="AN171" s="293"/>
      <c r="AO171" s="293"/>
      <c r="AR171" s="293"/>
      <c r="AS171" s="293"/>
      <c r="AV171" s="711">
        <f>AV161*(365/AV$1)/AV205*10000</f>
        <v>33.306934021331912</v>
      </c>
      <c r="AW171" s="711">
        <f>AW161*(365/AW$1)/AW205*10000</f>
        <v>30.669411655630217</v>
      </c>
      <c r="AX171" s="711">
        <f>AX161*(365/AX$1)/AX205*10000</f>
        <v>31.795595830990671</v>
      </c>
      <c r="AY171" s="711"/>
      <c r="AZ171" s="711">
        <f>AZ161*(365/AZ$1)/AZ205*10000</f>
        <v>28.21813038148882</v>
      </c>
      <c r="BA171" s="711">
        <f>BA161*(365/BA$1)/BA205*10000</f>
        <v>27.97882839574255</v>
      </c>
      <c r="BB171" s="711">
        <f>BB161*(365/BB$1)/BB205*10000</f>
        <v>28.099686214799867</v>
      </c>
      <c r="BC171" s="711"/>
      <c r="BD171" s="711">
        <f>BD161*(365/BD$1)/BD205*10000</f>
        <v>28.242571063757161</v>
      </c>
      <c r="BE171" s="711">
        <f>BE161*(365/BE$1)/BE205*10000</f>
        <v>28.17509038972111</v>
      </c>
      <c r="BF171" s="711">
        <f>BF161*(365/BF$1)/BF205*10000</f>
        <v>28.208318299623553</v>
      </c>
      <c r="BG171" s="711"/>
      <c r="BH171" s="711">
        <f>BH161*(BH$2/BH$1)/BH205*10000</f>
        <v>28.939209251468771</v>
      </c>
      <c r="BI171" s="711">
        <f>BI161*(BI$2/BI$1)/BI205*10000</f>
        <v>30.010192659024057</v>
      </c>
      <c r="BJ171" s="711">
        <f>BJ161*(365/BJ$1)/BJ205*10000</f>
        <v>29.479554706706001</v>
      </c>
      <c r="BK171" s="711"/>
      <c r="BL171" s="711">
        <f>BL161*(BL$2/BL$1)/BL205*10000</f>
        <v>33.600294577925069</v>
      </c>
      <c r="BM171" s="711">
        <f>BM161*(BM$2/BM$1)/BM205*10000</f>
        <v>32.466354254063752</v>
      </c>
      <c r="BN171" s="711">
        <f>BN161*(365/BN$1)/BN205*10000</f>
        <v>32.999934627704782</v>
      </c>
      <c r="BO171" s="711"/>
      <c r="BP171" s="711">
        <f>BP161*(BP$2/BP$1)/BP205*10000</f>
        <v>30.14968206012411</v>
      </c>
      <c r="BQ171" s="711">
        <f>BQ161*(BQ$2/BQ$1)/BQ205*10000</f>
        <v>32.316025207020466</v>
      </c>
      <c r="BR171" s="711">
        <f>BR161*(365/BR$1)/BR205*10000</f>
        <v>31.26352967984505</v>
      </c>
      <c r="BS171" s="711"/>
      <c r="BT171" s="711">
        <f>BT161*(BT$2/BT$1)/BT205*10000</f>
        <v>31.795599716110718</v>
      </c>
      <c r="BU171" s="711">
        <f>BU161*(BU$2/BU$1)/BU205*10000</f>
        <v>32.066993464052288</v>
      </c>
      <c r="BV171" s="711">
        <f>BV161*(365/BV$1)/BV205*10000</f>
        <v>31.843563770116479</v>
      </c>
      <c r="BW171" s="711"/>
      <c r="BX171" s="711">
        <f>BX161*(BX$2/BX$1)/BX205*10000</f>
        <v>32.548710186103897</v>
      </c>
      <c r="BY171" s="711">
        <f>BY161*(BY$2/BY$1)/BY205*10000</f>
        <v>32.375325693558992</v>
      </c>
      <c r="BZ171" s="711">
        <f>BZ161*(365/BZ$1)/BZ205*10000</f>
        <v>32.461974735756634</v>
      </c>
      <c r="CA171" s="711"/>
      <c r="CB171" s="711">
        <f>CB161*(CB$2/CB$1)/CB205*10000</f>
        <v>32.477466694451195</v>
      </c>
      <c r="CC171" s="711">
        <f>CC161*(CC$2/CC$1)/CC205*10000</f>
        <v>32.892598611316295</v>
      </c>
      <c r="CD171" s="711">
        <f>CD161*(365/CD$1)/CD205*10000</f>
        <v>32.685392672885506</v>
      </c>
      <c r="CF171" s="711">
        <f>CF161*(CF$2/CF$1)/CF205*10000</f>
        <v>33.592579446473948</v>
      </c>
      <c r="CG171" s="711">
        <f>CG161*(CG$2/CG$1)/CG205*10000</f>
        <v>32.819505969592434</v>
      </c>
      <c r="CH171" s="711">
        <f>CH161*(365/CH$1)/CH205*10000</f>
        <v>33.194865810968494</v>
      </c>
      <c r="CJ171" s="711">
        <f>CJ161*(CJ$2/CJ$1)/CJ205*10000</f>
        <v>34.172661870503596</v>
      </c>
      <c r="CK171" s="711">
        <f>CK161*(CK$2/CK$1)/CK205*10000</f>
        <v>36.94058808312495</v>
      </c>
      <c r="CL171" s="711">
        <f>CL161*(365/CL$1)/CL205*10000</f>
        <v>35.488456082695826</v>
      </c>
      <c r="CN171" s="711">
        <f>CN161*(CN$2/CN$1)/CN205*10000</f>
        <v>33.60565658634458</v>
      </c>
      <c r="CO171" s="711">
        <f>CO161*(CO$2/CO$1)/CO205*10000</f>
        <v>36.408046344488916</v>
      </c>
      <c r="CP171" s="711">
        <f>CP161*(365/CP$1)/CP205*10000</f>
        <v>34.982596818962861</v>
      </c>
      <c r="CR171" s="711">
        <f>CR161*(CR$2/CR$1)/CR205*10000</f>
        <v>41.867263266535872</v>
      </c>
      <c r="CS171" s="711">
        <f>CS161*(CS$2/CS$1)/CS205*10000</f>
        <v>36.974049829790751</v>
      </c>
      <c r="CT171" s="711">
        <f>CT161*(365/CT$1)/CT205*10000</f>
        <v>39.21873894274998</v>
      </c>
      <c r="CV171" s="711">
        <f>CV161*(CV$2/CV$1)/CV205*10000</f>
        <v>33.808597642600297</v>
      </c>
      <c r="CW171" s="711">
        <f>CW161*(CW$2/CW$1)/CW205*10000</f>
        <v>32.903468135720544</v>
      </c>
      <c r="CX171" s="711">
        <f>CX161*(365/CX$1)/CX205*10000</f>
        <v>33.343321148199195</v>
      </c>
      <c r="CZ171" s="711">
        <f>CZ161*(CZ$2/CZ$1)/CZ205*10000</f>
        <v>31.785835310064385</v>
      </c>
      <c r="DA171" s="711">
        <f>DA161*(DA$2/DA$1)/DA205*10000</f>
        <v>32.060317980658908</v>
      </c>
      <c r="DB171" s="711">
        <f>DB161*(365/DB$1)/DB205*10000</f>
        <v>31.838124257642331</v>
      </c>
      <c r="DD171" s="711">
        <f>DD161*(DD$2/DD$1)/DD205*10000</f>
        <v>30.878691234590921</v>
      </c>
      <c r="DE171" s="711">
        <f>DE161*(DE$2/DE$1)/DE205*10000</f>
        <v>32.147500470247806</v>
      </c>
      <c r="DF171" s="711">
        <f>DF161*(365/DF$1)/DF205*10000</f>
        <v>31.511756309084543</v>
      </c>
      <c r="DH171" s="711">
        <f>DH161*(DH$2/DH$1)/DH205*10000</f>
        <v>30.756218467650392</v>
      </c>
      <c r="DI171" s="711">
        <f>DI161*(365/DI$1)/DI205*10000</f>
        <v>29.661364232055142</v>
      </c>
      <c r="DJ171" s="711">
        <f>DJ161*(365/DJ$1)/DJ205*10000</f>
        <v>30.246450220329159</v>
      </c>
      <c r="DL171" s="711">
        <f>DL161*(365/DL$1)/DL205*10000</f>
        <v>31.42169284545928</v>
      </c>
      <c r="DM171" s="711">
        <f>DM161*(365/DM$1)/DM205*10000</f>
        <v>30.925789246832419</v>
      </c>
      <c r="DN171" s="711">
        <f>DN161*(365/DN$1)/DN205*10000</f>
        <v>31.168886710353128</v>
      </c>
      <c r="DP171" s="711">
        <f>DP161*(365/DP$1)/DP205*10000</f>
        <v>30.46167498406826</v>
      </c>
      <c r="DQ171" s="711">
        <f>DQ161*(365/DQ$1)/DQ205*10000</f>
        <v>30.082742554124604</v>
      </c>
      <c r="DR171" s="711">
        <f>DR161*(365/DR$1)/DR205*10000</f>
        <v>30.269056794186938</v>
      </c>
      <c r="DU171" s="293"/>
      <c r="DV171" s="293"/>
      <c r="DW171" s="293"/>
      <c r="DZ171" s="293"/>
      <c r="EA171" s="293"/>
      <c r="ED171" s="293"/>
      <c r="EE171" s="293"/>
    </row>
    <row r="172" spans="1:273">
      <c r="A172" s="102" t="s">
        <v>689</v>
      </c>
      <c r="AN172" s="293"/>
      <c r="AO172" s="293"/>
      <c r="AR172" s="293"/>
      <c r="AS172" s="293"/>
      <c r="AV172" s="711">
        <f>AV162*(365/AV$1)/AV207*10000</f>
        <v>119.72847395881573</v>
      </c>
      <c r="AW172" s="711">
        <f>AW162*(365/AW$1)/AW207*10000</f>
        <v>124.10792499471565</v>
      </c>
      <c r="AX172" s="711">
        <f>AX162*(365/AX$1)/AX207*10000</f>
        <v>121.83735631304241</v>
      </c>
      <c r="AY172" s="711"/>
      <c r="AZ172" s="711">
        <f>AZ162*(365/AZ$1)/AZ207*10000</f>
        <v>114.17280758232562</v>
      </c>
      <c r="BA172" s="711">
        <f>BA162*(365/BA$1)/BA207*10000</f>
        <v>96.071593077581113</v>
      </c>
      <c r="BB172" s="711">
        <f>BB162*(365/BB$1)/BB207*10000</f>
        <v>108.37016968487096</v>
      </c>
      <c r="BC172" s="711"/>
      <c r="BD172" s="711">
        <f>BD162*(365/BD$1)/BD207*10000</f>
        <v>70.921644044251281</v>
      </c>
      <c r="BE172" s="711">
        <f>BE162*(365/BE$1)/BE207*10000</f>
        <v>102.59335499284904</v>
      </c>
      <c r="BF172" s="711">
        <f>BF162*(365/BF$1)/BF207*10000</f>
        <v>84.17583900279709</v>
      </c>
      <c r="BG172" s="711"/>
      <c r="BH172" s="711">
        <f>BH162*(BH$2/BH$1)/BH207*10000</f>
        <v>130.67646504616545</v>
      </c>
      <c r="BI172" s="711">
        <f>BI162*(BI$2/BI$1)/BI207*10000</f>
        <v>47.498554077501446</v>
      </c>
      <c r="BJ172" s="711">
        <f>BJ162*(365/BJ$1)/BJ207*10000</f>
        <v>83.582089552238799</v>
      </c>
      <c r="BK172" s="711"/>
      <c r="BL172" s="711">
        <f>BL162*(BL$2/BL$1)/BL207*10000</f>
        <v>79.78142076502732</v>
      </c>
      <c r="BM172" s="711">
        <f>BM162*(BM$2/BM$1)/BM207*10000</f>
        <v>51.754696915987239</v>
      </c>
      <c r="BN172" s="711">
        <f>BN162*(365/BN$1)/BN207*10000</f>
        <v>67.605633802816911</v>
      </c>
      <c r="BO172" s="711"/>
      <c r="BP172" s="711">
        <f>BP162*(BP$2/BP$1)/BP207*10000</f>
        <v>56.986729117876664</v>
      </c>
      <c r="BQ172" s="711">
        <f>BQ162*(BQ$2/BQ$1)/BQ207*10000</f>
        <v>54.695304695304692</v>
      </c>
      <c r="BR172" s="711">
        <f>BR162*(365/BR$1)/BR207*10000</f>
        <v>55.813953488372093</v>
      </c>
      <c r="BS172" s="711"/>
      <c r="BT172" s="711">
        <f>BT162*(BT$2/BT$1)/BT207*10000</f>
        <v>55.813953488372093</v>
      </c>
      <c r="BU172" s="711">
        <f>BU162*(BU$2/BU$1)/BU207*10000</f>
        <v>43.243243243243242</v>
      </c>
      <c r="BV172" s="711">
        <f>BV162*(365/BV$1)/BV207*10000</f>
        <v>49.863387978142079</v>
      </c>
      <c r="BW172" s="711"/>
      <c r="BX172" s="711">
        <f>BX162*(BX$2/BX$1)/BX207*10000</f>
        <v>0</v>
      </c>
      <c r="BY172" s="711">
        <f>BY162*(BY$2/BY$1)/BY207*10000</f>
        <v>0</v>
      </c>
      <c r="BZ172" s="711">
        <f>BZ162*(365/BZ$1)/BZ207*10000</f>
        <v>0</v>
      </c>
      <c r="CA172" s="711"/>
      <c r="CB172" s="711">
        <f>CB162*(CB$2/CB$1)/CB207*10000</f>
        <v>340.24429443908713</v>
      </c>
      <c r="CC172" s="711">
        <f>CC162*(CC$2/CC$1)/CC207*10000</f>
        <v>-85.081585081585089</v>
      </c>
      <c r="CD172" s="711">
        <f>CD162*(365/CD$1)/CD207*10000</f>
        <v>131.34328358208955</v>
      </c>
      <c r="CF172" s="711">
        <f>CF162*(CF$2/CF$1)/CF207*10000</f>
        <v>357.99355471486621</v>
      </c>
      <c r="CG172" s="711">
        <f>CG162*(CG$2/CG$1)/CG207*10000</f>
        <v>-77.991452991452988</v>
      </c>
      <c r="CH172" s="711">
        <f>CH162*(365/CH$1)/CH207*10000</f>
        <v>149.33333333333334</v>
      </c>
      <c r="CJ172" s="711">
        <f>CJ162*(CJ$2/CJ$1)/CJ207*10000</f>
        <v>0</v>
      </c>
      <c r="CK172" s="711">
        <f>CK162*(CK$2/CK$1)/CK207*10000</f>
        <v>0</v>
      </c>
      <c r="CL172" s="711">
        <f>CL162*(365/CL$1)/CL207*10000</f>
        <v>0</v>
      </c>
      <c r="CN172" s="711">
        <f>CN162*(CN$2/CN$1)/CN207*10000</f>
        <v>0</v>
      </c>
      <c r="CO172" s="711">
        <f>CO162*(CO$2/CO$1)/CO207*10000</f>
        <v>0</v>
      </c>
      <c r="CP172" s="711">
        <f>CP162*(365/CP$1)/CP207*10000</f>
        <v>0</v>
      </c>
      <c r="CR172" s="711">
        <f>CR162*(CR$2/CR$1)/CR207*10000</f>
        <v>0</v>
      </c>
      <c r="CS172" s="711">
        <f>CS162*(CS$2/CS$1)/CS207*10000</f>
        <v>0</v>
      </c>
      <c r="CT172" s="711">
        <f>CT162*(365/CT$1)/CT207*10000</f>
        <v>0</v>
      </c>
      <c r="CV172" s="711"/>
      <c r="CW172" s="711"/>
      <c r="CX172" s="711"/>
      <c r="CZ172" s="711"/>
      <c r="DA172" s="711"/>
      <c r="DB172" s="711"/>
      <c r="DD172" s="711"/>
      <c r="DE172" s="711"/>
      <c r="DF172" s="711"/>
      <c r="DH172" s="711"/>
      <c r="DI172" s="885"/>
      <c r="DJ172" s="711"/>
      <c r="DL172" s="885"/>
      <c r="DM172" s="885"/>
      <c r="DN172" s="711"/>
      <c r="DP172" s="885"/>
      <c r="DQ172" s="885"/>
      <c r="DR172" s="711"/>
      <c r="DU172" s="638"/>
      <c r="DV172" s="638"/>
      <c r="DW172" s="638"/>
      <c r="DZ172" s="638"/>
      <c r="EA172" s="638"/>
      <c r="ED172" s="638"/>
      <c r="EE172" s="638"/>
    </row>
    <row r="173" spans="1:273">
      <c r="A173" s="102" t="s">
        <v>688</v>
      </c>
      <c r="AN173" s="293"/>
      <c r="AO173" s="293"/>
      <c r="AR173" s="293"/>
      <c r="AS173" s="293"/>
      <c r="AV173" s="711"/>
      <c r="AW173" s="711"/>
      <c r="AX173" s="711"/>
      <c r="AY173" s="711"/>
      <c r="AZ173" s="711"/>
      <c r="BA173" s="711"/>
      <c r="BB173" s="711"/>
      <c r="BC173" s="711"/>
      <c r="BD173" s="711"/>
      <c r="BE173" s="711"/>
      <c r="BF173" s="711"/>
      <c r="BG173" s="711"/>
      <c r="BH173" s="711"/>
      <c r="BI173" s="711"/>
      <c r="BJ173" s="711"/>
      <c r="BK173" s="711"/>
      <c r="BL173" s="711"/>
      <c r="BM173" s="711"/>
      <c r="BN173" s="711"/>
      <c r="BO173" s="711"/>
      <c r="BP173" s="711"/>
      <c r="BQ173" s="711"/>
      <c r="BR173" s="711"/>
      <c r="BS173" s="711"/>
      <c r="BT173" s="711"/>
      <c r="BU173" s="711"/>
      <c r="BV173" s="711"/>
      <c r="BW173" s="711"/>
      <c r="BX173" s="711"/>
      <c r="BY173" s="711"/>
      <c r="BZ173" s="711"/>
      <c r="CA173" s="711"/>
      <c r="CB173" s="711"/>
      <c r="CC173" s="711"/>
      <c r="CD173" s="711"/>
      <c r="CF173" s="711"/>
      <c r="CG173" s="711"/>
      <c r="CH173" s="711"/>
      <c r="CJ173" s="711"/>
      <c r="CK173" s="711"/>
      <c r="CL173" s="711"/>
      <c r="CN173" s="711"/>
      <c r="CO173" s="711"/>
      <c r="CP173" s="711"/>
      <c r="CQ173" s="1609"/>
      <c r="CR173" s="711"/>
      <c r="CS173" s="711"/>
      <c r="CT173" s="711"/>
      <c r="CV173" s="711"/>
      <c r="CW173" s="711"/>
      <c r="CX173" s="711"/>
      <c r="CZ173" s="711"/>
      <c r="DA173" s="711"/>
      <c r="DB173" s="711"/>
      <c r="DD173" s="711"/>
      <c r="DE173" s="711"/>
      <c r="DF173" s="711"/>
      <c r="DH173" s="711"/>
      <c r="DI173" s="885"/>
      <c r="DJ173" s="711"/>
      <c r="DL173" s="885"/>
      <c r="DM173" s="885"/>
      <c r="DN173" s="711"/>
      <c r="DP173" s="885"/>
      <c r="DQ173" s="885"/>
      <c r="DR173" s="711"/>
      <c r="DU173" s="638"/>
      <c r="DV173" s="638"/>
      <c r="DW173" s="638"/>
      <c r="DZ173" s="638"/>
      <c r="EA173" s="638"/>
      <c r="ED173" s="638"/>
      <c r="EE173" s="638"/>
    </row>
    <row r="174" spans="1:273" s="1182" customFormat="1" ht="15.6">
      <c r="A174" s="1360" t="s">
        <v>588</v>
      </c>
      <c r="B174" s="1361"/>
      <c r="AN174" s="1362"/>
      <c r="AO174" s="1362"/>
      <c r="AP174" s="1361"/>
      <c r="AQ174" s="1361"/>
      <c r="AR174" s="1362"/>
      <c r="AS174" s="1362"/>
      <c r="AT174" s="1361"/>
      <c r="AU174" s="1361"/>
      <c r="AV174" s="1363">
        <f>AV165*(AV$2/AV$1)/AV208*10000</f>
        <v>42.873420034215293</v>
      </c>
      <c r="AW174" s="1363">
        <f>AW165*(AW$2/AW$1)/AW208*10000</f>
        <v>36.564218552940311</v>
      </c>
      <c r="AX174" s="1363">
        <f>AX165*(AX$2/AX$1)/AX208*10000</f>
        <v>39.312915523931636</v>
      </c>
      <c r="AY174" s="1364"/>
      <c r="AZ174" s="1363">
        <f>AZ165*(AZ$2/AZ$1)/AZ208*10000</f>
        <v>30.805124094802771</v>
      </c>
      <c r="BA174" s="1363">
        <f>BA165*(BA$2/BA$1)/BA208*10000</f>
        <v>29.040200603277704</v>
      </c>
      <c r="BB174" s="1363">
        <f>BB165*(BB$2/BB$1)/BB208*10000</f>
        <v>29.936652467764919</v>
      </c>
      <c r="BC174" s="1364"/>
      <c r="BD174" s="1363">
        <f>BD165*(BD$2/BD$1)/BD208*10000</f>
        <v>28.997060662914322</v>
      </c>
      <c r="BE174" s="1363">
        <f>BE165*(BE$2/BE$1)/BE208*10000</f>
        <v>29.003654399522294</v>
      </c>
      <c r="BF174" s="1363">
        <f>BF165*(BF$2/BF$1)/BF208*10000</f>
        <v>29.000400441643155</v>
      </c>
      <c r="BG174" s="1364"/>
      <c r="BH174" s="1363">
        <f>BH165*(BH$2/BH$1)/BH208*10000</f>
        <v>29.883054671392379</v>
      </c>
      <c r="BI174" s="1363">
        <f>BI165*(BI$2/BI$1)/BI208*10000</f>
        <v>30.261713863981633</v>
      </c>
      <c r="BJ174" s="1363">
        <f>BJ165*(BJ$2/BJ$1)/BJ208*10000</f>
        <v>30.073479337763686</v>
      </c>
      <c r="BK174" s="1364"/>
      <c r="BL174" s="1363">
        <f>BL165*(BL$2/BL$1)/BL208*10000</f>
        <v>34.213829718954628</v>
      </c>
      <c r="BM174" s="1363">
        <f>BM165*(BM$2/BM$1)/BM208*10000</f>
        <v>32.61368420910123</v>
      </c>
      <c r="BN174" s="1363">
        <f>BN165*(BN$2/BN$1)/BN208*10000</f>
        <v>33.3700369194896</v>
      </c>
      <c r="BO174" s="1364"/>
      <c r="BP174" s="1363">
        <f>BP165*(BP$2/BP$1)/BP208*10000</f>
        <v>30.422341603465771</v>
      </c>
      <c r="BQ174" s="1363">
        <f>BQ165*(BQ$2/BQ$1)/BQ208*10000</f>
        <v>32.468025557857736</v>
      </c>
      <c r="BR174" s="1363">
        <f>BR165*(BR$2/BR$1)/BR208*10000</f>
        <v>31.47392290249433</v>
      </c>
      <c r="BS174" s="1364"/>
      <c r="BT174" s="1363">
        <f>BT165*(BT$2/BT$1)/BT208*10000</f>
        <v>31.940238239450839</v>
      </c>
      <c r="BU174" s="1363">
        <f>BU165*(BU$2/BU$1)/BU208*10000</f>
        <v>32.190456811476245</v>
      </c>
      <c r="BV174" s="1363">
        <f>BV165*(BV$2/BV$1)/BV208*10000</f>
        <v>32.064859386876108</v>
      </c>
      <c r="BW174" s="1364"/>
      <c r="BX174" s="1363">
        <f>BX165*(BX$2/BX$1)/BX208*10000</f>
        <v>32.595681839781662</v>
      </c>
      <c r="BY174" s="1363">
        <f>BY165*(BY$2/BY$1)/BY208*10000</f>
        <v>32.341376309369743</v>
      </c>
      <c r="BZ174" s="1363">
        <f>BZ165*(BZ$2/BZ$1)/BZ208*10000</f>
        <v>32.468533264834321</v>
      </c>
      <c r="CA174" s="1364"/>
      <c r="CB174" s="1363">
        <f>CB165*(CB$2/CB$1)/CB208*10000</f>
        <v>33.572836959636746</v>
      </c>
      <c r="CC174" s="1363">
        <f>CC165*(CC$2/CC$1)/CC208*10000</f>
        <v>32.491367233199654</v>
      </c>
      <c r="CD174" s="1363">
        <f>CD165*(CD$2/CD$1)/CD208*10000</f>
        <v>33.028666389696717</v>
      </c>
      <c r="CE174" s="1611"/>
      <c r="CF174" s="1363">
        <f>CF165*(CF$2/CF$1)/CF208*10000</f>
        <v>34.229024180471299</v>
      </c>
      <c r="CG174" s="1363">
        <f>CG165*(CG$2/CG$1)/CG208*10000</f>
        <v>33.330907503092931</v>
      </c>
      <c r="CH174" s="1363">
        <f>CH165*(CH$2/CH$1)/CH208*10000</f>
        <v>33.767441860465119</v>
      </c>
      <c r="CI174" s="1611"/>
      <c r="CJ174" s="1363">
        <f>CJ165*(CJ$2/CJ$1)/CJ208*10000</f>
        <v>34.699919260787659</v>
      </c>
      <c r="CK174" s="1363">
        <f>CK165*(CK$2/CK$1)/CK208*10000</f>
        <v>37.374171900542024</v>
      </c>
      <c r="CL174" s="1363">
        <f>CL165*(CL$2/CL$1)/CL208*10000</f>
        <v>36.06499780412824</v>
      </c>
      <c r="CM174" s="1611"/>
      <c r="CN174" s="1363">
        <f>CN165*(CN$2/CN$1)/CN208*10000</f>
        <v>34.013460636059513</v>
      </c>
      <c r="CO174" s="1363">
        <f>CO165*(CO$2/CO$1)/CO208*10000</f>
        <v>36.750086848318674</v>
      </c>
      <c r="CP174" s="1363">
        <f>CP165*(CP$2/CP$1)/CP208*10000</f>
        <v>35.358241758241761</v>
      </c>
      <c r="CQ174" s="1610"/>
      <c r="CR174" s="1363">
        <f>CR165*(CR$2/CR$1)/CR208*10000</f>
        <v>42.145202664801054</v>
      </c>
      <c r="CS174" s="1363">
        <f>CS165*(CS$2/CS$1)/CS208*10000</f>
        <v>37.278603749191987</v>
      </c>
      <c r="CT174" s="1363">
        <f>CT165*(CT$2/CT$1)/CT208*10000</f>
        <v>39.512453630100687</v>
      </c>
      <c r="CU174" s="1361"/>
      <c r="CV174" s="1363">
        <f>CV165*(CV$2/CV$1)/CV208*10000</f>
        <v>34.078477594754588</v>
      </c>
      <c r="CW174" s="1363">
        <f>CW165*(CW$2/CW$1)/CW208*10000</f>
        <v>33.161258840487591</v>
      </c>
      <c r="CX174" s="1363">
        <f>CX165*(CX$2/CX$1)/CX208*10000</f>
        <v>33.606999460658002</v>
      </c>
      <c r="CY174" s="1361"/>
      <c r="CZ174" s="1363">
        <f>CZ165*(CZ$2/CZ$1)/CZ208*10000</f>
        <v>32.011747430249635</v>
      </c>
      <c r="DA174" s="1363">
        <f>DA165*(DA$2/DA$1)/DA208*10000</f>
        <v>32.300715729661803</v>
      </c>
      <c r="DB174" s="1363">
        <f>DB165*(DB$2/DB$1)/DB208*10000</f>
        <v>32.158627009914191</v>
      </c>
      <c r="DC174" s="1361"/>
      <c r="DD174" s="1363">
        <f>DD165*(DD$2/DD$1)/DD208*10000</f>
        <v>31.13673043710839</v>
      </c>
      <c r="DE174" s="1363">
        <f ca="1">DE165*(DE$2/DE$1)/DE208*10000</f>
        <v>32.384990399846679</v>
      </c>
      <c r="DF174" s="1363">
        <f ca="1">DF165*(DF$2/DF$1)/DF208*10000</f>
        <v>31.759541059549139</v>
      </c>
      <c r="DG174" s="1361"/>
      <c r="DH174" s="1363">
        <f>DH165*(DH$2/DH$1)/DH208*10000</f>
        <v>31.008146537009985</v>
      </c>
      <c r="DI174" s="1363">
        <f>DI165*(DI$2/DI$1)/DI208*10000</f>
        <v>29.951198075475428</v>
      </c>
      <c r="DJ174" s="1363">
        <f>DJ165*(DJ$2/DJ$1)/DJ208*10000</f>
        <v>30.516234355458288</v>
      </c>
      <c r="DK174" s="1361"/>
      <c r="DL174" s="1363">
        <f>DL165*(DL$2/DL$1)/DL208*10000</f>
        <v>31.755211290647381</v>
      </c>
      <c r="DM174" s="1363">
        <f>DM165*(DM$2/DM$1)/DM208*10000</f>
        <v>31.256676557854259</v>
      </c>
      <c r="DN174" s="1363">
        <f>DN165*(DN$2/DN$1)/DN208*10000</f>
        <v>31.501056246659044</v>
      </c>
      <c r="DO174" s="1361"/>
      <c r="DP174" s="1363">
        <f>DP165*(DP$2/DP$1)/DP208*10000</f>
        <v>30.870724467161271</v>
      </c>
      <c r="DQ174" s="1363">
        <f>DQ165*(DQ$2/DQ$1)/DQ208*10000</f>
        <v>30.486396700986798</v>
      </c>
      <c r="DR174" s="1363">
        <f>DR165*(DR$2/DR$1)/DR208*10000</f>
        <v>30.675363730544813</v>
      </c>
      <c r="DS174" s="1361"/>
      <c r="DT174" s="1361"/>
      <c r="DU174" s="1365"/>
      <c r="DV174" s="1365"/>
      <c r="DW174" s="1365"/>
      <c r="DX174" s="1361"/>
      <c r="DY174" s="1361"/>
      <c r="DZ174" s="1365"/>
      <c r="EA174" s="1365"/>
      <c r="EB174" s="1361"/>
      <c r="EC174" s="1361"/>
      <c r="ED174" s="1365"/>
      <c r="EE174" s="1365"/>
      <c r="EF174" s="1361"/>
      <c r="EG174" s="1361"/>
      <c r="EH174" s="1361"/>
      <c r="EI174" s="1361"/>
      <c r="EJ174" s="1361"/>
      <c r="EK174" s="1361"/>
      <c r="EL174" s="1361"/>
      <c r="EM174" s="1361"/>
      <c r="EN174" s="1361"/>
      <c r="EO174" s="1361"/>
      <c r="EP174" s="1361"/>
      <c r="JM174"/>
    </row>
    <row r="175" spans="1:273" s="1182" customFormat="1" ht="15.6">
      <c r="A175" s="1182" t="s">
        <v>1080</v>
      </c>
      <c r="B175" s="1361"/>
      <c r="AN175" s="1362"/>
      <c r="AO175" s="1362"/>
      <c r="AP175" s="1361"/>
      <c r="AQ175" s="1361"/>
      <c r="AR175" s="1362"/>
      <c r="AS175" s="1362"/>
      <c r="AT175" s="1361"/>
      <c r="AU175" s="1361"/>
      <c r="AV175" s="1364"/>
      <c r="AW175" s="1364">
        <f>AW159/AW378*(AW$2/AW$1)*10000</f>
        <v>109.47837304503393</v>
      </c>
      <c r="AX175" s="1364">
        <f>AX159/AX378*(AX$2/AX$1)*10000</f>
        <v>117.80870715757868</v>
      </c>
      <c r="AY175" s="1364"/>
      <c r="AZ175" s="1364">
        <f>AZ159/AZ378*(AZ$2/AZ$1)*10000</f>
        <v>101.12492582858266</v>
      </c>
      <c r="BA175" s="1364">
        <f>BA159/BA378*(BA$2/BA$1)*10000</f>
        <v>102.20612034297112</v>
      </c>
      <c r="BB175" s="1364">
        <f>BB159/BB378*(BB$2/BB$1)*10000</f>
        <v>101.65515443763847</v>
      </c>
      <c r="BC175" s="1364"/>
      <c r="BD175" s="1364">
        <f>BD159/BD378*(BD$2/BD$1)*10000</f>
        <v>106.44768856447688</v>
      </c>
      <c r="BE175" s="1364">
        <f>BE159/BE378*(BE$2/BE$1)*10000</f>
        <v>105.10155880963629</v>
      </c>
      <c r="BF175" s="1364">
        <f>BF159/BF378*(BF$2/BF$1)*10000</f>
        <v>105.76462128475552</v>
      </c>
      <c r="BG175" s="1364"/>
      <c r="BH175" s="1364">
        <f>BH159/BH378*(BH$2/BH$1)*10000</f>
        <v>109.56293237170728</v>
      </c>
      <c r="BI175" s="1364">
        <f>BI159/BI378*(BI$2/BI$1)*10000</f>
        <v>110.27362950439873</v>
      </c>
      <c r="BJ175" s="1364">
        <f>BJ159/BJ378*(BJ$2/BJ$1)*10000</f>
        <v>109.91770521678613</v>
      </c>
      <c r="BK175" s="1364"/>
      <c r="BL175" s="1364">
        <f>BL159/BL378*(BL$2/BL$1)*10000</f>
        <v>127.11288541578188</v>
      </c>
      <c r="BM175" s="1364">
        <f>BM159/BM378*(BM$2/BM$1)*10000</f>
        <v>114.66600529100529</v>
      </c>
      <c r="BN175" s="1364">
        <f>BN159/BN378*(BN$2/BN$1)*10000</f>
        <v>120.53789731051344</v>
      </c>
      <c r="BO175" s="1364"/>
      <c r="BP175" s="1364">
        <f>BP159/BP378*(BP$2/BP$1)*10000</f>
        <v>105.69333520153194</v>
      </c>
      <c r="BQ175" s="1364">
        <f>BQ159/BQ378*(BQ$2/BQ$1)*10000</f>
        <v>103.58256258350509</v>
      </c>
      <c r="BR175" s="1364">
        <f>BR159/BR378*(BR$2/BR$1)*10000</f>
        <v>104.55683525287931</v>
      </c>
      <c r="BS175" s="1364"/>
      <c r="BT175" s="1364">
        <f>BT159/BT378*(BT$2/BT$1)*10000</f>
        <v>102.10614995787701</v>
      </c>
      <c r="BU175" s="1364">
        <f>BU159/BU378*(BU$2/BU$1)*10000</f>
        <v>104.66666666666667</v>
      </c>
      <c r="BV175" s="1364">
        <f>BV159/BV378*(BV$2/BV$1)*10000</f>
        <v>103.39338081273566</v>
      </c>
      <c r="BW175" s="1364"/>
      <c r="BX175" s="1364">
        <f>BX159/BX378*(BX$2/BX$1)*10000</f>
        <v>109.86848198573676</v>
      </c>
      <c r="BY175" s="1364">
        <f>BY159/BY378*(BY$2/BY$1)*10000</f>
        <v>100.66919704999958</v>
      </c>
      <c r="BZ175" s="1364">
        <f>BZ159/BZ378*(BZ$2/BZ$1)*10000</f>
        <v>105.0999592003264</v>
      </c>
      <c r="CA175" s="1364"/>
      <c r="CB175" s="1364">
        <f>CB159/CB378*(CB$2/CB$1)*10000</f>
        <v>95.891130727196298</v>
      </c>
      <c r="CC175" s="1364">
        <f>CC159/CC378*(CC$2/CC$1)*10000</f>
        <v>93.379042161277127</v>
      </c>
      <c r="CD175" s="1364">
        <f>CD159/CD378*(CD$2/CD$1)*10000</f>
        <v>94.614264919941789</v>
      </c>
      <c r="CE175" s="1636"/>
      <c r="CF175" s="1364">
        <f>CF159/CF378*(CF$2/CF$1)*10000</f>
        <v>89.812418112676966</v>
      </c>
      <c r="CG175" s="1364">
        <f>CG159/CG378*(CG$2/CG$1)*10000</f>
        <v>82.801109781307801</v>
      </c>
      <c r="CH175" s="1364">
        <f>CH159/CH378*(CH$2/CH$1)*10000</f>
        <v>86.00536193029491</v>
      </c>
      <c r="CI175" s="1636"/>
      <c r="CJ175" s="1364">
        <f>CJ159/CJ378*(CJ$2/CJ$1)*10000</f>
        <v>80.628756356911708</v>
      </c>
      <c r="CK175" s="1364">
        <f>CK159/CK378*(CK$2/CK$1)*10000</f>
        <v>83.662326753464939</v>
      </c>
      <c r="CL175" s="1364">
        <f>CL159/CL378*(CL$2/CL$1)*10000</f>
        <v>82.218309859154928</v>
      </c>
      <c r="CM175" s="1636"/>
      <c r="CN175" s="1364">
        <f>CN159/CN378*(CN$2/CN$1)*10000</f>
        <v>78.318151688886758</v>
      </c>
      <c r="CO175" s="1364">
        <f>CO159/CO378*(CO$2/CO$1)*10000</f>
        <v>85.572460901697056</v>
      </c>
      <c r="CP175" s="1364">
        <f>CP159/CP378*(CP$2/CP$1)*10000</f>
        <v>81.847338037203329</v>
      </c>
      <c r="CQ175" s="1610"/>
      <c r="CR175" s="1364">
        <f>CR159/CR378*(CR$2/CR$1)*10000</f>
        <v>86.840270750410397</v>
      </c>
      <c r="CS175" s="1364">
        <f>CS159/CS378*(CS$2/CS$1)*10000</f>
        <v>83.258182589783047</v>
      </c>
      <c r="CT175" s="1364">
        <f>CT159/CT378*(CT$2/CT$1)*10000</f>
        <v>84.950224477845012</v>
      </c>
      <c r="CU175" s="1361"/>
      <c r="CV175" s="1364">
        <f>CV159/CV378*(CV$2/CV$1)*10000</f>
        <v>79.431973841191279</v>
      </c>
      <c r="CW175" s="1364">
        <f>CW159/CW378*(CW$2/CW$1)*10000</f>
        <v>80.609433068449462</v>
      </c>
      <c r="CX175" s="1364">
        <f>CX159/CX378*(CX$2/CX$1)*10000</f>
        <v>80.038326413286484</v>
      </c>
      <c r="CY175" s="1361"/>
      <c r="CZ175" s="1364">
        <f>CZ159/CZ378*(CZ$2/CZ$1)*10000</f>
        <v>77.061035579982644</v>
      </c>
      <c r="DA175" s="1364">
        <f>DA159/DA378*(DA$2/DA$1)*10000</f>
        <v>81.69170840289371</v>
      </c>
      <c r="DB175" s="1364">
        <f>DB159/DB378*(DB$2/DB$1)*10000</f>
        <v>79.421358672528712</v>
      </c>
      <c r="DC175" s="1361"/>
      <c r="DD175" s="1364">
        <f>DD159/DD378*(DD$2/DD$1)*10000</f>
        <v>77.002856164949435</v>
      </c>
      <c r="DE175" s="1364">
        <f>DE159/DE378*(DE$2/DE$1)*10000</f>
        <v>78.740100479230918</v>
      </c>
      <c r="DF175" s="1364">
        <f>DF159/DF378*(DF$2/DF$1)*10000</f>
        <v>77.877050273369775</v>
      </c>
      <c r="DG175" s="1361"/>
      <c r="DH175" s="1364">
        <f>DH159/DH378*(DH$2/DH$1)*10000</f>
        <v>75.660020452020078</v>
      </c>
      <c r="DI175" s="1972">
        <f>DH175-0.5</f>
        <v>75.160020452020078</v>
      </c>
      <c r="DJ175" s="1364">
        <f>DJ159/DJ378*(DJ$2/DJ$1)*10000</f>
        <v>75.400577810407171</v>
      </c>
      <c r="DK175" s="1361"/>
      <c r="DL175" s="1972">
        <f>DI175-1</f>
        <v>74.160020452020078</v>
      </c>
      <c r="DM175" s="1972">
        <f>DL175-1</f>
        <v>73.160020452020078</v>
      </c>
      <c r="DN175" s="1364">
        <f>DN159/DN378*(DN$2/DN$1)*10000</f>
        <v>73.651243095430615</v>
      </c>
      <c r="DO175" s="1361"/>
      <c r="DP175" s="1972">
        <f>DM175-1</f>
        <v>72.160020452020078</v>
      </c>
      <c r="DQ175" s="1972">
        <f>DP175-1</f>
        <v>71.160020452020078</v>
      </c>
      <c r="DR175" s="1364">
        <f>DR159/DR378*(DR$2/DR$1)*10000</f>
        <v>71.65141129057281</v>
      </c>
      <c r="DS175" s="1361"/>
      <c r="DT175" s="1361"/>
      <c r="DU175" s="1361"/>
      <c r="DV175" s="1361"/>
      <c r="DW175" s="1361"/>
      <c r="DX175" s="1361"/>
      <c r="DY175" s="1361"/>
      <c r="DZ175" s="1361"/>
      <c r="EA175" s="1361"/>
      <c r="EB175" s="1361"/>
      <c r="EC175" s="1361"/>
      <c r="ED175" s="1361"/>
      <c r="EE175" s="1361"/>
      <c r="EF175" s="1361"/>
      <c r="EG175" s="1361"/>
      <c r="EH175" s="1361"/>
      <c r="EI175" s="1361"/>
      <c r="EJ175" s="1361"/>
      <c r="EK175" s="1361"/>
      <c r="EL175" s="1361"/>
      <c r="EM175" s="1361"/>
      <c r="EN175" s="1361"/>
      <c r="EO175" s="1361"/>
      <c r="EP175" s="1361"/>
      <c r="JM175"/>
    </row>
    <row r="176" spans="1:273" s="1182" customFormat="1" ht="15.6">
      <c r="A176" s="1182" t="s">
        <v>1081</v>
      </c>
      <c r="B176" s="1361"/>
      <c r="AN176" s="1362"/>
      <c r="AO176" s="1362"/>
      <c r="AP176" s="1361"/>
      <c r="AQ176" s="1361"/>
      <c r="AR176" s="1362"/>
      <c r="AS176" s="1362"/>
      <c r="AT176" s="1361"/>
      <c r="AU176" s="1361"/>
      <c r="AV176" s="1364"/>
      <c r="AW176" s="1364">
        <f>AW159/AW376*(AW$2/AW$1)*10000</f>
        <v>99.593415771380151</v>
      </c>
      <c r="AX176" s="1364">
        <f>AX159/AX376*(AX$2/AX$1)*10000</f>
        <v>104.51231349179477</v>
      </c>
      <c r="AY176" s="1364"/>
      <c r="AZ176" s="1364">
        <f>AZ159/AZ376*(AZ$2/AZ$1)*10000</f>
        <v>94.506715784695771</v>
      </c>
      <c r="BA176" s="1364">
        <f>BA159/BA376*(BA$2/BA$1)*10000</f>
        <v>91.877401046706453</v>
      </c>
      <c r="BB176" s="1364">
        <f>BB159/BB376*(BB$2/BB$1)*10000</f>
        <v>93.218425909941971</v>
      </c>
      <c r="BC176" s="1364"/>
      <c r="BD176" s="1364">
        <f>BD159/BD376*(BD$2/BD$1)*10000</f>
        <v>94.263398868839204</v>
      </c>
      <c r="BE176" s="1364">
        <f>BE159/BE376*(BE$2/BE$1)*10000</f>
        <v>94.000844951415303</v>
      </c>
      <c r="BF176" s="1364">
        <f>BF159/BF376*(BF$2/BF$1)*10000</f>
        <v>94.130823178048587</v>
      </c>
      <c r="BG176" s="1364"/>
      <c r="BH176" s="1364">
        <f>BH159/BH376*(BH$2/BH$1)*10000</f>
        <v>97.952039658782269</v>
      </c>
      <c r="BI176" s="1364">
        <f>BI159/BI376*(BI$2/BI$1)*10000</f>
        <v>96.164084362842118</v>
      </c>
      <c r="BJ176" s="1364">
        <f>BJ159/BJ376*(BJ$2/BJ$1)*10000</f>
        <v>97.037567220051059</v>
      </c>
      <c r="BK176" s="1364"/>
      <c r="BL176" s="1364">
        <f>BL159/BL376*(BL$2/BL$1)*10000</f>
        <v>108.31252487967286</v>
      </c>
      <c r="BM176" s="1364">
        <f>BM159/BM376*(BM$2/BM$1)*10000</f>
        <v>97.033720442143562</v>
      </c>
      <c r="BN176" s="1364">
        <f>BN159/BN376*(BN$2/BN$1)*10000</f>
        <v>102.33523611831862</v>
      </c>
      <c r="BO176" s="1364"/>
      <c r="BP176" s="1364">
        <f>BP159/BP376*(BP$2/BP$1)*10000</f>
        <v>89.12519076453502</v>
      </c>
      <c r="BQ176" s="1364">
        <f>BQ159/BQ376*(BQ$2/BQ$1)*10000</f>
        <v>88.132396873375214</v>
      </c>
      <c r="BR176" s="1364">
        <f>BR159/BR376*(BR$2/BR$1)*10000</f>
        <v>88.58718710224862</v>
      </c>
      <c r="BS176" s="1364"/>
      <c r="BT176" s="1364">
        <f>BT159/BT376*(BT$2/BT$1)*10000</f>
        <v>87.953555878084174</v>
      </c>
      <c r="BU176" s="1364">
        <f>BU159/BU376*(BU$2/BU$1)*10000</f>
        <v>90.948587979724834</v>
      </c>
      <c r="BV176" s="1364">
        <f>BV159/BV376*(BV$2/BV$1)*10000</f>
        <v>89.452700253715122</v>
      </c>
      <c r="BW176" s="1364"/>
      <c r="BX176" s="1364">
        <f>BX159/BX376*(BX$2/BX$1)*10000</f>
        <v>93.606360103371415</v>
      </c>
      <c r="BY176" s="1364">
        <f>BY159/BY376*(BY$2/BY$1)*10000</f>
        <v>85.757740918598827</v>
      </c>
      <c r="BZ176" s="1364">
        <f>BZ159/BZ376*(BZ$2/BZ$1)*10000</f>
        <v>89.537712895377126</v>
      </c>
      <c r="CA176" s="1364"/>
      <c r="CB176" s="1364">
        <f>CB159/CB376*(CB$2/CB$1)*10000</f>
        <v>82.734402516381238</v>
      </c>
      <c r="CC176" s="1364">
        <f>CC159/CC376*(CC$2/CC$1)*10000</f>
        <v>78.670575049573245</v>
      </c>
      <c r="CD176" s="1364">
        <f>CD159/CD376*(CD$2/CD$1)*10000</f>
        <v>80.645161290322577</v>
      </c>
      <c r="CE176" s="1636"/>
      <c r="CF176" s="1364">
        <f>CF159/CF376*(CF$2/CF$1)*10000</f>
        <v>76.104675407669774</v>
      </c>
      <c r="CG176" s="1364">
        <f>CG159/CG376*(CG$2/CG$1)*10000</f>
        <v>68.68921632782002</v>
      </c>
      <c r="CH176" s="1364">
        <f>CH159/CH376*(CH$2/CH$1)*10000</f>
        <v>72.041320458118122</v>
      </c>
      <c r="CI176" s="1636"/>
      <c r="CJ176" s="1364">
        <f>CJ159/CJ376*(CJ$2/CJ$1)*10000</f>
        <v>66.488753335874961</v>
      </c>
      <c r="CK176" s="1364">
        <f>CK159/CK376*(CK$2/CK$1)*10000</f>
        <v>70.215015861825876</v>
      </c>
      <c r="CL176" s="1364">
        <f>CL159/CL376*(CL$2/CL$1)*10000</f>
        <v>68.424908424908423</v>
      </c>
      <c r="CM176" s="1636"/>
      <c r="CN176" s="1364">
        <f>CN159/CN376*(CN$2/CN$1)*10000</f>
        <v>64.989708025471927</v>
      </c>
      <c r="CO176" s="1364">
        <f>CO159/CO376*(CO$2/CO$1)*10000</f>
        <v>69.174615306623821</v>
      </c>
      <c r="CP176" s="1364">
        <f>CP159/CP376*(CP$2/CP$1)*10000</f>
        <v>67.052023121387279</v>
      </c>
      <c r="CQ176" s="1611"/>
      <c r="CR176" s="1364">
        <f>CR159/CR376*(CR$2/CR$1)*10000</f>
        <v>70.153543192652023</v>
      </c>
      <c r="CS176" s="1364">
        <f>CS159/CS376*(CS$2/CS$1)*10000</f>
        <v>70.707753299995488</v>
      </c>
      <c r="CT176" s="1364">
        <f>CT159/CT376*(CT$2/CT$1)*10000</f>
        <v>70.432108755462053</v>
      </c>
      <c r="CU176" s="1361"/>
      <c r="CV176" s="1364">
        <f>CV159/CV376*(CV$2/CV$1)*10000</f>
        <v>67.97984381795149</v>
      </c>
      <c r="CW176" s="1364">
        <f>CW159/CW376*(CW$2/CW$1)*10000</f>
        <v>67.341484282899444</v>
      </c>
      <c r="CX176" s="1364">
        <f>CX159/CX376*(CX$2/CX$1)*10000</f>
        <v>67.629199838078534</v>
      </c>
      <c r="CY176" s="1361"/>
      <c r="CZ176" s="1364">
        <f>CZ159/CZ376*(CZ$2/CZ$1)*10000</f>
        <v>64.069264069264065</v>
      </c>
      <c r="DA176" s="1364">
        <f>DA159/DA376*(DA$2/DA$1)*10000</f>
        <v>67.915799213509132</v>
      </c>
      <c r="DB176" s="1364">
        <f>DB159/DB376*(DB$2/DB$1)*10000</f>
        <v>66.029949298431788</v>
      </c>
      <c r="DC176" s="1361"/>
      <c r="DD176" s="1364">
        <f>DD159/DD376*(DD$2/DD$1)*10000</f>
        <v>64.851882499993778</v>
      </c>
      <c r="DE176" s="1364">
        <f>DE159/DE376*(DE$2/DE$1)*10000</f>
        <v>68.130114299744946</v>
      </c>
      <c r="DF176" s="1364">
        <f>DF159/DF376*(DF$2/DF$1)*10000</f>
        <v>66.484517304189438</v>
      </c>
      <c r="DG176" s="1361"/>
      <c r="DH176" s="1364">
        <f>DH159/DH376*(DH$2/DH$1)*10000</f>
        <v>67.036441724260115</v>
      </c>
      <c r="DI176" s="1364">
        <f>DI159/DI376*(DI$2/DI$1)*10000</f>
        <v>67.474032009047974</v>
      </c>
      <c r="DJ176" s="1364">
        <f>DJ159/DJ376*(DJ$2/DJ$1)*10000</f>
        <v>67.255176652115296</v>
      </c>
      <c r="DK176" s="1361"/>
      <c r="DL176" s="1364">
        <f>DL159/DL376*(DL$2/DL$1)*10000</f>
        <v>66.367273167825175</v>
      </c>
      <c r="DM176" s="1364">
        <f>DM159/DM376*(DM$2/DM$1)*10000</f>
        <v>65.112418202297889</v>
      </c>
      <c r="DN176" s="1364">
        <f>DN159/DN376*(DN$2/DN$1)*10000</f>
        <v>65.727663466376157</v>
      </c>
      <c r="DO176" s="1361"/>
      <c r="DP176" s="1364">
        <f>DP159/DP376*(DP$2/DP$1)*10000</f>
        <v>64.222418202297874</v>
      </c>
      <c r="DQ176" s="1364">
        <f>DQ159/DQ376*(DQ$2/DQ$1)*10000</f>
        <v>63.332418202297866</v>
      </c>
      <c r="DR176" s="1364">
        <f>DR159/DR376*(DR$2/DR$1)*10000</f>
        <v>63.7697560486098</v>
      </c>
      <c r="DS176" s="1361"/>
      <c r="DT176" s="1361"/>
      <c r="DU176" s="1361"/>
      <c r="DV176" s="1361"/>
      <c r="DW176" s="1361"/>
      <c r="DX176" s="1361"/>
      <c r="DY176" s="1361"/>
      <c r="DZ176" s="1361"/>
      <c r="EA176" s="1361"/>
      <c r="EB176" s="1361"/>
      <c r="EC176" s="1361"/>
      <c r="ED176" s="1361"/>
      <c r="EE176" s="1361"/>
      <c r="EF176" s="1361"/>
      <c r="EG176" s="1361"/>
      <c r="EH176" s="1361"/>
      <c r="EI176" s="1361"/>
      <c r="EJ176" s="1361"/>
      <c r="EK176" s="1361"/>
      <c r="EL176" s="1361"/>
      <c r="EM176" s="1361"/>
      <c r="EN176" s="1361"/>
      <c r="EO176" s="1361"/>
      <c r="EP176" s="1361"/>
      <c r="JM176"/>
    </row>
    <row r="177" spans="1:273">
      <c r="AN177" s="293"/>
      <c r="AO177" s="293"/>
      <c r="AR177" s="293"/>
      <c r="AS177" s="293"/>
      <c r="AV177" s="293"/>
      <c r="AW177" s="293"/>
      <c r="AZ177" s="293"/>
      <c r="BD177" s="293"/>
      <c r="BH177" s="293"/>
      <c r="BL177" s="293"/>
      <c r="BP177" s="293"/>
      <c r="BT177" s="293"/>
      <c r="BX177" s="293"/>
      <c r="BY177" s="293"/>
      <c r="CC177" s="293"/>
      <c r="CG177" s="293"/>
      <c r="CK177" s="293"/>
    </row>
    <row r="178" spans="1:273">
      <c r="AN178" s="293"/>
      <c r="AO178" s="293"/>
      <c r="AR178" s="293"/>
      <c r="AS178" s="293"/>
      <c r="AV178" s="293"/>
      <c r="AW178" s="293"/>
      <c r="AZ178" s="293"/>
      <c r="BD178" s="293"/>
      <c r="BH178" s="293"/>
      <c r="BL178" s="293"/>
      <c r="BP178" s="293"/>
      <c r="BT178" s="293"/>
      <c r="BX178" s="293"/>
      <c r="BY178" s="293"/>
    </row>
    <row r="179" spans="1:273" s="891" customFormat="1" ht="15.6">
      <c r="A179" s="1405" t="s">
        <v>850</v>
      </c>
      <c r="B179" s="890"/>
      <c r="AN179" s="892"/>
      <c r="AO179" s="892"/>
      <c r="AP179" s="890"/>
      <c r="AQ179" s="890"/>
      <c r="AR179" s="892"/>
      <c r="AS179" s="892"/>
      <c r="AT179" s="890"/>
      <c r="AU179" s="890"/>
      <c r="AV179" s="892"/>
      <c r="AW179" s="892"/>
      <c r="AX179" s="890"/>
      <c r="AY179" s="890"/>
      <c r="AZ179" s="892"/>
      <c r="BA179" s="890"/>
      <c r="BB179" s="890"/>
      <c r="BC179" s="890"/>
      <c r="BD179" s="892"/>
      <c r="BE179" s="890"/>
      <c r="BF179" s="890"/>
      <c r="BG179" s="890"/>
      <c r="BH179" s="892"/>
      <c r="BI179" s="890"/>
      <c r="BJ179" s="890"/>
      <c r="BK179" s="890"/>
      <c r="BL179" s="892"/>
      <c r="BM179" s="890"/>
      <c r="BN179" s="890"/>
      <c r="BO179" s="890"/>
      <c r="BP179" s="892"/>
      <c r="BQ179" s="890"/>
      <c r="BR179" s="890"/>
      <c r="BS179" s="890"/>
      <c r="BT179" s="892"/>
      <c r="BU179" s="890"/>
      <c r="BV179" s="890"/>
      <c r="BW179" s="890"/>
      <c r="BX179" s="892"/>
      <c r="BY179" s="892"/>
      <c r="BZ179" s="890"/>
      <c r="CA179" s="890"/>
      <c r="CB179" s="890"/>
      <c r="CC179" s="890"/>
      <c r="CD179" s="890"/>
      <c r="CE179" s="1612"/>
      <c r="CF179" s="890"/>
      <c r="CG179" s="890"/>
      <c r="CH179" s="890"/>
      <c r="CI179" s="1612"/>
      <c r="CJ179" s="890"/>
      <c r="CK179" s="890"/>
      <c r="CL179" s="890"/>
      <c r="CM179" s="1612"/>
      <c r="CN179" s="890"/>
      <c r="CO179" s="890"/>
      <c r="CP179" s="890"/>
      <c r="CQ179" s="1612"/>
      <c r="CR179" s="890"/>
      <c r="CS179" s="890"/>
      <c r="CT179" s="890"/>
      <c r="CU179" s="890"/>
      <c r="CV179" s="890"/>
      <c r="CW179" s="890"/>
      <c r="CX179" s="890"/>
      <c r="CY179" s="890"/>
      <c r="CZ179" s="890"/>
      <c r="DA179" s="890"/>
      <c r="DB179" s="890"/>
      <c r="DC179" s="890"/>
      <c r="DD179" s="890"/>
      <c r="DE179" s="890"/>
      <c r="DF179" s="890"/>
      <c r="DG179" s="890"/>
      <c r="DH179" s="890"/>
      <c r="DI179" s="890"/>
      <c r="DJ179" s="890"/>
      <c r="DK179" s="890"/>
      <c r="DL179" s="890"/>
      <c r="DM179" s="890"/>
      <c r="DN179" s="890"/>
      <c r="DO179" s="890"/>
      <c r="DP179" s="890"/>
      <c r="DQ179" s="890"/>
      <c r="DR179" s="890"/>
      <c r="DS179" s="890"/>
      <c r="DT179" s="890"/>
      <c r="DU179" s="890"/>
      <c r="DV179" s="890"/>
      <c r="DW179" s="890"/>
      <c r="DX179" s="890"/>
      <c r="DY179" s="890"/>
      <c r="DZ179" s="890"/>
      <c r="EA179" s="890"/>
      <c r="EB179" s="890"/>
      <c r="EC179" s="890"/>
      <c r="ED179" s="890"/>
      <c r="EE179" s="890"/>
      <c r="EF179" s="890"/>
      <c r="EG179" s="890"/>
      <c r="EH179" s="890"/>
      <c r="EI179" s="890"/>
      <c r="EJ179" s="890"/>
      <c r="EK179" s="890"/>
      <c r="EL179" s="890"/>
      <c r="EM179" s="890"/>
      <c r="EN179" s="890"/>
      <c r="EO179" s="890"/>
      <c r="EP179" s="890"/>
      <c r="FL179" s="102"/>
      <c r="FM179" s="102"/>
      <c r="FN179" s="102"/>
      <c r="FO179" s="102"/>
      <c r="FP179" s="102"/>
      <c r="FQ179" s="102"/>
      <c r="FR179" s="102"/>
      <c r="FS179" s="102"/>
      <c r="FT179" s="102"/>
      <c r="FU179" s="102"/>
      <c r="FV179" s="102"/>
      <c r="FW179" s="102"/>
      <c r="FX179" s="102"/>
      <c r="FY179" s="102"/>
      <c r="FZ179" s="102"/>
      <c r="GA179" s="102"/>
      <c r="GB179" s="102"/>
      <c r="GC179" s="102"/>
      <c r="GD179" s="102"/>
      <c r="GE179" s="102"/>
      <c r="GF179" s="102"/>
      <c r="GG179" s="102"/>
      <c r="GH179" s="102"/>
      <c r="GI179" s="102"/>
      <c r="GJ179" s="102"/>
      <c r="GK179" s="102"/>
      <c r="GL179" s="102"/>
      <c r="GM179" s="102"/>
      <c r="GN179" s="102"/>
      <c r="GO179" s="102"/>
      <c r="GP179" s="102"/>
      <c r="GQ179" s="102"/>
      <c r="GR179" s="102"/>
      <c r="GS179" s="102"/>
      <c r="GT179" s="102"/>
      <c r="GU179" s="102"/>
      <c r="GV179" s="102"/>
      <c r="GW179" s="102"/>
      <c r="GX179" s="102"/>
      <c r="GY179" s="102"/>
      <c r="GZ179" s="102"/>
      <c r="HA179" s="102"/>
      <c r="HB179" s="102"/>
      <c r="HC179" s="102"/>
      <c r="HD179" s="102"/>
      <c r="HE179" s="102"/>
      <c r="HF179" s="102"/>
      <c r="HG179" s="102"/>
      <c r="HH179" s="102"/>
      <c r="HI179" s="102"/>
      <c r="HJ179" s="102"/>
      <c r="HK179" s="102"/>
      <c r="HL179" s="102"/>
      <c r="HM179" s="102"/>
      <c r="HN179" s="102"/>
      <c r="HO179" s="102"/>
      <c r="HP179" s="102"/>
      <c r="HQ179" s="102"/>
      <c r="HR179" s="102"/>
      <c r="HS179" s="102"/>
      <c r="HT179" s="102"/>
      <c r="HU179" s="102"/>
      <c r="HV179" s="102"/>
      <c r="HW179" s="102"/>
      <c r="HX179" s="102"/>
      <c r="HY179" s="102"/>
      <c r="HZ179" s="102"/>
      <c r="IA179" s="102"/>
      <c r="IB179" s="102"/>
      <c r="IC179" s="102"/>
      <c r="ID179" s="102"/>
      <c r="IE179" s="102"/>
      <c r="IF179" s="102"/>
      <c r="IG179" s="102"/>
      <c r="IH179" s="102"/>
      <c r="II179" s="102"/>
      <c r="IJ179" s="102"/>
      <c r="IK179" s="102"/>
      <c r="IL179" s="102"/>
      <c r="IM179" s="102"/>
      <c r="IN179" s="102"/>
      <c r="IO179" s="102"/>
      <c r="IP179" s="102"/>
      <c r="IQ179" s="102"/>
      <c r="IR179" s="102"/>
      <c r="IS179" s="102"/>
      <c r="IT179" s="102"/>
      <c r="IU179" s="102"/>
      <c r="IV179" s="102"/>
      <c r="IW179" s="102"/>
      <c r="IX179" s="102"/>
      <c r="IY179" s="102"/>
      <c r="IZ179" s="102"/>
      <c r="JA179" s="102"/>
      <c r="JB179" s="102"/>
      <c r="JC179" s="102"/>
      <c r="JD179" s="102"/>
      <c r="JE179" s="102"/>
      <c r="JF179" s="102"/>
      <c r="JG179" s="102"/>
      <c r="JH179" s="102"/>
      <c r="JI179" s="102"/>
      <c r="JJ179" s="102"/>
      <c r="JK179" s="102"/>
      <c r="JL179" s="102"/>
      <c r="JM179"/>
    </row>
    <row r="180" spans="1:273">
      <c r="AN180" s="293"/>
      <c r="AO180" s="293"/>
      <c r="AR180" s="293"/>
      <c r="AS180" s="293"/>
      <c r="AV180" s="293"/>
      <c r="AW180" s="293"/>
      <c r="AZ180" s="293"/>
      <c r="BD180" s="293"/>
      <c r="BH180" s="293"/>
      <c r="BL180" s="320"/>
      <c r="BP180" s="320"/>
      <c r="BT180" s="320"/>
      <c r="BX180" s="320"/>
      <c r="BY180" s="320"/>
      <c r="CR180" s="293"/>
      <c r="CS180" s="674" t="s">
        <v>1371</v>
      </c>
    </row>
    <row r="181" spans="1:273">
      <c r="A181" s="893" t="s">
        <v>596</v>
      </c>
      <c r="AN181" s="293"/>
      <c r="AO181" s="293"/>
      <c r="AR181" s="293"/>
      <c r="AS181" s="293"/>
      <c r="AV181" s="293"/>
      <c r="AW181" s="293"/>
      <c r="AZ181" s="293"/>
      <c r="CR181" s="293"/>
    </row>
    <row r="182" spans="1:273">
      <c r="A182" s="102" t="s">
        <v>1358</v>
      </c>
      <c r="AN182" s="293"/>
      <c r="AO182" s="293"/>
      <c r="AR182" s="293"/>
      <c r="AS182" s="293"/>
      <c r="AV182" s="626">
        <v>55588</v>
      </c>
      <c r="AW182" s="626">
        <v>207331</v>
      </c>
      <c r="AX182" s="730"/>
      <c r="AY182" s="730"/>
      <c r="AZ182" s="626">
        <v>209200</v>
      </c>
      <c r="BA182" s="626">
        <v>205546</v>
      </c>
      <c r="BB182" s="293">
        <f>BA182</f>
        <v>205546</v>
      </c>
      <c r="BD182" s="626">
        <v>220412</v>
      </c>
      <c r="BE182" s="626">
        <v>222247</v>
      </c>
      <c r="BF182" s="293">
        <f>BE182</f>
        <v>222247</v>
      </c>
      <c r="BH182" s="626">
        <v>229100</v>
      </c>
      <c r="BI182" s="626">
        <v>239300</v>
      </c>
      <c r="BJ182" s="293">
        <f>BI182</f>
        <v>239300</v>
      </c>
      <c r="BL182" s="626">
        <v>264700</v>
      </c>
      <c r="BM182" s="626">
        <v>310500</v>
      </c>
      <c r="BN182" s="293">
        <f>BM182</f>
        <v>310500</v>
      </c>
      <c r="BP182" s="626">
        <v>307300</v>
      </c>
      <c r="BQ182" s="626">
        <v>348000</v>
      </c>
      <c r="BR182" s="293">
        <f>BQ182</f>
        <v>348000</v>
      </c>
      <c r="BT182" s="626">
        <v>351200</v>
      </c>
      <c r="BU182" s="626">
        <v>337100</v>
      </c>
      <c r="BV182" s="293">
        <f>BU182</f>
        <v>337100</v>
      </c>
      <c r="BW182" s="672">
        <f>+BV182/BR182-1</f>
        <v>-3.1321839080459823E-2</v>
      </c>
      <c r="BX182" s="626">
        <v>351100</v>
      </c>
      <c r="BY182" s="626">
        <v>320300</v>
      </c>
      <c r="BZ182" s="293">
        <f>BY182</f>
        <v>320300</v>
      </c>
      <c r="CA182" s="671">
        <f>+BZ182/BV182-1</f>
        <v>-4.983684366656782E-2</v>
      </c>
      <c r="CB182" s="626">
        <v>325200</v>
      </c>
      <c r="CC182" s="626">
        <v>333500</v>
      </c>
      <c r="CD182" s="293">
        <f>CC182</f>
        <v>333500</v>
      </c>
      <c r="CE182" s="672">
        <f>+CD182/BZ182-1</f>
        <v>4.1211364345925761E-2</v>
      </c>
      <c r="CF182" s="626">
        <v>363600</v>
      </c>
      <c r="CG182" s="626">
        <v>361000</v>
      </c>
      <c r="CH182" s="293">
        <f>CG182</f>
        <v>361000</v>
      </c>
      <c r="CI182" s="672">
        <f>+CH182/CD182-1</f>
        <v>8.2458770614692645E-2</v>
      </c>
      <c r="CJ182" s="626">
        <v>361100</v>
      </c>
      <c r="CK182" s="626">
        <v>382600</v>
      </c>
      <c r="CL182" s="293">
        <f>CK182</f>
        <v>382600</v>
      </c>
      <c r="CM182" s="672">
        <f>+CL182/CH182-1</f>
        <v>5.9833795013850333E-2</v>
      </c>
      <c r="CN182" s="1326">
        <v>350900</v>
      </c>
      <c r="CO182" s="1326">
        <v>367100</v>
      </c>
      <c r="CP182" s="293">
        <f>CO182</f>
        <v>367100</v>
      </c>
      <c r="CQ182" s="672">
        <f>+CP182/CL182-1</f>
        <v>-4.051228437009935E-2</v>
      </c>
      <c r="CR182" s="1388">
        <v>514600</v>
      </c>
      <c r="CS182" s="1388">
        <v>535100</v>
      </c>
      <c r="CT182" s="293">
        <f>CS182</f>
        <v>535100</v>
      </c>
      <c r="CU182" s="672">
        <f>+CT182/CP182-1</f>
        <v>0.45764096976300728</v>
      </c>
      <c r="CV182" s="1388">
        <v>520700</v>
      </c>
      <c r="CW182" s="626">
        <v>534500</v>
      </c>
      <c r="CX182" s="293">
        <f>CW182</f>
        <v>534500</v>
      </c>
      <c r="CY182" s="672">
        <f>+CX182/CT182-1</f>
        <v>-1.1212857409830246E-3</v>
      </c>
      <c r="CZ182" s="1388">
        <v>546900</v>
      </c>
      <c r="DA182" s="1388">
        <v>567400</v>
      </c>
      <c r="DB182" s="293">
        <f>DA182</f>
        <v>567400</v>
      </c>
      <c r="DC182" s="672">
        <f>+DB182/CX182-1</f>
        <v>6.1552853133769903E-2</v>
      </c>
      <c r="DD182" s="1388">
        <v>543200</v>
      </c>
      <c r="DE182" s="2176">
        <v>552000</v>
      </c>
      <c r="DF182" s="293">
        <f>DE182</f>
        <v>552000</v>
      </c>
      <c r="DG182" s="672">
        <f>+DF182/DB182-1</f>
        <v>-2.714134649277411E-2</v>
      </c>
      <c r="DH182" s="1388">
        <v>542500</v>
      </c>
      <c r="DI182" s="293">
        <f>DI239-DI188</f>
        <v>298396</v>
      </c>
      <c r="DJ182" s="293">
        <f>DI182</f>
        <v>298396</v>
      </c>
      <c r="DK182" s="672"/>
      <c r="DL182" s="293">
        <f>DL239-DL188</f>
        <v>307897.74</v>
      </c>
      <c r="DM182" s="293">
        <f>DM239-DM188</f>
        <v>317728.81449999992</v>
      </c>
      <c r="DN182" s="293">
        <f>DM182</f>
        <v>317728.81449999992</v>
      </c>
      <c r="DO182" s="293"/>
      <c r="DP182" s="293">
        <f>DP239-DP188</f>
        <v>327901.58378549991</v>
      </c>
      <c r="DQ182" s="293">
        <f>DQ239-DQ188</f>
        <v>338428.9027137924</v>
      </c>
      <c r="DR182" s="293">
        <f>DQ182</f>
        <v>338428.9027137924</v>
      </c>
      <c r="DS182" s="293"/>
      <c r="DU182" s="293"/>
      <c r="DV182" s="293"/>
      <c r="DW182" s="293"/>
      <c r="DX182" s="293"/>
      <c r="DZ182" s="293"/>
      <c r="EA182" s="293"/>
      <c r="EB182" s="293"/>
      <c r="ED182" s="293"/>
      <c r="EE182" s="293"/>
      <c r="EF182" s="293"/>
    </row>
    <row r="183" spans="1:273">
      <c r="A183" s="102" t="s">
        <v>1359</v>
      </c>
      <c r="AN183" s="293"/>
      <c r="AO183" s="293"/>
      <c r="AR183" s="293"/>
      <c r="AS183" s="293"/>
      <c r="AV183" s="626">
        <v>130677</v>
      </c>
      <c r="AW183" s="626">
        <v>101058</v>
      </c>
      <c r="AX183" s="730"/>
      <c r="AY183" s="730"/>
      <c r="AZ183" s="626">
        <v>101116</v>
      </c>
      <c r="BA183" s="626">
        <v>97328</v>
      </c>
      <c r="BB183" s="293">
        <f>BA183</f>
        <v>97328</v>
      </c>
      <c r="BD183" s="626">
        <v>102300</v>
      </c>
      <c r="BE183" s="626">
        <v>100200</v>
      </c>
      <c r="BF183" s="293">
        <f>BE183</f>
        <v>100200</v>
      </c>
      <c r="BH183" s="626">
        <v>105700</v>
      </c>
      <c r="BI183" s="626">
        <v>102300</v>
      </c>
      <c r="BJ183" s="293">
        <f>BI183</f>
        <v>102300</v>
      </c>
      <c r="BL183" s="626">
        <v>114300</v>
      </c>
      <c r="BM183" s="626">
        <v>112800</v>
      </c>
      <c r="BN183" s="293">
        <f>BM183</f>
        <v>112800</v>
      </c>
      <c r="BP183" s="626">
        <v>114200</v>
      </c>
      <c r="BQ183" s="626">
        <v>133700</v>
      </c>
      <c r="BR183" s="293">
        <f>BQ183</f>
        <v>133700</v>
      </c>
      <c r="BT183" s="626">
        <v>147800</v>
      </c>
      <c r="BU183" s="626">
        <v>136200</v>
      </c>
      <c r="BV183" s="293">
        <f>BU183</f>
        <v>136200</v>
      </c>
      <c r="BW183" s="672">
        <f>+BV183/BR183-1</f>
        <v>1.8698578908002972E-2</v>
      </c>
      <c r="BX183" s="626">
        <v>136000</v>
      </c>
      <c r="BY183" s="626">
        <v>154200</v>
      </c>
      <c r="BZ183" s="293">
        <f>BY183</f>
        <v>154200</v>
      </c>
      <c r="CA183" s="671">
        <f>+BZ183/BV183-1</f>
        <v>0.13215859030836996</v>
      </c>
      <c r="CB183" s="626">
        <v>141400</v>
      </c>
      <c r="CC183" s="626">
        <v>155200</v>
      </c>
      <c r="CD183" s="293">
        <f>CC183</f>
        <v>155200</v>
      </c>
      <c r="CE183" s="672">
        <f>+CD183/BZ183-1</f>
        <v>6.4850843060959562E-3</v>
      </c>
      <c r="CF183" s="626">
        <f>178900+6200</f>
        <v>185100</v>
      </c>
      <c r="CG183" s="626">
        <f>181700+7300</f>
        <v>189000</v>
      </c>
      <c r="CH183" s="293">
        <f>CG183</f>
        <v>189000</v>
      </c>
      <c r="CI183" s="672">
        <f>+CH183/CD183-1</f>
        <v>0.21778350515463907</v>
      </c>
      <c r="CJ183" s="626">
        <v>200900</v>
      </c>
      <c r="CK183" s="626">
        <v>223100</v>
      </c>
      <c r="CL183" s="293">
        <f>CK183</f>
        <v>223100</v>
      </c>
      <c r="CM183" s="672">
        <f>+CL183/CH183-1</f>
        <v>0.18042328042328037</v>
      </c>
      <c r="CN183" s="1326">
        <v>204000</v>
      </c>
      <c r="CO183" s="1326">
        <v>195100</v>
      </c>
      <c r="CP183" s="293">
        <f>CO183</f>
        <v>195100</v>
      </c>
      <c r="CQ183" s="672">
        <f>+CP183/CL183-1</f>
        <v>-0.12550425818018829</v>
      </c>
      <c r="CR183" s="1388">
        <v>220900</v>
      </c>
      <c r="CS183" s="1389">
        <v>257900</v>
      </c>
      <c r="CT183" s="293">
        <f>CS183</f>
        <v>257900</v>
      </c>
      <c r="CU183" s="672">
        <f>+CT183/CP183-1</f>
        <v>0.32188621219887237</v>
      </c>
      <c r="CV183" s="655">
        <v>312200</v>
      </c>
      <c r="CW183" s="626">
        <v>344100</v>
      </c>
      <c r="CX183" s="293">
        <f>CW183</f>
        <v>344100</v>
      </c>
      <c r="CY183" s="672">
        <f>+CX183/CT183-1</f>
        <v>0.33423807677394346</v>
      </c>
      <c r="CZ183" s="1389">
        <v>345100</v>
      </c>
      <c r="DA183" s="1388">
        <v>370900</v>
      </c>
      <c r="DB183" s="293">
        <f>DA183</f>
        <v>370900</v>
      </c>
      <c r="DC183" s="672">
        <f>+DB183/CX183-1</f>
        <v>7.7884335948852135E-2</v>
      </c>
      <c r="DD183" s="1389">
        <v>373600</v>
      </c>
      <c r="DE183" s="2176">
        <v>389000</v>
      </c>
      <c r="DF183" s="293">
        <f>DE183</f>
        <v>389000</v>
      </c>
      <c r="DG183" s="672">
        <f>+DF183/DB183-1</f>
        <v>4.8800215691561011E-2</v>
      </c>
      <c r="DH183" s="1389">
        <v>416600</v>
      </c>
      <c r="DI183" s="293">
        <f>DI314</f>
        <v>436388.5</v>
      </c>
      <c r="DJ183" s="293">
        <f>DI183</f>
        <v>436388.5</v>
      </c>
      <c r="DK183" s="672"/>
      <c r="DL183" s="293">
        <f>DL314</f>
        <v>450571.12625000003</v>
      </c>
      <c r="DM183" s="293">
        <f>DM314</f>
        <v>467467.54348437511</v>
      </c>
      <c r="DN183" s="293">
        <f>DM183</f>
        <v>467467.54348437511</v>
      </c>
      <c r="DO183" s="293"/>
      <c r="DP183" s="293">
        <f>DP314</f>
        <v>482660.23864761728</v>
      </c>
      <c r="DQ183" s="293">
        <f>DQ314</f>
        <v>500759.99759690289</v>
      </c>
      <c r="DR183" s="293">
        <f>DQ183</f>
        <v>500759.99759690289</v>
      </c>
      <c r="DS183" s="293"/>
      <c r="DU183" s="293"/>
      <c r="DV183" s="293"/>
      <c r="DW183" s="293"/>
      <c r="DX183" s="293"/>
      <c r="DZ183" s="293"/>
      <c r="EA183" s="293"/>
      <c r="EB183" s="293"/>
      <c r="ED183" s="293"/>
      <c r="EE183" s="293"/>
      <c r="EF183" s="293"/>
    </row>
    <row r="184" spans="1:273">
      <c r="A184" s="102" t="s">
        <v>708</v>
      </c>
      <c r="AN184" s="293"/>
      <c r="AO184" s="293"/>
      <c r="AR184" s="293"/>
      <c r="AS184" s="293"/>
      <c r="AV184" s="626">
        <v>2368</v>
      </c>
      <c r="AW184" s="626">
        <v>2563</v>
      </c>
      <c r="AX184" s="730"/>
      <c r="AY184" s="730"/>
      <c r="AZ184" s="626">
        <v>2154</v>
      </c>
      <c r="BA184" s="626">
        <v>2529</v>
      </c>
      <c r="BB184" s="293">
        <f>BA184</f>
        <v>2529</v>
      </c>
      <c r="BD184" s="626">
        <v>2300</v>
      </c>
      <c r="BE184" s="626">
        <v>2400</v>
      </c>
      <c r="BF184" s="293">
        <f>BE184</f>
        <v>2400</v>
      </c>
      <c r="BH184" s="626">
        <v>2000</v>
      </c>
      <c r="BI184" s="626">
        <v>1900</v>
      </c>
      <c r="BJ184" s="293">
        <f>BI184</f>
        <v>1900</v>
      </c>
      <c r="BL184" s="626">
        <v>1700</v>
      </c>
      <c r="BM184" s="626">
        <v>1500</v>
      </c>
      <c r="BN184" s="293">
        <f>BM184</f>
        <v>1500</v>
      </c>
      <c r="BP184" s="626">
        <v>1800</v>
      </c>
      <c r="BQ184" s="626">
        <v>2300</v>
      </c>
      <c r="BR184" s="293">
        <f>BQ184</f>
        <v>2300</v>
      </c>
      <c r="BT184" s="626">
        <v>3300</v>
      </c>
      <c r="BU184" s="626">
        <v>3600</v>
      </c>
      <c r="BV184" s="293">
        <f>BU184</f>
        <v>3600</v>
      </c>
      <c r="BX184" s="626">
        <v>4200</v>
      </c>
      <c r="BY184" s="626">
        <v>5500</v>
      </c>
      <c r="BZ184" s="293">
        <f>BY184</f>
        <v>5500</v>
      </c>
      <c r="CA184" s="671">
        <f>+BZ184/BV184-1</f>
        <v>0.52777777777777768</v>
      </c>
      <c r="CB184" s="626">
        <v>5300</v>
      </c>
      <c r="CC184" s="626">
        <v>6400</v>
      </c>
      <c r="CD184" s="293">
        <f>CC184</f>
        <v>6400</v>
      </c>
      <c r="CE184" s="672">
        <f>+CD184/BZ184-1</f>
        <v>0.16363636363636358</v>
      </c>
      <c r="CF184" s="626">
        <v>0</v>
      </c>
      <c r="CG184" s="626">
        <v>0</v>
      </c>
      <c r="CH184" s="293">
        <f>CG184</f>
        <v>0</v>
      </c>
      <c r="CI184" s="672"/>
      <c r="CJ184" s="626">
        <v>0</v>
      </c>
      <c r="CK184" s="626">
        <v>0</v>
      </c>
      <c r="CL184" s="293">
        <f>CK184</f>
        <v>0</v>
      </c>
      <c r="CM184" s="672"/>
      <c r="CN184" s="1326">
        <v>0</v>
      </c>
      <c r="CO184" s="1326">
        <v>0</v>
      </c>
      <c r="CP184" s="293">
        <f>CO184</f>
        <v>0</v>
      </c>
      <c r="CQ184" s="672"/>
      <c r="CR184" s="1388">
        <v>0</v>
      </c>
      <c r="CS184" s="1388">
        <v>0</v>
      </c>
      <c r="CT184" s="293">
        <f>CS184</f>
        <v>0</v>
      </c>
      <c r="CU184" s="672"/>
      <c r="CV184" s="1388">
        <v>0</v>
      </c>
      <c r="CW184" s="626">
        <v>0</v>
      </c>
      <c r="CX184" s="293">
        <f>CW184</f>
        <v>0</v>
      </c>
      <c r="CY184" s="672"/>
      <c r="CZ184" s="1388">
        <v>0</v>
      </c>
      <c r="DA184" s="1388">
        <v>0</v>
      </c>
      <c r="DB184" s="293">
        <f>DA184</f>
        <v>0</v>
      </c>
      <c r="DC184" s="672"/>
      <c r="DD184" s="1388">
        <v>0</v>
      </c>
      <c r="DE184" s="626">
        <v>0</v>
      </c>
      <c r="DF184" s="293">
        <f>DE184</f>
        <v>0</v>
      </c>
      <c r="DG184" s="672"/>
      <c r="DH184" s="1388">
        <v>0</v>
      </c>
      <c r="DI184" s="293">
        <f>DH184*(1+DI194)</f>
        <v>0</v>
      </c>
      <c r="DJ184" s="293">
        <f>DI184</f>
        <v>0</v>
      </c>
      <c r="DK184" s="672"/>
      <c r="DL184" s="293">
        <f>DI184*(1+DL194)</f>
        <v>0</v>
      </c>
      <c r="DM184" s="293">
        <f>DL184*(1+DM194)</f>
        <v>0</v>
      </c>
      <c r="DN184" s="293">
        <f>DM184</f>
        <v>0</v>
      </c>
      <c r="DO184" s="293"/>
      <c r="DP184" s="293">
        <f>DM184*(1+DP194)</f>
        <v>0</v>
      </c>
      <c r="DQ184" s="293">
        <f>DP184*(1+DQ194)</f>
        <v>0</v>
      </c>
      <c r="DR184" s="293">
        <f>DQ184</f>
        <v>0</v>
      </c>
      <c r="DS184" s="293"/>
      <c r="DU184" s="293"/>
      <c r="DV184" s="293"/>
      <c r="DW184" s="293"/>
      <c r="DX184" s="293"/>
      <c r="DZ184" s="293"/>
      <c r="EA184" s="293"/>
      <c r="EB184" s="293"/>
      <c r="ED184" s="293"/>
      <c r="EE184" s="293"/>
      <c r="EF184" s="293"/>
    </row>
    <row r="185" spans="1:273" s="289" customFormat="1">
      <c r="A185" s="289" t="s">
        <v>613</v>
      </c>
      <c r="B185" s="290"/>
      <c r="AN185" s="295"/>
      <c r="AO185" s="295"/>
      <c r="AP185" s="290"/>
      <c r="AQ185" s="290"/>
      <c r="AR185" s="295"/>
      <c r="AS185" s="295"/>
      <c r="AT185" s="290"/>
      <c r="AU185" s="290"/>
      <c r="AV185" s="295">
        <f>SUM(AV182:AV184)</f>
        <v>188633</v>
      </c>
      <c r="AW185" s="295">
        <f>SUM(AW182:AW184)</f>
        <v>310952</v>
      </c>
      <c r="AX185" s="290"/>
      <c r="AY185" s="290"/>
      <c r="AZ185" s="295">
        <f>SUM(AZ182:AZ184)</f>
        <v>312470</v>
      </c>
      <c r="BA185" s="295">
        <f>SUM(BA182:BA184)</f>
        <v>305403</v>
      </c>
      <c r="BB185" s="295">
        <f>BA185</f>
        <v>305403</v>
      </c>
      <c r="BC185" s="290"/>
      <c r="BD185" s="295">
        <f>SUM(BD182:BD184)</f>
        <v>325012</v>
      </c>
      <c r="BE185" s="295">
        <f>SUM(BE182:BE184)</f>
        <v>324847</v>
      </c>
      <c r="BF185" s="295">
        <f>BE185</f>
        <v>324847</v>
      </c>
      <c r="BG185" s="290"/>
      <c r="BH185" s="295">
        <f>SUM(BH182:BH184)</f>
        <v>336800</v>
      </c>
      <c r="BI185" s="295">
        <f>SUM(BI182:BI184)</f>
        <v>343500</v>
      </c>
      <c r="BJ185" s="295">
        <f>BI185</f>
        <v>343500</v>
      </c>
      <c r="BK185" s="290"/>
      <c r="BL185" s="295">
        <f>SUM(BL182:BL184)</f>
        <v>380700</v>
      </c>
      <c r="BM185" s="295">
        <f>SUM(BM182:BM184)</f>
        <v>424800</v>
      </c>
      <c r="BN185" s="295">
        <f>BM185</f>
        <v>424800</v>
      </c>
      <c r="BO185" s="290"/>
      <c r="BP185" s="295">
        <f>SUM(BP182:BP184)</f>
        <v>423300</v>
      </c>
      <c r="BQ185" s="295">
        <f>SUM(BQ182:BQ184)</f>
        <v>484000</v>
      </c>
      <c r="BR185" s="295">
        <f>BQ185</f>
        <v>484000</v>
      </c>
      <c r="BS185" s="290"/>
      <c r="BT185" s="295">
        <f>SUM(BT182:BT184)</f>
        <v>502300</v>
      </c>
      <c r="BU185" s="295">
        <f>SUM(BU182:BU184)</f>
        <v>476900</v>
      </c>
      <c r="BV185" s="295">
        <f>BU185</f>
        <v>476900</v>
      </c>
      <c r="BW185" s="290"/>
      <c r="BX185" s="295">
        <f>SUM(BX182:BX184)</f>
        <v>491300</v>
      </c>
      <c r="BY185" s="295">
        <f>SUM(BY182:BY184)</f>
        <v>480000</v>
      </c>
      <c r="BZ185" s="295">
        <f>BY185</f>
        <v>480000</v>
      </c>
      <c r="CA185" s="671">
        <f>+BZ185/BV185-1</f>
        <v>6.5003145313482502E-3</v>
      </c>
      <c r="CB185" s="295">
        <f>SUM(CB182:CB184)</f>
        <v>471900</v>
      </c>
      <c r="CC185" s="295">
        <f>SUM(CC182:CC184)</f>
        <v>495100</v>
      </c>
      <c r="CD185" s="295">
        <f>CC185</f>
        <v>495100</v>
      </c>
      <c r="CE185" s="672">
        <f>+CD185/BZ185-1</f>
        <v>3.1458333333333366E-2</v>
      </c>
      <c r="CF185" s="295">
        <f>SUM(CF182:CF184)</f>
        <v>548700</v>
      </c>
      <c r="CG185" s="295">
        <f>SUM(CG182:CG184)</f>
        <v>550000</v>
      </c>
      <c r="CH185" s="295">
        <f>CG185</f>
        <v>550000</v>
      </c>
      <c r="CI185" s="672">
        <f>+CH185/CD185-1</f>
        <v>0.11088668955766501</v>
      </c>
      <c r="CJ185" s="295">
        <f>SUM(CJ182:CJ184)</f>
        <v>562000</v>
      </c>
      <c r="CK185" s="295">
        <f>SUM(CK182:CK184)-8000</f>
        <v>597700</v>
      </c>
      <c r="CL185" s="295">
        <f>CK185</f>
        <v>597700</v>
      </c>
      <c r="CM185" s="672">
        <f>+CL185/CH185-1</f>
        <v>8.6727272727272764E-2</v>
      </c>
      <c r="CN185" s="295">
        <f>SUM(CN182:CN184)</f>
        <v>554900</v>
      </c>
      <c r="CO185" s="295">
        <f>SUM(CO182:CO184)</f>
        <v>562200</v>
      </c>
      <c r="CP185" s="295">
        <f>CO185</f>
        <v>562200</v>
      </c>
      <c r="CQ185" s="672">
        <f>+CP185/CL185-1</f>
        <v>-5.9394344989124992E-2</v>
      </c>
      <c r="CR185" s="1412">
        <f>SUM(CR182:CR184)</f>
        <v>735500</v>
      </c>
      <c r="CS185" s="295">
        <f>SUM(CS182:CS184)</f>
        <v>793000</v>
      </c>
      <c r="CT185" s="295">
        <f>CS185</f>
        <v>793000</v>
      </c>
      <c r="CU185" s="672">
        <f>+CT185/CP185-1</f>
        <v>0.4105300604766986</v>
      </c>
      <c r="CV185" s="1412">
        <f>SUM(CV182:CV184)</f>
        <v>832900</v>
      </c>
      <c r="CW185" s="295">
        <f>SUM(CW182:CW184)</f>
        <v>878600</v>
      </c>
      <c r="CX185" s="295">
        <f>CW185</f>
        <v>878600</v>
      </c>
      <c r="CY185" s="672">
        <f>+CX185/CT185-1</f>
        <v>0.10794451450189158</v>
      </c>
      <c r="CZ185" s="1412">
        <f>SUM(CZ182:CZ184)</f>
        <v>892000</v>
      </c>
      <c r="DA185" s="295">
        <f>SUM(DA182:DA184)</f>
        <v>938300</v>
      </c>
      <c r="DB185" s="295">
        <f>DA185</f>
        <v>938300</v>
      </c>
      <c r="DC185" s="672">
        <f>+DB185/CX185-1</f>
        <v>6.7949009788299541E-2</v>
      </c>
      <c r="DD185" s="1412">
        <f>SUM(DD182:DD184)</f>
        <v>916800</v>
      </c>
      <c r="DE185" s="295">
        <f>SUM(DE182:DE184)</f>
        <v>941000</v>
      </c>
      <c r="DF185" s="295">
        <f>DE185</f>
        <v>941000</v>
      </c>
      <c r="DG185" s="672">
        <f>+DF185/DB185-1</f>
        <v>2.8775444953639262E-3</v>
      </c>
      <c r="DH185" s="1412">
        <f>SUM(DH182:DH184)</f>
        <v>959100</v>
      </c>
      <c r="DI185" s="295">
        <f>SUM(DI182:DI184)</f>
        <v>734784.5</v>
      </c>
      <c r="DJ185" s="295">
        <f>SUM(DJ182:DJ184)</f>
        <v>734784.5</v>
      </c>
      <c r="DK185" s="672"/>
      <c r="DL185" s="295">
        <f>SUM(DL182:DL184)</f>
        <v>758468.86624999996</v>
      </c>
      <c r="DM185" s="295">
        <f>SUM(DM182:DM184)</f>
        <v>785196.35798437498</v>
      </c>
      <c r="DN185" s="295">
        <f>SUM(DN182:DN184)</f>
        <v>785196.35798437498</v>
      </c>
      <c r="DO185" s="295"/>
      <c r="DP185" s="295">
        <f>SUM(DP182:DP184)</f>
        <v>810561.8224331172</v>
      </c>
      <c r="DQ185" s="295">
        <f>SUM(DQ182:DQ184)</f>
        <v>839188.90031069529</v>
      </c>
      <c r="DR185" s="295">
        <f>SUM(DR182:DR184)</f>
        <v>839188.90031069529</v>
      </c>
      <c r="DS185" s="295"/>
      <c r="DT185" s="290"/>
      <c r="DU185" s="295"/>
      <c r="DV185" s="295"/>
      <c r="DW185" s="295"/>
      <c r="DX185" s="295"/>
      <c r="DY185" s="290"/>
      <c r="DZ185" s="295"/>
      <c r="EA185" s="295"/>
      <c r="EB185" s="295"/>
      <c r="EC185" s="290"/>
      <c r="ED185" s="295"/>
      <c r="EE185" s="295"/>
      <c r="EF185" s="295"/>
      <c r="EG185" s="290"/>
      <c r="EH185" s="290"/>
      <c r="EI185" s="290"/>
      <c r="EJ185" s="290"/>
      <c r="EK185" s="290"/>
      <c r="EL185" s="290"/>
      <c r="EM185" s="290"/>
      <c r="EN185" s="290"/>
      <c r="EO185" s="290"/>
      <c r="EP185" s="290"/>
      <c r="JM185"/>
    </row>
    <row r="186" spans="1:273">
      <c r="A186" s="102" t="s">
        <v>710</v>
      </c>
      <c r="AN186" s="293"/>
      <c r="AO186" s="293"/>
      <c r="AR186" s="293"/>
      <c r="AS186" s="293"/>
      <c r="AV186" s="293">
        <f>AV183+AV184</f>
        <v>133045</v>
      </c>
      <c r="AW186" s="293">
        <f>AW183+AW184</f>
        <v>103621</v>
      </c>
      <c r="AZ186" s="293">
        <f>AZ183+AZ184</f>
        <v>103270</v>
      </c>
      <c r="BA186" s="293">
        <f>BA183+BA184</f>
        <v>99857</v>
      </c>
      <c r="BB186" s="293">
        <f>BA186</f>
        <v>99857</v>
      </c>
      <c r="BD186" s="293">
        <f>BD183+BD184</f>
        <v>104600</v>
      </c>
      <c r="BE186" s="293">
        <f>BE183+BE184</f>
        <v>102600</v>
      </c>
      <c r="BF186" s="293">
        <f>BE186</f>
        <v>102600</v>
      </c>
      <c r="BH186" s="293">
        <f>BH183+BH184</f>
        <v>107700</v>
      </c>
      <c r="BI186" s="293">
        <f>BI183+BI184</f>
        <v>104200</v>
      </c>
      <c r="BJ186" s="293">
        <f>BI186</f>
        <v>104200</v>
      </c>
      <c r="BL186" s="293">
        <f>BL183+BL184</f>
        <v>116000</v>
      </c>
      <c r="BM186" s="293">
        <f>BM183+BM184</f>
        <v>114300</v>
      </c>
      <c r="BN186" s="293">
        <f>BM186</f>
        <v>114300</v>
      </c>
      <c r="BP186" s="293">
        <f>BP183+BP184</f>
        <v>116000</v>
      </c>
      <c r="BQ186" s="293">
        <f>BQ183+BQ184</f>
        <v>136000</v>
      </c>
      <c r="BR186" s="293">
        <f>BQ186</f>
        <v>136000</v>
      </c>
      <c r="BT186" s="293">
        <f>BT183+BT184</f>
        <v>151100</v>
      </c>
      <c r="BU186" s="293">
        <f>BU183+BU184</f>
        <v>139800</v>
      </c>
      <c r="BV186" s="293">
        <f>BU186</f>
        <v>139800</v>
      </c>
      <c r="BX186" s="293">
        <f>BX183+BX184</f>
        <v>140200</v>
      </c>
      <c r="BY186" s="293">
        <f>BY183+BY184</f>
        <v>159700</v>
      </c>
      <c r="BZ186" s="293">
        <f>BY186</f>
        <v>159700</v>
      </c>
      <c r="CA186" s="671">
        <f>+BZ186/BV186-1</f>
        <v>0.14234620886981397</v>
      </c>
      <c r="CB186" s="293">
        <f>CB183+CB184</f>
        <v>146700</v>
      </c>
      <c r="CC186" s="293">
        <f>CC183+CC184</f>
        <v>161600</v>
      </c>
      <c r="CD186" s="293">
        <f>CC186</f>
        <v>161600</v>
      </c>
      <c r="CE186" s="672">
        <f>+CD186/BZ186-1</f>
        <v>1.1897307451471439E-2</v>
      </c>
      <c r="CF186" s="293">
        <f>CF183+CF184</f>
        <v>185100</v>
      </c>
      <c r="CG186" s="293">
        <f>CG183+CG184</f>
        <v>189000</v>
      </c>
      <c r="CH186" s="293">
        <f>CG186</f>
        <v>189000</v>
      </c>
      <c r="CI186" s="672">
        <f>+CH186/CD186-1</f>
        <v>0.16955445544554459</v>
      </c>
      <c r="CJ186" s="293">
        <f>CJ183+CJ184</f>
        <v>200900</v>
      </c>
      <c r="CK186" s="293">
        <f>CK183+CK184</f>
        <v>223100</v>
      </c>
      <c r="CL186" s="293">
        <f>CK186</f>
        <v>223100</v>
      </c>
      <c r="CM186" s="672">
        <f>+CL186/CH186-1</f>
        <v>0.18042328042328037</v>
      </c>
      <c r="CN186" s="293">
        <f>CN183+CN184</f>
        <v>204000</v>
      </c>
      <c r="CO186" s="293">
        <f>CO183+CO184</f>
        <v>195100</v>
      </c>
      <c r="CP186" s="293">
        <f>CO186</f>
        <v>195100</v>
      </c>
      <c r="CQ186" s="672">
        <f>+CP186/CL186-1</f>
        <v>-0.12550425818018829</v>
      </c>
      <c r="CR186" s="1010">
        <f>CR183+CR184</f>
        <v>220900</v>
      </c>
      <c r="CS186" s="293">
        <f>CS183+CS184</f>
        <v>257900</v>
      </c>
      <c r="CT186" s="293">
        <f>CS186</f>
        <v>257900</v>
      </c>
      <c r="CU186" s="672">
        <f>+CT186/CP186-1</f>
        <v>0.32188621219887237</v>
      </c>
      <c r="CV186" s="1010">
        <f>CV183+CV184</f>
        <v>312200</v>
      </c>
      <c r="CW186" s="293">
        <f>CW183+CW184</f>
        <v>344100</v>
      </c>
      <c r="CX186" s="293">
        <f>CW186</f>
        <v>344100</v>
      </c>
      <c r="CY186" s="672">
        <f>+CX186/CT186-1</f>
        <v>0.33423807677394346</v>
      </c>
      <c r="CZ186" s="1010">
        <f>CZ183+CZ184</f>
        <v>345100</v>
      </c>
      <c r="DA186" s="293">
        <f>DA183+DA184</f>
        <v>370900</v>
      </c>
      <c r="DB186" s="293">
        <f>DA186</f>
        <v>370900</v>
      </c>
      <c r="DC186" s="672">
        <f>+DB186/CX186-1</f>
        <v>7.7884335948852135E-2</v>
      </c>
      <c r="DD186" s="1010">
        <f>DD183+DD184</f>
        <v>373600</v>
      </c>
      <c r="DE186" s="293">
        <f>DE183+DE184</f>
        <v>389000</v>
      </c>
      <c r="DF186" s="293">
        <f>DE186</f>
        <v>389000</v>
      </c>
      <c r="DG186" s="672">
        <f>+DF186/DB186-1</f>
        <v>4.8800215691561011E-2</v>
      </c>
      <c r="DH186" s="1010">
        <f>DH183+DH184</f>
        <v>416600</v>
      </c>
      <c r="DI186" s="293">
        <f>DI183+DI184</f>
        <v>436388.5</v>
      </c>
      <c r="DJ186" s="293">
        <f>DI186</f>
        <v>436388.5</v>
      </c>
      <c r="DK186" s="672"/>
      <c r="DL186" s="293">
        <f>DL183+DL184</f>
        <v>450571.12625000003</v>
      </c>
      <c r="DM186" s="293">
        <f>DM183+DM184</f>
        <v>467467.54348437511</v>
      </c>
      <c r="DN186" s="293">
        <f>DM186</f>
        <v>467467.54348437511</v>
      </c>
      <c r="DO186" s="293"/>
      <c r="DP186" s="293">
        <f>DP183+DP184</f>
        <v>482660.23864761728</v>
      </c>
      <c r="DQ186" s="293">
        <f>DQ183+DQ184</f>
        <v>500759.99759690289</v>
      </c>
      <c r="DR186" s="293">
        <f>DQ186</f>
        <v>500759.99759690289</v>
      </c>
      <c r="DS186" s="293"/>
      <c r="DU186" s="293"/>
      <c r="DV186" s="293"/>
      <c r="DW186" s="293"/>
      <c r="DX186" s="293"/>
      <c r="DZ186" s="293"/>
      <c r="EA186" s="293"/>
      <c r="EB186" s="293"/>
      <c r="ED186" s="293"/>
      <c r="EE186" s="293"/>
      <c r="EF186" s="293"/>
    </row>
    <row r="187" spans="1:273">
      <c r="A187" s="893" t="s">
        <v>590</v>
      </c>
      <c r="AN187" s="293"/>
      <c r="AO187" s="293"/>
      <c r="AR187" s="293"/>
      <c r="AS187" s="293"/>
      <c r="AV187" s="293"/>
      <c r="AW187" s="293"/>
      <c r="AZ187" s="293"/>
      <c r="CD187" s="829">
        <f>CP185/CD185-1</f>
        <v>0.13552817612603518</v>
      </c>
      <c r="CH187" s="829">
        <f>CT185/CH185-1</f>
        <v>0.44181818181818189</v>
      </c>
      <c r="CL187" s="829">
        <f>CX185/CL185-1</f>
        <v>0.46996821147732981</v>
      </c>
      <c r="CP187" s="829">
        <f>DB185/CP185-1</f>
        <v>0.66897901102810398</v>
      </c>
      <c r="CR187" s="1009"/>
      <c r="CT187" s="829">
        <f>DF185/CT185-1</f>
        <v>0.18663303909205542</v>
      </c>
      <c r="CU187" s="115"/>
      <c r="CV187" s="1009"/>
      <c r="CX187" s="829">
        <f>DN185/CX185-1</f>
        <v>-0.10630963124928872</v>
      </c>
      <c r="CY187" s="115"/>
      <c r="CZ187" s="1009"/>
      <c r="DB187" s="829">
        <f>DV185/DB185-1</f>
        <v>-1</v>
      </c>
      <c r="DC187" s="115"/>
      <c r="DD187" s="1009"/>
      <c r="DF187" s="829">
        <f>DZ185/DF185-1</f>
        <v>-1</v>
      </c>
      <c r="DG187" s="115"/>
      <c r="DH187" s="1009"/>
    </row>
    <row r="188" spans="1:273" s="289" customFormat="1">
      <c r="A188" s="289" t="s">
        <v>613</v>
      </c>
      <c r="B188" s="290"/>
      <c r="AN188" s="295"/>
      <c r="AO188" s="295"/>
      <c r="AP188" s="290"/>
      <c r="AQ188" s="290"/>
      <c r="AR188" s="295"/>
      <c r="AS188" s="295"/>
      <c r="AT188" s="290"/>
      <c r="AU188" s="290"/>
      <c r="AV188" s="655">
        <v>16992</v>
      </c>
      <c r="AW188" s="655">
        <v>14357</v>
      </c>
      <c r="AX188" s="290"/>
      <c r="AY188" s="290"/>
      <c r="AZ188" s="655">
        <v>4510</v>
      </c>
      <c r="BA188" s="655">
        <v>4675</v>
      </c>
      <c r="BB188" s="295">
        <f>BA188</f>
        <v>4675</v>
      </c>
      <c r="BC188" s="290"/>
      <c r="BD188" s="655">
        <v>4510</v>
      </c>
      <c r="BE188" s="655">
        <v>2100</v>
      </c>
      <c r="BF188" s="295">
        <f>BE188</f>
        <v>2100</v>
      </c>
      <c r="BG188" s="290"/>
      <c r="BH188" s="655">
        <v>3700</v>
      </c>
      <c r="BI188" s="655">
        <v>3900</v>
      </c>
      <c r="BJ188" s="295">
        <f>BI188</f>
        <v>3900</v>
      </c>
      <c r="BK188" s="290"/>
      <c r="BL188" s="655">
        <v>4100</v>
      </c>
      <c r="BM188" s="655">
        <v>2100</v>
      </c>
      <c r="BN188" s="295">
        <f>BM188</f>
        <v>2100</v>
      </c>
      <c r="BO188" s="290"/>
      <c r="BP188" s="655">
        <v>2100</v>
      </c>
      <c r="BQ188" s="655">
        <v>2300</v>
      </c>
      <c r="BR188" s="295">
        <f>BQ188</f>
        <v>2300</v>
      </c>
      <c r="BS188" s="290"/>
      <c r="BT188" s="655">
        <v>2000</v>
      </c>
      <c r="BU188" s="655">
        <v>1700</v>
      </c>
      <c r="BV188" s="295">
        <f>BU188</f>
        <v>1700</v>
      </c>
      <c r="BW188" s="290"/>
      <c r="BX188" s="655">
        <v>1800</v>
      </c>
      <c r="BY188" s="655">
        <v>1700</v>
      </c>
      <c r="BZ188" s="295">
        <f>BY188</f>
        <v>1700</v>
      </c>
      <c r="CA188" s="290"/>
      <c r="CB188" s="655">
        <v>1700</v>
      </c>
      <c r="CC188" s="655">
        <v>1600</v>
      </c>
      <c r="CD188" s="295">
        <f>CC188</f>
        <v>1600</v>
      </c>
      <c r="CE188" s="581"/>
      <c r="CF188" s="655">
        <v>2300</v>
      </c>
      <c r="CG188" s="655">
        <v>1300</v>
      </c>
      <c r="CH188" s="295">
        <f>CG188</f>
        <v>1300</v>
      </c>
      <c r="CI188" s="581"/>
      <c r="CJ188" s="655">
        <v>1400</v>
      </c>
      <c r="CK188" s="655">
        <v>1200</v>
      </c>
      <c r="CL188" s="295">
        <f>CK188</f>
        <v>1200</v>
      </c>
      <c r="CM188" s="581"/>
      <c r="CN188" s="1327">
        <v>1400</v>
      </c>
      <c r="CO188" s="1327">
        <v>1300</v>
      </c>
      <c r="CP188" s="295">
        <f>CO188</f>
        <v>1300</v>
      </c>
      <c r="CQ188" s="581"/>
      <c r="CR188" s="1389">
        <v>1500</v>
      </c>
      <c r="CS188" s="1389">
        <v>0</v>
      </c>
      <c r="CT188" s="295">
        <f>CS188</f>
        <v>0</v>
      </c>
      <c r="CU188" s="581"/>
      <c r="CV188" s="1389">
        <v>0</v>
      </c>
      <c r="CW188" s="655">
        <v>0</v>
      </c>
      <c r="CX188" s="295">
        <f>CW188</f>
        <v>0</v>
      </c>
      <c r="CY188" s="581"/>
      <c r="CZ188" s="1389">
        <v>0</v>
      </c>
      <c r="DA188" s="1389">
        <v>0</v>
      </c>
      <c r="DB188" s="295">
        <f>DA188</f>
        <v>0</v>
      </c>
      <c r="DC188" s="581"/>
      <c r="DD188" s="1389">
        <v>0</v>
      </c>
      <c r="DE188" s="655">
        <v>0</v>
      </c>
      <c r="DF188" s="295">
        <f>DE188</f>
        <v>0</v>
      </c>
      <c r="DG188" s="581"/>
      <c r="DH188" s="1389">
        <v>0</v>
      </c>
      <c r="DI188" s="295">
        <f>DH188*(1+DI196)</f>
        <v>0</v>
      </c>
      <c r="DJ188" s="295">
        <f>DI188</f>
        <v>0</v>
      </c>
      <c r="DK188" s="290"/>
      <c r="DL188" s="295">
        <f>DI188*(1+DL196)</f>
        <v>0</v>
      </c>
      <c r="DM188" s="295">
        <f>DL188*(1+DM196)</f>
        <v>0</v>
      </c>
      <c r="DN188" s="295">
        <f>DM188</f>
        <v>0</v>
      </c>
      <c r="DO188" s="295"/>
      <c r="DP188" s="295">
        <f>DM188*(1+DP196)</f>
        <v>0</v>
      </c>
      <c r="DQ188" s="295">
        <f>DP188*(1+DQ196)</f>
        <v>0</v>
      </c>
      <c r="DR188" s="295">
        <f>DQ188</f>
        <v>0</v>
      </c>
      <c r="DS188" s="295"/>
      <c r="DT188" s="290"/>
      <c r="DU188" s="295"/>
      <c r="DV188" s="295"/>
      <c r="DW188" s="295"/>
      <c r="DX188" s="295"/>
      <c r="DY188" s="290"/>
      <c r="DZ188" s="295"/>
      <c r="EA188" s="295"/>
      <c r="EB188" s="295"/>
      <c r="EC188" s="290"/>
      <c r="ED188" s="295"/>
      <c r="EE188" s="295"/>
      <c r="EF188" s="295"/>
      <c r="EG188" s="290"/>
      <c r="EH188" s="290"/>
      <c r="EI188" s="290"/>
      <c r="EJ188" s="290"/>
      <c r="EK188" s="290"/>
      <c r="EL188" s="290"/>
      <c r="EM188" s="290"/>
      <c r="EN188" s="290"/>
      <c r="EO188" s="290"/>
      <c r="EP188" s="290"/>
      <c r="JM188"/>
    </row>
    <row r="189" spans="1:273" s="289" customFormat="1">
      <c r="A189" s="289" t="s">
        <v>852</v>
      </c>
      <c r="B189" s="290"/>
      <c r="AN189" s="295"/>
      <c r="AO189" s="295"/>
      <c r="AP189" s="290"/>
      <c r="AQ189" s="290"/>
      <c r="AR189" s="295"/>
      <c r="AS189" s="295"/>
      <c r="AT189" s="290"/>
      <c r="AU189" s="290"/>
      <c r="AV189" s="295"/>
      <c r="AW189" s="295">
        <f>AW185+AW188</f>
        <v>325309</v>
      </c>
      <c r="AX189" s="290"/>
      <c r="AY189" s="290"/>
      <c r="AZ189" s="295">
        <f>AZ185+AZ188</f>
        <v>316980</v>
      </c>
      <c r="BA189" s="295">
        <f>BA185+BA188</f>
        <v>310078</v>
      </c>
      <c r="BB189" s="295">
        <f>BB185+BB188</f>
        <v>310078</v>
      </c>
      <c r="BC189" s="290"/>
      <c r="BD189" s="295">
        <f>BD185+BD188</f>
        <v>329522</v>
      </c>
      <c r="BE189" s="295">
        <f>BE185+BE188</f>
        <v>326947</v>
      </c>
      <c r="BF189" s="295">
        <f>BF185+BF188</f>
        <v>326947</v>
      </c>
      <c r="BG189" s="290"/>
      <c r="BH189" s="295">
        <f>BH185+BH188</f>
        <v>340500</v>
      </c>
      <c r="BI189" s="295">
        <f>BI185+BI188</f>
        <v>347400</v>
      </c>
      <c r="BJ189" s="295">
        <f>BJ185+BJ188</f>
        <v>347400</v>
      </c>
      <c r="BK189" s="290"/>
      <c r="BL189" s="295">
        <f>BL185+BL188</f>
        <v>384800</v>
      </c>
      <c r="BM189" s="295">
        <f>BM185+BM188</f>
        <v>426900</v>
      </c>
      <c r="BN189" s="295">
        <f>BN185+BN188</f>
        <v>426900</v>
      </c>
      <c r="BO189" s="672">
        <f>+BN189/BJ189-1</f>
        <v>0.22884283246977555</v>
      </c>
      <c r="BP189" s="295">
        <f>BP185+BP188</f>
        <v>425400</v>
      </c>
      <c r="BQ189" s="295">
        <f>BQ185+BQ188</f>
        <v>486300</v>
      </c>
      <c r="BR189" s="295">
        <f>BR185+BR188</f>
        <v>486300</v>
      </c>
      <c r="BS189" s="672">
        <f>+BR189/BN189-1</f>
        <v>0.13914265635980327</v>
      </c>
      <c r="BT189" s="295">
        <f>BT185+BT188</f>
        <v>504300</v>
      </c>
      <c r="BU189" s="295">
        <f>BU185+BU188</f>
        <v>478600</v>
      </c>
      <c r="BV189" s="295">
        <f>BV185+BV188</f>
        <v>478600</v>
      </c>
      <c r="BW189" s="672">
        <f>+BV189/BR189-1</f>
        <v>-1.5833847419288505E-2</v>
      </c>
      <c r="BX189" s="295">
        <f>BX185+BX188</f>
        <v>493100</v>
      </c>
      <c r="BY189" s="295">
        <f>BY185+BY188</f>
        <v>481700</v>
      </c>
      <c r="BZ189" s="295">
        <f>BZ185+BZ188</f>
        <v>481700</v>
      </c>
      <c r="CA189" s="672">
        <f>+BZ189/BV189-1</f>
        <v>6.4772252402842678E-3</v>
      </c>
      <c r="CB189" s="295">
        <f>CB185+CB188</f>
        <v>473600</v>
      </c>
      <c r="CC189" s="295">
        <f>CC185+CC188</f>
        <v>496700</v>
      </c>
      <c r="CD189" s="295">
        <f>CD185+CD188</f>
        <v>496700</v>
      </c>
      <c r="CE189" s="672">
        <f>+CD189/BZ189-1</f>
        <v>3.1139713514635625E-2</v>
      </c>
      <c r="CF189" s="295">
        <f>CF185+CF188</f>
        <v>551000</v>
      </c>
      <c r="CG189" s="295">
        <f>CG185+CG188</f>
        <v>551300</v>
      </c>
      <c r="CH189" s="295">
        <f>CH185+CH188</f>
        <v>551300</v>
      </c>
      <c r="CI189" s="672">
        <f>+CH189/CD189-1</f>
        <v>0.10992550835514403</v>
      </c>
      <c r="CJ189" s="295">
        <f>CJ185+CJ188</f>
        <v>563400</v>
      </c>
      <c r="CK189" s="295">
        <f>CK185+CK188</f>
        <v>598900</v>
      </c>
      <c r="CL189" s="295">
        <f>CL185+CL188</f>
        <v>598900</v>
      </c>
      <c r="CM189" s="672">
        <f>+CL189/CH189-1</f>
        <v>8.634137493197902E-2</v>
      </c>
      <c r="CN189" s="295">
        <f>CN185+CN188</f>
        <v>556300</v>
      </c>
      <c r="CO189" s="295">
        <f>CO185+CO188</f>
        <v>563500</v>
      </c>
      <c r="CP189" s="295">
        <f>CP185+CP188</f>
        <v>563500</v>
      </c>
      <c r="CQ189" s="672">
        <f>+CP189/CL189-1</f>
        <v>-5.9108365336450142E-2</v>
      </c>
      <c r="CR189" s="1412">
        <f>CR185+CR188</f>
        <v>737000</v>
      </c>
      <c r="CS189" s="295">
        <f>CS185+CS188</f>
        <v>793000</v>
      </c>
      <c r="CT189" s="295">
        <f>CT185+CT188</f>
        <v>793000</v>
      </c>
      <c r="CU189" s="672">
        <f>+CT189/CP189-1</f>
        <v>0.40727595385980475</v>
      </c>
      <c r="CV189" s="1412">
        <f>CV185+CV188</f>
        <v>832900</v>
      </c>
      <c r="CW189" s="295">
        <f>CW185+CW188</f>
        <v>878600</v>
      </c>
      <c r="CX189" s="295">
        <f>CX185+CX188</f>
        <v>878600</v>
      </c>
      <c r="CY189" s="672">
        <f>+CX189/CT189-1</f>
        <v>0.10794451450189158</v>
      </c>
      <c r="CZ189" s="1412">
        <f>CZ185+CZ188</f>
        <v>892000</v>
      </c>
      <c r="DA189" s="295">
        <f>DA185+DA188</f>
        <v>938300</v>
      </c>
      <c r="DB189" s="295">
        <f>DB185+DB188</f>
        <v>938300</v>
      </c>
      <c r="DC189" s="672">
        <f>+DB189/CX189-1</f>
        <v>6.7949009788299541E-2</v>
      </c>
      <c r="DD189" s="1412">
        <f>DD185+DD188</f>
        <v>916800</v>
      </c>
      <c r="DE189" s="295">
        <f>DE185+DE188</f>
        <v>941000</v>
      </c>
      <c r="DF189" s="295">
        <f>DF185+DF188</f>
        <v>941000</v>
      </c>
      <c r="DG189" s="672">
        <f>+DF189/DB189-1</f>
        <v>2.8775444953639262E-3</v>
      </c>
      <c r="DH189" s="1412">
        <f>DH185+DH188</f>
        <v>959100</v>
      </c>
      <c r="DI189" s="295">
        <f>DI185+DI188</f>
        <v>734784.5</v>
      </c>
      <c r="DJ189" s="295">
        <f>DJ185+DJ188</f>
        <v>734784.5</v>
      </c>
      <c r="DK189" s="672"/>
      <c r="DL189" s="295">
        <f>DL185+DL188</f>
        <v>758468.86624999996</v>
      </c>
      <c r="DM189" s="295">
        <f>DM185+DM188</f>
        <v>785196.35798437498</v>
      </c>
      <c r="DN189" s="295">
        <f>DN185+DN188</f>
        <v>785196.35798437498</v>
      </c>
      <c r="DO189" s="295"/>
      <c r="DP189" s="295">
        <f>DP185+DP188</f>
        <v>810561.8224331172</v>
      </c>
      <c r="DQ189" s="295">
        <f>DQ185+DQ188</f>
        <v>839188.90031069529</v>
      </c>
      <c r="DR189" s="295">
        <f>DR185+DR188</f>
        <v>839188.90031069529</v>
      </c>
      <c r="DS189" s="295"/>
      <c r="DT189" s="290"/>
      <c r="DU189" s="295"/>
      <c r="DV189" s="295"/>
      <c r="DW189" s="295"/>
      <c r="DX189" s="295"/>
      <c r="DY189" s="290"/>
      <c r="DZ189" s="295"/>
      <c r="EA189" s="295"/>
      <c r="EB189" s="295"/>
      <c r="EC189" s="290"/>
      <c r="ED189" s="295"/>
      <c r="EE189" s="295"/>
      <c r="EF189" s="295"/>
      <c r="EG189" s="290"/>
      <c r="EH189" s="290"/>
      <c r="EI189" s="290"/>
      <c r="EJ189" s="290"/>
      <c r="EK189" s="290"/>
      <c r="EL189" s="290"/>
      <c r="EM189" s="290"/>
      <c r="EN189" s="290"/>
      <c r="EO189" s="290"/>
      <c r="EP189" s="290"/>
      <c r="JM189"/>
    </row>
    <row r="190" spans="1:273">
      <c r="AN190" s="293"/>
      <c r="AO190" s="293"/>
      <c r="AR190" s="293"/>
      <c r="AS190" s="293"/>
      <c r="AV190" s="293"/>
      <c r="AW190" s="293"/>
      <c r="AZ190" s="293"/>
      <c r="BD190" s="293"/>
      <c r="BH190" s="293"/>
    </row>
    <row r="191" spans="1:273" s="323" customFormat="1">
      <c r="A191" s="894" t="s">
        <v>805</v>
      </c>
      <c r="B191" s="115"/>
      <c r="AN191" s="331"/>
      <c r="AO191" s="331"/>
      <c r="AP191" s="115"/>
      <c r="AQ191" s="115"/>
      <c r="AR191" s="331"/>
      <c r="AS191" s="331"/>
      <c r="AT191" s="115"/>
      <c r="AU191" s="115"/>
      <c r="AV191" s="331"/>
      <c r="AW191" s="331"/>
      <c r="AX191" s="115"/>
      <c r="AY191" s="115"/>
      <c r="AZ191" s="331"/>
      <c r="BA191" s="895"/>
      <c r="BB191" s="115"/>
      <c r="BC191" s="115"/>
      <c r="BD191" s="331"/>
      <c r="BE191" s="895"/>
      <c r="BF191" s="115"/>
      <c r="BG191" s="115"/>
      <c r="BH191" s="331"/>
      <c r="BI191" s="895"/>
      <c r="BJ191" s="115"/>
      <c r="BK191" s="115"/>
      <c r="BL191" s="895"/>
      <c r="BM191" s="895"/>
      <c r="BN191" s="115"/>
      <c r="BO191" s="115"/>
      <c r="BP191" s="895"/>
      <c r="BQ191" s="895"/>
      <c r="BR191" s="115"/>
      <c r="BS191" s="115"/>
      <c r="BT191" s="895"/>
      <c r="BU191" s="895"/>
      <c r="BV191" s="115"/>
      <c r="BW191" s="115"/>
      <c r="BX191" s="895"/>
      <c r="BY191" s="895"/>
      <c r="BZ191" s="115"/>
      <c r="CA191" s="115"/>
      <c r="CB191" s="895"/>
      <c r="CC191" s="895"/>
      <c r="CD191" s="115"/>
      <c r="CE191" s="115"/>
      <c r="CF191" s="895"/>
      <c r="CG191" s="895"/>
      <c r="CH191" s="115"/>
      <c r="CI191" s="115"/>
      <c r="CJ191" s="895"/>
      <c r="CK191" s="895"/>
      <c r="CL191" s="115"/>
      <c r="CM191" s="115"/>
      <c r="CN191" s="895"/>
      <c r="CO191" s="895"/>
      <c r="CP191" s="115"/>
      <c r="CQ191" s="115"/>
      <c r="CR191" s="895"/>
      <c r="CS191" s="895"/>
      <c r="CT191" s="115"/>
      <c r="CU191" s="115"/>
      <c r="CV191" s="895"/>
      <c r="CW191" s="895"/>
      <c r="CX191" s="115"/>
      <c r="CY191" s="115"/>
      <c r="CZ191" s="895"/>
      <c r="DA191" s="895"/>
      <c r="DB191" s="115"/>
      <c r="DC191" s="115"/>
      <c r="DD191" s="895"/>
      <c r="DE191" s="895"/>
      <c r="DF191" s="115"/>
      <c r="DG191" s="115"/>
      <c r="DH191" s="895"/>
      <c r="DI191" s="895"/>
      <c r="DJ191" s="115"/>
      <c r="DK191" s="115"/>
      <c r="DL191" s="895"/>
      <c r="DM191" s="895"/>
      <c r="DN191" s="115"/>
      <c r="DO191" s="115"/>
      <c r="DP191" s="895"/>
      <c r="DQ191" s="895"/>
      <c r="DR191" s="115"/>
      <c r="DS191" s="115"/>
      <c r="DT191" s="115"/>
      <c r="DU191" s="895"/>
      <c r="DV191" s="895"/>
      <c r="DW191" s="895"/>
      <c r="DX191" s="115"/>
      <c r="DY191" s="115"/>
      <c r="DZ191" s="895"/>
      <c r="EA191" s="895"/>
      <c r="EB191" s="115"/>
      <c r="EC191" s="115"/>
      <c r="ED191" s="895"/>
      <c r="EE191" s="895"/>
      <c r="EF191" s="115"/>
      <c r="EG191" s="115"/>
      <c r="EH191" s="115"/>
      <c r="EI191" s="115"/>
      <c r="EJ191" s="115"/>
      <c r="EK191" s="115"/>
      <c r="EL191" s="115"/>
      <c r="EM191" s="115"/>
      <c r="EN191" s="115"/>
      <c r="EO191" s="115"/>
      <c r="EP191" s="115"/>
      <c r="JM191"/>
    </row>
    <row r="192" spans="1:273" s="323" customFormat="1">
      <c r="A192" s="323" t="s">
        <v>706</v>
      </c>
      <c r="B192" s="115"/>
      <c r="AN192" s="331"/>
      <c r="AO192" s="331"/>
      <c r="AP192" s="115"/>
      <c r="AQ192" s="115"/>
      <c r="AR192" s="331"/>
      <c r="AS192" s="331"/>
      <c r="AT192" s="115"/>
      <c r="AU192" s="115"/>
      <c r="AV192" s="331"/>
      <c r="AW192" s="817">
        <f>AW182/AV182-1</f>
        <v>2.7297798085917826</v>
      </c>
      <c r="AX192" s="817"/>
      <c r="AY192" s="817"/>
      <c r="AZ192" s="817">
        <f>AZ182/AW182-1</f>
        <v>9.0145709035309718E-3</v>
      </c>
      <c r="BA192" s="817">
        <f>BA182/AZ182-1</f>
        <v>-1.7466539196940745E-2</v>
      </c>
      <c r="BB192" s="817"/>
      <c r="BC192" s="817"/>
      <c r="BD192" s="817">
        <f>BD182/BA182-1</f>
        <v>7.2324443190332044E-2</v>
      </c>
      <c r="BE192" s="817">
        <f>BE182/BD182-1</f>
        <v>8.325318040760088E-3</v>
      </c>
      <c r="BF192" s="817"/>
      <c r="BG192" s="817"/>
      <c r="BH192" s="817">
        <f>BH182/BE182-1</f>
        <v>3.0835061890599258E-2</v>
      </c>
      <c r="BI192" s="817">
        <f>BI182/BH182-1</f>
        <v>4.4522042776080406E-2</v>
      </c>
      <c r="BJ192" s="817"/>
      <c r="BK192" s="817"/>
      <c r="BL192" s="817">
        <f>BL182/BI182-1</f>
        <v>0.10614291684078569</v>
      </c>
      <c r="BM192" s="817">
        <f>BM182/BL182-1</f>
        <v>0.17302606724593872</v>
      </c>
      <c r="BN192" s="817"/>
      <c r="BO192" s="817"/>
      <c r="BP192" s="817">
        <f>BP182/BM182-1</f>
        <v>-1.0305958132045046E-2</v>
      </c>
      <c r="BQ192" s="817">
        <f>BQ182/BP182-1</f>
        <v>0.13244386592905966</v>
      </c>
      <c r="BR192" s="817"/>
      <c r="BS192" s="817"/>
      <c r="BT192" s="817">
        <f>BT182/BQ182-1</f>
        <v>9.1954022988505191E-3</v>
      </c>
      <c r="BU192" s="817">
        <f>BU182/BT182-1</f>
        <v>-4.0148063781321186E-2</v>
      </c>
      <c r="BV192" s="817"/>
      <c r="BW192" s="817"/>
      <c r="BX192" s="817">
        <f>BX182/BU182-1</f>
        <v>4.1530703055473239E-2</v>
      </c>
      <c r="BY192" s="817">
        <f>BY182/BX182-1</f>
        <v>-8.7724295072628911E-2</v>
      </c>
      <c r="BZ192" s="817"/>
      <c r="CA192" s="817"/>
      <c r="CB192" s="817">
        <f>CB182/BY182-1</f>
        <v>1.5298157976896709E-2</v>
      </c>
      <c r="CC192" s="817">
        <f>CC182/CB182-1</f>
        <v>2.5522755227552318E-2</v>
      </c>
      <c r="CD192" s="817"/>
      <c r="CE192" s="817"/>
      <c r="CF192" s="817">
        <f>CF182/CC182-1</f>
        <v>9.0254872563718225E-2</v>
      </c>
      <c r="CG192" s="817">
        <f>CG182/CF182-1</f>
        <v>-7.1507150715071077E-3</v>
      </c>
      <c r="CH192" s="817"/>
      <c r="CI192" s="817"/>
      <c r="CJ192" s="817">
        <f>CJ182/CG182-1</f>
        <v>2.7700831024923822E-4</v>
      </c>
      <c r="CK192" s="817">
        <f>CK182/CJ182-1</f>
        <v>5.9540293547493794E-2</v>
      </c>
      <c r="CL192" s="817"/>
      <c r="CM192" s="817"/>
      <c r="CN192" s="817">
        <f>CN182/CK182-1</f>
        <v>-8.2854155776267646E-2</v>
      </c>
      <c r="CO192" s="817">
        <f>CO182/CN182-1</f>
        <v>4.616699914505551E-2</v>
      </c>
      <c r="CP192" s="817"/>
      <c r="CQ192" s="817"/>
      <c r="CR192" s="817">
        <f>CR182/CO182-1</f>
        <v>0.40179787523835464</v>
      </c>
      <c r="CS192" s="817">
        <f>CS182/CR182-1</f>
        <v>3.9836766420520808E-2</v>
      </c>
      <c r="CT192" s="817"/>
      <c r="CU192" s="817"/>
      <c r="CV192" s="817">
        <f>CV182/CS182-1</f>
        <v>-2.6910857783591813E-2</v>
      </c>
      <c r="CW192" s="817">
        <f>CW182/CV182-1</f>
        <v>2.6502784712886474E-2</v>
      </c>
      <c r="CX192" s="817"/>
      <c r="CY192" s="817"/>
      <c r="CZ192" s="817">
        <f>CZ182/CW182-1</f>
        <v>2.319925163704406E-2</v>
      </c>
      <c r="DA192" s="817">
        <f>DA182/CZ182-1</f>
        <v>3.7484000731395239E-2</v>
      </c>
      <c r="DB192" s="817"/>
      <c r="DC192" s="817"/>
      <c r="DD192" s="817">
        <f>DD182/DA182-1</f>
        <v>-4.2650687345787808E-2</v>
      </c>
      <c r="DE192" s="817">
        <f>DE182/DD182-1</f>
        <v>1.6200294550809957E-2</v>
      </c>
      <c r="DF192" s="817"/>
      <c r="DG192" s="817"/>
      <c r="DH192" s="817">
        <f>DH182/DE182-1</f>
        <v>-1.7210144927536253E-2</v>
      </c>
      <c r="DI192" s="817">
        <f>DI182/DH182-1</f>
        <v>-0.4499612903225807</v>
      </c>
      <c r="DJ192" s="817"/>
      <c r="DK192" s="817"/>
      <c r="DL192" s="817">
        <f>DL182/DI182-1</f>
        <v>3.1842719071301095E-2</v>
      </c>
      <c r="DM192" s="817">
        <f>DM182/DL182-1</f>
        <v>3.1929674118426288E-2</v>
      </c>
      <c r="DN192" s="817"/>
      <c r="DO192" s="817"/>
      <c r="DP192" s="817">
        <f>DP182/DM182-1</f>
        <v>3.2017144247708851E-2</v>
      </c>
      <c r="DQ192" s="817">
        <f>DQ182/DP182-1</f>
        <v>3.2105117659873894E-2</v>
      </c>
      <c r="DR192" s="817"/>
      <c r="DS192" s="817"/>
      <c r="DT192" s="817"/>
      <c r="DU192" s="869"/>
      <c r="DV192" s="869"/>
      <c r="DW192" s="869"/>
      <c r="DX192" s="115"/>
      <c r="DY192" s="115"/>
      <c r="DZ192" s="869"/>
      <c r="EA192" s="869"/>
      <c r="EB192" s="115"/>
      <c r="EC192" s="115"/>
      <c r="ED192" s="869"/>
      <c r="EE192" s="869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JM192"/>
    </row>
    <row r="193" spans="1:273" s="323" customFormat="1">
      <c r="A193" s="323" t="s">
        <v>707</v>
      </c>
      <c r="B193" s="115"/>
      <c r="AN193" s="331"/>
      <c r="AO193" s="331"/>
      <c r="AP193" s="115"/>
      <c r="AQ193" s="115"/>
      <c r="AR193" s="331"/>
      <c r="AS193" s="331"/>
      <c r="AT193" s="115"/>
      <c r="AU193" s="115"/>
      <c r="AV193" s="331"/>
      <c r="AW193" s="817">
        <f>AW183/AV183-1</f>
        <v>-0.22665809591588415</v>
      </c>
      <c r="AX193" s="817"/>
      <c r="AY193" s="817"/>
      <c r="AZ193" s="817">
        <f>AZ183/AW183-1</f>
        <v>5.7392784341669945E-4</v>
      </c>
      <c r="BA193" s="817">
        <f>BA183/AZ183-1</f>
        <v>-3.7461924917916112E-2</v>
      </c>
      <c r="BB193" s="817"/>
      <c r="BC193" s="817"/>
      <c r="BD193" s="817">
        <f>BD183/BA183-1</f>
        <v>5.1084990958408572E-2</v>
      </c>
      <c r="BE193" s="817">
        <f>BE183/BD183-1</f>
        <v>-2.0527859237536639E-2</v>
      </c>
      <c r="BF193" s="817"/>
      <c r="BG193" s="817"/>
      <c r="BH193" s="817">
        <f>BH183/BE183-1</f>
        <v>5.4890219560878251E-2</v>
      </c>
      <c r="BI193" s="817">
        <f>BI183/BH183-1</f>
        <v>-3.2166508987701015E-2</v>
      </c>
      <c r="BJ193" s="817"/>
      <c r="BK193" s="817"/>
      <c r="BL193" s="817">
        <f>BL183/BI183-1</f>
        <v>0.11730205278592365</v>
      </c>
      <c r="BM193" s="817">
        <f>BM183/BL183-1</f>
        <v>-1.3123359580052507E-2</v>
      </c>
      <c r="BN193" s="817"/>
      <c r="BO193" s="817"/>
      <c r="BP193" s="817">
        <f>BP183/BM183-1</f>
        <v>1.2411347517730542E-2</v>
      </c>
      <c r="BQ193" s="817">
        <f>BQ183/BP183-1</f>
        <v>0.17075306479859886</v>
      </c>
      <c r="BR193" s="817"/>
      <c r="BS193" s="817"/>
      <c r="BT193" s="817">
        <f>BT183/BQ183-1</f>
        <v>0.10545998504113685</v>
      </c>
      <c r="BU193" s="817">
        <f>BU183/BT183-1</f>
        <v>-7.8484438430311276E-2</v>
      </c>
      <c r="BV193" s="817"/>
      <c r="BW193" s="817"/>
      <c r="BX193" s="817">
        <f>BX183/BU183-1</f>
        <v>-1.468428781204123E-3</v>
      </c>
      <c r="BY193" s="817">
        <f>BY183/BX183-1</f>
        <v>0.13382352941176467</v>
      </c>
      <c r="BZ193" s="817"/>
      <c r="CA193" s="817"/>
      <c r="CB193" s="817">
        <f>CB183/BY183-1</f>
        <v>-8.3009079118028573E-2</v>
      </c>
      <c r="CC193" s="817">
        <f>CC183/CB183-1</f>
        <v>9.7595473833097524E-2</v>
      </c>
      <c r="CD193" s="817"/>
      <c r="CE193" s="817"/>
      <c r="CF193" s="817">
        <f>CF183/CC183-1</f>
        <v>0.19265463917525771</v>
      </c>
      <c r="CG193" s="817">
        <f>CG183/CF183-1</f>
        <v>2.1069692058346856E-2</v>
      </c>
      <c r="CH193" s="817"/>
      <c r="CI193" s="817"/>
      <c r="CJ193" s="817">
        <f>CJ183/CG183-1</f>
        <v>6.2962962962962887E-2</v>
      </c>
      <c r="CK193" s="817">
        <f>CK183/CJ183-1</f>
        <v>0.11050273768043795</v>
      </c>
      <c r="CL193" s="817"/>
      <c r="CM193" s="817"/>
      <c r="CN193" s="817">
        <f>CN183/CK183-1</f>
        <v>-8.5611833258628423E-2</v>
      </c>
      <c r="CO193" s="817">
        <f>CO183/CN183-1</f>
        <v>-4.3627450980392113E-2</v>
      </c>
      <c r="CP193" s="817"/>
      <c r="CQ193" s="817"/>
      <c r="CR193" s="817">
        <f>CR183/CO183-1</f>
        <v>0.13223987698616102</v>
      </c>
      <c r="CS193" s="817">
        <f>CS183/CR183-1</f>
        <v>0.16749660479855133</v>
      </c>
      <c r="CT193" s="817"/>
      <c r="CU193" s="817"/>
      <c r="CV193" s="817">
        <f>CV183/CS183-1</f>
        <v>0.21054672353625437</v>
      </c>
      <c r="CW193" s="817">
        <f>CW183/CV183-1</f>
        <v>0.10217809096732866</v>
      </c>
      <c r="CX193" s="817"/>
      <c r="CY193" s="817"/>
      <c r="CZ193" s="817">
        <f>CZ183/CW183-1</f>
        <v>2.9061319383900663E-3</v>
      </c>
      <c r="DA193" s="817">
        <f>DA183/CZ183-1</f>
        <v>7.4760938858301929E-2</v>
      </c>
      <c r="DB193" s="817"/>
      <c r="DC193" s="817"/>
      <c r="DD193" s="817">
        <f>DD183/DA183-1</f>
        <v>7.2795901860340795E-3</v>
      </c>
      <c r="DE193" s="817">
        <f>DE183/DD183-1</f>
        <v>4.1220556745181991E-2</v>
      </c>
      <c r="DF193" s="817"/>
      <c r="DG193" s="817"/>
      <c r="DH193" s="817">
        <f>DH183/DE183-1</f>
        <v>7.0951156812339322E-2</v>
      </c>
      <c r="DI193" s="817">
        <f>DI183/DH183-1</f>
        <v>4.7500000000000098E-2</v>
      </c>
      <c r="DJ193" s="817"/>
      <c r="DK193" s="817"/>
      <c r="DL193" s="817">
        <f>DL183/DI183-1</f>
        <v>3.2499999999999973E-2</v>
      </c>
      <c r="DM193" s="817">
        <f>DM183/DL183-1</f>
        <v>3.7500000000000089E-2</v>
      </c>
      <c r="DN193" s="817"/>
      <c r="DO193" s="817"/>
      <c r="DP193" s="817">
        <f>DP183/DM183-1</f>
        <v>3.2499999999999973E-2</v>
      </c>
      <c r="DQ193" s="817">
        <f>DQ183/DP183-1</f>
        <v>3.7499999999999867E-2</v>
      </c>
      <c r="DR193" s="817"/>
      <c r="DS193" s="817"/>
      <c r="DT193" s="817"/>
      <c r="DU193" s="869"/>
      <c r="DV193" s="869"/>
      <c r="DW193" s="869"/>
      <c r="DX193" s="115"/>
      <c r="DY193" s="115"/>
      <c r="DZ193" s="869"/>
      <c r="EA193" s="869"/>
      <c r="EB193" s="115"/>
      <c r="EC193" s="115"/>
      <c r="ED193" s="869"/>
      <c r="EE193" s="869"/>
      <c r="EF193" s="115"/>
      <c r="EG193" s="115"/>
      <c r="EH193" s="115"/>
      <c r="EI193" s="115"/>
      <c r="EJ193" s="115"/>
      <c r="EK193" s="115"/>
      <c r="EL193" s="115"/>
      <c r="EM193" s="115"/>
      <c r="EN193" s="115"/>
      <c r="EO193" s="115"/>
      <c r="EP193" s="115"/>
      <c r="JM193"/>
    </row>
    <row r="194" spans="1:273" s="323" customFormat="1">
      <c r="A194" s="323" t="s">
        <v>708</v>
      </c>
      <c r="B194" s="115"/>
      <c r="AN194" s="331"/>
      <c r="AO194" s="331"/>
      <c r="AP194" s="115"/>
      <c r="AQ194" s="115"/>
      <c r="AR194" s="331"/>
      <c r="AS194" s="331"/>
      <c r="AT194" s="115"/>
      <c r="AU194" s="115"/>
      <c r="AV194" s="331"/>
      <c r="AW194" s="817">
        <f>AW184/AV184-1</f>
        <v>8.2347972972973027E-2</v>
      </c>
      <c r="AX194" s="817"/>
      <c r="AY194" s="817"/>
      <c r="AZ194" s="817">
        <f>AZ184/AW184-1</f>
        <v>-0.15957861880608659</v>
      </c>
      <c r="BA194" s="817">
        <f>BA184/AZ184-1</f>
        <v>0.1740947075208914</v>
      </c>
      <c r="BB194" s="817"/>
      <c r="BC194" s="817"/>
      <c r="BD194" s="817">
        <f>BD184/BA184-1</f>
        <v>-9.0549624357453506E-2</v>
      </c>
      <c r="BE194" s="817">
        <f>BE184/BD184-1</f>
        <v>4.3478260869565188E-2</v>
      </c>
      <c r="BF194" s="817"/>
      <c r="BG194" s="817"/>
      <c r="BH194" s="817">
        <f>BH184/BE184-1</f>
        <v>-0.16666666666666663</v>
      </c>
      <c r="BI194" s="817">
        <f>BI184/BH184-1</f>
        <v>-5.0000000000000044E-2</v>
      </c>
      <c r="BJ194" s="817"/>
      <c r="BK194" s="817"/>
      <c r="BL194" s="817">
        <f>BL184/BI184-1</f>
        <v>-0.10526315789473684</v>
      </c>
      <c r="BM194" s="817">
        <f>BM184/BL184-1</f>
        <v>-0.11764705882352944</v>
      </c>
      <c r="BN194" s="817"/>
      <c r="BO194" s="817"/>
      <c r="BP194" s="817">
        <f>BP184/BM184-1</f>
        <v>0.19999999999999996</v>
      </c>
      <c r="BQ194" s="817">
        <f>BQ184/BP184-1</f>
        <v>0.27777777777777768</v>
      </c>
      <c r="BR194" s="817"/>
      <c r="BS194" s="817"/>
      <c r="BT194" s="817">
        <f>BT184/BQ184-1</f>
        <v>0.43478260869565211</v>
      </c>
      <c r="BU194" s="817">
        <f>BU184/BT184-1</f>
        <v>9.0909090909090828E-2</v>
      </c>
      <c r="BV194" s="817"/>
      <c r="BW194" s="817"/>
      <c r="BX194" s="817">
        <f>BX184/BU184-1</f>
        <v>0.16666666666666674</v>
      </c>
      <c r="BY194" s="817">
        <f>BY184/BX184-1</f>
        <v>0.30952380952380953</v>
      </c>
      <c r="BZ194" s="817"/>
      <c r="CA194" s="817"/>
      <c r="CB194" s="817">
        <f>CB184/BY184-1</f>
        <v>-3.6363636363636376E-2</v>
      </c>
      <c r="CC194" s="817">
        <f>CC184/CB184-1</f>
        <v>0.20754716981132071</v>
      </c>
      <c r="CD194" s="817"/>
      <c r="CE194" s="817"/>
      <c r="CF194" s="817">
        <f>CF184/CC184-1</f>
        <v>-1</v>
      </c>
      <c r="CG194" s="817"/>
      <c r="CH194" s="817"/>
      <c r="CI194" s="817"/>
      <c r="CJ194" s="817"/>
      <c r="CK194" s="817"/>
      <c r="CL194" s="817"/>
      <c r="CM194" s="817"/>
      <c r="CN194" s="817"/>
      <c r="CO194" s="817"/>
      <c r="CP194" s="817"/>
      <c r="CQ194" s="817"/>
      <c r="CR194" s="817"/>
      <c r="CS194" s="817"/>
      <c r="CT194" s="817"/>
      <c r="CU194" s="817"/>
      <c r="CV194" s="817"/>
      <c r="CW194" s="817"/>
      <c r="CX194" s="817"/>
      <c r="CY194" s="817"/>
      <c r="CZ194" s="817"/>
      <c r="DA194" s="817"/>
      <c r="DB194" s="817"/>
      <c r="DC194" s="817"/>
      <c r="DD194" s="817"/>
      <c r="DE194" s="817"/>
      <c r="DF194" s="817"/>
      <c r="DG194" s="817"/>
      <c r="DH194" s="817"/>
      <c r="DI194" s="869"/>
      <c r="DJ194" s="817"/>
      <c r="DK194" s="817"/>
      <c r="DL194" s="869"/>
      <c r="DM194" s="869"/>
      <c r="DN194" s="817"/>
      <c r="DO194" s="817"/>
      <c r="DP194" s="869"/>
      <c r="DQ194" s="869"/>
      <c r="DR194" s="817"/>
      <c r="DS194" s="817"/>
      <c r="DT194" s="817"/>
      <c r="DU194" s="869"/>
      <c r="DV194" s="869"/>
      <c r="DW194" s="869"/>
      <c r="DX194" s="115"/>
      <c r="DY194" s="115"/>
      <c r="DZ194" s="869"/>
      <c r="EA194" s="869"/>
      <c r="EB194" s="115"/>
      <c r="EC194" s="115"/>
      <c r="ED194" s="869"/>
      <c r="EE194" s="869"/>
      <c r="EF194" s="115"/>
      <c r="EG194" s="115"/>
      <c r="EH194" s="115"/>
      <c r="EI194" s="115"/>
      <c r="EJ194" s="115"/>
      <c r="EK194" s="115"/>
      <c r="EL194" s="115"/>
      <c r="EM194" s="115"/>
      <c r="EN194" s="115"/>
      <c r="EO194" s="115"/>
      <c r="EP194" s="115"/>
      <c r="JM194"/>
    </row>
    <row r="195" spans="1:273" s="328" customFormat="1">
      <c r="A195" s="328" t="s">
        <v>613</v>
      </c>
      <c r="B195" s="581"/>
      <c r="AN195" s="791"/>
      <c r="AO195" s="791"/>
      <c r="AP195" s="581"/>
      <c r="AQ195" s="581"/>
      <c r="AR195" s="791"/>
      <c r="AS195" s="791"/>
      <c r="AT195" s="581"/>
      <c r="AU195" s="581"/>
      <c r="AV195" s="791"/>
      <c r="AW195" s="811">
        <f>AW185/AV185-1</f>
        <v>0.64844963500553976</v>
      </c>
      <c r="AX195" s="811"/>
      <c r="AY195" s="811"/>
      <c r="AZ195" s="811">
        <f>AZ185/AW185-1</f>
        <v>4.8817823972830965E-3</v>
      </c>
      <c r="BA195" s="811">
        <f>BA185/AZ185-1</f>
        <v>-2.2616571190834267E-2</v>
      </c>
      <c r="BB195" s="811"/>
      <c r="BC195" s="811"/>
      <c r="BD195" s="811">
        <f>BD185/BA185-1</f>
        <v>6.4206965877872779E-2</v>
      </c>
      <c r="BE195" s="811">
        <f>BE185/BD185-1</f>
        <v>-5.0767356282233056E-4</v>
      </c>
      <c r="BF195" s="811"/>
      <c r="BG195" s="811"/>
      <c r="BH195" s="811">
        <f>BH185/BE185-1</f>
        <v>3.6795783861325537E-2</v>
      </c>
      <c r="BI195" s="811">
        <f>BI185/BH185-1</f>
        <v>1.9893111638954908E-2</v>
      </c>
      <c r="BJ195" s="811"/>
      <c r="BK195" s="811"/>
      <c r="BL195" s="811">
        <f>BL185/BI185-1</f>
        <v>0.10829694323144112</v>
      </c>
      <c r="BM195" s="811">
        <f>BM185/BL185-1</f>
        <v>0.11583924349881802</v>
      </c>
      <c r="BN195" s="811"/>
      <c r="BO195" s="811"/>
      <c r="BP195" s="811">
        <f>BP185/BM185-1</f>
        <v>-3.5310734463276372E-3</v>
      </c>
      <c r="BQ195" s="811">
        <f>BQ185/BP185-1</f>
        <v>0.14339711788329779</v>
      </c>
      <c r="BR195" s="811"/>
      <c r="BS195" s="811"/>
      <c r="BT195" s="811">
        <f>BT185/BQ185-1</f>
        <v>3.7809917355371869E-2</v>
      </c>
      <c r="BU195" s="811">
        <f>BU185/BT185-1</f>
        <v>-5.0567390005972546E-2</v>
      </c>
      <c r="BV195" s="811"/>
      <c r="BW195" s="811"/>
      <c r="BX195" s="811">
        <f>BX185/BU185-1</f>
        <v>3.0195009435940445E-2</v>
      </c>
      <c r="BY195" s="811">
        <f>BY185/BX185-1</f>
        <v>-2.3000203541624242E-2</v>
      </c>
      <c r="BZ195" s="811"/>
      <c r="CA195" s="811"/>
      <c r="CB195" s="811">
        <f>CB185/BY185-1</f>
        <v>-1.6874999999999973E-2</v>
      </c>
      <c r="CC195" s="811">
        <f>CC185/CB185-1</f>
        <v>4.9162958253867295E-2</v>
      </c>
      <c r="CD195" s="811"/>
      <c r="CE195" s="811"/>
      <c r="CF195" s="811">
        <f>CF185/CC185-1</f>
        <v>0.10826095738234698</v>
      </c>
      <c r="CG195" s="811">
        <f>CG185/CF185-1</f>
        <v>2.3692363768907931E-3</v>
      </c>
      <c r="CH195" s="811"/>
      <c r="CI195" s="811"/>
      <c r="CJ195" s="811">
        <f>CJ185/CG185-1</f>
        <v>2.1818181818181737E-2</v>
      </c>
      <c r="CK195" s="811">
        <f>CK185/CJ185-1</f>
        <v>6.3523131672597932E-2</v>
      </c>
      <c r="CL195" s="811"/>
      <c r="CM195" s="811"/>
      <c r="CN195" s="811">
        <f>CN185/CK185-1</f>
        <v>-7.1607830015057772E-2</v>
      </c>
      <c r="CO195" s="811">
        <f>CO185/CN185-1</f>
        <v>1.3155523517750956E-2</v>
      </c>
      <c r="CP195" s="811"/>
      <c r="CQ195" s="811"/>
      <c r="CR195" s="811">
        <f>CR185/CO185-1</f>
        <v>0.30825329064389906</v>
      </c>
      <c r="CS195" s="811">
        <f>CS185/CR185-1</f>
        <v>7.8178110129163869E-2</v>
      </c>
      <c r="CT195" s="811"/>
      <c r="CU195" s="811"/>
      <c r="CV195" s="811">
        <f>CV185/CS185-1</f>
        <v>5.0315258511979932E-2</v>
      </c>
      <c r="CW195" s="811">
        <f>CW185/CV185-1</f>
        <v>5.4868531636451001E-2</v>
      </c>
      <c r="CX195" s="811"/>
      <c r="CY195" s="811"/>
      <c r="CZ195" s="811">
        <f>CZ185/CW185-1</f>
        <v>1.5251536535397126E-2</v>
      </c>
      <c r="DA195" s="811">
        <f>DA185/CZ185-1</f>
        <v>5.1905829596412545E-2</v>
      </c>
      <c r="DB195" s="811"/>
      <c r="DC195" s="811"/>
      <c r="DD195" s="811">
        <f>DD185/DA185-1</f>
        <v>-2.2913780240861104E-2</v>
      </c>
      <c r="DE195" s="811">
        <f>DE185/DD185-1</f>
        <v>2.6396160558464166E-2</v>
      </c>
      <c r="DF195" s="811"/>
      <c r="DG195" s="811"/>
      <c r="DH195" s="811">
        <f>DH185/DE185-1</f>
        <v>1.923485653560042E-2</v>
      </c>
      <c r="DI195" s="811">
        <f>DI185/DH185-1</f>
        <v>-0.23388124283182155</v>
      </c>
      <c r="DJ195" s="811"/>
      <c r="DK195" s="811"/>
      <c r="DL195" s="811">
        <f>DL185/DI185-1</f>
        <v>3.2233078201840071E-2</v>
      </c>
      <c r="DM195" s="811">
        <f>DM185/DL185-1</f>
        <v>3.5238746010129995E-2</v>
      </c>
      <c r="DN195" s="811"/>
      <c r="DO195" s="811"/>
      <c r="DP195" s="811">
        <f>DP185/DM185-1</f>
        <v>3.2304612968221402E-2</v>
      </c>
      <c r="DQ195" s="811">
        <f>DQ185/DP185-1</f>
        <v>3.5317574903350746E-2</v>
      </c>
      <c r="DR195" s="811"/>
      <c r="DS195" s="811"/>
      <c r="DT195" s="811"/>
      <c r="DU195" s="811"/>
      <c r="DV195" s="811"/>
      <c r="DW195" s="811"/>
      <c r="DX195" s="581"/>
      <c r="DY195" s="581"/>
      <c r="DZ195" s="811"/>
      <c r="EA195" s="811"/>
      <c r="EB195" s="581"/>
      <c r="EC195" s="581"/>
      <c r="ED195" s="811"/>
      <c r="EE195" s="811"/>
      <c r="EF195" s="581"/>
      <c r="EG195" s="581"/>
      <c r="EH195" s="581"/>
      <c r="EI195" s="581"/>
      <c r="EJ195" s="581"/>
      <c r="EK195" s="581"/>
      <c r="EL195" s="581"/>
      <c r="EM195" s="581"/>
      <c r="EN195" s="581"/>
      <c r="EO195" s="581"/>
      <c r="EP195" s="581"/>
      <c r="JM195"/>
    </row>
    <row r="196" spans="1:273" s="323" customFormat="1">
      <c r="A196" s="323" t="s">
        <v>689</v>
      </c>
      <c r="B196" s="115"/>
      <c r="AN196" s="331"/>
      <c r="AO196" s="331"/>
      <c r="AP196" s="115"/>
      <c r="AQ196" s="115"/>
      <c r="AR196" s="331"/>
      <c r="AS196" s="331"/>
      <c r="AT196" s="115"/>
      <c r="AU196" s="115"/>
      <c r="AV196" s="331"/>
      <c r="AW196" s="817">
        <f>AW188/AV188-1</f>
        <v>-0.15507297551789079</v>
      </c>
      <c r="AX196" s="817"/>
      <c r="AY196" s="817"/>
      <c r="AZ196" s="817">
        <f>AZ188/AW188-1</f>
        <v>-0.68586752106986137</v>
      </c>
      <c r="BA196" s="817">
        <f>BA188/AZ188-1</f>
        <v>3.6585365853658569E-2</v>
      </c>
      <c r="BB196" s="817"/>
      <c r="BC196" s="817"/>
      <c r="BD196" s="817">
        <f>BD188/BA188-1</f>
        <v>-3.5294117647058809E-2</v>
      </c>
      <c r="BE196" s="817">
        <f>BE188/BD188-1</f>
        <v>-0.53436807095343686</v>
      </c>
      <c r="BF196" s="817"/>
      <c r="BG196" s="817"/>
      <c r="BH196" s="817">
        <f>BH188/BE188-1</f>
        <v>0.76190476190476186</v>
      </c>
      <c r="BI196" s="817">
        <f>BI188/BH188-1</f>
        <v>5.4054054054053946E-2</v>
      </c>
      <c r="BJ196" s="817"/>
      <c r="BK196" s="817"/>
      <c r="BL196" s="817">
        <f>BL188/BI188-1</f>
        <v>5.1282051282051322E-2</v>
      </c>
      <c r="BM196" s="817">
        <f>BM188/BL188-1</f>
        <v>-0.48780487804878048</v>
      </c>
      <c r="BN196" s="817"/>
      <c r="BO196" s="817"/>
      <c r="BP196" s="817">
        <f>BP188/BM188-1</f>
        <v>0</v>
      </c>
      <c r="BQ196" s="817">
        <f>BQ188/BP188-1</f>
        <v>9.5238095238095344E-2</v>
      </c>
      <c r="BR196" s="817"/>
      <c r="BS196" s="817"/>
      <c r="BT196" s="817">
        <f>BT188/BQ188-1</f>
        <v>-0.13043478260869568</v>
      </c>
      <c r="BU196" s="817">
        <f>BU188/BT188-1</f>
        <v>-0.15000000000000002</v>
      </c>
      <c r="BV196" s="817"/>
      <c r="BW196" s="817"/>
      <c r="BX196" s="817">
        <f>BX188/BU188-1</f>
        <v>5.8823529411764719E-2</v>
      </c>
      <c r="BY196" s="817">
        <f>BY188/BX188-1</f>
        <v>-5.555555555555558E-2</v>
      </c>
      <c r="BZ196" s="817"/>
      <c r="CA196" s="817"/>
      <c r="CB196" s="817">
        <f>CB188/BY188-1</f>
        <v>0</v>
      </c>
      <c r="CC196" s="817">
        <f>CC188/CB188-1</f>
        <v>-5.8823529411764719E-2</v>
      </c>
      <c r="CD196" s="817"/>
      <c r="CE196" s="817"/>
      <c r="CF196" s="817">
        <f>CF188/CC188-1</f>
        <v>0.4375</v>
      </c>
      <c r="CG196" s="817">
        <f>CG188/CF188-1</f>
        <v>-0.43478260869565222</v>
      </c>
      <c r="CH196" s="817"/>
      <c r="CI196" s="817"/>
      <c r="CJ196" s="817">
        <f>CJ188/CG188-1</f>
        <v>7.6923076923076872E-2</v>
      </c>
      <c r="CK196" s="817">
        <f>CK188/CJ188-1</f>
        <v>-0.1428571428571429</v>
      </c>
      <c r="CL196" s="817"/>
      <c r="CM196" s="817"/>
      <c r="CN196" s="817">
        <f>CN188/CK188-1</f>
        <v>0.16666666666666674</v>
      </c>
      <c r="CO196" s="817">
        <f>CO188/CN188-1</f>
        <v>-7.1428571428571397E-2</v>
      </c>
      <c r="CP196" s="817"/>
      <c r="CQ196" s="817"/>
      <c r="CR196" s="817">
        <f>CR188/CO188-1</f>
        <v>0.15384615384615374</v>
      </c>
      <c r="CS196" s="817">
        <f>CS188/CR188-1</f>
        <v>-1</v>
      </c>
      <c r="CT196" s="817"/>
      <c r="CU196" s="817"/>
      <c r="CV196" s="817"/>
      <c r="CW196" s="817"/>
      <c r="CX196" s="817"/>
      <c r="CY196" s="817"/>
      <c r="CZ196" s="817"/>
      <c r="DA196" s="817"/>
      <c r="DB196" s="817"/>
      <c r="DC196" s="817"/>
      <c r="DD196" s="817"/>
      <c r="DE196" s="817"/>
      <c r="DF196" s="817"/>
      <c r="DG196" s="817"/>
      <c r="DH196" s="817"/>
      <c r="DI196" s="869"/>
      <c r="DJ196" s="817"/>
      <c r="DK196" s="817"/>
      <c r="DL196" s="869"/>
      <c r="DM196" s="869"/>
      <c r="DN196" s="817"/>
      <c r="DO196" s="817"/>
      <c r="DP196" s="869"/>
      <c r="DQ196" s="869"/>
      <c r="DR196" s="817"/>
      <c r="DS196" s="817"/>
      <c r="DT196" s="817"/>
      <c r="DU196" s="869"/>
      <c r="DV196" s="869"/>
      <c r="DW196" s="869"/>
      <c r="DX196" s="115"/>
      <c r="DY196" s="115"/>
      <c r="DZ196" s="869"/>
      <c r="EA196" s="869"/>
      <c r="EB196" s="115"/>
      <c r="EC196" s="115"/>
      <c r="ED196" s="869"/>
      <c r="EE196" s="869"/>
      <c r="EF196" s="115"/>
      <c r="EG196" s="115"/>
      <c r="EH196" s="115"/>
      <c r="EI196" s="115"/>
      <c r="EJ196" s="115"/>
      <c r="EK196" s="115"/>
      <c r="EL196" s="115"/>
      <c r="EM196" s="115"/>
      <c r="EN196" s="115"/>
      <c r="EO196" s="115"/>
      <c r="EP196" s="115"/>
      <c r="JM196"/>
    </row>
    <row r="197" spans="1:273" s="328" customFormat="1">
      <c r="A197" s="328" t="s">
        <v>852</v>
      </c>
      <c r="B197" s="581"/>
      <c r="AN197" s="791"/>
      <c r="AO197" s="791"/>
      <c r="AP197" s="581"/>
      <c r="AQ197" s="581"/>
      <c r="AR197" s="791"/>
      <c r="AS197" s="791"/>
      <c r="AT197" s="581"/>
      <c r="AU197" s="581"/>
      <c r="AV197" s="791"/>
      <c r="AW197" s="811"/>
      <c r="AX197" s="811"/>
      <c r="AY197" s="811"/>
      <c r="AZ197" s="811">
        <f>AZ189/AW189-1</f>
        <v>-2.5603349430848854E-2</v>
      </c>
      <c r="BA197" s="811">
        <f>BA189/AZ189-1</f>
        <v>-2.1774244431825407E-2</v>
      </c>
      <c r="BB197" s="811"/>
      <c r="BC197" s="811"/>
      <c r="BD197" s="811">
        <f>BD189/BA189-1</f>
        <v>6.270680280445573E-2</v>
      </c>
      <c r="BE197" s="811">
        <f>BE189/BD189-1</f>
        <v>-7.8143492695480488E-3</v>
      </c>
      <c r="BF197" s="811"/>
      <c r="BG197" s="811"/>
      <c r="BH197" s="811">
        <f>BH189/BE189-1</f>
        <v>4.1453201895108371E-2</v>
      </c>
      <c r="BI197" s="811">
        <f>BI189/BH189-1</f>
        <v>2.026431718061672E-2</v>
      </c>
      <c r="BJ197" s="811"/>
      <c r="BK197" s="811"/>
      <c r="BL197" s="811">
        <f>BL189/BI189-1</f>
        <v>0.10765687967760496</v>
      </c>
      <c r="BM197" s="811">
        <f>BM189/BL189-1</f>
        <v>0.10940748440748438</v>
      </c>
      <c r="BN197" s="811"/>
      <c r="BO197" s="811"/>
      <c r="BP197" s="811">
        <f>BP189/BM189-1</f>
        <v>-3.5137034434293835E-3</v>
      </c>
      <c r="BQ197" s="811">
        <f>BQ189/BP189-1</f>
        <v>0.14315937940761647</v>
      </c>
      <c r="BR197" s="811"/>
      <c r="BS197" s="811"/>
      <c r="BT197" s="811">
        <f>BT189/BQ189-1</f>
        <v>3.7014188772362733E-2</v>
      </c>
      <c r="BU197" s="811">
        <f>BU189/BT189-1</f>
        <v>-5.0961729129486377E-2</v>
      </c>
      <c r="BV197" s="811"/>
      <c r="BW197" s="811"/>
      <c r="BX197" s="811">
        <f>BX189/BU189-1</f>
        <v>3.0296698704554981E-2</v>
      </c>
      <c r="BY197" s="811">
        <f>BY189/BX189-1</f>
        <v>-2.3119042790509026E-2</v>
      </c>
      <c r="BZ197" s="811"/>
      <c r="CA197" s="811"/>
      <c r="CB197" s="811">
        <f>CB189/BY189-1</f>
        <v>-1.6815445297903242E-2</v>
      </c>
      <c r="CC197" s="811">
        <f>CC189/CB189-1</f>
        <v>4.877533783783794E-2</v>
      </c>
      <c r="CD197" s="811"/>
      <c r="CE197" s="811"/>
      <c r="CF197" s="811">
        <f>CF189/CC189-1</f>
        <v>0.10932152204550039</v>
      </c>
      <c r="CG197" s="811">
        <f>CG189/CF189-1</f>
        <v>5.444646098002881E-4</v>
      </c>
      <c r="CH197" s="811"/>
      <c r="CI197" s="811"/>
      <c r="CJ197" s="811">
        <f>CJ189/CG189-1</f>
        <v>2.1948122619263488E-2</v>
      </c>
      <c r="CK197" s="811">
        <f>CK189/CJ189-1</f>
        <v>6.3010294639687547E-2</v>
      </c>
      <c r="CL197" s="811"/>
      <c r="CM197" s="811"/>
      <c r="CN197" s="811">
        <f>CN189/CK189-1</f>
        <v>-7.1130405743863756E-2</v>
      </c>
      <c r="CO197" s="811">
        <f>CO189/CN189-1</f>
        <v>1.2942656839834532E-2</v>
      </c>
      <c r="CP197" s="811"/>
      <c r="CQ197" s="811"/>
      <c r="CR197" s="811">
        <f>CR189/CO189-1</f>
        <v>0.30789707187222715</v>
      </c>
      <c r="CS197" s="811">
        <f>CS189/CR189-1</f>
        <v>7.5983717774762649E-2</v>
      </c>
      <c r="CT197" s="811"/>
      <c r="CU197" s="811"/>
      <c r="CV197" s="811">
        <f>CV189/CS189-1</f>
        <v>5.0315258511979932E-2</v>
      </c>
      <c r="CW197" s="811">
        <f>CW189/CV189-1</f>
        <v>5.4868531636451001E-2</v>
      </c>
      <c r="CX197" s="811"/>
      <c r="CY197" s="811"/>
      <c r="CZ197" s="811">
        <f>CZ189/CW189-1</f>
        <v>1.5251536535397126E-2</v>
      </c>
      <c r="DA197" s="811">
        <f>DA189/CZ189-1</f>
        <v>5.1905829596412545E-2</v>
      </c>
      <c r="DB197" s="811"/>
      <c r="DC197" s="811"/>
      <c r="DD197" s="811">
        <f>DD189/DA189-1</f>
        <v>-2.2913780240861104E-2</v>
      </c>
      <c r="DE197" s="811">
        <f>DE189/DD189-1</f>
        <v>2.6396160558464166E-2</v>
      </c>
      <c r="DF197" s="811"/>
      <c r="DG197" s="811"/>
      <c r="DH197" s="811">
        <f>DH189/DE189-1</f>
        <v>1.923485653560042E-2</v>
      </c>
      <c r="DI197" s="811">
        <f>DI189/DH189-1</f>
        <v>-0.23388124283182155</v>
      </c>
      <c r="DJ197" s="811"/>
      <c r="DK197" s="811"/>
      <c r="DL197" s="811">
        <f>DL189/DI189-1</f>
        <v>3.2233078201840071E-2</v>
      </c>
      <c r="DM197" s="811">
        <f>DM189/DL189-1</f>
        <v>3.5238746010129995E-2</v>
      </c>
      <c r="DN197" s="811"/>
      <c r="DO197" s="811"/>
      <c r="DP197" s="811">
        <f>DP189/DM189-1</f>
        <v>3.2304612968221402E-2</v>
      </c>
      <c r="DQ197" s="811">
        <f>DQ189/DP189-1</f>
        <v>3.5317574903350746E-2</v>
      </c>
      <c r="DR197" s="811"/>
      <c r="DS197" s="811"/>
      <c r="DT197" s="811"/>
      <c r="DU197" s="873"/>
      <c r="DV197" s="873"/>
      <c r="DW197" s="873"/>
      <c r="DX197" s="581"/>
      <c r="DY197" s="581"/>
      <c r="DZ197" s="873"/>
      <c r="EA197" s="873"/>
      <c r="EB197" s="581"/>
      <c r="EC197" s="581"/>
      <c r="ED197" s="873"/>
      <c r="EE197" s="873"/>
      <c r="EF197" s="581"/>
      <c r="EG197" s="581"/>
      <c r="EH197" s="581"/>
      <c r="EI197" s="581"/>
      <c r="EJ197" s="581"/>
      <c r="EK197" s="581"/>
      <c r="EL197" s="581"/>
      <c r="EM197" s="581"/>
      <c r="EN197" s="581"/>
      <c r="EO197" s="581"/>
      <c r="EP197" s="581"/>
      <c r="JM197"/>
    </row>
    <row r="199" spans="1:273" s="891" customFormat="1" ht="15.6">
      <c r="A199" s="1405" t="s">
        <v>692</v>
      </c>
      <c r="B199" s="890"/>
      <c r="AN199" s="892"/>
      <c r="AO199" s="892"/>
      <c r="AP199" s="890"/>
      <c r="AQ199" s="890"/>
      <c r="AR199" s="892"/>
      <c r="AS199" s="892"/>
      <c r="AT199" s="890"/>
      <c r="AU199" s="890"/>
      <c r="AV199" s="892"/>
      <c r="AW199" s="892"/>
      <c r="AX199" s="890"/>
      <c r="AY199" s="890"/>
      <c r="AZ199" s="892"/>
      <c r="BA199" s="890"/>
      <c r="BB199" s="890"/>
      <c r="BC199" s="890"/>
      <c r="BD199" s="892"/>
      <c r="BE199" s="890"/>
      <c r="BF199" s="890"/>
      <c r="BG199" s="890"/>
      <c r="BH199" s="892"/>
      <c r="BI199" s="890"/>
      <c r="BJ199" s="890"/>
      <c r="BK199" s="890"/>
      <c r="BL199" s="892"/>
      <c r="BM199" s="890"/>
      <c r="BN199" s="890"/>
      <c r="BO199" s="890"/>
      <c r="BP199" s="892"/>
      <c r="BQ199" s="890"/>
      <c r="BR199" s="890"/>
      <c r="BS199" s="890"/>
      <c r="BT199" s="892"/>
      <c r="BU199" s="890"/>
      <c r="BV199" s="890"/>
      <c r="BW199" s="890"/>
      <c r="BX199" s="892"/>
      <c r="BY199" s="892"/>
      <c r="BZ199" s="890"/>
      <c r="CA199" s="890"/>
      <c r="CB199" s="890"/>
      <c r="CC199" s="890"/>
      <c r="CD199" s="890"/>
      <c r="CE199" s="1612"/>
      <c r="CF199" s="890"/>
      <c r="CG199" s="890"/>
      <c r="CH199" s="890"/>
      <c r="CI199" s="1612"/>
      <c r="CJ199" s="890"/>
      <c r="CK199" s="890"/>
      <c r="CL199" s="890"/>
      <c r="CM199" s="1612"/>
      <c r="CN199" s="890"/>
      <c r="CO199" s="890"/>
      <c r="CP199" s="890"/>
      <c r="CQ199" s="1612"/>
      <c r="CR199" s="890"/>
      <c r="CS199" s="890"/>
      <c r="CT199" s="890"/>
      <c r="CU199" s="890"/>
      <c r="CV199" s="890"/>
      <c r="CW199" s="890"/>
      <c r="CX199" s="890"/>
      <c r="CY199" s="890"/>
      <c r="CZ199" s="890"/>
      <c r="DA199" s="890"/>
      <c r="DB199" s="890"/>
      <c r="DC199" s="890"/>
      <c r="DD199" s="890"/>
      <c r="DE199" s="890"/>
      <c r="DF199" s="890"/>
      <c r="DG199" s="890"/>
      <c r="DH199" s="890"/>
      <c r="DI199" s="890"/>
      <c r="DJ199" s="890"/>
      <c r="DK199" s="890"/>
      <c r="DL199" s="890"/>
      <c r="DM199" s="890"/>
      <c r="DN199" s="890"/>
      <c r="DO199" s="890"/>
      <c r="DP199" s="890"/>
      <c r="DQ199" s="890"/>
      <c r="DR199" s="890"/>
      <c r="DS199" s="890"/>
      <c r="DT199" s="890"/>
      <c r="DU199" s="890"/>
      <c r="DV199" s="890"/>
      <c r="DW199" s="890"/>
      <c r="DX199" s="890"/>
      <c r="DY199" s="890"/>
      <c r="DZ199" s="890"/>
      <c r="EA199" s="890"/>
      <c r="EB199" s="890"/>
      <c r="EC199" s="890"/>
      <c r="ED199" s="890"/>
      <c r="EE199" s="890"/>
      <c r="EF199" s="890"/>
      <c r="EG199" s="890"/>
      <c r="EH199" s="890"/>
      <c r="EI199" s="890"/>
      <c r="EJ199" s="890"/>
      <c r="EK199" s="890"/>
      <c r="EL199" s="890"/>
      <c r="EM199" s="890"/>
      <c r="EN199" s="890"/>
      <c r="EO199" s="890"/>
      <c r="EP199" s="890"/>
      <c r="FL199" s="102"/>
      <c r="FM199" s="102"/>
      <c r="FN199" s="102"/>
      <c r="FO199" s="102"/>
      <c r="FP199" s="102"/>
      <c r="FQ199" s="102"/>
      <c r="FR199" s="102"/>
      <c r="FS199" s="102"/>
      <c r="FT199" s="102"/>
      <c r="FU199" s="102"/>
      <c r="FV199" s="102"/>
      <c r="FW199" s="102"/>
      <c r="FX199" s="102"/>
      <c r="FY199" s="102"/>
      <c r="FZ199" s="102"/>
      <c r="GA199" s="102"/>
      <c r="GB199" s="102"/>
      <c r="GC199" s="102"/>
      <c r="GD199" s="102"/>
      <c r="GE199" s="102"/>
      <c r="GF199" s="102"/>
      <c r="GG199" s="102"/>
      <c r="GH199" s="102"/>
      <c r="GI199" s="102"/>
      <c r="GJ199" s="102"/>
      <c r="GK199" s="102"/>
      <c r="GL199" s="102"/>
      <c r="GM199" s="102"/>
      <c r="GN199" s="102"/>
      <c r="GO199" s="102"/>
      <c r="GP199" s="102"/>
      <c r="GQ199" s="102"/>
      <c r="GR199" s="102"/>
      <c r="GS199" s="102"/>
      <c r="GT199" s="102"/>
      <c r="GU199" s="102"/>
      <c r="GV199" s="102"/>
      <c r="GW199" s="102"/>
      <c r="GX199" s="102"/>
      <c r="GY199" s="102"/>
      <c r="GZ199" s="102"/>
      <c r="HA199" s="102"/>
      <c r="HB199" s="102"/>
      <c r="HC199" s="102"/>
      <c r="HD199" s="102"/>
      <c r="HE199" s="102"/>
      <c r="HF199" s="102"/>
      <c r="HG199" s="102"/>
      <c r="HH199" s="102"/>
      <c r="HI199" s="102"/>
      <c r="HJ199" s="102"/>
      <c r="HK199" s="102"/>
      <c r="HL199" s="102"/>
      <c r="HM199" s="102"/>
      <c r="HN199" s="102"/>
      <c r="HO199" s="102"/>
      <c r="HP199" s="102"/>
      <c r="HQ199" s="102"/>
      <c r="HR199" s="102"/>
      <c r="HS199" s="102"/>
      <c r="HT199" s="102"/>
      <c r="HU199" s="102"/>
      <c r="HV199" s="102"/>
      <c r="HW199" s="102"/>
      <c r="HX199" s="102"/>
      <c r="HY199" s="102"/>
      <c r="HZ199" s="102"/>
      <c r="IA199" s="102"/>
      <c r="IB199" s="102"/>
      <c r="IC199" s="102"/>
      <c r="ID199" s="102"/>
      <c r="IE199" s="102"/>
      <c r="IF199" s="102"/>
      <c r="IG199" s="102"/>
      <c r="IH199" s="102"/>
      <c r="II199" s="102"/>
      <c r="IJ199" s="102"/>
      <c r="IK199" s="102"/>
      <c r="IL199" s="102"/>
      <c r="IM199" s="102"/>
      <c r="IN199" s="102"/>
      <c r="IO199" s="102"/>
      <c r="IP199" s="102"/>
      <c r="IQ199" s="102"/>
      <c r="IR199" s="102"/>
      <c r="IS199" s="102"/>
      <c r="IT199" s="102"/>
      <c r="IU199" s="102"/>
      <c r="IV199" s="102"/>
      <c r="IW199" s="102"/>
      <c r="IX199" s="102"/>
      <c r="IY199" s="102"/>
      <c r="IZ199" s="102"/>
      <c r="JA199" s="102"/>
      <c r="JB199" s="102"/>
      <c r="JC199" s="102"/>
      <c r="JD199" s="102"/>
      <c r="JE199" s="102"/>
      <c r="JF199" s="102"/>
      <c r="JG199" s="102"/>
      <c r="JH199" s="102"/>
      <c r="JI199" s="102"/>
      <c r="JJ199" s="102"/>
      <c r="JK199" s="102"/>
      <c r="JL199" s="102"/>
      <c r="JM199"/>
    </row>
    <row r="201" spans="1:273">
      <c r="A201" s="893" t="s">
        <v>577</v>
      </c>
      <c r="AN201" s="293"/>
      <c r="AO201" s="293"/>
      <c r="AR201" s="293"/>
      <c r="AS201" s="293"/>
      <c r="AV201" s="293"/>
      <c r="AW201" s="293"/>
      <c r="AZ201" s="293"/>
      <c r="BA201" s="813"/>
      <c r="BD201" s="293"/>
      <c r="BE201" s="293"/>
      <c r="BH201" s="293"/>
      <c r="BI201" s="293"/>
      <c r="BL201" s="293"/>
      <c r="BM201" s="293"/>
      <c r="BP201" s="293"/>
      <c r="BQ201" s="293"/>
      <c r="BT201" s="293"/>
      <c r="BU201" s="293"/>
      <c r="BX201" s="293"/>
      <c r="BY201" s="293"/>
      <c r="CB201" s="293"/>
      <c r="CC201" s="293"/>
      <c r="CF201" s="293"/>
      <c r="CG201" s="293"/>
      <c r="CJ201" s="293"/>
      <c r="CK201" s="293"/>
      <c r="CN201" s="293"/>
      <c r="CO201" s="293"/>
      <c r="CR201" s="293"/>
      <c r="CS201" s="293"/>
      <c r="CV201" s="293"/>
      <c r="CW201" s="293"/>
      <c r="CZ201" s="293"/>
      <c r="DA201" s="293"/>
      <c r="DD201" s="293"/>
      <c r="DE201" s="293"/>
      <c r="DH201" s="293"/>
      <c r="DI201" s="293"/>
      <c r="DL201" s="293"/>
      <c r="DM201" s="293"/>
      <c r="DP201" s="293"/>
      <c r="DQ201" s="293"/>
      <c r="DU201" s="293"/>
      <c r="DV201" s="293"/>
      <c r="DW201" s="293"/>
      <c r="DZ201" s="293"/>
      <c r="EA201" s="293"/>
      <c r="ED201" s="293"/>
      <c r="EE201" s="293"/>
    </row>
    <row r="202" spans="1:273">
      <c r="A202" s="102" t="s">
        <v>706</v>
      </c>
      <c r="AN202" s="293"/>
      <c r="AO202" s="293"/>
      <c r="AR202" s="293"/>
      <c r="AS202" s="293"/>
      <c r="AT202" s="730"/>
      <c r="AU202" s="730"/>
      <c r="AV202" s="293">
        <f>AVERAGE(AV182,AS182)</f>
        <v>55588</v>
      </c>
      <c r="AW202" s="293">
        <f>AVERAGE(AV182:AW182)</f>
        <v>131459.5</v>
      </c>
      <c r="AX202" s="293">
        <f>AVERAGE(AV202:AW202)</f>
        <v>93523.75</v>
      </c>
      <c r="AY202" s="730"/>
      <c r="AZ202" s="293">
        <f>AVERAGE(AZ182,AW182)</f>
        <v>208265.5</v>
      </c>
      <c r="BA202" s="293">
        <f>AVERAGE(AZ182:BA182)</f>
        <v>207373</v>
      </c>
      <c r="BB202" s="293">
        <f>AVERAGE(AZ202:BA202)</f>
        <v>207819.25</v>
      </c>
      <c r="BD202" s="293">
        <f>AVERAGE(BD182,BA182)</f>
        <v>212979</v>
      </c>
      <c r="BE202" s="293">
        <f>AVERAGE(BD182:BE182)</f>
        <v>221329.5</v>
      </c>
      <c r="BF202" s="293">
        <f>AVERAGE(BD202:BE202)</f>
        <v>217154.25</v>
      </c>
      <c r="BH202" s="293">
        <f>AVERAGE(BH182,BE182)</f>
        <v>225673.5</v>
      </c>
      <c r="BI202" s="293">
        <f>AVERAGE(BH182:BI182)</f>
        <v>234200</v>
      </c>
      <c r="BJ202" s="293">
        <f>AVERAGE(BH202:BI202)</f>
        <v>229936.75</v>
      </c>
      <c r="BL202" s="293">
        <f>AVERAGE(BL182,BI182)</f>
        <v>252000</v>
      </c>
      <c r="BM202" s="293">
        <f>AVERAGE(BL182:BM182)</f>
        <v>287600</v>
      </c>
      <c r="BN202" s="293">
        <f>AVERAGE(BL202:BM202)</f>
        <v>269800</v>
      </c>
      <c r="BP202" s="293">
        <f>AVERAGE(BP182,BM182)</f>
        <v>308900</v>
      </c>
      <c r="BQ202" s="293">
        <f>AVERAGE(BP182:BQ182)</f>
        <v>327650</v>
      </c>
      <c r="BR202" s="293">
        <f>AVERAGE(BP202:BQ202)</f>
        <v>318275</v>
      </c>
      <c r="BS202" s="671">
        <f>BR202/BN202-1</f>
        <v>0.17967012601927346</v>
      </c>
      <c r="BT202" s="293">
        <f>AVERAGE(BT182,BQ182)</f>
        <v>349600</v>
      </c>
      <c r="BU202" s="293">
        <f>AVERAGE(BT182:BU182)</f>
        <v>344150</v>
      </c>
      <c r="BV202" s="293">
        <f>AVERAGE(BT202:BU202)</f>
        <v>346875</v>
      </c>
      <c r="BW202" s="671">
        <f>BV202/BR202-1</f>
        <v>8.9859398319063644E-2</v>
      </c>
      <c r="BX202" s="293">
        <f>AVERAGE(BX182,BU182)</f>
        <v>344100</v>
      </c>
      <c r="BY202" s="293">
        <f>AVERAGE(BX182:BY182)</f>
        <v>335700</v>
      </c>
      <c r="BZ202" s="293">
        <f>AVERAGE(BX202:BY202)</f>
        <v>339900</v>
      </c>
      <c r="CA202" s="671">
        <f>BZ202/BV202-1</f>
        <v>-2.0108108108108147E-2</v>
      </c>
      <c r="CB202" s="293">
        <f>AVERAGE(CB182,BY182)</f>
        <v>322750</v>
      </c>
      <c r="CC202" s="293">
        <f>AVERAGE(CB182:CC182)</f>
        <v>329350</v>
      </c>
      <c r="CD202" s="293">
        <f>AVERAGE(CB202:CC202)</f>
        <v>326050</v>
      </c>
      <c r="CE202" s="671">
        <f>CD202/BZ202-1</f>
        <v>-4.0747278611356297E-2</v>
      </c>
      <c r="CF202" s="293">
        <f>AVERAGE(CF182,CC182)</f>
        <v>348550</v>
      </c>
      <c r="CG202" s="293">
        <f>AVERAGE(CF182:CG182)</f>
        <v>362300</v>
      </c>
      <c r="CH202" s="293">
        <f>AVERAGE(CF202:CG202)</f>
        <v>355425</v>
      </c>
      <c r="CI202" s="671">
        <f>CH202/CD202-1</f>
        <v>9.0093543934979259E-2</v>
      </c>
      <c r="CJ202" s="293">
        <f>AVERAGE(CJ182,CG182)</f>
        <v>361050</v>
      </c>
      <c r="CK202" s="293">
        <f>AVERAGE(CJ182:CK182)</f>
        <v>371850</v>
      </c>
      <c r="CL202" s="293">
        <f>AVERAGE(CJ202:CK202)</f>
        <v>366450</v>
      </c>
      <c r="CM202" s="671">
        <f>CL202/CH202-1</f>
        <v>3.1019202363367748E-2</v>
      </c>
      <c r="CN202" s="293">
        <f>AVERAGE(CN182,CK182)</f>
        <v>366750</v>
      </c>
      <c r="CO202" s="293">
        <f>AVERAGE(CN182:CO182)</f>
        <v>359000</v>
      </c>
      <c r="CP202" s="293">
        <f>AVERAGE(CN202:CO202)</f>
        <v>362875</v>
      </c>
      <c r="CQ202" s="671">
        <f>CP202/CL202-1</f>
        <v>-9.7557647700914352E-3</v>
      </c>
      <c r="CR202" s="1394">
        <f>5/6*CR182+CO182/6</f>
        <v>490016.66666666669</v>
      </c>
      <c r="CS202" s="640">
        <f>+CR182*0.833333333333333+CS182/6</f>
        <v>518016.66666666651</v>
      </c>
      <c r="CT202" s="293">
        <f>AVERAGE(CR202:CS202)</f>
        <v>504016.66666666663</v>
      </c>
      <c r="CU202" s="671"/>
      <c r="CV202" s="293">
        <f>AVERAGE(CV182,CS182)</f>
        <v>527900</v>
      </c>
      <c r="CW202" s="293">
        <f>AVERAGE(CV182:CW182)</f>
        <v>527600</v>
      </c>
      <c r="CX202" s="293">
        <f>AVERAGE(CV202:CW202)</f>
        <v>527750</v>
      </c>
      <c r="CY202" s="671"/>
      <c r="CZ202" s="293">
        <f>AVERAGE(CZ182,CW182)</f>
        <v>540700</v>
      </c>
      <c r="DA202" s="293">
        <f>AVERAGE(CZ182:DA182)</f>
        <v>557150</v>
      </c>
      <c r="DB202" s="293">
        <f>AVERAGE(CZ202:DA202)</f>
        <v>548925</v>
      </c>
      <c r="DC202" s="671"/>
      <c r="DD202" s="293">
        <f>AVERAGE(DD182,DA182)</f>
        <v>555300</v>
      </c>
      <c r="DE202" s="293">
        <f>AVERAGE(DD182:DE182)</f>
        <v>547600</v>
      </c>
      <c r="DF202" s="293">
        <f>AVERAGE(DD202:DE202)</f>
        <v>551450</v>
      </c>
      <c r="DG202" s="671"/>
      <c r="DH202" s="293">
        <f>AVERAGE(DH182,DE182)</f>
        <v>547250</v>
      </c>
      <c r="DI202" s="293">
        <f>+DI182*4/6+DH182*2/6</f>
        <v>379764</v>
      </c>
      <c r="DJ202" s="293">
        <f>AVERAGE(DH202:DI202)</f>
        <v>463507</v>
      </c>
      <c r="DK202" s="671"/>
      <c r="DL202" s="293">
        <f>AVERAGE(DL182,DI182)</f>
        <v>303146.87</v>
      </c>
      <c r="DM202" s="293">
        <f>AVERAGE(DL182:DM182)</f>
        <v>312813.27724999993</v>
      </c>
      <c r="DN202" s="293">
        <f>AVERAGE(DL202:DM202)</f>
        <v>307980.07362499996</v>
      </c>
      <c r="DO202" s="293"/>
      <c r="DP202" s="293">
        <f>AVERAGE(DP182,DM182)</f>
        <v>322815.19914274989</v>
      </c>
      <c r="DQ202" s="293">
        <f>AVERAGE(DP182:DQ182)</f>
        <v>333165.24324964616</v>
      </c>
      <c r="DR202" s="293">
        <f>AVERAGE(DP202:DQ202)</f>
        <v>327990.22119619802</v>
      </c>
      <c r="DS202" s="293"/>
      <c r="DU202" s="293"/>
      <c r="DV202" s="293"/>
      <c r="DW202" s="293"/>
      <c r="DX202" s="293"/>
      <c r="DZ202" s="293"/>
      <c r="EA202" s="293"/>
      <c r="EB202" s="293"/>
      <c r="ED202" s="293"/>
      <c r="EE202" s="293"/>
      <c r="EF202" s="293"/>
    </row>
    <row r="203" spans="1:273">
      <c r="A203" s="102" t="s">
        <v>707</v>
      </c>
      <c r="AN203" s="293"/>
      <c r="AO203" s="293"/>
      <c r="AR203" s="293"/>
      <c r="AS203" s="293"/>
      <c r="AT203" s="626"/>
      <c r="AU203" s="626"/>
      <c r="AV203" s="293">
        <f>AVERAGE(AV183,AS183)</f>
        <v>130677</v>
      </c>
      <c r="AW203" s="293">
        <f>AVERAGE(AV183:AW183)</f>
        <v>115867.5</v>
      </c>
      <c r="AX203" s="293">
        <f>AVERAGE(AV203:AW203)</f>
        <v>123272.25</v>
      </c>
      <c r="AY203" s="626"/>
      <c r="AZ203" s="293">
        <f>AVERAGE(AZ183,AW183)</f>
        <v>101087</v>
      </c>
      <c r="BA203" s="293">
        <f>AVERAGE(AZ183:BA183)</f>
        <v>99222</v>
      </c>
      <c r="BB203" s="293">
        <f>AVERAGE(AZ203:BA203)</f>
        <v>100154.5</v>
      </c>
      <c r="BD203" s="293">
        <f>AVERAGE(BD183,BA183)</f>
        <v>99814</v>
      </c>
      <c r="BE203" s="293">
        <f>AVERAGE(BD183:BE183)</f>
        <v>101250</v>
      </c>
      <c r="BF203" s="293">
        <f>AVERAGE(BD203:BE203)</f>
        <v>100532</v>
      </c>
      <c r="BH203" s="293">
        <f>AVERAGE(BH183,BE183)</f>
        <v>102950</v>
      </c>
      <c r="BI203" s="293">
        <f>AVERAGE(BH183:BI183)</f>
        <v>104000</v>
      </c>
      <c r="BJ203" s="293">
        <f>AVERAGE(BH203:BI203)</f>
        <v>103475</v>
      </c>
      <c r="BL203" s="293">
        <f>AVERAGE(BL183,BI183)</f>
        <v>108300</v>
      </c>
      <c r="BM203" s="293">
        <f>AVERAGE(BL183:BM183)</f>
        <v>113550</v>
      </c>
      <c r="BN203" s="293">
        <f>AVERAGE(BL203:BM203)</f>
        <v>110925</v>
      </c>
      <c r="BP203" s="293">
        <f>AVERAGE(BP183,BM183)</f>
        <v>113500</v>
      </c>
      <c r="BQ203" s="293">
        <f>AVERAGE(BP183:BQ183)</f>
        <v>123950</v>
      </c>
      <c r="BR203" s="293">
        <f>AVERAGE(BP203:BQ203)</f>
        <v>118725</v>
      </c>
      <c r="BS203" s="671">
        <f>BR203/BN203-1</f>
        <v>7.0317782285328034E-2</v>
      </c>
      <c r="BT203" s="293">
        <f>AVERAGE(BT183,BQ183)</f>
        <v>140750</v>
      </c>
      <c r="BU203" s="293">
        <f>AVERAGE(BT183:BU183)</f>
        <v>142000</v>
      </c>
      <c r="BV203" s="293">
        <f>AVERAGE(BT203:BU203)</f>
        <v>141375</v>
      </c>
      <c r="BW203" s="671">
        <f>BV203/BR203-1</f>
        <v>0.19077700568540745</v>
      </c>
      <c r="BX203" s="293">
        <f>AVERAGE(BX183,BU183)</f>
        <v>136100</v>
      </c>
      <c r="BY203" s="293">
        <f>AVERAGE(BX183:BY183)</f>
        <v>145100</v>
      </c>
      <c r="BZ203" s="293">
        <f>AVERAGE(BX203:BY203)</f>
        <v>140600</v>
      </c>
      <c r="CA203" s="671">
        <f>BZ203/BV203-1</f>
        <v>-5.481874447391677E-3</v>
      </c>
      <c r="CB203" s="293">
        <f>AVERAGE(CB183,BY183)</f>
        <v>147800</v>
      </c>
      <c r="CC203" s="293">
        <f>AVERAGE(CB183:CC183)</f>
        <v>148300</v>
      </c>
      <c r="CD203" s="293">
        <f>AVERAGE(CB203:CC203)</f>
        <v>148050</v>
      </c>
      <c r="CE203" s="671">
        <f>CD203/BZ203-1</f>
        <v>5.2987197724039925E-2</v>
      </c>
      <c r="CF203" s="293">
        <f>AVERAGE(CF183,CC183)</f>
        <v>170150</v>
      </c>
      <c r="CG203" s="293">
        <f>AVERAGE(CF183:CG183)</f>
        <v>187050</v>
      </c>
      <c r="CH203" s="293">
        <f>AVERAGE(CF203:CG203)</f>
        <v>178600</v>
      </c>
      <c r="CI203" s="671">
        <f>CH203/CD203-1</f>
        <v>0.20634920634920628</v>
      </c>
      <c r="CJ203" s="293">
        <f>AVERAGE(CJ183,CG183)</f>
        <v>194950</v>
      </c>
      <c r="CK203" s="293">
        <f>AVERAGE(CJ183:CK183)</f>
        <v>212000</v>
      </c>
      <c r="CL203" s="293">
        <f>AVERAGE(CJ203:CK203)</f>
        <v>203475</v>
      </c>
      <c r="CM203" s="671">
        <f>CL203/CH203-1</f>
        <v>0.13927771556550961</v>
      </c>
      <c r="CN203" s="293">
        <f>AVERAGE(CN183,CK183)</f>
        <v>213550</v>
      </c>
      <c r="CO203" s="293">
        <f>AVERAGE(CN183:CO183)</f>
        <v>199550</v>
      </c>
      <c r="CP203" s="293">
        <f>AVERAGE(CN203:CO203)</f>
        <v>206550</v>
      </c>
      <c r="CQ203" s="671">
        <f>CP203/CL203-1</f>
        <v>1.5112421673424192E-2</v>
      </c>
      <c r="CR203" s="293">
        <f>AVERAGE(CR183,CO183)</f>
        <v>208000</v>
      </c>
      <c r="CS203" s="293">
        <f>AVERAGE(CR183:CS183)</f>
        <v>239400</v>
      </c>
      <c r="CT203" s="293">
        <f>AVERAGE(CR203:CS203)</f>
        <v>223700</v>
      </c>
      <c r="CU203" s="671"/>
      <c r="CV203" s="293">
        <f>AVERAGE(CV183,CS183)</f>
        <v>285050</v>
      </c>
      <c r="CW203" s="293">
        <f>AVERAGE(CV183:CW183)</f>
        <v>328150</v>
      </c>
      <c r="CX203" s="293">
        <f>AVERAGE(CV203:CW203)</f>
        <v>306600</v>
      </c>
      <c r="CY203" s="671"/>
      <c r="CZ203" s="293">
        <f>AVERAGE(CZ183,CW183)</f>
        <v>344600</v>
      </c>
      <c r="DA203" s="293">
        <f>AVERAGE(CZ183:DA183)</f>
        <v>358000</v>
      </c>
      <c r="DB203" s="293">
        <f>AVERAGE(CZ203:DA203)</f>
        <v>351300</v>
      </c>
      <c r="DC203" s="671"/>
      <c r="DD203" s="293">
        <f>AVERAGE(DD183,DA183)</f>
        <v>372250</v>
      </c>
      <c r="DE203" s="293">
        <f>AVERAGE(DD183:DE183)</f>
        <v>381300</v>
      </c>
      <c r="DF203" s="293">
        <f>AVERAGE(DD203:DE203)</f>
        <v>376775</v>
      </c>
      <c r="DG203" s="671"/>
      <c r="DH203" s="293">
        <f>AVERAGE(DH183,DE183)</f>
        <v>402800</v>
      </c>
      <c r="DI203" s="293">
        <f>AVERAGE(DH183:DI183)</f>
        <v>426494.25</v>
      </c>
      <c r="DJ203" s="293">
        <f>AVERAGE(DH203:DI203)</f>
        <v>414647.125</v>
      </c>
      <c r="DK203" s="671"/>
      <c r="DL203" s="293">
        <f>AVERAGE(DL183,DI183)</f>
        <v>443479.81312499999</v>
      </c>
      <c r="DM203" s="293">
        <f>AVERAGE(DL183:DM183)</f>
        <v>459019.33486718754</v>
      </c>
      <c r="DN203" s="293">
        <f>AVERAGE(DL203:DM203)</f>
        <v>451249.57399609376</v>
      </c>
      <c r="DO203" s="293"/>
      <c r="DP203" s="293">
        <f>AVERAGE(DP183,DM183)</f>
        <v>475063.8910659962</v>
      </c>
      <c r="DQ203" s="293">
        <f>AVERAGE(DP183:DQ183)</f>
        <v>491710.11812226009</v>
      </c>
      <c r="DR203" s="293">
        <f>AVERAGE(DP203:DQ203)</f>
        <v>483387.00459412811</v>
      </c>
      <c r="DS203" s="293"/>
      <c r="DU203" s="293"/>
      <c r="DV203" s="293"/>
      <c r="DW203" s="293"/>
      <c r="DX203" s="293"/>
      <c r="DZ203" s="293"/>
      <c r="EA203" s="293"/>
      <c r="EB203" s="293"/>
      <c r="ED203" s="293"/>
      <c r="EE203" s="293"/>
      <c r="EF203" s="293"/>
    </row>
    <row r="204" spans="1:273">
      <c r="A204" s="102" t="s">
        <v>708</v>
      </c>
      <c r="AN204" s="626"/>
      <c r="AO204" s="685"/>
      <c r="AP204" s="626"/>
      <c r="AQ204" s="626"/>
      <c r="AR204" s="685"/>
      <c r="AS204" s="685"/>
      <c r="AT204" s="626"/>
      <c r="AU204" s="626"/>
      <c r="AV204" s="293">
        <f>AVERAGE(AV184,AS184)</f>
        <v>2368</v>
      </c>
      <c r="AW204" s="293">
        <f>AVERAGE(AV184:AW184)</f>
        <v>2465.5</v>
      </c>
      <c r="AX204" s="293">
        <f>AVERAGE(AV204:AW204)</f>
        <v>2416.75</v>
      </c>
      <c r="AZ204" s="293">
        <f>AVERAGE(AZ184,AW184)</f>
        <v>2358.5</v>
      </c>
      <c r="BA204" s="293">
        <f>AVERAGE(AZ184:BA184)</f>
        <v>2341.5</v>
      </c>
      <c r="BB204" s="293">
        <f>AVERAGE(AZ204:BA204)</f>
        <v>2350</v>
      </c>
      <c r="BD204" s="293">
        <f>AVERAGE(BD184,BA184)</f>
        <v>2414.5</v>
      </c>
      <c r="BE204" s="293">
        <f>AVERAGE(BD184:BE184)</f>
        <v>2350</v>
      </c>
      <c r="BF204" s="293">
        <f>AVERAGE(BD204:BE204)</f>
        <v>2382.25</v>
      </c>
      <c r="BH204" s="293">
        <f>AVERAGE(BH184,BE184)</f>
        <v>2200</v>
      </c>
      <c r="BI204" s="293">
        <f>AVERAGE(BH184:BI184)</f>
        <v>1950</v>
      </c>
      <c r="BJ204" s="293">
        <f>AVERAGE(BH204:BI204)</f>
        <v>2075</v>
      </c>
      <c r="BL204" s="293">
        <f>AVERAGE(BL184,BI184)</f>
        <v>1800</v>
      </c>
      <c r="BM204" s="293">
        <f>AVERAGE(BL184:BM184)</f>
        <v>1600</v>
      </c>
      <c r="BN204" s="293">
        <f>AVERAGE(BL204:BM204)</f>
        <v>1700</v>
      </c>
      <c r="BP204" s="293">
        <f>AVERAGE(BP184,BM184)</f>
        <v>1650</v>
      </c>
      <c r="BQ204" s="293">
        <f>AVERAGE(BP184:BQ184)</f>
        <v>2050</v>
      </c>
      <c r="BR204" s="293">
        <f>AVERAGE(BP204:BQ204)</f>
        <v>1850</v>
      </c>
      <c r="BS204" s="671">
        <f>BR204/BN204-1</f>
        <v>8.8235294117646967E-2</v>
      </c>
      <c r="BT204" s="293">
        <f>AVERAGE(BT184,BQ184)</f>
        <v>2800</v>
      </c>
      <c r="BU204" s="293">
        <f>AVERAGE(BT184:BU184)</f>
        <v>3450</v>
      </c>
      <c r="BV204" s="293">
        <f>AVERAGE(BT204:BU204)</f>
        <v>3125</v>
      </c>
      <c r="BW204" s="671">
        <f>BV204/BR204-1</f>
        <v>0.68918918918918926</v>
      </c>
      <c r="BX204" s="293">
        <f>AVERAGE(BX184,BU184)</f>
        <v>3900</v>
      </c>
      <c r="BY204" s="293">
        <f>AVERAGE(BX184:BY184)</f>
        <v>4850</v>
      </c>
      <c r="BZ204" s="293">
        <f>AVERAGE(BX204:BY204)</f>
        <v>4375</v>
      </c>
      <c r="CA204" s="671">
        <f>BZ204/BV204-1</f>
        <v>0.39999999999999991</v>
      </c>
      <c r="CB204" s="293">
        <f>AVERAGE(CB184,BY184)</f>
        <v>5400</v>
      </c>
      <c r="CC204" s="293">
        <f>AVERAGE(CB184:CC184)</f>
        <v>5850</v>
      </c>
      <c r="CD204" s="293">
        <f>AVERAGE(CB204:CC204)</f>
        <v>5625</v>
      </c>
      <c r="CE204" s="671">
        <f>CD204/BZ204-1</f>
        <v>0.28571428571428581</v>
      </c>
      <c r="CF204" s="293">
        <f>AVERAGE(CF184,CC184)</f>
        <v>3200</v>
      </c>
      <c r="CG204" s="293">
        <f>AVERAGE(CF184:CG184)</f>
        <v>0</v>
      </c>
      <c r="CH204" s="293">
        <f>AVERAGE(CF204:CG204)</f>
        <v>1600</v>
      </c>
      <c r="CI204" s="671"/>
      <c r="CJ204" s="293">
        <f>AVERAGE(CJ184,CG184)</f>
        <v>0</v>
      </c>
      <c r="CK204" s="293">
        <f>AVERAGE(CJ184:CK184)</f>
        <v>0</v>
      </c>
      <c r="CL204" s="293">
        <f>AVERAGE(CJ204:CK204)</f>
        <v>0</v>
      </c>
      <c r="CM204" s="671"/>
      <c r="CN204" s="293">
        <f>AVERAGE(CN184,CK184)</f>
        <v>0</v>
      </c>
      <c r="CO204" s="293">
        <f>AVERAGE(CN184:CO184)</f>
        <v>0</v>
      </c>
      <c r="CP204" s="293">
        <f>AVERAGE(CN204:CO204)</f>
        <v>0</v>
      </c>
      <c r="CQ204" s="671"/>
      <c r="CR204" s="293">
        <f>AVERAGE(CR184,CO184)</f>
        <v>0</v>
      </c>
      <c r="CS204" s="293">
        <f>AVERAGE(CR184:CS184)</f>
        <v>0</v>
      </c>
      <c r="CT204" s="293">
        <f>AVERAGE(CR204:CS204)</f>
        <v>0</v>
      </c>
      <c r="CU204" s="671"/>
      <c r="CV204" s="293">
        <f>AVERAGE(CV184,CS184)</f>
        <v>0</v>
      </c>
      <c r="CW204" s="293">
        <f>AVERAGE(CV184:CW184)</f>
        <v>0</v>
      </c>
      <c r="CX204" s="293">
        <f>AVERAGE(CV204:CW204)</f>
        <v>0</v>
      </c>
      <c r="CY204" s="671"/>
      <c r="CZ204" s="293">
        <f>AVERAGE(CZ184,CW184)</f>
        <v>0</v>
      </c>
      <c r="DA204" s="293">
        <f>AVERAGE(CZ184:DA184)</f>
        <v>0</v>
      </c>
      <c r="DB204" s="293">
        <f>AVERAGE(CZ204:DA204)</f>
        <v>0</v>
      </c>
      <c r="DC204" s="671"/>
      <c r="DD204" s="293">
        <f>AVERAGE(DD184,DA184)</f>
        <v>0</v>
      </c>
      <c r="DE204" s="293">
        <f>AVERAGE(DD184:DE184)</f>
        <v>0</v>
      </c>
      <c r="DF204" s="293">
        <f>AVERAGE(DD204:DE204)</f>
        <v>0</v>
      </c>
      <c r="DG204" s="671"/>
      <c r="DH204" s="293">
        <f>AVERAGE(DH184,DE184)</f>
        <v>0</v>
      </c>
      <c r="DI204" s="293">
        <f>AVERAGE(DH184:DI184)</f>
        <v>0</v>
      </c>
      <c r="DJ204" s="293">
        <f>AVERAGE(DH204:DI204)</f>
        <v>0</v>
      </c>
      <c r="DK204" s="671"/>
      <c r="DL204" s="293">
        <f>AVERAGE(DL184,DI184)</f>
        <v>0</v>
      </c>
      <c r="DM204" s="293">
        <f>AVERAGE(DL184:DM184)</f>
        <v>0</v>
      </c>
      <c r="DN204" s="293">
        <f>AVERAGE(DL204:DM204)</f>
        <v>0</v>
      </c>
      <c r="DO204" s="293"/>
      <c r="DP204" s="293">
        <f>AVERAGE(DP184,DM184)</f>
        <v>0</v>
      </c>
      <c r="DQ204" s="293">
        <f>AVERAGE(DP184:DQ184)</f>
        <v>0</v>
      </c>
      <c r="DR204" s="293">
        <f>AVERAGE(DP204:DQ204)</f>
        <v>0</v>
      </c>
      <c r="DS204" s="293"/>
      <c r="DU204" s="293"/>
      <c r="DV204" s="293"/>
      <c r="DW204" s="293"/>
      <c r="DX204" s="293"/>
      <c r="DZ204" s="293"/>
      <c r="EA204" s="293"/>
      <c r="EB204" s="293"/>
      <c r="ED204" s="293"/>
      <c r="EE204" s="293"/>
      <c r="EF204" s="293"/>
    </row>
    <row r="205" spans="1:273" s="289" customFormat="1">
      <c r="A205" s="289" t="s">
        <v>613</v>
      </c>
      <c r="B205" s="290"/>
      <c r="AN205" s="290"/>
      <c r="AO205" s="290"/>
      <c r="AP205" s="290"/>
      <c r="AQ205" s="290"/>
      <c r="AR205" s="290"/>
      <c r="AS205" s="290"/>
      <c r="AT205" s="290"/>
      <c r="AU205" s="290"/>
      <c r="AV205" s="295">
        <f>AVERAGE(AV185,AS185)</f>
        <v>188633</v>
      </c>
      <c r="AW205" s="295">
        <f>AVERAGE(AV185:AW185)</f>
        <v>249792.5</v>
      </c>
      <c r="AX205" s="295">
        <f>AVERAGE(AV205:AW205)</f>
        <v>219212.75</v>
      </c>
      <c r="AY205" s="290"/>
      <c r="AZ205" s="295">
        <f>AVERAGE(AZ185,AW185)</f>
        <v>311711</v>
      </c>
      <c r="BA205" s="295">
        <f>AVERAGE(AZ185:BA185)</f>
        <v>308936.5</v>
      </c>
      <c r="BB205" s="295">
        <f>AVERAGE(AZ205:BA205)</f>
        <v>310323.75</v>
      </c>
      <c r="BC205" s="290"/>
      <c r="BD205" s="295">
        <f>AVERAGE(BD185,BA185)</f>
        <v>315207.5</v>
      </c>
      <c r="BE205" s="295">
        <f>AVERAGE(BD185:BE185)</f>
        <v>324929.5</v>
      </c>
      <c r="BF205" s="295">
        <f>AVERAGE(BD205:BE205)</f>
        <v>320068.5</v>
      </c>
      <c r="BG205" s="290"/>
      <c r="BH205" s="295">
        <f>AVERAGE(BH185,BE185)</f>
        <v>330823.5</v>
      </c>
      <c r="BI205" s="295">
        <f>AVERAGE(BH185:BI185)</f>
        <v>340150</v>
      </c>
      <c r="BJ205" s="295">
        <f>AVERAGE(BH205:BI205)</f>
        <v>335486.75</v>
      </c>
      <c r="BK205" s="290"/>
      <c r="BL205" s="295">
        <f>AVERAGE(BL185,BI185)</f>
        <v>362100</v>
      </c>
      <c r="BM205" s="295">
        <f>AVERAGE(BL185:BM185)</f>
        <v>402750</v>
      </c>
      <c r="BN205" s="295">
        <f>AVERAGE(BL205:BM205)</f>
        <v>382425</v>
      </c>
      <c r="BO205" s="290"/>
      <c r="BP205" s="295">
        <f>AVERAGE(BP185,BM185)</f>
        <v>424050</v>
      </c>
      <c r="BQ205" s="295">
        <f>AVERAGE(BP185:BQ185)</f>
        <v>453650</v>
      </c>
      <c r="BR205" s="295">
        <f>AVERAGE(BP205:BQ205)</f>
        <v>438850</v>
      </c>
      <c r="BS205" s="671">
        <f>BR205/BN205-1</f>
        <v>0.14754527031444065</v>
      </c>
      <c r="BT205" s="295">
        <f>AVERAGE(BT185,BQ185)</f>
        <v>493150</v>
      </c>
      <c r="BU205" s="295">
        <f>AVERAGE(BT185:BU185)</f>
        <v>489600</v>
      </c>
      <c r="BV205" s="295">
        <f>AVERAGE(BT205:BU205)</f>
        <v>491375</v>
      </c>
      <c r="BW205" s="671">
        <f>BV205/BR205-1</f>
        <v>0.11968782043978576</v>
      </c>
      <c r="BX205" s="295">
        <f>AVERAGE(BX185,BU185)</f>
        <v>484100</v>
      </c>
      <c r="BY205" s="295">
        <f>AVERAGE(BX185:BY185)</f>
        <v>485650</v>
      </c>
      <c r="BZ205" s="295">
        <f>AVERAGE(BX205:BY205)</f>
        <v>484875</v>
      </c>
      <c r="CA205" s="671">
        <f>BZ205/BV205-1</f>
        <v>-1.3228186212159709E-2</v>
      </c>
      <c r="CB205" s="295">
        <f>AVERAGE(CB185,BY185)</f>
        <v>475950</v>
      </c>
      <c r="CC205" s="295">
        <f>AVERAGE(CB185:CC185)</f>
        <v>483500</v>
      </c>
      <c r="CD205" s="295">
        <f>AVERAGE(CB205:CC205)</f>
        <v>479725</v>
      </c>
      <c r="CE205" s="671">
        <f>CD205/BZ205-1</f>
        <v>-1.0621294147976301E-2</v>
      </c>
      <c r="CF205" s="295">
        <f>AVERAGE(CF185,CC185)</f>
        <v>521900</v>
      </c>
      <c r="CG205" s="295">
        <f>AVERAGE(CF185:CG185)</f>
        <v>549350</v>
      </c>
      <c r="CH205" s="295">
        <f>AVERAGE(CF205:CG205)</f>
        <v>535625</v>
      </c>
      <c r="CI205" s="671">
        <f>CH205/CD205-1</f>
        <v>0.11652509250091203</v>
      </c>
      <c r="CJ205" s="295">
        <f>AVERAGE(CJ185,CG185)</f>
        <v>556000</v>
      </c>
      <c r="CK205" s="295">
        <f>AVERAGE(CJ185:CK185)</f>
        <v>579850</v>
      </c>
      <c r="CL205" s="295">
        <f>AVERAGE(CJ205:CK205)</f>
        <v>567925</v>
      </c>
      <c r="CM205" s="671">
        <f>CL205/CH205-1</f>
        <v>6.0303383897316154E-2</v>
      </c>
      <c r="CN205" s="295">
        <f>AVERAGE(CN185,CK185)</f>
        <v>576300</v>
      </c>
      <c r="CO205" s="295">
        <f>AVERAGE(CN185:CO185)</f>
        <v>558550</v>
      </c>
      <c r="CP205" s="295">
        <f>AVERAGE(CN205:CO205)</f>
        <v>567425</v>
      </c>
      <c r="CQ205" s="671">
        <f>CP205/CL205-1</f>
        <v>-8.8039793986882664E-4</v>
      </c>
      <c r="CR205" s="295">
        <f>AVERAGE(CR185,CO185)</f>
        <v>648850</v>
      </c>
      <c r="CS205" s="295">
        <f>AVERAGE(CR185:CS185)</f>
        <v>764250</v>
      </c>
      <c r="CT205" s="295">
        <f>AVERAGE(CR205:CS205)</f>
        <v>706550</v>
      </c>
      <c r="CU205" s="671"/>
      <c r="CV205" s="295">
        <f>AVERAGE(CV185,CS185)</f>
        <v>812950</v>
      </c>
      <c r="CW205" s="295">
        <f>AVERAGE(CV185:CW185)</f>
        <v>855750</v>
      </c>
      <c r="CX205" s="295">
        <f>AVERAGE(CV205:CW205)</f>
        <v>834350</v>
      </c>
      <c r="CY205" s="671"/>
      <c r="CZ205" s="295">
        <f>AVERAGE(CZ185,CW185)</f>
        <v>885300</v>
      </c>
      <c r="DA205" s="295">
        <f>AVERAGE(CZ185:DA185)</f>
        <v>915150</v>
      </c>
      <c r="DB205" s="295">
        <f>AVERAGE(CZ205:DA205)</f>
        <v>900225</v>
      </c>
      <c r="DC205" s="671"/>
      <c r="DD205" s="295">
        <f>AVERAGE(DD185,DA185)</f>
        <v>927550</v>
      </c>
      <c r="DE205" s="295">
        <f>AVERAGE(DD185:DE185)</f>
        <v>928900</v>
      </c>
      <c r="DF205" s="295">
        <f>AVERAGE(DD205:DE205)</f>
        <v>928225</v>
      </c>
      <c r="DG205" s="671"/>
      <c r="DH205" s="295">
        <f>AVERAGE(DH185,DE185)</f>
        <v>950050</v>
      </c>
      <c r="DI205" s="295">
        <f>AVERAGE(DH185:DI185)</f>
        <v>846942.25</v>
      </c>
      <c r="DJ205" s="295">
        <f>AVERAGE(DH205:DI205)</f>
        <v>898496.125</v>
      </c>
      <c r="DK205" s="671"/>
      <c r="DL205" s="295">
        <f>AVERAGE(DL185,DI185)</f>
        <v>746626.68312499998</v>
      </c>
      <c r="DM205" s="295">
        <f>AVERAGE(DL185:DM185)</f>
        <v>771832.61211718747</v>
      </c>
      <c r="DN205" s="295">
        <f>AVERAGE(DL205:DM205)</f>
        <v>759229.64762109378</v>
      </c>
      <c r="DO205" s="295"/>
      <c r="DP205" s="295">
        <f>AVERAGE(DP185,DM185)</f>
        <v>797879.09020874603</v>
      </c>
      <c r="DQ205" s="295">
        <f>AVERAGE(DP185:DQ185)</f>
        <v>824875.36137190624</v>
      </c>
      <c r="DR205" s="295">
        <f>AVERAGE(DP205:DQ205)</f>
        <v>811377.22579032613</v>
      </c>
      <c r="DS205" s="295"/>
      <c r="DT205" s="290"/>
      <c r="DU205" s="295"/>
      <c r="DV205" s="295"/>
      <c r="DW205" s="295"/>
      <c r="DX205" s="295"/>
      <c r="DY205" s="290"/>
      <c r="DZ205" s="295"/>
      <c r="EA205" s="295"/>
      <c r="EB205" s="295"/>
      <c r="EC205" s="290"/>
      <c r="ED205" s="295"/>
      <c r="EE205" s="295"/>
      <c r="EF205" s="295"/>
      <c r="EG205" s="290"/>
      <c r="EH205" s="290"/>
      <c r="EI205" s="290"/>
      <c r="EJ205" s="290"/>
      <c r="EK205" s="290"/>
      <c r="EL205" s="290"/>
      <c r="EM205" s="290"/>
      <c r="EN205" s="290"/>
      <c r="EO205" s="290"/>
      <c r="EP205" s="290"/>
      <c r="JM205"/>
    </row>
    <row r="206" spans="1:273">
      <c r="A206" s="893" t="s">
        <v>590</v>
      </c>
    </row>
    <row r="207" spans="1:273" s="289" customFormat="1">
      <c r="A207" s="289" t="s">
        <v>613</v>
      </c>
      <c r="B207" s="290"/>
      <c r="AN207" s="290"/>
      <c r="AO207" s="290"/>
      <c r="AP207" s="290"/>
      <c r="AQ207" s="290"/>
      <c r="AR207" s="290"/>
      <c r="AS207" s="290"/>
      <c r="AT207" s="290"/>
      <c r="AU207" s="290"/>
      <c r="AV207" s="295">
        <f>AVERAGE(AV188,AS188)</f>
        <v>16992</v>
      </c>
      <c r="AW207" s="295">
        <f>AVERAGE(AV188:AW188)</f>
        <v>15674.5</v>
      </c>
      <c r="AX207" s="295">
        <f>AVERAGE(AV207:AW207)</f>
        <v>16333.25</v>
      </c>
      <c r="AY207" s="290"/>
      <c r="AZ207" s="295">
        <f>AVERAGE(AZ188,AW188)</f>
        <v>9433.5</v>
      </c>
      <c r="BA207" s="295">
        <f>AVERAGE(AZ188:BA188)</f>
        <v>4592.5</v>
      </c>
      <c r="BB207" s="295">
        <f>AVERAGE(AZ207:BA207)</f>
        <v>7013</v>
      </c>
      <c r="BC207" s="290"/>
      <c r="BD207" s="295">
        <f>AVERAGE(BD188,BA188)</f>
        <v>4592.5</v>
      </c>
      <c r="BE207" s="295">
        <f>AVERAGE(BD188:BE188)</f>
        <v>3305</v>
      </c>
      <c r="BF207" s="295">
        <f>AVERAGE(BD207:BE207)</f>
        <v>3948.75</v>
      </c>
      <c r="BG207" s="290"/>
      <c r="BH207" s="295">
        <f>AVERAGE(BH188,BE188)</f>
        <v>2900</v>
      </c>
      <c r="BI207" s="295">
        <f>AVERAGE(BH188:BI188)</f>
        <v>3800</v>
      </c>
      <c r="BJ207" s="295">
        <f>AVERAGE(BH207:BI207)</f>
        <v>3350</v>
      </c>
      <c r="BK207" s="290"/>
      <c r="BL207" s="295">
        <f>AVERAGE(BL188,BI188)</f>
        <v>4000</v>
      </c>
      <c r="BM207" s="295">
        <f>AVERAGE(BL188:BM188)</f>
        <v>3100</v>
      </c>
      <c r="BN207" s="295">
        <f>AVERAGE(BL207:BM207)</f>
        <v>3550</v>
      </c>
      <c r="BO207" s="290"/>
      <c r="BP207" s="295">
        <f>AVERAGE(BP188,BM188)</f>
        <v>2100</v>
      </c>
      <c r="BQ207" s="295">
        <f>AVERAGE(BP188:BQ188)</f>
        <v>2200</v>
      </c>
      <c r="BR207" s="295">
        <f>AVERAGE(BP207:BQ207)</f>
        <v>2150</v>
      </c>
      <c r="BS207" s="290"/>
      <c r="BT207" s="295">
        <f>AVERAGE(BT188,BQ188)</f>
        <v>2150</v>
      </c>
      <c r="BU207" s="295">
        <f>AVERAGE(BT188:BU188)</f>
        <v>1850</v>
      </c>
      <c r="BV207" s="295">
        <f>AVERAGE(BT207:BU207)</f>
        <v>2000</v>
      </c>
      <c r="BW207" s="290"/>
      <c r="BX207" s="295">
        <f>AVERAGE(BX188,BU188)</f>
        <v>1750</v>
      </c>
      <c r="BY207" s="295">
        <f>AVERAGE(BX188:BY188)</f>
        <v>1750</v>
      </c>
      <c r="BZ207" s="295">
        <f>AVERAGE(BX207:BY207)</f>
        <v>1750</v>
      </c>
      <c r="CA207" s="290"/>
      <c r="CB207" s="295">
        <f>AVERAGE(CB188,BY188)</f>
        <v>1700</v>
      </c>
      <c r="CC207" s="295">
        <f>AVERAGE(CB188:CC188)</f>
        <v>1650</v>
      </c>
      <c r="CD207" s="295">
        <f>AVERAGE(CB207:CC207)</f>
        <v>1675</v>
      </c>
      <c r="CE207" s="581"/>
      <c r="CF207" s="295">
        <f>AVERAGE(CF188,CC188)</f>
        <v>1950</v>
      </c>
      <c r="CG207" s="295">
        <f>AVERAGE(CF188:CG188)</f>
        <v>1800</v>
      </c>
      <c r="CH207" s="295">
        <f>AVERAGE(CF207:CG207)</f>
        <v>1875</v>
      </c>
      <c r="CI207" s="581"/>
      <c r="CJ207" s="295">
        <f>AVERAGE(CJ188,CG188)</f>
        <v>1350</v>
      </c>
      <c r="CK207" s="295">
        <f>AVERAGE(CJ188:CK188)</f>
        <v>1300</v>
      </c>
      <c r="CL207" s="295">
        <f>AVERAGE(CJ207:CK207)</f>
        <v>1325</v>
      </c>
      <c r="CM207" s="581"/>
      <c r="CN207" s="295">
        <f>AVERAGE(CN188,CK188)</f>
        <v>1300</v>
      </c>
      <c r="CO207" s="295">
        <f>AVERAGE(CN188:CO188)</f>
        <v>1350</v>
      </c>
      <c r="CP207" s="295">
        <f>AVERAGE(CN207:CO207)</f>
        <v>1325</v>
      </c>
      <c r="CQ207" s="581"/>
      <c r="CR207" s="295">
        <f>AVERAGE(CR188,CO188)</f>
        <v>1400</v>
      </c>
      <c r="CS207" s="295">
        <f>AVERAGE(CR188:CS188)</f>
        <v>750</v>
      </c>
      <c r="CT207" s="295">
        <f>AVERAGE(CR207:CS207)</f>
        <v>1075</v>
      </c>
      <c r="CU207" s="290"/>
      <c r="CV207" s="295">
        <f>AVERAGE(CV188,CS188)</f>
        <v>0</v>
      </c>
      <c r="CW207" s="295">
        <f>AVERAGE(CV188:CW188)</f>
        <v>0</v>
      </c>
      <c r="CX207" s="295">
        <f>AVERAGE(CV207:CW207)</f>
        <v>0</v>
      </c>
      <c r="CY207" s="290"/>
      <c r="CZ207" s="295">
        <f>AVERAGE(CZ188,CW188)</f>
        <v>0</v>
      </c>
      <c r="DA207" s="295">
        <f>AVERAGE(CZ188:DA188)</f>
        <v>0</v>
      </c>
      <c r="DB207" s="295">
        <f>AVERAGE(CZ207:DA207)</f>
        <v>0</v>
      </c>
      <c r="DC207" s="290"/>
      <c r="DD207" s="295">
        <f>AVERAGE(DD188,DA188)</f>
        <v>0</v>
      </c>
      <c r="DE207" s="295">
        <f>AVERAGE(DD188:DE188)</f>
        <v>0</v>
      </c>
      <c r="DF207" s="295">
        <f>AVERAGE(DD207:DE207)</f>
        <v>0</v>
      </c>
      <c r="DG207" s="290"/>
      <c r="DH207" s="295">
        <f>AVERAGE(DH188,DE188)</f>
        <v>0</v>
      </c>
      <c r="DI207" s="295">
        <f>AVERAGE(DH188:DI188)</f>
        <v>0</v>
      </c>
      <c r="DJ207" s="295">
        <f>AVERAGE(DH207:DI207)</f>
        <v>0</v>
      </c>
      <c r="DK207" s="290"/>
      <c r="DL207" s="295">
        <f>AVERAGE(DL188,DI188)</f>
        <v>0</v>
      </c>
      <c r="DM207" s="295">
        <f>AVERAGE(DL188:DM188)</f>
        <v>0</v>
      </c>
      <c r="DN207" s="295">
        <f>AVERAGE(DL207:DM207)</f>
        <v>0</v>
      </c>
      <c r="DO207" s="295"/>
      <c r="DP207" s="295">
        <f>AVERAGE(DP188,DM188)</f>
        <v>0</v>
      </c>
      <c r="DQ207" s="295">
        <f>AVERAGE(DP188:DQ188)</f>
        <v>0</v>
      </c>
      <c r="DR207" s="295">
        <f>AVERAGE(DP207:DQ207)</f>
        <v>0</v>
      </c>
      <c r="DS207" s="295"/>
      <c r="DT207" s="290"/>
      <c r="DU207" s="295"/>
      <c r="DV207" s="295"/>
      <c r="DW207" s="295"/>
      <c r="DX207" s="295"/>
      <c r="DY207" s="290"/>
      <c r="DZ207" s="295"/>
      <c r="EA207" s="295"/>
      <c r="EB207" s="295"/>
      <c r="EC207" s="290"/>
      <c r="ED207" s="295"/>
      <c r="EE207" s="295"/>
      <c r="EF207" s="295"/>
      <c r="EG207" s="290"/>
      <c r="EH207" s="290"/>
      <c r="EI207" s="290"/>
      <c r="EJ207" s="290"/>
      <c r="EK207" s="290"/>
      <c r="EL207" s="290"/>
      <c r="EM207" s="290"/>
      <c r="EN207" s="290"/>
      <c r="EO207" s="290"/>
      <c r="EP207" s="290"/>
      <c r="JM207"/>
    </row>
    <row r="208" spans="1:273">
      <c r="A208" s="815" t="s">
        <v>945</v>
      </c>
      <c r="AN208" s="293"/>
      <c r="AO208" s="293"/>
      <c r="AR208" s="293"/>
      <c r="AS208" s="293"/>
      <c r="AT208" s="730"/>
      <c r="AU208" s="730"/>
      <c r="AV208" s="295">
        <f>+AV205+AV207</f>
        <v>205625</v>
      </c>
      <c r="AW208" s="295">
        <f>+AW205+AW207</f>
        <v>265467</v>
      </c>
      <c r="AX208" s="295">
        <f>+AX205+AX207</f>
        <v>235546</v>
      </c>
      <c r="AY208" s="730"/>
      <c r="AZ208" s="295">
        <f>+AZ205+AZ207</f>
        <v>321144.5</v>
      </c>
      <c r="BA208" s="295">
        <f>+BA205+BA207</f>
        <v>313529</v>
      </c>
      <c r="BB208" s="295">
        <f>+BB205+BB207</f>
        <v>317336.75</v>
      </c>
      <c r="BD208" s="295">
        <f>+BD205+BD207</f>
        <v>319800</v>
      </c>
      <c r="BE208" s="295">
        <f>+BE205+BE207</f>
        <v>328234.5</v>
      </c>
      <c r="BF208" s="295">
        <f>+BF205+BF207</f>
        <v>324017.25</v>
      </c>
      <c r="BH208" s="295">
        <f>+BH205+BH207</f>
        <v>333723.5</v>
      </c>
      <c r="BI208" s="295">
        <f>+BI205+BI207</f>
        <v>343950</v>
      </c>
      <c r="BJ208" s="295">
        <f>+BJ205+BJ207</f>
        <v>338836.75</v>
      </c>
      <c r="BL208" s="295">
        <f>+BL205+BL207</f>
        <v>366100</v>
      </c>
      <c r="BM208" s="295">
        <f>+BM205+BM207</f>
        <v>405850</v>
      </c>
      <c r="BN208" s="295">
        <f>+BN205+BN207</f>
        <v>385975</v>
      </c>
      <c r="BP208" s="295">
        <f>+BP205+BP207</f>
        <v>426150</v>
      </c>
      <c r="BQ208" s="295">
        <f>+BQ205+BQ207</f>
        <v>455850</v>
      </c>
      <c r="BR208" s="295">
        <f>+BR205+BR207</f>
        <v>441000</v>
      </c>
      <c r="BT208" s="295">
        <f>+BT205+BT207</f>
        <v>495300</v>
      </c>
      <c r="BU208" s="295">
        <f>+BU205+BU207</f>
        <v>491450</v>
      </c>
      <c r="BV208" s="295">
        <f>+BV205+BV207</f>
        <v>493375</v>
      </c>
      <c r="BX208" s="295">
        <f>+BX205+BX207</f>
        <v>485850</v>
      </c>
      <c r="BY208" s="295">
        <f>+BY205+BY207</f>
        <v>487400</v>
      </c>
      <c r="BZ208" s="295">
        <f>+BZ205+BZ207</f>
        <v>486625</v>
      </c>
      <c r="CB208" s="295">
        <f>+CB205+CB207</f>
        <v>477650</v>
      </c>
      <c r="CC208" s="295">
        <f>+CC205+CC207</f>
        <v>485150</v>
      </c>
      <c r="CD208" s="295">
        <f>+CD205+CD207</f>
        <v>481400</v>
      </c>
      <c r="CF208" s="295">
        <f>+CF205+CF207</f>
        <v>523850</v>
      </c>
      <c r="CG208" s="295">
        <f>+CG205+CG207</f>
        <v>551150</v>
      </c>
      <c r="CH208" s="295">
        <f>+CH205+CH207</f>
        <v>537500</v>
      </c>
      <c r="CJ208" s="295">
        <f>+CJ205+CJ207</f>
        <v>557350</v>
      </c>
      <c r="CK208" s="295">
        <f>+CK205+CK207</f>
        <v>581150</v>
      </c>
      <c r="CL208" s="295">
        <f>+CL205+CL207</f>
        <v>569250</v>
      </c>
      <c r="CN208" s="295">
        <f>+CN205+CN207</f>
        <v>577600</v>
      </c>
      <c r="CO208" s="295">
        <f>+CO205+CO207</f>
        <v>559900</v>
      </c>
      <c r="CP208" s="295">
        <f>+CP205+CP207</f>
        <v>568750</v>
      </c>
      <c r="CR208" s="295">
        <f>+CR205+CR207</f>
        <v>650250</v>
      </c>
      <c r="CS208" s="295">
        <f>+CS205+CS207</f>
        <v>765000</v>
      </c>
      <c r="CT208" s="295">
        <f>+CT205+CT207</f>
        <v>707625</v>
      </c>
      <c r="CV208" s="295">
        <f>+CV205+CV207</f>
        <v>812950</v>
      </c>
      <c r="CW208" s="295">
        <f>+CW205+CW207</f>
        <v>855750</v>
      </c>
      <c r="CX208" s="295">
        <f>+CX205+CX207</f>
        <v>834350</v>
      </c>
      <c r="CZ208" s="295">
        <f>+CZ205+CZ207</f>
        <v>885300</v>
      </c>
      <c r="DA208" s="295">
        <f>+DA205+DA207</f>
        <v>915150</v>
      </c>
      <c r="DB208" s="295">
        <f>+DB205+DB207</f>
        <v>900225</v>
      </c>
      <c r="DD208" s="295">
        <f>+DD205+DD207</f>
        <v>927550</v>
      </c>
      <c r="DE208" s="295">
        <f>+DE205+DE207</f>
        <v>928900</v>
      </c>
      <c r="DF208" s="295">
        <f>+DF205+DF207</f>
        <v>928225</v>
      </c>
      <c r="DH208" s="295">
        <f>+DH205+DH207</f>
        <v>950050</v>
      </c>
      <c r="DI208" s="295">
        <f>+DI205+DI207</f>
        <v>846942.25</v>
      </c>
      <c r="DJ208" s="295">
        <f>+DJ205+DJ207</f>
        <v>898496.125</v>
      </c>
      <c r="DL208" s="295">
        <f>+DL205+DL207</f>
        <v>746626.68312499998</v>
      </c>
      <c r="DM208" s="295">
        <f>+DM205+DM207</f>
        <v>771832.61211718747</v>
      </c>
      <c r="DN208" s="295">
        <f>+DN205+DN207</f>
        <v>759229.64762109378</v>
      </c>
      <c r="DO208" s="295"/>
      <c r="DP208" s="295">
        <f>+DP205+DP207</f>
        <v>797879.09020874603</v>
      </c>
      <c r="DQ208" s="295">
        <f>+DQ205+DQ207</f>
        <v>824875.36137190624</v>
      </c>
      <c r="DR208" s="295">
        <f>+DR205+DR207</f>
        <v>811377.22579032613</v>
      </c>
      <c r="DS208" s="295"/>
      <c r="DU208" s="295"/>
      <c r="DV208" s="295"/>
      <c r="DW208" s="295"/>
      <c r="DX208" s="295"/>
      <c r="DZ208" s="295"/>
      <c r="EA208" s="295"/>
      <c r="EB208" s="295"/>
      <c r="ED208" s="295"/>
      <c r="EE208" s="295"/>
      <c r="EF208" s="295"/>
    </row>
    <row r="209" spans="1:273">
      <c r="A209" s="328" t="s">
        <v>382</v>
      </c>
      <c r="AN209" s="293"/>
      <c r="AO209" s="293"/>
      <c r="AR209" s="293"/>
      <c r="AS209" s="293"/>
      <c r="AT209" s="730"/>
      <c r="AU209" s="730"/>
      <c r="AV209" s="295"/>
      <c r="AW209" s="295"/>
      <c r="AX209" s="295"/>
      <c r="AY209" s="730"/>
      <c r="AZ209" s="295"/>
      <c r="BA209" s="295"/>
      <c r="BB209" s="295"/>
      <c r="BD209" s="295"/>
      <c r="BE209" s="295"/>
      <c r="BF209" s="295"/>
      <c r="BH209" s="295"/>
      <c r="BI209" s="295"/>
      <c r="BJ209" s="295"/>
      <c r="BL209" s="295"/>
      <c r="BM209" s="295"/>
      <c r="BN209" s="295"/>
      <c r="BP209" s="295"/>
      <c r="BQ209" s="295"/>
      <c r="BR209" s="295"/>
      <c r="BT209" s="295"/>
      <c r="BU209" s="295"/>
      <c r="BV209" s="295"/>
      <c r="BX209" s="295"/>
      <c r="BY209" s="295"/>
      <c r="BZ209" s="295"/>
      <c r="CB209" s="295"/>
      <c r="CC209" s="295"/>
      <c r="CD209" s="295"/>
      <c r="CF209" s="295"/>
      <c r="CG209" s="295"/>
      <c r="CH209" s="295"/>
      <c r="CJ209" s="295"/>
      <c r="CK209" s="295"/>
      <c r="CL209" s="295"/>
      <c r="CN209" s="295"/>
      <c r="CO209" s="295"/>
      <c r="CP209" s="295"/>
      <c r="CR209" s="295"/>
      <c r="CS209" s="295"/>
      <c r="CT209" s="295"/>
      <c r="CV209" s="295"/>
      <c r="CW209" s="295"/>
      <c r="CX209" s="295"/>
      <c r="CZ209" s="295"/>
      <c r="DA209" s="295"/>
      <c r="DB209" s="295"/>
      <c r="DD209" s="295"/>
      <c r="DE209" s="295"/>
      <c r="DF209" s="295"/>
      <c r="DH209" s="295"/>
      <c r="DI209" s="295"/>
      <c r="DJ209" s="295"/>
      <c r="DL209" s="295"/>
      <c r="DM209" s="295"/>
      <c r="DN209" s="295"/>
      <c r="DO209" s="295"/>
      <c r="DP209" s="295"/>
      <c r="DQ209" s="295"/>
      <c r="DR209" s="295"/>
      <c r="DS209" s="295"/>
      <c r="DU209" s="295"/>
      <c r="DV209" s="295"/>
      <c r="DW209" s="295"/>
      <c r="DX209" s="295"/>
      <c r="DZ209" s="295"/>
      <c r="EA209" s="295"/>
      <c r="EB209" s="295"/>
      <c r="ED209" s="295"/>
      <c r="EE209" s="295"/>
      <c r="EF209" s="295"/>
    </row>
    <row r="210" spans="1:273">
      <c r="A210" s="323" t="str">
        <f>+A202</f>
        <v xml:space="preserve"> - MIML</v>
      </c>
      <c r="AN210" s="293"/>
      <c r="AO210" s="293"/>
      <c r="AR210" s="293"/>
      <c r="AS210" s="293"/>
      <c r="AT210" s="730"/>
      <c r="AU210" s="730"/>
      <c r="AV210" s="295"/>
      <c r="AW210" s="295"/>
      <c r="AX210" s="295"/>
      <c r="AY210" s="730"/>
      <c r="AZ210" s="295"/>
      <c r="BA210" s="295"/>
      <c r="BB210" s="295"/>
      <c r="BD210" s="295"/>
      <c r="BE210" s="671">
        <f>+BE202/BD202-1</f>
        <v>3.9208090938543272E-2</v>
      </c>
      <c r="BF210" s="295"/>
      <c r="BH210" s="671">
        <f>+BH202/BE202-1</f>
        <v>1.9626845946880023E-2</v>
      </c>
      <c r="BI210" s="671">
        <f>+BI202/BH202-1</f>
        <v>3.778246005844732E-2</v>
      </c>
      <c r="BJ210" s="295"/>
      <c r="BL210" s="671">
        <f>+BL202/BI202-1</f>
        <v>7.6003415883860059E-2</v>
      </c>
      <c r="BM210" s="671">
        <f>+BM202/BL202-1</f>
        <v>0.14126984126984121</v>
      </c>
      <c r="BN210" s="295"/>
      <c r="BP210" s="671">
        <f>+BP202/BM202-1</f>
        <v>7.4061196105702276E-2</v>
      </c>
      <c r="BQ210" s="671">
        <f>+BQ202/BP202-1</f>
        <v>6.0699255422466791E-2</v>
      </c>
      <c r="BR210" s="295"/>
      <c r="BT210" s="671">
        <f>+BT202/BQ202-1</f>
        <v>6.6992217305051227E-2</v>
      </c>
      <c r="BU210" s="671">
        <f>+BU202/BT202-1</f>
        <v>-1.5589244851258566E-2</v>
      </c>
      <c r="BV210" s="295"/>
      <c r="BX210" s="671">
        <f>+BX202/BU202-1</f>
        <v>-1.4528548597991797E-4</v>
      </c>
      <c r="BY210" s="671">
        <f>+BY202/BX202-1</f>
        <v>-2.4411508282476069E-2</v>
      </c>
      <c r="BZ210" s="295"/>
      <c r="CB210" s="671">
        <f>+CB202/BY202-1</f>
        <v>-3.8576109621686006E-2</v>
      </c>
      <c r="CC210" s="671">
        <f>+CC202/CB202-1</f>
        <v>2.0449264136328527E-2</v>
      </c>
      <c r="CD210" s="295"/>
      <c r="CF210" s="671">
        <f>+CF202/CC202-1</f>
        <v>5.8296644906634221E-2</v>
      </c>
      <c r="CG210" s="671">
        <f>+CG202/CF202-1</f>
        <v>3.9449146463921947E-2</v>
      </c>
      <c r="CH210" s="295"/>
      <c r="CJ210" s="671">
        <f>+CJ202/CG202-1</f>
        <v>-3.4501794093292348E-3</v>
      </c>
      <c r="CK210" s="671">
        <f>+CK202/CJ202-1</f>
        <v>2.991275446614039E-2</v>
      </c>
      <c r="CL210" s="295"/>
      <c r="CN210" s="671">
        <f>+CN202/CK202-1</f>
        <v>-1.3715207745058522E-2</v>
      </c>
      <c r="CO210" s="671">
        <f>+CO202/CN202-1</f>
        <v>-2.1131561008861599E-2</v>
      </c>
      <c r="CP210" s="295"/>
      <c r="CR210" s="671">
        <f>+CR202/CO202-1</f>
        <v>0.36494893221912728</v>
      </c>
      <c r="CS210" s="671">
        <f>+CS202/CR202-1</f>
        <v>5.7140913574367902E-2</v>
      </c>
      <c r="CT210" s="295"/>
      <c r="CV210" s="671">
        <f>+CV202/CS202-1</f>
        <v>1.90791802065573E-2</v>
      </c>
      <c r="CW210" s="671">
        <f>+CW202/CV202-1</f>
        <v>-5.6828944875919607E-4</v>
      </c>
      <c r="CX210" s="295"/>
      <c r="CZ210" s="671">
        <f>+CZ202/CW202-1</f>
        <v>2.4829416224412482E-2</v>
      </c>
      <c r="DA210" s="671">
        <f>+DA202/CZ202-1</f>
        <v>3.0423525060107259E-2</v>
      </c>
      <c r="DB210" s="295"/>
      <c r="DD210" s="671">
        <f>+DD202/DA202-1</f>
        <v>-3.3204702503814021E-3</v>
      </c>
      <c r="DE210" s="671">
        <f>+DE202/DD202-1</f>
        <v>-1.3866378534125645E-2</v>
      </c>
      <c r="DF210" s="295"/>
      <c r="DH210" s="671">
        <f>+DH202/DE202-1</f>
        <v>-6.3915266617964317E-4</v>
      </c>
      <c r="DI210" s="671">
        <f>+DI202/DH202-1</f>
        <v>-0.30605025125628138</v>
      </c>
      <c r="DJ210" s="295"/>
      <c r="DL210" s="671">
        <f>+DL202/DI202-1</f>
        <v>-0.20174932326392181</v>
      </c>
      <c r="DM210" s="671">
        <f>+DM202/DL202-1</f>
        <v>3.1886877967765015E-2</v>
      </c>
      <c r="DN210" s="295"/>
      <c r="DO210" s="295"/>
      <c r="DP210" s="671">
        <f>+DP202/DM202-1</f>
        <v>3.1974096434392862E-2</v>
      </c>
      <c r="DQ210" s="671">
        <f>+DQ202/DP202-1</f>
        <v>3.2061824023098318E-2</v>
      </c>
      <c r="DR210" s="295"/>
      <c r="DS210" s="295"/>
      <c r="DU210" s="295"/>
      <c r="DV210" s="295"/>
      <c r="DW210" s="295"/>
      <c r="DX210" s="295"/>
      <c r="DZ210" s="295"/>
      <c r="EA210" s="295"/>
      <c r="EB210" s="295"/>
      <c r="ED210" s="295"/>
      <c r="EE210" s="295"/>
      <c r="EF210" s="295"/>
    </row>
    <row r="211" spans="1:273">
      <c r="A211" s="323" t="str">
        <f>+A203</f>
        <v xml:space="preserve"> - MIRA</v>
      </c>
      <c r="AN211" s="293"/>
      <c r="AO211" s="293"/>
      <c r="AR211" s="293"/>
      <c r="AS211" s="293"/>
      <c r="AT211" s="730"/>
      <c r="AU211" s="730"/>
      <c r="AV211" s="295"/>
      <c r="AW211" s="295"/>
      <c r="AX211" s="295"/>
      <c r="AY211" s="730"/>
      <c r="AZ211" s="295"/>
      <c r="BA211" s="295"/>
      <c r="BB211" s="295"/>
      <c r="BD211" s="295"/>
      <c r="BE211" s="671">
        <f>+BE203/BD203-1</f>
        <v>1.4386759372432723E-2</v>
      </c>
      <c r="BF211" s="295"/>
      <c r="BH211" s="671">
        <f>+BH203/BE203-1</f>
        <v>1.6790123456790207E-2</v>
      </c>
      <c r="BI211" s="671">
        <f>+BI203/BH203-1</f>
        <v>1.0199125789218E-2</v>
      </c>
      <c r="BJ211" s="295"/>
      <c r="BL211" s="671">
        <f>+BL203/BI203-1</f>
        <v>4.1346153846153921E-2</v>
      </c>
      <c r="BM211" s="671">
        <f>+BM203/BL203-1</f>
        <v>4.8476454293628901E-2</v>
      </c>
      <c r="BN211" s="295"/>
      <c r="BP211" s="671">
        <f>+BP203/BM203-1</f>
        <v>-4.4033465433734875E-4</v>
      </c>
      <c r="BQ211" s="671">
        <f>+BQ203/BP203-1</f>
        <v>9.2070484581497691E-2</v>
      </c>
      <c r="BR211" s="295"/>
      <c r="BT211" s="671">
        <f>+BT203/BQ203-1</f>
        <v>0.13553852359822516</v>
      </c>
      <c r="BU211" s="671">
        <f>+BU203/BT203-1</f>
        <v>8.8809946714032417E-3</v>
      </c>
      <c r="BV211" s="295"/>
      <c r="BX211" s="671">
        <f>+BX203/BU203-1</f>
        <v>-4.1549295774647832E-2</v>
      </c>
      <c r="BY211" s="671">
        <f>+BY203/BX203-1</f>
        <v>6.6127847171197685E-2</v>
      </c>
      <c r="BZ211" s="295"/>
      <c r="CB211" s="671">
        <f>+CB203/BY203-1</f>
        <v>1.8607856650585841E-2</v>
      </c>
      <c r="CC211" s="671">
        <f>+CC203/CB203-1</f>
        <v>3.3829499323410062E-3</v>
      </c>
      <c r="CD211" s="295"/>
      <c r="CF211" s="671">
        <f>+CF203/CC203-1</f>
        <v>0.14733648010788936</v>
      </c>
      <c r="CG211" s="671">
        <f>+CG203/CF203-1</f>
        <v>9.9324125771378169E-2</v>
      </c>
      <c r="CH211" s="295"/>
      <c r="CJ211" s="671">
        <f>+CJ203/CG203-1</f>
        <v>4.2234696605185862E-2</v>
      </c>
      <c r="CK211" s="671">
        <f>+CK203/CJ203-1</f>
        <v>8.745832264683262E-2</v>
      </c>
      <c r="CL211" s="295"/>
      <c r="CN211" s="671">
        <f>+CN203/CK203-1</f>
        <v>7.3113207547170767E-3</v>
      </c>
      <c r="CO211" s="671">
        <f>+CO203/CN203-1</f>
        <v>-6.5558417232498223E-2</v>
      </c>
      <c r="CP211" s="295"/>
      <c r="CR211" s="671">
        <f>+CR203/CO203-1</f>
        <v>4.2345276872964188E-2</v>
      </c>
      <c r="CS211" s="671">
        <f>+CS203/CR203-1</f>
        <v>0.15096153846153837</v>
      </c>
      <c r="CT211" s="295"/>
      <c r="CV211" s="671">
        <f>+CV203/CS203-1</f>
        <v>0.1906850459482039</v>
      </c>
      <c r="CW211" s="671">
        <f>+CW203/CV203-1</f>
        <v>0.15120154358884408</v>
      </c>
      <c r="CX211" s="295"/>
      <c r="CZ211" s="671">
        <f>+CZ203/CW203-1</f>
        <v>5.012951394179499E-2</v>
      </c>
      <c r="DA211" s="671">
        <f>+DA203/CZ203-1</f>
        <v>3.8885664538595544E-2</v>
      </c>
      <c r="DB211" s="295"/>
      <c r="DD211" s="671">
        <f>+DD203/DA203-1</f>
        <v>3.9804469273742926E-2</v>
      </c>
      <c r="DE211" s="671">
        <f>+DE203/DD203-1</f>
        <v>2.4311618535930224E-2</v>
      </c>
      <c r="DF211" s="295"/>
      <c r="DH211" s="671">
        <f>+DH203/DE203-1</f>
        <v>5.6386047731445066E-2</v>
      </c>
      <c r="DI211" s="671">
        <f>+DI203/DH203-1</f>
        <v>5.8823857994041662E-2</v>
      </c>
      <c r="DJ211" s="295"/>
      <c r="DL211" s="671">
        <f>+DL203/DI203-1</f>
        <v>3.9826007326007273E-2</v>
      </c>
      <c r="DM211" s="671">
        <f>+DM203/DL203-1</f>
        <v>3.503997539975412E-2</v>
      </c>
      <c r="DN211" s="295"/>
      <c r="DO211" s="295"/>
      <c r="DP211" s="671">
        <f>+DP203/DM203-1</f>
        <v>3.4953987730061531E-2</v>
      </c>
      <c r="DQ211" s="671">
        <f>+DQ203/DP203-1</f>
        <v>3.5039975399753898E-2</v>
      </c>
      <c r="DR211" s="295"/>
      <c r="DS211" s="295"/>
      <c r="DU211" s="295"/>
      <c r="DV211" s="295"/>
      <c r="DW211" s="295"/>
      <c r="DX211" s="295"/>
      <c r="DZ211" s="295"/>
      <c r="EA211" s="295"/>
      <c r="EB211" s="295"/>
      <c r="ED211" s="295"/>
      <c r="EE211" s="295"/>
      <c r="EF211" s="295"/>
    </row>
    <row r="212" spans="1:273">
      <c r="A212" s="323" t="str">
        <f>+A205</f>
        <v xml:space="preserve"> - total</v>
      </c>
      <c r="AN212" s="293"/>
      <c r="AO212" s="293"/>
      <c r="AR212" s="293"/>
      <c r="AS212" s="293"/>
      <c r="AT212" s="730"/>
      <c r="AU212" s="730"/>
      <c r="AV212" s="295"/>
      <c r="AW212" s="295"/>
      <c r="AX212" s="295"/>
      <c r="AY212" s="730"/>
      <c r="AZ212" s="295"/>
      <c r="BA212" s="295"/>
      <c r="BB212" s="295"/>
      <c r="BD212" s="295"/>
      <c r="BE212" s="672">
        <f>+BE208/BD208-1</f>
        <v>2.6374296435272004E-2</v>
      </c>
      <c r="BF212" s="295"/>
      <c r="BG212" s="290"/>
      <c r="BH212" s="672">
        <f>+BH208/BE208-1</f>
        <v>1.6722800315018604E-2</v>
      </c>
      <c r="BI212" s="672">
        <f>+BI208/BH208-1</f>
        <v>3.0643631629178048E-2</v>
      </c>
      <c r="BJ212" s="295"/>
      <c r="BL212" s="672">
        <f>+BL208/BI208-1</f>
        <v>6.4398895188254146E-2</v>
      </c>
      <c r="BM212" s="672">
        <f>+BM208/BL208-1</f>
        <v>0.1085768915596832</v>
      </c>
      <c r="BN212" s="295"/>
      <c r="BP212" s="672">
        <f>+BP208/BM208-1</f>
        <v>5.0018479733891841E-2</v>
      </c>
      <c r="BQ212" s="672">
        <f>+BQ208/BP208-1</f>
        <v>6.9693769799366478E-2</v>
      </c>
      <c r="BR212" s="295"/>
      <c r="BT212" s="672">
        <f>+BT208/BQ208-1</f>
        <v>8.6541625534715338E-2</v>
      </c>
      <c r="BU212" s="672">
        <f>+BU208/BT208-1</f>
        <v>-7.7730668281849047E-3</v>
      </c>
      <c r="BV212" s="295"/>
      <c r="BX212" s="672">
        <f>+BX208/BU208-1</f>
        <v>-1.1394851968664188E-2</v>
      </c>
      <c r="BY212" s="672">
        <f>+BY208/BX208-1</f>
        <v>3.1902850674077055E-3</v>
      </c>
      <c r="BZ212" s="295"/>
      <c r="CB212" s="672">
        <f>+CB208/BY208-1</f>
        <v>-2.0004103405826812E-2</v>
      </c>
      <c r="CC212" s="672">
        <f>+CC208/CB208-1</f>
        <v>1.5701873756934992E-2</v>
      </c>
      <c r="CD212" s="295"/>
      <c r="CF212" s="672">
        <f>+CF208/CC208-1</f>
        <v>7.9769143563846123E-2</v>
      </c>
      <c r="CG212" s="672">
        <f>+CG208/CF208-1</f>
        <v>5.2114154815309677E-2</v>
      </c>
      <c r="CH212" s="295"/>
      <c r="CJ212" s="672">
        <f>+CJ208/CG208-1</f>
        <v>1.1249206205207196E-2</v>
      </c>
      <c r="CK212" s="672">
        <f>+CK208/CJ208-1</f>
        <v>4.2702072306450178E-2</v>
      </c>
      <c r="CL212" s="295"/>
      <c r="CN212" s="672">
        <f>+CN208/CK208-1</f>
        <v>-6.1085778198399776E-3</v>
      </c>
      <c r="CO212" s="672">
        <f>+CO208/CN208-1</f>
        <v>-3.0644044321329611E-2</v>
      </c>
      <c r="CP212" s="295"/>
      <c r="CR212" s="672">
        <f>+CR208/CO208-1</f>
        <v>0.16136810144668701</v>
      </c>
      <c r="CS212" s="672">
        <f>+CS208/CR208-1</f>
        <v>0.17647058823529416</v>
      </c>
      <c r="CT212" s="295"/>
      <c r="CV212" s="672">
        <f>+CV208/CS208-1</f>
        <v>6.2679738562091414E-2</v>
      </c>
      <c r="CW212" s="672">
        <f>+CW208/CV208-1</f>
        <v>5.2647764315148615E-2</v>
      </c>
      <c r="CX212" s="295"/>
      <c r="CZ212" s="672">
        <f>+CZ208/CW208-1</f>
        <v>3.4531113058720475E-2</v>
      </c>
      <c r="DA212" s="672">
        <f>+DA208/CZ208-1</f>
        <v>3.3717383937648338E-2</v>
      </c>
      <c r="DB212" s="295"/>
      <c r="DD212" s="672">
        <f>+DD208/DA208-1</f>
        <v>1.3549691307435996E-2</v>
      </c>
      <c r="DE212" s="672">
        <f>+DE208/DD208-1</f>
        <v>1.4554471457064455E-3</v>
      </c>
      <c r="DF212" s="295"/>
      <c r="DH212" s="672">
        <f>+DH208/DE208-1</f>
        <v>2.2768866401119636E-2</v>
      </c>
      <c r="DI212" s="672">
        <f>+DI208/DH208-1</f>
        <v>-0.10852876164412395</v>
      </c>
      <c r="DJ212" s="295"/>
      <c r="DL212" s="672">
        <f>+DL208/DI208-1</f>
        <v>-0.11844440028230974</v>
      </c>
      <c r="DM212" s="672">
        <f>+DM208/DL208-1</f>
        <v>3.3759748428342062E-2</v>
      </c>
      <c r="DN212" s="295"/>
      <c r="DO212" s="295"/>
      <c r="DP212" s="672">
        <f>+DP208/DM208-1</f>
        <v>3.3746278250813111E-2</v>
      </c>
      <c r="DQ212" s="672">
        <f>+DQ208/DP208-1</f>
        <v>3.3835040289246443E-2</v>
      </c>
      <c r="DR212" s="295"/>
      <c r="DS212" s="295"/>
      <c r="DU212" s="295"/>
      <c r="DV212" s="295"/>
      <c r="DW212" s="295"/>
      <c r="DX212" s="295"/>
      <c r="DZ212" s="295"/>
      <c r="EA212" s="295"/>
      <c r="EB212" s="295"/>
      <c r="ED212" s="295"/>
      <c r="EE212" s="295"/>
      <c r="EF212" s="295"/>
    </row>
    <row r="213" spans="1:273">
      <c r="AN213" s="290"/>
      <c r="AO213" s="290"/>
      <c r="AP213" s="290"/>
      <c r="AQ213" s="290"/>
      <c r="AR213" s="290"/>
      <c r="AS213" s="290"/>
      <c r="AT213" s="290"/>
      <c r="AU213" s="290"/>
      <c r="AV213" s="290"/>
      <c r="AW213" s="290"/>
      <c r="AX213" s="290"/>
      <c r="AY213" s="290"/>
      <c r="AZ213" s="290"/>
      <c r="BA213" s="290"/>
      <c r="BB213" s="290"/>
      <c r="BC213" s="290"/>
      <c r="BD213" s="290"/>
      <c r="BE213" s="290"/>
      <c r="BF213" s="290"/>
      <c r="BG213" s="290"/>
      <c r="BH213" s="290"/>
      <c r="BI213" s="290"/>
      <c r="BJ213" s="290"/>
      <c r="BK213" s="290"/>
      <c r="BL213" s="290"/>
      <c r="BM213" s="290"/>
      <c r="BN213" s="290"/>
      <c r="BO213" s="290"/>
      <c r="BP213" s="290"/>
      <c r="BQ213" s="290"/>
      <c r="BR213" s="290"/>
      <c r="BS213" s="290"/>
      <c r="BT213" s="290"/>
      <c r="BU213" s="290"/>
      <c r="BV213" s="290"/>
      <c r="BW213" s="290"/>
      <c r="BX213" s="290"/>
      <c r="BY213" s="290"/>
      <c r="BZ213" s="290"/>
      <c r="CA213" s="290"/>
      <c r="CB213" s="290"/>
      <c r="CC213" s="290"/>
      <c r="CD213" s="290"/>
      <c r="CE213" s="581"/>
      <c r="CF213" s="290"/>
      <c r="CG213" s="290"/>
      <c r="CH213" s="290"/>
      <c r="CI213" s="581"/>
      <c r="CJ213" s="290"/>
      <c r="CK213" s="290"/>
      <c r="CL213" s="290"/>
      <c r="CM213" s="581"/>
      <c r="CN213" s="290"/>
      <c r="CO213" s="290"/>
      <c r="CP213" s="290"/>
      <c r="CQ213" s="581"/>
      <c r="CR213" s="290"/>
      <c r="CS213" s="290"/>
      <c r="CT213" s="290"/>
      <c r="CU213" s="290"/>
      <c r="CV213" s="290"/>
      <c r="CW213" s="290"/>
      <c r="CX213" s="290"/>
      <c r="CY213" s="290"/>
      <c r="CZ213" s="290"/>
      <c r="DA213" s="290"/>
      <c r="DB213" s="290"/>
      <c r="DC213" s="290"/>
      <c r="DD213" s="290"/>
      <c r="DE213" s="290"/>
      <c r="DF213" s="290"/>
      <c r="DG213" s="290"/>
      <c r="DH213" s="290"/>
      <c r="DI213" s="290"/>
      <c r="DJ213" s="290"/>
      <c r="DK213" s="290"/>
      <c r="DL213" s="290"/>
      <c r="DM213" s="290"/>
      <c r="DN213" s="290"/>
      <c r="DO213" s="290"/>
      <c r="DP213" s="290"/>
      <c r="DQ213" s="290"/>
      <c r="DR213" s="290"/>
      <c r="DS213" s="290"/>
      <c r="DT213" s="290"/>
      <c r="DU213" s="290"/>
      <c r="DV213" s="290"/>
      <c r="DW213" s="290"/>
      <c r="DX213" s="290"/>
      <c r="DY213" s="290"/>
      <c r="DZ213" s="290"/>
      <c r="EA213" s="290"/>
      <c r="EB213" s="290"/>
      <c r="EC213" s="290"/>
      <c r="ED213" s="290"/>
      <c r="EE213" s="290"/>
      <c r="EF213" s="290"/>
      <c r="EG213" s="290"/>
      <c r="EH213" s="290"/>
      <c r="EI213" s="290"/>
      <c r="EJ213" s="290"/>
      <c r="EK213" s="290"/>
      <c r="EL213" s="290"/>
      <c r="EM213" s="290"/>
      <c r="EN213" s="290"/>
      <c r="EO213" s="290"/>
      <c r="EP213" s="290"/>
      <c r="EQ213" s="289"/>
      <c r="ER213" s="289"/>
      <c r="ES213" s="289"/>
      <c r="ET213" s="289"/>
      <c r="EU213" s="289"/>
      <c r="EV213" s="289"/>
      <c r="EW213" s="289"/>
      <c r="EX213" s="289"/>
      <c r="EY213" s="289"/>
      <c r="EZ213" s="289"/>
      <c r="FA213" s="289"/>
      <c r="FB213" s="289"/>
      <c r="FC213" s="289"/>
      <c r="FD213" s="289"/>
      <c r="FE213" s="289"/>
      <c r="FF213" s="289"/>
      <c r="FG213" s="289"/>
      <c r="FH213" s="289"/>
      <c r="FI213" s="289"/>
      <c r="FJ213" s="289"/>
      <c r="FK213" s="289"/>
      <c r="FL213" s="289"/>
      <c r="FM213" s="289"/>
      <c r="FN213" s="289"/>
      <c r="FO213" s="289"/>
      <c r="FP213" s="289"/>
      <c r="FQ213" s="289"/>
      <c r="FR213" s="289"/>
      <c r="FS213" s="289"/>
      <c r="FT213" s="289"/>
      <c r="FU213" s="289"/>
      <c r="FV213" s="289"/>
      <c r="FW213" s="289"/>
      <c r="FX213" s="289"/>
      <c r="FY213" s="289"/>
      <c r="FZ213" s="289"/>
      <c r="GA213" s="289"/>
      <c r="GB213" s="289"/>
      <c r="GC213" s="289"/>
      <c r="GD213" s="289"/>
      <c r="GE213" s="289"/>
      <c r="GF213" s="289"/>
      <c r="GG213" s="289"/>
      <c r="GH213" s="289"/>
      <c r="GI213" s="289"/>
      <c r="GJ213" s="289"/>
      <c r="GK213" s="289"/>
      <c r="GL213" s="289"/>
      <c r="GM213" s="289"/>
      <c r="GN213" s="289"/>
      <c r="GO213" s="289"/>
      <c r="GP213" s="289"/>
      <c r="GQ213" s="289"/>
      <c r="GR213" s="289"/>
      <c r="GS213" s="289"/>
      <c r="GT213" s="289"/>
      <c r="GU213" s="289"/>
      <c r="GV213" s="289"/>
      <c r="GW213" s="289"/>
      <c r="GX213" s="289"/>
      <c r="GY213" s="289"/>
      <c r="GZ213" s="289"/>
      <c r="HA213" s="289"/>
      <c r="HB213" s="289"/>
      <c r="HC213" s="289"/>
      <c r="HD213" s="289"/>
      <c r="HE213" s="289"/>
      <c r="HF213" s="289"/>
      <c r="HG213" s="289"/>
      <c r="HH213" s="289"/>
      <c r="HI213" s="289"/>
      <c r="HJ213" s="289"/>
      <c r="HK213" s="289"/>
      <c r="HL213" s="289"/>
      <c r="HM213" s="289"/>
      <c r="HN213" s="289"/>
      <c r="HO213" s="289"/>
      <c r="HP213" s="289"/>
      <c r="HQ213" s="289"/>
      <c r="HR213" s="289"/>
      <c r="HS213" s="289"/>
      <c r="HT213" s="289"/>
      <c r="HU213" s="289"/>
      <c r="HV213" s="289"/>
      <c r="HW213" s="289"/>
      <c r="HX213" s="289"/>
      <c r="HY213" s="289"/>
      <c r="HZ213" s="289"/>
      <c r="IA213" s="289"/>
      <c r="IB213" s="289"/>
      <c r="IC213" s="289"/>
      <c r="ID213" s="289"/>
      <c r="IE213" s="289"/>
      <c r="IF213" s="289"/>
      <c r="IG213" s="289"/>
      <c r="IH213" s="289"/>
      <c r="II213" s="289"/>
      <c r="IJ213" s="289"/>
      <c r="IK213" s="289"/>
      <c r="IL213" s="289"/>
      <c r="IM213" s="289"/>
      <c r="IN213" s="289"/>
      <c r="IO213" s="289"/>
      <c r="IP213" s="289"/>
      <c r="IQ213" s="289"/>
      <c r="IR213" s="289"/>
      <c r="IS213" s="289"/>
      <c r="IT213" s="289"/>
      <c r="IU213" s="289"/>
      <c r="IV213" s="289"/>
      <c r="IW213" s="289"/>
      <c r="IX213" s="289"/>
      <c r="IY213" s="289"/>
      <c r="IZ213" s="289"/>
      <c r="JA213" s="289"/>
      <c r="JB213" s="289"/>
      <c r="JC213" s="289"/>
      <c r="JD213" s="289"/>
      <c r="JE213" s="289"/>
      <c r="JF213" s="289"/>
      <c r="JG213" s="289"/>
      <c r="JH213" s="289"/>
      <c r="JI213" s="289"/>
      <c r="JJ213" s="289"/>
      <c r="JK213" s="289"/>
      <c r="JL213" s="289"/>
    </row>
    <row r="214" spans="1:273" s="699" customFormat="1">
      <c r="A214" s="877" t="s">
        <v>882</v>
      </c>
      <c r="B214" s="867"/>
      <c r="AN214" s="867"/>
      <c r="AO214" s="867"/>
      <c r="AP214" s="867"/>
      <c r="AQ214" s="867"/>
      <c r="AR214" s="867"/>
      <c r="AS214" s="867"/>
      <c r="AT214" s="867"/>
      <c r="AU214" s="867"/>
      <c r="AV214" s="867"/>
      <c r="AW214" s="867"/>
      <c r="AX214" s="867"/>
      <c r="AY214" s="867"/>
      <c r="AZ214" s="867"/>
      <c r="BA214" s="867"/>
      <c r="BB214" s="867"/>
      <c r="BC214" s="867"/>
      <c r="BD214" s="867"/>
      <c r="BE214" s="867"/>
      <c r="BF214" s="867"/>
      <c r="BG214" s="867"/>
      <c r="BH214" s="867"/>
      <c r="BI214" s="867"/>
      <c r="BJ214" s="867"/>
      <c r="BK214" s="867"/>
      <c r="BL214" s="867"/>
      <c r="BM214" s="867"/>
      <c r="BN214" s="867"/>
      <c r="BO214" s="867"/>
      <c r="BP214" s="867"/>
      <c r="BQ214" s="867"/>
      <c r="BR214" s="867"/>
      <c r="BS214" s="867"/>
      <c r="BT214" s="867"/>
      <c r="BU214" s="867"/>
      <c r="BV214" s="867"/>
      <c r="BW214" s="867"/>
      <c r="BX214" s="867"/>
      <c r="BY214" s="867"/>
      <c r="BZ214" s="867"/>
      <c r="CA214" s="867"/>
      <c r="CB214" s="867"/>
      <c r="CC214" s="867"/>
      <c r="CD214" s="867"/>
      <c r="CE214" s="1608"/>
      <c r="CF214" s="867"/>
      <c r="CG214" s="867"/>
      <c r="CH214" s="867"/>
      <c r="CI214" s="1608"/>
      <c r="CJ214" s="867"/>
      <c r="CK214" s="867"/>
      <c r="CL214" s="867"/>
      <c r="CM214" s="1608"/>
      <c r="CN214" s="867"/>
      <c r="CO214" s="867"/>
      <c r="CP214" s="867"/>
      <c r="CQ214" s="1608"/>
      <c r="CR214" s="867"/>
      <c r="CS214" s="867"/>
      <c r="CT214" s="867"/>
      <c r="CU214" s="867"/>
      <c r="CV214" s="867"/>
      <c r="CW214" s="867"/>
      <c r="CX214" s="867"/>
      <c r="CY214" s="867"/>
      <c r="CZ214" s="867"/>
      <c r="DA214" s="867"/>
      <c r="DB214" s="867"/>
      <c r="DC214" s="867"/>
      <c r="DD214" s="867"/>
      <c r="DE214" s="867"/>
      <c r="DF214" s="867"/>
      <c r="DG214" s="867"/>
      <c r="DH214" s="867"/>
      <c r="DI214" s="867"/>
      <c r="DJ214" s="867"/>
      <c r="DK214" s="867"/>
      <c r="DL214" s="867"/>
      <c r="DM214" s="867"/>
      <c r="DN214" s="867"/>
      <c r="DO214" s="867"/>
      <c r="DP214" s="867"/>
      <c r="DQ214" s="867"/>
      <c r="DR214" s="867"/>
      <c r="DS214" s="867"/>
      <c r="DT214" s="867"/>
      <c r="DU214" s="867"/>
      <c r="DV214" s="867"/>
      <c r="DW214" s="867"/>
      <c r="DX214" s="867"/>
      <c r="DY214" s="867"/>
      <c r="DZ214" s="867"/>
      <c r="EA214" s="867"/>
      <c r="EB214" s="867"/>
      <c r="EC214" s="867"/>
      <c r="ED214" s="867"/>
      <c r="EE214" s="867"/>
      <c r="EF214" s="867"/>
      <c r="EG214" s="867"/>
      <c r="EH214" s="867"/>
      <c r="EI214" s="867"/>
      <c r="EJ214" s="867"/>
      <c r="EK214" s="867"/>
      <c r="EL214" s="867"/>
      <c r="EM214" s="867"/>
      <c r="EN214" s="867"/>
      <c r="EO214" s="867"/>
      <c r="EP214" s="867"/>
      <c r="FL214" s="102"/>
      <c r="FM214" s="102"/>
      <c r="FN214" s="102"/>
      <c r="FO214" s="102"/>
      <c r="FP214" s="102"/>
      <c r="FQ214" s="102"/>
      <c r="FR214" s="102"/>
      <c r="FS214" s="102"/>
      <c r="FT214" s="102"/>
      <c r="FU214" s="102"/>
      <c r="FV214" s="102"/>
      <c r="FW214" s="102"/>
      <c r="FX214" s="102"/>
      <c r="FY214" s="102"/>
      <c r="FZ214" s="102"/>
      <c r="GA214" s="102"/>
      <c r="GB214" s="102"/>
      <c r="GC214" s="102"/>
      <c r="GD214" s="102"/>
      <c r="GE214" s="102"/>
      <c r="GF214" s="102"/>
      <c r="GG214" s="102"/>
      <c r="GH214" s="102"/>
      <c r="GI214" s="102"/>
      <c r="GJ214" s="102"/>
      <c r="GK214" s="102"/>
      <c r="GL214" s="102"/>
      <c r="GM214" s="102"/>
      <c r="GN214" s="102"/>
      <c r="GO214" s="102"/>
      <c r="GP214" s="102"/>
      <c r="GQ214" s="102"/>
      <c r="GR214" s="102"/>
      <c r="GS214" s="102"/>
      <c r="GT214" s="102"/>
      <c r="GU214" s="102"/>
      <c r="GV214" s="102"/>
      <c r="GW214" s="102"/>
      <c r="GX214" s="102"/>
      <c r="GY214" s="102"/>
      <c r="GZ214" s="102"/>
      <c r="HA214" s="102"/>
      <c r="HB214" s="102"/>
      <c r="HC214" s="102"/>
      <c r="HD214" s="102"/>
      <c r="HE214" s="102"/>
      <c r="HF214" s="102"/>
      <c r="HG214" s="102"/>
      <c r="HH214" s="102"/>
      <c r="HI214" s="102"/>
      <c r="HJ214" s="102"/>
      <c r="HK214" s="102"/>
      <c r="HL214" s="102"/>
      <c r="HM214" s="102"/>
      <c r="HN214" s="102"/>
      <c r="HO214" s="102"/>
      <c r="HP214" s="102"/>
      <c r="HQ214" s="102"/>
      <c r="HR214" s="102"/>
      <c r="HS214" s="102"/>
      <c r="HT214" s="102"/>
      <c r="HU214" s="102"/>
      <c r="HV214" s="102"/>
      <c r="HW214" s="102"/>
      <c r="HX214" s="102"/>
      <c r="HY214" s="102"/>
      <c r="HZ214" s="102"/>
      <c r="IA214" s="102"/>
      <c r="IB214" s="102"/>
      <c r="IC214" s="102"/>
      <c r="ID214" s="102"/>
      <c r="IE214" s="102"/>
      <c r="IF214" s="102"/>
      <c r="IG214" s="102"/>
      <c r="IH214" s="102"/>
      <c r="II214" s="102"/>
      <c r="IJ214" s="102"/>
      <c r="IK214" s="102"/>
      <c r="IL214" s="102"/>
      <c r="IM214" s="102"/>
      <c r="IN214" s="102"/>
      <c r="IO214" s="102"/>
      <c r="IP214" s="102"/>
      <c r="IQ214" s="102"/>
      <c r="IR214" s="102"/>
      <c r="IS214" s="102"/>
      <c r="IT214" s="102"/>
      <c r="IU214" s="102"/>
      <c r="IV214" s="102"/>
      <c r="IW214" s="102"/>
      <c r="IX214" s="102"/>
      <c r="IY214" s="102"/>
      <c r="IZ214" s="102"/>
      <c r="JA214" s="102"/>
      <c r="JB214" s="102"/>
      <c r="JC214" s="102"/>
      <c r="JD214" s="102"/>
      <c r="JE214" s="102"/>
      <c r="JF214" s="102"/>
      <c r="JG214" s="102"/>
      <c r="JH214" s="102"/>
      <c r="JI214" s="102"/>
      <c r="JJ214" s="102"/>
      <c r="JK214" s="102"/>
      <c r="JL214" s="102"/>
      <c r="JM214"/>
    </row>
    <row r="215" spans="1:273">
      <c r="A215" s="815"/>
      <c r="CS215" s="674" t="s">
        <v>1371</v>
      </c>
      <c r="CY215" s="787" t="s">
        <v>1394</v>
      </c>
      <c r="CZ215" s="869">
        <f>+DA215/DA223</f>
        <v>5.0386963036300719E-2</v>
      </c>
      <c r="DA215" s="2041">
        <f>11.4/0.61*1000</f>
        <v>18688.524590163935</v>
      </c>
      <c r="DB215" s="869">
        <f>+DA215/DA218</f>
        <v>0.59328649492583918</v>
      </c>
      <c r="DC215" s="2041">
        <f>+DA218-DA215</f>
        <v>12811.475409836065</v>
      </c>
      <c r="DD215" s="869">
        <f>+DE215/DE223</f>
        <v>4.8042479666231194E-2</v>
      </c>
      <c r="DE215" s="2041">
        <f>11.4/0.61*1000</f>
        <v>18688.524590163935</v>
      </c>
      <c r="DF215" s="869">
        <f>+DE215/DE218</f>
        <v>0.89418777943368111</v>
      </c>
      <c r="DH215" s="869">
        <f>+DI215/DI223</f>
        <v>0</v>
      </c>
    </row>
    <row r="216" spans="1:273">
      <c r="A216" s="102" t="s">
        <v>1187</v>
      </c>
      <c r="BD216" s="626"/>
      <c r="BE216" s="626">
        <v>90800</v>
      </c>
      <c r="BF216" s="293">
        <f t="shared" ref="BF216:BF217" si="162">BE216</f>
        <v>90800</v>
      </c>
      <c r="BH216" s="626">
        <v>96500</v>
      </c>
      <c r="BI216" s="626">
        <v>90800</v>
      </c>
      <c r="BJ216" s="293">
        <f t="shared" ref="BJ216:BJ217" si="163">BI216</f>
        <v>90800</v>
      </c>
      <c r="BK216" s="626"/>
      <c r="BL216" s="626">
        <v>101700</v>
      </c>
      <c r="BM216" s="626">
        <v>105300</v>
      </c>
      <c r="BN216" s="293">
        <f t="shared" ref="BN216:BN217" si="164">BM216</f>
        <v>105300</v>
      </c>
      <c r="BP216" s="626">
        <v>107100</v>
      </c>
      <c r="BQ216" s="626">
        <v>126700</v>
      </c>
      <c r="BR216" s="293">
        <f t="shared" ref="BR216:BR217" si="165">BQ216</f>
        <v>126700</v>
      </c>
      <c r="BT216" s="626">
        <v>140600</v>
      </c>
      <c r="BU216" s="626">
        <v>128100</v>
      </c>
      <c r="BV216" s="293">
        <f t="shared" ref="BV216:BV217" si="166">BU216</f>
        <v>128100</v>
      </c>
      <c r="BX216" s="626">
        <v>129300</v>
      </c>
      <c r="BY216" s="626">
        <v>146900</v>
      </c>
      <c r="BZ216" s="293">
        <f t="shared" ref="BZ216:BZ217" si="167">BY216</f>
        <v>146900</v>
      </c>
      <c r="CB216" s="626">
        <v>133900</v>
      </c>
      <c r="CC216" s="626">
        <v>146900</v>
      </c>
      <c r="CD216" s="293">
        <f t="shared" ref="CD216:CD217" si="168">CC216</f>
        <v>146900</v>
      </c>
      <c r="CF216" s="626">
        <v>160200</v>
      </c>
      <c r="CG216" s="626">
        <v>152600</v>
      </c>
      <c r="CH216" s="293">
        <f t="shared" ref="CH216:CH217" si="169">CG216</f>
        <v>152600</v>
      </c>
      <c r="CJ216" s="626">
        <v>158300</v>
      </c>
      <c r="CK216" s="626">
        <v>176400</v>
      </c>
      <c r="CL216" s="293">
        <f t="shared" ref="CL216:CL217" si="170">CK216</f>
        <v>176400</v>
      </c>
      <c r="CN216" s="1388">
        <v>162000</v>
      </c>
      <c r="CO216" s="1388">
        <v>157800</v>
      </c>
      <c r="CP216" s="1010">
        <f t="shared" ref="CP216:CP217" si="171">CO216</f>
        <v>157800</v>
      </c>
      <c r="CQ216" s="999"/>
      <c r="CR216" s="1388">
        <v>183600</v>
      </c>
      <c r="CS216" s="1388">
        <v>208100</v>
      </c>
      <c r="CT216" s="293">
        <f t="shared" ref="CT216:CT217" si="172">CS216</f>
        <v>208100</v>
      </c>
      <c r="CV216" s="1388">
        <v>255800</v>
      </c>
      <c r="CW216" s="626">
        <v>277600</v>
      </c>
      <c r="CX216" s="293">
        <f t="shared" ref="CX216:CX217" si="173">CW216</f>
        <v>277600</v>
      </c>
      <c r="CZ216" s="1388">
        <v>275600</v>
      </c>
      <c r="DA216" s="1388">
        <v>299100</v>
      </c>
      <c r="DB216" s="293">
        <f t="shared" ref="DB216:DB217" si="174">DA216</f>
        <v>299100</v>
      </c>
      <c r="DD216" s="1388">
        <v>302500</v>
      </c>
      <c r="DE216" s="2176">
        <v>324600</v>
      </c>
      <c r="DF216" s="293">
        <f t="shared" ref="DF216:DF217" si="175">DE216</f>
        <v>324600</v>
      </c>
      <c r="DH216" s="1388">
        <v>348600</v>
      </c>
      <c r="DI216" s="293">
        <f t="shared" ref="DI216" si="176">+DI221-SUM(DI217:DI220)</f>
        <v>366348.5</v>
      </c>
      <c r="DJ216" s="293">
        <f t="shared" ref="DJ216:DJ217" si="177">DI216</f>
        <v>366348.5</v>
      </c>
      <c r="DL216" s="293">
        <f t="shared" ref="DL216:DM216" si="178">+DL221-SUM(DL217:DL220)</f>
        <v>378429.92625000002</v>
      </c>
      <c r="DM216" s="293">
        <f t="shared" si="178"/>
        <v>393162.10748437513</v>
      </c>
      <c r="DN216" s="293">
        <f t="shared" ref="DN216:DN217" si="179">DM216</f>
        <v>393162.10748437513</v>
      </c>
      <c r="DP216" s="293">
        <f t="shared" ref="DP216:DQ216" si="180">+DP221-SUM(DP217:DP220)</f>
        <v>406125.63956761727</v>
      </c>
      <c r="DQ216" s="293">
        <f t="shared" si="180"/>
        <v>421929.36054450285</v>
      </c>
      <c r="DR216" s="293">
        <f t="shared" ref="DR216:DR217" si="181">DQ216</f>
        <v>421929.36054450285</v>
      </c>
    </row>
    <row r="217" spans="1:273">
      <c r="A217" s="102" t="s">
        <v>1188</v>
      </c>
      <c r="BD217" s="626"/>
      <c r="BE217" s="626"/>
      <c r="BF217" s="293">
        <f t="shared" si="162"/>
        <v>0</v>
      </c>
      <c r="BH217" s="626"/>
      <c r="BI217" s="626"/>
      <c r="BJ217" s="293">
        <f t="shared" si="163"/>
        <v>0</v>
      </c>
      <c r="BK217" s="626"/>
      <c r="BL217" s="626"/>
      <c r="BM217" s="626"/>
      <c r="BN217" s="293">
        <f t="shared" si="164"/>
        <v>0</v>
      </c>
      <c r="BP217" s="626"/>
      <c r="BQ217" s="626"/>
      <c r="BR217" s="293">
        <f t="shared" si="165"/>
        <v>0</v>
      </c>
      <c r="BT217" s="626"/>
      <c r="BU217" s="626"/>
      <c r="BV217" s="293">
        <f t="shared" si="166"/>
        <v>0</v>
      </c>
      <c r="BX217" s="626"/>
      <c r="BY217" s="626"/>
      <c r="BZ217" s="293">
        <f t="shared" si="167"/>
        <v>0</v>
      </c>
      <c r="CB217" s="626"/>
      <c r="CC217" s="626"/>
      <c r="CD217" s="293">
        <f t="shared" si="168"/>
        <v>0</v>
      </c>
      <c r="CF217" s="626">
        <v>6200</v>
      </c>
      <c r="CG217" s="626">
        <v>7300</v>
      </c>
      <c r="CH217" s="293">
        <f t="shared" si="169"/>
        <v>7300</v>
      </c>
      <c r="CJ217" s="626">
        <v>8900</v>
      </c>
      <c r="CK217" s="626">
        <v>11700</v>
      </c>
      <c r="CL217" s="293">
        <f t="shared" si="170"/>
        <v>11700</v>
      </c>
      <c r="CN217" s="1388">
        <v>11400</v>
      </c>
      <c r="CO217" s="1388">
        <v>12800</v>
      </c>
      <c r="CP217" s="1010">
        <f t="shared" si="171"/>
        <v>12800</v>
      </c>
      <c r="CQ217" s="999"/>
      <c r="CR217" s="1388">
        <v>13900</v>
      </c>
      <c r="CS217" s="1388">
        <v>20600</v>
      </c>
      <c r="CT217" s="293">
        <f t="shared" si="172"/>
        <v>20600</v>
      </c>
      <c r="CV217" s="1388">
        <v>21800</v>
      </c>
      <c r="CW217" s="626">
        <v>26800</v>
      </c>
      <c r="CX217" s="293">
        <f t="shared" si="173"/>
        <v>26800</v>
      </c>
      <c r="CZ217" s="1388">
        <v>28700</v>
      </c>
      <c r="DA217" s="1388">
        <v>32400</v>
      </c>
      <c r="DB217" s="293">
        <f t="shared" si="174"/>
        <v>32400</v>
      </c>
      <c r="DD217" s="1388">
        <v>31200</v>
      </c>
      <c r="DE217" s="2176">
        <v>33700</v>
      </c>
      <c r="DF217" s="293">
        <f t="shared" si="175"/>
        <v>33700</v>
      </c>
      <c r="DH217" s="1388">
        <v>34200</v>
      </c>
      <c r="DI217" s="293">
        <f>+DH217*(1+DI228)</f>
        <v>35226</v>
      </c>
      <c r="DJ217" s="293">
        <f t="shared" si="177"/>
        <v>35226</v>
      </c>
      <c r="DL217" s="293">
        <f>+DI217*(1+DL228)</f>
        <v>36282.78</v>
      </c>
      <c r="DM217" s="293">
        <f>+DL217*(1+DM228)</f>
        <v>37371.263399999996</v>
      </c>
      <c r="DN217" s="293">
        <f t="shared" si="179"/>
        <v>37371.263399999996</v>
      </c>
      <c r="DP217" s="293">
        <f>+DM217*(1+DP228)</f>
        <v>38492.401301999998</v>
      </c>
      <c r="DQ217" s="293">
        <f>+DP217*(1+DQ228)</f>
        <v>39647.173341059999</v>
      </c>
      <c r="DR217" s="293">
        <f t="shared" si="181"/>
        <v>39647.173341059999</v>
      </c>
    </row>
    <row r="218" spans="1:273">
      <c r="A218" s="102" t="s">
        <v>380</v>
      </c>
      <c r="BD218" s="626"/>
      <c r="BE218" s="626">
        <v>7200</v>
      </c>
      <c r="BF218" s="293">
        <f>BE218</f>
        <v>7200</v>
      </c>
      <c r="BH218" s="626">
        <v>7200</v>
      </c>
      <c r="BI218" s="626">
        <v>9200</v>
      </c>
      <c r="BJ218" s="293">
        <f>BI218</f>
        <v>9200</v>
      </c>
      <c r="BK218" s="626"/>
      <c r="BL218" s="626">
        <v>10200</v>
      </c>
      <c r="BM218" s="626">
        <v>4700</v>
      </c>
      <c r="BN218" s="293">
        <f>BM218</f>
        <v>4700</v>
      </c>
      <c r="BP218" s="626">
        <v>4300</v>
      </c>
      <c r="BQ218" s="626">
        <v>6100</v>
      </c>
      <c r="BR218" s="293">
        <f>BQ218</f>
        <v>6100</v>
      </c>
      <c r="BT218" s="626">
        <v>6100</v>
      </c>
      <c r="BU218" s="626">
        <v>6900</v>
      </c>
      <c r="BV218" s="293">
        <f>BU218</f>
        <v>6900</v>
      </c>
      <c r="BX218" s="626">
        <v>5200</v>
      </c>
      <c r="BY218" s="626">
        <v>5600</v>
      </c>
      <c r="BZ218" s="293">
        <f>BY218</f>
        <v>5600</v>
      </c>
      <c r="CB218" s="626">
        <v>5800</v>
      </c>
      <c r="CC218" s="626">
        <v>6300</v>
      </c>
      <c r="CD218" s="293">
        <f>CC218</f>
        <v>6300</v>
      </c>
      <c r="CF218" s="626">
        <v>16700</v>
      </c>
      <c r="CG218" s="626">
        <v>26800</v>
      </c>
      <c r="CH218" s="293">
        <f>CG218</f>
        <v>26800</v>
      </c>
      <c r="CJ218" s="626">
        <v>29500</v>
      </c>
      <c r="CK218" s="626">
        <v>29100</v>
      </c>
      <c r="CL218" s="293">
        <f>CK218</f>
        <v>29100</v>
      </c>
      <c r="CN218" s="1388">
        <v>25200</v>
      </c>
      <c r="CO218" s="1388">
        <v>18800</v>
      </c>
      <c r="CP218" s="1010">
        <f>CO218</f>
        <v>18800</v>
      </c>
      <c r="CQ218" s="999"/>
      <c r="CR218" s="1388">
        <v>17200</v>
      </c>
      <c r="CS218" s="1388">
        <v>23100</v>
      </c>
      <c r="CT218" s="293">
        <f>CS218</f>
        <v>23100</v>
      </c>
      <c r="CV218" s="1388">
        <v>28100</v>
      </c>
      <c r="CW218" s="626">
        <v>32500</v>
      </c>
      <c r="CX218" s="293">
        <f>CW218</f>
        <v>32500</v>
      </c>
      <c r="CZ218" s="1388">
        <v>33200</v>
      </c>
      <c r="DA218" s="1388">
        <v>31500</v>
      </c>
      <c r="DB218" s="293">
        <f>DA218</f>
        <v>31500</v>
      </c>
      <c r="DD218" s="1388">
        <v>31000</v>
      </c>
      <c r="DE218" s="2176">
        <v>20900</v>
      </c>
      <c r="DF218" s="293">
        <f>DE218</f>
        <v>20900</v>
      </c>
      <c r="DH218" s="1388">
        <v>24100</v>
      </c>
      <c r="DI218" s="293">
        <f>+DH218*(1+DI229)</f>
        <v>24823</v>
      </c>
      <c r="DJ218" s="293">
        <f>DI218</f>
        <v>24823</v>
      </c>
      <c r="DL218" s="293">
        <f>+DI218*(1+DL229)</f>
        <v>25567.690000000002</v>
      </c>
      <c r="DM218" s="293">
        <f>+DL218*(1+DM229)</f>
        <v>26334.720700000002</v>
      </c>
      <c r="DN218" s="293">
        <f>DM218</f>
        <v>26334.720700000002</v>
      </c>
      <c r="DP218" s="293">
        <f>+DM218*(1+DP229)</f>
        <v>27124.762321000002</v>
      </c>
      <c r="DQ218" s="293">
        <f>+DP218*(1+DQ229)</f>
        <v>27938.505190630003</v>
      </c>
      <c r="DR218" s="293">
        <f>DQ218</f>
        <v>27938.505190630003</v>
      </c>
    </row>
    <row r="219" spans="1:273">
      <c r="A219" s="102" t="s">
        <v>1189</v>
      </c>
      <c r="BD219" s="626"/>
      <c r="BE219" s="626"/>
      <c r="BF219" s="293">
        <f t="shared" ref="BF219:BF220" si="182">BE219</f>
        <v>0</v>
      </c>
      <c r="BH219" s="626"/>
      <c r="BI219" s="626"/>
      <c r="BJ219" s="293">
        <f t="shared" ref="BJ219:BJ220" si="183">BI219</f>
        <v>0</v>
      </c>
      <c r="BK219" s="626"/>
      <c r="BL219" s="626"/>
      <c r="BM219" s="626"/>
      <c r="BN219" s="293">
        <f t="shared" ref="BN219:BN220" si="184">BM219</f>
        <v>0</v>
      </c>
      <c r="BP219" s="626"/>
      <c r="BQ219" s="626"/>
      <c r="BR219" s="293">
        <f t="shared" ref="BR219:BR220" si="185">BQ219</f>
        <v>0</v>
      </c>
      <c r="BT219" s="626"/>
      <c r="BU219" s="626"/>
      <c r="BV219" s="293">
        <f t="shared" ref="BV219:BV220" si="186">BU219</f>
        <v>0</v>
      </c>
      <c r="BX219" s="626"/>
      <c r="BY219" s="626"/>
      <c r="BZ219" s="293">
        <f t="shared" ref="BZ219:BZ220" si="187">BY219</f>
        <v>0</v>
      </c>
      <c r="CB219" s="626"/>
      <c r="CC219" s="626"/>
      <c r="CD219" s="293">
        <f t="shared" ref="CD219:CD220" si="188">CC219</f>
        <v>0</v>
      </c>
      <c r="CF219" s="626">
        <v>2000</v>
      </c>
      <c r="CG219" s="626">
        <v>2300</v>
      </c>
      <c r="CH219" s="293">
        <f t="shared" ref="CH219:CH220" si="189">CG219</f>
        <v>2300</v>
      </c>
      <c r="CJ219" s="626">
        <v>2600</v>
      </c>
      <c r="CK219" s="626">
        <v>2800</v>
      </c>
      <c r="CL219" s="293">
        <f t="shared" ref="CL219:CL220" si="190">CK219</f>
        <v>2800</v>
      </c>
      <c r="CN219" s="1388">
        <v>2700</v>
      </c>
      <c r="CO219" s="1388">
        <v>3300</v>
      </c>
      <c r="CP219" s="1010">
        <f t="shared" ref="CP219:CP220" si="191">CO219</f>
        <v>3300</v>
      </c>
      <c r="CQ219" s="999"/>
      <c r="CR219" s="1388">
        <v>3700</v>
      </c>
      <c r="CS219" s="1388">
        <v>3600</v>
      </c>
      <c r="CT219" s="293">
        <f t="shared" ref="CT219:CT220" si="192">CS219</f>
        <v>3600</v>
      </c>
      <c r="CV219" s="1388">
        <v>3800</v>
      </c>
      <c r="CW219" s="626">
        <v>4300</v>
      </c>
      <c r="CX219" s="293">
        <f t="shared" ref="CX219:CX220" si="193">CW219</f>
        <v>4300</v>
      </c>
      <c r="CZ219" s="1388">
        <v>4400</v>
      </c>
      <c r="DA219" s="1388">
        <v>4700</v>
      </c>
      <c r="DB219" s="293">
        <f t="shared" ref="DB219:DB220" si="194">DA219</f>
        <v>4700</v>
      </c>
      <c r="DD219" s="1388">
        <v>4800</v>
      </c>
      <c r="DE219" s="2176">
        <v>4900</v>
      </c>
      <c r="DF219" s="293">
        <f t="shared" ref="DF219:DF220" si="195">DE219</f>
        <v>4900</v>
      </c>
      <c r="DH219" s="1388">
        <v>5000</v>
      </c>
      <c r="DI219" s="293">
        <f>+DH219*(1+DI230)</f>
        <v>5150</v>
      </c>
      <c r="DJ219" s="293">
        <f t="shared" ref="DJ219:DJ220" si="196">DI219</f>
        <v>5150</v>
      </c>
      <c r="DL219" s="293">
        <f>+DI219*(1+DL230)</f>
        <v>5304.5</v>
      </c>
      <c r="DM219" s="293">
        <f>+DL219*(1+DM230)</f>
        <v>5463.6350000000002</v>
      </c>
      <c r="DN219" s="293">
        <f t="shared" ref="DN219:DN220" si="197">DM219</f>
        <v>5463.6350000000002</v>
      </c>
      <c r="DP219" s="293">
        <f>+DM219*(1+DP230)</f>
        <v>5627.5440500000004</v>
      </c>
      <c r="DQ219" s="293">
        <f>+DP219*(1+DQ230)</f>
        <v>5796.3703715000001</v>
      </c>
      <c r="DR219" s="293">
        <f t="shared" ref="DR219:DR220" si="198">DQ219</f>
        <v>5796.3703715000001</v>
      </c>
    </row>
    <row r="220" spans="1:273">
      <c r="A220" s="102" t="s">
        <v>1190</v>
      </c>
      <c r="BD220" s="626"/>
      <c r="BE220" s="626"/>
      <c r="BF220" s="293">
        <f t="shared" si="182"/>
        <v>0</v>
      </c>
      <c r="BH220" s="626"/>
      <c r="BI220" s="626"/>
      <c r="BJ220" s="293">
        <f t="shared" si="183"/>
        <v>0</v>
      </c>
      <c r="BK220" s="626"/>
      <c r="BL220" s="626"/>
      <c r="BM220" s="626"/>
      <c r="BN220" s="293">
        <f t="shared" si="184"/>
        <v>0</v>
      </c>
      <c r="BP220" s="626"/>
      <c r="BQ220" s="626"/>
      <c r="BR220" s="293">
        <f t="shared" si="185"/>
        <v>0</v>
      </c>
      <c r="BT220" s="626"/>
      <c r="BU220" s="626"/>
      <c r="BV220" s="293">
        <f t="shared" si="186"/>
        <v>0</v>
      </c>
      <c r="BX220" s="626"/>
      <c r="BY220" s="626"/>
      <c r="BZ220" s="293">
        <f t="shared" si="187"/>
        <v>0</v>
      </c>
      <c r="CB220" s="626"/>
      <c r="CC220" s="626"/>
      <c r="CD220" s="293">
        <f t="shared" si="188"/>
        <v>0</v>
      </c>
      <c r="CF220" s="626">
        <v>0</v>
      </c>
      <c r="CG220" s="626">
        <v>0</v>
      </c>
      <c r="CH220" s="293">
        <f t="shared" si="189"/>
        <v>0</v>
      </c>
      <c r="CJ220" s="626">
        <v>1600</v>
      </c>
      <c r="CK220" s="626">
        <v>3100</v>
      </c>
      <c r="CL220" s="293">
        <f t="shared" si="190"/>
        <v>3100</v>
      </c>
      <c r="CN220" s="1388">
        <v>2700</v>
      </c>
      <c r="CO220" s="1388">
        <v>2400</v>
      </c>
      <c r="CP220" s="1010">
        <f t="shared" si="191"/>
        <v>2400</v>
      </c>
      <c r="CQ220" s="999"/>
      <c r="CR220" s="1388">
        <v>2500</v>
      </c>
      <c r="CS220" s="1388">
        <v>2500</v>
      </c>
      <c r="CT220" s="293">
        <f t="shared" si="192"/>
        <v>2500</v>
      </c>
      <c r="CV220" s="1388">
        <v>2700</v>
      </c>
      <c r="CW220" s="626">
        <v>2900</v>
      </c>
      <c r="CX220" s="293">
        <f t="shared" si="193"/>
        <v>2900</v>
      </c>
      <c r="CZ220" s="1388">
        <v>3200</v>
      </c>
      <c r="DA220" s="1388">
        <v>3200</v>
      </c>
      <c r="DB220" s="293">
        <f t="shared" si="194"/>
        <v>3200</v>
      </c>
      <c r="DD220" s="1388">
        <v>4100</v>
      </c>
      <c r="DE220" s="2176">
        <v>4900</v>
      </c>
      <c r="DF220" s="293">
        <f t="shared" si="195"/>
        <v>4900</v>
      </c>
      <c r="DH220" s="1388">
        <v>4700</v>
      </c>
      <c r="DI220" s="293">
        <f>+DH220*(1+DI231)</f>
        <v>4841</v>
      </c>
      <c r="DJ220" s="293">
        <f t="shared" si="196"/>
        <v>4841</v>
      </c>
      <c r="DL220" s="293">
        <f>+DI220*(1+DL231)</f>
        <v>4986.2300000000005</v>
      </c>
      <c r="DM220" s="293">
        <f>+DL220*(1+DM231)</f>
        <v>5135.8169000000007</v>
      </c>
      <c r="DN220" s="293">
        <f t="shared" si="197"/>
        <v>5135.8169000000007</v>
      </c>
      <c r="DP220" s="293">
        <f>+DM220*(1+DP231)</f>
        <v>5289.891407000001</v>
      </c>
      <c r="DQ220" s="293">
        <f>+DP220*(1+DQ231)</f>
        <v>5448.5881492100016</v>
      </c>
      <c r="DR220" s="293">
        <f t="shared" si="198"/>
        <v>5448.5881492100016</v>
      </c>
    </row>
    <row r="221" spans="1:273" s="289" customFormat="1">
      <c r="A221" s="289" t="s">
        <v>450</v>
      </c>
      <c r="B221" s="290"/>
      <c r="AN221" s="290"/>
      <c r="AO221" s="290"/>
      <c r="AP221" s="290"/>
      <c r="AQ221" s="290"/>
      <c r="AR221" s="290"/>
      <c r="AS221" s="290"/>
      <c r="AT221" s="290"/>
      <c r="AU221" s="290"/>
      <c r="AV221" s="290"/>
      <c r="AW221" s="290"/>
      <c r="AX221" s="290"/>
      <c r="AY221" s="290"/>
      <c r="AZ221" s="290"/>
      <c r="BA221" s="290"/>
      <c r="BB221" s="290"/>
      <c r="BC221" s="290"/>
      <c r="BD221" s="295"/>
      <c r="BE221" s="295">
        <f>SUM(BE216:BE218)</f>
        <v>98000</v>
      </c>
      <c r="BF221" s="290"/>
      <c r="BG221" s="290"/>
      <c r="BH221" s="295">
        <f>SUM(BH216:BH218)</f>
        <v>103700</v>
      </c>
      <c r="BI221" s="295">
        <f>SUM(BI216:BI218)</f>
        <v>100000</v>
      </c>
      <c r="BJ221" s="655"/>
      <c r="BK221" s="655"/>
      <c r="BL221" s="295">
        <f>SUM(BL216:BL218)</f>
        <v>111900</v>
      </c>
      <c r="BM221" s="295">
        <f>SUM(BM216:BM218)</f>
        <v>110000</v>
      </c>
      <c r="BN221" s="295">
        <f>BM221</f>
        <v>110000</v>
      </c>
      <c r="BO221" s="290"/>
      <c r="BP221" s="295">
        <f>SUM(BP216:BP218)</f>
        <v>111400</v>
      </c>
      <c r="BQ221" s="295">
        <f>SUM(BQ216:BQ218)</f>
        <v>132800</v>
      </c>
      <c r="BR221" s="295">
        <f>BQ221</f>
        <v>132800</v>
      </c>
      <c r="BS221" s="290"/>
      <c r="BT221" s="295">
        <f>SUM(BT216:BT218)</f>
        <v>146700</v>
      </c>
      <c r="BU221" s="295">
        <f>SUM(BU216:BU218)</f>
        <v>135000</v>
      </c>
      <c r="BV221" s="295">
        <f>BU221</f>
        <v>135000</v>
      </c>
      <c r="BW221" s="290"/>
      <c r="BX221" s="295">
        <f>SUM(BX216:BX218)</f>
        <v>134500</v>
      </c>
      <c r="BY221" s="295">
        <f>SUM(BY216:BY218)</f>
        <v>152500</v>
      </c>
      <c r="BZ221" s="295">
        <f>BY221</f>
        <v>152500</v>
      </c>
      <c r="CA221" s="290"/>
      <c r="CB221" s="295">
        <f>SUM(CB216:CB220)</f>
        <v>139700</v>
      </c>
      <c r="CC221" s="295">
        <f>SUM(CC216:CC220)</f>
        <v>153200</v>
      </c>
      <c r="CD221" s="295">
        <f>CC221</f>
        <v>153200</v>
      </c>
      <c r="CE221" s="581"/>
      <c r="CF221" s="295">
        <f>SUM(CF216:CF220)</f>
        <v>185100</v>
      </c>
      <c r="CG221" s="295">
        <f>SUM(CG216:CG220)</f>
        <v>189000</v>
      </c>
      <c r="CH221" s="295">
        <f>CG221</f>
        <v>189000</v>
      </c>
      <c r="CI221" s="581"/>
      <c r="CJ221" s="295">
        <f>SUM(CJ216:CJ220)</f>
        <v>200900</v>
      </c>
      <c r="CK221" s="295">
        <f>SUM(CK216:CK220)</f>
        <v>223100</v>
      </c>
      <c r="CL221" s="295">
        <f>CK221</f>
        <v>223100</v>
      </c>
      <c r="CM221" s="581"/>
      <c r="CN221" s="295">
        <f>SUM(CN216:CN220)</f>
        <v>204000</v>
      </c>
      <c r="CO221" s="295">
        <f>SUM(CO216:CO220)</f>
        <v>195100</v>
      </c>
      <c r="CP221" s="295">
        <f>CO221</f>
        <v>195100</v>
      </c>
      <c r="CQ221" s="581"/>
      <c r="CR221" s="295">
        <f>SUM(CR216:CR220)</f>
        <v>220900</v>
      </c>
      <c r="CS221" s="295">
        <f>SUM(CS216:CS220)</f>
        <v>257900</v>
      </c>
      <c r="CT221" s="295">
        <f>CS221</f>
        <v>257900</v>
      </c>
      <c r="CU221" s="290"/>
      <c r="CV221" s="295">
        <f>SUM(CV216:CV220)</f>
        <v>312200</v>
      </c>
      <c r="CW221" s="295">
        <f>SUM(CW216:CW220)</f>
        <v>344100</v>
      </c>
      <c r="CX221" s="295">
        <f>CW221</f>
        <v>344100</v>
      </c>
      <c r="CY221" s="290"/>
      <c r="CZ221" s="295">
        <f>SUM(CZ216:CZ220)</f>
        <v>345100</v>
      </c>
      <c r="DA221" s="295">
        <f>SUM(DA216:DA220)</f>
        <v>370900</v>
      </c>
      <c r="DB221" s="295">
        <f>DA221</f>
        <v>370900</v>
      </c>
      <c r="DC221" s="290"/>
      <c r="DD221" s="295">
        <f>SUM(DD216:DD220)</f>
        <v>373600</v>
      </c>
      <c r="DE221" s="295">
        <f>SUM(DE216:DE220)</f>
        <v>389000</v>
      </c>
      <c r="DF221" s="295">
        <f>DE221</f>
        <v>389000</v>
      </c>
      <c r="DG221" s="290"/>
      <c r="DH221" s="295">
        <f>SUM(DH216:DH220)</f>
        <v>416600</v>
      </c>
      <c r="DI221" s="295">
        <f>+DI223-DI222</f>
        <v>436388.5</v>
      </c>
      <c r="DJ221" s="290"/>
      <c r="DK221" s="290"/>
      <c r="DL221" s="295">
        <f>+DL223-DL222</f>
        <v>450571.12625000003</v>
      </c>
      <c r="DM221" s="295">
        <f>+DM223-DM222</f>
        <v>467467.54348437511</v>
      </c>
      <c r="DN221" s="290"/>
      <c r="DO221" s="290"/>
      <c r="DP221" s="295">
        <f>+DP223-DP222</f>
        <v>482660.23864761728</v>
      </c>
      <c r="DQ221" s="295">
        <f>+DQ223-DQ222</f>
        <v>500759.99759690289</v>
      </c>
      <c r="DR221" s="290"/>
      <c r="DS221" s="290"/>
      <c r="DT221" s="290"/>
      <c r="DU221" s="290"/>
      <c r="DV221" s="290"/>
      <c r="DW221" s="290"/>
      <c r="DX221" s="290"/>
      <c r="DY221" s="290"/>
      <c r="DZ221" s="290"/>
      <c r="EA221" s="290"/>
      <c r="EB221" s="290"/>
      <c r="EC221" s="290"/>
      <c r="ED221" s="290"/>
      <c r="EE221" s="290"/>
      <c r="EF221" s="290"/>
      <c r="EG221" s="290"/>
      <c r="EH221" s="290"/>
      <c r="EI221" s="290"/>
      <c r="EJ221" s="290"/>
      <c r="EK221" s="290"/>
      <c r="EL221" s="290"/>
      <c r="EM221" s="290"/>
      <c r="EN221" s="290"/>
      <c r="EO221" s="290"/>
      <c r="EP221" s="290"/>
      <c r="JM221"/>
    </row>
    <row r="222" spans="1:273">
      <c r="A222" s="102" t="s">
        <v>599</v>
      </c>
      <c r="BD222" s="293"/>
      <c r="BE222" s="293">
        <f>+BE223-BE221</f>
        <v>2200</v>
      </c>
      <c r="BH222" s="293">
        <f>+BH223-BH221</f>
        <v>2000</v>
      </c>
      <c r="BI222" s="293">
        <f>+BI223-BI221</f>
        <v>2300</v>
      </c>
      <c r="BL222" s="293">
        <f>+BL223-BL221</f>
        <v>2400</v>
      </c>
      <c r="BM222" s="293">
        <f>+BM223-BM221</f>
        <v>2800</v>
      </c>
      <c r="BP222" s="293">
        <f>+BP223-BP221</f>
        <v>2800</v>
      </c>
      <c r="BQ222" s="293">
        <f>+BQ223-BQ221</f>
        <v>900</v>
      </c>
      <c r="BT222" s="293">
        <f>+BT223-BT221</f>
        <v>1100</v>
      </c>
      <c r="BU222" s="293">
        <f>+BU223-BU221</f>
        <v>1200</v>
      </c>
      <c r="BX222" s="293">
        <f>+BX223-BX221</f>
        <v>1500</v>
      </c>
      <c r="BY222" s="293">
        <f>+BY223-BY221</f>
        <v>1700</v>
      </c>
      <c r="CB222" s="293">
        <f>+CB223-CB221</f>
        <v>1700</v>
      </c>
      <c r="CC222" s="293">
        <f>+CC223-CC221</f>
        <v>2000</v>
      </c>
      <c r="CF222" s="293">
        <f>+CF223-CF221</f>
        <v>0</v>
      </c>
      <c r="CG222" s="293">
        <f>+CG223-CG221</f>
        <v>0</v>
      </c>
      <c r="CJ222" s="293">
        <f>+CJ223-CJ221</f>
        <v>0</v>
      </c>
      <c r="CK222" s="293">
        <f>+CK223-CK221</f>
        <v>0</v>
      </c>
      <c r="CN222" s="293">
        <f>+CN223-CN221</f>
        <v>0</v>
      </c>
      <c r="CO222" s="293">
        <f>+CO223-CO221</f>
        <v>0</v>
      </c>
      <c r="CR222" s="293">
        <f>+CR223-CR221</f>
        <v>0</v>
      </c>
      <c r="CS222" s="293">
        <f>+CS223-CS221</f>
        <v>0</v>
      </c>
      <c r="CV222" s="293">
        <f>+CV223-CV221</f>
        <v>0</v>
      </c>
      <c r="CW222" s="293">
        <f>+CW223-CW221</f>
        <v>0</v>
      </c>
      <c r="CZ222" s="293">
        <f>+CZ223-CZ221</f>
        <v>0</v>
      </c>
      <c r="DA222" s="293">
        <f>+DA223-DA221</f>
        <v>0</v>
      </c>
      <c r="DD222" s="293">
        <f>+DD223-DD221</f>
        <v>0</v>
      </c>
      <c r="DE222" s="293">
        <f>+DE223-DE221</f>
        <v>0</v>
      </c>
      <c r="DH222" s="293">
        <f>+DH223-DH221</f>
        <v>0</v>
      </c>
      <c r="DI222" s="293">
        <f>+DH222*(1+DI233)</f>
        <v>0</v>
      </c>
      <c r="DL222" s="293">
        <f>+DI222*(1+DL233)</f>
        <v>0</v>
      </c>
      <c r="DM222" s="293">
        <f>+DL222*(1+DM233)</f>
        <v>0</v>
      </c>
      <c r="DP222" s="293">
        <f>+DM222*(1+DP233)</f>
        <v>0</v>
      </c>
      <c r="DQ222" s="293">
        <f>+DP222*(1+DQ233)</f>
        <v>0</v>
      </c>
    </row>
    <row r="223" spans="1:273" s="289" customFormat="1">
      <c r="A223" s="289" t="s">
        <v>856</v>
      </c>
      <c r="B223" s="290"/>
      <c r="AN223" s="290"/>
      <c r="AO223" s="290"/>
      <c r="AP223" s="290"/>
      <c r="AQ223" s="290"/>
      <c r="AR223" s="290"/>
      <c r="AS223" s="290"/>
      <c r="AT223" s="290"/>
      <c r="AU223" s="290"/>
      <c r="AV223" s="290"/>
      <c r="AW223" s="290"/>
      <c r="AX223" s="290"/>
      <c r="AY223" s="290"/>
      <c r="AZ223" s="290"/>
      <c r="BA223" s="290"/>
      <c r="BB223" s="290"/>
      <c r="BC223" s="290"/>
      <c r="BD223" s="295"/>
      <c r="BE223" s="295">
        <f>BE183</f>
        <v>100200</v>
      </c>
      <c r="BF223" s="290"/>
      <c r="BG223" s="290"/>
      <c r="BH223" s="295">
        <f>BH183</f>
        <v>105700</v>
      </c>
      <c r="BI223" s="295">
        <f>BI183</f>
        <v>102300</v>
      </c>
      <c r="BJ223" s="290"/>
      <c r="BK223" s="290"/>
      <c r="BL223" s="295">
        <f>BL183</f>
        <v>114300</v>
      </c>
      <c r="BM223" s="295">
        <f>BM183</f>
        <v>112800</v>
      </c>
      <c r="BN223" s="295">
        <f>BM223</f>
        <v>112800</v>
      </c>
      <c r="BO223" s="290"/>
      <c r="BP223" s="295">
        <f>BP183</f>
        <v>114200</v>
      </c>
      <c r="BQ223" s="295">
        <f>BQ183</f>
        <v>133700</v>
      </c>
      <c r="BR223" s="295">
        <f>BQ223</f>
        <v>133700</v>
      </c>
      <c r="BS223" s="290"/>
      <c r="BT223" s="295">
        <f>BT183</f>
        <v>147800</v>
      </c>
      <c r="BU223" s="295">
        <f>BU183</f>
        <v>136200</v>
      </c>
      <c r="BV223" s="295">
        <f>BU223</f>
        <v>136200</v>
      </c>
      <c r="BW223" s="290"/>
      <c r="BX223" s="295">
        <f>BX183</f>
        <v>136000</v>
      </c>
      <c r="BY223" s="295">
        <f>BY183</f>
        <v>154200</v>
      </c>
      <c r="BZ223" s="295">
        <f>BY223</f>
        <v>154200</v>
      </c>
      <c r="CA223" s="290"/>
      <c r="CB223" s="295">
        <f>CB183</f>
        <v>141400</v>
      </c>
      <c r="CC223" s="295">
        <f>CC183</f>
        <v>155200</v>
      </c>
      <c r="CD223" s="295">
        <f>CC223</f>
        <v>155200</v>
      </c>
      <c r="CE223" s="581"/>
      <c r="CF223" s="295">
        <f>CF183</f>
        <v>185100</v>
      </c>
      <c r="CG223" s="295">
        <f>CG183</f>
        <v>189000</v>
      </c>
      <c r="CH223" s="295">
        <f>CG223</f>
        <v>189000</v>
      </c>
      <c r="CI223" s="581"/>
      <c r="CJ223" s="295">
        <f>CJ183</f>
        <v>200900</v>
      </c>
      <c r="CK223" s="295">
        <f>CK183</f>
        <v>223100</v>
      </c>
      <c r="CL223" s="295">
        <f>CK223</f>
        <v>223100</v>
      </c>
      <c r="CM223" s="581"/>
      <c r="CN223" s="295">
        <f>CN183</f>
        <v>204000</v>
      </c>
      <c r="CO223" s="295">
        <f>CO183</f>
        <v>195100</v>
      </c>
      <c r="CP223" s="295">
        <f>CO223</f>
        <v>195100</v>
      </c>
      <c r="CQ223" s="581"/>
      <c r="CR223" s="295">
        <f>CR183</f>
        <v>220900</v>
      </c>
      <c r="CS223" s="295">
        <f>CS183</f>
        <v>257900</v>
      </c>
      <c r="CT223" s="295">
        <f>CS223</f>
        <v>257900</v>
      </c>
      <c r="CU223" s="290"/>
      <c r="CV223" s="295">
        <f>CV183</f>
        <v>312200</v>
      </c>
      <c r="CW223" s="295">
        <f>CW183</f>
        <v>344100</v>
      </c>
      <c r="CX223" s="295">
        <f>CW223</f>
        <v>344100</v>
      </c>
      <c r="CY223" s="290"/>
      <c r="CZ223" s="295">
        <f>CZ183</f>
        <v>345100</v>
      </c>
      <c r="DA223" s="295">
        <f>DA183</f>
        <v>370900</v>
      </c>
      <c r="DB223" s="295">
        <f>DA223</f>
        <v>370900</v>
      </c>
      <c r="DC223" s="290"/>
      <c r="DD223" s="295">
        <f>DD183</f>
        <v>373600</v>
      </c>
      <c r="DE223" s="295">
        <f>DE183</f>
        <v>389000</v>
      </c>
      <c r="DF223" s="295">
        <f>DE223</f>
        <v>389000</v>
      </c>
      <c r="DG223" s="290"/>
      <c r="DH223" s="295">
        <f>DH183</f>
        <v>416600</v>
      </c>
      <c r="DI223" s="295">
        <f>DI183</f>
        <v>436388.5</v>
      </c>
      <c r="DJ223" s="290"/>
      <c r="DK223" s="290"/>
      <c r="DL223" s="295">
        <f>DL183</f>
        <v>450571.12625000003</v>
      </c>
      <c r="DM223" s="295">
        <f>DM183</f>
        <v>467467.54348437511</v>
      </c>
      <c r="DN223" s="290"/>
      <c r="DO223" s="290"/>
      <c r="DP223" s="295">
        <f>DP183</f>
        <v>482660.23864761728</v>
      </c>
      <c r="DQ223" s="295">
        <f>DQ183</f>
        <v>500759.99759690289</v>
      </c>
      <c r="DR223" s="290"/>
      <c r="DS223" s="290"/>
      <c r="DT223" s="290"/>
      <c r="DU223" s="290"/>
      <c r="DV223" s="290"/>
      <c r="DW223" s="290"/>
      <c r="DX223" s="290"/>
      <c r="DY223" s="290"/>
      <c r="DZ223" s="290"/>
      <c r="EA223" s="290"/>
      <c r="EB223" s="290"/>
      <c r="EC223" s="290"/>
      <c r="ED223" s="290"/>
      <c r="EE223" s="290"/>
      <c r="EF223" s="290"/>
      <c r="EG223" s="290"/>
      <c r="EH223" s="290"/>
      <c r="EI223" s="290"/>
      <c r="EJ223" s="290"/>
      <c r="EK223" s="290"/>
      <c r="EL223" s="290"/>
      <c r="EM223" s="290"/>
      <c r="EN223" s="290"/>
      <c r="EO223" s="290"/>
      <c r="EP223" s="290"/>
      <c r="JM223"/>
    </row>
    <row r="224" spans="1:273">
      <c r="A224" s="102" t="s">
        <v>874</v>
      </c>
      <c r="BD224" s="293"/>
      <c r="BE224" s="293">
        <f>+BE184</f>
        <v>2400</v>
      </c>
      <c r="BH224" s="293">
        <f>+BH184</f>
        <v>2000</v>
      </c>
      <c r="BI224" s="293">
        <f>+BI184</f>
        <v>1900</v>
      </c>
      <c r="BL224" s="293">
        <f>+BL184</f>
        <v>1700</v>
      </c>
      <c r="BM224" s="293">
        <f>+BM184</f>
        <v>1500</v>
      </c>
      <c r="BP224" s="293">
        <f>+BP184</f>
        <v>1800</v>
      </c>
      <c r="BQ224" s="293">
        <f>+BQ184</f>
        <v>2300</v>
      </c>
      <c r="BT224" s="293">
        <f>+BT184</f>
        <v>3300</v>
      </c>
      <c r="BU224" s="293">
        <f>+BU184</f>
        <v>3600</v>
      </c>
      <c r="BX224" s="293">
        <f>+BX184</f>
        <v>4200</v>
      </c>
      <c r="BY224" s="293">
        <f>+BY184</f>
        <v>5500</v>
      </c>
      <c r="CB224" s="293">
        <f>+CB184</f>
        <v>5300</v>
      </c>
      <c r="CC224" s="293">
        <f>+CC184</f>
        <v>6400</v>
      </c>
      <c r="CF224" s="293">
        <f>+CF184</f>
        <v>0</v>
      </c>
      <c r="CG224" s="293">
        <f>+CG184</f>
        <v>0</v>
      </c>
      <c r="CJ224" s="293">
        <f>+CJ184</f>
        <v>0</v>
      </c>
      <c r="CK224" s="293">
        <f>+CK184</f>
        <v>0</v>
      </c>
      <c r="CN224" s="293">
        <f>+CN184</f>
        <v>0</v>
      </c>
      <c r="CO224" s="293">
        <f>+CO184</f>
        <v>0</v>
      </c>
      <c r="CR224" s="293">
        <f>+CR184</f>
        <v>0</v>
      </c>
      <c r="CS224" s="293">
        <f>+CS184</f>
        <v>0</v>
      </c>
      <c r="CV224" s="293">
        <f>+CV184</f>
        <v>0</v>
      </c>
      <c r="CW224" s="293">
        <f>+CW184</f>
        <v>0</v>
      </c>
      <c r="CZ224" s="293">
        <f>+CZ184</f>
        <v>0</v>
      </c>
      <c r="DA224" s="293">
        <f>+DA184</f>
        <v>0</v>
      </c>
      <c r="DD224" s="293">
        <f>+DD184</f>
        <v>0</v>
      </c>
      <c r="DE224" s="293">
        <f>+DE184</f>
        <v>0</v>
      </c>
      <c r="DH224" s="293">
        <f>+DH184</f>
        <v>0</v>
      </c>
      <c r="DI224" s="293">
        <f>+DI184</f>
        <v>0</v>
      </c>
      <c r="DL224" s="293">
        <f>+DL184</f>
        <v>0</v>
      </c>
      <c r="DM224" s="293">
        <f>+DM184</f>
        <v>0</v>
      </c>
      <c r="DP224" s="293">
        <f>+DP184</f>
        <v>0</v>
      </c>
      <c r="DQ224" s="293">
        <f>+DQ184</f>
        <v>0</v>
      </c>
    </row>
    <row r="225" spans="1:273" s="289" customFormat="1">
      <c r="A225" s="289" t="s">
        <v>873</v>
      </c>
      <c r="B225" s="290"/>
      <c r="AN225" s="290"/>
      <c r="AO225" s="290"/>
      <c r="AP225" s="290"/>
      <c r="AQ225" s="290"/>
      <c r="AR225" s="290"/>
      <c r="AS225" s="290"/>
      <c r="AT225" s="290"/>
      <c r="AU225" s="290"/>
      <c r="AV225" s="290"/>
      <c r="AW225" s="290"/>
      <c r="AX225" s="290"/>
      <c r="AY225" s="290"/>
      <c r="AZ225" s="290"/>
      <c r="BA225" s="290"/>
      <c r="BB225" s="290"/>
      <c r="BC225" s="290"/>
      <c r="BD225" s="295"/>
      <c r="BE225" s="295">
        <f>+BE223+BE224</f>
        <v>102600</v>
      </c>
      <c r="BF225" s="290"/>
      <c r="BG225" s="290"/>
      <c r="BH225" s="295">
        <f>+BH223+BH224</f>
        <v>107700</v>
      </c>
      <c r="BI225" s="295">
        <f>+BI223+BI224</f>
        <v>104200</v>
      </c>
      <c r="BJ225" s="290"/>
      <c r="BK225" s="290"/>
      <c r="BL225" s="295">
        <f>+BL223+BL224</f>
        <v>116000</v>
      </c>
      <c r="BM225" s="295">
        <f>+BM223+BM224</f>
        <v>114300</v>
      </c>
      <c r="BN225" s="295">
        <f>BM225</f>
        <v>114300</v>
      </c>
      <c r="BO225" s="290"/>
      <c r="BP225" s="295">
        <f>+BP223+BP224</f>
        <v>116000</v>
      </c>
      <c r="BQ225" s="295">
        <f>+BQ223+BQ224</f>
        <v>136000</v>
      </c>
      <c r="BR225" s="295">
        <f>BQ225</f>
        <v>136000</v>
      </c>
      <c r="BS225" s="290"/>
      <c r="BT225" s="295">
        <f>+BT223+BT224</f>
        <v>151100</v>
      </c>
      <c r="BU225" s="295">
        <f>+BU223+BU224</f>
        <v>139800</v>
      </c>
      <c r="BV225" s="295">
        <f>BU225</f>
        <v>139800</v>
      </c>
      <c r="BW225" s="290"/>
      <c r="BX225" s="295">
        <f>+BX223+BX224</f>
        <v>140200</v>
      </c>
      <c r="BY225" s="295">
        <f>+BY223+BY224</f>
        <v>159700</v>
      </c>
      <c r="BZ225" s="295">
        <f>BY225</f>
        <v>159700</v>
      </c>
      <c r="CA225" s="290"/>
      <c r="CB225" s="295">
        <f>+CB223+CB224</f>
        <v>146700</v>
      </c>
      <c r="CC225" s="295">
        <f>+CC223+CC224</f>
        <v>161600</v>
      </c>
      <c r="CD225" s="295">
        <f>CC225</f>
        <v>161600</v>
      </c>
      <c r="CE225" s="581"/>
      <c r="CF225" s="295">
        <f>+CF223+CF224</f>
        <v>185100</v>
      </c>
      <c r="CG225" s="295">
        <f>+CG223+CG224</f>
        <v>189000</v>
      </c>
      <c r="CH225" s="295">
        <f>CG225</f>
        <v>189000</v>
      </c>
      <c r="CI225" s="581"/>
      <c r="CJ225" s="295">
        <f>+CJ223+CJ224</f>
        <v>200900</v>
      </c>
      <c r="CK225" s="295">
        <f>+CK223+CK224</f>
        <v>223100</v>
      </c>
      <c r="CL225" s="295">
        <f>CK225</f>
        <v>223100</v>
      </c>
      <c r="CM225" s="581"/>
      <c r="CN225" s="295">
        <f>+CN223+CN224</f>
        <v>204000</v>
      </c>
      <c r="CO225" s="295">
        <f>+CO223+CO224</f>
        <v>195100</v>
      </c>
      <c r="CP225" s="295">
        <f>CO225</f>
        <v>195100</v>
      </c>
      <c r="CQ225" s="581"/>
      <c r="CR225" s="295">
        <f>+CR223+CR224</f>
        <v>220900</v>
      </c>
      <c r="CS225" s="295">
        <f>+CS223+CS224</f>
        <v>257900</v>
      </c>
      <c r="CT225" s="295">
        <f>CS225</f>
        <v>257900</v>
      </c>
      <c r="CU225" s="290"/>
      <c r="CV225" s="295">
        <f>+CV223+CV224</f>
        <v>312200</v>
      </c>
      <c r="CW225" s="295">
        <f>+CW223+CW224</f>
        <v>344100</v>
      </c>
      <c r="CX225" s="295">
        <f>CW225</f>
        <v>344100</v>
      </c>
      <c r="CY225" s="290"/>
      <c r="CZ225" s="295">
        <f>+CZ223+CZ224</f>
        <v>345100</v>
      </c>
      <c r="DA225" s="295">
        <f>+DA223+DA224</f>
        <v>370900</v>
      </c>
      <c r="DB225" s="295">
        <f>DA225</f>
        <v>370900</v>
      </c>
      <c r="DC225" s="290"/>
      <c r="DD225" s="295">
        <f>+DD223+DD224</f>
        <v>373600</v>
      </c>
      <c r="DE225" s="295">
        <f>+DE223+DE224</f>
        <v>389000</v>
      </c>
      <c r="DF225" s="295">
        <f>DE225</f>
        <v>389000</v>
      </c>
      <c r="DG225" s="290"/>
      <c r="DH225" s="295">
        <f>+DH223+DH224</f>
        <v>416600</v>
      </c>
      <c r="DI225" s="295">
        <f>+DI223+DI224</f>
        <v>436388.5</v>
      </c>
      <c r="DJ225" s="290"/>
      <c r="DK225" s="290"/>
      <c r="DL225" s="295">
        <f>+DL223+DL224</f>
        <v>450571.12625000003</v>
      </c>
      <c r="DM225" s="295">
        <f>+DM223+DM224</f>
        <v>467467.54348437511</v>
      </c>
      <c r="DN225" s="290"/>
      <c r="DO225" s="290"/>
      <c r="DP225" s="295">
        <f>+DP223+DP224</f>
        <v>482660.23864761728</v>
      </c>
      <c r="DQ225" s="295">
        <f>+DQ223+DQ224</f>
        <v>500759.99759690289</v>
      </c>
      <c r="DR225" s="290"/>
      <c r="DS225" s="290"/>
      <c r="DT225" s="290"/>
      <c r="DU225" s="290"/>
      <c r="DV225" s="290"/>
      <c r="DW225" s="290"/>
      <c r="DX225" s="290"/>
      <c r="DY225" s="290"/>
      <c r="DZ225" s="290"/>
      <c r="EA225" s="290"/>
      <c r="EB225" s="290"/>
      <c r="EC225" s="290"/>
      <c r="ED225" s="290"/>
      <c r="EE225" s="290"/>
      <c r="EF225" s="290"/>
      <c r="EG225" s="290"/>
      <c r="EH225" s="290"/>
      <c r="EI225" s="290"/>
      <c r="EJ225" s="290"/>
      <c r="EK225" s="290"/>
      <c r="EL225" s="290"/>
      <c r="EM225" s="290"/>
      <c r="EN225" s="290"/>
      <c r="EO225" s="290"/>
      <c r="EP225" s="290"/>
      <c r="JM225"/>
    </row>
    <row r="226" spans="1:273" s="289" customFormat="1">
      <c r="A226" s="328" t="s">
        <v>382</v>
      </c>
      <c r="B226" s="290"/>
      <c r="AN226" s="290"/>
      <c r="AO226" s="290"/>
      <c r="AP226" s="290"/>
      <c r="AQ226" s="290"/>
      <c r="AR226" s="290"/>
      <c r="AS226" s="290"/>
      <c r="AT226" s="290"/>
      <c r="AU226" s="290"/>
      <c r="AV226" s="290"/>
      <c r="AW226" s="290"/>
      <c r="AX226" s="290"/>
      <c r="AY226" s="290"/>
      <c r="AZ226" s="290"/>
      <c r="BA226" s="290"/>
      <c r="BB226" s="290"/>
      <c r="BC226" s="290"/>
      <c r="BD226" s="290"/>
      <c r="BE226" s="290"/>
      <c r="BF226" s="290"/>
      <c r="BG226" s="290"/>
      <c r="BH226" s="295"/>
      <c r="BI226" s="295"/>
      <c r="BJ226" s="290"/>
      <c r="BK226" s="290"/>
      <c r="BL226" s="295"/>
      <c r="BM226" s="295"/>
      <c r="BN226" s="290"/>
      <c r="BO226" s="290"/>
      <c r="BP226" s="295"/>
      <c r="BQ226" s="295"/>
      <c r="BR226" s="290"/>
      <c r="BS226" s="290"/>
      <c r="BT226" s="295"/>
      <c r="BU226" s="295"/>
      <c r="BV226" s="290"/>
      <c r="BW226" s="290"/>
      <c r="BX226" s="295"/>
      <c r="BY226" s="295"/>
      <c r="BZ226" s="290"/>
      <c r="CA226" s="290"/>
      <c r="CB226" s="295"/>
      <c r="CC226" s="295"/>
      <c r="CD226" s="290"/>
      <c r="CE226" s="581"/>
      <c r="CF226" s="295"/>
      <c r="CG226" s="295"/>
      <c r="CH226" s="290"/>
      <c r="CI226" s="581"/>
      <c r="CJ226" s="295"/>
      <c r="CK226" s="295"/>
      <c r="CL226" s="290"/>
      <c r="CM226" s="581"/>
      <c r="CN226" s="295"/>
      <c r="CO226" s="295"/>
      <c r="CP226" s="290"/>
      <c r="CQ226" s="581"/>
      <c r="CR226" s="295"/>
      <c r="CS226" s="295"/>
      <c r="CT226" s="290"/>
      <c r="CU226" s="290"/>
      <c r="CV226" s="295"/>
      <c r="CW226" s="295"/>
      <c r="CX226" s="290"/>
      <c r="CY226" s="290"/>
      <c r="CZ226" s="295"/>
      <c r="DA226" s="295"/>
      <c r="DB226" s="290"/>
      <c r="DC226" s="290"/>
      <c r="DD226" s="295"/>
      <c r="DE226" s="295"/>
      <c r="DF226" s="290"/>
      <c r="DG226" s="290"/>
      <c r="DH226" s="295"/>
      <c r="DI226" s="295"/>
      <c r="DJ226" s="290"/>
      <c r="DK226" s="290"/>
      <c r="DL226" s="295"/>
      <c r="DM226" s="295"/>
      <c r="DN226" s="290"/>
      <c r="DO226" s="290"/>
      <c r="DP226" s="295"/>
      <c r="DQ226" s="295"/>
      <c r="DR226" s="290"/>
      <c r="DS226" s="290"/>
      <c r="DT226" s="290"/>
      <c r="DU226" s="290"/>
      <c r="DV226" s="290"/>
      <c r="DW226" s="290"/>
      <c r="DX226" s="290"/>
      <c r="DY226" s="290"/>
      <c r="DZ226" s="290"/>
      <c r="EA226" s="290"/>
      <c r="EB226" s="290"/>
      <c r="EC226" s="290"/>
      <c r="ED226" s="290"/>
      <c r="EE226" s="290"/>
      <c r="EF226" s="290"/>
      <c r="EG226" s="290"/>
      <c r="EH226" s="290"/>
      <c r="EI226" s="290"/>
      <c r="EJ226" s="290"/>
      <c r="EK226" s="290"/>
      <c r="EL226" s="290"/>
      <c r="EM226" s="290"/>
      <c r="EN226" s="290"/>
      <c r="EO226" s="290"/>
      <c r="EP226" s="290"/>
      <c r="JM226"/>
    </row>
    <row r="227" spans="1:273" s="289" customFormat="1">
      <c r="A227" s="323" t="str">
        <f>A216</f>
        <v>Infrastructure Equity</v>
      </c>
      <c r="B227" s="290" t="s">
        <v>1278</v>
      </c>
      <c r="AN227" s="290"/>
      <c r="AO227" s="290"/>
      <c r="AP227" s="290"/>
      <c r="AQ227" s="290"/>
      <c r="AR227" s="290"/>
      <c r="AS227" s="290"/>
      <c r="AT227" s="290"/>
      <c r="AU227" s="290"/>
      <c r="AV227" s="290"/>
      <c r="AW227" s="290"/>
      <c r="AX227" s="290"/>
      <c r="AY227" s="290"/>
      <c r="AZ227" s="290"/>
      <c r="BA227" s="290"/>
      <c r="BB227" s="290"/>
      <c r="BC227" s="290"/>
      <c r="BD227" s="290"/>
      <c r="BE227" s="290"/>
      <c r="BF227" s="290"/>
      <c r="BG227" s="290"/>
      <c r="BH227" s="671">
        <f>+BH216/BE216-1</f>
        <v>6.2775330396475759E-2</v>
      </c>
      <c r="BI227" s="671">
        <f>BI216/BH216-1</f>
        <v>-5.9067357512953333E-2</v>
      </c>
      <c r="BJ227" s="290"/>
      <c r="BK227" s="290"/>
      <c r="BL227" s="671">
        <f>+BL216/BI216-1</f>
        <v>0.12004405286343611</v>
      </c>
      <c r="BM227" s="671">
        <f>BM216/BL216-1</f>
        <v>3.539823008849563E-2</v>
      </c>
      <c r="BN227" s="290"/>
      <c r="BO227" s="290"/>
      <c r="BP227" s="671">
        <f>+BP216/BM216-1</f>
        <v>1.7094017094017033E-2</v>
      </c>
      <c r="BQ227" s="671">
        <f>BQ216/BP216-1</f>
        <v>0.18300653594771243</v>
      </c>
      <c r="BR227" s="290"/>
      <c r="BS227" s="290"/>
      <c r="BT227" s="671">
        <f>+BT216/BQ216-1</f>
        <v>0.10970797158642465</v>
      </c>
      <c r="BU227" s="671">
        <f>BU216/BT216-1</f>
        <v>-8.8904694167852072E-2</v>
      </c>
      <c r="BV227" s="290"/>
      <c r="BW227" s="290"/>
      <c r="BX227" s="671">
        <f>+BX216/BU216-1</f>
        <v>9.3676814988290502E-3</v>
      </c>
      <c r="BY227" s="671">
        <f>BY216/BX216-1</f>
        <v>0.13611755607115228</v>
      </c>
      <c r="BZ227" s="290"/>
      <c r="CA227" s="290"/>
      <c r="CB227" s="671">
        <f>+CB216/BY216-1</f>
        <v>-8.8495575221238965E-2</v>
      </c>
      <c r="CC227" s="671">
        <f>CC216/CB216-1</f>
        <v>9.7087378640776656E-2</v>
      </c>
      <c r="CD227" s="290"/>
      <c r="CE227" s="581"/>
      <c r="CF227" s="671">
        <f>+CF216/CC216-1</f>
        <v>9.0537780803267465E-2</v>
      </c>
      <c r="CG227" s="671">
        <f>CG216/CF216-1</f>
        <v>-4.7440699126092389E-2</v>
      </c>
      <c r="CH227" s="290"/>
      <c r="CI227" s="581"/>
      <c r="CJ227" s="671">
        <f>+CJ216/CG216-1</f>
        <v>3.7352555701179568E-2</v>
      </c>
      <c r="CK227" s="671">
        <f>CK216/CJ216-1</f>
        <v>0.11433986102337323</v>
      </c>
      <c r="CL227" s="290"/>
      <c r="CM227" s="581"/>
      <c r="CN227" s="671">
        <f>+CN216/CK216-1</f>
        <v>-8.1632653061224469E-2</v>
      </c>
      <c r="CO227" s="671">
        <f>CO216/CN216-1</f>
        <v>-2.5925925925925908E-2</v>
      </c>
      <c r="CP227" s="290"/>
      <c r="CQ227" s="581"/>
      <c r="CR227" s="671">
        <f>+CR216/CO216-1</f>
        <v>0.16349809885931554</v>
      </c>
      <c r="CS227" s="671">
        <f>CS216/CR216-1</f>
        <v>0.13344226579520702</v>
      </c>
      <c r="CT227" s="290"/>
      <c r="CU227" s="290"/>
      <c r="CV227" s="671">
        <f>+CV216/CS216-1</f>
        <v>0.22921672272945703</v>
      </c>
      <c r="CW227" s="671">
        <f>CW216/CV216-1</f>
        <v>8.522283033620015E-2</v>
      </c>
      <c r="CX227" s="290"/>
      <c r="CY227" s="290"/>
      <c r="CZ227" s="671">
        <f>+CZ216/CW216-1</f>
        <v>-7.2046109510086609E-3</v>
      </c>
      <c r="DA227" s="671">
        <f>DA216/CZ216-1</f>
        <v>8.5268505079825863E-2</v>
      </c>
      <c r="DB227" s="290"/>
      <c r="DC227" s="290"/>
      <c r="DD227" s="671">
        <f>+DD216/DA216-1</f>
        <v>1.1367435640253998E-2</v>
      </c>
      <c r="DE227" s="671">
        <f>DE216/DD216-1</f>
        <v>7.3057851239669347E-2</v>
      </c>
      <c r="DF227" s="290"/>
      <c r="DG227" s="290"/>
      <c r="DH227" s="671">
        <f>+DH216/DE216-1</f>
        <v>7.3937153419593393E-2</v>
      </c>
      <c r="DI227" s="671">
        <f>DI216/DH216-1</f>
        <v>5.0913654618473858E-2</v>
      </c>
      <c r="DJ227" s="290"/>
      <c r="DK227" s="290"/>
      <c r="DL227" s="671">
        <f>DL216/DI216-1</f>
        <v>3.2977960193640854E-2</v>
      </c>
      <c r="DM227" s="671">
        <f>DM216/DL216-1</f>
        <v>3.8929746863208381E-2</v>
      </c>
      <c r="DN227" s="290"/>
      <c r="DO227" s="290"/>
      <c r="DP227" s="671">
        <f>DP216/DM216-1</f>
        <v>3.2972485996141776E-2</v>
      </c>
      <c r="DQ227" s="671">
        <f>DQ216/DP216-1</f>
        <v>3.8913379105320889E-2</v>
      </c>
      <c r="DR227" s="290"/>
      <c r="DS227" s="290"/>
      <c r="DT227" s="290"/>
      <c r="DU227" s="290"/>
      <c r="DV227" s="290"/>
      <c r="DW227" s="290"/>
      <c r="DX227" s="290"/>
      <c r="DY227" s="290"/>
      <c r="DZ227" s="290"/>
      <c r="EA227" s="290"/>
      <c r="EB227" s="290"/>
      <c r="EC227" s="290"/>
      <c r="ED227" s="290"/>
      <c r="EE227" s="290"/>
      <c r="EF227" s="290"/>
      <c r="EG227" s="290"/>
      <c r="EH227" s="290"/>
      <c r="EI227" s="290"/>
      <c r="EJ227" s="290"/>
      <c r="EK227" s="290"/>
      <c r="EL227" s="290"/>
      <c r="EM227" s="290"/>
      <c r="EN227" s="290"/>
      <c r="EO227" s="290"/>
      <c r="EP227" s="290"/>
      <c r="JM227"/>
    </row>
    <row r="228" spans="1:273" s="289" customFormat="1">
      <c r="A228" s="323" t="str">
        <f t="shared" ref="A228:A233" si="199">A217</f>
        <v>Infrastructure Debt</v>
      </c>
      <c r="B228" s="290" t="s">
        <v>1278</v>
      </c>
      <c r="C228" s="684"/>
      <c r="D228" s="684"/>
      <c r="E228" s="684"/>
      <c r="F228" s="684"/>
      <c r="G228" s="684"/>
      <c r="H228" s="684"/>
      <c r="I228" s="684"/>
      <c r="J228" s="684"/>
      <c r="K228" s="684"/>
      <c r="L228" s="684"/>
      <c r="M228" s="684"/>
      <c r="N228" s="684"/>
      <c r="O228" s="684"/>
      <c r="P228" s="684"/>
      <c r="Q228" s="684"/>
      <c r="R228" s="684"/>
      <c r="S228" s="684"/>
      <c r="T228" s="684"/>
      <c r="U228" s="684"/>
      <c r="V228" s="684"/>
      <c r="W228" s="684"/>
      <c r="X228" s="684"/>
      <c r="Y228" s="684"/>
      <c r="Z228" s="684"/>
      <c r="AA228" s="684"/>
      <c r="AB228" s="684"/>
      <c r="AC228" s="684"/>
      <c r="AD228" s="684"/>
      <c r="AE228" s="684"/>
      <c r="AF228" s="684"/>
      <c r="AG228" s="684"/>
      <c r="AH228" s="684"/>
      <c r="AI228" s="684"/>
      <c r="AJ228" s="684"/>
      <c r="AK228" s="684"/>
      <c r="AL228" s="684"/>
      <c r="AM228" s="684"/>
      <c r="AN228" s="684"/>
      <c r="AO228" s="684"/>
      <c r="AP228" s="684"/>
      <c r="AQ228" s="684"/>
      <c r="AR228" s="684"/>
      <c r="AS228" s="684"/>
      <c r="AT228" s="684"/>
      <c r="AU228" s="684"/>
      <c r="AV228" s="684"/>
      <c r="AW228" s="684"/>
      <c r="AX228" s="684"/>
      <c r="AY228" s="684"/>
      <c r="AZ228" s="684"/>
      <c r="BA228" s="684"/>
      <c r="BB228" s="684"/>
      <c r="BC228" s="684"/>
      <c r="BD228" s="684"/>
      <c r="BE228" s="684"/>
      <c r="BF228" s="684"/>
      <c r="BG228" s="684"/>
      <c r="BH228" s="684"/>
      <c r="BI228" s="684"/>
      <c r="BJ228" s="684"/>
      <c r="BK228" s="684"/>
      <c r="BL228" s="684"/>
      <c r="BM228" s="684"/>
      <c r="BN228" s="684"/>
      <c r="BO228" s="684"/>
      <c r="BP228" s="684"/>
      <c r="BQ228" s="684"/>
      <c r="BR228" s="684"/>
      <c r="BS228" s="684"/>
      <c r="BT228" s="684"/>
      <c r="BU228" s="684"/>
      <c r="BV228" s="684"/>
      <c r="BW228" s="684"/>
      <c r="BX228" s="684"/>
      <c r="BY228" s="684"/>
      <c r="BZ228" s="684"/>
      <c r="CA228" s="684"/>
      <c r="CB228" s="684"/>
      <c r="CC228" s="684"/>
      <c r="CD228" s="684"/>
      <c r="CE228" s="684"/>
      <c r="CF228" s="684"/>
      <c r="CG228" s="684">
        <f>CG217/CF217-1</f>
        <v>0.17741935483870974</v>
      </c>
      <c r="CH228" s="684"/>
      <c r="CI228" s="684"/>
      <c r="CJ228" s="684">
        <f>+CJ217/CG217-1</f>
        <v>0.21917808219178081</v>
      </c>
      <c r="CK228" s="684">
        <f>CK217/CJ217-1</f>
        <v>0.31460674157303381</v>
      </c>
      <c r="CL228" s="684"/>
      <c r="CM228" s="684"/>
      <c r="CN228" s="684">
        <f>+CN217/CK217-1</f>
        <v>-2.5641025641025661E-2</v>
      </c>
      <c r="CO228" s="684">
        <f>CO217/CN217-1</f>
        <v>0.12280701754385959</v>
      </c>
      <c r="CP228" s="684"/>
      <c r="CQ228" s="581"/>
      <c r="CR228" s="684">
        <f>+CR217/CO217-1</f>
        <v>8.59375E-2</v>
      </c>
      <c r="CS228" s="684">
        <f>CS217/CR217-1</f>
        <v>0.48201438848920852</v>
      </c>
      <c r="CT228" s="684"/>
      <c r="CU228" s="290"/>
      <c r="CV228" s="684">
        <f>+CV217/CS217-1</f>
        <v>5.8252427184465994E-2</v>
      </c>
      <c r="CW228" s="684">
        <f>CW217/CV217-1</f>
        <v>0.22935779816513757</v>
      </c>
      <c r="CX228" s="684"/>
      <c r="CY228" s="290"/>
      <c r="CZ228" s="684">
        <f>+CZ217/CW217-1</f>
        <v>7.0895522388059629E-2</v>
      </c>
      <c r="DA228" s="684">
        <f>DA217/CZ217-1</f>
        <v>0.12891986062717775</v>
      </c>
      <c r="DB228" s="684"/>
      <c r="DC228" s="290"/>
      <c r="DD228" s="684">
        <f>+DD217/DA217-1</f>
        <v>-3.703703703703709E-2</v>
      </c>
      <c r="DE228" s="684">
        <f>DE217/DD217-1</f>
        <v>8.0128205128205066E-2</v>
      </c>
      <c r="DF228" s="684"/>
      <c r="DG228" s="290"/>
      <c r="DH228" s="684">
        <f>+DH217/DE217-1</f>
        <v>1.4836795252225476E-2</v>
      </c>
      <c r="DI228" s="1536">
        <v>0.03</v>
      </c>
      <c r="DJ228" s="290"/>
      <c r="DK228" s="290"/>
      <c r="DL228" s="1536">
        <v>0.03</v>
      </c>
      <c r="DM228" s="1536">
        <v>0.03</v>
      </c>
      <c r="DN228" s="290"/>
      <c r="DO228" s="290"/>
      <c r="DP228" s="1536">
        <v>0.03</v>
      </c>
      <c r="DQ228" s="1536">
        <v>0.03</v>
      </c>
      <c r="DR228" s="290"/>
      <c r="DS228" s="290"/>
      <c r="DT228" s="290"/>
      <c r="DU228" s="290"/>
      <c r="DV228" s="290"/>
      <c r="DW228" s="290"/>
      <c r="DX228" s="290"/>
      <c r="DY228" s="290"/>
      <c r="DZ228" s="290"/>
      <c r="EA228" s="290"/>
      <c r="EB228" s="290"/>
      <c r="EC228" s="290"/>
      <c r="ED228" s="290"/>
      <c r="EE228" s="290"/>
      <c r="EF228" s="290"/>
      <c r="EG228" s="290"/>
      <c r="EH228" s="290"/>
      <c r="EI228" s="290"/>
      <c r="EJ228" s="290"/>
      <c r="EK228" s="290"/>
      <c r="EL228" s="290"/>
      <c r="EM228" s="290"/>
      <c r="EN228" s="290"/>
      <c r="EO228" s="290"/>
      <c r="EP228" s="290"/>
      <c r="JM228"/>
    </row>
    <row r="229" spans="1:273" s="289" customFormat="1">
      <c r="A229" s="323" t="str">
        <f t="shared" si="199"/>
        <v>Real Estate</v>
      </c>
      <c r="B229" s="290" t="s">
        <v>1278</v>
      </c>
      <c r="AN229" s="290"/>
      <c r="AO229" s="290"/>
      <c r="AP229" s="290"/>
      <c r="AQ229" s="290"/>
      <c r="AR229" s="290"/>
      <c r="AS229" s="290"/>
      <c r="AT229" s="290"/>
      <c r="AU229" s="290"/>
      <c r="AV229" s="290"/>
      <c r="AW229" s="290"/>
      <c r="AX229" s="290"/>
      <c r="AY229" s="290"/>
      <c r="AZ229" s="290"/>
      <c r="BA229" s="290"/>
      <c r="BB229" s="290"/>
      <c r="BC229" s="290"/>
      <c r="BD229" s="290"/>
      <c r="BE229" s="290"/>
      <c r="BF229" s="290"/>
      <c r="BG229" s="290"/>
      <c r="BH229" s="684">
        <f>+BH218/BE218-1</f>
        <v>0</v>
      </c>
      <c r="BI229" s="684">
        <f>BI218/BH218-1</f>
        <v>0.27777777777777768</v>
      </c>
      <c r="BJ229" s="290"/>
      <c r="BK229" s="290"/>
      <c r="BL229" s="684">
        <f>+BL218/BI218-1</f>
        <v>0.10869565217391308</v>
      </c>
      <c r="BM229" s="684">
        <f>BM218/BL218-1</f>
        <v>-0.53921568627450989</v>
      </c>
      <c r="BN229" s="290"/>
      <c r="BO229" s="290"/>
      <c r="BP229" s="684">
        <f>+BP218/BM218-1</f>
        <v>-8.5106382978723416E-2</v>
      </c>
      <c r="BQ229" s="684">
        <f>BQ218/BP218-1</f>
        <v>0.41860465116279078</v>
      </c>
      <c r="BR229" s="290"/>
      <c r="BS229" s="290"/>
      <c r="BT229" s="684">
        <f>+BT218/BQ218-1</f>
        <v>0</v>
      </c>
      <c r="BU229" s="684">
        <f>BU218/BT218-1</f>
        <v>0.13114754098360648</v>
      </c>
      <c r="BV229" s="290"/>
      <c r="BW229" s="290"/>
      <c r="BX229" s="684">
        <f>+BX218/BU218-1</f>
        <v>-0.24637681159420288</v>
      </c>
      <c r="BY229" s="684">
        <f>BY218/BX218-1</f>
        <v>7.6923076923076872E-2</v>
      </c>
      <c r="BZ229" s="290"/>
      <c r="CA229" s="290"/>
      <c r="CB229" s="684">
        <f>+CB218/BY218-1</f>
        <v>3.5714285714285809E-2</v>
      </c>
      <c r="CC229" s="684">
        <f>CC218/CB218-1</f>
        <v>8.6206896551724199E-2</v>
      </c>
      <c r="CD229" s="290"/>
      <c r="CE229" s="581"/>
      <c r="CF229" s="684">
        <f>+CF218/CC218-1</f>
        <v>1.6507936507936507</v>
      </c>
      <c r="CG229" s="684">
        <f>CG218/CF218-1</f>
        <v>0.60479041916167664</v>
      </c>
      <c r="CH229" s="290"/>
      <c r="CI229" s="581"/>
      <c r="CJ229" s="684">
        <f>+CJ218/CG218-1</f>
        <v>0.10074626865671643</v>
      </c>
      <c r="CK229" s="684">
        <f>CK218/CJ218-1</f>
        <v>-1.3559322033898313E-2</v>
      </c>
      <c r="CL229" s="290"/>
      <c r="CM229" s="581"/>
      <c r="CN229" s="684">
        <f>+CN218/CK218-1</f>
        <v>-0.134020618556701</v>
      </c>
      <c r="CO229" s="684">
        <f>CO218/CN218-1</f>
        <v>-0.25396825396825395</v>
      </c>
      <c r="CP229" s="290"/>
      <c r="CQ229" s="581"/>
      <c r="CR229" s="684">
        <f>+CR218/CO218-1</f>
        <v>-8.5106382978723416E-2</v>
      </c>
      <c r="CS229" s="684">
        <f>CS218/CR218-1</f>
        <v>0.34302325581395343</v>
      </c>
      <c r="CT229" s="290"/>
      <c r="CU229" s="290"/>
      <c r="CV229" s="684">
        <f>+CV218/CS218-1</f>
        <v>0.21645021645021645</v>
      </c>
      <c r="CW229" s="684">
        <f>CW218/CV218-1</f>
        <v>0.15658362989323837</v>
      </c>
      <c r="CX229" s="290"/>
      <c r="CY229" s="290"/>
      <c r="CZ229" s="684">
        <f>+CZ218/CW218-1</f>
        <v>2.1538461538461506E-2</v>
      </c>
      <c r="DA229" s="684">
        <f>DA218/CZ218-1</f>
        <v>-5.1204819277108404E-2</v>
      </c>
      <c r="DB229" s="290"/>
      <c r="DC229" s="290"/>
      <c r="DD229" s="684">
        <f>+DD218/DA218-1</f>
        <v>-1.5873015873015928E-2</v>
      </c>
      <c r="DE229" s="684">
        <f>DE218/DD218-1</f>
        <v>-0.32580645161290323</v>
      </c>
      <c r="DF229" s="290"/>
      <c r="DG229" s="290"/>
      <c r="DH229" s="684">
        <f>+DH218/DE218-1</f>
        <v>0.15311004784688986</v>
      </c>
      <c r="DI229" s="1536">
        <v>0.03</v>
      </c>
      <c r="DJ229" s="290"/>
      <c r="DK229" s="290"/>
      <c r="DL229" s="1536">
        <v>0.03</v>
      </c>
      <c r="DM229" s="1536">
        <v>0.03</v>
      </c>
      <c r="DN229" s="290"/>
      <c r="DO229" s="290"/>
      <c r="DP229" s="1536">
        <v>0.03</v>
      </c>
      <c r="DQ229" s="1536">
        <v>0.03</v>
      </c>
      <c r="DR229" s="290"/>
      <c r="DS229" s="290"/>
      <c r="DT229" s="290"/>
      <c r="DU229" s="290"/>
      <c r="DV229" s="290"/>
      <c r="DW229" s="290"/>
      <c r="DX229" s="290"/>
      <c r="DY229" s="290"/>
      <c r="DZ229" s="290"/>
      <c r="EA229" s="290"/>
      <c r="EB229" s="290"/>
      <c r="EC229" s="290"/>
      <c r="ED229" s="290"/>
      <c r="EE229" s="290"/>
      <c r="EF229" s="290"/>
      <c r="EG229" s="290"/>
      <c r="EH229" s="290"/>
      <c r="EI229" s="290"/>
      <c r="EJ229" s="290"/>
      <c r="EK229" s="290"/>
      <c r="EL229" s="290"/>
      <c r="EM229" s="290"/>
      <c r="EN229" s="290"/>
      <c r="EO229" s="290"/>
      <c r="EP229" s="290"/>
      <c r="JM229"/>
    </row>
    <row r="230" spans="1:273" s="289" customFormat="1">
      <c r="A230" s="323" t="str">
        <f t="shared" si="199"/>
        <v>Agriculture</v>
      </c>
      <c r="B230" s="290" t="s">
        <v>1278</v>
      </c>
      <c r="AN230" s="290"/>
      <c r="AO230" s="290"/>
      <c r="AP230" s="290"/>
      <c r="AQ230" s="290"/>
      <c r="AR230" s="290"/>
      <c r="AS230" s="290"/>
      <c r="AT230" s="290"/>
      <c r="AU230" s="290"/>
      <c r="AV230" s="290"/>
      <c r="AW230" s="290"/>
      <c r="AX230" s="290"/>
      <c r="AY230" s="290"/>
      <c r="AZ230" s="290"/>
      <c r="BA230" s="290"/>
      <c r="BB230" s="290"/>
      <c r="BC230" s="290"/>
      <c r="BD230" s="290"/>
      <c r="BE230" s="290"/>
      <c r="BF230" s="290"/>
      <c r="BG230" s="290"/>
      <c r="BH230" s="684"/>
      <c r="BI230" s="684"/>
      <c r="BJ230" s="290"/>
      <c r="BK230" s="290"/>
      <c r="BL230" s="684"/>
      <c r="BM230" s="684"/>
      <c r="BN230" s="290"/>
      <c r="BO230" s="290"/>
      <c r="BP230" s="684"/>
      <c r="BQ230" s="684"/>
      <c r="BR230" s="290"/>
      <c r="BS230" s="290"/>
      <c r="BT230" s="684"/>
      <c r="BU230" s="684"/>
      <c r="BV230" s="290"/>
      <c r="BW230" s="290"/>
      <c r="BX230" s="684"/>
      <c r="BY230" s="684"/>
      <c r="BZ230" s="290"/>
      <c r="CA230" s="290"/>
      <c r="CB230" s="684"/>
      <c r="CC230" s="684"/>
      <c r="CD230" s="290"/>
      <c r="CE230" s="581"/>
      <c r="CF230" s="684"/>
      <c r="CG230" s="684">
        <f>CG219/CF219-1</f>
        <v>0.14999999999999991</v>
      </c>
      <c r="CH230" s="290"/>
      <c r="CI230" s="581"/>
      <c r="CJ230" s="684">
        <f>+CJ219/CG219-1</f>
        <v>0.13043478260869557</v>
      </c>
      <c r="CK230" s="684">
        <f>CK219/CJ219-1</f>
        <v>7.6923076923076872E-2</v>
      </c>
      <c r="CL230" s="290"/>
      <c r="CM230" s="581"/>
      <c r="CN230" s="684">
        <f>+CN219/CK219-1</f>
        <v>-3.5714285714285698E-2</v>
      </c>
      <c r="CO230" s="684">
        <f>CO219/CN219-1</f>
        <v>0.22222222222222232</v>
      </c>
      <c r="CP230" s="290"/>
      <c r="CQ230" s="581"/>
      <c r="CR230" s="684">
        <f>+CR219/CO219-1</f>
        <v>0.1212121212121211</v>
      </c>
      <c r="CS230" s="684">
        <f>CS219/CR219-1</f>
        <v>-2.7027027027026973E-2</v>
      </c>
      <c r="CT230" s="290"/>
      <c r="CU230" s="290"/>
      <c r="CV230" s="684">
        <f>+CV219/CS219-1</f>
        <v>5.555555555555558E-2</v>
      </c>
      <c r="CW230" s="684">
        <f>CW219/CV219-1</f>
        <v>0.13157894736842102</v>
      </c>
      <c r="CX230" s="290"/>
      <c r="CY230" s="290"/>
      <c r="CZ230" s="684">
        <f>+CZ219/CW219-1</f>
        <v>2.3255813953488413E-2</v>
      </c>
      <c r="DA230" s="684">
        <f>DA219/CZ219-1</f>
        <v>6.8181818181818121E-2</v>
      </c>
      <c r="DB230" s="290"/>
      <c r="DC230" s="290"/>
      <c r="DD230" s="684">
        <f>+DD219/DA219-1</f>
        <v>2.1276595744680771E-2</v>
      </c>
      <c r="DE230" s="684">
        <f>DE219/DD219-1</f>
        <v>2.0833333333333259E-2</v>
      </c>
      <c r="DF230" s="290"/>
      <c r="DG230" s="290"/>
      <c r="DH230" s="684">
        <f>+DH219/DE219-1</f>
        <v>2.0408163265306145E-2</v>
      </c>
      <c r="DI230" s="1536">
        <v>0.03</v>
      </c>
      <c r="DJ230" s="290"/>
      <c r="DK230" s="290"/>
      <c r="DL230" s="1536">
        <v>0.03</v>
      </c>
      <c r="DM230" s="1536">
        <v>0.03</v>
      </c>
      <c r="DN230" s="290"/>
      <c r="DO230" s="290"/>
      <c r="DP230" s="1536">
        <v>0.03</v>
      </c>
      <c r="DQ230" s="1536">
        <v>0.03</v>
      </c>
      <c r="DR230" s="290"/>
      <c r="DS230" s="290"/>
      <c r="DT230" s="290"/>
      <c r="DU230" s="290"/>
      <c r="DV230" s="290"/>
      <c r="DW230" s="290"/>
      <c r="DX230" s="290"/>
      <c r="DY230" s="290"/>
      <c r="DZ230" s="290"/>
      <c r="EA230" s="290"/>
      <c r="EB230" s="290"/>
      <c r="EC230" s="290"/>
      <c r="ED230" s="290"/>
      <c r="EE230" s="290"/>
      <c r="EF230" s="290"/>
      <c r="EG230" s="290"/>
      <c r="EH230" s="290"/>
      <c r="EI230" s="290"/>
      <c r="EJ230" s="290"/>
      <c r="EK230" s="290"/>
      <c r="EL230" s="290"/>
      <c r="EM230" s="290"/>
      <c r="EN230" s="290"/>
      <c r="EO230" s="290"/>
      <c r="EP230" s="290"/>
      <c r="JM230"/>
    </row>
    <row r="231" spans="1:273" s="289" customFormat="1">
      <c r="A231" s="323" t="str">
        <f t="shared" si="199"/>
        <v>Transport Finance</v>
      </c>
      <c r="B231" s="290" t="s">
        <v>1278</v>
      </c>
      <c r="AN231" s="290"/>
      <c r="AO231" s="290"/>
      <c r="AP231" s="290"/>
      <c r="AQ231" s="290"/>
      <c r="AR231" s="290"/>
      <c r="AS231" s="290"/>
      <c r="AT231" s="290"/>
      <c r="AU231" s="290"/>
      <c r="AV231" s="290"/>
      <c r="AW231" s="290"/>
      <c r="AX231" s="290"/>
      <c r="AY231" s="290"/>
      <c r="AZ231" s="290"/>
      <c r="BA231" s="290"/>
      <c r="BB231" s="290"/>
      <c r="BC231" s="290"/>
      <c r="BD231" s="290"/>
      <c r="BE231" s="290"/>
      <c r="BF231" s="290"/>
      <c r="BG231" s="290"/>
      <c r="BH231" s="684"/>
      <c r="BI231" s="684"/>
      <c r="BJ231" s="290"/>
      <c r="BK231" s="290"/>
      <c r="BL231" s="684"/>
      <c r="BM231" s="684"/>
      <c r="BN231" s="290"/>
      <c r="BO231" s="290"/>
      <c r="BP231" s="684"/>
      <c r="BQ231" s="684"/>
      <c r="BR231" s="290"/>
      <c r="BS231" s="290"/>
      <c r="BT231" s="684"/>
      <c r="BU231" s="684"/>
      <c r="BV231" s="290"/>
      <c r="BW231" s="290"/>
      <c r="BX231" s="684"/>
      <c r="BY231" s="684"/>
      <c r="BZ231" s="290"/>
      <c r="CA231" s="290"/>
      <c r="CB231" s="684"/>
      <c r="CC231" s="684"/>
      <c r="CD231" s="290"/>
      <c r="CE231" s="581"/>
      <c r="CF231" s="684"/>
      <c r="CG231" s="684"/>
      <c r="CH231" s="290"/>
      <c r="CI231" s="581"/>
      <c r="CJ231" s="684"/>
      <c r="CK231" s="684"/>
      <c r="CL231" s="290"/>
      <c r="CM231" s="581"/>
      <c r="CN231" s="684"/>
      <c r="CO231" s="684"/>
      <c r="CP231" s="290"/>
      <c r="CQ231" s="581"/>
      <c r="CR231" s="684"/>
      <c r="CS231" s="684"/>
      <c r="CT231" s="290"/>
      <c r="CU231" s="290"/>
      <c r="CV231" s="684"/>
      <c r="CW231" s="684"/>
      <c r="CX231" s="290"/>
      <c r="CY231" s="290"/>
      <c r="CZ231" s="684"/>
      <c r="DA231" s="684"/>
      <c r="DB231" s="290"/>
      <c r="DC231" s="290"/>
      <c r="DD231" s="684"/>
      <c r="DE231" s="684"/>
      <c r="DF231" s="290"/>
      <c r="DG231" s="290"/>
      <c r="DH231" s="684"/>
      <c r="DI231" s="1536">
        <v>0.03</v>
      </c>
      <c r="DJ231" s="290"/>
      <c r="DK231" s="290"/>
      <c r="DL231" s="1536">
        <v>0.03</v>
      </c>
      <c r="DM231" s="1536">
        <v>0.03</v>
      </c>
      <c r="DN231" s="290"/>
      <c r="DO231" s="290"/>
      <c r="DP231" s="1536">
        <v>0.03</v>
      </c>
      <c r="DQ231" s="1536">
        <v>0.03</v>
      </c>
      <c r="DR231" s="290"/>
      <c r="DS231" s="290"/>
      <c r="DT231" s="290"/>
      <c r="DU231" s="290"/>
      <c r="DV231" s="290"/>
      <c r="DW231" s="290"/>
      <c r="DX231" s="290"/>
      <c r="DY231" s="290"/>
      <c r="DZ231" s="290"/>
      <c r="EA231" s="290"/>
      <c r="EB231" s="290"/>
      <c r="EC231" s="290"/>
      <c r="ED231" s="290"/>
      <c r="EE231" s="290"/>
      <c r="EF231" s="290"/>
      <c r="EG231" s="290"/>
      <c r="EH231" s="290"/>
      <c r="EI231" s="290"/>
      <c r="EJ231" s="290"/>
      <c r="EK231" s="290"/>
      <c r="EL231" s="290"/>
      <c r="EM231" s="290"/>
      <c r="EN231" s="290"/>
      <c r="EO231" s="290"/>
      <c r="EP231" s="290"/>
      <c r="JM231"/>
    </row>
    <row r="232" spans="1:273" s="289" customFormat="1">
      <c r="A232" s="328" t="str">
        <f>A221</f>
        <v>Sub-Total</v>
      </c>
      <c r="B232" s="290"/>
      <c r="AN232" s="290"/>
      <c r="AO232" s="290"/>
      <c r="AP232" s="290"/>
      <c r="AQ232" s="290"/>
      <c r="AR232" s="290"/>
      <c r="AS232" s="290"/>
      <c r="AT232" s="290"/>
      <c r="AU232" s="290"/>
      <c r="AV232" s="290"/>
      <c r="AW232" s="290"/>
      <c r="AX232" s="290"/>
      <c r="AY232" s="290"/>
      <c r="AZ232" s="290"/>
      <c r="BA232" s="290"/>
      <c r="BB232" s="290"/>
      <c r="BC232" s="290"/>
      <c r="BD232" s="290"/>
      <c r="BE232" s="290"/>
      <c r="BF232" s="290"/>
      <c r="BG232" s="290"/>
      <c r="BH232" s="905">
        <f>+BH221/BE221-1</f>
        <v>5.8163265306122369E-2</v>
      </c>
      <c r="BI232" s="905">
        <f>BI221/BH221-1</f>
        <v>-3.567984570877536E-2</v>
      </c>
      <c r="BJ232" s="290"/>
      <c r="BK232" s="290"/>
      <c r="BL232" s="905">
        <f>+BL221/BI221-1</f>
        <v>0.11899999999999999</v>
      </c>
      <c r="BM232" s="905">
        <f>BM221/BL221-1</f>
        <v>-1.6979445933869575E-2</v>
      </c>
      <c r="BN232" s="290"/>
      <c r="BO232" s="290"/>
      <c r="BP232" s="905">
        <f>+BP221/BM221-1</f>
        <v>1.2727272727272698E-2</v>
      </c>
      <c r="BQ232" s="905">
        <f>BQ221/BP221-1</f>
        <v>0.19210053859964082</v>
      </c>
      <c r="BR232" s="290"/>
      <c r="BS232" s="290"/>
      <c r="BT232" s="905">
        <f>+BT221/BQ221-1</f>
        <v>0.10466867469879526</v>
      </c>
      <c r="BU232" s="905">
        <f>BU221/BT221-1</f>
        <v>-7.9754601226993849E-2</v>
      </c>
      <c r="BV232" s="290"/>
      <c r="BW232" s="290"/>
      <c r="BX232" s="905">
        <f>+BX221/BU221-1</f>
        <v>-3.7037037037036535E-3</v>
      </c>
      <c r="BY232" s="905">
        <f>BY221/BX221-1</f>
        <v>0.13382899628252787</v>
      </c>
      <c r="BZ232" s="290"/>
      <c r="CA232" s="290"/>
      <c r="CB232" s="905">
        <f>+CB221/BY221-1</f>
        <v>-8.3934426229508197E-2</v>
      </c>
      <c r="CC232" s="905">
        <f>CC221/CB221-1</f>
        <v>9.663564781675027E-2</v>
      </c>
      <c r="CD232" s="290"/>
      <c r="CE232" s="581"/>
      <c r="CF232" s="905">
        <f>+CF221/CC221-1</f>
        <v>0.20822454308093996</v>
      </c>
      <c r="CG232" s="905">
        <f>CG221/CF221-1</f>
        <v>2.1069692058346856E-2</v>
      </c>
      <c r="CH232" s="290"/>
      <c r="CI232" s="581"/>
      <c r="CJ232" s="905">
        <f>+CJ221/CG221-1</f>
        <v>6.2962962962962887E-2</v>
      </c>
      <c r="CK232" s="905">
        <f>CK221/CJ221-1</f>
        <v>0.11050273768043795</v>
      </c>
      <c r="CL232" s="290"/>
      <c r="CM232" s="581"/>
      <c r="CN232" s="905">
        <f>+CN221/CK221-1</f>
        <v>-8.5611833258628423E-2</v>
      </c>
      <c r="CO232" s="905">
        <f>CO221/CN221-1</f>
        <v>-4.3627450980392113E-2</v>
      </c>
      <c r="CP232" s="290"/>
      <c r="CQ232" s="581"/>
      <c r="CR232" s="905">
        <f>+CR221/CO221-1</f>
        <v>0.13223987698616102</v>
      </c>
      <c r="CS232" s="905">
        <f>CS221/CR221-1</f>
        <v>0.16749660479855133</v>
      </c>
      <c r="CT232" s="290"/>
      <c r="CU232" s="290"/>
      <c r="CV232" s="905">
        <f>+CV221/CS221-1</f>
        <v>0.21054672353625437</v>
      </c>
      <c r="CW232" s="905">
        <f>CW221/CV221-1</f>
        <v>0.10217809096732866</v>
      </c>
      <c r="CX232" s="290"/>
      <c r="CY232" s="290"/>
      <c r="CZ232" s="905">
        <f>+CZ221/CW221-1</f>
        <v>2.9061319383900663E-3</v>
      </c>
      <c r="DA232" s="905">
        <f>DA221/CZ221-1</f>
        <v>7.4760938858301929E-2</v>
      </c>
      <c r="DB232" s="290"/>
      <c r="DC232" s="290"/>
      <c r="DD232" s="905">
        <f>+DD221/DA221-1</f>
        <v>7.2795901860340795E-3</v>
      </c>
      <c r="DE232" s="905">
        <f>DE221/DD221-1</f>
        <v>4.1220556745181991E-2</v>
      </c>
      <c r="DF232" s="290"/>
      <c r="DG232" s="290"/>
      <c r="DH232" s="905">
        <f>+DH221/DE221-1</f>
        <v>7.0951156812339322E-2</v>
      </c>
      <c r="DI232" s="905">
        <f>DI221/DH221-1</f>
        <v>4.7500000000000098E-2</v>
      </c>
      <c r="DJ232" s="290"/>
      <c r="DK232" s="290"/>
      <c r="DL232" s="905">
        <f>DL221/DI221-1</f>
        <v>3.2499999999999973E-2</v>
      </c>
      <c r="DM232" s="905">
        <f>DM221/DL221-1</f>
        <v>3.7500000000000089E-2</v>
      </c>
      <c r="DN232" s="290"/>
      <c r="DO232" s="290"/>
      <c r="DP232" s="905">
        <f>DP221/DM221-1</f>
        <v>3.2499999999999973E-2</v>
      </c>
      <c r="DQ232" s="905">
        <f>DQ221/DP221-1</f>
        <v>3.7499999999999867E-2</v>
      </c>
      <c r="DR232" s="290"/>
      <c r="DS232" s="290"/>
      <c r="DT232" s="290"/>
      <c r="DU232" s="290"/>
      <c r="DV232" s="290"/>
      <c r="DW232" s="290"/>
      <c r="DX232" s="290"/>
      <c r="DY232" s="290"/>
      <c r="DZ232" s="290"/>
      <c r="EA232" s="290"/>
      <c r="EB232" s="290"/>
      <c r="EC232" s="290"/>
      <c r="ED232" s="290"/>
      <c r="EE232" s="290"/>
      <c r="EF232" s="290"/>
      <c r="EG232" s="290"/>
      <c r="EH232" s="290"/>
      <c r="EI232" s="290"/>
      <c r="EJ232" s="290"/>
      <c r="EK232" s="290"/>
      <c r="EL232" s="290"/>
      <c r="EM232" s="290"/>
      <c r="EN232" s="290"/>
      <c r="EO232" s="290"/>
      <c r="EP232" s="290"/>
      <c r="JM232"/>
    </row>
    <row r="233" spans="1:273" s="289" customFormat="1">
      <c r="A233" s="323" t="str">
        <f t="shared" si="199"/>
        <v>Other</v>
      </c>
      <c r="B233" s="290" t="s">
        <v>1278</v>
      </c>
      <c r="C233" s="684"/>
      <c r="D233" s="684"/>
      <c r="E233" s="684"/>
      <c r="F233" s="684"/>
      <c r="G233" s="684"/>
      <c r="H233" s="684"/>
      <c r="I233" s="684"/>
      <c r="J233" s="684"/>
      <c r="K233" s="684"/>
      <c r="L233" s="684"/>
      <c r="M233" s="684"/>
      <c r="N233" s="684"/>
      <c r="O233" s="684"/>
      <c r="P233" s="684"/>
      <c r="Q233" s="684"/>
      <c r="R233" s="684"/>
      <c r="S233" s="684"/>
      <c r="T233" s="684"/>
      <c r="U233" s="684"/>
      <c r="V233" s="684"/>
      <c r="W233" s="684"/>
      <c r="X233" s="684"/>
      <c r="Y233" s="684"/>
      <c r="Z233" s="684"/>
      <c r="AA233" s="684"/>
      <c r="AB233" s="684"/>
      <c r="AC233" s="684"/>
      <c r="AD233" s="684"/>
      <c r="AE233" s="684"/>
      <c r="AF233" s="684"/>
      <c r="AG233" s="684"/>
      <c r="AH233" s="684"/>
      <c r="AI233" s="684"/>
      <c r="AJ233" s="684"/>
      <c r="AK233" s="684"/>
      <c r="AL233" s="684"/>
      <c r="AM233" s="684"/>
      <c r="AN233" s="684"/>
      <c r="AO233" s="684"/>
      <c r="AP233" s="684"/>
      <c r="AQ233" s="684"/>
      <c r="AR233" s="684"/>
      <c r="AS233" s="684"/>
      <c r="AT233" s="684"/>
      <c r="AU233" s="684"/>
      <c r="AV233" s="684"/>
      <c r="AW233" s="684"/>
      <c r="AX233" s="684"/>
      <c r="AY233" s="684"/>
      <c r="AZ233" s="684"/>
      <c r="BA233" s="684"/>
      <c r="BB233" s="684"/>
      <c r="BC233" s="684"/>
      <c r="BD233" s="684"/>
      <c r="BE233" s="684"/>
      <c r="BF233" s="684"/>
      <c r="BG233" s="684"/>
      <c r="BH233" s="684"/>
      <c r="BI233" s="684"/>
      <c r="BJ233" s="684"/>
      <c r="BK233" s="684"/>
      <c r="BL233" s="684"/>
      <c r="BM233" s="684"/>
      <c r="BN233" s="684"/>
      <c r="BO233" s="684"/>
      <c r="BP233" s="684"/>
      <c r="BQ233" s="684"/>
      <c r="BR233" s="684"/>
      <c r="BS233" s="684"/>
      <c r="BT233" s="684"/>
      <c r="BU233" s="684"/>
      <c r="BV233" s="684"/>
      <c r="BW233" s="684"/>
      <c r="BX233" s="684"/>
      <c r="BY233" s="684"/>
      <c r="BZ233" s="684"/>
      <c r="CA233" s="684"/>
      <c r="CB233" s="684"/>
      <c r="CC233" s="684"/>
      <c r="CD233" s="684"/>
      <c r="CE233" s="684"/>
      <c r="CF233" s="684"/>
      <c r="CG233" s="684"/>
      <c r="CH233" s="684"/>
      <c r="CI233" s="684"/>
      <c r="CJ233" s="684"/>
      <c r="CK233" s="684"/>
      <c r="CL233" s="684"/>
      <c r="CM233" s="684"/>
      <c r="CN233" s="684"/>
      <c r="CO233" s="684"/>
      <c r="CP233" s="684"/>
      <c r="CQ233" s="581"/>
      <c r="CR233" s="684"/>
      <c r="CS233" s="684"/>
      <c r="CT233" s="684"/>
      <c r="CU233" s="290"/>
      <c r="CV233" s="684"/>
      <c r="CW233" s="684"/>
      <c r="CX233" s="684"/>
      <c r="CY233" s="290"/>
      <c r="CZ233" s="684"/>
      <c r="DA233" s="684"/>
      <c r="DB233" s="684"/>
      <c r="DC233" s="290"/>
      <c r="DD233" s="684"/>
      <c r="DE233" s="684"/>
      <c r="DF233" s="684"/>
      <c r="DG233" s="1019" t="s">
        <v>1457</v>
      </c>
      <c r="DH233" s="684"/>
      <c r="DI233" s="1536">
        <v>0.03</v>
      </c>
      <c r="DJ233" s="290"/>
      <c r="DK233" s="290"/>
      <c r="DL233" s="1536">
        <v>0.03</v>
      </c>
      <c r="DM233" s="1536">
        <v>0.03</v>
      </c>
      <c r="DN233" s="290"/>
      <c r="DO233" s="290"/>
      <c r="DP233" s="1536">
        <v>0.03</v>
      </c>
      <c r="DQ233" s="1536">
        <v>0.03</v>
      </c>
      <c r="DR233" s="290"/>
      <c r="DS233" s="290"/>
      <c r="DT233" s="290"/>
      <c r="DU233" s="290"/>
      <c r="DV233" s="290"/>
      <c r="DW233" s="290"/>
      <c r="DX233" s="290"/>
      <c r="DY233" s="290"/>
      <c r="DZ233" s="290"/>
      <c r="EA233" s="290"/>
      <c r="EB233" s="290"/>
      <c r="EC233" s="290"/>
      <c r="ED233" s="290"/>
      <c r="EE233" s="290"/>
      <c r="EF233" s="290"/>
      <c r="EG233" s="290"/>
      <c r="EH233" s="290"/>
      <c r="EI233" s="290"/>
      <c r="EJ233" s="290"/>
      <c r="EK233" s="290"/>
      <c r="EL233" s="290"/>
      <c r="EM233" s="290"/>
      <c r="EN233" s="290"/>
      <c r="EO233" s="290"/>
      <c r="EP233" s="290"/>
      <c r="JM233"/>
    </row>
    <row r="234" spans="1:273">
      <c r="DG234" s="164">
        <v>254000</v>
      </c>
    </row>
    <row r="235" spans="1:273">
      <c r="A235" s="102" t="s">
        <v>1269</v>
      </c>
      <c r="BD235" s="626"/>
      <c r="BE235" s="626">
        <v>132800</v>
      </c>
      <c r="BF235" s="293">
        <f>BE235</f>
        <v>132800</v>
      </c>
      <c r="BH235" s="626">
        <v>138900</v>
      </c>
      <c r="BI235" s="626">
        <v>138700</v>
      </c>
      <c r="BJ235" s="293">
        <f>BI235</f>
        <v>138700</v>
      </c>
      <c r="BL235" s="626">
        <v>147000</v>
      </c>
      <c r="BM235" s="626">
        <v>174200</v>
      </c>
      <c r="BN235" s="293">
        <f>BM235</f>
        <v>174200</v>
      </c>
      <c r="BP235" s="626">
        <v>183700</v>
      </c>
      <c r="BQ235" s="626">
        <v>224700</v>
      </c>
      <c r="BR235" s="293">
        <f>BQ235</f>
        <v>224700</v>
      </c>
      <c r="BT235" s="626">
        <v>231700</v>
      </c>
      <c r="BU235" s="626">
        <v>222200</v>
      </c>
      <c r="BV235" s="293">
        <f>BU235</f>
        <v>222200</v>
      </c>
      <c r="BW235" s="671">
        <f>+BV235/BR235-1</f>
        <v>-1.1125945705384943E-2</v>
      </c>
      <c r="BX235" s="626">
        <v>228800</v>
      </c>
      <c r="BY235" s="626">
        <v>191300</v>
      </c>
      <c r="BZ235" s="293">
        <f>BY235</f>
        <v>191300</v>
      </c>
      <c r="CA235" s="671">
        <f>+BZ235/BV235-1</f>
        <v>-0.13906390639063904</v>
      </c>
      <c r="CB235" s="626">
        <v>194400</v>
      </c>
      <c r="CC235" s="626">
        <v>197700</v>
      </c>
      <c r="CD235" s="293">
        <f>CC235</f>
        <v>197700</v>
      </c>
      <c r="CE235" s="671">
        <f>+CD235/BZ235-1</f>
        <v>3.3455305802404522E-2</v>
      </c>
      <c r="CF235" s="626">
        <v>208000</v>
      </c>
      <c r="CG235" s="626">
        <v>209200</v>
      </c>
      <c r="CH235" s="293">
        <f>CG235</f>
        <v>209200</v>
      </c>
      <c r="CI235" s="671">
        <f>+CH235/CD235-1</f>
        <v>5.8168942842691029E-2</v>
      </c>
      <c r="CJ235" s="626">
        <v>200100</v>
      </c>
      <c r="CK235" s="626">
        <v>235700</v>
      </c>
      <c r="CL235" s="293">
        <f>CK235</f>
        <v>235700</v>
      </c>
      <c r="CM235" s="671">
        <f>+CL235/CH235-1</f>
        <v>0.12667304015296366</v>
      </c>
      <c r="CN235" s="1388">
        <v>201000</v>
      </c>
      <c r="CO235" s="1388">
        <v>197500</v>
      </c>
      <c r="CP235" s="1010">
        <f>CO235</f>
        <v>197500</v>
      </c>
      <c r="CQ235" s="1417">
        <f>+CP235/CL235-1</f>
        <v>-0.16207042851081888</v>
      </c>
      <c r="CR235" s="1388">
        <v>246600</v>
      </c>
      <c r="CS235" s="1388">
        <v>263700</v>
      </c>
      <c r="CT235" s="293">
        <f>CS235</f>
        <v>263700</v>
      </c>
      <c r="CU235" s="671"/>
      <c r="CV235" s="1388">
        <v>280300</v>
      </c>
      <c r="CW235" s="626">
        <v>291300</v>
      </c>
      <c r="CX235" s="293">
        <f>CW235</f>
        <v>291300</v>
      </c>
      <c r="CY235" s="671"/>
      <c r="CZ235" s="1388">
        <v>309400</v>
      </c>
      <c r="DA235" s="1388">
        <v>307500</v>
      </c>
      <c r="DB235" s="293">
        <f>DA235</f>
        <v>307500</v>
      </c>
      <c r="DC235" s="671"/>
      <c r="DD235" s="1388">
        <v>298500</v>
      </c>
      <c r="DE235" s="2176">
        <v>305500</v>
      </c>
      <c r="DF235" s="293">
        <f>DE235</f>
        <v>305500</v>
      </c>
      <c r="DG235" s="1108">
        <f>40%*$DG$234</f>
        <v>101600</v>
      </c>
      <c r="DH235" s="1388">
        <v>293200</v>
      </c>
      <c r="DI235" s="924">
        <f>+DH235*(1+DI242)-DG235</f>
        <v>195998</v>
      </c>
      <c r="DJ235" s="293">
        <f>DI235</f>
        <v>195998</v>
      </c>
      <c r="DK235" s="671">
        <f>+DH235/$DH$241</f>
        <v>0.5404608294930876</v>
      </c>
      <c r="DL235" s="293">
        <f>+DI235*(1+DL242)</f>
        <v>200897.94999999998</v>
      </c>
      <c r="DM235" s="293">
        <f>+DL235*(1+DM242)</f>
        <v>205920.39874999996</v>
      </c>
      <c r="DN235" s="293">
        <f>DM235</f>
        <v>205920.39874999996</v>
      </c>
      <c r="DP235" s="293">
        <f>+DM235*(1+DP242)</f>
        <v>211068.40871874994</v>
      </c>
      <c r="DQ235" s="293">
        <f>+DP235*(1+DQ242)</f>
        <v>216345.11893671867</v>
      </c>
      <c r="DR235" s="293">
        <f>DQ235</f>
        <v>216345.11893671867</v>
      </c>
    </row>
    <row r="236" spans="1:273">
      <c r="A236" s="102" t="s">
        <v>1270</v>
      </c>
      <c r="BD236" s="626"/>
      <c r="BE236" s="626">
        <v>64300</v>
      </c>
      <c r="BF236" s="293">
        <f>BE236</f>
        <v>64300</v>
      </c>
      <c r="BH236" s="626">
        <v>65700</v>
      </c>
      <c r="BI236" s="626">
        <v>75200</v>
      </c>
      <c r="BJ236" s="293">
        <f>BI236</f>
        <v>75200</v>
      </c>
      <c r="BL236" s="626">
        <v>89400</v>
      </c>
      <c r="BM236" s="626">
        <v>99100</v>
      </c>
      <c r="BN236" s="293">
        <f>BM236</f>
        <v>99100</v>
      </c>
      <c r="BP236" s="626">
        <v>90900</v>
      </c>
      <c r="BQ236" s="626">
        <v>102700</v>
      </c>
      <c r="BR236" s="293">
        <f>BQ236</f>
        <v>102700</v>
      </c>
      <c r="BT236" s="626">
        <v>100800</v>
      </c>
      <c r="BU236" s="626">
        <v>97600</v>
      </c>
      <c r="BV236" s="293">
        <f>BU236</f>
        <v>97600</v>
      </c>
      <c r="BW236" s="671">
        <f>+BV236/BR236-1</f>
        <v>-4.9659201557935684E-2</v>
      </c>
      <c r="BX236" s="626">
        <v>105000</v>
      </c>
      <c r="BY236" s="626">
        <v>115200</v>
      </c>
      <c r="BZ236" s="293">
        <f>BY236</f>
        <v>115200</v>
      </c>
      <c r="CA236" s="671">
        <f>+BZ236/BV236-1</f>
        <v>0.18032786885245899</v>
      </c>
      <c r="CB236" s="626">
        <v>118600</v>
      </c>
      <c r="CC236" s="626">
        <v>123500</v>
      </c>
      <c r="CD236" s="293">
        <f>CC236</f>
        <v>123500</v>
      </c>
      <c r="CE236" s="671">
        <f>+CD236/BZ236-1</f>
        <v>7.204861111111116E-2</v>
      </c>
      <c r="CF236" s="626">
        <v>143500</v>
      </c>
      <c r="CG236" s="626">
        <v>141500</v>
      </c>
      <c r="CH236" s="293">
        <f>CG236</f>
        <v>141500</v>
      </c>
      <c r="CI236" s="671">
        <f>+CH236/CD236-1</f>
        <v>0.14574898785425106</v>
      </c>
      <c r="CJ236" s="626">
        <v>150500</v>
      </c>
      <c r="CK236" s="626">
        <v>137000</v>
      </c>
      <c r="CL236" s="293">
        <f>CK236</f>
        <v>137000</v>
      </c>
      <c r="CM236" s="671">
        <f>+CL236/CH236-1</f>
        <v>-3.180212014134276E-2</v>
      </c>
      <c r="CN236" s="1388">
        <v>140000</v>
      </c>
      <c r="CO236" s="1388">
        <v>159900</v>
      </c>
      <c r="CP236" s="1010">
        <f>CO236</f>
        <v>159900</v>
      </c>
      <c r="CQ236" s="1417">
        <f>+CP236/CL236-1</f>
        <v>0.1671532846715329</v>
      </c>
      <c r="CR236" s="1388">
        <v>243900</v>
      </c>
      <c r="CS236" s="1388">
        <v>245300</v>
      </c>
      <c r="CT236" s="293">
        <f>CS236</f>
        <v>245300</v>
      </c>
      <c r="CU236" s="671"/>
      <c r="CV236" s="1388">
        <v>215700</v>
      </c>
      <c r="CW236" s="626">
        <v>219500</v>
      </c>
      <c r="CX236" s="293">
        <f>CW236</f>
        <v>219500</v>
      </c>
      <c r="CY236" s="671"/>
      <c r="CZ236" s="1388">
        <v>213600</v>
      </c>
      <c r="DA236" s="1388">
        <v>234000</v>
      </c>
      <c r="DB236" s="293">
        <f>DA236</f>
        <v>234000</v>
      </c>
      <c r="DC236" s="671"/>
      <c r="DD236" s="1388">
        <v>220500</v>
      </c>
      <c r="DE236" s="2176">
        <v>219800</v>
      </c>
      <c r="DF236" s="293">
        <f>DE236</f>
        <v>219800</v>
      </c>
      <c r="DG236" s="1108">
        <f>50%*$DG$234</f>
        <v>127000</v>
      </c>
      <c r="DH236" s="1388">
        <v>223700</v>
      </c>
      <c r="DI236" s="924">
        <f>+DH236*(1+DI243)-DG236</f>
        <v>101174</v>
      </c>
      <c r="DJ236" s="293">
        <f>DI236</f>
        <v>101174</v>
      </c>
      <c r="DK236" s="671">
        <f>+DH236/$DH$241</f>
        <v>0.41235023041474655</v>
      </c>
      <c r="DL236" s="293">
        <f>+DI236*(1+DL243)</f>
        <v>105726.82999999999</v>
      </c>
      <c r="DM236" s="293">
        <f>+DL236*(1+DM243)</f>
        <v>110484.53734999998</v>
      </c>
      <c r="DN236" s="293">
        <f>DM236</f>
        <v>110484.53734999998</v>
      </c>
      <c r="DP236" s="293">
        <f>+DM236*(1+DP243)</f>
        <v>115456.34153074998</v>
      </c>
      <c r="DQ236" s="293">
        <f>+DP236*(1+DQ243)</f>
        <v>120651.87689963372</v>
      </c>
      <c r="DR236" s="293">
        <f>DQ236</f>
        <v>120651.87689963372</v>
      </c>
    </row>
    <row r="237" spans="1:273">
      <c r="A237" s="102" t="s">
        <v>1271</v>
      </c>
      <c r="BD237" s="626"/>
      <c r="BE237" s="626">
        <v>16900</v>
      </c>
      <c r="BF237" s="293">
        <f>BE237</f>
        <v>16900</v>
      </c>
      <c r="BH237" s="626">
        <v>17600</v>
      </c>
      <c r="BI237" s="626">
        <v>17500</v>
      </c>
      <c r="BJ237" s="293">
        <f>BI237</f>
        <v>17500</v>
      </c>
      <c r="BL237" s="626">
        <v>16700</v>
      </c>
      <c r="BM237" s="626">
        <v>16700</v>
      </c>
      <c r="BN237" s="293">
        <f>BM237</f>
        <v>16700</v>
      </c>
      <c r="BP237" s="626">
        <v>17300</v>
      </c>
      <c r="BQ237" s="626">
        <v>20600</v>
      </c>
      <c r="BR237" s="293">
        <f>BQ237</f>
        <v>20600</v>
      </c>
      <c r="BT237" s="626">
        <v>18700</v>
      </c>
      <c r="BU237" s="626">
        <v>17300</v>
      </c>
      <c r="BV237" s="293">
        <f>BU237</f>
        <v>17300</v>
      </c>
      <c r="BW237" s="671">
        <f>+BV237/BR237-1</f>
        <v>-0.16019417475728159</v>
      </c>
      <c r="BX237" s="626">
        <v>17300</v>
      </c>
      <c r="BY237" s="626">
        <v>13800</v>
      </c>
      <c r="BZ237" s="293">
        <f>BY237</f>
        <v>13800</v>
      </c>
      <c r="CA237" s="671">
        <f>+BZ237/BV237-1</f>
        <v>-0.20231213872832365</v>
      </c>
      <c r="CB237" s="626">
        <v>12200</v>
      </c>
      <c r="CC237" s="626">
        <v>12300</v>
      </c>
      <c r="CD237" s="293">
        <f>CC237</f>
        <v>12300</v>
      </c>
      <c r="CE237" s="671">
        <f>+CD237/BZ237-1</f>
        <v>-0.10869565217391308</v>
      </c>
      <c r="CF237" s="626">
        <v>12100</v>
      </c>
      <c r="CG237" s="626">
        <v>10300</v>
      </c>
      <c r="CH237" s="293">
        <f>CG237</f>
        <v>10300</v>
      </c>
      <c r="CI237" s="671">
        <f>+CH237/CD237-1</f>
        <v>-0.16260162601626016</v>
      </c>
      <c r="CJ237" s="626">
        <v>10500</v>
      </c>
      <c r="CK237" s="626">
        <v>9900</v>
      </c>
      <c r="CL237" s="293">
        <f>CK237</f>
        <v>9900</v>
      </c>
      <c r="CM237" s="671">
        <f>+CL237/CH237-1</f>
        <v>-3.8834951456310662E-2</v>
      </c>
      <c r="CN237" s="1388">
        <v>9900</v>
      </c>
      <c r="CO237" s="1388">
        <v>9700</v>
      </c>
      <c r="CP237" s="1010">
        <f>CO237</f>
        <v>9700</v>
      </c>
      <c r="CQ237" s="1417">
        <f>+CP237/CL237-1</f>
        <v>-2.0202020202020221E-2</v>
      </c>
      <c r="CR237" s="1388">
        <v>24100</v>
      </c>
      <c r="CS237" s="1388">
        <v>26100</v>
      </c>
      <c r="CT237" s="293">
        <f>CS237</f>
        <v>26100</v>
      </c>
      <c r="CU237" s="671"/>
      <c r="CV237" s="1388">
        <v>24700</v>
      </c>
      <c r="CW237" s="626">
        <v>23700</v>
      </c>
      <c r="CX237" s="293">
        <f>CW237</f>
        <v>23700</v>
      </c>
      <c r="CY237" s="671"/>
      <c r="CZ237" s="1388">
        <v>23900</v>
      </c>
      <c r="DA237" s="1388">
        <v>25900</v>
      </c>
      <c r="DB237" s="293">
        <f>DA237</f>
        <v>25900</v>
      </c>
      <c r="DC237" s="671"/>
      <c r="DD237" s="1388">
        <v>24200</v>
      </c>
      <c r="DE237" s="2176">
        <v>26700</v>
      </c>
      <c r="DF237" s="293">
        <f>DE237</f>
        <v>26700</v>
      </c>
      <c r="DG237" s="1108">
        <f>10%*$DG$234</f>
        <v>25400</v>
      </c>
      <c r="DH237" s="1388">
        <v>25600</v>
      </c>
      <c r="DI237" s="924">
        <f>+DH237*(1+DI244)-DG237</f>
        <v>1224</v>
      </c>
      <c r="DJ237" s="293">
        <f>DI237</f>
        <v>1224</v>
      </c>
      <c r="DK237" s="671">
        <f>+DH237/$DH$241</f>
        <v>4.7188940092165899E-2</v>
      </c>
      <c r="DL237" s="293">
        <f>+DI237*(1+DL244)</f>
        <v>1272.96</v>
      </c>
      <c r="DM237" s="293">
        <f>+DL237*(1+DM244)</f>
        <v>1323.8784000000001</v>
      </c>
      <c r="DN237" s="293">
        <f>DM237</f>
        <v>1323.8784000000001</v>
      </c>
      <c r="DP237" s="293">
        <f>+DM237*(1+DP244)</f>
        <v>1376.8335360000001</v>
      </c>
      <c r="DQ237" s="293">
        <f>+DP237*(1+DQ244)</f>
        <v>1431.9068774400002</v>
      </c>
      <c r="DR237" s="293">
        <f>DQ237</f>
        <v>1431.9068774400002</v>
      </c>
    </row>
    <row r="238" spans="1:273">
      <c r="A238" s="102" t="s">
        <v>1247</v>
      </c>
      <c r="BD238" s="293"/>
      <c r="BE238" s="293">
        <f>+BE239-SUM(BE235:BE237)</f>
        <v>10347</v>
      </c>
      <c r="BF238" s="293">
        <f>BE238</f>
        <v>10347</v>
      </c>
      <c r="BH238" s="293">
        <f>+BH239-SUM(BH235:BH237)</f>
        <v>10600</v>
      </c>
      <c r="BI238" s="293">
        <f>+BI239-SUM(BI235:BI237)</f>
        <v>11800</v>
      </c>
      <c r="BJ238" s="293">
        <f>BI238</f>
        <v>11800</v>
      </c>
      <c r="BL238" s="293">
        <f>+BL239-SUM(BL235:BL237)</f>
        <v>15700</v>
      </c>
      <c r="BM238" s="293">
        <f>+BM239-SUM(BM235:BM237)</f>
        <v>22600</v>
      </c>
      <c r="BN238" s="293">
        <f>BM238</f>
        <v>22600</v>
      </c>
      <c r="BP238" s="293">
        <f>+BP239-SUM(BP235:BP237)</f>
        <v>17500</v>
      </c>
      <c r="BQ238" s="293">
        <f>+BQ239-SUM(BQ235:BQ237)</f>
        <v>2300</v>
      </c>
      <c r="BR238" s="293">
        <f>BQ238</f>
        <v>2300</v>
      </c>
      <c r="BT238" s="293">
        <f>+BT239-SUM(BT235:BT237)</f>
        <v>2000</v>
      </c>
      <c r="BU238" s="293">
        <f>+BU239-SUM(BU235:BU237)</f>
        <v>1700</v>
      </c>
      <c r="BV238" s="293">
        <f>BU238</f>
        <v>1700</v>
      </c>
      <c r="BW238" s="671">
        <f>+BV238/BR238-1</f>
        <v>-0.26086956521739135</v>
      </c>
      <c r="BX238" s="293">
        <f>+BX239-SUM(BX235:BX237)</f>
        <v>1800</v>
      </c>
      <c r="BY238" s="293">
        <f>+BY239-SUM(BY235:BY237)</f>
        <v>1700</v>
      </c>
      <c r="BZ238" s="293">
        <f>BY238</f>
        <v>1700</v>
      </c>
      <c r="CA238" s="671">
        <f>+BZ238/BV238-1</f>
        <v>0</v>
      </c>
      <c r="CB238" s="293">
        <f>+CB239-SUM(CB235:CB237)</f>
        <v>1700</v>
      </c>
      <c r="CC238" s="293">
        <f>+CC239-SUM(CC235:CC237)</f>
        <v>1600</v>
      </c>
      <c r="CD238" s="293">
        <f>CC238</f>
        <v>1600</v>
      </c>
      <c r="CE238" s="671">
        <f>+CD238/BZ238-1</f>
        <v>-5.8823529411764719E-2</v>
      </c>
      <c r="CF238" s="293">
        <f>+CF239-SUM(CF235:CF237)</f>
        <v>2300</v>
      </c>
      <c r="CG238" s="293">
        <f>+CG239-SUM(CG235:CG237)</f>
        <v>1300</v>
      </c>
      <c r="CH238" s="293">
        <f>CG238</f>
        <v>1300</v>
      </c>
      <c r="CI238" s="671">
        <f>+CH238/CD238-1</f>
        <v>-0.1875</v>
      </c>
      <c r="CJ238" s="293">
        <f>+CJ239-SUM(CJ235:CJ237)</f>
        <v>1400</v>
      </c>
      <c r="CK238" s="293">
        <f>+CK239-SUM(CK235:CK237)</f>
        <v>-6800</v>
      </c>
      <c r="CL238" s="293">
        <f>CK238</f>
        <v>-6800</v>
      </c>
      <c r="CM238" s="671">
        <f>+CL238/CH238-1</f>
        <v>-6.2307692307692308</v>
      </c>
      <c r="CN238" s="293">
        <f>+CN239-SUM(CN235:CN237)</f>
        <v>1400</v>
      </c>
      <c r="CO238" s="293">
        <f>+CO239-SUM(CO235:CO237)</f>
        <v>1300</v>
      </c>
      <c r="CP238" s="293">
        <f>CO238</f>
        <v>1300</v>
      </c>
      <c r="CQ238" s="684">
        <f>+CP238/CL238-1</f>
        <v>-1.1911764705882353</v>
      </c>
      <c r="CR238" s="293">
        <f>+CR239-SUM(CR235:CR237)</f>
        <v>1500</v>
      </c>
      <c r="CS238" s="1010">
        <f>+CS239-SUM(CS235:CS237)</f>
        <v>0</v>
      </c>
      <c r="CT238" s="293">
        <f>CS238</f>
        <v>0</v>
      </c>
      <c r="CU238" s="671"/>
      <c r="CV238" s="293">
        <f>+CV239-SUM(CV235:CV237)</f>
        <v>0</v>
      </c>
      <c r="CW238" s="1010">
        <f>+CW239-SUM(CW235:CW237)</f>
        <v>0</v>
      </c>
      <c r="CX238" s="293">
        <f>CW238</f>
        <v>0</v>
      </c>
      <c r="CY238" s="671"/>
      <c r="CZ238" s="293">
        <f>+CZ239-SUM(CZ235:CZ237)</f>
        <v>0</v>
      </c>
      <c r="DA238" s="1010">
        <f>+DA239-SUM(DA235:DA237)</f>
        <v>0</v>
      </c>
      <c r="DB238" s="293">
        <f>DA238</f>
        <v>0</v>
      </c>
      <c r="DC238" s="671"/>
      <c r="DD238" s="293">
        <f>+DD239-SUM(DD235:DD237)</f>
        <v>0</v>
      </c>
      <c r="DE238" s="1010">
        <f>+DE239-SUM(DE235:DE237)</f>
        <v>0</v>
      </c>
      <c r="DF238" s="293">
        <f>DE238</f>
        <v>0</v>
      </c>
      <c r="DG238" s="671"/>
      <c r="DH238" s="293">
        <f>+DH239-SUM(DH235:DH237)</f>
        <v>0</v>
      </c>
      <c r="DI238" s="293">
        <f>+DH238*(1+DI245)</f>
        <v>0</v>
      </c>
      <c r="DJ238" s="293">
        <f>DI238</f>
        <v>0</v>
      </c>
      <c r="DK238" s="671"/>
      <c r="DL238" s="293">
        <f>+DI238*(1+DL245)</f>
        <v>0</v>
      </c>
      <c r="DM238" s="293">
        <f>+DL238*(1+DM245)</f>
        <v>0</v>
      </c>
      <c r="DN238" s="293">
        <f>DM238</f>
        <v>0</v>
      </c>
      <c r="DP238" s="293">
        <f>+DM238*(1+DP245)</f>
        <v>0</v>
      </c>
      <c r="DQ238" s="293">
        <f>+DP238*(1+DQ245)</f>
        <v>0</v>
      </c>
      <c r="DR238" s="293">
        <f>DQ238</f>
        <v>0</v>
      </c>
    </row>
    <row r="239" spans="1:273">
      <c r="A239" s="289" t="s">
        <v>1148</v>
      </c>
      <c r="BD239" s="295"/>
      <c r="BE239" s="295">
        <f>BE189-BE225</f>
        <v>224347</v>
      </c>
      <c r="BF239" s="295">
        <f>BE239</f>
        <v>224347</v>
      </c>
      <c r="BH239" s="295">
        <f>BH189-BH225</f>
        <v>232800</v>
      </c>
      <c r="BI239" s="295">
        <f>BI189-BI225</f>
        <v>243200</v>
      </c>
      <c r="BJ239" s="295">
        <f>BI239</f>
        <v>243200</v>
      </c>
      <c r="BL239" s="295">
        <f>BL189-BL225</f>
        <v>268800</v>
      </c>
      <c r="BM239" s="295">
        <f>BM189-BM225</f>
        <v>312600</v>
      </c>
      <c r="BN239" s="295">
        <f>BM239</f>
        <v>312600</v>
      </c>
      <c r="BP239" s="295">
        <f>BP189-BP225</f>
        <v>309400</v>
      </c>
      <c r="BQ239" s="295">
        <f>BQ189-BQ225</f>
        <v>350300</v>
      </c>
      <c r="BR239" s="295">
        <f>BQ239</f>
        <v>350300</v>
      </c>
      <c r="BT239" s="295">
        <f>BT189-BT225</f>
        <v>353200</v>
      </c>
      <c r="BU239" s="295">
        <f>BU189-BU225</f>
        <v>338800</v>
      </c>
      <c r="BV239" s="295">
        <f>BU239</f>
        <v>338800</v>
      </c>
      <c r="BW239" s="672">
        <f>+BV239/BR239-1</f>
        <v>-3.2829003711104754E-2</v>
      </c>
      <c r="BX239" s="295">
        <f>BX189-BX225</f>
        <v>352900</v>
      </c>
      <c r="BY239" s="295">
        <f>BY189-BY225</f>
        <v>322000</v>
      </c>
      <c r="BZ239" s="295">
        <f>BY239</f>
        <v>322000</v>
      </c>
      <c r="CA239" s="672">
        <f>+BZ239/BV239-1</f>
        <v>-4.9586776859504078E-2</v>
      </c>
      <c r="CB239" s="295">
        <f>CB189-CB225</f>
        <v>326900</v>
      </c>
      <c r="CC239" s="295">
        <f>CC189-CC225</f>
        <v>335100</v>
      </c>
      <c r="CD239" s="295">
        <f>CC239</f>
        <v>335100</v>
      </c>
      <c r="CE239" s="672">
        <f>+CD239/BZ239-1</f>
        <v>4.0683229813664568E-2</v>
      </c>
      <c r="CF239" s="295">
        <f>CF189-CF225</f>
        <v>365900</v>
      </c>
      <c r="CG239" s="295">
        <f>CG189-CG225</f>
        <v>362300</v>
      </c>
      <c r="CH239" s="295">
        <f>CG239</f>
        <v>362300</v>
      </c>
      <c r="CI239" s="672">
        <f>+CH239/CD239-1</f>
        <v>8.1169800059683661E-2</v>
      </c>
      <c r="CJ239" s="295">
        <f>CJ189-CJ225</f>
        <v>362500</v>
      </c>
      <c r="CK239" s="295">
        <f>CK189-CK225</f>
        <v>375800</v>
      </c>
      <c r="CL239" s="295">
        <f>CK239</f>
        <v>375800</v>
      </c>
      <c r="CM239" s="672">
        <f>+CL239/CH239-1</f>
        <v>3.7261937620756358E-2</v>
      </c>
      <c r="CN239" s="295">
        <f>CN189-CN225</f>
        <v>352300</v>
      </c>
      <c r="CO239" s="295">
        <f>CO189-CO225</f>
        <v>368400</v>
      </c>
      <c r="CP239" s="295">
        <f>CO239</f>
        <v>368400</v>
      </c>
      <c r="CQ239" s="905">
        <f>+CP239/CL239-1</f>
        <v>-1.9691325172964347E-2</v>
      </c>
      <c r="CR239" s="295">
        <f>CR189-CR225</f>
        <v>516100</v>
      </c>
      <c r="CS239" s="295">
        <f>CS189-CS225</f>
        <v>535100</v>
      </c>
      <c r="CT239" s="295">
        <f>CS239</f>
        <v>535100</v>
      </c>
      <c r="CU239" s="672"/>
      <c r="CV239" s="295">
        <f>CV189-CV225</f>
        <v>520700</v>
      </c>
      <c r="CW239" s="295">
        <f>CW189-CW225</f>
        <v>534500</v>
      </c>
      <c r="CX239" s="295">
        <f>CW239</f>
        <v>534500</v>
      </c>
      <c r="CY239" s="672"/>
      <c r="CZ239" s="295">
        <f>CZ189-CZ225</f>
        <v>546900</v>
      </c>
      <c r="DA239" s="295">
        <f>DA189-DA225</f>
        <v>567400</v>
      </c>
      <c r="DB239" s="295">
        <f>DA239</f>
        <v>567400</v>
      </c>
      <c r="DC239" s="672"/>
      <c r="DD239" s="295">
        <f>DD189-DD225</f>
        <v>543200</v>
      </c>
      <c r="DE239" s="295">
        <f>DE189-DE225</f>
        <v>552000</v>
      </c>
      <c r="DF239" s="295">
        <f>DE239</f>
        <v>552000</v>
      </c>
      <c r="DG239" s="672"/>
      <c r="DH239" s="295">
        <f>DH189-DH225</f>
        <v>542500</v>
      </c>
      <c r="DI239" s="295">
        <f>SUM(DI235:DI238)</f>
        <v>298396</v>
      </c>
      <c r="DJ239" s="295">
        <f>DI239</f>
        <v>298396</v>
      </c>
      <c r="DK239" s="672"/>
      <c r="DL239" s="295">
        <f>SUM(DL235:DL238)</f>
        <v>307897.74</v>
      </c>
      <c r="DM239" s="295">
        <f>SUM(DM235:DM238)</f>
        <v>317728.81449999992</v>
      </c>
      <c r="DN239" s="295">
        <f>DM239</f>
        <v>317728.81449999992</v>
      </c>
      <c r="DP239" s="295">
        <f>SUM(DP235:DP238)</f>
        <v>327901.58378549991</v>
      </c>
      <c r="DQ239" s="295">
        <f>SUM(DQ235:DQ238)</f>
        <v>338428.9027137924</v>
      </c>
      <c r="DR239" s="295">
        <f>DQ239</f>
        <v>338428.9027137924</v>
      </c>
    </row>
    <row r="240" spans="1:273" s="641" customFormat="1">
      <c r="A240" s="786" t="s">
        <v>1050</v>
      </c>
      <c r="B240" s="638"/>
      <c r="AN240" s="638"/>
      <c r="AO240" s="638"/>
      <c r="AP240" s="638"/>
      <c r="AQ240" s="638"/>
      <c r="AR240" s="638"/>
      <c r="AS240" s="638"/>
      <c r="AT240" s="638"/>
      <c r="AU240" s="638"/>
      <c r="AV240" s="638"/>
      <c r="AW240" s="638"/>
      <c r="AX240" s="638"/>
      <c r="AY240" s="638"/>
      <c r="AZ240" s="638"/>
      <c r="BA240" s="638"/>
      <c r="BB240" s="638"/>
      <c r="BC240" s="638"/>
      <c r="BD240" s="769"/>
      <c r="BE240" s="769">
        <f>BE182+BE188</f>
        <v>224347</v>
      </c>
      <c r="BF240" s="638"/>
      <c r="BG240" s="638"/>
      <c r="BH240" s="769">
        <f>BH182+BH188</f>
        <v>232800</v>
      </c>
      <c r="BI240" s="769">
        <f>BI182+BI188</f>
        <v>243200</v>
      </c>
      <c r="BJ240" s="638"/>
      <c r="BK240" s="638"/>
      <c r="BL240" s="769">
        <f>BL182+BL188</f>
        <v>268800</v>
      </c>
      <c r="BM240" s="769">
        <f>BM182+BM188</f>
        <v>312600</v>
      </c>
      <c r="BN240" s="638"/>
      <c r="BO240" s="638"/>
      <c r="BP240" s="769">
        <f>BP182+BP188</f>
        <v>309400</v>
      </c>
      <c r="BQ240" s="769">
        <f>BQ182+BQ188</f>
        <v>350300</v>
      </c>
      <c r="BR240" s="638"/>
      <c r="BS240" s="638"/>
      <c r="BT240" s="769">
        <f>BT182+BT188</f>
        <v>353200</v>
      </c>
      <c r="BU240" s="769">
        <f>BU182+BU188</f>
        <v>338800</v>
      </c>
      <c r="BV240" s="638"/>
      <c r="BW240" s="638"/>
      <c r="BX240" s="769">
        <f>BX182+BX188</f>
        <v>352900</v>
      </c>
      <c r="BY240" s="769">
        <f>BY182+BY188</f>
        <v>322000</v>
      </c>
      <c r="BZ240" s="638"/>
      <c r="CA240" s="638"/>
      <c r="CB240" s="769">
        <f>CB182+CB188</f>
        <v>326900</v>
      </c>
      <c r="CC240" s="769">
        <f>CC182+CC188</f>
        <v>335100</v>
      </c>
      <c r="CD240" s="638"/>
      <c r="CE240" s="787"/>
      <c r="CF240" s="769">
        <f>CF182+CF188</f>
        <v>365900</v>
      </c>
      <c r="CG240" s="769">
        <f>CG182+CG188</f>
        <v>362300</v>
      </c>
      <c r="CH240" s="638"/>
      <c r="CI240" s="787"/>
      <c r="CJ240" s="769">
        <f>CJ182+CJ188</f>
        <v>362500</v>
      </c>
      <c r="CK240" s="769">
        <f>CK182+CK188</f>
        <v>383800</v>
      </c>
      <c r="CL240" s="638"/>
      <c r="CM240" s="787"/>
      <c r="CN240" s="769">
        <f>CN182+CN188</f>
        <v>352300</v>
      </c>
      <c r="CO240" s="769">
        <f>CO182+CO188</f>
        <v>368400</v>
      </c>
      <c r="CP240" s="638"/>
      <c r="CQ240" s="787"/>
      <c r="CR240" s="769">
        <f>CR182+CR188</f>
        <v>516100</v>
      </c>
      <c r="CS240" s="769">
        <f>CS182+CS188</f>
        <v>535100</v>
      </c>
      <c r="CT240" s="638"/>
      <c r="CU240" s="638"/>
      <c r="CV240" s="769">
        <f>CV182+CV188</f>
        <v>520700</v>
      </c>
      <c r="CW240" s="769">
        <f>CW182+CW188</f>
        <v>534500</v>
      </c>
      <c r="CX240" s="638"/>
      <c r="CY240" s="638"/>
      <c r="CZ240" s="769">
        <f>CZ182+CZ188</f>
        <v>546900</v>
      </c>
      <c r="DA240" s="769">
        <f>DA182+DA188</f>
        <v>567400</v>
      </c>
      <c r="DB240" s="638"/>
      <c r="DC240" s="638"/>
      <c r="DD240" s="769">
        <f>DD182+DD188</f>
        <v>543200</v>
      </c>
      <c r="DE240" s="769">
        <f>DE182+DE188</f>
        <v>552000</v>
      </c>
      <c r="DF240" s="638"/>
      <c r="DG240" s="638"/>
      <c r="DH240" s="769">
        <f>DH182+DH188</f>
        <v>542500</v>
      </c>
      <c r="DI240" s="769">
        <f>DI182+DI188</f>
        <v>298396</v>
      </c>
      <c r="DJ240" s="638"/>
      <c r="DK240" s="638"/>
      <c r="DL240" s="769">
        <f>DL182+DL188</f>
        <v>307897.74</v>
      </c>
      <c r="DM240" s="769">
        <f>DM182+DM188</f>
        <v>317728.81449999992</v>
      </c>
      <c r="DN240" s="638"/>
      <c r="DO240" s="638"/>
      <c r="DP240" s="769">
        <f>DP182+DP188</f>
        <v>327901.58378549991</v>
      </c>
      <c r="DQ240" s="769">
        <f>DQ182+DQ188</f>
        <v>338428.9027137924</v>
      </c>
      <c r="DR240" s="638"/>
      <c r="DS240" s="638"/>
      <c r="DT240" s="638"/>
      <c r="DU240" s="638"/>
      <c r="DV240" s="638"/>
      <c r="DW240" s="638"/>
      <c r="DX240" s="638"/>
      <c r="DY240" s="638"/>
      <c r="DZ240" s="638"/>
      <c r="EA240" s="638"/>
      <c r="EB240" s="638"/>
      <c r="EC240" s="638"/>
      <c r="ED240" s="638"/>
      <c r="EE240" s="638"/>
      <c r="EF240" s="638"/>
      <c r="EG240" s="638"/>
      <c r="EH240" s="638"/>
      <c r="EI240" s="638"/>
      <c r="EJ240" s="638"/>
      <c r="EK240" s="638"/>
      <c r="EL240" s="638"/>
      <c r="EM240" s="638"/>
      <c r="EN240" s="638"/>
      <c r="EO240" s="638"/>
      <c r="EP240" s="638"/>
      <c r="JM240"/>
    </row>
    <row r="241" spans="1:273">
      <c r="A241" s="903" t="s">
        <v>1050</v>
      </c>
      <c r="BX241" s="904">
        <f>SUM(BX235:BX238)</f>
        <v>352900</v>
      </c>
      <c r="BY241" s="904">
        <f>SUM(BY235:BY238)</f>
        <v>322000</v>
      </c>
      <c r="CB241" s="904">
        <f>SUM(CB235:CB238)</f>
        <v>326900</v>
      </c>
      <c r="CC241" s="904">
        <f>SUM(CC235:CC238)</f>
        <v>335100</v>
      </c>
      <c r="CF241" s="904">
        <f>SUM(CF235:CF238)</f>
        <v>365900</v>
      </c>
      <c r="CG241" s="904">
        <f>SUM(CG235:CG238)</f>
        <v>362300</v>
      </c>
      <c r="CJ241" s="904">
        <f>SUM(CJ235:CJ238)</f>
        <v>362500</v>
      </c>
      <c r="CK241" s="904">
        <f>SUM(CK235:CK238)</f>
        <v>375800</v>
      </c>
      <c r="CN241" s="904">
        <f>SUM(CN235:CN238)</f>
        <v>352300</v>
      </c>
      <c r="CO241" s="904">
        <f>SUM(CO235:CO238)</f>
        <v>368400</v>
      </c>
      <c r="CR241" s="904">
        <f>SUM(CR235:CR238)</f>
        <v>516100</v>
      </c>
      <c r="CS241" s="904">
        <f>SUM(CS235:CS238)</f>
        <v>535100</v>
      </c>
      <c r="CV241" s="904">
        <f>SUM(CV235:CV238)</f>
        <v>520700</v>
      </c>
      <c r="CW241" s="904">
        <f>SUM(CW235:CW238)</f>
        <v>534500</v>
      </c>
      <c r="CZ241" s="904">
        <f>SUM(CZ235:CZ238)</f>
        <v>546900</v>
      </c>
      <c r="DA241" s="904">
        <f>SUM(DA235:DA238)</f>
        <v>567400</v>
      </c>
      <c r="DD241" s="904">
        <f>SUM(DD235:DD238)</f>
        <v>543200</v>
      </c>
      <c r="DE241" s="904">
        <f>SUM(DE235:DE238)</f>
        <v>552000</v>
      </c>
      <c r="DH241" s="904">
        <f>SUM(DH235:DH238)</f>
        <v>542500</v>
      </c>
      <c r="DI241" s="904">
        <f>SUM(DI235:DI238)</f>
        <v>298396</v>
      </c>
      <c r="DL241" s="904">
        <f>SUM(DL235:DL238)</f>
        <v>307897.74</v>
      </c>
      <c r="DM241" s="904">
        <f>SUM(DM235:DM238)</f>
        <v>317728.81449999992</v>
      </c>
      <c r="DP241" s="904">
        <f>SUM(DP235:DP238)</f>
        <v>327901.58378549991</v>
      </c>
      <c r="DQ241" s="904">
        <f>SUM(DQ235:DQ238)</f>
        <v>338428.9027137924</v>
      </c>
    </row>
    <row r="242" spans="1:273" s="289" customFormat="1">
      <c r="A242" s="323" t="str">
        <f>A235</f>
        <v>Fixed Income - Public Markets</v>
      </c>
      <c r="B242" s="290"/>
      <c r="AN242" s="290"/>
      <c r="AO242" s="290"/>
      <c r="AP242" s="290"/>
      <c r="AQ242" s="290"/>
      <c r="AR242" s="290"/>
      <c r="AS242" s="290"/>
      <c r="AT242" s="290"/>
      <c r="AU242" s="290"/>
      <c r="AV242" s="290"/>
      <c r="AW242" s="290"/>
      <c r="AX242" s="290"/>
      <c r="AY242" s="290"/>
      <c r="AZ242" s="290"/>
      <c r="BA242" s="290"/>
      <c r="BB242" s="290"/>
      <c r="BC242" s="290"/>
      <c r="BD242" s="290"/>
      <c r="BE242" s="290"/>
      <c r="BF242" s="290"/>
      <c r="BG242" s="290"/>
      <c r="BH242" s="684">
        <f>+BH235/BE235-1</f>
        <v>4.5933734939759052E-2</v>
      </c>
      <c r="BI242" s="684">
        <f>BI235/BH235-1</f>
        <v>-1.4398848092153083E-3</v>
      </c>
      <c r="BJ242" s="290"/>
      <c r="BK242" s="290"/>
      <c r="BL242" s="684">
        <f>+BL235/BI235-1</f>
        <v>5.9841384282624421E-2</v>
      </c>
      <c r="BM242" s="684">
        <f>BM235/BL235-1</f>
        <v>0.18503401360544225</v>
      </c>
      <c r="BN242" s="290"/>
      <c r="BO242" s="290"/>
      <c r="BP242" s="684">
        <f>+BP235/BM235-1</f>
        <v>5.4535017221584381E-2</v>
      </c>
      <c r="BQ242" s="684">
        <f>BQ235/BP235-1</f>
        <v>0.22318998366902565</v>
      </c>
      <c r="BR242" s="290"/>
      <c r="BS242" s="290"/>
      <c r="BT242" s="684">
        <f>+BT235/BQ235-1</f>
        <v>3.1152647975077885E-2</v>
      </c>
      <c r="BU242" s="684">
        <f>BU235/BT235-1</f>
        <v>-4.1001294777729846E-2</v>
      </c>
      <c r="BV242" s="290"/>
      <c r="BW242" s="290"/>
      <c r="BX242" s="684">
        <f>+BX235/BU235-1</f>
        <v>2.9702970297029729E-2</v>
      </c>
      <c r="BY242" s="684">
        <f>BY235/BX235-1</f>
        <v>-0.16389860139860135</v>
      </c>
      <c r="BZ242" s="290"/>
      <c r="CA242" s="290"/>
      <c r="CB242" s="684">
        <f>+CB235/BY235-1</f>
        <v>1.6204913748039784E-2</v>
      </c>
      <c r="CC242" s="684">
        <f>CC235/CB235-1</f>
        <v>1.6975308641975273E-2</v>
      </c>
      <c r="CD242" s="290"/>
      <c r="CE242" s="581"/>
      <c r="CF242" s="684">
        <f>+CF235/CC235-1</f>
        <v>5.2099140111279807E-2</v>
      </c>
      <c r="CG242" s="684">
        <f>CG235/CF235-1</f>
        <v>5.7692307692307487E-3</v>
      </c>
      <c r="CH242" s="290"/>
      <c r="CI242" s="581"/>
      <c r="CJ242" s="684">
        <f>+CJ235/CG235-1</f>
        <v>-4.3499043977055396E-2</v>
      </c>
      <c r="CK242" s="684">
        <f>CK235/CJ235-1</f>
        <v>0.17791104447776118</v>
      </c>
      <c r="CL242" s="290"/>
      <c r="CM242" s="581"/>
      <c r="CN242" s="684">
        <f>+CN235/CK235-1</f>
        <v>-0.14722104369961819</v>
      </c>
      <c r="CO242" s="684">
        <f>CO235/CN235-1</f>
        <v>-1.7412935323383061E-2</v>
      </c>
      <c r="CP242" s="290"/>
      <c r="CQ242" s="581"/>
      <c r="CR242" s="684">
        <f>+CR235/CO235-1</f>
        <v>0.24860759493670881</v>
      </c>
      <c r="CS242" s="684">
        <f>CS235/CR235-1</f>
        <v>6.9343065693430628E-2</v>
      </c>
      <c r="CT242" s="290"/>
      <c r="CU242" s="290"/>
      <c r="CV242" s="684">
        <f>+CV235/CS235-1</f>
        <v>6.2950322335987963E-2</v>
      </c>
      <c r="CW242" s="684">
        <f>CW235/CV235-1</f>
        <v>3.9243667499108126E-2</v>
      </c>
      <c r="CX242" s="290"/>
      <c r="CY242" s="290"/>
      <c r="CZ242" s="684">
        <f>+CZ235/CW235-1</f>
        <v>6.2135255750085827E-2</v>
      </c>
      <c r="DA242" s="684">
        <f>DA235/CZ235-1</f>
        <v>-6.1409179056237662E-3</v>
      </c>
      <c r="DB242" s="290"/>
      <c r="DC242" s="290"/>
      <c r="DD242" s="684">
        <f>+DD235/DA235-1</f>
        <v>-2.9268292682926855E-2</v>
      </c>
      <c r="DE242" s="684">
        <f>DE235/DD235-1</f>
        <v>2.345058626465657E-2</v>
      </c>
      <c r="DF242" s="290"/>
      <c r="DG242" s="103"/>
      <c r="DH242" s="684">
        <f>+DH235/DE235-1</f>
        <v>-4.026186579378066E-2</v>
      </c>
      <c r="DI242" s="1973">
        <v>1.4999999999999999E-2</v>
      </c>
      <c r="DJ242" s="290"/>
      <c r="DK242" s="290"/>
      <c r="DL242" s="1973">
        <v>2.5000000000000001E-2</v>
      </c>
      <c r="DM242" s="1973">
        <v>2.5000000000000001E-2</v>
      </c>
      <c r="DN242" s="290"/>
      <c r="DO242" s="290"/>
      <c r="DP242" s="1973">
        <v>2.5000000000000001E-2</v>
      </c>
      <c r="DQ242" s="1973">
        <v>2.5000000000000001E-2</v>
      </c>
      <c r="DR242" s="290"/>
      <c r="DS242" s="290"/>
      <c r="DT242" s="290"/>
      <c r="DU242" s="290"/>
      <c r="DV242" s="290"/>
      <c r="DW242" s="290"/>
      <c r="DX242" s="290"/>
      <c r="DY242" s="290"/>
      <c r="DZ242" s="290"/>
      <c r="EA242" s="290"/>
      <c r="EB242" s="290"/>
      <c r="EC242" s="290"/>
      <c r="ED242" s="290"/>
      <c r="EE242" s="290"/>
      <c r="EF242" s="290"/>
      <c r="EG242" s="290"/>
      <c r="EH242" s="290"/>
      <c r="EI242" s="290"/>
      <c r="EJ242" s="290"/>
      <c r="EK242" s="290"/>
      <c r="EL242" s="290"/>
      <c r="EM242" s="290"/>
      <c r="EN242" s="290"/>
      <c r="EO242" s="290"/>
      <c r="EP242" s="290"/>
      <c r="JM242"/>
    </row>
    <row r="243" spans="1:273" s="289" customFormat="1">
      <c r="A243" s="323" t="str">
        <f>A236</f>
        <v>Equities - Public Markets</v>
      </c>
      <c r="B243" s="290"/>
      <c r="AN243" s="290"/>
      <c r="AO243" s="290"/>
      <c r="AP243" s="290"/>
      <c r="AQ243" s="290"/>
      <c r="AR243" s="290"/>
      <c r="AS243" s="290"/>
      <c r="AT243" s="290"/>
      <c r="AU243" s="290"/>
      <c r="AV243" s="290"/>
      <c r="AW243" s="290"/>
      <c r="AX243" s="290"/>
      <c r="AY243" s="290"/>
      <c r="AZ243" s="290"/>
      <c r="BA243" s="290"/>
      <c r="BB243" s="290"/>
      <c r="BC243" s="290"/>
      <c r="BD243" s="290"/>
      <c r="BE243" s="290"/>
      <c r="BF243" s="290"/>
      <c r="BG243" s="290"/>
      <c r="BH243" s="684">
        <f>+BH236/BE236-1</f>
        <v>2.1772939346811793E-2</v>
      </c>
      <c r="BI243" s="684">
        <f>BI236/BH236-1</f>
        <v>0.14459665144596645</v>
      </c>
      <c r="BJ243" s="290"/>
      <c r="BK243" s="290"/>
      <c r="BL243" s="684">
        <f>+BL236/BI236-1</f>
        <v>0.18882978723404253</v>
      </c>
      <c r="BM243" s="684">
        <f>BM236/BL236-1</f>
        <v>0.10850111856823275</v>
      </c>
      <c r="BN243" s="290"/>
      <c r="BO243" s="290"/>
      <c r="BP243" s="684">
        <f>+BP236/BM236-1</f>
        <v>-8.2744702320888042E-2</v>
      </c>
      <c r="BQ243" s="684">
        <f>BQ236/BP236-1</f>
        <v>0.1298129812981299</v>
      </c>
      <c r="BR243" s="290"/>
      <c r="BS243" s="290"/>
      <c r="BT243" s="684">
        <f>+BT236/BQ236-1</f>
        <v>-1.8500486854917231E-2</v>
      </c>
      <c r="BU243" s="684">
        <f>BU236/BT236-1</f>
        <v>-3.1746031746031744E-2</v>
      </c>
      <c r="BV243" s="290"/>
      <c r="BW243" s="290"/>
      <c r="BX243" s="684">
        <f>+BX236/BU236-1</f>
        <v>7.5819672131147486E-2</v>
      </c>
      <c r="BY243" s="684">
        <f>BY236/BX236-1</f>
        <v>9.7142857142857197E-2</v>
      </c>
      <c r="BZ243" s="290"/>
      <c r="CA243" s="290"/>
      <c r="CB243" s="684">
        <f>+CB236/BY236-1</f>
        <v>2.951388888888884E-2</v>
      </c>
      <c r="CC243" s="684">
        <f>CC236/CB236-1</f>
        <v>4.1315345699831418E-2</v>
      </c>
      <c r="CD243" s="290"/>
      <c r="CE243" s="581"/>
      <c r="CF243" s="684">
        <f>+CF236/CC236-1</f>
        <v>0.16194331983805665</v>
      </c>
      <c r="CG243" s="684">
        <f>CG236/CF236-1</f>
        <v>-1.3937282229965153E-2</v>
      </c>
      <c r="CH243" s="290"/>
      <c r="CI243" s="581"/>
      <c r="CJ243" s="684">
        <f>+CJ236/CG236-1</f>
        <v>6.360424028268552E-2</v>
      </c>
      <c r="CK243" s="684">
        <f>CK236/CJ236-1</f>
        <v>-8.9700996677740896E-2</v>
      </c>
      <c r="CL243" s="290"/>
      <c r="CM243" s="581"/>
      <c r="CN243" s="684">
        <f>+CN236/CK236-1</f>
        <v>2.1897810218978186E-2</v>
      </c>
      <c r="CO243" s="684">
        <f>CO236/CN236-1</f>
        <v>0.14214285714285713</v>
      </c>
      <c r="CP243" s="290"/>
      <c r="CQ243" s="581"/>
      <c r="CR243" s="684">
        <f>+CR236/CO236-1</f>
        <v>0.52532833020637892</v>
      </c>
      <c r="CS243" s="684">
        <f>CS236/CR236-1</f>
        <v>5.740057400573928E-3</v>
      </c>
      <c r="CT243" s="290"/>
      <c r="CU243" s="290"/>
      <c r="CV243" s="684">
        <f>+CV236/CS236-1</f>
        <v>-0.12066856909906232</v>
      </c>
      <c r="CW243" s="684">
        <f>CW236/CV236-1</f>
        <v>1.7617060732498802E-2</v>
      </c>
      <c r="CX243" s="290"/>
      <c r="CY243" s="290"/>
      <c r="CZ243" s="684">
        <f>+CZ236/CW236-1</f>
        <v>-2.6879271070615052E-2</v>
      </c>
      <c r="DA243" s="684">
        <f>DA236/CZ236-1</f>
        <v>9.550561797752799E-2</v>
      </c>
      <c r="DB243" s="290"/>
      <c r="DC243" s="290"/>
      <c r="DD243" s="684">
        <f>+DD236/DA236-1</f>
        <v>-5.7692307692307709E-2</v>
      </c>
      <c r="DE243" s="684">
        <f>DE236/DD236-1</f>
        <v>-3.1746031746031633E-3</v>
      </c>
      <c r="DF243" s="290"/>
      <c r="DG243" s="103"/>
      <c r="DH243" s="684">
        <f>+DH236/DE236-1</f>
        <v>1.7743403093721577E-2</v>
      </c>
      <c r="DI243" s="1973">
        <v>0.02</v>
      </c>
      <c r="DJ243" s="290"/>
      <c r="DK243" s="290"/>
      <c r="DL243" s="1973">
        <v>4.4999999999999998E-2</v>
      </c>
      <c r="DM243" s="1973">
        <v>4.4999999999999998E-2</v>
      </c>
      <c r="DN243" s="290"/>
      <c r="DO243" s="290"/>
      <c r="DP243" s="1973">
        <v>4.4999999999999998E-2</v>
      </c>
      <c r="DQ243" s="1973">
        <v>4.4999999999999998E-2</v>
      </c>
      <c r="DR243" s="290"/>
      <c r="DS243" s="290"/>
      <c r="DT243" s="290"/>
      <c r="DU243" s="290"/>
      <c r="DV243" s="290"/>
      <c r="DW243" s="290"/>
      <c r="DX243" s="290"/>
      <c r="DY243" s="290"/>
      <c r="DZ243" s="290"/>
      <c r="EA243" s="290"/>
      <c r="EB243" s="290"/>
      <c r="EC243" s="290"/>
      <c r="ED243" s="290"/>
      <c r="EE243" s="290"/>
      <c r="EF243" s="290"/>
      <c r="EG243" s="290"/>
      <c r="EH243" s="290"/>
      <c r="EI243" s="290"/>
      <c r="EJ243" s="290"/>
      <c r="EK243" s="290"/>
      <c r="EL243" s="290"/>
      <c r="EM243" s="290"/>
      <c r="EN243" s="290"/>
      <c r="EO243" s="290"/>
      <c r="EP243" s="290"/>
      <c r="JM243"/>
    </row>
    <row r="244" spans="1:273" s="289" customFormat="1">
      <c r="A244" s="323" t="str">
        <f>A237</f>
        <v>Alternatives and Multi-Asset- Public Markets</v>
      </c>
      <c r="B244" s="290"/>
      <c r="AN244" s="290"/>
      <c r="AO244" s="290"/>
      <c r="AP244" s="290"/>
      <c r="AQ244" s="290"/>
      <c r="AR244" s="290"/>
      <c r="AS244" s="290"/>
      <c r="AT244" s="290"/>
      <c r="AU244" s="290"/>
      <c r="AV244" s="290"/>
      <c r="AW244" s="290"/>
      <c r="AX244" s="290"/>
      <c r="AY244" s="290"/>
      <c r="AZ244" s="290"/>
      <c r="BA244" s="290"/>
      <c r="BB244" s="290"/>
      <c r="BC244" s="290"/>
      <c r="BD244" s="290"/>
      <c r="BE244" s="290"/>
      <c r="BF244" s="290"/>
      <c r="BG244" s="290"/>
      <c r="BH244" s="684">
        <f>+BH237/BE237-1</f>
        <v>4.1420118343195256E-2</v>
      </c>
      <c r="BI244" s="684">
        <f>BI237/BH237-1</f>
        <v>-5.6818181818182323E-3</v>
      </c>
      <c r="BJ244" s="290"/>
      <c r="BK244" s="290"/>
      <c r="BL244" s="684">
        <f>+BL237/BI237-1</f>
        <v>-4.5714285714285707E-2</v>
      </c>
      <c r="BM244" s="684">
        <f>BM237/BL237-1</f>
        <v>0</v>
      </c>
      <c r="BN244" s="290"/>
      <c r="BO244" s="290"/>
      <c r="BP244" s="684">
        <f>+BP237/BM237-1</f>
        <v>3.5928143712574911E-2</v>
      </c>
      <c r="BQ244" s="684">
        <f>BQ237/BP237-1</f>
        <v>0.19075144508670516</v>
      </c>
      <c r="BR244" s="290"/>
      <c r="BS244" s="290"/>
      <c r="BT244" s="684">
        <f>+BT237/BQ237-1</f>
        <v>-9.2233009708737823E-2</v>
      </c>
      <c r="BU244" s="684">
        <f>BU237/BT237-1</f>
        <v>-7.4866310160427774E-2</v>
      </c>
      <c r="BV244" s="290"/>
      <c r="BW244" s="290"/>
      <c r="BX244" s="684">
        <f>+BX237/BU237-1</f>
        <v>0</v>
      </c>
      <c r="BY244" s="684">
        <f>BY237/BX237-1</f>
        <v>-0.20231213872832365</v>
      </c>
      <c r="BZ244" s="290"/>
      <c r="CA244" s="290"/>
      <c r="CB244" s="684">
        <f>+CB237/BY237-1</f>
        <v>-0.11594202898550721</v>
      </c>
      <c r="CC244" s="684">
        <f>CC237/CB237-1</f>
        <v>8.1967213114753079E-3</v>
      </c>
      <c r="CD244" s="290"/>
      <c r="CE244" s="581"/>
      <c r="CF244" s="684">
        <f>+CF237/CC237-1</f>
        <v>-1.6260162601625994E-2</v>
      </c>
      <c r="CG244" s="684">
        <f>CG237/CF237-1</f>
        <v>-0.14876033057851235</v>
      </c>
      <c r="CH244" s="290"/>
      <c r="CI244" s="581"/>
      <c r="CJ244" s="684">
        <f>+CJ237/CG237-1</f>
        <v>1.9417475728155331E-2</v>
      </c>
      <c r="CK244" s="684">
        <f>CK237/CJ237-1</f>
        <v>-5.7142857142857162E-2</v>
      </c>
      <c r="CL244" s="290"/>
      <c r="CM244" s="581"/>
      <c r="CN244" s="684">
        <f>+CN237/CK237-1</f>
        <v>0</v>
      </c>
      <c r="CO244" s="684">
        <f>CO237/CN237-1</f>
        <v>-2.0202020202020221E-2</v>
      </c>
      <c r="CP244" s="290"/>
      <c r="CQ244" s="581"/>
      <c r="CR244" s="684">
        <f>+CR237/CO237-1</f>
        <v>1.4845360824742269</v>
      </c>
      <c r="CS244" s="684">
        <f>CS237/CR237-1</f>
        <v>8.2987551867219844E-2</v>
      </c>
      <c r="CT244" s="290"/>
      <c r="CU244" s="290"/>
      <c r="CV244" s="684">
        <f>+CV237/CS237-1</f>
        <v>-5.3639846743295028E-2</v>
      </c>
      <c r="CW244" s="684">
        <f>CW237/CV237-1</f>
        <v>-4.0485829959514219E-2</v>
      </c>
      <c r="CX244" s="290"/>
      <c r="CY244" s="290"/>
      <c r="CZ244" s="684">
        <f>+CZ237/CW237-1</f>
        <v>8.4388185654007408E-3</v>
      </c>
      <c r="DA244" s="684">
        <f>DA237/CZ237-1</f>
        <v>8.3682008368200833E-2</v>
      </c>
      <c r="DB244" s="290"/>
      <c r="DC244" s="290"/>
      <c r="DD244" s="684">
        <f>+DD237/DA237-1</f>
        <v>-6.5637065637065617E-2</v>
      </c>
      <c r="DE244" s="684">
        <f>DE237/DD237-1</f>
        <v>0.10330578512396693</v>
      </c>
      <c r="DF244" s="290"/>
      <c r="DG244" s="103"/>
      <c r="DH244" s="684">
        <f>+DH237/DE237-1</f>
        <v>-4.1198501872659166E-2</v>
      </c>
      <c r="DI244" s="1536">
        <v>0.04</v>
      </c>
      <c r="DJ244" s="290"/>
      <c r="DK244" s="290"/>
      <c r="DL244" s="1536">
        <v>0.04</v>
      </c>
      <c r="DM244" s="1536">
        <v>0.04</v>
      </c>
      <c r="DN244" s="290"/>
      <c r="DO244" s="290"/>
      <c r="DP244" s="1536">
        <v>0.04</v>
      </c>
      <c r="DQ244" s="1536">
        <v>0.04</v>
      </c>
      <c r="DR244" s="290"/>
      <c r="DS244" s="290"/>
      <c r="DT244" s="290"/>
      <c r="DU244" s="290"/>
      <c r="DV244" s="290"/>
      <c r="DW244" s="290"/>
      <c r="DX244" s="290"/>
      <c r="DY244" s="290"/>
      <c r="DZ244" s="290"/>
      <c r="EA244" s="290"/>
      <c r="EB244" s="290"/>
      <c r="EC244" s="290"/>
      <c r="ED244" s="290"/>
      <c r="EE244" s="290"/>
      <c r="EF244" s="290"/>
      <c r="EG244" s="290"/>
      <c r="EH244" s="290"/>
      <c r="EI244" s="290"/>
      <c r="EJ244" s="290"/>
      <c r="EK244" s="290"/>
      <c r="EL244" s="290"/>
      <c r="EM244" s="290"/>
      <c r="EN244" s="290"/>
      <c r="EO244" s="290"/>
      <c r="EP244" s="290"/>
      <c r="JM244"/>
    </row>
    <row r="245" spans="1:273" s="289" customFormat="1">
      <c r="A245" s="323" t="str">
        <f>A238</f>
        <v>Other - MIRA</v>
      </c>
      <c r="B245" s="290"/>
      <c r="AN245" s="290"/>
      <c r="AO245" s="290"/>
      <c r="AP245" s="290"/>
      <c r="AQ245" s="290"/>
      <c r="AR245" s="290"/>
      <c r="AS245" s="290"/>
      <c r="AT245" s="290"/>
      <c r="AU245" s="290"/>
      <c r="AV245" s="290"/>
      <c r="AW245" s="290"/>
      <c r="AX245" s="290"/>
      <c r="AY245" s="290"/>
      <c r="AZ245" s="290"/>
      <c r="BA245" s="290"/>
      <c r="BB245" s="290"/>
      <c r="BC245" s="290"/>
      <c r="BD245" s="290"/>
      <c r="BE245" s="290"/>
      <c r="BF245" s="290"/>
      <c r="BG245" s="290"/>
      <c r="BH245" s="684">
        <f>+BH238/BE238-1</f>
        <v>2.4451531844979169E-2</v>
      </c>
      <c r="BI245" s="684">
        <f>BI238/BH238-1</f>
        <v>0.1132075471698113</v>
      </c>
      <c r="BJ245" s="290"/>
      <c r="BK245" s="290"/>
      <c r="BL245" s="684">
        <f>+BL238/BI238-1</f>
        <v>0.33050847457627119</v>
      </c>
      <c r="BM245" s="684">
        <f>BM238/BL238-1</f>
        <v>0.43949044585987251</v>
      </c>
      <c r="BN245" s="290"/>
      <c r="BO245" s="290"/>
      <c r="BP245" s="684">
        <f>+BP238/BM238-1</f>
        <v>-0.22566371681415931</v>
      </c>
      <c r="BQ245" s="684">
        <f>BQ238/BP238-1</f>
        <v>-0.86857142857142855</v>
      </c>
      <c r="BR245" s="290"/>
      <c r="BS245" s="290"/>
      <c r="BT245" s="684">
        <f>+BT238/BQ238-1</f>
        <v>-0.13043478260869568</v>
      </c>
      <c r="BU245" s="684">
        <f>BU238/BT238-1</f>
        <v>-0.15000000000000002</v>
      </c>
      <c r="BV245" s="290"/>
      <c r="BW245" s="290"/>
      <c r="BX245" s="684">
        <f>+BX238/BU238-1</f>
        <v>5.8823529411764719E-2</v>
      </c>
      <c r="BY245" s="684">
        <f>BY238/BX238-1</f>
        <v>-5.555555555555558E-2</v>
      </c>
      <c r="BZ245" s="290"/>
      <c r="CA245" s="290"/>
      <c r="CB245" s="684">
        <f>+CB238/BY238-1</f>
        <v>0</v>
      </c>
      <c r="CC245" s="684">
        <f>CC238/CB238-1</f>
        <v>-5.8823529411764719E-2</v>
      </c>
      <c r="CD245" s="290"/>
      <c r="CE245" s="581"/>
      <c r="CF245" s="684">
        <f>+CF238/CC238-1</f>
        <v>0.4375</v>
      </c>
      <c r="CG245" s="684">
        <f>CG238/CF238-1</f>
        <v>-0.43478260869565222</v>
      </c>
      <c r="CH245" s="290"/>
      <c r="CI245" s="581"/>
      <c r="CJ245" s="684">
        <f>+CJ238/CG238-1</f>
        <v>7.6923076923076872E-2</v>
      </c>
      <c r="CK245" s="684">
        <f>CK238/CJ238-1</f>
        <v>-5.8571428571428568</v>
      </c>
      <c r="CL245" s="290"/>
      <c r="CM245" s="581"/>
      <c r="CN245" s="684">
        <f>+CN238/CK238-1</f>
        <v>-1.2058823529411764</v>
      </c>
      <c r="CO245" s="684">
        <f>CO238/CN238-1</f>
        <v>-7.1428571428571397E-2</v>
      </c>
      <c r="CP245" s="290"/>
      <c r="CQ245" s="581"/>
      <c r="CR245" s="684">
        <f>+CR238/CO238-1</f>
        <v>0.15384615384615374</v>
      </c>
      <c r="CS245" s="684">
        <f>CS238/CR238-1</f>
        <v>-1</v>
      </c>
      <c r="CT245" s="290"/>
      <c r="CU245" s="290"/>
      <c r="CV245" s="684"/>
      <c r="CW245" s="684"/>
      <c r="CX245" s="290"/>
      <c r="CY245" s="290"/>
      <c r="CZ245" s="684"/>
      <c r="DA245" s="684"/>
      <c r="DB245" s="290"/>
      <c r="DC245" s="290"/>
      <c r="DD245" s="684"/>
      <c r="DE245" s="684"/>
      <c r="DF245" s="290"/>
      <c r="DG245" s="103"/>
      <c r="DH245" s="684"/>
      <c r="DI245" s="1536">
        <v>0.05</v>
      </c>
      <c r="DJ245" s="290"/>
      <c r="DK245" s="290"/>
      <c r="DL245" s="1536">
        <v>0.05</v>
      </c>
      <c r="DM245" s="1536">
        <v>0.05</v>
      </c>
      <c r="DN245" s="290"/>
      <c r="DO245" s="290"/>
      <c r="DP245" s="1536">
        <v>0.05</v>
      </c>
      <c r="DQ245" s="1536">
        <v>0.05</v>
      </c>
      <c r="DR245" s="290"/>
      <c r="DS245" s="290"/>
      <c r="DT245" s="290"/>
      <c r="DU245" s="290"/>
      <c r="DV245" s="290"/>
      <c r="DW245" s="290"/>
      <c r="DX245" s="290"/>
      <c r="DY245" s="290"/>
      <c r="DZ245" s="290"/>
      <c r="EA245" s="290"/>
      <c r="EB245" s="290"/>
      <c r="EC245" s="290"/>
      <c r="ED245" s="290"/>
      <c r="EE245" s="290"/>
      <c r="EF245" s="290"/>
      <c r="EG245" s="290"/>
      <c r="EH245" s="290"/>
      <c r="EI245" s="290"/>
      <c r="EJ245" s="290"/>
      <c r="EK245" s="290"/>
      <c r="EL245" s="290"/>
      <c r="EM245" s="290"/>
      <c r="EN245" s="290"/>
      <c r="EO245" s="290"/>
      <c r="EP245" s="290"/>
      <c r="JM245"/>
    </row>
    <row r="246" spans="1:273" s="289" customFormat="1">
      <c r="A246" s="328" t="s">
        <v>1148</v>
      </c>
      <c r="B246" s="290"/>
      <c r="AN246" s="290"/>
      <c r="AO246" s="290"/>
      <c r="AP246" s="290"/>
      <c r="AQ246" s="290"/>
      <c r="AR246" s="290"/>
      <c r="AS246" s="290"/>
      <c r="AT246" s="290"/>
      <c r="AU246" s="290"/>
      <c r="AV246" s="290"/>
      <c r="AW246" s="290"/>
      <c r="AX246" s="290"/>
      <c r="AY246" s="290"/>
      <c r="AZ246" s="290"/>
      <c r="BA246" s="290"/>
      <c r="BB246" s="290"/>
      <c r="BC246" s="290"/>
      <c r="BD246" s="290"/>
      <c r="BE246" s="290"/>
      <c r="BF246" s="290"/>
      <c r="BG246" s="290"/>
      <c r="BH246" s="905">
        <f>+BH239/BE239-1</f>
        <v>3.7678239512897393E-2</v>
      </c>
      <c r="BI246" s="905">
        <f>BI239/BH239-1</f>
        <v>4.4673539518900407E-2</v>
      </c>
      <c r="BJ246" s="290"/>
      <c r="BK246" s="290"/>
      <c r="BL246" s="905">
        <f>+BL239/BI239-1</f>
        <v>0.10526315789473695</v>
      </c>
      <c r="BM246" s="905">
        <f>BM239/BL239-1</f>
        <v>0.1629464285714286</v>
      </c>
      <c r="BN246" s="290"/>
      <c r="BO246" s="290"/>
      <c r="BP246" s="905">
        <f>+BP239/BM239-1</f>
        <v>-1.0236724248240514E-2</v>
      </c>
      <c r="BQ246" s="905">
        <f>BQ239/BP239-1</f>
        <v>0.13219133807369099</v>
      </c>
      <c r="BR246" s="290"/>
      <c r="BS246" s="290"/>
      <c r="BT246" s="905">
        <f>+BT239/BQ239-1</f>
        <v>8.2786183271481573E-3</v>
      </c>
      <c r="BU246" s="905">
        <f>BU239/BT239-1</f>
        <v>-4.0770101925254765E-2</v>
      </c>
      <c r="BV246" s="290"/>
      <c r="BW246" s="290"/>
      <c r="BX246" s="905">
        <f>+BX239/BU239-1</f>
        <v>4.1617473435655361E-2</v>
      </c>
      <c r="BY246" s="905">
        <f>BY239/BX239-1</f>
        <v>-8.7560215358458482E-2</v>
      </c>
      <c r="BZ246" s="290"/>
      <c r="CA246" s="290"/>
      <c r="CB246" s="905">
        <f>+CB239/BY239-1</f>
        <v>1.5217391304347849E-2</v>
      </c>
      <c r="CC246" s="905">
        <f>CC239/CB239-1</f>
        <v>2.5084123585194185E-2</v>
      </c>
      <c r="CD246" s="290"/>
      <c r="CE246" s="581"/>
      <c r="CF246" s="905">
        <f>+CF239/CC239-1</f>
        <v>9.1912861832288861E-2</v>
      </c>
      <c r="CG246" s="905">
        <f>CG239/CF239-1</f>
        <v>-9.8387537578573658E-3</v>
      </c>
      <c r="CH246" s="290"/>
      <c r="CI246" s="581"/>
      <c r="CJ246" s="905">
        <f>+CJ239/CG239-1</f>
        <v>5.5202870549275751E-4</v>
      </c>
      <c r="CK246" s="905">
        <f>CK239/CJ239-1</f>
        <v>3.6689655172413849E-2</v>
      </c>
      <c r="CL246" s="290"/>
      <c r="CM246" s="581"/>
      <c r="CN246" s="905">
        <f>+CN239/CK239-1</f>
        <v>-6.2533262373603016E-2</v>
      </c>
      <c r="CO246" s="905">
        <f>CO239/CN239-1</f>
        <v>4.5699687766108443E-2</v>
      </c>
      <c r="CP246" s="290"/>
      <c r="CQ246" s="581"/>
      <c r="CR246" s="905">
        <f>+CR239/CO239-1</f>
        <v>0.40092290988056467</v>
      </c>
      <c r="CS246" s="905">
        <f>CS239/CR239-1</f>
        <v>3.6814570819608594E-2</v>
      </c>
      <c r="CT246" s="290"/>
      <c r="CU246" s="290"/>
      <c r="CV246" s="905">
        <f>+CV239/CS239-1</f>
        <v>-2.6910857783591813E-2</v>
      </c>
      <c r="CW246" s="905">
        <f>CW239/CV239-1</f>
        <v>2.6502784712886474E-2</v>
      </c>
      <c r="CX246" s="290"/>
      <c r="CY246" s="290"/>
      <c r="CZ246" s="905">
        <f>+CZ239/CW239-1</f>
        <v>2.319925163704406E-2</v>
      </c>
      <c r="DA246" s="905">
        <f>DA239/CZ239-1</f>
        <v>3.7484000731395239E-2</v>
      </c>
      <c r="DB246" s="290"/>
      <c r="DC246" s="290"/>
      <c r="DD246" s="905">
        <f>+DD239/DA239-1</f>
        <v>-4.2650687345787808E-2</v>
      </c>
      <c r="DE246" s="905">
        <f>DE239/DD239-1</f>
        <v>1.6200294550809957E-2</v>
      </c>
      <c r="DF246" s="290"/>
      <c r="DG246" s="103"/>
      <c r="DH246" s="905">
        <f>+DH239/DE239-1</f>
        <v>-1.7210144927536253E-2</v>
      </c>
      <c r="DI246" s="905">
        <f>DI239/DH239-1</f>
        <v>-0.4499612903225807</v>
      </c>
      <c r="DJ246" s="906">
        <f>AVERAGE(DH246:DI246)*2</f>
        <v>-0.46717143525011695</v>
      </c>
      <c r="DK246" s="290"/>
      <c r="DL246" s="905">
        <f>DL239/DI239-1</f>
        <v>3.1842719071301095E-2</v>
      </c>
      <c r="DM246" s="905">
        <f>DM239/DL239-1</f>
        <v>3.1929674118426288E-2</v>
      </c>
      <c r="DN246" s="906">
        <f>AVERAGE(DL246:DM246)*2</f>
        <v>6.3772393189727383E-2</v>
      </c>
      <c r="DO246" s="290"/>
      <c r="DP246" s="905">
        <f>DP239/DM239-1</f>
        <v>3.2017144247708851E-2</v>
      </c>
      <c r="DQ246" s="905">
        <f>DQ239/DP239-1</f>
        <v>3.2105117659873894E-2</v>
      </c>
      <c r="DR246" s="906">
        <f>AVERAGE(DP246:DQ246)*2</f>
        <v>6.4122261907582745E-2</v>
      </c>
      <c r="DS246" s="290"/>
      <c r="DT246" s="290"/>
      <c r="DU246" s="290"/>
      <c r="DV246" s="290"/>
      <c r="DW246" s="290"/>
      <c r="DX246" s="290"/>
      <c r="DY246" s="290"/>
      <c r="DZ246" s="290"/>
      <c r="EA246" s="290"/>
      <c r="EB246" s="290"/>
      <c r="EC246" s="290"/>
      <c r="ED246" s="290"/>
      <c r="EE246" s="290"/>
      <c r="EF246" s="290"/>
      <c r="EG246" s="290"/>
      <c r="EH246" s="290"/>
      <c r="EI246" s="290"/>
      <c r="EJ246" s="290"/>
      <c r="EK246" s="290"/>
      <c r="EL246" s="290"/>
      <c r="EM246" s="290"/>
      <c r="EN246" s="290"/>
      <c r="EO246" s="290"/>
      <c r="EP246" s="290"/>
      <c r="JM246"/>
    </row>
    <row r="247" spans="1:273" s="289" customFormat="1">
      <c r="A247" s="323"/>
      <c r="B247" s="290"/>
      <c r="AN247" s="290"/>
      <c r="AO247" s="290"/>
      <c r="AP247" s="290"/>
      <c r="AQ247" s="290"/>
      <c r="AR247" s="290"/>
      <c r="AS247" s="290"/>
      <c r="AT247" s="290"/>
      <c r="AU247" s="290"/>
      <c r="AV247" s="290"/>
      <c r="AW247" s="290"/>
      <c r="AX247" s="290"/>
      <c r="AY247" s="290"/>
      <c r="AZ247" s="290"/>
      <c r="BA247" s="290"/>
      <c r="BB247" s="290"/>
      <c r="BC247" s="290"/>
      <c r="BD247" s="290"/>
      <c r="BE247" s="290"/>
      <c r="BF247" s="290"/>
      <c r="BG247" s="290"/>
      <c r="BH247" s="905"/>
      <c r="BI247" s="905"/>
      <c r="BJ247" s="290"/>
      <c r="BK247" s="290"/>
      <c r="BL247" s="905"/>
      <c r="BM247" s="905"/>
      <c r="BN247" s="290"/>
      <c r="BO247" s="290"/>
      <c r="BP247" s="905"/>
      <c r="BQ247" s="905"/>
      <c r="BR247" s="290"/>
      <c r="BS247" s="290"/>
      <c r="BT247" s="905"/>
      <c r="BU247" s="905"/>
      <c r="BV247" s="290"/>
      <c r="BW247" s="290"/>
      <c r="BX247" s="905"/>
      <c r="BY247" s="905"/>
      <c r="BZ247" s="290"/>
      <c r="CA247" s="290"/>
      <c r="CB247" s="905"/>
      <c r="CC247" s="905"/>
      <c r="CD247" s="290"/>
      <c r="CE247" s="581"/>
      <c r="CF247" s="905"/>
      <c r="CG247" s="905"/>
      <c r="CH247" s="290"/>
      <c r="CI247" s="581"/>
      <c r="CJ247" s="905"/>
      <c r="CK247" s="905"/>
      <c r="CL247" s="290"/>
      <c r="CM247" s="581"/>
      <c r="CN247" s="905"/>
      <c r="CO247" s="905"/>
      <c r="CP247" s="290"/>
      <c r="CQ247" s="581"/>
      <c r="CR247" s="1974"/>
      <c r="CS247" s="905"/>
      <c r="CT247" s="290"/>
      <c r="CU247" s="290"/>
      <c r="CV247" s="1974"/>
      <c r="CW247" s="905"/>
      <c r="CX247" s="290"/>
      <c r="CY247" s="290"/>
      <c r="CZ247" s="905"/>
      <c r="DA247" s="905"/>
      <c r="DB247" s="290"/>
      <c r="DC247" s="290"/>
      <c r="DD247" s="905"/>
      <c r="DE247" s="905"/>
      <c r="DF247" s="290"/>
      <c r="DG247" s="103"/>
      <c r="DH247" s="905"/>
      <c r="DI247" s="905"/>
      <c r="DJ247" s="290"/>
      <c r="DK247" s="290"/>
      <c r="DL247" s="905"/>
      <c r="DM247" s="905"/>
      <c r="DN247" s="290"/>
      <c r="DO247" s="290"/>
      <c r="DP247" s="905"/>
      <c r="DQ247" s="905"/>
      <c r="DR247" s="290"/>
      <c r="DS247" s="290"/>
      <c r="DT247" s="290"/>
      <c r="DU247" s="290"/>
      <c r="DV247" s="290"/>
      <c r="DW247" s="290"/>
      <c r="DX247" s="290"/>
      <c r="DY247" s="290"/>
      <c r="DZ247" s="290"/>
      <c r="EA247" s="290"/>
      <c r="EB247" s="290"/>
      <c r="EC247" s="290"/>
      <c r="ED247" s="290"/>
      <c r="EE247" s="290"/>
      <c r="EF247" s="290"/>
      <c r="EG247" s="290"/>
      <c r="EH247" s="290"/>
      <c r="EI247" s="290"/>
      <c r="EJ247" s="290"/>
      <c r="EK247" s="290"/>
      <c r="EL247" s="290"/>
      <c r="EM247" s="290"/>
      <c r="EN247" s="290"/>
      <c r="EO247" s="290"/>
      <c r="EP247" s="290"/>
      <c r="JM247"/>
    </row>
    <row r="248" spans="1:273" s="289" customFormat="1">
      <c r="A248" s="328" t="s">
        <v>1145</v>
      </c>
      <c r="B248" s="290"/>
      <c r="AN248" s="290"/>
      <c r="AO248" s="290"/>
      <c r="AP248" s="290"/>
      <c r="AQ248" s="290"/>
      <c r="AR248" s="290"/>
      <c r="AS248" s="290"/>
      <c r="AT248" s="290"/>
      <c r="AU248" s="290"/>
      <c r="AV248" s="290"/>
      <c r="AW248" s="290"/>
      <c r="AX248" s="290"/>
      <c r="AY248" s="290"/>
      <c r="AZ248" s="290"/>
      <c r="BA248" s="290"/>
      <c r="BB248" s="290"/>
      <c r="BC248" s="290"/>
      <c r="BD248" s="290"/>
      <c r="BE248" s="290"/>
      <c r="BF248" s="290"/>
      <c r="BG248" s="290"/>
      <c r="BH248" s="905"/>
      <c r="BI248" s="905"/>
      <c r="BJ248" s="290"/>
      <c r="BK248" s="290"/>
      <c r="BL248" s="905"/>
      <c r="BM248" s="905"/>
      <c r="BN248" s="290"/>
      <c r="BO248" s="290"/>
      <c r="BP248" s="905"/>
      <c r="BQ248" s="905"/>
      <c r="BR248" s="290"/>
      <c r="BS248" s="290"/>
      <c r="BT248" s="905"/>
      <c r="BU248" s="905"/>
      <c r="BV248" s="290"/>
      <c r="BW248" s="290"/>
      <c r="BX248" s="905"/>
      <c r="BY248" s="905"/>
      <c r="BZ248" s="290"/>
      <c r="CA248" s="290"/>
      <c r="CB248" s="905"/>
      <c r="CC248" s="905"/>
      <c r="CD248" s="290"/>
      <c r="CE248" s="581"/>
      <c r="CF248" s="905"/>
      <c r="CG248" s="905"/>
      <c r="CH248" s="290"/>
      <c r="CI248" s="581"/>
      <c r="CJ248" s="905"/>
      <c r="CK248" s="905"/>
      <c r="CL248" s="290"/>
      <c r="CM248" s="581"/>
      <c r="CN248" s="905"/>
      <c r="CO248" s="905"/>
      <c r="CP248" s="290"/>
      <c r="CQ248" s="581"/>
      <c r="CR248" s="905"/>
      <c r="CS248" s="905"/>
      <c r="CT248" s="290"/>
      <c r="CU248" s="290"/>
      <c r="CV248" s="905"/>
      <c r="CW248" s="905"/>
      <c r="CX248" s="290"/>
      <c r="CY248" s="290"/>
      <c r="CZ248" s="905"/>
      <c r="DA248" s="905"/>
      <c r="DB248" s="290"/>
      <c r="DC248" s="290"/>
      <c r="DD248" s="905"/>
      <c r="DE248" s="905"/>
      <c r="DF248" s="290"/>
      <c r="DG248" s="290"/>
      <c r="DH248" s="905"/>
      <c r="DI248" s="905"/>
      <c r="DJ248" s="290"/>
      <c r="DK248" s="290"/>
      <c r="DL248" s="905"/>
      <c r="DM248" s="905"/>
      <c r="DN248" s="290"/>
      <c r="DO248" s="290"/>
      <c r="DP248" s="905"/>
      <c r="DQ248" s="905"/>
      <c r="DR248" s="290"/>
      <c r="DS248" s="290"/>
      <c r="DT248" s="290"/>
      <c r="DU248" s="290"/>
      <c r="DV248" s="290"/>
      <c r="DW248" s="290"/>
      <c r="DX248" s="290"/>
      <c r="DY248" s="290"/>
      <c r="DZ248" s="290"/>
      <c r="EA248" s="290"/>
      <c r="EB248" s="290"/>
      <c r="EC248" s="290"/>
      <c r="ED248" s="290"/>
      <c r="EE248" s="290"/>
      <c r="EF248" s="290"/>
      <c r="EG248" s="290"/>
      <c r="EH248" s="290"/>
      <c r="EI248" s="290"/>
      <c r="EJ248" s="290"/>
      <c r="EK248" s="290"/>
      <c r="EL248" s="290"/>
      <c r="EM248" s="290"/>
      <c r="EN248" s="290"/>
      <c r="EO248" s="290"/>
      <c r="EP248" s="290"/>
      <c r="JM248"/>
    </row>
    <row r="249" spans="1:273" s="289" customFormat="1">
      <c r="A249" s="323" t="s">
        <v>855</v>
      </c>
      <c r="B249" s="290"/>
      <c r="AN249" s="290"/>
      <c r="AO249" s="290"/>
      <c r="AP249" s="290"/>
      <c r="AQ249" s="290"/>
      <c r="AR249" s="290"/>
      <c r="AS249" s="290"/>
      <c r="AT249" s="290"/>
      <c r="AU249" s="290"/>
      <c r="AV249" s="290"/>
      <c r="AW249" s="290"/>
      <c r="AX249" s="290"/>
      <c r="AY249" s="290"/>
      <c r="AZ249" s="290"/>
      <c r="BA249" s="290"/>
      <c r="BB249" s="290"/>
      <c r="BC249" s="290"/>
      <c r="BD249" s="290"/>
      <c r="BE249" s="290"/>
      <c r="BF249" s="290"/>
      <c r="BG249" s="290"/>
      <c r="BH249" s="905"/>
      <c r="BI249" s="905"/>
      <c r="BJ249" s="290"/>
      <c r="BK249" s="290"/>
      <c r="BL249" s="905"/>
      <c r="BM249" s="905"/>
      <c r="BN249" s="290"/>
      <c r="BO249" s="290"/>
      <c r="BP249" s="905"/>
      <c r="BQ249" s="905"/>
      <c r="BR249" s="290"/>
      <c r="BS249" s="290"/>
      <c r="BT249" s="905"/>
      <c r="BU249" s="905"/>
      <c r="BV249" s="290"/>
      <c r="BW249" s="290"/>
      <c r="BX249" s="905"/>
      <c r="BY249" s="905"/>
      <c r="BZ249" s="290"/>
      <c r="CA249" s="290"/>
      <c r="CB249" s="905"/>
      <c r="CC249" s="905"/>
      <c r="CD249" s="290"/>
      <c r="CE249" s="581"/>
      <c r="CF249" s="905"/>
      <c r="CG249" s="905"/>
      <c r="CH249" s="290"/>
      <c r="CI249" s="581"/>
      <c r="CJ249" s="905"/>
      <c r="CK249" s="905"/>
      <c r="CL249" s="290"/>
      <c r="CM249" s="581"/>
      <c r="CN249" s="905"/>
      <c r="CO249" s="905"/>
      <c r="CP249" s="290"/>
      <c r="CQ249" s="581"/>
      <c r="CR249" s="905"/>
      <c r="CS249" s="905"/>
      <c r="CT249" s="290"/>
      <c r="CU249" s="290"/>
      <c r="CV249" s="905"/>
      <c r="CW249" s="905"/>
      <c r="CX249" s="290"/>
      <c r="CY249" s="290"/>
      <c r="CZ249" s="905"/>
      <c r="DA249" s="905"/>
      <c r="DB249" s="290"/>
      <c r="DC249" s="290"/>
      <c r="DD249" s="905"/>
      <c r="DE249" s="905"/>
      <c r="DF249" s="290"/>
      <c r="DG249" s="1536"/>
      <c r="DH249" s="905"/>
      <c r="DI249" s="1536">
        <v>0.02</v>
      </c>
      <c r="DJ249" s="290"/>
      <c r="DK249" s="290"/>
      <c r="DL249" s="1536">
        <v>0.02</v>
      </c>
      <c r="DM249" s="1536">
        <v>0.02</v>
      </c>
      <c r="DN249" s="290"/>
      <c r="DO249" s="290"/>
      <c r="DP249" s="1536">
        <v>0.02</v>
      </c>
      <c r="DQ249" s="1536">
        <v>0.02</v>
      </c>
      <c r="DR249" s="290"/>
      <c r="DS249" s="290"/>
      <c r="DT249" s="290"/>
      <c r="DU249" s="290"/>
      <c r="DV249" s="290"/>
      <c r="DW249" s="290"/>
      <c r="DX249" s="290"/>
      <c r="DY249" s="290"/>
      <c r="DZ249" s="290"/>
      <c r="EA249" s="290"/>
      <c r="EB249" s="290"/>
      <c r="EC249" s="290"/>
      <c r="ED249" s="290"/>
      <c r="EE249" s="290"/>
      <c r="EF249" s="290"/>
      <c r="EG249" s="290"/>
      <c r="EH249" s="290"/>
      <c r="EI249" s="290"/>
      <c r="EJ249" s="290"/>
      <c r="EK249" s="290"/>
      <c r="EL249" s="290"/>
      <c r="EM249" s="290"/>
      <c r="EN249" s="290"/>
      <c r="EO249" s="290"/>
      <c r="EP249" s="290"/>
      <c r="JM249"/>
    </row>
    <row r="250" spans="1:273" s="289" customFormat="1">
      <c r="A250" s="323" t="s">
        <v>600</v>
      </c>
      <c r="B250" s="290"/>
      <c r="AN250" s="290"/>
      <c r="AO250" s="290"/>
      <c r="AP250" s="290"/>
      <c r="AQ250" s="290"/>
      <c r="AR250" s="290"/>
      <c r="AS250" s="290"/>
      <c r="AT250" s="290"/>
      <c r="AU250" s="290"/>
      <c r="AV250" s="290"/>
      <c r="AW250" s="290"/>
      <c r="AX250" s="290"/>
      <c r="AY250" s="290"/>
      <c r="AZ250" s="290"/>
      <c r="BA250" s="290"/>
      <c r="BB250" s="290"/>
      <c r="BC250" s="290"/>
      <c r="BD250" s="290"/>
      <c r="BE250" s="290"/>
      <c r="BF250" s="290"/>
      <c r="BG250" s="290"/>
      <c r="BH250" s="905"/>
      <c r="BI250" s="905"/>
      <c r="BJ250" s="290"/>
      <c r="BK250" s="290"/>
      <c r="BL250" s="905"/>
      <c r="BM250" s="905"/>
      <c r="BN250" s="290"/>
      <c r="BO250" s="290"/>
      <c r="BP250" s="905"/>
      <c r="BQ250" s="905"/>
      <c r="BR250" s="290"/>
      <c r="BS250" s="290"/>
      <c r="BT250" s="905"/>
      <c r="BU250" s="905"/>
      <c r="BV250" s="290"/>
      <c r="BW250" s="290"/>
      <c r="BX250" s="905"/>
      <c r="BY250" s="905"/>
      <c r="BZ250" s="290"/>
      <c r="CA250" s="290"/>
      <c r="CB250" s="905"/>
      <c r="CC250" s="905"/>
      <c r="CD250" s="290"/>
      <c r="CE250" s="581"/>
      <c r="CF250" s="905"/>
      <c r="CG250" s="905"/>
      <c r="CH250" s="290"/>
      <c r="CI250" s="581"/>
      <c r="CJ250" s="905"/>
      <c r="CK250" s="905"/>
      <c r="CL250" s="290"/>
      <c r="CM250" s="581"/>
      <c r="CN250" s="905"/>
      <c r="CO250" s="905"/>
      <c r="CP250" s="290"/>
      <c r="CQ250" s="581"/>
      <c r="CR250" s="905"/>
      <c r="CS250" s="905"/>
      <c r="CT250" s="290"/>
      <c r="CU250" s="290"/>
      <c r="CV250" s="905"/>
      <c r="CW250" s="905"/>
      <c r="CX250" s="290"/>
      <c r="CY250" s="290"/>
      <c r="CZ250" s="905"/>
      <c r="DA250" s="905"/>
      <c r="DB250" s="290"/>
      <c r="DC250" s="290"/>
      <c r="DD250" s="905"/>
      <c r="DE250" s="905"/>
      <c r="DF250" s="290"/>
      <c r="DG250" s="1536"/>
      <c r="DH250" s="905"/>
      <c r="DI250" s="1536">
        <v>0.04</v>
      </c>
      <c r="DJ250" s="290"/>
      <c r="DK250" s="290"/>
      <c r="DL250" s="1536">
        <v>0.04</v>
      </c>
      <c r="DM250" s="1536">
        <v>0.04</v>
      </c>
      <c r="DN250" s="290"/>
      <c r="DO250" s="290"/>
      <c r="DP250" s="1536">
        <v>0.04</v>
      </c>
      <c r="DQ250" s="1536">
        <v>0.04</v>
      </c>
      <c r="DR250" s="290"/>
      <c r="DS250" s="290"/>
      <c r="DT250" s="290"/>
      <c r="DU250" s="290"/>
      <c r="DV250" s="290"/>
      <c r="DW250" s="290"/>
      <c r="DX250" s="290"/>
      <c r="DY250" s="290"/>
      <c r="DZ250" s="290"/>
      <c r="EA250" s="290"/>
      <c r="EB250" s="290"/>
      <c r="EC250" s="290"/>
      <c r="ED250" s="290"/>
      <c r="EE250" s="290"/>
      <c r="EF250" s="290"/>
      <c r="EG250" s="290"/>
      <c r="EH250" s="290"/>
      <c r="EI250" s="290"/>
      <c r="EJ250" s="290"/>
      <c r="EK250" s="290"/>
      <c r="EL250" s="290"/>
      <c r="EM250" s="290"/>
      <c r="EN250" s="290"/>
      <c r="EO250" s="290"/>
      <c r="EP250" s="290"/>
      <c r="JM250"/>
    </row>
    <row r="251" spans="1:273" s="289" customFormat="1">
      <c r="A251" s="323" t="s">
        <v>988</v>
      </c>
      <c r="B251" s="290"/>
      <c r="AN251" s="290"/>
      <c r="AO251" s="290"/>
      <c r="AP251" s="290"/>
      <c r="AQ251" s="290"/>
      <c r="AR251" s="290"/>
      <c r="AS251" s="290"/>
      <c r="AT251" s="290"/>
      <c r="AU251" s="290"/>
      <c r="AV251" s="290"/>
      <c r="AW251" s="290"/>
      <c r="AX251" s="290"/>
      <c r="AY251" s="290"/>
      <c r="AZ251" s="290"/>
      <c r="BA251" s="290"/>
      <c r="BB251" s="290"/>
      <c r="BC251" s="290"/>
      <c r="BD251" s="290"/>
      <c r="BE251" s="290"/>
      <c r="BF251" s="290"/>
      <c r="BG251" s="290"/>
      <c r="BH251" s="905"/>
      <c r="BI251" s="905"/>
      <c r="BJ251" s="290"/>
      <c r="BK251" s="290"/>
      <c r="BL251" s="905"/>
      <c r="BM251" s="905"/>
      <c r="BN251" s="290"/>
      <c r="BO251" s="290"/>
      <c r="BP251" s="905"/>
      <c r="BQ251" s="905"/>
      <c r="BR251" s="290"/>
      <c r="BS251" s="290"/>
      <c r="BT251" s="905"/>
      <c r="BU251" s="905"/>
      <c r="BV251" s="290"/>
      <c r="BW251" s="290"/>
      <c r="BX251" s="905"/>
      <c r="BY251" s="905"/>
      <c r="BZ251" s="290"/>
      <c r="CA251" s="290"/>
      <c r="CB251" s="905"/>
      <c r="CC251" s="905"/>
      <c r="CD251" s="290"/>
      <c r="CE251" s="581"/>
      <c r="CF251" s="905"/>
      <c r="CG251" s="905"/>
      <c r="CH251" s="290"/>
      <c r="CI251" s="581"/>
      <c r="CJ251" s="905"/>
      <c r="CK251" s="905"/>
      <c r="CL251" s="290"/>
      <c r="CM251" s="581"/>
      <c r="CN251" s="905"/>
      <c r="CO251" s="905"/>
      <c r="CP251" s="290"/>
      <c r="CQ251" s="581"/>
      <c r="CR251" s="905"/>
      <c r="CS251" s="905"/>
      <c r="CT251" s="290"/>
      <c r="CU251" s="290"/>
      <c r="CV251" s="905"/>
      <c r="CW251" s="905"/>
      <c r="CX251" s="290"/>
      <c r="CY251" s="290"/>
      <c r="CZ251" s="905"/>
      <c r="DA251" s="905"/>
      <c r="DB251" s="290"/>
      <c r="DC251" s="290"/>
      <c r="DD251" s="905"/>
      <c r="DE251" s="905"/>
      <c r="DF251" s="290"/>
      <c r="DG251" s="1536"/>
      <c r="DH251" s="905"/>
      <c r="DI251" s="1536">
        <v>0.03</v>
      </c>
      <c r="DJ251" s="290"/>
      <c r="DK251" s="290"/>
      <c r="DL251" s="1536">
        <v>0.03</v>
      </c>
      <c r="DM251" s="1536">
        <v>0.03</v>
      </c>
      <c r="DN251" s="290"/>
      <c r="DO251" s="290"/>
      <c r="DP251" s="1536">
        <v>0.03</v>
      </c>
      <c r="DQ251" s="1536">
        <v>0.03</v>
      </c>
      <c r="DR251" s="290"/>
      <c r="DS251" s="290"/>
      <c r="DT251" s="290"/>
      <c r="DU251" s="290"/>
      <c r="DV251" s="290"/>
      <c r="DW251" s="290"/>
      <c r="DX251" s="290"/>
      <c r="DY251" s="290"/>
      <c r="DZ251" s="290"/>
      <c r="EA251" s="290"/>
      <c r="EB251" s="290"/>
      <c r="EC251" s="290"/>
      <c r="ED251" s="290"/>
      <c r="EE251" s="290"/>
      <c r="EF251" s="290"/>
      <c r="EG251" s="290"/>
      <c r="EH251" s="290"/>
      <c r="EI251" s="290"/>
      <c r="EJ251" s="290"/>
      <c r="EK251" s="290"/>
      <c r="EL251" s="290"/>
      <c r="EM251" s="290"/>
      <c r="EN251" s="290"/>
      <c r="EO251" s="290"/>
      <c r="EP251" s="290"/>
      <c r="JM251"/>
    </row>
    <row r="252" spans="1:273" s="289" customFormat="1">
      <c r="A252" s="323" t="s">
        <v>599</v>
      </c>
      <c r="B252" s="290"/>
      <c r="AN252" s="290"/>
      <c r="AO252" s="290"/>
      <c r="AP252" s="290"/>
      <c r="AQ252" s="290"/>
      <c r="AR252" s="290"/>
      <c r="AS252" s="290"/>
      <c r="AT252" s="290"/>
      <c r="AU252" s="290"/>
      <c r="AV252" s="290"/>
      <c r="AW252" s="290"/>
      <c r="AX252" s="290"/>
      <c r="AY252" s="290"/>
      <c r="AZ252" s="290"/>
      <c r="BA252" s="290"/>
      <c r="BB252" s="290"/>
      <c r="BC252" s="290"/>
      <c r="BD252" s="290"/>
      <c r="BE252" s="290"/>
      <c r="BF252" s="290"/>
      <c r="BG252" s="290"/>
      <c r="BH252" s="905"/>
      <c r="BI252" s="905"/>
      <c r="BJ252" s="290"/>
      <c r="BK252" s="290"/>
      <c r="BL252" s="905"/>
      <c r="BM252" s="905"/>
      <c r="BN252" s="290"/>
      <c r="BO252" s="290"/>
      <c r="BP252" s="905"/>
      <c r="BQ252" s="905"/>
      <c r="BR252" s="290"/>
      <c r="BS252" s="290"/>
      <c r="BT252" s="905"/>
      <c r="BU252" s="905"/>
      <c r="BV252" s="290"/>
      <c r="BW252" s="290"/>
      <c r="BX252" s="905"/>
      <c r="BY252" s="905"/>
      <c r="BZ252" s="290"/>
      <c r="CA252" s="290"/>
      <c r="CB252" s="905"/>
      <c r="CC252" s="905"/>
      <c r="CD252" s="290"/>
      <c r="CE252" s="581"/>
      <c r="CF252" s="905"/>
      <c r="CG252" s="905"/>
      <c r="CH252" s="290"/>
      <c r="CI252" s="581"/>
      <c r="CJ252" s="905"/>
      <c r="CK252" s="905"/>
      <c r="CL252" s="290"/>
      <c r="CM252" s="581"/>
      <c r="CN252" s="905"/>
      <c r="CO252" s="905"/>
      <c r="CP252" s="290"/>
      <c r="CQ252" s="581"/>
      <c r="CR252" s="905"/>
      <c r="CS252" s="905"/>
      <c r="CT252" s="290"/>
      <c r="CU252" s="290"/>
      <c r="CV252" s="905"/>
      <c r="CW252" s="905"/>
      <c r="CX252" s="290"/>
      <c r="CY252" s="290"/>
      <c r="CZ252" s="905"/>
      <c r="DA252" s="905"/>
      <c r="DB252" s="290"/>
      <c r="DC252" s="290"/>
      <c r="DD252" s="905"/>
      <c r="DE252" s="905"/>
      <c r="DF252" s="290"/>
      <c r="DG252" s="1536"/>
      <c r="DH252" s="905"/>
      <c r="DI252" s="1536">
        <v>3.5000000000000003E-2</v>
      </c>
      <c r="DJ252" s="290"/>
      <c r="DK252" s="290"/>
      <c r="DL252" s="1536">
        <v>3.5000000000000003E-2</v>
      </c>
      <c r="DM252" s="1536">
        <v>3.5000000000000003E-2</v>
      </c>
      <c r="DN252" s="290"/>
      <c r="DO252" s="290"/>
      <c r="DP252" s="1536">
        <v>3.5000000000000003E-2</v>
      </c>
      <c r="DQ252" s="1536">
        <v>3.5000000000000003E-2</v>
      </c>
      <c r="DR252" s="290"/>
      <c r="DS252" s="290"/>
      <c r="DT252" s="290"/>
      <c r="DU252" s="290"/>
      <c r="DV252" s="290"/>
      <c r="DW252" s="290"/>
      <c r="DX252" s="290"/>
      <c r="DY252" s="290"/>
      <c r="DZ252" s="290"/>
      <c r="EA252" s="290"/>
      <c r="EB252" s="290"/>
      <c r="EC252" s="290"/>
      <c r="ED252" s="290"/>
      <c r="EE252" s="290"/>
      <c r="EF252" s="290"/>
      <c r="EG252" s="290"/>
      <c r="EH252" s="290"/>
      <c r="EI252" s="290"/>
      <c r="EJ252" s="290"/>
      <c r="EK252" s="290"/>
      <c r="EL252" s="290"/>
      <c r="EM252" s="290"/>
      <c r="EN252" s="290"/>
      <c r="EO252" s="290"/>
      <c r="EP252" s="290"/>
      <c r="JM252"/>
    </row>
    <row r="253" spans="1:273" s="289" customFormat="1">
      <c r="A253" s="328" t="s">
        <v>1146</v>
      </c>
      <c r="B253" s="290"/>
      <c r="AN253" s="290"/>
      <c r="AO253" s="290"/>
      <c r="AP253" s="290"/>
      <c r="AQ253" s="290"/>
      <c r="AR253" s="290"/>
      <c r="AS253" s="290"/>
      <c r="AT253" s="290"/>
      <c r="AU253" s="290"/>
      <c r="AV253" s="290"/>
      <c r="AW253" s="290"/>
      <c r="AX253" s="290"/>
      <c r="AY253" s="290"/>
      <c r="AZ253" s="290"/>
      <c r="BA253" s="290"/>
      <c r="BB253" s="290"/>
      <c r="BC253" s="290"/>
      <c r="BD253" s="290"/>
      <c r="BE253" s="290"/>
      <c r="BF253" s="290"/>
      <c r="BG253" s="290"/>
      <c r="BH253" s="905"/>
      <c r="BI253" s="905"/>
      <c r="BJ253" s="290"/>
      <c r="BK253" s="290"/>
      <c r="BL253" s="905"/>
      <c r="BM253" s="905"/>
      <c r="BN253" s="290"/>
      <c r="BO253" s="290"/>
      <c r="BP253" s="905"/>
      <c r="BQ253" s="905"/>
      <c r="BR253" s="290"/>
      <c r="BS253" s="290"/>
      <c r="BT253" s="905"/>
      <c r="BU253" s="905"/>
      <c r="BV253" s="290"/>
      <c r="BW253" s="290"/>
      <c r="BX253" s="905"/>
      <c r="BY253" s="905"/>
      <c r="BZ253" s="905"/>
      <c r="CA253" s="290"/>
      <c r="CB253" s="905"/>
      <c r="CC253" s="905"/>
      <c r="CD253" s="290"/>
      <c r="CE253" s="581"/>
      <c r="CF253" s="905"/>
      <c r="CG253" s="905"/>
      <c r="CH253" s="290"/>
      <c r="CI253" s="581"/>
      <c r="CJ253" s="905"/>
      <c r="CK253" s="905"/>
      <c r="CL253" s="290"/>
      <c r="CM253" s="581"/>
      <c r="CN253" s="905"/>
      <c r="CO253" s="905"/>
      <c r="CP253" s="290"/>
      <c r="CQ253" s="581"/>
      <c r="CR253" s="905"/>
      <c r="CS253" s="905"/>
      <c r="CT253" s="290"/>
      <c r="CU253" s="290"/>
      <c r="CV253" s="905"/>
      <c r="CW253" s="905"/>
      <c r="CX253" s="290"/>
      <c r="CY253" s="290"/>
      <c r="CZ253" s="905"/>
      <c r="DA253" s="905"/>
      <c r="DB253" s="290"/>
      <c r="DC253" s="290"/>
      <c r="DD253" s="905"/>
      <c r="DE253" s="905"/>
      <c r="DF253" s="290"/>
      <c r="DG253" s="290"/>
      <c r="DH253" s="905"/>
      <c r="DI253" s="905">
        <f>SUMPRODUCT(DI249:DI252,DI235:DI238)/DI239</f>
        <v>2.6822209412994815E-2</v>
      </c>
      <c r="DJ253" s="906">
        <f>AVERAGE(DH253:DI253)*2</f>
        <v>5.364441882598963E-2</v>
      </c>
      <c r="DK253" s="290"/>
      <c r="DL253" s="905">
        <f>SUMPRODUCT(DL249:DL252,DL235:DL238)/DL239</f>
        <v>2.6909002320056004E-2</v>
      </c>
      <c r="DM253" s="905">
        <f>SUMPRODUCT(DM249:DM252,DM235:DM238)/DM239</f>
        <v>2.6996310783137991E-2</v>
      </c>
      <c r="DN253" s="906">
        <f>AVERAGE(DL253:DM253)*2</f>
        <v>5.3905313103193991E-2</v>
      </c>
      <c r="DO253" s="290"/>
      <c r="DP253" s="905">
        <f>SUMPRODUCT(DP249:DP252,DP235:DP238)/DP239</f>
        <v>2.7084123044353894E-2</v>
      </c>
      <c r="DQ253" s="905">
        <f>SUMPRODUCT(DQ249:DQ252,DQ235:DQ238)/DQ239</f>
        <v>2.717242702175434E-2</v>
      </c>
      <c r="DR253" s="906">
        <f>AVERAGE(DP253:DQ253)*2</f>
        <v>5.4256550066108231E-2</v>
      </c>
      <c r="DS253" s="290"/>
      <c r="DT253" s="290"/>
      <c r="DU253" s="290"/>
      <c r="DV253" s="290"/>
      <c r="DW253" s="290"/>
      <c r="DX253" s="290"/>
      <c r="DY253" s="290"/>
      <c r="DZ253" s="290"/>
      <c r="EA253" s="290"/>
      <c r="EB253" s="290"/>
      <c r="EC253" s="290"/>
      <c r="ED253" s="290"/>
      <c r="EE253" s="290"/>
      <c r="EF253" s="290"/>
      <c r="EG253" s="290"/>
      <c r="EH253" s="290"/>
      <c r="EI253" s="290"/>
      <c r="EJ253" s="290"/>
      <c r="EK253" s="290"/>
      <c r="EL253" s="290"/>
      <c r="EM253" s="290"/>
      <c r="EN253" s="290"/>
      <c r="EO253" s="290"/>
      <c r="EP253" s="290"/>
      <c r="JM253"/>
    </row>
    <row r="254" spans="1:273" s="1539" customFormat="1" ht="15.6">
      <c r="A254" s="1537" t="s">
        <v>1147</v>
      </c>
      <c r="B254" s="1538"/>
      <c r="AN254" s="1538"/>
      <c r="AO254" s="1538"/>
      <c r="AP254" s="1538"/>
      <c r="AQ254" s="1538"/>
      <c r="AR254" s="1538"/>
      <c r="AS254" s="1538"/>
      <c r="AT254" s="1538"/>
      <c r="AU254" s="1538"/>
      <c r="AV254" s="1538"/>
      <c r="AW254" s="1538"/>
      <c r="AX254" s="1538"/>
      <c r="AY254" s="1538"/>
      <c r="AZ254" s="1538"/>
      <c r="BA254" s="1538"/>
      <c r="BB254" s="1538"/>
      <c r="BC254" s="1538"/>
      <c r="BD254" s="1538"/>
      <c r="BE254" s="1538"/>
      <c r="BF254" s="1538"/>
      <c r="BG254" s="1538"/>
      <c r="BH254" s="1540"/>
      <c r="BI254" s="1540"/>
      <c r="BJ254" s="1538"/>
      <c r="BK254" s="1538"/>
      <c r="BL254" s="1540"/>
      <c r="BM254" s="1540"/>
      <c r="BN254" s="1538"/>
      <c r="BO254" s="1538"/>
      <c r="BP254" s="1540"/>
      <c r="BQ254" s="1540"/>
      <c r="BR254" s="1538"/>
      <c r="BS254" s="1538"/>
      <c r="BT254" s="1540"/>
      <c r="BU254" s="1540"/>
      <c r="BV254" s="1538"/>
      <c r="BW254" s="1538"/>
      <c r="CE254" s="1537"/>
      <c r="CI254" s="1537"/>
      <c r="CM254" s="1537"/>
      <c r="CQ254" s="1613"/>
      <c r="CU254" s="1538"/>
      <c r="CW254" s="1540"/>
      <c r="CX254" s="1541"/>
      <c r="CY254" s="1538"/>
      <c r="DA254" s="1540"/>
      <c r="DB254" s="1541"/>
      <c r="DC254" s="1538"/>
      <c r="DE254" s="1540"/>
      <c r="DF254" s="1541"/>
      <c r="DG254" s="1538"/>
      <c r="DI254" s="1540">
        <f>DI246-DI253</f>
        <v>-0.47678349973557549</v>
      </c>
      <c r="DJ254" s="1541">
        <f>DJ246-DJ253</f>
        <v>-0.52081585407610653</v>
      </c>
      <c r="DK254" s="1538"/>
      <c r="DL254" s="1540">
        <f>DL246-DL253</f>
        <v>4.9337167512450916E-3</v>
      </c>
      <c r="DM254" s="1540">
        <f>DM246-DM253</f>
        <v>4.9333633352882968E-3</v>
      </c>
      <c r="DN254" s="1541">
        <f>DN246-DN253</f>
        <v>9.8670800865333919E-3</v>
      </c>
      <c r="DO254" s="1538"/>
      <c r="DP254" s="1540">
        <f>DP246-DP253</f>
        <v>4.9330212033549571E-3</v>
      </c>
      <c r="DQ254" s="1540">
        <f>DQ246-DQ253</f>
        <v>4.9326906381195537E-3</v>
      </c>
      <c r="DR254" s="1541">
        <f>DR246-DR253</f>
        <v>9.8657118414745143E-3</v>
      </c>
      <c r="DS254" s="1538"/>
      <c r="DT254" s="1538"/>
      <c r="DU254" s="1538"/>
      <c r="DV254" s="1538"/>
      <c r="DW254" s="1538"/>
      <c r="DX254" s="1538"/>
      <c r="DY254" s="1538"/>
      <c r="DZ254" s="1538"/>
      <c r="EA254" s="1538"/>
      <c r="EB254" s="1538"/>
      <c r="EC254" s="1538"/>
      <c r="ED254" s="1538"/>
      <c r="EE254" s="1538"/>
      <c r="EF254" s="1538"/>
      <c r="EG254" s="1538"/>
      <c r="EH254" s="1538"/>
      <c r="EI254" s="1538"/>
      <c r="EJ254" s="1538"/>
      <c r="EK254" s="1538"/>
      <c r="EL254" s="1538"/>
      <c r="EM254" s="1538"/>
      <c r="EN254" s="1538"/>
      <c r="EO254" s="1538"/>
      <c r="EP254" s="1538"/>
      <c r="JM254"/>
    </row>
    <row r="255" spans="1:273" s="289" customFormat="1">
      <c r="A255" s="289" t="s">
        <v>1380</v>
      </c>
      <c r="B255" s="290"/>
      <c r="AN255" s="290"/>
      <c r="AO255" s="290"/>
      <c r="AP255" s="290"/>
      <c r="AQ255" s="290"/>
      <c r="AR255" s="290"/>
      <c r="AS255" s="290"/>
      <c r="AT255" s="290"/>
      <c r="AU255" s="290"/>
      <c r="AV255" s="290"/>
      <c r="AW255" s="290"/>
      <c r="AX255" s="290"/>
      <c r="AY255" s="290"/>
      <c r="AZ255" s="290"/>
      <c r="BA255" s="290"/>
      <c r="BB255" s="290"/>
      <c r="BC255" s="290"/>
      <c r="BD255" s="290"/>
      <c r="BE255" s="290"/>
      <c r="BF255" s="290"/>
      <c r="BG255" s="290"/>
      <c r="BH255" s="905"/>
      <c r="BI255" s="905"/>
      <c r="BJ255" s="290"/>
      <c r="BK255" s="290"/>
      <c r="BL255" s="905"/>
      <c r="BM255" s="905"/>
      <c r="BN255" s="290"/>
      <c r="BO255" s="290"/>
      <c r="BP255" s="905"/>
      <c r="BQ255" s="905"/>
      <c r="BR255" s="290"/>
      <c r="BS255" s="290"/>
      <c r="BT255" s="905"/>
      <c r="BU255" s="905"/>
      <c r="BV255" s="290"/>
      <c r="BW255" s="290"/>
      <c r="BX255" s="655">
        <v>-5000</v>
      </c>
      <c r="BY255" s="820">
        <f>BZ255-BX255</f>
        <v>-29000</v>
      </c>
      <c r="BZ255" s="655">
        <f>0-34000</f>
        <v>-34000</v>
      </c>
      <c r="CA255" s="290"/>
      <c r="CB255" s="655">
        <v>1000</v>
      </c>
      <c r="CC255" s="820">
        <f>CD255-CB255</f>
        <v>-3000</v>
      </c>
      <c r="CD255" s="655">
        <v>-2000</v>
      </c>
      <c r="CE255" s="581"/>
      <c r="CF255" s="655">
        <v>800</v>
      </c>
      <c r="CG255" s="820">
        <f>CH255-CF255</f>
        <v>-8900</v>
      </c>
      <c r="CH255" s="655">
        <v>-8100</v>
      </c>
      <c r="CI255" s="581"/>
      <c r="CJ255" s="655">
        <v>-23100</v>
      </c>
      <c r="CK255" s="820">
        <f>-0.6*1000</f>
        <v>-600</v>
      </c>
      <c r="CL255" s="655">
        <f>+CJ255+CK255</f>
        <v>-23700</v>
      </c>
      <c r="CM255" s="581"/>
      <c r="CN255" s="1389">
        <v>-1900</v>
      </c>
      <c r="CO255" s="1492">
        <f>5.1*1000</f>
        <v>5100</v>
      </c>
      <c r="CP255" s="1412">
        <f>+CN255+CO255</f>
        <v>3200</v>
      </c>
      <c r="CQ255" s="1430"/>
      <c r="CR255" s="1389">
        <v>13900</v>
      </c>
      <c r="CS255" s="1492">
        <v>10500</v>
      </c>
      <c r="CT255" s="1412">
        <f>+CR255+CS255</f>
        <v>24400</v>
      </c>
      <c r="CU255" s="290"/>
      <c r="CV255" s="655">
        <f>600-8500</f>
        <v>-7900</v>
      </c>
      <c r="CW255" s="1069">
        <f>-10000-6400</f>
        <v>-16400</v>
      </c>
      <c r="CX255" s="1412">
        <f>+CV255+CW255</f>
        <v>-24300</v>
      </c>
      <c r="CY255" s="290"/>
      <c r="CZ255" s="1389">
        <f>5300</f>
        <v>5300</v>
      </c>
      <c r="DA255" s="1492">
        <f>-10900</f>
        <v>-10900</v>
      </c>
      <c r="DB255" s="1412">
        <f>+CZ255+DA255</f>
        <v>-5600</v>
      </c>
      <c r="DC255" s="290"/>
      <c r="DD255" s="2175">
        <v>-16300</v>
      </c>
      <c r="DE255" s="1069">
        <f>-26600-DD255</f>
        <v>-10300</v>
      </c>
      <c r="DF255" s="1412">
        <f>+DD255+DE255</f>
        <v>-26600</v>
      </c>
      <c r="DG255" s="290"/>
      <c r="DH255" s="2201">
        <v>-31600</v>
      </c>
      <c r="DI255" s="820">
        <f>DI254*DH239</f>
        <v>-258655.04860654971</v>
      </c>
      <c r="DJ255" s="820">
        <f>+DI255+DH255</f>
        <v>-290255.04860654974</v>
      </c>
      <c r="DK255" s="290"/>
      <c r="DL255" s="820">
        <f>DL254*DJ239</f>
        <v>1472.2013437045305</v>
      </c>
      <c r="DM255" s="820">
        <f>DM254*DL239</f>
        <v>1518.9714215341287</v>
      </c>
      <c r="DN255" s="820">
        <f>+DM255+DL255</f>
        <v>2991.1727652386589</v>
      </c>
      <c r="DO255" s="290"/>
      <c r="DP255" s="820">
        <f>DP254*DN239</f>
        <v>1567.3629788453336</v>
      </c>
      <c r="DQ255" s="820">
        <f>DQ254*DP239</f>
        <v>1617.4370725633098</v>
      </c>
      <c r="DR255" s="820">
        <f>+DQ255+DP255</f>
        <v>3184.8000514086434</v>
      </c>
      <c r="DS255" s="290"/>
      <c r="DT255" s="290"/>
      <c r="DU255" s="290"/>
      <c r="DV255" s="290"/>
      <c r="DW255" s="290"/>
      <c r="DX255" s="290"/>
      <c r="DY255" s="290"/>
      <c r="DZ255" s="290"/>
      <c r="EA255" s="290"/>
      <c r="EB255" s="290"/>
      <c r="EC255" s="290"/>
      <c r="ED255" s="290"/>
      <c r="EE255" s="290"/>
      <c r="EF255" s="290"/>
      <c r="EG255" s="290"/>
      <c r="EH255" s="290"/>
      <c r="EI255" s="290"/>
      <c r="EJ255" s="290"/>
      <c r="EK255" s="290"/>
      <c r="EL255" s="290"/>
      <c r="EM255" s="290"/>
      <c r="EN255" s="290"/>
      <c r="EO255" s="290"/>
      <c r="EP255" s="290"/>
      <c r="JM255"/>
    </row>
    <row r="256" spans="1:273" s="289" customFormat="1">
      <c r="A256" s="328" t="s">
        <v>1254</v>
      </c>
      <c r="B256" s="290"/>
      <c r="AN256" s="290"/>
      <c r="AO256" s="290"/>
      <c r="AP256" s="290"/>
      <c r="AQ256" s="290"/>
      <c r="AR256" s="290"/>
      <c r="AS256" s="290"/>
      <c r="AT256" s="290"/>
      <c r="AU256" s="290"/>
      <c r="AV256" s="290"/>
      <c r="AW256" s="290"/>
      <c r="AX256" s="290"/>
      <c r="AY256" s="290"/>
      <c r="AZ256" s="290"/>
      <c r="BA256" s="290"/>
      <c r="BB256" s="290"/>
      <c r="BC256" s="290"/>
      <c r="BD256" s="290"/>
      <c r="BE256" s="290"/>
      <c r="BF256" s="290"/>
      <c r="BG256" s="290"/>
      <c r="BH256" s="905"/>
      <c r="BI256" s="905"/>
      <c r="BJ256" s="290"/>
      <c r="BK256" s="290"/>
      <c r="BL256" s="905"/>
      <c r="BM256" s="905"/>
      <c r="BN256" s="290"/>
      <c r="BO256" s="290"/>
      <c r="BP256" s="905"/>
      <c r="BQ256" s="905"/>
      <c r="BR256" s="290"/>
      <c r="BS256" s="290"/>
      <c r="BT256" s="905"/>
      <c r="BU256" s="905"/>
      <c r="BV256" s="290"/>
      <c r="BW256" s="290"/>
      <c r="BX256" s="905">
        <f>BX255/BV239*BX2/BX1</f>
        <v>-2.9435293965845381E-2</v>
      </c>
      <c r="BY256" s="905">
        <f>BY255/BX239*BY2/BY1</f>
        <v>-0.16480402567112681</v>
      </c>
      <c r="BZ256" s="905">
        <f>BZ255/BV239*BZ2/BZ1</f>
        <v>-0.10035419126328218</v>
      </c>
      <c r="CA256" s="290"/>
      <c r="CB256" s="905">
        <f>CB255/BZ239*CB2/CB1</f>
        <v>6.1942096867257232E-3</v>
      </c>
      <c r="CC256" s="905">
        <f>CC255/CB239*CC2/CC1</f>
        <v>-1.8404660497043489E-2</v>
      </c>
      <c r="CD256" s="905">
        <f>CD255/BZ239*CD2/CD1</f>
        <v>-6.2111801242236021E-3</v>
      </c>
      <c r="CE256" s="581"/>
      <c r="CF256" s="905">
        <f>CF255/CD239*CF2/CF1</f>
        <v>4.7616485088049732E-3</v>
      </c>
      <c r="CG256" s="905">
        <f>CG255/CF239*CG2/CG1</f>
        <v>-4.8780817433454762E-2</v>
      </c>
      <c r="CH256" s="905">
        <f>CH255/CD239*CH2/CH1</f>
        <v>-2.4171888988361683E-2</v>
      </c>
      <c r="CI256" s="581"/>
      <c r="CJ256" s="905">
        <f>CJ255/CH239*CJ2/CJ1</f>
        <v>-0.12751863096881039</v>
      </c>
      <c r="CK256" s="905">
        <f>CK255/CJ239*CK2/CK1</f>
        <v>-3.3103448275862068E-3</v>
      </c>
      <c r="CL256" s="905">
        <f>CL255/CH239*CL2/CL1</f>
        <v>-6.5415401600883244E-2</v>
      </c>
      <c r="CM256" s="581"/>
      <c r="CN256" s="905">
        <f>CN255/CL239*CN2/CN1</f>
        <v>-1.0084133811439057E-2</v>
      </c>
      <c r="CO256" s="905">
        <f>CO255/CN239*CO2/CO1</f>
        <v>2.9032137320527895E-2</v>
      </c>
      <c r="CP256" s="905">
        <f>CP255/CL239*CP2/CP1</f>
        <v>8.5151676423629585E-3</v>
      </c>
      <c r="CQ256" s="581"/>
      <c r="CR256" s="905">
        <f>CR255/CP239*CR2/CR1</f>
        <v>7.5255276101647658E-2</v>
      </c>
      <c r="CS256" s="905">
        <f>CS255/CR239*CS2/CS1</f>
        <v>4.0801573934687675E-2</v>
      </c>
      <c r="CT256" s="905">
        <f>CT255/CP239*CT2/CT1</f>
        <v>6.6232356134636267E-2</v>
      </c>
      <c r="CU256" s="290"/>
      <c r="CV256" s="905">
        <f>CV255/CT239*CV2/CV1</f>
        <v>-2.9446515793483268E-2</v>
      </c>
      <c r="CW256" s="905">
        <f>CW255/CV239*CW2/CW1</f>
        <v>-6.3165181275417495E-2</v>
      </c>
      <c r="CX256" s="905">
        <f>CX255/CT239*CX2/CX1</f>
        <v>-4.541207250981126E-2</v>
      </c>
      <c r="CY256" s="290"/>
      <c r="CZ256" s="905">
        <f>CZ255/CX239*CZ2/CZ1</f>
        <v>1.9831618334892422E-2</v>
      </c>
      <c r="DA256" s="905">
        <f>DA255/CZ239*DA2/DA1</f>
        <v>-3.9861034924117758E-2</v>
      </c>
      <c r="DB256" s="905">
        <f>DB255/CX239*DB2/DB1</f>
        <v>-1.0477081384471469E-2</v>
      </c>
      <c r="DC256" s="290"/>
      <c r="DD256" s="905">
        <f>DD255/DB239*DD2/DD1</f>
        <v>-5.7298077126804077E-2</v>
      </c>
      <c r="DE256" s="905">
        <f>DE255/DD239*DE2/DE1</f>
        <v>-3.8027602000356049E-2</v>
      </c>
      <c r="DF256" s="905">
        <f>DF255/DB239*DF2/DF1</f>
        <v>-4.6880507578427925E-2</v>
      </c>
      <c r="DG256" s="290"/>
      <c r="DH256" s="905">
        <f>DH255/DF239*DH2/DH1</f>
        <v>-0.1141799318919775</v>
      </c>
      <c r="DI256" s="905">
        <f>DI255/DH239*DI2/DI1</f>
        <v>-0.9561866890301377</v>
      </c>
      <c r="DJ256" s="905">
        <f>DJ255/DF239*DJ2/DJ1</f>
        <v>-0.52582436341766259</v>
      </c>
      <c r="DK256" s="290"/>
      <c r="DL256" s="905">
        <f>DL255/DJ239*DL2/DL1</f>
        <v>9.8404733016637085E-3</v>
      </c>
      <c r="DM256" s="905">
        <f>DM255/DL239*DM2/DM1</f>
        <v>9.8938330625287264E-3</v>
      </c>
      <c r="DN256" s="905">
        <f>DN255/DJ239*DN2/DN1</f>
        <v>1.0024171789295631E-2</v>
      </c>
      <c r="DO256" s="290"/>
      <c r="DP256" s="905">
        <f>DP255/DN239*DP2/DP1</f>
        <v>9.8660424067099142E-3</v>
      </c>
      <c r="DQ256" s="905">
        <f>DQ255/DP239*DQ2/DQ1</f>
        <v>9.8653812762391074E-3</v>
      </c>
      <c r="DR256" s="905">
        <f>DR255/DN239*DR2/DR1</f>
        <v>1.0023642509164507E-2</v>
      </c>
      <c r="DS256" s="290"/>
      <c r="DT256" s="290"/>
      <c r="DU256" s="290"/>
      <c r="DV256" s="290"/>
      <c r="DW256" s="290"/>
      <c r="DX256" s="290"/>
      <c r="DY256" s="290"/>
      <c r="DZ256" s="290"/>
      <c r="EA256" s="290"/>
      <c r="EB256" s="290"/>
      <c r="EC256" s="290"/>
      <c r="ED256" s="290"/>
      <c r="EE256" s="290"/>
      <c r="EF256" s="290"/>
      <c r="EG256" s="290"/>
      <c r="EH256" s="290"/>
      <c r="EI256" s="290"/>
      <c r="EJ256" s="290"/>
      <c r="EK256" s="290"/>
      <c r="EL256" s="290"/>
      <c r="EM256" s="290"/>
      <c r="EN256" s="290"/>
      <c r="EO256" s="290"/>
      <c r="EP256" s="290"/>
      <c r="JM256"/>
    </row>
    <row r="257" spans="1:273" s="289" customFormat="1">
      <c r="A257" s="328"/>
      <c r="B257" s="290"/>
      <c r="AN257" s="290"/>
      <c r="AO257" s="290"/>
      <c r="AP257" s="290"/>
      <c r="AQ257" s="290"/>
      <c r="AR257" s="290"/>
      <c r="AS257" s="290"/>
      <c r="AT257" s="290"/>
      <c r="AU257" s="290"/>
      <c r="AV257" s="290"/>
      <c r="AW257" s="290"/>
      <c r="AX257" s="290"/>
      <c r="AY257" s="290"/>
      <c r="AZ257" s="290"/>
      <c r="BA257" s="290"/>
      <c r="BB257" s="290"/>
      <c r="BC257" s="290"/>
      <c r="BD257" s="290"/>
      <c r="BE257" s="290"/>
      <c r="BF257" s="290"/>
      <c r="BG257" s="290"/>
      <c r="BH257" s="905"/>
      <c r="BI257" s="905"/>
      <c r="BJ257" s="290"/>
      <c r="BK257" s="290"/>
      <c r="BL257" s="905"/>
      <c r="BM257" s="905"/>
      <c r="BN257" s="290"/>
      <c r="BO257" s="290"/>
      <c r="BP257" s="905"/>
      <c r="BQ257" s="905"/>
      <c r="BR257" s="290"/>
      <c r="BS257" s="290"/>
      <c r="BT257" s="905"/>
      <c r="BU257" s="905"/>
      <c r="BV257" s="290"/>
      <c r="BW257" s="290"/>
      <c r="BX257" s="905"/>
      <c r="BY257" s="905"/>
      <c r="BZ257" s="905"/>
      <c r="CA257" s="290"/>
      <c r="CB257" s="905"/>
      <c r="CC257" s="905"/>
      <c r="CD257" s="905"/>
      <c r="CE257" s="581"/>
      <c r="CF257" s="905"/>
      <c r="CG257" s="905"/>
      <c r="CH257" s="905"/>
      <c r="CI257" s="581"/>
      <c r="CJ257" s="905"/>
      <c r="CK257" s="905"/>
      <c r="CL257" s="905"/>
      <c r="CM257" s="581"/>
      <c r="CN257" s="905"/>
      <c r="CO257" s="905"/>
      <c r="CP257" s="905"/>
      <c r="CQ257" s="581"/>
      <c r="CR257" s="905"/>
      <c r="CS257" s="905"/>
      <c r="CT257" s="905"/>
      <c r="CU257" s="290"/>
      <c r="CV257" s="905"/>
      <c r="CW257" s="905"/>
      <c r="CX257" s="905"/>
      <c r="CY257" s="290"/>
      <c r="CZ257" s="905"/>
      <c r="DA257" s="905"/>
      <c r="DB257" s="905"/>
      <c r="DC257" s="290"/>
      <c r="DD257" s="905"/>
      <c r="DE257" s="905"/>
      <c r="DF257" s="905"/>
      <c r="DG257" s="290"/>
      <c r="DH257" s="905"/>
      <c r="DI257" s="905"/>
      <c r="DJ257" s="905"/>
      <c r="DK257" s="290"/>
      <c r="DL257" s="905"/>
      <c r="DM257" s="905"/>
      <c r="DN257" s="905"/>
      <c r="DO257" s="290"/>
      <c r="DP257" s="905"/>
      <c r="DQ257" s="905"/>
      <c r="DR257" s="905"/>
      <c r="DS257" s="290"/>
      <c r="DT257" s="290"/>
      <c r="DU257" s="290"/>
      <c r="DV257" s="290"/>
      <c r="DW257" s="290"/>
      <c r="DX257" s="290"/>
      <c r="DY257" s="290"/>
      <c r="DZ257" s="290"/>
      <c r="EA257" s="290"/>
      <c r="EB257" s="290"/>
      <c r="EC257" s="290"/>
      <c r="ED257" s="290"/>
      <c r="EE257" s="290"/>
      <c r="EF257" s="290"/>
      <c r="EG257" s="290"/>
      <c r="EH257" s="290"/>
      <c r="EI257" s="290"/>
      <c r="EJ257" s="290"/>
      <c r="EK257" s="290"/>
      <c r="EL257" s="290"/>
      <c r="EM257" s="290"/>
      <c r="EN257" s="290"/>
      <c r="EO257" s="290"/>
      <c r="EP257" s="290"/>
      <c r="JM257"/>
    </row>
    <row r="258" spans="1:273" s="289" customFormat="1">
      <c r="A258" s="289" t="s">
        <v>1399</v>
      </c>
      <c r="B258" s="290"/>
      <c r="AN258" s="290"/>
      <c r="AO258" s="290"/>
      <c r="AP258" s="290"/>
      <c r="AQ258" s="290"/>
      <c r="AR258" s="290"/>
      <c r="AS258" s="290"/>
      <c r="AT258" s="290"/>
      <c r="AU258" s="290"/>
      <c r="AV258" s="290"/>
      <c r="AW258" s="290"/>
      <c r="AX258" s="290"/>
      <c r="AY258" s="290"/>
      <c r="AZ258" s="290"/>
      <c r="BA258" s="290"/>
      <c r="BB258" s="290"/>
      <c r="BC258" s="290"/>
      <c r="BD258" s="290"/>
      <c r="BE258" s="290"/>
      <c r="BF258" s="290"/>
      <c r="BG258" s="290"/>
      <c r="BH258" s="164">
        <v>0</v>
      </c>
      <c r="BI258" s="164">
        <v>0</v>
      </c>
      <c r="BJ258" s="1412">
        <f>+BH258+BI258</f>
        <v>0</v>
      </c>
      <c r="BK258" s="290"/>
      <c r="BL258" s="164">
        <v>0</v>
      </c>
      <c r="BM258" s="164">
        <v>0</v>
      </c>
      <c r="BN258" s="1412">
        <f>+BL258+BM258</f>
        <v>0</v>
      </c>
      <c r="BO258" s="290"/>
      <c r="BP258" s="164">
        <v>0</v>
      </c>
      <c r="BQ258" s="164">
        <v>0</v>
      </c>
      <c r="BR258" s="1412">
        <f>+BP258+BQ258</f>
        <v>0</v>
      </c>
      <c r="BS258" s="290"/>
      <c r="BT258" s="164">
        <v>0</v>
      </c>
      <c r="BU258" s="164">
        <v>0</v>
      </c>
      <c r="BV258" s="1412">
        <f>+BT258+BU258</f>
        <v>0</v>
      </c>
      <c r="BW258" s="290"/>
      <c r="BX258" s="164">
        <v>0</v>
      </c>
      <c r="BY258" s="164">
        <v>0</v>
      </c>
      <c r="BZ258" s="1412">
        <f>+BX258+BY258</f>
        <v>0</v>
      </c>
      <c r="CA258" s="290"/>
      <c r="CB258" s="164">
        <v>0</v>
      </c>
      <c r="CC258" s="164">
        <v>0</v>
      </c>
      <c r="CD258" s="1412">
        <f>+CB258+CC258</f>
        <v>0</v>
      </c>
      <c r="CE258" s="581"/>
      <c r="CF258" s="164">
        <v>0</v>
      </c>
      <c r="CG258" s="164">
        <v>0</v>
      </c>
      <c r="CH258" s="1412">
        <f>+CF258+CG258</f>
        <v>0</v>
      </c>
      <c r="CI258" s="581"/>
      <c r="CJ258" s="164">
        <v>0</v>
      </c>
      <c r="CK258" s="164">
        <v>0</v>
      </c>
      <c r="CL258" s="1412">
        <f>+CJ258+CK258</f>
        <v>0</v>
      </c>
      <c r="CM258" s="581"/>
      <c r="CN258" s="164">
        <v>0</v>
      </c>
      <c r="CO258" s="164">
        <v>0</v>
      </c>
      <c r="CP258" s="1412">
        <f>+CN258+CO258</f>
        <v>0</v>
      </c>
      <c r="CQ258" s="581"/>
      <c r="CR258" s="164">
        <v>102100</v>
      </c>
      <c r="CS258" s="164">
        <f>149700-CR258</f>
        <v>47600</v>
      </c>
      <c r="CT258" s="1412">
        <f>+CR258+CS258</f>
        <v>149700</v>
      </c>
      <c r="CU258" s="290"/>
      <c r="CV258" s="164">
        <v>0</v>
      </c>
      <c r="CW258" s="164">
        <v>0</v>
      </c>
      <c r="CX258" s="1412">
        <f>+CV258+CW258</f>
        <v>0</v>
      </c>
      <c r="CY258" s="290"/>
      <c r="CZ258" s="164">
        <v>0</v>
      </c>
      <c r="DA258" s="164">
        <v>0</v>
      </c>
      <c r="DB258" s="1412">
        <f>+CZ258+DA258</f>
        <v>0</v>
      </c>
      <c r="DC258" s="290"/>
      <c r="DD258" s="164">
        <v>0</v>
      </c>
      <c r="DE258" s="164">
        <v>0</v>
      </c>
      <c r="DF258" s="1412">
        <f>+DD258+DE258</f>
        <v>0</v>
      </c>
      <c r="DG258" s="290"/>
      <c r="DH258" s="164">
        <v>0</v>
      </c>
      <c r="DI258" s="905"/>
      <c r="DJ258" s="905"/>
      <c r="DK258" s="290"/>
      <c r="DL258" s="905"/>
      <c r="DM258" s="905"/>
      <c r="DN258" s="905"/>
      <c r="DO258" s="290"/>
      <c r="DP258" s="905"/>
      <c r="DQ258" s="905"/>
      <c r="DR258" s="905"/>
      <c r="DS258" s="290"/>
      <c r="DT258" s="290"/>
      <c r="DU258" s="290"/>
      <c r="DV258" s="290"/>
      <c r="DW258" s="290"/>
      <c r="DX258" s="290"/>
      <c r="DY258" s="290"/>
      <c r="DZ258" s="290"/>
      <c r="EA258" s="290"/>
      <c r="EB258" s="290"/>
      <c r="EC258" s="290"/>
      <c r="ED258" s="290"/>
      <c r="EE258" s="290"/>
      <c r="EF258" s="290"/>
      <c r="EG258" s="290"/>
      <c r="EH258" s="290"/>
      <c r="EI258" s="290"/>
      <c r="EJ258" s="290"/>
      <c r="EK258" s="290"/>
      <c r="EL258" s="290"/>
      <c r="EM258" s="290"/>
      <c r="EN258" s="290"/>
      <c r="EO258" s="290"/>
      <c r="EP258" s="290"/>
      <c r="JM258"/>
    </row>
    <row r="259" spans="1:273" s="289" customFormat="1">
      <c r="A259" s="323" t="s">
        <v>1398</v>
      </c>
      <c r="B259" s="290"/>
      <c r="AN259" s="290"/>
      <c r="AO259" s="290"/>
      <c r="AP259" s="290"/>
      <c r="AQ259" s="290"/>
      <c r="AR259" s="290"/>
      <c r="AS259" s="290"/>
      <c r="AT259" s="290"/>
      <c r="AU259" s="290"/>
      <c r="AV259" s="290"/>
      <c r="AW259" s="290"/>
      <c r="AX259" s="290"/>
      <c r="AY259" s="290"/>
      <c r="AZ259" s="290"/>
      <c r="BA259" s="290"/>
      <c r="BB259" s="290"/>
      <c r="BC259" s="290"/>
      <c r="BD259" s="290"/>
      <c r="BE259" s="290"/>
      <c r="BF259" s="290"/>
      <c r="BG259" s="290"/>
      <c r="BH259" s="684">
        <f>BH258/BF239*BH2/BH1</f>
        <v>0</v>
      </c>
      <c r="BI259" s="684">
        <f>BI258/BH239*BI2/BI1</f>
        <v>0</v>
      </c>
      <c r="BJ259" s="684">
        <f>BJ258/BH239*BJ2/BJ1</f>
        <v>0</v>
      </c>
      <c r="BK259" s="290"/>
      <c r="BL259" s="684">
        <f>BL258/BJ239*BL2/BL1</f>
        <v>0</v>
      </c>
      <c r="BM259" s="684">
        <f>BM258/BL239*BM2/BM1</f>
        <v>0</v>
      </c>
      <c r="BN259" s="684">
        <f>BN258/BL239*BN2/BN1</f>
        <v>0</v>
      </c>
      <c r="BO259" s="290"/>
      <c r="BP259" s="684">
        <f>BP258/BN239*BP2/BP1</f>
        <v>0</v>
      </c>
      <c r="BQ259" s="684">
        <f>BQ258/BP239*BQ2/BQ1</f>
        <v>0</v>
      </c>
      <c r="BR259" s="684">
        <f>BR258/BP239*BR2/BR1</f>
        <v>0</v>
      </c>
      <c r="BS259" s="290"/>
      <c r="BT259" s="684">
        <f>BT258/BR239*BT2/BT1</f>
        <v>0</v>
      </c>
      <c r="BU259" s="684">
        <f>BU258/BT239*BU2/BU1</f>
        <v>0</v>
      </c>
      <c r="BV259" s="684">
        <f>BV258/BT239*BV2/BV1</f>
        <v>0</v>
      </c>
      <c r="BW259" s="290"/>
      <c r="BX259" s="684">
        <f>BX258/BV239*BX2/BX1</f>
        <v>0</v>
      </c>
      <c r="BY259" s="684">
        <f>BY258/BX239*BY2/BY1</f>
        <v>0</v>
      </c>
      <c r="BZ259" s="684">
        <f>BZ258/BX239*BZ2/BZ1</f>
        <v>0</v>
      </c>
      <c r="CA259" s="290"/>
      <c r="CB259" s="684">
        <f>CB258/BZ239*CB2/CB1</f>
        <v>0</v>
      </c>
      <c r="CC259" s="684">
        <f>CC258/CB239*CC2/CC1</f>
        <v>0</v>
      </c>
      <c r="CD259" s="684">
        <f>CD258/CB239*CD2/CD1</f>
        <v>0</v>
      </c>
      <c r="CE259" s="581"/>
      <c r="CF259" s="684">
        <f>CF258/CD239*CF2/CF1</f>
        <v>0</v>
      </c>
      <c r="CG259" s="684">
        <f>CG258/CF239*CG2/CG1</f>
        <v>0</v>
      </c>
      <c r="CH259" s="684">
        <f>CH258/CF239*CH2/CH1</f>
        <v>0</v>
      </c>
      <c r="CI259" s="581"/>
      <c r="CJ259" s="684">
        <f>CJ258/CH239*CJ2/CJ1</f>
        <v>0</v>
      </c>
      <c r="CK259" s="684">
        <f>CK258/CJ239*CK2/CK1</f>
        <v>0</v>
      </c>
      <c r="CL259" s="684">
        <f>CL258/CJ239*CL2/CL1</f>
        <v>0</v>
      </c>
      <c r="CM259" s="581"/>
      <c r="CN259" s="684">
        <f>CN258/CL239*CN2/CN1</f>
        <v>0</v>
      </c>
      <c r="CO259" s="684">
        <f>CO258/CN239*CO2/CO1</f>
        <v>0</v>
      </c>
      <c r="CP259" s="684">
        <f>CP258/CN239*CP2/CP1</f>
        <v>0</v>
      </c>
      <c r="CQ259" s="581"/>
      <c r="CR259" s="684">
        <f>CR258/CP239*CR2/CR1</f>
        <v>0.55277436618548381</v>
      </c>
      <c r="CS259" s="684">
        <f>CS258/CR239*CS2/CS1</f>
        <v>0.18496713517058411</v>
      </c>
      <c r="CT259" s="684">
        <f>CT258/CR239*CT2/CT1</f>
        <v>0.2900600658787057</v>
      </c>
      <c r="CU259" s="290"/>
      <c r="CV259" s="684">
        <f>CV258/CT239*CV2/CV1</f>
        <v>0</v>
      </c>
      <c r="CW259" s="684">
        <f>CW258/CV239*CW2/CW1</f>
        <v>0</v>
      </c>
      <c r="CX259" s="684">
        <f>CX258/CV239*CX2/CX1</f>
        <v>0</v>
      </c>
      <c r="CY259" s="290"/>
      <c r="CZ259" s="684">
        <f>CZ258/CX239*CZ2/CZ1</f>
        <v>0</v>
      </c>
      <c r="DA259" s="684">
        <f>DA258/CZ239*DA2/DA1</f>
        <v>0</v>
      </c>
      <c r="DB259" s="684">
        <f>DB258/CZ239*DB2/DB1</f>
        <v>0</v>
      </c>
      <c r="DC259" s="290"/>
      <c r="DD259" s="684">
        <f>DD258/DB239*DD2/DD1</f>
        <v>0</v>
      </c>
      <c r="DE259" s="684">
        <f>DE258/DD239*DE2/DE1</f>
        <v>0</v>
      </c>
      <c r="DF259" s="684">
        <f>DF258/DD239*DF2/DF1</f>
        <v>0</v>
      </c>
      <c r="DG259" s="290"/>
      <c r="DH259" s="684">
        <f>DH258/DF239*DH2/DH1</f>
        <v>0</v>
      </c>
      <c r="DI259" s="905"/>
      <c r="DJ259" s="905"/>
      <c r="DK259" s="290"/>
      <c r="DL259" s="905"/>
      <c r="DM259" s="905"/>
      <c r="DN259" s="905"/>
      <c r="DO259" s="290"/>
      <c r="DP259" s="905"/>
      <c r="DQ259" s="905"/>
      <c r="DR259" s="905"/>
      <c r="DS259" s="290"/>
      <c r="DT259" s="290"/>
      <c r="DU259" s="290"/>
      <c r="DV259" s="290"/>
      <c r="DW259" s="290"/>
      <c r="DX259" s="290"/>
      <c r="DY259" s="290"/>
      <c r="DZ259" s="290"/>
      <c r="EA259" s="290"/>
      <c r="EB259" s="290"/>
      <c r="EC259" s="290"/>
      <c r="ED259" s="290"/>
      <c r="EE259" s="290"/>
      <c r="EF259" s="290"/>
      <c r="EG259" s="290"/>
      <c r="EH259" s="290"/>
      <c r="EI259" s="290"/>
      <c r="EJ259" s="290"/>
      <c r="EK259" s="290"/>
      <c r="EL259" s="290"/>
      <c r="EM259" s="290"/>
      <c r="EN259" s="290"/>
      <c r="EO259" s="290"/>
      <c r="EP259" s="290"/>
      <c r="JM259"/>
    </row>
    <row r="261" spans="1:273" s="699" customFormat="1">
      <c r="A261" s="877" t="s">
        <v>854</v>
      </c>
      <c r="B261" s="867"/>
      <c r="AN261" s="867"/>
      <c r="AO261" s="867"/>
      <c r="AP261" s="867"/>
      <c r="AQ261" s="867"/>
      <c r="AR261" s="867"/>
      <c r="AS261" s="867"/>
      <c r="AT261" s="867"/>
      <c r="AU261" s="867"/>
      <c r="AV261" s="867"/>
      <c r="AW261" s="867"/>
      <c r="AX261" s="867"/>
      <c r="AY261" s="867"/>
      <c r="AZ261" s="867"/>
      <c r="BA261" s="867"/>
      <c r="BB261" s="867"/>
      <c r="BC261" s="867"/>
      <c r="BD261" s="867"/>
      <c r="BE261" s="867"/>
      <c r="BF261" s="867"/>
      <c r="BG261" s="867"/>
      <c r="BH261" s="867"/>
      <c r="BI261" s="867"/>
      <c r="BJ261" s="867"/>
      <c r="BK261" s="867"/>
      <c r="BL261" s="867"/>
      <c r="BM261" s="867"/>
      <c r="BN261" s="867"/>
      <c r="BO261" s="867"/>
      <c r="BP261" s="867"/>
      <c r="BQ261" s="867"/>
      <c r="BR261" s="867"/>
      <c r="BS261" s="867"/>
      <c r="BT261" s="867"/>
      <c r="BU261" s="867"/>
      <c r="BV261" s="867"/>
      <c r="BW261" s="867"/>
      <c r="BX261" s="867"/>
      <c r="BY261" s="867"/>
      <c r="BZ261" s="867"/>
      <c r="CA261" s="867"/>
      <c r="CB261" s="867"/>
      <c r="CC261" s="867"/>
      <c r="CD261" s="867"/>
      <c r="CE261" s="1608"/>
      <c r="CF261" s="867"/>
      <c r="CG261" s="867"/>
      <c r="CH261" s="867"/>
      <c r="CI261" s="1608"/>
      <c r="CJ261" s="867"/>
      <c r="CK261" s="867" t="s">
        <v>1213</v>
      </c>
      <c r="CL261" s="867"/>
      <c r="CM261" s="1608"/>
      <c r="CN261" s="867"/>
      <c r="CO261" s="867" t="s">
        <v>1213</v>
      </c>
      <c r="CP261" s="867"/>
      <c r="CQ261" s="1608"/>
      <c r="CR261" s="867"/>
      <c r="CS261" s="867"/>
      <c r="CT261" s="867"/>
      <c r="CU261" s="867"/>
      <c r="CV261" s="867"/>
      <c r="CW261" s="867"/>
      <c r="CX261" s="867"/>
      <c r="CY261" s="867"/>
      <c r="CZ261" s="867"/>
      <c r="DA261" s="867"/>
      <c r="DB261" s="867"/>
      <c r="DC261" s="867"/>
      <c r="DD261" s="867"/>
      <c r="DE261" s="867"/>
      <c r="DF261" s="867"/>
      <c r="DG261" s="867"/>
      <c r="DH261" s="867"/>
      <c r="DI261" s="867"/>
      <c r="DJ261" s="867"/>
      <c r="DK261" s="867"/>
      <c r="DL261" s="867"/>
      <c r="DM261" s="867"/>
      <c r="DN261" s="867"/>
      <c r="DO261" s="867"/>
      <c r="DP261" s="867"/>
      <c r="DQ261" s="867"/>
      <c r="DR261" s="867"/>
      <c r="DS261" s="867"/>
      <c r="DT261" s="867"/>
      <c r="DU261" s="867"/>
      <c r="DV261" s="867"/>
      <c r="DW261" s="867"/>
      <c r="DX261" s="867"/>
      <c r="DY261" s="867"/>
      <c r="DZ261" s="867"/>
      <c r="EA261" s="867"/>
      <c r="EB261" s="867"/>
      <c r="EC261" s="867"/>
      <c r="ED261" s="867"/>
      <c r="EE261" s="867"/>
      <c r="EF261" s="867"/>
      <c r="EG261" s="867"/>
      <c r="EH261" s="867"/>
      <c r="EI261" s="867"/>
      <c r="EJ261" s="867"/>
      <c r="EK261" s="867"/>
      <c r="EL261" s="867"/>
      <c r="EM261" s="867"/>
      <c r="EN261" s="867"/>
      <c r="EO261" s="867"/>
      <c r="EP261" s="867"/>
      <c r="FL261" s="102"/>
      <c r="FM261" s="102"/>
      <c r="FN261" s="102"/>
      <c r="FO261" s="102"/>
      <c r="FP261" s="102"/>
      <c r="FQ261" s="102"/>
      <c r="FR261" s="102"/>
      <c r="FS261" s="102"/>
      <c r="FT261" s="102"/>
      <c r="FU261" s="102"/>
      <c r="FV261" s="102"/>
      <c r="FW261" s="102"/>
      <c r="FX261" s="102"/>
      <c r="FY261" s="102"/>
      <c r="FZ261" s="102"/>
      <c r="GA261" s="102"/>
      <c r="GB261" s="102"/>
      <c r="GC261" s="102"/>
      <c r="GD261" s="102"/>
      <c r="GE261" s="102"/>
      <c r="GF261" s="102"/>
      <c r="GG261" s="102"/>
      <c r="GH261" s="102"/>
      <c r="GI261" s="102"/>
      <c r="GJ261" s="102"/>
      <c r="GK261" s="102"/>
      <c r="GL261" s="102"/>
      <c r="GM261" s="102"/>
      <c r="GN261" s="102"/>
      <c r="GO261" s="102"/>
      <c r="GP261" s="102"/>
      <c r="GQ261" s="102"/>
      <c r="GR261" s="102"/>
      <c r="GS261" s="102"/>
      <c r="GT261" s="102"/>
      <c r="GU261" s="102"/>
      <c r="GV261" s="102"/>
      <c r="GW261" s="102"/>
      <c r="GX261" s="102"/>
      <c r="GY261" s="102"/>
      <c r="GZ261" s="102"/>
      <c r="HA261" s="102"/>
      <c r="HB261" s="102"/>
      <c r="HC261" s="102"/>
      <c r="HD261" s="102"/>
      <c r="HE261" s="102"/>
      <c r="HF261" s="102"/>
      <c r="HG261" s="102"/>
      <c r="HH261" s="102"/>
      <c r="HI261" s="102"/>
      <c r="HJ261" s="102"/>
      <c r="HK261" s="102"/>
      <c r="HL261" s="102"/>
      <c r="HM261" s="102"/>
      <c r="HN261" s="102"/>
      <c r="HO261" s="102"/>
      <c r="HP261" s="102"/>
      <c r="HQ261" s="102"/>
      <c r="HR261" s="102"/>
      <c r="HS261" s="102"/>
      <c r="HT261" s="102"/>
      <c r="HU261" s="102"/>
      <c r="HV261" s="102"/>
      <c r="HW261" s="102"/>
      <c r="HX261" s="102"/>
      <c r="HY261" s="102"/>
      <c r="HZ261" s="102"/>
      <c r="IA261" s="102"/>
      <c r="IB261" s="102"/>
      <c r="IC261" s="102"/>
      <c r="ID261" s="102"/>
      <c r="IE261" s="102"/>
      <c r="IF261" s="102"/>
      <c r="IG261" s="102"/>
      <c r="IH261" s="102"/>
      <c r="II261" s="102"/>
      <c r="IJ261" s="102"/>
      <c r="IK261" s="102"/>
      <c r="IL261" s="102"/>
      <c r="IM261" s="102"/>
      <c r="IN261" s="102"/>
      <c r="IO261" s="102"/>
      <c r="IP261" s="102"/>
      <c r="IQ261" s="102"/>
      <c r="IR261" s="102"/>
      <c r="IS261" s="102"/>
      <c r="IT261" s="102"/>
      <c r="IU261" s="102"/>
      <c r="IV261" s="102"/>
      <c r="IW261" s="102"/>
      <c r="IX261" s="102"/>
      <c r="IY261" s="102"/>
      <c r="IZ261" s="102"/>
      <c r="JA261" s="102"/>
      <c r="JB261" s="102"/>
      <c r="JC261" s="102"/>
      <c r="JD261" s="102"/>
      <c r="JE261" s="102"/>
      <c r="JF261" s="102"/>
      <c r="JG261" s="102"/>
      <c r="JH261" s="102"/>
      <c r="JI261" s="102"/>
      <c r="JJ261" s="102"/>
      <c r="JK261" s="102"/>
      <c r="JL261" s="102"/>
      <c r="JM261"/>
    </row>
    <row r="262" spans="1:273" s="886" customFormat="1">
      <c r="A262" s="102" t="s">
        <v>903</v>
      </c>
      <c r="B262" s="103"/>
      <c r="C262" s="102"/>
      <c r="D262" s="102"/>
      <c r="E262" s="102"/>
      <c r="F262" s="102"/>
      <c r="G262" s="102"/>
      <c r="H262" s="102"/>
      <c r="I262" s="102"/>
      <c r="J262" s="102"/>
      <c r="K262" s="102"/>
      <c r="L262" s="102"/>
      <c r="M262" s="102"/>
      <c r="N262" s="102"/>
      <c r="O262" s="102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  <c r="AA262" s="102"/>
      <c r="AB262" s="102"/>
      <c r="AC262" s="102"/>
      <c r="AD262" s="102"/>
      <c r="AE262" s="102"/>
      <c r="AF262" s="102"/>
      <c r="AG262" s="102"/>
      <c r="AH262" s="102"/>
      <c r="AI262" s="102"/>
      <c r="AJ262" s="102"/>
      <c r="AK262" s="102"/>
      <c r="AL262" s="102"/>
      <c r="AM262" s="102"/>
      <c r="AN262" s="103"/>
      <c r="AO262" s="103"/>
      <c r="AP262" s="103"/>
      <c r="AQ262" s="103"/>
      <c r="AR262" s="103"/>
      <c r="AS262" s="103"/>
      <c r="AT262" s="103"/>
      <c r="AU262" s="103"/>
      <c r="AV262" s="103"/>
      <c r="AW262" s="103"/>
      <c r="AX262" s="103"/>
      <c r="AY262" s="103"/>
      <c r="AZ262" s="103"/>
      <c r="BA262" s="103"/>
      <c r="BB262" s="103"/>
      <c r="BC262" s="103"/>
      <c r="BD262" s="626"/>
      <c r="BE262" s="626">
        <v>191900</v>
      </c>
      <c r="BF262" s="293">
        <f>BE262</f>
        <v>191900</v>
      </c>
      <c r="BG262" s="103"/>
      <c r="BH262" s="626">
        <v>200700</v>
      </c>
      <c r="BI262" s="626">
        <v>205000</v>
      </c>
      <c r="BJ262" s="293">
        <f>BI262</f>
        <v>205000</v>
      </c>
      <c r="BK262" s="103"/>
      <c r="BL262" s="626">
        <v>226200</v>
      </c>
      <c r="BM262" s="626">
        <v>236300</v>
      </c>
      <c r="BN262" s="293">
        <f>BM262</f>
        <v>236300</v>
      </c>
      <c r="BO262" s="103"/>
      <c r="BP262" s="626">
        <v>242300</v>
      </c>
      <c r="BQ262" s="626">
        <v>289000</v>
      </c>
      <c r="BR262" s="293">
        <f>BQ262</f>
        <v>289000</v>
      </c>
      <c r="BS262" s="103"/>
      <c r="BT262" s="626">
        <v>286000</v>
      </c>
      <c r="BU262" s="626">
        <v>267600</v>
      </c>
      <c r="BV262" s="293">
        <f>BU262</f>
        <v>267600</v>
      </c>
      <c r="BW262" s="103"/>
      <c r="BX262" s="626">
        <v>278500</v>
      </c>
      <c r="BY262" s="626">
        <v>244700</v>
      </c>
      <c r="BZ262" s="293">
        <f>BY262</f>
        <v>244700</v>
      </c>
      <c r="CA262" s="103"/>
      <c r="CB262" s="626">
        <v>249300</v>
      </c>
      <c r="CC262" s="626">
        <v>255100</v>
      </c>
      <c r="CD262" s="293">
        <f>CC262</f>
        <v>255100</v>
      </c>
      <c r="CE262" s="115"/>
      <c r="CF262" s="626">
        <v>283500</v>
      </c>
      <c r="CG262" s="626">
        <v>275500</v>
      </c>
      <c r="CH262" s="293">
        <f>CG262</f>
        <v>275500</v>
      </c>
      <c r="CI262" s="115"/>
      <c r="CJ262" s="626">
        <v>270500</v>
      </c>
      <c r="CK262" s="626">
        <v>291600</v>
      </c>
      <c r="CL262" s="293">
        <f>CK262</f>
        <v>291600</v>
      </c>
      <c r="CM262" s="115"/>
      <c r="CN262" s="626">
        <v>277200</v>
      </c>
      <c r="CO262" s="626">
        <v>279100</v>
      </c>
      <c r="CP262" s="293">
        <f>CO262</f>
        <v>279100</v>
      </c>
      <c r="CQ262" s="115"/>
      <c r="CR262" s="626">
        <v>403500</v>
      </c>
      <c r="CS262" s="626">
        <v>375600</v>
      </c>
      <c r="CT262" s="293">
        <f>CS262</f>
        <v>375600</v>
      </c>
      <c r="CU262" s="103"/>
      <c r="CV262" s="626">
        <v>372800</v>
      </c>
      <c r="CW262" s="626">
        <v>374700</v>
      </c>
      <c r="CX262" s="293">
        <f>CW262</f>
        <v>374700</v>
      </c>
      <c r="CY262" s="103"/>
      <c r="CZ262" s="626">
        <v>382800</v>
      </c>
      <c r="DA262" s="1388">
        <v>395900</v>
      </c>
      <c r="DB262" s="293">
        <f>DA262</f>
        <v>395900</v>
      </c>
      <c r="DC262" s="103"/>
      <c r="DD262" s="626">
        <v>365600</v>
      </c>
      <c r="DE262" s="2176">
        <v>380400</v>
      </c>
      <c r="DF262" s="293">
        <f>DE262</f>
        <v>380400</v>
      </c>
      <c r="DG262" s="103"/>
      <c r="DH262" s="626">
        <v>362000</v>
      </c>
      <c r="DI262" s="293"/>
      <c r="DJ262" s="293"/>
      <c r="DK262" s="103"/>
      <c r="DL262" s="293"/>
      <c r="DM262" s="293"/>
      <c r="DN262" s="293"/>
      <c r="DO262" s="103"/>
      <c r="DP262" s="293"/>
      <c r="DQ262" s="293"/>
      <c r="DR262" s="293"/>
      <c r="DS262" s="103"/>
      <c r="DT262" s="103"/>
      <c r="DU262" s="103"/>
      <c r="DV262" s="887"/>
      <c r="DW262" s="887"/>
      <c r="DX262" s="887"/>
      <c r="DY262" s="887"/>
      <c r="DZ262" s="887"/>
      <c r="EA262" s="887"/>
      <c r="EB262" s="887"/>
      <c r="EC262" s="887"/>
      <c r="ED262" s="887"/>
      <c r="EE262" s="887"/>
      <c r="EF262" s="887"/>
      <c r="EG262" s="887"/>
      <c r="EH262" s="887"/>
      <c r="EI262" s="887"/>
      <c r="EJ262" s="887"/>
      <c r="EK262" s="887"/>
      <c r="EL262" s="887"/>
      <c r="EM262" s="887"/>
      <c r="EN262" s="887"/>
      <c r="EO262" s="887"/>
      <c r="EP262" s="887"/>
      <c r="JM262"/>
    </row>
    <row r="263" spans="1:273" s="886" customFormat="1">
      <c r="A263" s="102" t="s">
        <v>926</v>
      </c>
      <c r="B263" s="103"/>
      <c r="C263" s="102"/>
      <c r="D263" s="102"/>
      <c r="E263" s="102"/>
      <c r="F263" s="102"/>
      <c r="G263" s="102"/>
      <c r="H263" s="102"/>
      <c r="I263" s="102"/>
      <c r="J263" s="102"/>
      <c r="K263" s="102"/>
      <c r="L263" s="102"/>
      <c r="M263" s="102"/>
      <c r="N263" s="102"/>
      <c r="O263" s="102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  <c r="AA263" s="102"/>
      <c r="AB263" s="102"/>
      <c r="AC263" s="102"/>
      <c r="AD263" s="102"/>
      <c r="AE263" s="102"/>
      <c r="AF263" s="102"/>
      <c r="AG263" s="102"/>
      <c r="AH263" s="102"/>
      <c r="AI263" s="102"/>
      <c r="AJ263" s="102"/>
      <c r="AK263" s="102"/>
      <c r="AL263" s="102"/>
      <c r="AM263" s="102"/>
      <c r="AN263" s="103"/>
      <c r="AO263" s="103"/>
      <c r="AP263" s="103"/>
      <c r="AQ263" s="103"/>
      <c r="AR263" s="103"/>
      <c r="AS263" s="103"/>
      <c r="AT263" s="103"/>
      <c r="AU263" s="103"/>
      <c r="AV263" s="103"/>
      <c r="AW263" s="103"/>
      <c r="AX263" s="103"/>
      <c r="AY263" s="103"/>
      <c r="AZ263" s="103"/>
      <c r="BA263" s="103"/>
      <c r="BB263" s="103"/>
      <c r="BC263" s="103"/>
      <c r="BD263" s="626"/>
      <c r="BE263" s="626">
        <v>65500</v>
      </c>
      <c r="BF263" s="293">
        <f>BE263</f>
        <v>65500</v>
      </c>
      <c r="BG263" s="103"/>
      <c r="BH263" s="626">
        <v>69300</v>
      </c>
      <c r="BI263" s="626">
        <v>67800</v>
      </c>
      <c r="BJ263" s="293">
        <f>BI263</f>
        <v>67800</v>
      </c>
      <c r="BK263" s="103"/>
      <c r="BL263" s="626">
        <v>78900</v>
      </c>
      <c r="BM263" s="626">
        <v>79700</v>
      </c>
      <c r="BN263" s="293">
        <f>BM263</f>
        <v>79700</v>
      </c>
      <c r="BO263" s="103"/>
      <c r="BP263" s="626">
        <v>77700</v>
      </c>
      <c r="BQ263" s="626">
        <v>86700</v>
      </c>
      <c r="BR263" s="293">
        <f>BQ263</f>
        <v>86700</v>
      </c>
      <c r="BS263" s="103"/>
      <c r="BT263" s="626">
        <v>98900</v>
      </c>
      <c r="BU263" s="626">
        <v>89900</v>
      </c>
      <c r="BV263" s="293">
        <f>BU263</f>
        <v>89900</v>
      </c>
      <c r="BW263" s="103"/>
      <c r="BX263" s="626">
        <v>88500</v>
      </c>
      <c r="BY263" s="626">
        <v>103500</v>
      </c>
      <c r="BZ263" s="293">
        <f>BY263</f>
        <v>103500</v>
      </c>
      <c r="CA263" s="103"/>
      <c r="CB263" s="626">
        <v>88900</v>
      </c>
      <c r="CC263" s="626">
        <v>92000</v>
      </c>
      <c r="CD263" s="293">
        <f>CC263</f>
        <v>92000</v>
      </c>
      <c r="CE263" s="115"/>
      <c r="CF263" s="626">
        <v>112100</v>
      </c>
      <c r="CG263" s="626">
        <v>107500</v>
      </c>
      <c r="CH263" s="293">
        <f>CG263</f>
        <v>107500</v>
      </c>
      <c r="CI263" s="115"/>
      <c r="CJ263" s="626">
        <v>122100</v>
      </c>
      <c r="CK263" s="626">
        <v>132000</v>
      </c>
      <c r="CL263" s="293">
        <f>CK263</f>
        <v>132000</v>
      </c>
      <c r="CM263" s="115"/>
      <c r="CN263" s="626">
        <v>115500</v>
      </c>
      <c r="CO263" s="626">
        <v>115100</v>
      </c>
      <c r="CP263" s="293">
        <f>CO263</f>
        <v>115100</v>
      </c>
      <c r="CQ263" s="115"/>
      <c r="CR263" s="626">
        <v>129300</v>
      </c>
      <c r="CS263" s="626">
        <v>148600</v>
      </c>
      <c r="CT263" s="293">
        <f>CS263</f>
        <v>148600</v>
      </c>
      <c r="CU263" s="103"/>
      <c r="CV263" s="626">
        <v>177900</v>
      </c>
      <c r="CW263" s="626">
        <v>198000</v>
      </c>
      <c r="CX263" s="293">
        <f>CW263</f>
        <v>198000</v>
      </c>
      <c r="CY263" s="103"/>
      <c r="CZ263" s="626">
        <v>186200</v>
      </c>
      <c r="DA263" s="1388">
        <v>202400</v>
      </c>
      <c r="DB263" s="293">
        <f>DA263</f>
        <v>202400</v>
      </c>
      <c r="DC263" s="103"/>
      <c r="DD263" s="626">
        <v>198900</v>
      </c>
      <c r="DE263" s="2176">
        <v>211900</v>
      </c>
      <c r="DF263" s="293">
        <f>DE263</f>
        <v>211900</v>
      </c>
      <c r="DG263" s="103"/>
      <c r="DH263" s="626">
        <v>218300</v>
      </c>
      <c r="DI263" s="293"/>
      <c r="DJ263" s="293"/>
      <c r="DK263" s="103"/>
      <c r="DL263" s="293"/>
      <c r="DM263" s="293"/>
      <c r="DN263" s="293"/>
      <c r="DO263" s="103"/>
      <c r="DP263" s="293"/>
      <c r="DQ263" s="293"/>
      <c r="DR263" s="293"/>
      <c r="DS263" s="103"/>
      <c r="DT263" s="103"/>
      <c r="DU263" s="103"/>
      <c r="DV263" s="887"/>
      <c r="DW263" s="887"/>
      <c r="DX263" s="887"/>
      <c r="DY263" s="887"/>
      <c r="DZ263" s="887"/>
      <c r="EA263" s="887"/>
      <c r="EB263" s="887"/>
      <c r="EC263" s="887"/>
      <c r="ED263" s="887"/>
      <c r="EE263" s="887"/>
      <c r="EF263" s="887"/>
      <c r="EG263" s="887"/>
      <c r="EH263" s="887"/>
      <c r="EI263" s="887"/>
      <c r="EJ263" s="887"/>
      <c r="EK263" s="887"/>
      <c r="EL263" s="887"/>
      <c r="EM263" s="887"/>
      <c r="EN263" s="887"/>
      <c r="EO263" s="887"/>
      <c r="EP263" s="887"/>
      <c r="JM263"/>
    </row>
    <row r="264" spans="1:273" s="886" customFormat="1">
      <c r="A264" s="102" t="s">
        <v>905</v>
      </c>
      <c r="B264" s="103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3"/>
      <c r="AO264" s="103"/>
      <c r="AP264" s="103"/>
      <c r="AQ264" s="103"/>
      <c r="AR264" s="103"/>
      <c r="AS264" s="103"/>
      <c r="AT264" s="103"/>
      <c r="AU264" s="103"/>
      <c r="AV264" s="103"/>
      <c r="AW264" s="103"/>
      <c r="AX264" s="103"/>
      <c r="AY264" s="103"/>
      <c r="AZ264" s="103"/>
      <c r="BA264" s="103"/>
      <c r="BB264" s="103"/>
      <c r="BC264" s="103"/>
      <c r="BD264" s="626"/>
      <c r="BE264" s="626">
        <v>54900</v>
      </c>
      <c r="BF264" s="293">
        <f>BE264</f>
        <v>54900</v>
      </c>
      <c r="BG264" s="103"/>
      <c r="BH264" s="626">
        <v>55300</v>
      </c>
      <c r="BI264" s="626">
        <v>60200</v>
      </c>
      <c r="BJ264" s="293">
        <f>BI264</f>
        <v>60200</v>
      </c>
      <c r="BK264" s="103"/>
      <c r="BL264" s="626">
        <v>62100</v>
      </c>
      <c r="BM264" s="626">
        <v>70500</v>
      </c>
      <c r="BN264" s="293">
        <f>BM264</f>
        <v>70500</v>
      </c>
      <c r="BO264" s="103"/>
      <c r="BP264" s="626">
        <v>66800</v>
      </c>
      <c r="BQ264" s="626">
        <v>81700</v>
      </c>
      <c r="BR264" s="293">
        <f>BQ264</f>
        <v>81700</v>
      </c>
      <c r="BS264" s="103"/>
      <c r="BT264" s="626">
        <v>76800</v>
      </c>
      <c r="BU264" s="626">
        <v>76800</v>
      </c>
      <c r="BV264" s="293">
        <f>BU264</f>
        <v>76800</v>
      </c>
      <c r="BW264" s="103"/>
      <c r="BX264" s="626">
        <v>80200</v>
      </c>
      <c r="BY264" s="626">
        <v>84400</v>
      </c>
      <c r="BZ264" s="293">
        <f>BY264</f>
        <v>84400</v>
      </c>
      <c r="CA264" s="103"/>
      <c r="CB264" s="626">
        <v>89800</v>
      </c>
      <c r="CC264" s="626">
        <v>97900</v>
      </c>
      <c r="CD264" s="293">
        <f>CC264</f>
        <v>97900</v>
      </c>
      <c r="CE264" s="115"/>
      <c r="CF264" s="626">
        <v>100200</v>
      </c>
      <c r="CG264" s="626">
        <v>108100</v>
      </c>
      <c r="CH264" s="293">
        <f>CG264</f>
        <v>108100</v>
      </c>
      <c r="CI264" s="115"/>
      <c r="CJ264" s="626">
        <v>109700</v>
      </c>
      <c r="CK264" s="626">
        <v>116400</v>
      </c>
      <c r="CL264" s="293">
        <f>CK264</f>
        <v>116400</v>
      </c>
      <c r="CM264" s="115"/>
      <c r="CN264" s="626">
        <v>125200</v>
      </c>
      <c r="CO264" s="626">
        <v>133800</v>
      </c>
      <c r="CP264" s="293">
        <f>CO264</f>
        <v>133800</v>
      </c>
      <c r="CQ264" s="115"/>
      <c r="CR264" s="626">
        <v>167600</v>
      </c>
      <c r="CS264" s="626">
        <v>225000</v>
      </c>
      <c r="CT264" s="293">
        <f>CS264</f>
        <v>225000</v>
      </c>
      <c r="CU264" s="103"/>
      <c r="CV264" s="626">
        <v>237100</v>
      </c>
      <c r="CW264" s="626">
        <v>257800</v>
      </c>
      <c r="CX264" s="293">
        <f>CW264</f>
        <v>257800</v>
      </c>
      <c r="CY264" s="103"/>
      <c r="CZ264" s="626">
        <v>273500</v>
      </c>
      <c r="DA264" s="1388">
        <v>289200</v>
      </c>
      <c r="DB264" s="293">
        <f>DA264</f>
        <v>289200</v>
      </c>
      <c r="DC264" s="103"/>
      <c r="DD264" s="626">
        <v>299000</v>
      </c>
      <c r="DE264" s="2176">
        <v>291900</v>
      </c>
      <c r="DF264" s="293">
        <f>DE264</f>
        <v>291900</v>
      </c>
      <c r="DG264" s="103"/>
      <c r="DH264" s="626">
        <v>319200</v>
      </c>
      <c r="DI264" s="293"/>
      <c r="DJ264" s="293"/>
      <c r="DK264" s="103"/>
      <c r="DL264" s="293"/>
      <c r="DM264" s="293"/>
      <c r="DN264" s="293"/>
      <c r="DO264" s="103"/>
      <c r="DP264" s="293"/>
      <c r="DQ264" s="293"/>
      <c r="DR264" s="293"/>
      <c r="DS264" s="103"/>
      <c r="DT264" s="103"/>
      <c r="DU264" s="103"/>
      <c r="DV264" s="887"/>
      <c r="DW264" s="887"/>
      <c r="DX264" s="887"/>
      <c r="DY264" s="887"/>
      <c r="DZ264" s="887"/>
      <c r="EA264" s="887"/>
      <c r="EB264" s="887"/>
      <c r="EC264" s="887"/>
      <c r="ED264" s="887"/>
      <c r="EE264" s="887"/>
      <c r="EF264" s="887"/>
      <c r="EG264" s="887"/>
      <c r="EH264" s="887"/>
      <c r="EI264" s="887"/>
      <c r="EJ264" s="887"/>
      <c r="EK264" s="887"/>
      <c r="EL264" s="887"/>
      <c r="EM264" s="887"/>
      <c r="EN264" s="887"/>
      <c r="EO264" s="887"/>
      <c r="EP264" s="887"/>
      <c r="JM264"/>
    </row>
    <row r="265" spans="1:273" s="886" customFormat="1">
      <c r="A265" s="102" t="s">
        <v>904</v>
      </c>
      <c r="B265" s="103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  <c r="AA265" s="102"/>
      <c r="AB265" s="102"/>
      <c r="AC265" s="102"/>
      <c r="AD265" s="102"/>
      <c r="AE265" s="102"/>
      <c r="AF265" s="102"/>
      <c r="AG265" s="102"/>
      <c r="AH265" s="102"/>
      <c r="AI265" s="102"/>
      <c r="AJ265" s="102"/>
      <c r="AK265" s="102"/>
      <c r="AL265" s="102"/>
      <c r="AM265" s="102"/>
      <c r="AN265" s="103"/>
      <c r="AO265" s="103"/>
      <c r="AP265" s="103"/>
      <c r="AQ265" s="103"/>
      <c r="AR265" s="103"/>
      <c r="AS265" s="103"/>
      <c r="AT265" s="103"/>
      <c r="AU265" s="103"/>
      <c r="AV265" s="103"/>
      <c r="AW265" s="103"/>
      <c r="AX265" s="103"/>
      <c r="AY265" s="103"/>
      <c r="AZ265" s="103"/>
      <c r="BA265" s="103"/>
      <c r="BB265" s="103"/>
      <c r="BC265" s="103"/>
      <c r="BD265" s="626"/>
      <c r="BE265" s="626">
        <v>14600</v>
      </c>
      <c r="BF265" s="293">
        <f>BE265</f>
        <v>14600</v>
      </c>
      <c r="BG265" s="103"/>
      <c r="BH265" s="626">
        <v>15200</v>
      </c>
      <c r="BI265" s="626">
        <v>14400</v>
      </c>
      <c r="BJ265" s="293">
        <f>BI265</f>
        <v>14400</v>
      </c>
      <c r="BK265" s="103"/>
      <c r="BL265" s="626">
        <v>17600</v>
      </c>
      <c r="BM265" s="626">
        <v>40400</v>
      </c>
      <c r="BN265" s="293">
        <f>BM265</f>
        <v>40400</v>
      </c>
      <c r="BO265" s="103"/>
      <c r="BP265" s="626">
        <v>38600</v>
      </c>
      <c r="BQ265" s="626">
        <v>28900</v>
      </c>
      <c r="BR265" s="293">
        <f>BQ265</f>
        <v>28900</v>
      </c>
      <c r="BS265" s="103"/>
      <c r="BT265" s="626">
        <v>42600</v>
      </c>
      <c r="BU265" s="626">
        <v>44300</v>
      </c>
      <c r="BV265" s="293">
        <f>BU265</f>
        <v>44300</v>
      </c>
      <c r="BW265" s="103"/>
      <c r="BX265" s="626">
        <v>45900</v>
      </c>
      <c r="BY265" s="626">
        <v>49100</v>
      </c>
      <c r="BZ265" s="293">
        <f>BY265</f>
        <v>49100</v>
      </c>
      <c r="CA265" s="103"/>
      <c r="CB265" s="626">
        <v>45600</v>
      </c>
      <c r="CC265" s="626">
        <v>51700</v>
      </c>
      <c r="CD265" s="293">
        <f>CC265</f>
        <v>51700</v>
      </c>
      <c r="CE265" s="115"/>
      <c r="CF265" s="626">
        <v>55200</v>
      </c>
      <c r="CG265" s="626">
        <v>60200</v>
      </c>
      <c r="CH265" s="293">
        <f>CG265</f>
        <v>60200</v>
      </c>
      <c r="CI265" s="115"/>
      <c r="CJ265" s="626">
        <v>61100</v>
      </c>
      <c r="CK265" s="626">
        <v>66900</v>
      </c>
      <c r="CL265" s="293">
        <f>CK265</f>
        <v>66900</v>
      </c>
      <c r="CM265" s="115"/>
      <c r="CN265" s="626">
        <v>38400</v>
      </c>
      <c r="CO265" s="626">
        <v>35500</v>
      </c>
      <c r="CP265" s="293">
        <f>CO265</f>
        <v>35500</v>
      </c>
      <c r="CQ265" s="115"/>
      <c r="CR265" s="626">
        <v>36600</v>
      </c>
      <c r="CS265" s="626">
        <v>43800</v>
      </c>
      <c r="CT265" s="293">
        <f>CS265</f>
        <v>43800</v>
      </c>
      <c r="CU265" s="103"/>
      <c r="CV265" s="626">
        <v>45100</v>
      </c>
      <c r="CW265" s="626">
        <v>48100</v>
      </c>
      <c r="CX265" s="293">
        <f>CW265</f>
        <v>48100</v>
      </c>
      <c r="CY265" s="103"/>
      <c r="CZ265" s="626">
        <v>49500</v>
      </c>
      <c r="DA265" s="1388">
        <v>50800</v>
      </c>
      <c r="DB265" s="293">
        <f>DA265</f>
        <v>50800</v>
      </c>
      <c r="DC265" s="103"/>
      <c r="DD265" s="626">
        <v>53300</v>
      </c>
      <c r="DE265" s="2176">
        <v>56800</v>
      </c>
      <c r="DF265" s="293">
        <f>DE265</f>
        <v>56800</v>
      </c>
      <c r="DG265" s="103"/>
      <c r="DH265" s="626">
        <v>59600</v>
      </c>
      <c r="DI265" s="293"/>
      <c r="DJ265" s="293"/>
      <c r="DK265" s="103"/>
      <c r="DL265" s="293"/>
      <c r="DM265" s="293"/>
      <c r="DN265" s="293"/>
      <c r="DO265" s="103"/>
      <c r="DP265" s="293"/>
      <c r="DQ265" s="293"/>
      <c r="DR265" s="293"/>
      <c r="DS265" s="103"/>
      <c r="DT265" s="103"/>
      <c r="DU265" s="103"/>
      <c r="DV265" s="887"/>
      <c r="DW265" s="887"/>
      <c r="DX265" s="887"/>
      <c r="DY265" s="887"/>
      <c r="DZ265" s="887"/>
      <c r="EA265" s="887"/>
      <c r="EB265" s="887"/>
      <c r="EC265" s="887"/>
      <c r="ED265" s="887"/>
      <c r="EE265" s="887"/>
      <c r="EF265" s="887"/>
      <c r="EG265" s="887"/>
      <c r="EH265" s="887"/>
      <c r="EI265" s="887"/>
      <c r="EJ265" s="887"/>
      <c r="EK265" s="887"/>
      <c r="EL265" s="887"/>
      <c r="EM265" s="887"/>
      <c r="EN265" s="887"/>
      <c r="EO265" s="887"/>
      <c r="EP265" s="887"/>
      <c r="JM265"/>
    </row>
    <row r="266" spans="1:273">
      <c r="A266" s="289" t="s">
        <v>588</v>
      </c>
      <c r="BD266" s="295"/>
      <c r="BE266" s="295">
        <f>SUM(BE262:BE265)</f>
        <v>326900</v>
      </c>
      <c r="BF266" s="295">
        <f>BE266</f>
        <v>326900</v>
      </c>
      <c r="BH266" s="295">
        <f>SUM(BH262:BH265)</f>
        <v>340500</v>
      </c>
      <c r="BI266" s="295">
        <f>SUM(BI262:BI265)</f>
        <v>347400</v>
      </c>
      <c r="BJ266" s="295">
        <f>BI266</f>
        <v>347400</v>
      </c>
      <c r="BL266" s="295">
        <f>SUM(BL262:BL265)</f>
        <v>384800</v>
      </c>
      <c r="BM266" s="295">
        <f>SUM(BM262:BM265)</f>
        <v>426900</v>
      </c>
      <c r="BN266" s="295">
        <f>BM266</f>
        <v>426900</v>
      </c>
      <c r="BP266" s="295">
        <f>SUM(BP262:BP265)</f>
        <v>425400</v>
      </c>
      <c r="BQ266" s="295">
        <f>SUM(BQ262:BQ265)</f>
        <v>486300</v>
      </c>
      <c r="BR266" s="295">
        <f>BQ266</f>
        <v>486300</v>
      </c>
      <c r="BT266" s="295">
        <f>SUM(BT262:BT265)</f>
        <v>504300</v>
      </c>
      <c r="BU266" s="295">
        <f>SUM(BU262:BU265)</f>
        <v>478600</v>
      </c>
      <c r="BV266" s="295">
        <f>BU266</f>
        <v>478600</v>
      </c>
      <c r="BX266" s="295">
        <f>SUM(BX262:BX265)</f>
        <v>493100</v>
      </c>
      <c r="BY266" s="295">
        <f>SUM(BY262:BY265)</f>
        <v>481700</v>
      </c>
      <c r="BZ266" s="295">
        <f>BY266</f>
        <v>481700</v>
      </c>
      <c r="CB266" s="295">
        <f>SUM(CB262:CB265)</f>
        <v>473600</v>
      </c>
      <c r="CC266" s="295">
        <f>SUM(CC262:CC265)</f>
        <v>496700</v>
      </c>
      <c r="CD266" s="295">
        <f>CC266</f>
        <v>496700</v>
      </c>
      <c r="CF266" s="295">
        <f>SUM(CF262:CF265)</f>
        <v>551000</v>
      </c>
      <c r="CG266" s="295">
        <f>SUM(CG262:CG265)</f>
        <v>551300</v>
      </c>
      <c r="CH266" s="295">
        <f>CG266</f>
        <v>551300</v>
      </c>
      <c r="CJ266" s="295">
        <f>SUM(CJ262:CJ265)</f>
        <v>563400</v>
      </c>
      <c r="CK266" s="295">
        <f>SUM(CK262:CK265)</f>
        <v>606900</v>
      </c>
      <c r="CL266" s="295">
        <f>CK266</f>
        <v>606900</v>
      </c>
      <c r="CN266" s="295">
        <f>SUM(CN262:CN265)</f>
        <v>556300</v>
      </c>
      <c r="CO266" s="295">
        <f>SUM(CO262:CO265)</f>
        <v>563500</v>
      </c>
      <c r="CP266" s="295">
        <f>CO266</f>
        <v>563500</v>
      </c>
      <c r="CR266" s="295">
        <f>SUM(CR262:CR265)</f>
        <v>737000</v>
      </c>
      <c r="CS266" s="295">
        <f>SUM(CS262:CS265)</f>
        <v>793000</v>
      </c>
      <c r="CT266" s="295">
        <f>CS266</f>
        <v>793000</v>
      </c>
      <c r="CV266" s="295">
        <f>SUM(CV262:CV265)</f>
        <v>832900</v>
      </c>
      <c r="CW266" s="295">
        <f>SUM(CW262:CW265)</f>
        <v>878600</v>
      </c>
      <c r="CX266" s="295">
        <f>CW266</f>
        <v>878600</v>
      </c>
      <c r="CZ266" s="295">
        <f>SUM(CZ262:CZ265)</f>
        <v>892000</v>
      </c>
      <c r="DA266" s="295">
        <f>SUM(DA262:DA265)</f>
        <v>938300</v>
      </c>
      <c r="DB266" s="295">
        <f>DA266</f>
        <v>938300</v>
      </c>
      <c r="DD266" s="295">
        <f>SUM(DD262:DD265)</f>
        <v>916800</v>
      </c>
      <c r="DE266" s="295">
        <f>SUM(DE262:DE265)</f>
        <v>941000</v>
      </c>
      <c r="DF266" s="295">
        <f>DE266</f>
        <v>941000</v>
      </c>
      <c r="DH266" s="295">
        <f>SUM(DH262:DH265)</f>
        <v>959100</v>
      </c>
      <c r="DI266" s="295"/>
      <c r="DJ266" s="295"/>
      <c r="DL266" s="295"/>
      <c r="DM266" s="295"/>
      <c r="DN266" s="295"/>
      <c r="DP266" s="295"/>
      <c r="DQ266" s="295"/>
      <c r="DR266" s="295"/>
    </row>
    <row r="267" spans="1:273">
      <c r="BD267" s="331"/>
      <c r="BE267" s="331">
        <f>BE189</f>
        <v>326947</v>
      </c>
      <c r="BH267" s="331">
        <f>BH189</f>
        <v>340500</v>
      </c>
      <c r="BI267" s="331">
        <f>BI189</f>
        <v>347400</v>
      </c>
      <c r="BL267" s="331">
        <f>BL189</f>
        <v>384800</v>
      </c>
      <c r="BM267" s="331">
        <f>BM189</f>
        <v>426900</v>
      </c>
      <c r="BP267" s="331">
        <f>BP189</f>
        <v>425400</v>
      </c>
      <c r="BQ267" s="331">
        <f>BQ189</f>
        <v>486300</v>
      </c>
      <c r="BT267" s="331">
        <f>BT189</f>
        <v>504300</v>
      </c>
      <c r="BU267" s="331">
        <f>BU189</f>
        <v>478600</v>
      </c>
      <c r="BX267" s="331">
        <f>BX189</f>
        <v>493100</v>
      </c>
      <c r="BY267" s="331">
        <f>BY189</f>
        <v>481700</v>
      </c>
      <c r="CB267" s="331">
        <f>CB189</f>
        <v>473600</v>
      </c>
      <c r="CC267" s="331">
        <f>CC189</f>
        <v>496700</v>
      </c>
      <c r="CF267" s="331">
        <f>CF189</f>
        <v>551000</v>
      </c>
      <c r="CG267" s="331">
        <f>CG189</f>
        <v>551300</v>
      </c>
      <c r="CJ267" s="331">
        <f>CJ189</f>
        <v>563400</v>
      </c>
      <c r="CK267" s="331">
        <f>CK189</f>
        <v>598900</v>
      </c>
      <c r="CN267" s="331">
        <f>CN189</f>
        <v>556300</v>
      </c>
      <c r="CO267" s="331">
        <f>CO189</f>
        <v>563500</v>
      </c>
      <c r="CR267" s="331">
        <f>CR189</f>
        <v>737000</v>
      </c>
      <c r="CS267" s="331">
        <f>CS189</f>
        <v>793000</v>
      </c>
      <c r="CV267" s="331">
        <f>CV189</f>
        <v>832900</v>
      </c>
      <c r="CW267" s="331">
        <f>CW189</f>
        <v>878600</v>
      </c>
      <c r="CZ267" s="331">
        <f>CZ189</f>
        <v>892000</v>
      </c>
      <c r="DA267" s="331">
        <f>DA189</f>
        <v>938300</v>
      </c>
      <c r="DD267" s="331">
        <f>DD189</f>
        <v>916800</v>
      </c>
      <c r="DE267" s="331">
        <f>DE189</f>
        <v>941000</v>
      </c>
      <c r="DH267" s="331">
        <f>DH189</f>
        <v>959100</v>
      </c>
      <c r="DI267" s="331"/>
      <c r="DL267" s="331"/>
      <c r="DM267" s="331"/>
      <c r="DP267" s="331"/>
      <c r="DQ267" s="331"/>
    </row>
    <row r="268" spans="1:273">
      <c r="A268" s="328" t="s">
        <v>382</v>
      </c>
      <c r="BD268" s="331"/>
      <c r="BE268" s="331"/>
      <c r="BH268" s="331"/>
      <c r="BI268" s="331"/>
      <c r="BL268" s="331"/>
      <c r="BM268" s="331"/>
      <c r="BP268" s="331"/>
      <c r="BQ268" s="331"/>
      <c r="BT268" s="331"/>
      <c r="BU268" s="331"/>
      <c r="BX268" s="331"/>
      <c r="BY268" s="331"/>
      <c r="CB268" s="331"/>
      <c r="CC268" s="331"/>
      <c r="CF268" s="331"/>
      <c r="CG268" s="331"/>
      <c r="CJ268" s="331"/>
      <c r="CK268" s="331"/>
      <c r="CN268" s="331"/>
      <c r="CO268" s="331"/>
      <c r="CR268" s="331"/>
      <c r="CS268" s="331"/>
      <c r="CV268" s="331"/>
      <c r="CW268" s="331"/>
      <c r="CZ268" s="331"/>
      <c r="DA268" s="331"/>
      <c r="DC268" s="685">
        <f>18700/DB266</f>
        <v>1.992966002344666E-2</v>
      </c>
      <c r="DD268" s="331"/>
      <c r="DE268" s="331"/>
      <c r="DH268" s="331"/>
    </row>
    <row r="269" spans="1:273">
      <c r="A269" s="323" t="str">
        <f>A262</f>
        <v>Americas</v>
      </c>
      <c r="BE269" s="671"/>
      <c r="BH269" s="671">
        <f>+BH262/BE262-1</f>
        <v>4.5857217300677489E-2</v>
      </c>
      <c r="BI269" s="671">
        <f>+BI262/BH262-1</f>
        <v>2.1425012456402603E-2</v>
      </c>
      <c r="BL269" s="671">
        <f>+BL262/BI262-1</f>
        <v>0.10341463414634156</v>
      </c>
      <c r="BM269" s="671">
        <f>+BM262/BL262-1</f>
        <v>4.4650751547303358E-2</v>
      </c>
      <c r="BP269" s="671">
        <f>+BP262/BM262-1</f>
        <v>2.5391451544646726E-2</v>
      </c>
      <c r="BQ269" s="671">
        <f>+BQ262/BP262-1</f>
        <v>0.19273627734213794</v>
      </c>
      <c r="BT269" s="671">
        <f>+BT262/BQ262-1</f>
        <v>-1.038062283737029E-2</v>
      </c>
      <c r="BU269" s="671">
        <f>+BU262/BT262-1</f>
        <v>-6.4335664335664289E-2</v>
      </c>
      <c r="BX269" s="671">
        <f>+BX262/BU262-1</f>
        <v>4.07324364723467E-2</v>
      </c>
      <c r="BY269" s="671">
        <f>+BY262/BX262-1</f>
        <v>-0.12136445242369842</v>
      </c>
      <c r="CB269" s="671">
        <f>+CB262/BY262-1</f>
        <v>1.8798528810788806E-2</v>
      </c>
      <c r="CC269" s="671">
        <f>+CC262/CB262-1</f>
        <v>2.3265142398716465E-2</v>
      </c>
      <c r="CF269" s="671">
        <f>+CF262/CC262-1</f>
        <v>0.11132889063112494</v>
      </c>
      <c r="CG269" s="671">
        <f>+CG262/CF262-1</f>
        <v>-2.821869488536155E-2</v>
      </c>
      <c r="CJ269" s="671">
        <f>+CJ262/CG262-1</f>
        <v>-1.814882032667875E-2</v>
      </c>
      <c r="CK269" s="671">
        <f>+CK262/CJ262-1</f>
        <v>7.8003696857670946E-2</v>
      </c>
      <c r="CN269" s="671">
        <f>+CN262/CK262-1</f>
        <v>-4.9382716049382713E-2</v>
      </c>
      <c r="CO269" s="671">
        <f>+CO262/CN262-1</f>
        <v>6.8542568542568905E-3</v>
      </c>
      <c r="CR269" s="671">
        <f>+CR262/CO262-1</f>
        <v>0.44571838050877832</v>
      </c>
      <c r="CS269" s="671">
        <f>+CS262/CR262-1</f>
        <v>-6.9144981412639361E-2</v>
      </c>
      <c r="CV269" s="671">
        <f>+CV262/CS262-1</f>
        <v>-7.4547390841320782E-3</v>
      </c>
      <c r="CW269" s="671">
        <f>+CW262/CV262-1</f>
        <v>5.0965665236051283E-3</v>
      </c>
      <c r="CZ269" s="671">
        <f>+CZ262/CW262-1</f>
        <v>2.1617293835068052E-2</v>
      </c>
      <c r="DA269" s="671">
        <f>+DA262/CZ262-1</f>
        <v>3.4221525600836022E-2</v>
      </c>
      <c r="DD269" s="671">
        <f>+DD262/DA262-1</f>
        <v>-7.6534478403637252E-2</v>
      </c>
      <c r="DE269" s="671">
        <f>+DE262/DD262-1</f>
        <v>4.0481400437636816E-2</v>
      </c>
      <c r="DH269" s="671">
        <f>+DH262/DE262-1</f>
        <v>-4.837013669821244E-2</v>
      </c>
      <c r="DI269" s="671"/>
      <c r="DL269" s="671"/>
      <c r="DM269" s="671"/>
      <c r="DP269" s="671"/>
      <c r="DQ269" s="671"/>
    </row>
    <row r="270" spans="1:273">
      <c r="A270" s="323" t="str">
        <f>A263</f>
        <v>EMEA</v>
      </c>
      <c r="BE270" s="671"/>
      <c r="BH270" s="671">
        <f>+BH263/BE263-1</f>
        <v>5.8015267175572482E-2</v>
      </c>
      <c r="BI270" s="671">
        <f>+BI263/BH263-1</f>
        <v>-2.1645021645021689E-2</v>
      </c>
      <c r="BL270" s="671">
        <f>+BL263/BI263-1</f>
        <v>0.16371681415929196</v>
      </c>
      <c r="BM270" s="671">
        <f>+BM263/BL263-1</f>
        <v>1.0139416983523386E-2</v>
      </c>
      <c r="BP270" s="671">
        <f>+BP263/BM263-1</f>
        <v>-2.5094102885821812E-2</v>
      </c>
      <c r="BQ270" s="671">
        <f>+BQ263/BP263-1</f>
        <v>0.11583011583011582</v>
      </c>
      <c r="BT270" s="671">
        <f>+BT263/BQ263-1</f>
        <v>0.14071510957324107</v>
      </c>
      <c r="BU270" s="671">
        <f>+BU263/BT263-1</f>
        <v>-9.1001011122345821E-2</v>
      </c>
      <c r="BX270" s="671">
        <f>+BX263/BU263-1</f>
        <v>-1.5572858731924377E-2</v>
      </c>
      <c r="BY270" s="671">
        <f>+BY263/BX263-1</f>
        <v>0.16949152542372881</v>
      </c>
      <c r="CB270" s="671">
        <f>+CB263/BY263-1</f>
        <v>-0.1410628019323672</v>
      </c>
      <c r="CC270" s="671">
        <f>+CC263/CB263-1</f>
        <v>3.4870641169853833E-2</v>
      </c>
      <c r="CF270" s="671">
        <f>+CF263/CC263-1</f>
        <v>0.21847826086956523</v>
      </c>
      <c r="CG270" s="671">
        <f>+CG263/CF263-1</f>
        <v>-4.1034790365744866E-2</v>
      </c>
      <c r="CJ270" s="671">
        <f>+CJ263/CG263-1</f>
        <v>0.135813953488372</v>
      </c>
      <c r="CK270" s="671">
        <f>+CK263/CJ263-1</f>
        <v>8.1081081081081141E-2</v>
      </c>
      <c r="CN270" s="671">
        <f>+CN263/CK263-1</f>
        <v>-0.125</v>
      </c>
      <c r="CO270" s="671">
        <f>+CO263/CN263-1</f>
        <v>-3.4632034632035014E-3</v>
      </c>
      <c r="CR270" s="671">
        <f>+CR263/CO263-1</f>
        <v>0.12337098175499572</v>
      </c>
      <c r="CS270" s="671">
        <f>+CS263/CR263-1</f>
        <v>0.14926527455529781</v>
      </c>
      <c r="CV270" s="671">
        <f>+CV263/CS263-1</f>
        <v>0.19717362045760423</v>
      </c>
      <c r="CW270" s="671">
        <f>+CW263/CV263-1</f>
        <v>0.11298482293423273</v>
      </c>
      <c r="CZ270" s="671">
        <f>+CZ263/CW263-1</f>
        <v>-5.9595959595959647E-2</v>
      </c>
      <c r="DA270" s="671">
        <f>+DA263/CZ263-1</f>
        <v>8.7003222341568209E-2</v>
      </c>
      <c r="DD270" s="671">
        <f>+DD263/DA263-1</f>
        <v>-1.7292490118577031E-2</v>
      </c>
      <c r="DE270" s="671">
        <f>+DE263/DD263-1</f>
        <v>6.5359477124182996E-2</v>
      </c>
      <c r="DH270" s="671">
        <f>+DH263/DE263-1</f>
        <v>3.0202925908447309E-2</v>
      </c>
      <c r="DI270" s="671"/>
      <c r="DL270" s="671"/>
      <c r="DM270" s="671"/>
      <c r="DP270" s="671"/>
      <c r="DQ270" s="671"/>
    </row>
    <row r="271" spans="1:273">
      <c r="A271" s="323" t="str">
        <f>A264</f>
        <v>Australia</v>
      </c>
      <c r="BE271" s="684"/>
      <c r="BH271" s="684">
        <f>+BH264/BE264-1</f>
        <v>7.2859744990891873E-3</v>
      </c>
      <c r="BI271" s="684">
        <f>+BI264/BH264-1</f>
        <v>8.8607594936708889E-2</v>
      </c>
      <c r="BL271" s="684">
        <f>+BL264/BI264-1</f>
        <v>3.1561461794019863E-2</v>
      </c>
      <c r="BM271" s="684">
        <f>+BM264/BL264-1</f>
        <v>0.13526570048309172</v>
      </c>
      <c r="BP271" s="684">
        <f>+BP264/BM264-1</f>
        <v>-5.2482269503546064E-2</v>
      </c>
      <c r="BQ271" s="684">
        <f>+BQ264/BP264-1</f>
        <v>0.22305389221556893</v>
      </c>
      <c r="BT271" s="684">
        <f>+BT264/BQ264-1</f>
        <v>-5.9975520195838405E-2</v>
      </c>
      <c r="BU271" s="684">
        <f>+BU264/BT264-1</f>
        <v>0</v>
      </c>
      <c r="BX271" s="684">
        <f>+BX264/BU264-1</f>
        <v>4.4270833333333259E-2</v>
      </c>
      <c r="BY271" s="684">
        <f>+BY264/BX264-1</f>
        <v>5.2369077306733125E-2</v>
      </c>
      <c r="CB271" s="684">
        <f>+CB264/BY264-1</f>
        <v>6.3981042654028375E-2</v>
      </c>
      <c r="CC271" s="684">
        <f>+CC264/CB264-1</f>
        <v>9.0200445434298393E-2</v>
      </c>
      <c r="CF271" s="684">
        <f>+CF264/CC264-1</f>
        <v>2.3493360572012234E-2</v>
      </c>
      <c r="CG271" s="684">
        <f>+CG264/CF264-1</f>
        <v>7.8842315369261451E-2</v>
      </c>
      <c r="CJ271" s="684">
        <f>+CJ264/CG264-1</f>
        <v>1.4801110083256352E-2</v>
      </c>
      <c r="CK271" s="684">
        <f>+CK264/CJ264-1</f>
        <v>6.1075660893345596E-2</v>
      </c>
      <c r="CN271" s="684">
        <f>+CN264/CK264-1</f>
        <v>7.5601374570446689E-2</v>
      </c>
      <c r="CO271" s="684">
        <f>+CO264/CN264-1</f>
        <v>6.8690095846645427E-2</v>
      </c>
      <c r="CR271" s="684">
        <f>+CR264/CO264-1</f>
        <v>0.25261584454409558</v>
      </c>
      <c r="CS271" s="684">
        <f>+CS264/CR264-1</f>
        <v>0.34248210023866354</v>
      </c>
      <c r="CV271" s="684">
        <f>+CV264/CS264-1</f>
        <v>5.3777777777777702E-2</v>
      </c>
      <c r="CW271" s="684">
        <f>+CW264/CV264-1</f>
        <v>8.7304934626739827E-2</v>
      </c>
      <c r="CZ271" s="684">
        <f>+CZ264/CW264-1</f>
        <v>6.0899922420480923E-2</v>
      </c>
      <c r="DA271" s="684">
        <f>+DA264/CZ264-1</f>
        <v>5.7404021937842886E-2</v>
      </c>
      <c r="DD271" s="684">
        <f>+DD264/DA264-1</f>
        <v>3.3886583679114901E-2</v>
      </c>
      <c r="DE271" s="684">
        <f>+DE264/DD264-1</f>
        <v>-2.3745819397993362E-2</v>
      </c>
      <c r="DH271" s="684">
        <f>+DH264/DE264-1</f>
        <v>9.3525179856115193E-2</v>
      </c>
      <c r="DI271" s="684"/>
      <c r="DL271" s="684"/>
      <c r="DM271" s="684"/>
      <c r="DP271" s="684"/>
      <c r="DQ271" s="684"/>
    </row>
    <row r="272" spans="1:273">
      <c r="A272" s="323" t="str">
        <f>A265</f>
        <v>Asia</v>
      </c>
      <c r="BE272" s="671"/>
      <c r="BH272" s="671">
        <f>+BH265/BE265-1</f>
        <v>4.1095890410958846E-2</v>
      </c>
      <c r="BI272" s="671">
        <f>+BI265/BH265-1</f>
        <v>-5.2631578947368474E-2</v>
      </c>
      <c r="BL272" s="671">
        <f>+BL265/BI265-1</f>
        <v>0.22222222222222232</v>
      </c>
      <c r="BM272" s="671">
        <f>+BM265/BL265-1</f>
        <v>1.2954545454545454</v>
      </c>
      <c r="BP272" s="671">
        <f>+BP265/BM265-1</f>
        <v>-4.4554455445544594E-2</v>
      </c>
      <c r="BQ272" s="671">
        <f>+BQ265/BP265-1</f>
        <v>-0.25129533678756477</v>
      </c>
      <c r="BT272" s="671">
        <f>+BT265/BQ265-1</f>
        <v>0.47404844290657433</v>
      </c>
      <c r="BU272" s="671">
        <f>+BU265/BT265-1</f>
        <v>3.9906103286384997E-2</v>
      </c>
      <c r="BX272" s="671">
        <f>+BX265/BU265-1</f>
        <v>3.6117381489841893E-2</v>
      </c>
      <c r="BY272" s="671">
        <f>+BY265/BX265-1</f>
        <v>6.9716775599128589E-2</v>
      </c>
      <c r="CB272" s="671">
        <f>+CB265/BY265-1</f>
        <v>-7.1283095723014278E-2</v>
      </c>
      <c r="CC272" s="671">
        <f>+CC265/CB265-1</f>
        <v>0.13377192982456143</v>
      </c>
      <c r="CF272" s="671">
        <f>+CF265/CC265-1</f>
        <v>6.7698259187620957E-2</v>
      </c>
      <c r="CG272" s="671">
        <f>+CG265/CF265-1</f>
        <v>9.0579710144927494E-2</v>
      </c>
      <c r="CJ272" s="671">
        <f>+CJ265/CG265-1</f>
        <v>1.4950166112956742E-2</v>
      </c>
      <c r="CK272" s="671">
        <f>+CK265/CJ265-1</f>
        <v>9.4926350245499114E-2</v>
      </c>
      <c r="CN272" s="671">
        <f>+CN265/CK265-1</f>
        <v>-0.42600896860986548</v>
      </c>
      <c r="CO272" s="671">
        <f>+CO265/CN265-1</f>
        <v>-7.552083333333337E-2</v>
      </c>
      <c r="CR272" s="671">
        <f>+CR265/CO265-1</f>
        <v>3.0985915492957705E-2</v>
      </c>
      <c r="CS272" s="671">
        <f>+CS265/CR265-1</f>
        <v>0.19672131147540983</v>
      </c>
      <c r="CV272" s="671">
        <f>+CV265/CS265-1</f>
        <v>2.9680365296803624E-2</v>
      </c>
      <c r="CW272" s="671">
        <f>+CW265/CV265-1</f>
        <v>6.6518847006651782E-2</v>
      </c>
      <c r="CZ272" s="671">
        <f>+CZ265/CW265-1</f>
        <v>2.9106029106028997E-2</v>
      </c>
      <c r="DA272" s="671">
        <f>+DA265/CZ265-1</f>
        <v>2.626262626262621E-2</v>
      </c>
      <c r="DD272" s="671">
        <f>+DD265/DA265-1</f>
        <v>4.9212598425196763E-2</v>
      </c>
      <c r="DE272" s="671">
        <f>+DE265/DD265-1</f>
        <v>6.5666041275797449E-2</v>
      </c>
      <c r="DH272" s="671">
        <f>+DH265/DE265-1</f>
        <v>4.9295774647887258E-2</v>
      </c>
      <c r="DI272" s="671"/>
      <c r="DL272" s="671"/>
      <c r="DM272" s="671"/>
      <c r="DP272" s="671"/>
      <c r="DQ272" s="671"/>
    </row>
    <row r="273" spans="1:273">
      <c r="A273" s="328" t="str">
        <f>A266</f>
        <v>Total</v>
      </c>
      <c r="BE273" s="672"/>
      <c r="BF273" s="290"/>
      <c r="BH273" s="672">
        <f>+BH266/BE266-1</f>
        <v>4.1602936677883173E-2</v>
      </c>
      <c r="BI273" s="672">
        <f>+BI266/BH266-1</f>
        <v>2.026431718061672E-2</v>
      </c>
      <c r="BJ273" s="290"/>
      <c r="BK273" s="290"/>
      <c r="BL273" s="672">
        <f>+BL266/BI266-1</f>
        <v>0.10765687967760496</v>
      </c>
      <c r="BM273" s="672">
        <f>+BM266/BL266-1</f>
        <v>0.10940748440748438</v>
      </c>
      <c r="BN273" s="290"/>
      <c r="BP273" s="672">
        <f>+BP266/BM266-1</f>
        <v>-3.5137034434293835E-3</v>
      </c>
      <c r="BQ273" s="672">
        <f>+BQ266/BP266-1</f>
        <v>0.14315937940761647</v>
      </c>
      <c r="BR273" s="290"/>
      <c r="BT273" s="672">
        <f>+BT266/BQ266-1</f>
        <v>3.7014188772362733E-2</v>
      </c>
      <c r="BU273" s="672">
        <f>+BU266/BT266-1</f>
        <v>-5.0961729129486377E-2</v>
      </c>
      <c r="BV273" s="290"/>
      <c r="BX273" s="672">
        <f>+BX266/BU266-1</f>
        <v>3.0296698704554981E-2</v>
      </c>
      <c r="BY273" s="672">
        <f>+BY266/BX266-1</f>
        <v>-2.3119042790509026E-2</v>
      </c>
      <c r="BZ273" s="290"/>
      <c r="CB273" s="672">
        <f>+CB266/BY266-1</f>
        <v>-1.6815445297903242E-2</v>
      </c>
      <c r="CC273" s="672">
        <f>+CC266/CB266-1</f>
        <v>4.877533783783794E-2</v>
      </c>
      <c r="CD273" s="290"/>
      <c r="CF273" s="672">
        <f>+CF266/CC266-1</f>
        <v>0.10932152204550039</v>
      </c>
      <c r="CG273" s="672">
        <f>+CG266/CF266-1</f>
        <v>5.444646098002881E-4</v>
      </c>
      <c r="CH273" s="290"/>
      <c r="CJ273" s="672">
        <f>+CJ266/CG266-1</f>
        <v>2.1948122619263488E-2</v>
      </c>
      <c r="CK273" s="672">
        <f>+CK266/CJ266-1</f>
        <v>7.7209797657082024E-2</v>
      </c>
      <c r="CL273" s="290"/>
      <c r="CN273" s="672">
        <f>+CN266/CK266-1</f>
        <v>-8.3374526281100647E-2</v>
      </c>
      <c r="CO273" s="672">
        <f>+CO266/CN266-1</f>
        <v>1.2942656839834532E-2</v>
      </c>
      <c r="CP273" s="290"/>
      <c r="CR273" s="672">
        <f>+CR266/CO266-1</f>
        <v>0.30789707187222715</v>
      </c>
      <c r="CS273" s="672">
        <f>+CS266/CR266-1</f>
        <v>7.5983717774762649E-2</v>
      </c>
      <c r="CT273" s="290"/>
      <c r="CV273" s="672">
        <f>+CV266/CS266-1</f>
        <v>5.0315258511979932E-2</v>
      </c>
      <c r="CW273" s="672">
        <f>+CW266/CV266-1</f>
        <v>5.4868531636451001E-2</v>
      </c>
      <c r="CX273" s="290"/>
      <c r="CZ273" s="672">
        <f>+CZ266/CW266-1</f>
        <v>1.5251536535397126E-2</v>
      </c>
      <c r="DA273" s="672">
        <f>+DA266/CZ266-1</f>
        <v>5.1905829596412545E-2</v>
      </c>
      <c r="DB273" s="290"/>
      <c r="DD273" s="672">
        <f>+DD266/DA266-1</f>
        <v>-2.2913780240861104E-2</v>
      </c>
      <c r="DE273" s="672">
        <f>+DE266/DD266-1</f>
        <v>2.6396160558464166E-2</v>
      </c>
      <c r="DF273" s="290"/>
      <c r="DH273" s="672">
        <f>+DH266/DE266-1</f>
        <v>1.923485653560042E-2</v>
      </c>
      <c r="DI273" s="672"/>
      <c r="DL273" s="672"/>
      <c r="DM273" s="672"/>
      <c r="DP273" s="672"/>
      <c r="DQ273" s="672"/>
    </row>
    <row r="275" spans="1:273">
      <c r="A275" s="289" t="s">
        <v>863</v>
      </c>
    </row>
    <row r="276" spans="1:273">
      <c r="A276" s="102" t="s">
        <v>857</v>
      </c>
      <c r="BD276" s="293"/>
      <c r="BE276" s="293">
        <f>+BE262*BE$1233</f>
        <v>199595.19</v>
      </c>
      <c r="BH276" s="293">
        <f>+BH262*BH$1233</f>
        <v>209972.34</v>
      </c>
      <c r="BI276" s="293">
        <f>+BI262*BI$1233</f>
        <v>213692</v>
      </c>
      <c r="BL276" s="293">
        <f>+BL262*BL$1233</f>
        <v>210637.44</v>
      </c>
      <c r="BM276" s="293">
        <f>+BM262*BM$1233</f>
        <v>214111.43</v>
      </c>
      <c r="BP276" s="293">
        <f>+BP262*BP$1233</f>
        <v>211937.38699999999</v>
      </c>
      <c r="BQ276" s="293">
        <f>+BQ262*BQ$1233</f>
        <v>220651.5</v>
      </c>
      <c r="BT276" s="293">
        <f>+BT262*BT$1233</f>
        <v>200571.80000000002</v>
      </c>
      <c r="BU276" s="293">
        <f>+BU262*BU$1233</f>
        <v>204740.76</v>
      </c>
      <c r="BX276" s="293">
        <f>+BX262*BX$1233</f>
        <v>212495.5</v>
      </c>
      <c r="BY276" s="293">
        <f>+BY262*BY$1233</f>
        <v>187048.68</v>
      </c>
      <c r="CB276" s="293">
        <f>+CB262*CB$1233</f>
        <v>195426.27000000002</v>
      </c>
      <c r="CC276" s="293">
        <f>+CC262*CC$1233</f>
        <v>195712.72</v>
      </c>
      <c r="CF276" s="293">
        <f>+CF262*CF$1233</f>
        <v>204743.7</v>
      </c>
      <c r="CG276" s="293">
        <f>+CG262*CG$1233</f>
        <v>194998.9</v>
      </c>
      <c r="CJ276" s="293">
        <f>+CJ262*CJ$1233</f>
        <v>182560.45</v>
      </c>
      <c r="CK276" s="293">
        <f>+CK262*CK$1233</f>
        <v>179334</v>
      </c>
      <c r="CN276" s="293">
        <f>+CN262*CN$1233</f>
        <v>197033.76</v>
      </c>
      <c r="CO276" s="293">
        <f>+CO262*CO$1233</f>
        <v>212171.82</v>
      </c>
      <c r="CR276" s="293">
        <f>+CR262*CR$1233</f>
        <v>290762.10000000003</v>
      </c>
      <c r="CS276" s="293">
        <f>+CS262*CS$1233</f>
        <v>281023.92</v>
      </c>
      <c r="CV276" s="293">
        <f>+CV262*CV$1233</f>
        <v>242394.56</v>
      </c>
      <c r="CW276" s="293">
        <f>+CW262*CW$1233</f>
        <v>251498.64</v>
      </c>
      <c r="CZ276" s="293">
        <f>+CZ262*CZ$1233</f>
        <v>247212.24000000002</v>
      </c>
      <c r="DA276" s="293">
        <f>+DA262*DA$1233</f>
        <v>258601.88</v>
      </c>
      <c r="DD276" s="293">
        <f>+DD262*DD$1233</f>
        <v>253433.92</v>
      </c>
      <c r="DE276" s="293">
        <f>+DE262*DE$1233</f>
        <v>238891.2</v>
      </c>
      <c r="DH276" s="293">
        <f>+DH262*DH$1233</f>
        <v>238992.4</v>
      </c>
      <c r="DI276" s="293"/>
      <c r="DL276" s="293"/>
      <c r="DM276" s="293"/>
      <c r="DP276" s="293"/>
      <c r="DQ276" s="293"/>
    </row>
    <row r="277" spans="1:273">
      <c r="A277" s="102" t="s">
        <v>858</v>
      </c>
      <c r="BD277" s="293"/>
      <c r="BE277" s="899">
        <f>+BE263*BE$1235</f>
        <v>0</v>
      </c>
      <c r="BH277" s="293">
        <f>+BH263*BH$1235</f>
        <v>56077.560000000005</v>
      </c>
      <c r="BI277" s="293">
        <f>+BI263*BI$1235</f>
        <v>55270.560000000005</v>
      </c>
      <c r="BL277" s="293">
        <f>+BL263*BL$1235</f>
        <v>54409.440000000002</v>
      </c>
      <c r="BM277" s="293">
        <f>+BM263*BM$1235</f>
        <v>52397.003446399416</v>
      </c>
      <c r="BP277" s="293">
        <f>+BP263*BP$1235</f>
        <v>53811.911999999997</v>
      </c>
      <c r="BQ277" s="293">
        <f>+BQ263*BQ$1235</f>
        <v>61184.19</v>
      </c>
      <c r="BT277" s="293">
        <f>+BT263*BT$1235</f>
        <v>61604.81</v>
      </c>
      <c r="BU277" s="293">
        <f>+BU263*BU$1235</f>
        <v>60772.4</v>
      </c>
      <c r="BX277" s="293">
        <f>+BX263*BX$1235</f>
        <v>60086.759209823802</v>
      </c>
      <c r="BY277" s="293">
        <f>+BY263*BY$1235</f>
        <v>73971.45</v>
      </c>
      <c r="CB277" s="293">
        <f>+CB263*CB$1235</f>
        <v>58948.325156487896</v>
      </c>
      <c r="CC277" s="293">
        <f>+CC263*CC$1235</f>
        <v>57435.6</v>
      </c>
      <c r="CF277" s="293">
        <f>+CF263*CF$1235</f>
        <v>69701.782178217822</v>
      </c>
      <c r="CG277" s="293">
        <f>+CG263*CG$1235</f>
        <v>67849.890902613886</v>
      </c>
      <c r="CJ277" s="293">
        <f>+CJ263*CJ$1235</f>
        <v>75587.314254265279</v>
      </c>
      <c r="CK277" s="293">
        <f>+CK263*CK$1235</f>
        <v>81716.015410016509</v>
      </c>
      <c r="CN277" s="293">
        <f>+CN263*CN$1235</f>
        <v>127315.65000000001</v>
      </c>
      <c r="CO277" s="293">
        <f>+CO263*CO$1235</f>
        <v>135115.88999999998</v>
      </c>
      <c r="CR277" s="293">
        <f>+CR263*CR$1235</f>
        <v>150440.54999999999</v>
      </c>
      <c r="CS277" s="293">
        <f>+CS263*CS$1235</f>
        <v>175868.1</v>
      </c>
      <c r="CV277" s="293">
        <f>+CV263*CV$1235</f>
        <v>202877.16</v>
      </c>
      <c r="CW277" s="293">
        <f>+CW263*CW$1235</f>
        <v>225225</v>
      </c>
      <c r="CZ277" s="293">
        <f>+CZ263*CZ$1235</f>
        <v>214651.36000000002</v>
      </c>
      <c r="DA277" s="293">
        <f>+DA263*DA$1235</f>
        <v>236686.56</v>
      </c>
      <c r="DD277" s="293">
        <f>+DD263*DD$1235</f>
        <v>239077.8</v>
      </c>
      <c r="DE277" s="293">
        <f>+DE263*DE$1235</f>
        <v>253241.69</v>
      </c>
      <c r="DH277" s="293">
        <f>+DH263*DH$1235</f>
        <v>250128.13999999998</v>
      </c>
      <c r="DI277" s="293"/>
      <c r="DL277" s="293"/>
      <c r="DM277" s="293"/>
      <c r="DP277" s="293"/>
      <c r="DQ277" s="293"/>
    </row>
    <row r="278" spans="1:273">
      <c r="A278" s="102" t="s">
        <v>859</v>
      </c>
      <c r="BD278" s="293"/>
      <c r="BE278" s="293">
        <f>BE264</f>
        <v>54900</v>
      </c>
      <c r="BH278" s="293">
        <f>BH264</f>
        <v>55300</v>
      </c>
      <c r="BI278" s="293">
        <f>BI264</f>
        <v>60200</v>
      </c>
      <c r="BL278" s="293">
        <f>BL264</f>
        <v>62100</v>
      </c>
      <c r="BM278" s="293">
        <f>BM264</f>
        <v>70500</v>
      </c>
      <c r="BP278" s="293">
        <f>BP264</f>
        <v>66800</v>
      </c>
      <c r="BQ278" s="293">
        <f>BQ264</f>
        <v>81700</v>
      </c>
      <c r="BT278" s="293">
        <f>BT264</f>
        <v>76800</v>
      </c>
      <c r="BU278" s="293">
        <f>BU264</f>
        <v>76800</v>
      </c>
      <c r="BX278" s="293">
        <f>BX264</f>
        <v>80200</v>
      </c>
      <c r="BY278" s="293">
        <f>BY264</f>
        <v>84400</v>
      </c>
      <c r="CB278" s="293">
        <f>CB264</f>
        <v>89800</v>
      </c>
      <c r="CC278" s="293">
        <f>CC264</f>
        <v>97900</v>
      </c>
      <c r="CF278" s="293">
        <f>CF264</f>
        <v>100200</v>
      </c>
      <c r="CG278" s="293">
        <f>CG264</f>
        <v>108100</v>
      </c>
      <c r="CJ278" s="293">
        <f>CJ264</f>
        <v>109700</v>
      </c>
      <c r="CK278" s="293">
        <f>CK264</f>
        <v>116400</v>
      </c>
      <c r="CN278" s="293">
        <f>CN264</f>
        <v>125200</v>
      </c>
      <c r="CO278" s="293">
        <f>CO264</f>
        <v>133800</v>
      </c>
      <c r="CR278" s="293">
        <f>CR264</f>
        <v>167600</v>
      </c>
      <c r="CS278" s="293">
        <f>CS264</f>
        <v>225000</v>
      </c>
      <c r="CV278" s="293">
        <f>CV264</f>
        <v>237100</v>
      </c>
      <c r="CW278" s="293">
        <f>CW264</f>
        <v>257800</v>
      </c>
      <c r="CZ278" s="293">
        <f>CZ264</f>
        <v>273500</v>
      </c>
      <c r="DA278" s="293">
        <f>DA264</f>
        <v>289200</v>
      </c>
      <c r="DD278" s="293">
        <f>DD264</f>
        <v>299000</v>
      </c>
      <c r="DE278" s="293">
        <f>DE264</f>
        <v>291900</v>
      </c>
      <c r="DH278" s="293">
        <f>DH264</f>
        <v>319200</v>
      </c>
      <c r="DI278" s="293"/>
      <c r="DL278" s="293"/>
      <c r="DM278" s="293"/>
      <c r="DP278" s="293"/>
      <c r="DQ278" s="293"/>
    </row>
    <row r="279" spans="1:273">
      <c r="A279" s="102" t="s">
        <v>860</v>
      </c>
      <c r="BD279" s="293"/>
      <c r="BE279" s="293">
        <f>+BE265*BE$1233</f>
        <v>15185.460000000001</v>
      </c>
      <c r="BH279" s="293">
        <f>+BH265*BH$1233</f>
        <v>15902.24</v>
      </c>
      <c r="BI279" s="293">
        <f>+BI265*BI$1233</f>
        <v>15010.56</v>
      </c>
      <c r="BL279" s="293">
        <f>+BL265*BL$1233</f>
        <v>16389.12</v>
      </c>
      <c r="BM279" s="293">
        <f>+BM265*BM$1233</f>
        <v>36606.44</v>
      </c>
      <c r="BP279" s="293">
        <f>+BP265*BP$1233</f>
        <v>33763.034</v>
      </c>
      <c r="BQ279" s="293">
        <f>+BQ265*BQ$1233</f>
        <v>22065.149999999998</v>
      </c>
      <c r="BT279" s="293">
        <f>+BT265*BT$1233</f>
        <v>29875.38</v>
      </c>
      <c r="BU279" s="293">
        <f>+BU265*BU$1233</f>
        <v>33893.93</v>
      </c>
      <c r="BX279" s="293">
        <f>+BX265*BX$1233</f>
        <v>35021.699999999997</v>
      </c>
      <c r="BY279" s="293">
        <f>+BY265*BY$1233</f>
        <v>37532.04</v>
      </c>
      <c r="CB279" s="293">
        <f>+CB265*CB$1233</f>
        <v>35745.840000000004</v>
      </c>
      <c r="CC279" s="293">
        <f>+CC265*CC$1233</f>
        <v>39664.239999999998</v>
      </c>
      <c r="CF279" s="293">
        <f>+CF265*CF$1233</f>
        <v>39865.440000000002</v>
      </c>
      <c r="CG279" s="293">
        <f>+CG265*CG$1233</f>
        <v>42609.56</v>
      </c>
      <c r="CJ279" s="293">
        <f>+CJ265*CJ$1233</f>
        <v>41236.390000000007</v>
      </c>
      <c r="CK279" s="293">
        <f>+CK265*CK$1233</f>
        <v>41143.5</v>
      </c>
      <c r="CN279" s="293">
        <f>+CN265*CN$1233</f>
        <v>27294.720000000001</v>
      </c>
      <c r="CO279" s="293">
        <f>+CO265*CO$1233</f>
        <v>26987.1</v>
      </c>
      <c r="CR279" s="293">
        <f>+CR265*CR$1233</f>
        <v>26373.96</v>
      </c>
      <c r="CS279" s="293">
        <f>+CS265*CS$1233</f>
        <v>32771.159999999996</v>
      </c>
      <c r="CV279" s="293">
        <f>+CV265*CV$1233</f>
        <v>29324.02</v>
      </c>
      <c r="CW279" s="293">
        <f>+CW265*CW$1233</f>
        <v>32284.720000000001</v>
      </c>
      <c r="CZ279" s="293">
        <f>+CZ265*CZ$1233</f>
        <v>31967.100000000002</v>
      </c>
      <c r="DA279" s="293">
        <f>+DA265*DA$1233</f>
        <v>33182.559999999998</v>
      </c>
      <c r="DD279" s="293">
        <f>+DD265*DD$1233</f>
        <v>36947.560000000005</v>
      </c>
      <c r="DE279" s="293">
        <f>+DE265*DE$1233</f>
        <v>35670.400000000001</v>
      </c>
      <c r="DH279" s="293">
        <f>+DH265*DH$1233</f>
        <v>39347.919999999998</v>
      </c>
      <c r="DI279" s="293"/>
      <c r="DL279" s="293"/>
      <c r="DM279" s="293"/>
      <c r="DP279" s="293"/>
      <c r="DQ279" s="293"/>
    </row>
    <row r="280" spans="1:273" s="289" customFormat="1">
      <c r="A280" s="289" t="s">
        <v>862</v>
      </c>
      <c r="B280" s="290"/>
      <c r="AN280" s="290"/>
      <c r="AO280" s="290"/>
      <c r="AP280" s="290"/>
      <c r="AQ280" s="290"/>
      <c r="AR280" s="290"/>
      <c r="AS280" s="290"/>
      <c r="AT280" s="290"/>
      <c r="AU280" s="290"/>
      <c r="AV280" s="290"/>
      <c r="AW280" s="290"/>
      <c r="AX280" s="290"/>
      <c r="AY280" s="290"/>
      <c r="AZ280" s="290"/>
      <c r="BA280" s="290"/>
      <c r="BB280" s="290"/>
      <c r="BC280" s="290"/>
      <c r="BD280" s="295"/>
      <c r="BE280" s="295">
        <f>SUM(BE276:BE279)</f>
        <v>269680.65000000002</v>
      </c>
      <c r="BF280" s="290"/>
      <c r="BG280" s="290"/>
      <c r="BH280" s="295">
        <f>SUM(BH276:BH279)</f>
        <v>337252.14</v>
      </c>
      <c r="BI280" s="295">
        <f>SUM(BI276:BI279)</f>
        <v>344173.12</v>
      </c>
      <c r="BJ280" s="290"/>
      <c r="BK280" s="290"/>
      <c r="BL280" s="295">
        <f>SUM(BL276:BL279)</f>
        <v>343536</v>
      </c>
      <c r="BM280" s="295">
        <f>SUM(BM276:BM279)</f>
        <v>373614.8734463994</v>
      </c>
      <c r="BN280" s="290"/>
      <c r="BO280" s="290"/>
      <c r="BP280" s="295">
        <f>SUM(BP276:BP279)</f>
        <v>366312.33299999998</v>
      </c>
      <c r="BQ280" s="295">
        <f>SUM(BQ276:BQ279)</f>
        <v>385600.84</v>
      </c>
      <c r="BR280" s="290"/>
      <c r="BS280" s="290"/>
      <c r="BT280" s="295">
        <f>SUM(BT276:BT279)</f>
        <v>368851.99</v>
      </c>
      <c r="BU280" s="295">
        <f>SUM(BU276:BU279)</f>
        <v>376207.09</v>
      </c>
      <c r="BV280" s="290"/>
      <c r="BW280" s="290"/>
      <c r="BX280" s="295">
        <f>SUM(BX276:BX279)</f>
        <v>387803.95920982381</v>
      </c>
      <c r="BY280" s="295">
        <f>SUM(BY276:BY279)</f>
        <v>382952.17</v>
      </c>
      <c r="BZ280" s="290"/>
      <c r="CA280" s="290"/>
      <c r="CB280" s="295">
        <f>SUM(CB276:CB279)</f>
        <v>379920.43515648792</v>
      </c>
      <c r="CC280" s="295">
        <f>SUM(CC276:CC279)</f>
        <v>390712.56</v>
      </c>
      <c r="CD280" s="290"/>
      <c r="CE280" s="581"/>
      <c r="CF280" s="295">
        <f>SUM(CF276:CF279)</f>
        <v>414510.92217821785</v>
      </c>
      <c r="CG280" s="295">
        <f>SUM(CG276:CG279)</f>
        <v>413558.35090261389</v>
      </c>
      <c r="CH280" s="290"/>
      <c r="CI280" s="581"/>
      <c r="CJ280" s="295">
        <f>SUM(CJ276:CJ279)</f>
        <v>409084.1542542653</v>
      </c>
      <c r="CK280" s="295">
        <f>SUM(CK276:CK279)</f>
        <v>418593.51541001652</v>
      </c>
      <c r="CL280" s="290"/>
      <c r="CM280" s="581"/>
      <c r="CN280" s="295">
        <f>SUM(CN276:CN279)</f>
        <v>476844.13</v>
      </c>
      <c r="CO280" s="295">
        <f>SUM(CO276:CO279)</f>
        <v>508074.80999999994</v>
      </c>
      <c r="CP280" s="290"/>
      <c r="CQ280" s="581"/>
      <c r="CR280" s="295">
        <f>SUM(CR276:CR279)</f>
        <v>635176.61</v>
      </c>
      <c r="CS280" s="295">
        <f>SUM(CS276:CS279)</f>
        <v>714663.18</v>
      </c>
      <c r="CT280" s="290"/>
      <c r="CU280" s="290"/>
      <c r="CV280" s="295">
        <f>SUM(CV276:CV279)</f>
        <v>711695.74</v>
      </c>
      <c r="CW280" s="295">
        <f>SUM(CW276:CW279)</f>
        <v>766808.36</v>
      </c>
      <c r="CX280" s="290"/>
      <c r="CY280" s="290"/>
      <c r="CZ280" s="295">
        <f>SUM(CZ276:CZ279)</f>
        <v>767330.70000000007</v>
      </c>
      <c r="DA280" s="295">
        <f>SUM(DA276:DA279)</f>
        <v>817671</v>
      </c>
      <c r="DB280" s="290"/>
      <c r="DC280" s="290"/>
      <c r="DD280" s="295">
        <f>SUM(DD276:DD279)</f>
        <v>828459.28</v>
      </c>
      <c r="DE280" s="295">
        <f>SUM(DE276:DE279)</f>
        <v>819703.29</v>
      </c>
      <c r="DF280" s="290"/>
      <c r="DG280" s="290"/>
      <c r="DH280" s="295">
        <f>SUM(DH276:DH279)</f>
        <v>847668.46000000008</v>
      </c>
      <c r="DI280" s="295"/>
      <c r="DJ280" s="290"/>
      <c r="DK280" s="290"/>
      <c r="DL280" s="295"/>
      <c r="DM280" s="295"/>
      <c r="DN280" s="290"/>
      <c r="DO280" s="290"/>
      <c r="DP280" s="295"/>
      <c r="DQ280" s="295"/>
      <c r="DR280" s="290"/>
      <c r="DS280" s="290"/>
      <c r="DT280" s="290"/>
      <c r="DU280" s="290"/>
      <c r="DV280" s="290"/>
      <c r="DW280" s="290"/>
      <c r="DX280" s="290"/>
      <c r="DY280" s="290"/>
      <c r="DZ280" s="290"/>
      <c r="EA280" s="290"/>
      <c r="EB280" s="290"/>
      <c r="EC280" s="290"/>
      <c r="ED280" s="290"/>
      <c r="EE280" s="290"/>
      <c r="EF280" s="290"/>
      <c r="EG280" s="290"/>
      <c r="EH280" s="290"/>
      <c r="EI280" s="290"/>
      <c r="EJ280" s="290"/>
      <c r="EK280" s="290"/>
      <c r="EL280" s="290"/>
      <c r="EM280" s="290"/>
      <c r="EN280" s="290"/>
      <c r="EO280" s="290"/>
      <c r="EP280" s="290"/>
      <c r="JM280"/>
    </row>
    <row r="281" spans="1:273">
      <c r="A281" s="328" t="s">
        <v>382</v>
      </c>
    </row>
    <row r="282" spans="1:273">
      <c r="A282" s="323" t="str">
        <f>A276</f>
        <v>Americas (US$)</v>
      </c>
      <c r="BE282" s="671"/>
      <c r="BH282" s="671">
        <f>+BH276/BE276-1</f>
        <v>5.1990982347821069E-2</v>
      </c>
      <c r="BI282" s="671">
        <f>+BI276/BH276-1</f>
        <v>1.7714999985236179E-2</v>
      </c>
      <c r="BL282" s="671">
        <f>+BL276/BI276-1</f>
        <v>-1.429421784624596E-2</v>
      </c>
      <c r="BM282" s="671">
        <f>+BM276/BL276-1</f>
        <v>1.6492746968440164E-2</v>
      </c>
      <c r="BP282" s="671">
        <f>+BP276/BM276-1</f>
        <v>-1.0153792350086177E-2</v>
      </c>
      <c r="BQ282" s="671">
        <f>+BQ276/BP276-1</f>
        <v>4.1116450114580427E-2</v>
      </c>
      <c r="BT282" s="671">
        <f>+BT276/BQ276-1</f>
        <v>-9.100187399587123E-2</v>
      </c>
      <c r="BU282" s="671">
        <f>+BU276/BT276-1</f>
        <v>2.0785374613978558E-2</v>
      </c>
      <c r="BX282" s="671">
        <f>+BX276/BU276-1</f>
        <v>3.7875897305450934E-2</v>
      </c>
      <c r="BY282" s="671">
        <f>+BY276/BX276-1</f>
        <v>-0.11975227710704461</v>
      </c>
      <c r="CB282" s="671">
        <f>+CB276/BY276-1</f>
        <v>4.4788287198819221E-2</v>
      </c>
      <c r="CC282" s="671">
        <f>+CC276/CB276-1</f>
        <v>1.4657701853491023E-3</v>
      </c>
      <c r="CF282" s="671">
        <f>+CF276/CC276-1</f>
        <v>4.614406258315773E-2</v>
      </c>
      <c r="CG282" s="671">
        <f>+CG276/CF276-1</f>
        <v>-4.7595115258735721E-2</v>
      </c>
      <c r="CJ282" s="671">
        <f>+CJ276/CG276-1</f>
        <v>-6.3787282902621367E-2</v>
      </c>
      <c r="CK282" s="671">
        <f>+CK276/CJ276-1</f>
        <v>-1.7673324096210363E-2</v>
      </c>
      <c r="CN282" s="671">
        <f>+CN276/CK276-1</f>
        <v>9.8697179564388282E-2</v>
      </c>
      <c r="CO282" s="671">
        <f>+CO276/CN276-1</f>
        <v>7.682977780051492E-2</v>
      </c>
      <c r="CR282" s="671">
        <f>+CR276/CO276-1</f>
        <v>0.3704086621870899</v>
      </c>
      <c r="CS282" s="671">
        <f>+CS276/CR276-1</f>
        <v>-3.349191658747841E-2</v>
      </c>
      <c r="CV282" s="671">
        <f>+CV276/CS276-1</f>
        <v>-0.13745933086407724</v>
      </c>
      <c r="CW282" s="671">
        <f>+CW276/CV276-1</f>
        <v>3.7558928715232032E-2</v>
      </c>
      <c r="CZ282" s="671">
        <f>+CZ276/CW276-1</f>
        <v>-1.7043432123529545E-2</v>
      </c>
      <c r="DA282" s="671">
        <f>+DA276/CZ276-1</f>
        <v>4.6072314218745802E-2</v>
      </c>
      <c r="DD282" s="671">
        <f>+DD276/DA276-1</f>
        <v>-1.9984232133192559E-2</v>
      </c>
      <c r="DE282" s="671">
        <f>+DE276/DD276-1</f>
        <v>-5.7382689736243719E-2</v>
      </c>
      <c r="DH282" s="671">
        <f>+DH276/DE276-1</f>
        <v>4.2362380866256544E-4</v>
      </c>
      <c r="DI282" s="671"/>
      <c r="DL282" s="671"/>
      <c r="DM282" s="671"/>
      <c r="DP282" s="671"/>
      <c r="DQ282" s="671"/>
    </row>
    <row r="283" spans="1:273">
      <c r="A283" s="323" t="str">
        <f>A277</f>
        <v>EMEA (Eur)</v>
      </c>
      <c r="BE283" s="671"/>
      <c r="BH283" s="671"/>
      <c r="BI283" s="671">
        <f>+BI277/BH277-1</f>
        <v>-1.4390783051188349E-2</v>
      </c>
      <c r="BL283" s="671">
        <f>+BL277/BI277-1</f>
        <v>-1.5580084587527243E-2</v>
      </c>
      <c r="BM283" s="671">
        <f>+BM277/BL277-1</f>
        <v>-3.6986900684891966E-2</v>
      </c>
      <c r="BP283" s="671">
        <f>+BP277/BM277-1</f>
        <v>2.7003615866086461E-2</v>
      </c>
      <c r="BQ283" s="671">
        <f>+BQ277/BP277-1</f>
        <v>0.13700085586997934</v>
      </c>
      <c r="BT283" s="671">
        <f>+BT277/BQ277-1</f>
        <v>6.8746517687003905E-3</v>
      </c>
      <c r="BU283" s="671">
        <f>+BU277/BT277-1</f>
        <v>-1.3512094266665109E-2</v>
      </c>
      <c r="BX283" s="671">
        <f>+BX277/BU277-1</f>
        <v>-1.1282108163840787E-2</v>
      </c>
      <c r="BY283" s="671">
        <f>+BY277/BX277-1</f>
        <v>0.23107737832374453</v>
      </c>
      <c r="CB283" s="671">
        <f>+CB277/BY277-1</f>
        <v>-0.20309355627761927</v>
      </c>
      <c r="CC283" s="671">
        <f>+CC277/CB277-1</f>
        <v>-2.5661885260897965E-2</v>
      </c>
      <c r="CF283" s="671">
        <f>+CF277/CC277-1</f>
        <v>0.21356409923841357</v>
      </c>
      <c r="CG283" s="671">
        <f>+CG277/CF277-1</f>
        <v>-2.6568779416126009E-2</v>
      </c>
      <c r="CJ283" s="671">
        <f>+CJ277/CG277-1</f>
        <v>0.11403737351261256</v>
      </c>
      <c r="CK283" s="671">
        <f>+CK277/CJ277-1</f>
        <v>8.1081081081080919E-2</v>
      </c>
      <c r="CN283" s="671"/>
      <c r="CO283" s="671">
        <f>+CO277/CN277-1</f>
        <v>6.1266937725251935E-2</v>
      </c>
      <c r="CR283" s="671"/>
      <c r="CS283" s="671">
        <f>+CS277/CR277-1</f>
        <v>0.16902058653733998</v>
      </c>
      <c r="CV283" s="671"/>
      <c r="CW283" s="671">
        <f>+CW277/CV277-1</f>
        <v>0.1101545388352243</v>
      </c>
      <c r="CZ283" s="671"/>
      <c r="DA283" s="671">
        <f>+DA277/CZ277-1</f>
        <v>0.10265576700748591</v>
      </c>
      <c r="DD283" s="671"/>
      <c r="DE283" s="671">
        <f>+DE277/DD277-1</f>
        <v>5.9243852837862931E-2</v>
      </c>
      <c r="DH283" s="671"/>
      <c r="DI283" s="671"/>
      <c r="DL283" s="671"/>
      <c r="DM283" s="671"/>
      <c r="DP283" s="671"/>
      <c r="DQ283" s="671"/>
    </row>
    <row r="284" spans="1:273">
      <c r="A284" s="323" t="str">
        <f>A278</f>
        <v>Australia (A$)</v>
      </c>
      <c r="BE284" s="671"/>
      <c r="BH284" s="671">
        <f>+BH278/BE278-1</f>
        <v>7.2859744990891873E-3</v>
      </c>
      <c r="BI284" s="671">
        <f>+BI278/BH278-1</f>
        <v>8.8607594936708889E-2</v>
      </c>
      <c r="BL284" s="671">
        <f>+BL278/BI278-1</f>
        <v>3.1561461794019863E-2</v>
      </c>
      <c r="BM284" s="671">
        <f>+BM278/BL278-1</f>
        <v>0.13526570048309172</v>
      </c>
      <c r="BP284" s="671">
        <f>+BP278/BM278-1</f>
        <v>-5.2482269503546064E-2</v>
      </c>
      <c r="BQ284" s="671">
        <f>+BQ278/BP278-1</f>
        <v>0.22305389221556893</v>
      </c>
      <c r="BT284" s="671">
        <f>+BT278/BQ278-1</f>
        <v>-5.9975520195838405E-2</v>
      </c>
      <c r="BU284" s="671">
        <f>+BU278/BT278-1</f>
        <v>0</v>
      </c>
      <c r="BX284" s="671">
        <f>+BX278/BU278-1</f>
        <v>4.4270833333333259E-2</v>
      </c>
      <c r="BY284" s="671">
        <f>+BY278/BX278-1</f>
        <v>5.2369077306733125E-2</v>
      </c>
      <c r="CB284" s="671">
        <f>+CB278/BY278-1</f>
        <v>6.3981042654028375E-2</v>
      </c>
      <c r="CC284" s="671">
        <f>+CC278/CB278-1</f>
        <v>9.0200445434298393E-2</v>
      </c>
      <c r="CF284" s="671">
        <f>+CF278/CC278-1</f>
        <v>2.3493360572012234E-2</v>
      </c>
      <c r="CG284" s="671">
        <f>+CG278/CF278-1</f>
        <v>7.8842315369261451E-2</v>
      </c>
      <c r="CJ284" s="671">
        <f>+CJ278/CG278-1</f>
        <v>1.4801110083256352E-2</v>
      </c>
      <c r="CK284" s="671">
        <f>+CK278/CJ278-1</f>
        <v>6.1075660893345596E-2</v>
      </c>
      <c r="CN284" s="671">
        <f>+CN278/CK278-1</f>
        <v>7.5601374570446689E-2</v>
      </c>
      <c r="CO284" s="671">
        <f>+CO278/CN278-1</f>
        <v>6.8690095846645427E-2</v>
      </c>
      <c r="CR284" s="671">
        <f>+CR278/CO278-1</f>
        <v>0.25261584454409558</v>
      </c>
      <c r="CS284" s="671">
        <f>+CS278/CR278-1</f>
        <v>0.34248210023866354</v>
      </c>
      <c r="CV284" s="671">
        <f>+CV278/CS278-1</f>
        <v>5.3777777777777702E-2</v>
      </c>
      <c r="CW284" s="671">
        <f>+CW278/CV278-1</f>
        <v>8.7304934626739827E-2</v>
      </c>
      <c r="CZ284" s="671">
        <f>+CZ278/CW278-1</f>
        <v>6.0899922420480923E-2</v>
      </c>
      <c r="DA284" s="671">
        <f>+DA278/CZ278-1</f>
        <v>5.7404021937842886E-2</v>
      </c>
      <c r="DD284" s="671">
        <f>+DD278/DA278-1</f>
        <v>3.3886583679114901E-2</v>
      </c>
      <c r="DE284" s="671">
        <f>+DE278/DD278-1</f>
        <v>-2.3745819397993362E-2</v>
      </c>
      <c r="DH284" s="671">
        <f>+DH278/DE278-1</f>
        <v>9.3525179856115193E-2</v>
      </c>
      <c r="DI284" s="671"/>
      <c r="DL284" s="671"/>
      <c r="DM284" s="671"/>
      <c r="DP284" s="671"/>
      <c r="DQ284" s="671"/>
    </row>
    <row r="285" spans="1:273" s="302" customFormat="1">
      <c r="A285" s="642" t="str">
        <f>A279</f>
        <v>Asia (US$)</v>
      </c>
      <c r="B285" s="304"/>
      <c r="AN285" s="304"/>
      <c r="AO285" s="304"/>
      <c r="AP285" s="304"/>
      <c r="AQ285" s="304"/>
      <c r="AR285" s="304"/>
      <c r="AS285" s="304"/>
      <c r="AT285" s="304"/>
      <c r="AU285" s="304"/>
      <c r="AV285" s="304"/>
      <c r="AW285" s="304"/>
      <c r="AX285" s="304"/>
      <c r="AY285" s="304"/>
      <c r="AZ285" s="304"/>
      <c r="BA285" s="304"/>
      <c r="BB285" s="304"/>
      <c r="BC285" s="304"/>
      <c r="BD285" s="304"/>
      <c r="BE285" s="668"/>
      <c r="BF285" s="304"/>
      <c r="BG285" s="304"/>
      <c r="BH285" s="668">
        <f>+BH279/BE279-1</f>
        <v>4.7201731129646207E-2</v>
      </c>
      <c r="BI285" s="668">
        <f>+BI279/BH279-1</f>
        <v>-5.6072603608045224E-2</v>
      </c>
      <c r="BJ285" s="304"/>
      <c r="BK285" s="304"/>
      <c r="BL285" s="668">
        <f>+BL279/BI279-1</f>
        <v>9.1839345101048853E-2</v>
      </c>
      <c r="BM285" s="668">
        <f>+BM279/BL279-1</f>
        <v>1.2335817908466109</v>
      </c>
      <c r="BN285" s="304"/>
      <c r="BO285" s="304"/>
      <c r="BP285" s="668">
        <f>+BP279/BM279-1</f>
        <v>-7.767502111650304E-2</v>
      </c>
      <c r="BQ285" s="668">
        <f>+BQ279/BP279-1</f>
        <v>-0.34647016615864568</v>
      </c>
      <c r="BR285" s="304"/>
      <c r="BS285" s="304"/>
      <c r="BT285" s="668">
        <f>+BT279/BQ279-1</f>
        <v>0.35396224362852746</v>
      </c>
      <c r="BU285" s="668">
        <f>+BU279/BT279-1</f>
        <v>0.13451042296365756</v>
      </c>
      <c r="BV285" s="304"/>
      <c r="BW285" s="304"/>
      <c r="BX285" s="668">
        <f>+BX279/BU279-1</f>
        <v>3.3273509445496563E-2</v>
      </c>
      <c r="BY285" s="668">
        <f>+BY279/BX279-1</f>
        <v>7.1679558673622523E-2</v>
      </c>
      <c r="BZ285" s="304"/>
      <c r="CA285" s="304"/>
      <c r="CB285" s="668">
        <f>+CB279/BY279-1</f>
        <v>-4.7591337960846136E-2</v>
      </c>
      <c r="CC285" s="668">
        <f>+CC279/CB279-1</f>
        <v>0.10961834999541198</v>
      </c>
      <c r="CD285" s="304"/>
      <c r="CE285" s="300"/>
      <c r="CF285" s="668">
        <f>+CF279/CC279-1</f>
        <v>5.072579230057217E-3</v>
      </c>
      <c r="CG285" s="668">
        <f>+CG279/CF279-1</f>
        <v>6.8834559458016642E-2</v>
      </c>
      <c r="CH285" s="304"/>
      <c r="CI285" s="300"/>
      <c r="CJ285" s="668">
        <f>+CJ279/CG279-1</f>
        <v>-3.2226805439905748E-2</v>
      </c>
      <c r="CK285" s="668">
        <f>+CK279/CJ279-1</f>
        <v>-2.252622016621908E-3</v>
      </c>
      <c r="CL285" s="304"/>
      <c r="CM285" s="300"/>
      <c r="CN285" s="668">
        <f>+CN279/CK279-1</f>
        <v>-0.33659703233803639</v>
      </c>
      <c r="CO285" s="668">
        <f>+CO279/CN279-1</f>
        <v>-1.1270311620709128E-2</v>
      </c>
      <c r="CP285" s="304"/>
      <c r="CQ285" s="300"/>
      <c r="CR285" s="668">
        <f>+CR279/CO279-1</f>
        <v>-2.2719743877630427E-2</v>
      </c>
      <c r="CS285" s="668">
        <f>+CS279/CR279-1</f>
        <v>0.24255743164848953</v>
      </c>
      <c r="CT285" s="304"/>
      <c r="CU285" s="304"/>
      <c r="CV285" s="668">
        <f>+CV279/CS279-1</f>
        <v>-0.10518822037425579</v>
      </c>
      <c r="CW285" s="668">
        <f>+CW279/CV279-1</f>
        <v>0.10096501093642685</v>
      </c>
      <c r="CX285" s="304"/>
      <c r="CY285" s="304"/>
      <c r="CZ285" s="668">
        <f>+CZ279/CW279-1</f>
        <v>-9.8380905889844383E-3</v>
      </c>
      <c r="DA285" s="668">
        <f>+DA279/CZ279-1</f>
        <v>3.8022216591433011E-2</v>
      </c>
      <c r="DB285" s="304"/>
      <c r="DC285" s="304"/>
      <c r="DD285" s="668">
        <f>+DD279/DA279-1</f>
        <v>0.11346321682233107</v>
      </c>
      <c r="DE285" s="668">
        <f>+DE279/DD279-1</f>
        <v>-3.456682931159738E-2</v>
      </c>
      <c r="DF285" s="304"/>
      <c r="DG285" s="304"/>
      <c r="DH285" s="668">
        <f>+DH279/DE279-1</f>
        <v>0.10309724589575664</v>
      </c>
      <c r="DI285" s="669"/>
      <c r="DJ285" s="304"/>
      <c r="DK285" s="304"/>
      <c r="DL285" s="669"/>
      <c r="DM285" s="669"/>
      <c r="DN285" s="304"/>
      <c r="DO285" s="304"/>
      <c r="DP285" s="669"/>
      <c r="DQ285" s="669"/>
      <c r="DR285" s="304"/>
      <c r="DS285" s="304"/>
      <c r="DT285" s="304"/>
      <c r="DU285" s="304"/>
      <c r="DV285" s="304"/>
      <c r="DW285" s="304"/>
      <c r="DX285" s="304"/>
      <c r="DY285" s="304"/>
      <c r="DZ285" s="304"/>
      <c r="EA285" s="304"/>
      <c r="EB285" s="304"/>
      <c r="EC285" s="304"/>
      <c r="ED285" s="304"/>
      <c r="EE285" s="304"/>
      <c r="EF285" s="304"/>
      <c r="EG285" s="304"/>
      <c r="EH285" s="304"/>
      <c r="EI285" s="304"/>
      <c r="EJ285" s="304"/>
      <c r="EK285" s="304"/>
      <c r="EL285" s="304"/>
      <c r="EM285" s="304"/>
      <c r="EN285" s="304"/>
      <c r="EO285" s="304"/>
      <c r="EP285" s="304"/>
      <c r="FL285" s="102"/>
      <c r="FM285" s="102"/>
      <c r="FN285" s="102"/>
      <c r="FO285" s="102"/>
      <c r="FP285" s="102"/>
      <c r="FQ285" s="102"/>
      <c r="FR285" s="102"/>
      <c r="FS285" s="102"/>
      <c r="FT285" s="102"/>
      <c r="FU285" s="102"/>
      <c r="FV285" s="102"/>
      <c r="FW285" s="102"/>
      <c r="FX285" s="102"/>
      <c r="FY285" s="102"/>
      <c r="FZ285" s="102"/>
      <c r="GA285" s="102"/>
      <c r="GB285" s="102"/>
      <c r="GC285" s="102"/>
      <c r="GD285" s="102"/>
      <c r="GE285" s="102"/>
      <c r="GF285" s="102"/>
      <c r="GG285" s="102"/>
      <c r="GH285" s="102"/>
      <c r="GI285" s="102"/>
      <c r="GJ285" s="102"/>
      <c r="GK285" s="102"/>
      <c r="GL285" s="102"/>
      <c r="GM285" s="102"/>
      <c r="GN285" s="102"/>
      <c r="GO285" s="102"/>
      <c r="GP285" s="102"/>
      <c r="GQ285" s="102"/>
      <c r="GR285" s="102"/>
      <c r="GS285" s="102"/>
      <c r="GT285" s="102"/>
      <c r="GU285" s="102"/>
      <c r="GV285" s="102"/>
      <c r="GW285" s="102"/>
      <c r="GX285" s="102"/>
      <c r="GY285" s="102"/>
      <c r="GZ285" s="102"/>
      <c r="HA285" s="102"/>
      <c r="HB285" s="102"/>
      <c r="HC285" s="102"/>
      <c r="HD285" s="102"/>
      <c r="HE285" s="102"/>
      <c r="HF285" s="102"/>
      <c r="HG285" s="102"/>
      <c r="HH285" s="102"/>
      <c r="HI285" s="102"/>
      <c r="HJ285" s="102"/>
      <c r="HK285" s="102"/>
      <c r="HL285" s="102"/>
      <c r="HM285" s="102"/>
      <c r="HN285" s="102"/>
      <c r="HO285" s="102"/>
      <c r="HP285" s="102"/>
      <c r="HQ285" s="102"/>
      <c r="HR285" s="102"/>
      <c r="HS285" s="102"/>
      <c r="HT285" s="102"/>
      <c r="HU285" s="102"/>
      <c r="HV285" s="102"/>
      <c r="HW285" s="102"/>
      <c r="HX285" s="102"/>
      <c r="HY285" s="102"/>
      <c r="HZ285" s="102"/>
      <c r="IA285" s="102"/>
      <c r="IB285" s="102"/>
      <c r="IC285" s="102"/>
      <c r="ID285" s="102"/>
      <c r="IE285" s="102"/>
      <c r="IF285" s="102"/>
      <c r="IG285" s="102"/>
      <c r="IH285" s="102"/>
      <c r="II285" s="102"/>
      <c r="IJ285" s="102"/>
      <c r="IK285" s="102"/>
      <c r="IL285" s="102"/>
      <c r="IM285" s="102"/>
      <c r="IN285" s="102"/>
      <c r="IO285" s="102"/>
      <c r="IP285" s="102"/>
      <c r="IQ285" s="102"/>
      <c r="IR285" s="102"/>
      <c r="IS285" s="102"/>
      <c r="IT285" s="102"/>
      <c r="IU285" s="102"/>
      <c r="IV285" s="102"/>
      <c r="IW285" s="102"/>
      <c r="IX285" s="102"/>
      <c r="IY285" s="102"/>
      <c r="IZ285" s="102"/>
      <c r="JA285" s="102"/>
      <c r="JB285" s="102"/>
      <c r="JC285" s="102"/>
      <c r="JD285" s="102"/>
      <c r="JE285" s="102"/>
      <c r="JF285" s="102"/>
      <c r="JG285" s="102"/>
      <c r="JH285" s="102"/>
      <c r="JI285" s="102"/>
      <c r="JJ285" s="102"/>
      <c r="JK285" s="102"/>
      <c r="JL285" s="102"/>
      <c r="JM285"/>
    </row>
    <row r="286" spans="1:273" s="289" customFormat="1">
      <c r="A286" s="328" t="str">
        <f>A280</f>
        <v>Total (const ccy)</v>
      </c>
      <c r="B286" s="290"/>
      <c r="AN286" s="290"/>
      <c r="AO286" s="290"/>
      <c r="AP286" s="290"/>
      <c r="AQ286" s="290"/>
      <c r="AR286" s="290"/>
      <c r="AS286" s="290"/>
      <c r="AT286" s="290"/>
      <c r="AU286" s="290"/>
      <c r="AV286" s="290"/>
      <c r="AW286" s="290"/>
      <c r="AX286" s="290"/>
      <c r="AY286" s="290"/>
      <c r="AZ286" s="290"/>
      <c r="BA286" s="290"/>
      <c r="BB286" s="290"/>
      <c r="BC286" s="290"/>
      <c r="BD286" s="290"/>
      <c r="BE286" s="672"/>
      <c r="BF286" s="290"/>
      <c r="BG286" s="290"/>
      <c r="BH286" s="672">
        <f>+BH280/BE280-1</f>
        <v>0.25056113592132023</v>
      </c>
      <c r="BI286" s="672">
        <f>+BI280/BH280-1</f>
        <v>2.052167852811837E-2</v>
      </c>
      <c r="BJ286" s="290"/>
      <c r="BK286" s="290"/>
      <c r="BL286" s="672">
        <f>+BL280/BI280-1</f>
        <v>-1.8511614155108935E-3</v>
      </c>
      <c r="BM286" s="672">
        <f>+BM280/BL280-1</f>
        <v>8.7556685315074434E-2</v>
      </c>
      <c r="BN286" s="290"/>
      <c r="BO286" s="290"/>
      <c r="BP286" s="672">
        <f>+BP280/BM280-1</f>
        <v>-1.9545636336790739E-2</v>
      </c>
      <c r="BQ286" s="672">
        <f>+BQ280/BP280-1</f>
        <v>5.2655903889536892E-2</v>
      </c>
      <c r="BR286" s="290"/>
      <c r="BS286" s="290"/>
      <c r="BT286" s="672">
        <f>+BT280/BQ280-1</f>
        <v>-4.3435719693971753E-2</v>
      </c>
      <c r="BU286" s="672">
        <f>+BU280/BT280-1</f>
        <v>1.9940518688810638E-2</v>
      </c>
      <c r="BV286" s="290"/>
      <c r="BW286" s="290"/>
      <c r="BX286" s="672">
        <f>+BX280/BU280-1</f>
        <v>3.0825759317358425E-2</v>
      </c>
      <c r="BY286" s="672">
        <f>+BY280/BX280-1</f>
        <v>-1.2510932636452865E-2</v>
      </c>
      <c r="BZ286" s="290"/>
      <c r="CA286" s="290"/>
      <c r="CB286" s="672">
        <f>+CB280/BY280-1</f>
        <v>-7.916745434585426E-3</v>
      </c>
      <c r="CC286" s="672">
        <f>+CC280/CB280-1</f>
        <v>2.8406276274838493E-2</v>
      </c>
      <c r="CD286" s="290"/>
      <c r="CE286" s="581"/>
      <c r="CF286" s="672">
        <f>+CF280/CC280-1</f>
        <v>6.0910153945954226E-2</v>
      </c>
      <c r="CG286" s="672">
        <f>+CG280/CF280-1</f>
        <v>-2.2980607376961171E-3</v>
      </c>
      <c r="CH286" s="290"/>
      <c r="CI286" s="581"/>
      <c r="CJ286" s="672">
        <f>+CJ280/CG280-1</f>
        <v>-1.0818779595632377E-2</v>
      </c>
      <c r="CK286" s="672">
        <f>+CK280/CJ280-1</f>
        <v>2.3245488872787545E-2</v>
      </c>
      <c r="CL286" s="290"/>
      <c r="CM286" s="581"/>
      <c r="CN286" s="672">
        <f>+CN280/CK280-1</f>
        <v>0.13915794785527535</v>
      </c>
      <c r="CO286" s="672">
        <f>+CO280/CN280-1</f>
        <v>6.5494525433289708E-2</v>
      </c>
      <c r="CP286" s="290"/>
      <c r="CQ286" s="581"/>
      <c r="CR286" s="672">
        <f>+CR280/CO280-1</f>
        <v>0.25016355367037391</v>
      </c>
      <c r="CS286" s="672">
        <f>+CS280/CR280-1</f>
        <v>0.1251408958525726</v>
      </c>
      <c r="CT286" s="290"/>
      <c r="CU286" s="290"/>
      <c r="CV286" s="672">
        <f>+CV280/CS280-1</f>
        <v>-4.152221750111762E-3</v>
      </c>
      <c r="CW286" s="672">
        <f>+CW280/CV280-1</f>
        <v>7.7438457057505961E-2</v>
      </c>
      <c r="CX286" s="290"/>
      <c r="CY286" s="290"/>
      <c r="CZ286" s="672">
        <f>+CZ280/CW280-1</f>
        <v>6.811871482466092E-4</v>
      </c>
      <c r="DA286" s="672">
        <f>+DA280/CZ280-1</f>
        <v>6.560443886840428E-2</v>
      </c>
      <c r="DB286" s="290"/>
      <c r="DC286" s="290"/>
      <c r="DD286" s="672">
        <f>+DD280/DA280-1</f>
        <v>1.3193912955210552E-2</v>
      </c>
      <c r="DE286" s="672">
        <f>+DE280/DD280-1</f>
        <v>-1.0569004670935689E-2</v>
      </c>
      <c r="DF286" s="290"/>
      <c r="DG286" s="290"/>
      <c r="DH286" s="672">
        <f>+DH280/DE280-1</f>
        <v>3.411621051319691E-2</v>
      </c>
      <c r="DI286" s="672"/>
      <c r="DJ286" s="290"/>
      <c r="DK286" s="290"/>
      <c r="DL286" s="672"/>
      <c r="DM286" s="672"/>
      <c r="DN286" s="290"/>
      <c r="DO286" s="290"/>
      <c r="DP286" s="672"/>
      <c r="DQ286" s="672"/>
      <c r="DR286" s="290"/>
      <c r="DS286" s="290"/>
      <c r="DT286" s="290"/>
      <c r="DU286" s="290"/>
      <c r="DV286" s="290"/>
      <c r="DW286" s="290"/>
      <c r="DX286" s="290"/>
      <c r="DY286" s="290"/>
      <c r="DZ286" s="290"/>
      <c r="EA286" s="290"/>
      <c r="EB286" s="290"/>
      <c r="EC286" s="290"/>
      <c r="ED286" s="290"/>
      <c r="EE286" s="290"/>
      <c r="EF286" s="290"/>
      <c r="EG286" s="290"/>
      <c r="EH286" s="290"/>
      <c r="EI286" s="290"/>
      <c r="EJ286" s="290"/>
      <c r="EK286" s="290"/>
      <c r="EL286" s="290"/>
      <c r="EM286" s="290"/>
      <c r="EN286" s="290"/>
      <c r="EO286" s="290"/>
      <c r="EP286" s="290"/>
      <c r="JM286"/>
    </row>
    <row r="287" spans="1:273">
      <c r="A287" s="289" t="s">
        <v>864</v>
      </c>
      <c r="BE287" s="376"/>
      <c r="BH287" s="376">
        <f>+BH273-BH286</f>
        <v>-0.20895819924343706</v>
      </c>
      <c r="BI287" s="376">
        <f>+BI273-BI286</f>
        <v>-2.5736134750165007E-4</v>
      </c>
      <c r="BL287" s="376">
        <f>+BL273-BL286</f>
        <v>0.10950804109311585</v>
      </c>
      <c r="BM287" s="376">
        <f>+BM273-BM286</f>
        <v>2.1850799092409945E-2</v>
      </c>
      <c r="BP287" s="376">
        <f>+BP273-BP286</f>
        <v>1.6031932893361356E-2</v>
      </c>
      <c r="BQ287" s="376">
        <f>+BQ273-BQ286</f>
        <v>9.0503475518079579E-2</v>
      </c>
      <c r="BT287" s="376">
        <f>+BT273-BT286</f>
        <v>8.0449908466334485E-2</v>
      </c>
      <c r="BU287" s="376">
        <f>+BU273-BU286</f>
        <v>-7.0902247818297015E-2</v>
      </c>
      <c r="BX287" s="376">
        <f>+BX273-BX286</f>
        <v>-5.2906061280344474E-4</v>
      </c>
      <c r="BY287" s="376">
        <f>+BY273-BY286</f>
        <v>-1.0608110154056161E-2</v>
      </c>
      <c r="CB287" s="376">
        <f>+CB273-CB286</f>
        <v>-8.898699863317816E-3</v>
      </c>
      <c r="CC287" s="376">
        <f>+CC273-CC286</f>
        <v>2.0369061562999446E-2</v>
      </c>
      <c r="CF287" s="376">
        <f>+CF273-CF286</f>
        <v>4.8411368099546159E-2</v>
      </c>
      <c r="CG287" s="376">
        <f>+CG273-CG286</f>
        <v>2.8425253474964052E-3</v>
      </c>
      <c r="CJ287" s="376">
        <f>+CJ273-CJ286</f>
        <v>3.2766902214895866E-2</v>
      </c>
      <c r="CK287" s="376">
        <f>+CK273-CK286</f>
        <v>5.3964308784294479E-2</v>
      </c>
      <c r="CN287" s="376">
        <f>+CN273-CN286</f>
        <v>-0.222532474136376</v>
      </c>
      <c r="CO287" s="376">
        <f>+CO273-CO286</f>
        <v>-5.2551868593455175E-2</v>
      </c>
      <c r="CR287" s="376">
        <f>+CR273-CR286</f>
        <v>5.773351820185324E-2</v>
      </c>
      <c r="CS287" s="376">
        <f>+CS273-CS286</f>
        <v>-4.9157178077809949E-2</v>
      </c>
      <c r="CV287" s="376">
        <f>+CV273-CV286</f>
        <v>5.4467480262091694E-2</v>
      </c>
      <c r="CW287" s="376">
        <f>+CW273-CW286</f>
        <v>-2.2569925421054959E-2</v>
      </c>
      <c r="CZ287" s="376">
        <f>+CZ273-CZ286</f>
        <v>1.4570349387150516E-2</v>
      </c>
      <c r="DA287" s="376">
        <f>+DA273-DA286</f>
        <v>-1.3698609271991735E-2</v>
      </c>
      <c r="DD287" s="376">
        <f>+DD273-DD286</f>
        <v>-3.6107693196071655E-2</v>
      </c>
      <c r="DE287" s="376">
        <f>+DE273-DE286</f>
        <v>3.6965165229399854E-2</v>
      </c>
      <c r="DH287" s="376">
        <f>+DH273-DH286</f>
        <v>-1.488135397759649E-2</v>
      </c>
      <c r="DI287" s="376"/>
      <c r="DL287" s="376"/>
      <c r="DM287" s="376"/>
      <c r="DP287" s="376"/>
      <c r="DQ287" s="376"/>
    </row>
    <row r="289" spans="1:273" s="699" customFormat="1">
      <c r="A289" s="877" t="s">
        <v>853</v>
      </c>
      <c r="B289" s="867"/>
      <c r="AN289" s="867"/>
      <c r="AO289" s="867"/>
      <c r="AP289" s="867"/>
      <c r="AQ289" s="867"/>
      <c r="AR289" s="867"/>
      <c r="AS289" s="867"/>
      <c r="AT289" s="867"/>
      <c r="AU289" s="867"/>
      <c r="AV289" s="867"/>
      <c r="AW289" s="867"/>
      <c r="AX289" s="867"/>
      <c r="AY289" s="867"/>
      <c r="AZ289" s="867"/>
      <c r="BA289" s="867"/>
      <c r="BB289" s="867"/>
      <c r="BC289" s="867"/>
      <c r="BD289" s="867"/>
      <c r="BE289" s="867"/>
      <c r="BF289" s="867"/>
      <c r="BG289" s="867"/>
      <c r="BH289" s="867"/>
      <c r="BI289" s="867"/>
      <c r="BJ289" s="867"/>
      <c r="BK289" s="867"/>
      <c r="BL289" s="867"/>
      <c r="BM289" s="867"/>
      <c r="BN289" s="867"/>
      <c r="BO289" s="867"/>
      <c r="BP289" s="867"/>
      <c r="BQ289" s="867"/>
      <c r="BR289" s="867"/>
      <c r="BS289" s="867"/>
      <c r="BT289" s="867"/>
      <c r="BU289" s="867"/>
      <c r="BV289" s="867"/>
      <c r="BW289" s="867"/>
      <c r="BX289" s="867"/>
      <c r="BY289" s="867"/>
      <c r="BZ289" s="867"/>
      <c r="CA289" s="867"/>
      <c r="CB289" s="867"/>
      <c r="CC289" s="867"/>
      <c r="CD289" s="867"/>
      <c r="CE289" s="1608"/>
      <c r="CF289" s="867"/>
      <c r="CG289" s="867"/>
      <c r="CH289" s="867"/>
      <c r="CI289" s="1608"/>
      <c r="CJ289" s="867"/>
      <c r="CK289" s="867"/>
      <c r="CL289" s="867"/>
      <c r="CM289" s="1608"/>
      <c r="CN289" s="867"/>
      <c r="CO289" s="867"/>
      <c r="CP289" s="867"/>
      <c r="CQ289" s="1608"/>
      <c r="CR289" s="867"/>
      <c r="CS289" s="867"/>
      <c r="CT289" s="867"/>
      <c r="CU289" s="867"/>
      <c r="CV289" s="867"/>
      <c r="CW289" s="867"/>
      <c r="CX289" s="867"/>
      <c r="CY289" s="867"/>
      <c r="CZ289" s="867"/>
      <c r="DA289" s="867"/>
      <c r="DB289" s="867"/>
      <c r="DC289" s="867"/>
      <c r="DD289" s="867"/>
      <c r="DE289" s="867"/>
      <c r="DF289" s="867"/>
      <c r="DG289" s="867"/>
      <c r="DH289" s="867"/>
      <c r="DI289" s="867"/>
      <c r="DJ289" s="867"/>
      <c r="DK289" s="867"/>
      <c r="DL289" s="867"/>
      <c r="DM289" s="867"/>
      <c r="DN289" s="867"/>
      <c r="DO289" s="867"/>
      <c r="DP289" s="867"/>
      <c r="DQ289" s="867"/>
      <c r="DR289" s="867"/>
      <c r="DS289" s="867"/>
      <c r="DT289" s="867"/>
      <c r="DU289" s="867"/>
      <c r="DV289" s="867"/>
      <c r="DW289" s="867"/>
      <c r="DX289" s="867"/>
      <c r="DY289" s="867"/>
      <c r="DZ289" s="867"/>
      <c r="EA289" s="867"/>
      <c r="EB289" s="867"/>
      <c r="EC289" s="867"/>
      <c r="ED289" s="867"/>
      <c r="EE289" s="867"/>
      <c r="EF289" s="867"/>
      <c r="EG289" s="867"/>
      <c r="EH289" s="867"/>
      <c r="EI289" s="867"/>
      <c r="EJ289" s="867"/>
      <c r="EK289" s="867"/>
      <c r="EL289" s="867"/>
      <c r="EM289" s="867"/>
      <c r="EN289" s="867"/>
      <c r="EO289" s="867"/>
      <c r="EP289" s="867"/>
      <c r="FL289" s="102"/>
      <c r="FM289" s="102"/>
      <c r="FN289" s="102"/>
      <c r="FO289" s="102"/>
      <c r="FP289" s="102"/>
      <c r="FQ289" s="102"/>
      <c r="FR289" s="102"/>
      <c r="FS289" s="102"/>
      <c r="FT289" s="102"/>
      <c r="FU289" s="102"/>
      <c r="FV289" s="102"/>
      <c r="FW289" s="102"/>
      <c r="FX289" s="102"/>
      <c r="FY289" s="102"/>
      <c r="FZ289" s="102"/>
      <c r="GA289" s="102"/>
      <c r="GB289" s="102"/>
      <c r="GC289" s="102"/>
      <c r="GD289" s="102"/>
      <c r="GE289" s="102"/>
      <c r="GF289" s="102"/>
      <c r="GG289" s="102"/>
      <c r="GH289" s="102"/>
      <c r="GI289" s="102"/>
      <c r="GJ289" s="102"/>
      <c r="GK289" s="102"/>
      <c r="GL289" s="102"/>
      <c r="GM289" s="102"/>
      <c r="GN289" s="102"/>
      <c r="GO289" s="102"/>
      <c r="GP289" s="102"/>
      <c r="GQ289" s="102"/>
      <c r="GR289" s="102"/>
      <c r="GS289" s="102"/>
      <c r="GT289" s="102"/>
      <c r="GU289" s="102"/>
      <c r="GV289" s="102"/>
      <c r="GW289" s="102"/>
      <c r="GX289" s="102"/>
      <c r="GY289" s="102"/>
      <c r="GZ289" s="102"/>
      <c r="HA289" s="102"/>
      <c r="HB289" s="102"/>
      <c r="HC289" s="102"/>
      <c r="HD289" s="102"/>
      <c r="HE289" s="102"/>
      <c r="HF289" s="102"/>
      <c r="HG289" s="102"/>
      <c r="HH289" s="102"/>
      <c r="HI289" s="102"/>
      <c r="HJ289" s="102"/>
      <c r="HK289" s="102"/>
      <c r="HL289" s="102"/>
      <c r="HM289" s="102"/>
      <c r="HN289" s="102"/>
      <c r="HO289" s="102"/>
      <c r="HP289" s="102"/>
      <c r="HQ289" s="102"/>
      <c r="HR289" s="102"/>
      <c r="HS289" s="102"/>
      <c r="HT289" s="102"/>
      <c r="HU289" s="102"/>
      <c r="HV289" s="102"/>
      <c r="HW289" s="102"/>
      <c r="HX289" s="102"/>
      <c r="HY289" s="102"/>
      <c r="HZ289" s="102"/>
      <c r="IA289" s="102"/>
      <c r="IB289" s="102"/>
      <c r="IC289" s="102"/>
      <c r="ID289" s="102"/>
      <c r="IE289" s="102"/>
      <c r="IF289" s="102"/>
      <c r="IG289" s="102"/>
      <c r="IH289" s="102"/>
      <c r="II289" s="102"/>
      <c r="IJ289" s="102"/>
      <c r="IK289" s="102"/>
      <c r="IL289" s="102"/>
      <c r="IM289" s="102"/>
      <c r="IN289" s="102"/>
      <c r="IO289" s="102"/>
      <c r="IP289" s="102"/>
      <c r="IQ289" s="102"/>
      <c r="IR289" s="102"/>
      <c r="IS289" s="102"/>
      <c r="IT289" s="102"/>
      <c r="IU289" s="102"/>
      <c r="IV289" s="102"/>
      <c r="IW289" s="102"/>
      <c r="IX289" s="102"/>
      <c r="IY289" s="102"/>
      <c r="IZ289" s="102"/>
      <c r="JA289" s="102"/>
      <c r="JB289" s="102"/>
      <c r="JC289" s="102"/>
      <c r="JD289" s="102"/>
      <c r="JE289" s="102"/>
      <c r="JF289" s="102"/>
      <c r="JG289" s="102"/>
      <c r="JH289" s="102"/>
      <c r="JI289" s="102"/>
      <c r="JJ289" s="102"/>
      <c r="JK289" s="102"/>
      <c r="JL289" s="102"/>
      <c r="JM289"/>
    </row>
    <row r="290" spans="1:273">
      <c r="A290" s="815"/>
      <c r="BM290" s="293">
        <f>+BM182+BM188</f>
        <v>312600</v>
      </c>
      <c r="BQ290" s="293">
        <f>+BQ182+BQ188</f>
        <v>350300</v>
      </c>
      <c r="BU290" s="293">
        <f>+BU182+BU188</f>
        <v>338800</v>
      </c>
    </row>
    <row r="291" spans="1:273">
      <c r="A291" s="815" t="s">
        <v>878</v>
      </c>
    </row>
    <row r="292" spans="1:273">
      <c r="A292" s="102" t="s">
        <v>870</v>
      </c>
      <c r="AZ292" s="293">
        <f>AZ297/AZ1233</f>
        <v>156185.35374431114</v>
      </c>
      <c r="BA292" s="293">
        <f>BA297/BA1233</f>
        <v>150004.83886576985</v>
      </c>
      <c r="BD292" s="293">
        <f>BD297/BD1233</f>
        <v>168533.55256397082</v>
      </c>
      <c r="BE292" s="293">
        <f>BE297/BE1233</f>
        <v>169214.49860590327</v>
      </c>
      <c r="BH292" s="293">
        <f>BH297/BH1233</f>
        <v>173962.91340087936</v>
      </c>
      <c r="BI292" s="293">
        <f>BI297/BI1233</f>
        <v>176515.73292402149</v>
      </c>
      <c r="BJ292" s="293"/>
      <c r="BL292" s="293">
        <f>BL297/BL1233</f>
        <v>204037.80068728523</v>
      </c>
      <c r="BM292" s="293">
        <f>BM297/BM1233</f>
        <v>220726.18916234412</v>
      </c>
      <c r="BN292" s="293"/>
      <c r="BP292" s="293">
        <f>BP297/BP1233</f>
        <v>223850.73568921565</v>
      </c>
      <c r="BQ292" s="293">
        <f>BQ297/BQ1233</f>
        <v>235756.38506876229</v>
      </c>
      <c r="BR292" s="293"/>
      <c r="BT292" s="293">
        <f>BT297/BT1233</f>
        <v>235277.34207899615</v>
      </c>
      <c r="BU292" s="293">
        <f>BU297/BU1233</f>
        <v>221278.26427917919</v>
      </c>
      <c r="BV292" s="293"/>
      <c r="BX292" s="293">
        <f>BX297/BX1233</f>
        <v>227522.9357798165</v>
      </c>
      <c r="BY292" s="293">
        <f>BY297/BY1233</f>
        <v>207183.49342672899</v>
      </c>
      <c r="BZ292" s="293"/>
      <c r="CB292" s="293">
        <f>CB297/CB1233</f>
        <v>205120.35706924266</v>
      </c>
      <c r="CC292" s="293">
        <f>CC297/CC1233</f>
        <v>214934.50199269448</v>
      </c>
      <c r="CD292" s="293"/>
      <c r="CF292" s="293">
        <f>CF297/CF1233</f>
        <v>248934.60998984004</v>
      </c>
      <c r="CG292" s="293">
        <f>CG297/CG1233</f>
        <v>252182.84213768394</v>
      </c>
      <c r="CH292" s="293"/>
      <c r="CJ292" s="293">
        <f>CJ297/CJ1233</f>
        <v>264549.5040268632</v>
      </c>
      <c r="CK292" s="293">
        <f>CK297/CK1233</f>
        <v>307601.70706235687</v>
      </c>
      <c r="CL292" s="293"/>
      <c r="CN292" s="293">
        <f>CN297/CN1233</f>
        <v>244092.72762330531</v>
      </c>
      <c r="CO292" s="293">
        <f>CO297/CO1233</f>
        <v>238767.60908756647</v>
      </c>
      <c r="CP292" s="293"/>
      <c r="CR292" s="293">
        <f>CR297/CR1233</f>
        <v>353097.31526142854</v>
      </c>
      <c r="CS292" s="293">
        <f>CS297/CS1233</f>
        <v>353619.44523687771</v>
      </c>
      <c r="CT292" s="293"/>
      <c r="CV292" s="293">
        <f>CV297/CV1233</f>
        <v>395967.46561165905</v>
      </c>
      <c r="CW292" s="293">
        <f>CW297/CW1233</f>
        <v>393744.63842396915</v>
      </c>
      <c r="CX292" s="293"/>
      <c r="CZ292" s="293">
        <f>CZ297/CZ1233</f>
        <v>418724.8870271807</v>
      </c>
      <c r="DA292" s="293">
        <f>DA297/DA1233</f>
        <v>429498.89098438423</v>
      </c>
      <c r="DB292" s="293"/>
      <c r="DD292" s="293">
        <f>DD297/DD1233</f>
        <v>387453.95519776858</v>
      </c>
      <c r="DE292" s="293">
        <f>DE297/DE1233</f>
        <v>434608.60952021589</v>
      </c>
      <c r="DF292" s="293"/>
      <c r="DH292" s="293">
        <f>DH297/DH1233</f>
        <v>406296.5306336747</v>
      </c>
      <c r="DI292" s="293"/>
      <c r="DL292" s="293"/>
      <c r="DM292" s="293"/>
      <c r="DP292" s="293"/>
      <c r="DQ292" s="293"/>
    </row>
    <row r="293" spans="1:273">
      <c r="A293" s="102" t="s">
        <v>871</v>
      </c>
      <c r="AZ293" s="293">
        <f>+AZ294-AZ292</f>
        <v>53014.646255688858</v>
      </c>
      <c r="BA293" s="293">
        <f>+BA294-BA292</f>
        <v>55541.161134230148</v>
      </c>
      <c r="BD293" s="293">
        <f>+BD294-BD292</f>
        <v>51878.447436029179</v>
      </c>
      <c r="BE293" s="293">
        <f>+BE294-BE292</f>
        <v>53032.501394096733</v>
      </c>
      <c r="BH293" s="293">
        <f>+BH294-BH292</f>
        <v>55137.086599120637</v>
      </c>
      <c r="BI293" s="293">
        <f>+BI294-BI292</f>
        <v>62784.267075978511</v>
      </c>
      <c r="BL293" s="293">
        <f>+BL294-BL292</f>
        <v>60662.199312714773</v>
      </c>
      <c r="BM293" s="293">
        <f>+BM294-BM292</f>
        <v>89773.810837655881</v>
      </c>
      <c r="BP293" s="293">
        <f>+BP294-BP292</f>
        <v>83449.264310784347</v>
      </c>
      <c r="BQ293" s="293">
        <f>+BQ294-BQ292</f>
        <v>112243.61493123771</v>
      </c>
      <c r="BT293" s="293">
        <f>+BT294-BT292</f>
        <v>115922.65792100385</v>
      </c>
      <c r="BU293" s="293">
        <f>+BU294-BU292</f>
        <v>115821.73572082081</v>
      </c>
      <c r="BX293" s="293">
        <f>+BX294-BX292</f>
        <v>123577.0642201835</v>
      </c>
      <c r="BY293" s="293">
        <f>+BY294-BY292</f>
        <v>113116.50657327101</v>
      </c>
      <c r="CB293" s="293">
        <f>+CB294-CB292</f>
        <v>120079.64293075734</v>
      </c>
      <c r="CC293" s="293">
        <f>+CC294-CC292</f>
        <v>118565.49800730552</v>
      </c>
      <c r="CF293" s="293">
        <f>+CF294-CF292</f>
        <v>114665.39001015996</v>
      </c>
      <c r="CG293" s="293">
        <f>+CG294-CG292</f>
        <v>108817.15786231606</v>
      </c>
      <c r="CJ293" s="293">
        <f>+CJ294-CJ292</f>
        <v>96550.4959731368</v>
      </c>
      <c r="CK293" s="293">
        <f>+CK294-CK292</f>
        <v>74998.292937643128</v>
      </c>
      <c r="CN293" s="293">
        <f>+CN294-CN292</f>
        <v>106807.27237669469</v>
      </c>
      <c r="CO293" s="293">
        <f>+CO294-CO292</f>
        <v>128332.39091243353</v>
      </c>
      <c r="CR293" s="293">
        <f>+CR294-CR292</f>
        <v>161502.68473857146</v>
      </c>
      <c r="CS293" s="293">
        <f>+CS294-CS292</f>
        <v>181480.55476312229</v>
      </c>
      <c r="CV293" s="293">
        <f>+CV294-CV292</f>
        <v>124732.53438834095</v>
      </c>
      <c r="CW293" s="293">
        <f>+CW294-CW292</f>
        <v>140755.36157603085</v>
      </c>
      <c r="CZ293" s="293">
        <f>+CZ294-CZ292</f>
        <v>128175.1129728193</v>
      </c>
      <c r="DA293" s="293">
        <f>+DA294-DA292</f>
        <v>137901.10901561577</v>
      </c>
      <c r="DD293" s="293">
        <f>+DD294-DD292</f>
        <v>155746.04480223142</v>
      </c>
      <c r="DE293" s="293">
        <f>+DE294-DE292</f>
        <v>117391.39047978411</v>
      </c>
      <c r="DH293" s="293">
        <f>+DH294-DH292</f>
        <v>136203.4693663253</v>
      </c>
      <c r="DI293" s="293"/>
      <c r="DL293" s="293"/>
      <c r="DM293" s="293"/>
      <c r="DP293" s="293"/>
      <c r="DQ293" s="293"/>
    </row>
    <row r="294" spans="1:273" s="289" customFormat="1">
      <c r="A294" s="289" t="s">
        <v>872</v>
      </c>
      <c r="B294" s="290"/>
      <c r="AN294" s="290"/>
      <c r="AO294" s="290"/>
      <c r="AP294" s="290"/>
      <c r="AQ294" s="290"/>
      <c r="AR294" s="290"/>
      <c r="AS294" s="290"/>
      <c r="AT294" s="290"/>
      <c r="AU294" s="290"/>
      <c r="AV294" s="290"/>
      <c r="AW294" s="290"/>
      <c r="AX294" s="290"/>
      <c r="AY294" s="290"/>
      <c r="AZ294" s="295">
        <f>AZ182</f>
        <v>209200</v>
      </c>
      <c r="BA294" s="295">
        <f>BA182</f>
        <v>205546</v>
      </c>
      <c r="BB294" s="290"/>
      <c r="BC294" s="290"/>
      <c r="BD294" s="295">
        <f>BD182</f>
        <v>220412</v>
      </c>
      <c r="BE294" s="295">
        <f>BE182</f>
        <v>222247</v>
      </c>
      <c r="BF294" s="290"/>
      <c r="BG294" s="290"/>
      <c r="BH294" s="295">
        <f>BH182</f>
        <v>229100</v>
      </c>
      <c r="BI294" s="295">
        <f>BI182</f>
        <v>239300</v>
      </c>
      <c r="BJ294" s="290"/>
      <c r="BK294" s="290"/>
      <c r="BL294" s="295">
        <f>BL182</f>
        <v>264700</v>
      </c>
      <c r="BM294" s="295">
        <f>BM182</f>
        <v>310500</v>
      </c>
      <c r="BN294" s="290"/>
      <c r="BO294" s="290"/>
      <c r="BP294" s="295">
        <f>BP182</f>
        <v>307300</v>
      </c>
      <c r="BQ294" s="295">
        <f>BQ182</f>
        <v>348000</v>
      </c>
      <c r="BR294" s="290"/>
      <c r="BS294" s="290"/>
      <c r="BT294" s="295">
        <f>BT182</f>
        <v>351200</v>
      </c>
      <c r="BU294" s="295">
        <f>BU182</f>
        <v>337100</v>
      </c>
      <c r="BV294" s="290"/>
      <c r="BW294" s="290"/>
      <c r="BX294" s="295">
        <f>BX182</f>
        <v>351100</v>
      </c>
      <c r="BY294" s="295">
        <f>BY182</f>
        <v>320300</v>
      </c>
      <c r="BZ294" s="290"/>
      <c r="CA294" s="290"/>
      <c r="CB294" s="295">
        <f>CB182</f>
        <v>325200</v>
      </c>
      <c r="CC294" s="295">
        <f>CC182</f>
        <v>333500</v>
      </c>
      <c r="CD294" s="290"/>
      <c r="CE294" s="581"/>
      <c r="CF294" s="295">
        <f>CF182</f>
        <v>363600</v>
      </c>
      <c r="CG294" s="295">
        <f>CG182</f>
        <v>361000</v>
      </c>
      <c r="CH294" s="290"/>
      <c r="CI294" s="581"/>
      <c r="CJ294" s="295">
        <f>CJ182</f>
        <v>361100</v>
      </c>
      <c r="CK294" s="295">
        <f>CK182</f>
        <v>382600</v>
      </c>
      <c r="CL294" s="290"/>
      <c r="CM294" s="581"/>
      <c r="CN294" s="295">
        <f>CN182</f>
        <v>350900</v>
      </c>
      <c r="CO294" s="295">
        <f>CO182</f>
        <v>367100</v>
      </c>
      <c r="CP294" s="290"/>
      <c r="CQ294" s="581"/>
      <c r="CR294" s="295">
        <f>CR182</f>
        <v>514600</v>
      </c>
      <c r="CS294" s="295">
        <f>CS182</f>
        <v>535100</v>
      </c>
      <c r="CT294" s="290"/>
      <c r="CU294" s="290"/>
      <c r="CV294" s="295">
        <f>CV182</f>
        <v>520700</v>
      </c>
      <c r="CW294" s="295">
        <f>CW182</f>
        <v>534500</v>
      </c>
      <c r="CX294" s="290"/>
      <c r="CY294" s="290"/>
      <c r="CZ294" s="295">
        <f>CZ182</f>
        <v>546900</v>
      </c>
      <c r="DA294" s="295">
        <f>DA182</f>
        <v>567400</v>
      </c>
      <c r="DB294" s="290"/>
      <c r="DC294" s="290"/>
      <c r="DD294" s="295">
        <f>DD182</f>
        <v>543200</v>
      </c>
      <c r="DE294" s="295">
        <f>DE182</f>
        <v>552000</v>
      </c>
      <c r="DF294" s="290"/>
      <c r="DG294" s="290"/>
      <c r="DH294" s="295">
        <f>DH182</f>
        <v>542500</v>
      </c>
      <c r="DI294" s="295"/>
      <c r="DJ294" s="290"/>
      <c r="DK294" s="290"/>
      <c r="DL294" s="295"/>
      <c r="DM294" s="295"/>
      <c r="DN294" s="290"/>
      <c r="DO294" s="290"/>
      <c r="DP294" s="295"/>
      <c r="DQ294" s="295"/>
      <c r="DR294" s="290"/>
      <c r="DS294" s="290"/>
      <c r="DT294" s="290"/>
      <c r="DU294" s="290"/>
      <c r="DV294" s="290"/>
      <c r="DW294" s="290"/>
      <c r="DX294" s="290"/>
      <c r="DY294" s="290"/>
      <c r="DZ294" s="290"/>
      <c r="EA294" s="290"/>
      <c r="EB294" s="290"/>
      <c r="EC294" s="290"/>
      <c r="ED294" s="290"/>
      <c r="EE294" s="290"/>
      <c r="EF294" s="290"/>
      <c r="EG294" s="290"/>
      <c r="EH294" s="290"/>
      <c r="EI294" s="290"/>
      <c r="EJ294" s="290"/>
      <c r="EK294" s="290"/>
      <c r="EL294" s="290"/>
      <c r="EM294" s="290"/>
      <c r="EN294" s="290"/>
      <c r="EO294" s="290"/>
      <c r="EP294" s="290"/>
      <c r="JM294"/>
    </row>
    <row r="295" spans="1:273" s="289" customFormat="1">
      <c r="A295" s="323" t="s">
        <v>868</v>
      </c>
      <c r="B295" s="290"/>
      <c r="AN295" s="290"/>
      <c r="AO295" s="290"/>
      <c r="AP295" s="290"/>
      <c r="AQ295" s="290"/>
      <c r="AR295" s="290"/>
      <c r="AS295" s="290"/>
      <c r="AT295" s="290"/>
      <c r="AU295" s="290"/>
      <c r="AV295" s="290"/>
      <c r="AW295" s="290"/>
      <c r="AX295" s="290"/>
      <c r="AY295" s="290"/>
      <c r="AZ295" s="324">
        <f>+AZ292/AZ294</f>
        <v>0.74658390891162119</v>
      </c>
      <c r="BA295" s="324">
        <f>+BA292/BA294</f>
        <v>0.72978719540039627</v>
      </c>
      <c r="BB295" s="290"/>
      <c r="BC295" s="290"/>
      <c r="BD295" s="324">
        <f>+BD292/BD294</f>
        <v>0.76462965974616093</v>
      </c>
      <c r="BE295" s="324">
        <f>+BE292/BE294</f>
        <v>0.76138034981756009</v>
      </c>
      <c r="BF295" s="290"/>
      <c r="BG295" s="290"/>
      <c r="BH295" s="324">
        <f>+BH292/BH294</f>
        <v>0.75933179136132412</v>
      </c>
      <c r="BI295" s="324">
        <f>+BI292/BI294</f>
        <v>0.73763365200176134</v>
      </c>
      <c r="BJ295" s="290"/>
      <c r="BK295" s="290"/>
      <c r="BL295" s="324">
        <f>+BL292/BL294</f>
        <v>0.7708265987430496</v>
      </c>
      <c r="BM295" s="324">
        <f>+BM292/BM294</f>
        <v>0.71087339504780711</v>
      </c>
      <c r="BN295" s="290"/>
      <c r="BO295" s="290"/>
      <c r="BP295" s="324">
        <f>+BP292/BP294</f>
        <v>0.72844365665218236</v>
      </c>
      <c r="BQ295" s="324">
        <f>+BQ292/BQ294</f>
        <v>0.67746087663437438</v>
      </c>
      <c r="BR295" s="290"/>
      <c r="BS295" s="290"/>
      <c r="BT295" s="324">
        <f>+BT292/BT294</f>
        <v>0.66992409475796166</v>
      </c>
      <c r="BU295" s="324">
        <f>+BU292/BU294</f>
        <v>0.65641727760065016</v>
      </c>
      <c r="BV295" s="290"/>
      <c r="BW295" s="290"/>
      <c r="BX295" s="324">
        <f>+BX292/BX294</f>
        <v>0.64802886864089004</v>
      </c>
      <c r="BY295" s="324">
        <f>+BY292/BY294</f>
        <v>0.64684200258110836</v>
      </c>
      <c r="BZ295" s="290"/>
      <c r="CA295" s="290"/>
      <c r="CB295" s="324">
        <f>+CB292/CB294</f>
        <v>0.63075140550197617</v>
      </c>
      <c r="CC295" s="324">
        <f>+CC292/CC294</f>
        <v>0.64448126534541073</v>
      </c>
      <c r="CD295" s="290"/>
      <c r="CE295" s="581"/>
      <c r="CF295" s="324">
        <f>+CF292/CF294</f>
        <v>0.68463864133619379</v>
      </c>
      <c r="CG295" s="324">
        <f>+CG292/CG294</f>
        <v>0.69856742974427688</v>
      </c>
      <c r="CH295" s="290"/>
      <c r="CI295" s="581"/>
      <c r="CJ295" s="324">
        <f>+CJ292/CJ294</f>
        <v>0.73262116872573579</v>
      </c>
      <c r="CK295" s="324">
        <f>+CK292/CK294</f>
        <v>0.80397727930568963</v>
      </c>
      <c r="CL295" s="290"/>
      <c r="CM295" s="581"/>
      <c r="CN295" s="324">
        <f>+CN292/CN294</f>
        <v>0.6956190584876184</v>
      </c>
      <c r="CO295" s="324">
        <f>+CO292/CO294</f>
        <v>0.65041571530255093</v>
      </c>
      <c r="CP295" s="290"/>
      <c r="CQ295" s="581"/>
      <c r="CR295" s="324">
        <f>+CR292/CR294</f>
        <v>0.68615879374548883</v>
      </c>
      <c r="CS295" s="324">
        <f>+CS292/CS294</f>
        <v>0.66084740279737941</v>
      </c>
      <c r="CT295" s="290"/>
      <c r="CU295" s="290"/>
      <c r="CV295" s="324">
        <f>+CV292/CV294</f>
        <v>0.76045220974007888</v>
      </c>
      <c r="CW295" s="324">
        <f>+CW292/CW294</f>
        <v>0.73665975383343152</v>
      </c>
      <c r="CX295" s="290"/>
      <c r="CY295" s="290"/>
      <c r="CZ295" s="324">
        <f>+CZ292/CZ294</f>
        <v>0.76563336446732622</v>
      </c>
      <c r="DA295" s="324">
        <f>+DA292/DA294</f>
        <v>0.75695962457593269</v>
      </c>
      <c r="DB295" s="290"/>
      <c r="DC295" s="290"/>
      <c r="DD295" s="324">
        <f>+DD292/DD294</f>
        <v>0.71328047716820431</v>
      </c>
      <c r="DE295" s="324">
        <f>+DE292/DE294</f>
        <v>0.78733443753662302</v>
      </c>
      <c r="DF295" s="290"/>
      <c r="DG295" s="290"/>
      <c r="DH295" s="324">
        <f>+DH292/DH294</f>
        <v>0.74893369702059853</v>
      </c>
      <c r="DI295" s="324"/>
      <c r="DJ295" s="290"/>
      <c r="DK295" s="290"/>
      <c r="DL295" s="324"/>
      <c r="DM295" s="324"/>
      <c r="DN295" s="290"/>
      <c r="DO295" s="290"/>
      <c r="DP295" s="324"/>
      <c r="DQ295" s="324"/>
      <c r="DR295" s="290"/>
      <c r="DS295" s="290"/>
      <c r="DT295" s="290"/>
      <c r="DU295" s="290"/>
      <c r="DV295" s="290"/>
      <c r="DW295" s="290"/>
      <c r="DX295" s="290"/>
      <c r="DY295" s="290"/>
      <c r="DZ295" s="290"/>
      <c r="EA295" s="290"/>
      <c r="EB295" s="290"/>
      <c r="EC295" s="290"/>
      <c r="ED295" s="290"/>
      <c r="EE295" s="290"/>
      <c r="EF295" s="290"/>
      <c r="EG295" s="290"/>
      <c r="EH295" s="290"/>
      <c r="EI295" s="290"/>
      <c r="EJ295" s="290"/>
      <c r="EK295" s="290"/>
      <c r="EL295" s="290"/>
      <c r="EM295" s="290"/>
      <c r="EN295" s="290"/>
      <c r="EO295" s="290"/>
      <c r="EP295" s="290"/>
      <c r="JM295"/>
    </row>
    <row r="296" spans="1:273" s="289" customFormat="1">
      <c r="A296" s="323" t="s">
        <v>869</v>
      </c>
      <c r="B296" s="290"/>
      <c r="AN296" s="290"/>
      <c r="AO296" s="290"/>
      <c r="AP296" s="290"/>
      <c r="AQ296" s="290"/>
      <c r="AR296" s="290"/>
      <c r="AS296" s="290"/>
      <c r="AT296" s="290"/>
      <c r="AU296" s="290"/>
      <c r="AV296" s="290"/>
      <c r="AW296" s="290"/>
      <c r="AX296" s="290"/>
      <c r="AY296" s="290"/>
      <c r="AZ296" s="324">
        <f>+AZ293/AZ294</f>
        <v>0.25341609108837887</v>
      </c>
      <c r="BA296" s="324">
        <f>+BA293/BA294</f>
        <v>0.27021280459960373</v>
      </c>
      <c r="BB296" s="290"/>
      <c r="BC296" s="290"/>
      <c r="BD296" s="324">
        <f>+BD293/BD294</f>
        <v>0.23537034025383907</v>
      </c>
      <c r="BE296" s="324">
        <f>+BE293/BE294</f>
        <v>0.23861965018243997</v>
      </c>
      <c r="BF296" s="290"/>
      <c r="BG296" s="290"/>
      <c r="BH296" s="324">
        <f>+BH293/BH294</f>
        <v>0.24066820863867586</v>
      </c>
      <c r="BI296" s="324">
        <f>+BI293/BI294</f>
        <v>0.26236634799823866</v>
      </c>
      <c r="BJ296" s="290"/>
      <c r="BK296" s="290"/>
      <c r="BL296" s="324">
        <f>+BL293/BL294</f>
        <v>0.2291734012569504</v>
      </c>
      <c r="BM296" s="324">
        <f>+BM293/BM294</f>
        <v>0.28912660495219283</v>
      </c>
      <c r="BN296" s="290"/>
      <c r="BO296" s="290"/>
      <c r="BP296" s="324">
        <f>+BP293/BP294</f>
        <v>0.27155634334781759</v>
      </c>
      <c r="BQ296" s="324">
        <f>+BQ293/BQ294</f>
        <v>0.32253912336562562</v>
      </c>
      <c r="BR296" s="290"/>
      <c r="BS296" s="290"/>
      <c r="BT296" s="324">
        <f>+BT293/BT294</f>
        <v>0.33007590524203828</v>
      </c>
      <c r="BU296" s="324">
        <f>+BU293/BU294</f>
        <v>0.34358272239934978</v>
      </c>
      <c r="BV296" s="290"/>
      <c r="BW296" s="290"/>
      <c r="BX296" s="324">
        <f>+BX293/BX294</f>
        <v>0.35197113135910996</v>
      </c>
      <c r="BY296" s="324">
        <f>+BY293/BY294</f>
        <v>0.3531579974188917</v>
      </c>
      <c r="BZ296" s="290"/>
      <c r="CA296" s="290"/>
      <c r="CB296" s="324">
        <f>+CB293/CB294</f>
        <v>0.36924859449802383</v>
      </c>
      <c r="CC296" s="324">
        <f>+CC293/CC294</f>
        <v>0.35551873465458927</v>
      </c>
      <c r="CD296" s="290"/>
      <c r="CE296" s="581"/>
      <c r="CF296" s="324">
        <f>+CF293/CF294</f>
        <v>0.31536135866380627</v>
      </c>
      <c r="CG296" s="324">
        <f>+CG293/CG294</f>
        <v>0.30143257025572318</v>
      </c>
      <c r="CH296" s="290"/>
      <c r="CI296" s="581"/>
      <c r="CJ296" s="324">
        <f>+CJ293/CJ294</f>
        <v>0.26737883127426421</v>
      </c>
      <c r="CK296" s="324">
        <f>+CK293/CK294</f>
        <v>0.19602272069431032</v>
      </c>
      <c r="CL296" s="290"/>
      <c r="CM296" s="581"/>
      <c r="CN296" s="324">
        <f>+CN293/CN294</f>
        <v>0.30438094151238154</v>
      </c>
      <c r="CO296" s="324">
        <f>+CO293/CO294</f>
        <v>0.34958428469744901</v>
      </c>
      <c r="CP296" s="290"/>
      <c r="CQ296" s="581"/>
      <c r="CR296" s="324">
        <f>+CR293/CR294</f>
        <v>0.31384120625451123</v>
      </c>
      <c r="CS296" s="324">
        <f>+CS293/CS294</f>
        <v>0.33915259720262059</v>
      </c>
      <c r="CT296" s="290"/>
      <c r="CU296" s="290"/>
      <c r="CV296" s="324">
        <f>+CV293/CV294</f>
        <v>0.23954779025992118</v>
      </c>
      <c r="CW296" s="324">
        <f>+CW293/CW294</f>
        <v>0.26334024616656848</v>
      </c>
      <c r="CX296" s="290"/>
      <c r="CY296" s="290"/>
      <c r="CZ296" s="324">
        <f>+CZ293/CZ294</f>
        <v>0.23436663553267381</v>
      </c>
      <c r="DA296" s="324">
        <f>+DA293/DA294</f>
        <v>0.24304037542406728</v>
      </c>
      <c r="DB296" s="290"/>
      <c r="DC296" s="290"/>
      <c r="DD296" s="324">
        <f>+DD293/DD294</f>
        <v>0.28671952283179569</v>
      </c>
      <c r="DE296" s="324">
        <f>+DE293/DE294</f>
        <v>0.21266556246337701</v>
      </c>
      <c r="DF296" s="290"/>
      <c r="DG296" s="290"/>
      <c r="DH296" s="324">
        <f>+DH293/DH294</f>
        <v>0.25106630297940147</v>
      </c>
      <c r="DI296" s="324"/>
      <c r="DJ296" s="290"/>
      <c r="DK296" s="290"/>
      <c r="DL296" s="324"/>
      <c r="DM296" s="324"/>
      <c r="DN296" s="290"/>
      <c r="DO296" s="290"/>
      <c r="DP296" s="324"/>
      <c r="DQ296" s="324"/>
      <c r="DR296" s="290"/>
      <c r="DS296" s="290"/>
      <c r="DT296" s="290"/>
      <c r="DU296" s="290"/>
      <c r="DV296" s="290"/>
      <c r="DW296" s="290"/>
      <c r="DX296" s="290"/>
      <c r="DY296" s="290"/>
      <c r="DZ296" s="290"/>
      <c r="EA296" s="290"/>
      <c r="EB296" s="290"/>
      <c r="EC296" s="290"/>
      <c r="ED296" s="290"/>
      <c r="EE296" s="290"/>
      <c r="EF296" s="290"/>
      <c r="EG296" s="290"/>
      <c r="EH296" s="290"/>
      <c r="EI296" s="290"/>
      <c r="EJ296" s="290"/>
      <c r="EK296" s="290"/>
      <c r="EL296" s="290"/>
      <c r="EM296" s="290"/>
      <c r="EN296" s="290"/>
      <c r="EO296" s="290"/>
      <c r="EP296" s="290"/>
      <c r="JM296"/>
    </row>
    <row r="297" spans="1:273" s="302" customFormat="1">
      <c r="A297" s="302" t="s">
        <v>867</v>
      </c>
      <c r="B297" s="304"/>
      <c r="AN297" s="304"/>
      <c r="AO297" s="304"/>
      <c r="AP297" s="304"/>
      <c r="AQ297" s="304"/>
      <c r="AR297" s="304"/>
      <c r="AS297" s="304"/>
      <c r="AT297" s="304"/>
      <c r="AU297" s="304"/>
      <c r="AV297" s="304"/>
      <c r="AW297" s="304">
        <v>139000</v>
      </c>
      <c r="AX297" s="304"/>
      <c r="AY297" s="304"/>
      <c r="AZ297" s="304">
        <v>151000</v>
      </c>
      <c r="BA297" s="304">
        <v>155000</v>
      </c>
      <c r="BB297" s="304"/>
      <c r="BC297" s="304"/>
      <c r="BD297" s="627">
        <v>164000</v>
      </c>
      <c r="BE297" s="627">
        <v>176000</v>
      </c>
      <c r="BF297" s="303"/>
      <c r="BG297" s="304"/>
      <c r="BH297" s="627">
        <v>182000</v>
      </c>
      <c r="BI297" s="627">
        <v>184000</v>
      </c>
      <c r="BJ297" s="303"/>
      <c r="BK297" s="304"/>
      <c r="BL297" s="627">
        <v>190000</v>
      </c>
      <c r="BM297" s="627">
        <v>200000</v>
      </c>
      <c r="BN297" s="303"/>
      <c r="BO297" s="304"/>
      <c r="BP297" s="627">
        <f>(BM297-22000)*1.1</f>
        <v>195800.00000000003</v>
      </c>
      <c r="BQ297" s="901">
        <v>180000</v>
      </c>
      <c r="BR297" s="303"/>
      <c r="BS297" s="304"/>
      <c r="BT297" s="901">
        <v>165000</v>
      </c>
      <c r="BU297" s="901">
        <v>169300</v>
      </c>
      <c r="BV297" s="303"/>
      <c r="BW297" s="304"/>
      <c r="BX297" s="627">
        <v>173600</v>
      </c>
      <c r="BY297" s="627">
        <f>BX297/BX294*BY294</f>
        <v>158371.06237539163</v>
      </c>
      <c r="BZ297" s="303"/>
      <c r="CA297" s="304"/>
      <c r="CB297" s="902">
        <f>BY297/BY294*CB294</f>
        <v>160793.84790657932</v>
      </c>
      <c r="CC297" s="902">
        <f>CB297/CB294*CC294</f>
        <v>164897.74992879521</v>
      </c>
      <c r="CD297" s="303"/>
      <c r="CE297" s="300"/>
      <c r="CF297" s="902">
        <f>CC297/CC294*CF294</f>
        <v>179780.57533466248</v>
      </c>
      <c r="CG297" s="902">
        <f>CF297/CF294*CG294</f>
        <v>178495.01566505269</v>
      </c>
      <c r="CH297" s="303"/>
      <c r="CI297" s="300"/>
      <c r="CJ297" s="902">
        <f>CG297/CG294*CJ294</f>
        <v>178544.46026773</v>
      </c>
      <c r="CK297" s="902">
        <f>CJ297/CJ294*CK294</f>
        <v>189175.04984334946</v>
      </c>
      <c r="CL297" s="303"/>
      <c r="CM297" s="300"/>
      <c r="CN297" s="902">
        <f>CK297/CK294*CN294</f>
        <v>173501.11079464541</v>
      </c>
      <c r="CO297" s="902">
        <f>CN297/CN294*CO294</f>
        <v>181511.13642836802</v>
      </c>
      <c r="CP297" s="303"/>
      <c r="CQ297" s="300"/>
      <c r="CR297" s="902">
        <f>CO297/CO294*CR294</f>
        <v>254441.9253773854</v>
      </c>
      <c r="CS297" s="902">
        <f>CR297/CR294*CS294</f>
        <v>264578.06892623188</v>
      </c>
      <c r="CT297" s="303"/>
      <c r="CU297" s="304"/>
      <c r="CV297" s="902">
        <f>CS297/CS294*CV294</f>
        <v>257458.0461407007</v>
      </c>
      <c r="CW297" s="902">
        <f>CV297/CV294*CW294</f>
        <v>264281.40131016809</v>
      </c>
      <c r="CX297" s="303"/>
      <c r="CY297" s="304"/>
      <c r="CZ297" s="902">
        <f>CW297/CW294*CZ294</f>
        <v>270412.5320421533</v>
      </c>
      <c r="DA297" s="902">
        <f>CZ297/CZ294*DA294</f>
        <v>280548.67559099977</v>
      </c>
      <c r="DB297" s="303"/>
      <c r="DC297" s="304"/>
      <c r="DD297" s="902">
        <f>DA297/DA294*DD294</f>
        <v>268583.08174309321</v>
      </c>
      <c r="DE297" s="902">
        <f>DD297/DD294*DE294</f>
        <v>272934.20677869557</v>
      </c>
      <c r="DF297" s="303"/>
      <c r="DG297" s="304"/>
      <c r="DH297" s="902">
        <f>DE297/DE294*DH294</f>
        <v>268236.96952435205</v>
      </c>
      <c r="DI297" s="303"/>
      <c r="DJ297" s="303"/>
      <c r="DK297" s="304"/>
      <c r="DL297" s="303"/>
      <c r="DM297" s="303"/>
      <c r="DN297" s="303"/>
      <c r="DO297" s="304"/>
      <c r="DP297" s="303"/>
      <c r="DQ297" s="303"/>
      <c r="DR297" s="303"/>
      <c r="DS297" s="304"/>
      <c r="DT297" s="304"/>
      <c r="DU297" s="304"/>
      <c r="DV297" s="304"/>
      <c r="DW297" s="304"/>
      <c r="DX297" s="304"/>
      <c r="DY297" s="304"/>
      <c r="DZ297" s="304"/>
      <c r="EA297" s="304"/>
      <c r="EB297" s="304"/>
      <c r="EC297" s="304"/>
      <c r="ED297" s="304"/>
      <c r="EE297" s="304"/>
      <c r="EF297" s="304"/>
      <c r="EG297" s="304"/>
      <c r="EH297" s="304"/>
      <c r="EI297" s="304"/>
      <c r="EJ297" s="304"/>
      <c r="EK297" s="304"/>
      <c r="EL297" s="304"/>
      <c r="EM297" s="304"/>
      <c r="EN297" s="304"/>
      <c r="EO297" s="304"/>
      <c r="EP297" s="304"/>
      <c r="FL297" s="102"/>
      <c r="FM297" s="102"/>
      <c r="FN297" s="102"/>
      <c r="FO297" s="102"/>
      <c r="FP297" s="102"/>
      <c r="FQ297" s="102"/>
      <c r="FR297" s="102"/>
      <c r="FS297" s="102"/>
      <c r="FT297" s="102"/>
      <c r="FU297" s="102"/>
      <c r="FV297" s="102"/>
      <c r="FW297" s="102"/>
      <c r="FX297" s="102"/>
      <c r="FY297" s="102"/>
      <c r="FZ297" s="102"/>
      <c r="GA297" s="102"/>
      <c r="GB297" s="102"/>
      <c r="GC297" s="102"/>
      <c r="GD297" s="102"/>
      <c r="GE297" s="102"/>
      <c r="GF297" s="102"/>
      <c r="GG297" s="102"/>
      <c r="GH297" s="102"/>
      <c r="GI297" s="102"/>
      <c r="GJ297" s="102"/>
      <c r="GK297" s="102"/>
      <c r="GL297" s="102"/>
      <c r="GM297" s="102"/>
      <c r="GN297" s="102"/>
      <c r="GO297" s="102"/>
      <c r="GP297" s="102"/>
      <c r="GQ297" s="102"/>
      <c r="GR297" s="102"/>
      <c r="GS297" s="102"/>
      <c r="GT297" s="102"/>
      <c r="GU297" s="102"/>
      <c r="GV297" s="102"/>
      <c r="GW297" s="102"/>
      <c r="GX297" s="102"/>
      <c r="GY297" s="102"/>
      <c r="GZ297" s="102"/>
      <c r="HA297" s="102"/>
      <c r="HB297" s="102"/>
      <c r="HC297" s="102"/>
      <c r="HD297" s="102"/>
      <c r="HE297" s="102"/>
      <c r="HF297" s="102"/>
      <c r="HG297" s="102"/>
      <c r="HH297" s="102"/>
      <c r="HI297" s="102"/>
      <c r="HJ297" s="102"/>
      <c r="HK297" s="102"/>
      <c r="HL297" s="102"/>
      <c r="HM297" s="102"/>
      <c r="HN297" s="102"/>
      <c r="HO297" s="102"/>
      <c r="HP297" s="102"/>
      <c r="HQ297" s="102"/>
      <c r="HR297" s="102"/>
      <c r="HS297" s="102"/>
      <c r="HT297" s="102"/>
      <c r="HU297" s="102"/>
      <c r="HV297" s="102"/>
      <c r="HW297" s="102"/>
      <c r="HX297" s="102"/>
      <c r="HY297" s="102"/>
      <c r="HZ297" s="102"/>
      <c r="IA297" s="102"/>
      <c r="IB297" s="102"/>
      <c r="IC297" s="102"/>
      <c r="ID297" s="102"/>
      <c r="IE297" s="102"/>
      <c r="IF297" s="102"/>
      <c r="IG297" s="102"/>
      <c r="IH297" s="102"/>
      <c r="II297" s="102"/>
      <c r="IJ297" s="102"/>
      <c r="IK297" s="102"/>
      <c r="IL297" s="102"/>
      <c r="IM297" s="102"/>
      <c r="IN297" s="102"/>
      <c r="IO297" s="102"/>
      <c r="IP297" s="102"/>
      <c r="IQ297" s="102"/>
      <c r="IR297" s="102"/>
      <c r="IS297" s="102"/>
      <c r="IT297" s="102"/>
      <c r="IU297" s="102"/>
      <c r="IV297" s="102"/>
      <c r="IW297" s="102"/>
      <c r="IX297" s="102"/>
      <c r="IY297" s="102"/>
      <c r="IZ297" s="102"/>
      <c r="JA297" s="102"/>
      <c r="JB297" s="102"/>
      <c r="JC297" s="102"/>
      <c r="JD297" s="102"/>
      <c r="JE297" s="102"/>
      <c r="JF297" s="102"/>
      <c r="JG297" s="102"/>
      <c r="JH297" s="102"/>
      <c r="JI297" s="102"/>
      <c r="JJ297" s="102"/>
      <c r="JK297" s="102"/>
      <c r="JL297" s="102"/>
      <c r="JM297"/>
    </row>
    <row r="298" spans="1:273">
      <c r="A298" s="328" t="s">
        <v>382</v>
      </c>
    </row>
    <row r="299" spans="1:273" s="302" customFormat="1">
      <c r="A299" s="642" t="s">
        <v>867</v>
      </c>
      <c r="B299" s="304"/>
      <c r="AN299" s="304"/>
      <c r="AO299" s="304"/>
      <c r="AP299" s="304"/>
      <c r="AQ299" s="304"/>
      <c r="AR299" s="304"/>
      <c r="AS299" s="304"/>
      <c r="AT299" s="304"/>
      <c r="AU299" s="304"/>
      <c r="AV299" s="304"/>
      <c r="AW299" s="304"/>
      <c r="AX299" s="304"/>
      <c r="AY299" s="304"/>
      <c r="AZ299" s="304"/>
      <c r="BA299" s="668">
        <f>BA297/AZ297-1</f>
        <v>2.6490066225165476E-2</v>
      </c>
      <c r="BB299" s="304"/>
      <c r="BC299" s="304"/>
      <c r="BD299" s="668">
        <f>BD297/BA297-1</f>
        <v>5.8064516129032295E-2</v>
      </c>
      <c r="BE299" s="668">
        <f>BE297/BD297-1</f>
        <v>7.3170731707317138E-2</v>
      </c>
      <c r="BF299" s="304"/>
      <c r="BG299" s="304"/>
      <c r="BH299" s="668">
        <f>BH297/BE297-1</f>
        <v>3.4090909090909172E-2</v>
      </c>
      <c r="BI299" s="668">
        <f>BI297/BH297-1</f>
        <v>1.098901098901095E-2</v>
      </c>
      <c r="BJ299" s="304"/>
      <c r="BK299" s="304"/>
      <c r="BL299" s="668">
        <f>BL297/BI297-1</f>
        <v>3.2608695652173836E-2</v>
      </c>
      <c r="BM299" s="668">
        <f>BM297/BL297-1</f>
        <v>5.2631578947368363E-2</v>
      </c>
      <c r="BN299" s="304"/>
      <c r="BO299" s="304"/>
      <c r="BP299" s="668">
        <f>BP297/BM297-1</f>
        <v>-2.0999999999999908E-2</v>
      </c>
      <c r="BQ299" s="668">
        <f>BQ297/BP297-1</f>
        <v>-8.0694586312563987E-2</v>
      </c>
      <c r="BR299" s="304"/>
      <c r="BS299" s="304"/>
      <c r="BT299" s="668">
        <f>BT297/BQ297-1</f>
        <v>-8.333333333333337E-2</v>
      </c>
      <c r="BU299" s="668">
        <f>BU297/BT297-1</f>
        <v>2.6060606060606117E-2</v>
      </c>
      <c r="BV299" s="304"/>
      <c r="BW299" s="304"/>
      <c r="BX299" s="668">
        <f>BX297/BU297-1</f>
        <v>2.539870053160076E-2</v>
      </c>
      <c r="BY299" s="668">
        <f>BY297/BX297-1</f>
        <v>-8.7724295072628911E-2</v>
      </c>
      <c r="BZ299" s="304"/>
      <c r="CA299" s="304"/>
      <c r="CB299" s="668">
        <f>CB297/BY297-1</f>
        <v>1.5298157976896709E-2</v>
      </c>
      <c r="CC299" s="668">
        <f>CC297/CB297-1</f>
        <v>2.5522755227552318E-2</v>
      </c>
      <c r="CD299" s="304"/>
      <c r="CE299" s="300"/>
      <c r="CF299" s="668">
        <f>CF297/CC297-1</f>
        <v>9.0254872563718225E-2</v>
      </c>
      <c r="CG299" s="668">
        <f>CG297/CF297-1</f>
        <v>-7.1507150715071077E-3</v>
      </c>
      <c r="CH299" s="304"/>
      <c r="CI299" s="300"/>
      <c r="CJ299" s="668">
        <f>CJ297/CG297-1</f>
        <v>2.7700831024946027E-4</v>
      </c>
      <c r="CK299" s="668">
        <f>CK297/CJ297-1</f>
        <v>5.9540293547493572E-2</v>
      </c>
      <c r="CL299" s="304"/>
      <c r="CM299" s="300"/>
      <c r="CN299" s="668">
        <f>CN297/CK297-1</f>
        <v>-8.2854155776267535E-2</v>
      </c>
      <c r="CO299" s="668">
        <f>CO297/CN297-1</f>
        <v>4.6166999145055732E-2</v>
      </c>
      <c r="CP299" s="304"/>
      <c r="CQ299" s="300"/>
      <c r="CR299" s="668">
        <f>CR297/CO297-1</f>
        <v>0.40179787523835464</v>
      </c>
      <c r="CS299" s="668">
        <f>CS297/CR297-1</f>
        <v>3.9836766420520808E-2</v>
      </c>
      <c r="CT299" s="304"/>
      <c r="CU299" s="304"/>
      <c r="CV299" s="668">
        <f>CV297/CS297-1</f>
        <v>-2.6910857783591813E-2</v>
      </c>
      <c r="CW299" s="668">
        <f>CW297/CV297-1</f>
        <v>2.6502784712886474E-2</v>
      </c>
      <c r="CX299" s="304"/>
      <c r="CY299" s="304"/>
      <c r="CZ299" s="668">
        <f>CZ297/CW297-1</f>
        <v>2.319925163704406E-2</v>
      </c>
      <c r="DA299" s="668">
        <f>DA297/CZ297-1</f>
        <v>3.7484000731395017E-2</v>
      </c>
      <c r="DB299" s="304"/>
      <c r="DC299" s="304"/>
      <c r="DD299" s="668">
        <f>DD297/DA297-1</f>
        <v>-4.2650687345787697E-2</v>
      </c>
      <c r="DE299" s="668">
        <f>DE297/DD297-1</f>
        <v>1.6200294550809957E-2</v>
      </c>
      <c r="DF299" s="304"/>
      <c r="DG299" s="304"/>
      <c r="DH299" s="668">
        <f>DH297/DE297-1</f>
        <v>-1.7210144927536364E-2</v>
      </c>
      <c r="DI299" s="669"/>
      <c r="DJ299" s="304"/>
      <c r="DK299" s="304"/>
      <c r="DL299" s="669"/>
      <c r="DM299" s="669"/>
      <c r="DN299" s="304"/>
      <c r="DO299" s="304"/>
      <c r="DP299" s="669"/>
      <c r="DQ299" s="669"/>
      <c r="DR299" s="304"/>
      <c r="DS299" s="304"/>
      <c r="DT299" s="304"/>
      <c r="DU299" s="304"/>
      <c r="DV299" s="304"/>
      <c r="DW299" s="304"/>
      <c r="DX299" s="304"/>
      <c r="DY299" s="304"/>
      <c r="DZ299" s="304"/>
      <c r="EA299" s="304"/>
      <c r="EB299" s="304"/>
      <c r="EC299" s="304"/>
      <c r="ED299" s="304"/>
      <c r="EE299" s="304"/>
      <c r="EF299" s="304"/>
      <c r="EG299" s="304"/>
      <c r="EH299" s="304"/>
      <c r="EI299" s="304"/>
      <c r="EJ299" s="304"/>
      <c r="EK299" s="304"/>
      <c r="EL299" s="304"/>
      <c r="EM299" s="304"/>
      <c r="EN299" s="304"/>
      <c r="EO299" s="304"/>
      <c r="EP299" s="304"/>
      <c r="FL299" s="102"/>
      <c r="FM299" s="102"/>
      <c r="FN299" s="102"/>
      <c r="FO299" s="102"/>
      <c r="FP299" s="102"/>
      <c r="FQ299" s="102"/>
      <c r="FR299" s="102"/>
      <c r="FS299" s="102"/>
      <c r="FT299" s="102"/>
      <c r="FU299" s="102"/>
      <c r="FV299" s="102"/>
      <c r="FW299" s="102"/>
      <c r="FX299" s="102"/>
      <c r="FY299" s="102"/>
      <c r="FZ299" s="102"/>
      <c r="GA299" s="102"/>
      <c r="GB299" s="102"/>
      <c r="GC299" s="102"/>
      <c r="GD299" s="102"/>
      <c r="GE299" s="102"/>
      <c r="GF299" s="102"/>
      <c r="GG299" s="102"/>
      <c r="GH299" s="102"/>
      <c r="GI299" s="102"/>
      <c r="GJ299" s="102"/>
      <c r="GK299" s="102"/>
      <c r="GL299" s="102"/>
      <c r="GM299" s="102"/>
      <c r="GN299" s="102"/>
      <c r="GO299" s="102"/>
      <c r="GP299" s="102"/>
      <c r="GQ299" s="102"/>
      <c r="GR299" s="102"/>
      <c r="GS299" s="102"/>
      <c r="GT299" s="102"/>
      <c r="GU299" s="102"/>
      <c r="GV299" s="102"/>
      <c r="GW299" s="102"/>
      <c r="GX299" s="102"/>
      <c r="GY299" s="102"/>
      <c r="GZ299" s="102"/>
      <c r="HA299" s="102"/>
      <c r="HB299" s="102"/>
      <c r="HC299" s="102"/>
      <c r="HD299" s="102"/>
      <c r="HE299" s="102"/>
      <c r="HF299" s="102"/>
      <c r="HG299" s="102"/>
      <c r="HH299" s="102"/>
      <c r="HI299" s="102"/>
      <c r="HJ299" s="102"/>
      <c r="HK299" s="102"/>
      <c r="HL299" s="102"/>
      <c r="HM299" s="102"/>
      <c r="HN299" s="102"/>
      <c r="HO299" s="102"/>
      <c r="HP299" s="102"/>
      <c r="HQ299" s="102"/>
      <c r="HR299" s="102"/>
      <c r="HS299" s="102"/>
      <c r="HT299" s="102"/>
      <c r="HU299" s="102"/>
      <c r="HV299" s="102"/>
      <c r="HW299" s="102"/>
      <c r="HX299" s="102"/>
      <c r="HY299" s="102"/>
      <c r="HZ299" s="102"/>
      <c r="IA299" s="102"/>
      <c r="IB299" s="102"/>
      <c r="IC299" s="102"/>
      <c r="ID299" s="102"/>
      <c r="IE299" s="102"/>
      <c r="IF299" s="102"/>
      <c r="IG299" s="102"/>
      <c r="IH299" s="102"/>
      <c r="II299" s="102"/>
      <c r="IJ299" s="102"/>
      <c r="IK299" s="102"/>
      <c r="IL299" s="102"/>
      <c r="IM299" s="102"/>
      <c r="IN299" s="102"/>
      <c r="IO299" s="102"/>
      <c r="IP299" s="102"/>
      <c r="IQ299" s="102"/>
      <c r="IR299" s="102"/>
      <c r="IS299" s="102"/>
      <c r="IT299" s="102"/>
      <c r="IU299" s="102"/>
      <c r="IV299" s="102"/>
      <c r="IW299" s="102"/>
      <c r="IX299" s="102"/>
      <c r="IY299" s="102"/>
      <c r="IZ299" s="102"/>
      <c r="JA299" s="102"/>
      <c r="JB299" s="102"/>
      <c r="JC299" s="102"/>
      <c r="JD299" s="102"/>
      <c r="JE299" s="102"/>
      <c r="JF299" s="102"/>
      <c r="JG299" s="102"/>
      <c r="JH299" s="102"/>
      <c r="JI299" s="102"/>
      <c r="JJ299" s="102"/>
      <c r="JK299" s="102"/>
      <c r="JL299" s="102"/>
      <c r="JM299"/>
    </row>
    <row r="300" spans="1:273">
      <c r="A300" s="323" t="s">
        <v>870</v>
      </c>
      <c r="BA300" s="671">
        <f>BA292/AZ292-1</f>
        <v>-3.9571667447508063E-2</v>
      </c>
      <c r="BD300" s="671">
        <f>BD292/BA292-1</f>
        <v>0.12352077331839406</v>
      </c>
      <c r="BE300" s="671">
        <f>BE292/BD292-1</f>
        <v>4.0404182524662602E-3</v>
      </c>
      <c r="BH300" s="671">
        <f>BH292/BE292-1</f>
        <v>2.8061512660537691E-2</v>
      </c>
      <c r="BI300" s="671">
        <f>BI292/BH292-1</f>
        <v>1.4674504313798353E-2</v>
      </c>
      <c r="BL300" s="671">
        <f>BL292/BI292-1</f>
        <v>0.15591849693709858</v>
      </c>
      <c r="BM300" s="671">
        <f>BM292/BL292-1</f>
        <v>8.1790670252499087E-2</v>
      </c>
      <c r="BP300" s="671">
        <f>BP292/BM292-1</f>
        <v>1.4155758039991584E-2</v>
      </c>
      <c r="BQ300" s="671">
        <f>BQ292/BP292-1</f>
        <v>5.3185661163409836E-2</v>
      </c>
      <c r="BT300" s="671">
        <f>BT292/BQ292-1</f>
        <v>-2.0319406815914043E-3</v>
      </c>
      <c r="BU300" s="671">
        <f>BU292/BT292-1</f>
        <v>-5.9500322794009963E-2</v>
      </c>
      <c r="BX300" s="671">
        <f>BX292/BU292-1</f>
        <v>2.8220898789944604E-2</v>
      </c>
      <c r="BY300" s="671">
        <f>BY292/BX292-1</f>
        <v>-8.9395129697037889E-2</v>
      </c>
      <c r="CB300" s="671">
        <f>CB292/BY292-1</f>
        <v>-9.9580151071058109E-3</v>
      </c>
      <c r="CC300" s="671">
        <f>CC292/CB292-1</f>
        <v>4.7845787047547272E-2</v>
      </c>
      <c r="CF300" s="671">
        <f>CF292/CC292-1</f>
        <v>0.15818822795746956</v>
      </c>
      <c r="CG300" s="671">
        <f>CG292/CF292-1</f>
        <v>1.3048535709745179E-2</v>
      </c>
      <c r="CJ300" s="671">
        <f>CJ292/CG292-1</f>
        <v>4.9038474562149048E-2</v>
      </c>
      <c r="CK300" s="671">
        <f>CK292/CJ292-1</f>
        <v>0.16273779530927412</v>
      </c>
      <c r="CN300" s="671">
        <f>CN292/CK292-1</f>
        <v>-0.20646497721216173</v>
      </c>
      <c r="CO300" s="671">
        <f>CO292/CN292-1</f>
        <v>-2.1815965545507021E-2</v>
      </c>
      <c r="CR300" s="671">
        <f>CR292/CO292-1</f>
        <v>0.47883256280349307</v>
      </c>
      <c r="CS300" s="671">
        <f>CS292/CR292-1</f>
        <v>1.4787140906540319E-3</v>
      </c>
      <c r="CV300" s="671">
        <f>CV292/CS292-1</f>
        <v>0.11975591542035779</v>
      </c>
      <c r="CW300" s="671">
        <f>CW292/CV292-1</f>
        <v>-5.6136611735417841E-3</v>
      </c>
      <c r="CZ300" s="671">
        <f>CZ292/CW292-1</f>
        <v>6.3442765095670373E-2</v>
      </c>
      <c r="DA300" s="671">
        <f>DA292/CZ292-1</f>
        <v>2.5730507765362898E-2</v>
      </c>
      <c r="DD300" s="671">
        <f>DD292/DA292-1</f>
        <v>-9.7893001982499506E-2</v>
      </c>
      <c r="DE300" s="671">
        <f>DE292/DD292-1</f>
        <v>0.12170389201054377</v>
      </c>
      <c r="DH300" s="671">
        <f>DH292/DE292-1</f>
        <v>-6.5143851885024029E-2</v>
      </c>
      <c r="DI300" s="671"/>
      <c r="DL300" s="671"/>
      <c r="DM300" s="671"/>
      <c r="DP300" s="671"/>
      <c r="DQ300" s="671"/>
    </row>
    <row r="301" spans="1:273" s="302" customFormat="1">
      <c r="A301" s="642" t="s">
        <v>871</v>
      </c>
      <c r="B301" s="304"/>
      <c r="AN301" s="304"/>
      <c r="AO301" s="304"/>
      <c r="AP301" s="304"/>
      <c r="AQ301" s="304"/>
      <c r="AR301" s="304"/>
      <c r="AS301" s="304"/>
      <c r="AT301" s="304"/>
      <c r="AU301" s="304"/>
      <c r="AV301" s="304"/>
      <c r="AW301" s="304"/>
      <c r="AX301" s="304"/>
      <c r="AY301" s="304"/>
      <c r="AZ301" s="304"/>
      <c r="BA301" s="668">
        <f>BA293/AZ293-1</f>
        <v>4.7656922322105943E-2</v>
      </c>
      <c r="BB301" s="304"/>
      <c r="BC301" s="304"/>
      <c r="BD301" s="668">
        <f>BD293/BA293-1</f>
        <v>-6.5945933131448919E-2</v>
      </c>
      <c r="BE301" s="668">
        <f>BE293/BD293-1</f>
        <v>2.2245344938099931E-2</v>
      </c>
      <c r="BF301" s="304"/>
      <c r="BG301" s="304"/>
      <c r="BH301" s="668">
        <f>BH293/BE293-1</f>
        <v>3.9684818737555805E-2</v>
      </c>
      <c r="BI301" s="668">
        <f>BI293/BH293-1</f>
        <v>0.13869395262860751</v>
      </c>
      <c r="BJ301" s="304"/>
      <c r="BK301" s="304"/>
      <c r="BL301" s="668">
        <f>BL293/BI293-1</f>
        <v>-3.3799355508852491E-2</v>
      </c>
      <c r="BM301" s="668">
        <f>BM293/BL293-1</f>
        <v>0.47989706695054379</v>
      </c>
      <c r="BN301" s="304"/>
      <c r="BO301" s="304"/>
      <c r="BP301" s="668">
        <f>BP293/BM293-1</f>
        <v>-7.044979452090594E-2</v>
      </c>
      <c r="BQ301" s="668">
        <f>BQ293/BP293-1</f>
        <v>0.34505218060660847</v>
      </c>
      <c r="BR301" s="304"/>
      <c r="BS301" s="304"/>
      <c r="BT301" s="668">
        <f>BT293/BQ293-1</f>
        <v>3.2777303118934453E-2</v>
      </c>
      <c r="BU301" s="668">
        <f>BU293/BT293-1</f>
        <v>-8.7059943235434645E-4</v>
      </c>
      <c r="BV301" s="304"/>
      <c r="BW301" s="304"/>
      <c r="BX301" s="668">
        <f>BX293/BU293-1</f>
        <v>6.695918042582516E-2</v>
      </c>
      <c r="BY301" s="668">
        <f>BY293/BX293-1</f>
        <v>-8.4648051100116639E-2</v>
      </c>
      <c r="BZ301" s="304"/>
      <c r="CA301" s="304"/>
      <c r="CB301" s="668">
        <f>CB293/BY293-1</f>
        <v>6.1557208301654676E-2</v>
      </c>
      <c r="CC301" s="668">
        <f>CC293/CB293-1</f>
        <v>-1.2609505545623012E-2</v>
      </c>
      <c r="CD301" s="304"/>
      <c r="CE301" s="300"/>
      <c r="CF301" s="668">
        <f>CF293/CC293-1</f>
        <v>-3.2894122343291254E-2</v>
      </c>
      <c r="CG301" s="668">
        <f>CG293/CF293-1</f>
        <v>-5.1002592389261636E-2</v>
      </c>
      <c r="CH301" s="304"/>
      <c r="CI301" s="300"/>
      <c r="CJ301" s="668">
        <f>CJ293/CG293-1</f>
        <v>-0.11272727693090456</v>
      </c>
      <c r="CK301" s="668">
        <f>CK293/CJ293-1</f>
        <v>-0.22322208517178543</v>
      </c>
      <c r="CL301" s="304"/>
      <c r="CM301" s="300"/>
      <c r="CN301" s="668">
        <f>CN293/CK293-1</f>
        <v>0.42412937939132744</v>
      </c>
      <c r="CO301" s="668">
        <f>CO293/CN293-1</f>
        <v>0.20153233068084253</v>
      </c>
      <c r="CP301" s="304"/>
      <c r="CQ301" s="300"/>
      <c r="CR301" s="668">
        <f>CR293/CO293-1</f>
        <v>0.25847172011913488</v>
      </c>
      <c r="CS301" s="668">
        <f>CS293/CR293-1</f>
        <v>0.12369992521727746</v>
      </c>
      <c r="CT301" s="304"/>
      <c r="CU301" s="304"/>
      <c r="CV301" s="668">
        <f>CV293/CS293-1</f>
        <v>-0.31269477024054593</v>
      </c>
      <c r="CW301" s="668">
        <f>CW293/CV293-1</f>
        <v>0.12845748117170941</v>
      </c>
      <c r="CX301" s="304"/>
      <c r="CY301" s="304"/>
      <c r="CZ301" s="668">
        <f>CZ293/CW293-1</f>
        <v>-8.9376692030421534E-2</v>
      </c>
      <c r="DA301" s="668">
        <f>DA293/CZ293-1</f>
        <v>7.5880534194332716E-2</v>
      </c>
      <c r="DB301" s="304"/>
      <c r="DC301" s="304"/>
      <c r="DD301" s="668">
        <f>DD293/DA293-1</f>
        <v>0.129403859867399</v>
      </c>
      <c r="DE301" s="668">
        <f>DE293/DD293-1</f>
        <v>-0.24626406642396992</v>
      </c>
      <c r="DF301" s="304"/>
      <c r="DG301" s="304"/>
      <c r="DH301" s="668">
        <f>DH293/DE293-1</f>
        <v>0.16025092478805592</v>
      </c>
      <c r="DI301" s="669"/>
      <c r="DJ301" s="304"/>
      <c r="DK301" s="304"/>
      <c r="DL301" s="669"/>
      <c r="DM301" s="669"/>
      <c r="DN301" s="304"/>
      <c r="DO301" s="304"/>
      <c r="DP301" s="669"/>
      <c r="DQ301" s="669"/>
      <c r="DR301" s="304"/>
      <c r="DS301" s="304"/>
      <c r="DT301" s="304"/>
      <c r="DU301" s="304"/>
      <c r="DV301" s="304"/>
      <c r="DW301" s="304"/>
      <c r="DX301" s="304"/>
      <c r="DY301" s="304"/>
      <c r="DZ301" s="304"/>
      <c r="EA301" s="304"/>
      <c r="EB301" s="304"/>
      <c r="EC301" s="304"/>
      <c r="ED301" s="304"/>
      <c r="EE301" s="304"/>
      <c r="EF301" s="304"/>
      <c r="EG301" s="304"/>
      <c r="EH301" s="304"/>
      <c r="EI301" s="304"/>
      <c r="EJ301" s="304"/>
      <c r="EK301" s="304"/>
      <c r="EL301" s="304"/>
      <c r="EM301" s="304"/>
      <c r="EN301" s="304"/>
      <c r="EO301" s="304"/>
      <c r="EP301" s="304"/>
      <c r="FL301" s="102"/>
      <c r="FM301" s="102"/>
      <c r="FN301" s="102"/>
      <c r="FO301" s="102"/>
      <c r="FP301" s="102"/>
      <c r="FQ301" s="102"/>
      <c r="FR301" s="102"/>
      <c r="FS301" s="102"/>
      <c r="FT301" s="102"/>
      <c r="FU301" s="102"/>
      <c r="FV301" s="102"/>
      <c r="FW301" s="102"/>
      <c r="FX301" s="102"/>
      <c r="FY301" s="102"/>
      <c r="FZ301" s="102"/>
      <c r="GA301" s="102"/>
      <c r="GB301" s="102"/>
      <c r="GC301" s="102"/>
      <c r="GD301" s="102"/>
      <c r="GE301" s="102"/>
      <c r="GF301" s="102"/>
      <c r="GG301" s="102"/>
      <c r="GH301" s="102"/>
      <c r="GI301" s="102"/>
      <c r="GJ301" s="102"/>
      <c r="GK301" s="102"/>
      <c r="GL301" s="102"/>
      <c r="GM301" s="102"/>
      <c r="GN301" s="102"/>
      <c r="GO301" s="102"/>
      <c r="GP301" s="102"/>
      <c r="GQ301" s="102"/>
      <c r="GR301" s="102"/>
      <c r="GS301" s="102"/>
      <c r="GT301" s="102"/>
      <c r="GU301" s="102"/>
      <c r="GV301" s="102"/>
      <c r="GW301" s="102"/>
      <c r="GX301" s="102"/>
      <c r="GY301" s="102"/>
      <c r="GZ301" s="102"/>
      <c r="HA301" s="102"/>
      <c r="HB301" s="102"/>
      <c r="HC301" s="102"/>
      <c r="HD301" s="102"/>
      <c r="HE301" s="102"/>
      <c r="HF301" s="102"/>
      <c r="HG301" s="102"/>
      <c r="HH301" s="102"/>
      <c r="HI301" s="102"/>
      <c r="HJ301" s="102"/>
      <c r="HK301" s="102"/>
      <c r="HL301" s="102"/>
      <c r="HM301" s="102"/>
      <c r="HN301" s="102"/>
      <c r="HO301" s="102"/>
      <c r="HP301" s="102"/>
      <c r="HQ301" s="102"/>
      <c r="HR301" s="102"/>
      <c r="HS301" s="102"/>
      <c r="HT301" s="102"/>
      <c r="HU301" s="102"/>
      <c r="HV301" s="102"/>
      <c r="HW301" s="102"/>
      <c r="HX301" s="102"/>
      <c r="HY301" s="102"/>
      <c r="HZ301" s="102"/>
      <c r="IA301" s="102"/>
      <c r="IB301" s="102"/>
      <c r="IC301" s="102"/>
      <c r="ID301" s="102"/>
      <c r="IE301" s="102"/>
      <c r="IF301" s="102"/>
      <c r="IG301" s="102"/>
      <c r="IH301" s="102"/>
      <c r="II301" s="102"/>
      <c r="IJ301" s="102"/>
      <c r="IK301" s="102"/>
      <c r="IL301" s="102"/>
      <c r="IM301" s="102"/>
      <c r="IN301" s="102"/>
      <c r="IO301" s="102"/>
      <c r="IP301" s="102"/>
      <c r="IQ301" s="102"/>
      <c r="IR301" s="102"/>
      <c r="IS301" s="102"/>
      <c r="IT301" s="102"/>
      <c r="IU301" s="102"/>
      <c r="IV301" s="102"/>
      <c r="IW301" s="102"/>
      <c r="IX301" s="102"/>
      <c r="IY301" s="102"/>
      <c r="IZ301" s="102"/>
      <c r="JA301" s="102"/>
      <c r="JB301" s="102"/>
      <c r="JC301" s="102"/>
      <c r="JD301" s="102"/>
      <c r="JE301" s="102"/>
      <c r="JF301" s="102"/>
      <c r="JG301" s="102"/>
      <c r="JH301" s="102"/>
      <c r="JI301" s="102"/>
      <c r="JJ301" s="102"/>
      <c r="JK301" s="102"/>
      <c r="JL301" s="102"/>
      <c r="JM301"/>
    </row>
    <row r="302" spans="1:273">
      <c r="A302" s="328" t="str">
        <f>A294</f>
        <v>Total MIML (A$)</v>
      </c>
      <c r="BA302" s="672">
        <f>BA294/AZ294-1</f>
        <v>-1.7466539196940745E-2</v>
      </c>
      <c r="BC302" s="290"/>
      <c r="BD302" s="672">
        <f>BD294/BA294-1</f>
        <v>7.2324443190332044E-2</v>
      </c>
      <c r="BE302" s="672">
        <f>BE294/BD294-1</f>
        <v>8.325318040760088E-3</v>
      </c>
      <c r="BF302" s="290"/>
      <c r="BG302" s="290"/>
      <c r="BH302" s="672">
        <f>BH294/BE294-1</f>
        <v>3.0835061890599258E-2</v>
      </c>
      <c r="BI302" s="672">
        <f>BI294/BH294-1</f>
        <v>4.4522042776080406E-2</v>
      </c>
      <c r="BJ302" s="290"/>
      <c r="BK302" s="290"/>
      <c r="BL302" s="672">
        <f>BL294/BI294-1</f>
        <v>0.10614291684078569</v>
      </c>
      <c r="BM302" s="672">
        <f>BM294/BL294-1</f>
        <v>0.17302606724593872</v>
      </c>
      <c r="BN302" s="290"/>
      <c r="BP302" s="672">
        <f>BP294/BM294-1</f>
        <v>-1.0305958132045046E-2</v>
      </c>
      <c r="BQ302" s="672">
        <f>BQ294/BP294-1</f>
        <v>0.13244386592905966</v>
      </c>
      <c r="BR302" s="290"/>
      <c r="BT302" s="672">
        <f>BT294/BQ294-1</f>
        <v>9.1954022988505191E-3</v>
      </c>
      <c r="BU302" s="672">
        <f>BU294/BT294-1</f>
        <v>-4.0148063781321186E-2</v>
      </c>
      <c r="BV302" s="290"/>
      <c r="BX302" s="672">
        <f>BX294/BU294-1</f>
        <v>4.1530703055473239E-2</v>
      </c>
      <c r="BY302" s="672">
        <f>BY294/BX294-1</f>
        <v>-8.7724295072628911E-2</v>
      </c>
      <c r="BZ302" s="290"/>
      <c r="CB302" s="672">
        <f>CB294/BY294-1</f>
        <v>1.5298157976896709E-2</v>
      </c>
      <c r="CC302" s="672">
        <f>CC294/CB294-1</f>
        <v>2.5522755227552318E-2</v>
      </c>
      <c r="CD302" s="290"/>
      <c r="CF302" s="672">
        <f>CF294/CC294-1</f>
        <v>9.0254872563718225E-2</v>
      </c>
      <c r="CG302" s="672">
        <f>CG294/CF294-1</f>
        <v>-7.1507150715071077E-3</v>
      </c>
      <c r="CH302" s="290"/>
      <c r="CJ302" s="672">
        <f>CJ294/CG294-1</f>
        <v>2.7700831024923822E-4</v>
      </c>
      <c r="CK302" s="672">
        <f>CK294/CJ294-1</f>
        <v>5.9540293547493794E-2</v>
      </c>
      <c r="CL302" s="290"/>
      <c r="CN302" s="672">
        <f>CN294/CK294-1</f>
        <v>-8.2854155776267646E-2</v>
      </c>
      <c r="CO302" s="672">
        <f>CO294/CN294-1</f>
        <v>4.616699914505551E-2</v>
      </c>
      <c r="CP302" s="290"/>
      <c r="CR302" s="672">
        <f>CR294/CO294-1</f>
        <v>0.40179787523835464</v>
      </c>
      <c r="CS302" s="672">
        <f>CS294/CR294-1</f>
        <v>3.9836766420520808E-2</v>
      </c>
      <c r="CT302" s="290"/>
      <c r="CV302" s="672">
        <f>CV294/CS294-1</f>
        <v>-2.6910857783591813E-2</v>
      </c>
      <c r="CW302" s="672">
        <f>CW294/CV294-1</f>
        <v>2.6502784712886474E-2</v>
      </c>
      <c r="CX302" s="290"/>
      <c r="CZ302" s="672">
        <f>CZ294/CW294-1</f>
        <v>2.319925163704406E-2</v>
      </c>
      <c r="DA302" s="672">
        <f>DA294/CZ294-1</f>
        <v>3.7484000731395239E-2</v>
      </c>
      <c r="DB302" s="290"/>
      <c r="DD302" s="672">
        <f>DD294/DA294-1</f>
        <v>-4.2650687345787808E-2</v>
      </c>
      <c r="DE302" s="672">
        <f>DE294/DD294-1</f>
        <v>1.6200294550809957E-2</v>
      </c>
      <c r="DF302" s="290"/>
      <c r="DH302" s="672">
        <f>DH294/DE294-1</f>
        <v>-1.7210144927536253E-2</v>
      </c>
      <c r="DI302" s="672"/>
      <c r="DL302" s="672"/>
      <c r="DM302" s="672"/>
      <c r="DP302" s="672"/>
      <c r="DQ302" s="672"/>
    </row>
    <row r="304" spans="1:273">
      <c r="A304" s="815" t="s">
        <v>815</v>
      </c>
      <c r="AZ304" s="293">
        <f>AZ188</f>
        <v>4510</v>
      </c>
      <c r="BA304" s="293">
        <f>BA188</f>
        <v>4675</v>
      </c>
      <c r="BB304" s="293"/>
      <c r="BD304" s="293">
        <f>BD188</f>
        <v>4510</v>
      </c>
      <c r="BE304" s="293">
        <f>BE188</f>
        <v>2100</v>
      </c>
      <c r="BF304" s="293"/>
      <c r="BH304" s="293">
        <f>BH188</f>
        <v>3700</v>
      </c>
      <c r="BI304" s="293">
        <f>BI188</f>
        <v>3900</v>
      </c>
      <c r="BJ304" s="293">
        <f>BJ188</f>
        <v>3900</v>
      </c>
      <c r="BL304" s="293">
        <f>BL188</f>
        <v>4100</v>
      </c>
      <c r="BM304" s="293">
        <f>BM188</f>
        <v>2100</v>
      </c>
      <c r="BN304" s="293">
        <f>BN188</f>
        <v>2100</v>
      </c>
      <c r="BP304" s="293">
        <f>BP188</f>
        <v>2100</v>
      </c>
      <c r="BQ304" s="293">
        <f>BQ188</f>
        <v>2300</v>
      </c>
      <c r="BR304" s="293">
        <f>BR188</f>
        <v>2300</v>
      </c>
      <c r="BT304" s="293">
        <f>BT188</f>
        <v>2000</v>
      </c>
      <c r="BU304" s="293">
        <f>BU188</f>
        <v>1700</v>
      </c>
      <c r="BV304" s="293">
        <f>BV188</f>
        <v>1700</v>
      </c>
      <c r="BX304" s="293">
        <f>BX188</f>
        <v>1800</v>
      </c>
      <c r="BY304" s="293">
        <f>BY188</f>
        <v>1700</v>
      </c>
      <c r="BZ304" s="293">
        <f>BZ188</f>
        <v>1700</v>
      </c>
      <c r="CB304" s="293">
        <f>CB188</f>
        <v>1700</v>
      </c>
      <c r="CC304" s="293">
        <f>CC188</f>
        <v>1600</v>
      </c>
      <c r="CD304" s="293">
        <f>CD188</f>
        <v>1600</v>
      </c>
      <c r="CF304" s="293">
        <f>CF188</f>
        <v>2300</v>
      </c>
      <c r="CG304" s="293">
        <f>CG188</f>
        <v>1300</v>
      </c>
      <c r="CH304" s="293">
        <f>CH188</f>
        <v>1300</v>
      </c>
      <c r="CJ304" s="293">
        <f>CJ188</f>
        <v>1400</v>
      </c>
      <c r="CK304" s="293">
        <f>CK188</f>
        <v>1200</v>
      </c>
      <c r="CL304" s="293">
        <f>CL188</f>
        <v>1200</v>
      </c>
      <c r="CN304" s="293">
        <f>CN188</f>
        <v>1400</v>
      </c>
      <c r="CO304" s="293">
        <f>CO188</f>
        <v>1300</v>
      </c>
      <c r="CP304" s="293">
        <f>CP188</f>
        <v>1300</v>
      </c>
      <c r="CR304" s="293">
        <f>CR188</f>
        <v>1500</v>
      </c>
      <c r="CS304" s="293">
        <f>CS188</f>
        <v>0</v>
      </c>
      <c r="CT304" s="293">
        <f>CT188</f>
        <v>0</v>
      </c>
      <c r="CV304" s="293">
        <f>CV188</f>
        <v>0</v>
      </c>
      <c r="CW304" s="293">
        <f>CW188</f>
        <v>0</v>
      </c>
      <c r="CX304" s="293">
        <f>CX188</f>
        <v>0</v>
      </c>
      <c r="CZ304" s="293">
        <f>CZ188</f>
        <v>0</v>
      </c>
      <c r="DA304" s="293">
        <f>DA188</f>
        <v>0</v>
      </c>
      <c r="DB304" s="293">
        <f>DB188</f>
        <v>0</v>
      </c>
      <c r="DD304" s="293">
        <f>DD188</f>
        <v>0</v>
      </c>
      <c r="DE304" s="293">
        <f>DE188</f>
        <v>0</v>
      </c>
      <c r="DF304" s="293">
        <f>DF188</f>
        <v>0</v>
      </c>
      <c r="DH304" s="293">
        <f>DH188</f>
        <v>0</v>
      </c>
      <c r="DI304" s="293">
        <f>DI188</f>
        <v>0</v>
      </c>
      <c r="DL304" s="293">
        <f>DL188</f>
        <v>0</v>
      </c>
      <c r="DM304" s="293">
        <f>DM188</f>
        <v>0</v>
      </c>
      <c r="DP304" s="293">
        <f>DP188</f>
        <v>0</v>
      </c>
      <c r="DQ304" s="293">
        <f>DQ188</f>
        <v>0</v>
      </c>
    </row>
    <row r="306" spans="1:273">
      <c r="A306" s="815" t="s">
        <v>873</v>
      </c>
    </row>
    <row r="307" spans="1:273">
      <c r="A307" s="102" t="s">
        <v>876</v>
      </c>
      <c r="BD307" s="293">
        <f>BD262-BD292</f>
        <v>-168533.55256397082</v>
      </c>
      <c r="BE307" s="293">
        <f>BE262-BE292</f>
        <v>22685.501394096733</v>
      </c>
      <c r="BH307" s="293">
        <f>BH262-BH292</f>
        <v>26737.086599120637</v>
      </c>
      <c r="BI307" s="293">
        <f>BI262-BI292</f>
        <v>28484.267075978511</v>
      </c>
      <c r="BL307" s="293">
        <f>BL262-BL292</f>
        <v>22162.199312714773</v>
      </c>
      <c r="BM307" s="293">
        <f>BM262-BM292</f>
        <v>15573.810837655881</v>
      </c>
      <c r="BP307" s="293">
        <f>BP262-BP292</f>
        <v>18449.264310784347</v>
      </c>
      <c r="BQ307" s="293">
        <f>BQ262-BQ292</f>
        <v>53243.614931237709</v>
      </c>
      <c r="BT307" s="293">
        <f>BT262-BT292</f>
        <v>50722.657921003847</v>
      </c>
      <c r="BU307" s="293">
        <f>BU262-BU292</f>
        <v>46321.735720820812</v>
      </c>
      <c r="BX307" s="293">
        <f>BX262-BX292</f>
        <v>50977.0642201835</v>
      </c>
      <c r="BY307" s="293">
        <f>BY262-BY292</f>
        <v>37516.506573271006</v>
      </c>
      <c r="CB307" s="293">
        <f>CB262-CB292</f>
        <v>44179.642930757342</v>
      </c>
      <c r="CC307" s="293">
        <f>CC262-CC292</f>
        <v>40165.498007305519</v>
      </c>
      <c r="CF307" s="293">
        <f>CF262-CF292</f>
        <v>34565.390010159957</v>
      </c>
      <c r="CG307" s="293">
        <f>CG262-CG292</f>
        <v>23317.15786231606</v>
      </c>
      <c r="CJ307" s="293">
        <f>CJ262-CJ292</f>
        <v>5950.4959731367999</v>
      </c>
      <c r="CK307" s="293">
        <f>CK262-CK292</f>
        <v>-16001.707062356872</v>
      </c>
      <c r="CN307" s="293">
        <f>CN262-CN292</f>
        <v>33107.272376694687</v>
      </c>
      <c r="CO307" s="293">
        <f>CO262-CO292</f>
        <v>40332.390912433533</v>
      </c>
      <c r="CR307" s="293">
        <f>CR262-CR292</f>
        <v>50402.684738571465</v>
      </c>
      <c r="CS307" s="293">
        <f>CS262-CS292</f>
        <v>21980.554763122287</v>
      </c>
      <c r="CV307" s="293">
        <f>CV262-CV292</f>
        <v>-23167.465611659049</v>
      </c>
      <c r="CW307" s="293">
        <f>CW262-CW292</f>
        <v>-19044.638423969154</v>
      </c>
      <c r="CZ307" s="293">
        <f>CZ262-CZ292</f>
        <v>-35924.887027180695</v>
      </c>
      <c r="DA307" s="293">
        <f>DA262-DA292</f>
        <v>-33598.890984384227</v>
      </c>
      <c r="DD307" s="293">
        <f>DD262-DD292</f>
        <v>-21853.955197768577</v>
      </c>
      <c r="DE307" s="293">
        <f>DE262-DE292</f>
        <v>-54208.60952021589</v>
      </c>
      <c r="DH307" s="293">
        <f>DH262-DH292</f>
        <v>-44296.530633674702</v>
      </c>
      <c r="DI307" s="293">
        <f>+DI316/DI$1233</f>
        <v>-46400.615838774254</v>
      </c>
      <c r="DL307" s="293">
        <f>+DL316/DL$1233</f>
        <v>-47908.635853534412</v>
      </c>
      <c r="DM307" s="293">
        <f>+DM316/DM$1233</f>
        <v>-49705.209698041959</v>
      </c>
      <c r="DP307" s="293">
        <f>+DP316/DP$1233</f>
        <v>-51320.629013228325</v>
      </c>
      <c r="DQ307" s="293">
        <f>+DQ316/DQ$1233</f>
        <v>-53245.152601224399</v>
      </c>
    </row>
    <row r="308" spans="1:273">
      <c r="A308" s="102" t="s">
        <v>877</v>
      </c>
      <c r="BD308" s="293">
        <f>BD263</f>
        <v>0</v>
      </c>
      <c r="BE308" s="293">
        <f>BE263</f>
        <v>65500</v>
      </c>
      <c r="BH308" s="293">
        <f>BH263</f>
        <v>69300</v>
      </c>
      <c r="BI308" s="293">
        <f>BI263</f>
        <v>67800</v>
      </c>
      <c r="BL308" s="293">
        <f>BL263</f>
        <v>78900</v>
      </c>
      <c r="BM308" s="293">
        <f>BM263</f>
        <v>79700</v>
      </c>
      <c r="BP308" s="293">
        <f>BP263</f>
        <v>77700</v>
      </c>
      <c r="BQ308" s="293">
        <f>BQ263</f>
        <v>86700</v>
      </c>
      <c r="BT308" s="293">
        <f>BT263</f>
        <v>98900</v>
      </c>
      <c r="BU308" s="293">
        <f>BU263</f>
        <v>89900</v>
      </c>
      <c r="BX308" s="293">
        <f>BX263</f>
        <v>88500</v>
      </c>
      <c r="BY308" s="293">
        <f>BY263</f>
        <v>103500</v>
      </c>
      <c r="CB308" s="293">
        <f>CB263</f>
        <v>88900</v>
      </c>
      <c r="CC308" s="293">
        <f>CC263</f>
        <v>92000</v>
      </c>
      <c r="CF308" s="293">
        <f>CF263</f>
        <v>112100</v>
      </c>
      <c r="CG308" s="293">
        <f>CG263</f>
        <v>107500</v>
      </c>
      <c r="CJ308" s="293">
        <f>CJ263</f>
        <v>122100</v>
      </c>
      <c r="CK308" s="293">
        <f>CK263</f>
        <v>132000</v>
      </c>
      <c r="CN308" s="293">
        <f>CN263</f>
        <v>115500</v>
      </c>
      <c r="CO308" s="293">
        <f>CO263</f>
        <v>115100</v>
      </c>
      <c r="CR308" s="293">
        <f>CR263</f>
        <v>129300</v>
      </c>
      <c r="CS308" s="293">
        <f>CS263</f>
        <v>148600</v>
      </c>
      <c r="CV308" s="293">
        <f>CV263</f>
        <v>177900</v>
      </c>
      <c r="CW308" s="293">
        <f>CW263</f>
        <v>198000</v>
      </c>
      <c r="CZ308" s="293">
        <f>CZ263</f>
        <v>186200</v>
      </c>
      <c r="DA308" s="293">
        <f>DA263</f>
        <v>202400</v>
      </c>
      <c r="DD308" s="293">
        <f>DD263</f>
        <v>198900</v>
      </c>
      <c r="DE308" s="293">
        <f>DE263</f>
        <v>211900</v>
      </c>
      <c r="DH308" s="293">
        <f>DH263</f>
        <v>218300</v>
      </c>
      <c r="DI308" s="293">
        <f>+DI317/DI1235</f>
        <v>228669.25</v>
      </c>
      <c r="DL308" s="293">
        <f>+DL317/DL1235</f>
        <v>236101.00062500002</v>
      </c>
      <c r="DM308" s="293">
        <f>+DM317/DM1235</f>
        <v>244954.78814843757</v>
      </c>
      <c r="DP308" s="293">
        <f>+DP317/DP1235</f>
        <v>252915.81876326175</v>
      </c>
      <c r="DQ308" s="293">
        <f>+DQ317/DQ1235</f>
        <v>262400.16196688404</v>
      </c>
    </row>
    <row r="309" spans="1:273">
      <c r="A309" s="102" t="s">
        <v>879</v>
      </c>
      <c r="BD309" s="293">
        <f>+(BD264+BD265)-(BD293+BD304)</f>
        <v>-56388.447436029179</v>
      </c>
      <c r="BE309" s="293">
        <f>+(BE264+BE265)-(BE293+BE304)</f>
        <v>14367.498605903267</v>
      </c>
      <c r="BH309" s="293">
        <f>+(BH264+BH265)-(BH293+BH304)</f>
        <v>11662.913400879363</v>
      </c>
      <c r="BI309" s="293">
        <f>+(BI264+BI265)-(BI293+BI304)</f>
        <v>7915.7329240214895</v>
      </c>
      <c r="BL309" s="293">
        <f>+(BL264+BL265)-(BL293+BL304)</f>
        <v>14937.800687285227</v>
      </c>
      <c r="BM309" s="293">
        <f>+(BM264+BM265)-(BM293+BM304)</f>
        <v>19026.189162344119</v>
      </c>
      <c r="BP309" s="293">
        <f>+(BP264+BP265)-(BP293+BP304)</f>
        <v>19850.735689215653</v>
      </c>
      <c r="BQ309" s="293">
        <f>+(BQ264+BQ265)-(BQ293+BQ304)</f>
        <v>-3943.6149312377092</v>
      </c>
      <c r="BT309" s="293">
        <f>+(BT264+BT265)-(BT293+BT304)</f>
        <v>1477.3420789961528</v>
      </c>
      <c r="BU309" s="293">
        <f>+(BU264+BU265)-(BU293+BU304)</f>
        <v>3578.2642791791877</v>
      </c>
      <c r="BX309" s="293">
        <f>+(BX264+BX265)-(BX293+BX304)</f>
        <v>722.93577981650014</v>
      </c>
      <c r="BY309" s="293">
        <f>+(BY264+BY265)-(BY293+BY304)</f>
        <v>18683.493426728994</v>
      </c>
      <c r="CB309" s="293">
        <f>+(CB264+CB265)-(CB293+CB304)</f>
        <v>13620.357069242658</v>
      </c>
      <c r="CC309" s="293">
        <f>+(CC264+CC265)-(CC293+CC304)</f>
        <v>29434.501992694481</v>
      </c>
      <c r="CF309" s="293">
        <f>+(CF264+CF265)-(CF293+CF304)</f>
        <v>38434.609989840043</v>
      </c>
      <c r="CG309" s="293">
        <f>+(CG264+CG265)-(CG293+CG304)</f>
        <v>58182.84213768394</v>
      </c>
      <c r="CJ309" s="293">
        <f>+(CJ264+CJ265)-(CJ293+CJ304)</f>
        <v>72849.5040268632</v>
      </c>
      <c r="CK309" s="293">
        <f>+(CK264+CK265)-(CK293+CK304)</f>
        <v>107101.70706235687</v>
      </c>
      <c r="CN309" s="293">
        <f>+(CN264+CN265)-(CN293+CN304)</f>
        <v>55392.727623305313</v>
      </c>
      <c r="CO309" s="293">
        <f>+(CO264+CO265)-(CO293+CO304)</f>
        <v>39667.609087566467</v>
      </c>
      <c r="CR309" s="293">
        <f>+(CR264+CR265)-(CR293+CR304)</f>
        <v>41197.315261428535</v>
      </c>
      <c r="CS309" s="293">
        <f>+(CS264+CS265)-(CS293+CS304)</f>
        <v>87319.445236877713</v>
      </c>
      <c r="CV309" s="293">
        <f>+(CV264+CV265)-(CV293+CV304)</f>
        <v>157467.46561165905</v>
      </c>
      <c r="CW309" s="293">
        <f>+(CW264+CW265)-(CW293+CW304)</f>
        <v>165144.63842396915</v>
      </c>
      <c r="CZ309" s="293">
        <f>+(CZ264+CZ265)-(CZ293+CZ304)</f>
        <v>194824.8870271807</v>
      </c>
      <c r="DA309" s="293">
        <f>+(DA264+DA265)-(DA293+DA304)</f>
        <v>202098.89098438423</v>
      </c>
      <c r="DD309" s="293">
        <f>+(DD264+DD265)-(DD293+DD304)</f>
        <v>196553.95519776858</v>
      </c>
      <c r="DE309" s="293">
        <f>+(DE264+DE265)-(DE293+DE304)</f>
        <v>231308.60952021589</v>
      </c>
      <c r="DH309" s="293">
        <f>+(DH264+DH265)-(DH293+DH304)</f>
        <v>242596.5306336747</v>
      </c>
      <c r="DI309" s="293">
        <f>+DH309*(1+DI322)</f>
        <v>254119.86583877428</v>
      </c>
      <c r="DL309" s="293">
        <f>+DI309*(1+DL322)</f>
        <v>262378.76147853443</v>
      </c>
      <c r="DM309" s="293">
        <f>+DL309*(1+DM322)</f>
        <v>272217.9650339795</v>
      </c>
      <c r="DP309" s="293">
        <f>+DM309*(1+DP322)</f>
        <v>281065.04889758385</v>
      </c>
      <c r="DQ309" s="293">
        <f>+DP309*(1+DQ322)</f>
        <v>291604.98823124327</v>
      </c>
    </row>
    <row r="310" spans="1:273">
      <c r="A310" s="289" t="s">
        <v>875</v>
      </c>
      <c r="BD310" s="295">
        <f>SUM(BD307:BD309)</f>
        <v>-224922</v>
      </c>
      <c r="BE310" s="295">
        <f>SUM(BE307:BE309)</f>
        <v>102553</v>
      </c>
      <c r="BH310" s="295">
        <f>SUM(BH307:BH309)</f>
        <v>107700</v>
      </c>
      <c r="BI310" s="295">
        <f>SUM(BI307:BI309)</f>
        <v>104200</v>
      </c>
      <c r="BL310" s="295">
        <f>SUM(BL307:BL309)</f>
        <v>116000</v>
      </c>
      <c r="BM310" s="295">
        <f>SUM(BM307:BM309)</f>
        <v>114300</v>
      </c>
      <c r="BP310" s="295">
        <f>SUM(BP307:BP309)</f>
        <v>116000</v>
      </c>
      <c r="BQ310" s="295">
        <f>SUM(BQ307:BQ309)</f>
        <v>136000</v>
      </c>
      <c r="BT310" s="295">
        <f>SUM(BT307:BT309)</f>
        <v>151100</v>
      </c>
      <c r="BU310" s="295">
        <f>SUM(BU307:BU309)</f>
        <v>139800</v>
      </c>
      <c r="BX310" s="295">
        <f>SUM(BX307:BX309)</f>
        <v>140200</v>
      </c>
      <c r="BY310" s="295">
        <f>SUM(BY307:BY309)</f>
        <v>159700</v>
      </c>
      <c r="CB310" s="295">
        <f>SUM(CB307:CB309)</f>
        <v>146700</v>
      </c>
      <c r="CC310" s="295">
        <f>SUM(CC307:CC309)</f>
        <v>161600</v>
      </c>
      <c r="CF310" s="295">
        <f>SUM(CF307:CF309)</f>
        <v>185100</v>
      </c>
      <c r="CG310" s="295">
        <f>SUM(CG307:CG309)</f>
        <v>189000</v>
      </c>
      <c r="CJ310" s="295">
        <f>SUM(CJ307:CJ309)</f>
        <v>200900</v>
      </c>
      <c r="CK310" s="295">
        <f>SUM(CK307:CK309)</f>
        <v>223100</v>
      </c>
      <c r="CN310" s="295">
        <f>SUM(CN307:CN309)</f>
        <v>204000</v>
      </c>
      <c r="CO310" s="295">
        <f>SUM(CO307:CO309)</f>
        <v>195100</v>
      </c>
      <c r="CR310" s="295">
        <f>SUM(CR307:CR309)</f>
        <v>220900</v>
      </c>
      <c r="CS310" s="295">
        <f>SUM(CS307:CS309)</f>
        <v>257900</v>
      </c>
      <c r="CV310" s="295">
        <f>SUM(CV307:CV309)</f>
        <v>312200</v>
      </c>
      <c r="CW310" s="295">
        <f>SUM(CW307:CW309)</f>
        <v>344100</v>
      </c>
      <c r="CZ310" s="295">
        <f>SUM(CZ307:CZ309)</f>
        <v>345100</v>
      </c>
      <c r="DA310" s="295">
        <f>SUM(DA307:DA309)</f>
        <v>370900</v>
      </c>
      <c r="DD310" s="295">
        <f>SUM(DD307:DD309)</f>
        <v>373600</v>
      </c>
      <c r="DE310" s="295">
        <f>SUM(DE307:DE309)</f>
        <v>389000</v>
      </c>
      <c r="DH310" s="295">
        <f>SUM(DH307:DH309)</f>
        <v>416600</v>
      </c>
      <c r="DI310" s="295">
        <f>SUM(DI307:DI309)</f>
        <v>436388.5</v>
      </c>
      <c r="DL310" s="295">
        <f>SUM(DL307:DL309)</f>
        <v>450571.12625000003</v>
      </c>
      <c r="DM310" s="295">
        <f>SUM(DM307:DM309)</f>
        <v>467467.54348437511</v>
      </c>
      <c r="DP310" s="295">
        <f>SUM(DP307:DP309)</f>
        <v>482660.23864761728</v>
      </c>
      <c r="DQ310" s="295">
        <f>SUM(DQ307:DQ309)</f>
        <v>500759.99759690289</v>
      </c>
    </row>
    <row r="311" spans="1:273">
      <c r="A311" s="323" t="s">
        <v>580</v>
      </c>
      <c r="BD311" s="331">
        <f>BD186</f>
        <v>104600</v>
      </c>
      <c r="BE311" s="331">
        <f>BE186</f>
        <v>102600</v>
      </c>
      <c r="BH311" s="331">
        <f>BH186</f>
        <v>107700</v>
      </c>
      <c r="BI311" s="331">
        <f>BI186</f>
        <v>104200</v>
      </c>
      <c r="BL311" s="331">
        <f>BL186</f>
        <v>116000</v>
      </c>
      <c r="BM311" s="331">
        <f>BM186</f>
        <v>114300</v>
      </c>
      <c r="BP311" s="331">
        <f>BP186</f>
        <v>116000</v>
      </c>
      <c r="BQ311" s="331">
        <f>BQ186</f>
        <v>136000</v>
      </c>
      <c r="BT311" s="331">
        <f>BT186</f>
        <v>151100</v>
      </c>
      <c r="BU311" s="331">
        <f>BU186</f>
        <v>139800</v>
      </c>
      <c r="BX311" s="331">
        <f>BX186</f>
        <v>140200</v>
      </c>
      <c r="BY311" s="331">
        <f>BY186</f>
        <v>159700</v>
      </c>
      <c r="CB311" s="331">
        <f>CB186</f>
        <v>146700</v>
      </c>
      <c r="CC311" s="331">
        <f>CC186</f>
        <v>161600</v>
      </c>
      <c r="CF311" s="331">
        <f>CF186</f>
        <v>185100</v>
      </c>
      <c r="CG311" s="331">
        <f>CG186</f>
        <v>189000</v>
      </c>
      <c r="CJ311" s="331">
        <f>CJ186</f>
        <v>200900</v>
      </c>
      <c r="CK311" s="331">
        <f>CK186</f>
        <v>223100</v>
      </c>
      <c r="CN311" s="331">
        <f>CN186</f>
        <v>204000</v>
      </c>
      <c r="CO311" s="331">
        <f>CO186</f>
        <v>195100</v>
      </c>
      <c r="CR311" s="331">
        <f>CR186</f>
        <v>220900</v>
      </c>
      <c r="CS311" s="331">
        <f>CS186</f>
        <v>257900</v>
      </c>
      <c r="CV311" s="331">
        <f>CV186</f>
        <v>312200</v>
      </c>
      <c r="CW311" s="331">
        <f>CW186</f>
        <v>344100</v>
      </c>
      <c r="CZ311" s="331">
        <f>CZ186</f>
        <v>345100</v>
      </c>
      <c r="DA311" s="331">
        <f>DA186</f>
        <v>370900</v>
      </c>
      <c r="DD311" s="331">
        <f>DD186</f>
        <v>373600</v>
      </c>
      <c r="DE311" s="331">
        <f>DE186</f>
        <v>389000</v>
      </c>
      <c r="DH311" s="331">
        <f>DH186</f>
        <v>416600</v>
      </c>
      <c r="DI311" s="331">
        <f>DI186</f>
        <v>436388.5</v>
      </c>
      <c r="DL311" s="331">
        <f>DL186</f>
        <v>450571.12625000003</v>
      </c>
      <c r="DM311" s="331">
        <f>DM186</f>
        <v>467467.54348437511</v>
      </c>
      <c r="DP311" s="331">
        <f>DP186</f>
        <v>482660.23864761728</v>
      </c>
      <c r="DQ311" s="331">
        <f>DQ186</f>
        <v>500759.99759690289</v>
      </c>
    </row>
    <row r="312" spans="1:273">
      <c r="A312" s="289"/>
      <c r="BD312" s="331"/>
      <c r="BE312" s="331"/>
      <c r="BH312" s="331"/>
      <c r="BI312" s="331"/>
      <c r="BL312" s="331"/>
      <c r="BM312" s="331"/>
      <c r="BP312" s="331"/>
      <c r="BQ312" s="331"/>
      <c r="BT312" s="331"/>
      <c r="BU312" s="331"/>
      <c r="BX312" s="331"/>
      <c r="BY312" s="331"/>
      <c r="CB312" s="331"/>
      <c r="CC312" s="331"/>
      <c r="CF312" s="331"/>
      <c r="CG312" s="331"/>
      <c r="CJ312" s="331"/>
      <c r="CK312" s="331"/>
      <c r="CN312" s="331"/>
      <c r="CO312" s="331"/>
      <c r="CR312" s="331"/>
      <c r="CS312" s="331"/>
      <c r="CV312" s="331"/>
      <c r="CW312" s="331"/>
      <c r="CZ312" s="331"/>
      <c r="DA312" s="331"/>
      <c r="DD312" s="331"/>
      <c r="DE312" s="331"/>
      <c r="DH312" s="331"/>
      <c r="DI312" s="331"/>
      <c r="DL312" s="331"/>
      <c r="DM312" s="331"/>
      <c r="DP312" s="331"/>
      <c r="DQ312" s="331"/>
    </row>
    <row r="313" spans="1:273">
      <c r="A313" s="102" t="s">
        <v>874</v>
      </c>
      <c r="BD313" s="293">
        <f>BD184</f>
        <v>2300</v>
      </c>
      <c r="BE313" s="293">
        <f>BE184</f>
        <v>2400</v>
      </c>
      <c r="BH313" s="293">
        <f>BH184</f>
        <v>2000</v>
      </c>
      <c r="BI313" s="293">
        <f>BI184</f>
        <v>1900</v>
      </c>
      <c r="BL313" s="293">
        <f>BL184</f>
        <v>1700</v>
      </c>
      <c r="BM313" s="293">
        <f>BM184</f>
        <v>1500</v>
      </c>
      <c r="BP313" s="293">
        <f>BP184</f>
        <v>1800</v>
      </c>
      <c r="BQ313" s="293">
        <f>BQ184</f>
        <v>2300</v>
      </c>
      <c r="BT313" s="293">
        <f>BT184</f>
        <v>3300</v>
      </c>
      <c r="BU313" s="293">
        <f>BU184</f>
        <v>3600</v>
      </c>
      <c r="BX313" s="293">
        <f>BX184</f>
        <v>4200</v>
      </c>
      <c r="BY313" s="293">
        <f>BY184</f>
        <v>5500</v>
      </c>
      <c r="CB313" s="293">
        <f>CB184</f>
        <v>5300</v>
      </c>
      <c r="CC313" s="293">
        <f>CC184</f>
        <v>6400</v>
      </c>
      <c r="CF313" s="293">
        <f>CF184</f>
        <v>0</v>
      </c>
      <c r="CG313" s="293">
        <f>CG184</f>
        <v>0</v>
      </c>
      <c r="CJ313" s="293">
        <f>CJ184</f>
        <v>0</v>
      </c>
      <c r="CK313" s="293">
        <f>CK184</f>
        <v>0</v>
      </c>
      <c r="CN313" s="293">
        <f>CN184</f>
        <v>0</v>
      </c>
      <c r="CO313" s="293">
        <f>CO184</f>
        <v>0</v>
      </c>
      <c r="CR313" s="293">
        <f>CR184</f>
        <v>0</v>
      </c>
      <c r="CS313" s="293">
        <f>CS184</f>
        <v>0</v>
      </c>
      <c r="CV313" s="293">
        <f>CV184</f>
        <v>0</v>
      </c>
      <c r="CW313" s="293">
        <f>CW184</f>
        <v>0</v>
      </c>
      <c r="CZ313" s="293">
        <f>CZ184</f>
        <v>0</v>
      </c>
      <c r="DA313" s="293">
        <f>DA184</f>
        <v>0</v>
      </c>
      <c r="DD313" s="293">
        <f>DD184</f>
        <v>0</v>
      </c>
      <c r="DE313" s="293">
        <f>DE184</f>
        <v>0</v>
      </c>
      <c r="DH313" s="293">
        <f>DH184</f>
        <v>0</v>
      </c>
      <c r="DI313" s="293">
        <f>DI184</f>
        <v>0</v>
      </c>
      <c r="DL313" s="293">
        <f>DL184</f>
        <v>0</v>
      </c>
      <c r="DM313" s="293">
        <f>DM184</f>
        <v>0</v>
      </c>
      <c r="DP313" s="293">
        <f>DP184</f>
        <v>0</v>
      </c>
      <c r="DQ313" s="293">
        <f>DQ184</f>
        <v>0</v>
      </c>
    </row>
    <row r="314" spans="1:273" s="289" customFormat="1">
      <c r="A314" s="289" t="s">
        <v>617</v>
      </c>
      <c r="B314" s="290"/>
      <c r="AN314" s="290"/>
      <c r="AO314" s="290"/>
      <c r="AP314" s="290"/>
      <c r="AQ314" s="290"/>
      <c r="AR314" s="290"/>
      <c r="AS314" s="290"/>
      <c r="AT314" s="290"/>
      <c r="AU314" s="290"/>
      <c r="AV314" s="290"/>
      <c r="AW314" s="290"/>
      <c r="AX314" s="290"/>
      <c r="AY314" s="290"/>
      <c r="AZ314" s="290"/>
      <c r="BA314" s="290"/>
      <c r="BB314" s="290"/>
      <c r="BC314" s="290"/>
      <c r="BD314" s="295">
        <f>+BD310-BD313</f>
        <v>-227222</v>
      </c>
      <c r="BE314" s="295">
        <f>+BE310-BE313</f>
        <v>100153</v>
      </c>
      <c r="BF314" s="290"/>
      <c r="BG314" s="290"/>
      <c r="BH314" s="295">
        <f>+BH310-BH313</f>
        <v>105700</v>
      </c>
      <c r="BI314" s="295">
        <f>+BI310-BI313</f>
        <v>102300</v>
      </c>
      <c r="BJ314" s="290"/>
      <c r="BK314" s="290"/>
      <c r="BL314" s="295">
        <f>+BL310-BL313</f>
        <v>114300</v>
      </c>
      <c r="BM314" s="295">
        <f>+BM310-BM313</f>
        <v>112800</v>
      </c>
      <c r="BN314" s="290"/>
      <c r="BO314" s="290"/>
      <c r="BP314" s="295">
        <f>+BP310-BP313</f>
        <v>114200</v>
      </c>
      <c r="BQ314" s="295">
        <f>+BQ310-BQ313</f>
        <v>133700</v>
      </c>
      <c r="BR314" s="290"/>
      <c r="BS314" s="290"/>
      <c r="BT314" s="295">
        <f>+BT310-BT313</f>
        <v>147800</v>
      </c>
      <c r="BU314" s="295">
        <f>+BU310-BU313</f>
        <v>136200</v>
      </c>
      <c r="BV314" s="290"/>
      <c r="BW314" s="290"/>
      <c r="BX314" s="295">
        <f>+BX310-BX313</f>
        <v>136000</v>
      </c>
      <c r="BY314" s="295">
        <f>+BY310-BY313</f>
        <v>154200</v>
      </c>
      <c r="BZ314" s="290"/>
      <c r="CA314" s="290"/>
      <c r="CB314" s="295">
        <f>+CB310-CB313</f>
        <v>141400</v>
      </c>
      <c r="CC314" s="295">
        <f>+CC310-CC313</f>
        <v>155200</v>
      </c>
      <c r="CD314" s="290"/>
      <c r="CE314" s="581"/>
      <c r="CF314" s="295">
        <f>+CF310-CF313</f>
        <v>185100</v>
      </c>
      <c r="CG314" s="295">
        <f>+CG310-CG313</f>
        <v>189000</v>
      </c>
      <c r="CH314" s="290"/>
      <c r="CI314" s="581"/>
      <c r="CJ314" s="295">
        <f>+CJ310-CJ313</f>
        <v>200900</v>
      </c>
      <c r="CK314" s="295">
        <f>+CK310-CK313</f>
        <v>223100</v>
      </c>
      <c r="CL314" s="290"/>
      <c r="CM314" s="581"/>
      <c r="CN314" s="295">
        <f>+CN310-CN313</f>
        <v>204000</v>
      </c>
      <c r="CO314" s="295">
        <f>+CO310-CO313</f>
        <v>195100</v>
      </c>
      <c r="CP314" s="290"/>
      <c r="CQ314" s="581"/>
      <c r="CR314" s="295">
        <f>+CR310-CR313</f>
        <v>220900</v>
      </c>
      <c r="CS314" s="295">
        <f>+CS310-CS313</f>
        <v>257900</v>
      </c>
      <c r="CT314" s="290"/>
      <c r="CU314" s="290"/>
      <c r="CV314" s="295">
        <f>+CV310-CV313</f>
        <v>312200</v>
      </c>
      <c r="CW314" s="295">
        <f>+CW310-CW313</f>
        <v>344100</v>
      </c>
      <c r="CX314" s="290"/>
      <c r="CY314" s="290"/>
      <c r="CZ314" s="295">
        <f>+CZ310-CZ313</f>
        <v>345100</v>
      </c>
      <c r="DA314" s="295">
        <f>+DA310-DA313</f>
        <v>370900</v>
      </c>
      <c r="DB314" s="290"/>
      <c r="DC314" s="290"/>
      <c r="DD314" s="295">
        <f>+DD310-DD313</f>
        <v>373600</v>
      </c>
      <c r="DE314" s="295">
        <f>+DE310-DE313</f>
        <v>389000</v>
      </c>
      <c r="DF314" s="290"/>
      <c r="DG314" s="290"/>
      <c r="DH314" s="295">
        <f>+DH310-DH313</f>
        <v>416600</v>
      </c>
      <c r="DI314" s="295">
        <f>+DI310-DI313</f>
        <v>436388.5</v>
      </c>
      <c r="DJ314" s="290"/>
      <c r="DK314" s="290"/>
      <c r="DL314" s="295">
        <f>+DL310-DL313</f>
        <v>450571.12625000003</v>
      </c>
      <c r="DM314" s="295">
        <f>+DM310-DM313</f>
        <v>467467.54348437511</v>
      </c>
      <c r="DN314" s="290"/>
      <c r="DO314" s="290"/>
      <c r="DP314" s="295">
        <f>+DP310-DP313</f>
        <v>482660.23864761728</v>
      </c>
      <c r="DQ314" s="295">
        <f>+DQ310-DQ313</f>
        <v>500759.99759690289</v>
      </c>
      <c r="DR314" s="290"/>
      <c r="DS314" s="290"/>
      <c r="DT314" s="290"/>
      <c r="DU314" s="290"/>
      <c r="DV314" s="290"/>
      <c r="DW314" s="290"/>
      <c r="DX314" s="290"/>
      <c r="DY314" s="290"/>
      <c r="DZ314" s="290"/>
      <c r="EA314" s="290"/>
      <c r="EB314" s="290"/>
      <c r="EC314" s="290"/>
      <c r="ED314" s="290"/>
      <c r="EE314" s="290"/>
      <c r="EF314" s="290"/>
      <c r="EG314" s="290"/>
      <c r="EH314" s="290"/>
      <c r="EI314" s="290"/>
      <c r="EJ314" s="290"/>
      <c r="EK314" s="290"/>
      <c r="EL314" s="290"/>
      <c r="EM314" s="290"/>
      <c r="EN314" s="290"/>
      <c r="EO314" s="290"/>
      <c r="EP314" s="290"/>
      <c r="JM314"/>
    </row>
    <row r="315" spans="1:273">
      <c r="A315" s="289"/>
      <c r="BD315" s="331"/>
      <c r="BE315" s="331"/>
      <c r="BH315" s="331"/>
      <c r="BI315" s="331"/>
      <c r="BL315" s="331"/>
      <c r="BM315" s="331"/>
      <c r="BP315" s="331"/>
      <c r="BQ315" s="331"/>
      <c r="BT315" s="331"/>
      <c r="BU315" s="331"/>
      <c r="BX315" s="331"/>
      <c r="BY315" s="331"/>
      <c r="CB315" s="331"/>
      <c r="CC315" s="331"/>
      <c r="CF315" s="331"/>
      <c r="CG315" s="331"/>
      <c r="CJ315" s="331"/>
      <c r="CK315" s="331"/>
      <c r="CN315" s="331"/>
      <c r="CO315" s="331"/>
      <c r="CR315" s="331"/>
      <c r="CS315" s="331"/>
      <c r="CV315" s="331"/>
      <c r="CW315" s="331"/>
      <c r="CZ315" s="331"/>
      <c r="DA315" s="331"/>
      <c r="DD315" s="331"/>
      <c r="DE315" s="331"/>
      <c r="DH315" s="331"/>
      <c r="DI315" s="331"/>
      <c r="DL315" s="331"/>
      <c r="DM315" s="331"/>
      <c r="DP315" s="331"/>
      <c r="DQ315" s="331"/>
    </row>
    <row r="316" spans="1:273">
      <c r="A316" s="102" t="s">
        <v>880</v>
      </c>
      <c r="BD316" s="293">
        <f>BD307*BD$1233</f>
        <v>-164000</v>
      </c>
      <c r="BE316" s="293">
        <f>BE307*BE$1233</f>
        <v>23595.190000000013</v>
      </c>
      <c r="BH316" s="293">
        <f>BH307*BH$1233</f>
        <v>27972.340000000011</v>
      </c>
      <c r="BI316" s="293">
        <f>BI307*BI$1233</f>
        <v>29692</v>
      </c>
      <c r="BL316" s="293">
        <f>BL307*BL$1233</f>
        <v>20637.439999999995</v>
      </c>
      <c r="BM316" s="293">
        <f>BM307*BM$1233</f>
        <v>14111.429999999995</v>
      </c>
      <c r="BP316" s="293">
        <f>BP307*BP$1233</f>
        <v>16137.386999999961</v>
      </c>
      <c r="BQ316" s="293">
        <f>BQ307*BQ$1233</f>
        <v>40651.499999999985</v>
      </c>
      <c r="BT316" s="293">
        <f>BT307*BT$1233</f>
        <v>35571.800000000003</v>
      </c>
      <c r="BU316" s="293">
        <f>BU307*BU$1233</f>
        <v>35440.76</v>
      </c>
      <c r="BX316" s="293">
        <f>BX307*BX$1233</f>
        <v>38895.500000000015</v>
      </c>
      <c r="BY316" s="293">
        <f>BY307*BY$1233</f>
        <v>28677.617624608356</v>
      </c>
      <c r="CB316" s="293">
        <f>CB307*CB$1233</f>
        <v>34632.422093420682</v>
      </c>
      <c r="CC316" s="293">
        <f>CC307*CC$1233</f>
        <v>30814.970071204792</v>
      </c>
      <c r="CF316" s="293">
        <f>CF307*CF$1233</f>
        <v>24963.124665337524</v>
      </c>
      <c r="CG316" s="293">
        <f>CG307*CG$1233</f>
        <v>16503.884334947306</v>
      </c>
      <c r="CJ316" s="293">
        <f>CJ307*CJ$1233</f>
        <v>4015.9897322700267</v>
      </c>
      <c r="CK316" s="293">
        <f>CK307*CK$1233</f>
        <v>-9841.0498433494759</v>
      </c>
      <c r="CN316" s="293">
        <f>CN307*CN$1233</f>
        <v>23532.649205354584</v>
      </c>
      <c r="CO316" s="293">
        <f>CO307*CO$1233</f>
        <v>30660.683571631973</v>
      </c>
      <c r="CR316" s="293">
        <f>CR307*CR$1233</f>
        <v>36320.174622614599</v>
      </c>
      <c r="CS316" s="293">
        <f>CS307*CS$1233</f>
        <v>16445.851073768095</v>
      </c>
      <c r="CV316" s="293">
        <f>CV307*CV$1233</f>
        <v>-15063.486140700714</v>
      </c>
      <c r="CW316" s="293">
        <f>CW307*CW$1233</f>
        <v>-12782.761310168096</v>
      </c>
      <c r="CZ316" s="293">
        <f>CZ307*CZ$1233</f>
        <v>-23200.292042153294</v>
      </c>
      <c r="DA316" s="293">
        <f>DA307*DA$1233</f>
        <v>-21946.795590999776</v>
      </c>
      <c r="DD316" s="293">
        <f>DD307*DD$1233</f>
        <v>-15149.161743093178</v>
      </c>
      <c r="DE316" s="293">
        <f>DE307*DE$1233</f>
        <v>-34043.006778695577</v>
      </c>
      <c r="DH316" s="293">
        <f>DH307*DH$1233</f>
        <v>-29244.569524352039</v>
      </c>
      <c r="DI316" s="293">
        <f>+DH316*(1+DI320)</f>
        <v>-30633.686576758762</v>
      </c>
      <c r="DL316" s="293">
        <f>+DI316*(1+DL320)</f>
        <v>-31629.28139050342</v>
      </c>
      <c r="DM316" s="293">
        <f>+DL316*(1+DM320)</f>
        <v>-32815.379442647303</v>
      </c>
      <c r="DP316" s="293">
        <f>+DM316*(1+DP320)</f>
        <v>-33881.879274533341</v>
      </c>
      <c r="DQ316" s="293">
        <f>+DP316*(1+DQ320)</f>
        <v>-35152.449747328348</v>
      </c>
    </row>
    <row r="317" spans="1:273">
      <c r="A317" s="102" t="s">
        <v>881</v>
      </c>
      <c r="BD317" s="293">
        <f>BD308*BD$1235</f>
        <v>0</v>
      </c>
      <c r="BE317" s="293">
        <f>BE308*BE$1235</f>
        <v>0</v>
      </c>
      <c r="BH317" s="293">
        <f>BH308*BH$1235</f>
        <v>56077.560000000005</v>
      </c>
      <c r="BI317" s="293">
        <f>BI308*BI$1235</f>
        <v>55270.560000000005</v>
      </c>
      <c r="BL317" s="293">
        <f>BL308*BL$1235</f>
        <v>54409.440000000002</v>
      </c>
      <c r="BM317" s="293">
        <f>BM308*BM$1235</f>
        <v>52397.003446399416</v>
      </c>
      <c r="BP317" s="293">
        <f>BP308*BP$1235</f>
        <v>53811.911999999997</v>
      </c>
      <c r="BQ317" s="293">
        <f>BQ308*BQ$1235</f>
        <v>61184.19</v>
      </c>
      <c r="BT317" s="293">
        <f>BT308*BT$1235</f>
        <v>61604.81</v>
      </c>
      <c r="BU317" s="293">
        <f>BU308*BU$1235</f>
        <v>60772.4</v>
      </c>
      <c r="BX317" s="293">
        <f>BX308*BX$1235</f>
        <v>60086.759209823802</v>
      </c>
      <c r="BY317" s="293">
        <f>BY308*BY$1235</f>
        <v>73971.45</v>
      </c>
      <c r="CB317" s="293">
        <f>CB308*CB$1235</f>
        <v>58948.325156487896</v>
      </c>
      <c r="CC317" s="293">
        <f>CC308*CC$1235</f>
        <v>57435.6</v>
      </c>
      <c r="CF317" s="293">
        <f>CF308*CF$1235</f>
        <v>69701.782178217822</v>
      </c>
      <c r="CG317" s="293">
        <f>CG308*CG$1235</f>
        <v>67849.890902613886</v>
      </c>
      <c r="CJ317" s="293">
        <f>CJ308*CJ$1235</f>
        <v>75587.314254265279</v>
      </c>
      <c r="CK317" s="293">
        <f>CK308*CK$1235</f>
        <v>81716.015410016509</v>
      </c>
      <c r="CN317" s="293">
        <f>CN308*CN$1235</f>
        <v>127315.65000000001</v>
      </c>
      <c r="CO317" s="293">
        <f>CO308*CO$1235</f>
        <v>135115.88999999998</v>
      </c>
      <c r="CR317" s="293">
        <f>CR308*CR$1235</f>
        <v>150440.54999999999</v>
      </c>
      <c r="CS317" s="293">
        <f>CS308*CS$1235</f>
        <v>175868.1</v>
      </c>
      <c r="CV317" s="293">
        <f>CV308*CV$1235</f>
        <v>202877.16</v>
      </c>
      <c r="CW317" s="293">
        <f>CW308*CW$1235</f>
        <v>225225</v>
      </c>
      <c r="CZ317" s="293">
        <f>CZ308*CZ$1235</f>
        <v>214651.36000000002</v>
      </c>
      <c r="DA317" s="293">
        <f>DA308*DA$1235</f>
        <v>236686.56</v>
      </c>
      <c r="DD317" s="293">
        <f>DD308*DD$1235</f>
        <v>239077.8</v>
      </c>
      <c r="DE317" s="293">
        <f>DE308*DE$1235</f>
        <v>253241.69</v>
      </c>
      <c r="DH317" s="293">
        <f>DH308*DH$1235</f>
        <v>250128.13999999998</v>
      </c>
      <c r="DI317" s="293">
        <f>+DH317*(1+DI321)</f>
        <v>262009.22665</v>
      </c>
      <c r="DL317" s="293">
        <f>+DI317*(1+DL321)</f>
        <v>270524.52651612501</v>
      </c>
      <c r="DM317" s="293">
        <f>+DL317*(1+DM321)</f>
        <v>280669.19626047974</v>
      </c>
      <c r="DP317" s="293">
        <f>+DM317*(1+DP321)</f>
        <v>289790.9451389453</v>
      </c>
      <c r="DQ317" s="293">
        <f>+DP317*(1+DQ321)</f>
        <v>300658.10558165575</v>
      </c>
    </row>
    <row r="319" spans="1:273">
      <c r="A319" s="328" t="s">
        <v>382</v>
      </c>
    </row>
    <row r="320" spans="1:273">
      <c r="A320" s="323" t="str">
        <f>A316</f>
        <v>MIRA + MSIS (America) (US$)</v>
      </c>
      <c r="BE320" s="671">
        <f>+BE316/BD316-1</f>
        <v>-1.1438731097560977</v>
      </c>
      <c r="BH320" s="671">
        <f>+BH316/BE316-1</f>
        <v>0.185510267134954</v>
      </c>
      <c r="BI320" s="671">
        <f>+BI316/BH316-1</f>
        <v>6.1477159222288469E-2</v>
      </c>
      <c r="BL320" s="671">
        <f>+BL316/BI316-1</f>
        <v>-0.30494948134177569</v>
      </c>
      <c r="BM320" s="671">
        <f>+BM316/BL316-1</f>
        <v>-0.31622187635675747</v>
      </c>
      <c r="BP320" s="671">
        <f>+BP316/BM316-1</f>
        <v>0.14356851148324212</v>
      </c>
      <c r="BQ320" s="671">
        <f>+BQ316/BP316-1</f>
        <v>1.5190881274645074</v>
      </c>
      <c r="BT320" s="671">
        <f>+BT316/BQ316-1</f>
        <v>-0.12495725864974194</v>
      </c>
      <c r="BU320" s="671">
        <f>+BU316/BT316-1</f>
        <v>-3.6838169561281831E-3</v>
      </c>
      <c r="BX320" s="671">
        <f>+BX316/BU316-1</f>
        <v>9.7479286561575229E-2</v>
      </c>
      <c r="BY320" s="671">
        <f>+BY316/BX316-1</f>
        <v>-0.26270088764488575</v>
      </c>
      <c r="CB320" s="671">
        <f>+CB316/BY316-1</f>
        <v>0.20764641424406505</v>
      </c>
      <c r="CC320" s="671">
        <f>+CC316/CB316-1</f>
        <v>-0.11022769391982878</v>
      </c>
      <c r="CF320" s="671">
        <f>+CF316/CC316-1</f>
        <v>-0.18990268016958278</v>
      </c>
      <c r="CG320" s="671">
        <f>+CG316/CF316-1</f>
        <v>-0.33886945019091586</v>
      </c>
      <c r="CJ320" s="671">
        <f>+CJ316/CG316-1</f>
        <v>-0.75666396765965649</v>
      </c>
      <c r="CK320" s="671">
        <f>+CK316/CJ316-1</f>
        <v>-3.4504668834864902</v>
      </c>
      <c r="CN320" s="671">
        <f>+CN316/CK316-1</f>
        <v>-3.3912742623956742</v>
      </c>
      <c r="CO320" s="671">
        <f>+CO316/CN316-1</f>
        <v>0.30289978421364849</v>
      </c>
      <c r="CR320" s="671">
        <f>+CR316/CO316-1</f>
        <v>0.18458463386050949</v>
      </c>
      <c r="CS320" s="671">
        <f>+CS316/CR316-1</f>
        <v>-0.54719790737106866</v>
      </c>
      <c r="CV320" s="671">
        <f>+CV316/CS316-1</f>
        <v>-1.9159444575493987</v>
      </c>
      <c r="CW320" s="671">
        <f>+CW316/CV316-1</f>
        <v>-0.15140750349749543</v>
      </c>
      <c r="CZ320" s="671">
        <f>+CZ316/CW316-1</f>
        <v>0.81496716391774715</v>
      </c>
      <c r="DA320" s="671">
        <f>+DA316/CZ316-1</f>
        <v>-5.4029339323660386E-2</v>
      </c>
      <c r="DD320" s="671">
        <f>+DD316/DA316-1</f>
        <v>-0.30973240807392666</v>
      </c>
      <c r="DE320" s="671">
        <f>+DE316/DD316-1</f>
        <v>1.2471874916918422</v>
      </c>
      <c r="DH320" s="671">
        <f>+DH316/DE316-1</f>
        <v>-0.14095221628150789</v>
      </c>
      <c r="DI320" s="1400">
        <f>DI364/2</f>
        <v>4.7500000000000001E-2</v>
      </c>
      <c r="DL320" s="1400">
        <f>DL364/2</f>
        <v>3.2500000000000001E-2</v>
      </c>
      <c r="DM320" s="1400">
        <f>DM364/2</f>
        <v>3.7500000000000006E-2</v>
      </c>
      <c r="DP320" s="1400">
        <f>DP364/2</f>
        <v>3.2500000000000001E-2</v>
      </c>
      <c r="DQ320" s="1400">
        <f>DQ364/2</f>
        <v>3.7500000000000006E-2</v>
      </c>
    </row>
    <row r="321" spans="1:273">
      <c r="A321" s="323" t="str">
        <f>A308</f>
        <v>MIRA + MSIS (EMEA)</v>
      </c>
      <c r="BE321" s="671"/>
      <c r="BH321" s="671"/>
      <c r="BI321" s="671">
        <f>+BI317/BH317-1</f>
        <v>-1.4390783051188349E-2</v>
      </c>
      <c r="BL321" s="671">
        <f>+BL317/BI317-1</f>
        <v>-1.5580084587527243E-2</v>
      </c>
      <c r="BM321" s="671">
        <f>+BM317/BL317-1</f>
        <v>-3.6986900684891966E-2</v>
      </c>
      <c r="BP321" s="671">
        <f>+BP317/BM317-1</f>
        <v>2.7003615866086461E-2</v>
      </c>
      <c r="BQ321" s="671">
        <f>+BQ317/BP317-1</f>
        <v>0.13700085586997934</v>
      </c>
      <c r="BT321" s="671">
        <f>+BT317/BQ317-1</f>
        <v>6.8746517687003905E-3</v>
      </c>
      <c r="BU321" s="671">
        <f>+BU317/BT317-1</f>
        <v>-1.3512094266665109E-2</v>
      </c>
      <c r="BX321" s="671">
        <f>+BX317/BU317-1</f>
        <v>-1.1282108163840787E-2</v>
      </c>
      <c r="BY321" s="671">
        <f>+BY317/BX317-1</f>
        <v>0.23107737832374453</v>
      </c>
      <c r="CB321" s="671">
        <f>+CB317/BY317-1</f>
        <v>-0.20309355627761927</v>
      </c>
      <c r="CC321" s="671">
        <f>+CC317/CB317-1</f>
        <v>-2.5661885260897965E-2</v>
      </c>
      <c r="CF321" s="671">
        <f>+CF317/CC317-1</f>
        <v>0.21356409923841357</v>
      </c>
      <c r="CG321" s="671">
        <f>+CG317/CF317-1</f>
        <v>-2.6568779416126009E-2</v>
      </c>
      <c r="CJ321" s="671">
        <f>+CJ317/CG317-1</f>
        <v>0.11403737351261256</v>
      </c>
      <c r="CK321" s="671">
        <f>+CK317/CJ317-1</f>
        <v>8.1081081081080919E-2</v>
      </c>
      <c r="CN321" s="671"/>
      <c r="CO321" s="671">
        <f>+CO317/CN317-1</f>
        <v>6.1266937725251935E-2</v>
      </c>
      <c r="CR321" s="671"/>
      <c r="CS321" s="671">
        <f>+CS317/CR317-1</f>
        <v>0.16902058653733998</v>
      </c>
      <c r="CV321" s="671"/>
      <c r="CW321" s="671">
        <f>+CW317/CV317-1</f>
        <v>0.1101545388352243</v>
      </c>
      <c r="CZ321" s="671"/>
      <c r="DA321" s="671">
        <f>+DA317/CZ317-1</f>
        <v>0.10265576700748591</v>
      </c>
      <c r="DD321" s="671"/>
      <c r="DE321" s="671">
        <f>+DE317/DD317-1</f>
        <v>5.9243852837862931E-2</v>
      </c>
      <c r="DH321" s="671"/>
      <c r="DI321" s="1401">
        <f t="shared" ref="DI321" si="200">+DI320</f>
        <v>4.7500000000000001E-2</v>
      </c>
      <c r="DL321" s="1401">
        <f t="shared" ref="DL321:DM321" si="201">+DL320</f>
        <v>3.2500000000000001E-2</v>
      </c>
      <c r="DM321" s="1401">
        <f t="shared" si="201"/>
        <v>3.7500000000000006E-2</v>
      </c>
      <c r="DP321" s="1401">
        <f t="shared" ref="DP321:DQ321" si="202">+DP320</f>
        <v>3.2500000000000001E-2</v>
      </c>
      <c r="DQ321" s="1401">
        <f t="shared" si="202"/>
        <v>3.7500000000000006E-2</v>
      </c>
    </row>
    <row r="322" spans="1:273">
      <c r="A322" s="323" t="str">
        <f>A309</f>
        <v>MIRA + MSIS (Aust + Asia)</v>
      </c>
      <c r="BE322" s="671">
        <f>+BE309/BD309-1</f>
        <v>-1.254795073444835</v>
      </c>
      <c r="BH322" s="671">
        <f>+BH309/BE309-1</f>
        <v>-0.18824328988712447</v>
      </c>
      <c r="BI322" s="671">
        <f>+BI309/BH309-1</f>
        <v>-0.32129025982267367</v>
      </c>
      <c r="BL322" s="671">
        <f>+BL309/BI309-1</f>
        <v>0.88710266385494263</v>
      </c>
      <c r="BM322" s="671">
        <f>+BM309/BL309-1</f>
        <v>0.27369413748697635</v>
      </c>
      <c r="BP322" s="671">
        <f>+BP309/BM309-1</f>
        <v>4.3337450281606849E-2</v>
      </c>
      <c r="BQ322" s="671">
        <f>+BQ309/BP309-1</f>
        <v>-1.1986634144436352</v>
      </c>
      <c r="BT322" s="671">
        <f>+BT309/BQ309-1</f>
        <v>-1.3746162099382473</v>
      </c>
      <c r="BU322" s="671">
        <f>+BU309/BT309-1</f>
        <v>1.4220959587170237</v>
      </c>
      <c r="BX322" s="671">
        <f>+BX309/BU309-1</f>
        <v>-0.79796467689012252</v>
      </c>
      <c r="BY322" s="671">
        <f>+BY309/BX309-1</f>
        <v>24.843918572506329</v>
      </c>
      <c r="CB322" s="671">
        <f>+CB309/BY309-1</f>
        <v>-0.27099516358342857</v>
      </c>
      <c r="CC322" s="671">
        <f>+CC309/CB309-1</f>
        <v>1.1610668386339995</v>
      </c>
      <c r="CF322" s="671">
        <f>+CF309/CC309-1</f>
        <v>0.30576729306917949</v>
      </c>
      <c r="CG322" s="671">
        <f>+CG309/CF309-1</f>
        <v>0.51381377755788926</v>
      </c>
      <c r="CJ322" s="671">
        <f>+CJ309/CG309-1</f>
        <v>0.2520788148243438</v>
      </c>
      <c r="CK322" s="671">
        <f>+CK309/CJ309-1</f>
        <v>0.47017757352010525</v>
      </c>
      <c r="CN322" s="671">
        <f>+CN309/CK309-1</f>
        <v>-0.48280257016767714</v>
      </c>
      <c r="CO322" s="671">
        <f>+CO309/CN309-1</f>
        <v>-0.28388417054809978</v>
      </c>
      <c r="CR322" s="671">
        <f>+CR309/CO309-1</f>
        <v>3.8563104987881625E-2</v>
      </c>
      <c r="CS322" s="671">
        <f>+CS309/CR309-1</f>
        <v>1.1195421275092543</v>
      </c>
      <c r="CV322" s="671">
        <f>+CV309/CS309-1</f>
        <v>0.80334935917750938</v>
      </c>
      <c r="CW322" s="671">
        <f>+CW309/CV309-1</f>
        <v>4.8754025363202835E-2</v>
      </c>
      <c r="CZ322" s="671">
        <f>+CZ309/CW309-1</f>
        <v>0.17972275022949669</v>
      </c>
      <c r="DA322" s="671">
        <f>+DA309/CZ309-1</f>
        <v>3.7336112794402521E-2</v>
      </c>
      <c r="DD322" s="671">
        <f>+DD309/DA309-1</f>
        <v>-2.7436745246880667E-2</v>
      </c>
      <c r="DE322" s="671">
        <f>+DE309/DD309-1</f>
        <v>0.17681991841618183</v>
      </c>
      <c r="DH322" s="671">
        <f>+DH309/DE309-1</f>
        <v>4.8800263582373438E-2</v>
      </c>
      <c r="DI322" s="1401">
        <f t="shared" ref="DI322" si="203">+DI321</f>
        <v>4.7500000000000001E-2</v>
      </c>
      <c r="DL322" s="1401">
        <f t="shared" ref="DL322:DM322" si="204">+DL321</f>
        <v>3.2500000000000001E-2</v>
      </c>
      <c r="DM322" s="1401">
        <f t="shared" si="204"/>
        <v>3.7500000000000006E-2</v>
      </c>
      <c r="DP322" s="1401">
        <f t="shared" ref="DP322:DQ322" si="205">+DP321</f>
        <v>3.2500000000000001E-2</v>
      </c>
      <c r="DQ322" s="1401">
        <f t="shared" si="205"/>
        <v>3.7500000000000006E-2</v>
      </c>
    </row>
    <row r="323" spans="1:273">
      <c r="A323" s="323" t="str">
        <f>A310</f>
        <v>Total MIRA + MSIS</v>
      </c>
      <c r="BE323" s="671">
        <f>+BE310/BD310-1</f>
        <v>-1.4559491734912546</v>
      </c>
      <c r="BH323" s="671">
        <f>+BH310/BE310-1</f>
        <v>5.0188682924926731E-2</v>
      </c>
      <c r="BI323" s="671">
        <f>+BI310/BH310-1</f>
        <v>-3.2497678737233082E-2</v>
      </c>
      <c r="BL323" s="671">
        <f>+BL310/BI310-1</f>
        <v>0.11324376199616126</v>
      </c>
      <c r="BM323" s="671">
        <f>+BM310/BL310-1</f>
        <v>-1.4655172413793105E-2</v>
      </c>
      <c r="BP323" s="671">
        <f>+BP310/BM310-1</f>
        <v>1.4873140857392775E-2</v>
      </c>
      <c r="BQ323" s="671">
        <f>+BQ310/BP310-1</f>
        <v>0.17241379310344818</v>
      </c>
      <c r="BT323" s="671">
        <f>+BT310/BQ310-1</f>
        <v>0.11102941176470593</v>
      </c>
      <c r="BU323" s="671">
        <f>+BU310/BT310-1</f>
        <v>-7.4784910655195214E-2</v>
      </c>
      <c r="BX323" s="671">
        <f>+BX310/BU310-1</f>
        <v>2.8612303290413976E-3</v>
      </c>
      <c r="BY323" s="671">
        <f>+BY310/BX310-1</f>
        <v>0.13908701854493577</v>
      </c>
      <c r="CB323" s="671">
        <f>+CB310/BY310-1</f>
        <v>-8.1402629931120907E-2</v>
      </c>
      <c r="CC323" s="671">
        <f>+CC310/CB310-1</f>
        <v>0.10156782549420584</v>
      </c>
      <c r="CF323" s="671">
        <f>+CF310/CC310-1</f>
        <v>0.14542079207920788</v>
      </c>
      <c r="CG323" s="671">
        <f>+CG310/CF310-1</f>
        <v>2.1069692058346856E-2</v>
      </c>
      <c r="CJ323" s="671">
        <f>+CJ310/CG310-1</f>
        <v>6.2962962962962887E-2</v>
      </c>
      <c r="CK323" s="671">
        <f>+CK310/CJ310-1</f>
        <v>0.11050273768043795</v>
      </c>
      <c r="CN323" s="671">
        <f>+CN310/CK310-1</f>
        <v>-8.5611833258628423E-2</v>
      </c>
      <c r="CO323" s="671">
        <f>+CO310/CN310-1</f>
        <v>-4.3627450980392113E-2</v>
      </c>
      <c r="CR323" s="671">
        <f>+CR310/CO310-1</f>
        <v>0.13223987698616102</v>
      </c>
      <c r="CS323" s="671">
        <f>+CS310/CR310-1</f>
        <v>0.16749660479855133</v>
      </c>
      <c r="CV323" s="671">
        <f>+CV310/CS310-1</f>
        <v>0.21054672353625437</v>
      </c>
      <c r="CW323" s="671">
        <f>+CW310/CV310-1</f>
        <v>0.10217809096732866</v>
      </c>
      <c r="CZ323" s="671">
        <f>+CZ310/CW310-1</f>
        <v>2.9061319383900663E-3</v>
      </c>
      <c r="DA323" s="671">
        <f>+DA310/CZ310-1</f>
        <v>7.4760938858301929E-2</v>
      </c>
      <c r="DD323" s="671">
        <f>+DD310/DA310-1</f>
        <v>7.2795901860340795E-3</v>
      </c>
      <c r="DE323" s="671">
        <f>+DE310/DD310-1</f>
        <v>4.1220556745181991E-2</v>
      </c>
      <c r="DH323" s="671">
        <f>+DH310/DE310-1</f>
        <v>7.0951156812339322E-2</v>
      </c>
      <c r="DI323" s="671">
        <f>+DI310/DH310-1</f>
        <v>4.7500000000000098E-2</v>
      </c>
      <c r="DL323" s="671">
        <f>+DL310/DI310-1</f>
        <v>3.2499999999999973E-2</v>
      </c>
      <c r="DM323" s="671">
        <f>+DM310/DL310-1</f>
        <v>3.7500000000000089E-2</v>
      </c>
      <c r="DP323" s="671">
        <f>+DP310/DM310-1</f>
        <v>3.2499999999999973E-2</v>
      </c>
      <c r="DQ323" s="671">
        <f>+DQ310/DP310-1</f>
        <v>3.7499999999999867E-2</v>
      </c>
    </row>
    <row r="324" spans="1:273">
      <c r="A324" s="328"/>
    </row>
    <row r="325" spans="1:273">
      <c r="A325" s="323" t="str">
        <f>+A309</f>
        <v>MIRA + MSIS (Aust + Asia)</v>
      </c>
      <c r="BH325" s="293"/>
      <c r="BI325" s="293">
        <f>+BI309-BH309</f>
        <v>-3747.1804768578731</v>
      </c>
      <c r="BL325" s="293">
        <f>BL309-BI309</f>
        <v>7022.067763263738</v>
      </c>
      <c r="BM325" s="293">
        <f>+BM309-BL309</f>
        <v>4088.3884750588913</v>
      </c>
      <c r="BP325" s="293">
        <f>BP309-BM309</f>
        <v>824.5465268715343</v>
      </c>
      <c r="BQ325" s="293">
        <f>+BQ309-BP309</f>
        <v>-23794.350620453362</v>
      </c>
      <c r="BT325" s="293">
        <f>BT309-BQ309</f>
        <v>5420.9570102338621</v>
      </c>
      <c r="BU325" s="293">
        <f>+BU309-BT309</f>
        <v>2100.9222001830349</v>
      </c>
      <c r="BX325" s="293">
        <f>BX309-BU309</f>
        <v>-2855.3284993626876</v>
      </c>
      <c r="BY325" s="293">
        <f>+BY309-BX309</f>
        <v>17960.557646912494</v>
      </c>
      <c r="CB325" s="293">
        <f>CB309-BY309</f>
        <v>-5063.1363574863353</v>
      </c>
      <c r="CC325" s="293">
        <f>+CC309-CB309</f>
        <v>15814.144923451822</v>
      </c>
      <c r="CF325" s="293">
        <f>CF309-CC309</f>
        <v>9000.107997145562</v>
      </c>
      <c r="CG325" s="293">
        <f>+CG309-CF309</f>
        <v>19748.232147843897</v>
      </c>
      <c r="CJ325" s="293">
        <f>CJ309-CG309</f>
        <v>14666.66188917926</v>
      </c>
      <c r="CK325" s="293">
        <f>+CK309-CJ309</f>
        <v>34252.203035493672</v>
      </c>
      <c r="CN325" s="293">
        <f>CN309-CK309</f>
        <v>-51708.97943905156</v>
      </c>
      <c r="CO325" s="293">
        <f>+CO309-CN309</f>
        <v>-15725.118535738846</v>
      </c>
      <c r="CR325" s="293">
        <f>CR309-CO309</f>
        <v>1529.7061738620687</v>
      </c>
      <c r="CS325" s="293">
        <f>+CS309-CR309</f>
        <v>46122.129975449177</v>
      </c>
      <c r="CV325" s="293">
        <f>CV309-CS309</f>
        <v>70148.020374781336</v>
      </c>
      <c r="CW325" s="293">
        <f>+CW309-CV309</f>
        <v>7677.1728123101057</v>
      </c>
      <c r="CZ325" s="293">
        <f>CZ309-CW309</f>
        <v>29680.248603211541</v>
      </c>
      <c r="DA325" s="293">
        <f>+DA309-CZ309</f>
        <v>7274.0039572035312</v>
      </c>
      <c r="DD325" s="293">
        <f>DD309-DA309</f>
        <v>-5544.9357866156497</v>
      </c>
      <c r="DE325" s="293">
        <f>+DE309-DD309</f>
        <v>34754.654322447313</v>
      </c>
      <c r="DH325" s="293">
        <f>DH309-DE309</f>
        <v>11287.921113458811</v>
      </c>
      <c r="DI325" s="293">
        <f>+DI309-DH309</f>
        <v>11523.335205099575</v>
      </c>
      <c r="DL325" s="293">
        <f>DL309-DI309</f>
        <v>8258.8956397601578</v>
      </c>
      <c r="DM325" s="293">
        <f>+DM309-DL309</f>
        <v>9839.2035554450704</v>
      </c>
      <c r="DP325" s="293">
        <f>DP309-DM309</f>
        <v>8847.0838636043482</v>
      </c>
      <c r="DQ325" s="293">
        <f>+DQ309-DP309</f>
        <v>10539.939333659422</v>
      </c>
    </row>
    <row r="326" spans="1:273">
      <c r="A326" s="323" t="str">
        <f>+A316</f>
        <v>MIRA + MSIS (America) (US$)</v>
      </c>
      <c r="BH326" s="293"/>
      <c r="BI326" s="293">
        <f>BI316-BH316</f>
        <v>1719.6599999999889</v>
      </c>
      <c r="BL326" s="293">
        <f>BL316-BI316</f>
        <v>-9054.5600000000049</v>
      </c>
      <c r="BM326" s="293">
        <f>BM316-BL316</f>
        <v>-6526.01</v>
      </c>
      <c r="BP326" s="293">
        <f>BP316-BM316</f>
        <v>2025.9569999999658</v>
      </c>
      <c r="BQ326" s="293">
        <f>BQ316-BP316</f>
        <v>24514.113000000027</v>
      </c>
      <c r="BT326" s="293">
        <f>BT316-BQ316</f>
        <v>-5079.6999999999825</v>
      </c>
      <c r="BU326" s="293">
        <f>BU316-BT316</f>
        <v>-131.04000000000087</v>
      </c>
      <c r="BX326" s="293">
        <f>BX316-BU316</f>
        <v>3454.7400000000125</v>
      </c>
      <c r="BY326" s="293">
        <f>BY316-BX316</f>
        <v>-10217.882375391659</v>
      </c>
      <c r="CB326" s="293">
        <f>CB316-BY316</f>
        <v>5954.8044688123264</v>
      </c>
      <c r="CC326" s="293">
        <f>CC316-CB316</f>
        <v>-3817.4520222158899</v>
      </c>
      <c r="CF326" s="293">
        <f>CF316-CC316</f>
        <v>-5851.8454058672687</v>
      </c>
      <c r="CG326" s="293">
        <f>CG316-CF316</f>
        <v>-8459.2403303902174</v>
      </c>
      <c r="CJ326" s="293">
        <f>CJ316-CG316</f>
        <v>-12487.894602677279</v>
      </c>
      <c r="CK326" s="293">
        <f>CK316-CJ316</f>
        <v>-13857.039575619503</v>
      </c>
      <c r="CN326" s="293">
        <f>CN316-CK316</f>
        <v>33373.69904870406</v>
      </c>
      <c r="CO326" s="293">
        <f>CO316-CN316</f>
        <v>7128.0343662773885</v>
      </c>
      <c r="CR326" s="293">
        <f>CR316-CO316</f>
        <v>5659.4910509826259</v>
      </c>
      <c r="CS326" s="293">
        <f>CS316-CR316</f>
        <v>-19874.323548846503</v>
      </c>
      <c r="CV326" s="293">
        <f>CV316-CS316</f>
        <v>-31509.337214468811</v>
      </c>
      <c r="CW326" s="293">
        <f>CW316-CV316</f>
        <v>2280.7248305326175</v>
      </c>
      <c r="CZ326" s="293">
        <f>CZ316-CW316</f>
        <v>-10417.530731985198</v>
      </c>
      <c r="DA326" s="293">
        <f>DA316-CZ316</f>
        <v>1253.4964511535181</v>
      </c>
      <c r="DD326" s="293">
        <f>DD316-DA316</f>
        <v>6797.633847906598</v>
      </c>
      <c r="DE326" s="293">
        <f>DE316-DD316</f>
        <v>-18893.845035602397</v>
      </c>
      <c r="DH326" s="293">
        <f>DH316-DE316</f>
        <v>4798.4372543435384</v>
      </c>
      <c r="DI326" s="293">
        <f>DI316-DH316</f>
        <v>-1389.1170524067238</v>
      </c>
      <c r="DL326" s="293">
        <f>DL316-DI316</f>
        <v>-995.59481374465759</v>
      </c>
      <c r="DM326" s="293">
        <f>DM316-DL316</f>
        <v>-1186.0980521438833</v>
      </c>
      <c r="DP326" s="293">
        <f>DP316-DM316</f>
        <v>-1066.499831886038</v>
      </c>
      <c r="DQ326" s="293">
        <f>DQ316-DP316</f>
        <v>-1270.5704727950069</v>
      </c>
    </row>
    <row r="327" spans="1:273">
      <c r="A327" s="323" t="str">
        <f>+A317</f>
        <v>MIRA + MSIS (EMEA) (Eur)</v>
      </c>
      <c r="BH327" s="293"/>
      <c r="BI327" s="293">
        <f>BI317-BH317</f>
        <v>-807</v>
      </c>
      <c r="BL327" s="293">
        <f>BL317-BI317</f>
        <v>-861.12000000000262</v>
      </c>
      <c r="BM327" s="293">
        <f>BM317-BL317</f>
        <v>-2012.4365536005862</v>
      </c>
      <c r="BP327" s="293">
        <f>BP317-BM317</f>
        <v>1414.9085536005805</v>
      </c>
      <c r="BQ327" s="293">
        <f>BQ317-BP317</f>
        <v>7372.2780000000057</v>
      </c>
      <c r="BT327" s="293">
        <f>BT317-BQ317</f>
        <v>420.61999999999534</v>
      </c>
      <c r="BU327" s="293">
        <f>BU317-BT317</f>
        <v>-832.40999999999622</v>
      </c>
      <c r="BX327" s="293">
        <f>BX317-BU317</f>
        <v>-685.64079017619952</v>
      </c>
      <c r="BY327" s="293">
        <f>BY317-BX317</f>
        <v>13884.690790176195</v>
      </c>
      <c r="CB327" s="293">
        <f>CB317-BY317</f>
        <v>-15023.124843512102</v>
      </c>
      <c r="CC327" s="293">
        <f>CC317-CB317</f>
        <v>-1512.725156487897</v>
      </c>
      <c r="CF327" s="293">
        <f>CF317-CC317</f>
        <v>12266.182178217823</v>
      </c>
      <c r="CG327" s="293">
        <f>CG317-CF317</f>
        <v>-1851.8912756039354</v>
      </c>
      <c r="CJ327" s="293">
        <f>CJ317-CG317</f>
        <v>7737.4233516513923</v>
      </c>
      <c r="CK327" s="293">
        <f>CK317-CJ317</f>
        <v>6128.7011557512305</v>
      </c>
      <c r="CN327" s="293">
        <f>CN317-CK317</f>
        <v>45599.6345899835</v>
      </c>
      <c r="CO327" s="293">
        <f>CO317-CN317</f>
        <v>7800.2399999999761</v>
      </c>
      <c r="CR327" s="293">
        <f>CR317-CO317</f>
        <v>15324.660000000003</v>
      </c>
      <c r="CS327" s="293">
        <f>CS317-CR317</f>
        <v>25427.550000000017</v>
      </c>
      <c r="CV327" s="293">
        <f>CV317-CS317</f>
        <v>27009.059999999998</v>
      </c>
      <c r="CW327" s="293">
        <f>CW317-CV317</f>
        <v>22347.839999999997</v>
      </c>
      <c r="CZ327" s="293">
        <f>CZ317-CW317</f>
        <v>-10573.639999999985</v>
      </c>
      <c r="DA327" s="293">
        <f>DA317-CZ317</f>
        <v>22035.199999999983</v>
      </c>
      <c r="DD327" s="293">
        <f>DD317-DA317</f>
        <v>2391.2399999999907</v>
      </c>
      <c r="DE327" s="293">
        <f>DE317-DD317</f>
        <v>14163.890000000014</v>
      </c>
      <c r="DH327" s="293">
        <f>DH317-DE317</f>
        <v>-3113.5500000000175</v>
      </c>
      <c r="DI327" s="293">
        <f>DI317-DH317</f>
        <v>11881.086650000012</v>
      </c>
      <c r="DL327" s="293">
        <f>DL317-DI317</f>
        <v>8515.2998661250167</v>
      </c>
      <c r="DM327" s="293">
        <f>DM317-DL317</f>
        <v>10144.669744354731</v>
      </c>
      <c r="DP327" s="293">
        <f>DP317-DM317</f>
        <v>9121.7488784655579</v>
      </c>
      <c r="DQ327" s="293">
        <f>DQ317-DP317</f>
        <v>10867.160442710447</v>
      </c>
    </row>
    <row r="328" spans="1:273" s="289" customFormat="1">
      <c r="A328" s="328" t="s">
        <v>965</v>
      </c>
      <c r="B328" s="290"/>
      <c r="AN328" s="290"/>
      <c r="AO328" s="290"/>
      <c r="AP328" s="290"/>
      <c r="AQ328" s="290"/>
      <c r="AR328" s="290"/>
      <c r="AS328" s="290"/>
      <c r="AT328" s="290"/>
      <c r="AU328" s="290"/>
      <c r="AV328" s="290"/>
      <c r="AW328" s="290"/>
      <c r="AX328" s="290"/>
      <c r="AY328" s="290"/>
      <c r="AZ328" s="290"/>
      <c r="BA328" s="290"/>
      <c r="BB328" s="290"/>
      <c r="BC328" s="290"/>
      <c r="BD328" s="290"/>
      <c r="BE328" s="290"/>
      <c r="BF328" s="290"/>
      <c r="BG328" s="290"/>
      <c r="BH328" s="295"/>
      <c r="BI328" s="295"/>
      <c r="BJ328" s="290"/>
      <c r="BK328" s="290"/>
      <c r="BL328" s="295"/>
      <c r="BM328" s="295"/>
      <c r="BN328" s="290"/>
      <c r="BO328" s="290"/>
      <c r="BP328" s="295"/>
      <c r="BQ328" s="295"/>
      <c r="BR328" s="290"/>
      <c r="BS328" s="290"/>
      <c r="BT328" s="295">
        <f>+BT325+(BT326/BT1233)+(BT327/BT1235)</f>
        <v>-1147.0446256977573</v>
      </c>
      <c r="BU328" s="295"/>
      <c r="BV328" s="290"/>
      <c r="BW328" s="290"/>
      <c r="BX328" s="295">
        <f>+BX325+(BX326/BX1233)+(BX327/BX1235)</f>
        <v>662.64906289157068</v>
      </c>
      <c r="BY328" s="295"/>
      <c r="BZ328" s="290"/>
      <c r="CA328" s="290"/>
      <c r="CB328" s="295">
        <f>+CB325+(CB326/CB1233)+(CB327/CB1235)</f>
        <v>-20123.136001813014</v>
      </c>
      <c r="CC328" s="295"/>
      <c r="CD328" s="290"/>
      <c r="CE328" s="581"/>
      <c r="CF328" s="295">
        <f>+CF325+(CF326/CF1233)+(CF327/CF1235)</f>
        <v>20624.762101455632</v>
      </c>
      <c r="CG328" s="295"/>
      <c r="CH328" s="290"/>
      <c r="CI328" s="581"/>
      <c r="CJ328" s="295">
        <f>+CJ325+(CJ326/CJ1233)+(CJ327/CJ1235)</f>
        <v>8661.9861376502467</v>
      </c>
      <c r="CK328" s="295"/>
      <c r="CL328" s="290"/>
      <c r="CM328" s="581"/>
      <c r="CN328" s="295">
        <f>+CN325+(CN326/CN1233)+(CN327/CN1235)</f>
        <v>36611.043609837667</v>
      </c>
      <c r="CO328" s="295"/>
      <c r="CP328" s="290"/>
      <c r="CQ328" s="581"/>
      <c r="CR328" s="295">
        <f>+CR325+(CR326/CR1233)+(CR327/CR1235)</f>
        <v>22554.738712899918</v>
      </c>
      <c r="CS328" s="295"/>
      <c r="CT328" s="290"/>
      <c r="CU328" s="290"/>
      <c r="CV328" s="295">
        <f>+CV325+(CV326/CV1233)+(CV327/CV1235)</f>
        <v>45370.875815181353</v>
      </c>
      <c r="CW328" s="295"/>
      <c r="CX328" s="290"/>
      <c r="CY328" s="290"/>
      <c r="CZ328" s="295">
        <f>+CZ325+(CZ326/CZ1233)+(CZ327/CZ1235)</f>
        <v>4376.908454770768</v>
      </c>
      <c r="DA328" s="295"/>
      <c r="DB328" s="290"/>
      <c r="DC328" s="290"/>
      <c r="DD328" s="295">
        <f>+DD325+(DD326/DD1233)+(DD327/DD1235)</f>
        <v>6250.61396214858</v>
      </c>
      <c r="DE328" s="295"/>
      <c r="DF328" s="290"/>
      <c r="DG328" s="290"/>
      <c r="DH328" s="295">
        <f>+DH325+(DH326/DH1233)+(DH327/DH1235)</f>
        <v>15838.719067472244</v>
      </c>
      <c r="DI328" s="295">
        <f>+DI325+(DI326/DI1233)+(DI327/DI1235)</f>
        <v>19788.500000000036</v>
      </c>
      <c r="DJ328" s="290"/>
      <c r="DK328" s="290"/>
      <c r="DL328" s="295">
        <f>+DL325+(DL326/DL1233)+(DL327/DL1235)</f>
        <v>14182.626250000012</v>
      </c>
      <c r="DM328" s="295">
        <f>+DM325+(DM326/DM1233)+(DM327/DM1235)</f>
        <v>16896.417234375062</v>
      </c>
      <c r="DN328" s="290"/>
      <c r="DO328" s="290"/>
      <c r="DP328" s="295">
        <f>+DP325+(DP326/DP1233)+(DP327/DP1235)</f>
        <v>15192.695163242175</v>
      </c>
      <c r="DQ328" s="295">
        <f>+DQ325+(DQ326/DQ1233)+(DQ327/DQ1235)</f>
        <v>18099.758949285664</v>
      </c>
      <c r="DR328" s="290"/>
      <c r="DS328" s="290"/>
      <c r="DT328" s="290"/>
      <c r="DU328" s="290"/>
      <c r="DV328" s="290"/>
      <c r="DW328" s="290"/>
      <c r="DX328" s="290"/>
      <c r="DY328" s="290"/>
      <c r="DZ328" s="290"/>
      <c r="EA328" s="290"/>
      <c r="EB328" s="290"/>
      <c r="EC328" s="290"/>
      <c r="ED328" s="290"/>
      <c r="EE328" s="290"/>
      <c r="EF328" s="290"/>
      <c r="EG328" s="290"/>
      <c r="EH328" s="290"/>
      <c r="EI328" s="290"/>
      <c r="EJ328" s="290"/>
      <c r="EK328" s="290"/>
      <c r="EL328" s="290"/>
      <c r="EM328" s="290"/>
      <c r="EN328" s="290"/>
      <c r="EO328" s="290"/>
      <c r="EP328" s="290"/>
      <c r="JM328"/>
    </row>
    <row r="329" spans="1:273">
      <c r="A329" s="323"/>
      <c r="BH329" s="293"/>
      <c r="BI329" s="293"/>
      <c r="BL329" s="293"/>
      <c r="BM329" s="293"/>
      <c r="BP329" s="293"/>
      <c r="BQ329" s="293"/>
      <c r="BT329" s="293"/>
      <c r="BU329" s="293"/>
      <c r="BX329" s="293"/>
      <c r="BY329" s="293"/>
      <c r="CB329" s="293"/>
      <c r="CC329" s="293"/>
      <c r="CF329" s="293"/>
      <c r="CG329" s="293"/>
      <c r="CJ329" s="293"/>
      <c r="CK329" s="293"/>
      <c r="CN329" s="293"/>
      <c r="CO329" s="293"/>
      <c r="CR329" s="293"/>
      <c r="CS329" s="293"/>
      <c r="CV329" s="293"/>
      <c r="CW329" s="293"/>
      <c r="CZ329" s="293"/>
      <c r="DA329" s="293"/>
      <c r="DD329" s="293"/>
      <c r="DE329" s="293"/>
      <c r="DH329" s="293"/>
      <c r="DI329" s="293"/>
      <c r="DL329" s="293"/>
      <c r="DM329" s="293"/>
      <c r="DP329" s="293"/>
      <c r="DQ329" s="293"/>
    </row>
    <row r="331" spans="1:273" s="891" customFormat="1">
      <c r="A331" s="889" t="s">
        <v>851</v>
      </c>
      <c r="B331" s="890"/>
      <c r="AN331" s="892"/>
      <c r="AO331" s="892"/>
      <c r="AP331" s="890"/>
      <c r="AQ331" s="890"/>
      <c r="AR331" s="892"/>
      <c r="AS331" s="892"/>
      <c r="AT331" s="890"/>
      <c r="AU331" s="890"/>
      <c r="AV331" s="892"/>
      <c r="AW331" s="892"/>
      <c r="AX331" s="890"/>
      <c r="AY331" s="890"/>
      <c r="AZ331" s="892"/>
      <c r="BA331" s="890"/>
      <c r="BB331" s="890"/>
      <c r="BC331" s="890"/>
      <c r="BD331" s="892"/>
      <c r="BE331" s="890"/>
      <c r="BF331" s="890"/>
      <c r="BG331" s="890"/>
      <c r="BH331" s="892"/>
      <c r="BI331" s="890"/>
      <c r="BJ331" s="890"/>
      <c r="BK331" s="890"/>
      <c r="BL331" s="892"/>
      <c r="BM331" s="890"/>
      <c r="BN331" s="890"/>
      <c r="BO331" s="890"/>
      <c r="BP331" s="892"/>
      <c r="BQ331" s="890"/>
      <c r="BR331" s="890"/>
      <c r="BS331" s="890"/>
      <c r="BT331" s="892"/>
      <c r="BU331" s="890"/>
      <c r="BV331" s="890"/>
      <c r="BW331" s="890"/>
      <c r="BX331" s="892"/>
      <c r="BY331" s="892"/>
      <c r="BZ331" s="890"/>
      <c r="CA331" s="890"/>
      <c r="CB331" s="890"/>
      <c r="CC331" s="890"/>
      <c r="CD331" s="890"/>
      <c r="CE331" s="1612"/>
      <c r="CF331" s="890"/>
      <c r="CG331" s="890"/>
      <c r="CH331" s="890"/>
      <c r="CI331" s="1612"/>
      <c r="CJ331" s="890"/>
      <c r="CK331" s="890"/>
      <c r="CL331" s="890"/>
      <c r="CM331" s="1612"/>
      <c r="CN331" s="890"/>
      <c r="CO331" s="890"/>
      <c r="CP331" s="890"/>
      <c r="CQ331" s="1612"/>
      <c r="CR331" s="890"/>
      <c r="CS331" s="890"/>
      <c r="CT331" s="890"/>
      <c r="CU331" s="890"/>
      <c r="CV331" s="890"/>
      <c r="CW331" s="890"/>
      <c r="CX331" s="890"/>
      <c r="CY331" s="890"/>
      <c r="CZ331" s="890"/>
      <c r="DA331" s="890"/>
      <c r="DB331" s="890"/>
      <c r="DC331" s="890"/>
      <c r="DD331" s="890"/>
      <c r="DE331" s="890"/>
      <c r="DF331" s="890"/>
      <c r="DG331" s="890"/>
      <c r="DH331" s="890"/>
      <c r="DI331" s="890"/>
      <c r="DJ331" s="890"/>
      <c r="DK331" s="890"/>
      <c r="DL331" s="890"/>
      <c r="DM331" s="890"/>
      <c r="DN331" s="890"/>
      <c r="DO331" s="890"/>
      <c r="DP331" s="890"/>
      <c r="DQ331" s="890"/>
      <c r="DR331" s="890"/>
      <c r="DS331" s="890"/>
      <c r="DT331" s="890"/>
      <c r="DU331" s="890"/>
      <c r="DV331" s="890"/>
      <c r="DW331" s="890"/>
      <c r="DX331" s="890"/>
      <c r="DY331" s="890"/>
      <c r="DZ331" s="890"/>
      <c r="EA331" s="890"/>
      <c r="EB331" s="890"/>
      <c r="EC331" s="890"/>
      <c r="ED331" s="890"/>
      <c r="EE331" s="890"/>
      <c r="EF331" s="890"/>
      <c r="EG331" s="890"/>
      <c r="EH331" s="890"/>
      <c r="EI331" s="890"/>
      <c r="EJ331" s="890"/>
      <c r="EK331" s="890"/>
      <c r="EL331" s="890"/>
      <c r="EM331" s="890"/>
      <c r="EN331" s="890"/>
      <c r="EO331" s="890"/>
      <c r="EP331" s="890"/>
      <c r="FL331" s="102"/>
      <c r="FM331" s="102"/>
      <c r="FN331" s="102"/>
      <c r="FO331" s="102"/>
      <c r="FP331" s="102"/>
      <c r="FQ331" s="102"/>
      <c r="FR331" s="102"/>
      <c r="FS331" s="102"/>
      <c r="FT331" s="102"/>
      <c r="FU331" s="102"/>
      <c r="FV331" s="102"/>
      <c r="FW331" s="102"/>
      <c r="FX331" s="102"/>
      <c r="FY331" s="102"/>
      <c r="FZ331" s="102"/>
      <c r="GA331" s="102"/>
      <c r="GB331" s="102"/>
      <c r="GC331" s="102"/>
      <c r="GD331" s="102"/>
      <c r="GE331" s="102"/>
      <c r="GF331" s="102"/>
      <c r="GG331" s="102"/>
      <c r="GH331" s="102"/>
      <c r="GI331" s="102"/>
      <c r="GJ331" s="102"/>
      <c r="GK331" s="102"/>
      <c r="GL331" s="102"/>
      <c r="GM331" s="102"/>
      <c r="GN331" s="102"/>
      <c r="GO331" s="102"/>
      <c r="GP331" s="102"/>
      <c r="GQ331" s="102"/>
      <c r="GR331" s="102"/>
      <c r="GS331" s="102"/>
      <c r="GT331" s="102"/>
      <c r="GU331" s="102"/>
      <c r="GV331" s="102"/>
      <c r="GW331" s="102"/>
      <c r="GX331" s="102"/>
      <c r="GY331" s="102"/>
      <c r="GZ331" s="102"/>
      <c r="HA331" s="102"/>
      <c r="HB331" s="102"/>
      <c r="HC331" s="102"/>
      <c r="HD331" s="102"/>
      <c r="HE331" s="102"/>
      <c r="HF331" s="102"/>
      <c r="HG331" s="102"/>
      <c r="HH331" s="102"/>
      <c r="HI331" s="102"/>
      <c r="HJ331" s="102"/>
      <c r="HK331" s="102"/>
      <c r="HL331" s="102"/>
      <c r="HM331" s="102"/>
      <c r="HN331" s="102"/>
      <c r="HO331" s="102"/>
      <c r="HP331" s="102"/>
      <c r="HQ331" s="102"/>
      <c r="HR331" s="102"/>
      <c r="HS331" s="102"/>
      <c r="HT331" s="102"/>
      <c r="HU331" s="102"/>
      <c r="HV331" s="102"/>
      <c r="HW331" s="102"/>
      <c r="HX331" s="102"/>
      <c r="HY331" s="102"/>
      <c r="HZ331" s="102"/>
      <c r="IA331" s="102"/>
      <c r="IB331" s="102"/>
      <c r="IC331" s="102"/>
      <c r="ID331" s="102"/>
      <c r="IE331" s="102"/>
      <c r="IF331" s="102"/>
      <c r="IG331" s="102"/>
      <c r="IH331" s="102"/>
      <c r="II331" s="102"/>
      <c r="IJ331" s="102"/>
      <c r="IK331" s="102"/>
      <c r="IL331" s="102"/>
      <c r="IM331" s="102"/>
      <c r="IN331" s="102"/>
      <c r="IO331" s="102"/>
      <c r="IP331" s="102"/>
      <c r="IQ331" s="102"/>
      <c r="IR331" s="102"/>
      <c r="IS331" s="102"/>
      <c r="IT331" s="102"/>
      <c r="IU331" s="102"/>
      <c r="IV331" s="102"/>
      <c r="IW331" s="102"/>
      <c r="IX331" s="102"/>
      <c r="IY331" s="102"/>
      <c r="IZ331" s="102"/>
      <c r="JA331" s="102"/>
      <c r="JB331" s="102"/>
      <c r="JC331" s="102"/>
      <c r="JD331" s="102"/>
      <c r="JE331" s="102"/>
      <c r="JF331" s="102"/>
      <c r="JG331" s="102"/>
      <c r="JH331" s="102"/>
      <c r="JI331" s="102"/>
      <c r="JJ331" s="102"/>
      <c r="JK331" s="102"/>
      <c r="JL331" s="102"/>
      <c r="JM331"/>
    </row>
    <row r="332" spans="1:273">
      <c r="AN332" s="290"/>
      <c r="AO332" s="290"/>
      <c r="AP332" s="290"/>
      <c r="AQ332" s="290"/>
      <c r="AR332" s="290"/>
      <c r="AS332" s="290"/>
      <c r="AT332" s="290"/>
      <c r="AU332" s="290"/>
      <c r="AV332" s="290"/>
      <c r="AW332" s="290"/>
      <c r="AX332" s="290"/>
      <c r="AY332" s="290"/>
      <c r="AZ332" s="290"/>
      <c r="BA332" s="290"/>
      <c r="BB332" s="290"/>
      <c r="BC332" s="290"/>
      <c r="BD332" s="290"/>
      <c r="BE332" s="290"/>
      <c r="BF332" s="290"/>
      <c r="BG332" s="290"/>
      <c r="BH332" s="290"/>
      <c r="BI332" s="290"/>
      <c r="BJ332" s="290"/>
      <c r="BK332" s="290"/>
      <c r="BL332" s="290"/>
      <c r="BM332" s="290"/>
      <c r="BN332" s="290"/>
      <c r="BO332" s="290"/>
      <c r="BP332" s="290"/>
      <c r="BQ332" s="290"/>
      <c r="BR332" s="290"/>
      <c r="BS332" s="290"/>
      <c r="BT332" s="290"/>
      <c r="BU332" s="290"/>
      <c r="BV332" s="290"/>
      <c r="BW332" s="290"/>
      <c r="BX332" s="290"/>
      <c r="BY332" s="290"/>
      <c r="BZ332" s="290"/>
      <c r="CA332" s="290"/>
      <c r="CB332" s="290"/>
      <c r="CC332" s="290"/>
      <c r="CD332" s="290"/>
      <c r="CE332" s="581"/>
      <c r="CF332" s="290"/>
      <c r="CG332" s="290"/>
      <c r="CH332" s="290"/>
      <c r="CI332" s="581"/>
      <c r="CJ332" s="290"/>
      <c r="CK332" s="290"/>
      <c r="CL332" s="290"/>
      <c r="CM332" s="581"/>
      <c r="CN332" s="290"/>
      <c r="CO332" s="290"/>
      <c r="CP332" s="290"/>
      <c r="CQ332" s="581"/>
      <c r="CR332" s="290"/>
      <c r="CS332" s="290"/>
      <c r="CT332" s="290"/>
      <c r="CU332" s="290"/>
      <c r="CV332" s="290"/>
      <c r="CW332" s="290"/>
      <c r="CX332" s="290"/>
      <c r="CY332" s="290"/>
      <c r="CZ332" s="290"/>
      <c r="DA332" s="290"/>
      <c r="DB332" s="290"/>
      <c r="DC332" s="290"/>
      <c r="DD332" s="290"/>
      <c r="DE332" s="290"/>
      <c r="DF332" s="290"/>
      <c r="DG332" s="290"/>
      <c r="DH332" s="290"/>
      <c r="DI332" s="290"/>
      <c r="DJ332" s="290"/>
      <c r="DK332" s="290"/>
      <c r="DL332" s="290"/>
      <c r="DM332" s="290"/>
      <c r="DN332" s="290"/>
      <c r="DO332" s="290"/>
      <c r="DP332" s="290"/>
      <c r="DQ332" s="290"/>
      <c r="DR332" s="290"/>
      <c r="DS332" s="290"/>
      <c r="DT332" s="290"/>
      <c r="DU332" s="290"/>
      <c r="DV332" s="290"/>
      <c r="DW332" s="290"/>
      <c r="DX332" s="290"/>
      <c r="DY332" s="290"/>
      <c r="DZ332" s="290"/>
      <c r="EA332" s="290"/>
      <c r="EB332" s="290"/>
      <c r="EC332" s="290"/>
      <c r="ED332" s="290"/>
      <c r="EE332" s="290"/>
      <c r="EF332" s="290"/>
      <c r="EG332" s="290"/>
      <c r="EH332" s="290"/>
      <c r="EI332" s="290"/>
      <c r="EJ332" s="290"/>
      <c r="EK332" s="290"/>
      <c r="EL332" s="290"/>
      <c r="EM332" s="290"/>
      <c r="EN332" s="290"/>
      <c r="EO332" s="290"/>
      <c r="EP332" s="290"/>
      <c r="EQ332" s="289"/>
      <c r="ER332" s="289"/>
      <c r="ES332" s="289"/>
      <c r="ET332" s="289"/>
      <c r="EU332" s="289"/>
      <c r="EV332" s="289"/>
      <c r="EW332" s="289"/>
      <c r="EX332" s="289"/>
      <c r="EY332" s="289"/>
      <c r="EZ332" s="289"/>
      <c r="FA332" s="289"/>
      <c r="FB332" s="289"/>
      <c r="FC332" s="289"/>
      <c r="FD332" s="289"/>
      <c r="FE332" s="289"/>
      <c r="FF332" s="289"/>
      <c r="FG332" s="289"/>
      <c r="FH332" s="289"/>
      <c r="FI332" s="289"/>
      <c r="FJ332" s="289"/>
      <c r="FK332" s="289"/>
      <c r="FL332" s="289"/>
      <c r="FM332" s="289"/>
      <c r="FN332" s="289"/>
      <c r="FO332" s="289"/>
      <c r="FP332" s="289"/>
      <c r="FQ332" s="289"/>
      <c r="FR332" s="289"/>
      <c r="FS332" s="289"/>
      <c r="FT332" s="289"/>
      <c r="FU332" s="289"/>
      <c r="FV332" s="289"/>
      <c r="FW332" s="289"/>
      <c r="FX332" s="289"/>
      <c r="FY332" s="289"/>
      <c r="FZ332" s="289"/>
      <c r="GA332" s="289"/>
      <c r="GB332" s="289"/>
      <c r="GC332" s="289"/>
      <c r="GD332" s="289"/>
      <c r="GE332" s="289"/>
      <c r="GF332" s="289"/>
      <c r="GG332" s="289"/>
      <c r="GH332" s="289"/>
      <c r="GI332" s="289"/>
      <c r="GJ332" s="289"/>
      <c r="GK332" s="289"/>
      <c r="GL332" s="289"/>
      <c r="GM332" s="289"/>
      <c r="GN332" s="289"/>
      <c r="GO332" s="289"/>
      <c r="GP332" s="289"/>
      <c r="GQ332" s="289"/>
      <c r="GR332" s="289"/>
      <c r="GS332" s="289"/>
      <c r="GT332" s="289"/>
      <c r="GU332" s="289"/>
      <c r="GV332" s="289"/>
      <c r="GW332" s="289"/>
      <c r="GX332" s="289"/>
      <c r="GY332" s="289"/>
      <c r="GZ332" s="289"/>
      <c r="HA332" s="289"/>
      <c r="HB332" s="289"/>
      <c r="HC332" s="289"/>
      <c r="HD332" s="289"/>
      <c r="HE332" s="289"/>
      <c r="HF332" s="289"/>
      <c r="HG332" s="289"/>
      <c r="HH332" s="289"/>
      <c r="HI332" s="289"/>
      <c r="HJ332" s="289"/>
      <c r="HK332" s="289"/>
      <c r="HL332" s="289"/>
      <c r="HM332" s="289"/>
      <c r="HN332" s="289"/>
      <c r="HO332" s="289"/>
      <c r="HP332" s="289"/>
      <c r="HQ332" s="289"/>
      <c r="HR332" s="289"/>
      <c r="HS332" s="289"/>
      <c r="HT332" s="289"/>
      <c r="HU332" s="289"/>
      <c r="HV332" s="289"/>
      <c r="HW332" s="289"/>
      <c r="HX332" s="289"/>
      <c r="HY332" s="289"/>
      <c r="HZ332" s="289"/>
      <c r="IA332" s="289"/>
      <c r="IB332" s="289"/>
      <c r="IC332" s="289"/>
      <c r="ID332" s="289"/>
      <c r="IE332" s="289"/>
      <c r="IF332" s="289"/>
      <c r="IG332" s="289"/>
      <c r="IH332" s="289"/>
      <c r="II332" s="289"/>
      <c r="IJ332" s="289"/>
      <c r="IK332" s="289"/>
      <c r="IL332" s="289"/>
      <c r="IM332" s="289"/>
      <c r="IN332" s="289"/>
      <c r="IO332" s="289"/>
      <c r="IP332" s="289"/>
      <c r="IQ332" s="289"/>
      <c r="IR332" s="289"/>
      <c r="IS332" s="289"/>
      <c r="IT332" s="289"/>
      <c r="IU332" s="289"/>
      <c r="IV332" s="289"/>
      <c r="IW332" s="289"/>
      <c r="IX332" s="289"/>
      <c r="IY332" s="289"/>
      <c r="IZ332" s="289"/>
      <c r="JA332" s="289"/>
      <c r="JB332" s="289"/>
      <c r="JC332" s="289"/>
      <c r="JD332" s="289"/>
      <c r="JE332" s="289"/>
      <c r="JF332" s="289"/>
      <c r="JG332" s="289"/>
      <c r="JH332" s="289"/>
      <c r="JI332" s="289"/>
      <c r="JJ332" s="289"/>
      <c r="JK332" s="289"/>
      <c r="JL332" s="289"/>
    </row>
    <row r="333" spans="1:273">
      <c r="A333" s="815" t="s">
        <v>709</v>
      </c>
      <c r="AN333" s="290"/>
      <c r="AO333" s="290"/>
      <c r="AP333" s="290"/>
      <c r="AQ333" s="290"/>
      <c r="AR333" s="290"/>
      <c r="AS333" s="290"/>
      <c r="AT333" s="290"/>
      <c r="AU333" s="290"/>
      <c r="AV333" s="290"/>
      <c r="AW333" s="290"/>
      <c r="AX333" s="290"/>
      <c r="AY333" s="290"/>
      <c r="AZ333" s="290"/>
      <c r="BA333" s="290"/>
      <c r="BB333" s="290"/>
      <c r="BC333" s="290"/>
      <c r="BD333" s="290"/>
      <c r="BE333" s="290"/>
      <c r="BF333" s="290"/>
      <c r="BG333" s="290"/>
      <c r="BH333" s="290"/>
      <c r="BI333" s="290"/>
      <c r="BJ333" s="290"/>
      <c r="BK333" s="290"/>
      <c r="BL333" s="290"/>
      <c r="BM333" s="290"/>
      <c r="BN333" s="290"/>
      <c r="BO333" s="290"/>
      <c r="BP333" s="290"/>
      <c r="BQ333" s="290"/>
      <c r="BR333" s="290"/>
      <c r="BS333" s="290"/>
      <c r="BT333" s="290"/>
      <c r="BU333" s="290"/>
      <c r="BV333" s="290"/>
      <c r="BW333" s="290"/>
      <c r="BX333" s="290"/>
      <c r="BY333" s="290"/>
      <c r="BZ333" s="290"/>
      <c r="CA333" s="290"/>
      <c r="CB333" s="290"/>
      <c r="CC333" s="290"/>
      <c r="CD333" s="290"/>
      <c r="CE333" s="581"/>
      <c r="CF333" s="290"/>
      <c r="CG333" s="290"/>
      <c r="CH333" s="290"/>
      <c r="CI333" s="581"/>
      <c r="CJ333" s="290"/>
      <c r="CK333" s="290" t="s">
        <v>1214</v>
      </c>
      <c r="CL333" s="290"/>
      <c r="CM333" s="581"/>
      <c r="CN333" s="1424"/>
      <c r="CO333" s="1424" t="s">
        <v>1214</v>
      </c>
      <c r="CP333" s="1424"/>
      <c r="CQ333" s="1430"/>
      <c r="CR333" s="1424"/>
      <c r="CS333" s="1424"/>
      <c r="CT333" s="290"/>
      <c r="CU333" s="290"/>
      <c r="CV333" s="290"/>
      <c r="CW333" s="290"/>
      <c r="CX333" s="290"/>
      <c r="CY333" s="290"/>
      <c r="CZ333" s="290"/>
      <c r="DA333" s="290"/>
      <c r="DB333" s="290"/>
      <c r="DC333" s="290"/>
      <c r="DD333" s="290"/>
      <c r="DE333" s="290"/>
      <c r="DF333" s="290"/>
      <c r="DG333" s="290"/>
      <c r="DH333" s="290"/>
      <c r="DI333" s="290"/>
      <c r="DJ333" s="290"/>
      <c r="DK333" s="290"/>
      <c r="DL333" s="290"/>
      <c r="DM333" s="290"/>
      <c r="DN333" s="290"/>
      <c r="DO333" s="290"/>
      <c r="DP333" s="290"/>
      <c r="DQ333" s="290"/>
      <c r="DR333" s="290"/>
      <c r="DS333" s="290"/>
      <c r="DT333" s="290"/>
      <c r="DU333" s="290"/>
      <c r="DV333" s="290"/>
      <c r="DW333" s="290"/>
      <c r="DX333" s="290"/>
      <c r="DY333" s="290"/>
      <c r="DZ333" s="290"/>
      <c r="EA333" s="290"/>
      <c r="EB333" s="290"/>
      <c r="EC333" s="290"/>
      <c r="ED333" s="290"/>
      <c r="EE333" s="290"/>
      <c r="EF333" s="290"/>
      <c r="EG333" s="290"/>
      <c r="EH333" s="290"/>
      <c r="EI333" s="290"/>
      <c r="EJ333" s="290"/>
      <c r="EK333" s="290"/>
      <c r="EL333" s="290"/>
      <c r="EM333" s="290"/>
      <c r="EN333" s="290"/>
      <c r="EO333" s="290"/>
      <c r="EP333" s="290"/>
      <c r="EQ333" s="289"/>
      <c r="ER333" s="289"/>
      <c r="ES333" s="289"/>
      <c r="ET333" s="289"/>
      <c r="EU333" s="289"/>
      <c r="EV333" s="289"/>
      <c r="EW333" s="289"/>
      <c r="EX333" s="289"/>
      <c r="EY333" s="289"/>
      <c r="EZ333" s="289"/>
      <c r="FA333" s="289"/>
      <c r="FB333" s="289"/>
      <c r="FC333" s="289"/>
      <c r="FD333" s="289"/>
      <c r="FE333" s="289"/>
      <c r="FF333" s="289"/>
      <c r="FG333" s="289"/>
      <c r="FH333" s="289"/>
      <c r="FI333" s="289"/>
      <c r="FJ333" s="289"/>
      <c r="FK333" s="289"/>
      <c r="FL333" s="289"/>
      <c r="FM333" s="289"/>
      <c r="FN333" s="289"/>
      <c r="FO333" s="289"/>
      <c r="FP333" s="289"/>
      <c r="FQ333" s="289"/>
      <c r="FR333" s="289"/>
      <c r="FS333" s="289"/>
      <c r="FT333" s="289"/>
      <c r="FU333" s="289"/>
      <c r="FV333" s="289"/>
      <c r="FW333" s="289"/>
      <c r="FX333" s="289"/>
      <c r="FY333" s="289"/>
      <c r="FZ333" s="289"/>
      <c r="GA333" s="289"/>
      <c r="GB333" s="289"/>
      <c r="GC333" s="289"/>
      <c r="GD333" s="289"/>
      <c r="GE333" s="289"/>
      <c r="GF333" s="289"/>
      <c r="GG333" s="289"/>
      <c r="GH333" s="289"/>
      <c r="GI333" s="289"/>
      <c r="GJ333" s="289"/>
      <c r="GK333" s="289"/>
      <c r="GL333" s="289"/>
      <c r="GM333" s="289"/>
      <c r="GN333" s="289"/>
      <c r="GO333" s="289"/>
      <c r="GP333" s="289"/>
      <c r="GQ333" s="289"/>
      <c r="GR333" s="289"/>
      <c r="GS333" s="289"/>
      <c r="GT333" s="289"/>
      <c r="GU333" s="289"/>
      <c r="GV333" s="289"/>
      <c r="GW333" s="289"/>
      <c r="GX333" s="289"/>
      <c r="GY333" s="289"/>
      <c r="GZ333" s="289"/>
      <c r="HA333" s="289"/>
      <c r="HB333" s="289"/>
      <c r="HC333" s="289"/>
      <c r="HD333" s="289"/>
      <c r="HE333" s="289"/>
      <c r="HF333" s="289"/>
      <c r="HG333" s="289"/>
      <c r="HH333" s="289"/>
      <c r="HI333" s="289"/>
      <c r="HJ333" s="289"/>
      <c r="HK333" s="289"/>
      <c r="HL333" s="289"/>
      <c r="HM333" s="289"/>
      <c r="HN333" s="289"/>
      <c r="HO333" s="289"/>
      <c r="HP333" s="289"/>
      <c r="HQ333" s="289"/>
      <c r="HR333" s="289"/>
      <c r="HS333" s="289"/>
      <c r="HT333" s="289"/>
      <c r="HU333" s="289"/>
      <c r="HV333" s="289"/>
      <c r="HW333" s="289"/>
      <c r="HX333" s="289"/>
      <c r="HY333" s="289"/>
      <c r="HZ333" s="289"/>
      <c r="IA333" s="289"/>
      <c r="IB333" s="289"/>
      <c r="IC333" s="289"/>
      <c r="ID333" s="289"/>
      <c r="IE333" s="289"/>
      <c r="IF333" s="289"/>
      <c r="IG333" s="289"/>
      <c r="IH333" s="289"/>
      <c r="II333" s="289"/>
      <c r="IJ333" s="289"/>
      <c r="IK333" s="289"/>
      <c r="IL333" s="289"/>
      <c r="IM333" s="289"/>
      <c r="IN333" s="289"/>
      <c r="IO333" s="289"/>
      <c r="IP333" s="289"/>
      <c r="IQ333" s="289"/>
      <c r="IR333" s="289"/>
      <c r="IS333" s="289"/>
      <c r="IT333" s="289"/>
      <c r="IU333" s="289"/>
      <c r="IV333" s="289"/>
      <c r="IW333" s="289"/>
      <c r="IX333" s="289"/>
      <c r="IY333" s="289"/>
      <c r="IZ333" s="289"/>
      <c r="JA333" s="289"/>
      <c r="JB333" s="289"/>
      <c r="JC333" s="289"/>
      <c r="JD333" s="289"/>
      <c r="JE333" s="289"/>
      <c r="JF333" s="289"/>
      <c r="JG333" s="289"/>
      <c r="JH333" s="289"/>
      <c r="JI333" s="289"/>
      <c r="JJ333" s="289"/>
      <c r="JK333" s="289"/>
      <c r="JL333" s="289"/>
    </row>
    <row r="334" spans="1:273">
      <c r="A334" s="102" t="s">
        <v>776</v>
      </c>
      <c r="AN334" s="290"/>
      <c r="AO334" s="290"/>
      <c r="AP334" s="290"/>
      <c r="AQ334" s="290"/>
      <c r="AR334" s="290"/>
      <c r="AS334" s="290"/>
      <c r="AT334" s="290"/>
      <c r="AU334" s="290"/>
      <c r="AV334" s="626">
        <v>11186</v>
      </c>
      <c r="AW334" s="626">
        <v>3577</v>
      </c>
      <c r="AX334" s="626"/>
      <c r="AY334" s="626"/>
      <c r="AZ334" s="626">
        <v>3836</v>
      </c>
      <c r="BA334" s="626">
        <v>4485</v>
      </c>
      <c r="BB334" s="290"/>
      <c r="BC334" s="290"/>
      <c r="BD334" s="626">
        <v>3767</v>
      </c>
      <c r="BE334" s="626">
        <v>5377</v>
      </c>
      <c r="BF334" s="290"/>
      <c r="BG334" s="290"/>
      <c r="BH334" s="626">
        <v>6100</v>
      </c>
      <c r="BI334" s="626">
        <v>6900</v>
      </c>
      <c r="BJ334" s="290"/>
      <c r="BK334" s="290"/>
      <c r="BL334" s="626">
        <v>8600</v>
      </c>
      <c r="BM334" s="626">
        <v>9400</v>
      </c>
      <c r="BN334" s="290"/>
      <c r="BO334" s="290"/>
      <c r="BP334" s="626">
        <v>12200</v>
      </c>
      <c r="BQ334" s="626">
        <v>16100</v>
      </c>
      <c r="BR334" s="290"/>
      <c r="BS334" s="290"/>
      <c r="BT334" s="626">
        <v>16300</v>
      </c>
      <c r="BU334" s="626">
        <v>14900</v>
      </c>
      <c r="BV334" s="290"/>
      <c r="BW334" s="290"/>
      <c r="BX334" s="626">
        <v>17000</v>
      </c>
      <c r="BY334" s="626">
        <v>16600</v>
      </c>
      <c r="BZ334" s="290"/>
      <c r="CA334" s="290"/>
      <c r="CB334" s="626">
        <v>16100</v>
      </c>
      <c r="CC334" s="626">
        <v>12900</v>
      </c>
      <c r="CD334" s="290"/>
      <c r="CE334" s="581"/>
      <c r="CF334" s="626">
        <v>15500</v>
      </c>
      <c r="CG334" s="626">
        <v>10800</v>
      </c>
      <c r="CH334" s="290"/>
      <c r="CI334" s="581"/>
      <c r="CJ334" s="626">
        <v>11600</v>
      </c>
      <c r="CK334" s="626">
        <v>9700</v>
      </c>
      <c r="CL334" s="290"/>
      <c r="CM334" s="581"/>
      <c r="CN334" s="1388">
        <v>9200</v>
      </c>
      <c r="CO334" s="1388">
        <v>10000</v>
      </c>
      <c r="CP334" s="1424"/>
      <c r="CQ334" s="1430"/>
      <c r="CR334" s="1388">
        <v>12300</v>
      </c>
      <c r="CS334" s="1388">
        <v>7800</v>
      </c>
      <c r="CT334" s="290"/>
      <c r="CU334" s="290"/>
      <c r="CV334" s="1388">
        <v>6600</v>
      </c>
      <c r="CW334" s="626">
        <v>7600</v>
      </c>
      <c r="CX334" s="290"/>
      <c r="CY334" s="290"/>
      <c r="CZ334" s="1388">
        <v>8100</v>
      </c>
      <c r="DA334" s="1388">
        <v>8700</v>
      </c>
      <c r="DB334" s="290"/>
      <c r="DC334" s="290"/>
      <c r="DD334" s="1388">
        <v>7500</v>
      </c>
      <c r="DE334" s="2176">
        <v>7500</v>
      </c>
      <c r="DF334" s="290"/>
      <c r="DG334" s="290"/>
      <c r="DH334" s="1388">
        <v>8000</v>
      </c>
      <c r="DI334" s="293"/>
      <c r="DJ334" s="290"/>
      <c r="DK334" s="290"/>
      <c r="DL334" s="293"/>
      <c r="DM334" s="293"/>
      <c r="DN334" s="290"/>
      <c r="DO334" s="290"/>
      <c r="DP334" s="293"/>
      <c r="DQ334" s="293"/>
      <c r="DR334" s="290"/>
      <c r="DS334" s="290"/>
      <c r="DT334" s="290"/>
      <c r="DU334" s="293"/>
      <c r="DV334" s="293"/>
      <c r="DW334" s="293"/>
      <c r="DX334" s="290"/>
      <c r="DY334" s="290"/>
      <c r="DZ334" s="293"/>
      <c r="EA334" s="293"/>
      <c r="EB334" s="290"/>
      <c r="EC334" s="290"/>
      <c r="ED334" s="293"/>
      <c r="EE334" s="293"/>
      <c r="EF334" s="290"/>
      <c r="EG334" s="290"/>
      <c r="EH334" s="290"/>
      <c r="EI334" s="290"/>
      <c r="EJ334" s="290"/>
      <c r="EK334" s="290"/>
      <c r="EL334" s="290"/>
      <c r="EM334" s="290"/>
      <c r="EN334" s="290"/>
      <c r="EO334" s="290"/>
      <c r="EP334" s="290"/>
      <c r="EQ334" s="289"/>
      <c r="ER334" s="289"/>
      <c r="ES334" s="289"/>
      <c r="ET334" s="289"/>
      <c r="EU334" s="289"/>
      <c r="EV334" s="289"/>
      <c r="EW334" s="289"/>
      <c r="EX334" s="289"/>
      <c r="EY334" s="289"/>
      <c r="EZ334" s="289"/>
      <c r="FA334" s="289"/>
      <c r="FB334" s="289"/>
      <c r="FC334" s="289"/>
      <c r="FD334" s="289"/>
      <c r="FE334" s="289"/>
      <c r="FF334" s="289"/>
      <c r="FG334" s="289"/>
      <c r="FH334" s="289"/>
      <c r="FI334" s="289"/>
      <c r="FJ334" s="289"/>
      <c r="FK334" s="289"/>
      <c r="FL334" s="289"/>
      <c r="FM334" s="289"/>
      <c r="FN334" s="289"/>
      <c r="FO334" s="289"/>
      <c r="FP334" s="289"/>
      <c r="FQ334" s="289"/>
      <c r="FR334" s="289"/>
      <c r="FS334" s="289"/>
      <c r="FT334" s="289"/>
      <c r="FU334" s="289"/>
      <c r="FV334" s="289"/>
      <c r="FW334" s="289"/>
      <c r="FX334" s="289"/>
      <c r="FY334" s="289"/>
      <c r="FZ334" s="289"/>
      <c r="GA334" s="289"/>
      <c r="GB334" s="289"/>
      <c r="GC334" s="289"/>
      <c r="GD334" s="289"/>
      <c r="GE334" s="289"/>
      <c r="GF334" s="289"/>
      <c r="GG334" s="289"/>
      <c r="GH334" s="289"/>
      <c r="GI334" s="289"/>
      <c r="GJ334" s="289"/>
      <c r="GK334" s="289"/>
      <c r="GL334" s="289"/>
      <c r="GM334" s="289"/>
      <c r="GN334" s="289"/>
      <c r="GO334" s="289"/>
      <c r="GP334" s="289"/>
      <c r="GQ334" s="289"/>
      <c r="GR334" s="289"/>
      <c r="GS334" s="289"/>
      <c r="GT334" s="289"/>
      <c r="GU334" s="289"/>
      <c r="GV334" s="289"/>
      <c r="GW334" s="289"/>
      <c r="GX334" s="289"/>
      <c r="GY334" s="289"/>
      <c r="GZ334" s="289"/>
      <c r="HA334" s="289"/>
      <c r="HB334" s="289"/>
      <c r="HC334" s="289"/>
      <c r="HD334" s="289"/>
      <c r="HE334" s="289"/>
      <c r="HF334" s="289"/>
      <c r="HG334" s="289"/>
      <c r="HH334" s="289"/>
      <c r="HI334" s="289"/>
      <c r="HJ334" s="289"/>
      <c r="HK334" s="289"/>
      <c r="HL334" s="289"/>
      <c r="HM334" s="289"/>
      <c r="HN334" s="289"/>
      <c r="HO334" s="289"/>
      <c r="HP334" s="289"/>
      <c r="HQ334" s="289"/>
      <c r="HR334" s="289"/>
      <c r="HS334" s="289"/>
      <c r="HT334" s="289"/>
      <c r="HU334" s="289"/>
      <c r="HV334" s="289"/>
      <c r="HW334" s="289"/>
      <c r="HX334" s="289"/>
      <c r="HY334" s="289"/>
      <c r="HZ334" s="289"/>
      <c r="IA334" s="289"/>
      <c r="IB334" s="289"/>
      <c r="IC334" s="289"/>
      <c r="ID334" s="289"/>
      <c r="IE334" s="289"/>
      <c r="IF334" s="289"/>
      <c r="IG334" s="289"/>
      <c r="IH334" s="289"/>
      <c r="II334" s="289"/>
      <c r="IJ334" s="289"/>
      <c r="IK334" s="289"/>
      <c r="IL334" s="289"/>
      <c r="IM334" s="289"/>
      <c r="IN334" s="289"/>
      <c r="IO334" s="289"/>
      <c r="IP334" s="289"/>
      <c r="IQ334" s="289"/>
      <c r="IR334" s="289"/>
      <c r="IS334" s="289"/>
      <c r="IT334" s="289"/>
      <c r="IU334" s="289"/>
      <c r="IV334" s="289"/>
      <c r="IW334" s="289"/>
      <c r="IX334" s="289"/>
      <c r="IY334" s="289"/>
      <c r="IZ334" s="289"/>
      <c r="JA334" s="289"/>
      <c r="JB334" s="289"/>
      <c r="JC334" s="289"/>
      <c r="JD334" s="289"/>
      <c r="JE334" s="289"/>
      <c r="JF334" s="289"/>
      <c r="JG334" s="289"/>
      <c r="JH334" s="289"/>
      <c r="JI334" s="289"/>
      <c r="JJ334" s="289"/>
      <c r="JK334" s="289"/>
      <c r="JL334" s="289"/>
    </row>
    <row r="335" spans="1:273">
      <c r="A335" s="102" t="s">
        <v>777</v>
      </c>
      <c r="AN335" s="290"/>
      <c r="AO335" s="290"/>
      <c r="AP335" s="290"/>
      <c r="AQ335" s="290"/>
      <c r="AR335" s="290"/>
      <c r="AS335" s="290"/>
      <c r="AT335" s="290"/>
      <c r="AU335" s="290"/>
      <c r="AV335" s="626">
        <v>38839</v>
      </c>
      <c r="AW335" s="626">
        <v>35000</v>
      </c>
      <c r="AX335" s="626"/>
      <c r="AY335" s="626"/>
      <c r="AZ335" s="626">
        <v>33986</v>
      </c>
      <c r="BA335" s="626">
        <v>31908</v>
      </c>
      <c r="BB335" s="290"/>
      <c r="BC335" s="290"/>
      <c r="BD335" s="626">
        <v>34100</v>
      </c>
      <c r="BE335" s="626">
        <v>32500</v>
      </c>
      <c r="BF335" s="290"/>
      <c r="BG335" s="290"/>
      <c r="BH335" s="626">
        <v>33400</v>
      </c>
      <c r="BI335" s="626">
        <v>34100</v>
      </c>
      <c r="BJ335" s="293">
        <f>BI335</f>
        <v>34100</v>
      </c>
      <c r="BK335" s="290"/>
      <c r="BL335" s="626">
        <v>41000</v>
      </c>
      <c r="BM335" s="626">
        <v>43100</v>
      </c>
      <c r="BN335" s="293">
        <f>BM335</f>
        <v>43100</v>
      </c>
      <c r="BO335" s="290"/>
      <c r="BP335" s="626">
        <v>46300</v>
      </c>
      <c r="BQ335" s="626">
        <v>50100</v>
      </c>
      <c r="BR335" s="293">
        <f>BQ335</f>
        <v>50100</v>
      </c>
      <c r="BS335" s="290"/>
      <c r="BT335" s="626">
        <v>55300</v>
      </c>
      <c r="BU335" s="626">
        <v>51600</v>
      </c>
      <c r="BV335" s="293">
        <f>BU335</f>
        <v>51600</v>
      </c>
      <c r="BW335" s="290"/>
      <c r="BX335" s="626">
        <v>55000</v>
      </c>
      <c r="BY335" s="626">
        <v>60600</v>
      </c>
      <c r="BZ335" s="293">
        <f>BY335</f>
        <v>60600</v>
      </c>
      <c r="CA335" s="290"/>
      <c r="CB335" s="626">
        <v>63400</v>
      </c>
      <c r="CC335" s="626">
        <v>73300</v>
      </c>
      <c r="CD335" s="293">
        <f>CC335</f>
        <v>73300</v>
      </c>
      <c r="CE335" s="581"/>
      <c r="CF335" s="626">
        <f>90300+9800</f>
        <v>100100</v>
      </c>
      <c r="CG335" s="626">
        <f>106100+11000</f>
        <v>117100</v>
      </c>
      <c r="CH335" s="293">
        <v>106100</v>
      </c>
      <c r="CI335" s="581"/>
      <c r="CJ335" s="626">
        <v>122800</v>
      </c>
      <c r="CK335" s="626">
        <v>139600</v>
      </c>
      <c r="CL335" s="293">
        <f>CK335</f>
        <v>139600</v>
      </c>
      <c r="CM335" s="581"/>
      <c r="CN335" s="1388">
        <v>130600</v>
      </c>
      <c r="CO335" s="1388">
        <v>132000</v>
      </c>
      <c r="CP335" s="1010">
        <f>CO335</f>
        <v>132000</v>
      </c>
      <c r="CQ335" s="1430"/>
      <c r="CR335" s="1388">
        <v>146500</v>
      </c>
      <c r="CS335" s="1388">
        <v>150500</v>
      </c>
      <c r="CT335" s="293">
        <f>CS335</f>
        <v>150500</v>
      </c>
      <c r="CU335" s="290"/>
      <c r="CV335" s="1388">
        <v>181900</v>
      </c>
      <c r="CW335" s="626">
        <v>198200</v>
      </c>
      <c r="CX335" s="293">
        <f>CW335</f>
        <v>198200</v>
      </c>
      <c r="CY335" s="290"/>
      <c r="CZ335" s="1388">
        <v>201900</v>
      </c>
      <c r="DA335" s="1388">
        <v>213600</v>
      </c>
      <c r="DB335" s="293">
        <f>DA335</f>
        <v>213600</v>
      </c>
      <c r="DC335" s="290"/>
      <c r="DD335" s="1388">
        <v>210000</v>
      </c>
      <c r="DE335" s="2176">
        <v>213600</v>
      </c>
      <c r="DF335" s="293">
        <f>DE335</f>
        <v>213600</v>
      </c>
      <c r="DG335" s="290"/>
      <c r="DH335" s="1388">
        <v>216600</v>
      </c>
      <c r="DI335" s="293"/>
      <c r="DJ335" s="290"/>
      <c r="DK335" s="290"/>
      <c r="DL335" s="293"/>
      <c r="DM335" s="293"/>
      <c r="DN335" s="290"/>
      <c r="DO335" s="290"/>
      <c r="DP335" s="293"/>
      <c r="DQ335" s="293"/>
      <c r="DR335" s="290"/>
      <c r="DS335" s="290"/>
      <c r="DT335" s="290"/>
      <c r="DU335" s="293"/>
      <c r="DV335" s="293"/>
      <c r="DW335" s="293"/>
      <c r="DX335" s="290"/>
      <c r="DY335" s="290"/>
      <c r="DZ335" s="293"/>
      <c r="EA335" s="293"/>
      <c r="EB335" s="290"/>
      <c r="EC335" s="290"/>
      <c r="ED335" s="293"/>
      <c r="EE335" s="293"/>
      <c r="EF335" s="290"/>
      <c r="EG335" s="290"/>
      <c r="EH335" s="290"/>
      <c r="EI335" s="290"/>
      <c r="EJ335" s="290"/>
      <c r="EK335" s="290"/>
      <c r="EL335" s="290"/>
      <c r="EM335" s="290"/>
      <c r="EN335" s="290"/>
      <c r="EO335" s="290"/>
      <c r="EP335" s="290"/>
      <c r="EQ335" s="289"/>
      <c r="ER335" s="289"/>
      <c r="ES335" s="289"/>
      <c r="ET335" s="289"/>
      <c r="EU335" s="289"/>
      <c r="EV335" s="289"/>
      <c r="EW335" s="289"/>
      <c r="EX335" s="289"/>
      <c r="EY335" s="289"/>
      <c r="EZ335" s="289"/>
      <c r="FA335" s="289"/>
      <c r="FB335" s="289"/>
      <c r="FC335" s="289"/>
      <c r="FD335" s="289"/>
      <c r="FE335" s="289"/>
      <c r="FF335" s="289"/>
      <c r="FG335" s="289"/>
      <c r="FH335" s="289"/>
      <c r="FI335" s="289"/>
      <c r="FJ335" s="289"/>
      <c r="FK335" s="289"/>
      <c r="FL335" s="289"/>
      <c r="FM335" s="289"/>
      <c r="FN335" s="289"/>
      <c r="FO335" s="289"/>
      <c r="FP335" s="289"/>
      <c r="FQ335" s="289"/>
      <c r="FR335" s="289"/>
      <c r="FS335" s="289"/>
      <c r="FT335" s="289"/>
      <c r="FU335" s="289"/>
      <c r="FV335" s="289"/>
      <c r="FW335" s="289"/>
      <c r="FX335" s="289"/>
      <c r="FY335" s="289"/>
      <c r="FZ335" s="289"/>
      <c r="GA335" s="289"/>
      <c r="GB335" s="289"/>
      <c r="GC335" s="289"/>
      <c r="GD335" s="289"/>
      <c r="GE335" s="289"/>
      <c r="GF335" s="289"/>
      <c r="GG335" s="289"/>
      <c r="GH335" s="289"/>
      <c r="GI335" s="289"/>
      <c r="GJ335" s="289"/>
      <c r="GK335" s="289"/>
      <c r="GL335" s="289"/>
      <c r="GM335" s="289"/>
      <c r="GN335" s="289"/>
      <c r="GO335" s="289"/>
      <c r="GP335" s="289"/>
      <c r="GQ335" s="289"/>
      <c r="GR335" s="289"/>
      <c r="GS335" s="289"/>
      <c r="GT335" s="289"/>
      <c r="GU335" s="289"/>
      <c r="GV335" s="289"/>
      <c r="GW335" s="289"/>
      <c r="GX335" s="289"/>
      <c r="GY335" s="289"/>
      <c r="GZ335" s="289"/>
      <c r="HA335" s="289"/>
      <c r="HB335" s="289"/>
      <c r="HC335" s="289"/>
      <c r="HD335" s="289"/>
      <c r="HE335" s="289"/>
      <c r="HF335" s="289"/>
      <c r="HG335" s="289"/>
      <c r="HH335" s="289"/>
      <c r="HI335" s="289"/>
      <c r="HJ335" s="289"/>
      <c r="HK335" s="289"/>
      <c r="HL335" s="289"/>
      <c r="HM335" s="289"/>
      <c r="HN335" s="289"/>
      <c r="HO335" s="289"/>
      <c r="HP335" s="289"/>
      <c r="HQ335" s="289"/>
      <c r="HR335" s="289"/>
      <c r="HS335" s="289"/>
      <c r="HT335" s="289"/>
      <c r="HU335" s="289"/>
      <c r="HV335" s="289"/>
      <c r="HW335" s="289"/>
      <c r="HX335" s="289"/>
      <c r="HY335" s="289"/>
      <c r="HZ335" s="289"/>
      <c r="IA335" s="289"/>
      <c r="IB335" s="289"/>
      <c r="IC335" s="289"/>
      <c r="ID335" s="289"/>
      <c r="IE335" s="289"/>
      <c r="IF335" s="289"/>
      <c r="IG335" s="289"/>
      <c r="IH335" s="289"/>
      <c r="II335" s="289"/>
      <c r="IJ335" s="289"/>
      <c r="IK335" s="289"/>
      <c r="IL335" s="289"/>
      <c r="IM335" s="289"/>
      <c r="IN335" s="289"/>
      <c r="IO335" s="289"/>
      <c r="IP335" s="289"/>
      <c r="IQ335" s="289"/>
      <c r="IR335" s="289"/>
      <c r="IS335" s="289"/>
      <c r="IT335" s="289"/>
      <c r="IU335" s="289"/>
      <c r="IV335" s="289"/>
      <c r="IW335" s="289"/>
      <c r="IX335" s="289"/>
      <c r="IY335" s="289"/>
      <c r="IZ335" s="289"/>
      <c r="JA335" s="289"/>
      <c r="JB335" s="289"/>
      <c r="JC335" s="289"/>
      <c r="JD335" s="289"/>
      <c r="JE335" s="289"/>
      <c r="JF335" s="289"/>
      <c r="JG335" s="289"/>
      <c r="JH335" s="289"/>
      <c r="JI335" s="289"/>
      <c r="JJ335" s="289"/>
      <c r="JK335" s="289"/>
      <c r="JL335" s="289"/>
    </row>
    <row r="336" spans="1:273" s="289" customFormat="1">
      <c r="A336" s="289" t="s">
        <v>971</v>
      </c>
      <c r="B336" s="290"/>
      <c r="AN336" s="290"/>
      <c r="AO336" s="290"/>
      <c r="AP336" s="290"/>
      <c r="AQ336" s="290"/>
      <c r="AR336" s="290"/>
      <c r="AS336" s="290"/>
      <c r="AT336" s="290"/>
      <c r="AU336" s="290"/>
      <c r="AV336" s="295">
        <f>SUM(AV334:AV335)</f>
        <v>50025</v>
      </c>
      <c r="AW336" s="295">
        <f>SUM(AW334:AW335)</f>
        <v>38577</v>
      </c>
      <c r="AX336" s="295">
        <f>AW336</f>
        <v>38577</v>
      </c>
      <c r="AY336" s="290"/>
      <c r="AZ336" s="295">
        <f>SUM(AZ334:AZ335)</f>
        <v>37822</v>
      </c>
      <c r="BA336" s="295">
        <f>SUM(BA334:BA335)</f>
        <v>36393</v>
      </c>
      <c r="BB336" s="295">
        <f>BA336</f>
        <v>36393</v>
      </c>
      <c r="BC336" s="290"/>
      <c r="BD336" s="295">
        <f>SUM(BD334:BD335)</f>
        <v>37867</v>
      </c>
      <c r="BE336" s="295">
        <f>SUM(BE334:BE335)</f>
        <v>37877</v>
      </c>
      <c r="BF336" s="295">
        <f>BE336</f>
        <v>37877</v>
      </c>
      <c r="BG336" s="290"/>
      <c r="BH336" s="295">
        <f>SUM(BH334:BH335)</f>
        <v>39500</v>
      </c>
      <c r="BI336" s="295">
        <f>SUM(BI334:BI335)</f>
        <v>41000</v>
      </c>
      <c r="BJ336" s="295">
        <f>BI336</f>
        <v>41000</v>
      </c>
      <c r="BK336" s="290"/>
      <c r="BL336" s="295">
        <f>SUM(BL334:BL335)</f>
        <v>49600</v>
      </c>
      <c r="BM336" s="295">
        <f>SUM(BM334:BM335)</f>
        <v>52500</v>
      </c>
      <c r="BN336" s="295">
        <f>BM336</f>
        <v>52500</v>
      </c>
      <c r="BO336" s="672">
        <f>+BN336/BJ336-1</f>
        <v>0.28048780487804881</v>
      </c>
      <c r="BP336" s="295">
        <f>SUM(BP334:BP335)</f>
        <v>58500</v>
      </c>
      <c r="BQ336" s="295">
        <f>SUM(BQ334:BQ335)</f>
        <v>66200</v>
      </c>
      <c r="BR336" s="295">
        <f>BQ336</f>
        <v>66200</v>
      </c>
      <c r="BS336" s="672">
        <f>+BR336/BN336-1</f>
        <v>0.26095238095238105</v>
      </c>
      <c r="BT336" s="295">
        <f>SUM(BT334:BT335)</f>
        <v>71600</v>
      </c>
      <c r="BU336" s="295">
        <f>SUM(BU334:BU335)</f>
        <v>66500</v>
      </c>
      <c r="BV336" s="295">
        <f>BU336</f>
        <v>66500</v>
      </c>
      <c r="BW336" s="672">
        <f>+BV336/BR336-1</f>
        <v>4.5317220543805714E-3</v>
      </c>
      <c r="BX336" s="295">
        <f>SUM(BX334:BX335)</f>
        <v>72000</v>
      </c>
      <c r="BY336" s="295">
        <f>SUM(BY334:BY335)</f>
        <v>77200</v>
      </c>
      <c r="BZ336" s="295">
        <f>BY336</f>
        <v>77200</v>
      </c>
      <c r="CA336" s="672">
        <f>+BZ336/BV336-1</f>
        <v>0.16090225563909777</v>
      </c>
      <c r="CB336" s="295">
        <f>SUM(CB334:CB335)</f>
        <v>79500</v>
      </c>
      <c r="CC336" s="295">
        <f>SUM(CC334:CC335)</f>
        <v>86200</v>
      </c>
      <c r="CD336" s="295">
        <f>CC336</f>
        <v>86200</v>
      </c>
      <c r="CE336" s="672">
        <f>+CD336/BZ336-1</f>
        <v>0.11658031088082899</v>
      </c>
      <c r="CF336" s="295">
        <f>SUM(CF334:CF335)</f>
        <v>115600</v>
      </c>
      <c r="CG336" s="295">
        <f>SUM(CG334:CG335)</f>
        <v>127900</v>
      </c>
      <c r="CH336" s="295">
        <f>CG336</f>
        <v>127900</v>
      </c>
      <c r="CI336" s="672">
        <f>+CH336/CD336-1</f>
        <v>0.48375870069605575</v>
      </c>
      <c r="CJ336" s="295">
        <f>SUM(CJ334:CJ335)</f>
        <v>134400</v>
      </c>
      <c r="CK336" s="295">
        <f>SUM(CK334:CK335)</f>
        <v>149300</v>
      </c>
      <c r="CL336" s="295">
        <f>CK336</f>
        <v>149300</v>
      </c>
      <c r="CM336" s="672">
        <f>+CL336/CH336-1</f>
        <v>0.16731821735731045</v>
      </c>
      <c r="CN336" s="295">
        <f>SUM(CN334:CN335)</f>
        <v>139800</v>
      </c>
      <c r="CO336" s="295">
        <f>SUM(CO334:CO335)</f>
        <v>142000</v>
      </c>
      <c r="CP336" s="295">
        <f>CO336</f>
        <v>142000</v>
      </c>
      <c r="CQ336" s="672">
        <f>+CP336/CL336-1</f>
        <v>-4.8894842598794397E-2</v>
      </c>
      <c r="CR336" s="295">
        <f>SUM(CR334:CR335)</f>
        <v>158800</v>
      </c>
      <c r="CS336" s="295">
        <f>SUM(CS334:CS335)</f>
        <v>158300</v>
      </c>
      <c r="CT336" s="295">
        <f>CS336</f>
        <v>158300</v>
      </c>
      <c r="CU336" s="672">
        <f>+CT336/CP336-1</f>
        <v>0.11478873239436616</v>
      </c>
      <c r="CV336" s="295">
        <f>SUM(CV334:CV335)</f>
        <v>188500</v>
      </c>
      <c r="CW336" s="295">
        <f>SUM(CW334:CW335)</f>
        <v>205800</v>
      </c>
      <c r="CX336" s="295">
        <f>CW336</f>
        <v>205800</v>
      </c>
      <c r="CY336" s="672">
        <f>+CX336/CT336-1</f>
        <v>0.30006317119393566</v>
      </c>
      <c r="CZ336" s="295">
        <f>SUM(CZ334:CZ335)</f>
        <v>210000</v>
      </c>
      <c r="DA336" s="295">
        <f>SUM(DA334:DA335)</f>
        <v>222300</v>
      </c>
      <c r="DB336" s="295">
        <f>DA336</f>
        <v>222300</v>
      </c>
      <c r="DC336" s="672">
        <f>+DB336/CX336-1</f>
        <v>8.0174927113702665E-2</v>
      </c>
      <c r="DD336" s="295">
        <f>SUM(DD334:DD335)</f>
        <v>217500</v>
      </c>
      <c r="DE336" s="295">
        <f>SUM(DE334:DE335)</f>
        <v>221100</v>
      </c>
      <c r="DF336" s="295">
        <f>DE336</f>
        <v>221100</v>
      </c>
      <c r="DG336" s="672">
        <f>+DF336/DB336-1</f>
        <v>-5.3981106612686069E-3</v>
      </c>
      <c r="DH336" s="295">
        <f>SUM(DH334:DH335)</f>
        <v>224600</v>
      </c>
      <c r="DI336" s="295">
        <f>DI354</f>
        <v>235239.27123287672</v>
      </c>
      <c r="DJ336" s="295">
        <f>DI336</f>
        <v>235239.27123287672</v>
      </c>
      <c r="DK336" s="672"/>
      <c r="DL336" s="295">
        <f>DL354</f>
        <v>242905.49351045222</v>
      </c>
      <c r="DM336" s="295">
        <f>DM354</f>
        <v>251989.49347324035</v>
      </c>
      <c r="DN336" s="295">
        <f>DM336</f>
        <v>251989.49347324035</v>
      </c>
      <c r="DO336" s="290"/>
      <c r="DP336" s="295">
        <f>DP354</f>
        <v>260179.15201112066</v>
      </c>
      <c r="DQ336" s="295">
        <f>DQ354</f>
        <v>269935.87021153769</v>
      </c>
      <c r="DR336" s="295">
        <f>DQ336</f>
        <v>269935.87021153769</v>
      </c>
      <c r="DS336" s="290"/>
      <c r="DT336" s="290"/>
      <c r="DU336" s="295"/>
      <c r="DV336" s="295"/>
      <c r="DW336" s="295"/>
      <c r="DX336" s="290"/>
      <c r="DY336" s="290"/>
      <c r="DZ336" s="295"/>
      <c r="EA336" s="295"/>
      <c r="EB336" s="290"/>
      <c r="EC336" s="290"/>
      <c r="ED336" s="295"/>
      <c r="EE336" s="295"/>
      <c r="EF336" s="290"/>
      <c r="EG336" s="290"/>
      <c r="EH336" s="290"/>
      <c r="EI336" s="290"/>
      <c r="EJ336" s="290"/>
      <c r="EK336" s="290"/>
      <c r="EL336" s="290"/>
      <c r="EM336" s="290"/>
      <c r="EN336" s="290"/>
      <c r="EO336" s="290"/>
      <c r="EP336" s="290"/>
      <c r="JM336"/>
    </row>
    <row r="337" spans="1:273" s="289" customFormat="1">
      <c r="A337" s="328" t="s">
        <v>382</v>
      </c>
      <c r="B337" s="290"/>
      <c r="AN337" s="290"/>
      <c r="AO337" s="290"/>
      <c r="AP337" s="290"/>
      <c r="AQ337" s="290"/>
      <c r="AR337" s="290"/>
      <c r="AS337" s="290"/>
      <c r="AT337" s="290"/>
      <c r="AU337" s="290"/>
      <c r="AV337" s="295"/>
      <c r="AW337" s="295"/>
      <c r="AX337" s="290"/>
      <c r="AY337" s="290"/>
      <c r="AZ337" s="295"/>
      <c r="BA337" s="295"/>
      <c r="BB337" s="290"/>
      <c r="BC337" s="290"/>
      <c r="BD337" s="295"/>
      <c r="BE337" s="295"/>
      <c r="BF337" s="290"/>
      <c r="BG337" s="290"/>
      <c r="BH337" s="295"/>
      <c r="BI337" s="295"/>
      <c r="BJ337" s="295"/>
      <c r="BK337" s="290"/>
      <c r="BL337" s="295"/>
      <c r="BM337" s="295"/>
      <c r="BN337" s="295"/>
      <c r="BO337" s="672"/>
      <c r="BP337" s="295"/>
      <c r="BQ337" s="295"/>
      <c r="BR337" s="295"/>
      <c r="BS337" s="672"/>
      <c r="BT337" s="295"/>
      <c r="BU337" s="295"/>
      <c r="BV337" s="295"/>
      <c r="BW337" s="672"/>
      <c r="BX337" s="295"/>
      <c r="BY337" s="295"/>
      <c r="BZ337" s="295"/>
      <c r="CA337" s="290"/>
      <c r="CB337" s="295"/>
      <c r="CC337" s="295"/>
      <c r="CD337" s="295"/>
      <c r="CE337" s="581"/>
      <c r="CF337" s="295"/>
      <c r="CG337" s="295"/>
      <c r="CH337" s="295"/>
      <c r="CI337" s="581"/>
      <c r="CJ337" s="295"/>
      <c r="CK337" s="295"/>
      <c r="CL337" s="295"/>
      <c r="CM337" s="581"/>
      <c r="CN337" s="295"/>
      <c r="CO337" s="295"/>
      <c r="CP337" s="295"/>
      <c r="CQ337" s="412"/>
      <c r="CR337" s="295"/>
      <c r="CS337" s="295"/>
      <c r="CT337" s="295"/>
      <c r="CU337" s="290"/>
      <c r="CV337" s="295"/>
      <c r="CW337" s="295"/>
      <c r="CX337" s="295"/>
      <c r="CY337" s="290"/>
      <c r="CZ337" s="295"/>
      <c r="DA337" s="295"/>
      <c r="DB337" s="295"/>
      <c r="DC337" s="290"/>
      <c r="DD337" s="295"/>
      <c r="DE337" s="295"/>
      <c r="DF337" s="295"/>
      <c r="DG337" s="290"/>
      <c r="DH337" s="295"/>
      <c r="DI337" s="655"/>
      <c r="DJ337" s="655"/>
      <c r="DK337" s="290"/>
      <c r="DL337" s="655"/>
      <c r="DM337" s="655"/>
      <c r="DN337" s="655"/>
      <c r="DO337" s="290"/>
      <c r="DP337" s="655"/>
      <c r="DQ337" s="655"/>
      <c r="DR337" s="655"/>
      <c r="DS337" s="290"/>
      <c r="DT337" s="290"/>
      <c r="DU337" s="295"/>
      <c r="DV337" s="295"/>
      <c r="DW337" s="295"/>
      <c r="DX337" s="290"/>
      <c r="DY337" s="290"/>
      <c r="DZ337" s="295"/>
      <c r="EA337" s="295"/>
      <c r="EB337" s="290"/>
      <c r="EC337" s="290"/>
      <c r="ED337" s="295"/>
      <c r="EE337" s="295"/>
      <c r="EF337" s="290"/>
      <c r="EG337" s="290"/>
      <c r="EH337" s="290"/>
      <c r="EI337" s="290"/>
      <c r="EJ337" s="290"/>
      <c r="EK337" s="290"/>
      <c r="EL337" s="290"/>
      <c r="EM337" s="290"/>
      <c r="EN337" s="290"/>
      <c r="EO337" s="290"/>
      <c r="EP337" s="290"/>
      <c r="JM337"/>
    </row>
    <row r="338" spans="1:273" s="371" customFormat="1">
      <c r="A338" s="323" t="str">
        <f>A334</f>
        <v>Listed</v>
      </c>
      <c r="B338" s="103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  <c r="AA338" s="102"/>
      <c r="AB338" s="102"/>
      <c r="AC338" s="102"/>
      <c r="AD338" s="102"/>
      <c r="AE338" s="102"/>
      <c r="AF338" s="102"/>
      <c r="AG338" s="102"/>
      <c r="AH338" s="102"/>
      <c r="AI338" s="102"/>
      <c r="AJ338" s="102"/>
      <c r="AK338" s="102"/>
      <c r="AL338" s="102"/>
      <c r="AM338" s="102"/>
      <c r="AN338" s="290"/>
      <c r="AO338" s="290"/>
      <c r="AP338" s="290"/>
      <c r="AQ338" s="290"/>
      <c r="AR338" s="290"/>
      <c r="AS338" s="290"/>
      <c r="AT338" s="290"/>
      <c r="AU338" s="290"/>
      <c r="AV338" s="290"/>
      <c r="AW338" s="685">
        <f>AW334/AV334-1</f>
        <v>-0.68022528160200246</v>
      </c>
      <c r="AX338" s="290"/>
      <c r="AY338" s="290"/>
      <c r="AZ338" s="685">
        <f>AZ334/AW334-1</f>
        <v>7.2407045009784676E-2</v>
      </c>
      <c r="BA338" s="685">
        <f>BA334/AZ334-1</f>
        <v>0.16918665276329503</v>
      </c>
      <c r="BB338" s="376"/>
      <c r="BC338" s="876"/>
      <c r="BD338" s="685">
        <f>BD334/BA334-1</f>
        <v>-0.16008918617614265</v>
      </c>
      <c r="BE338" s="685">
        <f>BE334/BD334-1</f>
        <v>0.42739580568091329</v>
      </c>
      <c r="BF338" s="376"/>
      <c r="BG338" s="376"/>
      <c r="BH338" s="685">
        <f>BH334/BE334-1</f>
        <v>0.13446159568532634</v>
      </c>
      <c r="BI338" s="685">
        <f>BI334/BH334-1</f>
        <v>0.13114754098360648</v>
      </c>
      <c r="BJ338" s="376"/>
      <c r="BK338" s="376"/>
      <c r="BL338" s="685">
        <f>BL334/BI334-1</f>
        <v>0.24637681159420288</v>
      </c>
      <c r="BM338" s="685">
        <f>BM334/BL334-1</f>
        <v>9.3023255813953432E-2</v>
      </c>
      <c r="BN338" s="376"/>
      <c r="BO338" s="376"/>
      <c r="BP338" s="685">
        <f>BP334/BM334-1</f>
        <v>0.2978723404255319</v>
      </c>
      <c r="BQ338" s="685">
        <f>BQ334/BP334-1</f>
        <v>0.31967213114754101</v>
      </c>
      <c r="BR338" s="376"/>
      <c r="BS338" s="376"/>
      <c r="BT338" s="685">
        <f>BT334/BQ334-1</f>
        <v>1.2422360248447228E-2</v>
      </c>
      <c r="BU338" s="685">
        <f>BU334/BT334-1</f>
        <v>-8.5889570552147187E-2</v>
      </c>
      <c r="BV338" s="376"/>
      <c r="BW338" s="376"/>
      <c r="BX338" s="685">
        <f>BX334/BU334-1</f>
        <v>0.14093959731543615</v>
      </c>
      <c r="BY338" s="685">
        <f>BY334/BX334-1</f>
        <v>-2.352941176470591E-2</v>
      </c>
      <c r="BZ338" s="376"/>
      <c r="CA338" s="376"/>
      <c r="CB338" s="685">
        <f>CB334/BY334-1</f>
        <v>-3.0120481927710885E-2</v>
      </c>
      <c r="CC338" s="685">
        <f>CC334/CB334-1</f>
        <v>-0.19875776397515532</v>
      </c>
      <c r="CD338" s="376"/>
      <c r="CE338" s="811"/>
      <c r="CF338" s="685">
        <f>CF334/CC334-1</f>
        <v>0.20155038759689914</v>
      </c>
      <c r="CG338" s="685">
        <f>CG334/CF334-1</f>
        <v>-0.3032258064516129</v>
      </c>
      <c r="CH338" s="376"/>
      <c r="CI338" s="811"/>
      <c r="CJ338" s="685">
        <f>CJ334/CG334-1</f>
        <v>7.4074074074074181E-2</v>
      </c>
      <c r="CK338" s="685">
        <f>CK334/CJ334-1</f>
        <v>-0.16379310344827591</v>
      </c>
      <c r="CL338" s="376"/>
      <c r="CM338" s="811"/>
      <c r="CN338" s="685">
        <f>CN334/CK334-1</f>
        <v>-5.1546391752577359E-2</v>
      </c>
      <c r="CO338" s="685">
        <f>CO334/CN334-1</f>
        <v>8.6956521739130377E-2</v>
      </c>
      <c r="CP338" s="376"/>
      <c r="CQ338" s="811"/>
      <c r="CR338" s="685">
        <f>CR334/CO334-1</f>
        <v>0.22999999999999998</v>
      </c>
      <c r="CS338" s="685">
        <f>CS334/CR334-1</f>
        <v>-0.36585365853658536</v>
      </c>
      <c r="CT338" s="376"/>
      <c r="CU338" s="376"/>
      <c r="CV338" s="685">
        <f>CV334/CS334-1</f>
        <v>-0.15384615384615385</v>
      </c>
      <c r="CW338" s="685">
        <f>CW334/CV334-1</f>
        <v>0.1515151515151516</v>
      </c>
      <c r="CX338" s="376"/>
      <c r="CY338" s="376"/>
      <c r="CZ338" s="685">
        <f>CZ334/CW334-1</f>
        <v>6.578947368421062E-2</v>
      </c>
      <c r="DA338" s="685">
        <f>DA334/CZ334-1</f>
        <v>7.4074074074074181E-2</v>
      </c>
      <c r="DB338" s="376"/>
      <c r="DC338" s="376"/>
      <c r="DD338" s="685">
        <f>DD334/DA334-1</f>
        <v>-0.13793103448275867</v>
      </c>
      <c r="DE338" s="685">
        <f>DE334/DD334-1</f>
        <v>0</v>
      </c>
      <c r="DF338" s="376"/>
      <c r="DG338" s="376"/>
      <c r="DH338" s="685">
        <f>DH334/DE334-1</f>
        <v>6.6666666666666652E-2</v>
      </c>
      <c r="DI338" s="876"/>
      <c r="DJ338" s="376"/>
      <c r="DK338" s="376"/>
      <c r="DL338" s="876"/>
      <c r="DM338" s="876"/>
      <c r="DN338" s="376"/>
      <c r="DO338" s="376"/>
      <c r="DP338" s="876"/>
      <c r="DQ338" s="876"/>
      <c r="DR338" s="376"/>
      <c r="DS338" s="376"/>
      <c r="DT338" s="376"/>
      <c r="DU338" s="876"/>
      <c r="DV338" s="876"/>
      <c r="DW338" s="876"/>
      <c r="DX338" s="376"/>
      <c r="DY338" s="376"/>
      <c r="DZ338" s="876"/>
      <c r="EA338" s="876"/>
      <c r="EB338" s="376"/>
      <c r="EC338" s="376"/>
      <c r="ED338" s="876"/>
      <c r="EE338" s="876"/>
      <c r="EF338" s="376"/>
      <c r="EG338" s="376"/>
      <c r="EH338" s="376"/>
      <c r="EI338" s="376"/>
      <c r="EJ338" s="376"/>
      <c r="EK338" s="376"/>
      <c r="EL338" s="376"/>
      <c r="EM338" s="376"/>
      <c r="EN338" s="376"/>
      <c r="EO338" s="376"/>
      <c r="EP338" s="376"/>
      <c r="EQ338" s="907"/>
      <c r="ER338" s="907"/>
      <c r="ES338" s="907"/>
      <c r="ET338" s="907"/>
      <c r="EU338" s="907"/>
      <c r="EV338" s="907"/>
      <c r="EW338" s="907"/>
      <c r="EX338" s="907"/>
      <c r="EY338" s="907"/>
      <c r="EZ338" s="907"/>
      <c r="FA338" s="907"/>
      <c r="FB338" s="907"/>
      <c r="FC338" s="907"/>
      <c r="FD338" s="907"/>
      <c r="FE338" s="907"/>
      <c r="FF338" s="907"/>
      <c r="FG338" s="907"/>
      <c r="FH338" s="907"/>
      <c r="FI338" s="907"/>
      <c r="FJ338" s="907"/>
      <c r="FK338" s="907"/>
      <c r="FL338" s="907"/>
      <c r="FM338" s="907"/>
      <c r="FN338" s="907"/>
      <c r="FO338" s="907"/>
      <c r="FP338" s="907"/>
      <c r="FQ338" s="907"/>
      <c r="FR338" s="907"/>
      <c r="FS338" s="907"/>
      <c r="FT338" s="907"/>
      <c r="FU338" s="907"/>
      <c r="FV338" s="907"/>
      <c r="FW338" s="907"/>
      <c r="FX338" s="907"/>
      <c r="FY338" s="907"/>
      <c r="FZ338" s="907"/>
      <c r="GA338" s="907"/>
      <c r="GB338" s="907"/>
      <c r="GC338" s="907"/>
      <c r="GD338" s="907"/>
      <c r="GE338" s="907"/>
      <c r="GF338" s="907"/>
      <c r="GG338" s="907"/>
      <c r="GH338" s="907"/>
      <c r="GI338" s="907"/>
      <c r="GJ338" s="907"/>
      <c r="GK338" s="907"/>
      <c r="GL338" s="907"/>
      <c r="GM338" s="907"/>
      <c r="GN338" s="907"/>
      <c r="GO338" s="907"/>
      <c r="GP338" s="907"/>
      <c r="GQ338" s="907"/>
      <c r="GR338" s="907"/>
      <c r="GS338" s="907"/>
      <c r="GT338" s="907"/>
      <c r="GU338" s="907"/>
      <c r="GV338" s="907"/>
      <c r="GW338" s="907"/>
      <c r="GX338" s="907"/>
      <c r="GY338" s="907"/>
      <c r="GZ338" s="907"/>
      <c r="HA338" s="907"/>
      <c r="HB338" s="907"/>
      <c r="HC338" s="907"/>
      <c r="HD338" s="907"/>
      <c r="HE338" s="907"/>
      <c r="HF338" s="907"/>
      <c r="HG338" s="907"/>
      <c r="HH338" s="907"/>
      <c r="HI338" s="907"/>
      <c r="HJ338" s="907"/>
      <c r="HK338" s="907"/>
      <c r="HL338" s="907"/>
      <c r="HM338" s="907"/>
      <c r="HN338" s="907"/>
      <c r="HO338" s="907"/>
      <c r="HP338" s="907"/>
      <c r="HQ338" s="907"/>
      <c r="HR338" s="907"/>
      <c r="HS338" s="907"/>
      <c r="HT338" s="907"/>
      <c r="HU338" s="907"/>
      <c r="HV338" s="907"/>
      <c r="HW338" s="907"/>
      <c r="HX338" s="907"/>
      <c r="HY338" s="907"/>
      <c r="HZ338" s="907"/>
      <c r="IA338" s="907"/>
      <c r="IB338" s="907"/>
      <c r="IC338" s="907"/>
      <c r="ID338" s="907"/>
      <c r="IE338" s="907"/>
      <c r="IF338" s="907"/>
      <c r="IG338" s="907"/>
      <c r="IH338" s="907"/>
      <c r="II338" s="907"/>
      <c r="IJ338" s="907"/>
      <c r="IK338" s="907"/>
      <c r="IL338" s="907"/>
      <c r="IM338" s="907"/>
      <c r="IN338" s="907"/>
      <c r="IO338" s="907"/>
      <c r="IP338" s="907"/>
      <c r="IQ338" s="907"/>
      <c r="IR338" s="907"/>
      <c r="IS338" s="907"/>
      <c r="IT338" s="907"/>
      <c r="IU338" s="907"/>
      <c r="IV338" s="907"/>
      <c r="IW338" s="907"/>
      <c r="IX338" s="907"/>
      <c r="IY338" s="907"/>
      <c r="IZ338" s="907"/>
      <c r="JA338" s="907"/>
      <c r="JB338" s="907"/>
      <c r="JC338" s="907"/>
      <c r="JD338" s="907"/>
      <c r="JE338" s="907"/>
      <c r="JF338" s="907"/>
      <c r="JG338" s="907"/>
      <c r="JH338" s="907"/>
      <c r="JI338" s="907"/>
      <c r="JJ338" s="907"/>
      <c r="JK338" s="907"/>
      <c r="JL338" s="907"/>
      <c r="JM338"/>
    </row>
    <row r="339" spans="1:273" s="371" customFormat="1">
      <c r="A339" s="323" t="str">
        <f>A335</f>
        <v>Unlisted</v>
      </c>
      <c r="B339" s="103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  <c r="AA339" s="102"/>
      <c r="AB339" s="102"/>
      <c r="AC339" s="102"/>
      <c r="AD339" s="102"/>
      <c r="AE339" s="102"/>
      <c r="AF339" s="102"/>
      <c r="AG339" s="102"/>
      <c r="AH339" s="102"/>
      <c r="AI339" s="102"/>
      <c r="AJ339" s="102"/>
      <c r="AK339" s="102"/>
      <c r="AL339" s="102"/>
      <c r="AM339" s="102"/>
      <c r="AN339" s="290"/>
      <c r="AO339" s="290"/>
      <c r="AP339" s="290"/>
      <c r="AQ339" s="290"/>
      <c r="AR339" s="290"/>
      <c r="AS339" s="290"/>
      <c r="AT339" s="290"/>
      <c r="AU339" s="290"/>
      <c r="AV339" s="290"/>
      <c r="AW339" s="685">
        <f>AW335/AV335-1</f>
        <v>-9.8843945518679699E-2</v>
      </c>
      <c r="AX339" s="290"/>
      <c r="AY339" s="290"/>
      <c r="AZ339" s="685">
        <f>AZ335/AW335-1</f>
        <v>-2.8971428571428537E-2</v>
      </c>
      <c r="BA339" s="685">
        <f>BA335/AZ335-1</f>
        <v>-6.1142823515565214E-2</v>
      </c>
      <c r="BB339" s="376"/>
      <c r="BC339" s="876"/>
      <c r="BD339" s="685">
        <f>BD335/BA335-1</f>
        <v>6.8697505327817376E-2</v>
      </c>
      <c r="BE339" s="685">
        <f>BE335/BD335-1</f>
        <v>-4.692082111436946E-2</v>
      </c>
      <c r="BF339" s="376"/>
      <c r="BG339" s="376"/>
      <c r="BH339" s="685">
        <f>BH335/BE335-1</f>
        <v>2.7692307692307683E-2</v>
      </c>
      <c r="BI339" s="685">
        <f>BI335/BH335-1</f>
        <v>2.0958083832335328E-2</v>
      </c>
      <c r="BJ339" s="376"/>
      <c r="BK339" s="376"/>
      <c r="BL339" s="685">
        <f>BL335/BI335-1</f>
        <v>0.20234604105571852</v>
      </c>
      <c r="BM339" s="685">
        <f>BM335/BL335-1</f>
        <v>5.1219512195121997E-2</v>
      </c>
      <c r="BN339" s="376"/>
      <c r="BO339" s="376"/>
      <c r="BP339" s="685">
        <f>BP335/BM335-1</f>
        <v>7.4245939675174011E-2</v>
      </c>
      <c r="BQ339" s="685">
        <f>BQ335/BP335-1</f>
        <v>8.2073434125270017E-2</v>
      </c>
      <c r="BR339" s="376"/>
      <c r="BS339" s="376"/>
      <c r="BT339" s="685">
        <f>BT335/BQ335-1</f>
        <v>0.10379241516966076</v>
      </c>
      <c r="BU339" s="685">
        <f>BU335/BT335-1</f>
        <v>-6.6907775768535238E-2</v>
      </c>
      <c r="BV339" s="376"/>
      <c r="BW339" s="376"/>
      <c r="BX339" s="685">
        <f>BX335/BU335-1</f>
        <v>6.5891472868216949E-2</v>
      </c>
      <c r="BY339" s="685">
        <f>BY335/BX335-1</f>
        <v>0.10181818181818181</v>
      </c>
      <c r="BZ339" s="376"/>
      <c r="CA339" s="376"/>
      <c r="CB339" s="685">
        <f>CB335/BY335-1</f>
        <v>4.6204620462046098E-2</v>
      </c>
      <c r="CC339" s="685">
        <f>CC335/CB335-1</f>
        <v>0.15615141955835954</v>
      </c>
      <c r="CD339" s="376"/>
      <c r="CE339" s="811"/>
      <c r="CF339" s="685">
        <f>CF335/CC335-1</f>
        <v>0.36562073669849937</v>
      </c>
      <c r="CG339" s="685">
        <f>CG335/CF335-1</f>
        <v>0.16983016983016985</v>
      </c>
      <c r="CH339" s="376"/>
      <c r="CI339" s="811"/>
      <c r="CJ339" s="685">
        <f>CJ335/CG335-1</f>
        <v>4.8676345004269761E-2</v>
      </c>
      <c r="CK339" s="685">
        <f>CK335/CJ335-1</f>
        <v>0.13680781758957661</v>
      </c>
      <c r="CL339" s="376"/>
      <c r="CM339" s="811"/>
      <c r="CN339" s="685">
        <f>CN335/CK335-1</f>
        <v>-6.4469914040114595E-2</v>
      </c>
      <c r="CO339" s="685">
        <f>CO335/CN335-1</f>
        <v>1.0719754977029039E-2</v>
      </c>
      <c r="CP339" s="376"/>
      <c r="CQ339" s="811"/>
      <c r="CR339" s="685">
        <f>CR335/CO335-1</f>
        <v>0.10984848484848486</v>
      </c>
      <c r="CS339" s="685">
        <f>CS335/CR335-1</f>
        <v>2.7303754266211566E-2</v>
      </c>
      <c r="CT339" s="376"/>
      <c r="CU339" s="376"/>
      <c r="CV339" s="685">
        <f>CV335/CS335-1</f>
        <v>0.20863787375415277</v>
      </c>
      <c r="CW339" s="685">
        <f>CW335/CV335-1</f>
        <v>8.960967564595923E-2</v>
      </c>
      <c r="CX339" s="376"/>
      <c r="CY339" s="376"/>
      <c r="CZ339" s="685">
        <f>CZ335/CW335-1</f>
        <v>1.8668012108980836E-2</v>
      </c>
      <c r="DA339" s="685">
        <f>DA335/CZ335-1</f>
        <v>5.7949479940564652E-2</v>
      </c>
      <c r="DB339" s="376"/>
      <c r="DC339" s="376"/>
      <c r="DD339" s="685">
        <f>DD335/DA335-1</f>
        <v>-1.6853932584269704E-2</v>
      </c>
      <c r="DE339" s="685">
        <f>DE335/DD335-1</f>
        <v>1.7142857142857126E-2</v>
      </c>
      <c r="DF339" s="376"/>
      <c r="DG339" s="376"/>
      <c r="DH339" s="685">
        <f>DH335/DE335-1</f>
        <v>1.4044943820224809E-2</v>
      </c>
      <c r="DI339" s="876"/>
      <c r="DJ339" s="376"/>
      <c r="DK339" s="376"/>
      <c r="DL339" s="876"/>
      <c r="DM339" s="876"/>
      <c r="DN339" s="376"/>
      <c r="DO339" s="376"/>
      <c r="DP339" s="876"/>
      <c r="DQ339" s="876"/>
      <c r="DR339" s="376"/>
      <c r="DS339" s="376"/>
      <c r="DT339" s="376"/>
      <c r="DU339" s="876"/>
      <c r="DV339" s="876"/>
      <c r="DW339" s="876"/>
      <c r="DX339" s="376"/>
      <c r="DY339" s="376"/>
      <c r="DZ339" s="876"/>
      <c r="EA339" s="876"/>
      <c r="EB339" s="376"/>
      <c r="EC339" s="376"/>
      <c r="ED339" s="876"/>
      <c r="EE339" s="876"/>
      <c r="EF339" s="376"/>
      <c r="EG339" s="376"/>
      <c r="EH339" s="376"/>
      <c r="EI339" s="376"/>
      <c r="EJ339" s="376"/>
      <c r="EK339" s="376"/>
      <c r="EL339" s="376"/>
      <c r="EM339" s="376"/>
      <c r="EN339" s="376"/>
      <c r="EO339" s="376"/>
      <c r="EP339" s="376"/>
      <c r="EQ339" s="907"/>
      <c r="ER339" s="907"/>
      <c r="ES339" s="907"/>
      <c r="ET339" s="907"/>
      <c r="EU339" s="907"/>
      <c r="EV339" s="907"/>
      <c r="EW339" s="907"/>
      <c r="EX339" s="907"/>
      <c r="EY339" s="907"/>
      <c r="EZ339" s="907"/>
      <c r="FA339" s="907"/>
      <c r="FB339" s="907"/>
      <c r="FC339" s="907"/>
      <c r="FD339" s="907"/>
      <c r="FE339" s="907"/>
      <c r="FF339" s="907"/>
      <c r="FG339" s="907"/>
      <c r="FH339" s="907"/>
      <c r="FI339" s="907"/>
      <c r="FJ339" s="907"/>
      <c r="FK339" s="907"/>
      <c r="FL339" s="907"/>
      <c r="FM339" s="907"/>
      <c r="FN339" s="907"/>
      <c r="FO339" s="907"/>
      <c r="FP339" s="907"/>
      <c r="FQ339" s="907"/>
      <c r="FR339" s="907"/>
      <c r="FS339" s="907"/>
      <c r="FT339" s="907"/>
      <c r="FU339" s="907"/>
      <c r="FV339" s="907"/>
      <c r="FW339" s="907"/>
      <c r="FX339" s="907"/>
      <c r="FY339" s="907"/>
      <c r="FZ339" s="907"/>
      <c r="GA339" s="907"/>
      <c r="GB339" s="907"/>
      <c r="GC339" s="907"/>
      <c r="GD339" s="907"/>
      <c r="GE339" s="907"/>
      <c r="GF339" s="907"/>
      <c r="GG339" s="907"/>
      <c r="GH339" s="907"/>
      <c r="GI339" s="907"/>
      <c r="GJ339" s="907"/>
      <c r="GK339" s="907"/>
      <c r="GL339" s="907"/>
      <c r="GM339" s="907"/>
      <c r="GN339" s="907"/>
      <c r="GO339" s="907"/>
      <c r="GP339" s="907"/>
      <c r="GQ339" s="907"/>
      <c r="GR339" s="907"/>
      <c r="GS339" s="907"/>
      <c r="GT339" s="907"/>
      <c r="GU339" s="907"/>
      <c r="GV339" s="907"/>
      <c r="GW339" s="907"/>
      <c r="GX339" s="907"/>
      <c r="GY339" s="907"/>
      <c r="GZ339" s="907"/>
      <c r="HA339" s="907"/>
      <c r="HB339" s="907"/>
      <c r="HC339" s="907"/>
      <c r="HD339" s="907"/>
      <c r="HE339" s="907"/>
      <c r="HF339" s="907"/>
      <c r="HG339" s="907"/>
      <c r="HH339" s="907"/>
      <c r="HI339" s="907"/>
      <c r="HJ339" s="907"/>
      <c r="HK339" s="907"/>
      <c r="HL339" s="907"/>
      <c r="HM339" s="907"/>
      <c r="HN339" s="907"/>
      <c r="HO339" s="907"/>
      <c r="HP339" s="907"/>
      <c r="HQ339" s="907"/>
      <c r="HR339" s="907"/>
      <c r="HS339" s="907"/>
      <c r="HT339" s="907"/>
      <c r="HU339" s="907"/>
      <c r="HV339" s="907"/>
      <c r="HW339" s="907"/>
      <c r="HX339" s="907"/>
      <c r="HY339" s="907"/>
      <c r="HZ339" s="907"/>
      <c r="IA339" s="907"/>
      <c r="IB339" s="907"/>
      <c r="IC339" s="907"/>
      <c r="ID339" s="907"/>
      <c r="IE339" s="907"/>
      <c r="IF339" s="907"/>
      <c r="IG339" s="907"/>
      <c r="IH339" s="907"/>
      <c r="II339" s="907"/>
      <c r="IJ339" s="907"/>
      <c r="IK339" s="907"/>
      <c r="IL339" s="907"/>
      <c r="IM339" s="907"/>
      <c r="IN339" s="907"/>
      <c r="IO339" s="907"/>
      <c r="IP339" s="907"/>
      <c r="IQ339" s="907"/>
      <c r="IR339" s="907"/>
      <c r="IS339" s="907"/>
      <c r="IT339" s="907"/>
      <c r="IU339" s="907"/>
      <c r="IV339" s="907"/>
      <c r="IW339" s="907"/>
      <c r="IX339" s="907"/>
      <c r="IY339" s="907"/>
      <c r="IZ339" s="907"/>
      <c r="JA339" s="907"/>
      <c r="JB339" s="907"/>
      <c r="JC339" s="907"/>
      <c r="JD339" s="907"/>
      <c r="JE339" s="907"/>
      <c r="JF339" s="907"/>
      <c r="JG339" s="907"/>
      <c r="JH339" s="907"/>
      <c r="JI339" s="907"/>
      <c r="JJ339" s="907"/>
      <c r="JK339" s="907"/>
      <c r="JL339" s="907"/>
      <c r="JM339"/>
    </row>
    <row r="340" spans="1:273" s="328" customFormat="1">
      <c r="A340" s="323" t="str">
        <f>A336</f>
        <v>Total EUM</v>
      </c>
      <c r="B340" s="581"/>
      <c r="AN340" s="581"/>
      <c r="AO340" s="581"/>
      <c r="AP340" s="581"/>
      <c r="AQ340" s="581"/>
      <c r="AR340" s="581"/>
      <c r="AS340" s="581"/>
      <c r="AT340" s="581"/>
      <c r="AU340" s="581"/>
      <c r="AV340" s="581"/>
      <c r="AW340" s="811">
        <f>AW336/AV336-1</f>
        <v>-0.22884557721139431</v>
      </c>
      <c r="AX340" s="581"/>
      <c r="AY340" s="581"/>
      <c r="AZ340" s="811">
        <f>AZ336/AW336-1</f>
        <v>-1.957124711615732E-2</v>
      </c>
      <c r="BA340" s="811">
        <f>BA336/AZ336-1</f>
        <v>-3.7782243138913874E-2</v>
      </c>
      <c r="BB340" s="581"/>
      <c r="BC340" s="581"/>
      <c r="BD340" s="811">
        <f>BD336/BA336-1</f>
        <v>4.0502294397274152E-2</v>
      </c>
      <c r="BE340" s="811">
        <f>BE336/BD336-1</f>
        <v>2.6408218237516934E-4</v>
      </c>
      <c r="BF340" s="581"/>
      <c r="BG340" s="581"/>
      <c r="BH340" s="811">
        <f>BH336/BE336-1</f>
        <v>4.2849222483301252E-2</v>
      </c>
      <c r="BI340" s="811">
        <f>BI336/BH336-1</f>
        <v>3.7974683544303778E-2</v>
      </c>
      <c r="BJ340" s="581"/>
      <c r="BK340" s="581"/>
      <c r="BL340" s="811">
        <f>BL336/BI336-1</f>
        <v>0.20975609756097557</v>
      </c>
      <c r="BM340" s="811">
        <f>BM336/BL336-1</f>
        <v>5.8467741935483764E-2</v>
      </c>
      <c r="BN340" s="581"/>
      <c r="BO340" s="581"/>
      <c r="BP340" s="811">
        <f>BP336/BM336-1</f>
        <v>0.11428571428571432</v>
      </c>
      <c r="BQ340" s="811">
        <f>BQ336/BP336-1</f>
        <v>0.1316239316239316</v>
      </c>
      <c r="BR340" s="581"/>
      <c r="BS340" s="581"/>
      <c r="BT340" s="811">
        <f>BT336/BQ336-1</f>
        <v>8.1570996978852062E-2</v>
      </c>
      <c r="BU340" s="811">
        <f>BU336/BT336-1</f>
        <v>-7.1229050279329575E-2</v>
      </c>
      <c r="BV340" s="581"/>
      <c r="BW340" s="581"/>
      <c r="BX340" s="811">
        <f>BX336/BU336-1</f>
        <v>8.2706766917293173E-2</v>
      </c>
      <c r="BY340" s="811">
        <f>BY336/BX336-1</f>
        <v>7.2222222222222188E-2</v>
      </c>
      <c r="BZ340" s="581"/>
      <c r="CA340" s="581"/>
      <c r="CB340" s="811">
        <f>CB336/BY336-1</f>
        <v>2.9792746113989743E-2</v>
      </c>
      <c r="CC340" s="811">
        <f>CC336/CB336-1</f>
        <v>8.4276729559748409E-2</v>
      </c>
      <c r="CD340" s="581"/>
      <c r="CE340" s="581"/>
      <c r="CF340" s="811">
        <f>CF336/CC336-1</f>
        <v>0.34106728538283071</v>
      </c>
      <c r="CG340" s="811">
        <f>CG336/CF336-1</f>
        <v>0.10640138408304489</v>
      </c>
      <c r="CH340" s="581"/>
      <c r="CI340" s="581"/>
      <c r="CJ340" s="811">
        <f>CJ336/CG336-1</f>
        <v>5.0820953870211127E-2</v>
      </c>
      <c r="CK340" s="811">
        <f>CK336/CJ336-1</f>
        <v>0.11086309523809534</v>
      </c>
      <c r="CL340" s="581"/>
      <c r="CM340" s="581"/>
      <c r="CN340" s="811">
        <f>CN336/CK336-1</f>
        <v>-6.3630274614869364E-2</v>
      </c>
      <c r="CO340" s="811">
        <f>CO336/CN336-1</f>
        <v>1.5736766809728131E-2</v>
      </c>
      <c r="CP340" s="581"/>
      <c r="CQ340" s="581"/>
      <c r="CR340" s="811">
        <f>CR336/CO336-1</f>
        <v>0.11830985915492964</v>
      </c>
      <c r="CS340" s="811">
        <f>CS336/CR336-1</f>
        <v>-3.1486146095718315E-3</v>
      </c>
      <c r="CT340" s="581"/>
      <c r="CU340" s="581"/>
      <c r="CV340" s="811">
        <f>CV336/CS336-1</f>
        <v>0.19077700568540745</v>
      </c>
      <c r="CW340" s="811">
        <f>CW336/CV336-1</f>
        <v>9.1777188328912462E-2</v>
      </c>
      <c r="CX340" s="581"/>
      <c r="CY340" s="581"/>
      <c r="CZ340" s="811">
        <f>CZ336/CW336-1</f>
        <v>2.0408163265306145E-2</v>
      </c>
      <c r="DA340" s="811">
        <f>DA336/CZ336-1</f>
        <v>5.8571428571428497E-2</v>
      </c>
      <c r="DB340" s="581"/>
      <c r="DC340" s="581"/>
      <c r="DD340" s="811">
        <f>DD336/DA336-1</f>
        <v>-2.1592442645074206E-2</v>
      </c>
      <c r="DE340" s="811">
        <f>DE336/DD336-1</f>
        <v>1.6551724137930934E-2</v>
      </c>
      <c r="DF340" s="581"/>
      <c r="DG340" s="581"/>
      <c r="DH340" s="811">
        <f>DH336/DE336-1</f>
        <v>1.582994120307557E-2</v>
      </c>
      <c r="DI340" s="811">
        <f>DI336/DH336-1</f>
        <v>4.7369863013698721E-2</v>
      </c>
      <c r="DJ340" s="581"/>
      <c r="DK340" s="581"/>
      <c r="DL340" s="811">
        <f>DL336/DI336-1</f>
        <v>3.2589041095890225E-2</v>
      </c>
      <c r="DM340" s="811">
        <f>DM336/DL336-1</f>
        <v>3.7397260273972499E-2</v>
      </c>
      <c r="DN340" s="581"/>
      <c r="DO340" s="581"/>
      <c r="DP340" s="811">
        <f>DP336/DM336-1</f>
        <v>3.2499999999999973E-2</v>
      </c>
      <c r="DQ340" s="811">
        <f>DQ336/DP336-1</f>
        <v>3.7500000000000089E-2</v>
      </c>
      <c r="DR340" s="581"/>
      <c r="DS340" s="581"/>
      <c r="DT340" s="581"/>
      <c r="DU340" s="811"/>
      <c r="DV340" s="811"/>
      <c r="DW340" s="811"/>
      <c r="DX340" s="581"/>
      <c r="DY340" s="581"/>
      <c r="DZ340" s="811"/>
      <c r="EA340" s="811"/>
      <c r="EB340" s="581"/>
      <c r="EC340" s="581"/>
      <c r="ED340" s="811"/>
      <c r="EE340" s="811"/>
      <c r="EF340" s="581"/>
      <c r="EG340" s="581"/>
      <c r="EH340" s="581"/>
      <c r="EI340" s="581"/>
      <c r="EJ340" s="581"/>
      <c r="EK340" s="581"/>
      <c r="EL340" s="581"/>
      <c r="EM340" s="581"/>
      <c r="EN340" s="581"/>
      <c r="EO340" s="581"/>
      <c r="EP340" s="581"/>
      <c r="JM340"/>
    </row>
    <row r="341" spans="1:273" s="289" customFormat="1">
      <c r="B341" s="290"/>
      <c r="AN341" s="290"/>
      <c r="AO341" s="290"/>
      <c r="AP341" s="290"/>
      <c r="AQ341" s="290"/>
      <c r="AR341" s="290"/>
      <c r="AS341" s="290"/>
      <c r="AT341" s="290"/>
      <c r="AU341" s="290"/>
      <c r="AV341" s="295"/>
      <c r="AW341" s="295"/>
      <c r="AX341" s="290"/>
      <c r="AY341" s="290"/>
      <c r="AZ341" s="295"/>
      <c r="BA341" s="295"/>
      <c r="BB341" s="290"/>
      <c r="BC341" s="290"/>
      <c r="BD341" s="295"/>
      <c r="BE341" s="295"/>
      <c r="BF341" s="290"/>
      <c r="BG341" s="290"/>
      <c r="BH341" s="295"/>
      <c r="BI341" s="295"/>
      <c r="BJ341" s="295"/>
      <c r="BK341" s="290"/>
      <c r="BL341" s="295"/>
      <c r="BM341" s="295"/>
      <c r="BN341" s="295"/>
      <c r="BO341" s="672"/>
      <c r="BP341" s="295"/>
      <c r="BQ341" s="295"/>
      <c r="BR341" s="295"/>
      <c r="BS341" s="672"/>
      <c r="BT341" s="295"/>
      <c r="BU341" s="295"/>
      <c r="BV341" s="295"/>
      <c r="BW341" s="672"/>
      <c r="BX341" s="295"/>
      <c r="BY341" s="295"/>
      <c r="BZ341" s="295"/>
      <c r="CA341" s="290"/>
      <c r="CB341" s="295"/>
      <c r="CC341" s="295"/>
      <c r="CD341" s="295"/>
      <c r="CE341" s="581"/>
      <c r="CF341" s="295"/>
      <c r="CG341" s="295"/>
      <c r="CH341" s="295"/>
      <c r="CI341" s="581"/>
      <c r="CJ341" s="295"/>
      <c r="CK341" s="295"/>
      <c r="CL341" s="295"/>
      <c r="CM341" s="581"/>
      <c r="CN341" s="295"/>
      <c r="CO341" s="295"/>
      <c r="CP341" s="295"/>
      <c r="CQ341" s="581"/>
      <c r="CR341" s="295"/>
      <c r="CS341" s="295"/>
      <c r="CT341" s="295"/>
      <c r="CU341" s="290"/>
      <c r="CV341" s="295"/>
      <c r="CW341" s="295"/>
      <c r="CX341" s="295"/>
      <c r="CY341" s="290"/>
      <c r="CZ341" s="295"/>
      <c r="DA341" s="295"/>
      <c r="DB341" s="295"/>
      <c r="DC341" s="290"/>
      <c r="DD341" s="295"/>
      <c r="DE341" s="295"/>
      <c r="DF341" s="295"/>
      <c r="DG341" s="290"/>
      <c r="DH341" s="295"/>
      <c r="DI341" s="295"/>
      <c r="DJ341" s="295"/>
      <c r="DK341" s="290"/>
      <c r="DL341" s="295"/>
      <c r="DM341" s="295"/>
      <c r="DN341" s="295"/>
      <c r="DO341" s="290"/>
      <c r="DP341" s="295"/>
      <c r="DQ341" s="295"/>
      <c r="DR341" s="295"/>
      <c r="DS341" s="290"/>
      <c r="DT341" s="290"/>
      <c r="DU341" s="295"/>
      <c r="DV341" s="295"/>
      <c r="DW341" s="295"/>
      <c r="DX341" s="290"/>
      <c r="DY341" s="290"/>
      <c r="DZ341" s="295"/>
      <c r="EA341" s="295"/>
      <c r="EB341" s="290"/>
      <c r="EC341" s="290"/>
      <c r="ED341" s="295"/>
      <c r="EE341" s="295"/>
      <c r="EF341" s="290"/>
      <c r="EG341" s="290"/>
      <c r="EH341" s="290"/>
      <c r="EI341" s="290"/>
      <c r="EJ341" s="290"/>
      <c r="EK341" s="290"/>
      <c r="EL341" s="290"/>
      <c r="EM341" s="290"/>
      <c r="EN341" s="290"/>
      <c r="EO341" s="290"/>
      <c r="EP341" s="290"/>
      <c r="JM341"/>
    </row>
    <row r="342" spans="1:273" s="289" customFormat="1">
      <c r="A342" s="815" t="s">
        <v>1076</v>
      </c>
      <c r="B342" s="290"/>
      <c r="AN342" s="290"/>
      <c r="AO342" s="290"/>
      <c r="AP342" s="290"/>
      <c r="AQ342" s="290"/>
      <c r="AR342" s="290"/>
      <c r="AS342" s="290"/>
      <c r="AT342" s="290"/>
      <c r="AU342" s="290"/>
      <c r="AV342" s="295"/>
      <c r="AW342" s="295"/>
      <c r="AX342" s="290"/>
      <c r="AY342" s="290"/>
      <c r="AZ342" s="295"/>
      <c r="BA342" s="295"/>
      <c r="BB342" s="290"/>
      <c r="BC342" s="290"/>
      <c r="BD342" s="295"/>
      <c r="BE342" s="295"/>
      <c r="BF342" s="290"/>
      <c r="BG342" s="290"/>
      <c r="BH342" s="295"/>
      <c r="BI342" s="295"/>
      <c r="BJ342" s="295"/>
      <c r="BK342" s="290"/>
      <c r="BL342" s="295"/>
      <c r="BM342" s="295"/>
      <c r="BN342" s="295"/>
      <c r="BO342" s="672"/>
      <c r="BP342" s="295"/>
      <c r="BQ342" s="295"/>
      <c r="BR342" s="295"/>
      <c r="BS342" s="672"/>
      <c r="BT342" s="295"/>
      <c r="BU342" s="295"/>
      <c r="BV342" s="295"/>
      <c r="BW342" s="672"/>
      <c r="BX342" s="295"/>
      <c r="BY342" s="295"/>
      <c r="BZ342" s="295"/>
      <c r="CA342" s="290"/>
      <c r="CB342" s="295"/>
      <c r="CC342" s="295"/>
      <c r="CD342" s="295"/>
      <c r="CE342" s="581"/>
      <c r="CF342" s="295"/>
      <c r="CG342" s="295"/>
      <c r="CH342" s="295"/>
      <c r="CI342" s="581"/>
      <c r="CJ342" s="295"/>
      <c r="CK342" s="295"/>
      <c r="CL342" s="295"/>
      <c r="CM342" s="581"/>
      <c r="CN342" s="295"/>
      <c r="CO342" s="295"/>
      <c r="CP342" s="295"/>
      <c r="CQ342" s="581"/>
      <c r="CR342" s="295"/>
      <c r="CS342" s="295"/>
      <c r="CT342" s="295"/>
      <c r="CU342" s="290"/>
      <c r="CV342" s="295"/>
      <c r="CW342" s="295"/>
      <c r="CX342" s="295"/>
      <c r="CY342" s="290"/>
      <c r="CZ342" s="295"/>
      <c r="DA342" s="295"/>
      <c r="DB342" s="295"/>
      <c r="DC342" s="290"/>
      <c r="DD342" s="295"/>
      <c r="DE342" s="295"/>
      <c r="DF342" s="295"/>
      <c r="DG342" s="290"/>
      <c r="DH342" s="295"/>
      <c r="DI342" s="655"/>
      <c r="DJ342" s="655"/>
      <c r="DK342" s="290"/>
      <c r="DL342" s="655"/>
      <c r="DM342" s="655"/>
      <c r="DN342" s="655"/>
      <c r="DO342" s="290"/>
      <c r="DP342" s="655"/>
      <c r="DQ342" s="655"/>
      <c r="DR342" s="655"/>
      <c r="DS342" s="290"/>
      <c r="DT342" s="290"/>
      <c r="DU342" s="295"/>
      <c r="DV342" s="295"/>
      <c r="DW342" s="295"/>
      <c r="DX342" s="290"/>
      <c r="DY342" s="290"/>
      <c r="DZ342" s="295"/>
      <c r="EA342" s="295"/>
      <c r="EB342" s="290"/>
      <c r="EC342" s="290"/>
      <c r="ED342" s="295"/>
      <c r="EE342" s="295"/>
      <c r="EF342" s="290"/>
      <c r="EG342" s="290"/>
      <c r="EH342" s="290"/>
      <c r="EI342" s="290"/>
      <c r="EJ342" s="290"/>
      <c r="EK342" s="290"/>
      <c r="EL342" s="290"/>
      <c r="EM342" s="290"/>
      <c r="EN342" s="290"/>
      <c r="EO342" s="290"/>
      <c r="EP342" s="290"/>
      <c r="JM342"/>
    </row>
    <row r="343" spans="1:273">
      <c r="A343" s="102" t="s">
        <v>1073</v>
      </c>
      <c r="AS343" s="293">
        <f>AT343</f>
        <v>6000</v>
      </c>
      <c r="AT343" s="140">
        <v>6000</v>
      </c>
      <c r="AU343" s="908"/>
      <c r="AV343" s="140">
        <v>6000</v>
      </c>
      <c r="AW343" s="140">
        <v>2000</v>
      </c>
      <c r="AX343" s="139">
        <f>AW343</f>
        <v>2000</v>
      </c>
      <c r="AY343" s="908"/>
      <c r="AZ343" s="909">
        <v>3000</v>
      </c>
      <c r="BA343" s="140">
        <v>4500</v>
      </c>
      <c r="BB343" s="139">
        <f>BA343</f>
        <v>4500</v>
      </c>
      <c r="BD343" s="909">
        <v>4000</v>
      </c>
      <c r="BE343" s="139">
        <f>BF343</f>
        <v>4000</v>
      </c>
      <c r="BF343" s="909">
        <v>4000</v>
      </c>
      <c r="BG343" s="908"/>
      <c r="BH343" s="140">
        <v>4200</v>
      </c>
      <c r="BI343" s="140">
        <v>6100</v>
      </c>
      <c r="BJ343" s="140">
        <v>6100</v>
      </c>
      <c r="BK343" s="140"/>
      <c r="BL343" s="140">
        <v>7300</v>
      </c>
      <c r="BM343" s="140">
        <v>8400</v>
      </c>
      <c r="BN343" s="140">
        <v>8400</v>
      </c>
      <c r="BO343" s="910"/>
      <c r="BP343" s="140">
        <v>9000</v>
      </c>
      <c r="BQ343" s="140">
        <v>9600</v>
      </c>
      <c r="BR343" s="140">
        <v>9600</v>
      </c>
      <c r="BS343" s="910"/>
      <c r="BT343" s="140">
        <v>9500</v>
      </c>
      <c r="BU343" s="140">
        <v>8600</v>
      </c>
      <c r="BV343" s="140">
        <v>8600</v>
      </c>
      <c r="BW343" s="910"/>
      <c r="BX343" s="140">
        <v>11900</v>
      </c>
      <c r="BY343" s="140">
        <v>10200</v>
      </c>
      <c r="BZ343" s="140">
        <v>10200</v>
      </c>
      <c r="CB343" s="140">
        <v>11300</v>
      </c>
      <c r="CC343" s="139">
        <f>CD343</f>
        <v>14800</v>
      </c>
      <c r="CD343" s="140">
        <v>14800</v>
      </c>
      <c r="CF343" s="140">
        <v>16000</v>
      </c>
      <c r="CG343" s="139">
        <f>CH343</f>
        <v>25500</v>
      </c>
      <c r="CH343" s="140">
        <v>25500</v>
      </c>
      <c r="CJ343" s="140">
        <v>20500</v>
      </c>
      <c r="CK343" s="139">
        <f>CL343</f>
        <v>25100</v>
      </c>
      <c r="CL343" s="140">
        <v>25100</v>
      </c>
      <c r="CN343" s="1493">
        <v>24100</v>
      </c>
      <c r="CO343" s="1715">
        <f>CP343</f>
        <v>29900</v>
      </c>
      <c r="CP343" s="1493">
        <v>29900</v>
      </c>
      <c r="CQ343" s="999"/>
      <c r="CR343" s="1493">
        <v>27900</v>
      </c>
      <c r="CS343" s="1715">
        <f>CT343</f>
        <v>19900</v>
      </c>
      <c r="CT343" s="1493">
        <v>19900</v>
      </c>
      <c r="CV343" s="1493">
        <v>30100</v>
      </c>
      <c r="CW343" s="1715">
        <f>CX343</f>
        <v>34800</v>
      </c>
      <c r="CX343" s="140">
        <v>34800</v>
      </c>
      <c r="CZ343" s="1493">
        <v>35300</v>
      </c>
      <c r="DA343" s="1715">
        <f>DB343</f>
        <v>37600</v>
      </c>
      <c r="DB343" s="1493">
        <v>37600</v>
      </c>
      <c r="DD343" s="1493">
        <v>31800</v>
      </c>
      <c r="DE343" s="1715">
        <f>DF343</f>
        <v>27300</v>
      </c>
      <c r="DF343" s="2175">
        <v>27300</v>
      </c>
      <c r="DH343" s="1493">
        <v>23500</v>
      </c>
      <c r="DI343" s="293">
        <f>DI345*DI336</f>
        <v>23523.927123287674</v>
      </c>
      <c r="DJ343" s="293">
        <f>DJ345*DJ336</f>
        <v>23523.927123287674</v>
      </c>
      <c r="DL343" s="293">
        <f>DL345*DL336</f>
        <v>26719.604286149744</v>
      </c>
      <c r="DM343" s="293">
        <f>DM345*DM336</f>
        <v>27718.844282056438</v>
      </c>
      <c r="DN343" s="293">
        <f>DN345*DN336</f>
        <v>27718.844282056438</v>
      </c>
      <c r="DP343" s="293">
        <f>DP345*DP336</f>
        <v>28619.706721223272</v>
      </c>
      <c r="DQ343" s="293">
        <f>DQ345*DQ336</f>
        <v>29692.945723269146</v>
      </c>
      <c r="DR343" s="293">
        <f>DR345*DR336</f>
        <v>29692.945723269146</v>
      </c>
      <c r="DU343" s="293"/>
      <c r="DV343" s="293"/>
      <c r="DW343" s="293"/>
      <c r="DZ343" s="293"/>
      <c r="EA343" s="293"/>
      <c r="ED343" s="293"/>
      <c r="EE343" s="293"/>
    </row>
    <row r="344" spans="1:273" s="289" customFormat="1">
      <c r="A344" s="289" t="s">
        <v>1074</v>
      </c>
      <c r="B344" s="290"/>
      <c r="AN344" s="290"/>
      <c r="AO344" s="290"/>
      <c r="AP344" s="290"/>
      <c r="AQ344" s="290"/>
      <c r="AR344" s="290"/>
      <c r="AS344" s="295"/>
      <c r="AT344" s="295"/>
      <c r="AU344" s="290"/>
      <c r="AV344" s="295">
        <f>AV336-AV343</f>
        <v>44025</v>
      </c>
      <c r="AW344" s="295">
        <f>AW336-AW343</f>
        <v>36577</v>
      </c>
      <c r="AX344" s="295">
        <f>AX336-AX343</f>
        <v>36577</v>
      </c>
      <c r="AY344" s="290"/>
      <c r="AZ344" s="295">
        <f>AZ336-AZ343</f>
        <v>34822</v>
      </c>
      <c r="BA344" s="295">
        <f>BA336-BA343</f>
        <v>31893</v>
      </c>
      <c r="BB344" s="295">
        <f>BB336-BB343</f>
        <v>31893</v>
      </c>
      <c r="BC344" s="290"/>
      <c r="BD344" s="295">
        <f>BD336-BD343</f>
        <v>33867</v>
      </c>
      <c r="BE344" s="295">
        <f>BE336-BE343</f>
        <v>33877</v>
      </c>
      <c r="BF344" s="295">
        <f>BF336-BF343</f>
        <v>33877</v>
      </c>
      <c r="BG344" s="290"/>
      <c r="BH344" s="295">
        <f>BH336-BH343</f>
        <v>35300</v>
      </c>
      <c r="BI344" s="295">
        <f>BI336-BI343</f>
        <v>34900</v>
      </c>
      <c r="BJ344" s="295">
        <f>BJ336-BJ343</f>
        <v>34900</v>
      </c>
      <c r="BK344" s="295"/>
      <c r="BL344" s="295">
        <f t="shared" ref="BL344:BN344" si="206">BL336-BL343</f>
        <v>42300</v>
      </c>
      <c r="BM344" s="295">
        <f t="shared" si="206"/>
        <v>44100</v>
      </c>
      <c r="BN344" s="295">
        <f t="shared" si="206"/>
        <v>44100</v>
      </c>
      <c r="BO344" s="295"/>
      <c r="BP344" s="295">
        <f t="shared" ref="BP344:BR344" si="207">BP336-BP343</f>
        <v>49500</v>
      </c>
      <c r="BQ344" s="295">
        <f t="shared" si="207"/>
        <v>56600</v>
      </c>
      <c r="BR344" s="295">
        <f t="shared" si="207"/>
        <v>56600</v>
      </c>
      <c r="BS344" s="295"/>
      <c r="BT344" s="295">
        <f t="shared" ref="BT344:BV344" si="208">BT336-BT343</f>
        <v>62100</v>
      </c>
      <c r="BU344" s="295">
        <f t="shared" si="208"/>
        <v>57900</v>
      </c>
      <c r="BV344" s="295">
        <f t="shared" si="208"/>
        <v>57900</v>
      </c>
      <c r="BW344" s="295"/>
      <c r="BX344" s="295">
        <f t="shared" ref="BX344:BZ344" si="209">BX336-BX343</f>
        <v>60100</v>
      </c>
      <c r="BY344" s="295">
        <f t="shared" si="209"/>
        <v>67000</v>
      </c>
      <c r="BZ344" s="295">
        <f t="shared" si="209"/>
        <v>67000</v>
      </c>
      <c r="CA344" s="295"/>
      <c r="CB344" s="295">
        <f t="shared" ref="CB344:CD344" si="210">CB336-CB343</f>
        <v>68200</v>
      </c>
      <c r="CC344" s="295">
        <f t="shared" si="210"/>
        <v>71400</v>
      </c>
      <c r="CD344" s="295">
        <f t="shared" si="210"/>
        <v>71400</v>
      </c>
      <c r="CE344" s="791"/>
      <c r="CF344" s="295">
        <f t="shared" ref="CF344:CH344" si="211">CF336-CF343</f>
        <v>99600</v>
      </c>
      <c r="CG344" s="295">
        <f t="shared" si="211"/>
        <v>102400</v>
      </c>
      <c r="CH344" s="295">
        <f t="shared" si="211"/>
        <v>102400</v>
      </c>
      <c r="CI344" s="791"/>
      <c r="CJ344" s="295">
        <f t="shared" ref="CJ344:CL344" si="212">CJ336-CJ343</f>
        <v>113900</v>
      </c>
      <c r="CK344" s="295">
        <f t="shared" si="212"/>
        <v>124200</v>
      </c>
      <c r="CL344" s="295">
        <f t="shared" si="212"/>
        <v>124200</v>
      </c>
      <c r="CM344" s="791"/>
      <c r="CN344" s="295">
        <f t="shared" ref="CN344:CP344" si="213">CN336-CN343</f>
        <v>115700</v>
      </c>
      <c r="CO344" s="295">
        <f t="shared" si="213"/>
        <v>112100</v>
      </c>
      <c r="CP344" s="295">
        <f t="shared" si="213"/>
        <v>112100</v>
      </c>
      <c r="CQ344" s="581"/>
      <c r="CR344" s="295">
        <f t="shared" ref="CR344:CT344" si="214">CR336-CR343</f>
        <v>130900</v>
      </c>
      <c r="CS344" s="295">
        <f t="shared" si="214"/>
        <v>138400</v>
      </c>
      <c r="CT344" s="295">
        <f t="shared" si="214"/>
        <v>138400</v>
      </c>
      <c r="CU344" s="290"/>
      <c r="CV344" s="295">
        <f t="shared" ref="CV344:CX344" si="215">CV336-CV343</f>
        <v>158400</v>
      </c>
      <c r="CW344" s="295">
        <f t="shared" si="215"/>
        <v>171000</v>
      </c>
      <c r="CX344" s="295">
        <f t="shared" si="215"/>
        <v>171000</v>
      </c>
      <c r="CY344" s="290"/>
      <c r="CZ344" s="295">
        <f t="shared" ref="CZ344:DB344" si="216">CZ336-CZ343</f>
        <v>174700</v>
      </c>
      <c r="DA344" s="295">
        <f t="shared" si="216"/>
        <v>184700</v>
      </c>
      <c r="DB344" s="295">
        <f t="shared" si="216"/>
        <v>184700</v>
      </c>
      <c r="DC344" s="290"/>
      <c r="DD344" s="295">
        <f t="shared" ref="DD344:DF344" si="217">DD336-DD343</f>
        <v>185700</v>
      </c>
      <c r="DE344" s="295">
        <f t="shared" si="217"/>
        <v>193800</v>
      </c>
      <c r="DF344" s="295">
        <f t="shared" si="217"/>
        <v>193800</v>
      </c>
      <c r="DG344" s="290"/>
      <c r="DH344" s="295">
        <f t="shared" ref="DH344" si="218">DH336-DH343</f>
        <v>201100</v>
      </c>
      <c r="DI344" s="295">
        <f t="shared" ref="DI344:DJ344" si="219">DI336-DI343</f>
        <v>211715.34410958906</v>
      </c>
      <c r="DJ344" s="295">
        <f t="shared" si="219"/>
        <v>211715.34410958906</v>
      </c>
      <c r="DK344" s="290"/>
      <c r="DL344" s="295">
        <f t="shared" ref="DL344:DN344" si="220">DL336-DL343</f>
        <v>216185.88922430246</v>
      </c>
      <c r="DM344" s="295">
        <f t="shared" si="220"/>
        <v>224270.64919118391</v>
      </c>
      <c r="DN344" s="295">
        <f t="shared" si="220"/>
        <v>224270.64919118391</v>
      </c>
      <c r="DO344" s="290"/>
      <c r="DP344" s="295">
        <f t="shared" ref="DP344:DR344" si="221">DP336-DP343</f>
        <v>231559.44528989738</v>
      </c>
      <c r="DQ344" s="295">
        <f t="shared" si="221"/>
        <v>240242.92448826856</v>
      </c>
      <c r="DR344" s="295">
        <f t="shared" si="221"/>
        <v>240242.92448826856</v>
      </c>
      <c r="DS344" s="290"/>
      <c r="DT344" s="290"/>
      <c r="DU344" s="295"/>
      <c r="DV344" s="295"/>
      <c r="DW344" s="295"/>
      <c r="DX344" s="290"/>
      <c r="DY344" s="290"/>
      <c r="DZ344" s="295"/>
      <c r="EA344" s="295"/>
      <c r="EB344" s="290"/>
      <c r="EC344" s="290"/>
      <c r="ED344" s="295"/>
      <c r="EE344" s="295"/>
      <c r="EF344" s="290"/>
      <c r="EG344" s="290"/>
      <c r="EH344" s="290"/>
      <c r="EI344" s="290"/>
      <c r="EJ344" s="290"/>
      <c r="EK344" s="290"/>
      <c r="EL344" s="290"/>
      <c r="EM344" s="290"/>
      <c r="EN344" s="290"/>
      <c r="EO344" s="290"/>
      <c r="EP344" s="290"/>
      <c r="JM344"/>
    </row>
    <row r="345" spans="1:273" s="289" customFormat="1" ht="15.6">
      <c r="A345" s="1977" t="s">
        <v>1077</v>
      </c>
      <c r="B345" s="290"/>
      <c r="AN345" s="290"/>
      <c r="AO345" s="290"/>
      <c r="AP345" s="290"/>
      <c r="AQ345" s="290"/>
      <c r="AR345" s="290"/>
      <c r="AS345" s="290"/>
      <c r="AT345" s="290"/>
      <c r="AU345" s="290"/>
      <c r="AV345" s="684">
        <f t="shared" ref="AV345:AX345" si="222">AV343/AV336</f>
        <v>0.1199400299850075</v>
      </c>
      <c r="AW345" s="684">
        <f t="shared" si="222"/>
        <v>5.1844363221608729E-2</v>
      </c>
      <c r="AX345" s="684">
        <f t="shared" si="222"/>
        <v>5.1844363221608729E-2</v>
      </c>
      <c r="AY345" s="290"/>
      <c r="AZ345" s="684">
        <f t="shared" ref="AZ345" si="223">AZ343/AZ336</f>
        <v>7.9318914917243938E-2</v>
      </c>
      <c r="BA345" s="684">
        <f t="shared" ref="BA345:CD345" si="224">BA343/BA336</f>
        <v>0.12365015250185475</v>
      </c>
      <c r="BB345" s="684">
        <f t="shared" si="224"/>
        <v>0.12365015250185475</v>
      </c>
      <c r="BC345" s="290"/>
      <c r="BD345" s="684">
        <f t="shared" ref="BD345" si="225">BD343/BD336</f>
        <v>0.10563287295006206</v>
      </c>
      <c r="BE345" s="684">
        <f t="shared" si="224"/>
        <v>0.10560498455527101</v>
      </c>
      <c r="BF345" s="684">
        <f t="shared" si="224"/>
        <v>0.10560498455527101</v>
      </c>
      <c r="BG345" s="290"/>
      <c r="BH345" s="684">
        <f t="shared" ref="BH345" si="226">BH343/BH336</f>
        <v>0.10632911392405063</v>
      </c>
      <c r="BI345" s="684">
        <f t="shared" si="224"/>
        <v>0.14878048780487804</v>
      </c>
      <c r="BJ345" s="684">
        <f t="shared" si="224"/>
        <v>0.14878048780487804</v>
      </c>
      <c r="BK345" s="290"/>
      <c r="BL345" s="684">
        <f t="shared" ref="BL345" si="227">BL343/BL336</f>
        <v>0.14717741935483872</v>
      </c>
      <c r="BM345" s="684">
        <f t="shared" si="224"/>
        <v>0.16</v>
      </c>
      <c r="BN345" s="684">
        <f t="shared" si="224"/>
        <v>0.16</v>
      </c>
      <c r="BO345" s="905"/>
      <c r="BP345" s="684">
        <f t="shared" ref="BP345" si="228">BP343/BP336</f>
        <v>0.15384615384615385</v>
      </c>
      <c r="BQ345" s="684">
        <f t="shared" si="224"/>
        <v>0.14501510574018128</v>
      </c>
      <c r="BR345" s="684">
        <f t="shared" si="224"/>
        <v>0.14501510574018128</v>
      </c>
      <c r="BS345" s="905"/>
      <c r="BT345" s="684">
        <f t="shared" ref="BT345" si="229">BT343/BT336</f>
        <v>0.13268156424581007</v>
      </c>
      <c r="BU345" s="684">
        <f t="shared" si="224"/>
        <v>0.1293233082706767</v>
      </c>
      <c r="BV345" s="684">
        <f t="shared" si="224"/>
        <v>0.1293233082706767</v>
      </c>
      <c r="BW345" s="905"/>
      <c r="BX345" s="684">
        <f t="shared" ref="BX345" si="230">BX343/BX336</f>
        <v>0.16527777777777777</v>
      </c>
      <c r="BY345" s="684">
        <f t="shared" si="224"/>
        <v>0.13212435233160622</v>
      </c>
      <c r="BZ345" s="684">
        <f t="shared" si="224"/>
        <v>0.13212435233160622</v>
      </c>
      <c r="CA345" s="1712">
        <f>AVERAGE(BZ345,BV345,BR345,BN345,BJ345)</f>
        <v>0.14304865082946844</v>
      </c>
      <c r="CB345" s="684">
        <f t="shared" ref="CB345" si="231">CB343/CB336</f>
        <v>0.14213836477987421</v>
      </c>
      <c r="CC345" s="684">
        <f t="shared" si="224"/>
        <v>0.1716937354988399</v>
      </c>
      <c r="CD345" s="684">
        <f t="shared" si="224"/>
        <v>0.1716937354988399</v>
      </c>
      <c r="CE345" s="906">
        <f>AVERAGE(CD345,BZ345,BV345,BR345,BN345,BJ345)</f>
        <v>0.14782283160769702</v>
      </c>
      <c r="CF345" s="684">
        <f t="shared" ref="CF345:CH345" si="232">CF343/CF336</f>
        <v>0.13840830449826991</v>
      </c>
      <c r="CG345" s="684">
        <f t="shared" si="232"/>
        <v>0.19937451133698203</v>
      </c>
      <c r="CH345" s="684">
        <f t="shared" si="232"/>
        <v>0.19937451133698203</v>
      </c>
      <c r="CI345" s="906">
        <f>AVERAGE(CH345,CD345,BZ345,BV345,BR345,BN345)</f>
        <v>0.15625516886304772</v>
      </c>
      <c r="CJ345" s="684">
        <f t="shared" ref="CJ345:CL345" si="233">CJ343/CJ336</f>
        <v>0.15252976190476192</v>
      </c>
      <c r="CK345" s="684">
        <f t="shared" si="233"/>
        <v>0.1681178834561286</v>
      </c>
      <c r="CL345" s="684">
        <f t="shared" si="233"/>
        <v>0.1681178834561286</v>
      </c>
      <c r="CM345" s="906"/>
      <c r="CN345" s="684">
        <f t="shared" ref="CN345:CP345" si="234">CN343/CN336</f>
        <v>0.17238912732474965</v>
      </c>
      <c r="CO345" s="684">
        <f t="shared" si="234"/>
        <v>0.21056338028169014</v>
      </c>
      <c r="CP345" s="684">
        <f t="shared" si="234"/>
        <v>0.21056338028169014</v>
      </c>
      <c r="CQ345" s="581"/>
      <c r="CR345" s="684">
        <f t="shared" ref="CR345:CT345" si="235">CR343/CR336</f>
        <v>0.1756926952141058</v>
      </c>
      <c r="CS345" s="684">
        <f t="shared" si="235"/>
        <v>0.12571067593177512</v>
      </c>
      <c r="CT345" s="684">
        <f t="shared" si="235"/>
        <v>0.12571067593177512</v>
      </c>
      <c r="CU345" s="290"/>
      <c r="CV345" s="684">
        <f t="shared" ref="CV345:CX345" si="236">CV343/CV336</f>
        <v>0.1596816976127321</v>
      </c>
      <c r="CW345" s="684">
        <f t="shared" si="236"/>
        <v>0.16909620991253643</v>
      </c>
      <c r="CX345" s="684">
        <f t="shared" si="236"/>
        <v>0.16909620991253643</v>
      </c>
      <c r="CY345" s="290"/>
      <c r="CZ345" s="684">
        <f t="shared" ref="CZ345:DB345" si="237">CZ343/CZ336</f>
        <v>0.1680952380952381</v>
      </c>
      <c r="DA345" s="684">
        <f t="shared" si="237"/>
        <v>0.16914080071974807</v>
      </c>
      <c r="DB345" s="684">
        <f t="shared" si="237"/>
        <v>0.16914080071974807</v>
      </c>
      <c r="DC345" s="290"/>
      <c r="DD345" s="684">
        <f t="shared" ref="DD345:DF345" si="238">DD343/DD336</f>
        <v>0.14620689655172414</v>
      </c>
      <c r="DE345" s="684">
        <f t="shared" si="238"/>
        <v>0.12347354138398914</v>
      </c>
      <c r="DF345" s="684">
        <f t="shared" si="238"/>
        <v>0.12347354138398914</v>
      </c>
      <c r="DG345" s="911"/>
      <c r="DH345" s="684">
        <f t="shared" ref="DH345" si="239">DH343/DH336</f>
        <v>0.10463045414069456</v>
      </c>
      <c r="DI345" s="913">
        <v>0.1</v>
      </c>
      <c r="DJ345" s="914">
        <f>DI345</f>
        <v>0.1</v>
      </c>
      <c r="DK345" s="911"/>
      <c r="DL345" s="913">
        <v>0.11</v>
      </c>
      <c r="DM345" s="913">
        <v>0.11</v>
      </c>
      <c r="DN345" s="914">
        <f>DM345</f>
        <v>0.11</v>
      </c>
      <c r="DO345" s="911"/>
      <c r="DP345" s="913">
        <v>0.11</v>
      </c>
      <c r="DQ345" s="913">
        <v>0.11</v>
      </c>
      <c r="DR345" s="914">
        <f>DQ345</f>
        <v>0.11</v>
      </c>
      <c r="DS345" s="911"/>
      <c r="DT345" s="911"/>
      <c r="DU345" s="335"/>
      <c r="DV345" s="335"/>
      <c r="DW345" s="335"/>
      <c r="DX345" s="911"/>
      <c r="DY345" s="911"/>
      <c r="DZ345" s="335"/>
      <c r="EA345" s="335"/>
      <c r="EB345" s="911"/>
      <c r="EC345" s="911"/>
      <c r="ED345" s="335"/>
      <c r="EE345" s="335"/>
      <c r="EF345" s="911"/>
      <c r="EG345" s="911"/>
      <c r="EH345" s="911"/>
      <c r="EI345" s="911"/>
      <c r="EJ345" s="911"/>
      <c r="EK345" s="911"/>
      <c r="EL345" s="290"/>
      <c r="EM345" s="290"/>
      <c r="EN345" s="290"/>
      <c r="EO345" s="290"/>
      <c r="EP345" s="290"/>
      <c r="JM345"/>
    </row>
    <row r="346" spans="1:273" s="289" customFormat="1">
      <c r="B346" s="290"/>
      <c r="AN346" s="290"/>
      <c r="AO346" s="290"/>
      <c r="AP346" s="290"/>
      <c r="AQ346" s="290"/>
      <c r="AR346" s="290"/>
      <c r="AS346" s="290"/>
      <c r="AT346" s="290"/>
      <c r="AU346" s="290"/>
      <c r="AV346" s="295"/>
      <c r="AW346" s="295"/>
      <c r="AX346" s="290"/>
      <c r="AY346" s="290"/>
      <c r="AZ346" s="295"/>
      <c r="BA346" s="295"/>
      <c r="BB346" s="290"/>
      <c r="BC346" s="290"/>
      <c r="BD346" s="295"/>
      <c r="BE346" s="295"/>
      <c r="BF346" s="290"/>
      <c r="BG346" s="290"/>
      <c r="BH346" s="295"/>
      <c r="BI346" s="295"/>
      <c r="BJ346" s="295"/>
      <c r="BK346" s="290"/>
      <c r="BL346" s="295"/>
      <c r="BM346" s="295"/>
      <c r="BN346" s="295"/>
      <c r="BO346" s="905"/>
      <c r="BP346" s="295"/>
      <c r="BQ346" s="295"/>
      <c r="BR346" s="295"/>
      <c r="BS346" s="905"/>
      <c r="BT346" s="295"/>
      <c r="BU346" s="295"/>
      <c r="BV346" s="295"/>
      <c r="BW346" s="905"/>
      <c r="BX346" s="295"/>
      <c r="BY346" s="295"/>
      <c r="BZ346" s="295"/>
      <c r="CA346" s="290"/>
      <c r="CB346" s="295"/>
      <c r="CC346" s="295"/>
      <c r="CD346" s="295"/>
      <c r="CE346" s="581"/>
      <c r="CF346" s="295"/>
      <c r="CG346" s="295"/>
      <c r="CH346" s="295"/>
      <c r="CI346" s="581"/>
      <c r="CJ346" s="295"/>
      <c r="CK346" s="295"/>
      <c r="CL346" s="295"/>
      <c r="CM346" s="581"/>
      <c r="CN346" s="801">
        <f>220/158</f>
        <v>1.3924050632911393</v>
      </c>
      <c r="CO346" s="295"/>
      <c r="CP346" s="295"/>
      <c r="CQ346" s="581"/>
      <c r="CR346" s="295"/>
      <c r="CS346" s="295"/>
      <c r="CT346" s="295"/>
      <c r="CU346" s="290"/>
      <c r="CV346" s="295"/>
      <c r="CW346" s="295"/>
      <c r="CX346" s="295"/>
      <c r="CY346" s="290"/>
      <c r="CZ346" s="295"/>
      <c r="DA346" s="295"/>
      <c r="DB346" s="295"/>
      <c r="DC346" s="290"/>
      <c r="DD346" s="295"/>
      <c r="DE346" s="295"/>
      <c r="DF346" s="295"/>
      <c r="DG346" s="290"/>
      <c r="DH346" s="295"/>
      <c r="DI346" s="295"/>
      <c r="DJ346" s="295"/>
      <c r="DK346" s="290"/>
      <c r="DL346" s="295"/>
      <c r="DM346" s="295"/>
      <c r="DN346" s="295"/>
      <c r="DO346" s="290"/>
      <c r="DP346" s="295"/>
      <c r="DQ346" s="295"/>
      <c r="DR346" s="295"/>
      <c r="DS346" s="290"/>
      <c r="DT346" s="290"/>
      <c r="DU346" s="295"/>
      <c r="DV346" s="295"/>
      <c r="DW346" s="295"/>
      <c r="DX346" s="290"/>
      <c r="DY346" s="290"/>
      <c r="DZ346" s="295"/>
      <c r="EA346" s="295"/>
      <c r="EB346" s="290"/>
      <c r="EC346" s="290"/>
      <c r="ED346" s="295"/>
      <c r="EE346" s="295"/>
      <c r="EF346" s="290"/>
      <c r="EG346" s="290"/>
      <c r="EH346" s="290"/>
      <c r="EI346" s="290"/>
      <c r="EJ346" s="290"/>
      <c r="EK346" s="290"/>
      <c r="EL346" s="290"/>
      <c r="EM346" s="290"/>
      <c r="EN346" s="290"/>
      <c r="EO346" s="290"/>
      <c r="EP346" s="290"/>
      <c r="JM346"/>
    </row>
    <row r="347" spans="1:273" s="289" customFormat="1">
      <c r="A347" s="289" t="s">
        <v>1030</v>
      </c>
      <c r="B347" s="290"/>
      <c r="AN347" s="290"/>
      <c r="AO347" s="290"/>
      <c r="AP347" s="290"/>
      <c r="AQ347" s="290"/>
      <c r="AR347" s="290"/>
      <c r="AS347" s="290"/>
      <c r="AT347" s="290"/>
      <c r="AU347" s="290"/>
      <c r="AV347" s="295"/>
      <c r="AW347" s="295"/>
      <c r="AX347" s="290"/>
      <c r="AY347" s="290"/>
      <c r="AZ347" s="295"/>
      <c r="BA347" s="295"/>
      <c r="BB347" s="290"/>
      <c r="BC347" s="290"/>
      <c r="BD347" s="295"/>
      <c r="BE347" s="295"/>
      <c r="BF347" s="290"/>
      <c r="BG347" s="290"/>
      <c r="BH347" s="295"/>
      <c r="BI347" s="295"/>
      <c r="BJ347" s="295"/>
      <c r="BK347" s="290"/>
      <c r="BL347" s="295"/>
      <c r="BM347" s="295"/>
      <c r="BN347" s="295"/>
      <c r="BO347" s="905"/>
      <c r="BP347" s="295"/>
      <c r="BQ347" s="295"/>
      <c r="BR347" s="295"/>
      <c r="BS347" s="905"/>
      <c r="BT347" s="295">
        <f>BR336</f>
        <v>66200</v>
      </c>
      <c r="BU347" s="295">
        <f>BT354</f>
        <v>71600</v>
      </c>
      <c r="BV347" s="295">
        <f>BT347</f>
        <v>66200</v>
      </c>
      <c r="BW347" s="905"/>
      <c r="BX347" s="295">
        <f>BV336</f>
        <v>66500</v>
      </c>
      <c r="BY347" s="295">
        <f>BX354</f>
        <v>72000</v>
      </c>
      <c r="BZ347" s="295">
        <f>BX347</f>
        <v>66500</v>
      </c>
      <c r="CA347" s="290"/>
      <c r="CB347" s="295">
        <f>BZ336</f>
        <v>77200</v>
      </c>
      <c r="CC347" s="295">
        <f>CB354</f>
        <v>79500</v>
      </c>
      <c r="CD347" s="295">
        <f>CB347</f>
        <v>77200</v>
      </c>
      <c r="CE347" s="581"/>
      <c r="CF347" s="295">
        <f>CD336</f>
        <v>86200</v>
      </c>
      <c r="CG347" s="295">
        <f>CF354</f>
        <v>115600</v>
      </c>
      <c r="CH347" s="295">
        <f>CF347</f>
        <v>86200</v>
      </c>
      <c r="CI347" s="581"/>
      <c r="CJ347" s="295">
        <f>CH336</f>
        <v>127900</v>
      </c>
      <c r="CK347" s="295">
        <f>CJ354</f>
        <v>134400</v>
      </c>
      <c r="CL347" s="295">
        <f>CJ347</f>
        <v>127900</v>
      </c>
      <c r="CM347" s="581"/>
      <c r="CN347" s="295">
        <f>CL336</f>
        <v>149300</v>
      </c>
      <c r="CO347" s="295">
        <f>CN354</f>
        <v>139800</v>
      </c>
      <c r="CP347" s="295">
        <f>CN347</f>
        <v>149300</v>
      </c>
      <c r="CQ347" s="581"/>
      <c r="CR347" s="295">
        <f>CP336</f>
        <v>142000</v>
      </c>
      <c r="CS347" s="295">
        <f>CR354</f>
        <v>158800</v>
      </c>
      <c r="CT347" s="295">
        <f>CR347</f>
        <v>142000</v>
      </c>
      <c r="CU347" s="290"/>
      <c r="CV347" s="295">
        <f>CT336</f>
        <v>158300</v>
      </c>
      <c r="CW347" s="295">
        <f>CV354</f>
        <v>188500</v>
      </c>
      <c r="CX347" s="295">
        <f>CV347</f>
        <v>158300</v>
      </c>
      <c r="CY347" s="290"/>
      <c r="CZ347" s="295">
        <f>CX336</f>
        <v>205800</v>
      </c>
      <c r="DA347" s="295">
        <f>CZ354</f>
        <v>210000</v>
      </c>
      <c r="DB347" s="295">
        <f>CZ347</f>
        <v>205800</v>
      </c>
      <c r="DC347" s="290"/>
      <c r="DD347" s="295">
        <f>DB336</f>
        <v>222300</v>
      </c>
      <c r="DE347" s="295">
        <f>DD354</f>
        <v>217500</v>
      </c>
      <c r="DF347" s="295">
        <f>DD347</f>
        <v>222300</v>
      </c>
      <c r="DG347" s="290"/>
      <c r="DH347" s="295">
        <f>DF336</f>
        <v>221100</v>
      </c>
      <c r="DI347" s="295">
        <f>DH354</f>
        <v>224600</v>
      </c>
      <c r="DJ347" s="295">
        <f>DH347</f>
        <v>221100</v>
      </c>
      <c r="DK347" s="290"/>
      <c r="DL347" s="295">
        <f>DJ336</f>
        <v>235239.27123287672</v>
      </c>
      <c r="DM347" s="295">
        <f>DL354</f>
        <v>242905.49351045222</v>
      </c>
      <c r="DN347" s="295">
        <f>DL347</f>
        <v>235239.27123287672</v>
      </c>
      <c r="DO347" s="290"/>
      <c r="DP347" s="295">
        <f>DN336</f>
        <v>251989.49347324035</v>
      </c>
      <c r="DQ347" s="295">
        <f>DP354</f>
        <v>260179.15201112066</v>
      </c>
      <c r="DR347" s="295">
        <f>DP347</f>
        <v>251989.49347324035</v>
      </c>
      <c r="DS347" s="290"/>
      <c r="DT347" s="290"/>
      <c r="DU347" s="295"/>
      <c r="DV347" s="295"/>
      <c r="DW347" s="295"/>
      <c r="DX347" s="290"/>
      <c r="DY347" s="290"/>
      <c r="DZ347" s="295"/>
      <c r="EA347" s="295"/>
      <c r="EB347" s="290"/>
      <c r="EC347" s="290"/>
      <c r="ED347" s="295"/>
      <c r="EE347" s="295"/>
      <c r="EF347" s="290"/>
      <c r="EG347" s="290"/>
      <c r="EH347" s="290"/>
      <c r="EI347" s="290"/>
      <c r="EJ347" s="290"/>
      <c r="EK347" s="290"/>
      <c r="EL347" s="290"/>
      <c r="EM347" s="290"/>
      <c r="EN347" s="290"/>
      <c r="EO347" s="290"/>
      <c r="EP347" s="290"/>
      <c r="JM347"/>
    </row>
    <row r="348" spans="1:273" s="289" customFormat="1">
      <c r="A348" s="102" t="s">
        <v>1031</v>
      </c>
      <c r="B348" s="290"/>
      <c r="AN348" s="290"/>
      <c r="AO348" s="290"/>
      <c r="AP348" s="290"/>
      <c r="AQ348" s="290"/>
      <c r="AR348" s="290"/>
      <c r="AS348" s="290"/>
      <c r="AT348" s="290"/>
      <c r="AU348" s="290"/>
      <c r="AV348" s="295"/>
      <c r="AW348" s="295"/>
      <c r="AX348" s="290"/>
      <c r="AY348" s="290"/>
      <c r="AZ348" s="295"/>
      <c r="BA348" s="295"/>
      <c r="BB348" s="290"/>
      <c r="BC348" s="290"/>
      <c r="BD348" s="295"/>
      <c r="BE348" s="295"/>
      <c r="BF348" s="290"/>
      <c r="BG348" s="290"/>
      <c r="BH348" s="295"/>
      <c r="BI348" s="295"/>
      <c r="BJ348" s="295"/>
      <c r="BK348" s="290"/>
      <c r="BL348" s="295"/>
      <c r="BM348" s="295"/>
      <c r="BN348" s="295"/>
      <c r="BO348" s="905"/>
      <c r="BP348" s="295"/>
      <c r="BQ348" s="295"/>
      <c r="BR348" s="295"/>
      <c r="BS348" s="905"/>
      <c r="BT348" s="917">
        <v>1300</v>
      </c>
      <c r="BU348" s="293">
        <f>+BV348-BT348</f>
        <v>2400</v>
      </c>
      <c r="BV348" s="917">
        <v>3700</v>
      </c>
      <c r="BW348" s="905"/>
      <c r="BX348" s="917">
        <v>7400</v>
      </c>
      <c r="BY348" s="492">
        <f>+BZ348-BX348</f>
        <v>8200</v>
      </c>
      <c r="BZ348" s="917">
        <v>15600</v>
      </c>
      <c r="CA348" s="290"/>
      <c r="CB348" s="626">
        <v>6200</v>
      </c>
      <c r="CC348" s="918">
        <f>+CD348-CB348</f>
        <v>9300</v>
      </c>
      <c r="CD348" s="917">
        <v>15500</v>
      </c>
      <c r="CE348" s="581"/>
      <c r="CF348" s="626">
        <v>7800</v>
      </c>
      <c r="CG348" s="918">
        <f>+CH348-CF348</f>
        <v>11100</v>
      </c>
      <c r="CH348" s="917">
        <v>18900</v>
      </c>
      <c r="CI348" s="581"/>
      <c r="CJ348" s="626">
        <v>5600</v>
      </c>
      <c r="CK348" s="918">
        <f>+CL348-CJ348</f>
        <v>14500</v>
      </c>
      <c r="CL348" s="917">
        <v>20100</v>
      </c>
      <c r="CM348" s="581"/>
      <c r="CN348" s="917">
        <v>8900</v>
      </c>
      <c r="CO348" s="918">
        <f>+CP348-CN348</f>
        <v>12900</v>
      </c>
      <c r="CP348" s="917">
        <v>21800</v>
      </c>
      <c r="CQ348" s="581"/>
      <c r="CR348" s="917">
        <v>12700</v>
      </c>
      <c r="CS348" s="918">
        <f>+CT348-CR348</f>
        <v>14300</v>
      </c>
      <c r="CT348" s="917">
        <v>27000</v>
      </c>
      <c r="CU348" s="290"/>
      <c r="CV348" s="917">
        <v>22500</v>
      </c>
      <c r="CW348" s="918">
        <f>+CX348-CV348</f>
        <v>15700</v>
      </c>
      <c r="CX348" s="917">
        <v>38200</v>
      </c>
      <c r="CY348" s="290"/>
      <c r="CZ348" s="917">
        <v>8000</v>
      </c>
      <c r="DA348" s="918">
        <f>+DB348-CZ348</f>
        <v>13900</v>
      </c>
      <c r="DB348" s="1391">
        <v>21900</v>
      </c>
      <c r="DC348" s="290"/>
      <c r="DD348" s="917">
        <v>7200</v>
      </c>
      <c r="DE348" s="918">
        <f>+DF348-DD348</f>
        <v>10800</v>
      </c>
      <c r="DF348" s="2175">
        <v>18000</v>
      </c>
      <c r="DG348" s="911"/>
      <c r="DH348" s="917">
        <v>10700</v>
      </c>
      <c r="DI348" s="915">
        <f>+DI$347*DI358*(DI$1/DI$2)</f>
        <v>12319.156164383561</v>
      </c>
      <c r="DJ348" s="888">
        <f>+DH348+DI348</f>
        <v>23019.156164383559</v>
      </c>
      <c r="DK348" s="911"/>
      <c r="DL348" s="915">
        <f>+DL$347*DL358*(DL$1/DL$2)</f>
        <v>12973.606931281669</v>
      </c>
      <c r="DM348" s="915">
        <f>+DM$347*DM358*(DM$1/DM$2)</f>
        <v>14534.399940461029</v>
      </c>
      <c r="DN348" s="888">
        <f>+DL348+DM348</f>
        <v>27508.006871742698</v>
      </c>
      <c r="DO348" s="290"/>
      <c r="DP348" s="915">
        <f>+DP$347*DP358*(DP$1/DP$2)</f>
        <v>13859.422141028219</v>
      </c>
      <c r="DQ348" s="915">
        <f>+DQ$347*DQ358*(DQ$1/DQ$2)</f>
        <v>15610.749120667238</v>
      </c>
      <c r="DR348" s="888">
        <f>+DP348+DQ348</f>
        <v>29470.171261695457</v>
      </c>
      <c r="DS348" s="290"/>
      <c r="DT348" s="290"/>
      <c r="DU348" s="295"/>
      <c r="DV348" s="295"/>
      <c r="DW348" s="295"/>
      <c r="DX348" s="290"/>
      <c r="DY348" s="290"/>
      <c r="DZ348" s="295"/>
      <c r="EA348" s="295"/>
      <c r="EB348" s="290"/>
      <c r="EC348" s="290"/>
      <c r="ED348" s="295"/>
      <c r="EE348" s="295"/>
      <c r="EF348" s="290"/>
      <c r="EG348" s="290"/>
      <c r="EH348" s="290"/>
      <c r="EI348" s="290"/>
      <c r="EJ348" s="290"/>
      <c r="EK348" s="290"/>
      <c r="EL348" s="290"/>
      <c r="EM348" s="290"/>
      <c r="EN348" s="290"/>
      <c r="EO348" s="290"/>
      <c r="EP348" s="290"/>
      <c r="JM348"/>
    </row>
    <row r="349" spans="1:273" s="289" customFormat="1">
      <c r="A349" s="102" t="s">
        <v>1405</v>
      </c>
      <c r="B349" s="290"/>
      <c r="AN349" s="290"/>
      <c r="AO349" s="290"/>
      <c r="AP349" s="290"/>
      <c r="AQ349" s="290"/>
      <c r="AR349" s="290"/>
      <c r="AS349" s="290"/>
      <c r="AT349" s="290"/>
      <c r="AU349" s="290"/>
      <c r="AV349" s="295"/>
      <c r="AW349" s="295"/>
      <c r="AX349" s="290"/>
      <c r="AY349" s="290"/>
      <c r="AZ349" s="295"/>
      <c r="BA349" s="295"/>
      <c r="BB349" s="290"/>
      <c r="BC349" s="290"/>
      <c r="BD349" s="295"/>
      <c r="BE349" s="295"/>
      <c r="BF349" s="290"/>
      <c r="BG349" s="290"/>
      <c r="BH349" s="295"/>
      <c r="BI349" s="295"/>
      <c r="BJ349" s="295"/>
      <c r="BK349" s="290"/>
      <c r="BL349" s="295"/>
      <c r="BM349" s="295"/>
      <c r="BN349" s="295"/>
      <c r="BO349" s="905"/>
      <c r="BP349" s="295"/>
      <c r="BQ349" s="295"/>
      <c r="BR349" s="295"/>
      <c r="BS349" s="905"/>
      <c r="BT349" s="331">
        <f>BT357</f>
        <v>-300</v>
      </c>
      <c r="BU349" s="331">
        <f>+BV349-BT349</f>
        <v>-2200</v>
      </c>
      <c r="BV349" s="331">
        <f>BV357</f>
        <v>-2500</v>
      </c>
      <c r="BW349" s="905"/>
      <c r="BX349" s="331">
        <f>BX357</f>
        <v>-2000</v>
      </c>
      <c r="BY349" s="492">
        <f>+BZ349-BX349</f>
        <v>-1900</v>
      </c>
      <c r="BZ349" s="917">
        <v>-3900</v>
      </c>
      <c r="CA349" s="290"/>
      <c r="CB349" s="626">
        <v>-6700</v>
      </c>
      <c r="CC349" s="918">
        <f>+CD349-CB349</f>
        <v>-2600</v>
      </c>
      <c r="CD349" s="917">
        <v>-9300</v>
      </c>
      <c r="CE349" s="581"/>
      <c r="CF349" s="626">
        <v>-2400</v>
      </c>
      <c r="CG349" s="918">
        <f>+CH349-CF349</f>
        <v>-10000</v>
      </c>
      <c r="CH349" s="917">
        <f>-7500-4900</f>
        <v>-12400</v>
      </c>
      <c r="CI349" s="581"/>
      <c r="CJ349" s="626">
        <v>-2600</v>
      </c>
      <c r="CK349" s="918">
        <f>+CL349-CJ349</f>
        <v>-8900</v>
      </c>
      <c r="CL349" s="917">
        <f>-2600-8900</f>
        <v>-11500</v>
      </c>
      <c r="CM349" s="581"/>
      <c r="CN349" s="917">
        <v>-4400</v>
      </c>
      <c r="CO349" s="918">
        <f>+CP349-CN349</f>
        <v>-6200</v>
      </c>
      <c r="CP349" s="917">
        <f>-4400-6200</f>
        <v>-10600</v>
      </c>
      <c r="CQ349" s="581"/>
      <c r="CR349" s="1711">
        <v>-7600</v>
      </c>
      <c r="CS349" s="918">
        <f>+CT349-CR349</f>
        <v>-3666.6666666666661</v>
      </c>
      <c r="CT349" s="1711">
        <f>-16900/1.5</f>
        <v>-11266.666666666666</v>
      </c>
      <c r="CU349" s="290"/>
      <c r="CV349" s="1711">
        <f>-6300/1.6</f>
        <v>-3937.5</v>
      </c>
      <c r="CW349" s="918">
        <f>+CX349-CV349</f>
        <v>-6312.5</v>
      </c>
      <c r="CX349" s="1711">
        <f>-16400/1.6</f>
        <v>-10250</v>
      </c>
      <c r="CY349" s="290"/>
      <c r="CZ349" s="1711">
        <f>(-5100-17100)/1.6</f>
        <v>-13875</v>
      </c>
      <c r="DA349" s="918">
        <f>+DB349-CZ349</f>
        <v>-2125</v>
      </c>
      <c r="DB349" s="1711">
        <f>(-8500-17100)/1.6</f>
        <v>-16000</v>
      </c>
      <c r="DC349" s="290"/>
      <c r="DD349" s="1711">
        <f>(-4200-9500)/1.6</f>
        <v>-8562.5</v>
      </c>
      <c r="DE349" s="918">
        <f>+DF349-DD349</f>
        <v>-15062.5</v>
      </c>
      <c r="DF349" s="2175">
        <f>(-29000-8800)/1.6</f>
        <v>-23625</v>
      </c>
      <c r="DG349" s="911"/>
      <c r="DH349" s="1711">
        <f>(-1800+23500-27300)/1.6</f>
        <v>-3500</v>
      </c>
      <c r="DI349" s="915">
        <f>+DI$347*DI359*(DI$1/DI$2)</f>
        <v>-4479.6931506849314</v>
      </c>
      <c r="DJ349" s="888">
        <f>+DH349+DI349</f>
        <v>-7979.6931506849314</v>
      </c>
      <c r="DK349" s="911"/>
      <c r="DL349" s="915">
        <f>+DL$347*DL359*(DL$1/DL$2)</f>
        <v>-7076.5128716081817</v>
      </c>
      <c r="DM349" s="915">
        <f>+DM$347*DM359*(DM$1/DM$2)</f>
        <v>-7267.1999702305147</v>
      </c>
      <c r="DN349" s="888">
        <f>+DL349+DM349</f>
        <v>-14343.712841838696</v>
      </c>
      <c r="DO349" s="290"/>
      <c r="DP349" s="915">
        <f>+DP$347*DP359*(DP$1/DP$2)</f>
        <v>-7559.6848041972098</v>
      </c>
      <c r="DQ349" s="915">
        <f>+DQ$347*DQ359*(DQ$1/DQ$2)</f>
        <v>-7805.3745603336192</v>
      </c>
      <c r="DR349" s="888">
        <f>+DP349+DQ349</f>
        <v>-15365.059364530829</v>
      </c>
      <c r="DS349" s="290"/>
      <c r="DT349" s="290"/>
      <c r="DU349" s="295"/>
      <c r="DV349" s="295"/>
      <c r="DW349" s="295"/>
      <c r="DX349" s="290"/>
      <c r="DY349" s="290"/>
      <c r="DZ349" s="295"/>
      <c r="EA349" s="295"/>
      <c r="EB349" s="290"/>
      <c r="EC349" s="290"/>
      <c r="ED349" s="295"/>
      <c r="EE349" s="295"/>
      <c r="EF349" s="290"/>
      <c r="EG349" s="290"/>
      <c r="EH349" s="290"/>
      <c r="EI349" s="290"/>
      <c r="EJ349" s="290"/>
      <c r="EK349" s="290"/>
      <c r="EL349" s="290"/>
      <c r="EM349" s="290"/>
      <c r="EN349" s="290"/>
      <c r="EO349" s="290"/>
      <c r="EP349" s="290"/>
      <c r="JM349"/>
    </row>
    <row r="350" spans="1:273" s="289" customFormat="1">
      <c r="A350" s="289" t="s">
        <v>1051</v>
      </c>
      <c r="B350" s="290"/>
      <c r="AN350" s="290"/>
      <c r="AO350" s="290"/>
      <c r="AP350" s="290"/>
      <c r="AQ350" s="290"/>
      <c r="AR350" s="290"/>
      <c r="AS350" s="290"/>
      <c r="AT350" s="290"/>
      <c r="AU350" s="290"/>
      <c r="AV350" s="295"/>
      <c r="AW350" s="295"/>
      <c r="AX350" s="290"/>
      <c r="AY350" s="290"/>
      <c r="AZ350" s="295"/>
      <c r="BA350" s="295"/>
      <c r="BB350" s="290"/>
      <c r="BC350" s="290"/>
      <c r="BD350" s="295"/>
      <c r="BE350" s="295"/>
      <c r="BF350" s="290"/>
      <c r="BG350" s="290"/>
      <c r="BH350" s="295"/>
      <c r="BI350" s="295"/>
      <c r="BJ350" s="295"/>
      <c r="BK350" s="290"/>
      <c r="BL350" s="295"/>
      <c r="BM350" s="295"/>
      <c r="BN350" s="295"/>
      <c r="BO350" s="905"/>
      <c r="BP350" s="295"/>
      <c r="BQ350" s="295"/>
      <c r="BR350" s="295"/>
      <c r="BS350" s="905"/>
      <c r="BT350" s="295">
        <f>BT348+BT349</f>
        <v>1000</v>
      </c>
      <c r="BU350" s="295">
        <f>BU348+BU349</f>
        <v>200</v>
      </c>
      <c r="BV350" s="295">
        <f>BV348+BV349</f>
        <v>1200</v>
      </c>
      <c r="BW350" s="290"/>
      <c r="BX350" s="295">
        <f>BX348+BX349</f>
        <v>5400</v>
      </c>
      <c r="BY350" s="295">
        <f>BY348+BY349</f>
        <v>6300</v>
      </c>
      <c r="BZ350" s="295">
        <f>BZ348+BZ349</f>
        <v>11700</v>
      </c>
      <c r="CA350" s="290"/>
      <c r="CB350" s="295">
        <f>CB348+CB349</f>
        <v>-500</v>
      </c>
      <c r="CC350" s="295">
        <f>CC348+CC349</f>
        <v>6700</v>
      </c>
      <c r="CD350" s="295">
        <f>CD348+CD349</f>
        <v>6200</v>
      </c>
      <c r="CE350" s="581"/>
      <c r="CF350" s="295">
        <f>CF348+CF349</f>
        <v>5400</v>
      </c>
      <c r="CG350" s="295">
        <f>CG348+CG349</f>
        <v>1100</v>
      </c>
      <c r="CH350" s="295">
        <f>CH348+CH349</f>
        <v>6500</v>
      </c>
      <c r="CI350" s="581"/>
      <c r="CJ350" s="295">
        <f>CJ348+CJ349</f>
        <v>3000</v>
      </c>
      <c r="CK350" s="295">
        <f>CK348+CK349</f>
        <v>5600</v>
      </c>
      <c r="CL350" s="295">
        <f>CL348+CL349</f>
        <v>8600</v>
      </c>
      <c r="CM350" s="581"/>
      <c r="CN350" s="295">
        <f>CN348+CN349</f>
        <v>4500</v>
      </c>
      <c r="CO350" s="295">
        <f>CO348+CO349</f>
        <v>6700</v>
      </c>
      <c r="CP350" s="295">
        <f>CP348+CP349</f>
        <v>11200</v>
      </c>
      <c r="CQ350" s="581"/>
      <c r="CR350" s="295">
        <f>CR348+CR349</f>
        <v>5100</v>
      </c>
      <c r="CS350" s="295">
        <f>CS348+CS349</f>
        <v>10633.333333333334</v>
      </c>
      <c r="CT350" s="295">
        <f>CT348+CT349</f>
        <v>15733.333333333334</v>
      </c>
      <c r="CU350" s="290"/>
      <c r="CV350" s="295">
        <f>CV348+CV349</f>
        <v>18562.5</v>
      </c>
      <c r="CW350" s="295">
        <f>CW348+CW349</f>
        <v>9387.5</v>
      </c>
      <c r="CX350" s="295">
        <f>CX348+CX349</f>
        <v>27950</v>
      </c>
      <c r="CY350" s="290"/>
      <c r="CZ350" s="295">
        <f>CZ348+CZ349</f>
        <v>-5875</v>
      </c>
      <c r="DA350" s="295">
        <f>DA348+DA349</f>
        <v>11775</v>
      </c>
      <c r="DB350" s="295">
        <f>DB348+DB349</f>
        <v>5900</v>
      </c>
      <c r="DC350" s="290"/>
      <c r="DD350" s="295">
        <f>DD348+DD349</f>
        <v>-1362.5</v>
      </c>
      <c r="DE350" s="295">
        <f>DE348+DE349</f>
        <v>-4262.5</v>
      </c>
      <c r="DF350" s="295">
        <f>DF348+DF349</f>
        <v>-5625</v>
      </c>
      <c r="DG350" s="290"/>
      <c r="DH350" s="295">
        <f>DH348+DH349</f>
        <v>7200</v>
      </c>
      <c r="DI350" s="295">
        <f>DI348+DI349</f>
        <v>7839.4630136986298</v>
      </c>
      <c r="DJ350" s="295">
        <f>DJ348+DJ349</f>
        <v>15039.463013698627</v>
      </c>
      <c r="DK350" s="290"/>
      <c r="DL350" s="295">
        <f>DL348+DL349</f>
        <v>5897.0940596734872</v>
      </c>
      <c r="DM350" s="295">
        <f>DM348+DM349</f>
        <v>7267.1999702305147</v>
      </c>
      <c r="DN350" s="295">
        <f>DN348+DN349</f>
        <v>13164.294029904002</v>
      </c>
      <c r="DO350" s="290"/>
      <c r="DP350" s="295">
        <f>DP348+DP349</f>
        <v>6299.7373368310091</v>
      </c>
      <c r="DQ350" s="295">
        <f>DQ348+DQ349</f>
        <v>7805.3745603336192</v>
      </c>
      <c r="DR350" s="295">
        <f>DR348+DR349</f>
        <v>14105.111897164628</v>
      </c>
      <c r="DS350" s="290"/>
      <c r="DT350" s="290"/>
      <c r="DU350" s="295"/>
      <c r="DV350" s="295"/>
      <c r="DW350" s="295"/>
      <c r="DX350" s="290"/>
      <c r="DY350" s="290"/>
      <c r="DZ350" s="295"/>
      <c r="EA350" s="295"/>
      <c r="EB350" s="290"/>
      <c r="EC350" s="290"/>
      <c r="ED350" s="295"/>
      <c r="EE350" s="295"/>
      <c r="EF350" s="290"/>
      <c r="EG350" s="290"/>
      <c r="EH350" s="290"/>
      <c r="EI350" s="290"/>
      <c r="EJ350" s="290"/>
      <c r="EK350" s="290"/>
      <c r="EL350" s="290"/>
      <c r="EM350" s="290"/>
      <c r="EN350" s="290"/>
      <c r="EO350" s="290"/>
      <c r="EP350" s="290"/>
      <c r="JM350"/>
    </row>
    <row r="351" spans="1:273" s="289" customFormat="1">
      <c r="A351" s="102" t="s">
        <v>1083</v>
      </c>
      <c r="B351" s="290"/>
      <c r="AN351" s="290"/>
      <c r="AO351" s="290"/>
      <c r="AP351" s="290"/>
      <c r="AQ351" s="290"/>
      <c r="AR351" s="290"/>
      <c r="AS351" s="290"/>
      <c r="AT351" s="290"/>
      <c r="AU351" s="290"/>
      <c r="AV351" s="295"/>
      <c r="AW351" s="295"/>
      <c r="AX351" s="290"/>
      <c r="AY351" s="290"/>
      <c r="AZ351" s="295"/>
      <c r="BA351" s="295"/>
      <c r="BB351" s="290"/>
      <c r="BC351" s="290"/>
      <c r="BD351" s="295"/>
      <c r="BE351" s="295"/>
      <c r="BF351" s="290"/>
      <c r="BG351" s="290"/>
      <c r="BH351" s="295"/>
      <c r="BI351" s="295"/>
      <c r="BJ351" s="295"/>
      <c r="BK351" s="290"/>
      <c r="BL351" s="295"/>
      <c r="BM351" s="295"/>
      <c r="BN351" s="295"/>
      <c r="BO351" s="672"/>
      <c r="BP351" s="295"/>
      <c r="BQ351" s="295"/>
      <c r="BR351" s="295"/>
      <c r="BS351" s="672"/>
      <c r="BT351" s="917">
        <v>500</v>
      </c>
      <c r="BU351" s="293">
        <f>+BV351-BT351</f>
        <v>500</v>
      </c>
      <c r="BV351" s="917">
        <v>1000</v>
      </c>
      <c r="BW351" s="672"/>
      <c r="BX351" s="917">
        <v>650</v>
      </c>
      <c r="BY351" s="492">
        <f>+BZ351-BX351</f>
        <v>650</v>
      </c>
      <c r="BZ351" s="917">
        <v>1300</v>
      </c>
      <c r="CA351" s="290"/>
      <c r="CB351" s="626">
        <v>-300</v>
      </c>
      <c r="CC351" s="918">
        <f>+CD351-CB351</f>
        <v>-3900</v>
      </c>
      <c r="CD351" s="917">
        <v>-4200</v>
      </c>
      <c r="CE351" s="581"/>
      <c r="CF351" s="626">
        <v>2100</v>
      </c>
      <c r="CG351" s="918">
        <f>+CH351-CF351</f>
        <v>200</v>
      </c>
      <c r="CH351" s="917">
        <v>2300</v>
      </c>
      <c r="CI351" s="581"/>
      <c r="CJ351" s="626">
        <v>500</v>
      </c>
      <c r="CK351" s="918">
        <f>+CL351-CJ351</f>
        <v>-2400</v>
      </c>
      <c r="CL351" s="917">
        <f>500-2400</f>
        <v>-1900</v>
      </c>
      <c r="CM351" s="581"/>
      <c r="CN351" s="1391">
        <v>700</v>
      </c>
      <c r="CO351" s="1716">
        <f>+CP351-CN351</f>
        <v>1000</v>
      </c>
      <c r="CP351" s="1391">
        <f>1000+700</f>
        <v>1700</v>
      </c>
      <c r="CQ351" s="1430"/>
      <c r="CR351" s="1717">
        <f>3900/1.5</f>
        <v>2600</v>
      </c>
      <c r="CS351" s="1716">
        <f>+CT351-CR351</f>
        <v>7000</v>
      </c>
      <c r="CT351" s="1717">
        <f>14400/1.5</f>
        <v>9600</v>
      </c>
      <c r="CU351" s="290"/>
      <c r="CV351" s="1711">
        <f>7900/1.6</f>
        <v>4937.5</v>
      </c>
      <c r="CW351" s="1716">
        <f>+CX351-CV351</f>
        <v>5187.5</v>
      </c>
      <c r="CX351" s="1717">
        <f>16200/1.6</f>
        <v>10125</v>
      </c>
      <c r="CY351" s="290"/>
      <c r="CZ351" s="1711">
        <f>6900/1.6</f>
        <v>4312.5</v>
      </c>
      <c r="DA351" s="1716">
        <f>+DB351-CZ351</f>
        <v>6500</v>
      </c>
      <c r="DB351" s="1711">
        <f>17300/1.6</f>
        <v>10812.5</v>
      </c>
      <c r="DC351" s="290"/>
      <c r="DD351" s="1711">
        <f>13900/1.6</f>
        <v>8687.5</v>
      </c>
      <c r="DE351" s="1716">
        <f>+DF351-DD351</f>
        <v>7500</v>
      </c>
      <c r="DF351" s="2175">
        <f>25900/1.6</f>
        <v>16187.5</v>
      </c>
      <c r="DG351" s="290"/>
      <c r="DH351" s="1711">
        <f>21600/1.6</f>
        <v>13500</v>
      </c>
      <c r="DI351" s="293">
        <f t="shared" ref="DI351" si="240">+DI$347*DI361*(DI$1/DI$2)</f>
        <v>2799.8082191780823</v>
      </c>
      <c r="DJ351" s="293">
        <f>+DH351+DI351</f>
        <v>16299.808219178081</v>
      </c>
      <c r="DK351" s="290"/>
      <c r="DL351" s="293">
        <f t="shared" ref="DL351:DM351" si="241">+DL$347*DL361*(DL$1/DL$2)</f>
        <v>1769.1282179020454</v>
      </c>
      <c r="DM351" s="293">
        <f t="shared" si="241"/>
        <v>1816.7999925576287</v>
      </c>
      <c r="DN351" s="293">
        <f>+DL351+DM351</f>
        <v>3585.9282104596741</v>
      </c>
      <c r="DO351" s="290"/>
      <c r="DP351" s="293">
        <f t="shared" ref="DP351:DQ351" si="242">+DP$347*DP361*(DP$1/DP$2)</f>
        <v>1889.9212010493025</v>
      </c>
      <c r="DQ351" s="293">
        <f t="shared" si="242"/>
        <v>1951.3436400834048</v>
      </c>
      <c r="DR351" s="293">
        <f>+DP351+DQ351</f>
        <v>3841.2648411327073</v>
      </c>
      <c r="DS351" s="290"/>
      <c r="DT351" s="290"/>
      <c r="DU351" s="295"/>
      <c r="DV351" s="295"/>
      <c r="DW351" s="295"/>
      <c r="DX351" s="290"/>
      <c r="DY351" s="290"/>
      <c r="DZ351" s="295"/>
      <c r="EA351" s="295"/>
      <c r="EB351" s="290"/>
      <c r="EC351" s="290"/>
      <c r="ED351" s="295"/>
      <c r="EE351" s="295"/>
      <c r="EF351" s="290"/>
      <c r="EG351" s="290"/>
      <c r="EH351" s="290"/>
      <c r="EI351" s="290"/>
      <c r="EJ351" s="290"/>
      <c r="EK351" s="290"/>
      <c r="EL351" s="290"/>
      <c r="EM351" s="290"/>
      <c r="EN351" s="290"/>
      <c r="EO351" s="290"/>
      <c r="EP351" s="290"/>
      <c r="JM351"/>
    </row>
    <row r="352" spans="1:273" s="289" customFormat="1">
      <c r="A352" s="102" t="s">
        <v>1404</v>
      </c>
      <c r="B352" s="290"/>
      <c r="AN352" s="290"/>
      <c r="AO352" s="290"/>
      <c r="AP352" s="290"/>
      <c r="AQ352" s="290"/>
      <c r="AR352" s="290"/>
      <c r="AS352" s="290"/>
      <c r="AT352" s="290"/>
      <c r="AU352" s="290"/>
      <c r="AV352" s="295"/>
      <c r="AW352" s="295"/>
      <c r="AX352" s="290"/>
      <c r="AY352" s="290"/>
      <c r="AZ352" s="295"/>
      <c r="BA352" s="295"/>
      <c r="BB352" s="290"/>
      <c r="BC352" s="290"/>
      <c r="BD352" s="295"/>
      <c r="BE352" s="295"/>
      <c r="BF352" s="290"/>
      <c r="BG352" s="290"/>
      <c r="BH352" s="295"/>
      <c r="BI352" s="295"/>
      <c r="BJ352" s="295"/>
      <c r="BK352" s="290"/>
      <c r="BL352" s="295"/>
      <c r="BM352" s="295"/>
      <c r="BN352" s="295"/>
      <c r="BO352" s="672"/>
      <c r="BP352" s="295"/>
      <c r="BQ352" s="295"/>
      <c r="BR352" s="295"/>
      <c r="BS352" s="672"/>
      <c r="BT352" s="626">
        <v>0</v>
      </c>
      <c r="BU352" s="918">
        <f>+BV352-BT352</f>
        <v>0</v>
      </c>
      <c r="BV352" s="917">
        <v>0</v>
      </c>
      <c r="BW352" s="672"/>
      <c r="BX352" s="626">
        <v>0</v>
      </c>
      <c r="BY352" s="918">
        <f>+BZ352-BX352</f>
        <v>0</v>
      </c>
      <c r="BZ352" s="917">
        <v>0</v>
      </c>
      <c r="CA352" s="290"/>
      <c r="CB352" s="626">
        <v>2200</v>
      </c>
      <c r="CC352" s="918">
        <f>+CD352-CB352</f>
        <v>0</v>
      </c>
      <c r="CD352" s="917">
        <v>2200</v>
      </c>
      <c r="CE352" s="581"/>
      <c r="CF352" s="626">
        <v>9300</v>
      </c>
      <c r="CG352" s="918">
        <f>+CH352-CF352</f>
        <v>2400</v>
      </c>
      <c r="CH352" s="917">
        <v>11700</v>
      </c>
      <c r="CI352" s="581"/>
      <c r="CJ352" s="626">
        <v>0</v>
      </c>
      <c r="CK352" s="918">
        <f>+CL352-CJ352</f>
        <v>0</v>
      </c>
      <c r="CL352" s="917">
        <v>0</v>
      </c>
      <c r="CM352" s="581"/>
      <c r="CN352" s="1391">
        <v>0</v>
      </c>
      <c r="CO352" s="1716">
        <f>+CP352-CN352</f>
        <v>0</v>
      </c>
      <c r="CP352" s="1391">
        <v>0</v>
      </c>
      <c r="CQ352" s="1430"/>
      <c r="CR352" s="1391">
        <v>0</v>
      </c>
      <c r="CS352" s="1716">
        <f>+CT352-CR352</f>
        <v>0</v>
      </c>
      <c r="CT352" s="1391">
        <v>0</v>
      </c>
      <c r="CU352" s="290"/>
      <c r="CV352" s="1391">
        <v>0</v>
      </c>
      <c r="CW352" s="1716">
        <f>+CX352-CV352</f>
        <v>0</v>
      </c>
      <c r="CX352" s="917">
        <v>0</v>
      </c>
      <c r="CY352" s="290"/>
      <c r="CZ352" s="1391">
        <v>0</v>
      </c>
      <c r="DA352" s="1716">
        <f>+DB352-CZ352</f>
        <v>0</v>
      </c>
      <c r="DB352" s="1391">
        <v>0</v>
      </c>
      <c r="DC352" s="290"/>
      <c r="DD352" s="1391">
        <v>0</v>
      </c>
      <c r="DE352" s="1716">
        <f>+DF352-DD352</f>
        <v>-12437.5</v>
      </c>
      <c r="DF352" s="2175">
        <f>(-19900)/1.6</f>
        <v>-12437.5</v>
      </c>
      <c r="DG352" s="290"/>
      <c r="DH352" s="917">
        <f>(0)/(16/10000)</f>
        <v>0</v>
      </c>
      <c r="DI352" s="293">
        <f t="shared" ref="DI352" si="243">+DI$347*DI362*(DI$1/DI$2)</f>
        <v>0</v>
      </c>
      <c r="DJ352" s="293">
        <f>+DH352+DI352</f>
        <v>0</v>
      </c>
      <c r="DK352" s="290"/>
      <c r="DL352" s="293">
        <f t="shared" ref="DL352:DM352" si="244">+DL$347*DL362*(DL$1/DL$2)</f>
        <v>0</v>
      </c>
      <c r="DM352" s="293">
        <f t="shared" si="244"/>
        <v>0</v>
      </c>
      <c r="DN352" s="293">
        <f>+DL352+DM352</f>
        <v>0</v>
      </c>
      <c r="DO352" s="290"/>
      <c r="DP352" s="293">
        <f t="shared" ref="DP352:DQ352" si="245">+DP$347*DP362*(DP$1/DP$2)</f>
        <v>0</v>
      </c>
      <c r="DQ352" s="293">
        <f t="shared" si="245"/>
        <v>0</v>
      </c>
      <c r="DR352" s="293">
        <f>+DP352+DQ352</f>
        <v>0</v>
      </c>
      <c r="DS352" s="290"/>
      <c r="DT352" s="290"/>
      <c r="DU352" s="295"/>
      <c r="DV352" s="295"/>
      <c r="DW352" s="295"/>
      <c r="DX352" s="290"/>
      <c r="DY352" s="290"/>
      <c r="DZ352" s="295"/>
      <c r="EA352" s="295"/>
      <c r="EB352" s="290"/>
      <c r="EC352" s="290"/>
      <c r="ED352" s="295"/>
      <c r="EE352" s="295"/>
      <c r="EF352" s="290"/>
      <c r="EG352" s="290"/>
      <c r="EH352" s="290"/>
      <c r="EI352" s="290"/>
      <c r="EJ352" s="290"/>
      <c r="EK352" s="290"/>
      <c r="EL352" s="290"/>
      <c r="EM352" s="290"/>
      <c r="EN352" s="290"/>
      <c r="EO352" s="290"/>
      <c r="EP352" s="290"/>
      <c r="JM352"/>
    </row>
    <row r="353" spans="1:273" s="289" customFormat="1">
      <c r="A353" s="102" t="s">
        <v>1033</v>
      </c>
      <c r="B353" s="290"/>
      <c r="AN353" s="290"/>
      <c r="AO353" s="290"/>
      <c r="AP353" s="290"/>
      <c r="AQ353" s="290"/>
      <c r="AR353" s="290"/>
      <c r="AS353" s="290"/>
      <c r="AT353" s="290"/>
      <c r="AU353" s="290"/>
      <c r="AV353" s="295"/>
      <c r="AW353" s="295"/>
      <c r="AX353" s="290"/>
      <c r="AY353" s="290"/>
      <c r="AZ353" s="295"/>
      <c r="BA353" s="295"/>
      <c r="BB353" s="290"/>
      <c r="BC353" s="290"/>
      <c r="BD353" s="295"/>
      <c r="BE353" s="295"/>
      <c r="BF353" s="290"/>
      <c r="BG353" s="290"/>
      <c r="BH353" s="295"/>
      <c r="BI353" s="295"/>
      <c r="BJ353" s="295"/>
      <c r="BK353" s="290"/>
      <c r="BL353" s="295"/>
      <c r="BM353" s="295"/>
      <c r="BN353" s="295"/>
      <c r="BO353" s="672"/>
      <c r="BP353" s="295"/>
      <c r="BQ353" s="295"/>
      <c r="BR353" s="295"/>
      <c r="BS353" s="672"/>
      <c r="BT353" s="293">
        <f>+BT354-BT348-BT351-BT349-BT347-BT352</f>
        <v>3900</v>
      </c>
      <c r="BU353" s="293">
        <f>+BV353-BT353</f>
        <v>-5800</v>
      </c>
      <c r="BV353" s="293">
        <f>+BV354-BV348-BV351-BV349-BV347-BV352</f>
        <v>-1900</v>
      </c>
      <c r="BW353" s="672"/>
      <c r="BX353" s="293">
        <f>+BX354-BX348-BX351-BX349-BX347-BX352</f>
        <v>-550</v>
      </c>
      <c r="BY353" s="293">
        <f>+BZ353-BX353</f>
        <v>-1750</v>
      </c>
      <c r="BZ353" s="293">
        <f>+BZ354-BZ348-BZ351-BZ349-BZ347-BZ352</f>
        <v>-2300</v>
      </c>
      <c r="CA353" s="290"/>
      <c r="CB353" s="293">
        <f>+CB354-CB348-CB351-CB349-CB347-CB352</f>
        <v>900</v>
      </c>
      <c r="CC353" s="293">
        <f>+CD353-CB353</f>
        <v>3900</v>
      </c>
      <c r="CD353" s="293">
        <f>+CD354-CD348-CD351-CD349-CD347-CD352</f>
        <v>4800</v>
      </c>
      <c r="CE353" s="581"/>
      <c r="CF353" s="293">
        <f>+CF354-CF348-CF351-CF349-CF347-CF352</f>
        <v>12600</v>
      </c>
      <c r="CG353" s="293">
        <f>+CH353-CF353</f>
        <v>8600</v>
      </c>
      <c r="CH353" s="293">
        <f>+CH354-CH348-CH351-CH349-CH347-CH352</f>
        <v>21200</v>
      </c>
      <c r="CI353" s="581"/>
      <c r="CJ353" s="293">
        <f>+CJ354-CJ348-CJ351-CJ349-CJ347-CJ352</f>
        <v>3000</v>
      </c>
      <c r="CK353" s="293">
        <f>+CL353-CJ353</f>
        <v>11700</v>
      </c>
      <c r="CL353" s="293">
        <f>+CL354-CL348-CL351-CL349-CL347-CL352</f>
        <v>14700</v>
      </c>
      <c r="CM353" s="581"/>
      <c r="CN353" s="293">
        <f>+CN354-CN348-CN351-CN349-CN347-CN352</f>
        <v>-14700</v>
      </c>
      <c r="CO353" s="293">
        <f>+CP353-CN353</f>
        <v>-5500</v>
      </c>
      <c r="CP353" s="293">
        <f>+CP354-CP348-CP351-CP349-CP347-CP352</f>
        <v>-20200</v>
      </c>
      <c r="CQ353" s="581"/>
      <c r="CR353" s="293">
        <f>+CR354-CR348-CR351-CR349-CR347-CR352</f>
        <v>9100</v>
      </c>
      <c r="CS353" s="293">
        <f>+CT353-CR353</f>
        <v>-18133.333333333343</v>
      </c>
      <c r="CT353" s="293">
        <f>+CT354-CT348-CT351-CT349-CT347-CT352</f>
        <v>-9033.333333333343</v>
      </c>
      <c r="CU353" s="290"/>
      <c r="CV353" s="293">
        <f>+CV354-CV348-CV351-CV349-CV347-CV352</f>
        <v>6700</v>
      </c>
      <c r="CW353" s="293">
        <f>+CX353-CV353</f>
        <v>2725</v>
      </c>
      <c r="CX353" s="293">
        <f>+CX354-CX348-CX351-CX349-CX347-CX352</f>
        <v>9425</v>
      </c>
      <c r="CY353" s="290"/>
      <c r="CZ353" s="293">
        <f>+CZ354-CZ348-CZ351-CZ349-CZ347-CZ352</f>
        <v>5762.5</v>
      </c>
      <c r="DA353" s="293">
        <f>+DB353-CZ353</f>
        <v>-5975</v>
      </c>
      <c r="DB353" s="293">
        <f>+DB354-DB348-DB351-DB349-DB347-DB352</f>
        <v>-212.5</v>
      </c>
      <c r="DC353" s="290"/>
      <c r="DD353" s="293">
        <f>+DD354-DD348-DD351-DD349-DD347-DD352</f>
        <v>-12125</v>
      </c>
      <c r="DE353" s="293">
        <f>+DF353-DD353</f>
        <v>12800</v>
      </c>
      <c r="DF353" s="293">
        <f>+DF354-DF348-DF351-DF349-DF347-DF352</f>
        <v>675</v>
      </c>
      <c r="DG353" s="290"/>
      <c r="DH353" s="293">
        <f>+DH354-DH348-DH351-DH349-DH347-DH352</f>
        <v>-17200</v>
      </c>
      <c r="DI353" s="293">
        <f t="shared" ref="DI353" si="246">+DI$347*DI363*(DI$1/DI$2)</f>
        <v>0</v>
      </c>
      <c r="DJ353" s="293">
        <f>+DH353+DI353</f>
        <v>-17200</v>
      </c>
      <c r="DK353" s="290"/>
      <c r="DL353" s="293">
        <f t="shared" ref="DL353:DM353" si="247">+DL$347*DL363*(DL$1/DL$2)</f>
        <v>0</v>
      </c>
      <c r="DM353" s="293">
        <f t="shared" si="247"/>
        <v>0</v>
      </c>
      <c r="DN353" s="293">
        <f>+DL353+DM353</f>
        <v>0</v>
      </c>
      <c r="DO353" s="290"/>
      <c r="DP353" s="293">
        <f t="shared" ref="DP353:DQ353" si="248">+DP$347*DP363*(DP$1/DP$2)</f>
        <v>0</v>
      </c>
      <c r="DQ353" s="293">
        <f t="shared" si="248"/>
        <v>0</v>
      </c>
      <c r="DR353" s="293">
        <f>+DP353+DQ353</f>
        <v>0</v>
      </c>
      <c r="DS353" s="290"/>
      <c r="DT353" s="290"/>
      <c r="DU353" s="295"/>
      <c r="DV353" s="295"/>
      <c r="DW353" s="295"/>
      <c r="DX353" s="290"/>
      <c r="DY353" s="290"/>
      <c r="DZ353" s="295"/>
      <c r="EA353" s="295"/>
      <c r="EB353" s="290"/>
      <c r="EC353" s="290"/>
      <c r="ED353" s="295"/>
      <c r="EE353" s="295"/>
      <c r="EF353" s="290"/>
      <c r="EG353" s="290"/>
      <c r="EH353" s="290"/>
      <c r="EI353" s="290"/>
      <c r="EJ353" s="290"/>
      <c r="EK353" s="290"/>
      <c r="EL353" s="290"/>
      <c r="EM353" s="290"/>
      <c r="EN353" s="290"/>
      <c r="EO353" s="290"/>
      <c r="EP353" s="290"/>
      <c r="JM353"/>
    </row>
    <row r="354" spans="1:273" s="289" customFormat="1">
      <c r="A354" s="289" t="s">
        <v>1032</v>
      </c>
      <c r="B354" s="290"/>
      <c r="AN354" s="290"/>
      <c r="AO354" s="290"/>
      <c r="AP354" s="290"/>
      <c r="AQ354" s="290"/>
      <c r="AR354" s="290"/>
      <c r="AS354" s="290"/>
      <c r="AT354" s="290"/>
      <c r="AU354" s="290"/>
      <c r="AV354" s="295"/>
      <c r="AW354" s="295"/>
      <c r="AX354" s="290"/>
      <c r="AY354" s="290"/>
      <c r="AZ354" s="295"/>
      <c r="BA354" s="295"/>
      <c r="BB354" s="290"/>
      <c r="BC354" s="290"/>
      <c r="BD354" s="295"/>
      <c r="BE354" s="295"/>
      <c r="BF354" s="290"/>
      <c r="BG354" s="290"/>
      <c r="BH354" s="295"/>
      <c r="BI354" s="295"/>
      <c r="BJ354" s="295"/>
      <c r="BK354" s="290"/>
      <c r="BL354" s="295"/>
      <c r="BM354" s="295"/>
      <c r="BN354" s="295"/>
      <c r="BO354" s="672"/>
      <c r="BP354" s="295"/>
      <c r="BQ354" s="295"/>
      <c r="BR354" s="295">
        <f>BR336</f>
        <v>66200</v>
      </c>
      <c r="BS354" s="672"/>
      <c r="BT354" s="295">
        <f>BT336</f>
        <v>71600</v>
      </c>
      <c r="BU354" s="295">
        <f>BU336</f>
        <v>66500</v>
      </c>
      <c r="BV354" s="295">
        <f>BV336</f>
        <v>66500</v>
      </c>
      <c r="BW354" s="672">
        <f>+BV354/BR354-1</f>
        <v>4.5317220543805714E-3</v>
      </c>
      <c r="BX354" s="295">
        <f>BX336</f>
        <v>72000</v>
      </c>
      <c r="BY354" s="295">
        <f>BY336</f>
        <v>77200</v>
      </c>
      <c r="BZ354" s="295">
        <f>BZ336</f>
        <v>77200</v>
      </c>
      <c r="CA354" s="672">
        <f>+BZ354/BV354-1</f>
        <v>0.16090225563909777</v>
      </c>
      <c r="CB354" s="295">
        <f>CB336</f>
        <v>79500</v>
      </c>
      <c r="CC354" s="295">
        <f>CC336</f>
        <v>86200</v>
      </c>
      <c r="CD354" s="295">
        <f>CD336</f>
        <v>86200</v>
      </c>
      <c r="CE354" s="672">
        <f>+CD354/BZ354-1</f>
        <v>0.11658031088082899</v>
      </c>
      <c r="CF354" s="295">
        <f>CF336</f>
        <v>115600</v>
      </c>
      <c r="CG354" s="295">
        <f>CG336</f>
        <v>127900</v>
      </c>
      <c r="CH354" s="295">
        <f>CH336</f>
        <v>127900</v>
      </c>
      <c r="CI354" s="672">
        <f>+CH354/CD354-1</f>
        <v>0.48375870069605575</v>
      </c>
      <c r="CJ354" s="295">
        <f>CJ336</f>
        <v>134400</v>
      </c>
      <c r="CK354" s="295">
        <f>CK336</f>
        <v>149300</v>
      </c>
      <c r="CL354" s="295">
        <f>CL336</f>
        <v>149300</v>
      </c>
      <c r="CM354" s="672">
        <f t="shared" ref="CM354" si="249">+CL354/CH354-1</f>
        <v>0.16731821735731045</v>
      </c>
      <c r="CN354" s="295">
        <f>CN336</f>
        <v>139800</v>
      </c>
      <c r="CO354" s="295">
        <f>CO336</f>
        <v>142000</v>
      </c>
      <c r="CP354" s="295">
        <f>CP336</f>
        <v>142000</v>
      </c>
      <c r="CQ354" s="672">
        <f t="shared" ref="CQ354" si="250">+CP354/CL354-1</f>
        <v>-4.8894842598794397E-2</v>
      </c>
      <c r="CR354" s="295">
        <f>CR336</f>
        <v>158800</v>
      </c>
      <c r="CS354" s="295">
        <f>CS336</f>
        <v>158300</v>
      </c>
      <c r="CT354" s="295">
        <f>CT336</f>
        <v>158300</v>
      </c>
      <c r="CU354" s="672"/>
      <c r="CV354" s="295">
        <f>CV336</f>
        <v>188500</v>
      </c>
      <c r="CW354" s="295">
        <f>CW336</f>
        <v>205800</v>
      </c>
      <c r="CX354" s="295">
        <f>CX336</f>
        <v>205800</v>
      </c>
      <c r="CY354" s="672"/>
      <c r="CZ354" s="295">
        <f>CZ336</f>
        <v>210000</v>
      </c>
      <c r="DA354" s="295">
        <f>DA336</f>
        <v>222300</v>
      </c>
      <c r="DB354" s="295">
        <f>DB336</f>
        <v>222300</v>
      </c>
      <c r="DC354" s="672"/>
      <c r="DD354" s="295">
        <f>DD336</f>
        <v>217500</v>
      </c>
      <c r="DE354" s="295">
        <f>DE336</f>
        <v>221100</v>
      </c>
      <c r="DF354" s="295">
        <f>DF336</f>
        <v>221100</v>
      </c>
      <c r="DG354" s="672"/>
      <c r="DH354" s="295">
        <f>DH336</f>
        <v>224600</v>
      </c>
      <c r="DI354" s="295">
        <f t="shared" ref="DI354:DJ354" si="251">SUM(DI347:DI349,DI351,DI353,DI352)</f>
        <v>235239.27123287672</v>
      </c>
      <c r="DJ354" s="295">
        <f t="shared" si="251"/>
        <v>235239.27123287672</v>
      </c>
      <c r="DK354" s="672"/>
      <c r="DL354" s="295">
        <f t="shared" ref="DL354:DN354" si="252">SUM(DL347:DL349,DL351,DL353,DL352)</f>
        <v>242905.49351045222</v>
      </c>
      <c r="DM354" s="295">
        <f t="shared" si="252"/>
        <v>251989.49347324035</v>
      </c>
      <c r="DN354" s="295">
        <f t="shared" si="252"/>
        <v>251989.49347324041</v>
      </c>
      <c r="DO354" s="290"/>
      <c r="DP354" s="295">
        <f t="shared" ref="DP354:DR354" si="253">SUM(DP347:DP349,DP351,DP353,DP352)</f>
        <v>260179.15201112066</v>
      </c>
      <c r="DQ354" s="295">
        <f t="shared" si="253"/>
        <v>269935.87021153769</v>
      </c>
      <c r="DR354" s="295">
        <f t="shared" si="253"/>
        <v>269935.87021153764</v>
      </c>
      <c r="DS354" s="290"/>
      <c r="DT354" s="290"/>
      <c r="DU354" s="295"/>
      <c r="DV354" s="295"/>
      <c r="DW354" s="295"/>
      <c r="DX354" s="290"/>
      <c r="DY354" s="290"/>
      <c r="DZ354" s="295"/>
      <c r="EA354" s="295"/>
      <c r="EB354" s="290"/>
      <c r="EC354" s="290"/>
      <c r="ED354" s="295"/>
      <c r="EE354" s="295"/>
      <c r="EF354" s="290"/>
      <c r="EG354" s="290"/>
      <c r="EH354" s="290"/>
      <c r="EI354" s="290"/>
      <c r="EJ354" s="290"/>
      <c r="EK354" s="290"/>
      <c r="EL354" s="290"/>
      <c r="EM354" s="290"/>
      <c r="EN354" s="290"/>
      <c r="EO354" s="290"/>
      <c r="EP354" s="290"/>
      <c r="JM354"/>
    </row>
    <row r="355" spans="1:273" s="289" customFormat="1">
      <c r="A355" s="323" t="s">
        <v>1266</v>
      </c>
      <c r="B355" s="290"/>
      <c r="AN355" s="290"/>
      <c r="AO355" s="290"/>
      <c r="AP355" s="290"/>
      <c r="AQ355" s="290"/>
      <c r="AR355" s="290"/>
      <c r="AS355" s="290"/>
      <c r="AT355" s="290"/>
      <c r="AU355" s="290"/>
      <c r="AV355" s="295"/>
      <c r="AW355" s="295"/>
      <c r="AX355" s="290"/>
      <c r="AY355" s="290"/>
      <c r="AZ355" s="295"/>
      <c r="BA355" s="295"/>
      <c r="BB355" s="290"/>
      <c r="BC355" s="290"/>
      <c r="BD355" s="295"/>
      <c r="BE355" s="295"/>
      <c r="BF355" s="290"/>
      <c r="BG355" s="290"/>
      <c r="BH355" s="295"/>
      <c r="BI355" s="295"/>
      <c r="BJ355" s="295"/>
      <c r="BK355" s="290"/>
      <c r="BL355" s="295"/>
      <c r="BM355" s="295"/>
      <c r="BN355" s="295"/>
      <c r="BO355" s="672"/>
      <c r="BP355" s="295"/>
      <c r="BQ355" s="295"/>
      <c r="BR355" s="295"/>
      <c r="BS355" s="672"/>
      <c r="BT355" s="295"/>
      <c r="BU355" s="295"/>
      <c r="BV355" s="295"/>
      <c r="BW355" s="672"/>
      <c r="BX355" s="295"/>
      <c r="BY355" s="295"/>
      <c r="BZ355" s="295"/>
      <c r="CA355" s="672"/>
      <c r="CB355" s="295"/>
      <c r="CC355" s="295"/>
      <c r="CD355" s="295"/>
      <c r="CE355" s="672"/>
      <c r="CF355" s="295"/>
      <c r="CG355" s="295"/>
      <c r="CH355" s="295"/>
      <c r="CI355" s="672"/>
      <c r="CJ355" s="295"/>
      <c r="CK355" s="295"/>
      <c r="CL355" s="295"/>
      <c r="CM355" s="672"/>
      <c r="CN355" s="295"/>
      <c r="CO355" s="295"/>
      <c r="CP355" s="295"/>
      <c r="CQ355" s="672"/>
      <c r="CR355" s="295"/>
      <c r="CS355" s="295"/>
      <c r="CT355" s="295"/>
      <c r="CU355" s="672"/>
      <c r="CV355" s="295"/>
      <c r="CW355" s="295"/>
      <c r="CX355" s="295"/>
      <c r="CY355" s="672"/>
      <c r="CZ355" s="295"/>
      <c r="DA355" s="295"/>
      <c r="DB355" s="817">
        <f>+DB354/CX354-1</f>
        <v>8.0174927113702665E-2</v>
      </c>
      <c r="DC355" s="672"/>
      <c r="DD355" s="295"/>
      <c r="DE355" s="295"/>
      <c r="DF355" s="817">
        <f>+DF354/DB354-1</f>
        <v>-5.3981106612686069E-3</v>
      </c>
      <c r="DG355" s="672"/>
      <c r="DH355" s="295"/>
      <c r="DI355" s="295"/>
      <c r="DJ355" s="817">
        <f>+DJ354/DF354-1</f>
        <v>6.394966636307875E-2</v>
      </c>
      <c r="DK355" s="672"/>
      <c r="DL355" s="295"/>
      <c r="DM355" s="295"/>
      <c r="DN355" s="817">
        <f>+DN354/DJ354-1</f>
        <v>7.1205042221805348E-2</v>
      </c>
      <c r="DO355" s="290"/>
      <c r="DP355" s="295"/>
      <c r="DQ355" s="295"/>
      <c r="DR355" s="817">
        <f>+DR354/DN354-1</f>
        <v>7.1218749999999664E-2</v>
      </c>
      <c r="DS355" s="290"/>
      <c r="DT355" s="290"/>
      <c r="DU355" s="295"/>
      <c r="DV355" s="295"/>
      <c r="DW355" s="295"/>
      <c r="DX355" s="290"/>
      <c r="DY355" s="290"/>
      <c r="DZ355" s="295"/>
      <c r="EA355" s="295"/>
      <c r="EB355" s="290"/>
      <c r="EC355" s="290"/>
      <c r="ED355" s="295"/>
      <c r="EE355" s="295"/>
      <c r="EF355" s="290"/>
      <c r="EG355" s="290"/>
      <c r="EH355" s="290"/>
      <c r="EI355" s="290"/>
      <c r="EJ355" s="290"/>
      <c r="EK355" s="290"/>
      <c r="EL355" s="290"/>
      <c r="EM355" s="290"/>
      <c r="EN355" s="290"/>
      <c r="EO355" s="290"/>
      <c r="EP355" s="290"/>
      <c r="JM355"/>
    </row>
    <row r="356" spans="1:273" s="289" customFormat="1">
      <c r="B356" s="290"/>
      <c r="AN356" s="290"/>
      <c r="AO356" s="290"/>
      <c r="AP356" s="290"/>
      <c r="AQ356" s="290"/>
      <c r="AR356" s="290"/>
      <c r="AS356" s="290"/>
      <c r="AT356" s="290"/>
      <c r="AU356" s="290"/>
      <c r="AV356" s="295"/>
      <c r="AW356" s="295"/>
      <c r="AX356" s="290"/>
      <c r="AY356" s="290"/>
      <c r="AZ356" s="295"/>
      <c r="BA356" s="295"/>
      <c r="BB356" s="290"/>
      <c r="BC356" s="290"/>
      <c r="BD356" s="295"/>
      <c r="BE356" s="295"/>
      <c r="BF356" s="290"/>
      <c r="BG356" s="290"/>
      <c r="BH356" s="295"/>
      <c r="BI356" s="295"/>
      <c r="BJ356" s="295"/>
      <c r="BK356" s="290"/>
      <c r="BL356" s="295"/>
      <c r="BM356" s="295"/>
      <c r="BN356" s="295"/>
      <c r="BO356" s="672"/>
      <c r="BP356" s="295"/>
      <c r="BQ356" s="295"/>
      <c r="BR356" s="295"/>
      <c r="BS356" s="672"/>
      <c r="BT356" s="295"/>
      <c r="BU356" s="295"/>
      <c r="BV356" s="295"/>
      <c r="BW356" s="672"/>
      <c r="BX356" s="295"/>
      <c r="BY356" s="295"/>
      <c r="BZ356" s="295"/>
      <c r="CA356" s="672"/>
      <c r="CB356" s="295"/>
      <c r="CC356" s="295"/>
      <c r="CD356" s="295"/>
      <c r="CE356" s="672"/>
      <c r="CF356" s="295"/>
      <c r="CG356" s="295"/>
      <c r="CH356" s="295"/>
      <c r="CI356" s="672"/>
      <c r="CJ356" s="295"/>
      <c r="CK356" s="295"/>
      <c r="CL356" s="295"/>
      <c r="CM356" s="672"/>
      <c r="CN356" s="295"/>
      <c r="CO356" s="295"/>
      <c r="CP356" s="295"/>
      <c r="CQ356" s="672"/>
      <c r="CR356" s="295"/>
      <c r="CS356" s="295"/>
      <c r="CT356" s="295"/>
      <c r="CU356" s="672"/>
      <c r="CV356" s="295"/>
      <c r="CW356" s="295"/>
      <c r="CX356" s="295"/>
      <c r="CY356" s="672"/>
      <c r="CZ356" s="295"/>
      <c r="DA356" s="295"/>
      <c r="DB356" s="295"/>
      <c r="DC356" s="672"/>
      <c r="DD356" s="295" t="s">
        <v>1406</v>
      </c>
      <c r="DE356" s="924">
        <f>+DE352*DE370</f>
        <v>-21882.349615558571</v>
      </c>
      <c r="DF356" s="801"/>
      <c r="DG356" s="672"/>
      <c r="DH356" s="295" t="s">
        <v>1406</v>
      </c>
      <c r="DI356" s="295"/>
      <c r="DJ356" s="295"/>
      <c r="DK356" s="672"/>
      <c r="DL356" s="295"/>
      <c r="DM356" s="295"/>
      <c r="DN356" s="295"/>
      <c r="DO356" s="290"/>
      <c r="DP356" s="295"/>
      <c r="DQ356" s="295"/>
      <c r="DR356" s="295"/>
      <c r="DS356" s="290"/>
      <c r="DT356" s="290"/>
      <c r="DU356" s="295"/>
      <c r="DV356" s="295"/>
      <c r="DW356" s="295"/>
      <c r="DX356" s="290"/>
      <c r="DY356" s="290"/>
      <c r="DZ356" s="295"/>
      <c r="EA356" s="295"/>
      <c r="EB356" s="290"/>
      <c r="EC356" s="290"/>
      <c r="ED356" s="295"/>
      <c r="EE356" s="295"/>
      <c r="EF356" s="290"/>
      <c r="EG356" s="290"/>
      <c r="EH356" s="290"/>
      <c r="EI356" s="290"/>
      <c r="EJ356" s="290"/>
      <c r="EK356" s="290"/>
      <c r="EL356" s="290"/>
      <c r="EM356" s="290"/>
      <c r="EN356" s="290"/>
      <c r="EO356" s="290"/>
      <c r="EP356" s="290"/>
      <c r="JM356"/>
    </row>
    <row r="357" spans="1:273" s="289" customFormat="1">
      <c r="A357" s="289" t="s">
        <v>1192</v>
      </c>
      <c r="B357" s="290"/>
      <c r="AN357" s="290"/>
      <c r="AO357" s="290"/>
      <c r="AP357" s="290"/>
      <c r="AQ357" s="290"/>
      <c r="AR357" s="290"/>
      <c r="AS357" s="290"/>
      <c r="AT357" s="290"/>
      <c r="AU357" s="290"/>
      <c r="AV357" s="295"/>
      <c r="AW357" s="295"/>
      <c r="AX357" s="290"/>
      <c r="AY357" s="290"/>
      <c r="AZ357" s="295"/>
      <c r="BA357" s="295"/>
      <c r="BB357" s="290"/>
      <c r="BC357" s="290"/>
      <c r="BD357" s="295"/>
      <c r="BE357" s="295"/>
      <c r="BF357" s="290"/>
      <c r="BG357" s="290"/>
      <c r="BH357" s="295"/>
      <c r="BI357" s="295"/>
      <c r="BJ357" s="295"/>
      <c r="BK357" s="290"/>
      <c r="BL357" s="295"/>
      <c r="BM357" s="295"/>
      <c r="BN357" s="295"/>
      <c r="BO357" s="672"/>
      <c r="BP357" s="295"/>
      <c r="BQ357" s="295"/>
      <c r="BR357" s="295"/>
      <c r="BS357" s="672"/>
      <c r="BT357" s="917">
        <v>-300</v>
      </c>
      <c r="BU357" s="293">
        <f>+BV357-BT357</f>
        <v>-2200</v>
      </c>
      <c r="BV357" s="917">
        <v>-2500</v>
      </c>
      <c r="BW357" s="672"/>
      <c r="BX357" s="917">
        <v>-2000</v>
      </c>
      <c r="BY357" s="492">
        <f>+BZ357-BX357</f>
        <v>-1400</v>
      </c>
      <c r="BZ357" s="917">
        <v>-3400</v>
      </c>
      <c r="CA357" s="290"/>
      <c r="CB357" s="626">
        <v>-4800</v>
      </c>
      <c r="CC357" s="492">
        <f>+CD357-CB357</f>
        <v>-3900</v>
      </c>
      <c r="CD357" s="917">
        <v>-8700</v>
      </c>
      <c r="CE357" s="581"/>
      <c r="CF357" s="626">
        <v>-7000</v>
      </c>
      <c r="CG357" s="492">
        <f>+CH357-CF357</f>
        <v>-1700</v>
      </c>
      <c r="CH357" s="917">
        <v>-8700</v>
      </c>
      <c r="CI357" s="581"/>
      <c r="CJ357" s="626">
        <v>-7700</v>
      </c>
      <c r="CK357" s="492">
        <f>+CL357-CJ357</f>
        <v>-9000</v>
      </c>
      <c r="CL357" s="917">
        <v>-16700</v>
      </c>
      <c r="CM357" s="581"/>
      <c r="CN357" s="1330">
        <v>-900</v>
      </c>
      <c r="CO357" s="492">
        <f>+CP357-CN357</f>
        <v>-6800</v>
      </c>
      <c r="CP357" s="1330">
        <v>-7700</v>
      </c>
      <c r="CQ357" s="581"/>
      <c r="CR357" s="1391">
        <v>-7600</v>
      </c>
      <c r="CS357" s="492">
        <f>+CT357-CR357</f>
        <v>-2700</v>
      </c>
      <c r="CT357" s="1391">
        <v>-10300</v>
      </c>
      <c r="CU357" s="290"/>
      <c r="CV357" s="1391">
        <v>-4000</v>
      </c>
      <c r="CW357" s="492">
        <f>+CX357-CV357</f>
        <v>-2600</v>
      </c>
      <c r="CX357" s="917">
        <v>-6600</v>
      </c>
      <c r="CY357" s="290"/>
      <c r="CZ357" s="1391">
        <v>-3100</v>
      </c>
      <c r="DA357" s="492">
        <f>+DB357-CZ357</f>
        <v>-2200</v>
      </c>
      <c r="DB357" s="1391">
        <v>-5300</v>
      </c>
      <c r="DC357" s="290"/>
      <c r="DD357" s="1391">
        <v>4100</v>
      </c>
      <c r="DE357" s="492">
        <f>+DF357-DD357</f>
        <v>-23200</v>
      </c>
      <c r="DF357" s="2175">
        <v>-19100</v>
      </c>
      <c r="DG357" s="290"/>
      <c r="DH357" s="1391">
        <v>400</v>
      </c>
      <c r="DI357" s="295"/>
      <c r="DJ357" s="295"/>
      <c r="DK357" s="290"/>
      <c r="DL357" s="295"/>
      <c r="DM357" s="295"/>
      <c r="DN357" s="295"/>
      <c r="DO357" s="290"/>
      <c r="DP357" s="295"/>
      <c r="DQ357" s="295"/>
      <c r="DR357" s="295"/>
      <c r="DS357" s="290"/>
      <c r="DT357" s="290"/>
      <c r="DU357" s="295"/>
      <c r="DV357" s="295"/>
      <c r="DW357" s="295"/>
      <c r="DX357" s="290"/>
      <c r="DY357" s="290"/>
      <c r="DZ357" s="295"/>
      <c r="EA357" s="295"/>
      <c r="EB357" s="290"/>
      <c r="EC357" s="290"/>
      <c r="ED357" s="295"/>
      <c r="EE357" s="295"/>
      <c r="EF357" s="290"/>
      <c r="EG357" s="290"/>
      <c r="EH357" s="290"/>
      <c r="EI357" s="290"/>
      <c r="EJ357" s="290"/>
      <c r="EK357" s="290"/>
      <c r="EL357" s="290"/>
      <c r="EM357" s="290"/>
      <c r="EN357" s="290"/>
      <c r="EO357" s="290"/>
      <c r="EP357" s="290"/>
      <c r="JM357"/>
    </row>
    <row r="358" spans="1:273" s="289" customFormat="1">
      <c r="A358" s="323" t="s">
        <v>1034</v>
      </c>
      <c r="B358" s="290"/>
      <c r="AN358" s="290"/>
      <c r="AO358" s="290"/>
      <c r="AP358" s="290"/>
      <c r="AQ358" s="290"/>
      <c r="AR358" s="290"/>
      <c r="AS358" s="290"/>
      <c r="AT358" s="290"/>
      <c r="AU358" s="290"/>
      <c r="AV358" s="295"/>
      <c r="AW358" s="295"/>
      <c r="AX358" s="290"/>
      <c r="AY358" s="290"/>
      <c r="AZ358" s="295"/>
      <c r="BA358" s="295"/>
      <c r="BB358" s="290"/>
      <c r="BC358" s="290"/>
      <c r="BD358" s="295"/>
      <c r="BE358" s="295"/>
      <c r="BF358" s="290"/>
      <c r="BG358" s="290"/>
      <c r="BH358" s="295"/>
      <c r="BI358" s="295"/>
      <c r="BJ358" s="295"/>
      <c r="BK358" s="290"/>
      <c r="BL358" s="295"/>
      <c r="BM358" s="295"/>
      <c r="BN358" s="295"/>
      <c r="BO358" s="905"/>
      <c r="BP358" s="295"/>
      <c r="BQ358" s="295"/>
      <c r="BR358" s="295"/>
      <c r="BS358" s="905"/>
      <c r="BT358" s="684">
        <f t="shared" ref="BT358:BV359" si="254">+BT348*(BT$2/BT$1)/BT$347</f>
        <v>3.9274924471299093E-2</v>
      </c>
      <c r="BU358" s="684">
        <f t="shared" si="254"/>
        <v>6.7039106145251395E-2</v>
      </c>
      <c r="BV358" s="684">
        <f t="shared" si="254"/>
        <v>5.5891238670694864E-2</v>
      </c>
      <c r="BW358" s="905"/>
      <c r="BX358" s="684">
        <f t="shared" ref="BX358:BZ359" si="255">+BX348*(BX$2/BX$1)/BX$347</f>
        <v>0.22194831340646698</v>
      </c>
      <c r="BY358" s="684">
        <f t="shared" si="255"/>
        <v>0.2284035409035409</v>
      </c>
      <c r="BZ358" s="684">
        <f t="shared" si="255"/>
        <v>0.23458646616541354</v>
      </c>
      <c r="CA358" s="290"/>
      <c r="CB358" s="684">
        <f t="shared" ref="CB358:CD359" si="256">+CB348*(CB$2/CB$1)/CB$347</f>
        <v>0.1601829043857414</v>
      </c>
      <c r="CC358" s="684">
        <f t="shared" si="256"/>
        <v>0.23460501762388553</v>
      </c>
      <c r="CD358" s="684">
        <f t="shared" si="256"/>
        <v>0.20077720207253885</v>
      </c>
      <c r="CE358" s="581"/>
      <c r="CF358" s="684">
        <f t="shared" ref="CF358:CH359" si="257">+CF348*(CF$2/CF$1)/CF$347</f>
        <v>0.18048001217146553</v>
      </c>
      <c r="CG358" s="684">
        <f t="shared" si="257"/>
        <v>0.19256910909160044</v>
      </c>
      <c r="CH358" s="684">
        <f t="shared" si="257"/>
        <v>0.21925754060324826</v>
      </c>
      <c r="CI358" s="581"/>
      <c r="CJ358" s="684">
        <f t="shared" ref="CJ358:CL359" si="258">+CJ348*(CJ$2/CJ$1)/CJ$347</f>
        <v>8.7568412822517594E-2</v>
      </c>
      <c r="CK358" s="684">
        <f t="shared" si="258"/>
        <v>0.21577380952380953</v>
      </c>
      <c r="CL358" s="684">
        <f t="shared" si="258"/>
        <v>0.15715402658326819</v>
      </c>
      <c r="CM358" s="581"/>
      <c r="CN358" s="684">
        <f t="shared" ref="CN358:CP359" si="259">+CN348*(CN$2/CN$1)/CN$347</f>
        <v>0.11889729484406282</v>
      </c>
      <c r="CO358" s="684">
        <f t="shared" si="259"/>
        <v>0.1850563599490638</v>
      </c>
      <c r="CP358" s="684">
        <f t="shared" si="259"/>
        <v>0.14601473543201607</v>
      </c>
      <c r="CQ358" s="581"/>
      <c r="CR358" s="684">
        <f>+CR348*(CR$2/CR$1)/CR$347</f>
        <v>0.17838451473870545</v>
      </c>
      <c r="CS358" s="684">
        <f t="shared" ref="CS358:CT358" si="260">+CS348*(CS$2/CS$1)/CS$347</f>
        <v>0.18059553796329614</v>
      </c>
      <c r="CT358" s="684">
        <f t="shared" si="260"/>
        <v>0.19014084507042253</v>
      </c>
      <c r="CU358" s="290"/>
      <c r="CV358" s="684">
        <f>+CV348*(CV$2/CV$1)/CV$347</f>
        <v>0.28349367770263972</v>
      </c>
      <c r="CW358" s="684">
        <f t="shared" ref="CW358:CX358" si="261">+CW348*(CW$2/CW$1)/CW$347</f>
        <v>0.1670358818899933</v>
      </c>
      <c r="CX358" s="684">
        <f t="shared" si="261"/>
        <v>0.24131396083385975</v>
      </c>
      <c r="CY358" s="290"/>
      <c r="CZ358" s="684">
        <f>+CZ348*(CZ$2/CZ$1)/CZ$347</f>
        <v>7.7745383867832848E-2</v>
      </c>
      <c r="DA358" s="684">
        <f t="shared" ref="DA358:DB358" si="262">+DA348*(DA$2/DA$1)/DA$347</f>
        <v>0.13238095238095238</v>
      </c>
      <c r="DB358" s="684">
        <f t="shared" si="262"/>
        <v>0.10641399416909621</v>
      </c>
      <c r="DC358" s="290"/>
      <c r="DD358" s="684">
        <f>+DD348*(DD$2/DD$1)/DD$347</f>
        <v>6.4600340700426986E-2</v>
      </c>
      <c r="DE358" s="684">
        <f t="shared" ref="DE358:DF358" si="263">+DE348*(DE$2/DE$1)/DE$347</f>
        <v>9.9583175445244407E-2</v>
      </c>
      <c r="DF358" s="684">
        <f t="shared" si="263"/>
        <v>8.0971659919028341E-2</v>
      </c>
      <c r="DG358" s="290"/>
      <c r="DH358" s="684">
        <f>+DH348*(DH$2/DH$1)/DH$347</f>
        <v>9.6524333128199039E-2</v>
      </c>
      <c r="DI358" s="1975">
        <v>0.11</v>
      </c>
      <c r="DJ358" s="684">
        <f>+DJ348*(DJ$2/DJ$1)/DJ$347</f>
        <v>0.10411196817903012</v>
      </c>
      <c r="DK358" s="290"/>
      <c r="DL358" s="1975">
        <v>0.11</v>
      </c>
      <c r="DM358" s="1975">
        <v>0.12</v>
      </c>
      <c r="DN358" s="684">
        <f>+DN348*(DN$2/DN$1)/DN$347</f>
        <v>0.11693628673297053</v>
      </c>
      <c r="DO358" s="290"/>
      <c r="DP358" s="1975">
        <v>0.11</v>
      </c>
      <c r="DQ358" s="1975">
        <v>0.12</v>
      </c>
      <c r="DR358" s="684">
        <f>+DR348*(DR$2/DR$1)/DR$347</f>
        <v>0.11695</v>
      </c>
      <c r="DS358" s="290"/>
      <c r="DT358" s="290"/>
      <c r="DU358" s="295"/>
      <c r="DV358" s="295"/>
      <c r="DW358" s="295"/>
      <c r="DX358" s="290"/>
      <c r="DY358" s="290"/>
      <c r="DZ358" s="295"/>
      <c r="EA358" s="295"/>
      <c r="EB358" s="290"/>
      <c r="EC358" s="290"/>
      <c r="ED358" s="295"/>
      <c r="EE358" s="295"/>
      <c r="EF358" s="290"/>
      <c r="EG358" s="290"/>
      <c r="EH358" s="290"/>
      <c r="EI358" s="290"/>
      <c r="EJ358" s="290"/>
      <c r="EK358" s="290"/>
      <c r="EL358" s="290"/>
      <c r="EM358" s="290"/>
      <c r="EN358" s="290"/>
      <c r="EO358" s="290"/>
      <c r="EP358" s="290"/>
      <c r="JM358"/>
    </row>
    <row r="359" spans="1:273" s="289" customFormat="1">
      <c r="A359" s="323" t="s">
        <v>116</v>
      </c>
      <c r="B359" s="290"/>
      <c r="AN359" s="290"/>
      <c r="AO359" s="290"/>
      <c r="AP359" s="290"/>
      <c r="AQ359" s="290"/>
      <c r="AR359" s="290"/>
      <c r="AS359" s="290"/>
      <c r="AT359" s="290"/>
      <c r="AU359" s="290"/>
      <c r="AV359" s="295"/>
      <c r="AW359" s="295"/>
      <c r="AX359" s="290"/>
      <c r="AY359" s="290"/>
      <c r="AZ359" s="295"/>
      <c r="BA359" s="295"/>
      <c r="BB359" s="290"/>
      <c r="BC359" s="290"/>
      <c r="BD359" s="295"/>
      <c r="BE359" s="295"/>
      <c r="BF359" s="290"/>
      <c r="BG359" s="290"/>
      <c r="BH359" s="295"/>
      <c r="BI359" s="295"/>
      <c r="BJ359" s="295"/>
      <c r="BK359" s="290"/>
      <c r="BL359" s="295"/>
      <c r="BM359" s="295"/>
      <c r="BN359" s="295"/>
      <c r="BO359" s="905"/>
      <c r="BP359" s="295"/>
      <c r="BQ359" s="295"/>
      <c r="BR359" s="295"/>
      <c r="BS359" s="905"/>
      <c r="BT359" s="684">
        <f t="shared" si="254"/>
        <v>-9.0634441087613302E-3</v>
      </c>
      <c r="BU359" s="684">
        <f t="shared" si="254"/>
        <v>-6.1452513966480445E-2</v>
      </c>
      <c r="BV359" s="684">
        <f t="shared" si="254"/>
        <v>-3.7764350453172203E-2</v>
      </c>
      <c r="BW359" s="905"/>
      <c r="BX359" s="684">
        <f t="shared" si="255"/>
        <v>-5.9986030650396482E-2</v>
      </c>
      <c r="BY359" s="684">
        <f t="shared" si="255"/>
        <v>-5.2922771672771672E-2</v>
      </c>
      <c r="BZ359" s="684">
        <f t="shared" si="255"/>
        <v>-5.8646616541353384E-2</v>
      </c>
      <c r="CA359" s="290"/>
      <c r="CB359" s="684">
        <f t="shared" si="256"/>
        <v>-0.17310088054588182</v>
      </c>
      <c r="CC359" s="684">
        <f t="shared" si="256"/>
        <v>-6.5588499550763707E-2</v>
      </c>
      <c r="CD359" s="684">
        <f t="shared" si="256"/>
        <v>-0.12046632124352331</v>
      </c>
      <c r="CE359" s="581"/>
      <c r="CF359" s="684">
        <f t="shared" si="257"/>
        <v>-5.5532311437373999E-2</v>
      </c>
      <c r="CG359" s="684">
        <f t="shared" si="257"/>
        <v>-0.17348568386630672</v>
      </c>
      <c r="CH359" s="684">
        <f t="shared" si="257"/>
        <v>-0.14385150812064965</v>
      </c>
      <c r="CI359" s="581"/>
      <c r="CJ359" s="684">
        <f t="shared" si="258"/>
        <v>-4.0656763096168884E-2</v>
      </c>
      <c r="CK359" s="684">
        <f t="shared" si="258"/>
        <v>-0.13244047619047619</v>
      </c>
      <c r="CL359" s="684">
        <f t="shared" si="258"/>
        <v>-8.9913995308835024E-2</v>
      </c>
      <c r="CM359" s="581"/>
      <c r="CN359" s="684">
        <f t="shared" si="259"/>
        <v>-5.8780685091446794E-2</v>
      </c>
      <c r="CO359" s="684">
        <f t="shared" si="259"/>
        <v>-8.8941816409627561E-2</v>
      </c>
      <c r="CP359" s="684">
        <f t="shared" si="259"/>
        <v>-7.0997990622906904E-2</v>
      </c>
      <c r="CQ359" s="581"/>
      <c r="CR359" s="684">
        <f>+CR349*(CR$2/CR$1)/CR$347</f>
        <v>-0.10674978834757178</v>
      </c>
      <c r="CS359" s="684">
        <f t="shared" ref="CS359:CT359" si="264">+CS349*(CS$2/CS$1)/CS$347</f>
        <v>-4.6306548195716953E-2</v>
      </c>
      <c r="CT359" s="684">
        <f t="shared" si="264"/>
        <v>-7.9342723004694832E-2</v>
      </c>
      <c r="CU359" s="290"/>
      <c r="CV359" s="684">
        <f>+CV349*(CV$2/CV$1)/CV$347</f>
        <v>-4.9611393597961954E-2</v>
      </c>
      <c r="CW359" s="684">
        <f t="shared" ref="CW359:CX359" si="265">+CW349*(CW$2/CW$1)/CW$347</f>
        <v>-6.7160127670737743E-2</v>
      </c>
      <c r="CX359" s="684">
        <f t="shared" si="265"/>
        <v>-6.4750473783954515E-2</v>
      </c>
      <c r="CY359" s="290"/>
      <c r="CZ359" s="684">
        <f>+CZ349*(CZ$2/CZ$1)/CZ$347</f>
        <v>-0.13483965014577259</v>
      </c>
      <c r="DA359" s="684">
        <f t="shared" ref="DA359:DB359" si="266">+DA349*(DA$2/DA$1)/DA$347</f>
        <v>-2.0238095238095239E-2</v>
      </c>
      <c r="DB359" s="684">
        <f t="shared" si="266"/>
        <v>-7.7745383867832848E-2</v>
      </c>
      <c r="DC359" s="290"/>
      <c r="DD359" s="684">
        <f>+DD349*(DD$2/DD$1)/DD$347</f>
        <v>-7.6825057951028619E-2</v>
      </c>
      <c r="DE359" s="684">
        <f t="shared" ref="DE359:DF359" si="267">+DE349*(DE$2/DE$1)/DE$347</f>
        <v>-0.13888625742074018</v>
      </c>
      <c r="DF359" s="684">
        <f t="shared" si="267"/>
        <v>-0.1062753036437247</v>
      </c>
      <c r="DG359" s="290"/>
      <c r="DH359" s="684">
        <f>+DH349*(DH$2/DH$1)/DH$347</f>
        <v>-3.1573379995205292E-2</v>
      </c>
      <c r="DI359" s="1976">
        <v>-0.04</v>
      </c>
      <c r="DJ359" s="684">
        <f>+DJ349*(DJ$2/DJ$1)/DJ$347</f>
        <v>-3.6090878112550573E-2</v>
      </c>
      <c r="DK359" s="290"/>
      <c r="DL359" s="1976">
        <v>-0.06</v>
      </c>
      <c r="DM359" s="1976">
        <v>-0.06</v>
      </c>
      <c r="DN359" s="684">
        <f>+DN349*(DN$2/DN$1)/DN$347</f>
        <v>-6.097499268155375E-2</v>
      </c>
      <c r="DO359" s="290"/>
      <c r="DP359" s="1976">
        <v>-0.06</v>
      </c>
      <c r="DQ359" s="1976">
        <v>-0.06</v>
      </c>
      <c r="DR359" s="684">
        <f>+DR349*(DR$2/DR$1)/DR$347</f>
        <v>-6.0974999999999994E-2</v>
      </c>
      <c r="DS359" s="290"/>
      <c r="DT359" s="290"/>
      <c r="DU359" s="295"/>
      <c r="DV359" s="295"/>
      <c r="DW359" s="295"/>
      <c r="DX359" s="290"/>
      <c r="DY359" s="290"/>
      <c r="DZ359" s="295"/>
      <c r="EA359" s="295"/>
      <c r="EB359" s="290"/>
      <c r="EC359" s="290"/>
      <c r="ED359" s="295"/>
      <c r="EE359" s="295"/>
      <c r="EF359" s="290"/>
      <c r="EG359" s="290"/>
      <c r="EH359" s="290"/>
      <c r="EI359" s="290"/>
      <c r="EJ359" s="290"/>
      <c r="EK359" s="290"/>
      <c r="EL359" s="290"/>
      <c r="EM359" s="290"/>
      <c r="EN359" s="290"/>
      <c r="EO359" s="290"/>
      <c r="EP359" s="290"/>
      <c r="JM359"/>
    </row>
    <row r="360" spans="1:273" s="289" customFormat="1">
      <c r="A360" s="328" t="s">
        <v>1051</v>
      </c>
      <c r="B360" s="290"/>
      <c r="AN360" s="290"/>
      <c r="AO360" s="290"/>
      <c r="AP360" s="290"/>
      <c r="AQ360" s="290"/>
      <c r="AR360" s="290"/>
      <c r="AS360" s="290"/>
      <c r="AT360" s="290"/>
      <c r="AU360" s="290"/>
      <c r="AV360" s="295"/>
      <c r="AW360" s="295"/>
      <c r="AX360" s="290"/>
      <c r="AY360" s="290"/>
      <c r="AZ360" s="295"/>
      <c r="BA360" s="295"/>
      <c r="BB360" s="290"/>
      <c r="BC360" s="290"/>
      <c r="BD360" s="295"/>
      <c r="BE360" s="295"/>
      <c r="BF360" s="290"/>
      <c r="BG360" s="290"/>
      <c r="BH360" s="295"/>
      <c r="BI360" s="295"/>
      <c r="BJ360" s="295"/>
      <c r="BK360" s="290"/>
      <c r="BL360" s="295"/>
      <c r="BM360" s="295"/>
      <c r="BN360" s="295"/>
      <c r="BO360" s="905"/>
      <c r="BP360" s="295"/>
      <c r="BQ360" s="295"/>
      <c r="BR360" s="295"/>
      <c r="BS360" s="905"/>
      <c r="BT360" s="905">
        <f>BT359+BT358</f>
        <v>3.0211480362537763E-2</v>
      </c>
      <c r="BU360" s="905">
        <f>BU359+BU358</f>
        <v>5.5865921787709508E-3</v>
      </c>
      <c r="BV360" s="905">
        <f>BV359+BV358</f>
        <v>1.812688821752266E-2</v>
      </c>
      <c r="BW360" s="905"/>
      <c r="BX360" s="905">
        <f>BX359+BX358</f>
        <v>0.1619622827560705</v>
      </c>
      <c r="BY360" s="905">
        <f>BY359+BY358</f>
        <v>0.17548076923076922</v>
      </c>
      <c r="BZ360" s="905">
        <f>BZ359+BZ358</f>
        <v>0.17593984962406015</v>
      </c>
      <c r="CA360" s="290"/>
      <c r="CB360" s="905">
        <f>CB359+CB358</f>
        <v>-1.2917976160140426E-2</v>
      </c>
      <c r="CC360" s="905">
        <f>CC359+CC358</f>
        <v>0.16901651807312182</v>
      </c>
      <c r="CD360" s="905">
        <f>CD359+CD358</f>
        <v>8.0310880829015538E-2</v>
      </c>
      <c r="CE360" s="581"/>
      <c r="CF360" s="905">
        <f>CF359+CF358</f>
        <v>0.12494770073409153</v>
      </c>
      <c r="CG360" s="905">
        <f>CG359+CG358</f>
        <v>1.9083425225293715E-2</v>
      </c>
      <c r="CH360" s="905">
        <f>CH359+CH358</f>
        <v>7.5406032482598612E-2</v>
      </c>
      <c r="CI360" s="581"/>
      <c r="CJ360" s="905">
        <f>CJ359+CJ358</f>
        <v>4.691164972634871E-2</v>
      </c>
      <c r="CK360" s="905">
        <f>CK359+CK358</f>
        <v>8.3333333333333343E-2</v>
      </c>
      <c r="CL360" s="905">
        <f>CL359+CL358</f>
        <v>6.7240031274433162E-2</v>
      </c>
      <c r="CM360" s="581"/>
      <c r="CN360" s="905">
        <f>CN359+CN358</f>
        <v>6.0116609752616026E-2</v>
      </c>
      <c r="CO360" s="905">
        <f>CO359+CO358</f>
        <v>9.6114543539436242E-2</v>
      </c>
      <c r="CP360" s="905">
        <f>CP359+CP358</f>
        <v>7.5016744809109165E-2</v>
      </c>
      <c r="CQ360" s="581"/>
      <c r="CR360" s="905">
        <f>CR359+CR358</f>
        <v>7.1634726391133677E-2</v>
      </c>
      <c r="CS360" s="905">
        <f>CS359+CS358</f>
        <v>0.13428898976757919</v>
      </c>
      <c r="CT360" s="905">
        <f>CT359+CT358</f>
        <v>0.1107981220657277</v>
      </c>
      <c r="CU360" s="290"/>
      <c r="CV360" s="905">
        <f>CV359+CV358</f>
        <v>0.23388228410467776</v>
      </c>
      <c r="CW360" s="905">
        <f>CW359+CW358</f>
        <v>9.9875754219255555E-2</v>
      </c>
      <c r="CX360" s="905">
        <f>CX359+CX358</f>
        <v>0.17656348704990524</v>
      </c>
      <c r="CY360" s="290"/>
      <c r="CZ360" s="905">
        <f>CZ359+CZ358</f>
        <v>-5.7094266277939745E-2</v>
      </c>
      <c r="DA360" s="905">
        <f>DA359+DA358</f>
        <v>0.11214285714285714</v>
      </c>
      <c r="DB360" s="905">
        <f>DB359+DB358</f>
        <v>2.8668610301263359E-2</v>
      </c>
      <c r="DC360" s="290"/>
      <c r="DD360" s="905">
        <f>DD359+DD358</f>
        <v>-1.2224717250601633E-2</v>
      </c>
      <c r="DE360" s="905">
        <f>DE359+DE358</f>
        <v>-3.9303081975495771E-2</v>
      </c>
      <c r="DF360" s="905">
        <f>DF359+DF358</f>
        <v>-2.5303643724696359E-2</v>
      </c>
      <c r="DG360" s="290"/>
      <c r="DH360" s="905">
        <f>DH359+DH358</f>
        <v>6.4950953132993747E-2</v>
      </c>
      <c r="DI360" s="905">
        <f>DI359+DI358</f>
        <v>7.0000000000000007E-2</v>
      </c>
      <c r="DJ360" s="905">
        <f>DJ359+DJ358</f>
        <v>6.802109006647955E-2</v>
      </c>
      <c r="DK360" s="290"/>
      <c r="DL360" s="905">
        <f>DL359+DL358</f>
        <v>0.05</v>
      </c>
      <c r="DM360" s="905">
        <f>DM359+DM358</f>
        <v>0.06</v>
      </c>
      <c r="DN360" s="905">
        <f>DN359+DN358</f>
        <v>5.5961294051416782E-2</v>
      </c>
      <c r="DO360" s="290"/>
      <c r="DP360" s="905">
        <f>DP359+DP358</f>
        <v>0.05</v>
      </c>
      <c r="DQ360" s="905">
        <f>DQ359+DQ358</f>
        <v>0.06</v>
      </c>
      <c r="DR360" s="905">
        <f>DR359+DR358</f>
        <v>5.5975000000000004E-2</v>
      </c>
      <c r="DS360" s="290"/>
      <c r="DT360" s="290"/>
      <c r="DU360" s="295"/>
      <c r="DV360" s="295"/>
      <c r="DW360" s="295"/>
      <c r="DX360" s="290"/>
      <c r="DY360" s="290"/>
      <c r="DZ360" s="295"/>
      <c r="EA360" s="295"/>
      <c r="EB360" s="290"/>
      <c r="EC360" s="290"/>
      <c r="ED360" s="295"/>
      <c r="EE360" s="295"/>
      <c r="EF360" s="290"/>
      <c r="EG360" s="290"/>
      <c r="EH360" s="290"/>
      <c r="EI360" s="290"/>
      <c r="EJ360" s="290"/>
      <c r="EK360" s="290"/>
      <c r="EL360" s="290"/>
      <c r="EM360" s="290"/>
      <c r="EN360" s="290"/>
      <c r="EO360" s="290"/>
      <c r="EP360" s="290"/>
      <c r="JM360"/>
    </row>
    <row r="361" spans="1:273" s="289" customFormat="1">
      <c r="A361" s="323" t="str">
        <f>A351</f>
        <v>Price Movements / Listed Security Change</v>
      </c>
      <c r="B361" s="290"/>
      <c r="AN361" s="290"/>
      <c r="AO361" s="290"/>
      <c r="AP361" s="290"/>
      <c r="AQ361" s="290"/>
      <c r="AR361" s="290"/>
      <c r="AS361" s="290"/>
      <c r="AT361" s="290"/>
      <c r="AU361" s="290"/>
      <c r="AV361" s="295"/>
      <c r="AW361" s="295"/>
      <c r="AX361" s="290"/>
      <c r="AY361" s="290"/>
      <c r="AZ361" s="295"/>
      <c r="BA361" s="295"/>
      <c r="BB361" s="290"/>
      <c r="BC361" s="290"/>
      <c r="BD361" s="295"/>
      <c r="BE361" s="295"/>
      <c r="BF361" s="290"/>
      <c r="BG361" s="290"/>
      <c r="BH361" s="295"/>
      <c r="BI361" s="295"/>
      <c r="BJ361" s="295"/>
      <c r="BK361" s="290"/>
      <c r="BL361" s="295"/>
      <c r="BM361" s="295"/>
      <c r="BN361" s="295"/>
      <c r="BO361" s="905"/>
      <c r="BP361" s="295"/>
      <c r="BQ361" s="295"/>
      <c r="BR361" s="295"/>
      <c r="BS361" s="905"/>
      <c r="BT361" s="684">
        <f t="shared" ref="BT361:BV363" si="268">+BT351*(BT$2/BT$1)/BT$347</f>
        <v>1.5105740181268883E-2</v>
      </c>
      <c r="BU361" s="684">
        <f t="shared" si="268"/>
        <v>1.3966480446927373E-2</v>
      </c>
      <c r="BV361" s="684">
        <f t="shared" si="268"/>
        <v>1.5105740181268883E-2</v>
      </c>
      <c r="BW361" s="905"/>
      <c r="BX361" s="684">
        <f t="shared" ref="BX361:BZ363" si="269">+BX351*(BX$2/BX$1)/BX$347</f>
        <v>1.9495459961378855E-2</v>
      </c>
      <c r="BY361" s="684">
        <f t="shared" si="269"/>
        <v>1.8105158730158732E-2</v>
      </c>
      <c r="BZ361" s="684">
        <f t="shared" si="269"/>
        <v>1.9548872180451128E-2</v>
      </c>
      <c r="CA361" s="290"/>
      <c r="CB361" s="684">
        <f t="shared" ref="CB361:CD363" si="270">+CB351*(CB$2/CB$1)/CB$347</f>
        <v>-7.7507856960842602E-3</v>
      </c>
      <c r="CC361" s="684">
        <f t="shared" si="270"/>
        <v>-9.838274932614556E-2</v>
      </c>
      <c r="CD361" s="684">
        <f t="shared" si="270"/>
        <v>-5.4404145077720206E-2</v>
      </c>
      <c r="CE361" s="581"/>
      <c r="CF361" s="684">
        <f t="shared" ref="CF361:CH363" si="271">+CF351*(CF$2/CF$1)/CF$347</f>
        <v>4.859077250770226E-2</v>
      </c>
      <c r="CG361" s="684">
        <f t="shared" si="271"/>
        <v>3.4697136773261341E-3</v>
      </c>
      <c r="CH361" s="684">
        <f t="shared" si="271"/>
        <v>2.668213457076566E-2</v>
      </c>
      <c r="CI361" s="581"/>
      <c r="CJ361" s="684">
        <f t="shared" ref="CJ361:CL363" si="272">+CJ351*(CJ$2/CJ$1)/CJ$347</f>
        <v>7.8186082877247844E-3</v>
      </c>
      <c r="CK361" s="684">
        <f t="shared" si="272"/>
        <v>-3.5714285714285712E-2</v>
      </c>
      <c r="CL361" s="684">
        <f t="shared" si="272"/>
        <v>-1.4855355746677092E-2</v>
      </c>
      <c r="CM361" s="581"/>
      <c r="CN361" s="684">
        <f t="shared" ref="CN361:CP363" si="273">+CN351*(CN$2/CN$1)/CN$347</f>
        <v>9.3514726281847156E-3</v>
      </c>
      <c r="CO361" s="684">
        <f t="shared" si="273"/>
        <v>1.4345454259617351E-2</v>
      </c>
      <c r="CP361" s="684">
        <f t="shared" si="273"/>
        <v>1.1386470194239785E-2</v>
      </c>
      <c r="CQ361" s="581"/>
      <c r="CR361" s="684">
        <f>+CR351*(CR$2/CR$1)/CR$347</f>
        <v>3.6519664434695606E-2</v>
      </c>
      <c r="CS361" s="684">
        <f t="shared" ref="CS361:CT361" si="274">+CS351*(CS$2/CS$1)/CS$347</f>
        <v>8.8403410191823295E-2</v>
      </c>
      <c r="CT361" s="684">
        <f t="shared" si="274"/>
        <v>6.7605633802816895E-2</v>
      </c>
      <c r="CU361" s="290"/>
      <c r="CV361" s="684">
        <f>+CV351*(CV$2/CV$1)/CV$347</f>
        <v>6.2211112606968162E-2</v>
      </c>
      <c r="CW361" s="684">
        <f t="shared" ref="CW361:CX361" si="275">+CW351*(CW$2/CW$1)/CW$347</f>
        <v>5.519099600664587E-2</v>
      </c>
      <c r="CX361" s="684">
        <f t="shared" si="275"/>
        <v>6.3960833859759952E-2</v>
      </c>
      <c r="CY361" s="290"/>
      <c r="CZ361" s="684">
        <f>+CZ351*(CZ$2/CZ$1)/CZ$347</f>
        <v>4.1909620991253643E-2</v>
      </c>
      <c r="DA361" s="684">
        <f t="shared" ref="DA361:DB361" si="276">+DA351*(DA$2/DA$1)/DA$347</f>
        <v>6.1904761904761907E-2</v>
      </c>
      <c r="DB361" s="684">
        <f t="shared" si="276"/>
        <v>5.2538872691933913E-2</v>
      </c>
      <c r="DC361" s="290"/>
      <c r="DD361" s="684">
        <f>+DD351*(DD$2/DD$1)/DD$347</f>
        <v>7.7946591643744359E-2</v>
      </c>
      <c r="DE361" s="684">
        <f t="shared" ref="DE361:DF361" si="277">+DE351*(DE$2/DE$1)/DE$347</f>
        <v>6.9154982948086405E-2</v>
      </c>
      <c r="DF361" s="684">
        <f t="shared" si="277"/>
        <v>7.2818263607737285E-2</v>
      </c>
      <c r="DG361" s="290"/>
      <c r="DH361" s="684">
        <f>+DH351*(DH$2/DH$1)/DH$347</f>
        <v>0.12178303712436328</v>
      </c>
      <c r="DI361" s="1975">
        <v>2.5000000000000001E-2</v>
      </c>
      <c r="DJ361" s="684">
        <f>+DJ351*(DJ$2/DJ$1)/DJ$347</f>
        <v>7.372143020885609E-2</v>
      </c>
      <c r="DK361" s="290"/>
      <c r="DL361" s="1976">
        <v>1.4999999999999999E-2</v>
      </c>
      <c r="DM361" s="1976">
        <v>1.4999999999999999E-2</v>
      </c>
      <c r="DN361" s="684">
        <f>+DN351*(DN$2/DN$1)/DN$347</f>
        <v>1.5243748170388437E-2</v>
      </c>
      <c r="DO361" s="290"/>
      <c r="DP361" s="1976">
        <v>1.4999999999999999E-2</v>
      </c>
      <c r="DQ361" s="1976">
        <v>1.4999999999999999E-2</v>
      </c>
      <c r="DR361" s="684">
        <f>+DR351*(DR$2/DR$1)/DR$347</f>
        <v>1.5243749999999999E-2</v>
      </c>
      <c r="DS361" s="290"/>
      <c r="DT361" s="290"/>
      <c r="DU361" s="295"/>
      <c r="DV361" s="295"/>
      <c r="DW361" s="295"/>
      <c r="DX361" s="290"/>
      <c r="DY361" s="290"/>
      <c r="DZ361" s="295"/>
      <c r="EA361" s="295"/>
      <c r="EB361" s="290"/>
      <c r="EC361" s="290"/>
      <c r="ED361" s="295"/>
      <c r="EE361" s="295"/>
      <c r="EF361" s="290"/>
      <c r="EG361" s="290"/>
      <c r="EH361" s="290"/>
      <c r="EI361" s="290"/>
      <c r="EJ361" s="290"/>
      <c r="EK361" s="290"/>
      <c r="EL361" s="290"/>
      <c r="EM361" s="290"/>
      <c r="EN361" s="290"/>
      <c r="EO361" s="290"/>
      <c r="EP361" s="290"/>
      <c r="JM361"/>
    </row>
    <row r="362" spans="1:273" s="289" customFormat="1">
      <c r="A362" s="323" t="str">
        <f>A352</f>
        <v>Acquisitons / Divestments</v>
      </c>
      <c r="B362" s="290"/>
      <c r="AN362" s="290"/>
      <c r="AO362" s="290"/>
      <c r="AP362" s="290"/>
      <c r="AQ362" s="290"/>
      <c r="AR362" s="290"/>
      <c r="AS362" s="290"/>
      <c r="AT362" s="290"/>
      <c r="AU362" s="290"/>
      <c r="AV362" s="295"/>
      <c r="AW362" s="295"/>
      <c r="AX362" s="290"/>
      <c r="AY362" s="290"/>
      <c r="AZ362" s="295"/>
      <c r="BA362" s="295"/>
      <c r="BB362" s="290"/>
      <c r="BC362" s="290"/>
      <c r="BD362" s="295"/>
      <c r="BE362" s="295"/>
      <c r="BF362" s="290"/>
      <c r="BG362" s="290"/>
      <c r="BH362" s="295"/>
      <c r="BI362" s="295"/>
      <c r="BJ362" s="295"/>
      <c r="BK362" s="290"/>
      <c r="BL362" s="295"/>
      <c r="BM362" s="295"/>
      <c r="BN362" s="295"/>
      <c r="BO362" s="905"/>
      <c r="BP362" s="295"/>
      <c r="BQ362" s="295"/>
      <c r="BR362" s="295"/>
      <c r="BS362" s="905"/>
      <c r="BT362" s="684">
        <f t="shared" si="268"/>
        <v>0</v>
      </c>
      <c r="BU362" s="684">
        <f t="shared" si="268"/>
        <v>0</v>
      </c>
      <c r="BV362" s="684">
        <f t="shared" si="268"/>
        <v>0</v>
      </c>
      <c r="BW362" s="905"/>
      <c r="BX362" s="684">
        <f t="shared" si="269"/>
        <v>0</v>
      </c>
      <c r="BY362" s="684">
        <f t="shared" si="269"/>
        <v>0</v>
      </c>
      <c r="BZ362" s="684">
        <f t="shared" si="269"/>
        <v>0</v>
      </c>
      <c r="CA362" s="290"/>
      <c r="CB362" s="684">
        <f t="shared" si="270"/>
        <v>5.6839095104617918E-2</v>
      </c>
      <c r="CC362" s="684">
        <f t="shared" si="270"/>
        <v>0</v>
      </c>
      <c r="CD362" s="684">
        <f t="shared" si="270"/>
        <v>2.8497409326424871E-2</v>
      </c>
      <c r="CE362" s="581"/>
      <c r="CF362" s="684">
        <f t="shared" si="271"/>
        <v>0.21518770681982427</v>
      </c>
      <c r="CG362" s="684">
        <f t="shared" si="271"/>
        <v>4.1636564127913611E-2</v>
      </c>
      <c r="CH362" s="684">
        <f t="shared" si="271"/>
        <v>0.1357308584686775</v>
      </c>
      <c r="CI362" s="581"/>
      <c r="CJ362" s="684">
        <f t="shared" si="272"/>
        <v>0</v>
      </c>
      <c r="CK362" s="684">
        <f t="shared" si="272"/>
        <v>0</v>
      </c>
      <c r="CL362" s="684">
        <f t="shared" si="272"/>
        <v>0</v>
      </c>
      <c r="CM362" s="581"/>
      <c r="CN362" s="684">
        <f t="shared" si="273"/>
        <v>0</v>
      </c>
      <c r="CO362" s="684">
        <f t="shared" si="273"/>
        <v>0</v>
      </c>
      <c r="CP362" s="684">
        <f t="shared" si="273"/>
        <v>0</v>
      </c>
      <c r="CQ362" s="581"/>
      <c r="CR362" s="684">
        <f>+CR352*(CR$2/CR$1)/CR$347</f>
        <v>0</v>
      </c>
      <c r="CS362" s="684">
        <f t="shared" ref="CS362:CT362" si="278">+CS352*(CS$2/CS$1)/CS$347</f>
        <v>0</v>
      </c>
      <c r="CT362" s="684">
        <f t="shared" si="278"/>
        <v>0</v>
      </c>
      <c r="CU362" s="290"/>
      <c r="CV362" s="684">
        <f>+CV352*(CV$2/CV$1)/CV$347</f>
        <v>0</v>
      </c>
      <c r="CW362" s="684">
        <f t="shared" ref="CW362:CX362" si="279">+CW352*(CW$2/CW$1)/CW$347</f>
        <v>0</v>
      </c>
      <c r="CX362" s="684">
        <f t="shared" si="279"/>
        <v>0</v>
      </c>
      <c r="CY362" s="290"/>
      <c r="CZ362" s="684">
        <f>+CZ352*(CZ$2/CZ$1)/CZ$347</f>
        <v>0</v>
      </c>
      <c r="DA362" s="684">
        <f t="shared" ref="DA362:DB362" si="280">+DA352*(DA$2/DA$1)/DA$347</f>
        <v>0</v>
      </c>
      <c r="DB362" s="684">
        <f t="shared" si="280"/>
        <v>0</v>
      </c>
      <c r="DC362" s="290"/>
      <c r="DD362" s="684">
        <f>+DD352*(DD$2/DD$1)/DD$347</f>
        <v>0</v>
      </c>
      <c r="DE362" s="684">
        <f t="shared" ref="DE362:DF362" si="281">+DE352*(DE$2/DE$1)/DE$347</f>
        <v>-0.11468201338890993</v>
      </c>
      <c r="DF362" s="684">
        <f t="shared" si="281"/>
        <v>-5.5949167791273055E-2</v>
      </c>
      <c r="DG362" s="290"/>
      <c r="DH362" s="684">
        <f>+DH352*(DH$2/DH$1)/DH$347</f>
        <v>0</v>
      </c>
      <c r="DI362" s="1976">
        <v>0</v>
      </c>
      <c r="DJ362" s="684">
        <f>+DJ352*(DJ$2/DJ$1)/DJ$347</f>
        <v>0</v>
      </c>
      <c r="DK362" s="290"/>
      <c r="DL362" s="1976">
        <v>0</v>
      </c>
      <c r="DM362" s="1976">
        <v>0</v>
      </c>
      <c r="DN362" s="684">
        <f>+DN352*(DN$2/DN$1)/DN$347</f>
        <v>0</v>
      </c>
      <c r="DO362" s="290"/>
      <c r="DP362" s="1976">
        <v>0</v>
      </c>
      <c r="DQ362" s="1976">
        <v>0</v>
      </c>
      <c r="DR362" s="684">
        <f>+DR352*(DR$2/DR$1)/DR$347</f>
        <v>0</v>
      </c>
      <c r="DS362" s="290"/>
      <c r="DT362" s="290"/>
      <c r="DU362" s="295"/>
      <c r="DV362" s="295"/>
      <c r="DW362" s="295"/>
      <c r="DX362" s="290"/>
      <c r="DY362" s="290"/>
      <c r="DZ362" s="295"/>
      <c r="EA362" s="295"/>
      <c r="EB362" s="290"/>
      <c r="EC362" s="290"/>
      <c r="ED362" s="295"/>
      <c r="EE362" s="295"/>
      <c r="EF362" s="290"/>
      <c r="EG362" s="290"/>
      <c r="EH362" s="290"/>
      <c r="EI362" s="290"/>
      <c r="EJ362" s="290"/>
      <c r="EK362" s="290"/>
      <c r="EL362" s="290"/>
      <c r="EM362" s="290"/>
      <c r="EN362" s="290"/>
      <c r="EO362" s="290"/>
      <c r="EP362" s="290"/>
      <c r="JM362"/>
    </row>
    <row r="363" spans="1:273" s="289" customFormat="1">
      <c r="A363" s="323" t="str">
        <f>A353</f>
        <v>FX and Other</v>
      </c>
      <c r="B363" s="290"/>
      <c r="AN363" s="290"/>
      <c r="AO363" s="290"/>
      <c r="AP363" s="290"/>
      <c r="AQ363" s="290"/>
      <c r="AR363" s="290"/>
      <c r="AS363" s="290"/>
      <c r="AT363" s="290"/>
      <c r="AU363" s="290"/>
      <c r="AV363" s="295"/>
      <c r="AW363" s="295"/>
      <c r="AX363" s="290"/>
      <c r="AY363" s="290"/>
      <c r="AZ363" s="295"/>
      <c r="BA363" s="295"/>
      <c r="BB363" s="290"/>
      <c r="BC363" s="290"/>
      <c r="BD363" s="295"/>
      <c r="BE363" s="295"/>
      <c r="BF363" s="290"/>
      <c r="BG363" s="290"/>
      <c r="BH363" s="295"/>
      <c r="BI363" s="295"/>
      <c r="BJ363" s="295"/>
      <c r="BK363" s="290"/>
      <c r="BL363" s="295"/>
      <c r="BM363" s="295"/>
      <c r="BN363" s="295"/>
      <c r="BO363" s="905"/>
      <c r="BP363" s="295"/>
      <c r="BQ363" s="295"/>
      <c r="BR363" s="295"/>
      <c r="BS363" s="905"/>
      <c r="BT363" s="684">
        <f t="shared" si="268"/>
        <v>0.11782477341389729</v>
      </c>
      <c r="BU363" s="684">
        <f t="shared" si="268"/>
        <v>-0.16201117318435754</v>
      </c>
      <c r="BV363" s="684">
        <f t="shared" si="268"/>
        <v>-2.8700906344410877E-2</v>
      </c>
      <c r="BW363" s="905"/>
      <c r="BX363" s="684">
        <f t="shared" si="269"/>
        <v>-1.6496158428859035E-2</v>
      </c>
      <c r="BY363" s="684">
        <f t="shared" si="269"/>
        <v>-4.874465811965812E-2</v>
      </c>
      <c r="BZ363" s="684">
        <f t="shared" si="269"/>
        <v>-3.4586466165413533E-2</v>
      </c>
      <c r="CA363" s="290"/>
      <c r="CB363" s="684">
        <f t="shared" si="270"/>
        <v>2.3252357088252781E-2</v>
      </c>
      <c r="CC363" s="684">
        <f t="shared" si="270"/>
        <v>9.838274932614556E-2</v>
      </c>
      <c r="CD363" s="684">
        <f t="shared" si="270"/>
        <v>6.2176165803108807E-2</v>
      </c>
      <c r="CE363" s="581"/>
      <c r="CF363" s="684">
        <f t="shared" si="271"/>
        <v>0.29154463504621353</v>
      </c>
      <c r="CG363" s="684">
        <f t="shared" si="271"/>
        <v>0.14919768812502376</v>
      </c>
      <c r="CH363" s="684">
        <f t="shared" si="271"/>
        <v>0.24593967517401391</v>
      </c>
      <c r="CI363" s="581"/>
      <c r="CJ363" s="684">
        <f t="shared" si="272"/>
        <v>4.691164972634871E-2</v>
      </c>
      <c r="CK363" s="684">
        <f t="shared" si="272"/>
        <v>0.17410714285714285</v>
      </c>
      <c r="CL363" s="684">
        <f t="shared" si="272"/>
        <v>0.11493354182955434</v>
      </c>
      <c r="CM363" s="581"/>
      <c r="CN363" s="684">
        <f t="shared" si="273"/>
        <v>-0.19638092519187905</v>
      </c>
      <c r="CO363" s="684">
        <f t="shared" si="273"/>
        <v>-7.8899998427895426E-2</v>
      </c>
      <c r="CP363" s="684">
        <f t="shared" si="273"/>
        <v>-0.13529805760214333</v>
      </c>
      <c r="CQ363" s="581"/>
      <c r="CR363" s="684">
        <f>+CR353*(CR$2/CR$1)/CR$347</f>
        <v>0.12781882552143461</v>
      </c>
      <c r="CS363" s="684">
        <f t="shared" ref="CS363:CT363" si="282">+CS353*(CS$2/CS$1)/CS$347</f>
        <v>-0.22900692925881855</v>
      </c>
      <c r="CT363" s="684">
        <f t="shared" si="282"/>
        <v>-6.3615023474178467E-2</v>
      </c>
      <c r="CU363" s="290"/>
      <c r="CV363" s="684">
        <f>+CV353*(CV$2/CV$1)/CV$347</f>
        <v>8.4418117360341605E-2</v>
      </c>
      <c r="CW363" s="684">
        <f t="shared" ref="CW363:CX363" si="283">+CW353*(CW$2/CW$1)/CW$347</f>
        <v>2.899189669746699E-2</v>
      </c>
      <c r="CX363" s="684">
        <f t="shared" si="283"/>
        <v>5.9538850284270375E-2</v>
      </c>
      <c r="CY363" s="290"/>
      <c r="CZ363" s="684">
        <f>+CZ353*(CZ$2/CZ$1)/CZ$347</f>
        <v>5.6000971817298351E-2</v>
      </c>
      <c r="DA363" s="684">
        <f t="shared" ref="DA363:DB363" si="284">+DA353*(DA$2/DA$1)/DA$347</f>
        <v>-5.6904761904761902E-2</v>
      </c>
      <c r="DB363" s="684">
        <f t="shared" si="284"/>
        <v>-1.0325558794946549E-3</v>
      </c>
      <c r="DC363" s="290"/>
      <c r="DD363" s="684">
        <f>+DD353*(DD$2/DD$1)/DD$347</f>
        <v>-0.10878876819342738</v>
      </c>
      <c r="DE363" s="684">
        <f t="shared" ref="DE363:DF363" si="285">+DE353*(DE$2/DE$1)/DE$347</f>
        <v>0.11802450423140078</v>
      </c>
      <c r="DF363" s="684">
        <f t="shared" si="285"/>
        <v>3.0364372469635628E-3</v>
      </c>
      <c r="DG363" s="290"/>
      <c r="DH363" s="684">
        <f>+DH353*(DH$2/DH$1)/DH$347</f>
        <v>-0.15516061026215172</v>
      </c>
      <c r="DI363" s="1976">
        <v>0</v>
      </c>
      <c r="DJ363" s="684">
        <f>+DJ353*(DJ$2/DJ$1)/DJ$347</f>
        <v>-7.7792853912256904E-2</v>
      </c>
      <c r="DK363" s="290"/>
      <c r="DL363" s="1976">
        <v>0</v>
      </c>
      <c r="DM363" s="1976">
        <v>0</v>
      </c>
      <c r="DN363" s="684">
        <f>+DN353*(DN$2/DN$1)/DN$347</f>
        <v>0</v>
      </c>
      <c r="DO363" s="290"/>
      <c r="DP363" s="1976">
        <v>0</v>
      </c>
      <c r="DQ363" s="1976">
        <v>0</v>
      </c>
      <c r="DR363" s="684">
        <f>+DR353*(DR$2/DR$1)/DR$347</f>
        <v>0</v>
      </c>
      <c r="DS363" s="290"/>
      <c r="DT363" s="290"/>
      <c r="DU363" s="295"/>
      <c r="DV363" s="295"/>
      <c r="DW363" s="295"/>
      <c r="DX363" s="290"/>
      <c r="DY363" s="290"/>
      <c r="DZ363" s="295"/>
      <c r="EA363" s="295"/>
      <c r="EB363" s="290"/>
      <c r="EC363" s="290"/>
      <c r="ED363" s="295"/>
      <c r="EE363" s="295"/>
      <c r="EF363" s="290"/>
      <c r="EG363" s="290"/>
      <c r="EH363" s="290"/>
      <c r="EI363" s="290"/>
      <c r="EJ363" s="290"/>
      <c r="EK363" s="290"/>
      <c r="EL363" s="290"/>
      <c r="EM363" s="290"/>
      <c r="EN363" s="290"/>
      <c r="EO363" s="290"/>
      <c r="EP363" s="290"/>
      <c r="JM363"/>
    </row>
    <row r="364" spans="1:273" s="289" customFormat="1">
      <c r="A364" s="328" t="s">
        <v>588</v>
      </c>
      <c r="B364" s="290"/>
      <c r="AN364" s="290"/>
      <c r="AO364" s="290"/>
      <c r="AP364" s="290"/>
      <c r="AQ364" s="290"/>
      <c r="AR364" s="290"/>
      <c r="AS364" s="290"/>
      <c r="AT364" s="290"/>
      <c r="AU364" s="290"/>
      <c r="AV364" s="295"/>
      <c r="AW364" s="295"/>
      <c r="AX364" s="290"/>
      <c r="AY364" s="290"/>
      <c r="AZ364" s="295"/>
      <c r="BA364" s="295"/>
      <c r="BB364" s="290"/>
      <c r="BC364" s="290"/>
      <c r="BD364" s="295"/>
      <c r="BE364" s="295"/>
      <c r="BF364" s="290"/>
      <c r="BG364" s="290"/>
      <c r="BH364" s="295"/>
      <c r="BI364" s="295"/>
      <c r="BJ364" s="295"/>
      <c r="BK364" s="290"/>
      <c r="BL364" s="295"/>
      <c r="BM364" s="295"/>
      <c r="BN364" s="295"/>
      <c r="BO364" s="905"/>
      <c r="BP364" s="295"/>
      <c r="BQ364" s="295"/>
      <c r="BR364" s="295"/>
      <c r="BS364" s="905"/>
      <c r="BT364" s="811">
        <f>SUM(BT358:BT363,-BT360)</f>
        <v>0.16314199395770393</v>
      </c>
      <c r="BU364" s="811">
        <f>SUM(BU358:BU363,-BU360)</f>
        <v>-0.14245810055865921</v>
      </c>
      <c r="BV364" s="811">
        <f>SUM(BV358:BV363,-BV360)</f>
        <v>4.5317220543806651E-3</v>
      </c>
      <c r="BW364" s="905"/>
      <c r="BX364" s="811">
        <f>SUM(BX358:BX363,-BX360)</f>
        <v>0.16496158428859031</v>
      </c>
      <c r="BY364" s="811">
        <f>SUM(BY358:BY363,-BY360)</f>
        <v>0.14484126984126983</v>
      </c>
      <c r="BZ364" s="811">
        <f>SUM(BZ358:BZ363,-BZ360)</f>
        <v>0.16090225563909774</v>
      </c>
      <c r="CA364" s="290"/>
      <c r="CB364" s="811">
        <f>SUM(CB358:CB363,-CB360)</f>
        <v>5.942269033664601E-2</v>
      </c>
      <c r="CC364" s="811">
        <f>SUM(CC358:CC363,-CC360)</f>
        <v>0.16901651807312182</v>
      </c>
      <c r="CD364" s="811">
        <f>SUM(CD358:CD363,-CD360)</f>
        <v>0.116580310880829</v>
      </c>
      <c r="CE364" s="581"/>
      <c r="CF364" s="811">
        <f>SUM(CF358:CF363,-CF360)</f>
        <v>0.68027081510783161</v>
      </c>
      <c r="CG364" s="811">
        <f>SUM(CG358:CG363,-CG360)</f>
        <v>0.21338739115555722</v>
      </c>
      <c r="CH364" s="811">
        <f>SUM(CH358:CH363,-CH360)</f>
        <v>0.48375870069605575</v>
      </c>
      <c r="CI364" s="581"/>
      <c r="CJ364" s="811">
        <f>SUM(CJ358:CJ363,-CJ360)</f>
        <v>0.1016419077404222</v>
      </c>
      <c r="CK364" s="811">
        <f>SUM(CK358:CK363,-CK360)</f>
        <v>0.22172619047619049</v>
      </c>
      <c r="CL364" s="811">
        <f>SUM(CL358:CL363,-CL360)</f>
        <v>0.16731821735731039</v>
      </c>
      <c r="CM364" s="581"/>
      <c r="CN364" s="811">
        <f>SUM(CN358:CN363,-CN360)</f>
        <v>-0.12691284281107829</v>
      </c>
      <c r="CO364" s="811">
        <f>SUM(CO358:CO363,-CO360)</f>
        <v>3.1559999371158193E-2</v>
      </c>
      <c r="CP364" s="811">
        <f>SUM(CP358:CP363,-CP360)</f>
        <v>-4.8894842598794397E-2</v>
      </c>
      <c r="CQ364" s="581"/>
      <c r="CR364" s="811">
        <f>SUM(CR358:CR363,-CR360)</f>
        <v>0.23597321634726387</v>
      </c>
      <c r="CS364" s="811">
        <f>SUM(CS358:CS363,-CS360)</f>
        <v>-6.3145292994160607E-3</v>
      </c>
      <c r="CT364" s="811">
        <f>SUM(CT358:CT363,-CT360)</f>
        <v>0.11478873239436616</v>
      </c>
      <c r="CU364" s="290"/>
      <c r="CV364" s="811">
        <f>SUM(CV358:CV363,-CV360)</f>
        <v>0.38051151407198763</v>
      </c>
      <c r="CW364" s="811">
        <f>SUM(CW358:CW363,-CW360)</f>
        <v>0.18405864692336843</v>
      </c>
      <c r="CX364" s="811">
        <f>SUM(CX358:CX363,-CX360)</f>
        <v>0.30006317119393555</v>
      </c>
      <c r="CY364" s="290"/>
      <c r="CZ364" s="811">
        <f>SUM(CZ358:CZ363,-CZ360)</f>
        <v>4.0816326530612249E-2</v>
      </c>
      <c r="DA364" s="811">
        <f>SUM(DA358:DA363,-DA360)</f>
        <v>0.11714285714285717</v>
      </c>
      <c r="DB364" s="811">
        <f>SUM(DB358:DB363,-DB360)</f>
        <v>8.0174927113702624E-2</v>
      </c>
      <c r="DC364" s="290"/>
      <c r="DD364" s="811">
        <f>SUM(DD358:DD363,-DD360)</f>
        <v>-4.3066893800284653E-2</v>
      </c>
      <c r="DE364" s="811">
        <f>SUM(DE358:DE363,-DE360)</f>
        <v>3.3194391815081478E-2</v>
      </c>
      <c r="DF364" s="811">
        <f>SUM(DF358:DF363,-DF360)</f>
        <v>-5.3981106612685653E-3</v>
      </c>
      <c r="DG364" s="290"/>
      <c r="DH364" s="811">
        <f>SUM(DH358:DH363,-DH360)</f>
        <v>3.1573379995205278E-2</v>
      </c>
      <c r="DI364" s="811">
        <f t="shared" ref="DI364:DJ364" si="286">SUM(DI358:DI363,-DI360)</f>
        <v>9.5000000000000001E-2</v>
      </c>
      <c r="DJ364" s="811">
        <f t="shared" si="286"/>
        <v>6.3949666363078722E-2</v>
      </c>
      <c r="DK364" s="290"/>
      <c r="DL364" s="811">
        <f t="shared" ref="DL364:DN364" si="287">SUM(DL358:DL363,-DL360)</f>
        <v>6.5000000000000002E-2</v>
      </c>
      <c r="DM364" s="811">
        <f t="shared" si="287"/>
        <v>7.5000000000000011E-2</v>
      </c>
      <c r="DN364" s="811">
        <f t="shared" si="287"/>
        <v>7.1205042221805209E-2</v>
      </c>
      <c r="DO364" s="290"/>
      <c r="DP364" s="811">
        <f t="shared" ref="DP364:DR364" si="288">SUM(DP358:DP363,-DP360)</f>
        <v>6.5000000000000002E-2</v>
      </c>
      <c r="DQ364" s="811">
        <f t="shared" si="288"/>
        <v>7.5000000000000011E-2</v>
      </c>
      <c r="DR364" s="811">
        <f t="shared" si="288"/>
        <v>7.1218749999999997E-2</v>
      </c>
      <c r="DS364" s="290"/>
      <c r="DT364" s="290"/>
      <c r="DU364" s="295"/>
      <c r="DV364" s="295"/>
      <c r="DW364" s="295"/>
      <c r="DX364" s="290"/>
      <c r="DY364" s="290"/>
      <c r="DZ364" s="295"/>
      <c r="EA364" s="295"/>
      <c r="EB364" s="290"/>
      <c r="EC364" s="290"/>
      <c r="ED364" s="295"/>
      <c r="EE364" s="295"/>
      <c r="EF364" s="290"/>
      <c r="EG364" s="290"/>
      <c r="EH364" s="290"/>
      <c r="EI364" s="290"/>
      <c r="EJ364" s="290"/>
      <c r="EK364" s="290"/>
      <c r="EL364" s="290"/>
      <c r="EM364" s="290"/>
      <c r="EN364" s="290"/>
      <c r="EO364" s="290"/>
      <c r="EP364" s="290"/>
      <c r="JM364"/>
    </row>
    <row r="365" spans="1:273" s="289" customFormat="1">
      <c r="B365" s="290"/>
      <c r="AN365" s="290"/>
      <c r="AO365" s="290"/>
      <c r="AP365" s="290"/>
      <c r="AQ365" s="290"/>
      <c r="AR365" s="290"/>
      <c r="AS365" s="290"/>
      <c r="AT365" s="290"/>
      <c r="AU365" s="290"/>
      <c r="AV365" s="295"/>
      <c r="AW365" s="295"/>
      <c r="AX365" s="290"/>
      <c r="AY365" s="290"/>
      <c r="AZ365" s="295"/>
      <c r="BA365" s="295"/>
      <c r="BB365" s="290"/>
      <c r="BC365" s="290"/>
      <c r="BD365" s="295"/>
      <c r="BE365" s="295"/>
      <c r="BF365" s="290"/>
      <c r="BG365" s="290"/>
      <c r="BH365" s="295"/>
      <c r="BI365" s="295"/>
      <c r="BJ365" s="295"/>
      <c r="BK365" s="290"/>
      <c r="BL365" s="295"/>
      <c r="BM365" s="295"/>
      <c r="BN365" s="295"/>
      <c r="BO365" s="905"/>
      <c r="BP365" s="295"/>
      <c r="BQ365" s="295"/>
      <c r="BR365" s="295"/>
      <c r="BS365" s="905"/>
      <c r="BT365" s="295"/>
      <c r="BU365" s="295"/>
      <c r="BV365" s="295"/>
      <c r="BW365" s="905"/>
      <c r="BX365" s="295"/>
      <c r="BY365" s="295"/>
      <c r="BZ365" s="295"/>
      <c r="CA365" s="290"/>
      <c r="CB365" s="295"/>
      <c r="CC365" s="295"/>
      <c r="CD365" s="295"/>
      <c r="CE365" s="581"/>
      <c r="CF365" s="295"/>
      <c r="CG365" s="295"/>
      <c r="CH365" s="295"/>
      <c r="CI365" s="581"/>
      <c r="CJ365" s="295"/>
      <c r="CK365" s="295"/>
      <c r="CL365" s="295"/>
      <c r="CM365" s="581"/>
      <c r="CN365" s="295"/>
      <c r="CO365" s="295"/>
      <c r="CP365" s="295"/>
      <c r="CQ365" s="581"/>
      <c r="CR365" s="295"/>
      <c r="CS365" s="295"/>
      <c r="CT365" s="295"/>
      <c r="CU365" s="290"/>
      <c r="CV365" s="295"/>
      <c r="CW365" s="295"/>
      <c r="CX365" s="295"/>
      <c r="CY365" s="290"/>
      <c r="CZ365" s="295"/>
      <c r="DA365" s="295"/>
      <c r="DB365" s="295"/>
      <c r="DC365" s="290"/>
      <c r="DD365" s="295"/>
      <c r="DE365" s="295"/>
      <c r="DF365" s="295"/>
      <c r="DG365" s="290"/>
      <c r="DH365" s="295"/>
      <c r="DI365" s="295"/>
      <c r="DJ365" s="295"/>
      <c r="DK365" s="290"/>
      <c r="DL365" s="295"/>
      <c r="DM365" s="295"/>
      <c r="DN365" s="295"/>
      <c r="DO365" s="290"/>
      <c r="DP365" s="295"/>
      <c r="DQ365" s="295"/>
      <c r="DR365" s="295"/>
      <c r="DS365" s="290"/>
      <c r="DT365" s="290"/>
      <c r="DU365" s="295"/>
      <c r="DV365" s="295"/>
      <c r="DW365" s="295"/>
      <c r="DX365" s="290"/>
      <c r="DY365" s="290"/>
      <c r="DZ365" s="295"/>
      <c r="EA365" s="295"/>
      <c r="EB365" s="290"/>
      <c r="EC365" s="290"/>
      <c r="ED365" s="295"/>
      <c r="EE365" s="295"/>
      <c r="EF365" s="290"/>
      <c r="EG365" s="290"/>
      <c r="EH365" s="290"/>
      <c r="EI365" s="290"/>
      <c r="EJ365" s="290"/>
      <c r="EK365" s="290"/>
      <c r="EL365" s="290"/>
      <c r="EM365" s="290"/>
      <c r="EN365" s="290"/>
      <c r="EO365" s="290"/>
      <c r="EP365" s="290"/>
      <c r="JM365"/>
    </row>
    <row r="366" spans="1:273" s="289" customFormat="1">
      <c r="A366" s="289" t="s">
        <v>33</v>
      </c>
      <c r="B366" s="290"/>
      <c r="AN366" s="290"/>
      <c r="AO366" s="290"/>
      <c r="AP366" s="290"/>
      <c r="AQ366" s="290"/>
      <c r="AR366" s="290"/>
      <c r="AS366" s="290"/>
      <c r="AT366" s="290"/>
      <c r="AU366" s="290"/>
      <c r="AV366" s="295"/>
      <c r="AW366" s="295"/>
      <c r="AX366" s="290"/>
      <c r="AY366" s="290"/>
      <c r="AZ366" s="295"/>
      <c r="BA366" s="295"/>
      <c r="BB366" s="290"/>
      <c r="BC366" s="290"/>
      <c r="BD366" s="295"/>
      <c r="BE366" s="295"/>
      <c r="BF366" s="290"/>
      <c r="BG366" s="290"/>
      <c r="BH366" s="295"/>
      <c r="BI366" s="295"/>
      <c r="BJ366" s="295"/>
      <c r="BK366" s="290"/>
      <c r="BL366" s="295">
        <f>BL159</f>
        <v>246</v>
      </c>
      <c r="BM366" s="295">
        <f>BM159</f>
        <v>247</v>
      </c>
      <c r="BN366" s="295">
        <f>BN159</f>
        <v>493</v>
      </c>
      <c r="BO366" s="672"/>
      <c r="BP366" s="295">
        <f>BP159</f>
        <v>248</v>
      </c>
      <c r="BQ366" s="295">
        <f>BQ159</f>
        <v>274</v>
      </c>
      <c r="BR366" s="295">
        <f>BR159</f>
        <v>522</v>
      </c>
      <c r="BS366" s="672"/>
      <c r="BT366" s="295">
        <f>BT159</f>
        <v>303</v>
      </c>
      <c r="BU366" s="295">
        <f>BU159</f>
        <v>314</v>
      </c>
      <c r="BV366" s="295">
        <f>BV159</f>
        <v>617</v>
      </c>
      <c r="BW366" s="672"/>
      <c r="BX366" s="295">
        <f>BX159</f>
        <v>325</v>
      </c>
      <c r="BY366" s="295">
        <f>BY159</f>
        <v>319</v>
      </c>
      <c r="BZ366" s="295">
        <f>BZ159</f>
        <v>644</v>
      </c>
      <c r="CA366" s="672"/>
      <c r="CB366" s="295">
        <f>CB159</f>
        <v>325</v>
      </c>
      <c r="CC366" s="295">
        <f>CC159</f>
        <v>325</v>
      </c>
      <c r="CD366" s="295">
        <f>CD159</f>
        <v>650</v>
      </c>
      <c r="CE366" s="672"/>
      <c r="CF366" s="295">
        <f>CF159</f>
        <v>385</v>
      </c>
      <c r="CG366" s="295">
        <f>CG159</f>
        <v>417</v>
      </c>
      <c r="CH366" s="295">
        <f>CH159</f>
        <v>802</v>
      </c>
      <c r="CI366" s="672"/>
      <c r="CJ366" s="295">
        <f>CJ159</f>
        <v>436</v>
      </c>
      <c r="CK366" s="295">
        <f>CK159</f>
        <v>498</v>
      </c>
      <c r="CL366" s="295">
        <f>CL159</f>
        <v>934</v>
      </c>
      <c r="CM366" s="672"/>
      <c r="CN366" s="295">
        <f>CN159</f>
        <v>471</v>
      </c>
      <c r="CO366" s="295">
        <f>CO159</f>
        <v>486</v>
      </c>
      <c r="CP366" s="295">
        <f>CP159</f>
        <v>957</v>
      </c>
      <c r="CQ366" s="672"/>
      <c r="CR366" s="295">
        <f>CR159</f>
        <v>529</v>
      </c>
      <c r="CS366" s="295">
        <f>CS159</f>
        <v>559</v>
      </c>
      <c r="CT366" s="295">
        <f>CT159</f>
        <v>1088</v>
      </c>
      <c r="CU366" s="290"/>
      <c r="CV366" s="295">
        <f>CV159</f>
        <v>591</v>
      </c>
      <c r="CW366" s="295">
        <f>CW159</f>
        <v>662</v>
      </c>
      <c r="CX366" s="295">
        <f>CX159</f>
        <v>1253</v>
      </c>
      <c r="CY366" s="290"/>
      <c r="CZ366" s="295">
        <f>CZ159</f>
        <v>666</v>
      </c>
      <c r="DA366" s="295">
        <f>DA159</f>
        <v>734</v>
      </c>
      <c r="DB366" s="295">
        <f>DB159</f>
        <v>1400</v>
      </c>
      <c r="DC366" s="290"/>
      <c r="DD366" s="295">
        <f>DD159</f>
        <v>715</v>
      </c>
      <c r="DE366" s="295">
        <f>DE159</f>
        <v>745</v>
      </c>
      <c r="DF366" s="295">
        <f>DF159</f>
        <v>1460</v>
      </c>
      <c r="DG366" s="290"/>
      <c r="DH366" s="295">
        <f>DH159</f>
        <v>749</v>
      </c>
      <c r="DI366" s="295">
        <f>DI159</f>
        <v>773.55509130487178</v>
      </c>
      <c r="DJ366" s="295">
        <f>DJ159</f>
        <v>1522.5550913048719</v>
      </c>
      <c r="DK366" s="290"/>
      <c r="DL366" s="295">
        <f>DL159</f>
        <v>795.50260978547135</v>
      </c>
      <c r="DM366" s="295">
        <f>DM159</f>
        <v>803.3881237375258</v>
      </c>
      <c r="DN366" s="295">
        <f>DN159</f>
        <v>1598.8907335229972</v>
      </c>
      <c r="DO366" s="290"/>
      <c r="DP366" s="295">
        <f>DP159</f>
        <v>822.31772351002678</v>
      </c>
      <c r="DQ366" s="295">
        <f>DQ159</f>
        <v>839.33665706814566</v>
      </c>
      <c r="DR366" s="295">
        <f>DR159</f>
        <v>1661.6543805781725</v>
      </c>
      <c r="DS366" s="290"/>
      <c r="DT366" s="290"/>
      <c r="DU366" s="295"/>
      <c r="DV366" s="295"/>
      <c r="DW366" s="295"/>
      <c r="DX366" s="290"/>
      <c r="DY366" s="290"/>
      <c r="DZ366" s="295"/>
      <c r="EA366" s="295"/>
      <c r="EB366" s="290"/>
      <c r="EC366" s="290"/>
      <c r="ED366" s="295"/>
      <c r="EE366" s="295"/>
      <c r="EF366" s="290"/>
      <c r="EG366" s="290"/>
      <c r="EH366" s="290"/>
      <c r="EI366" s="290"/>
      <c r="EJ366" s="290"/>
      <c r="EK366" s="290"/>
      <c r="EL366" s="290"/>
      <c r="EM366" s="290"/>
      <c r="EN366" s="290"/>
      <c r="EO366" s="290"/>
      <c r="EP366" s="290"/>
      <c r="JM366"/>
    </row>
    <row r="367" spans="1:273" s="289" customFormat="1">
      <c r="B367" s="290"/>
      <c r="AN367" s="290"/>
      <c r="AO367" s="290"/>
      <c r="AP367" s="290"/>
      <c r="AQ367" s="290"/>
      <c r="AR367" s="290"/>
      <c r="AS367" s="290"/>
      <c r="AT367" s="290"/>
      <c r="AU367" s="290"/>
      <c r="AV367" s="295"/>
      <c r="AW367" s="295"/>
      <c r="AX367" s="290"/>
      <c r="AY367" s="290"/>
      <c r="AZ367" s="295"/>
      <c r="BA367" s="295"/>
      <c r="BB367" s="290"/>
      <c r="BC367" s="290"/>
      <c r="BD367" s="295"/>
      <c r="BE367" s="295"/>
      <c r="BF367" s="290"/>
      <c r="BG367" s="290"/>
      <c r="BH367" s="295"/>
      <c r="BI367" s="295"/>
      <c r="BJ367" s="295"/>
      <c r="BK367" s="290"/>
      <c r="BL367" s="295"/>
      <c r="BM367" s="295"/>
      <c r="BN367" s="295"/>
      <c r="BO367" s="672"/>
      <c r="BP367" s="295"/>
      <c r="BQ367" s="295"/>
      <c r="BR367" s="295"/>
      <c r="BS367" s="672"/>
      <c r="BT367" s="295"/>
      <c r="BU367" s="295"/>
      <c r="BV367" s="295"/>
      <c r="BW367" s="672"/>
      <c r="BX367" s="295"/>
      <c r="BY367" s="295"/>
      <c r="BZ367" s="295"/>
      <c r="CA367" s="290"/>
      <c r="CB367" s="295"/>
      <c r="CC367" s="295"/>
      <c r="CD367" s="295"/>
      <c r="CE367" s="581"/>
      <c r="CF367" s="295"/>
      <c r="CG367" s="295"/>
      <c r="CH367" s="295"/>
      <c r="CI367" s="581"/>
      <c r="CJ367" s="295"/>
      <c r="CK367" s="295"/>
      <c r="CL367" s="295"/>
      <c r="CM367" s="581"/>
      <c r="CN367" s="295"/>
      <c r="CO367" s="295"/>
      <c r="CP367" s="295"/>
      <c r="CQ367" s="791"/>
      <c r="CR367" s="295"/>
      <c r="CS367" s="295"/>
      <c r="CT367" s="295"/>
      <c r="CU367" s="290"/>
      <c r="CV367" s="295"/>
      <c r="CW367" s="295"/>
      <c r="CX367" s="295"/>
      <c r="CY367" s="290"/>
      <c r="CZ367" s="295"/>
      <c r="DA367" s="295"/>
      <c r="DB367" s="295"/>
      <c r="DC367" s="290"/>
      <c r="DD367" s="295"/>
      <c r="DE367" s="295"/>
      <c r="DF367" s="295"/>
      <c r="DG367" s="290"/>
      <c r="DH367" s="295"/>
      <c r="DI367" s="295"/>
      <c r="DJ367" s="655"/>
      <c r="DK367" s="290"/>
      <c r="DL367" s="295"/>
      <c r="DM367" s="295"/>
      <c r="DN367" s="655"/>
      <c r="DO367" s="290"/>
      <c r="DP367" s="295"/>
      <c r="DQ367" s="295"/>
      <c r="DR367" s="655"/>
      <c r="DS367" s="290"/>
      <c r="DT367" s="290"/>
      <c r="DU367" s="295"/>
      <c r="DV367" s="295"/>
      <c r="DW367" s="295"/>
      <c r="DX367" s="290"/>
      <c r="DY367" s="290"/>
      <c r="DZ367" s="295"/>
      <c r="EA367" s="295"/>
      <c r="EB367" s="290"/>
      <c r="EC367" s="290"/>
      <c r="ED367" s="295"/>
      <c r="EE367" s="295"/>
      <c r="EF367" s="290"/>
      <c r="EG367" s="290"/>
      <c r="EH367" s="290"/>
      <c r="EI367" s="290"/>
      <c r="EJ367" s="290"/>
      <c r="EK367" s="290"/>
      <c r="EL367" s="290"/>
      <c r="EM367" s="290"/>
      <c r="EN367" s="290"/>
      <c r="EO367" s="290"/>
      <c r="EP367" s="290"/>
      <c r="JM367"/>
    </row>
    <row r="368" spans="1:273" s="289" customFormat="1">
      <c r="A368" s="289" t="s">
        <v>839</v>
      </c>
      <c r="B368" s="290"/>
      <c r="AN368" s="290"/>
      <c r="AO368" s="290"/>
      <c r="AP368" s="290"/>
      <c r="AQ368" s="290"/>
      <c r="AR368" s="290"/>
      <c r="AS368" s="290"/>
      <c r="AT368" s="290"/>
      <c r="AU368" s="290"/>
      <c r="AV368" s="295">
        <f>AV183</f>
        <v>130677</v>
      </c>
      <c r="AW368" s="295">
        <f>AW183</f>
        <v>101058</v>
      </c>
      <c r="AX368" s="290"/>
      <c r="AY368" s="290"/>
      <c r="AZ368" s="295">
        <f>AZ183</f>
        <v>101116</v>
      </c>
      <c r="BA368" s="295">
        <f>BA183</f>
        <v>97328</v>
      </c>
      <c r="BB368" s="290"/>
      <c r="BC368" s="290"/>
      <c r="BD368" s="295">
        <f>BD183</f>
        <v>102300</v>
      </c>
      <c r="BE368" s="295">
        <f>BE183</f>
        <v>100200</v>
      </c>
      <c r="BF368" s="290"/>
      <c r="BG368" s="290"/>
      <c r="BH368" s="295">
        <f>BH183</f>
        <v>105700</v>
      </c>
      <c r="BI368" s="295">
        <f>BI183</f>
        <v>102300</v>
      </c>
      <c r="BJ368" s="295"/>
      <c r="BK368" s="290"/>
      <c r="BL368" s="295">
        <f>BL183</f>
        <v>114300</v>
      </c>
      <c r="BM368" s="295">
        <f>BM183</f>
        <v>112800</v>
      </c>
      <c r="BN368" s="295"/>
      <c r="BO368" s="672"/>
      <c r="BP368" s="295">
        <f>BP183</f>
        <v>114200</v>
      </c>
      <c r="BQ368" s="295">
        <f>BQ183</f>
        <v>133700</v>
      </c>
      <c r="BR368" s="295"/>
      <c r="BS368" s="672"/>
      <c r="BT368" s="295">
        <f>BT183</f>
        <v>147800</v>
      </c>
      <c r="BU368" s="295">
        <f>BU183</f>
        <v>136200</v>
      </c>
      <c r="BV368" s="295"/>
      <c r="BW368" s="672"/>
      <c r="BX368" s="295">
        <f>BX183</f>
        <v>136000</v>
      </c>
      <c r="BY368" s="295">
        <f>BY183</f>
        <v>154200</v>
      </c>
      <c r="BZ368" s="295"/>
      <c r="CA368" s="290"/>
      <c r="CB368" s="295">
        <f>CB183</f>
        <v>141400</v>
      </c>
      <c r="CC368" s="295">
        <f>CC183</f>
        <v>155200</v>
      </c>
      <c r="CD368" s="295"/>
      <c r="CE368" s="581"/>
      <c r="CF368" s="295">
        <f>CF183</f>
        <v>185100</v>
      </c>
      <c r="CG368" s="295">
        <f>CG183</f>
        <v>189000</v>
      </c>
      <c r="CH368" s="295"/>
      <c r="CI368" s="581"/>
      <c r="CJ368" s="295">
        <f>CJ183</f>
        <v>200900</v>
      </c>
      <c r="CK368" s="295">
        <f>CK183</f>
        <v>223100</v>
      </c>
      <c r="CL368" s="295"/>
      <c r="CM368" s="581"/>
      <c r="CN368" s="295">
        <f>CN183</f>
        <v>204000</v>
      </c>
      <c r="CO368" s="295">
        <f>CO183</f>
        <v>195100</v>
      </c>
      <c r="CP368" s="295"/>
      <c r="CQ368" s="581"/>
      <c r="CR368" s="295">
        <f>CR183</f>
        <v>220900</v>
      </c>
      <c r="CS368" s="295">
        <f>CS183</f>
        <v>257900</v>
      </c>
      <c r="CT368" s="295"/>
      <c r="CU368" s="290"/>
      <c r="CV368" s="295">
        <f>CV183</f>
        <v>312200</v>
      </c>
      <c r="CW368" s="295">
        <f>CW183</f>
        <v>344100</v>
      </c>
      <c r="CX368" s="295"/>
      <c r="CY368" s="290"/>
      <c r="CZ368" s="295">
        <f>CZ183</f>
        <v>345100</v>
      </c>
      <c r="DA368" s="295">
        <f>DA183</f>
        <v>370900</v>
      </c>
      <c r="DB368" s="295"/>
      <c r="DC368" s="290"/>
      <c r="DD368" s="295">
        <f>DD183</f>
        <v>373600</v>
      </c>
      <c r="DE368" s="295">
        <f>DE183</f>
        <v>389000</v>
      </c>
      <c r="DF368" s="295"/>
      <c r="DG368" s="290"/>
      <c r="DH368" s="295">
        <f>DH183</f>
        <v>416600</v>
      </c>
      <c r="DI368" s="295">
        <f>DI183</f>
        <v>436388.5</v>
      </c>
      <c r="DJ368" s="295"/>
      <c r="DK368" s="290"/>
      <c r="DL368" s="295">
        <f>DL183</f>
        <v>450571.12625000003</v>
      </c>
      <c r="DM368" s="295">
        <f>DM183</f>
        <v>467467.54348437511</v>
      </c>
      <c r="DN368" s="295"/>
      <c r="DO368" s="290"/>
      <c r="DP368" s="295">
        <f>DP183</f>
        <v>482660.23864761728</v>
      </c>
      <c r="DQ368" s="295">
        <f>DQ183</f>
        <v>500759.99759690289</v>
      </c>
      <c r="DR368" s="295"/>
      <c r="DS368" s="290"/>
      <c r="DT368" s="290"/>
      <c r="DU368" s="295"/>
      <c r="DV368" s="295"/>
      <c r="DW368" s="295"/>
      <c r="DX368" s="290"/>
      <c r="DY368" s="290"/>
      <c r="DZ368" s="295"/>
      <c r="EA368" s="295"/>
      <c r="EB368" s="290"/>
      <c r="EC368" s="290"/>
      <c r="ED368" s="295"/>
      <c r="EE368" s="295"/>
      <c r="EF368" s="290"/>
      <c r="EG368" s="290"/>
      <c r="EH368" s="290"/>
      <c r="EI368" s="290"/>
      <c r="EJ368" s="290"/>
      <c r="EK368" s="290"/>
      <c r="EL368" s="290"/>
      <c r="EM368" s="290"/>
      <c r="EN368" s="290"/>
      <c r="EO368" s="290"/>
      <c r="EP368" s="290"/>
      <c r="JM368"/>
    </row>
    <row r="369" spans="1:273" s="334" customFormat="1">
      <c r="A369" s="334" t="s">
        <v>973</v>
      </c>
      <c r="B369" s="911"/>
      <c r="AN369" s="911"/>
      <c r="AO369" s="911"/>
      <c r="AP369" s="911"/>
      <c r="AQ369" s="911"/>
      <c r="AR369" s="911"/>
      <c r="AS369" s="911"/>
      <c r="AT369" s="911"/>
      <c r="AU369" s="911"/>
      <c r="AV369" s="921">
        <f>AV336/AV368</f>
        <v>0.38281411418994926</v>
      </c>
      <c r="AW369" s="921">
        <f>AW336/AW368</f>
        <v>0.38173128302558929</v>
      </c>
      <c r="AX369" s="911"/>
      <c r="AY369" s="911"/>
      <c r="AZ369" s="921">
        <f>AZ336/AZ368</f>
        <v>0.37404565053997391</v>
      </c>
      <c r="BA369" s="921">
        <f>BA336/BA368</f>
        <v>0.37392117376294592</v>
      </c>
      <c r="BB369" s="911"/>
      <c r="BC369" s="911"/>
      <c r="BD369" s="921">
        <f>BD336/BD368</f>
        <v>0.37015640273704792</v>
      </c>
      <c r="BE369" s="921">
        <f>BE336/BE368</f>
        <v>0.37801397205588821</v>
      </c>
      <c r="BF369" s="911"/>
      <c r="BG369" s="911"/>
      <c r="BH369" s="921">
        <f>BH336/BH368</f>
        <v>0.3736991485335856</v>
      </c>
      <c r="BI369" s="921">
        <f>BI336/BI368</f>
        <v>0.40078201368523947</v>
      </c>
      <c r="BJ369" s="335"/>
      <c r="BK369" s="911"/>
      <c r="BL369" s="921">
        <f>BL336/BL368</f>
        <v>0.43394575678040243</v>
      </c>
      <c r="BM369" s="921">
        <f>BM336/BM368</f>
        <v>0.46542553191489361</v>
      </c>
      <c r="BN369" s="335"/>
      <c r="BO369" s="912"/>
      <c r="BP369" s="921">
        <f>BP336/BP368</f>
        <v>0.51225919439579681</v>
      </c>
      <c r="BQ369" s="921">
        <f>BQ336/BQ368</f>
        <v>0.49513836948391921</v>
      </c>
      <c r="BR369" s="335"/>
      <c r="BS369" s="912"/>
      <c r="BT369" s="921">
        <f>BT336/BT368</f>
        <v>0.4844384303112314</v>
      </c>
      <c r="BU369" s="921">
        <f>BU336/BU368</f>
        <v>0.48825256975036713</v>
      </c>
      <c r="BV369" s="335"/>
      <c r="BW369" s="920"/>
      <c r="BX369" s="921">
        <f>BX336/BX368</f>
        <v>0.52941176470588236</v>
      </c>
      <c r="BY369" s="921">
        <f>BY336/BY368</f>
        <v>0.5006485084306096</v>
      </c>
      <c r="BZ369" s="335"/>
      <c r="CA369" s="922"/>
      <c r="CB369" s="921">
        <f>CB336/CB368</f>
        <v>0.56223479490806227</v>
      </c>
      <c r="CC369" s="921">
        <f>CC336/CC368</f>
        <v>0.55541237113402064</v>
      </c>
      <c r="CD369" s="335"/>
      <c r="CE369" s="1542"/>
      <c r="CF369" s="921">
        <f>CF336/CF368</f>
        <v>0.62452728254997303</v>
      </c>
      <c r="CG369" s="921">
        <f>CG336/CG368</f>
        <v>0.67671957671957672</v>
      </c>
      <c r="CH369" s="335"/>
      <c r="CI369" s="1542"/>
      <c r="CJ369" s="921">
        <f>CJ336/CJ368</f>
        <v>0.66898954703832758</v>
      </c>
      <c r="CK369" s="921">
        <f>CK336/CK368</f>
        <v>0.6692066337965038</v>
      </c>
      <c r="CL369" s="335"/>
      <c r="CM369" s="1542"/>
      <c r="CN369" s="921">
        <f>CN336/CN368</f>
        <v>0.68529411764705883</v>
      </c>
      <c r="CO369" s="921">
        <f>CO336/CO368</f>
        <v>0.72783188108662222</v>
      </c>
      <c r="CP369" s="335"/>
      <c r="CQ369" s="1542"/>
      <c r="CR369" s="921">
        <f>CR336/CR368</f>
        <v>0.71887732005432325</v>
      </c>
      <c r="CS369" s="921">
        <f>CS336/CS368</f>
        <v>0.6138037999224506</v>
      </c>
      <c r="CT369" s="335"/>
      <c r="CU369" s="911"/>
      <c r="CV369" s="921">
        <f>CV336/CV368</f>
        <v>0.60377962844330557</v>
      </c>
      <c r="CW369" s="921">
        <f>CW336/CW368</f>
        <v>0.59808195292066257</v>
      </c>
      <c r="CX369" s="335"/>
      <c r="CY369" s="911"/>
      <c r="CZ369" s="921">
        <f>CZ336/CZ368</f>
        <v>0.60851926977687631</v>
      </c>
      <c r="DA369" s="921">
        <f>DA336/DA368</f>
        <v>0.59935292531679696</v>
      </c>
      <c r="DB369" s="335"/>
      <c r="DC369" s="911"/>
      <c r="DD369" s="921">
        <f>DD336/DD368</f>
        <v>0.58217344753747324</v>
      </c>
      <c r="DE369" s="921">
        <f>DE336/DE368</f>
        <v>0.5683804627249357</v>
      </c>
      <c r="DF369" s="335"/>
      <c r="DG369" s="911"/>
      <c r="DH369" s="921">
        <f>DH336/DH368</f>
        <v>0.53912626020163223</v>
      </c>
      <c r="DI369" s="921">
        <f>DI336/DI368</f>
        <v>0.5390592814267029</v>
      </c>
      <c r="DJ369" s="335"/>
      <c r="DK369" s="911"/>
      <c r="DL369" s="921">
        <f>DL336/DL368</f>
        <v>0.53910576900943219</v>
      </c>
      <c r="DM369" s="921">
        <f>DM336/DM368</f>
        <v>0.53905238339111128</v>
      </c>
      <c r="DN369" s="335"/>
      <c r="DO369" s="911"/>
      <c r="DP369" s="921">
        <f>DP336/DP368</f>
        <v>0.53905238339111128</v>
      </c>
      <c r="DQ369" s="921">
        <f>DQ336/DQ368</f>
        <v>0.53905238339111139</v>
      </c>
      <c r="DR369" s="335"/>
      <c r="DS369" s="911"/>
      <c r="DT369" s="911"/>
      <c r="DU369" s="335"/>
      <c r="DV369" s="335"/>
      <c r="DW369" s="335"/>
      <c r="DX369" s="911"/>
      <c r="DY369" s="911"/>
      <c r="DZ369" s="335"/>
      <c r="EA369" s="335"/>
      <c r="EB369" s="911"/>
      <c r="EC369" s="911"/>
      <c r="ED369" s="335"/>
      <c r="EE369" s="335"/>
      <c r="EF369" s="911"/>
      <c r="EG369" s="911"/>
      <c r="EH369" s="911"/>
      <c r="EI369" s="911"/>
      <c r="EJ369" s="911"/>
      <c r="EK369" s="911"/>
      <c r="EL369" s="911"/>
      <c r="EM369" s="911"/>
      <c r="EN369" s="911"/>
      <c r="EO369" s="911"/>
      <c r="EP369" s="911"/>
      <c r="JM369"/>
    </row>
    <row r="370" spans="1:273">
      <c r="A370" s="102" t="s">
        <v>972</v>
      </c>
      <c r="AV370" s="725">
        <f>AV186/AV336</f>
        <v>2.6595702148925535</v>
      </c>
      <c r="AW370" s="725">
        <f>AW186/AW336</f>
        <v>2.6860823806931591</v>
      </c>
      <c r="AZ370" s="725">
        <f>AZ186/AZ336</f>
        <v>2.7304214478345936</v>
      </c>
      <c r="BA370" s="725">
        <f>BA186/BA336</f>
        <v>2.7438518396394911</v>
      </c>
      <c r="BD370" s="725">
        <f>BD186/BD336</f>
        <v>2.762299627644123</v>
      </c>
      <c r="BE370" s="725">
        <f>BE186/BE336</f>
        <v>2.7087678538427014</v>
      </c>
      <c r="BH370" s="725">
        <f>BH186/BH336</f>
        <v>2.7265822784810125</v>
      </c>
      <c r="BI370" s="725">
        <f>BI186/BI336</f>
        <v>2.5414634146341464</v>
      </c>
      <c r="BL370" s="725">
        <f>BL186/BL336</f>
        <v>2.338709677419355</v>
      </c>
      <c r="BM370" s="725">
        <f>BM186/BM336</f>
        <v>2.177142857142857</v>
      </c>
      <c r="BP370" s="725">
        <f>BP186/BP336</f>
        <v>1.982905982905983</v>
      </c>
      <c r="BQ370" s="725">
        <f>BQ186/BQ336</f>
        <v>2.0543806646525682</v>
      </c>
      <c r="BT370" s="725">
        <f>BT186/BT336</f>
        <v>2.1103351955307263</v>
      </c>
      <c r="BU370" s="725">
        <f>BU186/BU336</f>
        <v>2.1022556390977445</v>
      </c>
      <c r="BX370" s="725">
        <f>BX186/BX336</f>
        <v>1.9472222222222222</v>
      </c>
      <c r="BY370" s="725">
        <f>BY186/BY336</f>
        <v>2.0686528497409324</v>
      </c>
      <c r="CB370" s="725">
        <f>CB186/CB336</f>
        <v>1.8452830188679246</v>
      </c>
      <c r="CC370" s="725">
        <f>CC186/CC336</f>
        <v>1.8747099767981439</v>
      </c>
      <c r="CF370" s="725">
        <f>CF186/CF336</f>
        <v>1.6012110726643598</v>
      </c>
      <c r="CG370" s="725">
        <f>CG186/CG336</f>
        <v>1.4777169663799843</v>
      </c>
      <c r="CJ370" s="725">
        <f>CJ186/CJ336</f>
        <v>1.4947916666666667</v>
      </c>
      <c r="CK370" s="725">
        <f>CK186/CK336</f>
        <v>1.4943067649028801</v>
      </c>
      <c r="CN370" s="725">
        <f>CN186/CN336</f>
        <v>1.4592274678111588</v>
      </c>
      <c r="CO370" s="725">
        <f>CO186/CO336</f>
        <v>1.373943661971831</v>
      </c>
      <c r="CR370" s="725">
        <f>CR186/CR336</f>
        <v>1.3910579345088161</v>
      </c>
      <c r="CS370" s="725">
        <f>CS186/CS336</f>
        <v>1.6291850915982311</v>
      </c>
      <c r="CV370" s="725">
        <f>CV186/CV336</f>
        <v>1.6562334217506631</v>
      </c>
      <c r="CW370" s="725">
        <f>CW186/CW336</f>
        <v>1.6720116618075802</v>
      </c>
      <c r="CZ370" s="725">
        <f>CZ186/CZ336</f>
        <v>1.6433333333333333</v>
      </c>
      <c r="DA370" s="725">
        <f>DA186/DA336</f>
        <v>1.6684660368870896</v>
      </c>
      <c r="DD370" s="725">
        <f>DD186/DD336</f>
        <v>1.7177011494252874</v>
      </c>
      <c r="DE370" s="725">
        <f>DE186/DE336</f>
        <v>1.7593848937132519</v>
      </c>
      <c r="DH370" s="725">
        <f>DH186/DH336</f>
        <v>1.8548530721282279</v>
      </c>
      <c r="DI370" s="725">
        <f>DI186/DI336</f>
        <v>1.8550835398907277</v>
      </c>
      <c r="DL370" s="725">
        <f>DL186/DL336</f>
        <v>1.8549235743431713</v>
      </c>
      <c r="DM370" s="725">
        <f>DM186/DM336</f>
        <v>1.8551072786453977</v>
      </c>
      <c r="DP370" s="725">
        <f>DP186/DP336</f>
        <v>1.8551072786453977</v>
      </c>
      <c r="DQ370" s="725">
        <f>DQ186/DQ336</f>
        <v>1.8551072786453975</v>
      </c>
      <c r="DU370" s="727"/>
      <c r="DV370" s="727"/>
      <c r="DW370" s="727"/>
      <c r="DZ370" s="727"/>
      <c r="EA370" s="727"/>
      <c r="ED370" s="727"/>
      <c r="EE370" s="727"/>
    </row>
    <row r="371" spans="1:273">
      <c r="AV371" s="725"/>
      <c r="AW371" s="725"/>
      <c r="AZ371" s="725"/>
      <c r="BA371" s="725"/>
      <c r="BD371" s="725"/>
      <c r="BE371" s="725"/>
      <c r="BH371" s="725"/>
      <c r="BI371" s="725"/>
      <c r="BL371" s="725"/>
      <c r="BM371" s="725"/>
      <c r="BP371" s="725"/>
      <c r="BQ371" s="725"/>
      <c r="BT371" s="725"/>
      <c r="BU371" s="725"/>
      <c r="BX371" s="725"/>
      <c r="BY371" s="725"/>
      <c r="CB371" s="725"/>
      <c r="CC371" s="725"/>
      <c r="CF371" s="725"/>
      <c r="CG371" s="725"/>
      <c r="CJ371" s="725"/>
      <c r="CK371" s="725"/>
      <c r="CN371" s="725"/>
      <c r="CO371" s="725"/>
      <c r="CR371" s="725"/>
      <c r="CS371" s="725"/>
      <c r="CV371" s="725"/>
      <c r="CW371" s="725"/>
      <c r="CZ371" s="725"/>
      <c r="DA371" s="725"/>
      <c r="DD371" s="725"/>
      <c r="DE371" s="725"/>
      <c r="DH371" s="725"/>
      <c r="DI371" s="725"/>
      <c r="DL371" s="725"/>
      <c r="DM371" s="725"/>
      <c r="DP371" s="725"/>
      <c r="DQ371" s="725"/>
      <c r="DU371" s="727"/>
      <c r="DV371" s="727"/>
      <c r="DW371" s="727"/>
      <c r="DZ371" s="727"/>
      <c r="EA371" s="727"/>
      <c r="ED371" s="727"/>
      <c r="EE371" s="727"/>
    </row>
    <row r="372" spans="1:273">
      <c r="AN372" s="290"/>
      <c r="AO372" s="290"/>
      <c r="AP372" s="290"/>
      <c r="AQ372" s="290"/>
      <c r="AR372" s="290"/>
      <c r="AS372" s="290"/>
      <c r="AT372" s="290"/>
      <c r="AU372" s="290"/>
      <c r="AV372" s="290"/>
      <c r="AW372" s="290"/>
      <c r="AX372" s="290"/>
      <c r="AY372" s="290"/>
      <c r="AZ372" s="290"/>
      <c r="BA372" s="290"/>
      <c r="BB372" s="290"/>
      <c r="BC372" s="290"/>
      <c r="BD372" s="290"/>
      <c r="BE372" s="290"/>
      <c r="BF372" s="290"/>
      <c r="BG372" s="290"/>
      <c r="BH372" s="290"/>
      <c r="BI372" s="290"/>
      <c r="BJ372" s="290"/>
      <c r="BK372" s="290"/>
      <c r="BL372" s="290"/>
      <c r="BM372" s="290"/>
      <c r="BN372" s="290"/>
      <c r="BO372" s="290"/>
      <c r="BP372" s="290"/>
      <c r="BQ372" s="290"/>
      <c r="BR372" s="290"/>
      <c r="BS372" s="290"/>
      <c r="BT372" s="290"/>
      <c r="BU372" s="290"/>
      <c r="BV372" s="290"/>
      <c r="BW372" s="290"/>
      <c r="BX372" s="290"/>
      <c r="BY372" s="290"/>
      <c r="BZ372" s="290"/>
      <c r="CA372" s="290"/>
      <c r="CB372" s="290"/>
      <c r="CC372" s="290"/>
      <c r="CD372" s="290"/>
      <c r="CE372" s="581"/>
      <c r="CF372" s="290"/>
      <c r="CG372" s="290"/>
      <c r="CH372" s="290"/>
      <c r="CI372" s="581"/>
      <c r="CJ372" s="290"/>
      <c r="CK372" s="290"/>
      <c r="CL372" s="290"/>
      <c r="CM372" s="581"/>
      <c r="CN372" s="290"/>
      <c r="CO372" s="290"/>
      <c r="CP372" s="290"/>
      <c r="CQ372" s="581"/>
      <c r="CR372" s="290"/>
      <c r="CS372" s="290"/>
      <c r="CT372" s="290"/>
      <c r="CU372" s="290"/>
      <c r="CV372" s="290"/>
      <c r="CW372" s="290"/>
      <c r="CX372" s="290"/>
      <c r="CY372" s="290"/>
      <c r="CZ372" s="290"/>
      <c r="DA372" s="290"/>
      <c r="DB372" s="290"/>
      <c r="DC372" s="290"/>
      <c r="DD372" s="290"/>
      <c r="DE372" s="290"/>
      <c r="DF372" s="290"/>
      <c r="DG372" s="290"/>
      <c r="DH372" s="290"/>
      <c r="DI372" s="290"/>
      <c r="DJ372" s="290"/>
      <c r="DK372" s="290"/>
      <c r="DL372" s="290"/>
      <c r="DM372" s="290"/>
      <c r="DN372" s="290"/>
      <c r="DO372" s="290"/>
      <c r="DP372" s="290"/>
      <c r="DQ372" s="290"/>
      <c r="DR372" s="290"/>
      <c r="DS372" s="290"/>
      <c r="DT372" s="290"/>
      <c r="DU372" s="290"/>
      <c r="DV372" s="290"/>
      <c r="DW372" s="290"/>
      <c r="DX372" s="290"/>
      <c r="DY372" s="290"/>
      <c r="DZ372" s="290"/>
      <c r="EA372" s="290"/>
      <c r="EB372" s="290"/>
      <c r="EC372" s="290"/>
      <c r="ED372" s="290"/>
      <c r="EE372" s="290"/>
      <c r="EF372" s="290"/>
      <c r="EG372" s="290"/>
      <c r="EH372" s="290"/>
      <c r="EI372" s="290"/>
      <c r="EJ372" s="290"/>
      <c r="EK372" s="290"/>
      <c r="EL372" s="290"/>
      <c r="EM372" s="290"/>
      <c r="EN372" s="290"/>
      <c r="EO372" s="290"/>
      <c r="EP372" s="290"/>
      <c r="EQ372" s="289"/>
      <c r="ER372" s="289"/>
      <c r="ES372" s="289"/>
      <c r="ET372" s="289"/>
      <c r="EU372" s="289"/>
      <c r="EV372" s="289"/>
      <c r="EW372" s="289"/>
      <c r="EX372" s="289"/>
      <c r="EY372" s="289"/>
      <c r="EZ372" s="289"/>
      <c r="FA372" s="289"/>
      <c r="FB372" s="289"/>
      <c r="FC372" s="289"/>
      <c r="FD372" s="289"/>
      <c r="FE372" s="289"/>
      <c r="FF372" s="289"/>
      <c r="FG372" s="289"/>
      <c r="FH372" s="289"/>
      <c r="FI372" s="289"/>
      <c r="FJ372" s="289"/>
      <c r="FK372" s="289"/>
      <c r="FL372" s="289"/>
      <c r="FM372" s="289"/>
      <c r="FN372" s="289"/>
      <c r="FO372" s="289"/>
      <c r="FP372" s="289"/>
      <c r="FQ372" s="289"/>
      <c r="FR372" s="289"/>
      <c r="FS372" s="289"/>
      <c r="FT372" s="289"/>
      <c r="FU372" s="289"/>
      <c r="FV372" s="289"/>
      <c r="FW372" s="289"/>
      <c r="FX372" s="289"/>
      <c r="FY372" s="289"/>
      <c r="FZ372" s="289"/>
      <c r="GA372" s="289"/>
      <c r="GB372" s="289"/>
      <c r="GC372" s="289"/>
      <c r="GD372" s="289"/>
      <c r="GE372" s="289"/>
      <c r="GF372" s="289"/>
      <c r="GG372" s="289"/>
      <c r="GH372" s="289"/>
      <c r="GI372" s="289"/>
      <c r="GJ372" s="289"/>
      <c r="GK372" s="289"/>
      <c r="GL372" s="289"/>
      <c r="GM372" s="289"/>
      <c r="GN372" s="289"/>
      <c r="GO372" s="289"/>
      <c r="GP372" s="289"/>
      <c r="GQ372" s="289"/>
      <c r="GR372" s="289"/>
      <c r="GS372" s="289"/>
      <c r="GT372" s="289"/>
      <c r="GU372" s="289"/>
      <c r="GV372" s="289"/>
      <c r="GW372" s="289"/>
      <c r="GX372" s="289"/>
      <c r="GY372" s="289"/>
      <c r="GZ372" s="289"/>
      <c r="HA372" s="289"/>
      <c r="HB372" s="289"/>
      <c r="HC372" s="289"/>
      <c r="HD372" s="289"/>
      <c r="HE372" s="289"/>
      <c r="HF372" s="289"/>
      <c r="HG372" s="289"/>
      <c r="HH372" s="289"/>
      <c r="HI372" s="289"/>
      <c r="HJ372" s="289"/>
      <c r="HK372" s="289"/>
      <c r="HL372" s="289"/>
      <c r="HM372" s="289"/>
      <c r="HN372" s="289"/>
      <c r="HO372" s="289"/>
      <c r="HP372" s="289"/>
      <c r="HQ372" s="289"/>
      <c r="HR372" s="289"/>
      <c r="HS372" s="289"/>
      <c r="HT372" s="289"/>
      <c r="HU372" s="289"/>
      <c r="HV372" s="289"/>
      <c r="HW372" s="289"/>
      <c r="HX372" s="289"/>
      <c r="HY372" s="289"/>
      <c r="HZ372" s="289"/>
      <c r="IA372" s="289"/>
      <c r="IB372" s="289"/>
      <c r="IC372" s="289"/>
      <c r="ID372" s="289"/>
      <c r="IE372" s="289"/>
      <c r="IF372" s="289"/>
      <c r="IG372" s="289"/>
      <c r="IH372" s="289"/>
      <c r="II372" s="289"/>
      <c r="IJ372" s="289"/>
      <c r="IK372" s="289"/>
      <c r="IL372" s="289"/>
      <c r="IM372" s="289"/>
      <c r="IN372" s="289"/>
      <c r="IO372" s="289"/>
      <c r="IP372" s="289"/>
      <c r="IQ372" s="289"/>
      <c r="IR372" s="289"/>
      <c r="IS372" s="289"/>
      <c r="IT372" s="289"/>
      <c r="IU372" s="289"/>
      <c r="IV372" s="289"/>
      <c r="IW372" s="289"/>
      <c r="IX372" s="289"/>
      <c r="IY372" s="289"/>
      <c r="IZ372" s="289"/>
      <c r="JA372" s="289"/>
      <c r="JB372" s="289"/>
      <c r="JC372" s="289"/>
      <c r="JD372" s="289"/>
      <c r="JE372" s="289"/>
      <c r="JF372" s="289"/>
      <c r="JG372" s="289"/>
      <c r="JH372" s="289"/>
      <c r="JI372" s="289"/>
      <c r="JJ372" s="289"/>
      <c r="JK372" s="289"/>
      <c r="JL372" s="289"/>
    </row>
    <row r="373" spans="1:273" ht="15.6">
      <c r="A373" s="815" t="s">
        <v>974</v>
      </c>
      <c r="AN373" s="290"/>
      <c r="AO373" s="290"/>
      <c r="AP373" s="290"/>
      <c r="AQ373" s="290"/>
      <c r="AR373" s="290"/>
      <c r="AS373" s="290"/>
      <c r="AT373" s="290"/>
      <c r="AU373" s="290"/>
      <c r="AV373" s="290"/>
      <c r="AW373" s="685"/>
      <c r="AX373" s="290"/>
      <c r="AY373" s="290"/>
      <c r="AZ373" s="685"/>
      <c r="BA373" s="685"/>
      <c r="BB373" s="290"/>
      <c r="BC373" s="290"/>
      <c r="BD373" s="685"/>
      <c r="BE373" s="685"/>
      <c r="BF373" s="290"/>
      <c r="BG373" s="290"/>
      <c r="BH373" s="685"/>
      <c r="BI373" s="685"/>
      <c r="BJ373" s="290"/>
      <c r="BK373" s="290"/>
      <c r="BL373" s="685"/>
      <c r="BM373" s="685"/>
      <c r="BN373" s="290"/>
      <c r="BO373" s="290"/>
      <c r="BP373" s="685"/>
      <c r="BQ373" s="685"/>
      <c r="BR373" s="290"/>
      <c r="BS373" s="290"/>
      <c r="BT373" s="685"/>
      <c r="BU373" s="685"/>
      <c r="BV373" s="290"/>
      <c r="BW373" s="290"/>
      <c r="BX373" s="685"/>
      <c r="BY373" s="685"/>
      <c r="BZ373" s="290"/>
      <c r="CA373" s="290"/>
      <c r="CB373" s="685"/>
      <c r="CC373" s="685"/>
      <c r="CD373" s="290"/>
      <c r="CE373" s="581"/>
      <c r="CF373" s="1366">
        <f>CF175</f>
        <v>89.812418112676966</v>
      </c>
      <c r="CG373" s="1366">
        <f>CG175</f>
        <v>82.801109781307801</v>
      </c>
      <c r="CH373" s="1366">
        <f>CH175</f>
        <v>86.00536193029491</v>
      </c>
      <c r="CI373" s="581"/>
      <c r="CJ373" s="1366">
        <f>CJ175</f>
        <v>80.628756356911708</v>
      </c>
      <c r="CK373" s="1366">
        <f>CK175</f>
        <v>83.662326753464939</v>
      </c>
      <c r="CL373" s="1366">
        <f>CL175</f>
        <v>82.218309859154928</v>
      </c>
      <c r="CM373" s="581"/>
      <c r="CN373" s="1366">
        <f>CN175</f>
        <v>78.318151688886758</v>
      </c>
      <c r="CO373" s="1366">
        <f>CO175</f>
        <v>85.572460901697056</v>
      </c>
      <c r="CP373" s="1366">
        <f>CP175</f>
        <v>81.847338037203329</v>
      </c>
      <c r="CQ373" s="581"/>
      <c r="CR373" s="1366">
        <f>CR175</f>
        <v>86.840270750410397</v>
      </c>
      <c r="CS373" s="1366">
        <f>CS175</f>
        <v>83.258182589783047</v>
      </c>
      <c r="CT373" s="1366">
        <f>CT175</f>
        <v>84.950224477845012</v>
      </c>
      <c r="CU373" s="290"/>
      <c r="CV373" s="1366">
        <f>CV175</f>
        <v>79.431973841191279</v>
      </c>
      <c r="CW373" s="1366">
        <f>CW175</f>
        <v>80.609433068449462</v>
      </c>
      <c r="CX373" s="1366">
        <f>CX175</f>
        <v>80.038326413286484</v>
      </c>
      <c r="CY373" s="290"/>
      <c r="CZ373" s="1366">
        <f>CZ175</f>
        <v>77.061035579982644</v>
      </c>
      <c r="DA373" s="1366">
        <f>DA175</f>
        <v>81.69170840289371</v>
      </c>
      <c r="DB373" s="1366">
        <f>DB175</f>
        <v>79.421358672528712</v>
      </c>
      <c r="DC373" s="290"/>
      <c r="DD373" s="1366">
        <f>DD175</f>
        <v>77.002856164949435</v>
      </c>
      <c r="DE373" s="1366">
        <f>DE175</f>
        <v>78.740100479230918</v>
      </c>
      <c r="DF373" s="1366">
        <f>DF175</f>
        <v>77.877050273369775</v>
      </c>
      <c r="DG373" s="290"/>
      <c r="DH373" s="1366">
        <f>DH175</f>
        <v>75.660020452020078</v>
      </c>
      <c r="DI373" s="1366">
        <f>DI175</f>
        <v>75.160020452020078</v>
      </c>
      <c r="DJ373" s="1366">
        <f>DJ175</f>
        <v>75.400577810407171</v>
      </c>
      <c r="DK373" s="290"/>
      <c r="DL373" s="1366">
        <f>DL175</f>
        <v>74.160020452020078</v>
      </c>
      <c r="DM373" s="1366">
        <f>DM175</f>
        <v>73.160020452020078</v>
      </c>
      <c r="DN373" s="1366">
        <f>DN175</f>
        <v>73.651243095430615</v>
      </c>
      <c r="DO373" s="290"/>
      <c r="DP373" s="1366">
        <f>DP175</f>
        <v>72.160020452020078</v>
      </c>
      <c r="DQ373" s="1366">
        <f>DQ175</f>
        <v>71.160020452020078</v>
      </c>
      <c r="DR373" s="1366">
        <f>DR175</f>
        <v>71.65141129057281</v>
      </c>
      <c r="DS373" s="290"/>
      <c r="DT373" s="290"/>
      <c r="DU373" s="685"/>
      <c r="DV373" s="685"/>
      <c r="DW373" s="685"/>
      <c r="DX373" s="290"/>
      <c r="DY373" s="290"/>
      <c r="DZ373" s="685"/>
      <c r="EA373" s="685"/>
      <c r="EB373" s="290"/>
      <c r="EC373" s="290"/>
      <c r="ED373" s="685"/>
      <c r="EE373" s="685"/>
      <c r="EF373" s="290"/>
      <c r="EG373" s="290"/>
      <c r="EH373" s="290"/>
      <c r="EI373" s="290"/>
      <c r="EJ373" s="290"/>
      <c r="EK373" s="290"/>
      <c r="EL373" s="290"/>
      <c r="EM373" s="290"/>
      <c r="EN373" s="290"/>
      <c r="EO373" s="290"/>
      <c r="EP373" s="290"/>
      <c r="EQ373" s="289"/>
      <c r="ER373" s="289"/>
      <c r="ES373" s="289"/>
      <c r="ET373" s="289"/>
      <c r="EU373" s="289"/>
      <c r="EV373" s="289"/>
      <c r="EW373" s="289"/>
      <c r="EX373" s="289"/>
      <c r="EY373" s="289"/>
      <c r="EZ373" s="289"/>
      <c r="FA373" s="289"/>
      <c r="FB373" s="289"/>
      <c r="FC373" s="289"/>
      <c r="FD373" s="289"/>
      <c r="FE373" s="289"/>
      <c r="FF373" s="289"/>
      <c r="FG373" s="289"/>
      <c r="FH373" s="289"/>
      <c r="FI373" s="289"/>
      <c r="FJ373" s="289"/>
      <c r="FK373" s="289"/>
      <c r="FL373" s="289"/>
      <c r="FM373" s="289"/>
      <c r="FN373" s="289"/>
      <c r="FO373" s="289"/>
      <c r="FP373" s="289"/>
      <c r="FQ373" s="289"/>
      <c r="FR373" s="289"/>
      <c r="FS373" s="289"/>
      <c r="FT373" s="289"/>
      <c r="FU373" s="289"/>
      <c r="FV373" s="289"/>
      <c r="FW373" s="289"/>
      <c r="FX373" s="289"/>
      <c r="FY373" s="289"/>
      <c r="FZ373" s="289"/>
      <c r="GA373" s="289"/>
      <c r="GB373" s="289"/>
      <c r="GC373" s="289"/>
      <c r="GD373" s="289"/>
      <c r="GE373" s="289"/>
      <c r="GF373" s="289"/>
      <c r="GG373" s="289"/>
      <c r="GH373" s="289"/>
      <c r="GI373" s="289"/>
      <c r="GJ373" s="289"/>
      <c r="GK373" s="289"/>
      <c r="GL373" s="289"/>
      <c r="GM373" s="289"/>
      <c r="GN373" s="289"/>
      <c r="GO373" s="289"/>
      <c r="GP373" s="289"/>
      <c r="GQ373" s="289"/>
      <c r="GR373" s="289"/>
      <c r="GS373" s="289"/>
      <c r="GT373" s="289"/>
      <c r="GU373" s="289"/>
      <c r="GV373" s="289"/>
      <c r="GW373" s="289"/>
      <c r="GX373" s="289"/>
      <c r="GY373" s="289"/>
      <c r="GZ373" s="289"/>
      <c r="HA373" s="289"/>
      <c r="HB373" s="289"/>
      <c r="HC373" s="289"/>
      <c r="HD373" s="289"/>
      <c r="HE373" s="289"/>
      <c r="HF373" s="289"/>
      <c r="HG373" s="289"/>
      <c r="HH373" s="289"/>
      <c r="HI373" s="289"/>
      <c r="HJ373" s="289"/>
      <c r="HK373" s="289"/>
      <c r="HL373" s="289"/>
      <c r="HM373" s="289"/>
      <c r="HN373" s="289"/>
      <c r="HO373" s="289"/>
      <c r="HP373" s="289"/>
      <c r="HQ373" s="289"/>
      <c r="HR373" s="289"/>
      <c r="HS373" s="289"/>
      <c r="HT373" s="289"/>
      <c r="HU373" s="289"/>
      <c r="HV373" s="289"/>
      <c r="HW373" s="289"/>
      <c r="HX373" s="289"/>
      <c r="HY373" s="289"/>
      <c r="HZ373" s="289"/>
      <c r="IA373" s="289"/>
      <c r="IB373" s="289"/>
      <c r="IC373" s="289"/>
      <c r="ID373" s="289"/>
      <c r="IE373" s="289"/>
      <c r="IF373" s="289"/>
      <c r="IG373" s="289"/>
      <c r="IH373" s="289"/>
      <c r="II373" s="289"/>
      <c r="IJ373" s="289"/>
      <c r="IK373" s="289"/>
      <c r="IL373" s="289"/>
      <c r="IM373" s="289"/>
      <c r="IN373" s="289"/>
      <c r="IO373" s="289"/>
      <c r="IP373" s="289"/>
      <c r="IQ373" s="289"/>
      <c r="IR373" s="289"/>
      <c r="IS373" s="289"/>
      <c r="IT373" s="289"/>
      <c r="IU373" s="289"/>
      <c r="IV373" s="289"/>
      <c r="IW373" s="289"/>
      <c r="IX373" s="289"/>
      <c r="IY373" s="289"/>
      <c r="IZ373" s="289"/>
      <c r="JA373" s="289"/>
      <c r="JB373" s="289"/>
      <c r="JC373" s="289"/>
      <c r="JD373" s="289"/>
      <c r="JE373" s="289"/>
      <c r="JF373" s="289"/>
      <c r="JG373" s="289"/>
      <c r="JH373" s="289"/>
      <c r="JI373" s="289"/>
      <c r="JJ373" s="289"/>
      <c r="JK373" s="289"/>
      <c r="JL373" s="289"/>
    </row>
    <row r="374" spans="1:273">
      <c r="A374" s="102" t="s">
        <v>776</v>
      </c>
      <c r="AN374" s="290"/>
      <c r="AO374" s="290"/>
      <c r="AP374" s="290"/>
      <c r="AQ374" s="290"/>
      <c r="AR374" s="290"/>
      <c r="AS374" s="290"/>
      <c r="AT374" s="290"/>
      <c r="AU374" s="290"/>
      <c r="AV374" s="290"/>
      <c r="AW374" s="293">
        <f>AVERAGE(AV334:AW334)</f>
        <v>7381.5</v>
      </c>
      <c r="AX374" s="293">
        <f>AVERAGE(AV374:AW374)</f>
        <v>7381.5</v>
      </c>
      <c r="AY374" s="290"/>
      <c r="AZ374" s="293">
        <f>AVERAGE(AZ334,AW334)</f>
        <v>3706.5</v>
      </c>
      <c r="BA374" s="293">
        <f>AVERAGE(AZ334:BA334)</f>
        <v>4160.5</v>
      </c>
      <c r="BB374" s="293">
        <f>AVERAGE(AZ374:BA374)</f>
        <v>3933.5</v>
      </c>
      <c r="BC374" s="290"/>
      <c r="BD374" s="293">
        <f>AVERAGE(BD334,BA334)</f>
        <v>4126</v>
      </c>
      <c r="BE374" s="293">
        <f>AVERAGE(BD334:BE334)</f>
        <v>4572</v>
      </c>
      <c r="BF374" s="293">
        <f>AVERAGE(BD374:BE374)</f>
        <v>4349</v>
      </c>
      <c r="BG374" s="290"/>
      <c r="BH374" s="293">
        <f>AVERAGE(BH334,BE334)</f>
        <v>5738.5</v>
      </c>
      <c r="BI374" s="293">
        <f>AVERAGE(BH334:BI334)</f>
        <v>6500</v>
      </c>
      <c r="BJ374" s="293">
        <f>AVERAGE(BH374:BI374)</f>
        <v>6119.25</v>
      </c>
      <c r="BK374" s="290"/>
      <c r="BL374" s="293">
        <f>AVERAGE(BL334,BI334)</f>
        <v>7750</v>
      </c>
      <c r="BM374" s="293">
        <f>AVERAGE(BL334:BM334)</f>
        <v>9000</v>
      </c>
      <c r="BN374" s="293">
        <f>AVERAGE(BL374:BM374)</f>
        <v>8375</v>
      </c>
      <c r="BO374" s="290"/>
      <c r="BP374" s="293">
        <f>AVERAGE(BP334,BM334)</f>
        <v>10800</v>
      </c>
      <c r="BQ374" s="293">
        <f>AVERAGE(BP334:BQ334)</f>
        <v>14150</v>
      </c>
      <c r="BR374" s="293">
        <f>AVERAGE(BP374:BQ374)</f>
        <v>12475</v>
      </c>
      <c r="BS374" s="290"/>
      <c r="BT374" s="293">
        <f>AVERAGE(BT334,BQ334)</f>
        <v>16200</v>
      </c>
      <c r="BU374" s="293">
        <f>AVERAGE(BT334:BU334)</f>
        <v>15600</v>
      </c>
      <c r="BV374" s="293">
        <f>AVERAGE(BT374:BU374)</f>
        <v>15900</v>
      </c>
      <c r="BW374" s="290"/>
      <c r="BX374" s="293">
        <f>AVERAGE(BX334,BU334)</f>
        <v>15950</v>
      </c>
      <c r="BY374" s="293">
        <f>AVERAGE(BX334:BY334)</f>
        <v>16800</v>
      </c>
      <c r="BZ374" s="293">
        <f>AVERAGE(BX374:BY374)</f>
        <v>16375</v>
      </c>
      <c r="CA374" s="290"/>
      <c r="CB374" s="293">
        <f>AVERAGE(CB334,BY334)</f>
        <v>16350</v>
      </c>
      <c r="CC374" s="293">
        <f>AVERAGE(CB334:CC334)</f>
        <v>14500</v>
      </c>
      <c r="CD374" s="293">
        <f>AVERAGE(CB374:CC374)</f>
        <v>15425</v>
      </c>
      <c r="CE374" s="581"/>
      <c r="CF374" s="293">
        <f>AVERAGE(CF334,CC334)</f>
        <v>14200</v>
      </c>
      <c r="CG374" s="293">
        <f>AVERAGE(CF334:CG334)</f>
        <v>13150</v>
      </c>
      <c r="CH374" s="293">
        <f>AVERAGE(CF374:CG374)</f>
        <v>13675</v>
      </c>
      <c r="CI374" s="581"/>
      <c r="CJ374" s="293">
        <f>AVERAGE(CJ334,CG334)</f>
        <v>11200</v>
      </c>
      <c r="CK374" s="293">
        <f>AVERAGE(CJ334:CK334)</f>
        <v>10650</v>
      </c>
      <c r="CL374" s="293">
        <f>AVERAGE(CJ374:CK374)</f>
        <v>10925</v>
      </c>
      <c r="CM374" s="581"/>
      <c r="CN374" s="293">
        <f>AVERAGE(CN334,CK334)</f>
        <v>9450</v>
      </c>
      <c r="CO374" s="293">
        <f>AVERAGE(CN334:CO334)</f>
        <v>9600</v>
      </c>
      <c r="CP374" s="293">
        <f>AVERAGE(CN374:CO374)</f>
        <v>9525</v>
      </c>
      <c r="CQ374" s="581"/>
      <c r="CR374" s="293">
        <f>AVERAGE(CR334,CO334)</f>
        <v>11150</v>
      </c>
      <c r="CS374" s="293">
        <f>AVERAGE(CR334:CS334)</f>
        <v>10050</v>
      </c>
      <c r="CT374" s="293">
        <f>AVERAGE(CR374:CS374)</f>
        <v>10600</v>
      </c>
      <c r="CU374" s="290"/>
      <c r="CV374" s="293">
        <f>AVERAGE(CV334,CS334)</f>
        <v>7200</v>
      </c>
      <c r="CW374" s="293">
        <f>AVERAGE(CV334:CW334)</f>
        <v>7100</v>
      </c>
      <c r="CX374" s="293">
        <f>AVERAGE(CV374:CW374)</f>
        <v>7150</v>
      </c>
      <c r="CY374" s="290"/>
      <c r="CZ374" s="293">
        <f>AVERAGE(CZ334,CW334)</f>
        <v>7850</v>
      </c>
      <c r="DA374" s="293">
        <f>AVERAGE(CZ334:DA334)</f>
        <v>8400</v>
      </c>
      <c r="DB374" s="293">
        <f>AVERAGE(CZ374:DA374)</f>
        <v>8125</v>
      </c>
      <c r="DC374" s="290"/>
      <c r="DD374" s="293">
        <f>AVERAGE(DD334,DA334)</f>
        <v>8100</v>
      </c>
      <c r="DE374" s="293">
        <f>AVERAGE(DD334:DE334)</f>
        <v>7500</v>
      </c>
      <c r="DF374" s="293">
        <f>AVERAGE(DD374:DE374)</f>
        <v>7800</v>
      </c>
      <c r="DG374" s="290"/>
      <c r="DH374" s="293">
        <f>AVERAGE(DH334,DE334)</f>
        <v>7750</v>
      </c>
      <c r="DI374" s="293"/>
      <c r="DJ374" s="293"/>
      <c r="DK374" s="290"/>
      <c r="DL374" s="293"/>
      <c r="DM374" s="293"/>
      <c r="DN374" s="293"/>
      <c r="DO374" s="290"/>
      <c r="DP374" s="293"/>
      <c r="DQ374" s="293"/>
      <c r="DR374" s="293"/>
      <c r="DS374" s="290"/>
      <c r="DT374" s="290"/>
      <c r="DU374" s="293"/>
      <c r="DV374" s="293"/>
      <c r="DW374" s="293"/>
      <c r="DX374" s="290"/>
      <c r="DY374" s="290"/>
      <c r="DZ374" s="293"/>
      <c r="EA374" s="293"/>
      <c r="EB374" s="290"/>
      <c r="EC374" s="290"/>
      <c r="ED374" s="293"/>
      <c r="EE374" s="293"/>
      <c r="EF374" s="290"/>
      <c r="EG374" s="290"/>
      <c r="EH374" s="290"/>
      <c r="EI374" s="290"/>
      <c r="EJ374" s="290"/>
      <c r="EK374" s="290"/>
      <c r="EL374" s="290"/>
      <c r="EM374" s="290"/>
      <c r="EN374" s="290"/>
      <c r="EO374" s="290"/>
      <c r="EP374" s="290"/>
      <c r="EQ374" s="289"/>
      <c r="ER374" s="289"/>
      <c r="ES374" s="289"/>
      <c r="ET374" s="289"/>
      <c r="EU374" s="289"/>
      <c r="EV374" s="289"/>
      <c r="EW374" s="289"/>
      <c r="EX374" s="289"/>
      <c r="EY374" s="289"/>
      <c r="EZ374" s="289"/>
      <c r="FA374" s="289"/>
      <c r="FB374" s="289"/>
      <c r="FC374" s="289"/>
      <c r="FD374" s="289"/>
      <c r="FE374" s="289"/>
      <c r="FF374" s="289"/>
      <c r="FG374" s="289"/>
      <c r="FH374" s="289"/>
      <c r="FI374" s="289"/>
      <c r="FJ374" s="289"/>
      <c r="FK374" s="289"/>
      <c r="FL374" s="289"/>
      <c r="FM374" s="289"/>
      <c r="FN374" s="289"/>
      <c r="FO374" s="289"/>
      <c r="FP374" s="289"/>
      <c r="FQ374" s="289"/>
      <c r="FR374" s="289"/>
      <c r="FS374" s="289"/>
      <c r="FT374" s="289"/>
      <c r="FU374" s="289"/>
      <c r="FV374" s="289"/>
      <c r="FW374" s="289"/>
      <c r="FX374" s="289"/>
      <c r="FY374" s="289"/>
      <c r="FZ374" s="289"/>
      <c r="GA374" s="289"/>
      <c r="GB374" s="289"/>
      <c r="GC374" s="289"/>
      <c r="GD374" s="289"/>
      <c r="GE374" s="289"/>
      <c r="GF374" s="289"/>
      <c r="GG374" s="289"/>
      <c r="GH374" s="289"/>
      <c r="GI374" s="289"/>
      <c r="GJ374" s="289"/>
      <c r="GK374" s="289"/>
      <c r="GL374" s="289"/>
      <c r="GM374" s="289"/>
      <c r="GN374" s="289"/>
      <c r="GO374" s="289"/>
      <c r="GP374" s="289"/>
      <c r="GQ374" s="289"/>
      <c r="GR374" s="289"/>
      <c r="GS374" s="289"/>
      <c r="GT374" s="289"/>
      <c r="GU374" s="289"/>
      <c r="GV374" s="289"/>
      <c r="GW374" s="289"/>
      <c r="GX374" s="289"/>
      <c r="GY374" s="289"/>
      <c r="GZ374" s="289"/>
      <c r="HA374" s="289"/>
      <c r="HB374" s="289"/>
      <c r="HC374" s="289"/>
      <c r="HD374" s="289"/>
      <c r="HE374" s="289"/>
      <c r="HF374" s="289"/>
      <c r="HG374" s="289"/>
      <c r="HH374" s="289"/>
      <c r="HI374" s="289"/>
      <c r="HJ374" s="289"/>
      <c r="HK374" s="289"/>
      <c r="HL374" s="289"/>
      <c r="HM374" s="289"/>
      <c r="HN374" s="289"/>
      <c r="HO374" s="289"/>
      <c r="HP374" s="289"/>
      <c r="HQ374" s="289"/>
      <c r="HR374" s="289"/>
      <c r="HS374" s="289"/>
      <c r="HT374" s="289"/>
      <c r="HU374" s="289"/>
      <c r="HV374" s="289"/>
      <c r="HW374" s="289"/>
      <c r="HX374" s="289"/>
      <c r="HY374" s="289"/>
      <c r="HZ374" s="289"/>
      <c r="IA374" s="289"/>
      <c r="IB374" s="289"/>
      <c r="IC374" s="289"/>
      <c r="ID374" s="289"/>
      <c r="IE374" s="289"/>
      <c r="IF374" s="289"/>
      <c r="IG374" s="289"/>
      <c r="IH374" s="289"/>
      <c r="II374" s="289"/>
      <c r="IJ374" s="289"/>
      <c r="IK374" s="289"/>
      <c r="IL374" s="289"/>
      <c r="IM374" s="289"/>
      <c r="IN374" s="289"/>
      <c r="IO374" s="289"/>
      <c r="IP374" s="289"/>
      <c r="IQ374" s="289"/>
      <c r="IR374" s="289"/>
      <c r="IS374" s="289"/>
      <c r="IT374" s="289"/>
      <c r="IU374" s="289"/>
      <c r="IV374" s="289"/>
      <c r="IW374" s="289"/>
      <c r="IX374" s="289"/>
      <c r="IY374" s="289"/>
      <c r="IZ374" s="289"/>
      <c r="JA374" s="289"/>
      <c r="JB374" s="289"/>
      <c r="JC374" s="289"/>
      <c r="JD374" s="289"/>
      <c r="JE374" s="289"/>
      <c r="JF374" s="289"/>
      <c r="JG374" s="289"/>
      <c r="JH374" s="289"/>
      <c r="JI374" s="289"/>
      <c r="JJ374" s="289"/>
      <c r="JK374" s="289"/>
      <c r="JL374" s="289"/>
    </row>
    <row r="375" spans="1:273">
      <c r="A375" s="102" t="s">
        <v>777</v>
      </c>
      <c r="AN375" s="290"/>
      <c r="AO375" s="290"/>
      <c r="AP375" s="290"/>
      <c r="AQ375" s="290"/>
      <c r="AR375" s="290"/>
      <c r="AS375" s="290"/>
      <c r="AT375" s="290"/>
      <c r="AU375" s="290"/>
      <c r="AV375" s="290"/>
      <c r="AW375" s="293">
        <f>AVERAGE(AV335:AW335)</f>
        <v>36919.5</v>
      </c>
      <c r="AX375" s="293">
        <f>AVERAGE(AV375:AW375)</f>
        <v>36919.5</v>
      </c>
      <c r="AY375" s="290"/>
      <c r="AZ375" s="293">
        <f>AVERAGE(AZ335,AW335)</f>
        <v>34493</v>
      </c>
      <c r="BA375" s="293">
        <f>AVERAGE(AZ335:BA335)</f>
        <v>32947</v>
      </c>
      <c r="BB375" s="293">
        <f>AVERAGE(AZ375:BA375)</f>
        <v>33720</v>
      </c>
      <c r="BC375" s="290"/>
      <c r="BD375" s="293">
        <f>AVERAGE(BD335,BA335)</f>
        <v>33004</v>
      </c>
      <c r="BE375" s="293">
        <f>AVERAGE(BD335:BE335)</f>
        <v>33300</v>
      </c>
      <c r="BF375" s="293">
        <f>AVERAGE(BD375:BE375)</f>
        <v>33152</v>
      </c>
      <c r="BG375" s="290"/>
      <c r="BH375" s="293">
        <f>AVERAGE(BH335,BE335)</f>
        <v>32950</v>
      </c>
      <c r="BI375" s="293">
        <f>AVERAGE(BH335:BI335)</f>
        <v>33750</v>
      </c>
      <c r="BJ375" s="293">
        <f>AVERAGE(BH375:BI375)</f>
        <v>33350</v>
      </c>
      <c r="BK375" s="290"/>
      <c r="BL375" s="293">
        <f>AVERAGE(BL335,BI335)</f>
        <v>37550</v>
      </c>
      <c r="BM375" s="293">
        <f>AVERAGE(BL335:BM335)</f>
        <v>42050</v>
      </c>
      <c r="BN375" s="293">
        <f>AVERAGE(BL375:BM375)</f>
        <v>39800</v>
      </c>
      <c r="BO375" s="290"/>
      <c r="BP375" s="293">
        <f>AVERAGE(BP335,BM335)</f>
        <v>44700</v>
      </c>
      <c r="BQ375" s="293">
        <f>AVERAGE(BP335:BQ335)</f>
        <v>48200</v>
      </c>
      <c r="BR375" s="293">
        <f>AVERAGE(BP375:BQ375)</f>
        <v>46450</v>
      </c>
      <c r="BS375" s="290"/>
      <c r="BT375" s="293">
        <f>AVERAGE(BT335,BQ335)</f>
        <v>52700</v>
      </c>
      <c r="BU375" s="293">
        <f>AVERAGE(BT335:BU335)</f>
        <v>53450</v>
      </c>
      <c r="BV375" s="293">
        <f>AVERAGE(BT375:BU375)</f>
        <v>53075</v>
      </c>
      <c r="BW375" s="290"/>
      <c r="BX375" s="293">
        <f>AVERAGE(BX335,BU335)</f>
        <v>53300</v>
      </c>
      <c r="BY375" s="293">
        <f>AVERAGE(BX335:BY335)</f>
        <v>57800</v>
      </c>
      <c r="BZ375" s="293">
        <f>AVERAGE(BX375:BY375)</f>
        <v>55550</v>
      </c>
      <c r="CA375" s="290"/>
      <c r="CB375" s="293">
        <f>AVERAGE(CB335,BY335)</f>
        <v>62000</v>
      </c>
      <c r="CC375" s="293">
        <f>AVERAGE(CB335:CC335)</f>
        <v>68350</v>
      </c>
      <c r="CD375" s="293">
        <f>AVERAGE(CB375:CC375)</f>
        <v>65175</v>
      </c>
      <c r="CE375" s="581"/>
      <c r="CF375" s="293">
        <f>AVERAGE(CF335,CC335)</f>
        <v>86700</v>
      </c>
      <c r="CG375" s="293">
        <f>AVERAGE(CF335:CG335)</f>
        <v>108600</v>
      </c>
      <c r="CH375" s="293">
        <f>AVERAGE(CF375:CG375)</f>
        <v>97650</v>
      </c>
      <c r="CI375" s="581"/>
      <c r="CJ375" s="293">
        <f>AVERAGE(CJ335,CG335)</f>
        <v>119950</v>
      </c>
      <c r="CK375" s="293">
        <f>AVERAGE(CJ335:CK335)</f>
        <v>131200</v>
      </c>
      <c r="CL375" s="293">
        <f>AVERAGE(CJ375:CK375)</f>
        <v>125575</v>
      </c>
      <c r="CM375" s="581"/>
      <c r="CN375" s="293">
        <f>AVERAGE(CN335,CK335)</f>
        <v>135100</v>
      </c>
      <c r="CO375" s="293">
        <f>AVERAGE(CN335:CO335)</f>
        <v>131300</v>
      </c>
      <c r="CP375" s="293">
        <f>AVERAGE(CN375:CO375)</f>
        <v>133200</v>
      </c>
      <c r="CQ375" s="581"/>
      <c r="CR375" s="293">
        <f>AVERAGE(CR335,CO335)</f>
        <v>139250</v>
      </c>
      <c r="CS375" s="293">
        <f>AVERAGE(CR335:CS335)</f>
        <v>148500</v>
      </c>
      <c r="CT375" s="293">
        <f>AVERAGE(CR375:CS375)</f>
        <v>143875</v>
      </c>
      <c r="CU375" s="290"/>
      <c r="CV375" s="293">
        <f>AVERAGE(CV335,CS335)</f>
        <v>166200</v>
      </c>
      <c r="CW375" s="293">
        <f>AVERAGE(CV335:CW335)</f>
        <v>190050</v>
      </c>
      <c r="CX375" s="293">
        <f>AVERAGE(CV375:CW375)</f>
        <v>178125</v>
      </c>
      <c r="CY375" s="290"/>
      <c r="CZ375" s="293">
        <f>AVERAGE(CZ335,CW335)</f>
        <v>200050</v>
      </c>
      <c r="DA375" s="293">
        <f>AVERAGE(CZ335:DA335)</f>
        <v>207750</v>
      </c>
      <c r="DB375" s="293">
        <f>AVERAGE(CZ375:DA375)</f>
        <v>203900</v>
      </c>
      <c r="DC375" s="290"/>
      <c r="DD375" s="293">
        <f>AVERAGE(DD335,DA335)</f>
        <v>211800</v>
      </c>
      <c r="DE375" s="293">
        <f>AVERAGE(DD335:DE335)</f>
        <v>211800</v>
      </c>
      <c r="DF375" s="293">
        <f>AVERAGE(DD375:DE375)</f>
        <v>211800</v>
      </c>
      <c r="DG375" s="290"/>
      <c r="DH375" s="293">
        <f>AVERAGE(DH335,DE335)</f>
        <v>215100</v>
      </c>
      <c r="DI375" s="293"/>
      <c r="DJ375" s="293"/>
      <c r="DK375" s="290"/>
      <c r="DL375" s="293"/>
      <c r="DM375" s="293"/>
      <c r="DN375" s="293"/>
      <c r="DO375" s="290"/>
      <c r="DP375" s="293"/>
      <c r="DQ375" s="293"/>
      <c r="DR375" s="293"/>
      <c r="DS375" s="290"/>
      <c r="DT375" s="290"/>
      <c r="DU375" s="293"/>
      <c r="DV375" s="293"/>
      <c r="DW375" s="293"/>
      <c r="DX375" s="290"/>
      <c r="DY375" s="290"/>
      <c r="DZ375" s="293"/>
      <c r="EA375" s="293"/>
      <c r="EB375" s="290"/>
      <c r="EC375" s="290"/>
      <c r="ED375" s="293"/>
      <c r="EE375" s="293"/>
      <c r="EF375" s="290"/>
      <c r="EG375" s="290"/>
      <c r="EH375" s="290"/>
      <c r="EI375" s="290"/>
      <c r="EJ375" s="290"/>
      <c r="EK375" s="290"/>
      <c r="EL375" s="290"/>
      <c r="EM375" s="290"/>
      <c r="EN375" s="290"/>
      <c r="EO375" s="290"/>
      <c r="EP375" s="290"/>
      <c r="EQ375" s="289"/>
      <c r="ER375" s="289"/>
      <c r="ES375" s="289"/>
      <c r="ET375" s="289"/>
      <c r="EU375" s="289"/>
      <c r="EV375" s="289"/>
      <c r="EW375" s="289"/>
      <c r="EX375" s="289"/>
      <c r="EY375" s="289"/>
      <c r="EZ375" s="289"/>
      <c r="FA375" s="289"/>
      <c r="FB375" s="289"/>
      <c r="FC375" s="289"/>
      <c r="FD375" s="289"/>
      <c r="FE375" s="289"/>
      <c r="FF375" s="289"/>
      <c r="FG375" s="289"/>
      <c r="FH375" s="289"/>
      <c r="FI375" s="289"/>
      <c r="FJ375" s="289"/>
      <c r="FK375" s="289"/>
      <c r="FL375" s="289"/>
      <c r="FM375" s="289"/>
      <c r="FN375" s="289"/>
      <c r="FO375" s="289"/>
      <c r="FP375" s="289"/>
      <c r="FQ375" s="289"/>
      <c r="FR375" s="289"/>
      <c r="FS375" s="289"/>
      <c r="FT375" s="289"/>
      <c r="FU375" s="289"/>
      <c r="FV375" s="289"/>
      <c r="FW375" s="289"/>
      <c r="FX375" s="289"/>
      <c r="FY375" s="289"/>
      <c r="FZ375" s="289"/>
      <c r="GA375" s="289"/>
      <c r="GB375" s="289"/>
      <c r="GC375" s="289"/>
      <c r="GD375" s="289"/>
      <c r="GE375" s="289"/>
      <c r="GF375" s="289"/>
      <c r="GG375" s="289"/>
      <c r="GH375" s="289"/>
      <c r="GI375" s="289"/>
      <c r="GJ375" s="289"/>
      <c r="GK375" s="289"/>
      <c r="GL375" s="289"/>
      <c r="GM375" s="289"/>
      <c r="GN375" s="289"/>
      <c r="GO375" s="289"/>
      <c r="GP375" s="289"/>
      <c r="GQ375" s="289"/>
      <c r="GR375" s="289"/>
      <c r="GS375" s="289"/>
      <c r="GT375" s="289"/>
      <c r="GU375" s="289"/>
      <c r="GV375" s="289"/>
      <c r="GW375" s="289"/>
      <c r="GX375" s="289"/>
      <c r="GY375" s="289"/>
      <c r="GZ375" s="289"/>
      <c r="HA375" s="289"/>
      <c r="HB375" s="289"/>
      <c r="HC375" s="289"/>
      <c r="HD375" s="289"/>
      <c r="HE375" s="289"/>
      <c r="HF375" s="289"/>
      <c r="HG375" s="289"/>
      <c r="HH375" s="289"/>
      <c r="HI375" s="289"/>
      <c r="HJ375" s="289"/>
      <c r="HK375" s="289"/>
      <c r="HL375" s="289"/>
      <c r="HM375" s="289"/>
      <c r="HN375" s="289"/>
      <c r="HO375" s="289"/>
      <c r="HP375" s="289"/>
      <c r="HQ375" s="289"/>
      <c r="HR375" s="289"/>
      <c r="HS375" s="289"/>
      <c r="HT375" s="289"/>
      <c r="HU375" s="289"/>
      <c r="HV375" s="289"/>
      <c r="HW375" s="289"/>
      <c r="HX375" s="289"/>
      <c r="HY375" s="289"/>
      <c r="HZ375" s="289"/>
      <c r="IA375" s="289"/>
      <c r="IB375" s="289"/>
      <c r="IC375" s="289"/>
      <c r="ID375" s="289"/>
      <c r="IE375" s="289"/>
      <c r="IF375" s="289"/>
      <c r="IG375" s="289"/>
      <c r="IH375" s="289"/>
      <c r="II375" s="289"/>
      <c r="IJ375" s="289"/>
      <c r="IK375" s="289"/>
      <c r="IL375" s="289"/>
      <c r="IM375" s="289"/>
      <c r="IN375" s="289"/>
      <c r="IO375" s="289"/>
      <c r="IP375" s="289"/>
      <c r="IQ375" s="289"/>
      <c r="IR375" s="289"/>
      <c r="IS375" s="289"/>
      <c r="IT375" s="289"/>
      <c r="IU375" s="289"/>
      <c r="IV375" s="289"/>
      <c r="IW375" s="289"/>
      <c r="IX375" s="289"/>
      <c r="IY375" s="289"/>
      <c r="IZ375" s="289"/>
      <c r="JA375" s="289"/>
      <c r="JB375" s="289"/>
      <c r="JC375" s="289"/>
      <c r="JD375" s="289"/>
      <c r="JE375" s="289"/>
      <c r="JF375" s="289"/>
      <c r="JG375" s="289"/>
      <c r="JH375" s="289"/>
      <c r="JI375" s="289"/>
      <c r="JJ375" s="289"/>
      <c r="JK375" s="289"/>
      <c r="JL375" s="289"/>
    </row>
    <row r="376" spans="1:273" s="289" customFormat="1">
      <c r="A376" s="289" t="s">
        <v>588</v>
      </c>
      <c r="B376" s="290"/>
      <c r="AN376" s="290"/>
      <c r="AO376" s="290"/>
      <c r="AP376" s="290"/>
      <c r="AQ376" s="290"/>
      <c r="AR376" s="290"/>
      <c r="AS376" s="290"/>
      <c r="AT376" s="290"/>
      <c r="AU376" s="290"/>
      <c r="AV376" s="290"/>
      <c r="AW376" s="295">
        <f>AVERAGE(AV336:AW336)</f>
        <v>44301</v>
      </c>
      <c r="AX376" s="295">
        <f>AVERAGE(AV376:AW376)</f>
        <v>44301</v>
      </c>
      <c r="AY376" s="290"/>
      <c r="AZ376" s="295">
        <f>AVERAGE(AZ336,AW336)</f>
        <v>38199.5</v>
      </c>
      <c r="BA376" s="295">
        <f>AVERAGE(AZ336:BA336)</f>
        <v>37107.5</v>
      </c>
      <c r="BB376" s="295">
        <f>AVERAGE(AZ376:BA376)</f>
        <v>37653.5</v>
      </c>
      <c r="BC376" s="290"/>
      <c r="BD376" s="295">
        <f>AVERAGE(BD336,BA336)</f>
        <v>37130</v>
      </c>
      <c r="BE376" s="295">
        <f>AVERAGE(BD336:BE336)</f>
        <v>37872</v>
      </c>
      <c r="BF376" s="295">
        <f>AVERAGE(BD376:BE376)</f>
        <v>37501</v>
      </c>
      <c r="BG376" s="290"/>
      <c r="BH376" s="295">
        <f>AVERAGE(BH336,BE336)</f>
        <v>38688.5</v>
      </c>
      <c r="BI376" s="295">
        <f>AVERAGE(BH336:BI336)</f>
        <v>40250</v>
      </c>
      <c r="BJ376" s="295">
        <f>AVERAGE(BH376:BI376)</f>
        <v>39469.25</v>
      </c>
      <c r="BK376" s="290"/>
      <c r="BL376" s="295">
        <f>AVERAGE(BL336,BI336)</f>
        <v>45300</v>
      </c>
      <c r="BM376" s="295">
        <f>AVERAGE(BL336:BM336)</f>
        <v>51050</v>
      </c>
      <c r="BN376" s="295">
        <f>AVERAGE(BL376:BM376)</f>
        <v>48175</v>
      </c>
      <c r="BO376" s="672">
        <f>+BN376/BJ376-1</f>
        <v>0.22057044407988502</v>
      </c>
      <c r="BP376" s="295">
        <f>AVERAGE(BP336,BM336)</f>
        <v>55500</v>
      </c>
      <c r="BQ376" s="295">
        <f>AVERAGE(BP336:BQ336)</f>
        <v>62350</v>
      </c>
      <c r="BR376" s="295">
        <f>AVERAGE(BP376:BQ376)</f>
        <v>58925</v>
      </c>
      <c r="BS376" s="672">
        <f>+BR376/BN376-1</f>
        <v>0.22314478463933574</v>
      </c>
      <c r="BT376" s="295">
        <f>AVERAGE(BT336,BQ336)</f>
        <v>68900</v>
      </c>
      <c r="BU376" s="295">
        <f>AVERAGE(BT336:BU336)</f>
        <v>69050</v>
      </c>
      <c r="BV376" s="295">
        <f>AVERAGE(BT376:BU376)</f>
        <v>68975</v>
      </c>
      <c r="BW376" s="672">
        <f>+BV376/BR376-1</f>
        <v>0.17055579126007636</v>
      </c>
      <c r="BX376" s="295">
        <f>AVERAGE(BX336,BU336)</f>
        <v>69250</v>
      </c>
      <c r="BY376" s="295">
        <f>AVERAGE(BX336:BY336)</f>
        <v>74600</v>
      </c>
      <c r="BZ376" s="295">
        <f>AVERAGE(BX376:BY376)</f>
        <v>71925</v>
      </c>
      <c r="CA376" s="672">
        <f>+BZ376/BV376-1</f>
        <v>4.2769119246103715E-2</v>
      </c>
      <c r="CB376" s="295">
        <f>AVERAGE(CB336,BY336)</f>
        <v>78350</v>
      </c>
      <c r="CC376" s="295">
        <f>AVERAGE(CB336:CC336)</f>
        <v>82850</v>
      </c>
      <c r="CD376" s="295">
        <f>AVERAGE(CB376:CC376)</f>
        <v>80600</v>
      </c>
      <c r="CE376" s="581"/>
      <c r="CF376" s="295">
        <f>AVERAGE(CF336,CC336)</f>
        <v>100900</v>
      </c>
      <c r="CG376" s="295">
        <f>AVERAGE(CF336:CG336)</f>
        <v>121750</v>
      </c>
      <c r="CH376" s="295">
        <f>AVERAGE(CF376:CG376)</f>
        <v>111325</v>
      </c>
      <c r="CI376" s="581"/>
      <c r="CJ376" s="295">
        <f>AVERAGE(CJ336,CG336)</f>
        <v>131150</v>
      </c>
      <c r="CK376" s="295">
        <f>AVERAGE(CJ336:CK336)</f>
        <v>141850</v>
      </c>
      <c r="CL376" s="295">
        <f>AVERAGE(CJ376:CK376)</f>
        <v>136500</v>
      </c>
      <c r="CM376" s="581"/>
      <c r="CN376" s="295">
        <f>AVERAGE(CN336,CK336)</f>
        <v>144550</v>
      </c>
      <c r="CO376" s="295">
        <f>AVERAGE(CN336:CO336)</f>
        <v>140900</v>
      </c>
      <c r="CP376" s="295">
        <f>AVERAGE(CN376:CO376)</f>
        <v>142725</v>
      </c>
      <c r="CQ376" s="581"/>
      <c r="CR376" s="295">
        <f>AVERAGE(CR336,CO336)</f>
        <v>150400</v>
      </c>
      <c r="CS376" s="295">
        <f>AVERAGE(CR336:CS336)</f>
        <v>158550</v>
      </c>
      <c r="CT376" s="295">
        <f>AVERAGE(CR376:CS376)</f>
        <v>154475</v>
      </c>
      <c r="CU376" s="290"/>
      <c r="CV376" s="295">
        <f>AVERAGE(CV336,CS336)</f>
        <v>173400</v>
      </c>
      <c r="CW376" s="295">
        <f>AVERAGE(CV336:CW336)</f>
        <v>197150</v>
      </c>
      <c r="CX376" s="295">
        <f>AVERAGE(CV376:CW376)</f>
        <v>185275</v>
      </c>
      <c r="CY376" s="290"/>
      <c r="CZ376" s="295">
        <f>AVERAGE(CZ336,CW336)</f>
        <v>207900</v>
      </c>
      <c r="DA376" s="295">
        <f>AVERAGE(CZ336:DA336)</f>
        <v>216150</v>
      </c>
      <c r="DB376" s="295">
        <f>AVERAGE(CZ376:DA376)</f>
        <v>212025</v>
      </c>
      <c r="DC376" s="290"/>
      <c r="DD376" s="295">
        <f>AVERAGE(DD336,DA336)</f>
        <v>219900</v>
      </c>
      <c r="DE376" s="295">
        <f>AVERAGE(DD336:DE336)</f>
        <v>219300</v>
      </c>
      <c r="DF376" s="295">
        <f>AVERAGE(DD376:DE376)</f>
        <v>219600</v>
      </c>
      <c r="DG376" s="290"/>
      <c r="DH376" s="295">
        <f>AVERAGE(DH336,DE336)</f>
        <v>222850</v>
      </c>
      <c r="DI376" s="295">
        <f>AVERAGE(DH336:DI336)</f>
        <v>229919.63561643835</v>
      </c>
      <c r="DJ376" s="295">
        <f>AVERAGE(DH376:DI376)</f>
        <v>226384.81780821917</v>
      </c>
      <c r="DK376" s="290"/>
      <c r="DL376" s="295">
        <f>AVERAGE(DL336,DI336)</f>
        <v>239072.38237166445</v>
      </c>
      <c r="DM376" s="295">
        <f>AVERAGE(DL336:DM336)</f>
        <v>247447.49349184628</v>
      </c>
      <c r="DN376" s="295">
        <f>AVERAGE(DL376:DM376)</f>
        <v>243259.93793175538</v>
      </c>
      <c r="DO376" s="290"/>
      <c r="DP376" s="295">
        <f>AVERAGE(DP336,DM336)</f>
        <v>256084.32274218049</v>
      </c>
      <c r="DQ376" s="295">
        <f>AVERAGE(DP336:DQ336)</f>
        <v>265057.51111132919</v>
      </c>
      <c r="DR376" s="295">
        <f>AVERAGE(DP376:DQ376)</f>
        <v>260570.91692675484</v>
      </c>
      <c r="DS376" s="290"/>
      <c r="DT376" s="290"/>
      <c r="DU376" s="295"/>
      <c r="DV376" s="295"/>
      <c r="DW376" s="295"/>
      <c r="DX376" s="290"/>
      <c r="DY376" s="290"/>
      <c r="DZ376" s="295"/>
      <c r="EA376" s="295"/>
      <c r="EB376" s="290"/>
      <c r="EC376" s="290"/>
      <c r="ED376" s="295"/>
      <c r="EE376" s="295"/>
      <c r="EF376" s="290"/>
      <c r="EG376" s="290"/>
      <c r="EH376" s="290"/>
      <c r="EI376" s="290"/>
      <c r="EJ376" s="290"/>
      <c r="EK376" s="290"/>
      <c r="EL376" s="290"/>
      <c r="EM376" s="290"/>
      <c r="EN376" s="290"/>
      <c r="EO376" s="290"/>
      <c r="EP376" s="290"/>
      <c r="JM376"/>
    </row>
    <row r="377" spans="1:273" s="289" customFormat="1">
      <c r="A377" s="102" t="s">
        <v>1089</v>
      </c>
      <c r="B377" s="290"/>
      <c r="AN377" s="290"/>
      <c r="AO377" s="290"/>
      <c r="AP377" s="290"/>
      <c r="AQ377" s="290"/>
      <c r="AR377" s="290"/>
      <c r="AS377" s="290"/>
      <c r="AT377" s="290"/>
      <c r="AU377" s="290"/>
      <c r="AV377" s="293">
        <f t="shared" ref="AV377" si="289">AVERAGE(AV343,AT343)</f>
        <v>6000</v>
      </c>
      <c r="AW377" s="293">
        <f t="shared" ref="AW377" si="290">AVERAGE(AW343,AV343)</f>
        <v>4000</v>
      </c>
      <c r="AX377" s="293">
        <f t="shared" ref="AX377" si="291">AVERAGE(AV377:AW377)</f>
        <v>5000</v>
      </c>
      <c r="AY377" s="290"/>
      <c r="AZ377" s="293">
        <f t="shared" ref="AZ377" si="292">AVERAGE(AZ343,AX343)</f>
        <v>2500</v>
      </c>
      <c r="BA377" s="293">
        <f t="shared" ref="BA377" si="293">AVERAGE(BA343,AZ343)</f>
        <v>3750</v>
      </c>
      <c r="BB377" s="293">
        <f t="shared" ref="BB377" si="294">AVERAGE(AZ377:BA377)</f>
        <v>3125</v>
      </c>
      <c r="BC377" s="290"/>
      <c r="BD377" s="293">
        <f t="shared" ref="BD377" si="295">AVERAGE(BD343,BB343)</f>
        <v>4250</v>
      </c>
      <c r="BE377" s="293">
        <f t="shared" ref="BE377" si="296">AVERAGE(BE343,BD343)</f>
        <v>4000</v>
      </c>
      <c r="BF377" s="293">
        <f t="shared" ref="BF377" si="297">AVERAGE(BD377:BE377)</f>
        <v>4125</v>
      </c>
      <c r="BG377" s="290"/>
      <c r="BH377" s="293">
        <f t="shared" ref="BH377" si="298">AVERAGE(BH343,BF343)</f>
        <v>4100</v>
      </c>
      <c r="BI377" s="293">
        <f t="shared" ref="BI377" si="299">AVERAGE(BI343,BH343)</f>
        <v>5150</v>
      </c>
      <c r="BJ377" s="293">
        <f t="shared" ref="BJ377" si="300">AVERAGE(BH377:BI377)</f>
        <v>4625</v>
      </c>
      <c r="BK377" s="290"/>
      <c r="BL377" s="293">
        <f t="shared" ref="BL377" si="301">AVERAGE(BL343,BJ343)</f>
        <v>6700</v>
      </c>
      <c r="BM377" s="293">
        <f t="shared" ref="BM377" si="302">AVERAGE(BM343,BL343)</f>
        <v>7850</v>
      </c>
      <c r="BN377" s="293">
        <f t="shared" ref="BN377" si="303">AVERAGE(BL377:BM377)</f>
        <v>7275</v>
      </c>
      <c r="BO377" s="290"/>
      <c r="BP377" s="293">
        <f t="shared" ref="BP377" si="304">AVERAGE(BP343,BN343)</f>
        <v>8700</v>
      </c>
      <c r="BQ377" s="293">
        <f t="shared" ref="BQ377" si="305">AVERAGE(BQ343,BP343)</f>
        <v>9300</v>
      </c>
      <c r="BR377" s="293">
        <f t="shared" ref="BR377" si="306">AVERAGE(BP377:BQ377)</f>
        <v>9000</v>
      </c>
      <c r="BS377" s="290"/>
      <c r="BT377" s="293">
        <f t="shared" ref="BT377" si="307">AVERAGE(BT343,BR343)</f>
        <v>9550</v>
      </c>
      <c r="BU377" s="293">
        <f t="shared" ref="BU377" si="308">AVERAGE(BU343,BT343)</f>
        <v>9050</v>
      </c>
      <c r="BV377" s="293">
        <f t="shared" ref="BV377" si="309">AVERAGE(BT377:BU377)</f>
        <v>9300</v>
      </c>
      <c r="BW377" s="290"/>
      <c r="BX377" s="293">
        <f t="shared" ref="BX377" si="310">AVERAGE(BX343,BV343)</f>
        <v>10250</v>
      </c>
      <c r="BY377" s="293">
        <f t="shared" ref="BY377" si="311">AVERAGE(BY343,BX343)</f>
        <v>11050</v>
      </c>
      <c r="BZ377" s="293">
        <f t="shared" ref="BZ377" si="312">AVERAGE(BX377:BY377)</f>
        <v>10650</v>
      </c>
      <c r="CA377" s="290"/>
      <c r="CB377" s="293">
        <f>AVERAGE(CB343,BZ343)</f>
        <v>10750</v>
      </c>
      <c r="CC377" s="293">
        <f>AVERAGE(CC343,CB343)</f>
        <v>13050</v>
      </c>
      <c r="CD377" s="293">
        <f>AVERAGE(CB377:CC377)</f>
        <v>11900</v>
      </c>
      <c r="CE377" s="581"/>
      <c r="CF377" s="293">
        <f>AVERAGE(CF343,CD343)</f>
        <v>15400</v>
      </c>
      <c r="CG377" s="293">
        <f>AVERAGE(CG343,CF343)</f>
        <v>20750</v>
      </c>
      <c r="CH377" s="293">
        <f>AVERAGE(CF377:CG377)</f>
        <v>18075</v>
      </c>
      <c r="CI377" s="581"/>
      <c r="CJ377" s="293">
        <f>AVERAGE(CJ343,CH343)</f>
        <v>23000</v>
      </c>
      <c r="CK377" s="293">
        <f>AVERAGE(CK343,CJ343)</f>
        <v>22800</v>
      </c>
      <c r="CL377" s="293">
        <f>AVERAGE(CJ377:CK377)</f>
        <v>22900</v>
      </c>
      <c r="CM377" s="581"/>
      <c r="CN377" s="293">
        <f>AVERAGE(CN343,CL343)</f>
        <v>24600</v>
      </c>
      <c r="CO377" s="293">
        <f>AVERAGE(CO343,CN343)</f>
        <v>27000</v>
      </c>
      <c r="CP377" s="293">
        <f>AVERAGE(CN377:CO377)</f>
        <v>25800</v>
      </c>
      <c r="CQ377" s="581"/>
      <c r="CR377" s="293">
        <f>AVERAGE(CR343,CP343)</f>
        <v>28900</v>
      </c>
      <c r="CS377" s="293">
        <f>AVERAGE(CS343,CR343)</f>
        <v>23900</v>
      </c>
      <c r="CT377" s="293">
        <f>AVERAGE(CR377:CS377)</f>
        <v>26400</v>
      </c>
      <c r="CU377" s="290"/>
      <c r="CV377" s="293">
        <f>AVERAGE(CV343,CT343)</f>
        <v>25000</v>
      </c>
      <c r="CW377" s="293">
        <f>AVERAGE(CW343,CV343)</f>
        <v>32450</v>
      </c>
      <c r="CX377" s="293">
        <f>AVERAGE(CV377:CW377)</f>
        <v>28725</v>
      </c>
      <c r="CY377" s="290"/>
      <c r="CZ377" s="293">
        <f>AVERAGE(CZ343,CX343)</f>
        <v>35050</v>
      </c>
      <c r="DA377" s="293">
        <f>AVERAGE(DA343,CZ343)</f>
        <v>36450</v>
      </c>
      <c r="DB377" s="293">
        <f>AVERAGE(CZ377:DA377)</f>
        <v>35750</v>
      </c>
      <c r="DC377" s="290"/>
      <c r="DD377" s="293">
        <f>AVERAGE(DD343,DB343)</f>
        <v>34700</v>
      </c>
      <c r="DE377" s="293">
        <f>AVERAGE(DE343,DD343)</f>
        <v>29550</v>
      </c>
      <c r="DF377" s="293">
        <f>AVERAGE(DD377:DE377)</f>
        <v>32125</v>
      </c>
      <c r="DG377" s="290"/>
      <c r="DH377" s="293">
        <f>AVERAGE(DH343,DF343)</f>
        <v>25400</v>
      </c>
      <c r="DI377" s="293">
        <f t="shared" ref="DI377" si="313">AVERAGE(DI343,DH343)</f>
        <v>23511.963561643839</v>
      </c>
      <c r="DJ377" s="293">
        <f t="shared" ref="DJ377" si="314">AVERAGE(DH377:DI377)</f>
        <v>24455.98178082192</v>
      </c>
      <c r="DK377" s="290"/>
      <c r="DL377" s="293">
        <f t="shared" ref="DL377" si="315">AVERAGE(DL343,DJ343)</f>
        <v>25121.765704718709</v>
      </c>
      <c r="DM377" s="293">
        <f t="shared" ref="DM377" si="316">AVERAGE(DM343,DL343)</f>
        <v>27219.224284103089</v>
      </c>
      <c r="DN377" s="293">
        <f t="shared" ref="DN377" si="317">AVERAGE(DL377:DM377)</f>
        <v>26170.494994410899</v>
      </c>
      <c r="DO377" s="290"/>
      <c r="DP377" s="293">
        <f t="shared" ref="DP377" si="318">AVERAGE(DP343,DN343)</f>
        <v>28169.275501639855</v>
      </c>
      <c r="DQ377" s="293">
        <f t="shared" ref="DQ377" si="319">AVERAGE(DQ343,DP343)</f>
        <v>29156.326222246207</v>
      </c>
      <c r="DR377" s="293">
        <f t="shared" ref="DR377" si="320">AVERAGE(DP377:DQ377)</f>
        <v>28662.800861943033</v>
      </c>
      <c r="DS377" s="290"/>
      <c r="DT377" s="290"/>
      <c r="DU377" s="295"/>
      <c r="DV377" s="295"/>
      <c r="DW377" s="295"/>
      <c r="DX377" s="290"/>
      <c r="DY377" s="290"/>
      <c r="DZ377" s="295"/>
      <c r="EA377" s="295"/>
      <c r="EB377" s="290"/>
      <c r="EC377" s="290"/>
      <c r="ED377" s="295"/>
      <c r="EE377" s="295"/>
      <c r="EF377" s="290"/>
      <c r="EG377" s="290"/>
      <c r="EH377" s="290"/>
      <c r="EI377" s="290"/>
      <c r="EJ377" s="290"/>
      <c r="EK377" s="290"/>
      <c r="EL377" s="290"/>
      <c r="EM377" s="290"/>
      <c r="EN377" s="290"/>
      <c r="EO377" s="290"/>
      <c r="EP377" s="290"/>
      <c r="JM377"/>
    </row>
    <row r="378" spans="1:273" s="289" customFormat="1">
      <c r="A378" s="923" t="s">
        <v>1075</v>
      </c>
      <c r="B378" s="290"/>
      <c r="AN378" s="290"/>
      <c r="AO378" s="290"/>
      <c r="AP378" s="290"/>
      <c r="AQ378" s="290"/>
      <c r="AR378" s="290"/>
      <c r="AS378" s="290"/>
      <c r="AT378" s="290"/>
      <c r="AU378" s="290"/>
      <c r="AV378" s="924"/>
      <c r="AW378" s="924">
        <f t="shared" ref="AW378" si="321">AW376-AW377</f>
        <v>40301</v>
      </c>
      <c r="AX378" s="924">
        <f t="shared" ref="AX378" si="322">AX376-AX377</f>
        <v>39301</v>
      </c>
      <c r="AY378" s="290"/>
      <c r="AZ378" s="924">
        <f t="shared" ref="AZ378:BB378" si="323">AZ376-AZ377</f>
        <v>35699.5</v>
      </c>
      <c r="BA378" s="924">
        <f t="shared" si="323"/>
        <v>33357.5</v>
      </c>
      <c r="BB378" s="924">
        <f t="shared" si="323"/>
        <v>34528.5</v>
      </c>
      <c r="BC378" s="290"/>
      <c r="BD378" s="924">
        <f t="shared" ref="BD378:BF378" si="324">BD376-BD377</f>
        <v>32880</v>
      </c>
      <c r="BE378" s="924">
        <f t="shared" si="324"/>
        <v>33872</v>
      </c>
      <c r="BF378" s="924">
        <f t="shared" si="324"/>
        <v>33376</v>
      </c>
      <c r="BG378" s="290"/>
      <c r="BH378" s="924">
        <f t="shared" ref="BH378:BJ378" si="325">BH376-BH377</f>
        <v>34588.5</v>
      </c>
      <c r="BI378" s="924">
        <f t="shared" si="325"/>
        <v>35100</v>
      </c>
      <c r="BJ378" s="924">
        <f t="shared" si="325"/>
        <v>34844.25</v>
      </c>
      <c r="BK378" s="290"/>
      <c r="BL378" s="924">
        <f t="shared" ref="BL378:BN378" si="326">BL376-BL377</f>
        <v>38600</v>
      </c>
      <c r="BM378" s="924">
        <f t="shared" si="326"/>
        <v>43200</v>
      </c>
      <c r="BN378" s="924">
        <f t="shared" si="326"/>
        <v>40900</v>
      </c>
      <c r="BO378" s="290"/>
      <c r="BP378" s="924">
        <f t="shared" ref="BP378:BR378" si="327">BP376-BP377</f>
        <v>46800</v>
      </c>
      <c r="BQ378" s="924">
        <f t="shared" si="327"/>
        <v>53050</v>
      </c>
      <c r="BR378" s="924">
        <f t="shared" si="327"/>
        <v>49925</v>
      </c>
      <c r="BS378" s="290"/>
      <c r="BT378" s="924">
        <f t="shared" ref="BT378:BV378" si="328">BT376-BT377</f>
        <v>59350</v>
      </c>
      <c r="BU378" s="924">
        <f t="shared" si="328"/>
        <v>60000</v>
      </c>
      <c r="BV378" s="924">
        <f t="shared" si="328"/>
        <v>59675</v>
      </c>
      <c r="BW378" s="290"/>
      <c r="BX378" s="924">
        <f t="shared" ref="BX378:BZ378" si="329">BX376-BX377</f>
        <v>59000</v>
      </c>
      <c r="BY378" s="924">
        <f t="shared" si="329"/>
        <v>63550</v>
      </c>
      <c r="BZ378" s="924">
        <f t="shared" si="329"/>
        <v>61275</v>
      </c>
      <c r="CA378" s="290"/>
      <c r="CB378" s="924">
        <f>CB376-CB377</f>
        <v>67600</v>
      </c>
      <c r="CC378" s="924">
        <f>CC376-CC377</f>
        <v>69800</v>
      </c>
      <c r="CD378" s="924">
        <f>CD376-CD377</f>
        <v>68700</v>
      </c>
      <c r="CE378" s="581"/>
      <c r="CF378" s="924">
        <f>CF376-CF377</f>
        <v>85500</v>
      </c>
      <c r="CG378" s="924">
        <f>CG376-CG377</f>
        <v>101000</v>
      </c>
      <c r="CH378" s="924">
        <f>CH376-CH377</f>
        <v>93250</v>
      </c>
      <c r="CI378" s="581"/>
      <c r="CJ378" s="924">
        <f>CJ376-CJ377</f>
        <v>108150</v>
      </c>
      <c r="CK378" s="924">
        <f>CK376-CK377</f>
        <v>119050</v>
      </c>
      <c r="CL378" s="924">
        <f>CL376-CL377</f>
        <v>113600</v>
      </c>
      <c r="CM378" s="581"/>
      <c r="CN378" s="924">
        <f>CN376-CN377</f>
        <v>119950</v>
      </c>
      <c r="CO378" s="924">
        <f>CO376-CO377</f>
        <v>113900</v>
      </c>
      <c r="CP378" s="924">
        <f>CP376-CP377</f>
        <v>116925</v>
      </c>
      <c r="CQ378" s="581"/>
      <c r="CR378" s="924">
        <f>CR376-CR377</f>
        <v>121500</v>
      </c>
      <c r="CS378" s="924">
        <f>CS376-CS377</f>
        <v>134650</v>
      </c>
      <c r="CT378" s="924">
        <f>CT376-CT377</f>
        <v>128075</v>
      </c>
      <c r="CU378" s="290"/>
      <c r="CV378" s="924">
        <f>CV376-CV377</f>
        <v>148400</v>
      </c>
      <c r="CW378" s="924">
        <f>CW376-CW377</f>
        <v>164700</v>
      </c>
      <c r="CX378" s="924">
        <f>CX376-CX377</f>
        <v>156550</v>
      </c>
      <c r="CY378" s="290"/>
      <c r="CZ378" s="924">
        <f>CZ376-CZ377</f>
        <v>172850</v>
      </c>
      <c r="DA378" s="924">
        <f>DA376-DA377</f>
        <v>179700</v>
      </c>
      <c r="DB378" s="924">
        <f>DB376-DB377</f>
        <v>176275</v>
      </c>
      <c r="DC378" s="290"/>
      <c r="DD378" s="924">
        <f>DD376-DD377</f>
        <v>185200</v>
      </c>
      <c r="DE378" s="924">
        <f>DE376-DE377</f>
        <v>189750</v>
      </c>
      <c r="DF378" s="924">
        <f>DF376-DF377</f>
        <v>187475</v>
      </c>
      <c r="DG378" s="290"/>
      <c r="DH378" s="924">
        <f>DH376-DH377</f>
        <v>197450</v>
      </c>
      <c r="DI378" s="924">
        <f t="shared" ref="DI378:DJ378" si="330">DI376-DI377</f>
        <v>206407.6720547945</v>
      </c>
      <c r="DJ378" s="924">
        <f t="shared" si="330"/>
        <v>201928.83602739725</v>
      </c>
      <c r="DK378" s="290"/>
      <c r="DL378" s="924">
        <f t="shared" ref="DL378:DN378" si="331">DL376-DL377</f>
        <v>213950.61666694575</v>
      </c>
      <c r="DM378" s="924">
        <f t="shared" si="331"/>
        <v>220228.2692077432</v>
      </c>
      <c r="DN378" s="924">
        <f t="shared" si="331"/>
        <v>217089.44293734449</v>
      </c>
      <c r="DO378" s="290"/>
      <c r="DP378" s="924">
        <f t="shared" ref="DP378:DR378" si="332">DP376-DP377</f>
        <v>227915.04724054065</v>
      </c>
      <c r="DQ378" s="924">
        <f t="shared" si="332"/>
        <v>235901.18488908297</v>
      </c>
      <c r="DR378" s="924">
        <f t="shared" si="332"/>
        <v>231908.11606481182</v>
      </c>
      <c r="DS378" s="290"/>
      <c r="DT378" s="290"/>
      <c r="DU378" s="295"/>
      <c r="DV378" s="295"/>
      <c r="DW378" s="295"/>
      <c r="DX378" s="290"/>
      <c r="DY378" s="290"/>
      <c r="DZ378" s="295"/>
      <c r="EA378" s="295"/>
      <c r="EB378" s="290"/>
      <c r="EC378" s="290"/>
      <c r="ED378" s="295"/>
      <c r="EE378" s="295"/>
      <c r="EF378" s="290"/>
      <c r="EG378" s="290"/>
      <c r="EH378" s="290"/>
      <c r="EI378" s="290"/>
      <c r="EJ378" s="290"/>
      <c r="EK378" s="290"/>
      <c r="EL378" s="290"/>
      <c r="EM378" s="290"/>
      <c r="EN378" s="290"/>
      <c r="EO378" s="290"/>
      <c r="EP378" s="290"/>
      <c r="JM378"/>
    </row>
    <row r="379" spans="1:273">
      <c r="AN379" s="290"/>
      <c r="AO379" s="290"/>
      <c r="AP379" s="290"/>
      <c r="AQ379" s="290"/>
      <c r="AR379" s="290"/>
      <c r="AS379" s="290"/>
      <c r="AT379" s="290"/>
      <c r="AU379" s="290"/>
      <c r="AV379" s="290"/>
      <c r="AW379" s="685"/>
      <c r="AX379" s="290"/>
      <c r="AY379" s="290"/>
      <c r="AZ379" s="685"/>
      <c r="BA379" s="685"/>
      <c r="BB379" s="290"/>
      <c r="BC379" s="290"/>
      <c r="BD379" s="685"/>
      <c r="BE379" s="685"/>
      <c r="BF379" s="290"/>
      <c r="BG379" s="290"/>
      <c r="BH379" s="685"/>
      <c r="BI379" s="685"/>
      <c r="BJ379" s="290"/>
      <c r="BK379" s="290"/>
      <c r="BL379" s="685"/>
      <c r="BM379" s="685"/>
      <c r="BN379" s="290"/>
      <c r="BO379" s="290"/>
      <c r="BP379" s="685"/>
      <c r="BQ379" s="685"/>
      <c r="BR379" s="290"/>
      <c r="BS379" s="290"/>
      <c r="BT379" s="685"/>
      <c r="BU379" s="685"/>
      <c r="BV379" s="290"/>
      <c r="BW379" s="290"/>
      <c r="BX379" s="685"/>
      <c r="BY379" s="685"/>
      <c r="BZ379" s="290"/>
      <c r="CA379" s="290"/>
      <c r="CB379" s="685"/>
      <c r="CC379" s="685"/>
      <c r="CD379" s="290"/>
      <c r="CE379" s="581"/>
      <c r="CF379" s="685"/>
      <c r="CG379" s="685"/>
      <c r="CH379" s="290"/>
      <c r="CI379" s="581"/>
      <c r="CJ379" s="685"/>
      <c r="CK379" s="685"/>
      <c r="CL379" s="290"/>
      <c r="CM379" s="581"/>
      <c r="CN379" s="685"/>
      <c r="CO379" s="685"/>
      <c r="CP379" s="290"/>
      <c r="CQ379" s="581"/>
      <c r="CR379" s="685"/>
      <c r="CS379" s="685"/>
      <c r="CT379" s="290"/>
      <c r="CU379" s="290"/>
      <c r="CV379" s="685"/>
      <c r="CW379" s="685"/>
      <c r="CX379" s="290"/>
      <c r="CY379" s="290"/>
      <c r="CZ379" s="685"/>
      <c r="DA379" s="685"/>
      <c r="DB379" s="290"/>
      <c r="DC379" s="290"/>
      <c r="DD379" s="685"/>
      <c r="DE379" s="685"/>
      <c r="DF379" s="290"/>
      <c r="DG379" s="290"/>
      <c r="DH379" s="685"/>
      <c r="DI379" s="685"/>
      <c r="DJ379" s="290"/>
      <c r="DK379" s="290"/>
      <c r="DL379" s="685"/>
      <c r="DM379" s="685"/>
      <c r="DN379" s="290"/>
      <c r="DO379" s="290"/>
      <c r="DP379" s="685"/>
      <c r="DQ379" s="685"/>
      <c r="DR379" s="290"/>
      <c r="DS379" s="290"/>
      <c r="DT379" s="290"/>
      <c r="DU379" s="685"/>
      <c r="DV379" s="685"/>
      <c r="DW379" s="685"/>
      <c r="DX379" s="290"/>
      <c r="DY379" s="290"/>
      <c r="DZ379" s="685"/>
      <c r="EA379" s="685"/>
      <c r="EB379" s="290"/>
      <c r="EC379" s="290"/>
      <c r="ED379" s="685"/>
      <c r="EE379" s="685"/>
      <c r="EF379" s="290"/>
      <c r="EG379" s="290"/>
      <c r="EH379" s="290"/>
      <c r="EI379" s="290"/>
      <c r="EJ379" s="290"/>
      <c r="EK379" s="290"/>
      <c r="EL379" s="290"/>
      <c r="EM379" s="290"/>
      <c r="EN379" s="290"/>
      <c r="EO379" s="290"/>
      <c r="EP379" s="290"/>
      <c r="EQ379" s="289"/>
      <c r="ER379" s="289"/>
      <c r="ES379" s="289"/>
      <c r="ET379" s="289"/>
      <c r="EU379" s="289"/>
      <c r="EV379" s="289"/>
      <c r="EW379" s="289"/>
      <c r="EX379" s="289"/>
      <c r="EY379" s="289"/>
      <c r="EZ379" s="289"/>
      <c r="FA379" s="289"/>
      <c r="FB379" s="289"/>
      <c r="FC379" s="289"/>
      <c r="FD379" s="289"/>
      <c r="FE379" s="289"/>
      <c r="FF379" s="289"/>
      <c r="FG379" s="289"/>
      <c r="FH379" s="289"/>
      <c r="FI379" s="289"/>
      <c r="FJ379" s="289"/>
      <c r="FK379" s="289"/>
      <c r="FL379" s="289"/>
      <c r="FM379" s="289"/>
      <c r="FN379" s="289"/>
      <c r="FO379" s="289"/>
      <c r="FP379" s="289"/>
      <c r="FQ379" s="289"/>
      <c r="FR379" s="289"/>
      <c r="FS379" s="289"/>
      <c r="FT379" s="289"/>
      <c r="FU379" s="289"/>
      <c r="FV379" s="289"/>
      <c r="FW379" s="289"/>
      <c r="FX379" s="289"/>
      <c r="FY379" s="289"/>
      <c r="FZ379" s="289"/>
      <c r="GA379" s="289"/>
      <c r="GB379" s="289"/>
      <c r="GC379" s="289"/>
      <c r="GD379" s="289"/>
      <c r="GE379" s="289"/>
      <c r="GF379" s="289"/>
      <c r="GG379" s="289"/>
      <c r="GH379" s="289"/>
      <c r="GI379" s="289"/>
      <c r="GJ379" s="289"/>
      <c r="GK379" s="289"/>
      <c r="GL379" s="289"/>
      <c r="GM379" s="289"/>
      <c r="GN379" s="289"/>
      <c r="GO379" s="289"/>
      <c r="GP379" s="289"/>
      <c r="GQ379" s="289"/>
      <c r="GR379" s="289"/>
      <c r="GS379" s="289"/>
      <c r="GT379" s="289"/>
      <c r="GU379" s="289"/>
      <c r="GV379" s="289"/>
      <c r="GW379" s="289"/>
      <c r="GX379" s="289"/>
      <c r="GY379" s="289"/>
      <c r="GZ379" s="289"/>
      <c r="HA379" s="289"/>
      <c r="HB379" s="289"/>
      <c r="HC379" s="289"/>
      <c r="HD379" s="289"/>
      <c r="HE379" s="289"/>
      <c r="HF379" s="289"/>
      <c r="HG379" s="289"/>
      <c r="HH379" s="289"/>
      <c r="HI379" s="289"/>
      <c r="HJ379" s="289"/>
      <c r="HK379" s="289"/>
      <c r="HL379" s="289"/>
      <c r="HM379" s="289"/>
      <c r="HN379" s="289"/>
      <c r="HO379" s="289"/>
      <c r="HP379" s="289"/>
      <c r="HQ379" s="289"/>
      <c r="HR379" s="289"/>
      <c r="HS379" s="289"/>
      <c r="HT379" s="289"/>
      <c r="HU379" s="289"/>
      <c r="HV379" s="289"/>
      <c r="HW379" s="289"/>
      <c r="HX379" s="289"/>
      <c r="HY379" s="289"/>
      <c r="HZ379" s="289"/>
      <c r="IA379" s="289"/>
      <c r="IB379" s="289"/>
      <c r="IC379" s="289"/>
      <c r="ID379" s="289"/>
      <c r="IE379" s="289"/>
      <c r="IF379" s="289"/>
      <c r="IG379" s="289"/>
      <c r="IH379" s="289"/>
      <c r="II379" s="289"/>
      <c r="IJ379" s="289"/>
      <c r="IK379" s="289"/>
      <c r="IL379" s="289"/>
      <c r="IM379" s="289"/>
      <c r="IN379" s="289"/>
      <c r="IO379" s="289"/>
      <c r="IP379" s="289"/>
      <c r="IQ379" s="289"/>
      <c r="IR379" s="289"/>
      <c r="IS379" s="289"/>
      <c r="IT379" s="289"/>
      <c r="IU379" s="289"/>
      <c r="IV379" s="289"/>
      <c r="IW379" s="289"/>
      <c r="IX379" s="289"/>
      <c r="IY379" s="289"/>
      <c r="IZ379" s="289"/>
      <c r="JA379" s="289"/>
      <c r="JB379" s="289"/>
      <c r="JC379" s="289"/>
      <c r="JD379" s="289"/>
      <c r="JE379" s="289"/>
      <c r="JF379" s="289"/>
      <c r="JG379" s="289"/>
      <c r="JH379" s="289"/>
      <c r="JI379" s="289"/>
      <c r="JJ379" s="289"/>
      <c r="JK379" s="289"/>
      <c r="JL379" s="289"/>
    </row>
    <row r="380" spans="1:273" s="699" customFormat="1">
      <c r="A380" s="877" t="s">
        <v>712</v>
      </c>
      <c r="B380" s="867"/>
      <c r="AN380" s="925"/>
      <c r="AO380" s="925"/>
      <c r="AP380" s="925"/>
      <c r="AQ380" s="925"/>
      <c r="AR380" s="925"/>
      <c r="AS380" s="925"/>
      <c r="AT380" s="925"/>
      <c r="AU380" s="925"/>
      <c r="AV380" s="925"/>
      <c r="AW380" s="926"/>
      <c r="AX380" s="925"/>
      <c r="AY380" s="925"/>
      <c r="AZ380" s="926"/>
      <c r="BA380" s="926"/>
      <c r="BB380" s="925"/>
      <c r="BC380" s="925"/>
      <c r="BD380" s="926"/>
      <c r="BE380" s="926"/>
      <c r="BF380" s="925"/>
      <c r="BG380" s="925"/>
      <c r="BH380" s="926"/>
      <c r="BI380" s="926"/>
      <c r="BJ380" s="925"/>
      <c r="BK380" s="925"/>
      <c r="BL380" s="926"/>
      <c r="BM380" s="926"/>
      <c r="BN380" s="925"/>
      <c r="BO380" s="925"/>
      <c r="BP380" s="926"/>
      <c r="BQ380" s="926"/>
      <c r="BR380" s="925"/>
      <c r="BS380" s="925"/>
      <c r="BT380" s="926"/>
      <c r="BU380" s="926"/>
      <c r="BV380" s="925"/>
      <c r="BW380" s="925"/>
      <c r="BX380" s="926"/>
      <c r="BY380" s="926"/>
      <c r="BZ380" s="925"/>
      <c r="CA380" s="925"/>
      <c r="CB380" s="926"/>
      <c r="CC380" s="926"/>
      <c r="CD380" s="925"/>
      <c r="CE380" s="1635" t="s">
        <v>1082</v>
      </c>
      <c r="CF380" s="926"/>
      <c r="CG380" s="926"/>
      <c r="CH380" s="925"/>
      <c r="CI380" s="1635"/>
      <c r="CJ380" s="926"/>
      <c r="CK380" s="926"/>
      <c r="CL380" s="925"/>
      <c r="CM380" s="1635"/>
      <c r="CN380" s="926"/>
      <c r="CO380" s="880"/>
      <c r="CP380" s="880"/>
      <c r="CQ380" s="1614"/>
      <c r="CR380" s="926"/>
      <c r="CS380" s="880"/>
      <c r="CT380" s="880"/>
      <c r="CU380" s="925"/>
      <c r="CV380" s="880"/>
      <c r="CW380" s="880"/>
      <c r="CX380" s="880"/>
      <c r="CY380" s="925"/>
      <c r="CZ380" s="880"/>
      <c r="DA380" s="880"/>
      <c r="DB380" s="880"/>
      <c r="DC380" s="925"/>
      <c r="DD380" s="880"/>
      <c r="DE380" s="880"/>
      <c r="DF380" s="880"/>
      <c r="DG380" s="925"/>
      <c r="DH380" s="880"/>
      <c r="DI380" s="880"/>
      <c r="DJ380" s="880"/>
      <c r="DK380" s="925"/>
      <c r="DL380" s="880"/>
      <c r="DM380" s="880"/>
      <c r="DN380" s="880"/>
      <c r="DO380" s="925"/>
      <c r="DP380" s="880"/>
      <c r="DQ380" s="880"/>
      <c r="DR380" s="880"/>
      <c r="DS380" s="925"/>
      <c r="DT380" s="925"/>
      <c r="DU380" s="926"/>
      <c r="DV380" s="926"/>
      <c r="DW380" s="926"/>
      <c r="DX380" s="925"/>
      <c r="DY380" s="925"/>
      <c r="DZ380" s="926"/>
      <c r="EA380" s="926"/>
      <c r="EB380" s="925"/>
      <c r="EC380" s="925"/>
      <c r="ED380" s="926"/>
      <c r="EE380" s="926"/>
      <c r="EF380" s="925"/>
      <c r="EG380" s="925"/>
      <c r="EH380" s="925"/>
      <c r="EI380" s="925"/>
      <c r="EJ380" s="925"/>
      <c r="EK380" s="925"/>
      <c r="EL380" s="925"/>
      <c r="EM380" s="925"/>
      <c r="EN380" s="925"/>
      <c r="EO380" s="925"/>
      <c r="EP380" s="925"/>
      <c r="EQ380" s="866"/>
      <c r="ER380" s="866"/>
      <c r="ES380" s="866"/>
      <c r="ET380" s="866"/>
      <c r="EU380" s="866"/>
      <c r="EV380" s="866"/>
      <c r="EW380" s="866"/>
      <c r="EX380" s="866"/>
      <c r="EY380" s="866"/>
      <c r="EZ380" s="866"/>
      <c r="FA380" s="866"/>
      <c r="FB380" s="866"/>
      <c r="FC380" s="866"/>
      <c r="FD380" s="866"/>
      <c r="FE380" s="866"/>
      <c r="FF380" s="866"/>
      <c r="FG380" s="866"/>
      <c r="FH380" s="866"/>
      <c r="FI380" s="866"/>
      <c r="FJ380" s="866"/>
      <c r="FK380" s="866"/>
      <c r="FL380" s="289"/>
      <c r="FM380" s="289"/>
      <c r="FN380" s="289"/>
      <c r="FO380" s="289"/>
      <c r="FP380" s="289"/>
      <c r="FQ380" s="289"/>
      <c r="FR380" s="289"/>
      <c r="FS380" s="289"/>
      <c r="FT380" s="289"/>
      <c r="FU380" s="289"/>
      <c r="FV380" s="289"/>
      <c r="FW380" s="289"/>
      <c r="FX380" s="289"/>
      <c r="FY380" s="289"/>
      <c r="FZ380" s="289"/>
      <c r="GA380" s="289"/>
      <c r="GB380" s="289"/>
      <c r="GC380" s="289"/>
      <c r="GD380" s="289"/>
      <c r="GE380" s="289"/>
      <c r="GF380" s="289"/>
      <c r="GG380" s="289"/>
      <c r="GH380" s="289"/>
      <c r="GI380" s="289"/>
      <c r="GJ380" s="289"/>
      <c r="GK380" s="289"/>
      <c r="GL380" s="289"/>
      <c r="GM380" s="289"/>
      <c r="GN380" s="289"/>
      <c r="GO380" s="289"/>
      <c r="GP380" s="289"/>
      <c r="GQ380" s="289"/>
      <c r="GR380" s="289"/>
      <c r="GS380" s="289"/>
      <c r="GT380" s="289"/>
      <c r="GU380" s="289"/>
      <c r="GV380" s="289"/>
      <c r="GW380" s="289"/>
      <c r="GX380" s="289"/>
      <c r="GY380" s="289"/>
      <c r="GZ380" s="289"/>
      <c r="HA380" s="289"/>
      <c r="HB380" s="289"/>
      <c r="HC380" s="289"/>
      <c r="HD380" s="289"/>
      <c r="HE380" s="289"/>
      <c r="HF380" s="289"/>
      <c r="HG380" s="289"/>
      <c r="HH380" s="289"/>
      <c r="HI380" s="289"/>
      <c r="HJ380" s="289"/>
      <c r="HK380" s="289"/>
      <c r="HL380" s="289"/>
      <c r="HM380" s="289"/>
      <c r="HN380" s="289"/>
      <c r="HO380" s="289"/>
      <c r="HP380" s="289"/>
      <c r="HQ380" s="289"/>
      <c r="HR380" s="289"/>
      <c r="HS380" s="289"/>
      <c r="HT380" s="289"/>
      <c r="HU380" s="289"/>
      <c r="HV380" s="289"/>
      <c r="HW380" s="289"/>
      <c r="HX380" s="289"/>
      <c r="HY380" s="289"/>
      <c r="HZ380" s="289"/>
      <c r="IA380" s="289"/>
      <c r="IB380" s="289"/>
      <c r="IC380" s="289"/>
      <c r="ID380" s="289"/>
      <c r="IE380" s="289"/>
      <c r="IF380" s="289"/>
      <c r="IG380" s="289"/>
      <c r="IH380" s="289"/>
      <c r="II380" s="289"/>
      <c r="IJ380" s="289"/>
      <c r="IK380" s="289"/>
      <c r="IL380" s="289"/>
      <c r="IM380" s="289"/>
      <c r="IN380" s="289"/>
      <c r="IO380" s="289"/>
      <c r="IP380" s="289"/>
      <c r="IQ380" s="289"/>
      <c r="IR380" s="289"/>
      <c r="IS380" s="289"/>
      <c r="IT380" s="289"/>
      <c r="IU380" s="289"/>
      <c r="IV380" s="289"/>
      <c r="IW380" s="289"/>
      <c r="IX380" s="289"/>
      <c r="IY380" s="289"/>
      <c r="IZ380" s="289"/>
      <c r="JA380" s="289"/>
      <c r="JB380" s="289"/>
      <c r="JC380" s="289"/>
      <c r="JD380" s="289"/>
      <c r="JE380" s="289"/>
      <c r="JF380" s="289"/>
      <c r="JG380" s="289"/>
      <c r="JH380" s="289"/>
      <c r="JI380" s="289"/>
      <c r="JJ380" s="289"/>
      <c r="JK380" s="289"/>
      <c r="JL380" s="289"/>
      <c r="JM380"/>
    </row>
    <row r="381" spans="1:273" s="854" customFormat="1">
      <c r="A381" s="102" t="s">
        <v>702</v>
      </c>
      <c r="B381" s="103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  <c r="AA381" s="102"/>
      <c r="AB381" s="102"/>
      <c r="AC381" s="102"/>
      <c r="AD381" s="102"/>
      <c r="AE381" s="102"/>
      <c r="AF381" s="102"/>
      <c r="AG381" s="102"/>
      <c r="AH381" s="102"/>
      <c r="AI381" s="102"/>
      <c r="AJ381" s="102"/>
      <c r="AK381" s="102"/>
      <c r="AL381" s="102"/>
      <c r="AM381" s="102"/>
      <c r="AN381" s="290"/>
      <c r="AO381" s="290"/>
      <c r="AP381" s="290"/>
      <c r="AQ381" s="290"/>
      <c r="AR381" s="290"/>
      <c r="AS381" s="290"/>
      <c r="AT381" s="290"/>
      <c r="AU381" s="290"/>
      <c r="AV381" s="818">
        <f>DIVISIONS!AV405</f>
        <v>4</v>
      </c>
      <c r="AW381" s="818">
        <f>DIVISIONS!AW405</f>
        <v>5</v>
      </c>
      <c r="AX381" s="818">
        <f t="shared" ref="AX381:AX385" si="333">+AV381+AW381</f>
        <v>9</v>
      </c>
      <c r="AY381" s="927"/>
      <c r="AZ381" s="818">
        <f>DIVISIONS!AZ405</f>
        <v>7</v>
      </c>
      <c r="BA381" s="818">
        <f>DIVISIONS!BA405</f>
        <v>11</v>
      </c>
      <c r="BB381" s="818">
        <f t="shared" ref="BB381:BB385" si="334">+AZ381+BA381</f>
        <v>18</v>
      </c>
      <c r="BC381" s="853"/>
      <c r="BD381" s="818">
        <f>DIVISIONS!BD405</f>
        <v>10</v>
      </c>
      <c r="BE381" s="818">
        <f>DIVISIONS!BE405</f>
        <v>15</v>
      </c>
      <c r="BF381" s="818">
        <f t="shared" ref="BF381:BF385" si="335">+BD381+BE381</f>
        <v>25</v>
      </c>
      <c r="BG381" s="853"/>
      <c r="BH381" s="818">
        <f>DIVISIONS!BH405</f>
        <v>2</v>
      </c>
      <c r="BI381" s="818">
        <f>DIVISIONS!BI405</f>
        <v>23</v>
      </c>
      <c r="BJ381" s="818">
        <f t="shared" ref="BJ381:BJ385" si="336">+BH381+BI381</f>
        <v>25</v>
      </c>
      <c r="BK381" s="853"/>
      <c r="BL381" s="818">
        <f>DIVISIONS!BL405</f>
        <v>9</v>
      </c>
      <c r="BM381" s="818">
        <f>DIVISIONS!BM405</f>
        <v>46</v>
      </c>
      <c r="BN381" s="818">
        <f t="shared" ref="BN381:BN385" si="337">+BL381+BM381</f>
        <v>55</v>
      </c>
      <c r="BO381" s="853"/>
      <c r="BP381" s="818">
        <f>DIVISIONS!BP405</f>
        <v>9</v>
      </c>
      <c r="BQ381" s="818">
        <f>DIVISIONS!BQ405</f>
        <v>78</v>
      </c>
      <c r="BR381" s="818">
        <f t="shared" ref="BR381:BR385" si="338">+BP381+BQ381</f>
        <v>87</v>
      </c>
      <c r="BS381" s="853"/>
      <c r="BT381" s="818">
        <f>DIVISIONS!BT405</f>
        <v>9</v>
      </c>
      <c r="BU381" s="818">
        <f>DIVISIONS!BU405</f>
        <v>24</v>
      </c>
      <c r="BV381" s="818">
        <f t="shared" ref="BV381:BV385" si="339">+BT381+BU381</f>
        <v>33</v>
      </c>
      <c r="BW381" s="853"/>
      <c r="BX381" s="818">
        <f>DIVISIONS!BX405</f>
        <v>5</v>
      </c>
      <c r="BY381" s="818">
        <f>DIVISIONS!BY405</f>
        <v>5</v>
      </c>
      <c r="BZ381" s="818">
        <f t="shared" ref="BZ381:BZ385" si="340">+BX381+BY381</f>
        <v>10</v>
      </c>
      <c r="CA381" s="853"/>
      <c r="CB381" s="818">
        <f>DIVISIONS!CB405</f>
        <v>7</v>
      </c>
      <c r="CC381" s="818">
        <f>DIVISIONS!CC405</f>
        <v>21</v>
      </c>
      <c r="CD381" s="818">
        <f t="shared" ref="CD381:CD385" si="341">+CB381+CC381</f>
        <v>28</v>
      </c>
      <c r="CE381" s="862"/>
      <c r="CF381" s="818">
        <f>DIVISIONS!CF405</f>
        <v>3</v>
      </c>
      <c r="CG381" s="818">
        <f>DIVISIONS!CG405</f>
        <v>3</v>
      </c>
      <c r="CH381" s="818">
        <f t="shared" ref="CH381:CH385" si="342">+CF381+CG381</f>
        <v>6</v>
      </c>
      <c r="CI381" s="862"/>
      <c r="CJ381" s="818">
        <f>DIVISIONS!CJ405</f>
        <v>4</v>
      </c>
      <c r="CK381" s="818">
        <f>DIVISIONS!CK405</f>
        <v>2</v>
      </c>
      <c r="CL381" s="818">
        <f t="shared" ref="CL381:CL385" si="343">+CJ381+CK381</f>
        <v>6</v>
      </c>
      <c r="CM381" s="862"/>
      <c r="CN381" s="818">
        <f>DIVISIONS!CN405</f>
        <v>2</v>
      </c>
      <c r="CO381" s="818">
        <f>DIVISIONS!CO405</f>
        <v>11</v>
      </c>
      <c r="CP381" s="818">
        <f t="shared" ref="CP381:CP385" si="344">+CN381+CO381</f>
        <v>13</v>
      </c>
      <c r="CQ381" s="862"/>
      <c r="CR381" s="818">
        <f>DIVISIONS!CR405</f>
        <v>1</v>
      </c>
      <c r="CS381" s="818">
        <f>DIVISIONS!CS405</f>
        <v>4</v>
      </c>
      <c r="CT381" s="818">
        <f t="shared" ref="CT381:CT385" si="345">+CR381+CS381</f>
        <v>5</v>
      </c>
      <c r="CU381" s="853"/>
      <c r="CV381" s="818">
        <f>DIVISIONS!CV405</f>
        <v>0</v>
      </c>
      <c r="CW381" s="818">
        <f>DIVISIONS!CW405</f>
        <v>1</v>
      </c>
      <c r="CX381" s="818">
        <f t="shared" ref="CX381:CX385" si="346">+CV381+CW381</f>
        <v>1</v>
      </c>
      <c r="CY381" s="853"/>
      <c r="CZ381" s="818">
        <f>DIVISIONS!CZ405</f>
        <v>0</v>
      </c>
      <c r="DA381" s="818">
        <f>DIVISIONS!DA405</f>
        <v>0</v>
      </c>
      <c r="DB381" s="818">
        <f t="shared" ref="DB381:DB385" si="347">+CZ381+DA381</f>
        <v>0</v>
      </c>
      <c r="DC381" s="853"/>
      <c r="DD381" s="818">
        <f>DIVISIONS!DD405</f>
        <v>0</v>
      </c>
      <c r="DE381" s="818">
        <f>DIVISIONS!DE405</f>
        <v>0</v>
      </c>
      <c r="DF381" s="818">
        <f t="shared" ref="DF381:DF385" si="348">+DD381+DE381</f>
        <v>0</v>
      </c>
      <c r="DG381" s="853"/>
      <c r="DH381" s="818">
        <f>DIVISIONS!DH405</f>
        <v>0</v>
      </c>
      <c r="DI381" s="818">
        <f>DI390*DI202*(DI$1/365)/10000</f>
        <v>18.936177534246575</v>
      </c>
      <c r="DJ381" s="818">
        <f t="shared" ref="DJ381:DJ385" si="349">+DH381+DI381</f>
        <v>18.936177534246575</v>
      </c>
      <c r="DK381" s="853"/>
      <c r="DL381" s="818">
        <f>DL390*DL202*(DL$1/365)/10000</f>
        <v>15.198870468493153</v>
      </c>
      <c r="DM381" s="818">
        <f>DM390*DM202*(DM$1/365)/10000</f>
        <v>15.597812728630135</v>
      </c>
      <c r="DN381" s="818">
        <f t="shared" ref="DN381:DN385" si="350">+DL381+DM381</f>
        <v>30.796683197123286</v>
      </c>
      <c r="DO381" s="853"/>
      <c r="DP381" s="818">
        <f>DP390*DP202*(DP$1/365)/10000</f>
        <v>16.184981217294037</v>
      </c>
      <c r="DQ381" s="818">
        <f>DQ390*DQ202*(DQ$1/365)/10000</f>
        <v>16.703901236900069</v>
      </c>
      <c r="DR381" s="818">
        <f t="shared" ref="DR381:DR385" si="351">+DP381+DQ381</f>
        <v>32.888882454194103</v>
      </c>
      <c r="DS381" s="853"/>
      <c r="DT381" s="853"/>
      <c r="DU381" s="818"/>
      <c r="DV381" s="818"/>
      <c r="DW381" s="818"/>
      <c r="DX381" s="853"/>
      <c r="DY381" s="853"/>
      <c r="DZ381" s="818"/>
      <c r="EA381" s="818"/>
      <c r="EB381" s="853"/>
      <c r="EC381" s="853"/>
      <c r="ED381" s="818"/>
      <c r="EE381" s="818"/>
      <c r="EF381" s="853"/>
      <c r="EG381" s="853"/>
      <c r="EH381" s="853"/>
      <c r="EI381" s="853"/>
      <c r="EJ381" s="853"/>
      <c r="EK381" s="853"/>
      <c r="EL381" s="853"/>
      <c r="EM381" s="853"/>
      <c r="EN381" s="853"/>
      <c r="EO381" s="853"/>
      <c r="EP381" s="853"/>
      <c r="EQ381" s="855"/>
      <c r="ER381" s="855"/>
      <c r="ES381" s="855"/>
      <c r="ET381" s="855"/>
      <c r="EU381" s="855"/>
      <c r="EV381" s="855"/>
      <c r="EW381" s="855"/>
      <c r="EX381" s="855"/>
      <c r="EY381" s="855"/>
      <c r="EZ381" s="855"/>
      <c r="FA381" s="855"/>
      <c r="FB381" s="855"/>
      <c r="FC381" s="855"/>
      <c r="FD381" s="855"/>
      <c r="FE381" s="855"/>
      <c r="FF381" s="855"/>
      <c r="FG381" s="855"/>
      <c r="FH381" s="855"/>
      <c r="FI381" s="855"/>
      <c r="FJ381" s="855"/>
      <c r="FK381" s="855"/>
      <c r="FL381" s="855"/>
      <c r="FM381" s="855"/>
      <c r="FN381" s="855"/>
      <c r="FO381" s="855"/>
      <c r="FP381" s="855"/>
      <c r="FQ381" s="855"/>
      <c r="FR381" s="855"/>
      <c r="FS381" s="855"/>
      <c r="FT381" s="855"/>
      <c r="FU381" s="855"/>
      <c r="FV381" s="855"/>
      <c r="FW381" s="855"/>
      <c r="FX381" s="855"/>
      <c r="FY381" s="855"/>
      <c r="FZ381" s="855"/>
      <c r="GA381" s="855"/>
      <c r="GB381" s="855"/>
      <c r="GC381" s="855"/>
      <c r="GD381" s="855"/>
      <c r="GE381" s="855"/>
      <c r="GF381" s="855"/>
      <c r="GG381" s="855"/>
      <c r="GH381" s="855"/>
      <c r="GI381" s="855"/>
      <c r="GJ381" s="855"/>
      <c r="GK381" s="855"/>
      <c r="GL381" s="855"/>
      <c r="GM381" s="855"/>
      <c r="GN381" s="855"/>
      <c r="GO381" s="855"/>
      <c r="GP381" s="855"/>
      <c r="GQ381" s="855"/>
      <c r="GR381" s="855"/>
      <c r="GS381" s="855"/>
      <c r="GT381" s="855"/>
      <c r="GU381" s="855"/>
      <c r="GV381" s="855"/>
      <c r="GW381" s="855"/>
      <c r="GX381" s="855"/>
      <c r="GY381" s="855"/>
      <c r="GZ381" s="855"/>
      <c r="HA381" s="855"/>
      <c r="HB381" s="855"/>
      <c r="HC381" s="855"/>
      <c r="HD381" s="855"/>
      <c r="HE381" s="855"/>
      <c r="HF381" s="855"/>
      <c r="HG381" s="855"/>
      <c r="HH381" s="855"/>
      <c r="HI381" s="855"/>
      <c r="HJ381" s="855"/>
      <c r="HK381" s="855"/>
      <c r="HL381" s="855"/>
      <c r="HM381" s="855"/>
      <c r="HN381" s="855"/>
      <c r="HO381" s="855"/>
      <c r="HP381" s="855"/>
      <c r="HQ381" s="855"/>
      <c r="HR381" s="855"/>
      <c r="HS381" s="855"/>
      <c r="HT381" s="855"/>
      <c r="HU381" s="855"/>
      <c r="HV381" s="855"/>
      <c r="HW381" s="855"/>
      <c r="HX381" s="855"/>
      <c r="HY381" s="855"/>
      <c r="HZ381" s="855"/>
      <c r="IA381" s="855"/>
      <c r="IB381" s="855"/>
      <c r="IC381" s="855"/>
      <c r="ID381" s="855"/>
      <c r="IE381" s="855"/>
      <c r="IF381" s="855"/>
      <c r="IG381" s="855"/>
      <c r="IH381" s="855"/>
      <c r="II381" s="855"/>
      <c r="IJ381" s="855"/>
      <c r="IK381" s="855"/>
      <c r="IL381" s="855"/>
      <c r="IM381" s="855"/>
      <c r="IN381" s="855"/>
      <c r="IO381" s="855"/>
      <c r="IP381" s="855"/>
      <c r="IQ381" s="855"/>
      <c r="IR381" s="855"/>
      <c r="IS381" s="855"/>
      <c r="IT381" s="855"/>
      <c r="IU381" s="855"/>
      <c r="IV381" s="855"/>
      <c r="IW381" s="855"/>
      <c r="IX381" s="855"/>
      <c r="IY381" s="855"/>
      <c r="IZ381" s="855"/>
      <c r="JA381" s="855"/>
      <c r="JB381" s="855"/>
      <c r="JC381" s="855"/>
      <c r="JD381" s="855"/>
      <c r="JE381" s="855"/>
      <c r="JF381" s="855"/>
      <c r="JG381" s="855"/>
      <c r="JH381" s="855"/>
      <c r="JI381" s="855"/>
      <c r="JJ381" s="855"/>
      <c r="JK381" s="855"/>
      <c r="JL381" s="855"/>
      <c r="JM381"/>
    </row>
    <row r="382" spans="1:273" s="854" customFormat="1">
      <c r="A382" s="102" t="s">
        <v>703</v>
      </c>
      <c r="B382" s="103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  <c r="AA382" s="102"/>
      <c r="AB382" s="102"/>
      <c r="AC382" s="102"/>
      <c r="AD382" s="102"/>
      <c r="AE382" s="102"/>
      <c r="AF382" s="102"/>
      <c r="AG382" s="102"/>
      <c r="AH382" s="102"/>
      <c r="AI382" s="102"/>
      <c r="AJ382" s="102"/>
      <c r="AK382" s="102"/>
      <c r="AL382" s="102"/>
      <c r="AM382" s="102"/>
      <c r="AN382" s="290"/>
      <c r="AO382" s="290"/>
      <c r="AP382" s="290"/>
      <c r="AQ382" s="290"/>
      <c r="AR382" s="290"/>
      <c r="AS382" s="290"/>
      <c r="AT382" s="290"/>
      <c r="AU382" s="290"/>
      <c r="AV382" s="818">
        <f>DIVISIONS!AV406</f>
        <v>12</v>
      </c>
      <c r="AW382" s="818">
        <f>DIVISIONS!AW406</f>
        <v>0</v>
      </c>
      <c r="AX382" s="818">
        <f t="shared" si="333"/>
        <v>12</v>
      </c>
      <c r="AY382" s="927"/>
      <c r="AZ382" s="818">
        <f>DIVISIONS!AZ406</f>
        <v>7</v>
      </c>
      <c r="BA382" s="818">
        <f>DIVISIONS!BA406</f>
        <v>4</v>
      </c>
      <c r="BB382" s="818">
        <f t="shared" si="334"/>
        <v>11</v>
      </c>
      <c r="BC382" s="818"/>
      <c r="BD382" s="818">
        <f>DIVISIONS!BD406</f>
        <v>79</v>
      </c>
      <c r="BE382" s="818">
        <f>DIVISIONS!BE406</f>
        <v>21</v>
      </c>
      <c r="BF382" s="818">
        <f t="shared" si="335"/>
        <v>100</v>
      </c>
      <c r="BG382" s="853"/>
      <c r="BH382" s="818">
        <f>DIVISIONS!BH406</f>
        <v>74</v>
      </c>
      <c r="BI382" s="818">
        <f>DIVISIONS!BI406</f>
        <v>65</v>
      </c>
      <c r="BJ382" s="818">
        <f t="shared" si="336"/>
        <v>139</v>
      </c>
      <c r="BK382" s="853"/>
      <c r="BL382" s="818">
        <f>DIVISIONS!BL406</f>
        <v>66</v>
      </c>
      <c r="BM382" s="818">
        <f>DIVISIONS!BM406</f>
        <v>96</v>
      </c>
      <c r="BN382" s="818">
        <f t="shared" si="337"/>
        <v>162</v>
      </c>
      <c r="BO382" s="853"/>
      <c r="BP382" s="818">
        <f>DIVISIONS!BP406</f>
        <v>364</v>
      </c>
      <c r="BQ382" s="818">
        <f>DIVISIONS!BQ406</f>
        <v>216</v>
      </c>
      <c r="BR382" s="818">
        <f t="shared" si="338"/>
        <v>580</v>
      </c>
      <c r="BS382" s="853"/>
      <c r="BT382" s="818">
        <f>DIVISIONS!BT406</f>
        <v>600</v>
      </c>
      <c r="BU382" s="818">
        <f>DIVISIONS!BU406</f>
        <v>60</v>
      </c>
      <c r="BV382" s="818">
        <f t="shared" si="339"/>
        <v>660</v>
      </c>
      <c r="BW382" s="853"/>
      <c r="BX382" s="818">
        <f>DIVISIONS!BX406</f>
        <v>165</v>
      </c>
      <c r="BY382" s="818">
        <f>DIVISIONS!BY406</f>
        <v>89</v>
      </c>
      <c r="BZ382" s="818">
        <f t="shared" si="340"/>
        <v>254</v>
      </c>
      <c r="CA382" s="853"/>
      <c r="CB382" s="818">
        <f>DIVISIONS!CB406</f>
        <v>530</v>
      </c>
      <c r="CC382" s="818">
        <f>DIVISIONS!CC406</f>
        <v>37</v>
      </c>
      <c r="CD382" s="818">
        <f t="shared" si="341"/>
        <v>567</v>
      </c>
      <c r="CE382" s="862"/>
      <c r="CF382" s="818">
        <f>DIVISIONS!CF406</f>
        <v>279</v>
      </c>
      <c r="CG382" s="818">
        <f>DIVISIONS!CG406</f>
        <v>480</v>
      </c>
      <c r="CH382" s="818">
        <f t="shared" si="342"/>
        <v>759</v>
      </c>
      <c r="CI382" s="862"/>
      <c r="CJ382" s="818">
        <f>DIVISIONS!CJ406</f>
        <v>542</v>
      </c>
      <c r="CK382" s="818">
        <f>DIVISIONS!CK406</f>
        <v>273</v>
      </c>
      <c r="CL382" s="818">
        <f t="shared" si="343"/>
        <v>815</v>
      </c>
      <c r="CM382" s="862"/>
      <c r="CN382" s="818">
        <f>DIVISIONS!CN406</f>
        <v>411</v>
      </c>
      <c r="CO382" s="818">
        <f>DIVISIONS!CO406</f>
        <v>229</v>
      </c>
      <c r="CP382" s="818">
        <f t="shared" si="344"/>
        <v>640</v>
      </c>
      <c r="CQ382" s="862"/>
      <c r="CR382" s="818">
        <f>DIVISIONS!CR406</f>
        <v>176</v>
      </c>
      <c r="CS382" s="818">
        <f>DIVISIONS!CS406</f>
        <v>213</v>
      </c>
      <c r="CT382" s="818">
        <f t="shared" si="345"/>
        <v>389</v>
      </c>
      <c r="CU382" s="853"/>
      <c r="CV382" s="818">
        <f>DIVISIONS!CV406</f>
        <v>237</v>
      </c>
      <c r="CW382" s="818">
        <f>DIVISIONS!CW406</f>
        <v>454</v>
      </c>
      <c r="CX382" s="818">
        <f t="shared" si="346"/>
        <v>691</v>
      </c>
      <c r="CY382" s="853"/>
      <c r="CZ382" s="818">
        <f>DIVISIONS!CZ406</f>
        <v>236</v>
      </c>
      <c r="DA382" s="818">
        <f>DIVISIONS!DA406</f>
        <v>395</v>
      </c>
      <c r="DB382" s="818">
        <f t="shared" si="347"/>
        <v>631</v>
      </c>
      <c r="DC382" s="853"/>
      <c r="DD382" s="818">
        <f>DIVISIONS!DD406</f>
        <v>403</v>
      </c>
      <c r="DE382" s="818">
        <f>DIVISIONS!DE406</f>
        <v>434</v>
      </c>
      <c r="DF382" s="818">
        <f t="shared" si="348"/>
        <v>837</v>
      </c>
      <c r="DG382" s="853"/>
      <c r="DH382" s="818">
        <f>DIVISIONS!DH406</f>
        <v>756</v>
      </c>
      <c r="DI382" s="818">
        <f>DI391*DI378*(DI$1/365)/10000+DI380</f>
        <v>668.98705764608735</v>
      </c>
      <c r="DJ382" s="818">
        <f t="shared" si="349"/>
        <v>1424.9870576460874</v>
      </c>
      <c r="DK382" s="853"/>
      <c r="DL382" s="818">
        <f>DL391*DL378*(DL$1/365)/10000</f>
        <v>536.34195685001475</v>
      </c>
      <c r="DM382" s="818">
        <f>DM391*DM378*(DM$1/365)/10000</f>
        <v>549.06226021656528</v>
      </c>
      <c r="DN382" s="818">
        <f t="shared" si="350"/>
        <v>1085.40421706658</v>
      </c>
      <c r="DO382" s="853"/>
      <c r="DP382" s="818">
        <f>DP391*DP378*(DP$1/365)/10000</f>
        <v>571.34868006875263</v>
      </c>
      <c r="DQ382" s="818">
        <f>DQ391*DQ378*(DQ$1/365)/10000</f>
        <v>591.3687237630437</v>
      </c>
      <c r="DR382" s="818">
        <f t="shared" si="351"/>
        <v>1162.7174038317962</v>
      </c>
      <c r="DS382" s="853"/>
      <c r="DT382" s="853"/>
      <c r="DU382" s="818"/>
      <c r="DV382" s="818"/>
      <c r="DW382" s="818"/>
      <c r="DX382" s="853"/>
      <c r="DY382" s="853"/>
      <c r="DZ382" s="818"/>
      <c r="EA382" s="818"/>
      <c r="EB382" s="853"/>
      <c r="EC382" s="853"/>
      <c r="ED382" s="818"/>
      <c r="EE382" s="818"/>
      <c r="EF382" s="853"/>
      <c r="EG382" s="853"/>
      <c r="EH382" s="853"/>
      <c r="EI382" s="853"/>
      <c r="EJ382" s="853"/>
      <c r="EK382" s="853"/>
      <c r="EL382" s="853"/>
      <c r="EM382" s="853"/>
      <c r="EN382" s="853"/>
      <c r="EO382" s="853"/>
      <c r="EP382" s="853"/>
      <c r="EQ382" s="855"/>
      <c r="ER382" s="855"/>
      <c r="ES382" s="855"/>
      <c r="ET382" s="855"/>
      <c r="EU382" s="855"/>
      <c r="EV382" s="855"/>
      <c r="EW382" s="855"/>
      <c r="EX382" s="855"/>
      <c r="EY382" s="855"/>
      <c r="EZ382" s="855"/>
      <c r="FA382" s="855"/>
      <c r="FB382" s="855"/>
      <c r="FC382" s="855"/>
      <c r="FD382" s="855"/>
      <c r="FE382" s="855"/>
      <c r="FF382" s="855"/>
      <c r="FG382" s="855"/>
      <c r="FH382" s="855"/>
      <c r="FI382" s="855"/>
      <c r="FJ382" s="855"/>
      <c r="FK382" s="855"/>
      <c r="FL382" s="855"/>
      <c r="FM382" s="855"/>
      <c r="FN382" s="855"/>
      <c r="FO382" s="855"/>
      <c r="FP382" s="855"/>
      <c r="FQ382" s="855"/>
      <c r="FR382" s="855"/>
      <c r="FS382" s="855"/>
      <c r="FT382" s="855"/>
      <c r="FU382" s="855"/>
      <c r="FV382" s="855"/>
      <c r="FW382" s="855"/>
      <c r="FX382" s="855"/>
      <c r="FY382" s="855"/>
      <c r="FZ382" s="855"/>
      <c r="GA382" s="855"/>
      <c r="GB382" s="855"/>
      <c r="GC382" s="855"/>
      <c r="GD382" s="855"/>
      <c r="GE382" s="855"/>
      <c r="GF382" s="855"/>
      <c r="GG382" s="855"/>
      <c r="GH382" s="855"/>
      <c r="GI382" s="855"/>
      <c r="GJ382" s="855"/>
      <c r="GK382" s="855"/>
      <c r="GL382" s="855"/>
      <c r="GM382" s="855"/>
      <c r="GN382" s="855"/>
      <c r="GO382" s="855"/>
      <c r="GP382" s="855"/>
      <c r="GQ382" s="855"/>
      <c r="GR382" s="855"/>
      <c r="GS382" s="855"/>
      <c r="GT382" s="855"/>
      <c r="GU382" s="855"/>
      <c r="GV382" s="855"/>
      <c r="GW382" s="855"/>
      <c r="GX382" s="855"/>
      <c r="GY382" s="855"/>
      <c r="GZ382" s="855"/>
      <c r="HA382" s="855"/>
      <c r="HB382" s="855"/>
      <c r="HC382" s="855"/>
      <c r="HD382" s="855"/>
      <c r="HE382" s="855"/>
      <c r="HF382" s="855"/>
      <c r="HG382" s="855"/>
      <c r="HH382" s="855"/>
      <c r="HI382" s="855"/>
      <c r="HJ382" s="855"/>
      <c r="HK382" s="855"/>
      <c r="HL382" s="855"/>
      <c r="HM382" s="855"/>
      <c r="HN382" s="855"/>
      <c r="HO382" s="855"/>
      <c r="HP382" s="855"/>
      <c r="HQ382" s="855"/>
      <c r="HR382" s="855"/>
      <c r="HS382" s="855"/>
      <c r="HT382" s="855"/>
      <c r="HU382" s="855"/>
      <c r="HV382" s="855"/>
      <c r="HW382" s="855"/>
      <c r="HX382" s="855"/>
      <c r="HY382" s="855"/>
      <c r="HZ382" s="855"/>
      <c r="IA382" s="855"/>
      <c r="IB382" s="855"/>
      <c r="IC382" s="855"/>
      <c r="ID382" s="855"/>
      <c r="IE382" s="855"/>
      <c r="IF382" s="855"/>
      <c r="IG382" s="855"/>
      <c r="IH382" s="855"/>
      <c r="II382" s="855"/>
      <c r="IJ382" s="855"/>
      <c r="IK382" s="855"/>
      <c r="IL382" s="855"/>
      <c r="IM382" s="855"/>
      <c r="IN382" s="855"/>
      <c r="IO382" s="855"/>
      <c r="IP382" s="855"/>
      <c r="IQ382" s="855"/>
      <c r="IR382" s="855"/>
      <c r="IS382" s="855"/>
      <c r="IT382" s="855"/>
      <c r="IU382" s="855"/>
      <c r="IV382" s="855"/>
      <c r="IW382" s="855"/>
      <c r="IX382" s="855"/>
      <c r="IY382" s="855"/>
      <c r="IZ382" s="855"/>
      <c r="JA382" s="855"/>
      <c r="JB382" s="855"/>
      <c r="JC382" s="855"/>
      <c r="JD382" s="855"/>
      <c r="JE382" s="855"/>
      <c r="JF382" s="855"/>
      <c r="JG382" s="855"/>
      <c r="JH382" s="855"/>
      <c r="JI382" s="855"/>
      <c r="JJ382" s="855"/>
      <c r="JK382" s="855"/>
      <c r="JL382" s="855"/>
      <c r="JM382"/>
    </row>
    <row r="383" spans="1:273" s="854" customFormat="1">
      <c r="A383" s="102" t="s">
        <v>704</v>
      </c>
      <c r="B383" s="103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  <c r="AA383" s="102"/>
      <c r="AB383" s="102"/>
      <c r="AC383" s="102"/>
      <c r="AD383" s="102"/>
      <c r="AE383" s="102"/>
      <c r="AF383" s="102"/>
      <c r="AG383" s="102"/>
      <c r="AH383" s="102"/>
      <c r="AI383" s="102"/>
      <c r="AJ383" s="102"/>
      <c r="AK383" s="102"/>
      <c r="AL383" s="102"/>
      <c r="AM383" s="102"/>
      <c r="AN383" s="290"/>
      <c r="AO383" s="290"/>
      <c r="AP383" s="290"/>
      <c r="AQ383" s="290"/>
      <c r="AR383" s="290"/>
      <c r="AS383" s="290"/>
      <c r="AT383" s="290"/>
      <c r="AU383" s="290"/>
      <c r="AV383" s="818">
        <f>DIVISIONS!AV407</f>
        <v>1</v>
      </c>
      <c r="AW383" s="818">
        <f>DIVISIONS!AW407</f>
        <v>0</v>
      </c>
      <c r="AX383" s="818">
        <f t="shared" si="333"/>
        <v>1</v>
      </c>
      <c r="AY383" s="927"/>
      <c r="AZ383" s="818">
        <f>DIVISIONS!AZ407</f>
        <v>0</v>
      </c>
      <c r="BA383" s="818">
        <f>DIVISIONS!BA407</f>
        <v>0</v>
      </c>
      <c r="BB383" s="818">
        <f t="shared" si="334"/>
        <v>0</v>
      </c>
      <c r="BC383" s="853"/>
      <c r="BD383" s="818">
        <f>DIVISIONS!BD407</f>
        <v>0</v>
      </c>
      <c r="BE383" s="818">
        <f>DIVISIONS!BE407</f>
        <v>0</v>
      </c>
      <c r="BF383" s="818">
        <f t="shared" si="335"/>
        <v>0</v>
      </c>
      <c r="BG383" s="853"/>
      <c r="BH383" s="818">
        <f>DIVISIONS!BH407</f>
        <v>0</v>
      </c>
      <c r="BI383" s="818">
        <f>DIVISIONS!BI407</f>
        <v>0</v>
      </c>
      <c r="BJ383" s="818">
        <f t="shared" si="336"/>
        <v>0</v>
      </c>
      <c r="BK383" s="853"/>
      <c r="BL383" s="818">
        <f>DIVISIONS!BL407</f>
        <v>0</v>
      </c>
      <c r="BM383" s="818">
        <f>DIVISIONS!BM407</f>
        <v>0</v>
      </c>
      <c r="BN383" s="818">
        <f t="shared" si="337"/>
        <v>0</v>
      </c>
      <c r="BO383" s="853"/>
      <c r="BP383" s="818">
        <f>DIVISIONS!BP407</f>
        <v>0</v>
      </c>
      <c r="BQ383" s="818">
        <f>DIVISIONS!BQ407</f>
        <v>0</v>
      </c>
      <c r="BR383" s="818">
        <f t="shared" si="338"/>
        <v>0</v>
      </c>
      <c r="BS383" s="853"/>
      <c r="BT383" s="818">
        <f>DIVISIONS!BT407</f>
        <v>0</v>
      </c>
      <c r="BU383" s="818">
        <f>DIVISIONS!BU407</f>
        <v>0</v>
      </c>
      <c r="BV383" s="818">
        <f t="shared" si="339"/>
        <v>0</v>
      </c>
      <c r="BW383" s="853"/>
      <c r="BX383" s="818">
        <f>DIVISIONS!BX407</f>
        <v>0</v>
      </c>
      <c r="BY383" s="818">
        <f>DIVISIONS!BY407</f>
        <v>0</v>
      </c>
      <c r="BZ383" s="818">
        <f t="shared" si="340"/>
        <v>0</v>
      </c>
      <c r="CA383" s="853"/>
      <c r="CB383" s="818">
        <f>DIVISIONS!CB407</f>
        <v>0</v>
      </c>
      <c r="CC383" s="818">
        <f>DIVISIONS!CC407</f>
        <v>0</v>
      </c>
      <c r="CD383" s="818">
        <f t="shared" si="341"/>
        <v>0</v>
      </c>
      <c r="CE383" s="862"/>
      <c r="CF383" s="818">
        <f>DIVISIONS!CF407</f>
        <v>0</v>
      </c>
      <c r="CG383" s="818">
        <f>DIVISIONS!CG407</f>
        <v>0</v>
      </c>
      <c r="CH383" s="818">
        <f t="shared" si="342"/>
        <v>0</v>
      </c>
      <c r="CI383" s="862"/>
      <c r="CJ383" s="818">
        <f>DIVISIONS!CJ407</f>
        <v>0</v>
      </c>
      <c r="CK383" s="818">
        <f>DIVISIONS!CK407</f>
        <v>0</v>
      </c>
      <c r="CL383" s="818">
        <f t="shared" si="343"/>
        <v>0</v>
      </c>
      <c r="CM383" s="862"/>
      <c r="CN383" s="818">
        <f>DIVISIONS!CN407</f>
        <v>0</v>
      </c>
      <c r="CO383" s="818">
        <f>DIVISIONS!CO407</f>
        <v>0</v>
      </c>
      <c r="CP383" s="818">
        <f t="shared" si="344"/>
        <v>0</v>
      </c>
      <c r="CQ383" s="862"/>
      <c r="CR383" s="818">
        <f>DIVISIONS!CR407</f>
        <v>0</v>
      </c>
      <c r="CS383" s="818">
        <f>DIVISIONS!CS407</f>
        <v>0</v>
      </c>
      <c r="CT383" s="818">
        <f t="shared" si="345"/>
        <v>0</v>
      </c>
      <c r="CU383" s="853"/>
      <c r="CV383" s="818">
        <f>DIVISIONS!CV407</f>
        <v>0</v>
      </c>
      <c r="CW383" s="818">
        <f>DIVISIONS!CW407</f>
        <v>0</v>
      </c>
      <c r="CX383" s="818">
        <f t="shared" si="346"/>
        <v>0</v>
      </c>
      <c r="CY383" s="853"/>
      <c r="CZ383" s="818">
        <f>DIVISIONS!CZ407</f>
        <v>0</v>
      </c>
      <c r="DA383" s="818">
        <f>DIVISIONS!DA407</f>
        <v>0</v>
      </c>
      <c r="DB383" s="818">
        <f t="shared" si="347"/>
        <v>0</v>
      </c>
      <c r="DC383" s="853"/>
      <c r="DD383" s="818">
        <f>DIVISIONS!DD407</f>
        <v>0</v>
      </c>
      <c r="DE383" s="818">
        <f>DIVISIONS!DE407</f>
        <v>0</v>
      </c>
      <c r="DF383" s="818">
        <f t="shared" si="348"/>
        <v>0</v>
      </c>
      <c r="DG383" s="853"/>
      <c r="DH383" s="818">
        <f>DIVISIONS!DH407</f>
        <v>0</v>
      </c>
      <c r="DI383" s="818">
        <f>DI392*DI376*(DI$1/365)/10000</f>
        <v>0</v>
      </c>
      <c r="DJ383" s="818">
        <f t="shared" si="349"/>
        <v>0</v>
      </c>
      <c r="DK383" s="853"/>
      <c r="DL383" s="818">
        <f>DL392*DL376*(DL$1/365)/10000</f>
        <v>0</v>
      </c>
      <c r="DM383" s="818">
        <f>DM392*DM376*(DM$1/365)/10000</f>
        <v>0</v>
      </c>
      <c r="DN383" s="818">
        <f t="shared" si="350"/>
        <v>0</v>
      </c>
      <c r="DO383" s="853"/>
      <c r="DP383" s="818">
        <f>DP392*DP376*(DP$1/365)/10000</f>
        <v>0</v>
      </c>
      <c r="DQ383" s="818">
        <f>DQ392*DQ376*(DQ$1/365)/10000</f>
        <v>0</v>
      </c>
      <c r="DR383" s="818">
        <f t="shared" si="351"/>
        <v>0</v>
      </c>
      <c r="DS383" s="853"/>
      <c r="DT383" s="853"/>
      <c r="DU383" s="818"/>
      <c r="DV383" s="818"/>
      <c r="DW383" s="818"/>
      <c r="DX383" s="853"/>
      <c r="DY383" s="853"/>
      <c r="DZ383" s="818"/>
      <c r="EA383" s="818"/>
      <c r="EB383" s="853"/>
      <c r="EC383" s="853"/>
      <c r="ED383" s="818"/>
      <c r="EE383" s="818"/>
      <c r="EF383" s="853"/>
      <c r="EG383" s="853"/>
      <c r="EH383" s="853"/>
      <c r="EI383" s="853"/>
      <c r="EJ383" s="853"/>
      <c r="EK383" s="853"/>
      <c r="EL383" s="853"/>
      <c r="EM383" s="853"/>
      <c r="EN383" s="853"/>
      <c r="EO383" s="853"/>
      <c r="EP383" s="853"/>
      <c r="EQ383" s="855"/>
      <c r="ER383" s="855"/>
      <c r="ES383" s="855"/>
      <c r="ET383" s="855"/>
      <c r="EU383" s="855"/>
      <c r="EV383" s="855"/>
      <c r="EW383" s="855"/>
      <c r="EX383" s="855"/>
      <c r="EY383" s="855"/>
      <c r="EZ383" s="855"/>
      <c r="FA383" s="855"/>
      <c r="FB383" s="855"/>
      <c r="FC383" s="855"/>
      <c r="FD383" s="855"/>
      <c r="FE383" s="855"/>
      <c r="FF383" s="855"/>
      <c r="FG383" s="855"/>
      <c r="FH383" s="855"/>
      <c r="FI383" s="855"/>
      <c r="FJ383" s="855"/>
      <c r="FK383" s="855"/>
      <c r="FL383" s="855"/>
      <c r="FM383" s="855"/>
      <c r="FN383" s="855"/>
      <c r="FO383" s="855"/>
      <c r="FP383" s="855"/>
      <c r="FQ383" s="855"/>
      <c r="FR383" s="855"/>
      <c r="FS383" s="855"/>
      <c r="FT383" s="855"/>
      <c r="FU383" s="855"/>
      <c r="FV383" s="855"/>
      <c r="FW383" s="855"/>
      <c r="FX383" s="855"/>
      <c r="FY383" s="855"/>
      <c r="FZ383" s="855"/>
      <c r="GA383" s="855"/>
      <c r="GB383" s="855"/>
      <c r="GC383" s="855"/>
      <c r="GD383" s="855"/>
      <c r="GE383" s="855"/>
      <c r="GF383" s="855"/>
      <c r="GG383" s="855"/>
      <c r="GH383" s="855"/>
      <c r="GI383" s="855"/>
      <c r="GJ383" s="855"/>
      <c r="GK383" s="855"/>
      <c r="GL383" s="855"/>
      <c r="GM383" s="855"/>
      <c r="GN383" s="855"/>
      <c r="GO383" s="855"/>
      <c r="GP383" s="855"/>
      <c r="GQ383" s="855"/>
      <c r="GR383" s="855"/>
      <c r="GS383" s="855"/>
      <c r="GT383" s="855"/>
      <c r="GU383" s="855"/>
      <c r="GV383" s="855"/>
      <c r="GW383" s="855"/>
      <c r="GX383" s="855"/>
      <c r="GY383" s="855"/>
      <c r="GZ383" s="855"/>
      <c r="HA383" s="855"/>
      <c r="HB383" s="855"/>
      <c r="HC383" s="855"/>
      <c r="HD383" s="855"/>
      <c r="HE383" s="855"/>
      <c r="HF383" s="855"/>
      <c r="HG383" s="855"/>
      <c r="HH383" s="855"/>
      <c r="HI383" s="855"/>
      <c r="HJ383" s="855"/>
      <c r="HK383" s="855"/>
      <c r="HL383" s="855"/>
      <c r="HM383" s="855"/>
      <c r="HN383" s="855"/>
      <c r="HO383" s="855"/>
      <c r="HP383" s="855"/>
      <c r="HQ383" s="855"/>
      <c r="HR383" s="855"/>
      <c r="HS383" s="855"/>
      <c r="HT383" s="855"/>
      <c r="HU383" s="855"/>
      <c r="HV383" s="855"/>
      <c r="HW383" s="855"/>
      <c r="HX383" s="855"/>
      <c r="HY383" s="855"/>
      <c r="HZ383" s="855"/>
      <c r="IA383" s="855"/>
      <c r="IB383" s="855"/>
      <c r="IC383" s="855"/>
      <c r="ID383" s="855"/>
      <c r="IE383" s="855"/>
      <c r="IF383" s="855"/>
      <c r="IG383" s="855"/>
      <c r="IH383" s="855"/>
      <c r="II383" s="855"/>
      <c r="IJ383" s="855"/>
      <c r="IK383" s="855"/>
      <c r="IL383" s="855"/>
      <c r="IM383" s="855"/>
      <c r="IN383" s="855"/>
      <c r="IO383" s="855"/>
      <c r="IP383" s="855"/>
      <c r="IQ383" s="855"/>
      <c r="IR383" s="855"/>
      <c r="IS383" s="855"/>
      <c r="IT383" s="855"/>
      <c r="IU383" s="855"/>
      <c r="IV383" s="855"/>
      <c r="IW383" s="855"/>
      <c r="IX383" s="855"/>
      <c r="IY383" s="855"/>
      <c r="IZ383" s="855"/>
      <c r="JA383" s="855"/>
      <c r="JB383" s="855"/>
      <c r="JC383" s="855"/>
      <c r="JD383" s="855"/>
      <c r="JE383" s="855"/>
      <c r="JF383" s="855"/>
      <c r="JG383" s="855"/>
      <c r="JH383" s="855"/>
      <c r="JI383" s="855"/>
      <c r="JJ383" s="855"/>
      <c r="JK383" s="855"/>
      <c r="JL383" s="855"/>
      <c r="JM383"/>
    </row>
    <row r="384" spans="1:273" s="855" customFormat="1">
      <c r="A384" s="289" t="s">
        <v>705</v>
      </c>
      <c r="B384" s="290"/>
      <c r="C384" s="289"/>
      <c r="D384" s="289"/>
      <c r="E384" s="289"/>
      <c r="F384" s="289"/>
      <c r="G384" s="289"/>
      <c r="H384" s="289"/>
      <c r="I384" s="289"/>
      <c r="J384" s="289"/>
      <c r="K384" s="289"/>
      <c r="L384" s="289"/>
      <c r="M384" s="289"/>
      <c r="N384" s="289"/>
      <c r="O384" s="289"/>
      <c r="P384" s="289"/>
      <c r="Q384" s="289"/>
      <c r="R384" s="289"/>
      <c r="S384" s="289"/>
      <c r="T384" s="289"/>
      <c r="U384" s="289"/>
      <c r="V384" s="289"/>
      <c r="W384" s="289"/>
      <c r="X384" s="289"/>
      <c r="Y384" s="289"/>
      <c r="Z384" s="289"/>
      <c r="AA384" s="289"/>
      <c r="AB384" s="289"/>
      <c r="AC384" s="289"/>
      <c r="AD384" s="289"/>
      <c r="AE384" s="289"/>
      <c r="AF384" s="289"/>
      <c r="AG384" s="289"/>
      <c r="AH384" s="289"/>
      <c r="AI384" s="289"/>
      <c r="AJ384" s="289"/>
      <c r="AK384" s="289"/>
      <c r="AL384" s="289"/>
      <c r="AM384" s="289"/>
      <c r="AN384" s="290"/>
      <c r="AO384" s="290"/>
      <c r="AP384" s="290"/>
      <c r="AQ384" s="290"/>
      <c r="AR384" s="290"/>
      <c r="AS384" s="290"/>
      <c r="AT384" s="290"/>
      <c r="AU384" s="290"/>
      <c r="AV384" s="853">
        <f>SUM(AV381:AV383)</f>
        <v>17</v>
      </c>
      <c r="AW384" s="853">
        <f>SUM(AW381:AW383)</f>
        <v>5</v>
      </c>
      <c r="AX384" s="853">
        <f t="shared" si="333"/>
        <v>22</v>
      </c>
      <c r="AY384" s="853"/>
      <c r="AZ384" s="853">
        <f>SUM(AZ381:AZ383)</f>
        <v>14</v>
      </c>
      <c r="BA384" s="853">
        <f>SUM(BA381:BA383)</f>
        <v>15</v>
      </c>
      <c r="BB384" s="853">
        <f t="shared" si="334"/>
        <v>29</v>
      </c>
      <c r="BC384" s="853"/>
      <c r="BD384" s="853">
        <f>SUM(BD381:BD383)</f>
        <v>89</v>
      </c>
      <c r="BE384" s="853">
        <f>SUM(BE381:BE383)</f>
        <v>36</v>
      </c>
      <c r="BF384" s="853">
        <f t="shared" si="335"/>
        <v>125</v>
      </c>
      <c r="BG384" s="853"/>
      <c r="BH384" s="853">
        <f>SUM(BH381:BH383)</f>
        <v>76</v>
      </c>
      <c r="BI384" s="853">
        <f>SUM(BI381:BI383)</f>
        <v>88</v>
      </c>
      <c r="BJ384" s="853">
        <f t="shared" si="336"/>
        <v>164</v>
      </c>
      <c r="BK384" s="853"/>
      <c r="BL384" s="853">
        <f>SUM(BL381:BL383)</f>
        <v>75</v>
      </c>
      <c r="BM384" s="853">
        <f>SUM(BM381:BM383)</f>
        <v>142</v>
      </c>
      <c r="BN384" s="853">
        <f t="shared" si="337"/>
        <v>217</v>
      </c>
      <c r="BO384" s="853"/>
      <c r="BP384" s="853">
        <f>SUM(BP381:BP383)</f>
        <v>373</v>
      </c>
      <c r="BQ384" s="853">
        <f>SUM(BQ381:BQ383)</f>
        <v>294</v>
      </c>
      <c r="BR384" s="853">
        <f t="shared" si="338"/>
        <v>667</v>
      </c>
      <c r="BS384" s="853"/>
      <c r="BT384" s="853">
        <f>SUM(BT381:BT383)</f>
        <v>609</v>
      </c>
      <c r="BU384" s="853">
        <f>SUM(BU381:BU383)</f>
        <v>84</v>
      </c>
      <c r="BV384" s="853">
        <f t="shared" si="339"/>
        <v>693</v>
      </c>
      <c r="BW384" s="853"/>
      <c r="BX384" s="853">
        <f>SUM(BX381:BX383)</f>
        <v>170</v>
      </c>
      <c r="BY384" s="853">
        <f>SUM(BY381:BY383)</f>
        <v>94</v>
      </c>
      <c r="BZ384" s="853">
        <f t="shared" si="340"/>
        <v>264</v>
      </c>
      <c r="CA384" s="853"/>
      <c r="CB384" s="853">
        <f>SUM(CB381:CB383)</f>
        <v>537</v>
      </c>
      <c r="CC384" s="853">
        <f>SUM(CC381:CC383)</f>
        <v>58</v>
      </c>
      <c r="CD384" s="853">
        <f t="shared" si="341"/>
        <v>595</v>
      </c>
      <c r="CE384" s="862"/>
      <c r="CF384" s="853">
        <f>SUM(CF381:CF383)</f>
        <v>282</v>
      </c>
      <c r="CG384" s="853">
        <f>SUM(CG381:CG383)</f>
        <v>483</v>
      </c>
      <c r="CH384" s="853">
        <f t="shared" si="342"/>
        <v>765</v>
      </c>
      <c r="CI384" s="862"/>
      <c r="CJ384" s="853">
        <f>SUM(CJ381:CJ383)</f>
        <v>546</v>
      </c>
      <c r="CK384" s="853">
        <f>SUM(CK381:CK383)</f>
        <v>275</v>
      </c>
      <c r="CL384" s="853">
        <f t="shared" si="343"/>
        <v>821</v>
      </c>
      <c r="CM384" s="862"/>
      <c r="CN384" s="853">
        <f>SUM(CN381:CN383)</f>
        <v>413</v>
      </c>
      <c r="CO384" s="853">
        <f>SUM(CO381:CO383)</f>
        <v>240</v>
      </c>
      <c r="CP384" s="853">
        <f t="shared" si="344"/>
        <v>653</v>
      </c>
      <c r="CQ384" s="862"/>
      <c r="CR384" s="853">
        <f>SUM(CR381:CR383)</f>
        <v>177</v>
      </c>
      <c r="CS384" s="853">
        <f>SUM(CS381:CS383)</f>
        <v>217</v>
      </c>
      <c r="CT384" s="853">
        <f t="shared" si="345"/>
        <v>394</v>
      </c>
      <c r="CU384" s="853"/>
      <c r="CV384" s="853">
        <f>SUM(CV381:CV383)</f>
        <v>237</v>
      </c>
      <c r="CW384" s="853">
        <f>SUM(CW381:CW383)</f>
        <v>455</v>
      </c>
      <c r="CX384" s="853">
        <f t="shared" si="346"/>
        <v>692</v>
      </c>
      <c r="CY384" s="853"/>
      <c r="CZ384" s="853">
        <f>SUM(CZ381:CZ383)</f>
        <v>236</v>
      </c>
      <c r="DA384" s="853">
        <f>SUM(DA381:DA383)</f>
        <v>395</v>
      </c>
      <c r="DB384" s="853">
        <f t="shared" si="347"/>
        <v>631</v>
      </c>
      <c r="DC384" s="853"/>
      <c r="DD384" s="853">
        <f>SUM(DD381:DD383)</f>
        <v>403</v>
      </c>
      <c r="DE384" s="853">
        <f>SUM(DE381:DE383)</f>
        <v>434</v>
      </c>
      <c r="DF384" s="853">
        <f t="shared" si="348"/>
        <v>837</v>
      </c>
      <c r="DG384" s="853"/>
      <c r="DH384" s="853">
        <f>SUM(DH381:DH383)</f>
        <v>756</v>
      </c>
      <c r="DI384" s="853">
        <f>SUM(DI381:DI383)</f>
        <v>687.9232351803339</v>
      </c>
      <c r="DJ384" s="853">
        <f t="shared" si="349"/>
        <v>1443.9232351803339</v>
      </c>
      <c r="DK384" s="853"/>
      <c r="DL384" s="853">
        <f>SUM(DL381:DL383)</f>
        <v>551.54082731850792</v>
      </c>
      <c r="DM384" s="853">
        <f>SUM(DM381:DM383)</f>
        <v>564.66007294519545</v>
      </c>
      <c r="DN384" s="853">
        <f t="shared" si="350"/>
        <v>1116.2009002637033</v>
      </c>
      <c r="DO384" s="853"/>
      <c r="DP384" s="853">
        <f>SUM(DP381:DP383)</f>
        <v>587.53366128604671</v>
      </c>
      <c r="DQ384" s="853">
        <f>SUM(DQ381:DQ383)</f>
        <v>608.07262499994374</v>
      </c>
      <c r="DR384" s="853">
        <f t="shared" si="351"/>
        <v>1195.6062862859903</v>
      </c>
      <c r="DS384" s="853"/>
      <c r="DT384" s="853"/>
      <c r="DU384" s="853"/>
      <c r="DV384" s="853"/>
      <c r="DW384" s="853"/>
      <c r="DX384" s="853"/>
      <c r="DY384" s="853"/>
      <c r="DZ384" s="853"/>
      <c r="EA384" s="853"/>
      <c r="EB384" s="853"/>
      <c r="EC384" s="853"/>
      <c r="ED384" s="853"/>
      <c r="EE384" s="853"/>
      <c r="EF384" s="853"/>
      <c r="EG384" s="853"/>
      <c r="EH384" s="853"/>
      <c r="EI384" s="853"/>
      <c r="EJ384" s="853"/>
      <c r="EK384" s="853"/>
      <c r="EL384" s="853"/>
      <c r="EM384" s="853"/>
      <c r="EN384" s="853"/>
      <c r="EO384" s="853"/>
      <c r="EP384" s="853"/>
      <c r="JM384"/>
    </row>
    <row r="385" spans="1:273" s="854" customFormat="1">
      <c r="A385" s="102" t="s">
        <v>689</v>
      </c>
      <c r="B385" s="103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  <c r="AA385" s="102"/>
      <c r="AB385" s="102"/>
      <c r="AC385" s="102"/>
      <c r="AD385" s="102"/>
      <c r="AE385" s="102"/>
      <c r="AF385" s="102"/>
      <c r="AG385" s="102"/>
      <c r="AH385" s="102"/>
      <c r="AI385" s="102"/>
      <c r="AJ385" s="102"/>
      <c r="AK385" s="102"/>
      <c r="AL385" s="102"/>
      <c r="AM385" s="102"/>
      <c r="AN385" s="290"/>
      <c r="AO385" s="290"/>
      <c r="AP385" s="290"/>
      <c r="AQ385" s="290"/>
      <c r="AR385" s="290"/>
      <c r="AS385" s="290"/>
      <c r="AT385" s="290"/>
      <c r="AU385" s="290"/>
      <c r="AV385" s="818">
        <f>DIVISIONS!AV622</f>
        <v>0</v>
      </c>
      <c r="AW385" s="818">
        <f>DIVISIONS!AW622</f>
        <v>0</v>
      </c>
      <c r="AX385" s="818">
        <f t="shared" si="333"/>
        <v>0</v>
      </c>
      <c r="AY385" s="928"/>
      <c r="AZ385" s="818">
        <f>DIVISIONS!AZ622</f>
        <v>0</v>
      </c>
      <c r="BA385" s="818">
        <f>DIVISIONS!BA622</f>
        <v>0</v>
      </c>
      <c r="BB385" s="818">
        <f t="shared" si="334"/>
        <v>0</v>
      </c>
      <c r="BC385" s="853"/>
      <c r="BD385" s="818">
        <f>DIVISIONS!BD622</f>
        <v>0</v>
      </c>
      <c r="BE385" s="818">
        <f>DIVISIONS!BE622</f>
        <v>5</v>
      </c>
      <c r="BF385" s="818">
        <f t="shared" si="335"/>
        <v>5</v>
      </c>
      <c r="BG385" s="853"/>
      <c r="BH385" s="818">
        <f>DIVISIONS!BH622</f>
        <v>0</v>
      </c>
      <c r="BI385" s="818">
        <f>DIVISIONS!BI622</f>
        <v>0</v>
      </c>
      <c r="BJ385" s="818">
        <f t="shared" si="336"/>
        <v>0</v>
      </c>
      <c r="BK385" s="853"/>
      <c r="BL385" s="818">
        <f>DIVISIONS!BL622</f>
        <v>0</v>
      </c>
      <c r="BM385" s="818">
        <f>DIVISIONS!BM622</f>
        <v>0</v>
      </c>
      <c r="BN385" s="818">
        <f t="shared" si="337"/>
        <v>0</v>
      </c>
      <c r="BO385" s="853"/>
      <c r="BP385" s="818">
        <f>DIVISIONS!BP622</f>
        <v>0</v>
      </c>
      <c r="BQ385" s="818">
        <f>DIVISIONS!BQ622</f>
        <v>0</v>
      </c>
      <c r="BR385" s="818">
        <f t="shared" si="338"/>
        <v>0</v>
      </c>
      <c r="BS385" s="853"/>
      <c r="BT385" s="818">
        <f>DIVISIONS!BT622</f>
        <v>20</v>
      </c>
      <c r="BU385" s="818">
        <f>DIVISIONS!BU622</f>
        <v>1</v>
      </c>
      <c r="BV385" s="818">
        <f t="shared" si="339"/>
        <v>21</v>
      </c>
      <c r="BW385" s="853"/>
      <c r="BX385" s="818">
        <f>DIVISIONS!BX622</f>
        <v>0</v>
      </c>
      <c r="BY385" s="818">
        <f>DIVISIONS!BY622</f>
        <v>0</v>
      </c>
      <c r="BZ385" s="818">
        <f t="shared" si="340"/>
        <v>0</v>
      </c>
      <c r="CA385" s="853"/>
      <c r="CB385" s="818">
        <f>DIVISIONS!CB622</f>
        <v>0</v>
      </c>
      <c r="CC385" s="818">
        <f>DIVISIONS!CC622</f>
        <v>0</v>
      </c>
      <c r="CD385" s="818">
        <f t="shared" si="341"/>
        <v>0</v>
      </c>
      <c r="CE385" s="862"/>
      <c r="CF385" s="818">
        <f>DIVISIONS!CF622</f>
        <v>0</v>
      </c>
      <c r="CG385" s="818">
        <f>DIVISIONS!CG622</f>
        <v>0</v>
      </c>
      <c r="CH385" s="818">
        <f t="shared" si="342"/>
        <v>0</v>
      </c>
      <c r="CI385" s="862"/>
      <c r="CJ385" s="818">
        <f>DIVISIONS!CJ622</f>
        <v>0</v>
      </c>
      <c r="CK385" s="818">
        <f>DIVISIONS!CK622</f>
        <v>0</v>
      </c>
      <c r="CL385" s="818">
        <f t="shared" si="343"/>
        <v>0</v>
      </c>
      <c r="CM385" s="862"/>
      <c r="CN385" s="818">
        <f>DIVISIONS!CN622</f>
        <v>0</v>
      </c>
      <c r="CO385" s="818">
        <f>DIVISIONS!CO622</f>
        <v>0</v>
      </c>
      <c r="CP385" s="818">
        <f t="shared" si="344"/>
        <v>0</v>
      </c>
      <c r="CQ385" s="862"/>
      <c r="CR385" s="818">
        <f>DIVISIONS!CR622</f>
        <v>0</v>
      </c>
      <c r="CS385" s="818">
        <f>DIVISIONS!CS622</f>
        <v>0</v>
      </c>
      <c r="CT385" s="818">
        <f t="shared" si="345"/>
        <v>0</v>
      </c>
      <c r="CU385" s="853"/>
      <c r="CV385" s="818">
        <f>DIVISIONS!CV622</f>
        <v>0</v>
      </c>
      <c r="CW385" s="818">
        <f>DIVISIONS!CW622</f>
        <v>0</v>
      </c>
      <c r="CX385" s="818">
        <f t="shared" si="346"/>
        <v>0</v>
      </c>
      <c r="CY385" s="853"/>
      <c r="CZ385" s="818">
        <f>DIVISIONS!CZ622</f>
        <v>0</v>
      </c>
      <c r="DA385" s="818">
        <f>DIVISIONS!DA622</f>
        <v>0</v>
      </c>
      <c r="DB385" s="818">
        <f t="shared" si="347"/>
        <v>0</v>
      </c>
      <c r="DC385" s="853"/>
      <c r="DD385" s="818">
        <f>DIVISIONS!DD622</f>
        <v>0</v>
      </c>
      <c r="DE385" s="818">
        <f ca="1">DIVISIONS!DE622</f>
        <v>0</v>
      </c>
      <c r="DF385" s="818">
        <f t="shared" ca="1" si="348"/>
        <v>0</v>
      </c>
      <c r="DG385" s="853"/>
      <c r="DH385" s="818">
        <f>DIVISIONS!DH622</f>
        <v>0</v>
      </c>
      <c r="DI385" s="818">
        <f>DI394*DI207*(DI$1/365)/10000</f>
        <v>0</v>
      </c>
      <c r="DJ385" s="818">
        <f t="shared" si="349"/>
        <v>0</v>
      </c>
      <c r="DK385" s="853"/>
      <c r="DL385" s="818">
        <f>DL394*DL207*(DL$1/365)/10000</f>
        <v>0</v>
      </c>
      <c r="DM385" s="818">
        <f>DM394*DM207*(DM$1/365)/10000</f>
        <v>0</v>
      </c>
      <c r="DN385" s="818">
        <f t="shared" si="350"/>
        <v>0</v>
      </c>
      <c r="DO385" s="853"/>
      <c r="DP385" s="818">
        <f>DP394*DP207*(DP$1/365)/10000</f>
        <v>0</v>
      </c>
      <c r="DQ385" s="818">
        <f>DQ394*DQ207*(DQ$1/365)/10000</f>
        <v>0</v>
      </c>
      <c r="DR385" s="818">
        <f t="shared" si="351"/>
        <v>0</v>
      </c>
      <c r="DS385" s="853"/>
      <c r="DT385" s="853"/>
      <c r="DU385" s="818"/>
      <c r="DV385" s="818"/>
      <c r="DW385" s="818"/>
      <c r="DX385" s="853"/>
      <c r="DY385" s="853"/>
      <c r="DZ385" s="818"/>
      <c r="EA385" s="818"/>
      <c r="EB385" s="853"/>
      <c r="EC385" s="853"/>
      <c r="ED385" s="818"/>
      <c r="EE385" s="818"/>
      <c r="EF385" s="853"/>
      <c r="EG385" s="853"/>
      <c r="EH385" s="853"/>
      <c r="EI385" s="853"/>
      <c r="EJ385" s="853"/>
      <c r="EK385" s="853"/>
      <c r="EL385" s="853"/>
      <c r="EM385" s="853"/>
      <c r="EN385" s="853"/>
      <c r="EO385" s="853"/>
      <c r="EP385" s="853"/>
      <c r="EQ385" s="855"/>
      <c r="ER385" s="855"/>
      <c r="ES385" s="855"/>
      <c r="ET385" s="855"/>
      <c r="EU385" s="855"/>
      <c r="EV385" s="855"/>
      <c r="EW385" s="855"/>
      <c r="EX385" s="855"/>
      <c r="EY385" s="855"/>
      <c r="EZ385" s="855"/>
      <c r="FA385" s="855"/>
      <c r="FB385" s="855"/>
      <c r="FC385" s="855"/>
      <c r="FD385" s="855"/>
      <c r="FE385" s="855"/>
      <c r="FF385" s="855"/>
      <c r="FG385" s="855"/>
      <c r="FH385" s="855"/>
      <c r="FI385" s="855"/>
      <c r="FJ385" s="855"/>
      <c r="FK385" s="855"/>
      <c r="FL385" s="855"/>
      <c r="FM385" s="855"/>
      <c r="FN385" s="855"/>
      <c r="FO385" s="855"/>
      <c r="FP385" s="855"/>
      <c r="FQ385" s="855"/>
      <c r="FR385" s="855"/>
      <c r="FS385" s="855"/>
      <c r="FT385" s="855"/>
      <c r="FU385" s="855"/>
      <c r="FV385" s="855"/>
      <c r="FW385" s="855"/>
      <c r="FX385" s="855"/>
      <c r="FY385" s="855"/>
      <c r="FZ385" s="855"/>
      <c r="GA385" s="855"/>
      <c r="GB385" s="855"/>
      <c r="GC385" s="855"/>
      <c r="GD385" s="855"/>
      <c r="GE385" s="855"/>
      <c r="GF385" s="855"/>
      <c r="GG385" s="855"/>
      <c r="GH385" s="855"/>
      <c r="GI385" s="855"/>
      <c r="GJ385" s="855"/>
      <c r="GK385" s="855"/>
      <c r="GL385" s="855"/>
      <c r="GM385" s="855"/>
      <c r="GN385" s="855"/>
      <c r="GO385" s="855"/>
      <c r="GP385" s="855"/>
      <c r="GQ385" s="855"/>
      <c r="GR385" s="855"/>
      <c r="GS385" s="855"/>
      <c r="GT385" s="855"/>
      <c r="GU385" s="855"/>
      <c r="GV385" s="855"/>
      <c r="GW385" s="855"/>
      <c r="GX385" s="855"/>
      <c r="GY385" s="855"/>
      <c r="GZ385" s="855"/>
      <c r="HA385" s="855"/>
      <c r="HB385" s="855"/>
      <c r="HC385" s="855"/>
      <c r="HD385" s="855"/>
      <c r="HE385" s="855"/>
      <c r="HF385" s="855"/>
      <c r="HG385" s="855"/>
      <c r="HH385" s="855"/>
      <c r="HI385" s="855"/>
      <c r="HJ385" s="855"/>
      <c r="HK385" s="855"/>
      <c r="HL385" s="855"/>
      <c r="HM385" s="855"/>
      <c r="HN385" s="855"/>
      <c r="HO385" s="855"/>
      <c r="HP385" s="855"/>
      <c r="HQ385" s="855"/>
      <c r="HR385" s="855"/>
      <c r="HS385" s="855"/>
      <c r="HT385" s="855"/>
      <c r="HU385" s="855"/>
      <c r="HV385" s="855"/>
      <c r="HW385" s="855"/>
      <c r="HX385" s="855"/>
      <c r="HY385" s="855"/>
      <c r="HZ385" s="855"/>
      <c r="IA385" s="855"/>
      <c r="IB385" s="855"/>
      <c r="IC385" s="855"/>
      <c r="ID385" s="855"/>
      <c r="IE385" s="855"/>
      <c r="IF385" s="855"/>
      <c r="IG385" s="855"/>
      <c r="IH385" s="855"/>
      <c r="II385" s="855"/>
      <c r="IJ385" s="855"/>
      <c r="IK385" s="855"/>
      <c r="IL385" s="855"/>
      <c r="IM385" s="855"/>
      <c r="IN385" s="855"/>
      <c r="IO385" s="855"/>
      <c r="IP385" s="855"/>
      <c r="IQ385" s="855"/>
      <c r="IR385" s="855"/>
      <c r="IS385" s="855"/>
      <c r="IT385" s="855"/>
      <c r="IU385" s="855"/>
      <c r="IV385" s="855"/>
      <c r="IW385" s="855"/>
      <c r="IX385" s="855"/>
      <c r="IY385" s="855"/>
      <c r="IZ385" s="855"/>
      <c r="JA385" s="855"/>
      <c r="JB385" s="855"/>
      <c r="JC385" s="855"/>
      <c r="JD385" s="855"/>
      <c r="JE385" s="855"/>
      <c r="JF385" s="855"/>
      <c r="JG385" s="855"/>
      <c r="JH385" s="855"/>
      <c r="JI385" s="855"/>
      <c r="JJ385" s="855"/>
      <c r="JK385" s="855"/>
      <c r="JL385" s="855"/>
      <c r="JM385"/>
    </row>
    <row r="386" spans="1:273" s="854" customFormat="1">
      <c r="A386" s="102" t="s">
        <v>1391</v>
      </c>
      <c r="B386" s="103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  <c r="AA386" s="102"/>
      <c r="AB386" s="102"/>
      <c r="AC386" s="102"/>
      <c r="AD386" s="102"/>
      <c r="AE386" s="102"/>
      <c r="AF386" s="102"/>
      <c r="AG386" s="102"/>
      <c r="AH386" s="102"/>
      <c r="AI386" s="102"/>
      <c r="AJ386" s="102"/>
      <c r="AK386" s="102"/>
      <c r="AL386" s="102"/>
      <c r="AM386" s="102"/>
      <c r="AN386" s="290"/>
      <c r="AO386" s="290"/>
      <c r="AP386" s="290"/>
      <c r="AQ386" s="290"/>
      <c r="AR386" s="290"/>
      <c r="AS386" s="290"/>
      <c r="AT386" s="290"/>
      <c r="AU386" s="290"/>
      <c r="AV386" s="818">
        <f>DIVISIONS!AV685+DIVISIONS!AV152</f>
        <v>35</v>
      </c>
      <c r="AW386" s="818">
        <f>DIVISIONS!AW685+DIVISIONS!AW152</f>
        <v>0</v>
      </c>
      <c r="AX386" s="818">
        <f>DIVISIONS!AX685+DIVISIONS!AX152</f>
        <v>0</v>
      </c>
      <c r="AY386" s="853"/>
      <c r="AZ386" s="818">
        <f>DIVISIONS!AZ685+DIVISIONS!AZ152</f>
        <v>1</v>
      </c>
      <c r="BA386" s="818">
        <f>DIVISIONS!BA685+DIVISIONS!BA152</f>
        <v>6</v>
      </c>
      <c r="BB386" s="818">
        <f>DIVISIONS!BB685+DIVISIONS!BB152</f>
        <v>7</v>
      </c>
      <c r="BC386" s="853"/>
      <c r="BD386" s="818">
        <f>DIVISIONS!BD685+DIVISIONS!BD152</f>
        <v>0</v>
      </c>
      <c r="BE386" s="818">
        <f>DIVISIONS!BE685+DIVISIONS!BE152</f>
        <v>0</v>
      </c>
      <c r="BF386" s="818">
        <f>DIVISIONS!BF685+DIVISIONS!BF152</f>
        <v>0</v>
      </c>
      <c r="BG386" s="853"/>
      <c r="BH386" s="818">
        <f>DIVISIONS!BH685+DIVISIONS!BH152</f>
        <v>0</v>
      </c>
      <c r="BI386" s="818">
        <f>DIVISIONS!BI685+DIVISIONS!BI152</f>
        <v>0</v>
      </c>
      <c r="BJ386" s="818">
        <f>DIVISIONS!BJ685+DIVISIONS!BJ152</f>
        <v>0</v>
      </c>
      <c r="BK386" s="853"/>
      <c r="BL386" s="818">
        <f>DIVISIONS!BL685+DIVISIONS!BL152</f>
        <v>1</v>
      </c>
      <c r="BM386" s="818">
        <f>DIVISIONS!BM685+DIVISIONS!BM152</f>
        <v>0</v>
      </c>
      <c r="BN386" s="818">
        <f>DIVISIONS!BN685+DIVISIONS!BN152</f>
        <v>1</v>
      </c>
      <c r="BO386" s="853"/>
      <c r="BP386" s="818">
        <f>DIVISIONS!BP685+DIVISIONS!BP152</f>
        <v>0</v>
      </c>
      <c r="BQ386" s="818">
        <f>DIVISIONS!BQ685+DIVISIONS!BQ152</f>
        <v>0</v>
      </c>
      <c r="BR386" s="818">
        <f>DIVISIONS!BR685+DIVISIONS!BR152</f>
        <v>0</v>
      </c>
      <c r="BS386" s="853"/>
      <c r="BT386" s="818">
        <f>DIVISIONS!BT685+DIVISIONS!BT152</f>
        <v>0</v>
      </c>
      <c r="BU386" s="818">
        <f>DIVISIONS!BU685+DIVISIONS!BU152</f>
        <v>0</v>
      </c>
      <c r="BV386" s="818">
        <f>DIVISIONS!BV685+DIVISIONS!BV152</f>
        <v>0</v>
      </c>
      <c r="BW386" s="853"/>
      <c r="BX386" s="818">
        <f>DIVISIONS!BX685+DIVISIONS!BX152</f>
        <v>0</v>
      </c>
      <c r="BY386" s="818">
        <f>DIVISIONS!BY685+DIVISIONS!BY152</f>
        <v>0</v>
      </c>
      <c r="BZ386" s="818">
        <f>DIVISIONS!BZ685+DIVISIONS!BZ152</f>
        <v>0</v>
      </c>
      <c r="CA386" s="853"/>
      <c r="CB386" s="818">
        <f>DIVISIONS!CB685+DIVISIONS!CB152</f>
        <v>0</v>
      </c>
      <c r="CC386" s="818">
        <f>DIVISIONS!CC685+DIVISIONS!CC152</f>
        <v>0</v>
      </c>
      <c r="CD386" s="818">
        <f>DIVISIONS!CD685+DIVISIONS!CD152</f>
        <v>0</v>
      </c>
      <c r="CE386" s="862"/>
      <c r="CF386" s="818">
        <f>DIVISIONS!CF685+DIVISIONS!CF152</f>
        <v>0</v>
      </c>
      <c r="CG386" s="818">
        <f>DIVISIONS!CG685+DIVISIONS!CG152</f>
        <v>94</v>
      </c>
      <c r="CH386" s="818">
        <f>DIVISIONS!CH685+DIVISIONS!CH152</f>
        <v>94</v>
      </c>
      <c r="CI386" s="862"/>
      <c r="CJ386" s="818">
        <f>DIVISIONS!CJ685+DIVISIONS!CJ152</f>
        <v>0</v>
      </c>
      <c r="CK386" s="818">
        <f>DIVISIONS!CK685+DIVISIONS!CK152</f>
        <v>0</v>
      </c>
      <c r="CL386" s="818">
        <f>DIVISIONS!CL685+DIVISIONS!CL152</f>
        <v>0</v>
      </c>
      <c r="CM386" s="862"/>
      <c r="CN386" s="818">
        <f>DIVISIONS!CN685+DIVISIONS!CN152</f>
        <v>0</v>
      </c>
      <c r="CO386" s="818">
        <f>DIVISIONS!CO685+DIVISIONS!CO152</f>
        <v>0</v>
      </c>
      <c r="CP386" s="818">
        <f>DIVISIONS!CP685+DIVISIONS!CP152</f>
        <v>0</v>
      </c>
      <c r="CQ386" s="862"/>
      <c r="CR386" s="818">
        <f>DIVISIONS!CR685+DIVISIONS!CR152</f>
        <v>0</v>
      </c>
      <c r="CS386" s="818">
        <f>DIVISIONS!CS685+DIVISIONS!CS152</f>
        <v>1</v>
      </c>
      <c r="CT386" s="818">
        <f>DIVISIONS!CT685+DIVISIONS!CT152</f>
        <v>1</v>
      </c>
      <c r="CU386" s="853"/>
      <c r="CV386" s="818">
        <f>DIVISIONS!CV685+DIVISIONS!CV152</f>
        <v>0</v>
      </c>
      <c r="CW386" s="818">
        <f>DIVISIONS!CW685+DIVISIONS!CW152</f>
        <v>0</v>
      </c>
      <c r="CX386" s="818">
        <f>DIVISIONS!CX685+DIVISIONS!CX152</f>
        <v>0</v>
      </c>
      <c r="CY386" s="853"/>
      <c r="CZ386" s="626">
        <v>0</v>
      </c>
      <c r="DA386" s="626">
        <v>1</v>
      </c>
      <c r="DB386" s="818">
        <f>DIVISIONS!DB685+DIVISIONS!DB152</f>
        <v>0</v>
      </c>
      <c r="DC386" s="853"/>
      <c r="DD386" s="626">
        <v>0</v>
      </c>
      <c r="DE386" s="626">
        <v>0</v>
      </c>
      <c r="DF386" s="818">
        <f>DIVISIONS!DF685+DIVISIONS!DF152</f>
        <v>0</v>
      </c>
      <c r="DG386" s="853"/>
      <c r="DH386" s="626">
        <v>0</v>
      </c>
      <c r="DI386" s="818">
        <f>DIVISIONS!DI685+DIVISIONS!DI152</f>
        <v>0</v>
      </c>
      <c r="DJ386" s="818">
        <f>DIVISIONS!DJ685+DIVISIONS!DJ152</f>
        <v>0</v>
      </c>
      <c r="DK386" s="853"/>
      <c r="DL386" s="818">
        <f>DIVISIONS!DL685+DIVISIONS!DL152</f>
        <v>0</v>
      </c>
      <c r="DM386" s="818">
        <f>DIVISIONS!DM685+DIVISIONS!DM152</f>
        <v>0</v>
      </c>
      <c r="DN386" s="818">
        <f>DIVISIONS!DN685+DIVISIONS!DN152</f>
        <v>0</v>
      </c>
      <c r="DO386" s="853" t="s">
        <v>1397</v>
      </c>
      <c r="DP386" s="818">
        <f>DIVISIONS!DP685+DIVISIONS!DP152</f>
        <v>0</v>
      </c>
      <c r="DQ386" s="818">
        <f>DIVISIONS!DQ685+DIVISIONS!DQ152</f>
        <v>0</v>
      </c>
      <c r="DR386" s="818">
        <f>DIVISIONS!DR685+DIVISIONS!DR152</f>
        <v>0</v>
      </c>
      <c r="DS386" s="853" t="s">
        <v>1397</v>
      </c>
      <c r="DT386" s="853"/>
      <c r="DU386" s="818"/>
      <c r="DV386" s="818"/>
      <c r="DW386" s="818"/>
      <c r="DX386" s="853"/>
      <c r="DY386" s="853"/>
      <c r="DZ386" s="818"/>
      <c r="EA386" s="818"/>
      <c r="EB386" s="853"/>
      <c r="EC386" s="853"/>
      <c r="ED386" s="818"/>
      <c r="EE386" s="818"/>
      <c r="EF386" s="853"/>
      <c r="EG386" s="853"/>
      <c r="EH386" s="853"/>
      <c r="EI386" s="853"/>
      <c r="EJ386" s="853"/>
      <c r="EK386" s="853"/>
      <c r="EL386" s="853"/>
      <c r="EM386" s="853"/>
      <c r="EN386" s="853"/>
      <c r="EO386" s="853"/>
      <c r="EP386" s="853"/>
      <c r="EQ386" s="855"/>
      <c r="ER386" s="855"/>
      <c r="ES386" s="855"/>
      <c r="ET386" s="855"/>
      <c r="EU386" s="855"/>
      <c r="EV386" s="855"/>
      <c r="EW386" s="855"/>
      <c r="EX386" s="855"/>
      <c r="EY386" s="855"/>
      <c r="EZ386" s="855"/>
      <c r="FA386" s="855"/>
      <c r="FB386" s="855"/>
      <c r="FC386" s="855"/>
      <c r="FD386" s="855"/>
      <c r="FE386" s="855"/>
      <c r="FF386" s="855"/>
      <c r="FG386" s="855"/>
      <c r="FH386" s="855"/>
      <c r="FI386" s="855"/>
      <c r="FJ386" s="855"/>
      <c r="FK386" s="855"/>
      <c r="FL386" s="855"/>
      <c r="FM386" s="855"/>
      <c r="FN386" s="855"/>
      <c r="FO386" s="855"/>
      <c r="FP386" s="855"/>
      <c r="FQ386" s="855"/>
      <c r="FR386" s="855"/>
      <c r="FS386" s="855"/>
      <c r="FT386" s="855"/>
      <c r="FU386" s="855"/>
      <c r="FV386" s="855"/>
      <c r="FW386" s="855"/>
      <c r="FX386" s="855"/>
      <c r="FY386" s="855"/>
      <c r="FZ386" s="855"/>
      <c r="GA386" s="855"/>
      <c r="GB386" s="855"/>
      <c r="GC386" s="855"/>
      <c r="GD386" s="855"/>
      <c r="GE386" s="855"/>
      <c r="GF386" s="855"/>
      <c r="GG386" s="855"/>
      <c r="GH386" s="855"/>
      <c r="GI386" s="855"/>
      <c r="GJ386" s="855"/>
      <c r="GK386" s="855"/>
      <c r="GL386" s="855"/>
      <c r="GM386" s="855"/>
      <c r="GN386" s="855"/>
      <c r="GO386" s="855"/>
      <c r="GP386" s="855"/>
      <c r="GQ386" s="855"/>
      <c r="GR386" s="855"/>
      <c r="GS386" s="855"/>
      <c r="GT386" s="855"/>
      <c r="GU386" s="855"/>
      <c r="GV386" s="855"/>
      <c r="GW386" s="855"/>
      <c r="GX386" s="855"/>
      <c r="GY386" s="855"/>
      <c r="GZ386" s="855"/>
      <c r="HA386" s="855"/>
      <c r="HB386" s="855"/>
      <c r="HC386" s="855"/>
      <c r="HD386" s="855"/>
      <c r="HE386" s="855"/>
      <c r="HF386" s="855"/>
      <c r="HG386" s="855"/>
      <c r="HH386" s="855"/>
      <c r="HI386" s="855"/>
      <c r="HJ386" s="855"/>
      <c r="HK386" s="855"/>
      <c r="HL386" s="855"/>
      <c r="HM386" s="855"/>
      <c r="HN386" s="855"/>
      <c r="HO386" s="855"/>
      <c r="HP386" s="855"/>
      <c r="HQ386" s="855"/>
      <c r="HR386" s="855"/>
      <c r="HS386" s="855"/>
      <c r="HT386" s="855"/>
      <c r="HU386" s="855"/>
      <c r="HV386" s="855"/>
      <c r="HW386" s="855"/>
      <c r="HX386" s="855"/>
      <c r="HY386" s="855"/>
      <c r="HZ386" s="855"/>
      <c r="IA386" s="855"/>
      <c r="IB386" s="855"/>
      <c r="IC386" s="855"/>
      <c r="ID386" s="855"/>
      <c r="IE386" s="855"/>
      <c r="IF386" s="855"/>
      <c r="IG386" s="855"/>
      <c r="IH386" s="855"/>
      <c r="II386" s="855"/>
      <c r="IJ386" s="855"/>
      <c r="IK386" s="855"/>
      <c r="IL386" s="855"/>
      <c r="IM386" s="855"/>
      <c r="IN386" s="855"/>
      <c r="IO386" s="855"/>
      <c r="IP386" s="855"/>
      <c r="IQ386" s="855"/>
      <c r="IR386" s="855"/>
      <c r="IS386" s="855"/>
      <c r="IT386" s="855"/>
      <c r="IU386" s="855"/>
      <c r="IV386" s="855"/>
      <c r="IW386" s="855"/>
      <c r="IX386" s="855"/>
      <c r="IY386" s="855"/>
      <c r="IZ386" s="855"/>
      <c r="JA386" s="855"/>
      <c r="JB386" s="855"/>
      <c r="JC386" s="855"/>
      <c r="JD386" s="855"/>
      <c r="JE386" s="855"/>
      <c r="JF386" s="855"/>
      <c r="JG386" s="855"/>
      <c r="JH386" s="855"/>
      <c r="JI386" s="855"/>
      <c r="JJ386" s="855"/>
      <c r="JK386" s="855"/>
      <c r="JL386" s="855"/>
      <c r="JM386"/>
    </row>
    <row r="387" spans="1:273" s="1672" customFormat="1" ht="18">
      <c r="A387" s="1666" t="s">
        <v>1320</v>
      </c>
      <c r="B387" s="1667"/>
      <c r="C387" s="1666"/>
      <c r="D387" s="1666"/>
      <c r="E387" s="1666"/>
      <c r="F387" s="1666"/>
      <c r="G387" s="1666"/>
      <c r="H387" s="1666"/>
      <c r="I387" s="1666"/>
      <c r="J387" s="1666"/>
      <c r="K387" s="1666"/>
      <c r="L387" s="1666"/>
      <c r="M387" s="1666"/>
      <c r="N387" s="1666"/>
      <c r="O387" s="1666"/>
      <c r="P387" s="1666"/>
      <c r="Q387" s="1666"/>
      <c r="R387" s="1666"/>
      <c r="S387" s="1666"/>
      <c r="T387" s="1666"/>
      <c r="U387" s="1666"/>
      <c r="V387" s="1666"/>
      <c r="W387" s="1666"/>
      <c r="X387" s="1666"/>
      <c r="Y387" s="1666"/>
      <c r="Z387" s="1666"/>
      <c r="AA387" s="1666"/>
      <c r="AB387" s="1666"/>
      <c r="AC387" s="1666"/>
      <c r="AD387" s="1666"/>
      <c r="AE387" s="1666"/>
      <c r="AF387" s="1666"/>
      <c r="AG387" s="1666"/>
      <c r="AH387" s="1666"/>
      <c r="AI387" s="1666"/>
      <c r="AJ387" s="1666"/>
      <c r="AK387" s="1666"/>
      <c r="AL387" s="1666"/>
      <c r="AM387" s="1666"/>
      <c r="AN387" s="1667"/>
      <c r="AO387" s="1667"/>
      <c r="AP387" s="1667"/>
      <c r="AQ387" s="1667"/>
      <c r="AR387" s="1667"/>
      <c r="AS387" s="1667"/>
      <c r="AT387" s="1667"/>
      <c r="AU387" s="1667"/>
      <c r="AV387" s="1668">
        <f>SUM(AV384:AV386)</f>
        <v>52</v>
      </c>
      <c r="AW387" s="1668">
        <f>SUM(AW384:AW386)</f>
        <v>5</v>
      </c>
      <c r="AX387" s="1668">
        <f>SUM(AX384:AX386)</f>
        <v>22</v>
      </c>
      <c r="AY387" s="1668"/>
      <c r="AZ387" s="1668">
        <f>SUM(AZ384:AZ386)</f>
        <v>15</v>
      </c>
      <c r="BA387" s="1668">
        <f>SUM(BA384:BA386)</f>
        <v>21</v>
      </c>
      <c r="BB387" s="1668">
        <f>SUM(BB384:BB386)</f>
        <v>36</v>
      </c>
      <c r="BC387" s="1668"/>
      <c r="BD387" s="1668">
        <f>SUM(BD384:BD386)</f>
        <v>89</v>
      </c>
      <c r="BE387" s="1668">
        <f>SUM(BE384:BE386)</f>
        <v>41</v>
      </c>
      <c r="BF387" s="1668">
        <f>SUM(BF384:BF386)</f>
        <v>130</v>
      </c>
      <c r="BG387" s="1668"/>
      <c r="BH387" s="1668">
        <f>SUM(BH384:BH386)</f>
        <v>76</v>
      </c>
      <c r="BI387" s="1668">
        <f>SUM(BI384:BI386)</f>
        <v>88</v>
      </c>
      <c r="BJ387" s="1668">
        <f>SUM(BJ384:BJ386)</f>
        <v>164</v>
      </c>
      <c r="BK387" s="1668"/>
      <c r="BL387" s="1668">
        <f>SUM(BL384:BL386)</f>
        <v>76</v>
      </c>
      <c r="BM387" s="1668">
        <f>SUM(BM384:BM386)</f>
        <v>142</v>
      </c>
      <c r="BN387" s="1668">
        <f>SUM(BN384:BN386)</f>
        <v>218</v>
      </c>
      <c r="BO387" s="1668"/>
      <c r="BP387" s="1668">
        <f>SUM(BP384:BP386)</f>
        <v>373</v>
      </c>
      <c r="BQ387" s="1668">
        <f>SUM(BQ384:BQ386)</f>
        <v>294</v>
      </c>
      <c r="BR387" s="1668">
        <f>SUM(BR384:BR386)</f>
        <v>667</v>
      </c>
      <c r="BS387" s="1668"/>
      <c r="BT387" s="1668">
        <f>SUM(BT384:BT386)</f>
        <v>629</v>
      </c>
      <c r="BU387" s="1668">
        <f>SUM(BU384:BU386)</f>
        <v>85</v>
      </c>
      <c r="BV387" s="1668">
        <f>SUM(BV384:BV386)</f>
        <v>714</v>
      </c>
      <c r="BW387" s="1668"/>
      <c r="BX387" s="1668">
        <f>SUM(BX384:BX386)</f>
        <v>170</v>
      </c>
      <c r="BY387" s="1668">
        <f>SUM(BY384:BY386)</f>
        <v>94</v>
      </c>
      <c r="BZ387" s="1668">
        <f>SUM(BZ384:BZ386)</f>
        <v>264</v>
      </c>
      <c r="CA387" s="1668"/>
      <c r="CB387" s="1668">
        <f>SUM(CB384:CB386)</f>
        <v>537</v>
      </c>
      <c r="CC387" s="1668">
        <f>SUM(CC384:CC386)</f>
        <v>58</v>
      </c>
      <c r="CD387" s="1668">
        <f>SUM(CD384:CD386)</f>
        <v>595</v>
      </c>
      <c r="CE387" s="1669">
        <f>+CD387/BZ387-1</f>
        <v>1.2537878787878789</v>
      </c>
      <c r="CF387" s="1668">
        <f>SUM(CF384:CF386)</f>
        <v>282</v>
      </c>
      <c r="CG387" s="1668">
        <f>SUM(CG384:CG386)</f>
        <v>577</v>
      </c>
      <c r="CH387" s="1668">
        <f>SUM(CH384:CH386)</f>
        <v>859</v>
      </c>
      <c r="CI387" s="1669">
        <f>+CH387/CD387-1</f>
        <v>0.44369747899159662</v>
      </c>
      <c r="CJ387" s="1668">
        <f>SUM(CJ384:CJ386)</f>
        <v>546</v>
      </c>
      <c r="CK387" s="1668">
        <f>SUM(CK384:CK386)</f>
        <v>275</v>
      </c>
      <c r="CL387" s="1668">
        <f>SUM(CL384:CL386)</f>
        <v>821</v>
      </c>
      <c r="CM387" s="1669">
        <f>+CL387/CH387-1</f>
        <v>-4.4237485448195613E-2</v>
      </c>
      <c r="CN387" s="1668">
        <f>SUM(CN384:CN386)</f>
        <v>413</v>
      </c>
      <c r="CO387" s="1670">
        <f>SUM(CO384:CO386)+7</f>
        <v>247</v>
      </c>
      <c r="CP387" s="1670">
        <f>SUM(CP384:CP386)+7</f>
        <v>660</v>
      </c>
      <c r="CQ387" s="1669">
        <f>+CP387/CL387-1</f>
        <v>-0.19610231425091351</v>
      </c>
      <c r="CR387" s="1668">
        <f>SUM(CR384:CR386)</f>
        <v>177</v>
      </c>
      <c r="CS387" s="1668">
        <f>SUM(CS384:CS386)</f>
        <v>218</v>
      </c>
      <c r="CT387" s="1668">
        <f>SUM(CT384:CT386)</f>
        <v>395</v>
      </c>
      <c r="CU387" s="1671">
        <f>+CT387/CP387-1</f>
        <v>-0.40151515151515149</v>
      </c>
      <c r="CV387" s="1668">
        <f>SUM(CV384:CV386)</f>
        <v>237</v>
      </c>
      <c r="CW387" s="1668">
        <f>SUM(CW384:CW386)</f>
        <v>455</v>
      </c>
      <c r="CX387" s="1668">
        <f>SUM(CX384:CX386)</f>
        <v>692</v>
      </c>
      <c r="CY387" s="1671">
        <f>+CX387/CT387-1</f>
        <v>0.7518987341772152</v>
      </c>
      <c r="CZ387" s="1668">
        <f>SUM(CZ384:CZ386)</f>
        <v>236</v>
      </c>
      <c r="DA387" s="1668">
        <f>SUM(DA384:DA386)</f>
        <v>396</v>
      </c>
      <c r="DB387" s="1668">
        <f>SUM(DB384:DB386)</f>
        <v>631</v>
      </c>
      <c r="DC387" s="1671">
        <f>+DB387/CX387-1</f>
        <v>-8.815028901734101E-2</v>
      </c>
      <c r="DD387" s="1668">
        <f>SUM(DD384:DD386)</f>
        <v>403</v>
      </c>
      <c r="DE387" s="1668">
        <f ca="1">SUM(DE384:DE386)</f>
        <v>434</v>
      </c>
      <c r="DF387" s="1668">
        <f ca="1">SUM(DF384:DF386)</f>
        <v>837</v>
      </c>
      <c r="DG387" s="1668"/>
      <c r="DH387" s="1668">
        <f>SUM(DH384:DH386)</f>
        <v>756</v>
      </c>
      <c r="DI387" s="1668">
        <f>SUM(DI384:DI386)</f>
        <v>687.9232351803339</v>
      </c>
      <c r="DJ387" s="1668">
        <f>SUM(DJ384:DJ386)</f>
        <v>1443.9232351803339</v>
      </c>
      <c r="DK387" s="1668"/>
      <c r="DL387" s="1668">
        <f>SUM(DL384:DL386)</f>
        <v>551.54082731850792</v>
      </c>
      <c r="DM387" s="1668">
        <f>SUM(DM384:DM386)</f>
        <v>564.66007294519545</v>
      </c>
      <c r="DN387" s="1668">
        <f>SUM(DN384:DN386)</f>
        <v>1116.2009002637033</v>
      </c>
      <c r="DO387" s="1668">
        <f ca="1">+DN387+DJ387+DF387</f>
        <v>3397.1241354440372</v>
      </c>
      <c r="DP387" s="1668">
        <f>SUM(DP384:DP386)</f>
        <v>587.53366128604671</v>
      </c>
      <c r="DQ387" s="1668">
        <f>SUM(DQ384:DQ386)</f>
        <v>608.07262499994374</v>
      </c>
      <c r="DR387" s="1668">
        <f>SUM(DR384:DR386)</f>
        <v>1195.6062862859903</v>
      </c>
      <c r="DS387" s="1668">
        <f>+DR387+DN387+DJ387</f>
        <v>3755.7304217300275</v>
      </c>
      <c r="DT387" s="1668"/>
      <c r="DU387" s="1668"/>
      <c r="DV387" s="1668"/>
      <c r="DW387" s="1668"/>
      <c r="DX387" s="1668"/>
      <c r="DY387" s="1668"/>
      <c r="DZ387" s="1668"/>
      <c r="EA387" s="1668"/>
      <c r="EB387" s="1668"/>
      <c r="EC387" s="1668"/>
      <c r="ED387" s="1668"/>
      <c r="EE387" s="1668"/>
      <c r="EF387" s="1668"/>
      <c r="EG387" s="1668"/>
      <c r="EH387" s="1668"/>
      <c r="EI387" s="1668"/>
      <c r="EJ387" s="1668"/>
      <c r="EK387" s="1668"/>
      <c r="EL387" s="1668"/>
      <c r="EM387" s="1668"/>
      <c r="EN387" s="1668"/>
      <c r="EO387" s="1668"/>
      <c r="EP387" s="1668"/>
      <c r="JM387"/>
    </row>
    <row r="388" spans="1:273" s="854" customFormat="1">
      <c r="A388" s="102"/>
      <c r="B388" s="103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  <c r="AA388" s="102"/>
      <c r="AB388" s="102"/>
      <c r="AC388" s="102"/>
      <c r="AD388" s="102"/>
      <c r="AE388" s="102"/>
      <c r="AF388" s="102"/>
      <c r="AG388" s="102"/>
      <c r="AH388" s="102"/>
      <c r="AI388" s="102"/>
      <c r="AJ388" s="102"/>
      <c r="AK388" s="102"/>
      <c r="AL388" s="102"/>
      <c r="AM388" s="102"/>
      <c r="AN388" s="290"/>
      <c r="AO388" s="290"/>
      <c r="AP388" s="290"/>
      <c r="AQ388" s="290"/>
      <c r="AR388" s="290"/>
      <c r="AS388" s="290"/>
      <c r="AT388" s="290"/>
      <c r="AU388" s="290"/>
      <c r="AV388" s="853"/>
      <c r="AW388" s="818"/>
      <c r="AX388" s="853"/>
      <c r="AY388" s="853"/>
      <c r="AZ388" s="818"/>
      <c r="BA388" s="818"/>
      <c r="BB388" s="853"/>
      <c r="BC388" s="853"/>
      <c r="BD388" s="818"/>
      <c r="BE388" s="818"/>
      <c r="BF388" s="853"/>
      <c r="BG388" s="853"/>
      <c r="BH388" s="1978">
        <v>76</v>
      </c>
      <c r="BI388" s="1978">
        <v>88</v>
      </c>
      <c r="BJ388" s="862"/>
      <c r="BK388" s="1622"/>
      <c r="BL388" s="1978">
        <v>76</v>
      </c>
      <c r="BM388" s="1978">
        <v>143</v>
      </c>
      <c r="BN388" s="862"/>
      <c r="BO388" s="862"/>
      <c r="BP388" s="1978">
        <v>373</v>
      </c>
      <c r="BQ388" s="1978">
        <v>294</v>
      </c>
      <c r="BR388" s="862"/>
      <c r="BS388" s="862"/>
      <c r="BT388" s="1978">
        <v>629</v>
      </c>
      <c r="BU388" s="1978">
        <v>85</v>
      </c>
      <c r="BV388" s="862"/>
      <c r="BW388" s="853"/>
      <c r="BX388" s="1978"/>
      <c r="BY388" s="1978"/>
      <c r="BZ388" s="905"/>
      <c r="CA388" s="853"/>
      <c r="CB388" s="1978"/>
      <c r="CC388" s="1978">
        <v>58</v>
      </c>
      <c r="CD388" s="905"/>
      <c r="CE388" s="862"/>
      <c r="CF388" s="1978"/>
      <c r="CG388" s="1978"/>
      <c r="CH388" s="905"/>
      <c r="CI388" s="862"/>
      <c r="CJ388" s="1978"/>
      <c r="CK388" s="1978"/>
      <c r="CL388" s="905"/>
      <c r="CM388" s="862"/>
      <c r="CN388" s="1978"/>
      <c r="CO388" s="1978"/>
      <c r="CP388" s="905"/>
      <c r="CQ388" s="862"/>
      <c r="CR388" s="1978"/>
      <c r="CS388" s="818"/>
      <c r="CT388" s="853"/>
      <c r="CU388" s="853"/>
      <c r="CV388" s="1978"/>
      <c r="CW388" s="818"/>
      <c r="CX388" s="853"/>
      <c r="CY388" s="853"/>
      <c r="CZ388" s="1978"/>
      <c r="DA388" s="818"/>
      <c r="DB388" s="853"/>
      <c r="DC388" s="853"/>
      <c r="DD388" s="1978"/>
      <c r="DE388" s="818"/>
      <c r="DF388" s="853"/>
      <c r="DG388" s="853"/>
      <c r="DH388" s="1978"/>
      <c r="DI388" s="818"/>
      <c r="DJ388" s="853"/>
      <c r="DK388" s="853"/>
      <c r="DL388" s="818"/>
      <c r="DM388" s="818"/>
      <c r="DN388" s="853"/>
      <c r="DO388" s="853"/>
      <c r="DP388" s="818"/>
      <c r="DQ388" s="818"/>
      <c r="DR388" s="853"/>
      <c r="DS388" s="853"/>
      <c r="DT388" s="853"/>
      <c r="DU388" s="818"/>
      <c r="DV388" s="818"/>
      <c r="DW388" s="818"/>
      <c r="DX388" s="853"/>
      <c r="DY388" s="853"/>
      <c r="DZ388" s="818"/>
      <c r="EA388" s="818"/>
      <c r="EB388" s="853"/>
      <c r="EC388" s="853"/>
      <c r="ED388" s="818"/>
      <c r="EE388" s="818"/>
      <c r="EF388" s="853"/>
      <c r="EG388" s="853"/>
      <c r="EH388" s="853"/>
      <c r="EI388" s="853"/>
      <c r="EJ388" s="853"/>
      <c r="EK388" s="853"/>
      <c r="EL388" s="853"/>
      <c r="EM388" s="853"/>
      <c r="EN388" s="853"/>
      <c r="EO388" s="853"/>
      <c r="EP388" s="853"/>
      <c r="EQ388" s="855"/>
      <c r="ER388" s="855"/>
      <c r="ES388" s="855"/>
      <c r="ET388" s="855"/>
      <c r="EU388" s="855"/>
      <c r="EV388" s="855"/>
      <c r="EW388" s="855"/>
      <c r="EX388" s="855"/>
      <c r="EY388" s="855"/>
      <c r="EZ388" s="855"/>
      <c r="FA388" s="855"/>
      <c r="FB388" s="855"/>
      <c r="FC388" s="855"/>
      <c r="FD388" s="855"/>
      <c r="FE388" s="855"/>
      <c r="FF388" s="855"/>
      <c r="FG388" s="855"/>
      <c r="FH388" s="855"/>
      <c r="FI388" s="855"/>
      <c r="FJ388" s="855"/>
      <c r="FK388" s="855"/>
      <c r="FL388" s="855"/>
      <c r="FM388" s="855"/>
      <c r="FN388" s="855"/>
      <c r="FO388" s="855"/>
      <c r="FP388" s="855"/>
      <c r="FQ388" s="855"/>
      <c r="FR388" s="855"/>
      <c r="FS388" s="855"/>
      <c r="FT388" s="855"/>
      <c r="FU388" s="855"/>
      <c r="FV388" s="855"/>
      <c r="FW388" s="855"/>
      <c r="FX388" s="855"/>
      <c r="FY388" s="855"/>
      <c r="FZ388" s="855"/>
      <c r="GA388" s="855"/>
      <c r="GB388" s="855"/>
      <c r="GC388" s="855"/>
      <c r="GD388" s="855"/>
      <c r="GE388" s="855"/>
      <c r="GF388" s="855"/>
      <c r="GG388" s="855"/>
      <c r="GH388" s="855"/>
      <c r="GI388" s="855"/>
      <c r="GJ388" s="855"/>
      <c r="GK388" s="855"/>
      <c r="GL388" s="855"/>
      <c r="GM388" s="855"/>
      <c r="GN388" s="855"/>
      <c r="GO388" s="855"/>
      <c r="GP388" s="855"/>
      <c r="GQ388" s="855"/>
      <c r="GR388" s="855"/>
      <c r="GS388" s="855"/>
      <c r="GT388" s="855"/>
      <c r="GU388" s="855"/>
      <c r="GV388" s="855"/>
      <c r="GW388" s="855"/>
      <c r="GX388" s="855"/>
      <c r="GY388" s="855"/>
      <c r="GZ388" s="855"/>
      <c r="HA388" s="855"/>
      <c r="HB388" s="855"/>
      <c r="HC388" s="855"/>
      <c r="HD388" s="855"/>
      <c r="HE388" s="855"/>
      <c r="HF388" s="855"/>
      <c r="HG388" s="855"/>
      <c r="HH388" s="855"/>
      <c r="HI388" s="855"/>
      <c r="HJ388" s="855"/>
      <c r="HK388" s="855"/>
      <c r="HL388" s="855"/>
      <c r="HM388" s="855"/>
      <c r="HN388" s="855"/>
      <c r="HO388" s="855"/>
      <c r="HP388" s="855"/>
      <c r="HQ388" s="855"/>
      <c r="HR388" s="855"/>
      <c r="HS388" s="855"/>
      <c r="HT388" s="855"/>
      <c r="HU388" s="855"/>
      <c r="HV388" s="855"/>
      <c r="HW388" s="855"/>
      <c r="HX388" s="855"/>
      <c r="HY388" s="855"/>
      <c r="HZ388" s="855"/>
      <c r="IA388" s="855"/>
      <c r="IB388" s="855"/>
      <c r="IC388" s="855"/>
      <c r="ID388" s="855"/>
      <c r="IE388" s="855"/>
      <c r="IF388" s="855"/>
      <c r="IG388" s="855"/>
      <c r="IH388" s="855"/>
      <c r="II388" s="855"/>
      <c r="IJ388" s="855"/>
      <c r="IK388" s="855"/>
      <c r="IL388" s="855"/>
      <c r="IM388" s="855"/>
      <c r="IN388" s="855"/>
      <c r="IO388" s="855"/>
      <c r="IP388" s="855"/>
      <c r="IQ388" s="855"/>
      <c r="IR388" s="855"/>
      <c r="IS388" s="855"/>
      <c r="IT388" s="855"/>
      <c r="IU388" s="855"/>
      <c r="IV388" s="855"/>
      <c r="IW388" s="855"/>
      <c r="IX388" s="855"/>
      <c r="IY388" s="855"/>
      <c r="IZ388" s="855"/>
      <c r="JA388" s="855"/>
      <c r="JB388" s="855"/>
      <c r="JC388" s="855"/>
      <c r="JD388" s="855"/>
      <c r="JE388" s="855"/>
      <c r="JF388" s="855"/>
      <c r="JG388" s="855"/>
      <c r="JH388" s="855"/>
      <c r="JI388" s="855"/>
      <c r="JJ388" s="855"/>
      <c r="JK388" s="855"/>
      <c r="JL388" s="855"/>
      <c r="JM388"/>
    </row>
    <row r="389" spans="1:273" s="854" customFormat="1">
      <c r="A389" s="815" t="s">
        <v>806</v>
      </c>
      <c r="B389" s="103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  <c r="AA389" s="102"/>
      <c r="AB389" s="102"/>
      <c r="AC389" s="102"/>
      <c r="AD389" s="102"/>
      <c r="AE389" s="102"/>
      <c r="AF389" s="102"/>
      <c r="AG389" s="102"/>
      <c r="AH389" s="102"/>
      <c r="AI389" s="102"/>
      <c r="AJ389" s="102"/>
      <c r="AK389" s="102"/>
      <c r="AL389" s="102"/>
      <c r="AM389" s="102"/>
      <c r="AN389" s="290"/>
      <c r="AO389" s="290"/>
      <c r="AP389" s="290"/>
      <c r="AQ389" s="290"/>
      <c r="AR389" s="290"/>
      <c r="AS389" s="290"/>
      <c r="AT389" s="290"/>
      <c r="AU389" s="290"/>
      <c r="CE389" s="863"/>
      <c r="CI389" s="863"/>
      <c r="CM389" s="863"/>
      <c r="CQ389" s="863"/>
      <c r="DX389" s="853"/>
      <c r="DY389" s="853"/>
      <c r="EB389" s="853"/>
      <c r="EC389" s="853"/>
      <c r="EF389" s="853"/>
      <c r="EG389" s="853"/>
      <c r="EH389" s="853"/>
      <c r="EI389" s="853"/>
      <c r="EJ389" s="853"/>
      <c r="EK389" s="853"/>
      <c r="EL389" s="853"/>
      <c r="EM389" s="853"/>
      <c r="EN389" s="853"/>
      <c r="EO389" s="853"/>
      <c r="EP389" s="853"/>
      <c r="EQ389" s="855"/>
      <c r="ER389" s="855"/>
      <c r="ES389" s="855"/>
      <c r="ET389" s="855"/>
      <c r="EU389" s="855"/>
      <c r="EV389" s="855"/>
      <c r="EW389" s="855"/>
      <c r="EX389" s="855"/>
      <c r="EY389" s="855"/>
      <c r="EZ389" s="855"/>
      <c r="FA389" s="855"/>
      <c r="FB389" s="855"/>
      <c r="FC389" s="855"/>
      <c r="FD389" s="855"/>
      <c r="FE389" s="855"/>
      <c r="FF389" s="855"/>
      <c r="FG389" s="855"/>
      <c r="FH389" s="855"/>
      <c r="FI389" s="855"/>
      <c r="FJ389" s="855"/>
      <c r="FK389" s="855"/>
      <c r="FL389" s="855"/>
      <c r="FM389" s="855"/>
      <c r="FN389" s="855"/>
      <c r="FO389" s="855"/>
      <c r="FP389" s="855"/>
      <c r="FQ389" s="855"/>
      <c r="FR389" s="855"/>
      <c r="FS389" s="855"/>
      <c r="FT389" s="855"/>
      <c r="FU389" s="855"/>
      <c r="FV389" s="855"/>
      <c r="FW389" s="855"/>
      <c r="FX389" s="855"/>
      <c r="FY389" s="855"/>
      <c r="FZ389" s="855"/>
      <c r="GA389" s="855"/>
      <c r="GB389" s="855"/>
      <c r="GC389" s="855"/>
      <c r="GD389" s="855"/>
      <c r="GE389" s="855"/>
      <c r="GF389" s="855"/>
      <c r="GG389" s="855"/>
      <c r="GH389" s="855"/>
      <c r="GI389" s="855"/>
      <c r="GJ389" s="855"/>
      <c r="GK389" s="855"/>
      <c r="GL389" s="855"/>
      <c r="GM389" s="855"/>
      <c r="GN389" s="855"/>
      <c r="GO389" s="855"/>
      <c r="GP389" s="855"/>
      <c r="GQ389" s="855"/>
      <c r="GR389" s="855"/>
      <c r="GS389" s="855"/>
      <c r="GT389" s="855"/>
      <c r="GU389" s="855"/>
      <c r="GV389" s="855"/>
      <c r="GW389" s="855"/>
      <c r="GX389" s="855"/>
      <c r="GY389" s="855"/>
      <c r="GZ389" s="855"/>
      <c r="HA389" s="855"/>
      <c r="HB389" s="855"/>
      <c r="HC389" s="855"/>
      <c r="HD389" s="855"/>
      <c r="HE389" s="855"/>
      <c r="HF389" s="855"/>
      <c r="HG389" s="855"/>
      <c r="HH389" s="855"/>
      <c r="HI389" s="855"/>
      <c r="HJ389" s="855"/>
      <c r="HK389" s="855"/>
      <c r="HL389" s="855"/>
      <c r="HM389" s="855"/>
      <c r="HN389" s="855"/>
      <c r="HO389" s="855"/>
      <c r="HP389" s="855"/>
      <c r="HQ389" s="855"/>
      <c r="HR389" s="855"/>
      <c r="HS389" s="855"/>
      <c r="HT389" s="855"/>
      <c r="HU389" s="855"/>
      <c r="HV389" s="855"/>
      <c r="HW389" s="855"/>
      <c r="HX389" s="855"/>
      <c r="HY389" s="855"/>
      <c r="HZ389" s="855"/>
      <c r="IA389" s="855"/>
      <c r="IB389" s="855"/>
      <c r="IC389" s="855"/>
      <c r="ID389" s="855"/>
      <c r="IE389" s="855"/>
      <c r="IF389" s="855"/>
      <c r="IG389" s="855"/>
      <c r="IH389" s="855"/>
      <c r="II389" s="855"/>
      <c r="IJ389" s="855"/>
      <c r="IK389" s="855"/>
      <c r="IL389" s="855"/>
      <c r="IM389" s="855"/>
      <c r="IN389" s="855"/>
      <c r="IO389" s="855"/>
      <c r="IP389" s="855"/>
      <c r="IQ389" s="855"/>
      <c r="IR389" s="855"/>
      <c r="IS389" s="855"/>
      <c r="IT389" s="855"/>
      <c r="IU389" s="855"/>
      <c r="IV389" s="855"/>
      <c r="IW389" s="855"/>
      <c r="IX389" s="855"/>
      <c r="IY389" s="855"/>
      <c r="IZ389" s="855"/>
      <c r="JA389" s="855"/>
      <c r="JB389" s="855"/>
      <c r="JC389" s="855"/>
      <c r="JD389" s="855"/>
      <c r="JE389" s="855"/>
      <c r="JF389" s="855"/>
      <c r="JG389" s="855"/>
      <c r="JH389" s="855"/>
      <c r="JI389" s="855"/>
      <c r="JJ389" s="855"/>
      <c r="JK389" s="855"/>
      <c r="JL389" s="855"/>
      <c r="JM389"/>
    </row>
    <row r="390" spans="1:273" s="854" customFormat="1" ht="14.4" thickBot="1">
      <c r="A390" s="102" t="s">
        <v>702</v>
      </c>
      <c r="B390" s="103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290"/>
      <c r="AO390" s="290"/>
      <c r="AP390" s="290"/>
      <c r="AQ390" s="290"/>
      <c r="AR390" s="290"/>
      <c r="AS390" s="290"/>
      <c r="AT390" s="290"/>
      <c r="AU390" s="290"/>
      <c r="AV390" s="309">
        <f>AV381/AV202*(365/AV$1)*10000</f>
        <v>1.4352274009683264</v>
      </c>
      <c r="AW390" s="309">
        <f>AW381/AW202*(365/AW$1)*10000</f>
        <v>0.76278036410244421</v>
      </c>
      <c r="AX390" s="309">
        <f>AX381/AX202*(365/AX$1)*10000</f>
        <v>0.96232240473676478</v>
      </c>
      <c r="AY390" s="310"/>
      <c r="AZ390" s="309">
        <f>AZ381/AZ202*(365/AZ$1)*10000</f>
        <v>0.67038221087409022</v>
      </c>
      <c r="BA390" s="309">
        <f>BA381/BA202*(365/BA$1)*10000</f>
        <v>1.06380481356973</v>
      </c>
      <c r="BB390" s="309">
        <f>BB381/BB202*(365/BB$1)*10000</f>
        <v>0.86613728035299908</v>
      </c>
      <c r="BC390" s="310"/>
      <c r="BD390" s="309">
        <f>BD381/BD202*(365/BD$1)*10000</f>
        <v>0.93649398256432947</v>
      </c>
      <c r="BE390" s="309">
        <f>BE381/BE202*(365/BE$1)*10000</f>
        <v>1.3517417599951767</v>
      </c>
      <c r="BF390" s="309">
        <f>BF381/BF202*(365/BF$1)*10000</f>
        <v>1.148109879915822</v>
      </c>
      <c r="BG390" s="310"/>
      <c r="BH390" s="309">
        <f>BH381/BH202*(365/BH$1)*10000</f>
        <v>0.17676293575680646</v>
      </c>
      <c r="BI390" s="309">
        <f>BI381/BI202*(365/BI$1)*10000</f>
        <v>1.9695291898536988</v>
      </c>
      <c r="BJ390" s="309">
        <f>BJ381/BJ202*(365/BJ$1)*10000</f>
        <v>1.0872555170063072</v>
      </c>
      <c r="BK390" s="310"/>
      <c r="BL390" s="309">
        <f>BL381/BL202*(365/BL$1)*10000</f>
        <v>0.71233411397345825</v>
      </c>
      <c r="BM390" s="309">
        <f>BM381/BM202*(365/BM$1)*10000</f>
        <v>3.2076754955753564</v>
      </c>
      <c r="BN390" s="309">
        <f>BN381/BN202*(365/BN$1)*10000</f>
        <v>2.0385470719051146</v>
      </c>
      <c r="BO390" s="310"/>
      <c r="BP390" s="309">
        <f>BP381/BP202*(365/BP$1)*10000</f>
        <v>0.58112074043804296</v>
      </c>
      <c r="BQ390" s="309">
        <f>BQ381/BQ202*(365/BQ$1)*10000</f>
        <v>4.7742582459506009</v>
      </c>
      <c r="BR390" s="309">
        <f>BR381/BR202*(365/BR$1)*10000</f>
        <v>2.7334851936218678</v>
      </c>
      <c r="BS390" s="310"/>
      <c r="BT390" s="309">
        <f>BT381/BT202*(365/BT$1)*10000</f>
        <v>0.51346738192594821</v>
      </c>
      <c r="BU390" s="309">
        <f>BU381/BU202*(365/BU$1)*10000</f>
        <v>1.3909298985621501</v>
      </c>
      <c r="BV390" s="309">
        <f>BV381/BV202*(365/BV$1)*10000</f>
        <v>0.94875203071924386</v>
      </c>
      <c r="BW390" s="310"/>
      <c r="BX390" s="309">
        <f>BX381/BX202*(365/BX$1)*10000</f>
        <v>0.28981916871922159</v>
      </c>
      <c r="BY390" s="309">
        <f>BY381/BY202*(365/BY$1)*10000</f>
        <v>0.29870338181330136</v>
      </c>
      <c r="BZ390" s="309">
        <f>BZ381/BZ202*(365/BZ$1)*10000</f>
        <v>0.29420417769932333</v>
      </c>
      <c r="CA390" s="310"/>
      <c r="CB390" s="309">
        <f>CB381/CB202*(365/CB$1)*10000</f>
        <v>0.4325870994230761</v>
      </c>
      <c r="CC390" s="309">
        <f>CC381/CC202*(365/CC$1)*10000</f>
        <v>1.2787425114736486</v>
      </c>
      <c r="CD390" s="309">
        <f>CD381/CD202*(365/CD$1)*10000</f>
        <v>0.85876399325256869</v>
      </c>
      <c r="CE390" s="1615"/>
      <c r="CF390" s="309">
        <f>CF381/CF202*(365/CF$1)*10000</f>
        <v>0.1716713974286917</v>
      </c>
      <c r="CG390" s="309">
        <f>CG381/CG202*(365/CG$1)*10000</f>
        <v>0.16606358036112384</v>
      </c>
      <c r="CH390" s="309">
        <f>CH381/CH202*(365/CH$1)*10000</f>
        <v>0.16881198565098121</v>
      </c>
      <c r="CI390" s="1615"/>
      <c r="CJ390" s="309">
        <f>CJ381/CJ202*(365/CJ$1)*10000</f>
        <v>0.22097056021334255</v>
      </c>
      <c r="CK390" s="309">
        <f>CK381/CK202*(365/CK$1)*10000</f>
        <v>0.10727634901845814</v>
      </c>
      <c r="CL390" s="309">
        <f>CL381/CL202*(365/CL$1)*10000</f>
        <v>0.16328575678474688</v>
      </c>
      <c r="CM390" s="1615" t="s">
        <v>1221</v>
      </c>
      <c r="CN390" s="309">
        <f>CN381/CN202*(365/CN$1)*10000</f>
        <v>0.10876812646902156</v>
      </c>
      <c r="CO390" s="309">
        <f>CO381/CO202*(365/CO$1)*10000</f>
        <v>0.61449692368912423</v>
      </c>
      <c r="CP390" s="309">
        <f>CP381/CP202*(365/CP$1)*10000</f>
        <v>0.35825008611780917</v>
      </c>
      <c r="CQ390" s="1615" t="s">
        <v>1221</v>
      </c>
      <c r="CR390" s="309">
        <f>CR381/CR202*(365/CR$1)*10000</f>
        <v>4.0703422042631533E-2</v>
      </c>
      <c r="CS390" s="309">
        <f>CS381/CS202*(365/CS$1)*10000</f>
        <v>0.15485945797068351</v>
      </c>
      <c r="CT390" s="309">
        <f>CT381/CT202*(365/CT$1)*10000</f>
        <v>9.9203068681591233E-2</v>
      </c>
      <c r="CU390" s="1615" t="s">
        <v>1221</v>
      </c>
      <c r="CV390" s="309">
        <f>CV381/CV202*(365/CV$1)*10000</f>
        <v>0</v>
      </c>
      <c r="CW390" s="309">
        <f>CW381/CW202*(365/CW$1)*10000</f>
        <v>3.8011647185263564E-2</v>
      </c>
      <c r="CX390" s="309">
        <f>CX381/CX202*(365/CX$1)*10000</f>
        <v>1.8948365703458078E-2</v>
      </c>
      <c r="CY390" s="1615" t="s">
        <v>1221</v>
      </c>
      <c r="CZ390" s="309">
        <f>CZ381/CZ202*(365/CZ$1)*10000</f>
        <v>0</v>
      </c>
      <c r="DA390" s="309">
        <f>DA381/DA202*(365/DA$1)*10000</f>
        <v>0</v>
      </c>
      <c r="DB390" s="309">
        <f>DB381/DB202*(365/DB$1)*10000</f>
        <v>0</v>
      </c>
      <c r="DC390" s="1615" t="s">
        <v>1221</v>
      </c>
      <c r="DD390" s="309">
        <f>DD381/DD202*(365/DD$1)*10000</f>
        <v>0</v>
      </c>
      <c r="DE390" s="309">
        <f>DE381/DE202*(365/DE$1)*10000</f>
        <v>0</v>
      </c>
      <c r="DF390" s="309">
        <f>DF381/DF202*(365/DF$1)*10000</f>
        <v>0</v>
      </c>
      <c r="DG390" s="310"/>
      <c r="DH390" s="309">
        <f>DH381/DH202*(365/DH$1)*10000</f>
        <v>0</v>
      </c>
      <c r="DI390" s="1979">
        <v>1</v>
      </c>
      <c r="DJ390" s="309">
        <f>DJ381/DJ202*(365/DJ$1)*10000</f>
        <v>0.40854134962895006</v>
      </c>
      <c r="DK390" s="310"/>
      <c r="DL390" s="1979">
        <v>1</v>
      </c>
      <c r="DM390" s="1979">
        <v>1</v>
      </c>
      <c r="DN390" s="309">
        <f>DN381/DN202*(365/DN$1)*10000</f>
        <v>0.99995700483602323</v>
      </c>
      <c r="DO390" s="853"/>
      <c r="DP390" s="1979">
        <v>1</v>
      </c>
      <c r="DQ390" s="1979">
        <v>1</v>
      </c>
      <c r="DR390" s="309">
        <f>DR381/DR202*(365/DR$1)*10000</f>
        <v>1</v>
      </c>
      <c r="DS390" s="853"/>
      <c r="DT390" s="853"/>
      <c r="DU390" s="850"/>
      <c r="DV390" s="850"/>
      <c r="DW390" s="850"/>
      <c r="DX390" s="853"/>
      <c r="DY390" s="853"/>
      <c r="DZ390" s="850"/>
      <c r="EA390" s="850"/>
      <c r="EB390" s="853"/>
      <c r="EC390" s="853"/>
      <c r="ED390" s="850"/>
      <c r="EE390" s="850"/>
      <c r="EF390" s="853"/>
      <c r="EG390" s="853"/>
      <c r="EH390" s="853"/>
      <c r="EI390" s="853"/>
      <c r="EJ390" s="853"/>
      <c r="EK390" s="853"/>
      <c r="EL390" s="853"/>
      <c r="EM390" s="853"/>
      <c r="EN390" s="853"/>
      <c r="EO390" s="853"/>
      <c r="EP390" s="853"/>
      <c r="EQ390" s="855"/>
      <c r="ER390" s="855"/>
      <c r="ES390" s="855"/>
      <c r="ET390" s="855"/>
      <c r="EU390" s="855"/>
      <c r="EV390" s="855"/>
      <c r="EW390" s="855"/>
      <c r="EX390" s="855"/>
      <c r="EY390" s="855"/>
      <c r="EZ390" s="855"/>
      <c r="FA390" s="855"/>
      <c r="FB390" s="855"/>
      <c r="FC390" s="855"/>
      <c r="FD390" s="855"/>
      <c r="FE390" s="855"/>
      <c r="FF390" s="855"/>
      <c r="FG390" s="855"/>
      <c r="FH390" s="855"/>
      <c r="FI390" s="855"/>
      <c r="FJ390" s="855"/>
      <c r="FK390" s="855"/>
      <c r="FL390" s="855"/>
      <c r="FM390" s="855"/>
      <c r="FN390" s="855"/>
      <c r="FO390" s="855"/>
      <c r="FP390" s="855"/>
      <c r="FQ390" s="855"/>
      <c r="FR390" s="855"/>
      <c r="FS390" s="855"/>
      <c r="FT390" s="855"/>
      <c r="FU390" s="855"/>
      <c r="FV390" s="855"/>
      <c r="FW390" s="855"/>
      <c r="FX390" s="855"/>
      <c r="FY390" s="855"/>
      <c r="FZ390" s="855"/>
      <c r="GA390" s="855"/>
      <c r="GB390" s="855"/>
      <c r="GC390" s="855"/>
      <c r="GD390" s="855"/>
      <c r="GE390" s="855"/>
      <c r="GF390" s="855"/>
      <c r="GG390" s="855"/>
      <c r="GH390" s="855"/>
      <c r="GI390" s="855"/>
      <c r="GJ390" s="855"/>
      <c r="GK390" s="855"/>
      <c r="GL390" s="855"/>
      <c r="GM390" s="855"/>
      <c r="GN390" s="855"/>
      <c r="GO390" s="855"/>
      <c r="GP390" s="855"/>
      <c r="GQ390" s="855"/>
      <c r="GR390" s="855"/>
      <c r="GS390" s="855"/>
      <c r="GT390" s="855"/>
      <c r="GU390" s="855"/>
      <c r="GV390" s="855"/>
      <c r="GW390" s="855"/>
      <c r="GX390" s="855"/>
      <c r="GY390" s="855"/>
      <c r="GZ390" s="855"/>
      <c r="HA390" s="855"/>
      <c r="HB390" s="855"/>
      <c r="HC390" s="855"/>
      <c r="HD390" s="855"/>
      <c r="HE390" s="855"/>
      <c r="HF390" s="855"/>
      <c r="HG390" s="855"/>
      <c r="HH390" s="855"/>
      <c r="HI390" s="855"/>
      <c r="HJ390" s="855"/>
      <c r="HK390" s="855"/>
      <c r="HL390" s="855"/>
      <c r="HM390" s="855"/>
      <c r="HN390" s="855"/>
      <c r="HO390" s="855"/>
      <c r="HP390" s="855"/>
      <c r="HQ390" s="855"/>
      <c r="HR390" s="855"/>
      <c r="HS390" s="855"/>
      <c r="HT390" s="855"/>
      <c r="HU390" s="855"/>
      <c r="HV390" s="855"/>
      <c r="HW390" s="855"/>
      <c r="HX390" s="855"/>
      <c r="HY390" s="855"/>
      <c r="HZ390" s="855"/>
      <c r="IA390" s="855"/>
      <c r="IB390" s="855"/>
      <c r="IC390" s="855"/>
      <c r="ID390" s="855"/>
      <c r="IE390" s="855"/>
      <c r="IF390" s="855"/>
      <c r="IG390" s="855"/>
      <c r="IH390" s="855"/>
      <c r="II390" s="855"/>
      <c r="IJ390" s="855"/>
      <c r="IK390" s="855"/>
      <c r="IL390" s="855"/>
      <c r="IM390" s="855"/>
      <c r="IN390" s="855"/>
      <c r="IO390" s="855"/>
      <c r="IP390" s="855"/>
      <c r="IQ390" s="855"/>
      <c r="IR390" s="855"/>
      <c r="IS390" s="855"/>
      <c r="IT390" s="855"/>
      <c r="IU390" s="855"/>
      <c r="IV390" s="855"/>
      <c r="IW390" s="855"/>
      <c r="IX390" s="855"/>
      <c r="IY390" s="855"/>
      <c r="IZ390" s="855"/>
      <c r="JA390" s="855"/>
      <c r="JB390" s="855"/>
      <c r="JC390" s="855"/>
      <c r="JD390" s="855"/>
      <c r="JE390" s="855"/>
      <c r="JF390" s="855"/>
      <c r="JG390" s="855"/>
      <c r="JH390" s="855"/>
      <c r="JI390" s="855"/>
      <c r="JJ390" s="855"/>
      <c r="JK390" s="855"/>
      <c r="JL390" s="855"/>
      <c r="JM390"/>
    </row>
    <row r="391" spans="1:273" s="855" customFormat="1" ht="14.4" thickBot="1">
      <c r="A391" s="289" t="s">
        <v>1084</v>
      </c>
      <c r="B391" s="290"/>
      <c r="C391" s="289"/>
      <c r="D391" s="289"/>
      <c r="E391" s="289"/>
      <c r="F391" s="289"/>
      <c r="G391" s="289"/>
      <c r="H391" s="289"/>
      <c r="I391" s="289"/>
      <c r="J391" s="289"/>
      <c r="K391" s="289"/>
      <c r="L391" s="289"/>
      <c r="M391" s="289"/>
      <c r="N391" s="289"/>
      <c r="O391" s="289"/>
      <c r="P391" s="289"/>
      <c r="Q391" s="289"/>
      <c r="R391" s="289"/>
      <c r="S391" s="289"/>
      <c r="T391" s="289"/>
      <c r="U391" s="289"/>
      <c r="V391" s="289"/>
      <c r="W391" s="289"/>
      <c r="X391" s="289"/>
      <c r="Y391" s="289"/>
      <c r="Z391" s="289"/>
      <c r="AA391" s="289"/>
      <c r="AB391" s="289"/>
      <c r="AC391" s="289"/>
      <c r="AD391" s="289"/>
      <c r="AE391" s="289"/>
      <c r="AF391" s="289"/>
      <c r="AG391" s="289"/>
      <c r="AH391" s="289"/>
      <c r="AI391" s="289"/>
      <c r="AJ391" s="289"/>
      <c r="AK391" s="289"/>
      <c r="AL391" s="289"/>
      <c r="AM391" s="289"/>
      <c r="AN391" s="290"/>
      <c r="AO391" s="290"/>
      <c r="AP391" s="290"/>
      <c r="AQ391" s="290"/>
      <c r="AR391" s="290"/>
      <c r="AS391" s="290"/>
      <c r="AT391" s="290"/>
      <c r="AU391" s="290"/>
      <c r="AV391" s="310"/>
      <c r="AW391" s="310">
        <f>AW382/AW378*(365/AW$1)*10000</f>
        <v>0</v>
      </c>
      <c r="AX391" s="310">
        <f>AX382/AX378*(365/AX$1)*10000</f>
        <v>3.053357420930765</v>
      </c>
      <c r="AY391" s="310"/>
      <c r="AZ391" s="310">
        <f>AZ382/AZ378*(365/AZ$1)*10000</f>
        <v>3.9109087337020911</v>
      </c>
      <c r="BA391" s="310">
        <f>BA382/BA378*(365/BA$1)*10000</f>
        <v>2.4048498904228501</v>
      </c>
      <c r="BB391" s="310">
        <f>BB382/BB378*(365/BB$1)*10000</f>
        <v>3.1857740706952229</v>
      </c>
      <c r="BC391" s="310"/>
      <c r="BD391" s="310">
        <f>BD382/BD378*(365/BD$1)*10000</f>
        <v>47.92223418823874</v>
      </c>
      <c r="BE391" s="310">
        <f>BE382/BE378*(365/BE$1)*10000</f>
        <v>12.365743357829283</v>
      </c>
      <c r="BF391" s="310">
        <f>BF382/BF378*(365/BF$1)*10000</f>
        <v>29.879786659960494</v>
      </c>
      <c r="BG391" s="310"/>
      <c r="BH391" s="310">
        <f>BH382/BH378*(365/BH$1)*10000</f>
        <v>42.671878923717578</v>
      </c>
      <c r="BI391" s="310">
        <f>BI382/BI378*(365/BI$1)*10000</f>
        <v>37.138787138787137</v>
      </c>
      <c r="BJ391" s="310">
        <f>BJ382/BJ378*(365/BJ$1)*10000</f>
        <v>39.891804243167812</v>
      </c>
      <c r="BK391" s="310"/>
      <c r="BL391" s="310">
        <f>BL382/BL378*(365/BL$1)*10000</f>
        <v>34.103457062770744</v>
      </c>
      <c r="BM391" s="310">
        <f>BM382/BM378*(365/BM$1)*10000</f>
        <v>44.566544566544565</v>
      </c>
      <c r="BN391" s="310">
        <f>BN382/BN378*(365/BN$1)*10000</f>
        <v>39.608801955990224</v>
      </c>
      <c r="BO391" s="310"/>
      <c r="BP391" s="310">
        <f>BP382/BP378*(365/BP$1)*10000</f>
        <v>155.13054037644201</v>
      </c>
      <c r="BQ391" s="310">
        <f>BQ382/BQ378*(365/BQ$1)*10000</f>
        <v>81.656326708164585</v>
      </c>
      <c r="BR391" s="310">
        <f>BR382/BR378*(365/BR$1)*10000</f>
        <v>116.17426139208813</v>
      </c>
      <c r="BS391" s="310"/>
      <c r="BT391" s="310">
        <f>BT382/BT378*(365/BT$1)*10000</f>
        <v>201.63796318035551</v>
      </c>
      <c r="BU391" s="310">
        <f>BU382/BU378*(365/BU$1)*10000</f>
        <v>19.94535519125683</v>
      </c>
      <c r="BV391" s="310">
        <f>BV382/BV378*(365/BV$1)*10000</f>
        <v>110.29689506685806</v>
      </c>
      <c r="BW391" s="310"/>
      <c r="BX391" s="310">
        <f>BX382/BX378*(365/BX$1)*10000</f>
        <v>55.77938316198945</v>
      </c>
      <c r="BY391" s="310">
        <f>BY382/BY378*(365/BY$1)*10000</f>
        <v>28.086390399529659</v>
      </c>
      <c r="BZ391" s="310">
        <f>BZ382/BZ378*(365/BZ$1)*10000</f>
        <v>41.452468380252959</v>
      </c>
      <c r="CA391" s="310"/>
      <c r="CB391" s="310">
        <f>CB382/CB378*(365/CB$1)*10000</f>
        <v>156.37630549358167</v>
      </c>
      <c r="CC391" s="310">
        <f>CC382/CC378*(365/CC$1)*10000</f>
        <v>10.63084479989924</v>
      </c>
      <c r="CD391" s="310">
        <f>CD382/CD378*(365/CD$1)*10000</f>
        <v>82.532751091703062</v>
      </c>
      <c r="CE391" s="1615"/>
      <c r="CF391" s="310">
        <f>CF382/CF378*(365/CF$1)*10000</f>
        <v>65.084843255680184</v>
      </c>
      <c r="CG391" s="310">
        <f>CG382/CG378*(365/CG$1)*10000</f>
        <v>95.310629964095313</v>
      </c>
      <c r="CH391" s="310">
        <f>CH382/CH378*(365/CH$1)*10000</f>
        <v>81.394101876675606</v>
      </c>
      <c r="CI391" s="1615"/>
      <c r="CJ391" s="310">
        <f>CJ382/CJ378*(365/CJ$1)*10000</f>
        <v>99.957304795757764</v>
      </c>
      <c r="CK391" s="310">
        <f>CK382/CK378*(365/CK$1)*10000</f>
        <v>45.737773769114781</v>
      </c>
      <c r="CL391" s="310">
        <f>CL382/CL378*(365/CL$1)*10000</f>
        <v>71.546938736242595</v>
      </c>
      <c r="CM391" s="1615">
        <f>+AVERAGE(CL391,CH391,CD391,BZ391,BV391)</f>
        <v>77.444631030346457</v>
      </c>
      <c r="CN391" s="310">
        <f>CN382/CN378*(365/CN$1)*10000</f>
        <v>68.341317078837491</v>
      </c>
      <c r="CO391" s="310">
        <f>CO382/CO378*(365/CO$1)*10000</f>
        <v>40.321180136807875</v>
      </c>
      <c r="CP391" s="310">
        <f>CP382/CP378*(365/CP$1)*10000</f>
        <v>54.735941843061788</v>
      </c>
      <c r="CQ391" s="1615">
        <f>+AVERAGE(CP391,CL391,CH391,CD391,BZ391)</f>
        <v>66.332440385587205</v>
      </c>
      <c r="CR391" s="310">
        <f>CR382/CR378*(365/CR$1)*10000</f>
        <v>28.892037149474913</v>
      </c>
      <c r="CS391" s="310">
        <f>CS382/CS378*(365/CS$1)*10000</f>
        <v>31.724495333852929</v>
      </c>
      <c r="CT391" s="310">
        <f>CT382/CT378*(365/CT$1)*10000</f>
        <v>30.37282842084716</v>
      </c>
      <c r="CU391" s="1615">
        <f>+AVERAGE(CT391,CP391,CL391,CH391,CD391)</f>
        <v>64.116512393706046</v>
      </c>
      <c r="CV391" s="310">
        <f>CV382/CV378*(365/CV$1)*10000</f>
        <v>31.853431134284829</v>
      </c>
      <c r="CW391" s="310">
        <f>CW382/CW378*(365/CW$1)*10000</f>
        <v>55.281997904948732</v>
      </c>
      <c r="CX391" s="310">
        <f>CX382/CX378*(365/CX$1)*10000</f>
        <v>44.13925263494091</v>
      </c>
      <c r="CY391" s="1615">
        <f>+AVERAGE(CX391,CT391,CP391,CL391,CH391)</f>
        <v>56.437812702353611</v>
      </c>
      <c r="CZ391" s="310">
        <f>CZ382/CZ378*(365/CZ$1)*10000</f>
        <v>27.232304455519888</v>
      </c>
      <c r="DA391" s="310">
        <f>DA382/DA378*(365/DA$1)*10000</f>
        <v>43.842043965200055</v>
      </c>
      <c r="DB391" s="310">
        <f>DB382/DB378*(365/DB$1)*10000</f>
        <v>35.698536734315873</v>
      </c>
      <c r="DC391" s="1615">
        <f>+AVERAGE(DB391,CX391,CT391,CP391,CL391)</f>
        <v>47.298699673881664</v>
      </c>
      <c r="DD391" s="310">
        <f>DD382/DD378*(365/DD$1)*10000</f>
        <v>43.40160983842604</v>
      </c>
      <c r="DE391" s="310">
        <f>DE382/DE378*(365/DE$1)*10000</f>
        <v>45.870071957028479</v>
      </c>
      <c r="DF391" s="310">
        <f>DF382/DF378*(365/DF$1)*10000</f>
        <v>44.645952793705831</v>
      </c>
      <c r="DG391" s="310"/>
      <c r="DH391" s="310">
        <f>DH382/DH378*(365/DH$1)*10000</f>
        <v>76.367123446898788</v>
      </c>
      <c r="DI391" s="2161">
        <v>65</v>
      </c>
      <c r="DJ391" s="310">
        <f>DJ382/DJ378*(365/DJ$1)*10000</f>
        <v>70.568774905073397</v>
      </c>
      <c r="DK391" s="310"/>
      <c r="DL391" s="1980">
        <v>50</v>
      </c>
      <c r="DM391" s="1980">
        <v>50</v>
      </c>
      <c r="DN391" s="310">
        <f>DN382/DN378*(365/DN$1)*10000</f>
        <v>49.998019359229971</v>
      </c>
      <c r="DO391" s="853"/>
      <c r="DP391" s="1980">
        <v>50</v>
      </c>
      <c r="DQ391" s="1980">
        <v>50</v>
      </c>
      <c r="DR391" s="310">
        <f>DR382/DR378*(365/DR$1)*10000</f>
        <v>50</v>
      </c>
      <c r="DS391" s="853"/>
      <c r="DT391" s="853"/>
      <c r="DU391" s="1229"/>
      <c r="DV391" s="1229"/>
      <c r="DW391" s="1229"/>
      <c r="DX391" s="853"/>
      <c r="DY391" s="853"/>
      <c r="DZ391" s="1229"/>
      <c r="EA391" s="1229"/>
      <c r="EB391" s="853"/>
      <c r="EC391" s="853"/>
      <c r="ED391" s="1229"/>
      <c r="EE391" s="1229"/>
      <c r="EF391" s="853"/>
      <c r="EG391" s="853"/>
      <c r="EH391" s="853"/>
      <c r="EI391" s="853"/>
      <c r="EJ391" s="853"/>
      <c r="EK391" s="853"/>
      <c r="EL391" s="853"/>
      <c r="EM391" s="853"/>
      <c r="EN391" s="853"/>
      <c r="EO391" s="853"/>
      <c r="EP391" s="853"/>
      <c r="JM391"/>
    </row>
    <row r="392" spans="1:273" s="854" customFormat="1">
      <c r="A392" s="102" t="s">
        <v>704</v>
      </c>
      <c r="B392" s="103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  <c r="AA392" s="102"/>
      <c r="AB392" s="102"/>
      <c r="AC392" s="102"/>
      <c r="AD392" s="102"/>
      <c r="AE392" s="102"/>
      <c r="AF392" s="102"/>
      <c r="AG392" s="102"/>
      <c r="AH392" s="102"/>
      <c r="AI392" s="102"/>
      <c r="AJ392" s="102"/>
      <c r="AK392" s="102"/>
      <c r="AL392" s="102"/>
      <c r="AM392" s="102"/>
      <c r="AN392" s="290"/>
      <c r="AO392" s="290"/>
      <c r="AP392" s="290"/>
      <c r="AQ392" s="290"/>
      <c r="AR392" s="290"/>
      <c r="AS392" s="290"/>
      <c r="AT392" s="290"/>
      <c r="AU392" s="290"/>
      <c r="AV392" s="309"/>
      <c r="AW392" s="309">
        <f>AW383/AW376*(365/AW$1)*10000</f>
        <v>0</v>
      </c>
      <c r="AX392" s="309">
        <f>AX383/AX376*(365/AX$1)*10000</f>
        <v>0.22572853885916797</v>
      </c>
      <c r="AY392" s="310"/>
      <c r="AZ392" s="309">
        <f>AZ383/AZ376*(365/AZ$1)*10000</f>
        <v>0</v>
      </c>
      <c r="BA392" s="309">
        <f>BA383/BA376*(365/BA$1)*10000</f>
        <v>0</v>
      </c>
      <c r="BB392" s="309">
        <f>BB383/BB376*(365/BB$1)*10000</f>
        <v>0</v>
      </c>
      <c r="BC392" s="310"/>
      <c r="BD392" s="309">
        <f>BD383/BD376*(365/BD$1)*10000</f>
        <v>0</v>
      </c>
      <c r="BE392" s="309">
        <f>BE383/BE376*(365/BE$1)*10000</f>
        <v>0</v>
      </c>
      <c r="BF392" s="309">
        <f>BF383/BF376*(365/BF$1)*10000</f>
        <v>0</v>
      </c>
      <c r="BG392" s="310"/>
      <c r="BH392" s="309">
        <f>BH383/BH376*(365/BH$1)*10000</f>
        <v>0</v>
      </c>
      <c r="BI392" s="309">
        <f>BI383/BI376*(365/BI$1)*10000</f>
        <v>0</v>
      </c>
      <c r="BJ392" s="309">
        <f>BJ383/BJ376*(365/BJ$1)*10000</f>
        <v>0</v>
      </c>
      <c r="BK392" s="310"/>
      <c r="BL392" s="309">
        <f>BL383/BL376*(365/BL$1)*10000</f>
        <v>0</v>
      </c>
      <c r="BM392" s="309">
        <f>BM383/BM376*(365/BM$1)*10000</f>
        <v>0</v>
      </c>
      <c r="BN392" s="309">
        <f>BN383/BN376*(365/BN$1)*10000</f>
        <v>0</v>
      </c>
      <c r="BO392" s="310"/>
      <c r="BP392" s="309">
        <f>BP383/BP376*(365/BP$1)*10000</f>
        <v>0</v>
      </c>
      <c r="BQ392" s="309">
        <f>BQ383/BQ376*(365/BQ$1)*10000</f>
        <v>0</v>
      </c>
      <c r="BR392" s="309">
        <f>BR383/BR376*(365/BR$1)*10000</f>
        <v>0</v>
      </c>
      <c r="BS392" s="310"/>
      <c r="BT392" s="309">
        <f>BT383/BT376*(365/BT$1)*10000</f>
        <v>0</v>
      </c>
      <c r="BU392" s="309">
        <f>BU383/BU376*(365/BU$1)*10000</f>
        <v>0</v>
      </c>
      <c r="BV392" s="309">
        <f>BV383/BV376*(365/BV$1)*10000</f>
        <v>0</v>
      </c>
      <c r="BW392" s="310"/>
      <c r="BX392" s="309">
        <f>BX383/BX376*(365/BX$1)*10000</f>
        <v>0</v>
      </c>
      <c r="BY392" s="309">
        <f>BY383/BY376*(365/BY$1)*10000</f>
        <v>0</v>
      </c>
      <c r="BZ392" s="309">
        <f>BZ383/BZ376*(365/BZ$1)*10000</f>
        <v>0</v>
      </c>
      <c r="CA392" s="310"/>
      <c r="CB392" s="309">
        <f>CB383/CB376*(365/CB$1)*10000</f>
        <v>0</v>
      </c>
      <c r="CC392" s="309">
        <f>CC383/CC376*(365/CC$1)*10000</f>
        <v>0</v>
      </c>
      <c r="CD392" s="309">
        <f>CD383/CD376*(365/CD$1)*10000</f>
        <v>0</v>
      </c>
      <c r="CE392" s="1615"/>
      <c r="CF392" s="309">
        <f>CF383/CF376*(365/CF$1)*10000</f>
        <v>0</v>
      </c>
      <c r="CG392" s="309">
        <f>CG383/CG376*(365/CG$1)*10000</f>
        <v>0</v>
      </c>
      <c r="CH392" s="309">
        <f>CH383/CH376*(365/CH$1)*10000</f>
        <v>0</v>
      </c>
      <c r="CI392" s="1615"/>
      <c r="CJ392" s="309">
        <f>CJ383/CJ376*(365/CJ$1)*10000</f>
        <v>0</v>
      </c>
      <c r="CK392" s="309">
        <f>CK383/CK376*(365/CK$1)*10000</f>
        <v>0</v>
      </c>
      <c r="CL392" s="309">
        <f>CL383/CL376*(365/CL$1)*10000</f>
        <v>0</v>
      </c>
      <c r="CM392" s="1615"/>
      <c r="CN392" s="309">
        <f>CN383/CN376*(365/CN$1)*10000</f>
        <v>0</v>
      </c>
      <c r="CO392" s="309">
        <f>CO383/CO376*(365/CO$1)*10000</f>
        <v>0</v>
      </c>
      <c r="CP392" s="309">
        <f>CP383/CP376*(365/CP$1)*10000</f>
        <v>0</v>
      </c>
      <c r="CQ392" s="1615"/>
      <c r="CR392" s="309">
        <f>CR383/CR376*(365/CR$1)*10000</f>
        <v>0</v>
      </c>
      <c r="CS392" s="309">
        <f>CS383/CS376*(365/CS$1)*10000</f>
        <v>0</v>
      </c>
      <c r="CT392" s="309">
        <f>CT383/CT376*(365/CT$1)*10000</f>
        <v>0</v>
      </c>
      <c r="CU392" s="1615"/>
      <c r="CV392" s="309">
        <f>CV383/CV376*(365/CV$1)*10000</f>
        <v>0</v>
      </c>
      <c r="CW392" s="309">
        <f>CW383/CW376*(365/CW$1)*10000</f>
        <v>0</v>
      </c>
      <c r="CX392" s="309">
        <f>CX383/CX376*(365/CX$1)*10000</f>
        <v>0</v>
      </c>
      <c r="CY392" s="1615"/>
      <c r="CZ392" s="309">
        <f>CZ383/CZ376*(365/CZ$1)*10000</f>
        <v>0</v>
      </c>
      <c r="DA392" s="309">
        <f>DA383/DA376*(365/DA$1)*10000</f>
        <v>0</v>
      </c>
      <c r="DB392" s="309">
        <f>DB383/DB376*(365/DB$1)*10000</f>
        <v>0</v>
      </c>
      <c r="DC392" s="1615"/>
      <c r="DD392" s="309">
        <f>DD383/DD376*(365/DD$1)*10000</f>
        <v>0</v>
      </c>
      <c r="DE392" s="309">
        <f>DE383/DE376*(365/DE$1)*10000</f>
        <v>0</v>
      </c>
      <c r="DF392" s="309">
        <f>DF383/DF376*(365/DF$1)*10000</f>
        <v>0</v>
      </c>
      <c r="DG392" s="310"/>
      <c r="DH392" s="309">
        <f>DH383/DH376*(365/DH$1)*10000</f>
        <v>0</v>
      </c>
      <c r="DI392" s="1979">
        <v>0</v>
      </c>
      <c r="DJ392" s="309">
        <f>DJ383/DJ376*(365/DJ$1)*10000</f>
        <v>0</v>
      </c>
      <c r="DK392" s="310"/>
      <c r="DL392" s="1979">
        <v>0</v>
      </c>
      <c r="DM392" s="1979">
        <v>0</v>
      </c>
      <c r="DN392" s="309">
        <f>DN383/DN376*(365/DN$1)*10000</f>
        <v>0</v>
      </c>
      <c r="DO392" s="853"/>
      <c r="DP392" s="1979">
        <v>0</v>
      </c>
      <c r="DQ392" s="1979">
        <v>0</v>
      </c>
      <c r="DR392" s="309">
        <f>DR383/DR376*(365/DR$1)*10000</f>
        <v>0</v>
      </c>
      <c r="DS392" s="853"/>
      <c r="DT392" s="853"/>
      <c r="DU392" s="850"/>
      <c r="DV392" s="850"/>
      <c r="DW392" s="850"/>
      <c r="DX392" s="853"/>
      <c r="DY392" s="853"/>
      <c r="DZ392" s="850"/>
      <c r="EA392" s="850"/>
      <c r="EB392" s="853"/>
      <c r="EC392" s="853"/>
      <c r="ED392" s="850"/>
      <c r="EE392" s="850"/>
      <c r="EF392" s="853"/>
      <c r="EG392" s="853"/>
      <c r="EH392" s="853"/>
      <c r="EI392" s="853"/>
      <c r="EJ392" s="853"/>
      <c r="EK392" s="853"/>
      <c r="EL392" s="853"/>
      <c r="EM392" s="853"/>
      <c r="EN392" s="853"/>
      <c r="EO392" s="853"/>
      <c r="EP392" s="853"/>
      <c r="EQ392" s="855"/>
      <c r="ER392" s="855"/>
      <c r="ES392" s="855"/>
      <c r="ET392" s="855"/>
      <c r="EU392" s="855"/>
      <c r="EV392" s="855"/>
      <c r="EW392" s="855"/>
      <c r="EX392" s="855"/>
      <c r="EY392" s="855"/>
      <c r="EZ392" s="855"/>
      <c r="FA392" s="855"/>
      <c r="FB392" s="855"/>
      <c r="FC392" s="855"/>
      <c r="FD392" s="855"/>
      <c r="FE392" s="855"/>
      <c r="FF392" s="855"/>
      <c r="FG392" s="855"/>
      <c r="FH392" s="855"/>
      <c r="FI392" s="855"/>
      <c r="FJ392" s="855"/>
      <c r="FK392" s="855"/>
      <c r="FL392" s="855"/>
      <c r="FM392" s="855"/>
      <c r="FN392" s="855"/>
      <c r="FO392" s="855"/>
      <c r="FP392" s="855"/>
      <c r="FQ392" s="855"/>
      <c r="FR392" s="855"/>
      <c r="FS392" s="855"/>
      <c r="FT392" s="855"/>
      <c r="FU392" s="855"/>
      <c r="FV392" s="855"/>
      <c r="FW392" s="855"/>
      <c r="FX392" s="855"/>
      <c r="FY392" s="855"/>
      <c r="FZ392" s="855"/>
      <c r="GA392" s="855"/>
      <c r="GB392" s="855"/>
      <c r="GC392" s="855"/>
      <c r="GD392" s="855"/>
      <c r="GE392" s="855"/>
      <c r="GF392" s="855"/>
      <c r="GG392" s="855"/>
      <c r="GH392" s="855"/>
      <c r="GI392" s="855"/>
      <c r="GJ392" s="855"/>
      <c r="GK392" s="855"/>
      <c r="GL392" s="855"/>
      <c r="GM392" s="855"/>
      <c r="GN392" s="855"/>
      <c r="GO392" s="855"/>
      <c r="GP392" s="855"/>
      <c r="GQ392" s="855"/>
      <c r="GR392" s="855"/>
      <c r="GS392" s="855"/>
      <c r="GT392" s="855"/>
      <c r="GU392" s="855"/>
      <c r="GV392" s="855"/>
      <c r="GW392" s="855"/>
      <c r="GX392" s="855"/>
      <c r="GY392" s="855"/>
      <c r="GZ392" s="855"/>
      <c r="HA392" s="855"/>
      <c r="HB392" s="855"/>
      <c r="HC392" s="855"/>
      <c r="HD392" s="855"/>
      <c r="HE392" s="855"/>
      <c r="HF392" s="855"/>
      <c r="HG392" s="855"/>
      <c r="HH392" s="855"/>
      <c r="HI392" s="855"/>
      <c r="HJ392" s="855"/>
      <c r="HK392" s="855"/>
      <c r="HL392" s="855"/>
      <c r="HM392" s="855"/>
      <c r="HN392" s="855"/>
      <c r="HO392" s="855"/>
      <c r="HP392" s="855"/>
      <c r="HQ392" s="855"/>
      <c r="HR392" s="855"/>
      <c r="HS392" s="855"/>
      <c r="HT392" s="855"/>
      <c r="HU392" s="855"/>
      <c r="HV392" s="855"/>
      <c r="HW392" s="855"/>
      <c r="HX392" s="855"/>
      <c r="HY392" s="855"/>
      <c r="HZ392" s="855"/>
      <c r="IA392" s="855"/>
      <c r="IB392" s="855"/>
      <c r="IC392" s="855"/>
      <c r="ID392" s="855"/>
      <c r="IE392" s="855"/>
      <c r="IF392" s="855"/>
      <c r="IG392" s="855"/>
      <c r="IH392" s="855"/>
      <c r="II392" s="855"/>
      <c r="IJ392" s="855"/>
      <c r="IK392" s="855"/>
      <c r="IL392" s="855"/>
      <c r="IM392" s="855"/>
      <c r="IN392" s="855"/>
      <c r="IO392" s="855"/>
      <c r="IP392" s="855"/>
      <c r="IQ392" s="855"/>
      <c r="IR392" s="855"/>
      <c r="IS392" s="855"/>
      <c r="IT392" s="855"/>
      <c r="IU392" s="855"/>
      <c r="IV392" s="855"/>
      <c r="IW392" s="855"/>
      <c r="IX392" s="855"/>
      <c r="IY392" s="855"/>
      <c r="IZ392" s="855"/>
      <c r="JA392" s="855"/>
      <c r="JB392" s="855"/>
      <c r="JC392" s="855"/>
      <c r="JD392" s="855"/>
      <c r="JE392" s="855"/>
      <c r="JF392" s="855"/>
      <c r="JG392" s="855"/>
      <c r="JH392" s="855"/>
      <c r="JI392" s="855"/>
      <c r="JJ392" s="855"/>
      <c r="JK392" s="855"/>
      <c r="JL392" s="855"/>
      <c r="JM392"/>
    </row>
    <row r="393" spans="1:273" s="854" customFormat="1">
      <c r="A393" s="102" t="s">
        <v>705</v>
      </c>
      <c r="B393" s="103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  <c r="AA393" s="102"/>
      <c r="AB393" s="102"/>
      <c r="AC393" s="102"/>
      <c r="AD393" s="102"/>
      <c r="AE393" s="102"/>
      <c r="AF393" s="102"/>
      <c r="AG393" s="102"/>
      <c r="AH393" s="102"/>
      <c r="AI393" s="102"/>
      <c r="AJ393" s="102"/>
      <c r="AK393" s="102"/>
      <c r="AL393" s="102"/>
      <c r="AM393" s="102"/>
      <c r="AN393" s="290"/>
      <c r="AO393" s="290"/>
      <c r="AP393" s="290"/>
      <c r="AQ393" s="290"/>
      <c r="AR393" s="290"/>
      <c r="AS393" s="290"/>
      <c r="AT393" s="290"/>
      <c r="AU393" s="290"/>
      <c r="AV393" s="309">
        <f>AV384/AV205*(365/AV$1)*10000</f>
        <v>1.7975170741671187</v>
      </c>
      <c r="AW393" s="309">
        <f>AW384/AW205*(365/AW$1)*10000</f>
        <v>0.40143208973337979</v>
      </c>
      <c r="AX393" s="309">
        <f>AX384/AX205*(365/AX$1)*10000</f>
        <v>1.0035912600886581</v>
      </c>
      <c r="AY393" s="310"/>
      <c r="AZ393" s="309">
        <f>AZ384/AZ205*(365/AZ$1)*10000</f>
        <v>0.89581366290440712</v>
      </c>
      <c r="BA393" s="309">
        <f>BA384/BA205*(365/BA$1)*10000</f>
        <v>0.97374112746203778</v>
      </c>
      <c r="BB393" s="309">
        <f>BB384/BB205*(365/BB$1)*10000</f>
        <v>0.9345079131068762</v>
      </c>
      <c r="BC393" s="310"/>
      <c r="BD393" s="309">
        <f>BD384/BD205*(365/BD$1)*10000</f>
        <v>5.6316445897443996</v>
      </c>
      <c r="BE393" s="309">
        <f>BE384/BE205*(365/BE$1)*10000</f>
        <v>2.2098110109585187</v>
      </c>
      <c r="BF393" s="309">
        <f>BF384/BF205*(365/BF$1)*10000</f>
        <v>3.8947434672688872</v>
      </c>
      <c r="BG393" s="310"/>
      <c r="BH393" s="309">
        <f>BH384/BH205*(365/BH$1)*10000</f>
        <v>4.5820414648158891</v>
      </c>
      <c r="BI393" s="309">
        <f>BI384/BI205*(365/BI$1)*10000</f>
        <v>5.1884026601063207</v>
      </c>
      <c r="BJ393" s="309">
        <f>BJ384/BJ205*(365/BJ$1)*10000</f>
        <v>4.8884195873607528</v>
      </c>
      <c r="BK393" s="310"/>
      <c r="BL393" s="309">
        <f>BL384/BL205*(365/BL$1)*10000</f>
        <v>4.1311837595809511</v>
      </c>
      <c r="BM393" s="309">
        <f>BM384/BM205*(365/BM$1)*10000</f>
        <v>7.0708931044126571</v>
      </c>
      <c r="BN393" s="309">
        <f>BN384/BN205*(365/BN$1)*10000</f>
        <v>5.6743152252075566</v>
      </c>
      <c r="BO393" s="310"/>
      <c r="BP393" s="309">
        <f>BP384/BP205*(365/BP$1)*10000</f>
        <v>17.544198765095622</v>
      </c>
      <c r="BQ393" s="309">
        <f>BQ384/BQ205*(365/BQ$1)*10000</f>
        <v>12.997142832919311</v>
      </c>
      <c r="BR393" s="309">
        <f>BR384/BR205*(365/BR$1)*10000</f>
        <v>15.198815084880939</v>
      </c>
      <c r="BS393" s="310"/>
      <c r="BT393" s="309">
        <f>BT384/BT205*(365/BT$1)*10000</f>
        <v>24.630885757833134</v>
      </c>
      <c r="BU393" s="309">
        <f>BU384/BU205*(365/BU$1)*10000</f>
        <v>3.4219972141862209</v>
      </c>
      <c r="BV393" s="309">
        <f>BV384/BV205*(365/BV$1)*10000</f>
        <v>14.064748051428118</v>
      </c>
      <c r="BW393" s="310"/>
      <c r="BX393" s="309">
        <f>BX384/BX205*(365/BX$1)*10000</f>
        <v>7.0041528248578002</v>
      </c>
      <c r="BY393" s="309">
        <f>BY384/BY205*(365/BY$1)*10000</f>
        <v>3.8817354785644707</v>
      </c>
      <c r="BZ393" s="309">
        <f>BZ384/BZ205*(365/BZ$1)*10000</f>
        <v>5.4447022428460947</v>
      </c>
      <c r="CA393" s="310"/>
      <c r="CB393" s="309">
        <f>CB384/CB205*(365/CB$1)*10000</f>
        <v>22.503741438606824</v>
      </c>
      <c r="CC393" s="309">
        <f>CC384/CC205*(365/CC$1)*10000</f>
        <v>2.4057638328579385</v>
      </c>
      <c r="CD393" s="309">
        <f>CD384/CD205*(365/CD$1)*10000</f>
        <v>12.402939183907447</v>
      </c>
      <c r="CE393" s="1615"/>
      <c r="CF393" s="309">
        <f>CF384/CF205*(365/CF$1)*10000</f>
        <v>10.777141528902908</v>
      </c>
      <c r="CG393" s="309">
        <f>CG384/CG205*(365/CG$1)*10000</f>
        <v>17.632726789002387</v>
      </c>
      <c r="CH393" s="309">
        <f>CH384/CH205*(365/CH$1)*10000</f>
        <v>14.282380396732789</v>
      </c>
      <c r="CI393" s="1615"/>
      <c r="CJ393" s="309">
        <f>CJ384/CJ205*(365/CJ$1)*10000</f>
        <v>19.586625781342139</v>
      </c>
      <c r="CK393" s="309">
        <f>CK384/CK205*(365/CK$1)*10000</f>
        <v>9.4592958137373948</v>
      </c>
      <c r="CL393" s="309">
        <f>CL384/CL205*(365/CL$1)*10000</f>
        <v>14.416636538294545</v>
      </c>
      <c r="CM393" s="1615" t="s">
        <v>1222</v>
      </c>
      <c r="CN393" s="309">
        <f>CN384/CN205*(365/CN$1)*10000</f>
        <v>14.293652080494658</v>
      </c>
      <c r="CO393" s="309">
        <f>CO384/CO205*(365/CO$1)*10000</f>
        <v>8.6172890756186789</v>
      </c>
      <c r="CP393" s="309">
        <f>CP384/CP205*(365/CP$1)*10000</f>
        <v>11.508128827598361</v>
      </c>
      <c r="CQ393" s="1615" t="s">
        <v>1222</v>
      </c>
      <c r="CR393" s="309">
        <f>CR384/CR205*(365/CR$1)*10000</f>
        <v>5.4408998518185392</v>
      </c>
      <c r="CS393" s="309">
        <f>CS384/CS205*(365/CS$1)*10000</f>
        <v>5.6943710525653612</v>
      </c>
      <c r="CT393" s="309">
        <f>CT384/CT205*(365/CT$1)*10000</f>
        <v>5.5763923289222275</v>
      </c>
      <c r="CU393" s="1615" t="s">
        <v>1222</v>
      </c>
      <c r="CV393" s="309">
        <f>CV384/CV205*(365/CV$1)*10000</f>
        <v>5.8146862418695724</v>
      </c>
      <c r="CW393" s="309">
        <f>CW384/CW205*(365/CW$1)*10000</f>
        <v>10.663160969909436</v>
      </c>
      <c r="CX393" s="309">
        <f>CX384/CX205*(365/CX$1)*10000</f>
        <v>8.2938814646131718</v>
      </c>
      <c r="CY393" s="1615" t="s">
        <v>1222</v>
      </c>
      <c r="CZ393" s="309">
        <f>CZ384/CZ205*(365/CZ$1)*10000</f>
        <v>5.3169590253435128</v>
      </c>
      <c r="DA393" s="309">
        <f>DA384/DA205*(365/DA$1)*10000</f>
        <v>8.60887865436972</v>
      </c>
      <c r="DB393" s="309">
        <f>DB384/DB205*(365/DB$1)*10000</f>
        <v>6.9902075179444356</v>
      </c>
      <c r="DC393" s="1615" t="s">
        <v>1222</v>
      </c>
      <c r="DD393" s="309">
        <f>DD384/DD205*(365/DD$1)*10000</f>
        <v>8.6658165512117975</v>
      </c>
      <c r="DE393" s="309">
        <f>DE384/DE205*(365/DE$1)*10000</f>
        <v>9.3700572223556389</v>
      </c>
      <c r="DF393" s="309">
        <f>DF384/DF205*(365/DF$1)*10000</f>
        <v>9.01721026690727</v>
      </c>
      <c r="DG393" s="310"/>
      <c r="DH393" s="309">
        <f>DH384/DH205*(365/DH$1)*10000</f>
        <v>15.871468369654401</v>
      </c>
      <c r="DI393" s="309">
        <f>DI384/DI205*(365/DI$1)*10000</f>
        <v>16.289496342355857</v>
      </c>
      <c r="DJ393" s="309">
        <f>DJ384/DJ205*(365/DJ$1)*10000</f>
        <v>16.07044476881115</v>
      </c>
      <c r="DK393" s="310"/>
      <c r="DL393" s="309">
        <f>DL384/DL205*(365/DL$1)*10000</f>
        <v>14.733839483614542</v>
      </c>
      <c r="DM393" s="309">
        <f>DM384/DM205*(365/DM$1)*10000</f>
        <v>14.671868692583571</v>
      </c>
      <c r="DN393" s="309">
        <f>DN384/DN205*(365/DN$1)*10000</f>
        <v>14.701755967527259</v>
      </c>
      <c r="DO393" s="853"/>
      <c r="DP393" s="309">
        <f>DP384/DP205*(365/DP$1)*10000</f>
        <v>14.687147094058952</v>
      </c>
      <c r="DQ393" s="309">
        <f>DQ384/DQ205*(365/DQ$1)*10000</f>
        <v>14.703099468909485</v>
      </c>
      <c r="DR393" s="309">
        <f>DR384/DR205*(365/DR$1)*10000</f>
        <v>14.695255973967896</v>
      </c>
      <c r="DS393" s="853"/>
      <c r="DT393" s="853"/>
      <c r="DU393" s="818"/>
      <c r="DV393" s="818"/>
      <c r="DW393" s="818"/>
      <c r="DX393" s="853"/>
      <c r="DY393" s="853"/>
      <c r="DZ393" s="818"/>
      <c r="EA393" s="818"/>
      <c r="EB393" s="853"/>
      <c r="EC393" s="853"/>
      <c r="ED393" s="818"/>
      <c r="EE393" s="818"/>
      <c r="EF393" s="853"/>
      <c r="EG393" s="853"/>
      <c r="EH393" s="853"/>
      <c r="EI393" s="853"/>
      <c r="EJ393" s="853"/>
      <c r="EK393" s="853"/>
      <c r="EL393" s="853"/>
      <c r="EM393" s="853"/>
      <c r="EN393" s="853"/>
      <c r="EO393" s="853"/>
      <c r="EP393" s="853"/>
      <c r="EQ393" s="855"/>
      <c r="ER393" s="855"/>
      <c r="ES393" s="855"/>
      <c r="ET393" s="855"/>
      <c r="EU393" s="855"/>
      <c r="EV393" s="855"/>
      <c r="EW393" s="855"/>
      <c r="EX393" s="855"/>
      <c r="EY393" s="855"/>
      <c r="EZ393" s="855"/>
      <c r="FA393" s="855"/>
      <c r="FB393" s="855"/>
      <c r="FC393" s="855"/>
      <c r="FD393" s="855"/>
      <c r="FE393" s="855"/>
      <c r="FF393" s="855"/>
      <c r="FG393" s="855"/>
      <c r="FH393" s="855"/>
      <c r="FI393" s="855"/>
      <c r="FJ393" s="855"/>
      <c r="FK393" s="855"/>
      <c r="FL393" s="855"/>
      <c r="FM393" s="855"/>
      <c r="FN393" s="855"/>
      <c r="FO393" s="855"/>
      <c r="FP393" s="855"/>
      <c r="FQ393" s="855"/>
      <c r="FR393" s="855"/>
      <c r="FS393" s="855"/>
      <c r="FT393" s="855"/>
      <c r="FU393" s="855"/>
      <c r="FV393" s="855"/>
      <c r="FW393" s="855"/>
      <c r="FX393" s="855"/>
      <c r="FY393" s="855"/>
      <c r="FZ393" s="855"/>
      <c r="GA393" s="855"/>
      <c r="GB393" s="855"/>
      <c r="GC393" s="855"/>
      <c r="GD393" s="855"/>
      <c r="GE393" s="855"/>
      <c r="GF393" s="855"/>
      <c r="GG393" s="855"/>
      <c r="GH393" s="855"/>
      <c r="GI393" s="855"/>
      <c r="GJ393" s="855"/>
      <c r="GK393" s="855"/>
      <c r="GL393" s="855"/>
      <c r="GM393" s="855"/>
      <c r="GN393" s="855"/>
      <c r="GO393" s="855"/>
      <c r="GP393" s="855"/>
      <c r="GQ393" s="855"/>
      <c r="GR393" s="855"/>
      <c r="GS393" s="855"/>
      <c r="GT393" s="855"/>
      <c r="GU393" s="855"/>
      <c r="GV393" s="855"/>
      <c r="GW393" s="855"/>
      <c r="GX393" s="855"/>
      <c r="GY393" s="855"/>
      <c r="GZ393" s="855"/>
      <c r="HA393" s="855"/>
      <c r="HB393" s="855"/>
      <c r="HC393" s="855"/>
      <c r="HD393" s="855"/>
      <c r="HE393" s="855"/>
      <c r="HF393" s="855"/>
      <c r="HG393" s="855"/>
      <c r="HH393" s="855"/>
      <c r="HI393" s="855"/>
      <c r="HJ393" s="855"/>
      <c r="HK393" s="855"/>
      <c r="HL393" s="855"/>
      <c r="HM393" s="855"/>
      <c r="HN393" s="855"/>
      <c r="HO393" s="855"/>
      <c r="HP393" s="855"/>
      <c r="HQ393" s="855"/>
      <c r="HR393" s="855"/>
      <c r="HS393" s="855"/>
      <c r="HT393" s="855"/>
      <c r="HU393" s="855"/>
      <c r="HV393" s="855"/>
      <c r="HW393" s="855"/>
      <c r="HX393" s="855"/>
      <c r="HY393" s="855"/>
      <c r="HZ393" s="855"/>
      <c r="IA393" s="855"/>
      <c r="IB393" s="855"/>
      <c r="IC393" s="855"/>
      <c r="ID393" s="855"/>
      <c r="IE393" s="855"/>
      <c r="IF393" s="855"/>
      <c r="IG393" s="855"/>
      <c r="IH393" s="855"/>
      <c r="II393" s="855"/>
      <c r="IJ393" s="855"/>
      <c r="IK393" s="855"/>
      <c r="IL393" s="855"/>
      <c r="IM393" s="855"/>
      <c r="IN393" s="855"/>
      <c r="IO393" s="855"/>
      <c r="IP393" s="855"/>
      <c r="IQ393" s="855"/>
      <c r="IR393" s="855"/>
      <c r="IS393" s="855"/>
      <c r="IT393" s="855"/>
      <c r="IU393" s="855"/>
      <c r="IV393" s="855"/>
      <c r="IW393" s="855"/>
      <c r="IX393" s="855"/>
      <c r="IY393" s="855"/>
      <c r="IZ393" s="855"/>
      <c r="JA393" s="855"/>
      <c r="JB393" s="855"/>
      <c r="JC393" s="855"/>
      <c r="JD393" s="855"/>
      <c r="JE393" s="855"/>
      <c r="JF393" s="855"/>
      <c r="JG393" s="855"/>
      <c r="JH393" s="855"/>
      <c r="JI393" s="855"/>
      <c r="JJ393" s="855"/>
      <c r="JK393" s="855"/>
      <c r="JL393" s="855"/>
      <c r="JM393"/>
    </row>
    <row r="394" spans="1:273" s="854" customFormat="1">
      <c r="A394" s="102" t="s">
        <v>689</v>
      </c>
      <c r="B394" s="103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290"/>
      <c r="AO394" s="290"/>
      <c r="AP394" s="290"/>
      <c r="AQ394" s="290"/>
      <c r="AR394" s="290"/>
      <c r="AS394" s="290"/>
      <c r="AT394" s="290"/>
      <c r="AU394" s="290"/>
      <c r="AV394" s="309"/>
      <c r="AW394" s="309">
        <f>AW385/AW207*(365/AW$1)*10000</f>
        <v>0</v>
      </c>
      <c r="AX394" s="309">
        <f>AX385/AX207*(365/AX$1)*10000</f>
        <v>0</v>
      </c>
      <c r="AY394" s="310"/>
      <c r="AZ394" s="309">
        <f>AZ385/AZ207*(365/AZ$1)*10000</f>
        <v>0</v>
      </c>
      <c r="BA394" s="309">
        <f>BA385/BA207*(365/BA$1)*10000</f>
        <v>0</v>
      </c>
      <c r="BB394" s="309">
        <f>BB385/BB207*(365/BB$1)*10000</f>
        <v>0</v>
      </c>
      <c r="BC394" s="310"/>
      <c r="BD394" s="309">
        <f>BD385/BD207*(365/BD$1)*10000</f>
        <v>0</v>
      </c>
      <c r="BE394" s="309">
        <f>BE385/BE207*(365/BE$1)*10000</f>
        <v>30.174516174367366</v>
      </c>
      <c r="BF394" s="309">
        <f>BF385/BF207*(365/BF$1)*10000</f>
        <v>12.627638614280995</v>
      </c>
      <c r="BG394" s="310"/>
      <c r="BH394" s="309">
        <f>BH385/BH207*(365/BH$1)*10000</f>
        <v>0</v>
      </c>
      <c r="BI394" s="309">
        <f>BI385/BI207*(365/BI$1)*10000</f>
        <v>0</v>
      </c>
      <c r="BJ394" s="309">
        <f>BJ385/BJ207*(365/BJ$1)*10000</f>
        <v>0</v>
      </c>
      <c r="BK394" s="310"/>
      <c r="BL394" s="309">
        <f>BL385/BL207*(365/BL$1)*10000</f>
        <v>0</v>
      </c>
      <c r="BM394" s="309">
        <f>BM385/BM207*(365/BM$1)*10000</f>
        <v>0</v>
      </c>
      <c r="BN394" s="309">
        <f>BN385/BN207*(365/BN$1)*10000</f>
        <v>0</v>
      </c>
      <c r="BO394" s="310"/>
      <c r="BP394" s="309">
        <f>BP385/BP207*(365/BP$1)*10000</f>
        <v>0</v>
      </c>
      <c r="BQ394" s="309">
        <f>BQ385/BQ207*(365/BQ$1)*10000</f>
        <v>0</v>
      </c>
      <c r="BR394" s="309">
        <f>BR385/BR207*(365/BR$1)*10000</f>
        <v>0</v>
      </c>
      <c r="BS394" s="310"/>
      <c r="BT394" s="309">
        <f>BT385/BT207*(365/BT$1)*10000</f>
        <v>185.53818782564491</v>
      </c>
      <c r="BU394" s="309">
        <f>BU385/BU207*(365/BU$1)*10000</f>
        <v>10.781273076355044</v>
      </c>
      <c r="BV394" s="309">
        <f>BV385/BV207*(365/BV$1)*10000</f>
        <v>104.71311475409837</v>
      </c>
      <c r="BW394" s="310"/>
      <c r="BX394" s="309">
        <f>BX385/BX207*(365/BX$1)*10000</f>
        <v>0</v>
      </c>
      <c r="BY394" s="309">
        <f>BY385/BY207*(365/BY$1)*10000</f>
        <v>0</v>
      </c>
      <c r="BZ394" s="309">
        <f>BZ385/BZ207*(365/BZ$1)*10000</f>
        <v>0</v>
      </c>
      <c r="CA394" s="310"/>
      <c r="CB394" s="309">
        <f>CB385/CB207*(365/CB$1)*10000</f>
        <v>0</v>
      </c>
      <c r="CC394" s="309">
        <f>CC385/CC207*(365/CC$1)*10000</f>
        <v>0</v>
      </c>
      <c r="CD394" s="309">
        <f>CD385/CD207*(365/CD$1)*10000</f>
        <v>0</v>
      </c>
      <c r="CE394" s="1615"/>
      <c r="CF394" s="309">
        <f>CF385/CF207*(365/CF$1)*10000</f>
        <v>0</v>
      </c>
      <c r="CG394" s="309">
        <f>CG385/CG207*(365/CG$1)*10000</f>
        <v>0</v>
      </c>
      <c r="CH394" s="309">
        <f>CH385/CH207*(365/CH$1)*10000</f>
        <v>0</v>
      </c>
      <c r="CI394" s="1615"/>
      <c r="CJ394" s="309">
        <f>CJ385/CJ207*(365/CJ$1)*10000</f>
        <v>0</v>
      </c>
      <c r="CK394" s="309">
        <f>CK385/CK207*(365/CK$1)*10000</f>
        <v>0</v>
      </c>
      <c r="CL394" s="309">
        <f>CL385/CL207*(365/CL$1)*10000</f>
        <v>0</v>
      </c>
      <c r="CM394" s="1615">
        <f>+AVERAGE(CL391,CH391,CD391,BZ391,BV391,BR391,BN391,BJ391,BF391,BB391)</f>
        <v>61.596358347363413</v>
      </c>
      <c r="CN394" s="309">
        <f>CN385/CN207*(365/CN$1)*10000</f>
        <v>0</v>
      </c>
      <c r="CO394" s="309">
        <f>CO385/CO207*(365/CO$1)*10000</f>
        <v>0</v>
      </c>
      <c r="CP394" s="309">
        <f>CP385/CP207*(365/CP$1)*10000</f>
        <v>0</v>
      </c>
      <c r="CQ394" s="1615">
        <f>+AVERAGE(CP391,CL391,CH391,CD391,BZ391,BV391,BR391,BN391,BJ391,BF391)</f>
        <v>66.751375124600074</v>
      </c>
      <c r="CR394" s="309">
        <f>CR385/CR207*(365/CR$1)*10000</f>
        <v>0</v>
      </c>
      <c r="CS394" s="309">
        <f>CS385/CS207*(365/CS$1)*10000</f>
        <v>0</v>
      </c>
      <c r="CT394" s="309">
        <f>CT385/CT207*(365/CT$1)*10000</f>
        <v>0</v>
      </c>
      <c r="CU394" s="1615">
        <f>+AVERAGE(CT391,CP391,CL391,CH391,CD391,BZ391,BV391,BR391,BN391,BJ391)</f>
        <v>66.800679300688742</v>
      </c>
      <c r="CV394" s="309"/>
      <c r="CW394" s="309"/>
      <c r="CX394" s="309"/>
      <c r="CY394" s="1615">
        <f>+AVERAGE(CX391,CT391,CP391,CL391,CH391,CD391,BZ391,BV391,BR391,BN391)</f>
        <v>67.22542413986605</v>
      </c>
      <c r="CZ394" s="309"/>
      <c r="DA394" s="309"/>
      <c r="DB394" s="309"/>
      <c r="DC394" s="1615">
        <f>+AVERAGE(DB391,CX391,CT391,CP391,CL391,CH391,CD391,BZ391,BV391,BR391)</f>
        <v>66.834397617698613</v>
      </c>
      <c r="DD394" s="309"/>
      <c r="DE394" s="309"/>
      <c r="DF394" s="309"/>
      <c r="DG394" s="310"/>
      <c r="DH394" s="309"/>
      <c r="DI394" s="1979"/>
      <c r="DJ394" s="309"/>
      <c r="DK394" s="310"/>
      <c r="DL394" s="1979"/>
      <c r="DM394" s="1979"/>
      <c r="DN394" s="309"/>
      <c r="DO394" s="853"/>
      <c r="DP394" s="1979"/>
      <c r="DQ394" s="1979"/>
      <c r="DR394" s="309"/>
      <c r="DS394" s="853"/>
      <c r="DT394" s="853"/>
      <c r="DU394" s="850"/>
      <c r="DV394" s="850"/>
      <c r="DW394" s="850"/>
      <c r="DX394" s="853"/>
      <c r="DY394" s="853"/>
      <c r="DZ394" s="850"/>
      <c r="EA394" s="850"/>
      <c r="EB394" s="853"/>
      <c r="EC394" s="853"/>
      <c r="ED394" s="850"/>
      <c r="EE394" s="850"/>
      <c r="EF394" s="853"/>
      <c r="EG394" s="853"/>
      <c r="EH394" s="853"/>
      <c r="EI394" s="853"/>
      <c r="EJ394" s="853"/>
      <c r="EK394" s="853"/>
      <c r="EL394" s="853"/>
      <c r="EM394" s="853"/>
      <c r="EN394" s="853"/>
      <c r="EO394" s="853"/>
      <c r="EP394" s="853"/>
      <c r="EQ394" s="855"/>
      <c r="ER394" s="855"/>
      <c r="ES394" s="855"/>
      <c r="ET394" s="855"/>
      <c r="EU394" s="855"/>
      <c r="EV394" s="855"/>
      <c r="EW394" s="855"/>
      <c r="EX394" s="855"/>
      <c r="EY394" s="855"/>
      <c r="EZ394" s="855"/>
      <c r="FA394" s="855"/>
      <c r="FB394" s="855"/>
      <c r="FC394" s="855"/>
      <c r="FD394" s="855"/>
      <c r="FE394" s="855"/>
      <c r="FF394" s="855"/>
      <c r="FG394" s="855"/>
      <c r="FH394" s="855"/>
      <c r="FI394" s="855"/>
      <c r="FJ394" s="855"/>
      <c r="FK394" s="855"/>
      <c r="FL394" s="855"/>
      <c r="FM394" s="855"/>
      <c r="FN394" s="855"/>
      <c r="FO394" s="855"/>
      <c r="FP394" s="855"/>
      <c r="FQ394" s="855"/>
      <c r="FR394" s="855"/>
      <c r="FS394" s="855"/>
      <c r="FT394" s="855"/>
      <c r="FU394" s="855"/>
      <c r="FV394" s="855"/>
      <c r="FW394" s="855"/>
      <c r="FX394" s="855"/>
      <c r="FY394" s="855"/>
      <c r="FZ394" s="855"/>
      <c r="GA394" s="855"/>
      <c r="GB394" s="855"/>
      <c r="GC394" s="855"/>
      <c r="GD394" s="855"/>
      <c r="GE394" s="855"/>
      <c r="GF394" s="855"/>
      <c r="GG394" s="855"/>
      <c r="GH394" s="855"/>
      <c r="GI394" s="855"/>
      <c r="GJ394" s="855"/>
      <c r="GK394" s="855"/>
      <c r="GL394" s="855"/>
      <c r="GM394" s="855"/>
      <c r="GN394" s="855"/>
      <c r="GO394" s="855"/>
      <c r="GP394" s="855"/>
      <c r="GQ394" s="855"/>
      <c r="GR394" s="855"/>
      <c r="GS394" s="855"/>
      <c r="GT394" s="855"/>
      <c r="GU394" s="855"/>
      <c r="GV394" s="855"/>
      <c r="GW394" s="855"/>
      <c r="GX394" s="855"/>
      <c r="GY394" s="855"/>
      <c r="GZ394" s="855"/>
      <c r="HA394" s="855"/>
      <c r="HB394" s="855"/>
      <c r="HC394" s="855"/>
      <c r="HD394" s="855"/>
      <c r="HE394" s="855"/>
      <c r="HF394" s="855"/>
      <c r="HG394" s="855"/>
      <c r="HH394" s="855"/>
      <c r="HI394" s="855"/>
      <c r="HJ394" s="855"/>
      <c r="HK394" s="855"/>
      <c r="HL394" s="855"/>
      <c r="HM394" s="855"/>
      <c r="HN394" s="855"/>
      <c r="HO394" s="855"/>
      <c r="HP394" s="855"/>
      <c r="HQ394" s="855"/>
      <c r="HR394" s="855"/>
      <c r="HS394" s="855"/>
      <c r="HT394" s="855"/>
      <c r="HU394" s="855"/>
      <c r="HV394" s="855"/>
      <c r="HW394" s="855"/>
      <c r="HX394" s="855"/>
      <c r="HY394" s="855"/>
      <c r="HZ394" s="855"/>
      <c r="IA394" s="855"/>
      <c r="IB394" s="855"/>
      <c r="IC394" s="855"/>
      <c r="ID394" s="855"/>
      <c r="IE394" s="855"/>
      <c r="IF394" s="855"/>
      <c r="IG394" s="855"/>
      <c r="IH394" s="855"/>
      <c r="II394" s="855"/>
      <c r="IJ394" s="855"/>
      <c r="IK394" s="855"/>
      <c r="IL394" s="855"/>
      <c r="IM394" s="855"/>
      <c r="IN394" s="855"/>
      <c r="IO394" s="855"/>
      <c r="IP394" s="855"/>
      <c r="IQ394" s="855"/>
      <c r="IR394" s="855"/>
      <c r="IS394" s="855"/>
      <c r="IT394" s="855"/>
      <c r="IU394" s="855"/>
      <c r="IV394" s="855"/>
      <c r="IW394" s="855"/>
      <c r="IX394" s="855"/>
      <c r="IY394" s="855"/>
      <c r="IZ394" s="855"/>
      <c r="JA394" s="855"/>
      <c r="JB394" s="855"/>
      <c r="JC394" s="855"/>
      <c r="JD394" s="855"/>
      <c r="JE394" s="855"/>
      <c r="JF394" s="855"/>
      <c r="JG394" s="855"/>
      <c r="JH394" s="855"/>
      <c r="JI394" s="855"/>
      <c r="JJ394" s="855"/>
      <c r="JK394" s="855"/>
      <c r="JL394" s="855"/>
      <c r="JM394"/>
    </row>
    <row r="395" spans="1:273" s="854" customFormat="1">
      <c r="A395" s="934" t="s">
        <v>336</v>
      </c>
      <c r="B395" s="103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  <c r="AA395" s="102"/>
      <c r="AB395" s="102"/>
      <c r="AC395" s="102"/>
      <c r="AD395" s="102"/>
      <c r="AE395" s="102"/>
      <c r="AF395" s="102"/>
      <c r="AG395" s="102"/>
      <c r="AH395" s="102"/>
      <c r="AI395" s="102"/>
      <c r="AJ395" s="102"/>
      <c r="AK395" s="102"/>
      <c r="AL395" s="102"/>
      <c r="AM395" s="102"/>
      <c r="AN395" s="290"/>
      <c r="AO395" s="290"/>
      <c r="AP395" s="290"/>
      <c r="AQ395" s="290"/>
      <c r="AR395" s="290"/>
      <c r="AS395" s="290"/>
      <c r="AT395" s="290"/>
      <c r="AU395" s="290"/>
      <c r="AV395" s="796"/>
      <c r="AW395" s="1981">
        <f>(AW382)/AW376*(365/AW$1)*10000</f>
        <v>0</v>
      </c>
      <c r="AX395" s="1981">
        <f>(AX382)/AX376*(365/AX$1)*10000</f>
        <v>2.7087424663100155</v>
      </c>
      <c r="AY395" s="1982"/>
      <c r="AZ395" s="1981">
        <f>(AZ382)/AZ376*(365/AZ$1)*10000</f>
        <v>3.6549558590766322</v>
      </c>
      <c r="BA395" s="1981">
        <f>(BA382)/BA376*(365/BA$1)*10000</f>
        <v>2.161821201098975</v>
      </c>
      <c r="BB395" s="1981">
        <f>(BB382)/BB376*(365/BB$1)*10000</f>
        <v>2.9213751709668423</v>
      </c>
      <c r="BC395" s="1982"/>
      <c r="BD395" s="1981">
        <f>(BD382)/BD376*(365/BD$1)*10000</f>
        <v>42.436925938844325</v>
      </c>
      <c r="BE395" s="1981">
        <f>(BE382)/BE376*(365/BE$1)*10000</f>
        <v>11.05968681390984</v>
      </c>
      <c r="BF395" s="1981">
        <f>(BF382)/BF376*(365/BF$1)*10000</f>
        <v>26.593097772401844</v>
      </c>
      <c r="BG395" s="1982"/>
      <c r="BH395" s="1981">
        <f>(BH382)/BH376*(365/BH$1)*10000</f>
        <v>38.149741761841518</v>
      </c>
      <c r="BI395" s="1981">
        <f>(BI382)/BI376*(365/BI$1)*10000</f>
        <v>32.386867790594501</v>
      </c>
      <c r="BJ395" s="1981">
        <f>(BJ382)/BJ376*(365/BJ$1)*10000</f>
        <v>35.217289408843591</v>
      </c>
      <c r="BK395" s="1982"/>
      <c r="BL395" s="1981">
        <f>(BL382)/BL376*(365/BL$1)*10000</f>
        <v>29.059457894546377</v>
      </c>
      <c r="BM395" s="1981">
        <f>(BM382)/BM376*(365/BM$1)*10000</f>
        <v>37.713510779132719</v>
      </c>
      <c r="BN395" s="1981">
        <f>(BN382)/BN376*(365/BN$1)*10000</f>
        <v>33.627400103788268</v>
      </c>
      <c r="BO395" s="1982"/>
      <c r="BP395" s="1981">
        <f>((BP382-180))/BP376*(365/BP$1)*10000</f>
        <v>66.125141534977601</v>
      </c>
      <c r="BQ395" s="1981">
        <f>(BQ382-0)/BQ376*(365/BQ$1)*10000</f>
        <v>69.476634031565865</v>
      </c>
      <c r="BR395" s="1981">
        <f>(BR382)/BR376*(365/BR$1)*10000</f>
        <v>98.430207891387369</v>
      </c>
      <c r="BS395" s="1982"/>
      <c r="BT395" s="1981">
        <f>((BT382))/BT376*(365/BT$1)*10000</f>
        <v>173.68959527944989</v>
      </c>
      <c r="BU395" s="1981">
        <f>(BU382-0)/BU376*(365/BU$1)*10000</f>
        <v>17.331228261772772</v>
      </c>
      <c r="BV395" s="1981">
        <f>(BV382)/BV376*(365/BV$1)*10000</f>
        <v>95.425403597169321</v>
      </c>
      <c r="BW395" s="1982"/>
      <c r="BX395" s="1981">
        <f>((BX382))/BX376*(365/BX$1)*10000</f>
        <v>47.523228975557792</v>
      </c>
      <c r="BY395" s="1981">
        <f>(BY382-0)/BY376*(365/BY$1)*10000</f>
        <v>23.926140883245438</v>
      </c>
      <c r="BZ395" s="1981">
        <f>(BZ382)/BZ376*(365/BZ$1)*10000</f>
        <v>35.314563781717069</v>
      </c>
      <c r="CA395" s="1982"/>
      <c r="CB395" s="1981">
        <f>((CB382))/CB376*(365/CB$1)*10000</f>
        <v>134.92071794979094</v>
      </c>
      <c r="CC395" s="1981">
        <f>(CC382-0)/CC376*(365/CC$1)*10000</f>
        <v>8.9563423902591062</v>
      </c>
      <c r="CD395" s="1981">
        <f>(CD382)/CD376*(365/CD$1)*10000</f>
        <v>70.347394540942929</v>
      </c>
      <c r="CE395" s="1983"/>
      <c r="CF395" s="1981">
        <f>((CF382))/CF376*(365/CF$1)*10000</f>
        <v>55.151180360363284</v>
      </c>
      <c r="CG395" s="1981">
        <f>(CG382-0)/CG376*(365/CG$1)*10000</f>
        <v>79.066723830584195</v>
      </c>
      <c r="CH395" s="1981">
        <f>(CH382)/CH376*(365/CH$1)*10000</f>
        <v>68.178755894902309</v>
      </c>
      <c r="CI395" s="1983"/>
      <c r="CJ395" s="1981">
        <f>((CJ382))/CJ376*(365/CJ$1)*10000</f>
        <v>82.427621148770129</v>
      </c>
      <c r="CK395" s="1981">
        <f>(CK382-0)/CK376*(365/CK$1)*10000</f>
        <v>38.386196455503097</v>
      </c>
      <c r="CL395" s="1981">
        <f>(CL382)/CL376*(365/CL$1)*10000</f>
        <v>59.543825937268558</v>
      </c>
      <c r="CM395" s="1983"/>
      <c r="CN395" s="1981">
        <f>((CN382))/CN376*(365/CN$1)*10000</f>
        <v>56.710764327959588</v>
      </c>
      <c r="CO395" s="1981">
        <f>(CO382-0)/CO376*(365/CO$1)*10000</f>
        <v>32.594623261763083</v>
      </c>
      <c r="CP395" s="1981">
        <f>(CP382)/CP376*(365/CP$1)*10000</f>
        <v>44.841478367489927</v>
      </c>
      <c r="CQ395" s="1615"/>
      <c r="CR395" s="1981">
        <f>((CR382))/CR376*(365/CR$1)*10000</f>
        <v>23.340309266364375</v>
      </c>
      <c r="CS395" s="1981">
        <f>(CS382-0)/CS376*(365/CS$1)*10000</f>
        <v>26.942310291411523</v>
      </c>
      <c r="CT395" s="1981">
        <f>(CT382)/CT376*(365/CT$1)*10000</f>
        <v>25.182068295840754</v>
      </c>
      <c r="CU395" s="310"/>
      <c r="CV395" s="1981">
        <f>((CV382))/CV376*(365/CV$1)*10000</f>
        <v>27.260952597046533</v>
      </c>
      <c r="CW395" s="1981">
        <f>(CW382-0)/CW376*(365/CW$1)*10000</f>
        <v>46.182830610931035</v>
      </c>
      <c r="CX395" s="1981">
        <f>(CX382)/CX376*(365/CX$1)*10000</f>
        <v>37.295911482930777</v>
      </c>
      <c r="CY395" s="310"/>
      <c r="CZ395" s="1981">
        <f>((CZ382))/CZ376*(365/CZ$1)*10000</f>
        <v>22.641192040099142</v>
      </c>
      <c r="DA395" s="1981">
        <f>(DA382-0)/DA376*(365/DA$1)*10000</f>
        <v>36.44883322020101</v>
      </c>
      <c r="DB395" s="1981">
        <f>(DB382)/DB376*(365/DB$1)*10000</f>
        <v>29.679328205832004</v>
      </c>
      <c r="DC395" s="310"/>
      <c r="DD395" s="1981">
        <f>((DD382))/DD376*(365/DD$1)*10000</f>
        <v>36.552879227269223</v>
      </c>
      <c r="DE395" s="1981">
        <f>(DE382-0)/DE376*(365/DE$1)*10000</f>
        <v>39.689220947770878</v>
      </c>
      <c r="DF395" s="1981">
        <f>(DF382)/DF376*(365/DF$1)*10000</f>
        <v>38.114754098360656</v>
      </c>
      <c r="DG395" s="310"/>
      <c r="DH395" s="1981">
        <f>((DH382))/DH376*(365/DH$1)*10000</f>
        <v>67.662950525421422</v>
      </c>
      <c r="DI395" s="1981">
        <f>(DI382)/DI376*(365/DI$1)*10000</f>
        <v>58.352992112181369</v>
      </c>
      <c r="DJ395" s="1981">
        <f>(DJ382)/DJ376*(365/DJ$1)*10000</f>
        <v>62.945345515760621</v>
      </c>
      <c r="DK395" s="310"/>
      <c r="DL395" s="1981">
        <f>(DL382)/DL376*(365/DL$1)*10000</f>
        <v>44.745991683459259</v>
      </c>
      <c r="DM395" s="1981">
        <f>(DM382)/DM376*(365/DM$1)*10000</f>
        <v>44.5</v>
      </c>
      <c r="DN395" s="1981">
        <f>(DN382)/DN376*(365/DN$1)*10000</f>
        <v>44.619110992747245</v>
      </c>
      <c r="DO395" s="853"/>
      <c r="DP395" s="1981">
        <f>(DP382)/DP376*(365/DP$1)*10000</f>
        <v>44.500000000000007</v>
      </c>
      <c r="DQ395" s="1981">
        <f>(DQ382)/DQ376*(365/DQ$1)*10000</f>
        <v>44.500000000000007</v>
      </c>
      <c r="DR395" s="1981">
        <f>(DR382)/DR376*(365/DR$1)*10000</f>
        <v>44.500000000000007</v>
      </c>
      <c r="DS395" s="853"/>
      <c r="DT395" s="853"/>
      <c r="DU395" s="850"/>
      <c r="DV395" s="850"/>
      <c r="DW395" s="850"/>
      <c r="DX395" s="853"/>
      <c r="DY395" s="853"/>
      <c r="DZ395" s="850"/>
      <c r="EA395" s="850"/>
      <c r="EB395" s="853"/>
      <c r="EC395" s="853"/>
      <c r="ED395" s="850"/>
      <c r="EE395" s="850"/>
      <c r="EF395" s="853"/>
      <c r="EG395" s="853"/>
      <c r="EH395" s="853"/>
      <c r="EI395" s="853"/>
      <c r="EJ395" s="853"/>
      <c r="EK395" s="853"/>
      <c r="EL395" s="853"/>
      <c r="EM395" s="853"/>
      <c r="EN395" s="853"/>
      <c r="EO395" s="853"/>
      <c r="EP395" s="853"/>
      <c r="EQ395" s="855"/>
      <c r="ER395" s="855"/>
      <c r="ES395" s="855"/>
      <c r="ET395" s="855"/>
      <c r="EU395" s="855"/>
      <c r="EV395" s="855"/>
      <c r="EW395" s="855"/>
      <c r="EX395" s="855"/>
      <c r="EY395" s="855"/>
      <c r="EZ395" s="855"/>
      <c r="FA395" s="855"/>
      <c r="FB395" s="855"/>
      <c r="FC395" s="855"/>
      <c r="FD395" s="855"/>
      <c r="FE395" s="855"/>
      <c r="FF395" s="855"/>
      <c r="FG395" s="855"/>
      <c r="FH395" s="855"/>
      <c r="FI395" s="855"/>
      <c r="FJ395" s="855"/>
      <c r="FK395" s="855"/>
      <c r="FL395" s="855"/>
      <c r="FM395" s="855"/>
      <c r="FN395" s="855"/>
      <c r="FO395" s="855"/>
      <c r="FP395" s="855"/>
      <c r="FQ395" s="855"/>
      <c r="FR395" s="855"/>
      <c r="FS395" s="855"/>
      <c r="FT395" s="855"/>
      <c r="FU395" s="855"/>
      <c r="FV395" s="855"/>
      <c r="FW395" s="855"/>
      <c r="FX395" s="855"/>
      <c r="FY395" s="855"/>
      <c r="FZ395" s="855"/>
      <c r="GA395" s="855"/>
      <c r="GB395" s="855"/>
      <c r="GC395" s="855"/>
      <c r="GD395" s="855"/>
      <c r="GE395" s="855"/>
      <c r="GF395" s="855"/>
      <c r="GG395" s="855"/>
      <c r="GH395" s="855"/>
      <c r="GI395" s="855"/>
      <c r="GJ395" s="855"/>
      <c r="GK395" s="855"/>
      <c r="GL395" s="855"/>
      <c r="GM395" s="855"/>
      <c r="GN395" s="855"/>
      <c r="GO395" s="855"/>
      <c r="GP395" s="855"/>
      <c r="GQ395" s="855"/>
      <c r="GR395" s="855"/>
      <c r="GS395" s="855"/>
      <c r="GT395" s="855"/>
      <c r="GU395" s="855"/>
      <c r="GV395" s="855"/>
      <c r="GW395" s="855"/>
      <c r="GX395" s="855"/>
      <c r="GY395" s="855"/>
      <c r="GZ395" s="855"/>
      <c r="HA395" s="855"/>
      <c r="HB395" s="855"/>
      <c r="HC395" s="855"/>
      <c r="HD395" s="855"/>
      <c r="HE395" s="855"/>
      <c r="HF395" s="855"/>
      <c r="HG395" s="855"/>
      <c r="HH395" s="855"/>
      <c r="HI395" s="855"/>
      <c r="HJ395" s="855"/>
      <c r="HK395" s="855"/>
      <c r="HL395" s="855"/>
      <c r="HM395" s="855"/>
      <c r="HN395" s="855"/>
      <c r="HO395" s="855"/>
      <c r="HP395" s="855"/>
      <c r="HQ395" s="855"/>
      <c r="HR395" s="855"/>
      <c r="HS395" s="855"/>
      <c r="HT395" s="855"/>
      <c r="HU395" s="855"/>
      <c r="HV395" s="855"/>
      <c r="HW395" s="855"/>
      <c r="HX395" s="855"/>
      <c r="HY395" s="855"/>
      <c r="HZ395" s="855"/>
      <c r="IA395" s="855"/>
      <c r="IB395" s="855"/>
      <c r="IC395" s="855"/>
      <c r="ID395" s="855"/>
      <c r="IE395" s="855"/>
      <c r="IF395" s="855"/>
      <c r="IG395" s="855"/>
      <c r="IH395" s="855"/>
      <c r="II395" s="855"/>
      <c r="IJ395" s="855"/>
      <c r="IK395" s="855"/>
      <c r="IL395" s="855"/>
      <c r="IM395" s="855"/>
      <c r="IN395" s="855"/>
      <c r="IO395" s="855"/>
      <c r="IP395" s="855"/>
      <c r="IQ395" s="855"/>
      <c r="IR395" s="855"/>
      <c r="IS395" s="855"/>
      <c r="IT395" s="855"/>
      <c r="IU395" s="855"/>
      <c r="IV395" s="855"/>
      <c r="IW395" s="855"/>
      <c r="IX395" s="855"/>
      <c r="IY395" s="855"/>
      <c r="IZ395" s="855"/>
      <c r="JA395" s="855"/>
      <c r="JB395" s="855"/>
      <c r="JC395" s="855"/>
      <c r="JD395" s="855"/>
      <c r="JE395" s="855"/>
      <c r="JF395" s="855"/>
      <c r="JG395" s="855"/>
      <c r="JH395" s="855"/>
      <c r="JI395" s="855"/>
      <c r="JJ395" s="855"/>
      <c r="JK395" s="855"/>
      <c r="JL395" s="855"/>
      <c r="JM395"/>
    </row>
    <row r="396" spans="1:273" s="854" customFormat="1">
      <c r="A396" s="102"/>
      <c r="B396" s="103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  <c r="AA396" s="102"/>
      <c r="AB396" s="102"/>
      <c r="AC396" s="102"/>
      <c r="AD396" s="102"/>
      <c r="AE396" s="102"/>
      <c r="AF396" s="102"/>
      <c r="AG396" s="102"/>
      <c r="AH396" s="102"/>
      <c r="AI396" s="102"/>
      <c r="AJ396" s="102"/>
      <c r="AK396" s="102"/>
      <c r="AL396" s="102"/>
      <c r="AM396" s="102"/>
      <c r="AN396" s="290"/>
      <c r="AO396" s="290"/>
      <c r="AP396" s="290"/>
      <c r="AQ396" s="290"/>
      <c r="AR396" s="290"/>
      <c r="AS396" s="290"/>
      <c r="AT396" s="290"/>
      <c r="AU396" s="290"/>
      <c r="AV396" s="818"/>
      <c r="AW396" s="818"/>
      <c r="AX396" s="853"/>
      <c r="AY396" s="853"/>
      <c r="AZ396" s="818"/>
      <c r="BA396" s="850"/>
      <c r="BB396" s="853"/>
      <c r="BC396" s="853"/>
      <c r="BD396" s="818"/>
      <c r="BE396" s="850"/>
      <c r="BF396" s="853"/>
      <c r="BG396" s="853"/>
      <c r="BH396" s="818"/>
      <c r="BI396" s="850"/>
      <c r="BJ396" s="853"/>
      <c r="BK396" s="853"/>
      <c r="BL396" s="850"/>
      <c r="BM396" s="850"/>
      <c r="BN396" s="853"/>
      <c r="BO396" s="853"/>
      <c r="BP396" s="850"/>
      <c r="BQ396" s="850"/>
      <c r="BR396" s="853"/>
      <c r="BS396" s="853"/>
      <c r="BT396" s="850"/>
      <c r="BU396" s="850"/>
      <c r="BV396" s="853"/>
      <c r="BW396" s="853"/>
      <c r="BX396" s="850"/>
      <c r="BY396" s="850"/>
      <c r="BZ396" s="853"/>
      <c r="CA396" s="853"/>
      <c r="CB396" s="850"/>
      <c r="CC396" s="850"/>
      <c r="CD396" s="853"/>
      <c r="CE396" s="862"/>
      <c r="CF396" s="850"/>
      <c r="CG396" s="850"/>
      <c r="CH396" s="853"/>
      <c r="CI396" s="862"/>
      <c r="CJ396" s="850"/>
      <c r="CK396" s="850"/>
      <c r="CL396" s="853"/>
      <c r="CM396" s="862"/>
      <c r="CN396" s="850"/>
      <c r="CO396" s="850"/>
      <c r="CP396" s="853"/>
      <c r="CQ396" s="862"/>
      <c r="CR396" s="850"/>
      <c r="CS396" s="850"/>
      <c r="CT396" s="853"/>
      <c r="CU396" s="853"/>
      <c r="CV396" s="850"/>
      <c r="CW396" s="850"/>
      <c r="CX396" s="853"/>
      <c r="CY396" s="853"/>
      <c r="CZ396" s="850"/>
      <c r="DA396" s="850"/>
      <c r="DB396" s="853"/>
      <c r="DC396" s="853"/>
      <c r="DD396" s="850"/>
      <c r="DE396" s="850"/>
      <c r="DF396" s="853"/>
      <c r="DG396" s="853"/>
      <c r="DH396" s="850"/>
      <c r="DI396" s="850"/>
      <c r="DJ396" s="853"/>
      <c r="DK396" s="853"/>
      <c r="DL396" s="850"/>
      <c r="DM396" s="850"/>
      <c r="DN396" s="853"/>
      <c r="DO396" s="853"/>
      <c r="DP396" s="850"/>
      <c r="DQ396" s="850"/>
      <c r="DR396" s="853"/>
      <c r="DS396" s="853"/>
      <c r="DT396" s="853"/>
      <c r="DU396" s="850"/>
      <c r="DV396" s="850"/>
      <c r="DW396" s="850"/>
      <c r="DX396" s="853"/>
      <c r="DY396" s="853"/>
      <c r="DZ396" s="850"/>
      <c r="EA396" s="850"/>
      <c r="EB396" s="853"/>
      <c r="EC396" s="853"/>
      <c r="ED396" s="850"/>
      <c r="EE396" s="850"/>
      <c r="EF396" s="853"/>
      <c r="EG396" s="853"/>
      <c r="EH396" s="853"/>
      <c r="EI396" s="853"/>
      <c r="EJ396" s="853"/>
      <c r="EK396" s="853"/>
      <c r="EL396" s="853"/>
      <c r="EM396" s="853"/>
      <c r="EN396" s="853"/>
      <c r="EO396" s="853"/>
      <c r="EP396" s="853"/>
      <c r="EQ396" s="855"/>
      <c r="ER396" s="855"/>
      <c r="ES396" s="855"/>
      <c r="ET396" s="855"/>
      <c r="EU396" s="855"/>
      <c r="EV396" s="855"/>
      <c r="EW396" s="855"/>
      <c r="EX396" s="855"/>
      <c r="EY396" s="855"/>
      <c r="EZ396" s="855"/>
      <c r="FA396" s="855"/>
      <c r="FB396" s="855"/>
      <c r="FC396" s="855"/>
      <c r="FD396" s="855"/>
      <c r="FE396" s="855"/>
      <c r="FF396" s="855"/>
      <c r="FG396" s="855"/>
      <c r="FH396" s="855"/>
      <c r="FI396" s="855"/>
      <c r="FJ396" s="855"/>
      <c r="FK396" s="855"/>
      <c r="FL396" s="855"/>
      <c r="FM396" s="855"/>
      <c r="FN396" s="855"/>
      <c r="FO396" s="855"/>
      <c r="FP396" s="855"/>
      <c r="FQ396" s="855"/>
      <c r="FR396" s="855"/>
      <c r="FS396" s="855"/>
      <c r="FT396" s="855"/>
      <c r="FU396" s="855"/>
      <c r="FV396" s="855"/>
      <c r="FW396" s="855"/>
      <c r="FX396" s="855"/>
      <c r="FY396" s="855"/>
      <c r="FZ396" s="855"/>
      <c r="GA396" s="855"/>
      <c r="GB396" s="855"/>
      <c r="GC396" s="855"/>
      <c r="GD396" s="855"/>
      <c r="GE396" s="855"/>
      <c r="GF396" s="855"/>
      <c r="GG396" s="855"/>
      <c r="GH396" s="855"/>
      <c r="GI396" s="855"/>
      <c r="GJ396" s="855"/>
      <c r="GK396" s="855"/>
      <c r="GL396" s="855"/>
      <c r="GM396" s="855"/>
      <c r="GN396" s="855"/>
      <c r="GO396" s="855"/>
      <c r="GP396" s="855"/>
      <c r="GQ396" s="855"/>
      <c r="GR396" s="855"/>
      <c r="GS396" s="855"/>
      <c r="GT396" s="855"/>
      <c r="GU396" s="855"/>
      <c r="GV396" s="855"/>
      <c r="GW396" s="855"/>
      <c r="GX396" s="855"/>
      <c r="GY396" s="855"/>
      <c r="GZ396" s="855"/>
      <c r="HA396" s="855"/>
      <c r="HB396" s="855"/>
      <c r="HC396" s="855"/>
      <c r="HD396" s="855"/>
      <c r="HE396" s="855"/>
      <c r="HF396" s="855"/>
      <c r="HG396" s="855"/>
      <c r="HH396" s="855"/>
      <c r="HI396" s="855"/>
      <c r="HJ396" s="855"/>
      <c r="HK396" s="855"/>
      <c r="HL396" s="855"/>
      <c r="HM396" s="855"/>
      <c r="HN396" s="855"/>
      <c r="HO396" s="855"/>
      <c r="HP396" s="855"/>
      <c r="HQ396" s="855"/>
      <c r="HR396" s="855"/>
      <c r="HS396" s="855"/>
      <c r="HT396" s="855"/>
      <c r="HU396" s="855"/>
      <c r="HV396" s="855"/>
      <c r="HW396" s="855"/>
      <c r="HX396" s="855"/>
      <c r="HY396" s="855"/>
      <c r="HZ396" s="855"/>
      <c r="IA396" s="855"/>
      <c r="IB396" s="855"/>
      <c r="IC396" s="855"/>
      <c r="ID396" s="855"/>
      <c r="IE396" s="855"/>
      <c r="IF396" s="855"/>
      <c r="IG396" s="855"/>
      <c r="IH396" s="855"/>
      <c r="II396" s="855"/>
      <c r="IJ396" s="855"/>
      <c r="IK396" s="855"/>
      <c r="IL396" s="855"/>
      <c r="IM396" s="855"/>
      <c r="IN396" s="855"/>
      <c r="IO396" s="855"/>
      <c r="IP396" s="855"/>
      <c r="IQ396" s="855"/>
      <c r="IR396" s="855"/>
      <c r="IS396" s="855"/>
      <c r="IT396" s="855"/>
      <c r="IU396" s="855"/>
      <c r="IV396" s="855"/>
      <c r="IW396" s="855"/>
      <c r="IX396" s="855"/>
      <c r="IY396" s="855"/>
      <c r="IZ396" s="855"/>
      <c r="JA396" s="855"/>
      <c r="JB396" s="855"/>
      <c r="JC396" s="855"/>
      <c r="JD396" s="855"/>
      <c r="JE396" s="855"/>
      <c r="JF396" s="855"/>
      <c r="JG396" s="855"/>
      <c r="JH396" s="855"/>
      <c r="JI396" s="855"/>
      <c r="JJ396" s="855"/>
      <c r="JK396" s="855"/>
      <c r="JL396" s="855"/>
      <c r="JM396"/>
    </row>
    <row r="397" spans="1:273" ht="15.6">
      <c r="A397" s="935" t="s">
        <v>810</v>
      </c>
      <c r="AN397" s="626"/>
      <c r="AO397" s="626"/>
      <c r="AR397" s="626"/>
      <c r="AS397" s="626"/>
      <c r="AT397" s="626"/>
      <c r="AU397" s="626"/>
      <c r="AV397" s="685"/>
      <c r="AW397" s="685"/>
      <c r="AX397" s="626"/>
      <c r="AZ397" s="685"/>
      <c r="BA397" s="876"/>
      <c r="BD397" s="876"/>
      <c r="BE397" s="876"/>
      <c r="BF397" s="876"/>
      <c r="BG397" s="876"/>
      <c r="BH397" s="876"/>
      <c r="BI397" s="876"/>
      <c r="BJ397" s="876"/>
      <c r="BK397" s="876"/>
      <c r="BL397" s="876"/>
      <c r="BM397" s="876"/>
      <c r="BN397" s="876"/>
      <c r="BP397" s="876"/>
      <c r="BQ397" s="876"/>
      <c r="BR397" s="876"/>
      <c r="BT397" s="876"/>
      <c r="BU397" s="876"/>
      <c r="BV397" s="876"/>
      <c r="BW397" s="876"/>
      <c r="BX397" s="876"/>
      <c r="BY397" s="876"/>
      <c r="BZ397" s="876"/>
      <c r="CA397" s="876"/>
      <c r="CB397" s="876"/>
      <c r="CC397" s="876"/>
      <c r="CD397" s="876"/>
      <c r="CE397" s="869"/>
      <c r="CF397" s="876"/>
      <c r="CG397" s="876"/>
      <c r="CH397" s="876"/>
      <c r="CI397" s="869"/>
      <c r="CJ397" s="876"/>
      <c r="CK397" s="876"/>
      <c r="CL397" s="876"/>
      <c r="CM397" s="869"/>
      <c r="CN397" s="876"/>
      <c r="CO397" s="876"/>
      <c r="CP397" s="876"/>
      <c r="CQ397" s="869"/>
      <c r="CR397" s="876"/>
      <c r="CS397" s="876"/>
      <c r="CT397" s="876"/>
      <c r="CU397" s="876"/>
      <c r="CV397" s="876"/>
      <c r="CW397" s="876"/>
      <c r="CX397" s="876"/>
      <c r="CY397" s="876"/>
      <c r="CZ397" s="876"/>
      <c r="DA397" s="876"/>
      <c r="DB397" s="876"/>
      <c r="DC397" s="876"/>
      <c r="DD397" s="876"/>
      <c r="DE397" s="876"/>
      <c r="DF397" s="876"/>
      <c r="DG397" s="876"/>
      <c r="DH397" s="876"/>
      <c r="DI397" s="876"/>
      <c r="DJ397" s="876"/>
      <c r="DK397" s="876"/>
      <c r="DL397" s="876"/>
      <c r="DM397" s="876"/>
      <c r="DN397" s="876"/>
      <c r="DO397" s="876"/>
      <c r="DP397" s="876"/>
      <c r="DQ397" s="876"/>
      <c r="DR397" s="876"/>
      <c r="DS397" s="876"/>
      <c r="DT397" s="876"/>
      <c r="DU397" s="876"/>
      <c r="DV397" s="876"/>
      <c r="DW397" s="876"/>
      <c r="DZ397" s="876"/>
      <c r="EA397" s="876"/>
      <c r="ED397" s="876"/>
      <c r="EE397" s="876"/>
    </row>
    <row r="398" spans="1:273">
      <c r="A398" s="893" t="s">
        <v>581</v>
      </c>
      <c r="AN398" s="626"/>
      <c r="AO398" s="626"/>
      <c r="AR398" s="626"/>
      <c r="AS398" s="626"/>
      <c r="AT398" s="626"/>
      <c r="AU398" s="626"/>
      <c r="AV398" s="685"/>
      <c r="AW398" s="685"/>
      <c r="AX398" s="626"/>
      <c r="AZ398" s="685"/>
      <c r="BA398" s="876"/>
      <c r="BD398" s="876"/>
      <c r="BE398" s="876"/>
      <c r="BF398" s="876"/>
      <c r="BG398" s="876"/>
      <c r="BH398" s="876"/>
      <c r="BI398" s="876"/>
      <c r="BJ398" s="876"/>
      <c r="BK398" s="876"/>
      <c r="BL398" s="876"/>
      <c r="BM398" s="876"/>
      <c r="BN398" s="876"/>
      <c r="BP398" s="876"/>
      <c r="BQ398" s="876"/>
      <c r="BR398" s="876"/>
      <c r="BT398" s="876"/>
      <c r="BU398" s="876"/>
      <c r="BV398" s="876"/>
      <c r="BW398" s="936"/>
      <c r="BX398" s="876"/>
      <c r="BY398" s="876"/>
      <c r="BZ398" s="876"/>
      <c r="CA398" s="876"/>
      <c r="CB398" s="876"/>
      <c r="CC398" s="876"/>
      <c r="CD398" s="876"/>
      <c r="CE398" s="869"/>
      <c r="CF398" s="876"/>
      <c r="CG398" s="876"/>
      <c r="CH398" s="876"/>
      <c r="CI398" s="869"/>
      <c r="CJ398" s="876"/>
      <c r="CK398" s="876" t="s">
        <v>1211</v>
      </c>
      <c r="CL398" s="876"/>
      <c r="CM398" s="869"/>
      <c r="CN398" s="936"/>
      <c r="CO398" s="876" t="s">
        <v>1211</v>
      </c>
      <c r="CP398" s="876"/>
      <c r="CQ398" s="869"/>
      <c r="CR398" s="936"/>
      <c r="CS398" s="936"/>
      <c r="CT398" s="936"/>
      <c r="CU398" s="876"/>
      <c r="CV398" s="936"/>
      <c r="CW398" s="936"/>
      <c r="CX398" s="936"/>
      <c r="CY398" s="876"/>
      <c r="CZ398" s="936"/>
      <c r="DA398" s="936"/>
      <c r="DB398" s="936"/>
      <c r="DC398" s="876"/>
      <c r="DD398" s="936"/>
      <c r="DE398" s="936"/>
      <c r="DF398" s="936"/>
      <c r="DG398" s="876"/>
      <c r="DH398" s="936"/>
      <c r="DI398" s="936"/>
      <c r="DJ398" s="936"/>
      <c r="DK398" s="876"/>
      <c r="DL398" s="936"/>
      <c r="DM398" s="936"/>
      <c r="DN398" s="936"/>
      <c r="DO398" s="876"/>
      <c r="DP398" s="936"/>
      <c r="DQ398" s="936"/>
      <c r="DR398" s="936"/>
      <c r="DS398" s="876"/>
      <c r="DT398" s="876"/>
      <c r="DU398" s="876"/>
      <c r="DV398" s="876"/>
      <c r="DW398" s="876"/>
      <c r="DZ398" s="876"/>
      <c r="EA398" s="876"/>
      <c r="ED398" s="876"/>
      <c r="EE398" s="876"/>
    </row>
    <row r="399" spans="1:273" s="332" customFormat="1">
      <c r="A399" s="102" t="s">
        <v>808</v>
      </c>
      <c r="B399" s="103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  <c r="AA399" s="102"/>
      <c r="AB399" s="102"/>
      <c r="AC399" s="102"/>
      <c r="AD399" s="102"/>
      <c r="AE399" s="102"/>
      <c r="AF399" s="102"/>
      <c r="AG399" s="102"/>
      <c r="AH399" s="102"/>
      <c r="AI399" s="102"/>
      <c r="AJ399" s="102"/>
      <c r="AK399" s="102"/>
      <c r="AL399" s="102"/>
      <c r="AM399" s="102"/>
      <c r="AN399" s="626"/>
      <c r="AO399" s="626"/>
      <c r="AP399" s="293"/>
      <c r="AQ399" s="293"/>
      <c r="AR399" s="626"/>
      <c r="AS399" s="626"/>
      <c r="AT399" s="626"/>
      <c r="AU399" s="626"/>
      <c r="AV399" s="626">
        <v>442</v>
      </c>
      <c r="AW399" s="626">
        <v>484</v>
      </c>
      <c r="AX399" s="626"/>
      <c r="AY399" s="626"/>
      <c r="AZ399" s="626">
        <v>496</v>
      </c>
      <c r="BA399" s="626">
        <v>454</v>
      </c>
      <c r="BB399" s="293"/>
      <c r="BC399" s="293"/>
      <c r="BD399" s="626">
        <v>463</v>
      </c>
      <c r="BE399" s="626">
        <v>475</v>
      </c>
      <c r="BF399" s="487"/>
      <c r="BG399" s="487"/>
      <c r="BH399" s="626">
        <v>500</v>
      </c>
      <c r="BI399" s="626">
        <v>519</v>
      </c>
      <c r="BJ399" s="487"/>
      <c r="BK399" s="487"/>
      <c r="BL399" s="626">
        <v>628</v>
      </c>
      <c r="BM399" s="626">
        <v>661</v>
      </c>
      <c r="BN399" s="487"/>
      <c r="BO399" s="293"/>
      <c r="BP399" s="626">
        <v>650</v>
      </c>
      <c r="BQ399" s="626">
        <v>738</v>
      </c>
      <c r="BR399" s="487"/>
      <c r="BS399" s="293"/>
      <c r="BT399" s="626">
        <v>791</v>
      </c>
      <c r="BU399" s="626">
        <v>791</v>
      </c>
      <c r="BV399" s="487"/>
      <c r="BW399" s="1984"/>
      <c r="BX399" s="626">
        <v>794</v>
      </c>
      <c r="BY399" s="626">
        <v>786</v>
      </c>
      <c r="BZ399" s="487"/>
      <c r="CA399" s="487"/>
      <c r="CB399" s="626">
        <v>804</v>
      </c>
      <c r="CC399" s="626">
        <v>828</v>
      </c>
      <c r="CD399" s="487"/>
      <c r="CE399" s="769"/>
      <c r="CF399" s="626">
        <v>899</v>
      </c>
      <c r="CG399" s="626">
        <v>916</v>
      </c>
      <c r="CH399" s="487"/>
      <c r="CI399" s="769"/>
      <c r="CJ399" s="626">
        <v>967</v>
      </c>
      <c r="CK399" s="626">
        <v>1086</v>
      </c>
      <c r="CL399" s="487"/>
      <c r="CM399" s="769"/>
      <c r="CN399" s="626">
        <v>985</v>
      </c>
      <c r="CO399" s="626">
        <v>1026</v>
      </c>
      <c r="CP399" s="487"/>
      <c r="CQ399" s="769"/>
      <c r="CR399" s="626">
        <v>1374</v>
      </c>
      <c r="CS399" s="626">
        <v>1422</v>
      </c>
      <c r="CT399" s="487"/>
      <c r="CU399" s="487"/>
      <c r="CV399" s="626">
        <v>1389</v>
      </c>
      <c r="CW399" s="626">
        <v>1415</v>
      </c>
      <c r="CX399" s="487"/>
      <c r="CY399" s="487"/>
      <c r="CZ399" s="626">
        <v>1417</v>
      </c>
      <c r="DA399" s="1388">
        <v>1478</v>
      </c>
      <c r="DB399" s="487"/>
      <c r="DC399" s="487"/>
      <c r="DD399" s="626">
        <v>1448</v>
      </c>
      <c r="DE399" s="2175">
        <v>1500</v>
      </c>
      <c r="DF399" s="1984"/>
      <c r="DG399" s="487"/>
      <c r="DH399" s="626">
        <v>1477</v>
      </c>
      <c r="DI399" s="1984"/>
      <c r="DJ399" s="1984"/>
      <c r="DK399" s="487"/>
      <c r="DL399" s="1984"/>
      <c r="DM399" s="1984"/>
      <c r="DN399" s="1984"/>
      <c r="DO399" s="487"/>
      <c r="DP399" s="1984"/>
      <c r="DQ399" s="1984"/>
      <c r="DR399" s="1984"/>
      <c r="DS399" s="487"/>
      <c r="DT399" s="487"/>
      <c r="DU399" s="487"/>
      <c r="DV399" s="487"/>
      <c r="DW399" s="487"/>
      <c r="DX399" s="293"/>
      <c r="DY399" s="293"/>
      <c r="DZ399" s="487"/>
      <c r="EA399" s="487"/>
      <c r="EB399" s="293"/>
      <c r="EC399" s="293"/>
      <c r="ED399" s="487"/>
      <c r="EE399" s="487"/>
      <c r="EF399" s="293"/>
      <c r="EG399" s="293"/>
      <c r="EH399" s="293"/>
      <c r="EI399" s="293"/>
      <c r="EJ399" s="293"/>
      <c r="EK399" s="293"/>
      <c r="EL399" s="293"/>
      <c r="EM399" s="293"/>
      <c r="EN399" s="293"/>
      <c r="EO399" s="293"/>
      <c r="EP399" s="293"/>
      <c r="JM399"/>
    </row>
    <row r="400" spans="1:273" s="332" customFormat="1">
      <c r="A400" s="102" t="s">
        <v>618</v>
      </c>
      <c r="B400" s="103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  <c r="AA400" s="102"/>
      <c r="AB400" s="102"/>
      <c r="AC400" s="102"/>
      <c r="AD400" s="102"/>
      <c r="AE400" s="102"/>
      <c r="AF400" s="102"/>
      <c r="AG400" s="102"/>
      <c r="AH400" s="102"/>
      <c r="AI400" s="102"/>
      <c r="AJ400" s="102"/>
      <c r="AK400" s="102"/>
      <c r="AL400" s="102"/>
      <c r="AM400" s="102"/>
      <c r="AN400" s="626"/>
      <c r="AO400" s="626"/>
      <c r="AP400" s="293"/>
      <c r="AQ400" s="293"/>
      <c r="AR400" s="626"/>
      <c r="AS400" s="626"/>
      <c r="AT400" s="626"/>
      <c r="AU400" s="626"/>
      <c r="AV400" s="626">
        <v>52</v>
      </c>
      <c r="AW400" s="626">
        <v>5</v>
      </c>
      <c r="AX400" s="626"/>
      <c r="AY400" s="626"/>
      <c r="AZ400" s="626">
        <v>15</v>
      </c>
      <c r="BA400" s="626">
        <v>21</v>
      </c>
      <c r="BB400" s="293"/>
      <c r="BC400" s="293"/>
      <c r="BD400" s="626">
        <v>89</v>
      </c>
      <c r="BE400" s="626">
        <v>41</v>
      </c>
      <c r="BF400" s="487"/>
      <c r="BG400" s="487"/>
      <c r="BH400" s="626">
        <v>76</v>
      </c>
      <c r="BI400" s="626">
        <v>88</v>
      </c>
      <c r="BJ400" s="487"/>
      <c r="BK400" s="487"/>
      <c r="BL400" s="626">
        <v>76</v>
      </c>
      <c r="BM400" s="626">
        <v>143</v>
      </c>
      <c r="BN400" s="487"/>
      <c r="BO400" s="293"/>
      <c r="BP400" s="626">
        <v>373</v>
      </c>
      <c r="BQ400" s="626">
        <v>294</v>
      </c>
      <c r="BR400" s="487"/>
      <c r="BS400" s="293"/>
      <c r="BT400" s="626">
        <v>629</v>
      </c>
      <c r="BU400" s="626">
        <v>85</v>
      </c>
      <c r="BV400" s="487"/>
      <c r="BW400" s="1984"/>
      <c r="BX400" s="626">
        <v>170</v>
      </c>
      <c r="BY400" s="626">
        <v>94</v>
      </c>
      <c r="BZ400" s="487"/>
      <c r="CA400" s="487"/>
      <c r="CB400" s="626">
        <v>537</v>
      </c>
      <c r="CC400" s="626">
        <v>58</v>
      </c>
      <c r="CD400" s="487"/>
      <c r="CE400" s="769"/>
      <c r="CF400" s="626">
        <v>282</v>
      </c>
      <c r="CG400" s="626">
        <v>577</v>
      </c>
      <c r="CH400" s="487"/>
      <c r="CI400" s="769"/>
      <c r="CJ400" s="626">
        <v>546</v>
      </c>
      <c r="CK400" s="626">
        <v>275</v>
      </c>
      <c r="CL400" s="487"/>
      <c r="CM400" s="769"/>
      <c r="CN400" s="626">
        <v>413</v>
      </c>
      <c r="CO400" s="626">
        <v>247</v>
      </c>
      <c r="CP400" s="487"/>
      <c r="CQ400" s="769"/>
      <c r="CR400" s="626">
        <v>177</v>
      </c>
      <c r="CS400" s="626">
        <v>218</v>
      </c>
      <c r="CT400" s="487"/>
      <c r="CU400" s="487"/>
      <c r="CV400" s="626">
        <v>237</v>
      </c>
      <c r="CW400" s="626">
        <v>455</v>
      </c>
      <c r="CX400" s="487"/>
      <c r="CY400" s="487"/>
      <c r="CZ400" s="626">
        <v>236</v>
      </c>
      <c r="DA400" s="1388">
        <v>396</v>
      </c>
      <c r="DB400" s="487"/>
      <c r="DC400" s="487"/>
      <c r="DD400" s="626">
        <v>403</v>
      </c>
      <c r="DE400" s="2175">
        <v>434</v>
      </c>
      <c r="DF400" s="1984"/>
      <c r="DG400" s="487"/>
      <c r="DH400" s="626">
        <v>756</v>
      </c>
      <c r="DI400" s="1984"/>
      <c r="DJ400" s="1984"/>
      <c r="DK400" s="487"/>
      <c r="DL400" s="1984"/>
      <c r="DM400" s="1984"/>
      <c r="DN400" s="1984"/>
      <c r="DO400" s="487"/>
      <c r="DP400" s="1984"/>
      <c r="DQ400" s="1984"/>
      <c r="DR400" s="1984"/>
      <c r="DS400" s="487"/>
      <c r="DT400" s="487"/>
      <c r="DU400" s="487"/>
      <c r="DV400" s="487"/>
      <c r="DW400" s="487"/>
      <c r="DX400" s="293"/>
      <c r="DY400" s="293"/>
      <c r="DZ400" s="487"/>
      <c r="EA400" s="487"/>
      <c r="EB400" s="293"/>
      <c r="EC400" s="293"/>
      <c r="ED400" s="487"/>
      <c r="EE400" s="487"/>
      <c r="EF400" s="293"/>
      <c r="EG400" s="293"/>
      <c r="EH400" s="293"/>
      <c r="EI400" s="293"/>
      <c r="EJ400" s="293"/>
      <c r="EK400" s="293"/>
      <c r="EL400" s="293"/>
      <c r="EM400" s="293"/>
      <c r="EN400" s="293"/>
      <c r="EO400" s="293"/>
      <c r="EP400" s="293"/>
      <c r="JM400"/>
    </row>
    <row r="401" spans="1:273" s="332" customFormat="1">
      <c r="A401" s="102" t="s">
        <v>809</v>
      </c>
      <c r="B401" s="103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  <c r="AA401" s="102"/>
      <c r="AB401" s="102"/>
      <c r="AC401" s="102"/>
      <c r="AD401" s="102"/>
      <c r="AE401" s="102"/>
      <c r="AF401" s="102"/>
      <c r="AG401" s="102"/>
      <c r="AH401" s="102"/>
      <c r="AI401" s="102"/>
      <c r="AJ401" s="102"/>
      <c r="AK401" s="102"/>
      <c r="AL401" s="102"/>
      <c r="AM401" s="102"/>
      <c r="AN401" s="626"/>
      <c r="AO401" s="626"/>
      <c r="AP401" s="293"/>
      <c r="AQ401" s="293"/>
      <c r="AR401" s="626"/>
      <c r="AS401" s="626"/>
      <c r="AT401" s="626"/>
      <c r="AU401" s="626"/>
      <c r="AV401" s="626">
        <v>596</v>
      </c>
      <c r="AW401" s="626">
        <v>489</v>
      </c>
      <c r="AX401" s="626"/>
      <c r="AY401" s="626"/>
      <c r="AZ401" s="626">
        <v>402</v>
      </c>
      <c r="BA401" s="626">
        <v>529</v>
      </c>
      <c r="BB401" s="293"/>
      <c r="BC401" s="293"/>
      <c r="BD401" s="626">
        <v>339</v>
      </c>
      <c r="BE401" s="626">
        <v>343</v>
      </c>
      <c r="BF401" s="487"/>
      <c r="BG401" s="487"/>
      <c r="BH401" s="626">
        <v>327</v>
      </c>
      <c r="BI401" s="626">
        <v>332</v>
      </c>
      <c r="BJ401" s="487"/>
      <c r="BK401" s="487"/>
      <c r="BL401" s="626">
        <v>357</v>
      </c>
      <c r="BM401" s="626">
        <v>452</v>
      </c>
      <c r="BN401" s="487"/>
      <c r="BO401" s="293"/>
      <c r="BP401" s="626">
        <v>429</v>
      </c>
      <c r="BQ401" s="626">
        <v>544</v>
      </c>
      <c r="BR401" s="487"/>
      <c r="BS401" s="293"/>
      <c r="BT401" s="626">
        <v>537</v>
      </c>
      <c r="BU401" s="626">
        <v>425</v>
      </c>
      <c r="BV401" s="487"/>
      <c r="BW401" s="1984"/>
      <c r="BX401" s="626">
        <v>471</v>
      </c>
      <c r="BY401" s="626">
        <v>492</v>
      </c>
      <c r="BZ401" s="487"/>
      <c r="CA401" s="487"/>
      <c r="CB401" s="626">
        <v>458</v>
      </c>
      <c r="CC401" s="626">
        <v>462</v>
      </c>
      <c r="CD401" s="487"/>
      <c r="CE401" s="769"/>
      <c r="CF401" s="626">
        <v>573</v>
      </c>
      <c r="CG401" s="626">
        <v>433</v>
      </c>
      <c r="CH401" s="487"/>
      <c r="CI401" s="769"/>
      <c r="CJ401" s="626">
        <v>482</v>
      </c>
      <c r="CK401" s="626">
        <v>578</v>
      </c>
      <c r="CL401" s="487"/>
      <c r="CM401" s="769"/>
      <c r="CN401" s="626">
        <v>413</v>
      </c>
      <c r="CO401" s="626">
        <v>445</v>
      </c>
      <c r="CP401" s="487"/>
      <c r="CQ401" s="769"/>
      <c r="CR401" s="626">
        <v>618</v>
      </c>
      <c r="CS401" s="626">
        <v>755</v>
      </c>
      <c r="CT401" s="487"/>
      <c r="CU401" s="487"/>
      <c r="CV401" s="626">
        <v>438</v>
      </c>
      <c r="CW401" s="626">
        <v>553</v>
      </c>
      <c r="CX401" s="487"/>
      <c r="CY401" s="487"/>
      <c r="CZ401" s="626">
        <v>408</v>
      </c>
      <c r="DA401" s="1388">
        <v>335</v>
      </c>
      <c r="DB401" s="487"/>
      <c r="DC401" s="487"/>
      <c r="DD401" s="626">
        <v>413</v>
      </c>
      <c r="DE401" s="2175">
        <v>503</v>
      </c>
      <c r="DF401" s="1984"/>
      <c r="DG401" s="487"/>
      <c r="DH401" s="626">
        <v>558</v>
      </c>
      <c r="DI401" s="1984"/>
      <c r="DJ401" s="1984"/>
      <c r="DK401" s="487"/>
      <c r="DL401" s="1984"/>
      <c r="DM401" s="1984"/>
      <c r="DN401" s="1984"/>
      <c r="DO401" s="487"/>
      <c r="DP401" s="1984"/>
      <c r="DQ401" s="1984"/>
      <c r="DR401" s="1984"/>
      <c r="DS401" s="487"/>
      <c r="DT401" s="487"/>
      <c r="DU401" s="487"/>
      <c r="DV401" s="487"/>
      <c r="DW401" s="487"/>
      <c r="DX401" s="293"/>
      <c r="DY401" s="293"/>
      <c r="DZ401" s="487"/>
      <c r="EA401" s="487"/>
      <c r="EB401" s="293"/>
      <c r="EC401" s="293"/>
      <c r="ED401" s="487"/>
      <c r="EE401" s="487"/>
      <c r="EF401" s="293"/>
      <c r="EG401" s="293"/>
      <c r="EH401" s="293"/>
      <c r="EI401" s="293"/>
      <c r="EJ401" s="293"/>
      <c r="EK401" s="293"/>
      <c r="EL401" s="293"/>
      <c r="EM401" s="293"/>
      <c r="EN401" s="293"/>
      <c r="EO401" s="293"/>
      <c r="EP401" s="293"/>
      <c r="JM401"/>
    </row>
    <row r="402" spans="1:273" s="332" customFormat="1">
      <c r="A402" s="102" t="s">
        <v>811</v>
      </c>
      <c r="B402" s="103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  <c r="AA402" s="102"/>
      <c r="AB402" s="102"/>
      <c r="AC402" s="102"/>
      <c r="AD402" s="102"/>
      <c r="AE402" s="102"/>
      <c r="AF402" s="102"/>
      <c r="AG402" s="102"/>
      <c r="AH402" s="102"/>
      <c r="AI402" s="102"/>
      <c r="AJ402" s="102"/>
      <c r="AK402" s="102"/>
      <c r="AL402" s="102"/>
      <c r="AM402" s="102"/>
      <c r="AN402" s="626"/>
      <c r="AO402" s="626"/>
      <c r="AP402" s="293"/>
      <c r="AQ402" s="293"/>
      <c r="AR402" s="626"/>
      <c r="AS402" s="626"/>
      <c r="AT402" s="626"/>
      <c r="AU402" s="626"/>
      <c r="AV402" s="626">
        <v>546</v>
      </c>
      <c r="AW402" s="626">
        <v>531</v>
      </c>
      <c r="AX402" s="626"/>
      <c r="AY402" s="626"/>
      <c r="AZ402" s="626">
        <v>582</v>
      </c>
      <c r="BA402" s="626">
        <v>555</v>
      </c>
      <c r="BB402" s="293"/>
      <c r="BC402" s="293"/>
      <c r="BD402" s="626">
        <v>488</v>
      </c>
      <c r="BE402" s="626">
        <v>422</v>
      </c>
      <c r="BF402" s="487"/>
      <c r="BG402" s="487"/>
      <c r="BH402" s="626">
        <v>393</v>
      </c>
      <c r="BI402" s="626">
        <v>418</v>
      </c>
      <c r="BJ402" s="487"/>
      <c r="BK402" s="487"/>
      <c r="BL402" s="626">
        <v>469</v>
      </c>
      <c r="BM402" s="626">
        <v>434</v>
      </c>
      <c r="BN402" s="487"/>
      <c r="BO402" s="293"/>
      <c r="BP402" s="626">
        <v>396</v>
      </c>
      <c r="BQ402" s="626">
        <v>440</v>
      </c>
      <c r="BR402" s="487"/>
      <c r="BS402" s="293"/>
      <c r="BT402" s="626">
        <v>461</v>
      </c>
      <c r="BU402" s="626">
        <v>427</v>
      </c>
      <c r="BV402" s="487"/>
      <c r="BW402" s="1984"/>
      <c r="BX402" s="626">
        <v>419</v>
      </c>
      <c r="BY402" s="626">
        <v>394</v>
      </c>
      <c r="BZ402" s="487"/>
      <c r="CA402" s="487"/>
      <c r="CB402" s="626">
        <v>386</v>
      </c>
      <c r="CC402" s="626">
        <v>388</v>
      </c>
      <c r="CD402" s="487"/>
      <c r="CE402" s="769"/>
      <c r="CF402" s="626">
        <v>406</v>
      </c>
      <c r="CG402" s="626">
        <v>398</v>
      </c>
      <c r="CH402" s="487"/>
      <c r="CI402" s="769"/>
      <c r="CJ402" s="626">
        <v>412</v>
      </c>
      <c r="CK402" s="626">
        <v>458</v>
      </c>
      <c r="CL402" s="487"/>
      <c r="CM402" s="769"/>
      <c r="CN402" s="626">
        <v>401</v>
      </c>
      <c r="CO402" s="626">
        <v>415</v>
      </c>
      <c r="CP402" s="487"/>
      <c r="CQ402" s="769"/>
      <c r="CR402" s="626">
        <v>381</v>
      </c>
      <c r="CS402" s="626">
        <v>420</v>
      </c>
      <c r="CT402" s="487"/>
      <c r="CU402" s="487"/>
      <c r="CV402" s="626">
        <v>358</v>
      </c>
      <c r="CW402" s="626">
        <v>357</v>
      </c>
      <c r="CX402" s="487"/>
      <c r="CY402" s="487"/>
      <c r="CZ402" s="626">
        <v>377</v>
      </c>
      <c r="DA402" s="1388">
        <v>414</v>
      </c>
      <c r="DB402" s="487"/>
      <c r="DC402" s="487"/>
      <c r="DD402" s="626">
        <v>429</v>
      </c>
      <c r="DE402" s="2175">
        <v>434</v>
      </c>
      <c r="DF402" s="1984"/>
      <c r="DG402" s="487"/>
      <c r="DH402" s="626">
        <v>484</v>
      </c>
      <c r="DI402" s="1984"/>
      <c r="DJ402" s="1984"/>
      <c r="DK402" s="487"/>
      <c r="DL402" s="1984"/>
      <c r="DM402" s="1984"/>
      <c r="DN402" s="1984"/>
      <c r="DO402" s="487"/>
      <c r="DP402" s="1984"/>
      <c r="DQ402" s="1984"/>
      <c r="DR402" s="1984"/>
      <c r="DS402" s="487"/>
      <c r="DT402" s="487"/>
      <c r="DU402" s="487"/>
      <c r="DV402" s="487"/>
      <c r="DW402" s="487"/>
      <c r="DX402" s="293"/>
      <c r="DY402" s="293"/>
      <c r="DZ402" s="487"/>
      <c r="EA402" s="487"/>
      <c r="EB402" s="293"/>
      <c r="EC402" s="293"/>
      <c r="ED402" s="487"/>
      <c r="EE402" s="487"/>
      <c r="EF402" s="293"/>
      <c r="EG402" s="293"/>
      <c r="EH402" s="293"/>
      <c r="EI402" s="293"/>
      <c r="EJ402" s="293"/>
      <c r="EK402" s="293"/>
      <c r="EL402" s="293"/>
      <c r="EM402" s="293"/>
      <c r="EN402" s="293"/>
      <c r="EO402" s="293"/>
      <c r="EP402" s="293"/>
      <c r="JM402"/>
    </row>
    <row r="403" spans="1:273" s="332" customFormat="1">
      <c r="A403" s="102" t="s">
        <v>812</v>
      </c>
      <c r="B403" s="103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  <c r="AA403" s="102"/>
      <c r="AB403" s="102"/>
      <c r="AC403" s="102"/>
      <c r="AD403" s="102"/>
      <c r="AE403" s="102"/>
      <c r="AF403" s="102"/>
      <c r="AG403" s="102"/>
      <c r="AH403" s="102"/>
      <c r="AI403" s="102"/>
      <c r="AJ403" s="102"/>
      <c r="AK403" s="102"/>
      <c r="AL403" s="102"/>
      <c r="AM403" s="102"/>
      <c r="AN403" s="626"/>
      <c r="AO403" s="626"/>
      <c r="AP403" s="293"/>
      <c r="AQ403" s="293"/>
      <c r="AR403" s="626"/>
      <c r="AS403" s="626"/>
      <c r="AT403" s="626"/>
      <c r="AU403" s="626"/>
      <c r="AV403" s="626">
        <f>233+13</f>
        <v>246</v>
      </c>
      <c r="AW403" s="626">
        <f>299+31</f>
        <v>330</v>
      </c>
      <c r="AX403" s="626"/>
      <c r="AY403" s="293"/>
      <c r="AZ403" s="626">
        <f>454+46</f>
        <v>500</v>
      </c>
      <c r="BA403" s="626">
        <f>300+37</f>
        <v>337</v>
      </c>
      <c r="BB403" s="293"/>
      <c r="BC403" s="293"/>
      <c r="BD403" s="626">
        <f>354+33</f>
        <v>387</v>
      </c>
      <c r="BE403" s="626">
        <f>279+38</f>
        <v>317</v>
      </c>
      <c r="BF403" s="487"/>
      <c r="BG403" s="487"/>
      <c r="BH403" s="626">
        <v>340</v>
      </c>
      <c r="BI403" s="626">
        <v>386</v>
      </c>
      <c r="BJ403" s="487"/>
      <c r="BK403" s="487"/>
      <c r="BL403" s="626">
        <v>308</v>
      </c>
      <c r="BM403" s="626">
        <v>325</v>
      </c>
      <c r="BN403" s="487"/>
      <c r="BO403" s="293"/>
      <c r="BP403" s="626">
        <v>319</v>
      </c>
      <c r="BQ403" s="626">
        <v>556</v>
      </c>
      <c r="BR403" s="487"/>
      <c r="BS403" s="293"/>
      <c r="BT403" s="626">
        <v>376</v>
      </c>
      <c r="BU403" s="626">
        <v>340</v>
      </c>
      <c r="BV403" s="487"/>
      <c r="BW403" s="1984"/>
      <c r="BX403" s="626">
        <v>349</v>
      </c>
      <c r="BY403" s="626">
        <v>362</v>
      </c>
      <c r="BZ403" s="487"/>
      <c r="CA403" s="487"/>
      <c r="CB403" s="626">
        <v>383</v>
      </c>
      <c r="CC403" s="626">
        <v>366</v>
      </c>
      <c r="CD403" s="487"/>
      <c r="CE403" s="769"/>
      <c r="CF403" s="626">
        <v>501</v>
      </c>
      <c r="CG403" s="626">
        <v>541</v>
      </c>
      <c r="CH403" s="487"/>
      <c r="CI403" s="769"/>
      <c r="CJ403" s="626">
        <f>321+146</f>
        <v>467</v>
      </c>
      <c r="CK403" s="626">
        <f>157+409</f>
        <v>566</v>
      </c>
      <c r="CL403" s="487"/>
      <c r="CM403" s="769"/>
      <c r="CN403" s="626">
        <f>256+145</f>
        <v>401</v>
      </c>
      <c r="CO403" s="626">
        <f>281+149</f>
        <v>430</v>
      </c>
      <c r="CP403" s="487"/>
      <c r="CQ403" s="769"/>
      <c r="CR403" s="626"/>
      <c r="CS403" s="626"/>
      <c r="CT403" s="487"/>
      <c r="CU403" s="487"/>
      <c r="CV403" s="626"/>
      <c r="CW403" s="626"/>
      <c r="CX403" s="487"/>
      <c r="CY403" s="487"/>
      <c r="CZ403" s="626"/>
      <c r="DA403" s="1388"/>
      <c r="DB403" s="487"/>
      <c r="DC403" s="487"/>
      <c r="DD403" s="626"/>
      <c r="DE403" s="1388"/>
      <c r="DF403" s="1984"/>
      <c r="DG403" s="487"/>
      <c r="DH403" s="626"/>
      <c r="DI403" s="1984"/>
      <c r="DJ403" s="1984"/>
      <c r="DK403" s="487"/>
      <c r="DL403" s="1984"/>
      <c r="DM403" s="1984"/>
      <c r="DN403" s="1984"/>
      <c r="DO403" s="487"/>
      <c r="DP403" s="1984"/>
      <c r="DQ403" s="1984"/>
      <c r="DR403" s="1984"/>
      <c r="DS403" s="487"/>
      <c r="DT403" s="487"/>
      <c r="DU403" s="487"/>
      <c r="DV403" s="487"/>
      <c r="DW403" s="487"/>
      <c r="DX403" s="293"/>
      <c r="DY403" s="293"/>
      <c r="DZ403" s="487"/>
      <c r="EA403" s="487"/>
      <c r="EB403" s="293"/>
      <c r="EC403" s="293"/>
      <c r="ED403" s="487"/>
      <c r="EE403" s="487"/>
      <c r="EF403" s="293"/>
      <c r="EG403" s="293"/>
      <c r="EH403" s="293"/>
      <c r="EI403" s="293"/>
      <c r="EJ403" s="293"/>
      <c r="EK403" s="293"/>
      <c r="EL403" s="293"/>
      <c r="EM403" s="293"/>
      <c r="EN403" s="293"/>
      <c r="EO403" s="293"/>
      <c r="EP403" s="293"/>
      <c r="JM403"/>
    </row>
    <row r="404" spans="1:273" s="332" customFormat="1" ht="15.6">
      <c r="A404" s="937" t="s">
        <v>580</v>
      </c>
      <c r="B404" s="103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626"/>
      <c r="AO404" s="626"/>
      <c r="AP404" s="293"/>
      <c r="AQ404" s="293"/>
      <c r="AR404" s="626"/>
      <c r="AS404" s="626"/>
      <c r="AT404" s="626"/>
      <c r="AU404" s="626"/>
      <c r="AV404" s="626"/>
      <c r="AW404" s="626"/>
      <c r="AX404" s="626"/>
      <c r="AY404" s="293"/>
      <c r="AZ404" s="626"/>
      <c r="BA404" s="487"/>
      <c r="BB404" s="293"/>
      <c r="BC404" s="293"/>
      <c r="BD404" s="487"/>
      <c r="BE404" s="487"/>
      <c r="BF404" s="487"/>
      <c r="BG404" s="487"/>
      <c r="BH404" s="487"/>
      <c r="BI404" s="487"/>
      <c r="BJ404" s="487"/>
      <c r="BK404" s="487"/>
      <c r="BL404" s="487"/>
      <c r="BM404" s="487"/>
      <c r="BN404" s="487"/>
      <c r="BO404" s="293"/>
      <c r="BP404" s="487"/>
      <c r="BQ404" s="487"/>
      <c r="BR404" s="487"/>
      <c r="BS404" s="293"/>
      <c r="BT404" s="487"/>
      <c r="BU404" s="487"/>
      <c r="BV404" s="487"/>
      <c r="BW404" s="936"/>
      <c r="BX404" s="487"/>
      <c r="BY404" s="487"/>
      <c r="BZ404" s="487"/>
      <c r="CA404" s="487"/>
      <c r="CB404" s="487"/>
      <c r="CC404" s="487"/>
      <c r="CD404" s="487"/>
      <c r="CE404" s="769"/>
      <c r="CF404" s="487"/>
      <c r="CG404" s="487"/>
      <c r="CH404" s="487"/>
      <c r="CI404" s="769"/>
      <c r="CJ404" s="487"/>
      <c r="CK404" s="487"/>
      <c r="CL404" s="487"/>
      <c r="CM404" s="769"/>
      <c r="CN404" s="487"/>
      <c r="CO404" s="487"/>
      <c r="CP404" s="487"/>
      <c r="CQ404" s="769"/>
      <c r="CR404" s="487"/>
      <c r="CS404" s="936"/>
      <c r="CT404" s="936"/>
      <c r="CU404" s="487"/>
      <c r="CV404" s="487"/>
      <c r="CW404" s="936"/>
      <c r="CX404" s="936"/>
      <c r="CY404" s="487"/>
      <c r="CZ404" s="487"/>
      <c r="DA404" s="936"/>
      <c r="DB404" s="936"/>
      <c r="DC404" s="487"/>
      <c r="DD404" s="487"/>
      <c r="DE404" s="936"/>
      <c r="DF404" s="936"/>
      <c r="DG404" s="487"/>
      <c r="DH404" s="487"/>
      <c r="DI404" s="936"/>
      <c r="DJ404" s="936"/>
      <c r="DK404" s="487"/>
      <c r="DL404" s="936"/>
      <c r="DM404" s="936"/>
      <c r="DN404" s="936"/>
      <c r="DO404" s="487"/>
      <c r="DP404" s="936"/>
      <c r="DQ404" s="936"/>
      <c r="DR404" s="936"/>
      <c r="DS404" s="487"/>
      <c r="DT404" s="487"/>
      <c r="DU404" s="487"/>
      <c r="DV404" s="487"/>
      <c r="DW404" s="487"/>
      <c r="DX404" s="293"/>
      <c r="DY404" s="293"/>
      <c r="DZ404" s="487"/>
      <c r="EA404" s="487"/>
      <c r="EB404" s="293"/>
      <c r="EC404" s="293"/>
      <c r="ED404" s="487"/>
      <c r="EE404" s="487"/>
      <c r="EF404" s="293"/>
      <c r="EG404" s="293"/>
      <c r="EH404" s="293"/>
      <c r="EI404" s="293"/>
      <c r="EJ404" s="293"/>
      <c r="EK404" s="293"/>
      <c r="EL404" s="293"/>
      <c r="EM404" s="293"/>
      <c r="EN404" s="293"/>
      <c r="EO404" s="293"/>
      <c r="EP404" s="293"/>
      <c r="JM404"/>
    </row>
    <row r="405" spans="1:273" s="938" customFormat="1">
      <c r="A405" s="659" t="s">
        <v>808</v>
      </c>
      <c r="B405" s="660"/>
      <c r="C405" s="659"/>
      <c r="D405" s="659"/>
      <c r="E405" s="659"/>
      <c r="F405" s="659"/>
      <c r="G405" s="659"/>
      <c r="H405" s="659"/>
      <c r="I405" s="659"/>
      <c r="J405" s="659"/>
      <c r="K405" s="659"/>
      <c r="L405" s="659"/>
      <c r="M405" s="659"/>
      <c r="N405" s="659"/>
      <c r="O405" s="659"/>
      <c r="P405" s="659"/>
      <c r="Q405" s="659"/>
      <c r="R405" s="659"/>
      <c r="S405" s="659"/>
      <c r="T405" s="659"/>
      <c r="U405" s="659"/>
      <c r="V405" s="659"/>
      <c r="W405" s="659"/>
      <c r="X405" s="659"/>
      <c r="Y405" s="659"/>
      <c r="Z405" s="659"/>
      <c r="AA405" s="659"/>
      <c r="AB405" s="659"/>
      <c r="AC405" s="659"/>
      <c r="AD405" s="659"/>
      <c r="AE405" s="659"/>
      <c r="AF405" s="659"/>
      <c r="AG405" s="659"/>
      <c r="AH405" s="659"/>
      <c r="AI405" s="659"/>
      <c r="AJ405" s="659"/>
      <c r="AK405" s="659"/>
      <c r="AL405" s="659"/>
      <c r="AM405" s="659"/>
      <c r="AN405" s="661"/>
      <c r="AO405" s="661"/>
      <c r="AP405" s="661"/>
      <c r="AQ405" s="661"/>
      <c r="AR405" s="661"/>
      <c r="AS405" s="661"/>
      <c r="AT405" s="661"/>
      <c r="AU405" s="661"/>
      <c r="AV405" s="661">
        <f t="shared" ref="AV405:AW409" si="352">AV11-AV399</f>
        <v>0</v>
      </c>
      <c r="AW405" s="661">
        <f t="shared" si="352"/>
        <v>0</v>
      </c>
      <c r="AX405" s="661"/>
      <c r="AY405" s="661"/>
      <c r="AZ405" s="661">
        <f t="shared" ref="AZ405:BA409" si="353">AZ11-AZ399</f>
        <v>0</v>
      </c>
      <c r="BA405" s="661">
        <f t="shared" si="353"/>
        <v>0</v>
      </c>
      <c r="BB405" s="661"/>
      <c r="BC405" s="661"/>
      <c r="BD405" s="661">
        <f t="shared" ref="BD405:BE409" si="354">BD11-BD399</f>
        <v>-0.33699999999998909</v>
      </c>
      <c r="BE405" s="661">
        <f t="shared" si="354"/>
        <v>1</v>
      </c>
      <c r="BF405" s="661"/>
      <c r="BG405" s="661"/>
      <c r="BH405" s="661">
        <f t="shared" ref="BH405:BI409" si="355">BH11-BH399</f>
        <v>-1</v>
      </c>
      <c r="BI405" s="661">
        <f t="shared" si="355"/>
        <v>-1</v>
      </c>
      <c r="BJ405" s="661"/>
      <c r="BK405" s="661"/>
      <c r="BL405" s="661">
        <f t="shared" ref="BL405:BM409" si="356">BL11-BL399</f>
        <v>0</v>
      </c>
      <c r="BM405" s="661">
        <f t="shared" si="356"/>
        <v>-1</v>
      </c>
      <c r="BN405" s="661"/>
      <c r="BO405" s="661"/>
      <c r="BP405" s="661">
        <f t="shared" ref="BP405:BQ409" si="357">BP11-BP399</f>
        <v>0</v>
      </c>
      <c r="BQ405" s="661">
        <f t="shared" si="357"/>
        <v>0</v>
      </c>
      <c r="BR405" s="661"/>
      <c r="BS405" s="661"/>
      <c r="BT405" s="661">
        <f t="shared" ref="BT405:BU409" si="358">BT11-BT399</f>
        <v>0</v>
      </c>
      <c r="BU405" s="661">
        <f t="shared" si="358"/>
        <v>0</v>
      </c>
      <c r="BV405" s="661"/>
      <c r="BW405" s="661"/>
      <c r="BX405" s="661">
        <f t="shared" ref="BX405:BY409" si="359">BX11-BX399</f>
        <v>0</v>
      </c>
      <c r="BY405" s="661">
        <f t="shared" si="359"/>
        <v>0</v>
      </c>
      <c r="BZ405" s="661"/>
      <c r="CA405" s="661"/>
      <c r="CB405" s="661">
        <f t="shared" ref="CB405:CC409" si="360">CB11-CB399</f>
        <v>0</v>
      </c>
      <c r="CC405" s="661">
        <f t="shared" si="360"/>
        <v>-42</v>
      </c>
      <c r="CD405" s="661"/>
      <c r="CE405" s="661"/>
      <c r="CF405" s="661">
        <f t="shared" ref="CF405:CG409" si="361">CF11-CF399</f>
        <v>0</v>
      </c>
      <c r="CG405" s="661">
        <f t="shared" si="361"/>
        <v>0</v>
      </c>
      <c r="CH405" s="661"/>
      <c r="CI405" s="661"/>
      <c r="CJ405" s="661">
        <f t="shared" ref="CJ405:CK409" si="362">CJ11-CJ399</f>
        <v>0</v>
      </c>
      <c r="CK405" s="661">
        <f t="shared" si="362"/>
        <v>0</v>
      </c>
      <c r="CL405" s="661"/>
      <c r="CM405" s="661"/>
      <c r="CN405" s="661">
        <f t="shared" ref="CN405:CO409" si="363">CN11-CN399</f>
        <v>0</v>
      </c>
      <c r="CO405" s="661">
        <f t="shared" si="363"/>
        <v>0</v>
      </c>
      <c r="CP405" s="661"/>
      <c r="CQ405" s="661"/>
      <c r="CR405" s="661">
        <f>CR11-CR399</f>
        <v>0</v>
      </c>
      <c r="CS405" s="661">
        <f t="shared" ref="CS405" si="364">CS11-CS399</f>
        <v>0</v>
      </c>
      <c r="CT405" s="661"/>
      <c r="CU405" s="661"/>
      <c r="CV405" s="661">
        <f t="shared" ref="CV405:CW408" si="365">CV11-CV399</f>
        <v>0</v>
      </c>
      <c r="CW405" s="661">
        <f t="shared" si="365"/>
        <v>0</v>
      </c>
      <c r="CX405" s="661"/>
      <c r="CY405" s="661"/>
      <c r="CZ405" s="1555">
        <f t="shared" ref="CZ405:DA408" si="366">CZ11-CZ399</f>
        <v>0</v>
      </c>
      <c r="DA405" s="1555">
        <f t="shared" si="366"/>
        <v>0</v>
      </c>
      <c r="DB405" s="661"/>
      <c r="DC405" s="661"/>
      <c r="DD405" s="1555">
        <f t="shared" ref="DD405:DE405" si="367">DD11-DD399</f>
        <v>0</v>
      </c>
      <c r="DE405" s="1555">
        <f t="shared" ca="1" si="367"/>
        <v>0</v>
      </c>
      <c r="DF405" s="661"/>
      <c r="DG405" s="661"/>
      <c r="DH405" s="1555">
        <f t="shared" ref="DH405" si="368">DH11-DH399</f>
        <v>0</v>
      </c>
      <c r="DI405" s="661"/>
      <c r="DJ405" s="661"/>
      <c r="DK405" s="661"/>
      <c r="DL405" s="661"/>
      <c r="DM405" s="661"/>
      <c r="DN405" s="661"/>
      <c r="DO405" s="661"/>
      <c r="DP405" s="661"/>
      <c r="DQ405" s="661"/>
      <c r="DR405" s="661"/>
      <c r="DS405" s="661"/>
      <c r="DT405" s="661"/>
      <c r="DU405" s="661"/>
      <c r="DV405" s="661"/>
      <c r="DW405" s="661"/>
      <c r="DX405" s="661"/>
      <c r="DY405" s="661"/>
      <c r="DZ405" s="661"/>
      <c r="EA405" s="661"/>
      <c r="EB405" s="661"/>
      <c r="EC405" s="661"/>
      <c r="ED405" s="661"/>
      <c r="EE405" s="661"/>
      <c r="EF405" s="661"/>
      <c r="EG405" s="661"/>
      <c r="EH405" s="661"/>
      <c r="EI405" s="661"/>
      <c r="EJ405" s="661"/>
      <c r="EK405" s="661"/>
      <c r="EL405" s="661"/>
      <c r="EM405" s="661"/>
      <c r="EN405" s="661"/>
      <c r="EO405" s="661"/>
      <c r="EP405" s="661"/>
      <c r="JM405"/>
    </row>
    <row r="406" spans="1:273" s="938" customFormat="1">
      <c r="A406" s="659" t="s">
        <v>618</v>
      </c>
      <c r="B406" s="660"/>
      <c r="C406" s="659"/>
      <c r="D406" s="659"/>
      <c r="E406" s="659"/>
      <c r="F406" s="659"/>
      <c r="G406" s="659"/>
      <c r="H406" s="659"/>
      <c r="I406" s="659"/>
      <c r="J406" s="659"/>
      <c r="K406" s="659"/>
      <c r="L406" s="659"/>
      <c r="M406" s="659"/>
      <c r="N406" s="659"/>
      <c r="O406" s="659"/>
      <c r="P406" s="659"/>
      <c r="Q406" s="659"/>
      <c r="R406" s="659"/>
      <c r="S406" s="659"/>
      <c r="T406" s="659"/>
      <c r="U406" s="659"/>
      <c r="V406" s="659"/>
      <c r="W406" s="659"/>
      <c r="X406" s="659"/>
      <c r="Y406" s="659"/>
      <c r="Z406" s="659"/>
      <c r="AA406" s="659"/>
      <c r="AB406" s="659"/>
      <c r="AC406" s="659"/>
      <c r="AD406" s="659"/>
      <c r="AE406" s="659"/>
      <c r="AF406" s="659"/>
      <c r="AG406" s="659"/>
      <c r="AH406" s="659"/>
      <c r="AI406" s="659"/>
      <c r="AJ406" s="659"/>
      <c r="AK406" s="659"/>
      <c r="AL406" s="659"/>
      <c r="AM406" s="659"/>
      <c r="AN406" s="661"/>
      <c r="AO406" s="661"/>
      <c r="AP406" s="661"/>
      <c r="AQ406" s="661"/>
      <c r="AR406" s="661"/>
      <c r="AS406" s="661"/>
      <c r="AT406" s="661"/>
      <c r="AU406" s="661"/>
      <c r="AV406" s="661">
        <f t="shared" si="352"/>
        <v>0</v>
      </c>
      <c r="AW406" s="661">
        <f t="shared" si="352"/>
        <v>0</v>
      </c>
      <c r="AX406" s="661"/>
      <c r="AY406" s="661"/>
      <c r="AZ406" s="661">
        <f t="shared" si="353"/>
        <v>0</v>
      </c>
      <c r="BA406" s="661">
        <f t="shared" si="353"/>
        <v>0</v>
      </c>
      <c r="BB406" s="661"/>
      <c r="BC406" s="661"/>
      <c r="BD406" s="661">
        <f t="shared" si="354"/>
        <v>0</v>
      </c>
      <c r="BE406" s="661">
        <f t="shared" si="354"/>
        <v>0</v>
      </c>
      <c r="BF406" s="661"/>
      <c r="BG406" s="661"/>
      <c r="BH406" s="661">
        <f t="shared" si="355"/>
        <v>0</v>
      </c>
      <c r="BI406" s="661">
        <f t="shared" si="355"/>
        <v>0</v>
      </c>
      <c r="BJ406" s="661"/>
      <c r="BK406" s="661"/>
      <c r="BL406" s="661">
        <f t="shared" si="356"/>
        <v>0</v>
      </c>
      <c r="BM406" s="661">
        <f t="shared" si="356"/>
        <v>-1</v>
      </c>
      <c r="BN406" s="661"/>
      <c r="BO406" s="661"/>
      <c r="BP406" s="661">
        <f t="shared" si="357"/>
        <v>0</v>
      </c>
      <c r="BQ406" s="661">
        <f t="shared" si="357"/>
        <v>0</v>
      </c>
      <c r="BR406" s="661"/>
      <c r="BS406" s="661"/>
      <c r="BT406" s="661">
        <f t="shared" si="358"/>
        <v>0</v>
      </c>
      <c r="BU406" s="661">
        <f t="shared" si="358"/>
        <v>0</v>
      </c>
      <c r="BV406" s="661"/>
      <c r="BW406" s="661"/>
      <c r="BX406" s="661">
        <f t="shared" si="359"/>
        <v>0</v>
      </c>
      <c r="BY406" s="661">
        <f t="shared" si="359"/>
        <v>0</v>
      </c>
      <c r="BZ406" s="661"/>
      <c r="CA406" s="661"/>
      <c r="CB406" s="661">
        <f t="shared" si="360"/>
        <v>0</v>
      </c>
      <c r="CC406" s="661">
        <f t="shared" si="360"/>
        <v>0</v>
      </c>
      <c r="CD406" s="661"/>
      <c r="CE406" s="661"/>
      <c r="CF406" s="661">
        <f t="shared" si="361"/>
        <v>0</v>
      </c>
      <c r="CG406" s="661">
        <f t="shared" si="361"/>
        <v>0</v>
      </c>
      <c r="CH406" s="661"/>
      <c r="CI406" s="661"/>
      <c r="CJ406" s="661">
        <f t="shared" si="362"/>
        <v>0</v>
      </c>
      <c r="CK406" s="661">
        <f t="shared" si="362"/>
        <v>0</v>
      </c>
      <c r="CL406" s="661"/>
      <c r="CM406" s="661"/>
      <c r="CN406" s="661">
        <f t="shared" si="363"/>
        <v>0</v>
      </c>
      <c r="CO406" s="661">
        <f t="shared" si="363"/>
        <v>0</v>
      </c>
      <c r="CP406" s="661"/>
      <c r="CQ406" s="661"/>
      <c r="CR406" s="661">
        <f>CR12-CR400</f>
        <v>0</v>
      </c>
      <c r="CS406" s="661">
        <f t="shared" ref="CS406" si="369">CS12-CS400</f>
        <v>0</v>
      </c>
      <c r="CT406" s="661"/>
      <c r="CU406" s="661"/>
      <c r="CV406" s="661">
        <f t="shared" si="365"/>
        <v>0</v>
      </c>
      <c r="CW406" s="661">
        <f t="shared" si="365"/>
        <v>0</v>
      </c>
      <c r="CX406" s="661"/>
      <c r="CY406" s="661"/>
      <c r="CZ406" s="1555">
        <f t="shared" si="366"/>
        <v>0</v>
      </c>
      <c r="DA406" s="1555">
        <f t="shared" si="366"/>
        <v>0</v>
      </c>
      <c r="DB406" s="661"/>
      <c r="DC406" s="661"/>
      <c r="DD406" s="1555">
        <f t="shared" ref="DD406:DE406" si="370">DD12-DD400</f>
        <v>0</v>
      </c>
      <c r="DE406" s="1555">
        <f t="shared" ca="1" si="370"/>
        <v>0</v>
      </c>
      <c r="DF406" s="661"/>
      <c r="DG406" s="661"/>
      <c r="DH406" s="1555">
        <f t="shared" ref="DH406" si="371">DH12-DH400</f>
        <v>0</v>
      </c>
      <c r="DI406" s="661"/>
      <c r="DJ406" s="661"/>
      <c r="DK406" s="661"/>
      <c r="DL406" s="661"/>
      <c r="DM406" s="661"/>
      <c r="DN406" s="661"/>
      <c r="DO406" s="661"/>
      <c r="DP406" s="661"/>
      <c r="DQ406" s="661"/>
      <c r="DR406" s="661"/>
      <c r="DS406" s="661"/>
      <c r="DT406" s="661"/>
      <c r="DU406" s="661"/>
      <c r="DV406" s="661"/>
      <c r="DW406" s="661"/>
      <c r="DX406" s="661"/>
      <c r="DY406" s="661"/>
      <c r="DZ406" s="661"/>
      <c r="EA406" s="661"/>
      <c r="EB406" s="661"/>
      <c r="EC406" s="661"/>
      <c r="ED406" s="661"/>
      <c r="EE406" s="661"/>
      <c r="EF406" s="661"/>
      <c r="EG406" s="661"/>
      <c r="EH406" s="661"/>
      <c r="EI406" s="661"/>
      <c r="EJ406" s="661"/>
      <c r="EK406" s="661"/>
      <c r="EL406" s="661"/>
      <c r="EM406" s="661"/>
      <c r="EN406" s="661"/>
      <c r="EO406" s="661"/>
      <c r="EP406" s="661"/>
      <c r="JM406"/>
    </row>
    <row r="407" spans="1:273" s="938" customFormat="1">
      <c r="A407" s="659" t="s">
        <v>809</v>
      </c>
      <c r="B407" s="660"/>
      <c r="C407" s="659"/>
      <c r="D407" s="659"/>
      <c r="E407" s="659"/>
      <c r="F407" s="659"/>
      <c r="G407" s="659"/>
      <c r="H407" s="659"/>
      <c r="I407" s="659"/>
      <c r="J407" s="659"/>
      <c r="K407" s="659"/>
      <c r="L407" s="659"/>
      <c r="M407" s="659"/>
      <c r="N407" s="659"/>
      <c r="O407" s="659"/>
      <c r="P407" s="659"/>
      <c r="Q407" s="659"/>
      <c r="R407" s="659"/>
      <c r="S407" s="659"/>
      <c r="T407" s="659"/>
      <c r="U407" s="659"/>
      <c r="V407" s="659"/>
      <c r="W407" s="659"/>
      <c r="X407" s="659"/>
      <c r="Y407" s="659"/>
      <c r="Z407" s="659"/>
      <c r="AA407" s="659"/>
      <c r="AB407" s="659"/>
      <c r="AC407" s="659"/>
      <c r="AD407" s="659"/>
      <c r="AE407" s="659"/>
      <c r="AF407" s="659"/>
      <c r="AG407" s="659"/>
      <c r="AH407" s="659"/>
      <c r="AI407" s="659"/>
      <c r="AJ407" s="659"/>
      <c r="AK407" s="659"/>
      <c r="AL407" s="659"/>
      <c r="AM407" s="659"/>
      <c r="AN407" s="661"/>
      <c r="AO407" s="661"/>
      <c r="AP407" s="661"/>
      <c r="AQ407" s="661"/>
      <c r="AR407" s="661"/>
      <c r="AS407" s="661"/>
      <c r="AT407" s="661"/>
      <c r="AU407" s="661"/>
      <c r="AV407" s="661">
        <f t="shared" si="352"/>
        <v>0</v>
      </c>
      <c r="AW407" s="661">
        <f t="shared" si="352"/>
        <v>0</v>
      </c>
      <c r="AX407" s="661"/>
      <c r="AY407" s="661"/>
      <c r="AZ407" s="661">
        <f t="shared" si="353"/>
        <v>0</v>
      </c>
      <c r="BA407" s="661">
        <f t="shared" si="353"/>
        <v>0</v>
      </c>
      <c r="BB407" s="661"/>
      <c r="BC407" s="661"/>
      <c r="BD407" s="661">
        <f t="shared" si="354"/>
        <v>0</v>
      </c>
      <c r="BE407" s="661">
        <f t="shared" si="354"/>
        <v>0</v>
      </c>
      <c r="BF407" s="661"/>
      <c r="BG407" s="661"/>
      <c r="BH407" s="661">
        <f t="shared" si="355"/>
        <v>0</v>
      </c>
      <c r="BI407" s="661">
        <f t="shared" si="355"/>
        <v>-5</v>
      </c>
      <c r="BJ407" s="661"/>
      <c r="BK407" s="661"/>
      <c r="BL407" s="661">
        <f t="shared" si="356"/>
        <v>0</v>
      </c>
      <c r="BM407" s="661">
        <f t="shared" si="356"/>
        <v>0</v>
      </c>
      <c r="BN407" s="661"/>
      <c r="BO407" s="661"/>
      <c r="BP407" s="661">
        <f t="shared" si="357"/>
        <v>0</v>
      </c>
      <c r="BQ407" s="661">
        <f t="shared" si="357"/>
        <v>0</v>
      </c>
      <c r="BR407" s="661"/>
      <c r="BS407" s="661"/>
      <c r="BT407" s="661">
        <f t="shared" si="358"/>
        <v>0</v>
      </c>
      <c r="BU407" s="661">
        <f t="shared" si="358"/>
        <v>0</v>
      </c>
      <c r="BV407" s="661"/>
      <c r="BW407" s="661"/>
      <c r="BX407" s="661">
        <f t="shared" si="359"/>
        <v>0</v>
      </c>
      <c r="BY407" s="661">
        <f t="shared" si="359"/>
        <v>0</v>
      </c>
      <c r="BZ407" s="661"/>
      <c r="CA407" s="661"/>
      <c r="CB407" s="661">
        <f t="shared" si="360"/>
        <v>0</v>
      </c>
      <c r="CC407" s="661">
        <f t="shared" si="360"/>
        <v>0</v>
      </c>
      <c r="CD407" s="661"/>
      <c r="CE407" s="661"/>
      <c r="CF407" s="661">
        <f t="shared" si="361"/>
        <v>0</v>
      </c>
      <c r="CG407" s="661">
        <f t="shared" si="361"/>
        <v>0</v>
      </c>
      <c r="CH407" s="661"/>
      <c r="CI407" s="661"/>
      <c r="CJ407" s="661">
        <f t="shared" si="362"/>
        <v>0</v>
      </c>
      <c r="CK407" s="661">
        <f t="shared" si="362"/>
        <v>0</v>
      </c>
      <c r="CL407" s="661"/>
      <c r="CM407" s="661"/>
      <c r="CN407" s="661">
        <f t="shared" si="363"/>
        <v>0</v>
      </c>
      <c r="CO407" s="661">
        <f t="shared" si="363"/>
        <v>0</v>
      </c>
      <c r="CP407" s="661"/>
      <c r="CQ407" s="661"/>
      <c r="CR407" s="661">
        <f>CR13-CR401</f>
        <v>0</v>
      </c>
      <c r="CS407" s="661">
        <f t="shared" ref="CS407" si="372">CS13-CS401</f>
        <v>0</v>
      </c>
      <c r="CT407" s="661"/>
      <c r="CU407" s="661"/>
      <c r="CV407" s="661">
        <f t="shared" si="365"/>
        <v>0</v>
      </c>
      <c r="CW407" s="661">
        <f t="shared" si="365"/>
        <v>0</v>
      </c>
      <c r="CX407" s="661"/>
      <c r="CY407" s="661"/>
      <c r="CZ407" s="1555">
        <f t="shared" si="366"/>
        <v>0</v>
      </c>
      <c r="DA407" s="1555">
        <f t="shared" si="366"/>
        <v>0</v>
      </c>
      <c r="DB407" s="661"/>
      <c r="DC407" s="661"/>
      <c r="DD407" s="1555">
        <f t="shared" ref="DD407:DE407" si="373">DD13-DD401</f>
        <v>0</v>
      </c>
      <c r="DE407" s="1555">
        <f t="shared" ca="1" si="373"/>
        <v>0</v>
      </c>
      <c r="DF407" s="661"/>
      <c r="DG407" s="661"/>
      <c r="DH407" s="1555">
        <f t="shared" ref="DH407" si="374">DH13-DH401</f>
        <v>0</v>
      </c>
      <c r="DI407" s="661"/>
      <c r="DJ407" s="661"/>
      <c r="DK407" s="661"/>
      <c r="DL407" s="661"/>
      <c r="DM407" s="661"/>
      <c r="DN407" s="661"/>
      <c r="DO407" s="661"/>
      <c r="DP407" s="661"/>
      <c r="DQ407" s="661"/>
      <c r="DR407" s="661"/>
      <c r="DS407" s="661"/>
      <c r="DT407" s="661"/>
      <c r="DU407" s="661"/>
      <c r="DV407" s="661"/>
      <c r="DW407" s="661"/>
      <c r="DX407" s="661"/>
      <c r="DY407" s="661"/>
      <c r="DZ407" s="661"/>
      <c r="EA407" s="661"/>
      <c r="EB407" s="661"/>
      <c r="EC407" s="661"/>
      <c r="ED407" s="661"/>
      <c r="EE407" s="661"/>
      <c r="EF407" s="661"/>
      <c r="EG407" s="661"/>
      <c r="EH407" s="661"/>
      <c r="EI407" s="661"/>
      <c r="EJ407" s="661"/>
      <c r="EK407" s="661"/>
      <c r="EL407" s="661"/>
      <c r="EM407" s="661"/>
      <c r="EN407" s="661"/>
      <c r="EO407" s="661"/>
      <c r="EP407" s="661"/>
      <c r="JM407"/>
    </row>
    <row r="408" spans="1:273" s="938" customFormat="1">
      <c r="A408" s="659" t="s">
        <v>811</v>
      </c>
      <c r="B408" s="660"/>
      <c r="C408" s="659"/>
      <c r="D408" s="659"/>
      <c r="E408" s="659"/>
      <c r="F408" s="659"/>
      <c r="G408" s="659"/>
      <c r="H408" s="659"/>
      <c r="I408" s="659"/>
      <c r="J408" s="659"/>
      <c r="K408" s="659"/>
      <c r="L408" s="659"/>
      <c r="M408" s="659"/>
      <c r="N408" s="659"/>
      <c r="O408" s="659"/>
      <c r="P408" s="659"/>
      <c r="Q408" s="659"/>
      <c r="R408" s="659"/>
      <c r="S408" s="659"/>
      <c r="T408" s="659"/>
      <c r="U408" s="659"/>
      <c r="V408" s="659"/>
      <c r="W408" s="659"/>
      <c r="X408" s="659"/>
      <c r="Y408" s="659"/>
      <c r="Z408" s="659"/>
      <c r="AA408" s="659"/>
      <c r="AB408" s="659"/>
      <c r="AC408" s="659"/>
      <c r="AD408" s="659"/>
      <c r="AE408" s="659"/>
      <c r="AF408" s="659"/>
      <c r="AG408" s="659"/>
      <c r="AH408" s="659"/>
      <c r="AI408" s="659"/>
      <c r="AJ408" s="659"/>
      <c r="AK408" s="659"/>
      <c r="AL408" s="659"/>
      <c r="AM408" s="659"/>
      <c r="AN408" s="661"/>
      <c r="AO408" s="661"/>
      <c r="AP408" s="661"/>
      <c r="AQ408" s="661"/>
      <c r="AR408" s="661"/>
      <c r="AS408" s="661"/>
      <c r="AT408" s="661"/>
      <c r="AU408" s="661"/>
      <c r="AV408" s="661">
        <f t="shared" si="352"/>
        <v>0</v>
      </c>
      <c r="AW408" s="661">
        <f t="shared" si="352"/>
        <v>0</v>
      </c>
      <c r="AX408" s="661"/>
      <c r="AY408" s="661"/>
      <c r="AZ408" s="661">
        <f t="shared" si="353"/>
        <v>0</v>
      </c>
      <c r="BA408" s="661">
        <f t="shared" si="353"/>
        <v>0</v>
      </c>
      <c r="BB408" s="661"/>
      <c r="BC408" s="661"/>
      <c r="BD408" s="661">
        <f t="shared" si="354"/>
        <v>-1.5</v>
      </c>
      <c r="BE408" s="661">
        <f t="shared" si="354"/>
        <v>-2</v>
      </c>
      <c r="BF408" s="661"/>
      <c r="BG408" s="661"/>
      <c r="BH408" s="661">
        <f t="shared" si="355"/>
        <v>1</v>
      </c>
      <c r="BI408" s="661">
        <f t="shared" si="355"/>
        <v>-1</v>
      </c>
      <c r="BJ408" s="661"/>
      <c r="BK408" s="661"/>
      <c r="BL408" s="661">
        <f t="shared" si="356"/>
        <v>0</v>
      </c>
      <c r="BM408" s="661">
        <f t="shared" si="356"/>
        <v>4</v>
      </c>
      <c r="BN408" s="661"/>
      <c r="BO408" s="661"/>
      <c r="BP408" s="661">
        <f t="shared" si="357"/>
        <v>0</v>
      </c>
      <c r="BQ408" s="661">
        <f t="shared" si="357"/>
        <v>0</v>
      </c>
      <c r="BR408" s="661"/>
      <c r="BS408" s="661"/>
      <c r="BT408" s="661">
        <f t="shared" si="358"/>
        <v>0</v>
      </c>
      <c r="BU408" s="661">
        <f t="shared" si="358"/>
        <v>0</v>
      </c>
      <c r="BV408" s="661"/>
      <c r="BW408" s="661"/>
      <c r="BX408" s="661">
        <f t="shared" si="359"/>
        <v>0</v>
      </c>
      <c r="BY408" s="661">
        <f t="shared" si="359"/>
        <v>0</v>
      </c>
      <c r="BZ408" s="661"/>
      <c r="CA408" s="661"/>
      <c r="CB408" s="661">
        <f t="shared" si="360"/>
        <v>0</v>
      </c>
      <c r="CC408" s="661">
        <f t="shared" si="360"/>
        <v>0</v>
      </c>
      <c r="CD408" s="661"/>
      <c r="CE408" s="661"/>
      <c r="CF408" s="661">
        <f t="shared" si="361"/>
        <v>67</v>
      </c>
      <c r="CG408" s="661">
        <f t="shared" si="361"/>
        <v>61</v>
      </c>
      <c r="CH408" s="661"/>
      <c r="CI408" s="661"/>
      <c r="CJ408" s="661">
        <f t="shared" si="362"/>
        <v>0</v>
      </c>
      <c r="CK408" s="661">
        <f t="shared" si="362"/>
        <v>0</v>
      </c>
      <c r="CL408" s="661"/>
      <c r="CM408" s="661"/>
      <c r="CN408" s="661">
        <f t="shared" si="363"/>
        <v>0</v>
      </c>
      <c r="CO408" s="661">
        <f t="shared" si="363"/>
        <v>0</v>
      </c>
      <c r="CP408" s="661"/>
      <c r="CQ408" s="661"/>
      <c r="CR408" s="661">
        <f>CR14-CR402</f>
        <v>0</v>
      </c>
      <c r="CS408" s="661">
        <f t="shared" ref="CS408" si="375">CS14-CS402</f>
        <v>0</v>
      </c>
      <c r="CT408" s="661"/>
      <c r="CU408" s="661"/>
      <c r="CV408" s="661">
        <f t="shared" si="365"/>
        <v>0</v>
      </c>
      <c r="CW408" s="661">
        <f t="shared" si="365"/>
        <v>0</v>
      </c>
      <c r="CX408" s="661"/>
      <c r="CY408" s="661"/>
      <c r="CZ408" s="1555">
        <f t="shared" si="366"/>
        <v>0</v>
      </c>
      <c r="DA408" s="1555">
        <f t="shared" si="366"/>
        <v>0</v>
      </c>
      <c r="DB408" s="661"/>
      <c r="DC408" s="661"/>
      <c r="DD408" s="1555">
        <f t="shared" ref="DD408:DE408" si="376">DD14-DD402</f>
        <v>0</v>
      </c>
      <c r="DE408" s="1555">
        <f t="shared" ca="1" si="376"/>
        <v>0</v>
      </c>
      <c r="DF408" s="661"/>
      <c r="DG408" s="661"/>
      <c r="DH408" s="1555">
        <f t="shared" ref="DH408" si="377">DH14-DH402</f>
        <v>0</v>
      </c>
      <c r="DI408" s="661"/>
      <c r="DJ408" s="661"/>
      <c r="DK408" s="661"/>
      <c r="DL408" s="661"/>
      <c r="DM408" s="661"/>
      <c r="DN408" s="661"/>
      <c r="DO408" s="661"/>
      <c r="DP408" s="661"/>
      <c r="DQ408" s="661"/>
      <c r="DR408" s="661"/>
      <c r="DS408" s="661"/>
      <c r="DT408" s="661"/>
      <c r="DU408" s="661"/>
      <c r="DV408" s="661"/>
      <c r="DW408" s="661"/>
      <c r="DX408" s="661"/>
      <c r="DY408" s="661"/>
      <c r="DZ408" s="661"/>
      <c r="EA408" s="661"/>
      <c r="EB408" s="661"/>
      <c r="EC408" s="661"/>
      <c r="ED408" s="661"/>
      <c r="EE408" s="661"/>
      <c r="EF408" s="661"/>
      <c r="EG408" s="661"/>
      <c r="EH408" s="661"/>
      <c r="EI408" s="661"/>
      <c r="EJ408" s="661"/>
      <c r="EK408" s="661"/>
      <c r="EL408" s="661"/>
      <c r="EM408" s="661"/>
      <c r="EN408" s="661"/>
      <c r="EO408" s="661"/>
      <c r="EP408" s="661"/>
      <c r="JM408"/>
    </row>
    <row r="409" spans="1:273" s="938" customFormat="1">
      <c r="A409" s="659" t="s">
        <v>812</v>
      </c>
      <c r="B409" s="660"/>
      <c r="C409" s="659"/>
      <c r="D409" s="659"/>
      <c r="E409" s="659"/>
      <c r="F409" s="659"/>
      <c r="G409" s="659"/>
      <c r="H409" s="659"/>
      <c r="I409" s="659"/>
      <c r="J409" s="659"/>
      <c r="K409" s="659"/>
      <c r="L409" s="659"/>
      <c r="M409" s="659"/>
      <c r="N409" s="659"/>
      <c r="O409" s="659"/>
      <c r="P409" s="659"/>
      <c r="Q409" s="659"/>
      <c r="R409" s="659"/>
      <c r="S409" s="659"/>
      <c r="T409" s="659"/>
      <c r="U409" s="659"/>
      <c r="V409" s="659"/>
      <c r="W409" s="659"/>
      <c r="X409" s="659"/>
      <c r="Y409" s="659"/>
      <c r="Z409" s="659"/>
      <c r="AA409" s="659"/>
      <c r="AB409" s="659"/>
      <c r="AC409" s="659"/>
      <c r="AD409" s="659"/>
      <c r="AE409" s="659"/>
      <c r="AF409" s="659"/>
      <c r="AG409" s="659"/>
      <c r="AH409" s="659"/>
      <c r="AI409" s="659"/>
      <c r="AJ409" s="659"/>
      <c r="AK409" s="659"/>
      <c r="AL409" s="659"/>
      <c r="AM409" s="659"/>
      <c r="AN409" s="661"/>
      <c r="AO409" s="661"/>
      <c r="AP409" s="661"/>
      <c r="AQ409" s="661"/>
      <c r="AR409" s="661"/>
      <c r="AS409" s="661"/>
      <c r="AT409" s="661"/>
      <c r="AU409" s="661"/>
      <c r="AV409" s="661">
        <f t="shared" si="352"/>
        <v>0</v>
      </c>
      <c r="AW409" s="661">
        <f t="shared" si="352"/>
        <v>0</v>
      </c>
      <c r="AX409" s="661"/>
      <c r="AY409" s="661"/>
      <c r="AZ409" s="661">
        <f t="shared" si="353"/>
        <v>0</v>
      </c>
      <c r="BA409" s="661">
        <f t="shared" si="353"/>
        <v>0</v>
      </c>
      <c r="BB409" s="661"/>
      <c r="BC409" s="661"/>
      <c r="BD409" s="661">
        <f t="shared" si="354"/>
        <v>1.5</v>
      </c>
      <c r="BE409" s="661">
        <f t="shared" si="354"/>
        <v>1</v>
      </c>
      <c r="BF409" s="661"/>
      <c r="BG409" s="661"/>
      <c r="BH409" s="661">
        <f t="shared" si="355"/>
        <v>0</v>
      </c>
      <c r="BI409" s="661">
        <f t="shared" si="355"/>
        <v>7</v>
      </c>
      <c r="BJ409" s="661"/>
      <c r="BK409" s="661"/>
      <c r="BL409" s="661">
        <f t="shared" si="356"/>
        <v>0</v>
      </c>
      <c r="BM409" s="661">
        <f t="shared" si="356"/>
        <v>0</v>
      </c>
      <c r="BN409" s="661"/>
      <c r="BO409" s="661"/>
      <c r="BP409" s="661">
        <f t="shared" si="357"/>
        <v>0</v>
      </c>
      <c r="BQ409" s="661">
        <f t="shared" si="357"/>
        <v>0</v>
      </c>
      <c r="BR409" s="661"/>
      <c r="BS409" s="661"/>
      <c r="BT409" s="661">
        <f t="shared" si="358"/>
        <v>0</v>
      </c>
      <c r="BU409" s="661">
        <f t="shared" si="358"/>
        <v>0</v>
      </c>
      <c r="BV409" s="661"/>
      <c r="BW409" s="661"/>
      <c r="BX409" s="661">
        <f t="shared" si="359"/>
        <v>0</v>
      </c>
      <c r="BY409" s="661">
        <f t="shared" si="359"/>
        <v>0</v>
      </c>
      <c r="BZ409" s="661"/>
      <c r="CA409" s="661"/>
      <c r="CB409" s="661">
        <f t="shared" si="360"/>
        <v>0</v>
      </c>
      <c r="CC409" s="661">
        <f t="shared" si="360"/>
        <v>42</v>
      </c>
      <c r="CD409" s="661"/>
      <c r="CE409" s="661"/>
      <c r="CF409" s="661">
        <f t="shared" si="361"/>
        <v>-67</v>
      </c>
      <c r="CG409" s="661">
        <f t="shared" si="361"/>
        <v>-61</v>
      </c>
      <c r="CH409" s="661"/>
      <c r="CI409" s="661"/>
      <c r="CJ409" s="661">
        <f t="shared" si="362"/>
        <v>0</v>
      </c>
      <c r="CK409" s="661">
        <f t="shared" si="362"/>
        <v>0</v>
      </c>
      <c r="CL409" s="661"/>
      <c r="CM409" s="661"/>
      <c r="CN409" s="661">
        <f t="shared" si="363"/>
        <v>0</v>
      </c>
      <c r="CO409" s="661">
        <f t="shared" si="363"/>
        <v>0</v>
      </c>
      <c r="CP409" s="661"/>
      <c r="CQ409" s="661"/>
      <c r="CR409" s="661"/>
      <c r="CS409" s="661"/>
      <c r="CT409" s="661"/>
      <c r="CU409" s="661"/>
      <c r="CV409" s="661"/>
      <c r="CW409" s="661"/>
      <c r="CX409" s="661"/>
      <c r="CY409" s="661"/>
      <c r="CZ409" s="661"/>
      <c r="DA409" s="661"/>
      <c r="DB409" s="661"/>
      <c r="DC409" s="661"/>
      <c r="DD409" s="661"/>
      <c r="DE409" s="661"/>
      <c r="DF409" s="661"/>
      <c r="DG409" s="661"/>
      <c r="DH409" s="661"/>
      <c r="DI409" s="661"/>
      <c r="DJ409" s="661"/>
      <c r="DK409" s="661"/>
      <c r="DL409" s="661"/>
      <c r="DM409" s="661"/>
      <c r="DN409" s="661"/>
      <c r="DO409" s="661"/>
      <c r="DP409" s="661"/>
      <c r="DQ409" s="661"/>
      <c r="DR409" s="661"/>
      <c r="DS409" s="661"/>
      <c r="DT409" s="661"/>
      <c r="DU409" s="661"/>
      <c r="DV409" s="661"/>
      <c r="DW409" s="661"/>
      <c r="DX409" s="661"/>
      <c r="DY409" s="661"/>
      <c r="DZ409" s="661"/>
      <c r="EA409" s="661"/>
      <c r="EB409" s="661"/>
      <c r="EC409" s="661"/>
      <c r="ED409" s="661"/>
      <c r="EE409" s="661"/>
      <c r="EF409" s="661"/>
      <c r="EG409" s="661"/>
      <c r="EH409" s="661"/>
      <c r="EI409" s="661"/>
      <c r="EJ409" s="661"/>
      <c r="EK409" s="661"/>
      <c r="EL409" s="661"/>
      <c r="EM409" s="661"/>
      <c r="EN409" s="661"/>
      <c r="EO409" s="661"/>
      <c r="EP409" s="661"/>
      <c r="JM409"/>
    </row>
    <row r="410" spans="1:273" s="938" customFormat="1">
      <c r="A410" s="659"/>
      <c r="B410" s="660"/>
      <c r="C410" s="659"/>
      <c r="D410" s="659"/>
      <c r="E410" s="659"/>
      <c r="F410" s="659"/>
      <c r="G410" s="659"/>
      <c r="H410" s="659"/>
      <c r="I410" s="659"/>
      <c r="J410" s="659"/>
      <c r="K410" s="659"/>
      <c r="L410" s="659"/>
      <c r="M410" s="659"/>
      <c r="N410" s="659"/>
      <c r="O410" s="659"/>
      <c r="P410" s="659"/>
      <c r="Q410" s="659"/>
      <c r="R410" s="659"/>
      <c r="S410" s="659"/>
      <c r="T410" s="659"/>
      <c r="U410" s="659"/>
      <c r="V410" s="659"/>
      <c r="W410" s="659"/>
      <c r="X410" s="659"/>
      <c r="Y410" s="659"/>
      <c r="Z410" s="659"/>
      <c r="AA410" s="659"/>
      <c r="AB410" s="659"/>
      <c r="AC410" s="659"/>
      <c r="AD410" s="659"/>
      <c r="AE410" s="659"/>
      <c r="AF410" s="659"/>
      <c r="AG410" s="659"/>
      <c r="AH410" s="659"/>
      <c r="AI410" s="659"/>
      <c r="AJ410" s="659"/>
      <c r="AK410" s="659"/>
      <c r="AL410" s="659"/>
      <c r="AM410" s="659"/>
      <c r="AN410" s="661"/>
      <c r="AO410" s="661"/>
      <c r="AP410" s="661"/>
      <c r="AQ410" s="661"/>
      <c r="AR410" s="661"/>
      <c r="AS410" s="661"/>
      <c r="AT410" s="661"/>
      <c r="AU410" s="661"/>
      <c r="AV410" s="661"/>
      <c r="AW410" s="661"/>
      <c r="AX410" s="661"/>
      <c r="AY410" s="661"/>
      <c r="AZ410" s="661"/>
      <c r="BA410" s="661"/>
      <c r="BB410" s="661"/>
      <c r="BC410" s="661"/>
      <c r="BD410" s="661"/>
      <c r="BE410" s="661"/>
      <c r="BF410" s="661"/>
      <c r="BG410" s="661"/>
      <c r="BH410" s="661"/>
      <c r="BI410" s="661"/>
      <c r="BJ410" s="661"/>
      <c r="BK410" s="661"/>
      <c r="BL410" s="661"/>
      <c r="BM410" s="661"/>
      <c r="BN410" s="661"/>
      <c r="BO410" s="661"/>
      <c r="BP410" s="661"/>
      <c r="BQ410" s="661"/>
      <c r="BR410" s="661"/>
      <c r="BS410" s="661"/>
      <c r="BT410" s="661"/>
      <c r="BU410" s="661"/>
      <c r="BV410" s="661"/>
      <c r="BW410" s="661"/>
      <c r="BX410" s="661"/>
      <c r="BY410" s="661"/>
      <c r="BZ410" s="661"/>
      <c r="CA410" s="661"/>
      <c r="CB410" s="661"/>
      <c r="CC410" s="661"/>
      <c r="CD410" s="661"/>
      <c r="CE410" s="661"/>
      <c r="CF410" s="661"/>
      <c r="CG410" s="661"/>
      <c r="CH410" s="661"/>
      <c r="CI410" s="661"/>
      <c r="CJ410" s="661"/>
      <c r="CK410" s="661"/>
      <c r="CL410" s="661"/>
      <c r="CM410" s="661"/>
      <c r="CN410" s="661"/>
      <c r="CO410" s="661"/>
      <c r="CP410" s="661"/>
      <c r="CQ410" s="661"/>
      <c r="CR410" s="661"/>
      <c r="CS410" s="661"/>
      <c r="CT410" s="661"/>
      <c r="CU410" s="661"/>
      <c r="CV410" s="661"/>
      <c r="CW410" s="661"/>
      <c r="CX410" s="661"/>
      <c r="CY410" s="661"/>
      <c r="CZ410" s="661"/>
      <c r="DA410" s="661"/>
      <c r="DB410" s="661"/>
      <c r="DC410" s="661"/>
      <c r="DD410" s="661"/>
      <c r="DE410" s="661"/>
      <c r="DF410" s="661"/>
      <c r="DG410" s="661"/>
      <c r="DH410" s="661"/>
      <c r="DI410" s="661"/>
      <c r="DJ410" s="661"/>
      <c r="DK410" s="661"/>
      <c r="DL410" s="661"/>
      <c r="DM410" s="661"/>
      <c r="DN410" s="661"/>
      <c r="DO410" s="661"/>
      <c r="DP410" s="661"/>
      <c r="DQ410" s="661"/>
      <c r="DR410" s="661"/>
      <c r="DS410" s="661"/>
      <c r="DT410" s="661"/>
      <c r="DU410" s="661"/>
      <c r="DV410" s="661"/>
      <c r="DW410" s="661"/>
      <c r="DX410" s="661"/>
      <c r="DY410" s="661"/>
      <c r="DZ410" s="661"/>
      <c r="EA410" s="661"/>
      <c r="EB410" s="661"/>
      <c r="EC410" s="661"/>
      <c r="ED410" s="661"/>
      <c r="EE410" s="661"/>
      <c r="EF410" s="661"/>
      <c r="EG410" s="661"/>
      <c r="EH410" s="661"/>
      <c r="EI410" s="661"/>
      <c r="EJ410" s="661"/>
      <c r="EK410" s="661"/>
      <c r="EL410" s="661"/>
      <c r="EM410" s="661"/>
      <c r="EN410" s="661"/>
      <c r="EO410" s="661"/>
      <c r="EP410" s="661"/>
      <c r="JM410"/>
    </row>
    <row r="412" spans="1:273" s="944" customFormat="1">
      <c r="A412" s="939" t="s">
        <v>652</v>
      </c>
      <c r="B412" s="833"/>
      <c r="C412" s="834"/>
      <c r="D412" s="834"/>
      <c r="E412" s="834"/>
      <c r="F412" s="834"/>
      <c r="G412" s="834"/>
      <c r="H412" s="834"/>
      <c r="I412" s="834"/>
      <c r="J412" s="834"/>
      <c r="K412" s="834"/>
      <c r="L412" s="834"/>
      <c r="M412" s="834"/>
      <c r="N412" s="834"/>
      <c r="O412" s="834"/>
      <c r="P412" s="834"/>
      <c r="Q412" s="834"/>
      <c r="R412" s="834"/>
      <c r="S412" s="834"/>
      <c r="T412" s="834"/>
      <c r="U412" s="834"/>
      <c r="V412" s="834"/>
      <c r="W412" s="834"/>
      <c r="X412" s="834"/>
      <c r="Y412" s="834"/>
      <c r="Z412" s="834"/>
      <c r="AA412" s="834"/>
      <c r="AB412" s="834"/>
      <c r="AC412" s="834"/>
      <c r="AD412" s="834"/>
      <c r="AE412" s="834"/>
      <c r="AF412" s="834"/>
      <c r="AG412" s="834"/>
      <c r="AH412" s="834"/>
      <c r="AI412" s="834"/>
      <c r="AJ412" s="834"/>
      <c r="AK412" s="834"/>
      <c r="AL412" s="834"/>
      <c r="AM412" s="834"/>
      <c r="AN412" s="940"/>
      <c r="AO412" s="940"/>
      <c r="AP412" s="940"/>
      <c r="AQ412" s="940"/>
      <c r="AR412" s="940"/>
      <c r="AS412" s="940"/>
      <c r="AT412" s="940"/>
      <c r="AU412" s="940"/>
      <c r="AV412" s="941"/>
      <c r="AW412" s="941"/>
      <c r="AX412" s="942"/>
      <c r="AY412" s="942"/>
      <c r="AZ412" s="941"/>
      <c r="BA412" s="943"/>
      <c r="BB412" s="942"/>
      <c r="BC412" s="942"/>
      <c r="BD412" s="943"/>
      <c r="BE412" s="943"/>
      <c r="BF412" s="942"/>
      <c r="BG412" s="942"/>
      <c r="BH412" s="943"/>
      <c r="BI412" s="943"/>
      <c r="BJ412" s="942"/>
      <c r="BK412" s="942"/>
      <c r="BL412" s="943"/>
      <c r="BM412" s="943"/>
      <c r="BN412" s="942"/>
      <c r="BO412" s="942"/>
      <c r="BP412" s="943"/>
      <c r="BQ412" s="943"/>
      <c r="BR412" s="942"/>
      <c r="BS412" s="942"/>
      <c r="BT412" s="943"/>
      <c r="BU412" s="943"/>
      <c r="BV412" s="942"/>
      <c r="BW412" s="942"/>
      <c r="BX412" s="943"/>
      <c r="BY412" s="943"/>
      <c r="BZ412" s="942"/>
      <c r="CA412" s="942"/>
      <c r="CB412" s="943"/>
      <c r="CC412" s="943"/>
      <c r="CD412" s="942"/>
      <c r="CE412" s="1616"/>
      <c r="CF412" s="943"/>
      <c r="CG412" s="943"/>
      <c r="CH412" s="942"/>
      <c r="CI412" s="1616"/>
      <c r="CJ412" s="943"/>
      <c r="CK412" s="943"/>
      <c r="CL412" s="942"/>
      <c r="CM412" s="1616"/>
      <c r="CN412" s="943"/>
      <c r="CO412" s="943"/>
      <c r="CP412" s="942"/>
      <c r="CQ412" s="1616"/>
      <c r="CR412" s="943"/>
      <c r="CS412" s="943"/>
      <c r="CT412" s="942"/>
      <c r="CU412" s="942"/>
      <c r="CV412" s="943"/>
      <c r="CW412" s="943"/>
      <c r="CX412" s="942"/>
      <c r="CY412" s="942"/>
      <c r="CZ412" s="943"/>
      <c r="DA412" s="943"/>
      <c r="DB412" s="942"/>
      <c r="DC412" s="942"/>
      <c r="DD412" s="943"/>
      <c r="DE412" s="943"/>
      <c r="DF412" s="942"/>
      <c r="DG412" s="942"/>
      <c r="DH412" s="943"/>
      <c r="DI412" s="943"/>
      <c r="DJ412" s="942"/>
      <c r="DK412" s="942"/>
      <c r="DL412" s="943"/>
      <c r="DM412" s="943"/>
      <c r="DN412" s="942"/>
      <c r="DO412" s="942"/>
      <c r="DP412" s="943"/>
      <c r="DQ412" s="943"/>
      <c r="DR412" s="942"/>
      <c r="DS412" s="942"/>
      <c r="DT412" s="942"/>
      <c r="DU412" s="943"/>
      <c r="DV412" s="943"/>
      <c r="DW412" s="943"/>
      <c r="DX412" s="942"/>
      <c r="DY412" s="942"/>
      <c r="DZ412" s="943"/>
      <c r="EA412" s="943"/>
      <c r="EB412" s="942"/>
      <c r="EC412" s="942"/>
      <c r="ED412" s="943"/>
      <c r="EE412" s="943"/>
      <c r="EF412" s="942"/>
      <c r="EG412" s="942"/>
      <c r="EH412" s="942"/>
      <c r="EI412" s="942"/>
      <c r="EJ412" s="942"/>
      <c r="EK412" s="942"/>
      <c r="EL412" s="942"/>
      <c r="EM412" s="942"/>
      <c r="EN412" s="942"/>
      <c r="EO412" s="942"/>
      <c r="EP412" s="942"/>
      <c r="EQ412" s="945"/>
      <c r="ER412" s="945"/>
      <c r="ES412" s="945"/>
      <c r="ET412" s="945"/>
      <c r="EU412" s="945"/>
      <c r="EV412" s="945"/>
      <c r="EW412" s="945"/>
      <c r="EX412" s="945"/>
      <c r="EY412" s="945"/>
      <c r="EZ412" s="945"/>
      <c r="FA412" s="945"/>
      <c r="FB412" s="945"/>
      <c r="FC412" s="945"/>
      <c r="FD412" s="945"/>
      <c r="FE412" s="945"/>
      <c r="FF412" s="945"/>
      <c r="FG412" s="945"/>
      <c r="FH412" s="945"/>
      <c r="FI412" s="945"/>
      <c r="FJ412" s="945"/>
      <c r="FK412" s="945"/>
      <c r="FL412" s="855"/>
      <c r="FM412" s="855"/>
      <c r="FN412" s="855"/>
      <c r="FO412" s="855"/>
      <c r="FP412" s="855"/>
      <c r="FQ412" s="855"/>
      <c r="FR412" s="855"/>
      <c r="FS412" s="855"/>
      <c r="FT412" s="855"/>
      <c r="FU412" s="855"/>
      <c r="FV412" s="855"/>
      <c r="FW412" s="855"/>
      <c r="FX412" s="855"/>
      <c r="FY412" s="855"/>
      <c r="FZ412" s="855"/>
      <c r="GA412" s="855"/>
      <c r="GB412" s="855"/>
      <c r="GC412" s="855"/>
      <c r="GD412" s="855"/>
      <c r="GE412" s="855"/>
      <c r="GF412" s="855"/>
      <c r="GG412" s="855"/>
      <c r="GH412" s="855"/>
      <c r="GI412" s="855"/>
      <c r="GJ412" s="855"/>
      <c r="GK412" s="855"/>
      <c r="GL412" s="855"/>
      <c r="GM412" s="855"/>
      <c r="GN412" s="855"/>
      <c r="GO412" s="855"/>
      <c r="GP412" s="855"/>
      <c r="GQ412" s="855"/>
      <c r="GR412" s="855"/>
      <c r="GS412" s="855"/>
      <c r="GT412" s="855"/>
      <c r="GU412" s="855"/>
      <c r="GV412" s="855"/>
      <c r="GW412" s="855"/>
      <c r="GX412" s="855"/>
      <c r="GY412" s="855"/>
      <c r="GZ412" s="855"/>
      <c r="HA412" s="855"/>
      <c r="HB412" s="855"/>
      <c r="HC412" s="855"/>
      <c r="HD412" s="855"/>
      <c r="HE412" s="855"/>
      <c r="HF412" s="855"/>
      <c r="HG412" s="855"/>
      <c r="HH412" s="855"/>
      <c r="HI412" s="855"/>
      <c r="HJ412" s="855"/>
      <c r="HK412" s="855"/>
      <c r="HL412" s="855"/>
      <c r="HM412" s="855"/>
      <c r="HN412" s="855"/>
      <c r="HO412" s="855"/>
      <c r="HP412" s="855"/>
      <c r="HQ412" s="855"/>
      <c r="HR412" s="855"/>
      <c r="HS412" s="855"/>
      <c r="HT412" s="855"/>
      <c r="HU412" s="855"/>
      <c r="HV412" s="855"/>
      <c r="HW412" s="855"/>
      <c r="HX412" s="855"/>
      <c r="HY412" s="855"/>
      <c r="HZ412" s="855"/>
      <c r="IA412" s="855"/>
      <c r="IB412" s="855"/>
      <c r="IC412" s="855"/>
      <c r="ID412" s="855"/>
      <c r="IE412" s="855"/>
      <c r="IF412" s="855"/>
      <c r="IG412" s="855"/>
      <c r="IH412" s="855"/>
      <c r="II412" s="855"/>
      <c r="IJ412" s="855"/>
      <c r="IK412" s="855"/>
      <c r="IL412" s="855"/>
      <c r="IM412" s="855"/>
      <c r="IN412" s="855"/>
      <c r="IO412" s="855"/>
      <c r="IP412" s="855"/>
      <c r="IQ412" s="855"/>
      <c r="IR412" s="855"/>
      <c r="IS412" s="855"/>
      <c r="IT412" s="855"/>
      <c r="IU412" s="855"/>
      <c r="IV412" s="855"/>
      <c r="IW412" s="855"/>
      <c r="IX412" s="855"/>
      <c r="IY412" s="855"/>
      <c r="IZ412" s="855"/>
      <c r="JA412" s="855"/>
      <c r="JB412" s="855"/>
      <c r="JC412" s="855"/>
      <c r="JD412" s="855"/>
      <c r="JE412" s="855"/>
      <c r="JF412" s="855"/>
      <c r="JG412" s="855"/>
      <c r="JH412" s="855"/>
      <c r="JI412" s="855"/>
      <c r="JJ412" s="855"/>
      <c r="JK412" s="855"/>
      <c r="JL412" s="855"/>
      <c r="JM412"/>
    </row>
    <row r="413" spans="1:273" s="854" customFormat="1">
      <c r="A413" s="102"/>
      <c r="B413" s="103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  <c r="AA413" s="102"/>
      <c r="AB413" s="102"/>
      <c r="AC413" s="102"/>
      <c r="AD413" s="102"/>
      <c r="AE413" s="102"/>
      <c r="AF413" s="102"/>
      <c r="AG413" s="102"/>
      <c r="AH413" s="102"/>
      <c r="AI413" s="102"/>
      <c r="AJ413" s="102"/>
      <c r="AK413" s="102"/>
      <c r="AL413" s="102"/>
      <c r="AM413" s="102"/>
      <c r="AN413" s="290"/>
      <c r="AO413" s="290"/>
      <c r="AP413" s="290"/>
      <c r="AQ413" s="290"/>
      <c r="AR413" s="290"/>
      <c r="AS413" s="290"/>
      <c r="AT413" s="290"/>
      <c r="AU413" s="290"/>
      <c r="AV413" s="818"/>
      <c r="AW413" s="818"/>
      <c r="AX413" s="853"/>
      <c r="AY413" s="853"/>
      <c r="AZ413" s="818"/>
      <c r="BA413" s="850"/>
      <c r="BB413" s="853"/>
      <c r="BC413" s="853"/>
      <c r="BD413" s="850"/>
      <c r="BE413" s="850"/>
      <c r="BF413" s="853"/>
      <c r="BG413" s="853"/>
      <c r="BH413" s="850"/>
      <c r="BI413" s="850"/>
      <c r="BJ413" s="853"/>
      <c r="BK413" s="853"/>
      <c r="BL413" s="850"/>
      <c r="BM413" s="850"/>
      <c r="BN413" s="853"/>
      <c r="BO413" s="853"/>
      <c r="BP413" s="850"/>
      <c r="BQ413" s="850"/>
      <c r="BR413" s="853"/>
      <c r="BS413" s="853"/>
      <c r="BT413" s="850"/>
      <c r="BU413" s="850"/>
      <c r="BV413" s="853"/>
      <c r="BW413" s="853"/>
      <c r="BX413" s="850"/>
      <c r="BY413" s="850"/>
      <c r="BZ413" s="853"/>
      <c r="CA413" s="853"/>
      <c r="CB413" s="850"/>
      <c r="CC413" s="850"/>
      <c r="CD413" s="853"/>
      <c r="CE413" s="862"/>
      <c r="CF413" s="850"/>
      <c r="CG413" s="850"/>
      <c r="CH413" s="853"/>
      <c r="CI413" s="862"/>
      <c r="CJ413" s="850"/>
      <c r="CK413" s="850"/>
      <c r="CL413" s="853"/>
      <c r="CM413" s="862"/>
      <c r="CN413" s="850"/>
      <c r="CO413" s="850"/>
      <c r="CP413" s="853"/>
      <c r="CQ413" s="862"/>
      <c r="CR413" s="850"/>
      <c r="CS413" s="850"/>
      <c r="CT413" s="853"/>
      <c r="CU413" s="853"/>
      <c r="CV413" s="850"/>
      <c r="CW413" s="850"/>
      <c r="CX413" s="853"/>
      <c r="CY413" s="853"/>
      <c r="CZ413" s="850"/>
      <c r="DA413" s="850"/>
      <c r="DB413" s="853"/>
      <c r="DC413" s="853"/>
      <c r="DD413" s="850"/>
      <c r="DE413" s="850"/>
      <c r="DF413" s="853"/>
      <c r="DG413" s="853"/>
      <c r="DH413" s="850"/>
      <c r="DI413" s="850"/>
      <c r="DJ413" s="853"/>
      <c r="DK413" s="853"/>
      <c r="DL413" s="850"/>
      <c r="DM413" s="850"/>
      <c r="DN413" s="853"/>
      <c r="DO413" s="853"/>
      <c r="DP413" s="850"/>
      <c r="DQ413" s="850"/>
      <c r="DR413" s="853"/>
      <c r="DS413" s="853"/>
      <c r="DT413" s="853"/>
      <c r="DU413" s="850"/>
      <c r="DV413" s="850"/>
      <c r="DW413" s="850"/>
      <c r="DX413" s="853"/>
      <c r="DY413" s="853"/>
      <c r="DZ413" s="850"/>
      <c r="EA413" s="850"/>
      <c r="EB413" s="853"/>
      <c r="EC413" s="853"/>
      <c r="ED413" s="850"/>
      <c r="EE413" s="850"/>
      <c r="EF413" s="853"/>
      <c r="EG413" s="853"/>
      <c r="EH413" s="853"/>
      <c r="EI413" s="853"/>
      <c r="EJ413" s="853"/>
      <c r="EK413" s="853"/>
      <c r="EL413" s="853"/>
      <c r="EM413" s="853"/>
      <c r="EN413" s="853"/>
      <c r="EO413" s="853"/>
      <c r="EP413" s="853"/>
      <c r="EQ413" s="855"/>
      <c r="ER413" s="855"/>
      <c r="ES413" s="855"/>
      <c r="ET413" s="855"/>
      <c r="EU413" s="855"/>
      <c r="EV413" s="855"/>
      <c r="EW413" s="855"/>
      <c r="EX413" s="855"/>
      <c r="EY413" s="855"/>
      <c r="EZ413" s="855"/>
      <c r="FA413" s="855"/>
      <c r="FB413" s="855"/>
      <c r="FC413" s="855"/>
      <c r="FD413" s="855"/>
      <c r="FE413" s="855"/>
      <c r="FF413" s="855"/>
      <c r="FG413" s="855"/>
      <c r="FH413" s="855"/>
      <c r="FI413" s="855"/>
      <c r="FJ413" s="855"/>
      <c r="FK413" s="855"/>
      <c r="FL413" s="855"/>
      <c r="FM413" s="855"/>
      <c r="FN413" s="855"/>
      <c r="FO413" s="855"/>
      <c r="FP413" s="855"/>
      <c r="FQ413" s="855"/>
      <c r="FR413" s="855"/>
      <c r="FS413" s="855"/>
      <c r="FT413" s="855"/>
      <c r="FU413" s="855"/>
      <c r="FV413" s="855"/>
      <c r="FW413" s="855"/>
      <c r="FX413" s="855"/>
      <c r="FY413" s="855"/>
      <c r="FZ413" s="855"/>
      <c r="GA413" s="855"/>
      <c r="GB413" s="855"/>
      <c r="GC413" s="855"/>
      <c r="GD413" s="855"/>
      <c r="GE413" s="855"/>
      <c r="GF413" s="855"/>
      <c r="GG413" s="855"/>
      <c r="GH413" s="855"/>
      <c r="GI413" s="855"/>
      <c r="GJ413" s="855"/>
      <c r="GK413" s="855"/>
      <c r="GL413" s="855"/>
      <c r="GM413" s="855"/>
      <c r="GN413" s="855"/>
      <c r="GO413" s="855"/>
      <c r="GP413" s="855"/>
      <c r="GQ413" s="855"/>
      <c r="GR413" s="855"/>
      <c r="GS413" s="855"/>
      <c r="GT413" s="855"/>
      <c r="GU413" s="855"/>
      <c r="GV413" s="855"/>
      <c r="GW413" s="855"/>
      <c r="GX413" s="855"/>
      <c r="GY413" s="855"/>
      <c r="GZ413" s="855"/>
      <c r="HA413" s="855"/>
      <c r="HB413" s="855"/>
      <c r="HC413" s="855"/>
      <c r="HD413" s="855"/>
      <c r="HE413" s="855"/>
      <c r="HF413" s="855"/>
      <c r="HG413" s="855"/>
      <c r="HH413" s="855"/>
      <c r="HI413" s="855"/>
      <c r="HJ413" s="855"/>
      <c r="HK413" s="855"/>
      <c r="HL413" s="855"/>
      <c r="HM413" s="855"/>
      <c r="HN413" s="855"/>
      <c r="HO413" s="855"/>
      <c r="HP413" s="855"/>
      <c r="HQ413" s="855"/>
      <c r="HR413" s="855"/>
      <c r="HS413" s="855"/>
      <c r="HT413" s="855"/>
      <c r="HU413" s="855"/>
      <c r="HV413" s="855"/>
      <c r="HW413" s="855"/>
      <c r="HX413" s="855"/>
      <c r="HY413" s="855"/>
      <c r="HZ413" s="855"/>
      <c r="IA413" s="855"/>
      <c r="IB413" s="855"/>
      <c r="IC413" s="855"/>
      <c r="ID413" s="855"/>
      <c r="IE413" s="855"/>
      <c r="IF413" s="855"/>
      <c r="IG413" s="855"/>
      <c r="IH413" s="855"/>
      <c r="II413" s="855"/>
      <c r="IJ413" s="855"/>
      <c r="IK413" s="855"/>
      <c r="IL413" s="855"/>
      <c r="IM413" s="855"/>
      <c r="IN413" s="855"/>
      <c r="IO413" s="855"/>
      <c r="IP413" s="855"/>
      <c r="IQ413" s="855"/>
      <c r="IR413" s="855"/>
      <c r="IS413" s="855"/>
      <c r="IT413" s="855"/>
      <c r="IU413" s="855"/>
      <c r="IV413" s="855"/>
      <c r="IW413" s="855"/>
      <c r="IX413" s="855"/>
      <c r="IY413" s="855"/>
      <c r="IZ413" s="855"/>
      <c r="JA413" s="855"/>
      <c r="JB413" s="855"/>
      <c r="JC413" s="855"/>
      <c r="JD413" s="855"/>
      <c r="JE413" s="855"/>
      <c r="JF413" s="855"/>
      <c r="JG413" s="855"/>
      <c r="JH413" s="855"/>
      <c r="JI413" s="855"/>
      <c r="JJ413" s="855"/>
      <c r="JK413" s="855"/>
      <c r="JL413" s="855"/>
      <c r="JM413"/>
    </row>
    <row r="414" spans="1:273" s="854" customFormat="1">
      <c r="A414" s="815" t="s">
        <v>652</v>
      </c>
      <c r="B414" s="103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  <c r="AA414" s="102"/>
      <c r="AB414" s="102"/>
      <c r="AC414" s="102"/>
      <c r="AD414" s="102"/>
      <c r="AE414" s="102"/>
      <c r="AF414" s="102"/>
      <c r="AG414" s="102"/>
      <c r="AH414" s="102"/>
      <c r="AI414" s="102"/>
      <c r="AJ414" s="102"/>
      <c r="AK414" s="102"/>
      <c r="AL414" s="102"/>
      <c r="AM414" s="102"/>
      <c r="AN414" s="290"/>
      <c r="AO414" s="290"/>
      <c r="AP414" s="290"/>
      <c r="AQ414" s="290"/>
      <c r="AR414" s="290"/>
      <c r="AS414" s="290"/>
      <c r="AT414" s="290"/>
      <c r="AU414" s="290"/>
      <c r="AV414" s="818"/>
      <c r="AW414" s="818"/>
      <c r="AX414" s="853"/>
      <c r="AY414" s="853"/>
      <c r="AZ414" s="818"/>
      <c r="BA414" s="850"/>
      <c r="BB414" s="853"/>
      <c r="BC414" s="853"/>
      <c r="BD414" s="850"/>
      <c r="BE414" s="850"/>
      <c r="BF414" s="853"/>
      <c r="BG414" s="853"/>
      <c r="BH414" s="850"/>
      <c r="BI414" s="850"/>
      <c r="BJ414" s="853"/>
      <c r="BK414" s="853"/>
      <c r="BL414" s="850"/>
      <c r="BM414" s="850"/>
      <c r="BN414" s="853"/>
      <c r="BO414" s="853"/>
      <c r="BP414" s="850"/>
      <c r="BQ414" s="850"/>
      <c r="BR414" s="853"/>
      <c r="BS414" s="853"/>
      <c r="BT414" s="850"/>
      <c r="BU414" s="850"/>
      <c r="BV414" s="853"/>
      <c r="BW414" s="853"/>
      <c r="BX414" s="850"/>
      <c r="BY414" s="850"/>
      <c r="BZ414" s="853"/>
      <c r="CA414" s="853"/>
      <c r="CB414" s="850"/>
      <c r="CC414" s="850"/>
      <c r="CD414" s="853"/>
      <c r="CE414" s="862"/>
      <c r="CF414" s="850"/>
      <c r="CG414" s="850"/>
      <c r="CH414" s="853"/>
      <c r="CI414" s="862"/>
      <c r="CJ414" s="850"/>
      <c r="CK414" s="850"/>
      <c r="CL414" s="853"/>
      <c r="CM414" s="862"/>
      <c r="CN414" s="850"/>
      <c r="CO414" s="850"/>
      <c r="CP414" s="853"/>
      <c r="CQ414" s="862"/>
      <c r="CR414" s="850"/>
      <c r="CS414" s="850"/>
      <c r="CT414" s="853"/>
      <c r="CU414" s="853"/>
      <c r="CV414" s="850"/>
      <c r="CW414" s="850"/>
      <c r="CX414" s="853"/>
      <c r="CY414" s="853"/>
      <c r="CZ414" s="850"/>
      <c r="DA414" s="850"/>
      <c r="DB414" s="853"/>
      <c r="DC414" s="853"/>
      <c r="DD414" s="850"/>
      <c r="DE414" s="850"/>
      <c r="DF414" s="853"/>
      <c r="DG414" s="853"/>
      <c r="DH414" s="850"/>
      <c r="DI414" s="850"/>
      <c r="DJ414" s="853"/>
      <c r="DK414" s="853"/>
      <c r="DL414" s="850"/>
      <c r="DM414" s="850"/>
      <c r="DN414" s="853"/>
      <c r="DO414" s="853"/>
      <c r="DP414" s="850"/>
      <c r="DQ414" s="850"/>
      <c r="DR414" s="853"/>
      <c r="DS414" s="853"/>
      <c r="DT414" s="853"/>
      <c r="DU414" s="850"/>
      <c r="DV414" s="850"/>
      <c r="DW414" s="850"/>
      <c r="DX414" s="853"/>
      <c r="DY414" s="853"/>
      <c r="DZ414" s="850"/>
      <c r="EA414" s="850"/>
      <c r="EB414" s="853"/>
      <c r="EC414" s="853"/>
      <c r="ED414" s="850"/>
      <c r="EE414" s="850"/>
      <c r="EF414" s="853"/>
      <c r="EG414" s="853"/>
      <c r="EH414" s="853"/>
      <c r="EI414" s="853"/>
      <c r="EJ414" s="853"/>
      <c r="EK414" s="853"/>
      <c r="EL414" s="853"/>
      <c r="EM414" s="853"/>
      <c r="EN414" s="853"/>
      <c r="EO414" s="853"/>
      <c r="EP414" s="853"/>
      <c r="EQ414" s="855"/>
      <c r="ER414" s="855"/>
      <c r="ES414" s="855"/>
      <c r="ET414" s="855"/>
      <c r="EU414" s="855"/>
      <c r="EV414" s="855"/>
      <c r="EW414" s="855"/>
      <c r="EX414" s="855"/>
      <c r="EY414" s="855"/>
      <c r="EZ414" s="855"/>
      <c r="FA414" s="855"/>
      <c r="FB414" s="855"/>
      <c r="FC414" s="855"/>
      <c r="FD414" s="855"/>
      <c r="FE414" s="855"/>
      <c r="FF414" s="855"/>
      <c r="FG414" s="855"/>
      <c r="FH414" s="855"/>
      <c r="FI414" s="855"/>
      <c r="FJ414" s="855"/>
      <c r="FK414" s="855"/>
      <c r="FL414" s="855"/>
      <c r="FM414" s="855"/>
      <c r="FN414" s="855"/>
      <c r="FO414" s="855"/>
      <c r="FP414" s="855"/>
      <c r="FQ414" s="855"/>
      <c r="FR414" s="855"/>
      <c r="FS414" s="855"/>
      <c r="FT414" s="855"/>
      <c r="FU414" s="855"/>
      <c r="FV414" s="855"/>
      <c r="FW414" s="855"/>
      <c r="FX414" s="855"/>
      <c r="FY414" s="855"/>
      <c r="FZ414" s="855"/>
      <c r="GA414" s="855"/>
      <c r="GB414" s="855"/>
      <c r="GC414" s="855"/>
      <c r="GD414" s="855"/>
      <c r="GE414" s="855"/>
      <c r="GF414" s="855"/>
      <c r="GG414" s="855"/>
      <c r="GH414" s="855"/>
      <c r="GI414" s="855"/>
      <c r="GJ414" s="855"/>
      <c r="GK414" s="855"/>
      <c r="GL414" s="855"/>
      <c r="GM414" s="855"/>
      <c r="GN414" s="855"/>
      <c r="GO414" s="855"/>
      <c r="GP414" s="855"/>
      <c r="GQ414" s="855"/>
      <c r="GR414" s="855"/>
      <c r="GS414" s="855"/>
      <c r="GT414" s="855"/>
      <c r="GU414" s="855"/>
      <c r="GV414" s="855"/>
      <c r="GW414" s="855"/>
      <c r="GX414" s="855"/>
      <c r="GY414" s="855"/>
      <c r="GZ414" s="855"/>
      <c r="HA414" s="855"/>
      <c r="HB414" s="855"/>
      <c r="HC414" s="855"/>
      <c r="HD414" s="855"/>
      <c r="HE414" s="855"/>
      <c r="HF414" s="855"/>
      <c r="HG414" s="855"/>
      <c r="HH414" s="855"/>
      <c r="HI414" s="855"/>
      <c r="HJ414" s="855"/>
      <c r="HK414" s="855"/>
      <c r="HL414" s="855"/>
      <c r="HM414" s="855"/>
      <c r="HN414" s="855"/>
      <c r="HO414" s="855"/>
      <c r="HP414" s="855"/>
      <c r="HQ414" s="855"/>
      <c r="HR414" s="855"/>
      <c r="HS414" s="855"/>
      <c r="HT414" s="855"/>
      <c r="HU414" s="855"/>
      <c r="HV414" s="855"/>
      <c r="HW414" s="855"/>
      <c r="HX414" s="855"/>
      <c r="HY414" s="855"/>
      <c r="HZ414" s="855"/>
      <c r="IA414" s="855"/>
      <c r="IB414" s="855"/>
      <c r="IC414" s="855"/>
      <c r="ID414" s="855"/>
      <c r="IE414" s="855"/>
      <c r="IF414" s="855"/>
      <c r="IG414" s="855"/>
      <c r="IH414" s="855"/>
      <c r="II414" s="855"/>
      <c r="IJ414" s="855"/>
      <c r="IK414" s="855"/>
      <c r="IL414" s="855"/>
      <c r="IM414" s="855"/>
      <c r="IN414" s="855"/>
      <c r="IO414" s="855"/>
      <c r="IP414" s="855"/>
      <c r="IQ414" s="855"/>
      <c r="IR414" s="855"/>
      <c r="IS414" s="855"/>
      <c r="IT414" s="855"/>
      <c r="IU414" s="855"/>
      <c r="IV414" s="855"/>
      <c r="IW414" s="855"/>
      <c r="IX414" s="855"/>
      <c r="IY414" s="855"/>
      <c r="IZ414" s="855"/>
      <c r="JA414" s="855"/>
      <c r="JB414" s="855"/>
      <c r="JC414" s="855"/>
      <c r="JD414" s="855"/>
      <c r="JE414" s="855"/>
      <c r="JF414" s="855"/>
      <c r="JG414" s="855"/>
      <c r="JH414" s="855"/>
      <c r="JI414" s="855"/>
      <c r="JJ414" s="855"/>
      <c r="JK414" s="855"/>
      <c r="JL414" s="855"/>
      <c r="JM414"/>
    </row>
    <row r="415" spans="1:273" s="854" customFormat="1">
      <c r="A415" s="102" t="s">
        <v>685</v>
      </c>
      <c r="B415" s="103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  <c r="AA415" s="102"/>
      <c r="AB415" s="102"/>
      <c r="AC415" s="102"/>
      <c r="AD415" s="102"/>
      <c r="AE415" s="102"/>
      <c r="AF415" s="102"/>
      <c r="AG415" s="102"/>
      <c r="AH415" s="102"/>
      <c r="AI415" s="102"/>
      <c r="AJ415" s="102"/>
      <c r="AK415" s="102"/>
      <c r="AL415" s="102"/>
      <c r="AM415" s="102"/>
      <c r="AN415" s="293"/>
      <c r="AO415" s="293"/>
      <c r="AP415" s="293"/>
      <c r="AQ415" s="293"/>
      <c r="AR415" s="293"/>
      <c r="AS415" s="293"/>
      <c r="AT415" s="293"/>
      <c r="AU415" s="626"/>
      <c r="AV415" s="293"/>
      <c r="AW415" s="293"/>
      <c r="AX415" s="293"/>
      <c r="AY415" s="626"/>
      <c r="AZ415" s="293"/>
      <c r="BA415" s="293"/>
      <c r="BB415" s="293"/>
      <c r="BC415" s="853"/>
      <c r="BD415" s="293"/>
      <c r="BE415" s="293"/>
      <c r="BF415" s="293"/>
      <c r="BG415" s="853"/>
      <c r="BH415" s="293"/>
      <c r="BI415" s="293"/>
      <c r="BJ415" s="293"/>
      <c r="BK415" s="853"/>
      <c r="BL415" s="293"/>
      <c r="BM415" s="293"/>
      <c r="BN415" s="293"/>
      <c r="BO415" s="853"/>
      <c r="BP415" s="293"/>
      <c r="BQ415" s="293"/>
      <c r="BR415" s="293"/>
      <c r="BS415" s="853"/>
      <c r="BT415" s="293"/>
      <c r="BU415" s="293"/>
      <c r="BV415" s="293"/>
      <c r="BW415" s="853"/>
      <c r="BX415" s="293"/>
      <c r="BY415" s="293"/>
      <c r="BZ415" s="293"/>
      <c r="CA415" s="853"/>
      <c r="CB415" s="850"/>
      <c r="CC415" s="850"/>
      <c r="CD415" s="850"/>
      <c r="CE415" s="864"/>
      <c r="CF415" s="850"/>
      <c r="CG415" s="850"/>
      <c r="CH415" s="850"/>
      <c r="CI415" s="864"/>
      <c r="CJ415" s="850"/>
      <c r="CK415" s="850"/>
      <c r="CL415" s="850"/>
      <c r="CM415" s="864"/>
      <c r="CN415" s="850"/>
      <c r="CO415" s="850"/>
      <c r="CP415" s="850"/>
      <c r="CQ415" s="862"/>
      <c r="CR415" s="850"/>
      <c r="CS415" s="850"/>
      <c r="CT415" s="850"/>
      <c r="CU415" s="853"/>
      <c r="CV415" s="850"/>
      <c r="CW415" s="850"/>
      <c r="CX415" s="850"/>
      <c r="CY415" s="853"/>
      <c r="CZ415" s="850"/>
      <c r="DA415" s="850"/>
      <c r="DB415" s="850"/>
      <c r="DC415" s="853"/>
      <c r="DD415" s="850"/>
      <c r="DE415" s="850"/>
      <c r="DF415" s="850"/>
      <c r="DG415" s="853"/>
      <c r="DH415" s="850"/>
      <c r="DI415" s="850"/>
      <c r="DJ415" s="850"/>
      <c r="DK415" s="853"/>
      <c r="DL415" s="850"/>
      <c r="DM415" s="850"/>
      <c r="DN415" s="850"/>
      <c r="DO415" s="853"/>
      <c r="DP415" s="850"/>
      <c r="DQ415" s="850"/>
      <c r="DR415" s="850"/>
      <c r="DS415" s="853"/>
      <c r="DT415" s="853"/>
      <c r="DU415" s="850"/>
      <c r="DV415" s="850"/>
      <c r="DW415" s="850"/>
      <c r="DX415" s="853"/>
      <c r="DY415" s="853"/>
      <c r="DZ415" s="850"/>
      <c r="EA415" s="850"/>
      <c r="EB415" s="853"/>
      <c r="EC415" s="853"/>
      <c r="ED415" s="850"/>
      <c r="EE415" s="850"/>
      <c r="EF415" s="853"/>
      <c r="EG415" s="853"/>
      <c r="EH415" s="853"/>
      <c r="EI415" s="853"/>
      <c r="EJ415" s="853"/>
      <c r="EK415" s="853"/>
      <c r="EL415" s="853"/>
      <c r="EM415" s="853"/>
      <c r="EN415" s="853"/>
      <c r="EO415" s="853"/>
      <c r="EP415" s="853"/>
      <c r="EQ415" s="855"/>
      <c r="ER415" s="855"/>
      <c r="ES415" s="855"/>
      <c r="ET415" s="855"/>
      <c r="EU415" s="855"/>
      <c r="EV415" s="855"/>
      <c r="EW415" s="855"/>
      <c r="EX415" s="855"/>
      <c r="EY415" s="855"/>
      <c r="EZ415" s="855"/>
      <c r="FA415" s="855"/>
      <c r="FB415" s="855"/>
      <c r="FC415" s="855"/>
      <c r="FD415" s="855"/>
      <c r="FE415" s="855"/>
      <c r="FF415" s="855"/>
      <c r="FG415" s="855"/>
      <c r="FH415" s="855"/>
      <c r="FI415" s="855"/>
      <c r="FJ415" s="855"/>
      <c r="FK415" s="855"/>
      <c r="FL415" s="855"/>
      <c r="FM415" s="855"/>
      <c r="FN415" s="855"/>
      <c r="FO415" s="855"/>
      <c r="FP415" s="855"/>
      <c r="FQ415" s="855"/>
      <c r="FR415" s="855"/>
      <c r="FS415" s="855"/>
      <c r="FT415" s="855"/>
      <c r="FU415" s="855"/>
      <c r="FV415" s="855"/>
      <c r="FW415" s="855"/>
      <c r="FX415" s="855"/>
      <c r="FY415" s="855"/>
      <c r="FZ415" s="855"/>
      <c r="GA415" s="855"/>
      <c r="GB415" s="855"/>
      <c r="GC415" s="855"/>
      <c r="GD415" s="855"/>
      <c r="GE415" s="855"/>
      <c r="GF415" s="855"/>
      <c r="GG415" s="855"/>
      <c r="GH415" s="855"/>
      <c r="GI415" s="855"/>
      <c r="GJ415" s="855"/>
      <c r="GK415" s="855"/>
      <c r="GL415" s="855"/>
      <c r="GM415" s="855"/>
      <c r="GN415" s="855"/>
      <c r="GO415" s="855"/>
      <c r="GP415" s="855"/>
      <c r="GQ415" s="855"/>
      <c r="GR415" s="855"/>
      <c r="GS415" s="855"/>
      <c r="GT415" s="855"/>
      <c r="GU415" s="855"/>
      <c r="GV415" s="855"/>
      <c r="GW415" s="855"/>
      <c r="GX415" s="855"/>
      <c r="GY415" s="855"/>
      <c r="GZ415" s="855"/>
      <c r="HA415" s="855"/>
      <c r="HB415" s="855"/>
      <c r="HC415" s="855"/>
      <c r="HD415" s="855"/>
      <c r="HE415" s="855"/>
      <c r="HF415" s="855"/>
      <c r="HG415" s="855"/>
      <c r="HH415" s="855"/>
      <c r="HI415" s="855"/>
      <c r="HJ415" s="855"/>
      <c r="HK415" s="855"/>
      <c r="HL415" s="855"/>
      <c r="HM415" s="855"/>
      <c r="HN415" s="855"/>
      <c r="HO415" s="855"/>
      <c r="HP415" s="855"/>
      <c r="HQ415" s="855"/>
      <c r="HR415" s="855"/>
      <c r="HS415" s="855"/>
      <c r="HT415" s="855"/>
      <c r="HU415" s="855"/>
      <c r="HV415" s="855"/>
      <c r="HW415" s="855"/>
      <c r="HX415" s="855"/>
      <c r="HY415" s="855"/>
      <c r="HZ415" s="855"/>
      <c r="IA415" s="855"/>
      <c r="IB415" s="855"/>
      <c r="IC415" s="855"/>
      <c r="ID415" s="855"/>
      <c r="IE415" s="855"/>
      <c r="IF415" s="855"/>
      <c r="IG415" s="855"/>
      <c r="IH415" s="855"/>
      <c r="II415" s="855"/>
      <c r="IJ415" s="855"/>
      <c r="IK415" s="855"/>
      <c r="IL415" s="855"/>
      <c r="IM415" s="855"/>
      <c r="IN415" s="855"/>
      <c r="IO415" s="855"/>
      <c r="IP415" s="855"/>
      <c r="IQ415" s="855"/>
      <c r="IR415" s="855"/>
      <c r="IS415" s="855"/>
      <c r="IT415" s="855"/>
      <c r="IU415" s="855"/>
      <c r="IV415" s="855"/>
      <c r="IW415" s="855"/>
      <c r="IX415" s="855"/>
      <c r="IY415" s="855"/>
      <c r="IZ415" s="855"/>
      <c r="JA415" s="855"/>
      <c r="JB415" s="855"/>
      <c r="JC415" s="855"/>
      <c r="JD415" s="855"/>
      <c r="JE415" s="855"/>
      <c r="JF415" s="855"/>
      <c r="JG415" s="855"/>
      <c r="JH415" s="855"/>
      <c r="JI415" s="855"/>
      <c r="JJ415" s="855"/>
      <c r="JK415" s="855"/>
      <c r="JL415" s="855"/>
      <c r="JM415"/>
    </row>
    <row r="416" spans="1:273" s="854" customFormat="1">
      <c r="A416" s="102" t="s">
        <v>686</v>
      </c>
      <c r="B416" s="103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  <c r="AA416" s="102"/>
      <c r="AB416" s="102"/>
      <c r="AC416" s="102"/>
      <c r="AD416" s="102"/>
      <c r="AE416" s="102"/>
      <c r="AF416" s="102"/>
      <c r="AG416" s="102"/>
      <c r="AH416" s="102"/>
      <c r="AI416" s="102"/>
      <c r="AJ416" s="102"/>
      <c r="AK416" s="102"/>
      <c r="AL416" s="102"/>
      <c r="AM416" s="102"/>
      <c r="AN416" s="293"/>
      <c r="AO416" s="293"/>
      <c r="AP416" s="293"/>
      <c r="AQ416" s="293"/>
      <c r="AR416" s="293">
        <f>DIVISIONS!AR117</f>
        <v>56</v>
      </c>
      <c r="AS416" s="293">
        <f>DIVISIONS!AS117</f>
        <v>-46</v>
      </c>
      <c r="AT416" s="293">
        <f t="shared" ref="AT416:AT423" si="378">+AR416+AS416</f>
        <v>10</v>
      </c>
      <c r="AU416" s="626"/>
      <c r="AV416" s="293">
        <f>DIVISIONS!AV117</f>
        <v>-24</v>
      </c>
      <c r="AW416" s="293">
        <f>DIVISIONS!AW117</f>
        <v>2</v>
      </c>
      <c r="AX416" s="293">
        <f t="shared" ref="AX416:AX423" si="379">+AV416+AW416</f>
        <v>-22</v>
      </c>
      <c r="AY416" s="626"/>
      <c r="AZ416" s="293">
        <f>DIVISIONS!AZ117</f>
        <v>37</v>
      </c>
      <c r="BA416" s="293">
        <f>DIVISIONS!BA117</f>
        <v>19</v>
      </c>
      <c r="BB416" s="293">
        <f t="shared" ref="BB416:BB423" si="380">+AZ416+BA416</f>
        <v>56</v>
      </c>
      <c r="BC416" s="853"/>
      <c r="BD416" s="293">
        <f>DIVISIONS!BD117</f>
        <v>18</v>
      </c>
      <c r="BE416" s="293">
        <f>DIVISIONS!BE117</f>
        <v>62</v>
      </c>
      <c r="BF416" s="293">
        <f t="shared" ref="BF416:BF423" si="381">+BD416+BE416</f>
        <v>80</v>
      </c>
      <c r="BG416" s="853"/>
      <c r="BH416" s="293">
        <f>DIVISIONS!BH117</f>
        <v>6</v>
      </c>
      <c r="BI416" s="293">
        <f>DIVISIONS!BI117</f>
        <v>7</v>
      </c>
      <c r="BJ416" s="293">
        <f t="shared" ref="BJ416:BJ423" si="382">+BH416+BI416</f>
        <v>13</v>
      </c>
      <c r="BK416" s="853"/>
      <c r="BL416" s="293">
        <f>DIVISIONS!BL117</f>
        <v>-5</v>
      </c>
      <c r="BM416" s="293">
        <f>DIVISIONS!BM117</f>
        <v>23</v>
      </c>
      <c r="BN416" s="293">
        <f t="shared" ref="BN416:BN423" si="383">+BL416+BM416</f>
        <v>18</v>
      </c>
      <c r="BO416" s="853"/>
      <c r="BP416" s="293">
        <f>DIVISIONS!BP117</f>
        <v>-7</v>
      </c>
      <c r="BQ416" s="293">
        <f>DIVISIONS!BQ117</f>
        <v>20</v>
      </c>
      <c r="BR416" s="293">
        <f t="shared" ref="BR416:BR423" si="384">+BP416+BQ416</f>
        <v>13</v>
      </c>
      <c r="BS416" s="853"/>
      <c r="BT416" s="293">
        <f>DIVISIONS!BT117</f>
        <v>-12</v>
      </c>
      <c r="BU416" s="293">
        <f>DIVISIONS!BU117</f>
        <v>1</v>
      </c>
      <c r="BV416" s="293">
        <f t="shared" ref="BV416:BV423" si="385">+BT416+BU416</f>
        <v>-11</v>
      </c>
      <c r="BW416" s="853"/>
      <c r="BX416" s="293">
        <f>DIVISIONS!BX117</f>
        <v>-20</v>
      </c>
      <c r="BY416" s="293">
        <f>DIVISIONS!BY117</f>
        <v>48</v>
      </c>
      <c r="BZ416" s="293">
        <f t="shared" ref="BZ416:BZ423" si="386">+BX416+BY416</f>
        <v>28</v>
      </c>
      <c r="CA416" s="853"/>
      <c r="CB416" s="293">
        <f>DIVISIONS!CB117</f>
        <v>45</v>
      </c>
      <c r="CC416" s="293">
        <f>DIVISIONS!CC117</f>
        <v>3</v>
      </c>
      <c r="CD416" s="293">
        <f t="shared" ref="CD416:CD423" si="387">+CB416+CC416</f>
        <v>48</v>
      </c>
      <c r="CE416" s="862"/>
      <c r="CF416" s="293">
        <f>DIVISIONS!CF117</f>
        <v>-89</v>
      </c>
      <c r="CG416" s="293">
        <f>DIVISIONS!CG117</f>
        <v>-102</v>
      </c>
      <c r="CH416" s="293">
        <f t="shared" ref="CH416:CH423" si="388">+CF416+CG416</f>
        <v>-191</v>
      </c>
      <c r="CI416" s="862"/>
      <c r="CJ416" s="293">
        <f>DIVISIONS!CJ117</f>
        <v>-137</v>
      </c>
      <c r="CK416" s="293">
        <f>DIVISIONS!CK117</f>
        <v>-61</v>
      </c>
      <c r="CL416" s="293">
        <f t="shared" ref="CL416:CL423" si="389">+CJ416+CK416</f>
        <v>-198</v>
      </c>
      <c r="CM416" s="862"/>
      <c r="CN416" s="293">
        <f>DIVISIONS!CN117</f>
        <v>-17</v>
      </c>
      <c r="CO416" s="293">
        <f>DIVISIONS!CO117</f>
        <v>-18</v>
      </c>
      <c r="CP416" s="293">
        <f t="shared" ref="CP416:CP423" si="390">+CN416+CO416</f>
        <v>-35</v>
      </c>
      <c r="CQ416" s="1985"/>
      <c r="CR416" s="293">
        <f>DIVISIONS!CR117</f>
        <v>43</v>
      </c>
      <c r="CS416" s="293">
        <f>DIVISIONS!CS117</f>
        <v>-98</v>
      </c>
      <c r="CT416" s="293">
        <f t="shared" ref="CT416:CT423" si="391">+CR416+CS416</f>
        <v>-55</v>
      </c>
      <c r="CU416" s="853"/>
      <c r="CV416" s="293">
        <f>DIVISIONS!CV117</f>
        <v>-42</v>
      </c>
      <c r="CW416" s="293">
        <f>DIVISIONS!CW117</f>
        <v>-95</v>
      </c>
      <c r="CX416" s="293">
        <f t="shared" ref="CX416:CX423" si="392">+CV416+CW416</f>
        <v>-137</v>
      </c>
      <c r="CY416" s="853"/>
      <c r="CZ416" s="293">
        <f>DIVISIONS!CZ117</f>
        <v>-48</v>
      </c>
      <c r="DA416" s="293">
        <f>DIVISIONS!DA117</f>
        <v>-96</v>
      </c>
      <c r="DB416" s="293">
        <f t="shared" ref="DB416:DB423" si="393">+CZ416+DA416</f>
        <v>-144</v>
      </c>
      <c r="DC416" s="853"/>
      <c r="DD416" s="293">
        <f>DIVISIONS!DD117</f>
        <v>-85</v>
      </c>
      <c r="DE416" s="293">
        <f>DIVISIONS!DE117</f>
        <v>-44</v>
      </c>
      <c r="DF416" s="293">
        <f t="shared" ref="DF416:DF423" si="394">+DD416+DE416</f>
        <v>-129</v>
      </c>
      <c r="DG416" s="853"/>
      <c r="DH416" s="293">
        <f>DIVISIONS!DH117</f>
        <v>-116</v>
      </c>
      <c r="DI416" s="850">
        <v>-60</v>
      </c>
      <c r="DJ416" s="293">
        <f t="shared" ref="DJ416:DJ422" si="395">+DH416+DI416</f>
        <v>-176</v>
      </c>
      <c r="DK416" s="853"/>
      <c r="DL416" s="850">
        <v>-70</v>
      </c>
      <c r="DM416" s="850">
        <v>-70</v>
      </c>
      <c r="DN416" s="293">
        <f t="shared" ref="DN416:DN422" si="396">+DL416+DM416</f>
        <v>-140</v>
      </c>
      <c r="DO416" s="853"/>
      <c r="DP416" s="850">
        <v>-72</v>
      </c>
      <c r="DQ416" s="850">
        <v>-72</v>
      </c>
      <c r="DR416" s="293">
        <f t="shared" ref="DR416:DR422" si="397">+DP416+DQ416</f>
        <v>-144</v>
      </c>
      <c r="DS416" s="853"/>
      <c r="DT416" s="853"/>
      <c r="DU416" s="850"/>
      <c r="DV416" s="850"/>
      <c r="DW416" s="850"/>
      <c r="DX416" s="853"/>
      <c r="DY416" s="853"/>
      <c r="DZ416" s="850"/>
      <c r="EA416" s="850"/>
      <c r="EB416" s="853"/>
      <c r="EC416" s="853"/>
      <c r="ED416" s="850"/>
      <c r="EE416" s="850"/>
      <c r="EF416" s="853"/>
      <c r="EG416" s="853"/>
      <c r="EH416" s="853"/>
      <c r="EI416" s="853"/>
      <c r="EJ416" s="853"/>
      <c r="EK416" s="853"/>
      <c r="EL416" s="853"/>
      <c r="EM416" s="853"/>
      <c r="EN416" s="853"/>
      <c r="EO416" s="853"/>
      <c r="EP416" s="853"/>
      <c r="EQ416" s="855"/>
      <c r="ER416" s="855"/>
      <c r="ES416" s="855"/>
      <c r="ET416" s="855"/>
      <c r="EU416" s="855"/>
      <c r="EV416" s="855"/>
      <c r="EW416" s="855"/>
      <c r="EX416" s="855"/>
      <c r="EY416" s="855"/>
      <c r="EZ416" s="855"/>
      <c r="FA416" s="855"/>
      <c r="FB416" s="855"/>
      <c r="FC416" s="855"/>
      <c r="FD416" s="855"/>
      <c r="FE416" s="855"/>
      <c r="FF416" s="855"/>
      <c r="FG416" s="855"/>
      <c r="FH416" s="855"/>
      <c r="FI416" s="855"/>
      <c r="FJ416" s="855"/>
      <c r="FK416" s="855"/>
      <c r="FL416" s="855"/>
      <c r="FM416" s="855"/>
      <c r="FN416" s="855"/>
      <c r="FO416" s="855"/>
      <c r="FP416" s="855"/>
      <c r="FQ416" s="855"/>
      <c r="FR416" s="855"/>
      <c r="FS416" s="855"/>
      <c r="FT416" s="855"/>
      <c r="FU416" s="855"/>
      <c r="FV416" s="855"/>
      <c r="FW416" s="855"/>
      <c r="FX416" s="855"/>
      <c r="FY416" s="855"/>
      <c r="FZ416" s="855"/>
      <c r="GA416" s="855"/>
      <c r="GB416" s="855"/>
      <c r="GC416" s="855"/>
      <c r="GD416" s="855"/>
      <c r="GE416" s="855"/>
      <c r="GF416" s="855"/>
      <c r="GG416" s="855"/>
      <c r="GH416" s="855"/>
      <c r="GI416" s="855"/>
      <c r="GJ416" s="855"/>
      <c r="GK416" s="855"/>
      <c r="GL416" s="855"/>
      <c r="GM416" s="855"/>
      <c r="GN416" s="855"/>
      <c r="GO416" s="855"/>
      <c r="GP416" s="855"/>
      <c r="GQ416" s="855"/>
      <c r="GR416" s="855"/>
      <c r="GS416" s="855"/>
      <c r="GT416" s="855"/>
      <c r="GU416" s="855"/>
      <c r="GV416" s="855"/>
      <c r="GW416" s="855"/>
      <c r="GX416" s="855"/>
      <c r="GY416" s="855"/>
      <c r="GZ416" s="855"/>
      <c r="HA416" s="855"/>
      <c r="HB416" s="855"/>
      <c r="HC416" s="855"/>
      <c r="HD416" s="855"/>
      <c r="HE416" s="855"/>
      <c r="HF416" s="855"/>
      <c r="HG416" s="855"/>
      <c r="HH416" s="855"/>
      <c r="HI416" s="855"/>
      <c r="HJ416" s="855"/>
      <c r="HK416" s="855"/>
      <c r="HL416" s="855"/>
      <c r="HM416" s="855"/>
      <c r="HN416" s="855"/>
      <c r="HO416" s="855"/>
      <c r="HP416" s="855"/>
      <c r="HQ416" s="855"/>
      <c r="HR416" s="855"/>
      <c r="HS416" s="855"/>
      <c r="HT416" s="855"/>
      <c r="HU416" s="855"/>
      <c r="HV416" s="855"/>
      <c r="HW416" s="855"/>
      <c r="HX416" s="855"/>
      <c r="HY416" s="855"/>
      <c r="HZ416" s="855"/>
      <c r="IA416" s="855"/>
      <c r="IB416" s="855"/>
      <c r="IC416" s="855"/>
      <c r="ID416" s="855"/>
      <c r="IE416" s="855"/>
      <c r="IF416" s="855"/>
      <c r="IG416" s="855"/>
      <c r="IH416" s="855"/>
      <c r="II416" s="855"/>
      <c r="IJ416" s="855"/>
      <c r="IK416" s="855"/>
      <c r="IL416" s="855"/>
      <c r="IM416" s="855"/>
      <c r="IN416" s="855"/>
      <c r="IO416" s="855"/>
      <c r="IP416" s="855"/>
      <c r="IQ416" s="855"/>
      <c r="IR416" s="855"/>
      <c r="IS416" s="855"/>
      <c r="IT416" s="855"/>
      <c r="IU416" s="855"/>
      <c r="IV416" s="855"/>
      <c r="IW416" s="855"/>
      <c r="IX416" s="855"/>
      <c r="IY416" s="855"/>
      <c r="IZ416" s="855"/>
      <c r="JA416" s="855"/>
      <c r="JB416" s="855"/>
      <c r="JC416" s="855"/>
      <c r="JD416" s="855"/>
      <c r="JE416" s="855"/>
      <c r="JF416" s="855"/>
      <c r="JG416" s="855"/>
      <c r="JH416" s="855"/>
      <c r="JI416" s="855"/>
      <c r="JJ416" s="855"/>
      <c r="JK416" s="855"/>
      <c r="JL416" s="855"/>
      <c r="JM416"/>
    </row>
    <row r="417" spans="1:273" s="854" customFormat="1">
      <c r="A417" s="102" t="s">
        <v>616</v>
      </c>
      <c r="B417" s="103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  <c r="AA417" s="102"/>
      <c r="AB417" s="102"/>
      <c r="AC417" s="102"/>
      <c r="AD417" s="102"/>
      <c r="AE417" s="102"/>
      <c r="AF417" s="102"/>
      <c r="AG417" s="102"/>
      <c r="AH417" s="102"/>
      <c r="AI417" s="102"/>
      <c r="AJ417" s="102"/>
      <c r="AK417" s="102"/>
      <c r="AL417" s="102"/>
      <c r="AM417" s="102"/>
      <c r="AN417" s="293"/>
      <c r="AO417" s="293"/>
      <c r="AP417" s="293"/>
      <c r="AQ417" s="293"/>
      <c r="AR417" s="293">
        <f>DIVISIONS!AR345</f>
        <v>5</v>
      </c>
      <c r="AS417" s="293">
        <f>DIVISIONS!AS345</f>
        <v>-17</v>
      </c>
      <c r="AT417" s="293">
        <f t="shared" si="378"/>
        <v>-12</v>
      </c>
      <c r="AU417" s="626"/>
      <c r="AV417" s="293">
        <f>DIVISIONS!AV345</f>
        <v>-153</v>
      </c>
      <c r="AW417" s="293">
        <f>DIVISIONS!AW345</f>
        <v>-33</v>
      </c>
      <c r="AX417" s="293">
        <f t="shared" si="379"/>
        <v>-186</v>
      </c>
      <c r="AY417" s="626"/>
      <c r="AZ417" s="293">
        <f>DIVISIONS!AZ345</f>
        <v>6</v>
      </c>
      <c r="BA417" s="293">
        <f>DIVISIONS!BA345</f>
        <v>61</v>
      </c>
      <c r="BB417" s="293">
        <f t="shared" si="380"/>
        <v>67</v>
      </c>
      <c r="BC417" s="853"/>
      <c r="BD417" s="293">
        <f>DIVISIONS!BD345</f>
        <v>15</v>
      </c>
      <c r="BE417" s="293">
        <f>DIVISIONS!BE345</f>
        <v>-28</v>
      </c>
      <c r="BF417" s="293">
        <f t="shared" si="381"/>
        <v>-13</v>
      </c>
      <c r="BG417" s="853"/>
      <c r="BH417" s="293">
        <f>DIVISIONS!BH345</f>
        <v>48</v>
      </c>
      <c r="BI417" s="293">
        <f>DIVISIONS!BI345</f>
        <v>-12</v>
      </c>
      <c r="BJ417" s="293">
        <f t="shared" si="382"/>
        <v>36</v>
      </c>
      <c r="BK417" s="853"/>
      <c r="BL417" s="293">
        <f>DIVISIONS!BL345</f>
        <v>47</v>
      </c>
      <c r="BM417" s="293">
        <f>DIVISIONS!BM345</f>
        <v>56</v>
      </c>
      <c r="BN417" s="293">
        <f t="shared" si="383"/>
        <v>103</v>
      </c>
      <c r="BO417" s="853"/>
      <c r="BP417" s="293">
        <f>DIVISIONS!BP345</f>
        <v>38</v>
      </c>
      <c r="BQ417" s="293">
        <f>DIVISIONS!BQ345</f>
        <v>-25</v>
      </c>
      <c r="BR417" s="293">
        <f t="shared" si="384"/>
        <v>13</v>
      </c>
      <c r="BS417" s="853"/>
      <c r="BT417" s="293">
        <f>DIVISIONS!BT345</f>
        <v>-38</v>
      </c>
      <c r="BU417" s="293">
        <f>DIVISIONS!BU345</f>
        <v>22</v>
      </c>
      <c r="BV417" s="293">
        <f t="shared" si="385"/>
        <v>-16</v>
      </c>
      <c r="BW417" s="853"/>
      <c r="BX417" s="293">
        <f>DIVISIONS!BX345</f>
        <v>41</v>
      </c>
      <c r="BY417" s="293">
        <f>DIVISIONS!BY345</f>
        <v>4</v>
      </c>
      <c r="BZ417" s="293">
        <f t="shared" si="386"/>
        <v>45</v>
      </c>
      <c r="CA417" s="853"/>
      <c r="CB417" s="293">
        <f>DIVISIONS!CB345</f>
        <v>49</v>
      </c>
      <c r="CC417" s="293">
        <f>DIVISIONS!CC345</f>
        <v>122</v>
      </c>
      <c r="CD417" s="293">
        <f t="shared" si="387"/>
        <v>171</v>
      </c>
      <c r="CE417" s="862"/>
      <c r="CF417" s="293">
        <f>DIVISIONS!CF345</f>
        <v>87</v>
      </c>
      <c r="CG417" s="293">
        <f>DIVISIONS!CG345</f>
        <v>27</v>
      </c>
      <c r="CH417" s="293">
        <f t="shared" si="388"/>
        <v>114</v>
      </c>
      <c r="CI417" s="862"/>
      <c r="CJ417" s="293">
        <f>DIVISIONS!CJ345</f>
        <v>83</v>
      </c>
      <c r="CK417" s="293">
        <f>DIVISIONS!CK345</f>
        <v>141</v>
      </c>
      <c r="CL417" s="293">
        <f t="shared" si="389"/>
        <v>224</v>
      </c>
      <c r="CM417" s="862"/>
      <c r="CN417" s="293">
        <f>DIVISIONS!CN345</f>
        <v>-55</v>
      </c>
      <c r="CO417" s="293">
        <f>DIVISIONS!CO345</f>
        <v>43</v>
      </c>
      <c r="CP417" s="293">
        <f t="shared" si="390"/>
        <v>-12</v>
      </c>
      <c r="CQ417" s="1985"/>
      <c r="CR417" s="293">
        <f>DIVISIONS!CR345</f>
        <v>185</v>
      </c>
      <c r="CS417" s="293">
        <f>DIVISIONS!CS345</f>
        <v>71</v>
      </c>
      <c r="CT417" s="293">
        <f t="shared" si="391"/>
        <v>256</v>
      </c>
      <c r="CU417" s="853"/>
      <c r="CV417" s="293">
        <f>DIVISIONS!CV345</f>
        <v>-33</v>
      </c>
      <c r="CW417" s="293">
        <f>DIVISIONS!CW345</f>
        <v>32</v>
      </c>
      <c r="CX417" s="293">
        <f t="shared" si="392"/>
        <v>-1</v>
      </c>
      <c r="CY417" s="853"/>
      <c r="CZ417" s="293">
        <f>DIVISIONS!CZ345</f>
        <v>29</v>
      </c>
      <c r="DA417" s="293">
        <f>DIVISIONS!DA345</f>
        <v>25</v>
      </c>
      <c r="DB417" s="293">
        <f t="shared" si="393"/>
        <v>54</v>
      </c>
      <c r="DC417" s="853"/>
      <c r="DD417" s="293">
        <f>DIVISIONS!DD345</f>
        <v>67</v>
      </c>
      <c r="DE417" s="293">
        <f>DIVISIONS!DE345</f>
        <v>178</v>
      </c>
      <c r="DF417" s="293">
        <f t="shared" si="394"/>
        <v>245</v>
      </c>
      <c r="DG417" s="853"/>
      <c r="DH417" s="293">
        <f>DIVISIONS!DH345</f>
        <v>44</v>
      </c>
      <c r="DI417" s="850">
        <f t="shared" ref="DI417:DI422" si="398">DH417*1.03</f>
        <v>45.32</v>
      </c>
      <c r="DJ417" s="293">
        <f t="shared" si="395"/>
        <v>89.32</v>
      </c>
      <c r="DK417" s="853"/>
      <c r="DL417" s="850">
        <f t="shared" ref="DL417:DL422" si="399">DI417*1.03</f>
        <v>46.679600000000001</v>
      </c>
      <c r="DM417" s="850">
        <f t="shared" ref="DM417:DM422" si="400">DL417*1.03</f>
        <v>48.079988</v>
      </c>
      <c r="DN417" s="293">
        <f t="shared" si="396"/>
        <v>94.759588000000008</v>
      </c>
      <c r="DO417" s="853"/>
      <c r="DP417" s="850">
        <f t="shared" ref="DP417:DP422" si="401">DM417*1.03</f>
        <v>49.522387639999998</v>
      </c>
      <c r="DQ417" s="850">
        <f t="shared" ref="DQ417:DQ422" si="402">DP417*1.03</f>
        <v>51.008059269199997</v>
      </c>
      <c r="DR417" s="293">
        <f t="shared" si="397"/>
        <v>100.53044690919999</v>
      </c>
      <c r="DS417" s="853"/>
      <c r="DT417" s="853"/>
      <c r="DU417" s="850"/>
      <c r="DV417" s="850"/>
      <c r="DW417" s="850"/>
      <c r="DX417" s="853"/>
      <c r="DY417" s="853"/>
      <c r="DZ417" s="850"/>
      <c r="EA417" s="850"/>
      <c r="EB417" s="853"/>
      <c r="EC417" s="853"/>
      <c r="ED417" s="850"/>
      <c r="EE417" s="850"/>
      <c r="EF417" s="853"/>
      <c r="EG417" s="853"/>
      <c r="EH417" s="853"/>
      <c r="EI417" s="853"/>
      <c r="EJ417" s="853"/>
      <c r="EK417" s="853"/>
      <c r="EL417" s="853"/>
      <c r="EM417" s="853"/>
      <c r="EN417" s="853"/>
      <c r="EO417" s="853"/>
      <c r="EP417" s="853"/>
      <c r="EQ417" s="855"/>
      <c r="ER417" s="855"/>
      <c r="ES417" s="855"/>
      <c r="ET417" s="855"/>
      <c r="EU417" s="855"/>
      <c r="EV417" s="855"/>
      <c r="EW417" s="855"/>
      <c r="EX417" s="855"/>
      <c r="EY417" s="855"/>
      <c r="EZ417" s="855"/>
      <c r="FA417" s="855"/>
      <c r="FB417" s="855"/>
      <c r="FC417" s="855"/>
      <c r="FD417" s="855"/>
      <c r="FE417" s="855"/>
      <c r="FF417" s="855"/>
      <c r="FG417" s="855"/>
      <c r="FH417" s="855"/>
      <c r="FI417" s="855"/>
      <c r="FJ417" s="855"/>
      <c r="FK417" s="855"/>
      <c r="FL417" s="855"/>
      <c r="FM417" s="855"/>
      <c r="FN417" s="855"/>
      <c r="FO417" s="855"/>
      <c r="FP417" s="855"/>
      <c r="FQ417" s="855"/>
      <c r="FR417" s="855"/>
      <c r="FS417" s="855"/>
      <c r="FT417" s="855"/>
      <c r="FU417" s="855"/>
      <c r="FV417" s="855"/>
      <c r="FW417" s="855"/>
      <c r="FX417" s="855"/>
      <c r="FY417" s="855"/>
      <c r="FZ417" s="855"/>
      <c r="GA417" s="855"/>
      <c r="GB417" s="855"/>
      <c r="GC417" s="855"/>
      <c r="GD417" s="855"/>
      <c r="GE417" s="855"/>
      <c r="GF417" s="855"/>
      <c r="GG417" s="855"/>
      <c r="GH417" s="855"/>
      <c r="GI417" s="855"/>
      <c r="GJ417" s="855"/>
      <c r="GK417" s="855"/>
      <c r="GL417" s="855"/>
      <c r="GM417" s="855"/>
      <c r="GN417" s="855"/>
      <c r="GO417" s="855"/>
      <c r="GP417" s="855"/>
      <c r="GQ417" s="855"/>
      <c r="GR417" s="855"/>
      <c r="GS417" s="855"/>
      <c r="GT417" s="855"/>
      <c r="GU417" s="855"/>
      <c r="GV417" s="855"/>
      <c r="GW417" s="855"/>
      <c r="GX417" s="855"/>
      <c r="GY417" s="855"/>
      <c r="GZ417" s="855"/>
      <c r="HA417" s="855"/>
      <c r="HB417" s="855"/>
      <c r="HC417" s="855"/>
      <c r="HD417" s="855"/>
      <c r="HE417" s="855"/>
      <c r="HF417" s="855"/>
      <c r="HG417" s="855"/>
      <c r="HH417" s="855"/>
      <c r="HI417" s="855"/>
      <c r="HJ417" s="855"/>
      <c r="HK417" s="855"/>
      <c r="HL417" s="855"/>
      <c r="HM417" s="855"/>
      <c r="HN417" s="855"/>
      <c r="HO417" s="855"/>
      <c r="HP417" s="855"/>
      <c r="HQ417" s="855"/>
      <c r="HR417" s="855"/>
      <c r="HS417" s="855"/>
      <c r="HT417" s="855"/>
      <c r="HU417" s="855"/>
      <c r="HV417" s="855"/>
      <c r="HW417" s="855"/>
      <c r="HX417" s="855"/>
      <c r="HY417" s="855"/>
      <c r="HZ417" s="855"/>
      <c r="IA417" s="855"/>
      <c r="IB417" s="855"/>
      <c r="IC417" s="855"/>
      <c r="ID417" s="855"/>
      <c r="IE417" s="855"/>
      <c r="IF417" s="855"/>
      <c r="IG417" s="855"/>
      <c r="IH417" s="855"/>
      <c r="II417" s="855"/>
      <c r="IJ417" s="855"/>
      <c r="IK417" s="855"/>
      <c r="IL417" s="855"/>
      <c r="IM417" s="855"/>
      <c r="IN417" s="855"/>
      <c r="IO417" s="855"/>
      <c r="IP417" s="855"/>
      <c r="IQ417" s="855"/>
      <c r="IR417" s="855"/>
      <c r="IS417" s="855"/>
      <c r="IT417" s="855"/>
      <c r="IU417" s="855"/>
      <c r="IV417" s="855"/>
      <c r="IW417" s="855"/>
      <c r="IX417" s="855"/>
      <c r="IY417" s="855"/>
      <c r="IZ417" s="855"/>
      <c r="JA417" s="855"/>
      <c r="JB417" s="855"/>
      <c r="JC417" s="855"/>
      <c r="JD417" s="855"/>
      <c r="JE417" s="855"/>
      <c r="JF417" s="855"/>
      <c r="JG417" s="855"/>
      <c r="JH417" s="855"/>
      <c r="JI417" s="855"/>
      <c r="JJ417" s="855"/>
      <c r="JK417" s="855"/>
      <c r="JL417" s="855"/>
      <c r="JM417"/>
    </row>
    <row r="418" spans="1:273" s="854" customFormat="1">
      <c r="A418" s="102" t="s">
        <v>1024</v>
      </c>
      <c r="B418" s="103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293"/>
      <c r="AO418" s="293"/>
      <c r="AP418" s="293"/>
      <c r="AQ418" s="293"/>
      <c r="AR418" s="293">
        <f>DIVISIONS!AR233</f>
        <v>11</v>
      </c>
      <c r="AS418" s="293">
        <f>DIVISIONS!AS233</f>
        <v>61</v>
      </c>
      <c r="AT418" s="293">
        <f t="shared" si="378"/>
        <v>72</v>
      </c>
      <c r="AU418" s="626"/>
      <c r="AV418" s="293">
        <f>DIVISIONS!AV233</f>
        <v>4</v>
      </c>
      <c r="AW418" s="293">
        <f>DIVISIONS!AW233</f>
        <v>9</v>
      </c>
      <c r="AX418" s="293">
        <f t="shared" si="379"/>
        <v>13</v>
      </c>
      <c r="AY418" s="626"/>
      <c r="AZ418" s="293">
        <f>DIVISIONS!AZ233</f>
        <v>15</v>
      </c>
      <c r="BA418" s="293">
        <f>DIVISIONS!BA233</f>
        <v>1</v>
      </c>
      <c r="BB418" s="293">
        <f t="shared" si="380"/>
        <v>16</v>
      </c>
      <c r="BC418" s="853"/>
      <c r="BD418" s="293">
        <f>DIVISIONS!BD233</f>
        <v>9</v>
      </c>
      <c r="BE418" s="293">
        <f>DIVISIONS!BE233</f>
        <v>10</v>
      </c>
      <c r="BF418" s="293">
        <f t="shared" si="381"/>
        <v>19</v>
      </c>
      <c r="BG418" s="853"/>
      <c r="BH418" s="293">
        <f>DIVISIONS!BH233</f>
        <v>15</v>
      </c>
      <c r="BI418" s="293">
        <f>DIVISIONS!BI233</f>
        <v>13</v>
      </c>
      <c r="BJ418" s="293">
        <f t="shared" si="382"/>
        <v>28</v>
      </c>
      <c r="BK418" s="853"/>
      <c r="BL418" s="293">
        <f>DIVISIONS!BL233</f>
        <v>15</v>
      </c>
      <c r="BM418" s="293">
        <f>DIVISIONS!BM233</f>
        <v>8</v>
      </c>
      <c r="BN418" s="293">
        <f t="shared" si="383"/>
        <v>23</v>
      </c>
      <c r="BO418" s="853"/>
      <c r="BP418" s="293">
        <f>DIVISIONS!BP233</f>
        <v>2</v>
      </c>
      <c r="BQ418" s="293">
        <f>DIVISIONS!BQ233</f>
        <v>-3</v>
      </c>
      <c r="BR418" s="293">
        <f t="shared" si="384"/>
        <v>-1</v>
      </c>
      <c r="BS418" s="853"/>
      <c r="BT418" s="293">
        <f>DIVISIONS!BT233</f>
        <v>-7</v>
      </c>
      <c r="BU418" s="293">
        <f>DIVISIONS!BU233</f>
        <v>8</v>
      </c>
      <c r="BV418" s="293">
        <f t="shared" si="385"/>
        <v>1</v>
      </c>
      <c r="BW418" s="853"/>
      <c r="BX418" s="293">
        <f>DIVISIONS!BX233</f>
        <v>-10</v>
      </c>
      <c r="BY418" s="293">
        <f>DIVISIONS!BY233</f>
        <v>10</v>
      </c>
      <c r="BZ418" s="293">
        <f t="shared" si="386"/>
        <v>0</v>
      </c>
      <c r="CA418" s="853"/>
      <c r="CB418" s="293">
        <f>DIVISIONS!CB233</f>
        <v>8</v>
      </c>
      <c r="CC418" s="293">
        <f>DIVISIONS!CC233</f>
        <v>13</v>
      </c>
      <c r="CD418" s="293">
        <f t="shared" si="387"/>
        <v>21</v>
      </c>
      <c r="CE418" s="862"/>
      <c r="CF418" s="293">
        <f>DIVISIONS!CF233</f>
        <v>10</v>
      </c>
      <c r="CG418" s="293">
        <f>DIVISIONS!CG233</f>
        <v>10</v>
      </c>
      <c r="CH418" s="293">
        <f t="shared" si="388"/>
        <v>20</v>
      </c>
      <c r="CI418" s="862"/>
      <c r="CJ418" s="293">
        <f>DIVISIONS!CJ233</f>
        <v>9</v>
      </c>
      <c r="CK418" s="293">
        <f>DIVISIONS!CK233</f>
        <v>15</v>
      </c>
      <c r="CL418" s="293">
        <f t="shared" si="389"/>
        <v>24</v>
      </c>
      <c r="CM418" s="862"/>
      <c r="CN418" s="293">
        <f>DIVISIONS!CN233</f>
        <v>13</v>
      </c>
      <c r="CO418" s="293">
        <f>DIVISIONS!CO233</f>
        <v>30</v>
      </c>
      <c r="CP418" s="293">
        <f t="shared" si="390"/>
        <v>43</v>
      </c>
      <c r="CQ418" s="1985"/>
      <c r="CR418" s="293">
        <f>DIVISIONS!CR233</f>
        <v>15</v>
      </c>
      <c r="CS418" s="293">
        <f>DIVISIONS!CS233</f>
        <v>25</v>
      </c>
      <c r="CT418" s="293">
        <f t="shared" si="391"/>
        <v>40</v>
      </c>
      <c r="CU418" s="853"/>
      <c r="CV418" s="293">
        <f>DIVISIONS!CV233</f>
        <v>16</v>
      </c>
      <c r="CW418" s="293">
        <f>DIVISIONS!CW233</f>
        <v>16</v>
      </c>
      <c r="CX418" s="293">
        <f t="shared" si="392"/>
        <v>32</v>
      </c>
      <c r="CY418" s="853"/>
      <c r="CZ418" s="293">
        <f>DIVISIONS!CZ233</f>
        <v>16</v>
      </c>
      <c r="DA418" s="293">
        <f>DIVISIONS!DA233</f>
        <v>26</v>
      </c>
      <c r="DB418" s="293">
        <f t="shared" si="393"/>
        <v>42</v>
      </c>
      <c r="DC418" s="853"/>
      <c r="DD418" s="293">
        <f>DIVISIONS!DD233</f>
        <v>7</v>
      </c>
      <c r="DE418" s="293">
        <f>DIVISIONS!DE233</f>
        <v>33</v>
      </c>
      <c r="DF418" s="293">
        <f t="shared" si="394"/>
        <v>40</v>
      </c>
      <c r="DG418" s="853"/>
      <c r="DH418" s="293">
        <f>DIVISIONS!DH233</f>
        <v>22</v>
      </c>
      <c r="DI418" s="850">
        <f t="shared" si="398"/>
        <v>22.66</v>
      </c>
      <c r="DJ418" s="293">
        <f t="shared" si="395"/>
        <v>44.66</v>
      </c>
      <c r="DK418" s="853"/>
      <c r="DL418" s="850">
        <f t="shared" si="399"/>
        <v>23.3398</v>
      </c>
      <c r="DM418" s="850">
        <f t="shared" si="400"/>
        <v>24.039994</v>
      </c>
      <c r="DN418" s="293">
        <f t="shared" si="396"/>
        <v>47.379794000000004</v>
      </c>
      <c r="DO418" s="853"/>
      <c r="DP418" s="850">
        <f t="shared" si="401"/>
        <v>24.761193819999999</v>
      </c>
      <c r="DQ418" s="850">
        <f t="shared" si="402"/>
        <v>25.504029634599998</v>
      </c>
      <c r="DR418" s="293">
        <f t="shared" si="397"/>
        <v>50.265223454599997</v>
      </c>
      <c r="DS418" s="853"/>
      <c r="DT418" s="853"/>
      <c r="DU418" s="850"/>
      <c r="DV418" s="850"/>
      <c r="DW418" s="850"/>
      <c r="DX418" s="853"/>
      <c r="DY418" s="853"/>
      <c r="DZ418" s="850"/>
      <c r="EA418" s="850"/>
      <c r="EB418" s="853"/>
      <c r="EC418" s="853"/>
      <c r="ED418" s="850"/>
      <c r="EE418" s="850"/>
      <c r="EF418" s="853"/>
      <c r="EG418" s="853"/>
      <c r="EH418" s="853"/>
      <c r="EI418" s="853"/>
      <c r="EJ418" s="853"/>
      <c r="EK418" s="853"/>
      <c r="EL418" s="853"/>
      <c r="EM418" s="853"/>
      <c r="EN418" s="853"/>
      <c r="EO418" s="853"/>
      <c r="EP418" s="853"/>
      <c r="EQ418" s="855"/>
      <c r="ER418" s="855"/>
      <c r="ES418" s="855"/>
      <c r="ET418" s="855"/>
      <c r="EU418" s="855"/>
      <c r="EV418" s="855"/>
      <c r="EW418" s="855"/>
      <c r="EX418" s="855"/>
      <c r="EY418" s="855"/>
      <c r="EZ418" s="855"/>
      <c r="FA418" s="855"/>
      <c r="FB418" s="855"/>
      <c r="FC418" s="855"/>
      <c r="FD418" s="855"/>
      <c r="FE418" s="855"/>
      <c r="FF418" s="855"/>
      <c r="FG418" s="855"/>
      <c r="FH418" s="855"/>
      <c r="FI418" s="855"/>
      <c r="FJ418" s="855"/>
      <c r="FK418" s="855"/>
      <c r="FL418" s="855"/>
      <c r="FM418" s="855"/>
      <c r="FN418" s="855"/>
      <c r="FO418" s="855"/>
      <c r="FP418" s="855"/>
      <c r="FQ418" s="855"/>
      <c r="FR418" s="855"/>
      <c r="FS418" s="855"/>
      <c r="FT418" s="855"/>
      <c r="FU418" s="855"/>
      <c r="FV418" s="855"/>
      <c r="FW418" s="855"/>
      <c r="FX418" s="855"/>
      <c r="FY418" s="855"/>
      <c r="FZ418" s="855"/>
      <c r="GA418" s="855"/>
      <c r="GB418" s="855"/>
      <c r="GC418" s="855"/>
      <c r="GD418" s="855"/>
      <c r="GE418" s="855"/>
      <c r="GF418" s="855"/>
      <c r="GG418" s="855"/>
      <c r="GH418" s="855"/>
      <c r="GI418" s="855"/>
      <c r="GJ418" s="855"/>
      <c r="GK418" s="855"/>
      <c r="GL418" s="855"/>
      <c r="GM418" s="855"/>
      <c r="GN418" s="855"/>
      <c r="GO418" s="855"/>
      <c r="GP418" s="855"/>
      <c r="GQ418" s="855"/>
      <c r="GR418" s="855"/>
      <c r="GS418" s="855"/>
      <c r="GT418" s="855"/>
      <c r="GU418" s="855"/>
      <c r="GV418" s="855"/>
      <c r="GW418" s="855"/>
      <c r="GX418" s="855"/>
      <c r="GY418" s="855"/>
      <c r="GZ418" s="855"/>
      <c r="HA418" s="855"/>
      <c r="HB418" s="855"/>
      <c r="HC418" s="855"/>
      <c r="HD418" s="855"/>
      <c r="HE418" s="855"/>
      <c r="HF418" s="855"/>
      <c r="HG418" s="855"/>
      <c r="HH418" s="855"/>
      <c r="HI418" s="855"/>
      <c r="HJ418" s="855"/>
      <c r="HK418" s="855"/>
      <c r="HL418" s="855"/>
      <c r="HM418" s="855"/>
      <c r="HN418" s="855"/>
      <c r="HO418" s="855"/>
      <c r="HP418" s="855"/>
      <c r="HQ418" s="855"/>
      <c r="HR418" s="855"/>
      <c r="HS418" s="855"/>
      <c r="HT418" s="855"/>
      <c r="HU418" s="855"/>
      <c r="HV418" s="855"/>
      <c r="HW418" s="855"/>
      <c r="HX418" s="855"/>
      <c r="HY418" s="855"/>
      <c r="HZ418" s="855"/>
      <c r="IA418" s="855"/>
      <c r="IB418" s="855"/>
      <c r="IC418" s="855"/>
      <c r="ID418" s="855"/>
      <c r="IE418" s="855"/>
      <c r="IF418" s="855"/>
      <c r="IG418" s="855"/>
      <c r="IH418" s="855"/>
      <c r="II418" s="855"/>
      <c r="IJ418" s="855"/>
      <c r="IK418" s="855"/>
      <c r="IL418" s="855"/>
      <c r="IM418" s="855"/>
      <c r="IN418" s="855"/>
      <c r="IO418" s="855"/>
      <c r="IP418" s="855"/>
      <c r="IQ418" s="855"/>
      <c r="IR418" s="855"/>
      <c r="IS418" s="855"/>
      <c r="IT418" s="855"/>
      <c r="IU418" s="855"/>
      <c r="IV418" s="855"/>
      <c r="IW418" s="855"/>
      <c r="IX418" s="855"/>
      <c r="IY418" s="855"/>
      <c r="IZ418" s="855"/>
      <c r="JA418" s="855"/>
      <c r="JB418" s="855"/>
      <c r="JC418" s="855"/>
      <c r="JD418" s="855"/>
      <c r="JE418" s="855"/>
      <c r="JF418" s="855"/>
      <c r="JG418" s="855"/>
      <c r="JH418" s="855"/>
      <c r="JI418" s="855"/>
      <c r="JJ418" s="855"/>
      <c r="JK418" s="855"/>
      <c r="JL418" s="855"/>
      <c r="JM418"/>
    </row>
    <row r="419" spans="1:273" s="854" customFormat="1">
      <c r="A419" s="102" t="s">
        <v>690</v>
      </c>
      <c r="B419" s="103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  <c r="AA419" s="102"/>
      <c r="AB419" s="102"/>
      <c r="AC419" s="102"/>
      <c r="AD419" s="102"/>
      <c r="AE419" s="102"/>
      <c r="AF419" s="102"/>
      <c r="AG419" s="102"/>
      <c r="AH419" s="102"/>
      <c r="AI419" s="102"/>
      <c r="AJ419" s="102"/>
      <c r="AK419" s="102"/>
      <c r="AL419" s="102"/>
      <c r="AM419" s="102"/>
      <c r="AN419" s="293"/>
      <c r="AO419" s="293"/>
      <c r="AP419" s="293"/>
      <c r="AQ419" s="293"/>
      <c r="AR419" s="293">
        <f>DIVISIONS!AR472</f>
        <v>0</v>
      </c>
      <c r="AS419" s="293">
        <f>DIVISIONS!AS472</f>
        <v>-1</v>
      </c>
      <c r="AT419" s="293">
        <f t="shared" si="378"/>
        <v>-1</v>
      </c>
      <c r="AU419" s="626"/>
      <c r="AV419" s="293">
        <f>DIVISIONS!AV472</f>
        <v>1</v>
      </c>
      <c r="AW419" s="293">
        <f>DIVISIONS!AW472</f>
        <v>-6</v>
      </c>
      <c r="AX419" s="293">
        <f t="shared" si="379"/>
        <v>-5</v>
      </c>
      <c r="AY419" s="626"/>
      <c r="AZ419" s="293">
        <f>DIVISIONS!AZ472</f>
        <v>19</v>
      </c>
      <c r="BA419" s="293">
        <f>DIVISIONS!BA472</f>
        <v>5</v>
      </c>
      <c r="BB419" s="293">
        <f t="shared" si="380"/>
        <v>24</v>
      </c>
      <c r="BC419" s="853"/>
      <c r="BD419" s="293">
        <f>DIVISIONS!BD472</f>
        <v>2</v>
      </c>
      <c r="BE419" s="293">
        <f>DIVISIONS!BE472</f>
        <v>3</v>
      </c>
      <c r="BF419" s="293">
        <f t="shared" si="381"/>
        <v>5</v>
      </c>
      <c r="BG419" s="853"/>
      <c r="BH419" s="293">
        <f>DIVISIONS!BH472</f>
        <v>1</v>
      </c>
      <c r="BI419" s="293">
        <f>DIVISIONS!BI472</f>
        <v>-4</v>
      </c>
      <c r="BJ419" s="293">
        <f t="shared" si="382"/>
        <v>-3</v>
      </c>
      <c r="BK419" s="853"/>
      <c r="BL419" s="293">
        <f>DIVISIONS!BL472</f>
        <v>4</v>
      </c>
      <c r="BM419" s="293">
        <f>DIVISIONS!BM472</f>
        <v>-2</v>
      </c>
      <c r="BN419" s="293">
        <f t="shared" si="383"/>
        <v>2</v>
      </c>
      <c r="BO419" s="853"/>
      <c r="BP419" s="293">
        <f>DIVISIONS!BP472</f>
        <v>1</v>
      </c>
      <c r="BQ419" s="293">
        <f>DIVISIONS!BQ472</f>
        <v>2</v>
      </c>
      <c r="BR419" s="293">
        <f t="shared" si="384"/>
        <v>3</v>
      </c>
      <c r="BS419" s="853"/>
      <c r="BT419" s="293">
        <f>DIVISIONS!BT472</f>
        <v>2</v>
      </c>
      <c r="BU419" s="293">
        <f>DIVISIONS!BU472</f>
        <v>5</v>
      </c>
      <c r="BV419" s="293">
        <f t="shared" si="385"/>
        <v>7</v>
      </c>
      <c r="BW419" s="853"/>
      <c r="BX419" s="293">
        <f>DIVISIONS!BX472</f>
        <v>0</v>
      </c>
      <c r="BY419" s="293">
        <f>DIVISIONS!BY472</f>
        <v>0</v>
      </c>
      <c r="BZ419" s="293">
        <f t="shared" si="386"/>
        <v>0</v>
      </c>
      <c r="CA419" s="853"/>
      <c r="CB419" s="293">
        <f>DIVISIONS!CB472</f>
        <v>0</v>
      </c>
      <c r="CC419" s="293">
        <f>DIVISIONS!CC472</f>
        <v>-3</v>
      </c>
      <c r="CD419" s="293">
        <f t="shared" si="387"/>
        <v>-3</v>
      </c>
      <c r="CE419" s="862"/>
      <c r="CF419" s="293">
        <f>DIVISIONS!CF472</f>
        <v>0</v>
      </c>
      <c r="CG419" s="293">
        <f>DIVISIONS!CG472</f>
        <v>0</v>
      </c>
      <c r="CH419" s="293">
        <f t="shared" si="388"/>
        <v>0</v>
      </c>
      <c r="CI419" s="862"/>
      <c r="CJ419" s="293">
        <f>DIVISIONS!CJ472</f>
        <v>0</v>
      </c>
      <c r="CK419" s="293">
        <f>DIVISIONS!CK472</f>
        <v>0</v>
      </c>
      <c r="CL419" s="293">
        <f t="shared" si="389"/>
        <v>0</v>
      </c>
      <c r="CM419" s="862"/>
      <c r="CN419" s="293">
        <f>DIVISIONS!CN472</f>
        <v>0</v>
      </c>
      <c r="CO419" s="293">
        <f>DIVISIONS!CO472</f>
        <v>0</v>
      </c>
      <c r="CP419" s="293">
        <f t="shared" si="390"/>
        <v>0</v>
      </c>
      <c r="CQ419" s="1985"/>
      <c r="CR419" s="293">
        <f>DIVISIONS!CR472</f>
        <v>0</v>
      </c>
      <c r="CS419" s="293">
        <f>DIVISIONS!CS472</f>
        <v>0</v>
      </c>
      <c r="CT419" s="293">
        <f t="shared" si="391"/>
        <v>0</v>
      </c>
      <c r="CU419" s="853"/>
      <c r="CV419" s="293">
        <f>DIVISIONS!CV472</f>
        <v>0</v>
      </c>
      <c r="CW419" s="293">
        <f>DIVISIONS!CW472</f>
        <v>0</v>
      </c>
      <c r="CX419" s="293">
        <f t="shared" si="392"/>
        <v>0</v>
      </c>
      <c r="CY419" s="853"/>
      <c r="CZ419" s="293">
        <f>DIVISIONS!CZ472</f>
        <v>0</v>
      </c>
      <c r="DA419" s="293">
        <f>DIVISIONS!DA472</f>
        <v>0</v>
      </c>
      <c r="DB419" s="293">
        <f t="shared" si="393"/>
        <v>0</v>
      </c>
      <c r="DC419" s="853"/>
      <c r="DD419" s="293">
        <f>DIVISIONS!DD472</f>
        <v>0</v>
      </c>
      <c r="DE419" s="293">
        <f>DIVISIONS!DE472</f>
        <v>0</v>
      </c>
      <c r="DF419" s="293">
        <f t="shared" si="394"/>
        <v>0</v>
      </c>
      <c r="DG419" s="853"/>
      <c r="DH419" s="293">
        <f>DIVISIONS!DH472</f>
        <v>0</v>
      </c>
      <c r="DI419" s="850">
        <f t="shared" si="398"/>
        <v>0</v>
      </c>
      <c r="DJ419" s="293">
        <f t="shared" si="395"/>
        <v>0</v>
      </c>
      <c r="DK419" s="853"/>
      <c r="DL419" s="850">
        <f t="shared" si="399"/>
        <v>0</v>
      </c>
      <c r="DM419" s="850">
        <f t="shared" si="400"/>
        <v>0</v>
      </c>
      <c r="DN419" s="293">
        <f t="shared" si="396"/>
        <v>0</v>
      </c>
      <c r="DO419" s="853"/>
      <c r="DP419" s="850">
        <f t="shared" si="401"/>
        <v>0</v>
      </c>
      <c r="DQ419" s="850">
        <f t="shared" si="402"/>
        <v>0</v>
      </c>
      <c r="DR419" s="293">
        <f t="shared" si="397"/>
        <v>0</v>
      </c>
      <c r="DS419" s="853"/>
      <c r="DT419" s="853"/>
      <c r="DU419" s="850"/>
      <c r="DV419" s="850"/>
      <c r="DW419" s="850"/>
      <c r="DX419" s="853"/>
      <c r="DY419" s="853"/>
      <c r="DZ419" s="850"/>
      <c r="EA419" s="850"/>
      <c r="EB419" s="853"/>
      <c r="EC419" s="853"/>
      <c r="ED419" s="850"/>
      <c r="EE419" s="850"/>
      <c r="EF419" s="853"/>
      <c r="EG419" s="853"/>
      <c r="EH419" s="853"/>
      <c r="EI419" s="853"/>
      <c r="EJ419" s="853"/>
      <c r="EK419" s="853"/>
      <c r="EL419" s="853"/>
      <c r="EM419" s="853"/>
      <c r="EN419" s="853"/>
      <c r="EO419" s="853"/>
      <c r="EP419" s="853"/>
      <c r="EQ419" s="855"/>
      <c r="ER419" s="855"/>
      <c r="ES419" s="855"/>
      <c r="ET419" s="855"/>
      <c r="EU419" s="855"/>
      <c r="EV419" s="855"/>
      <c r="EW419" s="855"/>
      <c r="EX419" s="855"/>
      <c r="EY419" s="855"/>
      <c r="EZ419" s="855"/>
      <c r="FA419" s="855"/>
      <c r="FB419" s="855"/>
      <c r="FC419" s="855"/>
      <c r="FD419" s="855"/>
      <c r="FE419" s="855"/>
      <c r="FF419" s="855"/>
      <c r="FG419" s="855"/>
      <c r="FH419" s="855"/>
      <c r="FI419" s="855"/>
      <c r="FJ419" s="855"/>
      <c r="FK419" s="855"/>
      <c r="FL419" s="855"/>
      <c r="FM419" s="855"/>
      <c r="FN419" s="855"/>
      <c r="FO419" s="855"/>
      <c r="FP419" s="855"/>
      <c r="FQ419" s="855"/>
      <c r="FR419" s="855"/>
      <c r="FS419" s="855"/>
      <c r="FT419" s="855"/>
      <c r="FU419" s="855"/>
      <c r="FV419" s="855"/>
      <c r="FW419" s="855"/>
      <c r="FX419" s="855"/>
      <c r="FY419" s="855"/>
      <c r="FZ419" s="855"/>
      <c r="GA419" s="855"/>
      <c r="GB419" s="855"/>
      <c r="GC419" s="855"/>
      <c r="GD419" s="855"/>
      <c r="GE419" s="855"/>
      <c r="GF419" s="855"/>
      <c r="GG419" s="855"/>
      <c r="GH419" s="855"/>
      <c r="GI419" s="855"/>
      <c r="GJ419" s="855"/>
      <c r="GK419" s="855"/>
      <c r="GL419" s="855"/>
      <c r="GM419" s="855"/>
      <c r="GN419" s="855"/>
      <c r="GO419" s="855"/>
      <c r="GP419" s="855"/>
      <c r="GQ419" s="855"/>
      <c r="GR419" s="855"/>
      <c r="GS419" s="855"/>
      <c r="GT419" s="855"/>
      <c r="GU419" s="855"/>
      <c r="GV419" s="855"/>
      <c r="GW419" s="855"/>
      <c r="GX419" s="855"/>
      <c r="GY419" s="855"/>
      <c r="GZ419" s="855"/>
      <c r="HA419" s="855"/>
      <c r="HB419" s="855"/>
      <c r="HC419" s="855"/>
      <c r="HD419" s="855"/>
      <c r="HE419" s="855"/>
      <c r="HF419" s="855"/>
      <c r="HG419" s="855"/>
      <c r="HH419" s="855"/>
      <c r="HI419" s="855"/>
      <c r="HJ419" s="855"/>
      <c r="HK419" s="855"/>
      <c r="HL419" s="855"/>
      <c r="HM419" s="855"/>
      <c r="HN419" s="855"/>
      <c r="HO419" s="855"/>
      <c r="HP419" s="855"/>
      <c r="HQ419" s="855"/>
      <c r="HR419" s="855"/>
      <c r="HS419" s="855"/>
      <c r="HT419" s="855"/>
      <c r="HU419" s="855"/>
      <c r="HV419" s="855"/>
      <c r="HW419" s="855"/>
      <c r="HX419" s="855"/>
      <c r="HY419" s="855"/>
      <c r="HZ419" s="855"/>
      <c r="IA419" s="855"/>
      <c r="IB419" s="855"/>
      <c r="IC419" s="855"/>
      <c r="ID419" s="855"/>
      <c r="IE419" s="855"/>
      <c r="IF419" s="855"/>
      <c r="IG419" s="855"/>
      <c r="IH419" s="855"/>
      <c r="II419" s="855"/>
      <c r="IJ419" s="855"/>
      <c r="IK419" s="855"/>
      <c r="IL419" s="855"/>
      <c r="IM419" s="855"/>
      <c r="IN419" s="855"/>
      <c r="IO419" s="855"/>
      <c r="IP419" s="855"/>
      <c r="IQ419" s="855"/>
      <c r="IR419" s="855"/>
      <c r="IS419" s="855"/>
      <c r="IT419" s="855"/>
      <c r="IU419" s="855"/>
      <c r="IV419" s="855"/>
      <c r="IW419" s="855"/>
      <c r="IX419" s="855"/>
      <c r="IY419" s="855"/>
      <c r="IZ419" s="855"/>
      <c r="JA419" s="855"/>
      <c r="JB419" s="855"/>
      <c r="JC419" s="855"/>
      <c r="JD419" s="855"/>
      <c r="JE419" s="855"/>
      <c r="JF419" s="855"/>
      <c r="JG419" s="855"/>
      <c r="JH419" s="855"/>
      <c r="JI419" s="855"/>
      <c r="JJ419" s="855"/>
      <c r="JK419" s="855"/>
      <c r="JL419" s="855"/>
      <c r="JM419"/>
    </row>
    <row r="420" spans="1:273" s="854" customFormat="1">
      <c r="A420" s="102" t="s">
        <v>689</v>
      </c>
      <c r="B420" s="103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  <c r="AA420" s="102"/>
      <c r="AB420" s="102"/>
      <c r="AC420" s="102"/>
      <c r="AD420" s="102"/>
      <c r="AE420" s="102"/>
      <c r="AF420" s="102"/>
      <c r="AG420" s="102"/>
      <c r="AH420" s="102"/>
      <c r="AI420" s="102"/>
      <c r="AJ420" s="102"/>
      <c r="AK420" s="102"/>
      <c r="AL420" s="102"/>
      <c r="AM420" s="102"/>
      <c r="AN420" s="290"/>
      <c r="AO420" s="290"/>
      <c r="AP420" s="290"/>
      <c r="AQ420" s="290"/>
      <c r="AR420" s="293">
        <f>DIVISIONS!AR547</f>
        <v>-3</v>
      </c>
      <c r="AS420" s="293">
        <f>DIVISIONS!AS547</f>
        <v>-4</v>
      </c>
      <c r="AT420" s="293">
        <f t="shared" si="378"/>
        <v>-7</v>
      </c>
      <c r="AU420" s="626"/>
      <c r="AV420" s="293">
        <f>DIVISIONS!AV547</f>
        <v>0</v>
      </c>
      <c r="AW420" s="293">
        <f>DIVISIONS!AW547</f>
        <v>2</v>
      </c>
      <c r="AX420" s="293">
        <f t="shared" si="379"/>
        <v>2</v>
      </c>
      <c r="AY420" s="626"/>
      <c r="AZ420" s="293">
        <f>DIVISIONS!AZ547</f>
        <v>0</v>
      </c>
      <c r="BA420" s="293">
        <f>DIVISIONS!BA547</f>
        <v>1</v>
      </c>
      <c r="BB420" s="293">
        <f t="shared" si="380"/>
        <v>1</v>
      </c>
      <c r="BC420" s="853"/>
      <c r="BD420" s="293">
        <f>DIVISIONS!BD547</f>
        <v>0</v>
      </c>
      <c r="BE420" s="293">
        <f>DIVISIONS!BE547</f>
        <v>0</v>
      </c>
      <c r="BF420" s="293">
        <f t="shared" si="381"/>
        <v>0</v>
      </c>
      <c r="BG420" s="853"/>
      <c r="BH420" s="293">
        <f>DIVISIONS!BH547</f>
        <v>2</v>
      </c>
      <c r="BI420" s="293">
        <f>DIVISIONS!BI547</f>
        <v>1</v>
      </c>
      <c r="BJ420" s="293">
        <f t="shared" si="382"/>
        <v>3</v>
      </c>
      <c r="BK420" s="853"/>
      <c r="BL420" s="293">
        <f>DIVISIONS!BL547</f>
        <v>1</v>
      </c>
      <c r="BM420" s="293">
        <f>DIVISIONS!BM547</f>
        <v>0</v>
      </c>
      <c r="BN420" s="293">
        <f t="shared" si="383"/>
        <v>1</v>
      </c>
      <c r="BO420" s="853"/>
      <c r="BP420" s="293">
        <f>DIVISIONS!BP547</f>
        <v>1</v>
      </c>
      <c r="BQ420" s="293">
        <f>DIVISIONS!BQ547</f>
        <v>2</v>
      </c>
      <c r="BR420" s="293">
        <f t="shared" si="384"/>
        <v>3</v>
      </c>
      <c r="BS420" s="853"/>
      <c r="BT420" s="293">
        <f>DIVISIONS!BT547</f>
        <v>0</v>
      </c>
      <c r="BU420" s="293">
        <f>DIVISIONS!BU547</f>
        <v>1</v>
      </c>
      <c r="BV420" s="293">
        <f t="shared" si="385"/>
        <v>1</v>
      </c>
      <c r="BW420" s="853"/>
      <c r="BX420" s="293">
        <f>DIVISIONS!BX547</f>
        <v>1</v>
      </c>
      <c r="BY420" s="293">
        <f>DIVISIONS!BY547</f>
        <v>5</v>
      </c>
      <c r="BZ420" s="293">
        <f t="shared" si="386"/>
        <v>6</v>
      </c>
      <c r="CA420" s="853"/>
      <c r="CB420" s="293">
        <f>DIVISIONS!CB547</f>
        <v>1</v>
      </c>
      <c r="CC420" s="293">
        <f>DIVISIONS!CC547</f>
        <v>2</v>
      </c>
      <c r="CD420" s="293">
        <f t="shared" si="387"/>
        <v>3</v>
      </c>
      <c r="CE420" s="862"/>
      <c r="CF420" s="293">
        <f>DIVISIONS!CF547</f>
        <v>-1</v>
      </c>
      <c r="CG420" s="293">
        <f>DIVISIONS!CG547</f>
        <v>9</v>
      </c>
      <c r="CH420" s="293">
        <f t="shared" si="388"/>
        <v>8</v>
      </c>
      <c r="CI420" s="862"/>
      <c r="CJ420" s="293">
        <f>DIVISIONS!CJ547</f>
        <v>-3</v>
      </c>
      <c r="CK420" s="293">
        <f>DIVISIONS!CK547</f>
        <v>5</v>
      </c>
      <c r="CL420" s="293">
        <f t="shared" si="389"/>
        <v>2</v>
      </c>
      <c r="CM420" s="862"/>
      <c r="CN420" s="293">
        <f>DIVISIONS!CN547</f>
        <v>-1</v>
      </c>
      <c r="CO420" s="293">
        <f>DIVISIONS!CO547</f>
        <v>-2</v>
      </c>
      <c r="CP420" s="293">
        <f t="shared" si="390"/>
        <v>-3</v>
      </c>
      <c r="CQ420" s="1985"/>
      <c r="CR420" s="293">
        <f>DIVISIONS!CR547</f>
        <v>-1</v>
      </c>
      <c r="CS420" s="293">
        <f>DIVISIONS!CS547</f>
        <v>-1</v>
      </c>
      <c r="CT420" s="293">
        <f t="shared" si="391"/>
        <v>-2</v>
      </c>
      <c r="CU420" s="853"/>
      <c r="CV420" s="293">
        <f>DIVISIONS!CV547</f>
        <v>-2</v>
      </c>
      <c r="CW420" s="293">
        <f>DIVISIONS!CW547</f>
        <v>-5</v>
      </c>
      <c r="CX420" s="293">
        <f t="shared" si="392"/>
        <v>-7</v>
      </c>
      <c r="CY420" s="853"/>
      <c r="CZ420" s="293">
        <f>DIVISIONS!CZ547</f>
        <v>-2</v>
      </c>
      <c r="DA420" s="293">
        <f>DIVISIONS!DA547</f>
        <v>2</v>
      </c>
      <c r="DB420" s="293">
        <f t="shared" si="393"/>
        <v>0</v>
      </c>
      <c r="DC420" s="853"/>
      <c r="DD420" s="293">
        <f>DIVISIONS!DD547</f>
        <v>-1</v>
      </c>
      <c r="DE420" s="293">
        <f>DIVISIONS!DE547</f>
        <v>0</v>
      </c>
      <c r="DF420" s="293">
        <f t="shared" si="394"/>
        <v>-1</v>
      </c>
      <c r="DG420" s="853"/>
      <c r="DH420" s="293">
        <f>DIVISIONS!DH547</f>
        <v>0</v>
      </c>
      <c r="DI420" s="850">
        <f t="shared" si="398"/>
        <v>0</v>
      </c>
      <c r="DJ420" s="293">
        <f t="shared" si="395"/>
        <v>0</v>
      </c>
      <c r="DK420" s="853"/>
      <c r="DL420" s="850">
        <f t="shared" si="399"/>
        <v>0</v>
      </c>
      <c r="DM420" s="850">
        <f t="shared" si="400"/>
        <v>0</v>
      </c>
      <c r="DN420" s="293">
        <f t="shared" si="396"/>
        <v>0</v>
      </c>
      <c r="DO420" s="853"/>
      <c r="DP420" s="850">
        <f t="shared" si="401"/>
        <v>0</v>
      </c>
      <c r="DQ420" s="850">
        <f t="shared" si="402"/>
        <v>0</v>
      </c>
      <c r="DR420" s="293">
        <f t="shared" si="397"/>
        <v>0</v>
      </c>
      <c r="DS420" s="853"/>
      <c r="DT420" s="853"/>
      <c r="DU420" s="850"/>
      <c r="DV420" s="850"/>
      <c r="DW420" s="850"/>
      <c r="DX420" s="853"/>
      <c r="DY420" s="853"/>
      <c r="DZ420" s="850"/>
      <c r="EA420" s="850"/>
      <c r="EB420" s="853"/>
      <c r="EC420" s="853"/>
      <c r="ED420" s="850"/>
      <c r="EE420" s="850"/>
      <c r="EF420" s="853"/>
      <c r="EG420" s="853"/>
      <c r="EH420" s="853"/>
      <c r="EI420" s="853"/>
      <c r="EJ420" s="853"/>
      <c r="EK420" s="853"/>
      <c r="EL420" s="853"/>
      <c r="EM420" s="853"/>
      <c r="EN420" s="853"/>
      <c r="EO420" s="853"/>
      <c r="EP420" s="853"/>
      <c r="EQ420" s="855"/>
      <c r="ER420" s="855"/>
      <c r="ES420" s="855"/>
      <c r="ET420" s="855"/>
      <c r="EU420" s="855"/>
      <c r="EV420" s="855"/>
      <c r="EW420" s="855"/>
      <c r="EX420" s="855"/>
      <c r="EY420" s="855"/>
      <c r="EZ420" s="855"/>
      <c r="FA420" s="855"/>
      <c r="FB420" s="855"/>
      <c r="FC420" s="855"/>
      <c r="FD420" s="855"/>
      <c r="FE420" s="855"/>
      <c r="FF420" s="855"/>
      <c r="FG420" s="855"/>
      <c r="FH420" s="855"/>
      <c r="FI420" s="855"/>
      <c r="FJ420" s="855"/>
      <c r="FK420" s="855"/>
      <c r="FL420" s="855"/>
      <c r="FM420" s="855"/>
      <c r="FN420" s="855"/>
      <c r="FO420" s="855"/>
      <c r="FP420" s="855"/>
      <c r="FQ420" s="855"/>
      <c r="FR420" s="855"/>
      <c r="FS420" s="855"/>
      <c r="FT420" s="855"/>
      <c r="FU420" s="855"/>
      <c r="FV420" s="855"/>
      <c r="FW420" s="855"/>
      <c r="FX420" s="855"/>
      <c r="FY420" s="855"/>
      <c r="FZ420" s="855"/>
      <c r="GA420" s="855"/>
      <c r="GB420" s="855"/>
      <c r="GC420" s="855"/>
      <c r="GD420" s="855"/>
      <c r="GE420" s="855"/>
      <c r="GF420" s="855"/>
      <c r="GG420" s="855"/>
      <c r="GH420" s="855"/>
      <c r="GI420" s="855"/>
      <c r="GJ420" s="855"/>
      <c r="GK420" s="855"/>
      <c r="GL420" s="855"/>
      <c r="GM420" s="855"/>
      <c r="GN420" s="855"/>
      <c r="GO420" s="855"/>
      <c r="GP420" s="855"/>
      <c r="GQ420" s="855"/>
      <c r="GR420" s="855"/>
      <c r="GS420" s="855"/>
      <c r="GT420" s="855"/>
      <c r="GU420" s="855"/>
      <c r="GV420" s="855"/>
      <c r="GW420" s="855"/>
      <c r="GX420" s="855"/>
      <c r="GY420" s="855"/>
      <c r="GZ420" s="855"/>
      <c r="HA420" s="855"/>
      <c r="HB420" s="855"/>
      <c r="HC420" s="855"/>
      <c r="HD420" s="855"/>
      <c r="HE420" s="855"/>
      <c r="HF420" s="855"/>
      <c r="HG420" s="855"/>
      <c r="HH420" s="855"/>
      <c r="HI420" s="855"/>
      <c r="HJ420" s="855"/>
      <c r="HK420" s="855"/>
      <c r="HL420" s="855"/>
      <c r="HM420" s="855"/>
      <c r="HN420" s="855"/>
      <c r="HO420" s="855"/>
      <c r="HP420" s="855"/>
      <c r="HQ420" s="855"/>
      <c r="HR420" s="855"/>
      <c r="HS420" s="855"/>
      <c r="HT420" s="855"/>
      <c r="HU420" s="855"/>
      <c r="HV420" s="855"/>
      <c r="HW420" s="855"/>
      <c r="HX420" s="855"/>
      <c r="HY420" s="855"/>
      <c r="HZ420" s="855"/>
      <c r="IA420" s="855"/>
      <c r="IB420" s="855"/>
      <c r="IC420" s="855"/>
      <c r="ID420" s="855"/>
      <c r="IE420" s="855"/>
      <c r="IF420" s="855"/>
      <c r="IG420" s="855"/>
      <c r="IH420" s="855"/>
      <c r="II420" s="855"/>
      <c r="IJ420" s="855"/>
      <c r="IK420" s="855"/>
      <c r="IL420" s="855"/>
      <c r="IM420" s="855"/>
      <c r="IN420" s="855"/>
      <c r="IO420" s="855"/>
      <c r="IP420" s="855"/>
      <c r="IQ420" s="855"/>
      <c r="IR420" s="855"/>
      <c r="IS420" s="855"/>
      <c r="IT420" s="855"/>
      <c r="IU420" s="855"/>
      <c r="IV420" s="855"/>
      <c r="IW420" s="855"/>
      <c r="IX420" s="855"/>
      <c r="IY420" s="855"/>
      <c r="IZ420" s="855"/>
      <c r="JA420" s="855"/>
      <c r="JB420" s="855"/>
      <c r="JC420" s="855"/>
      <c r="JD420" s="855"/>
      <c r="JE420" s="855"/>
      <c r="JF420" s="855"/>
      <c r="JG420" s="855"/>
      <c r="JH420" s="855"/>
      <c r="JI420" s="855"/>
      <c r="JJ420" s="855"/>
      <c r="JK420" s="855"/>
      <c r="JL420" s="855"/>
      <c r="JM420"/>
    </row>
    <row r="421" spans="1:273" s="854" customFormat="1">
      <c r="A421" s="102" t="s">
        <v>688</v>
      </c>
      <c r="B421" s="103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  <c r="AA421" s="102"/>
      <c r="AB421" s="102"/>
      <c r="AC421" s="102"/>
      <c r="AD421" s="102"/>
      <c r="AE421" s="102"/>
      <c r="AF421" s="102"/>
      <c r="AG421" s="102"/>
      <c r="AH421" s="102"/>
      <c r="AI421" s="102"/>
      <c r="AJ421" s="102"/>
      <c r="AK421" s="102"/>
      <c r="AL421" s="102"/>
      <c r="AM421" s="102"/>
      <c r="AN421" s="293"/>
      <c r="AO421" s="293"/>
      <c r="AP421" s="293"/>
      <c r="AQ421" s="293"/>
      <c r="AR421" s="293">
        <f>DIVISIONS!AR669</f>
        <v>45</v>
      </c>
      <c r="AS421" s="293">
        <f>DIVISIONS!AS669</f>
        <v>-40</v>
      </c>
      <c r="AT421" s="293">
        <f t="shared" si="378"/>
        <v>5</v>
      </c>
      <c r="AU421" s="626"/>
      <c r="AV421" s="293">
        <f>DIVISIONS!AV669</f>
        <v>-21</v>
      </c>
      <c r="AW421" s="293">
        <f>DIVISIONS!AW669</f>
        <v>-4</v>
      </c>
      <c r="AX421" s="293">
        <f t="shared" si="379"/>
        <v>-25</v>
      </c>
      <c r="AY421" s="626"/>
      <c r="AZ421" s="293">
        <f>DIVISIONS!AZ669</f>
        <v>-8</v>
      </c>
      <c r="BA421" s="293">
        <f>DIVISIONS!BA669</f>
        <v>3</v>
      </c>
      <c r="BB421" s="293">
        <f t="shared" si="380"/>
        <v>-5</v>
      </c>
      <c r="BC421" s="853"/>
      <c r="BD421" s="293">
        <f>DIVISIONS!BD669</f>
        <v>3</v>
      </c>
      <c r="BE421" s="293">
        <f>DIVISIONS!BE669</f>
        <v>11</v>
      </c>
      <c r="BF421" s="293">
        <f t="shared" si="381"/>
        <v>14</v>
      </c>
      <c r="BG421" s="853"/>
      <c r="BH421" s="293">
        <f>DIVISIONS!BH669</f>
        <v>0</v>
      </c>
      <c r="BI421" s="293">
        <f>DIVISIONS!BI669</f>
        <v>0</v>
      </c>
      <c r="BJ421" s="293">
        <f t="shared" si="382"/>
        <v>0</v>
      </c>
      <c r="BK421" s="853"/>
      <c r="BL421" s="293">
        <f>DIVISIONS!BL669</f>
        <v>0</v>
      </c>
      <c r="BM421" s="293">
        <f>DIVISIONS!BM669</f>
        <v>0</v>
      </c>
      <c r="BN421" s="293">
        <f t="shared" si="383"/>
        <v>0</v>
      </c>
      <c r="BO421" s="853"/>
      <c r="BP421" s="293">
        <f>DIVISIONS!BP669</f>
        <v>0</v>
      </c>
      <c r="BQ421" s="293">
        <f>DIVISIONS!BQ669</f>
        <v>0</v>
      </c>
      <c r="BR421" s="293">
        <f t="shared" si="384"/>
        <v>0</v>
      </c>
      <c r="BS421" s="853"/>
      <c r="BT421" s="293">
        <f>DIVISIONS!BT669</f>
        <v>0</v>
      </c>
      <c r="BU421" s="293">
        <f>DIVISIONS!BU669</f>
        <v>0</v>
      </c>
      <c r="BV421" s="293">
        <f t="shared" si="385"/>
        <v>0</v>
      </c>
      <c r="BW421" s="853"/>
      <c r="BX421" s="293">
        <f>DIVISIONS!BX669</f>
        <v>0</v>
      </c>
      <c r="BY421" s="293">
        <f>DIVISIONS!BY669</f>
        <v>0</v>
      </c>
      <c r="BZ421" s="293">
        <f t="shared" si="386"/>
        <v>0</v>
      </c>
      <c r="CA421" s="853"/>
      <c r="CB421" s="293">
        <f>DIVISIONS!CB669</f>
        <v>0</v>
      </c>
      <c r="CC421" s="293">
        <f>DIVISIONS!CC669</f>
        <v>0</v>
      </c>
      <c r="CD421" s="293">
        <f t="shared" si="387"/>
        <v>0</v>
      </c>
      <c r="CE421" s="862"/>
      <c r="CF421" s="293">
        <f>DIVISIONS!CF669</f>
        <v>0</v>
      </c>
      <c r="CG421" s="293">
        <f>DIVISIONS!CG669</f>
        <v>0</v>
      </c>
      <c r="CH421" s="293">
        <f t="shared" si="388"/>
        <v>0</v>
      </c>
      <c r="CI421" s="862"/>
      <c r="CJ421" s="293">
        <f>DIVISIONS!CJ669</f>
        <v>0</v>
      </c>
      <c r="CK421" s="293">
        <f>DIVISIONS!CK669</f>
        <v>0</v>
      </c>
      <c r="CL421" s="293">
        <f t="shared" si="389"/>
        <v>0</v>
      </c>
      <c r="CM421" s="862"/>
      <c r="CN421" s="293">
        <f>DIVISIONS!CN669</f>
        <v>0</v>
      </c>
      <c r="CO421" s="293">
        <f>DIVISIONS!CO669</f>
        <v>0</v>
      </c>
      <c r="CP421" s="293">
        <f t="shared" si="390"/>
        <v>0</v>
      </c>
      <c r="CQ421" s="1985"/>
      <c r="CR421" s="293">
        <f>DIVISIONS!CR669</f>
        <v>0</v>
      </c>
      <c r="CS421" s="293">
        <f>DIVISIONS!CS669</f>
        <v>0</v>
      </c>
      <c r="CT421" s="293">
        <f t="shared" si="391"/>
        <v>0</v>
      </c>
      <c r="CU421" s="853"/>
      <c r="CV421" s="293">
        <f>DIVISIONS!CV669</f>
        <v>0</v>
      </c>
      <c r="CW421" s="293">
        <f>DIVISIONS!CW669</f>
        <v>0</v>
      </c>
      <c r="CX421" s="293">
        <f t="shared" si="392"/>
        <v>0</v>
      </c>
      <c r="CY421" s="853"/>
      <c r="CZ421" s="293">
        <f>DIVISIONS!CZ669</f>
        <v>0</v>
      </c>
      <c r="DA421" s="293">
        <f>DIVISIONS!DA669</f>
        <v>0</v>
      </c>
      <c r="DB421" s="293">
        <f t="shared" si="393"/>
        <v>0</v>
      </c>
      <c r="DC421" s="853"/>
      <c r="DD421" s="293">
        <f>DIVISIONS!DD669</f>
        <v>0</v>
      </c>
      <c r="DE421" s="293">
        <f>DIVISIONS!DE669</f>
        <v>0</v>
      </c>
      <c r="DF421" s="293">
        <f t="shared" si="394"/>
        <v>0</v>
      </c>
      <c r="DG421" s="853"/>
      <c r="DH421" s="293">
        <f>DIVISIONS!DH669</f>
        <v>0</v>
      </c>
      <c r="DI421" s="850">
        <f t="shared" si="398"/>
        <v>0</v>
      </c>
      <c r="DJ421" s="293">
        <f t="shared" si="395"/>
        <v>0</v>
      </c>
      <c r="DK421" s="853"/>
      <c r="DL421" s="850">
        <f t="shared" si="399"/>
        <v>0</v>
      </c>
      <c r="DM421" s="850">
        <f t="shared" si="400"/>
        <v>0</v>
      </c>
      <c r="DN421" s="293">
        <f t="shared" si="396"/>
        <v>0</v>
      </c>
      <c r="DO421" s="853"/>
      <c r="DP421" s="850">
        <f t="shared" si="401"/>
        <v>0</v>
      </c>
      <c r="DQ421" s="850">
        <f t="shared" si="402"/>
        <v>0</v>
      </c>
      <c r="DR421" s="293">
        <f t="shared" si="397"/>
        <v>0</v>
      </c>
      <c r="DS421" s="853"/>
      <c r="DT421" s="853"/>
      <c r="DU421" s="850"/>
      <c r="DV421" s="850"/>
      <c r="DW421" s="850"/>
      <c r="DX421" s="853"/>
      <c r="DY421" s="853"/>
      <c r="DZ421" s="850"/>
      <c r="EA421" s="850"/>
      <c r="EB421" s="853"/>
      <c r="EC421" s="853"/>
      <c r="ED421" s="850"/>
      <c r="EE421" s="850"/>
      <c r="EF421" s="853"/>
      <c r="EG421" s="853"/>
      <c r="EH421" s="853"/>
      <c r="EI421" s="853"/>
      <c r="EJ421" s="853"/>
      <c r="EK421" s="853"/>
      <c r="EL421" s="853"/>
      <c r="EM421" s="853"/>
      <c r="EN421" s="853"/>
      <c r="EO421" s="853"/>
      <c r="EP421" s="853"/>
      <c r="EQ421" s="855"/>
      <c r="ER421" s="855"/>
      <c r="ES421" s="855"/>
      <c r="ET421" s="855"/>
      <c r="EU421" s="855"/>
      <c r="EV421" s="855"/>
      <c r="EW421" s="855"/>
      <c r="EX421" s="855"/>
      <c r="EY421" s="855"/>
      <c r="EZ421" s="855"/>
      <c r="FA421" s="855"/>
      <c r="FB421" s="855"/>
      <c r="FC421" s="855"/>
      <c r="FD421" s="855"/>
      <c r="FE421" s="855"/>
      <c r="FF421" s="855"/>
      <c r="FG421" s="855"/>
      <c r="FH421" s="855"/>
      <c r="FI421" s="855"/>
      <c r="FJ421" s="855"/>
      <c r="FK421" s="855"/>
      <c r="FL421" s="855"/>
      <c r="FM421" s="855"/>
      <c r="FN421" s="855"/>
      <c r="FO421" s="855"/>
      <c r="FP421" s="855"/>
      <c r="FQ421" s="855"/>
      <c r="FR421" s="855"/>
      <c r="FS421" s="855"/>
      <c r="FT421" s="855"/>
      <c r="FU421" s="855"/>
      <c r="FV421" s="855"/>
      <c r="FW421" s="855"/>
      <c r="FX421" s="855"/>
      <c r="FY421" s="855"/>
      <c r="FZ421" s="855"/>
      <c r="GA421" s="855"/>
      <c r="GB421" s="855"/>
      <c r="GC421" s="855"/>
      <c r="GD421" s="855"/>
      <c r="GE421" s="855"/>
      <c r="GF421" s="855"/>
      <c r="GG421" s="855"/>
      <c r="GH421" s="855"/>
      <c r="GI421" s="855"/>
      <c r="GJ421" s="855"/>
      <c r="GK421" s="855"/>
      <c r="GL421" s="855"/>
      <c r="GM421" s="855"/>
      <c r="GN421" s="855"/>
      <c r="GO421" s="855"/>
      <c r="GP421" s="855"/>
      <c r="GQ421" s="855"/>
      <c r="GR421" s="855"/>
      <c r="GS421" s="855"/>
      <c r="GT421" s="855"/>
      <c r="GU421" s="855"/>
      <c r="GV421" s="855"/>
      <c r="GW421" s="855"/>
      <c r="GX421" s="855"/>
      <c r="GY421" s="855"/>
      <c r="GZ421" s="855"/>
      <c r="HA421" s="855"/>
      <c r="HB421" s="855"/>
      <c r="HC421" s="855"/>
      <c r="HD421" s="855"/>
      <c r="HE421" s="855"/>
      <c r="HF421" s="855"/>
      <c r="HG421" s="855"/>
      <c r="HH421" s="855"/>
      <c r="HI421" s="855"/>
      <c r="HJ421" s="855"/>
      <c r="HK421" s="855"/>
      <c r="HL421" s="855"/>
      <c r="HM421" s="855"/>
      <c r="HN421" s="855"/>
      <c r="HO421" s="855"/>
      <c r="HP421" s="855"/>
      <c r="HQ421" s="855"/>
      <c r="HR421" s="855"/>
      <c r="HS421" s="855"/>
      <c r="HT421" s="855"/>
      <c r="HU421" s="855"/>
      <c r="HV421" s="855"/>
      <c r="HW421" s="855"/>
      <c r="HX421" s="855"/>
      <c r="HY421" s="855"/>
      <c r="HZ421" s="855"/>
      <c r="IA421" s="855"/>
      <c r="IB421" s="855"/>
      <c r="IC421" s="855"/>
      <c r="ID421" s="855"/>
      <c r="IE421" s="855"/>
      <c r="IF421" s="855"/>
      <c r="IG421" s="855"/>
      <c r="IH421" s="855"/>
      <c r="II421" s="855"/>
      <c r="IJ421" s="855"/>
      <c r="IK421" s="855"/>
      <c r="IL421" s="855"/>
      <c r="IM421" s="855"/>
      <c r="IN421" s="855"/>
      <c r="IO421" s="855"/>
      <c r="IP421" s="855"/>
      <c r="IQ421" s="855"/>
      <c r="IR421" s="855"/>
      <c r="IS421" s="855"/>
      <c r="IT421" s="855"/>
      <c r="IU421" s="855"/>
      <c r="IV421" s="855"/>
      <c r="IW421" s="855"/>
      <c r="IX421" s="855"/>
      <c r="IY421" s="855"/>
      <c r="IZ421" s="855"/>
      <c r="JA421" s="855"/>
      <c r="JB421" s="855"/>
      <c r="JC421" s="855"/>
      <c r="JD421" s="855"/>
      <c r="JE421" s="855"/>
      <c r="JF421" s="855"/>
      <c r="JG421" s="855"/>
      <c r="JH421" s="855"/>
      <c r="JI421" s="855"/>
      <c r="JJ421" s="855"/>
      <c r="JK421" s="855"/>
      <c r="JL421" s="855"/>
      <c r="JM421"/>
    </row>
    <row r="422" spans="1:273" s="854" customFormat="1">
      <c r="A422" s="102" t="s">
        <v>691</v>
      </c>
      <c r="B422" s="103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  <c r="AA422" s="102"/>
      <c r="AB422" s="102"/>
      <c r="AC422" s="102"/>
      <c r="AD422" s="102"/>
      <c r="AE422" s="102"/>
      <c r="AF422" s="102"/>
      <c r="AG422" s="102"/>
      <c r="AH422" s="102"/>
      <c r="AI422" s="102"/>
      <c r="AJ422" s="102"/>
      <c r="AK422" s="102"/>
      <c r="AL422" s="102"/>
      <c r="AM422" s="102"/>
      <c r="AN422" s="290"/>
      <c r="AO422" s="290"/>
      <c r="AP422" s="290"/>
      <c r="AQ422" s="290"/>
      <c r="AR422" s="293">
        <f>DIVISIONS!AR713</f>
        <v>4</v>
      </c>
      <c r="AS422" s="293">
        <f>DIVISIONS!AS713</f>
        <v>3</v>
      </c>
      <c r="AT422" s="293">
        <f t="shared" si="378"/>
        <v>7</v>
      </c>
      <c r="AU422" s="626"/>
      <c r="AV422" s="293">
        <f>DIVISIONS!AV713</f>
        <v>-4</v>
      </c>
      <c r="AW422" s="293">
        <f>DIVISIONS!AW713</f>
        <v>-3</v>
      </c>
      <c r="AX422" s="293">
        <f t="shared" si="379"/>
        <v>-7</v>
      </c>
      <c r="AY422" s="626"/>
      <c r="AZ422" s="293">
        <f>DIVISIONS!AZ713</f>
        <v>16</v>
      </c>
      <c r="BA422" s="293">
        <f>DIVISIONS!BA713</f>
        <v>4</v>
      </c>
      <c r="BB422" s="293">
        <f t="shared" si="380"/>
        <v>20</v>
      </c>
      <c r="BC422" s="853"/>
      <c r="BD422" s="293">
        <f>DIVISIONS!BD713</f>
        <v>5</v>
      </c>
      <c r="BE422" s="293">
        <f>DIVISIONS!BE713</f>
        <v>12</v>
      </c>
      <c r="BF422" s="293">
        <f t="shared" si="381"/>
        <v>17</v>
      </c>
      <c r="BG422" s="853"/>
      <c r="BH422" s="293">
        <f>DIVISIONS!BH713</f>
        <v>3</v>
      </c>
      <c r="BI422" s="293">
        <f>DIVISIONS!BI713</f>
        <v>12</v>
      </c>
      <c r="BJ422" s="293">
        <f t="shared" si="382"/>
        <v>15</v>
      </c>
      <c r="BK422" s="853"/>
      <c r="BL422" s="293">
        <f>DIVISIONS!BL713</f>
        <v>8</v>
      </c>
      <c r="BM422" s="293">
        <f>DIVISIONS!BM713</f>
        <v>-6</v>
      </c>
      <c r="BN422" s="293">
        <f t="shared" si="383"/>
        <v>2</v>
      </c>
      <c r="BO422" s="853"/>
      <c r="BP422" s="293">
        <f>DIVISIONS!BP713</f>
        <v>-16</v>
      </c>
      <c r="BQ422" s="293">
        <f>DIVISIONS!BQ713</f>
        <v>-10</v>
      </c>
      <c r="BR422" s="293">
        <f t="shared" si="384"/>
        <v>-26</v>
      </c>
      <c r="BS422" s="853"/>
      <c r="BT422" s="293">
        <f>DIVISIONS!BT713</f>
        <v>-8</v>
      </c>
      <c r="BU422" s="293">
        <f>DIVISIONS!BU713</f>
        <v>30</v>
      </c>
      <c r="BV422" s="293">
        <f t="shared" si="385"/>
        <v>22</v>
      </c>
      <c r="BW422" s="853"/>
      <c r="BX422" s="293">
        <f>DIVISIONS!BX713</f>
        <v>-20</v>
      </c>
      <c r="BY422" s="293">
        <f>DIVISIONS!BY713</f>
        <v>-8</v>
      </c>
      <c r="BZ422" s="293">
        <f t="shared" si="386"/>
        <v>-28</v>
      </c>
      <c r="CA422" s="853"/>
      <c r="CB422" s="293">
        <f>DIVISIONS!CB713</f>
        <v>0</v>
      </c>
      <c r="CC422" s="293">
        <f>DIVISIONS!CC713</f>
        <v>1</v>
      </c>
      <c r="CD422" s="293">
        <f t="shared" si="387"/>
        <v>1</v>
      </c>
      <c r="CE422" s="862"/>
      <c r="CF422" s="293">
        <f>DIVISIONS!CF713</f>
        <v>0</v>
      </c>
      <c r="CG422" s="293">
        <f>DIVISIONS!CG713</f>
        <v>-7</v>
      </c>
      <c r="CH422" s="293">
        <f t="shared" si="388"/>
        <v>-7</v>
      </c>
      <c r="CI422" s="862"/>
      <c r="CJ422" s="293">
        <f>DIVISIONS!CJ713</f>
        <v>-1</v>
      </c>
      <c r="CK422" s="293">
        <f>DIVISIONS!CK713</f>
        <v>44</v>
      </c>
      <c r="CL422" s="293">
        <f t="shared" si="389"/>
        <v>43</v>
      </c>
      <c r="CM422" s="862"/>
      <c r="CN422" s="293">
        <f>DIVISIONS!CN713</f>
        <v>6</v>
      </c>
      <c r="CO422" s="293">
        <f>DIVISIONS!CO713</f>
        <v>-2</v>
      </c>
      <c r="CP422" s="293">
        <f t="shared" si="390"/>
        <v>4</v>
      </c>
      <c r="CQ422" s="1985"/>
      <c r="CR422" s="293">
        <f>DIVISIONS!CR713</f>
        <v>0</v>
      </c>
      <c r="CS422" s="293">
        <f>DIVISIONS!CS713</f>
        <v>1</v>
      </c>
      <c r="CT422" s="293">
        <f t="shared" si="391"/>
        <v>1</v>
      </c>
      <c r="CU422" s="853"/>
      <c r="CV422" s="293">
        <f>DIVISIONS!CV713</f>
        <v>0</v>
      </c>
      <c r="CW422" s="293">
        <f>DIVISIONS!CW713</f>
        <v>0</v>
      </c>
      <c r="CX422" s="293">
        <f t="shared" si="392"/>
        <v>0</v>
      </c>
      <c r="CY422" s="853"/>
      <c r="CZ422" s="293">
        <f>DIVISIONS!CZ713</f>
        <v>0</v>
      </c>
      <c r="DA422" s="293">
        <f>DIVISIONS!DA713</f>
        <v>-1</v>
      </c>
      <c r="DB422" s="293">
        <f t="shared" si="393"/>
        <v>-1</v>
      </c>
      <c r="DC422" s="853"/>
      <c r="DD422" s="293">
        <f>DIVISIONS!DD713</f>
        <v>13</v>
      </c>
      <c r="DE422" s="293">
        <f>DIVISIONS!DE713</f>
        <v>-1</v>
      </c>
      <c r="DF422" s="293">
        <f t="shared" si="394"/>
        <v>12</v>
      </c>
      <c r="DG422" s="853"/>
      <c r="DH422" s="293">
        <f>DIVISIONS!DH713</f>
        <v>0</v>
      </c>
      <c r="DI422" s="850">
        <f t="shared" si="398"/>
        <v>0</v>
      </c>
      <c r="DJ422" s="293">
        <f t="shared" si="395"/>
        <v>0</v>
      </c>
      <c r="DK422" s="853"/>
      <c r="DL422" s="850">
        <f t="shared" si="399"/>
        <v>0</v>
      </c>
      <c r="DM422" s="850">
        <f t="shared" si="400"/>
        <v>0</v>
      </c>
      <c r="DN422" s="293">
        <f t="shared" si="396"/>
        <v>0</v>
      </c>
      <c r="DO422" s="853"/>
      <c r="DP422" s="850">
        <f t="shared" si="401"/>
        <v>0</v>
      </c>
      <c r="DQ422" s="850">
        <f t="shared" si="402"/>
        <v>0</v>
      </c>
      <c r="DR422" s="293">
        <f t="shared" si="397"/>
        <v>0</v>
      </c>
      <c r="DS422" s="853"/>
      <c r="DT422" s="853"/>
      <c r="DU422" s="850"/>
      <c r="DV422" s="850"/>
      <c r="DW422" s="850"/>
      <c r="DX422" s="853"/>
      <c r="DY422" s="853"/>
      <c r="DZ422" s="850"/>
      <c r="EA422" s="850"/>
      <c r="EB422" s="853"/>
      <c r="EC422" s="853"/>
      <c r="ED422" s="850"/>
      <c r="EE422" s="850"/>
      <c r="EF422" s="853"/>
      <c r="EG422" s="853"/>
      <c r="EH422" s="853"/>
      <c r="EI422" s="853"/>
      <c r="EJ422" s="853"/>
      <c r="EK422" s="853"/>
      <c r="EL422" s="853"/>
      <c r="EM422" s="853"/>
      <c r="EN422" s="853"/>
      <c r="EO422" s="853"/>
      <c r="EP422" s="853"/>
      <c r="EQ422" s="855"/>
      <c r="ER422" s="855"/>
      <c r="ES422" s="855"/>
      <c r="ET422" s="855"/>
      <c r="EU422" s="855"/>
      <c r="EV422" s="855"/>
      <c r="EW422" s="855"/>
      <c r="EX422" s="855"/>
      <c r="EY422" s="855"/>
      <c r="EZ422" s="855"/>
      <c r="FA422" s="855"/>
      <c r="FB422" s="855"/>
      <c r="FC422" s="855"/>
      <c r="FD422" s="855"/>
      <c r="FE422" s="855"/>
      <c r="FF422" s="855"/>
      <c r="FG422" s="855"/>
      <c r="FH422" s="855"/>
      <c r="FI422" s="855"/>
      <c r="FJ422" s="855"/>
      <c r="FK422" s="855"/>
      <c r="FL422" s="855"/>
      <c r="FM422" s="855"/>
      <c r="FN422" s="855"/>
      <c r="FO422" s="855"/>
      <c r="FP422" s="855"/>
      <c r="FQ422" s="855"/>
      <c r="FR422" s="855"/>
      <c r="FS422" s="855"/>
      <c r="FT422" s="855"/>
      <c r="FU422" s="855"/>
      <c r="FV422" s="855"/>
      <c r="FW422" s="855"/>
      <c r="FX422" s="855"/>
      <c r="FY422" s="855"/>
      <c r="FZ422" s="855"/>
      <c r="GA422" s="855"/>
      <c r="GB422" s="855"/>
      <c r="GC422" s="855"/>
      <c r="GD422" s="855"/>
      <c r="GE422" s="855"/>
      <c r="GF422" s="855"/>
      <c r="GG422" s="855"/>
      <c r="GH422" s="855"/>
      <c r="GI422" s="855"/>
      <c r="GJ422" s="855"/>
      <c r="GK422" s="855"/>
      <c r="GL422" s="855"/>
      <c r="GM422" s="855"/>
      <c r="GN422" s="855"/>
      <c r="GO422" s="855"/>
      <c r="GP422" s="855"/>
      <c r="GQ422" s="855"/>
      <c r="GR422" s="855"/>
      <c r="GS422" s="855"/>
      <c r="GT422" s="855"/>
      <c r="GU422" s="855"/>
      <c r="GV422" s="855"/>
      <c r="GW422" s="855"/>
      <c r="GX422" s="855"/>
      <c r="GY422" s="855"/>
      <c r="GZ422" s="855"/>
      <c r="HA422" s="855"/>
      <c r="HB422" s="855"/>
      <c r="HC422" s="855"/>
      <c r="HD422" s="855"/>
      <c r="HE422" s="855"/>
      <c r="HF422" s="855"/>
      <c r="HG422" s="855"/>
      <c r="HH422" s="855"/>
      <c r="HI422" s="855"/>
      <c r="HJ422" s="855"/>
      <c r="HK422" s="855"/>
      <c r="HL422" s="855"/>
      <c r="HM422" s="855"/>
      <c r="HN422" s="855"/>
      <c r="HO422" s="855"/>
      <c r="HP422" s="855"/>
      <c r="HQ422" s="855"/>
      <c r="HR422" s="855"/>
      <c r="HS422" s="855"/>
      <c r="HT422" s="855"/>
      <c r="HU422" s="855"/>
      <c r="HV422" s="855"/>
      <c r="HW422" s="855"/>
      <c r="HX422" s="855"/>
      <c r="HY422" s="855"/>
      <c r="HZ422" s="855"/>
      <c r="IA422" s="855"/>
      <c r="IB422" s="855"/>
      <c r="IC422" s="855"/>
      <c r="ID422" s="855"/>
      <c r="IE422" s="855"/>
      <c r="IF422" s="855"/>
      <c r="IG422" s="855"/>
      <c r="IH422" s="855"/>
      <c r="II422" s="855"/>
      <c r="IJ422" s="855"/>
      <c r="IK422" s="855"/>
      <c r="IL422" s="855"/>
      <c r="IM422" s="855"/>
      <c r="IN422" s="855"/>
      <c r="IO422" s="855"/>
      <c r="IP422" s="855"/>
      <c r="IQ422" s="855"/>
      <c r="IR422" s="855"/>
      <c r="IS422" s="855"/>
      <c r="IT422" s="855"/>
      <c r="IU422" s="855"/>
      <c r="IV422" s="855"/>
      <c r="IW422" s="855"/>
      <c r="IX422" s="855"/>
      <c r="IY422" s="855"/>
      <c r="IZ422" s="855"/>
      <c r="JA422" s="855"/>
      <c r="JB422" s="855"/>
      <c r="JC422" s="855"/>
      <c r="JD422" s="855"/>
      <c r="JE422" s="855"/>
      <c r="JF422" s="855"/>
      <c r="JG422" s="855"/>
      <c r="JH422" s="855"/>
      <c r="JI422" s="855"/>
      <c r="JJ422" s="855"/>
      <c r="JK422" s="855"/>
      <c r="JL422" s="855"/>
      <c r="JM422"/>
    </row>
    <row r="423" spans="1:273" s="855" customFormat="1">
      <c r="A423" s="289" t="s">
        <v>613</v>
      </c>
      <c r="B423" s="290"/>
      <c r="C423" s="289"/>
      <c r="D423" s="289"/>
      <c r="E423" s="289"/>
      <c r="F423" s="289"/>
      <c r="G423" s="289"/>
      <c r="H423" s="289"/>
      <c r="I423" s="289"/>
      <c r="J423" s="289"/>
      <c r="K423" s="289"/>
      <c r="L423" s="289"/>
      <c r="M423" s="289"/>
      <c r="N423" s="289"/>
      <c r="O423" s="289"/>
      <c r="P423" s="289"/>
      <c r="Q423" s="289"/>
      <c r="R423" s="289"/>
      <c r="S423" s="289"/>
      <c r="T423" s="289"/>
      <c r="U423" s="289"/>
      <c r="V423" s="289"/>
      <c r="W423" s="289"/>
      <c r="X423" s="289"/>
      <c r="Y423" s="289"/>
      <c r="Z423" s="289"/>
      <c r="AA423" s="289"/>
      <c r="AB423" s="289"/>
      <c r="AC423" s="289"/>
      <c r="AD423" s="289"/>
      <c r="AE423" s="289"/>
      <c r="AF423" s="289"/>
      <c r="AG423" s="289"/>
      <c r="AH423" s="289"/>
      <c r="AI423" s="289"/>
      <c r="AJ423" s="289"/>
      <c r="AK423" s="289"/>
      <c r="AL423" s="289"/>
      <c r="AM423" s="289"/>
      <c r="AN423" s="290"/>
      <c r="AO423" s="290"/>
      <c r="AP423" s="290"/>
      <c r="AQ423" s="290"/>
      <c r="AR423" s="295">
        <f>SUM(AR415:AR422)</f>
        <v>118</v>
      </c>
      <c r="AS423" s="295">
        <f>SUM(AS415:AS422)</f>
        <v>-44</v>
      </c>
      <c r="AT423" s="295">
        <f t="shared" si="378"/>
        <v>74</v>
      </c>
      <c r="AU423" s="290"/>
      <c r="AV423" s="295">
        <f>SUM(AV415:AV422)</f>
        <v>-197</v>
      </c>
      <c r="AW423" s="295">
        <f>SUM(AW415:AW422)</f>
        <v>-33</v>
      </c>
      <c r="AX423" s="295">
        <f t="shared" si="379"/>
        <v>-230</v>
      </c>
      <c r="AY423" s="853"/>
      <c r="AZ423" s="295">
        <f>SUM(AZ415:AZ422)</f>
        <v>85</v>
      </c>
      <c r="BA423" s="295">
        <f>SUM(BA415:BA422)</f>
        <v>94</v>
      </c>
      <c r="BB423" s="295">
        <f t="shared" si="380"/>
        <v>179</v>
      </c>
      <c r="BC423" s="853"/>
      <c r="BD423" s="295">
        <f>SUM(BD415:BD422)</f>
        <v>52</v>
      </c>
      <c r="BE423" s="295">
        <f>SUM(BE415:BE422)</f>
        <v>70</v>
      </c>
      <c r="BF423" s="295">
        <f t="shared" si="381"/>
        <v>122</v>
      </c>
      <c r="BG423" s="853"/>
      <c r="BH423" s="295">
        <f>SUM(BH415:BH422)</f>
        <v>75</v>
      </c>
      <c r="BI423" s="295">
        <f>SUM(BI415:BI422)</f>
        <v>17</v>
      </c>
      <c r="BJ423" s="295">
        <f t="shared" si="382"/>
        <v>92</v>
      </c>
      <c r="BK423" s="853"/>
      <c r="BL423" s="295">
        <f>SUM(BL415:BL422)</f>
        <v>70</v>
      </c>
      <c r="BM423" s="295">
        <f>SUM(BM415:BM422)</f>
        <v>79</v>
      </c>
      <c r="BN423" s="295">
        <f t="shared" si="383"/>
        <v>149</v>
      </c>
      <c r="BO423" s="853"/>
      <c r="BP423" s="295">
        <f>SUM(BP415:BP422)</f>
        <v>19</v>
      </c>
      <c r="BQ423" s="295">
        <f>SUM(BQ415:BQ422)</f>
        <v>-14</v>
      </c>
      <c r="BR423" s="295">
        <f t="shared" si="384"/>
        <v>5</v>
      </c>
      <c r="BS423" s="853"/>
      <c r="BT423" s="295">
        <f>SUM(BT415:BT422)</f>
        <v>-63</v>
      </c>
      <c r="BU423" s="295">
        <f>SUM(BU415:BU422)</f>
        <v>67</v>
      </c>
      <c r="BV423" s="295">
        <f t="shared" si="385"/>
        <v>4</v>
      </c>
      <c r="BW423" s="295"/>
      <c r="BX423" s="295">
        <f>SUM(BX415:BX422)</f>
        <v>-8</v>
      </c>
      <c r="BY423" s="295">
        <f>SUM(BY415:BY422)</f>
        <v>59</v>
      </c>
      <c r="BZ423" s="295">
        <f t="shared" si="386"/>
        <v>51</v>
      </c>
      <c r="CA423" s="295"/>
      <c r="CB423" s="295">
        <f>SUM(CB415:CB422)</f>
        <v>103</v>
      </c>
      <c r="CC423" s="295">
        <f>SUM(CC415:CC422)</f>
        <v>138</v>
      </c>
      <c r="CD423" s="295">
        <f t="shared" si="387"/>
        <v>241</v>
      </c>
      <c r="CE423" s="791"/>
      <c r="CF423" s="295">
        <f>SUM(CF415:CF422)</f>
        <v>7</v>
      </c>
      <c r="CG423" s="295">
        <f>SUM(CG415:CG422)</f>
        <v>-63</v>
      </c>
      <c r="CH423" s="295">
        <f t="shared" si="388"/>
        <v>-56</v>
      </c>
      <c r="CI423" s="791"/>
      <c r="CJ423" s="295">
        <f>SUM(CJ416:CJ422)</f>
        <v>-49</v>
      </c>
      <c r="CK423" s="295">
        <f>SUM(CK415:CK422)</f>
        <v>144</v>
      </c>
      <c r="CL423" s="295">
        <f t="shared" si="389"/>
        <v>95</v>
      </c>
      <c r="CM423" s="791"/>
      <c r="CN423" s="295">
        <f>SUM(CN416:CN422)</f>
        <v>-54</v>
      </c>
      <c r="CO423" s="295">
        <f>SUM(CO415:CO422)</f>
        <v>51</v>
      </c>
      <c r="CP423" s="295">
        <f t="shared" si="390"/>
        <v>-3</v>
      </c>
      <c r="CQ423" s="791"/>
      <c r="CR423" s="295">
        <f>SUM(CR416:CR422)</f>
        <v>242</v>
      </c>
      <c r="CS423" s="295">
        <f>SUM(CS415:CS422)</f>
        <v>-2</v>
      </c>
      <c r="CT423" s="295">
        <f t="shared" si="391"/>
        <v>240</v>
      </c>
      <c r="CU423" s="295"/>
      <c r="CV423" s="295">
        <f>SUM(CV416:CV422)</f>
        <v>-61</v>
      </c>
      <c r="CW423" s="295">
        <f>SUM(CW415:CW422)</f>
        <v>-52</v>
      </c>
      <c r="CX423" s="295">
        <f t="shared" si="392"/>
        <v>-113</v>
      </c>
      <c r="CY423" s="295"/>
      <c r="CZ423" s="295">
        <f>SUM(CZ416:CZ422)</f>
        <v>-5</v>
      </c>
      <c r="DA423" s="295">
        <f>SUM(DA415:DA422)</f>
        <v>-44</v>
      </c>
      <c r="DB423" s="295">
        <f t="shared" si="393"/>
        <v>-49</v>
      </c>
      <c r="DC423" s="295"/>
      <c r="DD423" s="295">
        <f>SUM(DD416:DD422)</f>
        <v>1</v>
      </c>
      <c r="DE423" s="295">
        <f>SUM(DE415:DE422)</f>
        <v>166</v>
      </c>
      <c r="DF423" s="295">
        <f t="shared" si="394"/>
        <v>167</v>
      </c>
      <c r="DG423" s="295"/>
      <c r="DH423" s="295">
        <f>SUM(DH416:DH422)</f>
        <v>-50</v>
      </c>
      <c r="DI423" s="295">
        <f t="shared" ref="DI423:DJ423" si="403">SUM(DI416:DI422)</f>
        <v>7.98</v>
      </c>
      <c r="DJ423" s="295">
        <f t="shared" si="403"/>
        <v>-42.02000000000001</v>
      </c>
      <c r="DK423" s="295"/>
      <c r="DL423" s="295">
        <f>SUM(DL416:DL422)</f>
        <v>1.9400000000000972E-2</v>
      </c>
      <c r="DM423" s="295">
        <f t="shared" ref="DM423:DN423" si="404">SUM(DM416:DM422)</f>
        <v>2.1199820000000003</v>
      </c>
      <c r="DN423" s="295">
        <f t="shared" si="404"/>
        <v>2.1393820000000119</v>
      </c>
      <c r="DO423" s="853"/>
      <c r="DP423" s="295">
        <f>SUM(DP416:DP422)</f>
        <v>2.2835814599999971</v>
      </c>
      <c r="DQ423" s="295">
        <f t="shared" ref="DQ423:DR423" si="405">SUM(DQ416:DQ422)</f>
        <v>4.5120889037999952</v>
      </c>
      <c r="DR423" s="295">
        <f t="shared" si="405"/>
        <v>6.7956703637999922</v>
      </c>
      <c r="DS423" s="853"/>
      <c r="DT423" s="853"/>
      <c r="DU423" s="295"/>
      <c r="DV423" s="295"/>
      <c r="DW423" s="295"/>
      <c r="DX423" s="853"/>
      <c r="DY423" s="853"/>
      <c r="DZ423" s="295"/>
      <c r="EA423" s="295"/>
      <c r="EB423" s="853"/>
      <c r="EC423" s="853"/>
      <c r="ED423" s="295"/>
      <c r="EE423" s="295"/>
      <c r="EF423" s="853"/>
      <c r="EG423" s="853"/>
      <c r="EH423" s="853"/>
      <c r="EI423" s="853"/>
      <c r="EJ423" s="853"/>
      <c r="EK423" s="853"/>
      <c r="EL423" s="853"/>
      <c r="EM423" s="853"/>
      <c r="EN423" s="853"/>
      <c r="EO423" s="853"/>
      <c r="EP423" s="853"/>
      <c r="JM423"/>
    </row>
    <row r="424" spans="1:273" s="854" customFormat="1">
      <c r="A424" s="102" t="s">
        <v>1047</v>
      </c>
      <c r="B424" s="103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  <c r="AA424" s="102"/>
      <c r="AB424" s="102"/>
      <c r="AC424" s="102"/>
      <c r="AD424" s="102"/>
      <c r="AE424" s="102"/>
      <c r="AF424" s="102"/>
      <c r="AG424" s="102"/>
      <c r="AH424" s="102"/>
      <c r="AI424" s="102"/>
      <c r="AJ424" s="102"/>
      <c r="AK424" s="102"/>
      <c r="AL424" s="102"/>
      <c r="AM424" s="102"/>
      <c r="AN424" s="103"/>
      <c r="AO424" s="103"/>
      <c r="AP424" s="103"/>
      <c r="AQ424" s="103"/>
      <c r="AR424" s="293"/>
      <c r="AS424" s="293"/>
      <c r="AT424" s="293"/>
      <c r="AU424" s="103"/>
      <c r="AV424" s="293"/>
      <c r="AW424" s="293"/>
      <c r="AX424" s="293"/>
      <c r="AY424" s="818"/>
      <c r="AZ424" s="293"/>
      <c r="BA424" s="293"/>
      <c r="BB424" s="293"/>
      <c r="BC424" s="818"/>
      <c r="BD424" s="293"/>
      <c r="BE424" s="293"/>
      <c r="BF424" s="293"/>
      <c r="BG424" s="818"/>
      <c r="BH424" s="293">
        <f>'Bal Sheet'!BH178</f>
        <v>3276</v>
      </c>
      <c r="BI424" s="293">
        <f>'Bal Sheet'!BI178</f>
        <v>3115.5</v>
      </c>
      <c r="BJ424" s="293">
        <f>'Bal Sheet'!BJ178</f>
        <v>3195.75</v>
      </c>
      <c r="BK424" s="818"/>
      <c r="BL424" s="293">
        <f>'Bal Sheet'!BL178</f>
        <v>3206.65</v>
      </c>
      <c r="BM424" s="293">
        <f>'Bal Sheet'!BM178</f>
        <v>2559.15</v>
      </c>
      <c r="BN424" s="293">
        <f>'Bal Sheet'!BN178</f>
        <v>2882.9</v>
      </c>
      <c r="BO424" s="818"/>
      <c r="BP424" s="293">
        <f>'Bal Sheet'!BP178</f>
        <v>1875.5</v>
      </c>
      <c r="BQ424" s="293">
        <f>'Bal Sheet'!BQ178</f>
        <v>1975.5</v>
      </c>
      <c r="BR424" s="293">
        <f>'Bal Sheet'!BR178</f>
        <v>1925.5</v>
      </c>
      <c r="BS424" s="818"/>
      <c r="BT424" s="293">
        <f>'Bal Sheet'!BT178</f>
        <v>2536</v>
      </c>
      <c r="BU424" s="293">
        <f>'Bal Sheet'!BU178</f>
        <v>2811.5</v>
      </c>
      <c r="BV424" s="293">
        <f>'Bal Sheet'!BV178</f>
        <v>2673.75</v>
      </c>
      <c r="BW424" s="293"/>
      <c r="BX424" s="293">
        <f>'Bal Sheet'!BX178</f>
        <v>2350</v>
      </c>
      <c r="BY424" s="293">
        <f>'Bal Sheet'!BY178</f>
        <v>2450</v>
      </c>
      <c r="BZ424" s="293">
        <f>'Bal Sheet'!BZ178</f>
        <v>2400</v>
      </c>
      <c r="CA424" s="293"/>
      <c r="CB424" s="293">
        <f>'Bal Sheet'!CB178</f>
        <v>3950</v>
      </c>
      <c r="CC424" s="293">
        <f>'Bal Sheet'!CC178</f>
        <v>4850</v>
      </c>
      <c r="CD424" s="293">
        <f>'Bal Sheet'!CD178</f>
        <v>4400</v>
      </c>
      <c r="CE424" s="331"/>
      <c r="CF424" s="293">
        <f>'Bal Sheet'!CF178</f>
        <v>4150</v>
      </c>
      <c r="CG424" s="293">
        <f>'Bal Sheet'!CG178</f>
        <v>3350</v>
      </c>
      <c r="CH424" s="293">
        <f>'Bal Sheet'!CH178</f>
        <v>3750</v>
      </c>
      <c r="CI424" s="331"/>
      <c r="CJ424" s="293">
        <f>'Bal Sheet'!CJ178</f>
        <v>4150</v>
      </c>
      <c r="CK424" s="293">
        <f>'Bal Sheet'!CK178</f>
        <v>4850</v>
      </c>
      <c r="CL424" s="293">
        <f>'Bal Sheet'!CL178</f>
        <v>4500</v>
      </c>
      <c r="CM424" s="331"/>
      <c r="CN424" s="293">
        <f>'Bal Sheet'!CN178</f>
        <v>4100</v>
      </c>
      <c r="CO424" s="293">
        <f>'Bal Sheet'!CO178</f>
        <v>4850</v>
      </c>
      <c r="CP424" s="293">
        <f>'Bal Sheet'!CP178</f>
        <v>4475</v>
      </c>
      <c r="CQ424" s="331"/>
      <c r="CR424" s="293">
        <f>'Bal Sheet'!CR178</f>
        <v>6250</v>
      </c>
      <c r="CS424" s="293">
        <f>'Bal Sheet'!CS178</f>
        <v>6550</v>
      </c>
      <c r="CT424" s="293">
        <f>'Bal Sheet'!CT178</f>
        <v>6400</v>
      </c>
      <c r="CU424" s="293"/>
      <c r="CV424" s="293">
        <f>'Bal Sheet'!CV178</f>
        <v>6850</v>
      </c>
      <c r="CW424" s="293">
        <f>'Bal Sheet'!CW178</f>
        <v>7250</v>
      </c>
      <c r="CX424" s="293">
        <f>'Bal Sheet'!CX178</f>
        <v>7050</v>
      </c>
      <c r="CY424" s="293"/>
      <c r="CZ424" s="293">
        <f>'Bal Sheet'!CZ178</f>
        <v>8200</v>
      </c>
      <c r="DA424" s="293">
        <f>'Bal Sheet'!DA178</f>
        <v>9900</v>
      </c>
      <c r="DB424" s="293">
        <f>'Bal Sheet'!DB178</f>
        <v>9050</v>
      </c>
      <c r="DC424" s="293"/>
      <c r="DD424" s="293">
        <f>'Bal Sheet'!DD178</f>
        <v>10200</v>
      </c>
      <c r="DE424" s="293">
        <f>'Bal Sheet'!DE178</f>
        <v>10050</v>
      </c>
      <c r="DF424" s="293">
        <f>'Bal Sheet'!DF178</f>
        <v>10125</v>
      </c>
      <c r="DG424" s="293"/>
      <c r="DH424" s="293">
        <f>'Bal Sheet'!DH178</f>
        <v>10150</v>
      </c>
      <c r="DI424" s="293">
        <f>'Bal Sheet'!DI178</f>
        <v>10047</v>
      </c>
      <c r="DJ424" s="293">
        <f>'Bal Sheet'!DJ178</f>
        <v>10098.5</v>
      </c>
      <c r="DK424" s="293"/>
      <c r="DL424" s="293">
        <f>'Bal Sheet'!DL178</f>
        <v>10348.740000000002</v>
      </c>
      <c r="DM424" s="293">
        <f>'Bal Sheet'!DM178</f>
        <v>10666.594800000001</v>
      </c>
      <c r="DN424" s="293">
        <f>'Bal Sheet'!DN178</f>
        <v>10507.667400000002</v>
      </c>
      <c r="DO424" s="818"/>
      <c r="DP424" s="293">
        <f>'Bal Sheet'!DP178</f>
        <v>11001.894695999999</v>
      </c>
      <c r="DQ424" s="293">
        <f>'Bal Sheet'!DQ178</f>
        <v>11356.097389920002</v>
      </c>
      <c r="DR424" s="293">
        <f>'Bal Sheet'!DR178</f>
        <v>11178.99604296</v>
      </c>
      <c r="DS424" s="818"/>
      <c r="DT424" s="818"/>
      <c r="DU424" s="293"/>
      <c r="DV424" s="293"/>
      <c r="DW424" s="293"/>
      <c r="DX424" s="818"/>
      <c r="DY424" s="818"/>
      <c r="DZ424" s="293"/>
      <c r="EA424" s="293"/>
      <c r="EB424" s="818"/>
      <c r="EC424" s="818"/>
      <c r="ED424" s="293"/>
      <c r="EE424" s="293"/>
      <c r="EF424" s="818"/>
      <c r="EG424" s="818"/>
      <c r="EH424" s="818"/>
      <c r="EI424" s="818"/>
      <c r="EJ424" s="818"/>
      <c r="EK424" s="818"/>
      <c r="EL424" s="818"/>
      <c r="EM424" s="818"/>
      <c r="EN424" s="818"/>
      <c r="EO424" s="818"/>
      <c r="EP424" s="818"/>
      <c r="JM424"/>
    </row>
    <row r="425" spans="1:273" s="855" customFormat="1">
      <c r="A425" s="289" t="s">
        <v>1043</v>
      </c>
      <c r="B425" s="290"/>
      <c r="C425" s="289"/>
      <c r="D425" s="289"/>
      <c r="E425" s="289"/>
      <c r="F425" s="289"/>
      <c r="G425" s="289"/>
      <c r="H425" s="289"/>
      <c r="I425" s="289"/>
      <c r="J425" s="289"/>
      <c r="K425" s="289"/>
      <c r="L425" s="289"/>
      <c r="M425" s="289"/>
      <c r="N425" s="289"/>
      <c r="O425" s="289"/>
      <c r="P425" s="289"/>
      <c r="Q425" s="289"/>
      <c r="R425" s="289"/>
      <c r="S425" s="289"/>
      <c r="T425" s="289"/>
      <c r="U425" s="289"/>
      <c r="V425" s="289"/>
      <c r="W425" s="289"/>
      <c r="X425" s="289"/>
      <c r="Y425" s="289"/>
      <c r="Z425" s="289"/>
      <c r="AA425" s="289"/>
      <c r="AB425" s="289"/>
      <c r="AC425" s="289"/>
      <c r="AD425" s="289"/>
      <c r="AE425" s="289"/>
      <c r="AF425" s="289"/>
      <c r="AG425" s="289"/>
      <c r="AH425" s="289"/>
      <c r="AI425" s="289"/>
      <c r="AJ425" s="289"/>
      <c r="AK425" s="289"/>
      <c r="AL425" s="289"/>
      <c r="AM425" s="289"/>
      <c r="AN425" s="290"/>
      <c r="AO425" s="290"/>
      <c r="AP425" s="290"/>
      <c r="AQ425" s="290"/>
      <c r="AR425" s="295"/>
      <c r="AS425" s="295"/>
      <c r="AT425" s="295"/>
      <c r="AU425" s="290"/>
      <c r="AV425" s="295"/>
      <c r="AW425" s="295"/>
      <c r="AX425" s="295"/>
      <c r="AY425" s="853"/>
      <c r="AZ425" s="295"/>
      <c r="BA425" s="295"/>
      <c r="BB425" s="295"/>
      <c r="BC425" s="853"/>
      <c r="BD425" s="295"/>
      <c r="BE425" s="295"/>
      <c r="BF425" s="295"/>
      <c r="BG425" s="853"/>
      <c r="BH425" s="649">
        <f>+BH423*(BH$2/BH$1)/(BH424)</f>
        <v>4.5662443203426807E-2</v>
      </c>
      <c r="BI425" s="649">
        <f>+BI423*(BI$2/BI$1)/(BI424)</f>
        <v>1.0943157308106754E-2</v>
      </c>
      <c r="BJ425" s="649">
        <f>+BJ423*(BJ$2/BJ$1)/(BJ424)</f>
        <v>2.8788234373777675E-2</v>
      </c>
      <c r="BK425" s="853"/>
      <c r="BL425" s="649">
        <f>+BL423*(BL$2/BL$1)/(BL424)</f>
        <v>4.3539982953798455E-2</v>
      </c>
      <c r="BM425" s="649">
        <f>+BM423*(BM$2/BM$1)/(BM424)</f>
        <v>6.1908862682557068E-2</v>
      </c>
      <c r="BN425" s="649">
        <f>+BN423*(BN$2/BN$1)/(BN424)</f>
        <v>5.16840681258455E-2</v>
      </c>
      <c r="BO425" s="853"/>
      <c r="BP425" s="649">
        <f>+BP423*(BP$2/BP$1)/(BP424)</f>
        <v>2.0205905019135151E-2</v>
      </c>
      <c r="BQ425" s="649">
        <f>+BQ423*(BQ$2/BQ$1)/(BQ424)</f>
        <v>-1.4212565465412845E-2</v>
      </c>
      <c r="BR425" s="649">
        <f>+BR423*(BR$2/BR$1)/(BR424)</f>
        <v>2.5967281225655675E-3</v>
      </c>
      <c r="BS425" s="853"/>
      <c r="BT425" s="649">
        <f>+BT423*(BT$2/BT$1)/(BT424)</f>
        <v>-4.9684542586750792E-2</v>
      </c>
      <c r="BU425" s="649">
        <f>+BU423*(BU$2/BU$1)/(BU424)</f>
        <v>4.7661390716699274E-2</v>
      </c>
      <c r="BV425" s="649">
        <f>+BV423*(BV$2/BV$1)/(BV424)</f>
        <v>1.4960261804581581E-3</v>
      </c>
      <c r="BW425" s="295"/>
      <c r="BX425" s="649">
        <f>+BX423*(BX$2/BX$1)/(BX424)</f>
        <v>-6.7899081502150911E-3</v>
      </c>
      <c r="BY425" s="649">
        <f>+BY423*(BY$2/BY$1)/(BY424)</f>
        <v>4.8295581969051357E-2</v>
      </c>
      <c r="BZ425" s="649">
        <f>+BZ423*(BZ$2/BZ$1)/(BZ424)</f>
        <v>2.1250000000000002E-2</v>
      </c>
      <c r="CA425" s="295"/>
      <c r="CB425" s="649">
        <f>+CB423*(CB$2/CB$1)/(CB424)</f>
        <v>5.2009407207581106E-2</v>
      </c>
      <c r="CC425" s="649">
        <f>+CC423*(CC$2/CC$1)/(CC424)</f>
        <v>5.706355500169933E-2</v>
      </c>
      <c r="CD425" s="649">
        <f>+CD423*(CD$2/CD$1)/(CD424)</f>
        <v>5.4772727272727272E-2</v>
      </c>
      <c r="CE425" s="791"/>
      <c r="CF425" s="649">
        <f>+CF423*(CF$2/CF$1)/(CF424)</f>
        <v>3.3642767792481398E-3</v>
      </c>
      <c r="CG425" s="649">
        <f>+CG423*(CG$2/CG$1)/(CG424)</f>
        <v>-3.7715269804822045E-2</v>
      </c>
      <c r="CH425" s="649">
        <f>+CH423*(CH$2/CH$1)/(CH424)</f>
        <v>-1.4933333333333333E-2</v>
      </c>
      <c r="CI425" s="791"/>
      <c r="CJ425" s="649">
        <f>+CJ423*(CJ$2/CJ$1)/(CJ424)</f>
        <v>-2.3614457831325302E-2</v>
      </c>
      <c r="CK425" s="649">
        <f>+CK423*(CK$2/CK$1)/(CK424)</f>
        <v>5.9381443298969071E-2</v>
      </c>
      <c r="CL425" s="649">
        <f>+CL423*(CL$2/CL$1)/(CL424)</f>
        <v>2.1111111111111112E-2</v>
      </c>
      <c r="CM425" s="791"/>
      <c r="CN425" s="649">
        <f>+CN423*(CN$2/CN$1)/(CN424)</f>
        <v>-2.6269492203118749E-2</v>
      </c>
      <c r="CO425" s="649">
        <f>+CO423*(CO$2/CO$1)/(CO424)</f>
        <v>2.1088705109323667E-2</v>
      </c>
      <c r="CP425" s="649">
        <f>+CP423*(CP$2/CP$1)/(CP424)</f>
        <v>-6.7039106145251397E-4</v>
      </c>
      <c r="CQ425" s="791"/>
      <c r="CR425" s="649">
        <f>+CR423*(CR$2/CR$1)/(CR424)</f>
        <v>7.7228415300546444E-2</v>
      </c>
      <c r="CS425" s="649">
        <f>+CS423*(CS$2/CS$1)/(CS424)</f>
        <v>-6.1236473450213902E-4</v>
      </c>
      <c r="CT425" s="649">
        <f>+CT423*(CT$2/CT$1)/(CT424)</f>
        <v>3.7499999999999999E-2</v>
      </c>
      <c r="CU425" s="295"/>
      <c r="CV425" s="649">
        <f>+CV423*(CV$2/CV$1)/(CV424)</f>
        <v>-1.7761557177615572E-2</v>
      </c>
      <c r="CW425" s="649">
        <f>+CW423*(CW$2/CW$1)/(CW424)</f>
        <v>-1.4384236453201969E-2</v>
      </c>
      <c r="CX425" s="649">
        <f>+CX423*(CX$2/CX$1)/(CX424)</f>
        <v>-1.6028368794326241E-2</v>
      </c>
      <c r="CY425" s="295"/>
      <c r="CZ425" s="649">
        <f>+CZ423*(CZ$2/CZ$1)/(CZ424)</f>
        <v>-1.2195121951219512E-3</v>
      </c>
      <c r="DA425" s="649">
        <f>+DA423*(DA$2/DA$1)/(DA424)</f>
        <v>-8.8888888888888889E-3</v>
      </c>
      <c r="DB425" s="649">
        <f>+DB423*(DB$2/DB$1)/(DB424)</f>
        <v>-5.4143646408839775E-3</v>
      </c>
      <c r="DC425" s="295"/>
      <c r="DD425" s="649">
        <f>+DD423*(DD$2/DD$1)/(DD424)</f>
        <v>1.9554269795349835E-4</v>
      </c>
      <c r="DE425" s="649">
        <f>+DE423*(DE$2/DE$1)/(DE424)</f>
        <v>3.3125580886774912E-2</v>
      </c>
      <c r="DF425" s="649">
        <f>+DF423*(DF$2/DF$1)/(DF424)</f>
        <v>1.6493827160493826E-2</v>
      </c>
      <c r="DG425" s="295"/>
      <c r="DH425" s="649">
        <f>+DH423*(DH$2/DH$1)/(DH424)</f>
        <v>-9.8252981237718379E-3</v>
      </c>
      <c r="DI425" s="649">
        <f>+DI423*(DI$2/DI$1)/(DI424)</f>
        <v>1.5928979948090132E-3</v>
      </c>
      <c r="DJ425" s="649">
        <f>+DJ423*(DJ$2/DJ$1)/(DJ424)</f>
        <v>-4.1610140119819781E-3</v>
      </c>
      <c r="DK425" s="295"/>
      <c r="DL425" s="649">
        <f>+DL423*(DL$2/DL$1)/(DL424)</f>
        <v>3.7390048518988964E-6</v>
      </c>
      <c r="DM425" s="649">
        <f>+DM423*(DM$2/DM$1)/(DM424)</f>
        <v>3.9859133420416917E-4</v>
      </c>
      <c r="DN425" s="649">
        <f>+DN423*(DN$2/DN$1)/(DN424)</f>
        <v>2.0360199067587649E-4</v>
      </c>
      <c r="DO425" s="853"/>
      <c r="DP425" s="649">
        <f>+DP423*(DP$2/DP$1)/(DP424)</f>
        <v>4.1512512582587204E-4</v>
      </c>
      <c r="DQ425" s="649">
        <f>+DQ423*(DQ$2/DQ$1)/(DQ424)</f>
        <v>7.9465484468371241E-4</v>
      </c>
      <c r="DR425" s="649">
        <f>+DR423*(DR$2/DR$1)/(DR424)</f>
        <v>6.0789630282404321E-4</v>
      </c>
      <c r="DS425" s="853"/>
      <c r="DT425" s="853"/>
      <c r="DU425" s="295"/>
      <c r="DV425" s="295"/>
      <c r="DW425" s="295"/>
      <c r="DX425" s="853"/>
      <c r="DY425" s="853"/>
      <c r="DZ425" s="295"/>
      <c r="EA425" s="295"/>
      <c r="EB425" s="853"/>
      <c r="EC425" s="853"/>
      <c r="ED425" s="295"/>
      <c r="EE425" s="295"/>
      <c r="EF425" s="853"/>
      <c r="EG425" s="853"/>
      <c r="EH425" s="853"/>
      <c r="EI425" s="853"/>
      <c r="EJ425" s="853"/>
      <c r="EK425" s="853"/>
      <c r="EL425" s="853"/>
      <c r="EM425" s="853"/>
      <c r="EN425" s="853"/>
      <c r="EO425" s="853"/>
      <c r="EP425" s="853"/>
      <c r="JM425"/>
    </row>
    <row r="426" spans="1:273" s="854" customFormat="1">
      <c r="A426" s="102"/>
      <c r="B426" s="103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  <c r="AA426" s="102"/>
      <c r="AB426" s="102"/>
      <c r="AC426" s="102"/>
      <c r="AD426" s="102"/>
      <c r="AE426" s="102"/>
      <c r="AF426" s="102"/>
      <c r="AG426" s="102"/>
      <c r="AH426" s="102"/>
      <c r="AI426" s="102"/>
      <c r="AJ426" s="102"/>
      <c r="AK426" s="102"/>
      <c r="AL426" s="102"/>
      <c r="AM426" s="102"/>
      <c r="AN426" s="290"/>
      <c r="AO426" s="290"/>
      <c r="AP426" s="290"/>
      <c r="AQ426" s="290"/>
      <c r="AR426" s="290"/>
      <c r="AS426" s="290"/>
      <c r="AT426" s="290"/>
      <c r="AU426" s="290"/>
      <c r="AV426" s="818"/>
      <c r="AW426" s="818"/>
      <c r="AX426" s="853"/>
      <c r="AY426" s="853"/>
      <c r="AZ426" s="818"/>
      <c r="BA426" s="850"/>
      <c r="BB426" s="853"/>
      <c r="BC426" s="853"/>
      <c r="BD426" s="818"/>
      <c r="BE426" s="850"/>
      <c r="BF426" s="853"/>
      <c r="BG426" s="853"/>
      <c r="BH426" s="853"/>
      <c r="BI426" s="853"/>
      <c r="BJ426" s="853"/>
      <c r="BK426" s="853"/>
      <c r="BL426" s="850"/>
      <c r="BM426" s="853"/>
      <c r="BN426" s="853"/>
      <c r="BO426" s="853"/>
      <c r="BP426" s="850"/>
      <c r="BQ426" s="853"/>
      <c r="BR426" s="853"/>
      <c r="BS426" s="853"/>
      <c r="BT426" s="850"/>
      <c r="BU426" s="853"/>
      <c r="BV426" s="853"/>
      <c r="BW426" s="853"/>
      <c r="BX426" s="850"/>
      <c r="BY426" s="850"/>
      <c r="BZ426" s="853"/>
      <c r="CA426" s="853"/>
      <c r="CB426" s="850"/>
      <c r="CC426" s="850"/>
      <c r="CD426" s="853"/>
      <c r="CE426" s="862"/>
      <c r="CF426" s="850"/>
      <c r="CG426" s="850"/>
      <c r="CH426" s="853"/>
      <c r="CI426" s="862"/>
      <c r="CJ426" s="850"/>
      <c r="CK426" s="850"/>
      <c r="CL426" s="853"/>
      <c r="CM426" s="862"/>
      <c r="CN426" s="850"/>
      <c r="CO426" s="850"/>
      <c r="CP426" s="853"/>
      <c r="CQ426" s="862"/>
      <c r="CR426" s="850"/>
      <c r="CS426" s="850"/>
      <c r="CT426" s="853"/>
      <c r="CU426" s="853"/>
      <c r="CV426" s="850"/>
      <c r="CW426" s="850"/>
      <c r="CX426" s="853"/>
      <c r="CY426" s="853"/>
      <c r="CZ426" s="850"/>
      <c r="DA426" s="850"/>
      <c r="DB426" s="853"/>
      <c r="DC426" s="853"/>
      <c r="DD426" s="850"/>
      <c r="DE426" s="850"/>
      <c r="DF426" s="853"/>
      <c r="DG426" s="853"/>
      <c r="DH426" s="850"/>
      <c r="DI426" s="850"/>
      <c r="DJ426" s="853"/>
      <c r="DK426" s="853"/>
      <c r="DL426" s="850"/>
      <c r="DM426" s="850"/>
      <c r="DN426" s="853"/>
      <c r="DO426" s="853"/>
      <c r="DP426" s="850"/>
      <c r="DQ426" s="850"/>
      <c r="DR426" s="853"/>
      <c r="DS426" s="853"/>
      <c r="DT426" s="853"/>
      <c r="DU426" s="850"/>
      <c r="DV426" s="850"/>
      <c r="DW426" s="850"/>
      <c r="DX426" s="853"/>
      <c r="DY426" s="853"/>
      <c r="DZ426" s="850"/>
      <c r="EA426" s="850"/>
      <c r="EB426" s="853"/>
      <c r="EC426" s="853"/>
      <c r="ED426" s="850"/>
      <c r="EE426" s="850"/>
      <c r="EF426" s="853"/>
      <c r="EG426" s="853"/>
      <c r="EH426" s="853"/>
      <c r="EI426" s="853"/>
      <c r="EJ426" s="853"/>
      <c r="EK426" s="853"/>
      <c r="EL426" s="853"/>
      <c r="EM426" s="853"/>
      <c r="EN426" s="853"/>
      <c r="EO426" s="853"/>
      <c r="EP426" s="853"/>
      <c r="EQ426" s="855"/>
      <c r="ER426" s="855"/>
      <c r="ES426" s="855"/>
      <c r="ET426" s="855"/>
      <c r="EU426" s="855"/>
      <c r="EV426" s="855"/>
      <c r="EW426" s="855"/>
      <c r="EX426" s="855"/>
      <c r="EY426" s="855"/>
      <c r="EZ426" s="855"/>
      <c r="FA426" s="855"/>
      <c r="FB426" s="855"/>
      <c r="FC426" s="855"/>
      <c r="FD426" s="855"/>
      <c r="FE426" s="855"/>
      <c r="FF426" s="855"/>
      <c r="FG426" s="855"/>
      <c r="FH426" s="855"/>
      <c r="FI426" s="855"/>
      <c r="FJ426" s="855"/>
      <c r="FK426" s="855"/>
      <c r="FL426" s="855"/>
      <c r="FM426" s="855"/>
      <c r="FN426" s="855"/>
      <c r="FO426" s="855"/>
      <c r="FP426" s="855"/>
      <c r="FQ426" s="855"/>
      <c r="FR426" s="855"/>
      <c r="FS426" s="855"/>
      <c r="FT426" s="855"/>
      <c r="FU426" s="855"/>
      <c r="FV426" s="855"/>
      <c r="FW426" s="855"/>
      <c r="FX426" s="855"/>
      <c r="FY426" s="855"/>
      <c r="FZ426" s="855"/>
      <c r="GA426" s="855"/>
      <c r="GB426" s="855"/>
      <c r="GC426" s="855"/>
      <c r="GD426" s="855"/>
      <c r="GE426" s="855"/>
      <c r="GF426" s="855"/>
      <c r="GG426" s="855"/>
      <c r="GH426" s="855"/>
      <c r="GI426" s="855"/>
      <c r="GJ426" s="855"/>
      <c r="GK426" s="855"/>
      <c r="GL426" s="855"/>
      <c r="GM426" s="855"/>
      <c r="GN426" s="855"/>
      <c r="GO426" s="855"/>
      <c r="GP426" s="855"/>
      <c r="GQ426" s="855"/>
      <c r="GR426" s="855"/>
      <c r="GS426" s="855"/>
      <c r="GT426" s="855"/>
      <c r="GU426" s="855"/>
      <c r="GV426" s="855"/>
      <c r="GW426" s="855"/>
      <c r="GX426" s="855"/>
      <c r="GY426" s="855"/>
      <c r="GZ426" s="855"/>
      <c r="HA426" s="855"/>
      <c r="HB426" s="855"/>
      <c r="HC426" s="855"/>
      <c r="HD426" s="855"/>
      <c r="HE426" s="855"/>
      <c r="HF426" s="855"/>
      <c r="HG426" s="855"/>
      <c r="HH426" s="855"/>
      <c r="HI426" s="855"/>
      <c r="HJ426" s="855"/>
      <c r="HK426" s="855"/>
      <c r="HL426" s="855"/>
      <c r="HM426" s="855"/>
      <c r="HN426" s="855"/>
      <c r="HO426" s="855"/>
      <c r="HP426" s="855"/>
      <c r="HQ426" s="855"/>
      <c r="HR426" s="855"/>
      <c r="HS426" s="855"/>
      <c r="HT426" s="855"/>
      <c r="HU426" s="855"/>
      <c r="HV426" s="855"/>
      <c r="HW426" s="855"/>
      <c r="HX426" s="855"/>
      <c r="HY426" s="855"/>
      <c r="HZ426" s="855"/>
      <c r="IA426" s="855"/>
      <c r="IB426" s="855"/>
      <c r="IC426" s="855"/>
      <c r="ID426" s="855"/>
      <c r="IE426" s="855"/>
      <c r="IF426" s="855"/>
      <c r="IG426" s="855"/>
      <c r="IH426" s="855"/>
      <c r="II426" s="855"/>
      <c r="IJ426" s="855"/>
      <c r="IK426" s="855"/>
      <c r="IL426" s="855"/>
      <c r="IM426" s="855"/>
      <c r="IN426" s="855"/>
      <c r="IO426" s="855"/>
      <c r="IP426" s="855"/>
      <c r="IQ426" s="855"/>
      <c r="IR426" s="855"/>
      <c r="IS426" s="855"/>
      <c r="IT426" s="855"/>
      <c r="IU426" s="855"/>
      <c r="IV426" s="855"/>
      <c r="IW426" s="855"/>
      <c r="IX426" s="855"/>
      <c r="IY426" s="855"/>
      <c r="IZ426" s="855"/>
      <c r="JA426" s="855"/>
      <c r="JB426" s="855"/>
      <c r="JC426" s="855"/>
      <c r="JD426" s="855"/>
      <c r="JE426" s="855"/>
      <c r="JF426" s="855"/>
      <c r="JG426" s="855"/>
      <c r="JH426" s="855"/>
      <c r="JI426" s="855"/>
      <c r="JJ426" s="855"/>
      <c r="JK426" s="855"/>
      <c r="JL426" s="855"/>
      <c r="JM426"/>
    </row>
    <row r="427" spans="1:273" s="854" customFormat="1">
      <c r="A427" s="815" t="s">
        <v>718</v>
      </c>
      <c r="B427" s="103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  <c r="AA427" s="102"/>
      <c r="AB427" s="102"/>
      <c r="AC427" s="102"/>
      <c r="AD427" s="102"/>
      <c r="AE427" s="102"/>
      <c r="AF427" s="102"/>
      <c r="AG427" s="102"/>
      <c r="AH427" s="102"/>
      <c r="AI427" s="102"/>
      <c r="AJ427" s="102"/>
      <c r="AK427" s="102"/>
      <c r="AL427" s="102"/>
      <c r="AM427" s="102"/>
      <c r="AN427" s="290"/>
      <c r="AO427" s="290"/>
      <c r="AP427" s="290"/>
      <c r="AQ427" s="290"/>
      <c r="AR427" s="290"/>
      <c r="AS427" s="290"/>
      <c r="AT427" s="290"/>
      <c r="AU427" s="290"/>
      <c r="AV427" s="818"/>
      <c r="AW427" s="818"/>
      <c r="AX427" s="853"/>
      <c r="AY427" s="853"/>
      <c r="AZ427" s="818"/>
      <c r="BA427" s="850"/>
      <c r="BB427" s="853"/>
      <c r="BC427" s="853"/>
      <c r="BD427" s="818"/>
      <c r="BE427" s="850"/>
      <c r="BF427" s="853"/>
      <c r="BG427" s="853"/>
      <c r="BH427" s="850"/>
      <c r="BI427" s="850"/>
      <c r="BJ427" s="853"/>
      <c r="BK427" s="853"/>
      <c r="BL427" s="850"/>
      <c r="BM427" s="850"/>
      <c r="BN427" s="853"/>
      <c r="BO427" s="853"/>
      <c r="BP427" s="850"/>
      <c r="BQ427" s="850"/>
      <c r="BR427" s="853"/>
      <c r="BS427" s="853"/>
      <c r="BT427" s="850"/>
      <c r="BU427" s="850"/>
      <c r="BV427" s="853"/>
      <c r="BW427" s="853"/>
      <c r="BX427" s="850"/>
      <c r="BY427" s="850"/>
      <c r="BZ427" s="853"/>
      <c r="CA427" s="853"/>
      <c r="CB427" s="850"/>
      <c r="CC427" s="850"/>
      <c r="CD427" s="853"/>
      <c r="CE427" s="862"/>
      <c r="CF427" s="850"/>
      <c r="CG427" s="850"/>
      <c r="CH427" s="853"/>
      <c r="CI427" s="862"/>
      <c r="CJ427" s="850"/>
      <c r="CK427" s="850"/>
      <c r="CL427" s="853"/>
      <c r="CM427" s="862"/>
      <c r="CN427" s="850"/>
      <c r="CO427" s="850"/>
      <c r="CP427" s="853"/>
      <c r="CQ427" s="862"/>
      <c r="CR427" s="850"/>
      <c r="CS427" s="850"/>
      <c r="CT427" s="853"/>
      <c r="CU427" s="853"/>
      <c r="CV427" s="850"/>
      <c r="CW427" s="850"/>
      <c r="CX427" s="853"/>
      <c r="CY427" s="853"/>
      <c r="CZ427" s="850"/>
      <c r="DA427" s="850"/>
      <c r="DB427" s="853"/>
      <c r="DC427" s="853"/>
      <c r="DD427" s="850"/>
      <c r="DE427" s="850"/>
      <c r="DF427" s="853"/>
      <c r="DG427" s="853"/>
      <c r="DH427" s="850"/>
      <c r="DI427" s="850"/>
      <c r="DJ427" s="853"/>
      <c r="DK427" s="853"/>
      <c r="DL427" s="850"/>
      <c r="DM427" s="850"/>
      <c r="DN427" s="853"/>
      <c r="DO427" s="853"/>
      <c r="DP427" s="850"/>
      <c r="DQ427" s="850"/>
      <c r="DR427" s="853"/>
      <c r="DS427" s="853"/>
      <c r="DT427" s="853"/>
      <c r="DU427" s="850"/>
      <c r="DV427" s="850"/>
      <c r="DW427" s="850"/>
      <c r="DX427" s="853"/>
      <c r="DY427" s="853"/>
      <c r="DZ427" s="850"/>
      <c r="EA427" s="850"/>
      <c r="EB427" s="853"/>
      <c r="EC427" s="853"/>
      <c r="ED427" s="850"/>
      <c r="EE427" s="850"/>
      <c r="EF427" s="853"/>
      <c r="EG427" s="853"/>
      <c r="EH427" s="853"/>
      <c r="EI427" s="853"/>
      <c r="EJ427" s="853"/>
      <c r="EK427" s="853"/>
      <c r="EL427" s="853"/>
      <c r="EM427" s="853"/>
      <c r="EN427" s="853"/>
      <c r="EO427" s="853"/>
      <c r="EP427" s="853"/>
      <c r="EQ427" s="855"/>
      <c r="ER427" s="855"/>
      <c r="ES427" s="855"/>
      <c r="ET427" s="855"/>
      <c r="EU427" s="855"/>
      <c r="EV427" s="855"/>
      <c r="EW427" s="855"/>
      <c r="EX427" s="855"/>
      <c r="EY427" s="855"/>
      <c r="EZ427" s="855"/>
      <c r="FA427" s="855"/>
      <c r="FB427" s="855"/>
      <c r="FC427" s="855"/>
      <c r="FD427" s="855"/>
      <c r="FE427" s="855"/>
      <c r="FF427" s="855"/>
      <c r="FG427" s="855"/>
      <c r="FH427" s="855"/>
      <c r="FI427" s="855"/>
      <c r="FJ427" s="855"/>
      <c r="FK427" s="855"/>
      <c r="FL427" s="855"/>
      <c r="FM427" s="855"/>
      <c r="FN427" s="855"/>
      <c r="FO427" s="855"/>
      <c r="FP427" s="855"/>
      <c r="FQ427" s="855"/>
      <c r="FR427" s="855"/>
      <c r="FS427" s="855"/>
      <c r="FT427" s="855"/>
      <c r="FU427" s="855"/>
      <c r="FV427" s="855"/>
      <c r="FW427" s="855"/>
      <c r="FX427" s="855"/>
      <c r="FY427" s="855"/>
      <c r="FZ427" s="855"/>
      <c r="GA427" s="855"/>
      <c r="GB427" s="855"/>
      <c r="GC427" s="855"/>
      <c r="GD427" s="855"/>
      <c r="GE427" s="855"/>
      <c r="GF427" s="855"/>
      <c r="GG427" s="855"/>
      <c r="GH427" s="855"/>
      <c r="GI427" s="855"/>
      <c r="GJ427" s="855"/>
      <c r="GK427" s="855"/>
      <c r="GL427" s="855"/>
      <c r="GM427" s="855"/>
      <c r="GN427" s="855"/>
      <c r="GO427" s="855"/>
      <c r="GP427" s="855"/>
      <c r="GQ427" s="855"/>
      <c r="GR427" s="855"/>
      <c r="GS427" s="855"/>
      <c r="GT427" s="855"/>
      <c r="GU427" s="855"/>
      <c r="GV427" s="855"/>
      <c r="GW427" s="855"/>
      <c r="GX427" s="855"/>
      <c r="GY427" s="855"/>
      <c r="GZ427" s="855"/>
      <c r="HA427" s="855"/>
      <c r="HB427" s="855"/>
      <c r="HC427" s="855"/>
      <c r="HD427" s="855"/>
      <c r="HE427" s="855"/>
      <c r="HF427" s="855"/>
      <c r="HG427" s="855"/>
      <c r="HH427" s="855"/>
      <c r="HI427" s="855"/>
      <c r="HJ427" s="855"/>
      <c r="HK427" s="855"/>
      <c r="HL427" s="855"/>
      <c r="HM427" s="855"/>
      <c r="HN427" s="855"/>
      <c r="HO427" s="855"/>
      <c r="HP427" s="855"/>
      <c r="HQ427" s="855"/>
      <c r="HR427" s="855"/>
      <c r="HS427" s="855"/>
      <c r="HT427" s="855"/>
      <c r="HU427" s="855"/>
      <c r="HV427" s="855"/>
      <c r="HW427" s="855"/>
      <c r="HX427" s="855"/>
      <c r="HY427" s="855"/>
      <c r="HZ427" s="855"/>
      <c r="IA427" s="855"/>
      <c r="IB427" s="855"/>
      <c r="IC427" s="855"/>
      <c r="ID427" s="855"/>
      <c r="IE427" s="855"/>
      <c r="IF427" s="855"/>
      <c r="IG427" s="855"/>
      <c r="IH427" s="855"/>
      <c r="II427" s="855"/>
      <c r="IJ427" s="855"/>
      <c r="IK427" s="855"/>
      <c r="IL427" s="855"/>
      <c r="IM427" s="855"/>
      <c r="IN427" s="855"/>
      <c r="IO427" s="855"/>
      <c r="IP427" s="855"/>
      <c r="IQ427" s="855"/>
      <c r="IR427" s="855"/>
      <c r="IS427" s="855"/>
      <c r="IT427" s="855"/>
      <c r="IU427" s="855"/>
      <c r="IV427" s="855"/>
      <c r="IW427" s="855"/>
      <c r="IX427" s="855"/>
      <c r="IY427" s="855"/>
      <c r="IZ427" s="855"/>
      <c r="JA427" s="855"/>
      <c r="JB427" s="855"/>
      <c r="JC427" s="855"/>
      <c r="JD427" s="855"/>
      <c r="JE427" s="855"/>
      <c r="JF427" s="855"/>
      <c r="JG427" s="855"/>
      <c r="JH427" s="855"/>
      <c r="JI427" s="855"/>
      <c r="JJ427" s="855"/>
      <c r="JK427" s="855"/>
      <c r="JL427" s="855"/>
      <c r="JM427"/>
    </row>
    <row r="428" spans="1:273" s="854" customFormat="1">
      <c r="A428" s="102" t="s">
        <v>685</v>
      </c>
      <c r="B428" s="103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290"/>
      <c r="AO428" s="290"/>
      <c r="AP428" s="290"/>
      <c r="AQ428" s="290"/>
      <c r="AR428" s="360">
        <f t="shared" ref="AR428:AS436" si="406">AR415/AR$423</f>
        <v>0</v>
      </c>
      <c r="AS428" s="360">
        <f t="shared" si="406"/>
        <v>0</v>
      </c>
      <c r="AT428" s="290"/>
      <c r="AU428" s="290"/>
      <c r="AV428" s="360">
        <f t="shared" ref="AV428:AW436" si="407">AV415/AV$423</f>
        <v>0</v>
      </c>
      <c r="AW428" s="360">
        <f t="shared" si="407"/>
        <v>0</v>
      </c>
      <c r="AX428" s="853"/>
      <c r="AY428" s="853"/>
      <c r="AZ428" s="360">
        <f t="shared" ref="AZ428:BA436" si="408">AZ415/AZ$423</f>
        <v>0</v>
      </c>
      <c r="BA428" s="360">
        <f t="shared" si="408"/>
        <v>0</v>
      </c>
      <c r="BB428" s="853"/>
      <c r="BC428" s="853"/>
      <c r="BD428" s="360">
        <f t="shared" ref="BD428:BD436" si="409">BD415/BD$423</f>
        <v>0</v>
      </c>
      <c r="BE428" s="946">
        <f>AVERAGE(BD428,BA428)</f>
        <v>0</v>
      </c>
      <c r="BF428" s="853"/>
      <c r="BG428" s="853"/>
      <c r="BH428" s="946">
        <f>AVERAGE(BD428:BE428)</f>
        <v>0</v>
      </c>
      <c r="BI428" s="946">
        <f>AVERAGE(BH428,BE428)</f>
        <v>0</v>
      </c>
      <c r="BJ428" s="853"/>
      <c r="BK428" s="853"/>
      <c r="BL428" s="946">
        <f>AVERAGE(BH428:BI428)</f>
        <v>0</v>
      </c>
      <c r="BM428" s="946">
        <f>AVERAGE(BL428,BI428)</f>
        <v>0</v>
      </c>
      <c r="BN428" s="853"/>
      <c r="BO428" s="853"/>
      <c r="BP428" s="946">
        <f>AVERAGE(BL428:BM428)</f>
        <v>0</v>
      </c>
      <c r="BQ428" s="946">
        <f>AVERAGE(BP428,BM428)</f>
        <v>0</v>
      </c>
      <c r="BR428" s="853"/>
      <c r="BS428" s="853"/>
      <c r="BT428" s="946">
        <f>AVERAGE(BP428:BQ428)</f>
        <v>0</v>
      </c>
      <c r="BU428" s="946">
        <f>AVERAGE(BT428,BQ428)</f>
        <v>0</v>
      </c>
      <c r="BV428" s="853"/>
      <c r="BW428" s="853"/>
      <c r="BX428" s="946">
        <f>AVERAGE(BT428:BU428)</f>
        <v>0</v>
      </c>
      <c r="BY428" s="946">
        <f>AVERAGE(BX428,BU428)</f>
        <v>0</v>
      </c>
      <c r="BZ428" s="853"/>
      <c r="CA428" s="853"/>
      <c r="CB428" s="946">
        <f>AVERAGE(BX428:BY428)</f>
        <v>0</v>
      </c>
      <c r="CC428" s="946">
        <f>AVERAGE(CB428,BY428)</f>
        <v>0</v>
      </c>
      <c r="CD428" s="853"/>
      <c r="CE428" s="862"/>
      <c r="CF428" s="946">
        <f>AVERAGE(CB428:CC428)</f>
        <v>0</v>
      </c>
      <c r="CG428" s="946">
        <f>AVERAGE(CF428,CC428)</f>
        <v>0</v>
      </c>
      <c r="CH428" s="853"/>
      <c r="CI428" s="862"/>
      <c r="CJ428" s="946">
        <f>AVERAGE(CF428:CG428)</f>
        <v>0</v>
      </c>
      <c r="CK428" s="946">
        <f>AVERAGE(CJ428,CG428)</f>
        <v>0</v>
      </c>
      <c r="CL428" s="853"/>
      <c r="CM428" s="862"/>
      <c r="CN428" s="946">
        <f>AVERAGE(CJ428:CK428)</f>
        <v>0</v>
      </c>
      <c r="CO428" s="946">
        <f>AVERAGE(CN428,CK428)</f>
        <v>0</v>
      </c>
      <c r="CP428" s="853"/>
      <c r="CQ428" s="862"/>
      <c r="CR428" s="946">
        <f>AVERAGE(CN428:CO428)</f>
        <v>0</v>
      </c>
      <c r="CS428" s="946">
        <f>AVERAGE(CR428,CO428)</f>
        <v>0</v>
      </c>
      <c r="CT428" s="853"/>
      <c r="CU428" s="853"/>
      <c r="CV428" s="946">
        <f>AVERAGE(CR428:CS428)</f>
        <v>0</v>
      </c>
      <c r="CW428" s="946">
        <f>AVERAGE(CV428,CS428)</f>
        <v>0</v>
      </c>
      <c r="CX428" s="853"/>
      <c r="CY428" s="853"/>
      <c r="CZ428" s="946">
        <f>AVERAGE(CV428:CW428)</f>
        <v>0</v>
      </c>
      <c r="DA428" s="946">
        <f>AVERAGE(CZ428,CW428)</f>
        <v>0</v>
      </c>
      <c r="DB428" s="853"/>
      <c r="DC428" s="853"/>
      <c r="DD428" s="946">
        <f>AVERAGE(CZ428:DA428)</f>
        <v>0</v>
      </c>
      <c r="DE428" s="946">
        <f>AVERAGE(DD428,DA428)</f>
        <v>0</v>
      </c>
      <c r="DF428" s="853"/>
      <c r="DG428" s="853"/>
      <c r="DH428" s="946">
        <f>AVERAGE(DD428:DE428)</f>
        <v>0</v>
      </c>
      <c r="DI428" s="946">
        <f>AVERAGE(DH428,DE428)</f>
        <v>0</v>
      </c>
      <c r="DJ428" s="853"/>
      <c r="DK428" s="853"/>
      <c r="DL428" s="946">
        <f>AVERAGE(DH428:DI428)</f>
        <v>0</v>
      </c>
      <c r="DM428" s="946">
        <f>AVERAGE(DL428,DI428)</f>
        <v>0</v>
      </c>
      <c r="DN428" s="853"/>
      <c r="DO428" s="853"/>
      <c r="DP428" s="946">
        <f>AVERAGE(DL428:DM428)</f>
        <v>0</v>
      </c>
      <c r="DQ428" s="946">
        <f>AVERAGE(DP428,DM428)</f>
        <v>0</v>
      </c>
      <c r="DR428" s="853"/>
      <c r="DS428" s="853"/>
      <c r="DT428" s="853"/>
      <c r="DU428" s="946"/>
      <c r="DV428" s="946"/>
      <c r="DW428" s="946"/>
      <c r="DX428" s="853"/>
      <c r="DY428" s="853"/>
      <c r="DZ428" s="946"/>
      <c r="EA428" s="946"/>
      <c r="EB428" s="853"/>
      <c r="EC428" s="853"/>
      <c r="ED428" s="946"/>
      <c r="EE428" s="946"/>
      <c r="EF428" s="853"/>
      <c r="EG428" s="853"/>
      <c r="EH428" s="853"/>
      <c r="EI428" s="853"/>
      <c r="EJ428" s="853"/>
      <c r="EK428" s="853"/>
      <c r="EL428" s="853"/>
      <c r="EM428" s="853"/>
      <c r="EN428" s="853"/>
      <c r="EO428" s="853"/>
      <c r="EP428" s="853"/>
      <c r="EQ428" s="855"/>
      <c r="ER428" s="855"/>
      <c r="ES428" s="855"/>
      <c r="ET428" s="855"/>
      <c r="EU428" s="855"/>
      <c r="EV428" s="855"/>
      <c r="EW428" s="855"/>
      <c r="EX428" s="855"/>
      <c r="EY428" s="855"/>
      <c r="EZ428" s="855"/>
      <c r="FA428" s="855"/>
      <c r="FB428" s="855"/>
      <c r="FC428" s="855"/>
      <c r="FD428" s="855"/>
      <c r="FE428" s="855"/>
      <c r="FF428" s="855"/>
      <c r="FG428" s="855"/>
      <c r="FH428" s="855"/>
      <c r="FI428" s="855"/>
      <c r="FJ428" s="855"/>
      <c r="FK428" s="855"/>
      <c r="FL428" s="855"/>
      <c r="FM428" s="855"/>
      <c r="FN428" s="855"/>
      <c r="FO428" s="855"/>
      <c r="FP428" s="855"/>
      <c r="FQ428" s="855"/>
      <c r="FR428" s="855"/>
      <c r="FS428" s="855"/>
      <c r="FT428" s="855"/>
      <c r="FU428" s="855"/>
      <c r="FV428" s="855"/>
      <c r="FW428" s="855"/>
      <c r="FX428" s="855"/>
      <c r="FY428" s="855"/>
      <c r="FZ428" s="855"/>
      <c r="GA428" s="855"/>
      <c r="GB428" s="855"/>
      <c r="GC428" s="855"/>
      <c r="GD428" s="855"/>
      <c r="GE428" s="855"/>
      <c r="GF428" s="855"/>
      <c r="GG428" s="855"/>
      <c r="GH428" s="855"/>
      <c r="GI428" s="855"/>
      <c r="GJ428" s="855"/>
      <c r="GK428" s="855"/>
      <c r="GL428" s="855"/>
      <c r="GM428" s="855"/>
      <c r="GN428" s="855"/>
      <c r="GO428" s="855"/>
      <c r="GP428" s="855"/>
      <c r="GQ428" s="855"/>
      <c r="GR428" s="855"/>
      <c r="GS428" s="855"/>
      <c r="GT428" s="855"/>
      <c r="GU428" s="855"/>
      <c r="GV428" s="855"/>
      <c r="GW428" s="855"/>
      <c r="GX428" s="855"/>
      <c r="GY428" s="855"/>
      <c r="GZ428" s="855"/>
      <c r="HA428" s="855"/>
      <c r="HB428" s="855"/>
      <c r="HC428" s="855"/>
      <c r="HD428" s="855"/>
      <c r="HE428" s="855"/>
      <c r="HF428" s="855"/>
      <c r="HG428" s="855"/>
      <c r="HH428" s="855"/>
      <c r="HI428" s="855"/>
      <c r="HJ428" s="855"/>
      <c r="HK428" s="855"/>
      <c r="HL428" s="855"/>
      <c r="HM428" s="855"/>
      <c r="HN428" s="855"/>
      <c r="HO428" s="855"/>
      <c r="HP428" s="855"/>
      <c r="HQ428" s="855"/>
      <c r="HR428" s="855"/>
      <c r="HS428" s="855"/>
      <c r="HT428" s="855"/>
      <c r="HU428" s="855"/>
      <c r="HV428" s="855"/>
      <c r="HW428" s="855"/>
      <c r="HX428" s="855"/>
      <c r="HY428" s="855"/>
      <c r="HZ428" s="855"/>
      <c r="IA428" s="855"/>
      <c r="IB428" s="855"/>
      <c r="IC428" s="855"/>
      <c r="ID428" s="855"/>
      <c r="IE428" s="855"/>
      <c r="IF428" s="855"/>
      <c r="IG428" s="855"/>
      <c r="IH428" s="855"/>
      <c r="II428" s="855"/>
      <c r="IJ428" s="855"/>
      <c r="IK428" s="855"/>
      <c r="IL428" s="855"/>
      <c r="IM428" s="855"/>
      <c r="IN428" s="855"/>
      <c r="IO428" s="855"/>
      <c r="IP428" s="855"/>
      <c r="IQ428" s="855"/>
      <c r="IR428" s="855"/>
      <c r="IS428" s="855"/>
      <c r="IT428" s="855"/>
      <c r="IU428" s="855"/>
      <c r="IV428" s="855"/>
      <c r="IW428" s="855"/>
      <c r="IX428" s="855"/>
      <c r="IY428" s="855"/>
      <c r="IZ428" s="855"/>
      <c r="JA428" s="855"/>
      <c r="JB428" s="855"/>
      <c r="JC428" s="855"/>
      <c r="JD428" s="855"/>
      <c r="JE428" s="855"/>
      <c r="JF428" s="855"/>
      <c r="JG428" s="855"/>
      <c r="JH428" s="855"/>
      <c r="JI428" s="855"/>
      <c r="JJ428" s="855"/>
      <c r="JK428" s="855"/>
      <c r="JL428" s="855"/>
      <c r="JM428"/>
    </row>
    <row r="429" spans="1:273" s="854" customFormat="1">
      <c r="A429" s="102" t="s">
        <v>686</v>
      </c>
      <c r="B429" s="103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  <c r="AA429" s="102"/>
      <c r="AB429" s="102"/>
      <c r="AC429" s="102"/>
      <c r="AD429" s="102"/>
      <c r="AE429" s="102"/>
      <c r="AF429" s="102"/>
      <c r="AG429" s="102"/>
      <c r="AH429" s="102"/>
      <c r="AI429" s="102"/>
      <c r="AJ429" s="102"/>
      <c r="AK429" s="102"/>
      <c r="AL429" s="102"/>
      <c r="AM429" s="102"/>
      <c r="AN429" s="290"/>
      <c r="AO429" s="290"/>
      <c r="AP429" s="290"/>
      <c r="AQ429" s="290"/>
      <c r="AR429" s="360">
        <f t="shared" si="406"/>
        <v>0.47457627118644069</v>
      </c>
      <c r="AS429" s="360">
        <f t="shared" si="406"/>
        <v>1.0454545454545454</v>
      </c>
      <c r="AT429" s="290"/>
      <c r="AU429" s="290"/>
      <c r="AV429" s="360">
        <f t="shared" si="407"/>
        <v>0.12182741116751269</v>
      </c>
      <c r="AW429" s="360">
        <f t="shared" si="407"/>
        <v>-6.0606060606060608E-2</v>
      </c>
      <c r="AX429" s="853"/>
      <c r="AY429" s="853"/>
      <c r="AZ429" s="360">
        <f t="shared" si="408"/>
        <v>0.43529411764705883</v>
      </c>
      <c r="BA429" s="360">
        <f t="shared" si="408"/>
        <v>0.20212765957446807</v>
      </c>
      <c r="BB429" s="853"/>
      <c r="BC429" s="853"/>
      <c r="BD429" s="360">
        <f t="shared" si="409"/>
        <v>0.34615384615384615</v>
      </c>
      <c r="BE429" s="946">
        <f t="shared" ref="BE429:BE436" si="410">AVERAGE(BD429,BA429)</f>
        <v>0.27414075286415712</v>
      </c>
      <c r="BF429" s="853"/>
      <c r="BG429" s="853"/>
      <c r="BH429" s="946">
        <f t="shared" ref="BH429:BH436" si="411">AVERAGE(BD429:BE429)</f>
        <v>0.31014729950900166</v>
      </c>
      <c r="BI429" s="946">
        <f t="shared" ref="BI429:BI436" si="412">AVERAGE(BH429,BE429)</f>
        <v>0.29214402618657942</v>
      </c>
      <c r="BJ429" s="853"/>
      <c r="BK429" s="853"/>
      <c r="BL429" s="946">
        <f t="shared" ref="BL429:BL436" si="413">AVERAGE(BH429:BI429)</f>
        <v>0.30114566284779054</v>
      </c>
      <c r="BM429" s="946">
        <f t="shared" ref="BM429:BM436" si="414">AVERAGE(BL429,BI429)</f>
        <v>0.29664484451718498</v>
      </c>
      <c r="BN429" s="853"/>
      <c r="BO429" s="853"/>
      <c r="BP429" s="946">
        <f t="shared" ref="BP429:BP436" si="415">AVERAGE(BL429:BM429)</f>
        <v>0.29889525368248776</v>
      </c>
      <c r="BQ429" s="946">
        <f t="shared" ref="BQ429:BQ436" si="416">AVERAGE(BP429,BM429)</f>
        <v>0.2977700490998364</v>
      </c>
      <c r="BR429" s="853"/>
      <c r="BS429" s="853"/>
      <c r="BT429" s="946">
        <f t="shared" ref="BT429:BT436" si="417">AVERAGE(BP429:BQ429)</f>
        <v>0.29833265139116205</v>
      </c>
      <c r="BU429" s="946">
        <f t="shared" ref="BU429:BU436" si="418">AVERAGE(BT429,BQ429)</f>
        <v>0.29805135024549922</v>
      </c>
      <c r="BV429" s="853"/>
      <c r="BW429" s="853"/>
      <c r="BX429" s="946">
        <f t="shared" ref="BX429:BX436" si="419">AVERAGE(BT429:BU429)</f>
        <v>0.29819200081833064</v>
      </c>
      <c r="BY429" s="946">
        <f t="shared" ref="BY429:BY436" si="420">AVERAGE(BX429,BU429)</f>
        <v>0.29812167553191493</v>
      </c>
      <c r="BZ429" s="853"/>
      <c r="CA429" s="853"/>
      <c r="CB429" s="946">
        <f t="shared" ref="CB429:CB436" si="421">AVERAGE(BX429:BY429)</f>
        <v>0.29815683817512278</v>
      </c>
      <c r="CC429" s="946">
        <f t="shared" ref="CC429:CC436" si="422">AVERAGE(CB429,BY429)</f>
        <v>0.29813925685351883</v>
      </c>
      <c r="CD429" s="853"/>
      <c r="CE429" s="862"/>
      <c r="CF429" s="946">
        <f t="shared" ref="CF429:CF436" si="423">AVERAGE(CB429:CC429)</f>
        <v>0.29814804751432078</v>
      </c>
      <c r="CG429" s="946">
        <f t="shared" ref="CG429:CG436" si="424">AVERAGE(CF429,CC429)</f>
        <v>0.29814365218391981</v>
      </c>
      <c r="CH429" s="853"/>
      <c r="CI429" s="862"/>
      <c r="CJ429" s="946">
        <f t="shared" ref="CJ429:CJ436" si="425">AVERAGE(CF429:CG429)</f>
        <v>0.29814584984912029</v>
      </c>
      <c r="CK429" s="946">
        <f t="shared" ref="CK429:CK436" si="426">AVERAGE(CJ429,CG429)</f>
        <v>0.29814475101652005</v>
      </c>
      <c r="CL429" s="853"/>
      <c r="CM429" s="862"/>
      <c r="CN429" s="946">
        <f t="shared" ref="CN429:CN436" si="427">AVERAGE(CJ429:CK429)</f>
        <v>0.29814530043282017</v>
      </c>
      <c r="CO429" s="946">
        <f t="shared" ref="CO429:CO436" si="428">AVERAGE(CN429,CK429)</f>
        <v>0.29814502572467011</v>
      </c>
      <c r="CP429" s="853"/>
      <c r="CQ429" s="862"/>
      <c r="CR429" s="946">
        <f t="shared" ref="CR429:CR436" si="429">AVERAGE(CN429:CO429)</f>
        <v>0.29814516307874517</v>
      </c>
      <c r="CS429" s="946">
        <f t="shared" ref="CS429:CS436" si="430">AVERAGE(CR429,CO429)</f>
        <v>0.29814509440170767</v>
      </c>
      <c r="CT429" s="853"/>
      <c r="CU429" s="853"/>
      <c r="CV429" s="946">
        <f t="shared" ref="CV429:CV436" si="431">AVERAGE(CR429:CS429)</f>
        <v>0.29814512874022642</v>
      </c>
      <c r="CW429" s="946">
        <f t="shared" ref="CW429:CW436" si="432">AVERAGE(CV429,CS429)</f>
        <v>0.29814511157096701</v>
      </c>
      <c r="CX429" s="853"/>
      <c r="CY429" s="853"/>
      <c r="CZ429" s="946">
        <f t="shared" ref="CZ429:CZ436" si="433">AVERAGE(CV429:CW429)</f>
        <v>0.29814512015559669</v>
      </c>
      <c r="DA429" s="946">
        <f t="shared" ref="DA429:DA436" si="434">AVERAGE(CZ429,CW429)</f>
        <v>0.29814511586328185</v>
      </c>
      <c r="DB429" s="853"/>
      <c r="DC429" s="853"/>
      <c r="DD429" s="946">
        <f t="shared" ref="DD429:DD436" si="435">AVERAGE(CZ429:DA429)</f>
        <v>0.29814511800943927</v>
      </c>
      <c r="DE429" s="946">
        <f t="shared" ref="DE429:DE436" si="436">AVERAGE(DD429,DA429)</f>
        <v>0.29814511693636059</v>
      </c>
      <c r="DF429" s="853"/>
      <c r="DG429" s="853"/>
      <c r="DH429" s="946">
        <f t="shared" ref="DH429:DH436" si="437">AVERAGE(DD429:DE429)</f>
        <v>0.29814511747289996</v>
      </c>
      <c r="DI429" s="946">
        <f t="shared" ref="DI429:DI436" si="438">AVERAGE(DH429,DE429)</f>
        <v>0.29814511720463027</v>
      </c>
      <c r="DJ429" s="853"/>
      <c r="DK429" s="853"/>
      <c r="DL429" s="946">
        <f t="shared" ref="DL429:DL436" si="439">AVERAGE(DH429:DI429)</f>
        <v>0.29814511733876514</v>
      </c>
      <c r="DM429" s="946">
        <f t="shared" ref="DM429:DM436" si="440">AVERAGE(DL429,DI429)</f>
        <v>0.29814511727169768</v>
      </c>
      <c r="DN429" s="853"/>
      <c r="DO429" s="853"/>
      <c r="DP429" s="946">
        <f t="shared" ref="DP429:DP436" si="441">AVERAGE(DL429:DM429)</f>
        <v>0.29814511730523141</v>
      </c>
      <c r="DQ429" s="946">
        <f t="shared" ref="DQ429:DQ436" si="442">AVERAGE(DP429,DM429)</f>
        <v>0.29814511728846455</v>
      </c>
      <c r="DR429" s="853"/>
      <c r="DS429" s="853"/>
      <c r="DT429" s="853"/>
      <c r="DU429" s="946"/>
      <c r="DV429" s="946"/>
      <c r="DW429" s="946"/>
      <c r="DX429" s="853"/>
      <c r="DY429" s="853"/>
      <c r="DZ429" s="946"/>
      <c r="EA429" s="946"/>
      <c r="EB429" s="853"/>
      <c r="EC429" s="853"/>
      <c r="ED429" s="946"/>
      <c r="EE429" s="946"/>
      <c r="EF429" s="853"/>
      <c r="EG429" s="853"/>
      <c r="EH429" s="853"/>
      <c r="EI429" s="853"/>
      <c r="EJ429" s="853"/>
      <c r="EK429" s="853"/>
      <c r="EL429" s="853"/>
      <c r="EM429" s="853"/>
      <c r="EN429" s="853"/>
      <c r="EO429" s="853"/>
      <c r="EP429" s="853"/>
      <c r="EQ429" s="855"/>
      <c r="ER429" s="855"/>
      <c r="ES429" s="855"/>
      <c r="ET429" s="855"/>
      <c r="EU429" s="855"/>
      <c r="EV429" s="855"/>
      <c r="EW429" s="855"/>
      <c r="EX429" s="855"/>
      <c r="EY429" s="855"/>
      <c r="EZ429" s="855"/>
      <c r="FA429" s="855"/>
      <c r="FB429" s="855"/>
      <c r="FC429" s="855"/>
      <c r="FD429" s="855"/>
      <c r="FE429" s="855"/>
      <c r="FF429" s="855"/>
      <c r="FG429" s="855"/>
      <c r="FH429" s="855"/>
      <c r="FI429" s="855"/>
      <c r="FJ429" s="855"/>
      <c r="FK429" s="855"/>
      <c r="FL429" s="855"/>
      <c r="FM429" s="855"/>
      <c r="FN429" s="855"/>
      <c r="FO429" s="855"/>
      <c r="FP429" s="855"/>
      <c r="FQ429" s="855"/>
      <c r="FR429" s="855"/>
      <c r="FS429" s="855"/>
      <c r="FT429" s="855"/>
      <c r="FU429" s="855"/>
      <c r="FV429" s="855"/>
      <c r="FW429" s="855"/>
      <c r="FX429" s="855"/>
      <c r="FY429" s="855"/>
      <c r="FZ429" s="855"/>
      <c r="GA429" s="855"/>
      <c r="GB429" s="855"/>
      <c r="GC429" s="855"/>
      <c r="GD429" s="855"/>
      <c r="GE429" s="855"/>
      <c r="GF429" s="855"/>
      <c r="GG429" s="855"/>
      <c r="GH429" s="855"/>
      <c r="GI429" s="855"/>
      <c r="GJ429" s="855"/>
      <c r="GK429" s="855"/>
      <c r="GL429" s="855"/>
      <c r="GM429" s="855"/>
      <c r="GN429" s="855"/>
      <c r="GO429" s="855"/>
      <c r="GP429" s="855"/>
      <c r="GQ429" s="855"/>
      <c r="GR429" s="855"/>
      <c r="GS429" s="855"/>
      <c r="GT429" s="855"/>
      <c r="GU429" s="855"/>
      <c r="GV429" s="855"/>
      <c r="GW429" s="855"/>
      <c r="GX429" s="855"/>
      <c r="GY429" s="855"/>
      <c r="GZ429" s="855"/>
      <c r="HA429" s="855"/>
      <c r="HB429" s="855"/>
      <c r="HC429" s="855"/>
      <c r="HD429" s="855"/>
      <c r="HE429" s="855"/>
      <c r="HF429" s="855"/>
      <c r="HG429" s="855"/>
      <c r="HH429" s="855"/>
      <c r="HI429" s="855"/>
      <c r="HJ429" s="855"/>
      <c r="HK429" s="855"/>
      <c r="HL429" s="855"/>
      <c r="HM429" s="855"/>
      <c r="HN429" s="855"/>
      <c r="HO429" s="855"/>
      <c r="HP429" s="855"/>
      <c r="HQ429" s="855"/>
      <c r="HR429" s="855"/>
      <c r="HS429" s="855"/>
      <c r="HT429" s="855"/>
      <c r="HU429" s="855"/>
      <c r="HV429" s="855"/>
      <c r="HW429" s="855"/>
      <c r="HX429" s="855"/>
      <c r="HY429" s="855"/>
      <c r="HZ429" s="855"/>
      <c r="IA429" s="855"/>
      <c r="IB429" s="855"/>
      <c r="IC429" s="855"/>
      <c r="ID429" s="855"/>
      <c r="IE429" s="855"/>
      <c r="IF429" s="855"/>
      <c r="IG429" s="855"/>
      <c r="IH429" s="855"/>
      <c r="II429" s="855"/>
      <c r="IJ429" s="855"/>
      <c r="IK429" s="855"/>
      <c r="IL429" s="855"/>
      <c r="IM429" s="855"/>
      <c r="IN429" s="855"/>
      <c r="IO429" s="855"/>
      <c r="IP429" s="855"/>
      <c r="IQ429" s="855"/>
      <c r="IR429" s="855"/>
      <c r="IS429" s="855"/>
      <c r="IT429" s="855"/>
      <c r="IU429" s="855"/>
      <c r="IV429" s="855"/>
      <c r="IW429" s="855"/>
      <c r="IX429" s="855"/>
      <c r="IY429" s="855"/>
      <c r="IZ429" s="855"/>
      <c r="JA429" s="855"/>
      <c r="JB429" s="855"/>
      <c r="JC429" s="855"/>
      <c r="JD429" s="855"/>
      <c r="JE429" s="855"/>
      <c r="JF429" s="855"/>
      <c r="JG429" s="855"/>
      <c r="JH429" s="855"/>
      <c r="JI429" s="855"/>
      <c r="JJ429" s="855"/>
      <c r="JK429" s="855"/>
      <c r="JL429" s="855"/>
      <c r="JM429"/>
    </row>
    <row r="430" spans="1:273" s="854" customFormat="1">
      <c r="A430" s="102" t="s">
        <v>616</v>
      </c>
      <c r="B430" s="103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  <c r="AA430" s="102"/>
      <c r="AB430" s="102"/>
      <c r="AC430" s="102"/>
      <c r="AD430" s="102"/>
      <c r="AE430" s="102"/>
      <c r="AF430" s="102"/>
      <c r="AG430" s="102"/>
      <c r="AH430" s="102"/>
      <c r="AI430" s="102"/>
      <c r="AJ430" s="102"/>
      <c r="AK430" s="102"/>
      <c r="AL430" s="102"/>
      <c r="AM430" s="102"/>
      <c r="AN430" s="290"/>
      <c r="AO430" s="290"/>
      <c r="AP430" s="290"/>
      <c r="AQ430" s="290"/>
      <c r="AR430" s="360">
        <f t="shared" si="406"/>
        <v>4.2372881355932202E-2</v>
      </c>
      <c r="AS430" s="360">
        <f t="shared" si="406"/>
        <v>0.38636363636363635</v>
      </c>
      <c r="AT430" s="290"/>
      <c r="AU430" s="290"/>
      <c r="AV430" s="360">
        <f t="shared" si="407"/>
        <v>0.7766497461928934</v>
      </c>
      <c r="AW430" s="360">
        <f t="shared" si="407"/>
        <v>1</v>
      </c>
      <c r="AX430" s="853"/>
      <c r="AY430" s="853"/>
      <c r="AZ430" s="360">
        <f t="shared" si="408"/>
        <v>7.0588235294117646E-2</v>
      </c>
      <c r="BA430" s="360">
        <f t="shared" si="408"/>
        <v>0.64893617021276595</v>
      </c>
      <c r="BB430" s="853"/>
      <c r="BC430" s="853"/>
      <c r="BD430" s="360">
        <f t="shared" si="409"/>
        <v>0.28846153846153844</v>
      </c>
      <c r="BE430" s="946">
        <f t="shared" si="410"/>
        <v>0.46869885433715219</v>
      </c>
      <c r="BF430" s="853"/>
      <c r="BG430" s="853"/>
      <c r="BH430" s="946">
        <f t="shared" si="411"/>
        <v>0.37858019639934531</v>
      </c>
      <c r="BI430" s="946">
        <f t="shared" si="412"/>
        <v>0.42363952536824878</v>
      </c>
      <c r="BJ430" s="853"/>
      <c r="BK430" s="853"/>
      <c r="BL430" s="946">
        <f t="shared" si="413"/>
        <v>0.40110986088379708</v>
      </c>
      <c r="BM430" s="946">
        <f t="shared" si="414"/>
        <v>0.41237469312602293</v>
      </c>
      <c r="BN430" s="853"/>
      <c r="BO430" s="853"/>
      <c r="BP430" s="946">
        <f t="shared" si="415"/>
        <v>0.40674227700491</v>
      </c>
      <c r="BQ430" s="946">
        <f t="shared" si="416"/>
        <v>0.40955848506546644</v>
      </c>
      <c r="BR430" s="853"/>
      <c r="BS430" s="853"/>
      <c r="BT430" s="946">
        <f t="shared" si="417"/>
        <v>0.40815038103518819</v>
      </c>
      <c r="BU430" s="946">
        <f t="shared" si="418"/>
        <v>0.40885443305032731</v>
      </c>
      <c r="BV430" s="853"/>
      <c r="BW430" s="853"/>
      <c r="BX430" s="946">
        <f t="shared" si="419"/>
        <v>0.40850240704275775</v>
      </c>
      <c r="BY430" s="946">
        <f t="shared" si="420"/>
        <v>0.40867842004654253</v>
      </c>
      <c r="BZ430" s="853"/>
      <c r="CA430" s="853"/>
      <c r="CB430" s="946">
        <f t="shared" si="421"/>
        <v>0.40859041354465014</v>
      </c>
      <c r="CC430" s="946">
        <f t="shared" si="422"/>
        <v>0.40863441679559631</v>
      </c>
      <c r="CD430" s="853"/>
      <c r="CE430" s="862"/>
      <c r="CF430" s="946">
        <f t="shared" si="423"/>
        <v>0.40861241517012326</v>
      </c>
      <c r="CG430" s="946">
        <f t="shared" si="424"/>
        <v>0.40862341598285978</v>
      </c>
      <c r="CH430" s="853"/>
      <c r="CI430" s="862"/>
      <c r="CJ430" s="946">
        <f t="shared" si="425"/>
        <v>0.40861791557649152</v>
      </c>
      <c r="CK430" s="946">
        <f t="shared" si="426"/>
        <v>0.40862066577967565</v>
      </c>
      <c r="CL430" s="853"/>
      <c r="CM430" s="862"/>
      <c r="CN430" s="946">
        <f t="shared" si="427"/>
        <v>0.40861929067808356</v>
      </c>
      <c r="CO430" s="946">
        <f t="shared" si="428"/>
        <v>0.40861997822887963</v>
      </c>
      <c r="CP430" s="853"/>
      <c r="CQ430" s="862"/>
      <c r="CR430" s="946">
        <f t="shared" si="429"/>
        <v>0.40861963445348159</v>
      </c>
      <c r="CS430" s="946">
        <f t="shared" si="430"/>
        <v>0.40861980634118061</v>
      </c>
      <c r="CT430" s="853"/>
      <c r="CU430" s="853"/>
      <c r="CV430" s="946">
        <f t="shared" si="431"/>
        <v>0.40861972039733108</v>
      </c>
      <c r="CW430" s="946">
        <f t="shared" si="432"/>
        <v>0.40861976336925587</v>
      </c>
      <c r="CX430" s="853"/>
      <c r="CY430" s="853"/>
      <c r="CZ430" s="946">
        <f t="shared" si="433"/>
        <v>0.40861974188329347</v>
      </c>
      <c r="DA430" s="946">
        <f t="shared" si="434"/>
        <v>0.4086197526262747</v>
      </c>
      <c r="DB430" s="853"/>
      <c r="DC430" s="853"/>
      <c r="DD430" s="946">
        <f t="shared" si="435"/>
        <v>0.40861974725478412</v>
      </c>
      <c r="DE430" s="946">
        <f t="shared" si="436"/>
        <v>0.40861974994052941</v>
      </c>
      <c r="DF430" s="853"/>
      <c r="DG430" s="853"/>
      <c r="DH430" s="946">
        <f t="shared" si="437"/>
        <v>0.40861974859765676</v>
      </c>
      <c r="DI430" s="946">
        <f t="shared" si="438"/>
        <v>0.40861974926909306</v>
      </c>
      <c r="DJ430" s="853"/>
      <c r="DK430" s="853"/>
      <c r="DL430" s="946">
        <f t="shared" si="439"/>
        <v>0.40861974893337494</v>
      </c>
      <c r="DM430" s="946">
        <f t="shared" si="440"/>
        <v>0.408619749101234</v>
      </c>
      <c r="DN430" s="853"/>
      <c r="DO430" s="853"/>
      <c r="DP430" s="946">
        <f t="shared" si="441"/>
        <v>0.40861974901730447</v>
      </c>
      <c r="DQ430" s="946">
        <f t="shared" si="442"/>
        <v>0.40861974905926923</v>
      </c>
      <c r="DR430" s="853"/>
      <c r="DS430" s="853"/>
      <c r="DT430" s="853"/>
      <c r="DU430" s="946"/>
      <c r="DV430" s="946"/>
      <c r="DW430" s="946"/>
      <c r="DX430" s="853"/>
      <c r="DY430" s="853"/>
      <c r="DZ430" s="946"/>
      <c r="EA430" s="946"/>
      <c r="EB430" s="853"/>
      <c r="EC430" s="853"/>
      <c r="ED430" s="946"/>
      <c r="EE430" s="946"/>
      <c r="EF430" s="853"/>
      <c r="EG430" s="853"/>
      <c r="EH430" s="853"/>
      <c r="EI430" s="853"/>
      <c r="EJ430" s="853"/>
      <c r="EK430" s="853"/>
      <c r="EL430" s="853"/>
      <c r="EM430" s="853"/>
      <c r="EN430" s="853"/>
      <c r="EO430" s="853"/>
      <c r="EP430" s="853"/>
      <c r="EQ430" s="855"/>
      <c r="ER430" s="855"/>
      <c r="ES430" s="855"/>
      <c r="ET430" s="855"/>
      <c r="EU430" s="855"/>
      <c r="EV430" s="855"/>
      <c r="EW430" s="855"/>
      <c r="EX430" s="855"/>
      <c r="EY430" s="855"/>
      <c r="EZ430" s="855"/>
      <c r="FA430" s="855"/>
      <c r="FB430" s="855"/>
      <c r="FC430" s="855"/>
      <c r="FD430" s="855"/>
      <c r="FE430" s="855"/>
      <c r="FF430" s="855"/>
      <c r="FG430" s="855"/>
      <c r="FH430" s="855"/>
      <c r="FI430" s="855"/>
      <c r="FJ430" s="855"/>
      <c r="FK430" s="855"/>
      <c r="FL430" s="855"/>
      <c r="FM430" s="855"/>
      <c r="FN430" s="855"/>
      <c r="FO430" s="855"/>
      <c r="FP430" s="855"/>
      <c r="FQ430" s="855"/>
      <c r="FR430" s="855"/>
      <c r="FS430" s="855"/>
      <c r="FT430" s="855"/>
      <c r="FU430" s="855"/>
      <c r="FV430" s="855"/>
      <c r="FW430" s="855"/>
      <c r="FX430" s="855"/>
      <c r="FY430" s="855"/>
      <c r="FZ430" s="855"/>
      <c r="GA430" s="855"/>
      <c r="GB430" s="855"/>
      <c r="GC430" s="855"/>
      <c r="GD430" s="855"/>
      <c r="GE430" s="855"/>
      <c r="GF430" s="855"/>
      <c r="GG430" s="855"/>
      <c r="GH430" s="855"/>
      <c r="GI430" s="855"/>
      <c r="GJ430" s="855"/>
      <c r="GK430" s="855"/>
      <c r="GL430" s="855"/>
      <c r="GM430" s="855"/>
      <c r="GN430" s="855"/>
      <c r="GO430" s="855"/>
      <c r="GP430" s="855"/>
      <c r="GQ430" s="855"/>
      <c r="GR430" s="855"/>
      <c r="GS430" s="855"/>
      <c r="GT430" s="855"/>
      <c r="GU430" s="855"/>
      <c r="GV430" s="855"/>
      <c r="GW430" s="855"/>
      <c r="GX430" s="855"/>
      <c r="GY430" s="855"/>
      <c r="GZ430" s="855"/>
      <c r="HA430" s="855"/>
      <c r="HB430" s="855"/>
      <c r="HC430" s="855"/>
      <c r="HD430" s="855"/>
      <c r="HE430" s="855"/>
      <c r="HF430" s="855"/>
      <c r="HG430" s="855"/>
      <c r="HH430" s="855"/>
      <c r="HI430" s="855"/>
      <c r="HJ430" s="855"/>
      <c r="HK430" s="855"/>
      <c r="HL430" s="855"/>
      <c r="HM430" s="855"/>
      <c r="HN430" s="855"/>
      <c r="HO430" s="855"/>
      <c r="HP430" s="855"/>
      <c r="HQ430" s="855"/>
      <c r="HR430" s="855"/>
      <c r="HS430" s="855"/>
      <c r="HT430" s="855"/>
      <c r="HU430" s="855"/>
      <c r="HV430" s="855"/>
      <c r="HW430" s="855"/>
      <c r="HX430" s="855"/>
      <c r="HY430" s="855"/>
      <c r="HZ430" s="855"/>
      <c r="IA430" s="855"/>
      <c r="IB430" s="855"/>
      <c r="IC430" s="855"/>
      <c r="ID430" s="855"/>
      <c r="IE430" s="855"/>
      <c r="IF430" s="855"/>
      <c r="IG430" s="855"/>
      <c r="IH430" s="855"/>
      <c r="II430" s="855"/>
      <c r="IJ430" s="855"/>
      <c r="IK430" s="855"/>
      <c r="IL430" s="855"/>
      <c r="IM430" s="855"/>
      <c r="IN430" s="855"/>
      <c r="IO430" s="855"/>
      <c r="IP430" s="855"/>
      <c r="IQ430" s="855"/>
      <c r="IR430" s="855"/>
      <c r="IS430" s="855"/>
      <c r="IT430" s="855"/>
      <c r="IU430" s="855"/>
      <c r="IV430" s="855"/>
      <c r="IW430" s="855"/>
      <c r="IX430" s="855"/>
      <c r="IY430" s="855"/>
      <c r="IZ430" s="855"/>
      <c r="JA430" s="855"/>
      <c r="JB430" s="855"/>
      <c r="JC430" s="855"/>
      <c r="JD430" s="855"/>
      <c r="JE430" s="855"/>
      <c r="JF430" s="855"/>
      <c r="JG430" s="855"/>
      <c r="JH430" s="855"/>
      <c r="JI430" s="855"/>
      <c r="JJ430" s="855"/>
      <c r="JK430" s="855"/>
      <c r="JL430" s="855"/>
      <c r="JM430"/>
    </row>
    <row r="431" spans="1:273" s="854" customFormat="1">
      <c r="A431" s="102" t="s">
        <v>687</v>
      </c>
      <c r="B431" s="103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  <c r="AA431" s="102"/>
      <c r="AB431" s="102"/>
      <c r="AC431" s="102"/>
      <c r="AD431" s="102"/>
      <c r="AE431" s="102"/>
      <c r="AF431" s="102"/>
      <c r="AG431" s="102"/>
      <c r="AH431" s="102"/>
      <c r="AI431" s="102"/>
      <c r="AJ431" s="102"/>
      <c r="AK431" s="102"/>
      <c r="AL431" s="102"/>
      <c r="AM431" s="102"/>
      <c r="AN431" s="290"/>
      <c r="AO431" s="290"/>
      <c r="AP431" s="290"/>
      <c r="AQ431" s="290"/>
      <c r="AR431" s="360">
        <f t="shared" si="406"/>
        <v>9.3220338983050849E-2</v>
      </c>
      <c r="AS431" s="360">
        <f t="shared" si="406"/>
        <v>-1.3863636363636365</v>
      </c>
      <c r="AT431" s="290"/>
      <c r="AU431" s="290"/>
      <c r="AV431" s="360">
        <f t="shared" si="407"/>
        <v>-2.030456852791878E-2</v>
      </c>
      <c r="AW431" s="360">
        <f t="shared" si="407"/>
        <v>-0.27272727272727271</v>
      </c>
      <c r="AX431" s="853"/>
      <c r="AY431" s="853"/>
      <c r="AZ431" s="360">
        <f t="shared" si="408"/>
        <v>0.17647058823529413</v>
      </c>
      <c r="BA431" s="360">
        <f t="shared" si="408"/>
        <v>1.0638297872340425E-2</v>
      </c>
      <c r="BB431" s="853"/>
      <c r="BC431" s="853"/>
      <c r="BD431" s="360">
        <f t="shared" si="409"/>
        <v>0.17307692307692307</v>
      </c>
      <c r="BE431" s="946">
        <f t="shared" si="410"/>
        <v>9.1857610474631743E-2</v>
      </c>
      <c r="BF431" s="853"/>
      <c r="BG431" s="853"/>
      <c r="BH431" s="946">
        <f t="shared" si="411"/>
        <v>0.13246726677577741</v>
      </c>
      <c r="BI431" s="946">
        <f t="shared" si="412"/>
        <v>0.11216243862520459</v>
      </c>
      <c r="BJ431" s="853"/>
      <c r="BK431" s="853"/>
      <c r="BL431" s="946">
        <f t="shared" si="413"/>
        <v>0.122314852700491</v>
      </c>
      <c r="BM431" s="946">
        <f t="shared" si="414"/>
        <v>0.11723864566284779</v>
      </c>
      <c r="BN431" s="853"/>
      <c r="BO431" s="853"/>
      <c r="BP431" s="946">
        <f t="shared" si="415"/>
        <v>0.11977674918166939</v>
      </c>
      <c r="BQ431" s="946">
        <f t="shared" si="416"/>
        <v>0.11850769742225858</v>
      </c>
      <c r="BR431" s="853"/>
      <c r="BS431" s="853"/>
      <c r="BT431" s="946">
        <f t="shared" si="417"/>
        <v>0.11914222330196399</v>
      </c>
      <c r="BU431" s="946">
        <f t="shared" si="418"/>
        <v>0.11882496036211129</v>
      </c>
      <c r="BV431" s="853"/>
      <c r="BW431" s="853"/>
      <c r="BX431" s="946">
        <f t="shared" si="419"/>
        <v>0.11898359183203763</v>
      </c>
      <c r="BY431" s="946">
        <f t="shared" si="420"/>
        <v>0.11890427609707446</v>
      </c>
      <c r="BZ431" s="853"/>
      <c r="CA431" s="853"/>
      <c r="CB431" s="946">
        <f t="shared" si="421"/>
        <v>0.11894393396455605</v>
      </c>
      <c r="CC431" s="946">
        <f t="shared" si="422"/>
        <v>0.11892410503081526</v>
      </c>
      <c r="CD431" s="853"/>
      <c r="CE431" s="862"/>
      <c r="CF431" s="946">
        <f t="shared" si="423"/>
        <v>0.11893401949768564</v>
      </c>
      <c r="CG431" s="946">
        <f t="shared" si="424"/>
        <v>0.11892906226425046</v>
      </c>
      <c r="CH431" s="853"/>
      <c r="CI431" s="862"/>
      <c r="CJ431" s="946">
        <f t="shared" si="425"/>
        <v>0.11893154088096805</v>
      </c>
      <c r="CK431" s="946">
        <f t="shared" si="426"/>
        <v>0.11893030157260925</v>
      </c>
      <c r="CL431" s="853"/>
      <c r="CM431" s="862"/>
      <c r="CN431" s="946">
        <f t="shared" si="427"/>
        <v>0.11893092122678865</v>
      </c>
      <c r="CO431" s="946">
        <f t="shared" si="428"/>
        <v>0.11893061139969896</v>
      </c>
      <c r="CP431" s="853"/>
      <c r="CQ431" s="862"/>
      <c r="CR431" s="946">
        <f t="shared" si="429"/>
        <v>0.11893076631324381</v>
      </c>
      <c r="CS431" s="946">
        <f t="shared" si="430"/>
        <v>0.11893068885647139</v>
      </c>
      <c r="CT431" s="853"/>
      <c r="CU431" s="853"/>
      <c r="CV431" s="946">
        <f t="shared" si="431"/>
        <v>0.11893072758485759</v>
      </c>
      <c r="CW431" s="946">
        <f t="shared" si="432"/>
        <v>0.11893070822066448</v>
      </c>
      <c r="CX431" s="853"/>
      <c r="CY431" s="853"/>
      <c r="CZ431" s="946">
        <f t="shared" si="433"/>
        <v>0.11893071790276104</v>
      </c>
      <c r="DA431" s="946">
        <f t="shared" si="434"/>
        <v>0.11893071306171277</v>
      </c>
      <c r="DB431" s="853"/>
      <c r="DC431" s="853"/>
      <c r="DD431" s="946">
        <f t="shared" si="435"/>
        <v>0.11893071548223691</v>
      </c>
      <c r="DE431" s="946">
        <f t="shared" si="436"/>
        <v>0.11893071427197484</v>
      </c>
      <c r="DF431" s="853"/>
      <c r="DG431" s="853"/>
      <c r="DH431" s="946">
        <f t="shared" si="437"/>
        <v>0.11893071487710588</v>
      </c>
      <c r="DI431" s="946">
        <f t="shared" si="438"/>
        <v>0.11893071457454035</v>
      </c>
      <c r="DJ431" s="853"/>
      <c r="DK431" s="853"/>
      <c r="DL431" s="946">
        <f t="shared" si="439"/>
        <v>0.11893071472582312</v>
      </c>
      <c r="DM431" s="946">
        <f t="shared" si="440"/>
        <v>0.11893071465018173</v>
      </c>
      <c r="DN431" s="853"/>
      <c r="DO431" s="853"/>
      <c r="DP431" s="946">
        <f t="shared" si="441"/>
        <v>0.11893071468800243</v>
      </c>
      <c r="DQ431" s="946">
        <f t="shared" si="442"/>
        <v>0.11893071466909208</v>
      </c>
      <c r="DR431" s="853"/>
      <c r="DS431" s="853"/>
      <c r="DT431" s="853"/>
      <c r="DU431" s="946"/>
      <c r="DV431" s="946"/>
      <c r="DW431" s="946"/>
      <c r="DX431" s="853"/>
      <c r="DY431" s="853"/>
      <c r="DZ431" s="946"/>
      <c r="EA431" s="946"/>
      <c r="EB431" s="853"/>
      <c r="EC431" s="853"/>
      <c r="ED431" s="946"/>
      <c r="EE431" s="946"/>
      <c r="EF431" s="853"/>
      <c r="EG431" s="853"/>
      <c r="EH431" s="853"/>
      <c r="EI431" s="853"/>
      <c r="EJ431" s="853"/>
      <c r="EK431" s="853"/>
      <c r="EL431" s="853"/>
      <c r="EM431" s="853"/>
      <c r="EN431" s="853"/>
      <c r="EO431" s="853"/>
      <c r="EP431" s="853"/>
      <c r="EQ431" s="855"/>
      <c r="ER431" s="855"/>
      <c r="ES431" s="855"/>
      <c r="ET431" s="855"/>
      <c r="EU431" s="855"/>
      <c r="EV431" s="855"/>
      <c r="EW431" s="855"/>
      <c r="EX431" s="855"/>
      <c r="EY431" s="855"/>
      <c r="EZ431" s="855"/>
      <c r="FA431" s="855"/>
      <c r="FB431" s="855"/>
      <c r="FC431" s="855"/>
      <c r="FD431" s="855"/>
      <c r="FE431" s="855"/>
      <c r="FF431" s="855"/>
      <c r="FG431" s="855"/>
      <c r="FH431" s="855"/>
      <c r="FI431" s="855"/>
      <c r="FJ431" s="855"/>
      <c r="FK431" s="855"/>
      <c r="FL431" s="855"/>
      <c r="FM431" s="855"/>
      <c r="FN431" s="855"/>
      <c r="FO431" s="855"/>
      <c r="FP431" s="855"/>
      <c r="FQ431" s="855"/>
      <c r="FR431" s="855"/>
      <c r="FS431" s="855"/>
      <c r="FT431" s="855"/>
      <c r="FU431" s="855"/>
      <c r="FV431" s="855"/>
      <c r="FW431" s="855"/>
      <c r="FX431" s="855"/>
      <c r="FY431" s="855"/>
      <c r="FZ431" s="855"/>
      <c r="GA431" s="855"/>
      <c r="GB431" s="855"/>
      <c r="GC431" s="855"/>
      <c r="GD431" s="855"/>
      <c r="GE431" s="855"/>
      <c r="GF431" s="855"/>
      <c r="GG431" s="855"/>
      <c r="GH431" s="855"/>
      <c r="GI431" s="855"/>
      <c r="GJ431" s="855"/>
      <c r="GK431" s="855"/>
      <c r="GL431" s="855"/>
      <c r="GM431" s="855"/>
      <c r="GN431" s="855"/>
      <c r="GO431" s="855"/>
      <c r="GP431" s="855"/>
      <c r="GQ431" s="855"/>
      <c r="GR431" s="855"/>
      <c r="GS431" s="855"/>
      <c r="GT431" s="855"/>
      <c r="GU431" s="855"/>
      <c r="GV431" s="855"/>
      <c r="GW431" s="855"/>
      <c r="GX431" s="855"/>
      <c r="GY431" s="855"/>
      <c r="GZ431" s="855"/>
      <c r="HA431" s="855"/>
      <c r="HB431" s="855"/>
      <c r="HC431" s="855"/>
      <c r="HD431" s="855"/>
      <c r="HE431" s="855"/>
      <c r="HF431" s="855"/>
      <c r="HG431" s="855"/>
      <c r="HH431" s="855"/>
      <c r="HI431" s="855"/>
      <c r="HJ431" s="855"/>
      <c r="HK431" s="855"/>
      <c r="HL431" s="855"/>
      <c r="HM431" s="855"/>
      <c r="HN431" s="855"/>
      <c r="HO431" s="855"/>
      <c r="HP431" s="855"/>
      <c r="HQ431" s="855"/>
      <c r="HR431" s="855"/>
      <c r="HS431" s="855"/>
      <c r="HT431" s="855"/>
      <c r="HU431" s="855"/>
      <c r="HV431" s="855"/>
      <c r="HW431" s="855"/>
      <c r="HX431" s="855"/>
      <c r="HY431" s="855"/>
      <c r="HZ431" s="855"/>
      <c r="IA431" s="855"/>
      <c r="IB431" s="855"/>
      <c r="IC431" s="855"/>
      <c r="ID431" s="855"/>
      <c r="IE431" s="855"/>
      <c r="IF431" s="855"/>
      <c r="IG431" s="855"/>
      <c r="IH431" s="855"/>
      <c r="II431" s="855"/>
      <c r="IJ431" s="855"/>
      <c r="IK431" s="855"/>
      <c r="IL431" s="855"/>
      <c r="IM431" s="855"/>
      <c r="IN431" s="855"/>
      <c r="IO431" s="855"/>
      <c r="IP431" s="855"/>
      <c r="IQ431" s="855"/>
      <c r="IR431" s="855"/>
      <c r="IS431" s="855"/>
      <c r="IT431" s="855"/>
      <c r="IU431" s="855"/>
      <c r="IV431" s="855"/>
      <c r="IW431" s="855"/>
      <c r="IX431" s="855"/>
      <c r="IY431" s="855"/>
      <c r="IZ431" s="855"/>
      <c r="JA431" s="855"/>
      <c r="JB431" s="855"/>
      <c r="JC431" s="855"/>
      <c r="JD431" s="855"/>
      <c r="JE431" s="855"/>
      <c r="JF431" s="855"/>
      <c r="JG431" s="855"/>
      <c r="JH431" s="855"/>
      <c r="JI431" s="855"/>
      <c r="JJ431" s="855"/>
      <c r="JK431" s="855"/>
      <c r="JL431" s="855"/>
      <c r="JM431"/>
    </row>
    <row r="432" spans="1:273" s="854" customFormat="1">
      <c r="A432" s="102" t="s">
        <v>690</v>
      </c>
      <c r="B432" s="103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  <c r="AA432" s="102"/>
      <c r="AB432" s="102"/>
      <c r="AC432" s="102"/>
      <c r="AD432" s="102"/>
      <c r="AE432" s="102"/>
      <c r="AF432" s="102"/>
      <c r="AG432" s="102"/>
      <c r="AH432" s="102"/>
      <c r="AI432" s="102"/>
      <c r="AJ432" s="102"/>
      <c r="AK432" s="102"/>
      <c r="AL432" s="102"/>
      <c r="AM432" s="102"/>
      <c r="AN432" s="290"/>
      <c r="AO432" s="290"/>
      <c r="AP432" s="290"/>
      <c r="AQ432" s="290"/>
      <c r="AR432" s="360">
        <f t="shared" si="406"/>
        <v>0</v>
      </c>
      <c r="AS432" s="360">
        <f t="shared" si="406"/>
        <v>2.2727272727272728E-2</v>
      </c>
      <c r="AT432" s="290"/>
      <c r="AU432" s="290"/>
      <c r="AV432" s="360">
        <f t="shared" si="407"/>
        <v>-5.076142131979695E-3</v>
      </c>
      <c r="AW432" s="360">
        <f t="shared" si="407"/>
        <v>0.18181818181818182</v>
      </c>
      <c r="AX432" s="853"/>
      <c r="AY432" s="853"/>
      <c r="AZ432" s="360">
        <f t="shared" si="408"/>
        <v>0.22352941176470589</v>
      </c>
      <c r="BA432" s="360">
        <f t="shared" si="408"/>
        <v>5.3191489361702128E-2</v>
      </c>
      <c r="BB432" s="853"/>
      <c r="BC432" s="853"/>
      <c r="BD432" s="360">
        <f t="shared" si="409"/>
        <v>3.8461538461538464E-2</v>
      </c>
      <c r="BE432" s="946">
        <f t="shared" si="410"/>
        <v>4.5826513911620292E-2</v>
      </c>
      <c r="BF432" s="853"/>
      <c r="BG432" s="853"/>
      <c r="BH432" s="946">
        <f t="shared" si="411"/>
        <v>4.2144026186579378E-2</v>
      </c>
      <c r="BI432" s="946">
        <f t="shared" si="412"/>
        <v>4.3985270049099835E-2</v>
      </c>
      <c r="BJ432" s="853"/>
      <c r="BK432" s="853"/>
      <c r="BL432" s="946">
        <f t="shared" si="413"/>
        <v>4.306464811783961E-2</v>
      </c>
      <c r="BM432" s="946">
        <f t="shared" si="414"/>
        <v>4.3524959083469719E-2</v>
      </c>
      <c r="BN432" s="853"/>
      <c r="BO432" s="853"/>
      <c r="BP432" s="946">
        <f t="shared" si="415"/>
        <v>4.3294803600654665E-2</v>
      </c>
      <c r="BQ432" s="946">
        <f t="shared" si="416"/>
        <v>4.3409881342062195E-2</v>
      </c>
      <c r="BR432" s="853"/>
      <c r="BS432" s="853"/>
      <c r="BT432" s="946">
        <f t="shared" si="417"/>
        <v>4.3352342471358427E-2</v>
      </c>
      <c r="BU432" s="946">
        <f t="shared" si="418"/>
        <v>4.3381111906710311E-2</v>
      </c>
      <c r="BV432" s="853"/>
      <c r="BW432" s="853"/>
      <c r="BX432" s="946">
        <f t="shared" si="419"/>
        <v>4.3366727189034365E-2</v>
      </c>
      <c r="BY432" s="946">
        <f t="shared" si="420"/>
        <v>4.3373919547872342E-2</v>
      </c>
      <c r="BZ432" s="853"/>
      <c r="CA432" s="853"/>
      <c r="CB432" s="946">
        <f t="shared" si="421"/>
        <v>4.3370323368453353E-2</v>
      </c>
      <c r="CC432" s="946">
        <f t="shared" si="422"/>
        <v>4.3372121458162848E-2</v>
      </c>
      <c r="CD432" s="853"/>
      <c r="CE432" s="862"/>
      <c r="CF432" s="946">
        <f t="shared" si="423"/>
        <v>4.3371222413308097E-2</v>
      </c>
      <c r="CG432" s="946">
        <f t="shared" si="424"/>
        <v>4.3371671935735476E-2</v>
      </c>
      <c r="CH432" s="853"/>
      <c r="CI432" s="862"/>
      <c r="CJ432" s="946">
        <f t="shared" si="425"/>
        <v>4.3371447174521786E-2</v>
      </c>
      <c r="CK432" s="946">
        <f t="shared" si="426"/>
        <v>4.3371559555128628E-2</v>
      </c>
      <c r="CL432" s="853"/>
      <c r="CM432" s="862"/>
      <c r="CN432" s="946">
        <f t="shared" si="427"/>
        <v>4.3371503364825204E-2</v>
      </c>
      <c r="CO432" s="946">
        <f t="shared" si="428"/>
        <v>4.3371531459976916E-2</v>
      </c>
      <c r="CP432" s="853"/>
      <c r="CQ432" s="862"/>
      <c r="CR432" s="946">
        <f t="shared" si="429"/>
        <v>4.3371517412401056E-2</v>
      </c>
      <c r="CS432" s="946">
        <f t="shared" si="430"/>
        <v>4.3371524436188982E-2</v>
      </c>
      <c r="CT432" s="853"/>
      <c r="CU432" s="853"/>
      <c r="CV432" s="946">
        <f t="shared" si="431"/>
        <v>4.3371520924295019E-2</v>
      </c>
      <c r="CW432" s="946">
        <f t="shared" si="432"/>
        <v>4.3371522680241997E-2</v>
      </c>
      <c r="CX432" s="853"/>
      <c r="CY432" s="853"/>
      <c r="CZ432" s="946">
        <f t="shared" si="433"/>
        <v>4.3371521802268512E-2</v>
      </c>
      <c r="DA432" s="946">
        <f t="shared" si="434"/>
        <v>4.3371522241255255E-2</v>
      </c>
      <c r="DB432" s="853"/>
      <c r="DC432" s="853"/>
      <c r="DD432" s="946">
        <f t="shared" si="435"/>
        <v>4.337152202176188E-2</v>
      </c>
      <c r="DE432" s="946">
        <f t="shared" si="436"/>
        <v>4.3371522131508564E-2</v>
      </c>
      <c r="DF432" s="853"/>
      <c r="DG432" s="853"/>
      <c r="DH432" s="946">
        <f t="shared" si="437"/>
        <v>4.3371522076635222E-2</v>
      </c>
      <c r="DI432" s="946">
        <f t="shared" si="438"/>
        <v>4.3371522104071893E-2</v>
      </c>
      <c r="DJ432" s="853"/>
      <c r="DK432" s="853"/>
      <c r="DL432" s="946">
        <f t="shared" si="439"/>
        <v>4.3371522090353554E-2</v>
      </c>
      <c r="DM432" s="946">
        <f t="shared" si="440"/>
        <v>4.337152209721272E-2</v>
      </c>
      <c r="DN432" s="853"/>
      <c r="DO432" s="853"/>
      <c r="DP432" s="946">
        <f t="shared" si="441"/>
        <v>4.3371522093783137E-2</v>
      </c>
      <c r="DQ432" s="946">
        <f t="shared" si="442"/>
        <v>4.3371522095497925E-2</v>
      </c>
      <c r="DR432" s="853"/>
      <c r="DS432" s="853"/>
      <c r="DT432" s="853"/>
      <c r="DU432" s="946"/>
      <c r="DV432" s="946"/>
      <c r="DW432" s="946"/>
      <c r="DX432" s="853"/>
      <c r="DY432" s="853"/>
      <c r="DZ432" s="946"/>
      <c r="EA432" s="946"/>
      <c r="EB432" s="853"/>
      <c r="EC432" s="853"/>
      <c r="ED432" s="946"/>
      <c r="EE432" s="946"/>
      <c r="EF432" s="853"/>
      <c r="EG432" s="853"/>
      <c r="EH432" s="853"/>
      <c r="EI432" s="853"/>
      <c r="EJ432" s="853"/>
      <c r="EK432" s="853"/>
      <c r="EL432" s="853"/>
      <c r="EM432" s="853"/>
      <c r="EN432" s="853"/>
      <c r="EO432" s="853"/>
      <c r="EP432" s="853"/>
      <c r="EQ432" s="855"/>
      <c r="ER432" s="855"/>
      <c r="ES432" s="855"/>
      <c r="ET432" s="855"/>
      <c r="EU432" s="855"/>
      <c r="EV432" s="855"/>
      <c r="EW432" s="855"/>
      <c r="EX432" s="855"/>
      <c r="EY432" s="855"/>
      <c r="EZ432" s="855"/>
      <c r="FA432" s="855"/>
      <c r="FB432" s="855"/>
      <c r="FC432" s="855"/>
      <c r="FD432" s="855"/>
      <c r="FE432" s="855"/>
      <c r="FF432" s="855"/>
      <c r="FG432" s="855"/>
      <c r="FH432" s="855"/>
      <c r="FI432" s="855"/>
      <c r="FJ432" s="855"/>
      <c r="FK432" s="855"/>
      <c r="FL432" s="855"/>
      <c r="FM432" s="855"/>
      <c r="FN432" s="855"/>
      <c r="FO432" s="855"/>
      <c r="FP432" s="855"/>
      <c r="FQ432" s="855"/>
      <c r="FR432" s="855"/>
      <c r="FS432" s="855"/>
      <c r="FT432" s="855"/>
      <c r="FU432" s="855"/>
      <c r="FV432" s="855"/>
      <c r="FW432" s="855"/>
      <c r="FX432" s="855"/>
      <c r="FY432" s="855"/>
      <c r="FZ432" s="855"/>
      <c r="GA432" s="855"/>
      <c r="GB432" s="855"/>
      <c r="GC432" s="855"/>
      <c r="GD432" s="855"/>
      <c r="GE432" s="855"/>
      <c r="GF432" s="855"/>
      <c r="GG432" s="855"/>
      <c r="GH432" s="855"/>
      <c r="GI432" s="855"/>
      <c r="GJ432" s="855"/>
      <c r="GK432" s="855"/>
      <c r="GL432" s="855"/>
      <c r="GM432" s="855"/>
      <c r="GN432" s="855"/>
      <c r="GO432" s="855"/>
      <c r="GP432" s="855"/>
      <c r="GQ432" s="855"/>
      <c r="GR432" s="855"/>
      <c r="GS432" s="855"/>
      <c r="GT432" s="855"/>
      <c r="GU432" s="855"/>
      <c r="GV432" s="855"/>
      <c r="GW432" s="855"/>
      <c r="GX432" s="855"/>
      <c r="GY432" s="855"/>
      <c r="GZ432" s="855"/>
      <c r="HA432" s="855"/>
      <c r="HB432" s="855"/>
      <c r="HC432" s="855"/>
      <c r="HD432" s="855"/>
      <c r="HE432" s="855"/>
      <c r="HF432" s="855"/>
      <c r="HG432" s="855"/>
      <c r="HH432" s="855"/>
      <c r="HI432" s="855"/>
      <c r="HJ432" s="855"/>
      <c r="HK432" s="855"/>
      <c r="HL432" s="855"/>
      <c r="HM432" s="855"/>
      <c r="HN432" s="855"/>
      <c r="HO432" s="855"/>
      <c r="HP432" s="855"/>
      <c r="HQ432" s="855"/>
      <c r="HR432" s="855"/>
      <c r="HS432" s="855"/>
      <c r="HT432" s="855"/>
      <c r="HU432" s="855"/>
      <c r="HV432" s="855"/>
      <c r="HW432" s="855"/>
      <c r="HX432" s="855"/>
      <c r="HY432" s="855"/>
      <c r="HZ432" s="855"/>
      <c r="IA432" s="855"/>
      <c r="IB432" s="855"/>
      <c r="IC432" s="855"/>
      <c r="ID432" s="855"/>
      <c r="IE432" s="855"/>
      <c r="IF432" s="855"/>
      <c r="IG432" s="855"/>
      <c r="IH432" s="855"/>
      <c r="II432" s="855"/>
      <c r="IJ432" s="855"/>
      <c r="IK432" s="855"/>
      <c r="IL432" s="855"/>
      <c r="IM432" s="855"/>
      <c r="IN432" s="855"/>
      <c r="IO432" s="855"/>
      <c r="IP432" s="855"/>
      <c r="IQ432" s="855"/>
      <c r="IR432" s="855"/>
      <c r="IS432" s="855"/>
      <c r="IT432" s="855"/>
      <c r="IU432" s="855"/>
      <c r="IV432" s="855"/>
      <c r="IW432" s="855"/>
      <c r="IX432" s="855"/>
      <c r="IY432" s="855"/>
      <c r="IZ432" s="855"/>
      <c r="JA432" s="855"/>
      <c r="JB432" s="855"/>
      <c r="JC432" s="855"/>
      <c r="JD432" s="855"/>
      <c r="JE432" s="855"/>
      <c r="JF432" s="855"/>
      <c r="JG432" s="855"/>
      <c r="JH432" s="855"/>
      <c r="JI432" s="855"/>
      <c r="JJ432" s="855"/>
      <c r="JK432" s="855"/>
      <c r="JL432" s="855"/>
      <c r="JM432"/>
    </row>
    <row r="433" spans="1:273" s="854" customFormat="1">
      <c r="A433" s="102" t="s">
        <v>689</v>
      </c>
      <c r="B433" s="103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  <c r="AA433" s="102"/>
      <c r="AB433" s="102"/>
      <c r="AC433" s="102"/>
      <c r="AD433" s="102"/>
      <c r="AE433" s="102"/>
      <c r="AF433" s="102"/>
      <c r="AG433" s="102"/>
      <c r="AH433" s="102"/>
      <c r="AI433" s="102"/>
      <c r="AJ433" s="102"/>
      <c r="AK433" s="102"/>
      <c r="AL433" s="102"/>
      <c r="AM433" s="102"/>
      <c r="AN433" s="290"/>
      <c r="AO433" s="290"/>
      <c r="AP433" s="290"/>
      <c r="AQ433" s="290"/>
      <c r="AR433" s="360">
        <f t="shared" si="406"/>
        <v>-2.5423728813559324E-2</v>
      </c>
      <c r="AS433" s="360">
        <f t="shared" si="406"/>
        <v>9.0909090909090912E-2</v>
      </c>
      <c r="AT433" s="290"/>
      <c r="AU433" s="290"/>
      <c r="AV433" s="360">
        <f t="shared" si="407"/>
        <v>0</v>
      </c>
      <c r="AW433" s="360">
        <f t="shared" si="407"/>
        <v>-6.0606060606060608E-2</v>
      </c>
      <c r="AX433" s="853"/>
      <c r="AY433" s="853"/>
      <c r="AZ433" s="360">
        <f t="shared" si="408"/>
        <v>0</v>
      </c>
      <c r="BA433" s="360">
        <f t="shared" si="408"/>
        <v>1.0638297872340425E-2</v>
      </c>
      <c r="BB433" s="853"/>
      <c r="BC433" s="853"/>
      <c r="BD433" s="360">
        <f t="shared" si="409"/>
        <v>0</v>
      </c>
      <c r="BE433" s="946">
        <f t="shared" si="410"/>
        <v>5.3191489361702126E-3</v>
      </c>
      <c r="BF433" s="853"/>
      <c r="BG433" s="853"/>
      <c r="BH433" s="946">
        <f t="shared" si="411"/>
        <v>2.6595744680851063E-3</v>
      </c>
      <c r="BI433" s="946">
        <f t="shared" si="412"/>
        <v>3.9893617021276593E-3</v>
      </c>
      <c r="BJ433" s="853"/>
      <c r="BK433" s="853"/>
      <c r="BL433" s="946">
        <f t="shared" si="413"/>
        <v>3.3244680851063826E-3</v>
      </c>
      <c r="BM433" s="946">
        <f t="shared" si="414"/>
        <v>3.6569148936170209E-3</v>
      </c>
      <c r="BN433" s="853"/>
      <c r="BO433" s="853"/>
      <c r="BP433" s="946">
        <f t="shared" si="415"/>
        <v>3.490691489361702E-3</v>
      </c>
      <c r="BQ433" s="946">
        <f t="shared" si="416"/>
        <v>3.5738031914893612E-3</v>
      </c>
      <c r="BR433" s="853"/>
      <c r="BS433" s="853"/>
      <c r="BT433" s="946">
        <f t="shared" si="417"/>
        <v>3.5322473404255316E-3</v>
      </c>
      <c r="BU433" s="946">
        <f t="shared" si="418"/>
        <v>3.5530252659574466E-3</v>
      </c>
      <c r="BV433" s="853"/>
      <c r="BW433" s="853"/>
      <c r="BX433" s="946">
        <f t="shared" si="419"/>
        <v>3.5426363031914893E-3</v>
      </c>
      <c r="BY433" s="946">
        <f t="shared" si="420"/>
        <v>3.547830784574468E-3</v>
      </c>
      <c r="BZ433" s="853"/>
      <c r="CA433" s="853"/>
      <c r="CB433" s="946">
        <f t="shared" si="421"/>
        <v>3.5452335438829786E-3</v>
      </c>
      <c r="CC433" s="946">
        <f t="shared" si="422"/>
        <v>3.5465321642287233E-3</v>
      </c>
      <c r="CD433" s="853"/>
      <c r="CE433" s="862"/>
      <c r="CF433" s="946">
        <f t="shared" si="423"/>
        <v>3.545882854055851E-3</v>
      </c>
      <c r="CG433" s="946">
        <f t="shared" si="424"/>
        <v>3.5462075091422874E-3</v>
      </c>
      <c r="CH433" s="853"/>
      <c r="CI433" s="862"/>
      <c r="CJ433" s="946">
        <f t="shared" si="425"/>
        <v>3.5460451815990694E-3</v>
      </c>
      <c r="CK433" s="946">
        <f t="shared" si="426"/>
        <v>3.5461263453706784E-3</v>
      </c>
      <c r="CL433" s="853"/>
      <c r="CM433" s="862"/>
      <c r="CN433" s="946">
        <f t="shared" si="427"/>
        <v>3.5460857634848739E-3</v>
      </c>
      <c r="CO433" s="946">
        <f t="shared" si="428"/>
        <v>3.5461060544277759E-3</v>
      </c>
      <c r="CP433" s="853"/>
      <c r="CQ433" s="862"/>
      <c r="CR433" s="946">
        <f t="shared" si="429"/>
        <v>3.5460959089563251E-3</v>
      </c>
      <c r="CS433" s="946">
        <f t="shared" si="430"/>
        <v>3.5461009816920505E-3</v>
      </c>
      <c r="CT433" s="853"/>
      <c r="CU433" s="853"/>
      <c r="CV433" s="946">
        <f t="shared" si="431"/>
        <v>3.5460984453241878E-3</v>
      </c>
      <c r="CW433" s="946">
        <f t="shared" si="432"/>
        <v>3.5460997135081194E-3</v>
      </c>
      <c r="CX433" s="853"/>
      <c r="CY433" s="853"/>
      <c r="CZ433" s="946">
        <f t="shared" si="433"/>
        <v>3.5460990794161538E-3</v>
      </c>
      <c r="DA433" s="946">
        <f t="shared" si="434"/>
        <v>3.5460993964621366E-3</v>
      </c>
      <c r="DB433" s="853"/>
      <c r="DC433" s="853"/>
      <c r="DD433" s="946">
        <f t="shared" si="435"/>
        <v>3.5460992379391454E-3</v>
      </c>
      <c r="DE433" s="946">
        <f t="shared" si="436"/>
        <v>3.5460993172006412E-3</v>
      </c>
      <c r="DF433" s="853"/>
      <c r="DG433" s="853"/>
      <c r="DH433" s="946">
        <f t="shared" si="437"/>
        <v>3.5460992775698933E-3</v>
      </c>
      <c r="DI433" s="946">
        <f t="shared" si="438"/>
        <v>3.5460992973852671E-3</v>
      </c>
      <c r="DJ433" s="853"/>
      <c r="DK433" s="853"/>
      <c r="DL433" s="946">
        <f t="shared" si="439"/>
        <v>3.5460992874775804E-3</v>
      </c>
      <c r="DM433" s="946">
        <f t="shared" si="440"/>
        <v>3.5460992924314237E-3</v>
      </c>
      <c r="DN433" s="853"/>
      <c r="DO433" s="853"/>
      <c r="DP433" s="946">
        <f t="shared" si="441"/>
        <v>3.5460992899545019E-3</v>
      </c>
      <c r="DQ433" s="946">
        <f t="shared" si="442"/>
        <v>3.5460992911929626E-3</v>
      </c>
      <c r="DR433" s="853"/>
      <c r="DS433" s="853"/>
      <c r="DT433" s="853"/>
      <c r="DU433" s="946"/>
      <c r="DV433" s="946"/>
      <c r="DW433" s="946"/>
      <c r="DX433" s="853"/>
      <c r="DY433" s="853"/>
      <c r="DZ433" s="946"/>
      <c r="EA433" s="946"/>
      <c r="EB433" s="853"/>
      <c r="EC433" s="853"/>
      <c r="ED433" s="946"/>
      <c r="EE433" s="946"/>
      <c r="EF433" s="853"/>
      <c r="EG433" s="853"/>
      <c r="EH433" s="853"/>
      <c r="EI433" s="853"/>
      <c r="EJ433" s="853"/>
      <c r="EK433" s="853"/>
      <c r="EL433" s="853"/>
      <c r="EM433" s="853"/>
      <c r="EN433" s="853"/>
      <c r="EO433" s="853"/>
      <c r="EP433" s="853"/>
      <c r="EQ433" s="855"/>
      <c r="ER433" s="855"/>
      <c r="ES433" s="855"/>
      <c r="ET433" s="855"/>
      <c r="EU433" s="855"/>
      <c r="EV433" s="855"/>
      <c r="EW433" s="855"/>
      <c r="EX433" s="855"/>
      <c r="EY433" s="855"/>
      <c r="EZ433" s="855"/>
      <c r="FA433" s="855"/>
      <c r="FB433" s="855"/>
      <c r="FC433" s="855"/>
      <c r="FD433" s="855"/>
      <c r="FE433" s="855"/>
      <c r="FF433" s="855"/>
      <c r="FG433" s="855"/>
      <c r="FH433" s="855"/>
      <c r="FI433" s="855"/>
      <c r="FJ433" s="855"/>
      <c r="FK433" s="855"/>
      <c r="FL433" s="855"/>
      <c r="FM433" s="855"/>
      <c r="FN433" s="855"/>
      <c r="FO433" s="855"/>
      <c r="FP433" s="855"/>
      <c r="FQ433" s="855"/>
      <c r="FR433" s="855"/>
      <c r="FS433" s="855"/>
      <c r="FT433" s="855"/>
      <c r="FU433" s="855"/>
      <c r="FV433" s="855"/>
      <c r="FW433" s="855"/>
      <c r="FX433" s="855"/>
      <c r="FY433" s="855"/>
      <c r="FZ433" s="855"/>
      <c r="GA433" s="855"/>
      <c r="GB433" s="855"/>
      <c r="GC433" s="855"/>
      <c r="GD433" s="855"/>
      <c r="GE433" s="855"/>
      <c r="GF433" s="855"/>
      <c r="GG433" s="855"/>
      <c r="GH433" s="855"/>
      <c r="GI433" s="855"/>
      <c r="GJ433" s="855"/>
      <c r="GK433" s="855"/>
      <c r="GL433" s="855"/>
      <c r="GM433" s="855"/>
      <c r="GN433" s="855"/>
      <c r="GO433" s="855"/>
      <c r="GP433" s="855"/>
      <c r="GQ433" s="855"/>
      <c r="GR433" s="855"/>
      <c r="GS433" s="855"/>
      <c r="GT433" s="855"/>
      <c r="GU433" s="855"/>
      <c r="GV433" s="855"/>
      <c r="GW433" s="855"/>
      <c r="GX433" s="855"/>
      <c r="GY433" s="855"/>
      <c r="GZ433" s="855"/>
      <c r="HA433" s="855"/>
      <c r="HB433" s="855"/>
      <c r="HC433" s="855"/>
      <c r="HD433" s="855"/>
      <c r="HE433" s="855"/>
      <c r="HF433" s="855"/>
      <c r="HG433" s="855"/>
      <c r="HH433" s="855"/>
      <c r="HI433" s="855"/>
      <c r="HJ433" s="855"/>
      <c r="HK433" s="855"/>
      <c r="HL433" s="855"/>
      <c r="HM433" s="855"/>
      <c r="HN433" s="855"/>
      <c r="HO433" s="855"/>
      <c r="HP433" s="855"/>
      <c r="HQ433" s="855"/>
      <c r="HR433" s="855"/>
      <c r="HS433" s="855"/>
      <c r="HT433" s="855"/>
      <c r="HU433" s="855"/>
      <c r="HV433" s="855"/>
      <c r="HW433" s="855"/>
      <c r="HX433" s="855"/>
      <c r="HY433" s="855"/>
      <c r="HZ433" s="855"/>
      <c r="IA433" s="855"/>
      <c r="IB433" s="855"/>
      <c r="IC433" s="855"/>
      <c r="ID433" s="855"/>
      <c r="IE433" s="855"/>
      <c r="IF433" s="855"/>
      <c r="IG433" s="855"/>
      <c r="IH433" s="855"/>
      <c r="II433" s="855"/>
      <c r="IJ433" s="855"/>
      <c r="IK433" s="855"/>
      <c r="IL433" s="855"/>
      <c r="IM433" s="855"/>
      <c r="IN433" s="855"/>
      <c r="IO433" s="855"/>
      <c r="IP433" s="855"/>
      <c r="IQ433" s="855"/>
      <c r="IR433" s="855"/>
      <c r="IS433" s="855"/>
      <c r="IT433" s="855"/>
      <c r="IU433" s="855"/>
      <c r="IV433" s="855"/>
      <c r="IW433" s="855"/>
      <c r="IX433" s="855"/>
      <c r="IY433" s="855"/>
      <c r="IZ433" s="855"/>
      <c r="JA433" s="855"/>
      <c r="JB433" s="855"/>
      <c r="JC433" s="855"/>
      <c r="JD433" s="855"/>
      <c r="JE433" s="855"/>
      <c r="JF433" s="855"/>
      <c r="JG433" s="855"/>
      <c r="JH433" s="855"/>
      <c r="JI433" s="855"/>
      <c r="JJ433" s="855"/>
      <c r="JK433" s="855"/>
      <c r="JL433" s="855"/>
      <c r="JM433"/>
    </row>
    <row r="434" spans="1:273" s="854" customFormat="1">
      <c r="A434" s="102" t="s">
        <v>688</v>
      </c>
      <c r="B434" s="103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  <c r="AA434" s="102"/>
      <c r="AB434" s="102"/>
      <c r="AC434" s="102"/>
      <c r="AD434" s="102"/>
      <c r="AE434" s="102"/>
      <c r="AF434" s="102"/>
      <c r="AG434" s="102"/>
      <c r="AH434" s="102"/>
      <c r="AI434" s="102"/>
      <c r="AJ434" s="102"/>
      <c r="AK434" s="102"/>
      <c r="AL434" s="102"/>
      <c r="AM434" s="102"/>
      <c r="AN434" s="290"/>
      <c r="AO434" s="290"/>
      <c r="AP434" s="290"/>
      <c r="AQ434" s="290"/>
      <c r="AR434" s="360">
        <f t="shared" si="406"/>
        <v>0.38135593220338981</v>
      </c>
      <c r="AS434" s="360">
        <f t="shared" si="406"/>
        <v>0.90909090909090906</v>
      </c>
      <c r="AT434" s="290"/>
      <c r="AU434" s="290"/>
      <c r="AV434" s="360">
        <f t="shared" si="407"/>
        <v>0.1065989847715736</v>
      </c>
      <c r="AW434" s="360">
        <f t="shared" si="407"/>
        <v>0.12121212121212122</v>
      </c>
      <c r="AX434" s="853"/>
      <c r="AY434" s="853"/>
      <c r="AZ434" s="360">
        <f t="shared" si="408"/>
        <v>-9.4117647058823528E-2</v>
      </c>
      <c r="BA434" s="360">
        <f t="shared" si="408"/>
        <v>3.1914893617021274E-2</v>
      </c>
      <c r="BB434" s="853"/>
      <c r="BC434" s="853"/>
      <c r="BD434" s="360">
        <f t="shared" si="409"/>
        <v>5.7692307692307696E-2</v>
      </c>
      <c r="BE434" s="946">
        <f t="shared" si="410"/>
        <v>4.4803600654664488E-2</v>
      </c>
      <c r="BF434" s="853"/>
      <c r="BG434" s="853"/>
      <c r="BH434" s="946">
        <f t="shared" si="411"/>
        <v>5.1247954173486092E-2</v>
      </c>
      <c r="BI434" s="946">
        <f t="shared" si="412"/>
        <v>4.8025777414075294E-2</v>
      </c>
      <c r="BJ434" s="853"/>
      <c r="BK434" s="853"/>
      <c r="BL434" s="946">
        <f t="shared" si="413"/>
        <v>4.9636865793780696E-2</v>
      </c>
      <c r="BM434" s="946">
        <f t="shared" si="414"/>
        <v>4.8831321603927995E-2</v>
      </c>
      <c r="BN434" s="853"/>
      <c r="BO434" s="853"/>
      <c r="BP434" s="946">
        <f t="shared" si="415"/>
        <v>4.9234093698854342E-2</v>
      </c>
      <c r="BQ434" s="946">
        <f t="shared" si="416"/>
        <v>4.9032707651391172E-2</v>
      </c>
      <c r="BR434" s="853"/>
      <c r="BS434" s="853"/>
      <c r="BT434" s="946">
        <f t="shared" si="417"/>
        <v>4.9133400675122757E-2</v>
      </c>
      <c r="BU434" s="946">
        <f t="shared" si="418"/>
        <v>4.9083054163256964E-2</v>
      </c>
      <c r="BV434" s="853"/>
      <c r="BW434" s="853"/>
      <c r="BX434" s="946">
        <f t="shared" si="419"/>
        <v>4.9108227419189861E-2</v>
      </c>
      <c r="BY434" s="946">
        <f t="shared" si="420"/>
        <v>4.9095640791223416E-2</v>
      </c>
      <c r="BZ434" s="853"/>
      <c r="CA434" s="853"/>
      <c r="CB434" s="946">
        <f t="shared" si="421"/>
        <v>4.9101934105206635E-2</v>
      </c>
      <c r="CC434" s="946">
        <f t="shared" si="422"/>
        <v>4.9098787448215025E-2</v>
      </c>
      <c r="CD434" s="853"/>
      <c r="CE434" s="862"/>
      <c r="CF434" s="946">
        <f t="shared" si="423"/>
        <v>4.910036077671083E-2</v>
      </c>
      <c r="CG434" s="946">
        <f t="shared" si="424"/>
        <v>4.9099574112462928E-2</v>
      </c>
      <c r="CH434" s="853"/>
      <c r="CI434" s="862"/>
      <c r="CJ434" s="946">
        <f t="shared" si="425"/>
        <v>4.9099967444586876E-2</v>
      </c>
      <c r="CK434" s="946">
        <f t="shared" si="426"/>
        <v>4.9099770778524898E-2</v>
      </c>
      <c r="CL434" s="853"/>
      <c r="CM434" s="862"/>
      <c r="CN434" s="946">
        <f t="shared" si="427"/>
        <v>4.9099869111555887E-2</v>
      </c>
      <c r="CO434" s="946">
        <f t="shared" si="428"/>
        <v>4.9099819945040396E-2</v>
      </c>
      <c r="CP434" s="853"/>
      <c r="CQ434" s="862"/>
      <c r="CR434" s="946">
        <f t="shared" si="429"/>
        <v>4.9099844528298145E-2</v>
      </c>
      <c r="CS434" s="946">
        <f t="shared" si="430"/>
        <v>4.909983223666927E-2</v>
      </c>
      <c r="CT434" s="853"/>
      <c r="CU434" s="853"/>
      <c r="CV434" s="946">
        <f t="shared" si="431"/>
        <v>4.9099838382483704E-2</v>
      </c>
      <c r="CW434" s="946">
        <f t="shared" si="432"/>
        <v>4.9099835309576484E-2</v>
      </c>
      <c r="CX434" s="853"/>
      <c r="CY434" s="853"/>
      <c r="CZ434" s="946">
        <f t="shared" si="433"/>
        <v>4.9099836846030094E-2</v>
      </c>
      <c r="DA434" s="946">
        <f t="shared" si="434"/>
        <v>4.9099836077803286E-2</v>
      </c>
      <c r="DB434" s="853"/>
      <c r="DC434" s="853"/>
      <c r="DD434" s="946">
        <f t="shared" si="435"/>
        <v>4.9099836461916693E-2</v>
      </c>
      <c r="DE434" s="946">
        <f t="shared" si="436"/>
        <v>4.9099836269859989E-2</v>
      </c>
      <c r="DF434" s="853"/>
      <c r="DG434" s="853"/>
      <c r="DH434" s="946">
        <f t="shared" si="437"/>
        <v>4.9099836365888341E-2</v>
      </c>
      <c r="DI434" s="946">
        <f t="shared" si="438"/>
        <v>4.9099836317874165E-2</v>
      </c>
      <c r="DJ434" s="853"/>
      <c r="DK434" s="853"/>
      <c r="DL434" s="946">
        <f t="shared" si="439"/>
        <v>4.9099836341881253E-2</v>
      </c>
      <c r="DM434" s="946">
        <f t="shared" si="440"/>
        <v>4.9099836329877709E-2</v>
      </c>
      <c r="DN434" s="853"/>
      <c r="DO434" s="853"/>
      <c r="DP434" s="946">
        <f t="shared" si="441"/>
        <v>4.9099836335879485E-2</v>
      </c>
      <c r="DQ434" s="946">
        <f t="shared" si="442"/>
        <v>4.9099836332878594E-2</v>
      </c>
      <c r="DR434" s="853"/>
      <c r="DS434" s="853"/>
      <c r="DT434" s="853"/>
      <c r="DU434" s="946"/>
      <c r="DV434" s="946"/>
      <c r="DW434" s="946"/>
      <c r="DX434" s="853"/>
      <c r="DY434" s="853"/>
      <c r="DZ434" s="946"/>
      <c r="EA434" s="946"/>
      <c r="EB434" s="853"/>
      <c r="EC434" s="853"/>
      <c r="ED434" s="946"/>
      <c r="EE434" s="946"/>
      <c r="EF434" s="853"/>
      <c r="EG434" s="853"/>
      <c r="EH434" s="853"/>
      <c r="EI434" s="853"/>
      <c r="EJ434" s="853"/>
      <c r="EK434" s="853"/>
      <c r="EL434" s="853"/>
      <c r="EM434" s="853"/>
      <c r="EN434" s="853"/>
      <c r="EO434" s="853"/>
      <c r="EP434" s="853"/>
      <c r="EQ434" s="855"/>
      <c r="ER434" s="855"/>
      <c r="ES434" s="855"/>
      <c r="ET434" s="855"/>
      <c r="EU434" s="855"/>
      <c r="EV434" s="855"/>
      <c r="EW434" s="855"/>
      <c r="EX434" s="855"/>
      <c r="EY434" s="855"/>
      <c r="EZ434" s="855"/>
      <c r="FA434" s="855"/>
      <c r="FB434" s="855"/>
      <c r="FC434" s="855"/>
      <c r="FD434" s="855"/>
      <c r="FE434" s="855"/>
      <c r="FF434" s="855"/>
      <c r="FG434" s="855"/>
      <c r="FH434" s="855"/>
      <c r="FI434" s="855"/>
      <c r="FJ434" s="855"/>
      <c r="FK434" s="855"/>
      <c r="FL434" s="855"/>
      <c r="FM434" s="855"/>
      <c r="FN434" s="855"/>
      <c r="FO434" s="855"/>
      <c r="FP434" s="855"/>
      <c r="FQ434" s="855"/>
      <c r="FR434" s="855"/>
      <c r="FS434" s="855"/>
      <c r="FT434" s="855"/>
      <c r="FU434" s="855"/>
      <c r="FV434" s="855"/>
      <c r="FW434" s="855"/>
      <c r="FX434" s="855"/>
      <c r="FY434" s="855"/>
      <c r="FZ434" s="855"/>
      <c r="GA434" s="855"/>
      <c r="GB434" s="855"/>
      <c r="GC434" s="855"/>
      <c r="GD434" s="855"/>
      <c r="GE434" s="855"/>
      <c r="GF434" s="855"/>
      <c r="GG434" s="855"/>
      <c r="GH434" s="855"/>
      <c r="GI434" s="855"/>
      <c r="GJ434" s="855"/>
      <c r="GK434" s="855"/>
      <c r="GL434" s="855"/>
      <c r="GM434" s="855"/>
      <c r="GN434" s="855"/>
      <c r="GO434" s="855"/>
      <c r="GP434" s="855"/>
      <c r="GQ434" s="855"/>
      <c r="GR434" s="855"/>
      <c r="GS434" s="855"/>
      <c r="GT434" s="855"/>
      <c r="GU434" s="855"/>
      <c r="GV434" s="855"/>
      <c r="GW434" s="855"/>
      <c r="GX434" s="855"/>
      <c r="GY434" s="855"/>
      <c r="GZ434" s="855"/>
      <c r="HA434" s="855"/>
      <c r="HB434" s="855"/>
      <c r="HC434" s="855"/>
      <c r="HD434" s="855"/>
      <c r="HE434" s="855"/>
      <c r="HF434" s="855"/>
      <c r="HG434" s="855"/>
      <c r="HH434" s="855"/>
      <c r="HI434" s="855"/>
      <c r="HJ434" s="855"/>
      <c r="HK434" s="855"/>
      <c r="HL434" s="855"/>
      <c r="HM434" s="855"/>
      <c r="HN434" s="855"/>
      <c r="HO434" s="855"/>
      <c r="HP434" s="855"/>
      <c r="HQ434" s="855"/>
      <c r="HR434" s="855"/>
      <c r="HS434" s="855"/>
      <c r="HT434" s="855"/>
      <c r="HU434" s="855"/>
      <c r="HV434" s="855"/>
      <c r="HW434" s="855"/>
      <c r="HX434" s="855"/>
      <c r="HY434" s="855"/>
      <c r="HZ434" s="855"/>
      <c r="IA434" s="855"/>
      <c r="IB434" s="855"/>
      <c r="IC434" s="855"/>
      <c r="ID434" s="855"/>
      <c r="IE434" s="855"/>
      <c r="IF434" s="855"/>
      <c r="IG434" s="855"/>
      <c r="IH434" s="855"/>
      <c r="II434" s="855"/>
      <c r="IJ434" s="855"/>
      <c r="IK434" s="855"/>
      <c r="IL434" s="855"/>
      <c r="IM434" s="855"/>
      <c r="IN434" s="855"/>
      <c r="IO434" s="855"/>
      <c r="IP434" s="855"/>
      <c r="IQ434" s="855"/>
      <c r="IR434" s="855"/>
      <c r="IS434" s="855"/>
      <c r="IT434" s="855"/>
      <c r="IU434" s="855"/>
      <c r="IV434" s="855"/>
      <c r="IW434" s="855"/>
      <c r="IX434" s="855"/>
      <c r="IY434" s="855"/>
      <c r="IZ434" s="855"/>
      <c r="JA434" s="855"/>
      <c r="JB434" s="855"/>
      <c r="JC434" s="855"/>
      <c r="JD434" s="855"/>
      <c r="JE434" s="855"/>
      <c r="JF434" s="855"/>
      <c r="JG434" s="855"/>
      <c r="JH434" s="855"/>
      <c r="JI434" s="855"/>
      <c r="JJ434" s="855"/>
      <c r="JK434" s="855"/>
      <c r="JL434" s="855"/>
      <c r="JM434"/>
    </row>
    <row r="435" spans="1:273" s="854" customFormat="1">
      <c r="A435" s="102" t="s">
        <v>691</v>
      </c>
      <c r="B435" s="103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  <c r="AA435" s="102"/>
      <c r="AB435" s="102"/>
      <c r="AC435" s="102"/>
      <c r="AD435" s="102"/>
      <c r="AE435" s="102"/>
      <c r="AF435" s="102"/>
      <c r="AG435" s="102"/>
      <c r="AH435" s="102"/>
      <c r="AI435" s="102"/>
      <c r="AJ435" s="102"/>
      <c r="AK435" s="102"/>
      <c r="AL435" s="102"/>
      <c r="AM435" s="102"/>
      <c r="AN435" s="290"/>
      <c r="AO435" s="290"/>
      <c r="AP435" s="290"/>
      <c r="AQ435" s="290"/>
      <c r="AR435" s="360">
        <f t="shared" si="406"/>
        <v>3.3898305084745763E-2</v>
      </c>
      <c r="AS435" s="360">
        <f t="shared" si="406"/>
        <v>-6.8181818181818177E-2</v>
      </c>
      <c r="AT435" s="290"/>
      <c r="AU435" s="290"/>
      <c r="AV435" s="360">
        <f t="shared" si="407"/>
        <v>2.030456852791878E-2</v>
      </c>
      <c r="AW435" s="360">
        <f t="shared" si="407"/>
        <v>9.0909090909090912E-2</v>
      </c>
      <c r="AX435" s="853"/>
      <c r="AY435" s="853"/>
      <c r="AZ435" s="360">
        <f t="shared" si="408"/>
        <v>0.18823529411764706</v>
      </c>
      <c r="BA435" s="360">
        <f t="shared" si="408"/>
        <v>4.2553191489361701E-2</v>
      </c>
      <c r="BB435" s="853"/>
      <c r="BC435" s="853"/>
      <c r="BD435" s="360">
        <f t="shared" si="409"/>
        <v>9.6153846153846159E-2</v>
      </c>
      <c r="BE435" s="946">
        <f t="shared" si="410"/>
        <v>6.9353518821603927E-2</v>
      </c>
      <c r="BF435" s="853"/>
      <c r="BG435" s="853"/>
      <c r="BH435" s="946">
        <f t="shared" si="411"/>
        <v>8.275368248772505E-2</v>
      </c>
      <c r="BI435" s="946">
        <f t="shared" si="412"/>
        <v>7.6053600654664488E-2</v>
      </c>
      <c r="BJ435" s="853"/>
      <c r="BK435" s="853"/>
      <c r="BL435" s="946">
        <f t="shared" si="413"/>
        <v>7.9403641571194769E-2</v>
      </c>
      <c r="BM435" s="946">
        <f t="shared" si="414"/>
        <v>7.7728621112929636E-2</v>
      </c>
      <c r="BN435" s="853"/>
      <c r="BO435" s="853"/>
      <c r="BP435" s="946">
        <f t="shared" si="415"/>
        <v>7.8566131342062195E-2</v>
      </c>
      <c r="BQ435" s="946">
        <f t="shared" si="416"/>
        <v>7.8147376227495916E-2</v>
      </c>
      <c r="BR435" s="853"/>
      <c r="BS435" s="853"/>
      <c r="BT435" s="946">
        <f t="shared" si="417"/>
        <v>7.8356753784779049E-2</v>
      </c>
      <c r="BU435" s="946">
        <f t="shared" si="418"/>
        <v>7.8252065006137489E-2</v>
      </c>
      <c r="BV435" s="853"/>
      <c r="BW435" s="853"/>
      <c r="BX435" s="946">
        <f t="shared" si="419"/>
        <v>7.8304409395458269E-2</v>
      </c>
      <c r="BY435" s="946">
        <f t="shared" si="420"/>
        <v>7.8278237200797879E-2</v>
      </c>
      <c r="BZ435" s="853"/>
      <c r="CA435" s="853"/>
      <c r="CB435" s="946">
        <f t="shared" si="421"/>
        <v>7.8291323298128074E-2</v>
      </c>
      <c r="CC435" s="946">
        <f t="shared" si="422"/>
        <v>7.8284780249462976E-2</v>
      </c>
      <c r="CD435" s="853"/>
      <c r="CE435" s="862"/>
      <c r="CF435" s="946">
        <f t="shared" si="423"/>
        <v>7.8288051773795525E-2</v>
      </c>
      <c r="CG435" s="946">
        <f t="shared" si="424"/>
        <v>7.8286416011629251E-2</v>
      </c>
      <c r="CH435" s="853"/>
      <c r="CI435" s="862"/>
      <c r="CJ435" s="946">
        <f t="shared" si="425"/>
        <v>7.8287233892712388E-2</v>
      </c>
      <c r="CK435" s="946">
        <f t="shared" si="426"/>
        <v>7.8286824952170819E-2</v>
      </c>
      <c r="CL435" s="853"/>
      <c r="CM435" s="862"/>
      <c r="CN435" s="946">
        <f t="shared" si="427"/>
        <v>7.8287029422441604E-2</v>
      </c>
      <c r="CO435" s="946">
        <f t="shared" si="428"/>
        <v>7.8286927187306204E-2</v>
      </c>
      <c r="CP435" s="853"/>
      <c r="CQ435" s="862"/>
      <c r="CR435" s="946">
        <f t="shared" si="429"/>
        <v>7.8286978304873911E-2</v>
      </c>
      <c r="CS435" s="946">
        <f t="shared" si="430"/>
        <v>7.8286952746090058E-2</v>
      </c>
      <c r="CT435" s="853"/>
      <c r="CU435" s="853"/>
      <c r="CV435" s="946">
        <f t="shared" si="431"/>
        <v>7.8286965525481977E-2</v>
      </c>
      <c r="CW435" s="946">
        <f t="shared" si="432"/>
        <v>7.8286959135786011E-2</v>
      </c>
      <c r="CX435" s="853"/>
      <c r="CY435" s="853"/>
      <c r="CZ435" s="946">
        <f t="shared" si="433"/>
        <v>7.8286962330633994E-2</v>
      </c>
      <c r="DA435" s="946">
        <f t="shared" si="434"/>
        <v>7.8286960733210009E-2</v>
      </c>
      <c r="DB435" s="853"/>
      <c r="DC435" s="853"/>
      <c r="DD435" s="946">
        <f t="shared" si="435"/>
        <v>7.8286961531921995E-2</v>
      </c>
      <c r="DE435" s="946">
        <f t="shared" si="436"/>
        <v>7.8286961132566002E-2</v>
      </c>
      <c r="DF435" s="853"/>
      <c r="DG435" s="853"/>
      <c r="DH435" s="946">
        <f t="shared" si="437"/>
        <v>7.8286961332243998E-2</v>
      </c>
      <c r="DI435" s="946">
        <f t="shared" si="438"/>
        <v>7.8286961232405E-2</v>
      </c>
      <c r="DJ435" s="853"/>
      <c r="DK435" s="853"/>
      <c r="DL435" s="946">
        <f t="shared" si="439"/>
        <v>7.8286961282324499E-2</v>
      </c>
      <c r="DM435" s="946">
        <f t="shared" si="440"/>
        <v>7.8286961257364757E-2</v>
      </c>
      <c r="DN435" s="853"/>
      <c r="DO435" s="853"/>
      <c r="DP435" s="946">
        <f t="shared" si="441"/>
        <v>7.8286961269844635E-2</v>
      </c>
      <c r="DQ435" s="946">
        <f t="shared" si="442"/>
        <v>7.8286961263604696E-2</v>
      </c>
      <c r="DR435" s="853"/>
      <c r="DS435" s="853"/>
      <c r="DT435" s="853"/>
      <c r="DU435" s="946"/>
      <c r="DV435" s="946"/>
      <c r="DW435" s="946"/>
      <c r="DX435" s="853"/>
      <c r="DY435" s="853"/>
      <c r="DZ435" s="946"/>
      <c r="EA435" s="946"/>
      <c r="EB435" s="853"/>
      <c r="EC435" s="853"/>
      <c r="ED435" s="946"/>
      <c r="EE435" s="946"/>
      <c r="EF435" s="853"/>
      <c r="EG435" s="853"/>
      <c r="EH435" s="853"/>
      <c r="EI435" s="853"/>
      <c r="EJ435" s="853"/>
      <c r="EK435" s="853"/>
      <c r="EL435" s="853"/>
      <c r="EM435" s="853"/>
      <c r="EN435" s="853"/>
      <c r="EO435" s="853"/>
      <c r="EP435" s="853"/>
      <c r="EQ435" s="855"/>
      <c r="ER435" s="855"/>
      <c r="ES435" s="855"/>
      <c r="ET435" s="855"/>
      <c r="EU435" s="855"/>
      <c r="EV435" s="855"/>
      <c r="EW435" s="855"/>
      <c r="EX435" s="855"/>
      <c r="EY435" s="855"/>
      <c r="EZ435" s="855"/>
      <c r="FA435" s="855"/>
      <c r="FB435" s="855"/>
      <c r="FC435" s="855"/>
      <c r="FD435" s="855"/>
      <c r="FE435" s="855"/>
      <c r="FF435" s="855"/>
      <c r="FG435" s="855"/>
      <c r="FH435" s="855"/>
      <c r="FI435" s="855"/>
      <c r="FJ435" s="855"/>
      <c r="FK435" s="855"/>
      <c r="FL435" s="855"/>
      <c r="FM435" s="855"/>
      <c r="FN435" s="855"/>
      <c r="FO435" s="855"/>
      <c r="FP435" s="855"/>
      <c r="FQ435" s="855"/>
      <c r="FR435" s="855"/>
      <c r="FS435" s="855"/>
      <c r="FT435" s="855"/>
      <c r="FU435" s="855"/>
      <c r="FV435" s="855"/>
      <c r="FW435" s="855"/>
      <c r="FX435" s="855"/>
      <c r="FY435" s="855"/>
      <c r="FZ435" s="855"/>
      <c r="GA435" s="855"/>
      <c r="GB435" s="855"/>
      <c r="GC435" s="855"/>
      <c r="GD435" s="855"/>
      <c r="GE435" s="855"/>
      <c r="GF435" s="855"/>
      <c r="GG435" s="855"/>
      <c r="GH435" s="855"/>
      <c r="GI435" s="855"/>
      <c r="GJ435" s="855"/>
      <c r="GK435" s="855"/>
      <c r="GL435" s="855"/>
      <c r="GM435" s="855"/>
      <c r="GN435" s="855"/>
      <c r="GO435" s="855"/>
      <c r="GP435" s="855"/>
      <c r="GQ435" s="855"/>
      <c r="GR435" s="855"/>
      <c r="GS435" s="855"/>
      <c r="GT435" s="855"/>
      <c r="GU435" s="855"/>
      <c r="GV435" s="855"/>
      <c r="GW435" s="855"/>
      <c r="GX435" s="855"/>
      <c r="GY435" s="855"/>
      <c r="GZ435" s="855"/>
      <c r="HA435" s="855"/>
      <c r="HB435" s="855"/>
      <c r="HC435" s="855"/>
      <c r="HD435" s="855"/>
      <c r="HE435" s="855"/>
      <c r="HF435" s="855"/>
      <c r="HG435" s="855"/>
      <c r="HH435" s="855"/>
      <c r="HI435" s="855"/>
      <c r="HJ435" s="855"/>
      <c r="HK435" s="855"/>
      <c r="HL435" s="855"/>
      <c r="HM435" s="855"/>
      <c r="HN435" s="855"/>
      <c r="HO435" s="855"/>
      <c r="HP435" s="855"/>
      <c r="HQ435" s="855"/>
      <c r="HR435" s="855"/>
      <c r="HS435" s="855"/>
      <c r="HT435" s="855"/>
      <c r="HU435" s="855"/>
      <c r="HV435" s="855"/>
      <c r="HW435" s="855"/>
      <c r="HX435" s="855"/>
      <c r="HY435" s="855"/>
      <c r="HZ435" s="855"/>
      <c r="IA435" s="855"/>
      <c r="IB435" s="855"/>
      <c r="IC435" s="855"/>
      <c r="ID435" s="855"/>
      <c r="IE435" s="855"/>
      <c r="IF435" s="855"/>
      <c r="IG435" s="855"/>
      <c r="IH435" s="855"/>
      <c r="II435" s="855"/>
      <c r="IJ435" s="855"/>
      <c r="IK435" s="855"/>
      <c r="IL435" s="855"/>
      <c r="IM435" s="855"/>
      <c r="IN435" s="855"/>
      <c r="IO435" s="855"/>
      <c r="IP435" s="855"/>
      <c r="IQ435" s="855"/>
      <c r="IR435" s="855"/>
      <c r="IS435" s="855"/>
      <c r="IT435" s="855"/>
      <c r="IU435" s="855"/>
      <c r="IV435" s="855"/>
      <c r="IW435" s="855"/>
      <c r="IX435" s="855"/>
      <c r="IY435" s="855"/>
      <c r="IZ435" s="855"/>
      <c r="JA435" s="855"/>
      <c r="JB435" s="855"/>
      <c r="JC435" s="855"/>
      <c r="JD435" s="855"/>
      <c r="JE435" s="855"/>
      <c r="JF435" s="855"/>
      <c r="JG435" s="855"/>
      <c r="JH435" s="855"/>
      <c r="JI435" s="855"/>
      <c r="JJ435" s="855"/>
      <c r="JK435" s="855"/>
      <c r="JL435" s="855"/>
      <c r="JM435"/>
    </row>
    <row r="436" spans="1:273" s="855" customFormat="1">
      <c r="A436" s="289" t="s">
        <v>613</v>
      </c>
      <c r="B436" s="290"/>
      <c r="C436" s="289"/>
      <c r="D436" s="289"/>
      <c r="E436" s="289"/>
      <c r="F436" s="289"/>
      <c r="G436" s="289"/>
      <c r="H436" s="289"/>
      <c r="I436" s="289"/>
      <c r="J436" s="289"/>
      <c r="K436" s="289"/>
      <c r="L436" s="289"/>
      <c r="M436" s="289"/>
      <c r="N436" s="289"/>
      <c r="O436" s="289"/>
      <c r="P436" s="289"/>
      <c r="Q436" s="289"/>
      <c r="R436" s="289"/>
      <c r="S436" s="289"/>
      <c r="T436" s="289"/>
      <c r="U436" s="289"/>
      <c r="V436" s="289"/>
      <c r="W436" s="289"/>
      <c r="X436" s="289"/>
      <c r="Y436" s="289"/>
      <c r="Z436" s="289"/>
      <c r="AA436" s="289"/>
      <c r="AB436" s="289"/>
      <c r="AC436" s="289"/>
      <c r="AD436" s="289"/>
      <c r="AE436" s="289"/>
      <c r="AF436" s="289"/>
      <c r="AG436" s="289"/>
      <c r="AH436" s="289"/>
      <c r="AI436" s="289"/>
      <c r="AJ436" s="289"/>
      <c r="AK436" s="289"/>
      <c r="AL436" s="289"/>
      <c r="AM436" s="289"/>
      <c r="AN436" s="290"/>
      <c r="AO436" s="290"/>
      <c r="AP436" s="290"/>
      <c r="AQ436" s="290"/>
      <c r="AR436" s="379">
        <f t="shared" si="406"/>
        <v>1</v>
      </c>
      <c r="AS436" s="379">
        <f t="shared" si="406"/>
        <v>1</v>
      </c>
      <c r="AT436" s="290"/>
      <c r="AU436" s="290"/>
      <c r="AV436" s="379">
        <f t="shared" si="407"/>
        <v>1</v>
      </c>
      <c r="AW436" s="379">
        <f t="shared" si="407"/>
        <v>1</v>
      </c>
      <c r="AX436" s="853"/>
      <c r="AY436" s="853"/>
      <c r="AZ436" s="379">
        <f t="shared" si="408"/>
        <v>1</v>
      </c>
      <c r="BA436" s="379">
        <f t="shared" si="408"/>
        <v>1</v>
      </c>
      <c r="BB436" s="853"/>
      <c r="BC436" s="853"/>
      <c r="BD436" s="379">
        <f t="shared" si="409"/>
        <v>1</v>
      </c>
      <c r="BE436" s="947">
        <f t="shared" si="410"/>
        <v>1</v>
      </c>
      <c r="BF436" s="853"/>
      <c r="BG436" s="853"/>
      <c r="BH436" s="947">
        <f t="shared" si="411"/>
        <v>1</v>
      </c>
      <c r="BI436" s="947">
        <f t="shared" si="412"/>
        <v>1</v>
      </c>
      <c r="BJ436" s="853"/>
      <c r="BK436" s="853"/>
      <c r="BL436" s="947">
        <f t="shared" si="413"/>
        <v>1</v>
      </c>
      <c r="BM436" s="947">
        <f t="shared" si="414"/>
        <v>1</v>
      </c>
      <c r="BN436" s="853"/>
      <c r="BO436" s="853"/>
      <c r="BP436" s="947">
        <f t="shared" si="415"/>
        <v>1</v>
      </c>
      <c r="BQ436" s="947">
        <f t="shared" si="416"/>
        <v>1</v>
      </c>
      <c r="BR436" s="853"/>
      <c r="BS436" s="853"/>
      <c r="BT436" s="947">
        <f t="shared" si="417"/>
        <v>1</v>
      </c>
      <c r="BU436" s="947">
        <f t="shared" si="418"/>
        <v>1</v>
      </c>
      <c r="BV436" s="853"/>
      <c r="BW436" s="853"/>
      <c r="BX436" s="947">
        <f t="shared" si="419"/>
        <v>1</v>
      </c>
      <c r="BY436" s="947">
        <f t="shared" si="420"/>
        <v>1</v>
      </c>
      <c r="BZ436" s="853"/>
      <c r="CA436" s="853"/>
      <c r="CB436" s="947">
        <f t="shared" si="421"/>
        <v>1</v>
      </c>
      <c r="CC436" s="947">
        <f t="shared" si="422"/>
        <v>1</v>
      </c>
      <c r="CD436" s="853"/>
      <c r="CE436" s="862"/>
      <c r="CF436" s="947">
        <f t="shared" si="423"/>
        <v>1</v>
      </c>
      <c r="CG436" s="947">
        <f t="shared" si="424"/>
        <v>1</v>
      </c>
      <c r="CH436" s="853"/>
      <c r="CI436" s="862"/>
      <c r="CJ436" s="947">
        <f t="shared" si="425"/>
        <v>1</v>
      </c>
      <c r="CK436" s="947">
        <f t="shared" si="426"/>
        <v>1</v>
      </c>
      <c r="CL436" s="853"/>
      <c r="CM436" s="862"/>
      <c r="CN436" s="947">
        <f t="shared" si="427"/>
        <v>1</v>
      </c>
      <c r="CO436" s="947">
        <f t="shared" si="428"/>
        <v>1</v>
      </c>
      <c r="CP436" s="853"/>
      <c r="CQ436" s="862"/>
      <c r="CR436" s="947">
        <f t="shared" si="429"/>
        <v>1</v>
      </c>
      <c r="CS436" s="947">
        <f t="shared" si="430"/>
        <v>1</v>
      </c>
      <c r="CT436" s="853"/>
      <c r="CU436" s="853"/>
      <c r="CV436" s="947">
        <f t="shared" si="431"/>
        <v>1</v>
      </c>
      <c r="CW436" s="947">
        <f t="shared" si="432"/>
        <v>1</v>
      </c>
      <c r="CX436" s="853"/>
      <c r="CY436" s="853"/>
      <c r="CZ436" s="947">
        <f t="shared" si="433"/>
        <v>1</v>
      </c>
      <c r="DA436" s="947">
        <f t="shared" si="434"/>
        <v>1</v>
      </c>
      <c r="DB436" s="853"/>
      <c r="DC436" s="853"/>
      <c r="DD436" s="947">
        <f t="shared" si="435"/>
        <v>1</v>
      </c>
      <c r="DE436" s="947">
        <f t="shared" si="436"/>
        <v>1</v>
      </c>
      <c r="DF436" s="853"/>
      <c r="DG436" s="853"/>
      <c r="DH436" s="947">
        <f t="shared" si="437"/>
        <v>1</v>
      </c>
      <c r="DI436" s="947">
        <f t="shared" si="438"/>
        <v>1</v>
      </c>
      <c r="DJ436" s="853"/>
      <c r="DK436" s="853"/>
      <c r="DL436" s="947">
        <f t="shared" si="439"/>
        <v>1</v>
      </c>
      <c r="DM436" s="947">
        <f t="shared" si="440"/>
        <v>1</v>
      </c>
      <c r="DN436" s="853"/>
      <c r="DO436" s="853"/>
      <c r="DP436" s="947">
        <f t="shared" si="441"/>
        <v>1</v>
      </c>
      <c r="DQ436" s="947">
        <f t="shared" si="442"/>
        <v>1</v>
      </c>
      <c r="DR436" s="853"/>
      <c r="DS436" s="853"/>
      <c r="DT436" s="853"/>
      <c r="DU436" s="947"/>
      <c r="DV436" s="947"/>
      <c r="DW436" s="947"/>
      <c r="DX436" s="853"/>
      <c r="DY436" s="853"/>
      <c r="DZ436" s="947"/>
      <c r="EA436" s="947"/>
      <c r="EB436" s="853"/>
      <c r="EC436" s="853"/>
      <c r="ED436" s="947"/>
      <c r="EE436" s="947"/>
      <c r="EF436" s="853"/>
      <c r="EG436" s="853"/>
      <c r="EH436" s="853"/>
      <c r="EI436" s="853"/>
      <c r="EJ436" s="853"/>
      <c r="EK436" s="853"/>
      <c r="EL436" s="853"/>
      <c r="EM436" s="853"/>
      <c r="EN436" s="853"/>
      <c r="EO436" s="853"/>
      <c r="EP436" s="853"/>
      <c r="JM436"/>
    </row>
    <row r="438" spans="1:273" s="944" customFormat="1">
      <c r="A438" s="939" t="s">
        <v>621</v>
      </c>
      <c r="B438" s="833"/>
      <c r="C438" s="834"/>
      <c r="D438" s="834"/>
      <c r="E438" s="834"/>
      <c r="F438" s="834"/>
      <c r="G438" s="834"/>
      <c r="H438" s="834"/>
      <c r="I438" s="834"/>
      <c r="J438" s="834"/>
      <c r="K438" s="834"/>
      <c r="L438" s="834"/>
      <c r="M438" s="834"/>
      <c r="N438" s="834"/>
      <c r="O438" s="834"/>
      <c r="P438" s="834"/>
      <c r="Q438" s="834"/>
      <c r="R438" s="834"/>
      <c r="S438" s="834"/>
      <c r="T438" s="834"/>
      <c r="U438" s="834"/>
      <c r="V438" s="834"/>
      <c r="W438" s="834"/>
      <c r="X438" s="834"/>
      <c r="Y438" s="834"/>
      <c r="Z438" s="834"/>
      <c r="AA438" s="834"/>
      <c r="AB438" s="834"/>
      <c r="AC438" s="834"/>
      <c r="AD438" s="834"/>
      <c r="AE438" s="834"/>
      <c r="AF438" s="834"/>
      <c r="AG438" s="834"/>
      <c r="AH438" s="834"/>
      <c r="AI438" s="834"/>
      <c r="AJ438" s="834"/>
      <c r="AK438" s="834"/>
      <c r="AL438" s="834"/>
      <c r="AM438" s="834"/>
      <c r="AN438" s="940"/>
      <c r="AO438" s="940"/>
      <c r="AP438" s="940"/>
      <c r="AQ438" s="940"/>
      <c r="AR438" s="940"/>
      <c r="AS438" s="940"/>
      <c r="AT438" s="940"/>
      <c r="AU438" s="940"/>
      <c r="AV438" s="941"/>
      <c r="AW438" s="941"/>
      <c r="AX438" s="942"/>
      <c r="AY438" s="942"/>
      <c r="AZ438" s="941"/>
      <c r="BA438" s="943"/>
      <c r="BB438" s="942"/>
      <c r="BC438" s="942"/>
      <c r="BD438" s="943"/>
      <c r="BE438" s="943"/>
      <c r="BF438" s="942"/>
      <c r="BG438" s="942"/>
      <c r="BH438" s="943"/>
      <c r="BI438" s="943"/>
      <c r="BJ438" s="942"/>
      <c r="BK438" s="942"/>
      <c r="BL438" s="943"/>
      <c r="BM438" s="943"/>
      <c r="BN438" s="942"/>
      <c r="BO438" s="942"/>
      <c r="BP438" s="943"/>
      <c r="BQ438" s="943"/>
      <c r="BR438" s="942"/>
      <c r="BS438" s="942"/>
      <c r="BT438" s="943"/>
      <c r="BU438" s="943"/>
      <c r="BV438" s="942"/>
      <c r="BW438" s="942"/>
      <c r="BX438" s="943"/>
      <c r="BY438" s="943"/>
      <c r="BZ438" s="942"/>
      <c r="CA438" s="942"/>
      <c r="CB438" s="943"/>
      <c r="CC438" s="943"/>
      <c r="CD438" s="942"/>
      <c r="CE438" s="1616"/>
      <c r="CF438" s="943"/>
      <c r="CG438" s="943"/>
      <c r="CH438" s="942"/>
      <c r="CI438" s="1616"/>
      <c r="CJ438" s="943"/>
      <c r="CK438" s="943"/>
      <c r="CL438" s="942"/>
      <c r="CM438" s="1616"/>
      <c r="CN438" s="943"/>
      <c r="CO438" s="943"/>
      <c r="CP438" s="942"/>
      <c r="CQ438" s="1616"/>
      <c r="CR438" s="943"/>
      <c r="CS438" s="943"/>
      <c r="CT438" s="942"/>
      <c r="CU438" s="942"/>
      <c r="CV438" s="943"/>
      <c r="CW438" s="943"/>
      <c r="CX438" s="942"/>
      <c r="CY438" s="942"/>
      <c r="CZ438" s="943"/>
      <c r="DA438" s="943"/>
      <c r="DB438" s="942"/>
      <c r="DC438" s="942"/>
      <c r="DD438" s="943"/>
      <c r="DE438" s="943"/>
      <c r="DF438" s="942"/>
      <c r="DG438" s="942"/>
      <c r="DH438" s="943"/>
      <c r="DI438" s="943"/>
      <c r="DJ438" s="942"/>
      <c r="DK438" s="942"/>
      <c r="DL438" s="943"/>
      <c r="DM438" s="943"/>
      <c r="DN438" s="942"/>
      <c r="DO438" s="942"/>
      <c r="DP438" s="943"/>
      <c r="DQ438" s="943"/>
      <c r="DR438" s="942"/>
      <c r="DS438" s="942"/>
      <c r="DT438" s="942"/>
      <c r="DU438" s="943"/>
      <c r="DV438" s="943"/>
      <c r="DW438" s="943"/>
      <c r="DX438" s="942"/>
      <c r="DY438" s="942"/>
      <c r="DZ438" s="943"/>
      <c r="EA438" s="943"/>
      <c r="EB438" s="942"/>
      <c r="EC438" s="942"/>
      <c r="ED438" s="943"/>
      <c r="EE438" s="943"/>
      <c r="EF438" s="942"/>
      <c r="EG438" s="942"/>
      <c r="EH438" s="942"/>
      <c r="EI438" s="942"/>
      <c r="EJ438" s="942"/>
      <c r="EK438" s="942"/>
      <c r="EL438" s="942"/>
      <c r="EM438" s="942"/>
      <c r="EN438" s="942"/>
      <c r="EO438" s="942"/>
      <c r="EP438" s="942"/>
      <c r="EQ438" s="945"/>
      <c r="ER438" s="945"/>
      <c r="ES438" s="945"/>
      <c r="ET438" s="945"/>
      <c r="EU438" s="945"/>
      <c r="EV438" s="945"/>
      <c r="EW438" s="945"/>
      <c r="EX438" s="945"/>
      <c r="EY438" s="945"/>
      <c r="EZ438" s="945"/>
      <c r="FA438" s="945"/>
      <c r="FB438" s="945"/>
      <c r="FC438" s="945"/>
      <c r="FD438" s="945"/>
      <c r="FE438" s="945"/>
      <c r="FF438" s="945"/>
      <c r="FG438" s="945"/>
      <c r="FH438" s="945"/>
      <c r="FI438" s="945"/>
      <c r="FJ438" s="945"/>
      <c r="FK438" s="945"/>
      <c r="FL438" s="855"/>
      <c r="FM438" s="855"/>
      <c r="FN438" s="855"/>
      <c r="FO438" s="855"/>
      <c r="FP438" s="855"/>
      <c r="FQ438" s="855"/>
      <c r="FR438" s="855"/>
      <c r="FS438" s="855"/>
      <c r="FT438" s="855"/>
      <c r="FU438" s="855"/>
      <c r="FV438" s="855"/>
      <c r="FW438" s="855"/>
      <c r="FX438" s="855"/>
      <c r="FY438" s="855"/>
      <c r="FZ438" s="855"/>
      <c r="GA438" s="855"/>
      <c r="GB438" s="855"/>
      <c r="GC438" s="855"/>
      <c r="GD438" s="855"/>
      <c r="GE438" s="855"/>
      <c r="GF438" s="855"/>
      <c r="GG438" s="855"/>
      <c r="GH438" s="855"/>
      <c r="GI438" s="855"/>
      <c r="GJ438" s="855"/>
      <c r="GK438" s="855"/>
      <c r="GL438" s="855"/>
      <c r="GM438" s="855"/>
      <c r="GN438" s="855"/>
      <c r="GO438" s="855"/>
      <c r="GP438" s="855"/>
      <c r="GQ438" s="855"/>
      <c r="GR438" s="855"/>
      <c r="GS438" s="855"/>
      <c r="GT438" s="855"/>
      <c r="GU438" s="855"/>
      <c r="GV438" s="855"/>
      <c r="GW438" s="855"/>
      <c r="GX438" s="855"/>
      <c r="GY438" s="855"/>
      <c r="GZ438" s="855"/>
      <c r="HA438" s="855"/>
      <c r="HB438" s="855"/>
      <c r="HC438" s="855"/>
      <c r="HD438" s="855"/>
      <c r="HE438" s="855"/>
      <c r="HF438" s="855"/>
      <c r="HG438" s="855"/>
      <c r="HH438" s="855"/>
      <c r="HI438" s="855"/>
      <c r="HJ438" s="855"/>
      <c r="HK438" s="855"/>
      <c r="HL438" s="855"/>
      <c r="HM438" s="855"/>
      <c r="HN438" s="855"/>
      <c r="HO438" s="855"/>
      <c r="HP438" s="855"/>
      <c r="HQ438" s="855"/>
      <c r="HR438" s="855"/>
      <c r="HS438" s="855"/>
      <c r="HT438" s="855"/>
      <c r="HU438" s="855"/>
      <c r="HV438" s="855"/>
      <c r="HW438" s="855"/>
      <c r="HX438" s="855"/>
      <c r="HY438" s="855"/>
      <c r="HZ438" s="855"/>
      <c r="IA438" s="855"/>
      <c r="IB438" s="855"/>
      <c r="IC438" s="855"/>
      <c r="ID438" s="855"/>
      <c r="IE438" s="855"/>
      <c r="IF438" s="855"/>
      <c r="IG438" s="855"/>
      <c r="IH438" s="855"/>
      <c r="II438" s="855"/>
      <c r="IJ438" s="855"/>
      <c r="IK438" s="855"/>
      <c r="IL438" s="855"/>
      <c r="IM438" s="855"/>
      <c r="IN438" s="855"/>
      <c r="IO438" s="855"/>
      <c r="IP438" s="855"/>
      <c r="IQ438" s="855"/>
      <c r="IR438" s="855"/>
      <c r="IS438" s="855"/>
      <c r="IT438" s="855"/>
      <c r="IU438" s="855"/>
      <c r="IV438" s="855"/>
      <c r="IW438" s="855"/>
      <c r="IX438" s="855"/>
      <c r="IY438" s="855"/>
      <c r="IZ438" s="855"/>
      <c r="JA438" s="855"/>
      <c r="JB438" s="855"/>
      <c r="JC438" s="855"/>
      <c r="JD438" s="855"/>
      <c r="JE438" s="855"/>
      <c r="JF438" s="855"/>
      <c r="JG438" s="855"/>
      <c r="JH438" s="855"/>
      <c r="JI438" s="855"/>
      <c r="JJ438" s="855"/>
      <c r="JK438" s="855"/>
      <c r="JL438" s="855"/>
      <c r="JM438"/>
    </row>
    <row r="439" spans="1:273" s="854" customFormat="1">
      <c r="A439" s="102"/>
      <c r="B439" s="103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  <c r="AA439" s="102"/>
      <c r="AB439" s="102"/>
      <c r="AC439" s="102"/>
      <c r="AD439" s="102"/>
      <c r="AE439" s="102"/>
      <c r="AF439" s="102"/>
      <c r="AG439" s="102"/>
      <c r="AH439" s="102"/>
      <c r="AI439" s="102"/>
      <c r="AJ439" s="102"/>
      <c r="AK439" s="102"/>
      <c r="AL439" s="102"/>
      <c r="AM439" s="102"/>
      <c r="AN439" s="290"/>
      <c r="AO439" s="290"/>
      <c r="AP439" s="290"/>
      <c r="AQ439" s="290"/>
      <c r="AR439" s="290"/>
      <c r="AS439" s="290"/>
      <c r="AT439" s="290"/>
      <c r="AU439" s="290"/>
      <c r="AV439" s="818"/>
      <c r="AW439" s="818"/>
      <c r="AX439" s="853"/>
      <c r="AY439" s="853"/>
      <c r="AZ439" s="818"/>
      <c r="BA439" s="850"/>
      <c r="BB439" s="853"/>
      <c r="BC439" s="853"/>
      <c r="BD439" s="850"/>
      <c r="BE439" s="850"/>
      <c r="BF439" s="853"/>
      <c r="BG439" s="853"/>
      <c r="BH439" s="850"/>
      <c r="BI439" s="850"/>
      <c r="BJ439" s="853"/>
      <c r="BK439" s="853"/>
      <c r="BL439" s="850"/>
      <c r="BM439" s="850"/>
      <c r="BN439" s="853"/>
      <c r="BO439" s="853"/>
      <c r="BP439" s="850"/>
      <c r="BQ439" s="850"/>
      <c r="BR439" s="853"/>
      <c r="BS439" s="853"/>
      <c r="BT439" s="850"/>
      <c r="BU439" s="850"/>
      <c r="BV439" s="853"/>
      <c r="BW439" s="853"/>
      <c r="BX439" s="850"/>
      <c r="BY439" s="850"/>
      <c r="BZ439" s="853"/>
      <c r="CA439" s="853"/>
      <c r="CB439" s="850"/>
      <c r="CC439" s="850"/>
      <c r="CD439" s="853"/>
      <c r="CE439" s="862"/>
      <c r="CF439" s="850"/>
      <c r="CG439" s="850"/>
      <c r="CH439" s="853"/>
      <c r="CI439" s="862"/>
      <c r="CJ439" s="850"/>
      <c r="CK439" s="850"/>
      <c r="CL439" s="853"/>
      <c r="CM439" s="862"/>
      <c r="CN439" s="850"/>
      <c r="CO439" s="850"/>
      <c r="CP439" s="853"/>
      <c r="CQ439" s="862"/>
      <c r="CR439" s="850"/>
      <c r="CS439" s="850"/>
      <c r="CT439" s="853"/>
      <c r="CU439" s="853"/>
      <c r="CV439" s="850"/>
      <c r="CW439" s="850"/>
      <c r="CX439" s="853"/>
      <c r="CY439" s="853"/>
      <c r="CZ439" s="850"/>
      <c r="DA439" s="850"/>
      <c r="DB439" s="853"/>
      <c r="DC439" s="853"/>
      <c r="DD439" s="850"/>
      <c r="DE439" s="850"/>
      <c r="DF439" s="853"/>
      <c r="DG439" s="853"/>
      <c r="DH439" s="850"/>
      <c r="DI439" s="850"/>
      <c r="DJ439" s="853"/>
      <c r="DK439" s="853"/>
      <c r="DL439" s="850"/>
      <c r="DM439" s="850"/>
      <c r="DN439" s="853"/>
      <c r="DO439" s="853"/>
      <c r="DP439" s="850"/>
      <c r="DQ439" s="850"/>
      <c r="DR439" s="853"/>
      <c r="DS439" s="853"/>
      <c r="DT439" s="853"/>
      <c r="DU439" s="850"/>
      <c r="DV439" s="850"/>
      <c r="DW439" s="850"/>
      <c r="DX439" s="853"/>
      <c r="DY439" s="853"/>
      <c r="DZ439" s="850"/>
      <c r="EA439" s="850"/>
      <c r="EB439" s="853"/>
      <c r="EC439" s="853"/>
      <c r="ED439" s="850"/>
      <c r="EE439" s="850"/>
      <c r="EF439" s="853"/>
      <c r="EG439" s="853"/>
      <c r="EH439" s="853"/>
      <c r="EI439" s="853"/>
      <c r="EJ439" s="853"/>
      <c r="EK439" s="853"/>
      <c r="EL439" s="853"/>
      <c r="EM439" s="853"/>
      <c r="EN439" s="853"/>
      <c r="EO439" s="853"/>
      <c r="EP439" s="853"/>
      <c r="EQ439" s="855"/>
      <c r="ER439" s="855"/>
      <c r="ES439" s="855"/>
      <c r="ET439" s="855"/>
      <c r="EU439" s="855"/>
      <c r="EV439" s="855"/>
      <c r="EW439" s="855"/>
      <c r="EX439" s="855"/>
      <c r="EY439" s="855"/>
      <c r="EZ439" s="855"/>
      <c r="FA439" s="855"/>
      <c r="FB439" s="855"/>
      <c r="FC439" s="855"/>
      <c r="FD439" s="855"/>
      <c r="FE439" s="855"/>
      <c r="FF439" s="855"/>
      <c r="FG439" s="855"/>
      <c r="FH439" s="855"/>
      <c r="FI439" s="855"/>
      <c r="FJ439" s="855"/>
      <c r="FK439" s="855"/>
      <c r="FL439" s="855"/>
      <c r="FM439" s="855"/>
      <c r="FN439" s="855"/>
      <c r="FO439" s="855"/>
      <c r="FP439" s="855"/>
      <c r="FQ439" s="855"/>
      <c r="FR439" s="855"/>
      <c r="FS439" s="855"/>
      <c r="FT439" s="855"/>
      <c r="FU439" s="855"/>
      <c r="FV439" s="855"/>
      <c r="FW439" s="855"/>
      <c r="FX439" s="855"/>
      <c r="FY439" s="855"/>
      <c r="FZ439" s="855"/>
      <c r="GA439" s="855"/>
      <c r="GB439" s="855"/>
      <c r="GC439" s="855"/>
      <c r="GD439" s="855"/>
      <c r="GE439" s="855"/>
      <c r="GF439" s="855"/>
      <c r="GG439" s="855"/>
      <c r="GH439" s="855"/>
      <c r="GI439" s="855"/>
      <c r="GJ439" s="855"/>
      <c r="GK439" s="855"/>
      <c r="GL439" s="855"/>
      <c r="GM439" s="855"/>
      <c r="GN439" s="855"/>
      <c r="GO439" s="855"/>
      <c r="GP439" s="855"/>
      <c r="GQ439" s="855"/>
      <c r="GR439" s="855"/>
      <c r="GS439" s="855"/>
      <c r="GT439" s="855"/>
      <c r="GU439" s="855"/>
      <c r="GV439" s="855"/>
      <c r="GW439" s="855"/>
      <c r="GX439" s="855"/>
      <c r="GY439" s="855"/>
      <c r="GZ439" s="855"/>
      <c r="HA439" s="855"/>
      <c r="HB439" s="855"/>
      <c r="HC439" s="855"/>
      <c r="HD439" s="855"/>
      <c r="HE439" s="855"/>
      <c r="HF439" s="855"/>
      <c r="HG439" s="855"/>
      <c r="HH439" s="855"/>
      <c r="HI439" s="855"/>
      <c r="HJ439" s="855"/>
      <c r="HK439" s="855"/>
      <c r="HL439" s="855"/>
      <c r="HM439" s="855"/>
      <c r="HN439" s="855"/>
      <c r="HO439" s="855"/>
      <c r="HP439" s="855"/>
      <c r="HQ439" s="855"/>
      <c r="HR439" s="855"/>
      <c r="HS439" s="855"/>
      <c r="HT439" s="855"/>
      <c r="HU439" s="855"/>
      <c r="HV439" s="855"/>
      <c r="HW439" s="855"/>
      <c r="HX439" s="855"/>
      <c r="HY439" s="855"/>
      <c r="HZ439" s="855"/>
      <c r="IA439" s="855"/>
      <c r="IB439" s="855"/>
      <c r="IC439" s="855"/>
      <c r="ID439" s="855"/>
      <c r="IE439" s="855"/>
      <c r="IF439" s="855"/>
      <c r="IG439" s="855"/>
      <c r="IH439" s="855"/>
      <c r="II439" s="855"/>
      <c r="IJ439" s="855"/>
      <c r="IK439" s="855"/>
      <c r="IL439" s="855"/>
      <c r="IM439" s="855"/>
      <c r="IN439" s="855"/>
      <c r="IO439" s="855"/>
      <c r="IP439" s="855"/>
      <c r="IQ439" s="855"/>
      <c r="IR439" s="855"/>
      <c r="IS439" s="855"/>
      <c r="IT439" s="855"/>
      <c r="IU439" s="855"/>
      <c r="IV439" s="855"/>
      <c r="IW439" s="855"/>
      <c r="IX439" s="855"/>
      <c r="IY439" s="855"/>
      <c r="IZ439" s="855"/>
      <c r="JA439" s="855"/>
      <c r="JB439" s="855"/>
      <c r="JC439" s="855"/>
      <c r="JD439" s="855"/>
      <c r="JE439" s="855"/>
      <c r="JF439" s="855"/>
      <c r="JG439" s="855"/>
      <c r="JH439" s="855"/>
      <c r="JI439" s="855"/>
      <c r="JJ439" s="855"/>
      <c r="JK439" s="855"/>
      <c r="JL439" s="855"/>
      <c r="JM439"/>
    </row>
    <row r="440" spans="1:273" s="854" customFormat="1">
      <c r="A440" s="815" t="s">
        <v>621</v>
      </c>
      <c r="B440" s="103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  <c r="AA440" s="102"/>
      <c r="AB440" s="102"/>
      <c r="AC440" s="102"/>
      <c r="AD440" s="102"/>
      <c r="AE440" s="102"/>
      <c r="AF440" s="102"/>
      <c r="AG440" s="102"/>
      <c r="AH440" s="102"/>
      <c r="AI440" s="102"/>
      <c r="AJ440" s="102"/>
      <c r="AK440" s="102"/>
      <c r="AL440" s="102"/>
      <c r="AM440" s="102"/>
      <c r="AN440" s="290"/>
      <c r="AO440" s="290"/>
      <c r="AP440" s="290"/>
      <c r="AQ440" s="290"/>
      <c r="AR440" s="290"/>
      <c r="AS440" s="290"/>
      <c r="AT440" s="290"/>
      <c r="AU440" s="290"/>
      <c r="AV440" s="818"/>
      <c r="AW440" s="818"/>
      <c r="AX440" s="853"/>
      <c r="AY440" s="853"/>
      <c r="AZ440" s="818"/>
      <c r="BA440" s="850"/>
      <c r="BB440" s="853"/>
      <c r="BC440" s="853"/>
      <c r="BD440" s="850"/>
      <c r="BE440" s="850"/>
      <c r="BF440" s="853"/>
      <c r="BG440" s="853"/>
      <c r="BH440" s="850"/>
      <c r="BI440" s="850"/>
      <c r="BJ440" s="853"/>
      <c r="BK440" s="853"/>
      <c r="BL440" s="850"/>
      <c r="BM440" s="850"/>
      <c r="BN440" s="853"/>
      <c r="BO440" s="853"/>
      <c r="BP440" s="850"/>
      <c r="BQ440" s="850"/>
      <c r="BR440" s="853"/>
      <c r="BS440" s="853"/>
      <c r="BT440" s="850"/>
      <c r="BU440" s="850"/>
      <c r="BV440" s="853"/>
      <c r="BW440" s="853"/>
      <c r="BX440" s="850"/>
      <c r="BY440" s="850"/>
      <c r="BZ440" s="853"/>
      <c r="CA440" s="853"/>
      <c r="CB440" s="850"/>
      <c r="CC440" s="850"/>
      <c r="CD440" s="853"/>
      <c r="CE440" s="862"/>
      <c r="CF440" s="850"/>
      <c r="CG440" s="850"/>
      <c r="CH440" s="853"/>
      <c r="CI440" s="862"/>
      <c r="CJ440" s="850"/>
      <c r="CK440" s="850"/>
      <c r="CL440" s="853"/>
      <c r="CM440" s="862"/>
      <c r="CN440" s="850"/>
      <c r="CO440" s="850"/>
      <c r="CP440" s="853"/>
      <c r="CQ440" s="862"/>
      <c r="CR440" s="850"/>
      <c r="CS440" s="850"/>
      <c r="CT440" s="853"/>
      <c r="CU440" s="853"/>
      <c r="CV440" s="850"/>
      <c r="CW440" s="850"/>
      <c r="CX440" s="801"/>
      <c r="CY440" s="853"/>
      <c r="CZ440" s="850"/>
      <c r="DA440" s="850"/>
      <c r="DB440" s="853"/>
      <c r="DC440" s="853"/>
      <c r="DD440" s="850"/>
      <c r="DE440" s="850"/>
      <c r="DF440" s="853"/>
      <c r="DG440" s="853"/>
      <c r="DH440" s="850"/>
      <c r="DI440" s="850"/>
      <c r="DJ440" s="853"/>
      <c r="DK440" s="853"/>
      <c r="DL440" s="850"/>
      <c r="DM440" s="850"/>
      <c r="DN440" s="853"/>
      <c r="DO440" s="853"/>
      <c r="DP440" s="850"/>
      <c r="DQ440" s="850"/>
      <c r="DR440" s="853"/>
      <c r="DS440" s="853"/>
      <c r="DT440" s="853"/>
      <c r="DU440" s="850"/>
      <c r="DV440" s="850"/>
      <c r="DW440" s="850"/>
      <c r="DX440" s="853"/>
      <c r="DY440" s="853"/>
      <c r="DZ440" s="850"/>
      <c r="EA440" s="850"/>
      <c r="EB440" s="853"/>
      <c r="EC440" s="853"/>
      <c r="ED440" s="850"/>
      <c r="EE440" s="850"/>
      <c r="EF440" s="853"/>
      <c r="EG440" s="853"/>
      <c r="EH440" s="853"/>
      <c r="EI440" s="853"/>
      <c r="EJ440" s="853"/>
      <c r="EK440" s="853"/>
      <c r="EL440" s="853"/>
      <c r="EM440" s="853"/>
      <c r="EN440" s="853"/>
      <c r="EO440" s="853"/>
      <c r="EP440" s="853"/>
      <c r="EQ440" s="855"/>
      <c r="ER440" s="855"/>
      <c r="ES440" s="855"/>
      <c r="ET440" s="855"/>
      <c r="EU440" s="855"/>
      <c r="EV440" s="855"/>
      <c r="EW440" s="855"/>
      <c r="EX440" s="855"/>
      <c r="EY440" s="855"/>
      <c r="EZ440" s="855"/>
      <c r="FA440" s="855"/>
      <c r="FB440" s="855"/>
      <c r="FC440" s="855"/>
      <c r="FD440" s="855"/>
      <c r="FE440" s="855"/>
      <c r="FF440" s="855"/>
      <c r="FG440" s="855"/>
      <c r="FH440" s="855"/>
      <c r="FI440" s="855"/>
      <c r="FJ440" s="855"/>
      <c r="FK440" s="855"/>
      <c r="FL440" s="855"/>
      <c r="FM440" s="855"/>
      <c r="FN440" s="855"/>
      <c r="FO440" s="855"/>
      <c r="FP440" s="855"/>
      <c r="FQ440" s="855"/>
      <c r="FR440" s="855"/>
      <c r="FS440" s="855"/>
      <c r="FT440" s="855"/>
      <c r="FU440" s="855"/>
      <c r="FV440" s="855"/>
      <c r="FW440" s="855"/>
      <c r="FX440" s="855"/>
      <c r="FY440" s="855"/>
      <c r="FZ440" s="855"/>
      <c r="GA440" s="855"/>
      <c r="GB440" s="855"/>
      <c r="GC440" s="855"/>
      <c r="GD440" s="855"/>
      <c r="GE440" s="855"/>
      <c r="GF440" s="855"/>
      <c r="GG440" s="855"/>
      <c r="GH440" s="855"/>
      <c r="GI440" s="855"/>
      <c r="GJ440" s="855"/>
      <c r="GK440" s="855"/>
      <c r="GL440" s="855"/>
      <c r="GM440" s="855"/>
      <c r="GN440" s="855"/>
      <c r="GO440" s="855"/>
      <c r="GP440" s="855"/>
      <c r="GQ440" s="855"/>
      <c r="GR440" s="855"/>
      <c r="GS440" s="855"/>
      <c r="GT440" s="855"/>
      <c r="GU440" s="855"/>
      <c r="GV440" s="855"/>
      <c r="GW440" s="855"/>
      <c r="GX440" s="855"/>
      <c r="GY440" s="855"/>
      <c r="GZ440" s="855"/>
      <c r="HA440" s="855"/>
      <c r="HB440" s="855"/>
      <c r="HC440" s="855"/>
      <c r="HD440" s="855"/>
      <c r="HE440" s="855"/>
      <c r="HF440" s="855"/>
      <c r="HG440" s="855"/>
      <c r="HH440" s="855"/>
      <c r="HI440" s="855"/>
      <c r="HJ440" s="855"/>
      <c r="HK440" s="855"/>
      <c r="HL440" s="855"/>
      <c r="HM440" s="855"/>
      <c r="HN440" s="855"/>
      <c r="HO440" s="855"/>
      <c r="HP440" s="855"/>
      <c r="HQ440" s="855"/>
      <c r="HR440" s="855"/>
      <c r="HS440" s="855"/>
      <c r="HT440" s="855"/>
      <c r="HU440" s="855"/>
      <c r="HV440" s="855"/>
      <c r="HW440" s="855"/>
      <c r="HX440" s="855"/>
      <c r="HY440" s="855"/>
      <c r="HZ440" s="855"/>
      <c r="IA440" s="855"/>
      <c r="IB440" s="855"/>
      <c r="IC440" s="855"/>
      <c r="ID440" s="855"/>
      <c r="IE440" s="855"/>
      <c r="IF440" s="855"/>
      <c r="IG440" s="855"/>
      <c r="IH440" s="855"/>
      <c r="II440" s="855"/>
      <c r="IJ440" s="855"/>
      <c r="IK440" s="855"/>
      <c r="IL440" s="855"/>
      <c r="IM440" s="855"/>
      <c r="IN440" s="855"/>
      <c r="IO440" s="855"/>
      <c r="IP440" s="855"/>
      <c r="IQ440" s="855"/>
      <c r="IR440" s="855"/>
      <c r="IS440" s="855"/>
      <c r="IT440" s="855"/>
      <c r="IU440" s="855"/>
      <c r="IV440" s="855"/>
      <c r="IW440" s="855"/>
      <c r="IX440" s="855"/>
      <c r="IY440" s="855"/>
      <c r="IZ440" s="855"/>
      <c r="JA440" s="855"/>
      <c r="JB440" s="855"/>
      <c r="JC440" s="855"/>
      <c r="JD440" s="855"/>
      <c r="JE440" s="855"/>
      <c r="JF440" s="855"/>
      <c r="JG440" s="855"/>
      <c r="JH440" s="855"/>
      <c r="JI440" s="855"/>
      <c r="JJ440" s="855"/>
      <c r="JK440" s="855"/>
      <c r="JL440" s="855"/>
      <c r="JM440"/>
    </row>
    <row r="441" spans="1:273" s="854" customFormat="1">
      <c r="A441" s="102" t="s">
        <v>685</v>
      </c>
      <c r="B441" s="103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  <c r="AA441" s="102"/>
      <c r="AB441" s="102"/>
      <c r="AC441" s="102"/>
      <c r="AD441" s="102"/>
      <c r="AE441" s="102"/>
      <c r="AF441" s="102"/>
      <c r="AG441" s="102"/>
      <c r="AH441" s="102"/>
      <c r="AI441" s="102"/>
      <c r="AJ441" s="102"/>
      <c r="AK441" s="102"/>
      <c r="AL441" s="102"/>
      <c r="AM441" s="102"/>
      <c r="AN441" s="293">
        <f>DIVISIONS!AN41</f>
        <v>0</v>
      </c>
      <c r="AO441" s="293">
        <f>DIVISIONS!AO41</f>
        <v>0</v>
      </c>
      <c r="AP441" s="626"/>
      <c r="AQ441" s="626"/>
      <c r="AR441" s="293"/>
      <c r="AS441" s="293"/>
      <c r="AT441" s="626"/>
      <c r="AU441" s="626"/>
      <c r="AV441" s="293"/>
      <c r="AW441" s="293"/>
      <c r="AX441" s="818"/>
      <c r="AY441" s="853"/>
      <c r="AZ441" s="293"/>
      <c r="BA441" s="293"/>
      <c r="BB441" s="818"/>
      <c r="BC441" s="853"/>
      <c r="BD441" s="293"/>
      <c r="BE441" s="293"/>
      <c r="BF441" s="818"/>
      <c r="BG441" s="818"/>
      <c r="BH441" s="293"/>
      <c r="BI441" s="293"/>
      <c r="BJ441" s="818"/>
      <c r="BK441" s="853"/>
      <c r="BL441" s="293"/>
      <c r="BM441" s="293"/>
      <c r="BN441" s="818"/>
      <c r="BO441" s="853"/>
      <c r="BP441" s="293"/>
      <c r="BQ441" s="293"/>
      <c r="BR441" s="818"/>
      <c r="BS441" s="853"/>
      <c r="BT441" s="293"/>
      <c r="BU441" s="293"/>
      <c r="BV441" s="818"/>
      <c r="BW441" s="853"/>
      <c r="BX441" s="293"/>
      <c r="BY441" s="293"/>
      <c r="BZ441" s="818"/>
      <c r="CA441" s="853"/>
      <c r="CB441" s="293"/>
      <c r="CC441" s="293"/>
      <c r="CD441" s="293"/>
      <c r="CE441" s="862"/>
      <c r="CF441" s="293"/>
      <c r="CG441" s="293"/>
      <c r="CH441" s="293"/>
      <c r="CI441" s="862"/>
      <c r="CJ441" s="293"/>
      <c r="CK441" s="293"/>
      <c r="CL441" s="293"/>
      <c r="CM441" s="862"/>
      <c r="CN441" s="293"/>
      <c r="CO441" s="293"/>
      <c r="CP441" s="293"/>
      <c r="CQ441" s="862"/>
      <c r="CR441" s="293"/>
      <c r="CS441" s="293"/>
      <c r="CT441" s="293"/>
      <c r="CU441" s="853"/>
      <c r="CV441" s="293"/>
      <c r="CW441" s="293"/>
      <c r="CX441" s="293"/>
      <c r="CY441" s="853"/>
      <c r="CZ441" s="293"/>
      <c r="DA441" s="293"/>
      <c r="DB441" s="293"/>
      <c r="DC441" s="853"/>
      <c r="DD441" s="293"/>
      <c r="DE441" s="293"/>
      <c r="DF441" s="293"/>
      <c r="DG441" s="853"/>
      <c r="DH441" s="293"/>
      <c r="DI441" s="293"/>
      <c r="DJ441" s="293"/>
      <c r="DK441" s="853"/>
      <c r="DL441" s="293"/>
      <c r="DM441" s="293"/>
      <c r="DN441" s="293"/>
      <c r="DO441" s="853"/>
      <c r="DP441" s="293"/>
      <c r="DQ441" s="293"/>
      <c r="DR441" s="293"/>
      <c r="DS441" s="853"/>
      <c r="DT441" s="853"/>
      <c r="DU441" s="293"/>
      <c r="DV441" s="293"/>
      <c r="DW441" s="293"/>
      <c r="DX441" s="853"/>
      <c r="DY441" s="853"/>
      <c r="DZ441" s="293"/>
      <c r="EA441" s="293"/>
      <c r="EB441" s="853"/>
      <c r="EC441" s="853"/>
      <c r="ED441" s="293"/>
      <c r="EE441" s="293"/>
      <c r="EF441" s="853"/>
      <c r="EG441" s="853"/>
      <c r="EH441" s="853"/>
      <c r="EI441" s="853"/>
      <c r="EJ441" s="853"/>
      <c r="EK441" s="853"/>
      <c r="EL441" s="853"/>
      <c r="EM441" s="853"/>
      <c r="EN441" s="853"/>
      <c r="EO441" s="853"/>
      <c r="EP441" s="853"/>
      <c r="EQ441" s="855"/>
      <c r="ER441" s="855"/>
      <c r="ES441" s="855"/>
      <c r="ET441" s="855"/>
      <c r="EU441" s="855"/>
      <c r="EV441" s="855"/>
      <c r="EW441" s="855"/>
      <c r="EX441" s="855"/>
      <c r="EY441" s="855"/>
      <c r="EZ441" s="855"/>
      <c r="FA441" s="855"/>
      <c r="FB441" s="855"/>
      <c r="FC441" s="855"/>
      <c r="FD441" s="855"/>
      <c r="FE441" s="855"/>
      <c r="FF441" s="855"/>
      <c r="FG441" s="855"/>
      <c r="FH441" s="855"/>
      <c r="FI441" s="855"/>
      <c r="FJ441" s="855"/>
      <c r="FK441" s="855"/>
      <c r="FL441" s="855"/>
      <c r="FM441" s="855"/>
      <c r="FN441" s="855"/>
      <c r="FO441" s="855"/>
      <c r="FP441" s="855"/>
      <c r="FQ441" s="855"/>
      <c r="FR441" s="855"/>
      <c r="FS441" s="855"/>
      <c r="FT441" s="855"/>
      <c r="FU441" s="855"/>
      <c r="FV441" s="855"/>
      <c r="FW441" s="855"/>
      <c r="FX441" s="855"/>
      <c r="FY441" s="855"/>
      <c r="FZ441" s="855"/>
      <c r="GA441" s="855"/>
      <c r="GB441" s="855"/>
      <c r="GC441" s="855"/>
      <c r="GD441" s="855"/>
      <c r="GE441" s="855"/>
      <c r="GF441" s="855"/>
      <c r="GG441" s="855"/>
      <c r="GH441" s="855"/>
      <c r="GI441" s="855"/>
      <c r="GJ441" s="855"/>
      <c r="GK441" s="855"/>
      <c r="GL441" s="855"/>
      <c r="GM441" s="855"/>
      <c r="GN441" s="855"/>
      <c r="GO441" s="855"/>
      <c r="GP441" s="855"/>
      <c r="GQ441" s="855"/>
      <c r="GR441" s="855"/>
      <c r="GS441" s="855"/>
      <c r="GT441" s="855"/>
      <c r="GU441" s="855"/>
      <c r="GV441" s="855"/>
      <c r="GW441" s="855"/>
      <c r="GX441" s="855"/>
      <c r="GY441" s="855"/>
      <c r="GZ441" s="855"/>
      <c r="HA441" s="855"/>
      <c r="HB441" s="855"/>
      <c r="HC441" s="855"/>
      <c r="HD441" s="855"/>
      <c r="HE441" s="855"/>
      <c r="HF441" s="855"/>
      <c r="HG441" s="855"/>
      <c r="HH441" s="855"/>
      <c r="HI441" s="855"/>
      <c r="HJ441" s="855"/>
      <c r="HK441" s="855"/>
      <c r="HL441" s="855"/>
      <c r="HM441" s="855"/>
      <c r="HN441" s="855"/>
      <c r="HO441" s="855"/>
      <c r="HP441" s="855"/>
      <c r="HQ441" s="855"/>
      <c r="HR441" s="855"/>
      <c r="HS441" s="855"/>
      <c r="HT441" s="855"/>
      <c r="HU441" s="855"/>
      <c r="HV441" s="855"/>
      <c r="HW441" s="855"/>
      <c r="HX441" s="855"/>
      <c r="HY441" s="855"/>
      <c r="HZ441" s="855"/>
      <c r="IA441" s="855"/>
      <c r="IB441" s="855"/>
      <c r="IC441" s="855"/>
      <c r="ID441" s="855"/>
      <c r="IE441" s="855"/>
      <c r="IF441" s="855"/>
      <c r="IG441" s="855"/>
      <c r="IH441" s="855"/>
      <c r="II441" s="855"/>
      <c r="IJ441" s="855"/>
      <c r="IK441" s="855"/>
      <c r="IL441" s="855"/>
      <c r="IM441" s="855"/>
      <c r="IN441" s="855"/>
      <c r="IO441" s="855"/>
      <c r="IP441" s="855"/>
      <c r="IQ441" s="855"/>
      <c r="IR441" s="855"/>
      <c r="IS441" s="855"/>
      <c r="IT441" s="855"/>
      <c r="IU441" s="855"/>
      <c r="IV441" s="855"/>
      <c r="IW441" s="855"/>
      <c r="IX441" s="855"/>
      <c r="IY441" s="855"/>
      <c r="IZ441" s="855"/>
      <c r="JA441" s="855"/>
      <c r="JB441" s="855"/>
      <c r="JC441" s="855"/>
      <c r="JD441" s="855"/>
      <c r="JE441" s="855"/>
      <c r="JF441" s="855"/>
      <c r="JG441" s="855"/>
      <c r="JH441" s="855"/>
      <c r="JI441" s="855"/>
      <c r="JJ441" s="855"/>
      <c r="JK441" s="855"/>
      <c r="JL441" s="855"/>
      <c r="JM441"/>
    </row>
    <row r="442" spans="1:273" s="854" customFormat="1">
      <c r="A442" s="102" t="s">
        <v>686</v>
      </c>
      <c r="B442" s="103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  <c r="AA442" s="102"/>
      <c r="AB442" s="102"/>
      <c r="AC442" s="102"/>
      <c r="AD442" s="102"/>
      <c r="AE442" s="102"/>
      <c r="AF442" s="102"/>
      <c r="AG442" s="102"/>
      <c r="AH442" s="102"/>
      <c r="AI442" s="102"/>
      <c r="AJ442" s="102"/>
      <c r="AK442" s="102"/>
      <c r="AL442" s="102"/>
      <c r="AM442" s="102"/>
      <c r="AN442" s="293">
        <f>DIVISIONS!AN118</f>
        <v>0</v>
      </c>
      <c r="AO442" s="293">
        <f>DIVISIONS!AO118</f>
        <v>0</v>
      </c>
      <c r="AP442" s="818">
        <f t="shared" ref="AP442:AP448" si="443">AN442+AO442</f>
        <v>0</v>
      </c>
      <c r="AQ442" s="290"/>
      <c r="AR442" s="293">
        <f>DIVISIONS!AR118</f>
        <v>0</v>
      </c>
      <c r="AS442" s="293">
        <f>DIVISIONS!AS118</f>
        <v>0</v>
      </c>
      <c r="AT442" s="818">
        <f t="shared" ref="AT442:AT448" si="444">AR442+AS442</f>
        <v>0</v>
      </c>
      <c r="AU442" s="290"/>
      <c r="AV442" s="293">
        <f>DIVISIONS!AV118</f>
        <v>-268</v>
      </c>
      <c r="AW442" s="293">
        <f>DIVISIONS!AW118</f>
        <v>144</v>
      </c>
      <c r="AX442" s="818">
        <f t="shared" ref="AX442:AX448" si="445">AV442+AW442</f>
        <v>-124</v>
      </c>
      <c r="AY442" s="853"/>
      <c r="AZ442" s="293">
        <f>DIVISIONS!AZ118</f>
        <v>40</v>
      </c>
      <c r="BA442" s="293">
        <f>DIVISIONS!BA118</f>
        <v>154</v>
      </c>
      <c r="BB442" s="818">
        <f t="shared" ref="BB442:BB448" si="446">AZ442+BA442</f>
        <v>194</v>
      </c>
      <c r="BC442" s="853"/>
      <c r="BD442" s="293">
        <f>DIVISIONS!BD118</f>
        <v>20</v>
      </c>
      <c r="BE442" s="293">
        <f>DIVISIONS!BE118</f>
        <v>89</v>
      </c>
      <c r="BF442" s="818">
        <f t="shared" ref="BF442:BF448" si="447">BD442+BE442</f>
        <v>109</v>
      </c>
      <c r="BG442" s="818"/>
      <c r="BH442" s="293">
        <f>DIVISIONS!BH118</f>
        <v>-24</v>
      </c>
      <c r="BI442" s="293">
        <f>DIVISIONS!BI118</f>
        <v>139</v>
      </c>
      <c r="BJ442" s="818">
        <f t="shared" ref="BJ442:BJ448" si="448">BH442+BI442</f>
        <v>115</v>
      </c>
      <c r="BK442" s="853"/>
      <c r="BL442" s="293">
        <f>DIVISIONS!BL118</f>
        <v>59</v>
      </c>
      <c r="BM442" s="293">
        <f>DIVISIONS!BM118</f>
        <v>41</v>
      </c>
      <c r="BN442" s="818">
        <f t="shared" ref="BN442:BN448" si="449">BL442+BM442</f>
        <v>100</v>
      </c>
      <c r="BO442" s="853"/>
      <c r="BP442" s="293">
        <f>DIVISIONS!BP118</f>
        <v>97</v>
      </c>
      <c r="BQ442" s="293">
        <f>DIVISIONS!BQ118</f>
        <v>103</v>
      </c>
      <c r="BR442" s="818">
        <f t="shared" ref="BR442:BR448" si="450">BP442+BQ442</f>
        <v>200</v>
      </c>
      <c r="BS442" s="853"/>
      <c r="BT442" s="293">
        <f>DIVISIONS!BT118</f>
        <v>-4</v>
      </c>
      <c r="BU442" s="293">
        <f>DIVISIONS!BU118</f>
        <v>292</v>
      </c>
      <c r="BV442" s="818">
        <f t="shared" ref="BV442:BV448" si="451">BT442+BU442</f>
        <v>288</v>
      </c>
      <c r="BW442" s="853"/>
      <c r="BX442" s="293">
        <f>DIVISIONS!BX118</f>
        <v>152</v>
      </c>
      <c r="BY442" s="293">
        <f>DIVISIONS!BY118</f>
        <v>130</v>
      </c>
      <c r="BZ442" s="818">
        <f t="shared" ref="BZ442:BZ448" si="452">BX442+BY442</f>
        <v>282</v>
      </c>
      <c r="CA442" s="853"/>
      <c r="CB442" s="293">
        <f>DIVISIONS!CB118</f>
        <v>152</v>
      </c>
      <c r="CC442" s="293">
        <f>DIVISIONS!CC118</f>
        <v>458</v>
      </c>
      <c r="CD442" s="818">
        <f t="shared" ref="CD442:CD448" si="453">CB442+CC442</f>
        <v>610</v>
      </c>
      <c r="CE442" s="862"/>
      <c r="CF442" s="293">
        <f>DIVISIONS!CF118</f>
        <v>510</v>
      </c>
      <c r="CG442" s="293">
        <f>DIVISIONS!CG118</f>
        <v>1364</v>
      </c>
      <c r="CH442" s="818">
        <f t="shared" ref="CH442:CH448" si="454">CF442+CG442</f>
        <v>1874</v>
      </c>
      <c r="CI442" s="862"/>
      <c r="CJ442" s="293">
        <f>DIVISIONS!CJ118</f>
        <v>514</v>
      </c>
      <c r="CK442" s="293">
        <f>DIVISIONS!CK118</f>
        <v>601</v>
      </c>
      <c r="CL442" s="818">
        <f t="shared" ref="CL442:CL444" si="455">CJ442+CK442</f>
        <v>1115</v>
      </c>
      <c r="CM442" s="862"/>
      <c r="CN442" s="293">
        <f>DIVISIONS!CN118</f>
        <v>-40</v>
      </c>
      <c r="CO442" s="293">
        <f>DIVISIONS!CO118</f>
        <v>836</v>
      </c>
      <c r="CP442" s="818">
        <f t="shared" ref="CP442:CP444" si="456">CN442+CO442</f>
        <v>796</v>
      </c>
      <c r="CQ442" s="862"/>
      <c r="CR442" s="293">
        <f>DIVISIONS!CR118</f>
        <v>290</v>
      </c>
      <c r="CS442" s="293">
        <f>DIVISIONS!CS118</f>
        <v>494</v>
      </c>
      <c r="CT442" s="293">
        <f>DIVISIONS!CT118</f>
        <v>784</v>
      </c>
      <c r="CU442" s="853"/>
      <c r="CV442" s="293">
        <f>DIVISIONS!CV118</f>
        <v>499</v>
      </c>
      <c r="CW442" s="293">
        <f>DIVISIONS!CW118</f>
        <v>110</v>
      </c>
      <c r="CX442" s="293">
        <f>DIVISIONS!CX118</f>
        <v>609</v>
      </c>
      <c r="CY442" s="853"/>
      <c r="CZ442" s="293">
        <f>DIVISIONS!CZ118</f>
        <v>293</v>
      </c>
      <c r="DA442" s="293">
        <f>DIVISIONS!DA118</f>
        <v>551</v>
      </c>
      <c r="DB442" s="293">
        <f>DIVISIONS!DB118</f>
        <v>844</v>
      </c>
      <c r="DC442" s="853"/>
      <c r="DD442" s="293">
        <f>DIVISIONS!DD118</f>
        <v>219</v>
      </c>
      <c r="DE442" s="293">
        <f>DIVISIONS!DE118</f>
        <v>232</v>
      </c>
      <c r="DF442" s="293">
        <f>DIVISIONS!DF118</f>
        <v>451</v>
      </c>
      <c r="DG442" s="853"/>
      <c r="DH442" s="293">
        <f>DIVISIONS!DH118</f>
        <v>268</v>
      </c>
      <c r="DI442" s="293">
        <f>DIVISIONS!DI118</f>
        <v>327.57000000000005</v>
      </c>
      <c r="DJ442" s="293">
        <f>DIVISIONS!DJ118</f>
        <v>595.57000000000005</v>
      </c>
      <c r="DK442" s="853"/>
      <c r="DL442" s="293">
        <f>DIVISIONS!DL118</f>
        <v>331.13010000000003</v>
      </c>
      <c r="DM442" s="293">
        <f>DIVISIONS!DM118</f>
        <v>530.78000299999997</v>
      </c>
      <c r="DN442" s="293">
        <f>DIVISIONS!DN118</f>
        <v>861.91010299999994</v>
      </c>
      <c r="DO442" s="853"/>
      <c r="DP442" s="293">
        <f>DIVISIONS!DP118</f>
        <v>368.13140308999999</v>
      </c>
      <c r="DQ442" s="293">
        <f>DIVISIONS!DQ118</f>
        <v>587.75998518269989</v>
      </c>
      <c r="DR442" s="293">
        <f>DIVISIONS!DR118</f>
        <v>955.89138827269994</v>
      </c>
      <c r="DS442" s="853"/>
      <c r="DT442" s="853"/>
      <c r="DU442" s="293"/>
      <c r="DV442" s="293"/>
      <c r="DW442" s="293"/>
      <c r="DX442" s="853"/>
      <c r="DY442" s="853"/>
      <c r="DZ442" s="293"/>
      <c r="EA442" s="293"/>
      <c r="EB442" s="853"/>
      <c r="EC442" s="853"/>
      <c r="ED442" s="293"/>
      <c r="EE442" s="293"/>
      <c r="EF442" s="853"/>
      <c r="EG442" s="853"/>
      <c r="EH442" s="853"/>
      <c r="EI442" s="853"/>
      <c r="EJ442" s="853"/>
      <c r="EK442" s="853"/>
      <c r="EL442" s="853"/>
      <c r="EM442" s="853"/>
      <c r="EN442" s="853"/>
      <c r="EO442" s="853"/>
      <c r="EP442" s="853"/>
      <c r="EQ442" s="855"/>
      <c r="ER442" s="855"/>
      <c r="ES442" s="855"/>
      <c r="ET442" s="855"/>
      <c r="EU442" s="855"/>
      <c r="EV442" s="855"/>
      <c r="EW442" s="855"/>
      <c r="EX442" s="855"/>
      <c r="EY442" s="855"/>
      <c r="EZ442" s="855"/>
      <c r="FA442" s="855"/>
      <c r="FB442" s="855"/>
      <c r="FC442" s="855"/>
      <c r="FD442" s="855"/>
      <c r="FE442" s="855"/>
      <c r="FF442" s="855"/>
      <c r="FG442" s="855"/>
      <c r="FH442" s="855"/>
      <c r="FI442" s="855"/>
      <c r="FJ442" s="855"/>
      <c r="FK442" s="855"/>
      <c r="FL442" s="855"/>
      <c r="FM442" s="855"/>
      <c r="FN442" s="855"/>
      <c r="FO442" s="855"/>
      <c r="FP442" s="855"/>
      <c r="FQ442" s="855"/>
      <c r="FR442" s="855"/>
      <c r="FS442" s="855"/>
      <c r="FT442" s="855"/>
      <c r="FU442" s="855"/>
      <c r="FV442" s="855"/>
      <c r="FW442" s="855"/>
      <c r="FX442" s="855"/>
      <c r="FY442" s="855"/>
      <c r="FZ442" s="855"/>
      <c r="GA442" s="855"/>
      <c r="GB442" s="855"/>
      <c r="GC442" s="855"/>
      <c r="GD442" s="855"/>
      <c r="GE442" s="855"/>
      <c r="GF442" s="855"/>
      <c r="GG442" s="855"/>
      <c r="GH442" s="855"/>
      <c r="GI442" s="855"/>
      <c r="GJ442" s="855"/>
      <c r="GK442" s="855"/>
      <c r="GL442" s="855"/>
      <c r="GM442" s="855"/>
      <c r="GN442" s="855"/>
      <c r="GO442" s="855"/>
      <c r="GP442" s="855"/>
      <c r="GQ442" s="855"/>
      <c r="GR442" s="855"/>
      <c r="GS442" s="855"/>
      <c r="GT442" s="855"/>
      <c r="GU442" s="855"/>
      <c r="GV442" s="855"/>
      <c r="GW442" s="855"/>
      <c r="GX442" s="855"/>
      <c r="GY442" s="855"/>
      <c r="GZ442" s="855"/>
      <c r="HA442" s="855"/>
      <c r="HB442" s="855"/>
      <c r="HC442" s="855"/>
      <c r="HD442" s="855"/>
      <c r="HE442" s="855"/>
      <c r="HF442" s="855"/>
      <c r="HG442" s="855"/>
      <c r="HH442" s="855"/>
      <c r="HI442" s="855"/>
      <c r="HJ442" s="855"/>
      <c r="HK442" s="855"/>
      <c r="HL442" s="855"/>
      <c r="HM442" s="855"/>
      <c r="HN442" s="855"/>
      <c r="HO442" s="855"/>
      <c r="HP442" s="855"/>
      <c r="HQ442" s="855"/>
      <c r="HR442" s="855"/>
      <c r="HS442" s="855"/>
      <c r="HT442" s="855"/>
      <c r="HU442" s="855"/>
      <c r="HV442" s="855"/>
      <c r="HW442" s="855"/>
      <c r="HX442" s="855"/>
      <c r="HY442" s="855"/>
      <c r="HZ442" s="855"/>
      <c r="IA442" s="855"/>
      <c r="IB442" s="855"/>
      <c r="IC442" s="855"/>
      <c r="ID442" s="855"/>
      <c r="IE442" s="855"/>
      <c r="IF442" s="855"/>
      <c r="IG442" s="855"/>
      <c r="IH442" s="855"/>
      <c r="II442" s="855"/>
      <c r="IJ442" s="855"/>
      <c r="IK442" s="855"/>
      <c r="IL442" s="855"/>
      <c r="IM442" s="855"/>
      <c r="IN442" s="855"/>
      <c r="IO442" s="855"/>
      <c r="IP442" s="855"/>
      <c r="IQ442" s="855"/>
      <c r="IR442" s="855"/>
      <c r="IS442" s="855"/>
      <c r="IT442" s="855"/>
      <c r="IU442" s="855"/>
      <c r="IV442" s="855"/>
      <c r="IW442" s="855"/>
      <c r="IX442" s="855"/>
      <c r="IY442" s="855"/>
      <c r="IZ442" s="855"/>
      <c r="JA442" s="855"/>
      <c r="JB442" s="855"/>
      <c r="JC442" s="855"/>
      <c r="JD442" s="855"/>
      <c r="JE442" s="855"/>
      <c r="JF442" s="855"/>
      <c r="JG442" s="855"/>
      <c r="JH442" s="855"/>
      <c r="JI442" s="855"/>
      <c r="JJ442" s="855"/>
      <c r="JK442" s="855"/>
      <c r="JL442" s="855"/>
      <c r="JM442"/>
    </row>
    <row r="443" spans="1:273" s="854" customFormat="1">
      <c r="A443" s="102" t="s">
        <v>616</v>
      </c>
      <c r="B443" s="103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  <c r="AB443" s="102"/>
      <c r="AC443" s="102"/>
      <c r="AD443" s="102"/>
      <c r="AE443" s="102"/>
      <c r="AF443" s="102"/>
      <c r="AG443" s="102"/>
      <c r="AH443" s="102"/>
      <c r="AI443" s="102"/>
      <c r="AJ443" s="102"/>
      <c r="AK443" s="102"/>
      <c r="AL443" s="102"/>
      <c r="AM443" s="102"/>
      <c r="AN443" s="818">
        <f>DIVISIONS!AN346</f>
        <v>0</v>
      </c>
      <c r="AO443" s="818">
        <f>DIVISIONS!AO346</f>
        <v>0</v>
      </c>
      <c r="AP443" s="818">
        <f t="shared" si="443"/>
        <v>0</v>
      </c>
      <c r="AQ443" s="290"/>
      <c r="AR443" s="818">
        <f>DIVISIONS!AR346</f>
        <v>0</v>
      </c>
      <c r="AS443" s="818">
        <f>DIVISIONS!AS346</f>
        <v>0</v>
      </c>
      <c r="AT443" s="818">
        <f t="shared" si="444"/>
        <v>0</v>
      </c>
      <c r="AU443" s="290"/>
      <c r="AV443" s="818">
        <f>DIVISIONS!AV346</f>
        <v>494</v>
      </c>
      <c r="AW443" s="818">
        <f>DIVISIONS!AW346</f>
        <v>246</v>
      </c>
      <c r="AX443" s="818">
        <f t="shared" si="445"/>
        <v>740</v>
      </c>
      <c r="AY443" s="853"/>
      <c r="AZ443" s="818">
        <f>DIVISIONS!AZ346</f>
        <v>26</v>
      </c>
      <c r="BA443" s="818">
        <f>DIVISIONS!BA346</f>
        <v>3</v>
      </c>
      <c r="BB443" s="818">
        <f t="shared" si="446"/>
        <v>29</v>
      </c>
      <c r="BC443" s="853"/>
      <c r="BD443" s="818">
        <f>DIVISIONS!BD346</f>
        <v>11</v>
      </c>
      <c r="BE443" s="818">
        <f>DIVISIONS!BE346</f>
        <v>27</v>
      </c>
      <c r="BF443" s="818">
        <f t="shared" si="447"/>
        <v>38</v>
      </c>
      <c r="BG443" s="853"/>
      <c r="BH443" s="818">
        <f>DIVISIONS!BH346</f>
        <v>-3</v>
      </c>
      <c r="BI443" s="818">
        <f>DIVISIONS!BI346</f>
        <v>23</v>
      </c>
      <c r="BJ443" s="818">
        <f t="shared" si="448"/>
        <v>20</v>
      </c>
      <c r="BK443" s="853"/>
      <c r="BL443" s="818">
        <f>DIVISIONS!BL346</f>
        <v>54</v>
      </c>
      <c r="BM443" s="818">
        <f>DIVISIONS!BM346</f>
        <v>58</v>
      </c>
      <c r="BN443" s="818">
        <f t="shared" si="449"/>
        <v>112</v>
      </c>
      <c r="BO443" s="853"/>
      <c r="BP443" s="818">
        <f>DIVISIONS!BP346</f>
        <v>60</v>
      </c>
      <c r="BQ443" s="818">
        <f>DIVISIONS!BQ346</f>
        <v>58</v>
      </c>
      <c r="BR443" s="818">
        <f t="shared" si="450"/>
        <v>118</v>
      </c>
      <c r="BS443" s="853"/>
      <c r="BT443" s="818">
        <f>DIVISIONS!BT346</f>
        <v>181</v>
      </c>
      <c r="BU443" s="818">
        <f>DIVISIONS!BU346</f>
        <v>56</v>
      </c>
      <c r="BV443" s="818">
        <f t="shared" si="451"/>
        <v>237</v>
      </c>
      <c r="BW443" s="853"/>
      <c r="BX443" s="818">
        <f>DIVISIONS!BX346</f>
        <v>275</v>
      </c>
      <c r="BY443" s="818">
        <f>DIVISIONS!BY346</f>
        <v>207</v>
      </c>
      <c r="BZ443" s="818">
        <f t="shared" si="452"/>
        <v>482</v>
      </c>
      <c r="CA443" s="853"/>
      <c r="CB443" s="818">
        <f>DIVISIONS!CB346</f>
        <v>239</v>
      </c>
      <c r="CC443" s="818">
        <f>DIVISIONS!CC346</f>
        <v>-88</v>
      </c>
      <c r="CD443" s="818">
        <f t="shared" si="453"/>
        <v>151</v>
      </c>
      <c r="CE443" s="862"/>
      <c r="CF443" s="818">
        <f>DIVISIONS!CF346</f>
        <v>372</v>
      </c>
      <c r="CG443" s="818">
        <f>DIVISIONS!CG346</f>
        <v>373</v>
      </c>
      <c r="CH443" s="818">
        <f t="shared" si="454"/>
        <v>745</v>
      </c>
      <c r="CI443" s="862"/>
      <c r="CJ443" s="818">
        <f>DIVISIONS!CJ346</f>
        <v>406</v>
      </c>
      <c r="CK443" s="818">
        <f>DIVISIONS!CK346</f>
        <v>208</v>
      </c>
      <c r="CL443" s="818">
        <f t="shared" si="455"/>
        <v>614</v>
      </c>
      <c r="CM443" s="862"/>
      <c r="CN443" s="818">
        <f>DIVISIONS!CN346</f>
        <v>460</v>
      </c>
      <c r="CO443" s="818">
        <f>DIVISIONS!CO346</f>
        <v>403</v>
      </c>
      <c r="CP443" s="818">
        <f t="shared" si="456"/>
        <v>863</v>
      </c>
      <c r="CQ443" s="862"/>
      <c r="CR443" s="818">
        <f>DIVISIONS!CR346</f>
        <v>215</v>
      </c>
      <c r="CS443" s="818">
        <f>DIVISIONS!CS346</f>
        <v>1408</v>
      </c>
      <c r="CT443" s="818">
        <f>DIVISIONS!CT346</f>
        <v>1623</v>
      </c>
      <c r="CU443" s="853"/>
      <c r="CV443" s="818">
        <f>DIVISIONS!CV346</f>
        <v>836</v>
      </c>
      <c r="CW443" s="818">
        <f>DIVISIONS!CW346</f>
        <v>391</v>
      </c>
      <c r="CX443" s="818">
        <f>DIVISIONS!CX346</f>
        <v>1227</v>
      </c>
      <c r="CY443" s="853"/>
      <c r="CZ443" s="818">
        <f>DIVISIONS!CZ346</f>
        <v>74</v>
      </c>
      <c r="DA443" s="818">
        <f>DIVISIONS!DA346</f>
        <v>244</v>
      </c>
      <c r="DB443" s="818">
        <f>DIVISIONS!DB346</f>
        <v>318</v>
      </c>
      <c r="DC443" s="853"/>
      <c r="DD443" s="818">
        <f>DIVISIONS!DD346</f>
        <v>164</v>
      </c>
      <c r="DE443" s="818">
        <f>DIVISIONS!DE346</f>
        <v>490</v>
      </c>
      <c r="DF443" s="818">
        <f>DIVISIONS!DF346</f>
        <v>654</v>
      </c>
      <c r="DG443" s="853"/>
      <c r="DH443" s="818">
        <f>DIVISIONS!DH346</f>
        <v>81</v>
      </c>
      <c r="DI443" s="818">
        <f>DIVISIONS!DI346</f>
        <v>602</v>
      </c>
      <c r="DJ443" s="818">
        <f>DIVISIONS!DJ346</f>
        <v>683</v>
      </c>
      <c r="DK443" s="853"/>
      <c r="DL443" s="818">
        <f>DIVISIONS!DL346</f>
        <v>239.55</v>
      </c>
      <c r="DM443" s="818">
        <f>DIVISIONS!DM346</f>
        <v>244.85000000000002</v>
      </c>
      <c r="DN443" s="818">
        <f>DIVISIONS!DN346</f>
        <v>484.40000000000003</v>
      </c>
      <c r="DO443" s="853"/>
      <c r="DP443" s="818">
        <f>DIVISIONS!DP346</f>
        <v>226.23750000000001</v>
      </c>
      <c r="DQ443" s="818">
        <f>DIVISIONS!DQ346</f>
        <v>232.85250000000002</v>
      </c>
      <c r="DR443" s="818">
        <f>DIVISIONS!DR346</f>
        <v>459.09000000000003</v>
      </c>
      <c r="DS443" s="853"/>
      <c r="DT443" s="853"/>
      <c r="DU443" s="818"/>
      <c r="DV443" s="818"/>
      <c r="DW443" s="818"/>
      <c r="DX443" s="853"/>
      <c r="DY443" s="853"/>
      <c r="DZ443" s="818"/>
      <c r="EA443" s="818"/>
      <c r="EB443" s="853"/>
      <c r="EC443" s="853"/>
      <c r="ED443" s="818"/>
      <c r="EE443" s="818"/>
      <c r="EF443" s="853"/>
      <c r="EG443" s="853"/>
      <c r="EH443" s="853"/>
      <c r="EI443" s="853"/>
      <c r="EJ443" s="853"/>
      <c r="EK443" s="853"/>
      <c r="EL443" s="853"/>
      <c r="EM443" s="853"/>
      <c r="EN443" s="853"/>
      <c r="EO443" s="853"/>
      <c r="EP443" s="853"/>
      <c r="EQ443" s="855"/>
      <c r="ER443" s="855"/>
      <c r="ES443" s="855"/>
      <c r="ET443" s="855"/>
      <c r="EU443" s="855"/>
      <c r="EV443" s="855"/>
      <c r="EW443" s="855"/>
      <c r="EX443" s="855"/>
      <c r="EY443" s="855"/>
      <c r="EZ443" s="855"/>
      <c r="FA443" s="855"/>
      <c r="FB443" s="855"/>
      <c r="FC443" s="855"/>
      <c r="FD443" s="855"/>
      <c r="FE443" s="855"/>
      <c r="FF443" s="855"/>
      <c r="FG443" s="855"/>
      <c r="FH443" s="855"/>
      <c r="FI443" s="855"/>
      <c r="FJ443" s="855"/>
      <c r="FK443" s="855"/>
      <c r="FL443" s="855"/>
      <c r="FM443" s="855"/>
      <c r="FN443" s="855"/>
      <c r="FO443" s="855"/>
      <c r="FP443" s="855"/>
      <c r="FQ443" s="855"/>
      <c r="FR443" s="855"/>
      <c r="FS443" s="855"/>
      <c r="FT443" s="855"/>
      <c r="FU443" s="855"/>
      <c r="FV443" s="855"/>
      <c r="FW443" s="855"/>
      <c r="FX443" s="855"/>
      <c r="FY443" s="855"/>
      <c r="FZ443" s="855"/>
      <c r="GA443" s="855"/>
      <c r="GB443" s="855"/>
      <c r="GC443" s="855"/>
      <c r="GD443" s="855"/>
      <c r="GE443" s="855"/>
      <c r="GF443" s="855"/>
      <c r="GG443" s="855"/>
      <c r="GH443" s="855"/>
      <c r="GI443" s="855"/>
      <c r="GJ443" s="855"/>
      <c r="GK443" s="855"/>
      <c r="GL443" s="855"/>
      <c r="GM443" s="855"/>
      <c r="GN443" s="855"/>
      <c r="GO443" s="855"/>
      <c r="GP443" s="855"/>
      <c r="GQ443" s="855"/>
      <c r="GR443" s="855"/>
      <c r="GS443" s="855"/>
      <c r="GT443" s="855"/>
      <c r="GU443" s="855"/>
      <c r="GV443" s="855"/>
      <c r="GW443" s="855"/>
      <c r="GX443" s="855"/>
      <c r="GY443" s="855"/>
      <c r="GZ443" s="855"/>
      <c r="HA443" s="855"/>
      <c r="HB443" s="855"/>
      <c r="HC443" s="855"/>
      <c r="HD443" s="855"/>
      <c r="HE443" s="855"/>
      <c r="HF443" s="855"/>
      <c r="HG443" s="855"/>
      <c r="HH443" s="855"/>
      <c r="HI443" s="855"/>
      <c r="HJ443" s="855"/>
      <c r="HK443" s="855"/>
      <c r="HL443" s="855"/>
      <c r="HM443" s="855"/>
      <c r="HN443" s="855"/>
      <c r="HO443" s="855"/>
      <c r="HP443" s="855"/>
      <c r="HQ443" s="855"/>
      <c r="HR443" s="855"/>
      <c r="HS443" s="855"/>
      <c r="HT443" s="855"/>
      <c r="HU443" s="855"/>
      <c r="HV443" s="855"/>
      <c r="HW443" s="855"/>
      <c r="HX443" s="855"/>
      <c r="HY443" s="855"/>
      <c r="HZ443" s="855"/>
      <c r="IA443" s="855"/>
      <c r="IB443" s="855"/>
      <c r="IC443" s="855"/>
      <c r="ID443" s="855"/>
      <c r="IE443" s="855"/>
      <c r="IF443" s="855"/>
      <c r="IG443" s="855"/>
      <c r="IH443" s="855"/>
      <c r="II443" s="855"/>
      <c r="IJ443" s="855"/>
      <c r="IK443" s="855"/>
      <c r="IL443" s="855"/>
      <c r="IM443" s="855"/>
      <c r="IN443" s="855"/>
      <c r="IO443" s="855"/>
      <c r="IP443" s="855"/>
      <c r="IQ443" s="855"/>
      <c r="IR443" s="855"/>
      <c r="IS443" s="855"/>
      <c r="IT443" s="855"/>
      <c r="IU443" s="855"/>
      <c r="IV443" s="855"/>
      <c r="IW443" s="855"/>
      <c r="IX443" s="855"/>
      <c r="IY443" s="855"/>
      <c r="IZ443" s="855"/>
      <c r="JA443" s="855"/>
      <c r="JB443" s="855"/>
      <c r="JC443" s="855"/>
      <c r="JD443" s="855"/>
      <c r="JE443" s="855"/>
      <c r="JF443" s="855"/>
      <c r="JG443" s="855"/>
      <c r="JH443" s="855"/>
      <c r="JI443" s="855"/>
      <c r="JJ443" s="855"/>
      <c r="JK443" s="855"/>
      <c r="JL443" s="855"/>
      <c r="JM443"/>
    </row>
    <row r="444" spans="1:273" s="854" customFormat="1">
      <c r="A444" s="102" t="s">
        <v>1024</v>
      </c>
      <c r="B444" s="103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  <c r="AA444" s="102"/>
      <c r="AB444" s="102"/>
      <c r="AC444" s="102"/>
      <c r="AD444" s="102"/>
      <c r="AE444" s="102"/>
      <c r="AF444" s="102"/>
      <c r="AG444" s="102"/>
      <c r="AH444" s="102"/>
      <c r="AI444" s="102"/>
      <c r="AJ444" s="102"/>
      <c r="AK444" s="102"/>
      <c r="AL444" s="102"/>
      <c r="AM444" s="102"/>
      <c r="AN444" s="293">
        <f>DIVISIONS!AN234</f>
        <v>157</v>
      </c>
      <c r="AO444" s="293">
        <f>DIVISIONS!AO234</f>
        <v>263</v>
      </c>
      <c r="AP444" s="818">
        <f t="shared" si="443"/>
        <v>420</v>
      </c>
      <c r="AQ444" s="626"/>
      <c r="AR444" s="293">
        <f>DIVISIONS!AR234</f>
        <v>51</v>
      </c>
      <c r="AS444" s="293">
        <f>DIVISIONS!AS234</f>
        <v>-241</v>
      </c>
      <c r="AT444" s="818">
        <f t="shared" si="444"/>
        <v>-190</v>
      </c>
      <c r="AU444" s="626"/>
      <c r="AV444" s="293">
        <f>DIVISIONS!AV234</f>
        <v>-12</v>
      </c>
      <c r="AW444" s="293">
        <f>DIVISIONS!AW234</f>
        <v>49</v>
      </c>
      <c r="AX444" s="818">
        <f t="shared" si="445"/>
        <v>37</v>
      </c>
      <c r="AY444" s="853"/>
      <c r="AZ444" s="293">
        <f>DIVISIONS!AZ234</f>
        <v>104</v>
      </c>
      <c r="BA444" s="293">
        <f>DIVISIONS!BA234</f>
        <v>157</v>
      </c>
      <c r="BB444" s="818">
        <f t="shared" si="446"/>
        <v>261</v>
      </c>
      <c r="BC444" s="853"/>
      <c r="BD444" s="293">
        <f>DIVISIONS!BD234</f>
        <v>31</v>
      </c>
      <c r="BE444" s="293">
        <f>DIVISIONS!BE234</f>
        <v>266</v>
      </c>
      <c r="BF444" s="818">
        <f t="shared" si="447"/>
        <v>297</v>
      </c>
      <c r="BG444" s="818"/>
      <c r="BH444" s="293">
        <f>DIVISIONS!BH234</f>
        <v>-59</v>
      </c>
      <c r="BI444" s="293">
        <f>DIVISIONS!BI234</f>
        <v>-5</v>
      </c>
      <c r="BJ444" s="818">
        <f t="shared" si="448"/>
        <v>-64</v>
      </c>
      <c r="BK444" s="853"/>
      <c r="BL444" s="293">
        <f>DIVISIONS!BL234</f>
        <v>-68</v>
      </c>
      <c r="BM444" s="293">
        <f>DIVISIONS!BM234</f>
        <v>-11</v>
      </c>
      <c r="BN444" s="818">
        <f t="shared" si="449"/>
        <v>-79</v>
      </c>
      <c r="BO444" s="853"/>
      <c r="BP444" s="293">
        <f>DIVISIONS!BP234</f>
        <v>-40</v>
      </c>
      <c r="BQ444" s="293">
        <f>DIVISIONS!BQ234</f>
        <v>-242</v>
      </c>
      <c r="BR444" s="818">
        <f t="shared" si="450"/>
        <v>-282</v>
      </c>
      <c r="BS444" s="853"/>
      <c r="BT444" s="293">
        <f>DIVISIONS!BT234</f>
        <v>-150</v>
      </c>
      <c r="BU444" s="293">
        <f>DIVISIONS!BU234</f>
        <v>-140</v>
      </c>
      <c r="BV444" s="818">
        <f t="shared" si="451"/>
        <v>-290</v>
      </c>
      <c r="BW444" s="853"/>
      <c r="BX444" s="293">
        <f>DIVISIONS!BX234</f>
        <v>105</v>
      </c>
      <c r="BY444" s="293">
        <f>DIVISIONS!BY234</f>
        <v>-73</v>
      </c>
      <c r="BZ444" s="818">
        <f t="shared" si="452"/>
        <v>32</v>
      </c>
      <c r="CA444" s="853"/>
      <c r="CB444" s="293">
        <f>DIVISIONS!CB234</f>
        <v>-34</v>
      </c>
      <c r="CC444" s="293">
        <f>DIVISIONS!CC234</f>
        <v>55</v>
      </c>
      <c r="CD444" s="818">
        <f t="shared" si="453"/>
        <v>21</v>
      </c>
      <c r="CE444" s="862"/>
      <c r="CF444" s="293">
        <f>DIVISIONS!CF234</f>
        <v>168</v>
      </c>
      <c r="CG444" s="293">
        <f>DIVISIONS!CG234</f>
        <v>88</v>
      </c>
      <c r="CH444" s="818">
        <f t="shared" si="454"/>
        <v>256</v>
      </c>
      <c r="CI444" s="862"/>
      <c r="CJ444" s="293">
        <f>DIVISIONS!CJ234</f>
        <v>174</v>
      </c>
      <c r="CK444" s="293">
        <f>DIVISIONS!CK234</f>
        <v>40</v>
      </c>
      <c r="CL444" s="818">
        <f t="shared" si="455"/>
        <v>214</v>
      </c>
      <c r="CM444" s="862"/>
      <c r="CN444" s="293">
        <f>DIVISIONS!CN234</f>
        <v>122</v>
      </c>
      <c r="CO444" s="293">
        <f>DIVISIONS!CO234</f>
        <v>177</v>
      </c>
      <c r="CP444" s="818">
        <f t="shared" si="456"/>
        <v>299</v>
      </c>
      <c r="CQ444" s="862"/>
      <c r="CR444" s="293">
        <f>DIVISIONS!CR234</f>
        <v>614</v>
      </c>
      <c r="CS444" s="293">
        <f>DIVISIONS!CS234</f>
        <v>281</v>
      </c>
      <c r="CT444" s="293">
        <f>DIVISIONS!CT234</f>
        <v>895</v>
      </c>
      <c r="CU444" s="853"/>
      <c r="CV444" s="293">
        <f>DIVISIONS!CV234</f>
        <v>171</v>
      </c>
      <c r="CW444" s="293">
        <f>DIVISIONS!CW234</f>
        <v>307</v>
      </c>
      <c r="CX444" s="293">
        <f>DIVISIONS!CX234</f>
        <v>478</v>
      </c>
      <c r="CY444" s="853"/>
      <c r="CZ444" s="293">
        <f>DIVISIONS!CZ234</f>
        <v>268</v>
      </c>
      <c r="DA444" s="293">
        <f>DIVISIONS!DA234</f>
        <v>251</v>
      </c>
      <c r="DB444" s="293">
        <f>DIVISIONS!DB234</f>
        <v>519</v>
      </c>
      <c r="DC444" s="853"/>
      <c r="DD444" s="293">
        <f>DIVISIONS!DD234</f>
        <v>324</v>
      </c>
      <c r="DE444" s="293">
        <f>DIVISIONS!DE234</f>
        <v>224</v>
      </c>
      <c r="DF444" s="293">
        <f>DIVISIONS!DF234</f>
        <v>548</v>
      </c>
      <c r="DG444" s="853"/>
      <c r="DH444" s="293">
        <f>DIVISIONS!DH234</f>
        <v>220</v>
      </c>
      <c r="DI444" s="293">
        <f>DIVISIONS!DI234</f>
        <v>263.58999999999997</v>
      </c>
      <c r="DJ444" s="293">
        <f>DIVISIONS!DJ234</f>
        <v>483.59</v>
      </c>
      <c r="DK444" s="853"/>
      <c r="DL444" s="293">
        <f>DIVISIONS!DL234</f>
        <v>257.82049999999998</v>
      </c>
      <c r="DM444" s="293">
        <f>DIVISIONS!DM234</f>
        <v>294.311915</v>
      </c>
      <c r="DN444" s="293">
        <f>DIVISIONS!DN234</f>
        <v>552.13241500000004</v>
      </c>
      <c r="DO444" s="853"/>
      <c r="DP444" s="293">
        <f>DIVISIONS!DP234</f>
        <v>289.34869644999998</v>
      </c>
      <c r="DQ444" s="293">
        <f>DIVISIONS!DQ234</f>
        <v>328.62685334349999</v>
      </c>
      <c r="DR444" s="293">
        <f>DIVISIONS!DR234</f>
        <v>617.97554979350002</v>
      </c>
      <c r="DS444" s="853"/>
      <c r="DT444" s="853"/>
      <c r="DU444" s="293"/>
      <c r="DV444" s="293"/>
      <c r="DW444" s="293"/>
      <c r="DX444" s="853"/>
      <c r="DY444" s="853"/>
      <c r="DZ444" s="293"/>
      <c r="EA444" s="293"/>
      <c r="EB444" s="853"/>
      <c r="EC444" s="853"/>
      <c r="ED444" s="293"/>
      <c r="EE444" s="293"/>
      <c r="EF444" s="853"/>
      <c r="EG444" s="853"/>
      <c r="EH444" s="853"/>
      <c r="EI444" s="853"/>
      <c r="EJ444" s="853"/>
      <c r="EK444" s="853"/>
      <c r="EL444" s="853"/>
      <c r="EM444" s="853"/>
      <c r="EN444" s="853"/>
      <c r="EO444" s="853"/>
      <c r="EP444" s="853"/>
      <c r="EQ444" s="855"/>
      <c r="ER444" s="855"/>
      <c r="ES444" s="855"/>
      <c r="ET444" s="855"/>
      <c r="EU444" s="855"/>
      <c r="EV444" s="855"/>
      <c r="EW444" s="855"/>
      <c r="EX444" s="855"/>
      <c r="EY444" s="855"/>
      <c r="EZ444" s="855"/>
      <c r="FA444" s="855"/>
      <c r="FB444" s="855"/>
      <c r="FC444" s="855"/>
      <c r="FD444" s="855"/>
      <c r="FE444" s="855"/>
      <c r="FF444" s="855"/>
      <c r="FG444" s="855"/>
      <c r="FH444" s="855"/>
      <c r="FI444" s="855"/>
      <c r="FJ444" s="855"/>
      <c r="FK444" s="855"/>
      <c r="FL444" s="855"/>
      <c r="FM444" s="855"/>
      <c r="FN444" s="855"/>
      <c r="FO444" s="855"/>
      <c r="FP444" s="855"/>
      <c r="FQ444" s="855"/>
      <c r="FR444" s="855"/>
      <c r="FS444" s="855"/>
      <c r="FT444" s="855"/>
      <c r="FU444" s="855"/>
      <c r="FV444" s="855"/>
      <c r="FW444" s="855"/>
      <c r="FX444" s="855"/>
      <c r="FY444" s="855"/>
      <c r="FZ444" s="855"/>
      <c r="GA444" s="855"/>
      <c r="GB444" s="855"/>
      <c r="GC444" s="855"/>
      <c r="GD444" s="855"/>
      <c r="GE444" s="855"/>
      <c r="GF444" s="855"/>
      <c r="GG444" s="855"/>
      <c r="GH444" s="855"/>
      <c r="GI444" s="855"/>
      <c r="GJ444" s="855"/>
      <c r="GK444" s="855"/>
      <c r="GL444" s="855"/>
      <c r="GM444" s="855"/>
      <c r="GN444" s="855"/>
      <c r="GO444" s="855"/>
      <c r="GP444" s="855"/>
      <c r="GQ444" s="855"/>
      <c r="GR444" s="855"/>
      <c r="GS444" s="855"/>
      <c r="GT444" s="855"/>
      <c r="GU444" s="855"/>
      <c r="GV444" s="855"/>
      <c r="GW444" s="855"/>
      <c r="GX444" s="855"/>
      <c r="GY444" s="855"/>
      <c r="GZ444" s="855"/>
      <c r="HA444" s="855"/>
      <c r="HB444" s="855"/>
      <c r="HC444" s="855"/>
      <c r="HD444" s="855"/>
      <c r="HE444" s="855"/>
      <c r="HF444" s="855"/>
      <c r="HG444" s="855"/>
      <c r="HH444" s="855"/>
      <c r="HI444" s="855"/>
      <c r="HJ444" s="855"/>
      <c r="HK444" s="855"/>
      <c r="HL444" s="855"/>
      <c r="HM444" s="855"/>
      <c r="HN444" s="855"/>
      <c r="HO444" s="855"/>
      <c r="HP444" s="855"/>
      <c r="HQ444" s="855"/>
      <c r="HR444" s="855"/>
      <c r="HS444" s="855"/>
      <c r="HT444" s="855"/>
      <c r="HU444" s="855"/>
      <c r="HV444" s="855"/>
      <c r="HW444" s="855"/>
      <c r="HX444" s="855"/>
      <c r="HY444" s="855"/>
      <c r="HZ444" s="855"/>
      <c r="IA444" s="855"/>
      <c r="IB444" s="855"/>
      <c r="IC444" s="855"/>
      <c r="ID444" s="855"/>
      <c r="IE444" s="855"/>
      <c r="IF444" s="855"/>
      <c r="IG444" s="855"/>
      <c r="IH444" s="855"/>
      <c r="II444" s="855"/>
      <c r="IJ444" s="855"/>
      <c r="IK444" s="855"/>
      <c r="IL444" s="855"/>
      <c r="IM444" s="855"/>
      <c r="IN444" s="855"/>
      <c r="IO444" s="855"/>
      <c r="IP444" s="855"/>
      <c r="IQ444" s="855"/>
      <c r="IR444" s="855"/>
      <c r="IS444" s="855"/>
      <c r="IT444" s="855"/>
      <c r="IU444" s="855"/>
      <c r="IV444" s="855"/>
      <c r="IW444" s="855"/>
      <c r="IX444" s="855"/>
      <c r="IY444" s="855"/>
      <c r="IZ444" s="855"/>
      <c r="JA444" s="855"/>
      <c r="JB444" s="855"/>
      <c r="JC444" s="855"/>
      <c r="JD444" s="855"/>
      <c r="JE444" s="855"/>
      <c r="JF444" s="855"/>
      <c r="JG444" s="855"/>
      <c r="JH444" s="855"/>
      <c r="JI444" s="855"/>
      <c r="JJ444" s="855"/>
      <c r="JK444" s="855"/>
      <c r="JL444" s="855"/>
      <c r="JM444"/>
    </row>
    <row r="445" spans="1:273" s="854" customFormat="1">
      <c r="A445" s="102" t="s">
        <v>690</v>
      </c>
      <c r="B445" s="103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  <c r="AA445" s="102"/>
      <c r="AB445" s="102"/>
      <c r="AC445" s="102"/>
      <c r="AD445" s="102"/>
      <c r="AE445" s="102"/>
      <c r="AF445" s="102"/>
      <c r="AG445" s="102"/>
      <c r="AH445" s="102"/>
      <c r="AI445" s="102"/>
      <c r="AJ445" s="102"/>
      <c r="AK445" s="102"/>
      <c r="AL445" s="102"/>
      <c r="AM445" s="102"/>
      <c r="AN445" s="818">
        <f>DIVISIONS!AN473</f>
        <v>0</v>
      </c>
      <c r="AO445" s="818">
        <f>DIVISIONS!AO473</f>
        <v>0</v>
      </c>
      <c r="AP445" s="818">
        <f t="shared" si="443"/>
        <v>0</v>
      </c>
      <c r="AQ445" s="290"/>
      <c r="AR445" s="818">
        <f>DIVISIONS!AR473</f>
        <v>0</v>
      </c>
      <c r="AS445" s="818">
        <f>DIVISIONS!AS473</f>
        <v>0</v>
      </c>
      <c r="AT445" s="818">
        <f t="shared" si="444"/>
        <v>0</v>
      </c>
      <c r="AU445" s="290"/>
      <c r="AV445" s="818">
        <f>DIVISIONS!AV473</f>
        <v>17</v>
      </c>
      <c r="AW445" s="818">
        <f>DIVISIONS!AW473</f>
        <v>-10</v>
      </c>
      <c r="AX445" s="818">
        <f t="shared" si="445"/>
        <v>7</v>
      </c>
      <c r="AY445" s="853"/>
      <c r="AZ445" s="818">
        <f>DIVISIONS!AZ473</f>
        <v>59</v>
      </c>
      <c r="BA445" s="818">
        <f>DIVISIONS!BA473</f>
        <v>172</v>
      </c>
      <c r="BB445" s="818">
        <f t="shared" si="446"/>
        <v>231</v>
      </c>
      <c r="BC445" s="853"/>
      <c r="BD445" s="818">
        <f>DIVISIONS!BD473</f>
        <v>213</v>
      </c>
      <c r="BE445" s="818">
        <f>DIVISIONS!BE473</f>
        <v>214</v>
      </c>
      <c r="BF445" s="818">
        <f t="shared" si="447"/>
        <v>427</v>
      </c>
      <c r="BG445" s="818"/>
      <c r="BH445" s="818">
        <f>DIVISIONS!BH473</f>
        <v>235</v>
      </c>
      <c r="BI445" s="818">
        <f>DIVISIONS!BI473</f>
        <v>192</v>
      </c>
      <c r="BJ445" s="818">
        <f t="shared" si="448"/>
        <v>427</v>
      </c>
      <c r="BK445" s="853"/>
      <c r="BL445" s="818">
        <f>DIVISIONS!BL473</f>
        <v>282</v>
      </c>
      <c r="BM445" s="818">
        <f>DIVISIONS!BM473</f>
        <v>209</v>
      </c>
      <c r="BN445" s="818">
        <f t="shared" si="449"/>
        <v>491</v>
      </c>
      <c r="BO445" s="853"/>
      <c r="BP445" s="818">
        <f>DIVISIONS!BP473</f>
        <v>336</v>
      </c>
      <c r="BQ445" s="818">
        <f>DIVISIONS!BQ473</f>
        <v>488</v>
      </c>
      <c r="BR445" s="818">
        <f t="shared" si="450"/>
        <v>824</v>
      </c>
      <c r="BS445" s="853"/>
      <c r="BT445" s="818">
        <f>DIVISIONS!BT473</f>
        <v>386</v>
      </c>
      <c r="BU445" s="818">
        <f>DIVISIONS!BU473</f>
        <v>379</v>
      </c>
      <c r="BV445" s="818">
        <f t="shared" si="451"/>
        <v>765</v>
      </c>
      <c r="BW445" s="853"/>
      <c r="BX445" s="818">
        <f>DIVISIONS!BX473</f>
        <v>457</v>
      </c>
      <c r="BY445" s="818">
        <f>DIVISIONS!BY473</f>
        <v>569</v>
      </c>
      <c r="BZ445" s="818">
        <f t="shared" si="452"/>
        <v>1026</v>
      </c>
      <c r="CA445" s="853"/>
      <c r="CB445" s="818">
        <f>DIVISIONS!CB473</f>
        <v>615</v>
      </c>
      <c r="CC445" s="818">
        <f>DIVISIONS!CC473</f>
        <v>778</v>
      </c>
      <c r="CD445" s="818">
        <f t="shared" si="453"/>
        <v>1393</v>
      </c>
      <c r="CE445" s="862"/>
      <c r="CF445" s="818"/>
      <c r="CG445" s="818"/>
      <c r="CH445" s="818"/>
      <c r="CI445" s="862"/>
      <c r="CJ445" s="818"/>
      <c r="CK445" s="818"/>
      <c r="CL445" s="818"/>
      <c r="CM445" s="862"/>
      <c r="CN445" s="818"/>
      <c r="CO445" s="818"/>
      <c r="CP445" s="818"/>
      <c r="CQ445" s="862"/>
      <c r="CR445" s="818"/>
      <c r="CS445" s="818"/>
      <c r="CT445" s="818"/>
      <c r="CU445" s="853"/>
      <c r="CV445" s="818"/>
      <c r="CW445" s="818"/>
      <c r="CX445" s="818"/>
      <c r="CY445" s="853"/>
      <c r="CZ445" s="818"/>
      <c r="DA445" s="818"/>
      <c r="DB445" s="818"/>
      <c r="DC445" s="853"/>
      <c r="DD445" s="818"/>
      <c r="DE445" s="818"/>
      <c r="DF445" s="818"/>
      <c r="DG445" s="853"/>
      <c r="DH445" s="818"/>
      <c r="DI445" s="818"/>
      <c r="DJ445" s="818"/>
      <c r="DK445" s="853"/>
      <c r="DL445" s="818"/>
      <c r="DM445" s="818"/>
      <c r="DN445" s="818"/>
      <c r="DO445" s="853"/>
      <c r="DP445" s="818"/>
      <c r="DQ445" s="818"/>
      <c r="DR445" s="818"/>
      <c r="DS445" s="853"/>
      <c r="DT445" s="853"/>
      <c r="DU445" s="818"/>
      <c r="DV445" s="818"/>
      <c r="DW445" s="818"/>
      <c r="DX445" s="853"/>
      <c r="DY445" s="853"/>
      <c r="DZ445" s="818"/>
      <c r="EA445" s="818"/>
      <c r="EB445" s="853"/>
      <c r="EC445" s="853"/>
      <c r="ED445" s="818"/>
      <c r="EE445" s="818"/>
      <c r="EF445" s="853"/>
      <c r="EG445" s="853"/>
      <c r="EH445" s="853"/>
      <c r="EI445" s="853"/>
      <c r="EJ445" s="853"/>
      <c r="EK445" s="853"/>
      <c r="EL445" s="853"/>
      <c r="EM445" s="853"/>
      <c r="EN445" s="853"/>
      <c r="EO445" s="853"/>
      <c r="EP445" s="853"/>
      <c r="EQ445" s="855"/>
      <c r="ER445" s="855"/>
      <c r="ES445" s="855"/>
      <c r="ET445" s="855"/>
      <c r="EU445" s="855"/>
      <c r="EV445" s="855"/>
      <c r="EW445" s="855"/>
      <c r="EX445" s="855"/>
      <c r="EY445" s="855"/>
      <c r="EZ445" s="855"/>
      <c r="FA445" s="855"/>
      <c r="FB445" s="855"/>
      <c r="FC445" s="855"/>
      <c r="FD445" s="855"/>
      <c r="FE445" s="855"/>
      <c r="FF445" s="855"/>
      <c r="FG445" s="855"/>
      <c r="FH445" s="855"/>
      <c r="FI445" s="855"/>
      <c r="FJ445" s="855"/>
      <c r="FK445" s="855"/>
      <c r="FL445" s="855"/>
      <c r="FM445" s="855"/>
      <c r="FN445" s="855"/>
      <c r="FO445" s="855"/>
      <c r="FP445" s="855"/>
      <c r="FQ445" s="855"/>
      <c r="FR445" s="855"/>
      <c r="FS445" s="855"/>
      <c r="FT445" s="855"/>
      <c r="FU445" s="855"/>
      <c r="FV445" s="855"/>
      <c r="FW445" s="855"/>
      <c r="FX445" s="855"/>
      <c r="FY445" s="855"/>
      <c r="FZ445" s="855"/>
      <c r="GA445" s="855"/>
      <c r="GB445" s="855"/>
      <c r="GC445" s="855"/>
      <c r="GD445" s="855"/>
      <c r="GE445" s="855"/>
      <c r="GF445" s="855"/>
      <c r="GG445" s="855"/>
      <c r="GH445" s="855"/>
      <c r="GI445" s="855"/>
      <c r="GJ445" s="855"/>
      <c r="GK445" s="855"/>
      <c r="GL445" s="855"/>
      <c r="GM445" s="855"/>
      <c r="GN445" s="855"/>
      <c r="GO445" s="855"/>
      <c r="GP445" s="855"/>
      <c r="GQ445" s="855"/>
      <c r="GR445" s="855"/>
      <c r="GS445" s="855"/>
      <c r="GT445" s="855"/>
      <c r="GU445" s="855"/>
      <c r="GV445" s="855"/>
      <c r="GW445" s="855"/>
      <c r="GX445" s="855"/>
      <c r="GY445" s="855"/>
      <c r="GZ445" s="855"/>
      <c r="HA445" s="855"/>
      <c r="HB445" s="855"/>
      <c r="HC445" s="855"/>
      <c r="HD445" s="855"/>
      <c r="HE445" s="855"/>
      <c r="HF445" s="855"/>
      <c r="HG445" s="855"/>
      <c r="HH445" s="855"/>
      <c r="HI445" s="855"/>
      <c r="HJ445" s="855"/>
      <c r="HK445" s="855"/>
      <c r="HL445" s="855"/>
      <c r="HM445" s="855"/>
      <c r="HN445" s="855"/>
      <c r="HO445" s="855"/>
      <c r="HP445" s="855"/>
      <c r="HQ445" s="855"/>
      <c r="HR445" s="855"/>
      <c r="HS445" s="855"/>
      <c r="HT445" s="855"/>
      <c r="HU445" s="855"/>
      <c r="HV445" s="855"/>
      <c r="HW445" s="855"/>
      <c r="HX445" s="855"/>
      <c r="HY445" s="855"/>
      <c r="HZ445" s="855"/>
      <c r="IA445" s="855"/>
      <c r="IB445" s="855"/>
      <c r="IC445" s="855"/>
      <c r="ID445" s="855"/>
      <c r="IE445" s="855"/>
      <c r="IF445" s="855"/>
      <c r="IG445" s="855"/>
      <c r="IH445" s="855"/>
      <c r="II445" s="855"/>
      <c r="IJ445" s="855"/>
      <c r="IK445" s="855"/>
      <c r="IL445" s="855"/>
      <c r="IM445" s="855"/>
      <c r="IN445" s="855"/>
      <c r="IO445" s="855"/>
      <c r="IP445" s="855"/>
      <c r="IQ445" s="855"/>
      <c r="IR445" s="855"/>
      <c r="IS445" s="855"/>
      <c r="IT445" s="855"/>
      <c r="IU445" s="855"/>
      <c r="IV445" s="855"/>
      <c r="IW445" s="855"/>
      <c r="IX445" s="855"/>
      <c r="IY445" s="855"/>
      <c r="IZ445" s="855"/>
      <c r="JA445" s="855"/>
      <c r="JB445" s="855"/>
      <c r="JC445" s="855"/>
      <c r="JD445" s="855"/>
      <c r="JE445" s="855"/>
      <c r="JF445" s="855"/>
      <c r="JG445" s="855"/>
      <c r="JH445" s="855"/>
      <c r="JI445" s="855"/>
      <c r="JJ445" s="855"/>
      <c r="JK445" s="855"/>
      <c r="JL445" s="855"/>
      <c r="JM445"/>
    </row>
    <row r="446" spans="1:273" s="854" customFormat="1">
      <c r="A446" s="102" t="s">
        <v>689</v>
      </c>
      <c r="B446" s="103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  <c r="AA446" s="102"/>
      <c r="AB446" s="102"/>
      <c r="AC446" s="102"/>
      <c r="AD446" s="102"/>
      <c r="AE446" s="102"/>
      <c r="AF446" s="102"/>
      <c r="AG446" s="102"/>
      <c r="AH446" s="102"/>
      <c r="AI446" s="102"/>
      <c r="AJ446" s="102"/>
      <c r="AK446" s="102"/>
      <c r="AL446" s="102"/>
      <c r="AM446" s="102"/>
      <c r="AN446" s="293">
        <f>DIVISIONS!AN548</f>
        <v>0</v>
      </c>
      <c r="AO446" s="293">
        <f>DIVISIONS!AO548</f>
        <v>0</v>
      </c>
      <c r="AP446" s="818">
        <f t="shared" si="443"/>
        <v>0</v>
      </c>
      <c r="AQ446" s="290"/>
      <c r="AR446" s="293">
        <f>DIVISIONS!AR548</f>
        <v>0</v>
      </c>
      <c r="AS446" s="293">
        <f>DIVISIONS!AS548</f>
        <v>0</v>
      </c>
      <c r="AT446" s="818">
        <f t="shared" si="444"/>
        <v>0</v>
      </c>
      <c r="AU446" s="290"/>
      <c r="AV446" s="293">
        <f>DIVISIONS!AV548</f>
        <v>-29</v>
      </c>
      <c r="AW446" s="293">
        <f>DIVISIONS!AW548</f>
        <v>-12</v>
      </c>
      <c r="AX446" s="818">
        <f t="shared" si="445"/>
        <v>-41</v>
      </c>
      <c r="AY446" s="853"/>
      <c r="AZ446" s="293">
        <f>DIVISIONS!AZ548</f>
        <v>-7</v>
      </c>
      <c r="BA446" s="293">
        <f>DIVISIONS!BA548</f>
        <v>19</v>
      </c>
      <c r="BB446" s="818">
        <f t="shared" si="446"/>
        <v>12</v>
      </c>
      <c r="BC446" s="853"/>
      <c r="BD446" s="293">
        <f>DIVISIONS!BD548</f>
        <v>-10</v>
      </c>
      <c r="BE446" s="293">
        <f>DIVISIONS!BE548</f>
        <v>-12</v>
      </c>
      <c r="BF446" s="818">
        <f t="shared" si="447"/>
        <v>-22</v>
      </c>
      <c r="BG446" s="818"/>
      <c r="BH446" s="293">
        <f>DIVISIONS!BH548</f>
        <v>5</v>
      </c>
      <c r="BI446" s="293">
        <f>DIVISIONS!BI548</f>
        <v>-13</v>
      </c>
      <c r="BJ446" s="818">
        <f t="shared" si="448"/>
        <v>-8</v>
      </c>
      <c r="BK446" s="853"/>
      <c r="BL446" s="293">
        <f>DIVISIONS!BL548</f>
        <v>-19</v>
      </c>
      <c r="BM446" s="293">
        <f>DIVISIONS!BM548</f>
        <v>19</v>
      </c>
      <c r="BN446" s="818">
        <f t="shared" si="449"/>
        <v>0</v>
      </c>
      <c r="BO446" s="853"/>
      <c r="BP446" s="293">
        <f>DIVISIONS!BP548</f>
        <v>-4</v>
      </c>
      <c r="BQ446" s="293">
        <f>DIVISIONS!BQ548</f>
        <v>-14</v>
      </c>
      <c r="BR446" s="818">
        <f t="shared" si="450"/>
        <v>-18</v>
      </c>
      <c r="BS446" s="853"/>
      <c r="BT446" s="293">
        <f>DIVISIONS!BT548</f>
        <v>-2</v>
      </c>
      <c r="BU446" s="293">
        <f>DIVISIONS!BU548</f>
        <v>-6</v>
      </c>
      <c r="BV446" s="818">
        <f t="shared" si="451"/>
        <v>-8</v>
      </c>
      <c r="BW446" s="853"/>
      <c r="BX446" s="293">
        <f>DIVISIONS!BX548</f>
        <v>123</v>
      </c>
      <c r="BY446" s="293">
        <f>DIVISIONS!BY548</f>
        <v>-7</v>
      </c>
      <c r="BZ446" s="818">
        <f t="shared" si="452"/>
        <v>116</v>
      </c>
      <c r="CA446" s="853"/>
      <c r="CB446" s="293">
        <f>DIVISIONS!CB548</f>
        <v>-25</v>
      </c>
      <c r="CC446" s="293">
        <f>DIVISIONS!CC548</f>
        <v>-31</v>
      </c>
      <c r="CD446" s="818">
        <f t="shared" si="453"/>
        <v>-56</v>
      </c>
      <c r="CE446" s="862"/>
      <c r="CF446" s="293">
        <f>DIVISIONS!CF548</f>
        <v>-28</v>
      </c>
      <c r="CG446" s="293">
        <f>DIVISIONS!CG548</f>
        <v>-33</v>
      </c>
      <c r="CH446" s="818">
        <f t="shared" si="454"/>
        <v>-61</v>
      </c>
      <c r="CI446" s="862"/>
      <c r="CJ446" s="293">
        <f>DIVISIONS!CJ548</f>
        <v>-42</v>
      </c>
      <c r="CK446" s="293">
        <f>DIVISIONS!CK548</f>
        <v>-98</v>
      </c>
      <c r="CL446" s="818">
        <f t="shared" ref="CL446" si="457">CJ446+CK446</f>
        <v>-140</v>
      </c>
      <c r="CM446" s="862"/>
      <c r="CN446" s="293">
        <f>DIVISIONS!CN548</f>
        <v>-62</v>
      </c>
      <c r="CO446" s="293">
        <f>DIVISIONS!CO548</f>
        <v>-23</v>
      </c>
      <c r="CP446" s="818">
        <f t="shared" ref="CP446" si="458">CN446+CO446</f>
        <v>-85</v>
      </c>
      <c r="CQ446" s="862"/>
      <c r="CR446" s="293">
        <f>DIVISIONS!CR548</f>
        <v>-30</v>
      </c>
      <c r="CS446" s="293">
        <f>DIVISIONS!CS548</f>
        <v>63</v>
      </c>
      <c r="CT446" s="293">
        <f>DIVISIONS!CT548</f>
        <v>33</v>
      </c>
      <c r="CU446" s="853"/>
      <c r="CV446" s="293">
        <f>DIVISIONS!CV548</f>
        <v>-22</v>
      </c>
      <c r="CW446" s="293">
        <f>DIVISIONS!CW548</f>
        <v>-25</v>
      </c>
      <c r="CX446" s="293">
        <f>DIVISIONS!CX548</f>
        <v>-47</v>
      </c>
      <c r="CY446" s="853"/>
      <c r="CZ446" s="293">
        <f>DIVISIONS!CZ548</f>
        <v>-23</v>
      </c>
      <c r="DA446" s="293">
        <f>DIVISIONS!DA548</f>
        <v>32</v>
      </c>
      <c r="DB446" s="293">
        <f>DIVISIONS!DB548</f>
        <v>9</v>
      </c>
      <c r="DC446" s="853"/>
      <c r="DD446" s="293">
        <f>DIVISIONS!DD548</f>
        <v>-39</v>
      </c>
      <c r="DE446" s="293">
        <f>DIVISIONS!DE548</f>
        <v>-48</v>
      </c>
      <c r="DF446" s="293">
        <f>DIVISIONS!DF548</f>
        <v>-87</v>
      </c>
      <c r="DG446" s="853"/>
      <c r="DH446" s="293">
        <f>DIVISIONS!DH548</f>
        <v>-28</v>
      </c>
      <c r="DI446" s="293">
        <f>DIVISIONS!DI548</f>
        <v>-35</v>
      </c>
      <c r="DJ446" s="293">
        <f>DIVISIONS!DJ548</f>
        <v>-63</v>
      </c>
      <c r="DK446" s="853"/>
      <c r="DL446" s="293">
        <f>DIVISIONS!DL548</f>
        <v>-34.119999999999997</v>
      </c>
      <c r="DM446" s="293">
        <f>DIVISIONS!DM548</f>
        <v>-39.243600000000001</v>
      </c>
      <c r="DN446" s="293">
        <f>DIVISIONS!DN548</f>
        <v>-73.363599999999991</v>
      </c>
      <c r="DO446" s="853"/>
      <c r="DP446" s="293">
        <f>DIVISIONS!DP548</f>
        <v>-34.370908</v>
      </c>
      <c r="DQ446" s="293">
        <f>DIVISIONS!DQ548</f>
        <v>-39.502035239999998</v>
      </c>
      <c r="DR446" s="293">
        <f>DIVISIONS!DR548</f>
        <v>-73.872943239999998</v>
      </c>
      <c r="DS446" s="853"/>
      <c r="DT446" s="853"/>
      <c r="DU446" s="293"/>
      <c r="DV446" s="293"/>
      <c r="DW446" s="293"/>
      <c r="DX446" s="853"/>
      <c r="DY446" s="853"/>
      <c r="DZ446" s="293"/>
      <c r="EA446" s="293"/>
      <c r="EB446" s="853"/>
      <c r="EC446" s="853"/>
      <c r="ED446" s="293"/>
      <c r="EE446" s="293"/>
      <c r="EF446" s="853"/>
      <c r="EG446" s="853"/>
      <c r="EH446" s="853"/>
      <c r="EI446" s="853"/>
      <c r="EJ446" s="853"/>
      <c r="EK446" s="853"/>
      <c r="EL446" s="853"/>
      <c r="EM446" s="853"/>
      <c r="EN446" s="853"/>
      <c r="EO446" s="853"/>
      <c r="EP446" s="853"/>
      <c r="EQ446" s="855"/>
      <c r="ER446" s="855"/>
      <c r="ES446" s="855"/>
      <c r="ET446" s="855"/>
      <c r="EU446" s="855"/>
      <c r="EV446" s="855"/>
      <c r="EW446" s="855"/>
      <c r="EX446" s="855"/>
      <c r="EY446" s="855"/>
      <c r="EZ446" s="855"/>
      <c r="FA446" s="855"/>
      <c r="FB446" s="855"/>
      <c r="FC446" s="855"/>
      <c r="FD446" s="855"/>
      <c r="FE446" s="855"/>
      <c r="FF446" s="855"/>
      <c r="FG446" s="855"/>
      <c r="FH446" s="855"/>
      <c r="FI446" s="855"/>
      <c r="FJ446" s="855"/>
      <c r="FK446" s="855"/>
      <c r="FL446" s="855"/>
      <c r="FM446" s="855"/>
      <c r="FN446" s="855"/>
      <c r="FO446" s="855"/>
      <c r="FP446" s="855"/>
      <c r="FQ446" s="855"/>
      <c r="FR446" s="855"/>
      <c r="FS446" s="855"/>
      <c r="FT446" s="855"/>
      <c r="FU446" s="855"/>
      <c r="FV446" s="855"/>
      <c r="FW446" s="855"/>
      <c r="FX446" s="855"/>
      <c r="FY446" s="855"/>
      <c r="FZ446" s="855"/>
      <c r="GA446" s="855"/>
      <c r="GB446" s="855"/>
      <c r="GC446" s="855"/>
      <c r="GD446" s="855"/>
      <c r="GE446" s="855"/>
      <c r="GF446" s="855"/>
      <c r="GG446" s="855"/>
      <c r="GH446" s="855"/>
      <c r="GI446" s="855"/>
      <c r="GJ446" s="855"/>
      <c r="GK446" s="855"/>
      <c r="GL446" s="855"/>
      <c r="GM446" s="855"/>
      <c r="GN446" s="855"/>
      <c r="GO446" s="855"/>
      <c r="GP446" s="855"/>
      <c r="GQ446" s="855"/>
      <c r="GR446" s="855"/>
      <c r="GS446" s="855"/>
      <c r="GT446" s="855"/>
      <c r="GU446" s="855"/>
      <c r="GV446" s="855"/>
      <c r="GW446" s="855"/>
      <c r="GX446" s="855"/>
      <c r="GY446" s="855"/>
      <c r="GZ446" s="855"/>
      <c r="HA446" s="855"/>
      <c r="HB446" s="855"/>
      <c r="HC446" s="855"/>
      <c r="HD446" s="855"/>
      <c r="HE446" s="855"/>
      <c r="HF446" s="855"/>
      <c r="HG446" s="855"/>
      <c r="HH446" s="855"/>
      <c r="HI446" s="855"/>
      <c r="HJ446" s="855"/>
      <c r="HK446" s="855"/>
      <c r="HL446" s="855"/>
      <c r="HM446" s="855"/>
      <c r="HN446" s="855"/>
      <c r="HO446" s="855"/>
      <c r="HP446" s="855"/>
      <c r="HQ446" s="855"/>
      <c r="HR446" s="855"/>
      <c r="HS446" s="855"/>
      <c r="HT446" s="855"/>
      <c r="HU446" s="855"/>
      <c r="HV446" s="855"/>
      <c r="HW446" s="855"/>
      <c r="HX446" s="855"/>
      <c r="HY446" s="855"/>
      <c r="HZ446" s="855"/>
      <c r="IA446" s="855"/>
      <c r="IB446" s="855"/>
      <c r="IC446" s="855"/>
      <c r="ID446" s="855"/>
      <c r="IE446" s="855"/>
      <c r="IF446" s="855"/>
      <c r="IG446" s="855"/>
      <c r="IH446" s="855"/>
      <c r="II446" s="855"/>
      <c r="IJ446" s="855"/>
      <c r="IK446" s="855"/>
      <c r="IL446" s="855"/>
      <c r="IM446" s="855"/>
      <c r="IN446" s="855"/>
      <c r="IO446" s="855"/>
      <c r="IP446" s="855"/>
      <c r="IQ446" s="855"/>
      <c r="IR446" s="855"/>
      <c r="IS446" s="855"/>
      <c r="IT446" s="855"/>
      <c r="IU446" s="855"/>
      <c r="IV446" s="855"/>
      <c r="IW446" s="855"/>
      <c r="IX446" s="855"/>
      <c r="IY446" s="855"/>
      <c r="IZ446" s="855"/>
      <c r="JA446" s="855"/>
      <c r="JB446" s="855"/>
      <c r="JC446" s="855"/>
      <c r="JD446" s="855"/>
      <c r="JE446" s="855"/>
      <c r="JF446" s="855"/>
      <c r="JG446" s="855"/>
      <c r="JH446" s="855"/>
      <c r="JI446" s="855"/>
      <c r="JJ446" s="855"/>
      <c r="JK446" s="855"/>
      <c r="JL446" s="855"/>
      <c r="JM446"/>
    </row>
    <row r="447" spans="1:273" s="854" customFormat="1">
      <c r="A447" s="102" t="s">
        <v>688</v>
      </c>
      <c r="B447" s="103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  <c r="AA447" s="102"/>
      <c r="AB447" s="102"/>
      <c r="AC447" s="102"/>
      <c r="AD447" s="102"/>
      <c r="AE447" s="102"/>
      <c r="AF447" s="102"/>
      <c r="AG447" s="102"/>
      <c r="AH447" s="102"/>
      <c r="AI447" s="102"/>
      <c r="AJ447" s="102"/>
      <c r="AK447" s="102"/>
      <c r="AL447" s="102"/>
      <c r="AM447" s="102"/>
      <c r="AN447" s="293">
        <f>DIVISIONS!AN670</f>
        <v>125</v>
      </c>
      <c r="AO447" s="293">
        <f>DIVISIONS!AO670</f>
        <v>-169</v>
      </c>
      <c r="AP447" s="818">
        <f t="shared" si="443"/>
        <v>-44</v>
      </c>
      <c r="AQ447" s="626"/>
      <c r="AR447" s="293">
        <f>DIVISIONS!AR670</f>
        <v>-122</v>
      </c>
      <c r="AS447" s="293">
        <f>DIVISIONS!AS670</f>
        <v>-178</v>
      </c>
      <c r="AT447" s="818">
        <f t="shared" si="444"/>
        <v>-300</v>
      </c>
      <c r="AU447" s="626"/>
      <c r="AV447" s="293">
        <f>DIVISIONS!AV670</f>
        <v>-56</v>
      </c>
      <c r="AW447" s="293">
        <f>DIVISIONS!AW670</f>
        <v>-51</v>
      </c>
      <c r="AX447" s="818">
        <f t="shared" si="445"/>
        <v>-107</v>
      </c>
      <c r="AY447" s="853"/>
      <c r="AZ447" s="293">
        <f>DIVISIONS!AZ670</f>
        <v>-3</v>
      </c>
      <c r="BA447" s="293">
        <f>DIVISIONS!BA670</f>
        <v>3</v>
      </c>
      <c r="BB447" s="818">
        <f t="shared" si="446"/>
        <v>0</v>
      </c>
      <c r="BC447" s="853"/>
      <c r="BD447" s="293">
        <f>DIVISIONS!BD670</f>
        <v>2</v>
      </c>
      <c r="BE447" s="293">
        <f>DIVISIONS!BE670</f>
        <v>-38</v>
      </c>
      <c r="BF447" s="818">
        <f t="shared" si="447"/>
        <v>-36</v>
      </c>
      <c r="BG447" s="818"/>
      <c r="BH447" s="293">
        <f>DIVISIONS!BH670</f>
        <v>0</v>
      </c>
      <c r="BI447" s="293"/>
      <c r="BJ447" s="818">
        <f t="shared" si="448"/>
        <v>0</v>
      </c>
      <c r="BK447" s="853"/>
      <c r="BL447" s="293">
        <f>DIVISIONS!BL670</f>
        <v>0</v>
      </c>
      <c r="BM447" s="293"/>
      <c r="BN447" s="818">
        <f t="shared" si="449"/>
        <v>0</v>
      </c>
      <c r="BO447" s="853"/>
      <c r="BP447" s="293">
        <f>DIVISIONS!BP670</f>
        <v>0</v>
      </c>
      <c r="BQ447" s="293"/>
      <c r="BR447" s="818">
        <f t="shared" si="450"/>
        <v>0</v>
      </c>
      <c r="BS447" s="853"/>
      <c r="BT447" s="293">
        <f>DIVISIONS!BT670</f>
        <v>0</v>
      </c>
      <c r="BU447" s="293"/>
      <c r="BV447" s="818">
        <f t="shared" si="451"/>
        <v>0</v>
      </c>
      <c r="BW447" s="853"/>
      <c r="BX447" s="293">
        <f>DIVISIONS!BX670</f>
        <v>0</v>
      </c>
      <c r="BY447" s="293"/>
      <c r="BZ447" s="818">
        <f t="shared" si="452"/>
        <v>0</v>
      </c>
      <c r="CA447" s="853"/>
      <c r="CB447" s="293">
        <f>DIVISIONS!CB670</f>
        <v>0</v>
      </c>
      <c r="CC447" s="293"/>
      <c r="CD447" s="818">
        <f t="shared" si="453"/>
        <v>0</v>
      </c>
      <c r="CE447" s="862"/>
      <c r="CF447" s="293"/>
      <c r="CG447" s="293"/>
      <c r="CH447" s="818"/>
      <c r="CI447" s="862"/>
      <c r="CJ447" s="293"/>
      <c r="CK447" s="293"/>
      <c r="CL447" s="818"/>
      <c r="CM447" s="862"/>
      <c r="CN447" s="293"/>
      <c r="CO447" s="293"/>
      <c r="CP447" s="818"/>
      <c r="CQ447" s="862"/>
      <c r="CR447" s="293"/>
      <c r="CS447" s="293"/>
      <c r="CT447" s="293"/>
      <c r="CU447" s="853"/>
      <c r="CV447" s="293"/>
      <c r="CW447" s="293"/>
      <c r="CX447" s="293"/>
      <c r="CY447" s="853"/>
      <c r="CZ447" s="293"/>
      <c r="DA447" s="293"/>
      <c r="DB447" s="293"/>
      <c r="DC447" s="853"/>
      <c r="DD447" s="293"/>
      <c r="DE447" s="293"/>
      <c r="DF447" s="293"/>
      <c r="DG447" s="853"/>
      <c r="DH447" s="293"/>
      <c r="DI447" s="293"/>
      <c r="DJ447" s="293"/>
      <c r="DK447" s="853"/>
      <c r="DL447" s="293"/>
      <c r="DM447" s="293"/>
      <c r="DN447" s="293"/>
      <c r="DO447" s="853"/>
      <c r="DP447" s="293"/>
      <c r="DQ447" s="293"/>
      <c r="DR447" s="293"/>
      <c r="DS447" s="853"/>
      <c r="DT447" s="853"/>
      <c r="DU447" s="293"/>
      <c r="DV447" s="293"/>
      <c r="DW447" s="293"/>
      <c r="DX447" s="853"/>
      <c r="DY447" s="853"/>
      <c r="DZ447" s="293"/>
      <c r="EA447" s="293"/>
      <c r="EB447" s="853"/>
      <c r="EC447" s="853"/>
      <c r="ED447" s="293"/>
      <c r="EE447" s="293"/>
      <c r="EF447" s="853"/>
      <c r="EG447" s="853"/>
      <c r="EH447" s="853"/>
      <c r="EI447" s="853"/>
      <c r="EJ447" s="853"/>
      <c r="EK447" s="853"/>
      <c r="EL447" s="853"/>
      <c r="EM447" s="853"/>
      <c r="EN447" s="853"/>
      <c r="EO447" s="853"/>
      <c r="EP447" s="853"/>
      <c r="EQ447" s="855"/>
      <c r="ER447" s="855"/>
      <c r="ES447" s="855"/>
      <c r="ET447" s="855"/>
      <c r="EU447" s="855"/>
      <c r="EV447" s="855"/>
      <c r="EW447" s="855"/>
      <c r="EX447" s="855"/>
      <c r="EY447" s="855"/>
      <c r="EZ447" s="855"/>
      <c r="FA447" s="855"/>
      <c r="FB447" s="855"/>
      <c r="FC447" s="855"/>
      <c r="FD447" s="855"/>
      <c r="FE447" s="855"/>
      <c r="FF447" s="855"/>
      <c r="FG447" s="855"/>
      <c r="FH447" s="855"/>
      <c r="FI447" s="855"/>
      <c r="FJ447" s="855"/>
      <c r="FK447" s="855"/>
      <c r="FL447" s="855"/>
      <c r="FM447" s="855"/>
      <c r="FN447" s="855"/>
      <c r="FO447" s="855"/>
      <c r="FP447" s="855"/>
      <c r="FQ447" s="855"/>
      <c r="FR447" s="855"/>
      <c r="FS447" s="855"/>
      <c r="FT447" s="855"/>
      <c r="FU447" s="855"/>
      <c r="FV447" s="855"/>
      <c r="FW447" s="855"/>
      <c r="FX447" s="855"/>
      <c r="FY447" s="855"/>
      <c r="FZ447" s="855"/>
      <c r="GA447" s="855"/>
      <c r="GB447" s="855"/>
      <c r="GC447" s="855"/>
      <c r="GD447" s="855"/>
      <c r="GE447" s="855"/>
      <c r="GF447" s="855"/>
      <c r="GG447" s="855"/>
      <c r="GH447" s="855"/>
      <c r="GI447" s="855"/>
      <c r="GJ447" s="855"/>
      <c r="GK447" s="855"/>
      <c r="GL447" s="855"/>
      <c r="GM447" s="855"/>
      <c r="GN447" s="855"/>
      <c r="GO447" s="855"/>
      <c r="GP447" s="855"/>
      <c r="GQ447" s="855"/>
      <c r="GR447" s="855"/>
      <c r="GS447" s="855"/>
      <c r="GT447" s="855"/>
      <c r="GU447" s="855"/>
      <c r="GV447" s="855"/>
      <c r="GW447" s="855"/>
      <c r="GX447" s="855"/>
      <c r="GY447" s="855"/>
      <c r="GZ447" s="855"/>
      <c r="HA447" s="855"/>
      <c r="HB447" s="855"/>
      <c r="HC447" s="855"/>
      <c r="HD447" s="855"/>
      <c r="HE447" s="855"/>
      <c r="HF447" s="855"/>
      <c r="HG447" s="855"/>
      <c r="HH447" s="855"/>
      <c r="HI447" s="855"/>
      <c r="HJ447" s="855"/>
      <c r="HK447" s="855"/>
      <c r="HL447" s="855"/>
      <c r="HM447" s="855"/>
      <c r="HN447" s="855"/>
      <c r="HO447" s="855"/>
      <c r="HP447" s="855"/>
      <c r="HQ447" s="855"/>
      <c r="HR447" s="855"/>
      <c r="HS447" s="855"/>
      <c r="HT447" s="855"/>
      <c r="HU447" s="855"/>
      <c r="HV447" s="855"/>
      <c r="HW447" s="855"/>
      <c r="HX447" s="855"/>
      <c r="HY447" s="855"/>
      <c r="HZ447" s="855"/>
      <c r="IA447" s="855"/>
      <c r="IB447" s="855"/>
      <c r="IC447" s="855"/>
      <c r="ID447" s="855"/>
      <c r="IE447" s="855"/>
      <c r="IF447" s="855"/>
      <c r="IG447" s="855"/>
      <c r="IH447" s="855"/>
      <c r="II447" s="855"/>
      <c r="IJ447" s="855"/>
      <c r="IK447" s="855"/>
      <c r="IL447" s="855"/>
      <c r="IM447" s="855"/>
      <c r="IN447" s="855"/>
      <c r="IO447" s="855"/>
      <c r="IP447" s="855"/>
      <c r="IQ447" s="855"/>
      <c r="IR447" s="855"/>
      <c r="IS447" s="855"/>
      <c r="IT447" s="855"/>
      <c r="IU447" s="855"/>
      <c r="IV447" s="855"/>
      <c r="IW447" s="855"/>
      <c r="IX447" s="855"/>
      <c r="IY447" s="855"/>
      <c r="IZ447" s="855"/>
      <c r="JA447" s="855"/>
      <c r="JB447" s="855"/>
      <c r="JC447" s="855"/>
      <c r="JD447" s="855"/>
      <c r="JE447" s="855"/>
      <c r="JF447" s="855"/>
      <c r="JG447" s="855"/>
      <c r="JH447" s="855"/>
      <c r="JI447" s="855"/>
      <c r="JJ447" s="855"/>
      <c r="JK447" s="855"/>
      <c r="JL447" s="855"/>
      <c r="JM447"/>
    </row>
    <row r="448" spans="1:273" s="854" customFormat="1">
      <c r="A448" s="102" t="s">
        <v>691</v>
      </c>
      <c r="B448" s="103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  <c r="AA448" s="102"/>
      <c r="AB448" s="102"/>
      <c r="AC448" s="102"/>
      <c r="AD448" s="102"/>
      <c r="AE448" s="102"/>
      <c r="AF448" s="102"/>
      <c r="AG448" s="102"/>
      <c r="AH448" s="102"/>
      <c r="AI448" s="102"/>
      <c r="AJ448" s="102"/>
      <c r="AK448" s="102"/>
      <c r="AL448" s="102"/>
      <c r="AM448" s="102"/>
      <c r="AN448" s="818">
        <f>DIVISIONS!AN714</f>
        <v>0</v>
      </c>
      <c r="AO448" s="818">
        <f>DIVISIONS!AO714</f>
        <v>0</v>
      </c>
      <c r="AP448" s="818">
        <f t="shared" si="443"/>
        <v>0</v>
      </c>
      <c r="AQ448" s="290"/>
      <c r="AR448" s="818">
        <f>DIVISIONS!AR714</f>
        <v>0</v>
      </c>
      <c r="AS448" s="818">
        <f>DIVISIONS!AS714</f>
        <v>0</v>
      </c>
      <c r="AT448" s="818">
        <f t="shared" si="444"/>
        <v>0</v>
      </c>
      <c r="AU448" s="290"/>
      <c r="AV448" s="818">
        <f>DIVISIONS!AV714</f>
        <v>216</v>
      </c>
      <c r="AW448" s="818">
        <f>DIVISIONS!AW714</f>
        <v>40</v>
      </c>
      <c r="AX448" s="818">
        <f t="shared" si="445"/>
        <v>256</v>
      </c>
      <c r="AY448" s="853"/>
      <c r="AZ448" s="818">
        <f>DIVISIONS!AZ714</f>
        <v>151</v>
      </c>
      <c r="BA448" s="818">
        <f>DIVISIONS!BA714</f>
        <v>53</v>
      </c>
      <c r="BB448" s="818">
        <f t="shared" si="446"/>
        <v>204</v>
      </c>
      <c r="BC448" s="853"/>
      <c r="BD448" s="818">
        <f>DIVISIONS!BD714</f>
        <v>91</v>
      </c>
      <c r="BE448" s="818">
        <f>DIVISIONS!BE714</f>
        <v>183</v>
      </c>
      <c r="BF448" s="818">
        <f t="shared" si="447"/>
        <v>274</v>
      </c>
      <c r="BG448" s="818"/>
      <c r="BH448" s="818">
        <f>DIVISIONS!BH714</f>
        <v>-10</v>
      </c>
      <c r="BI448" s="818">
        <f>DIVISIONS!BI714</f>
        <v>105</v>
      </c>
      <c r="BJ448" s="818">
        <f t="shared" si="448"/>
        <v>95</v>
      </c>
      <c r="BK448" s="853"/>
      <c r="BL448" s="818">
        <f>DIVISIONS!BL714</f>
        <v>12</v>
      </c>
      <c r="BM448" s="818">
        <f>DIVISIONS!BM714</f>
        <v>219</v>
      </c>
      <c r="BN448" s="818">
        <f t="shared" si="449"/>
        <v>231</v>
      </c>
      <c r="BO448" s="853"/>
      <c r="BP448" s="818">
        <f>DIVISIONS!BP714</f>
        <v>6</v>
      </c>
      <c r="BQ448" s="818">
        <f>DIVISIONS!BQ714</f>
        <v>-149</v>
      </c>
      <c r="BR448" s="818">
        <f t="shared" si="450"/>
        <v>-143</v>
      </c>
      <c r="BS448" s="853"/>
      <c r="BT448" s="818">
        <f>DIVISIONS!BT714</f>
        <v>-97</v>
      </c>
      <c r="BU448" s="818">
        <f>DIVISIONS!BU714</f>
        <v>51</v>
      </c>
      <c r="BV448" s="818">
        <f t="shared" si="451"/>
        <v>-46</v>
      </c>
      <c r="BW448" s="853"/>
      <c r="BX448" s="818">
        <f>DIVISIONS!BX714</f>
        <v>37</v>
      </c>
      <c r="BY448" s="818">
        <f>DIVISIONS!BY714</f>
        <v>64</v>
      </c>
      <c r="BZ448" s="818">
        <f t="shared" si="452"/>
        <v>101</v>
      </c>
      <c r="CA448" s="853"/>
      <c r="CB448" s="818">
        <f>DIVISIONS!CB714</f>
        <v>-113</v>
      </c>
      <c r="CC448" s="818">
        <f>DIVISIONS!CC714</f>
        <v>60</v>
      </c>
      <c r="CD448" s="818">
        <f t="shared" si="453"/>
        <v>-53</v>
      </c>
      <c r="CE448" s="862"/>
      <c r="CF448" s="818">
        <f>DIVISIONS!CF714</f>
        <v>-89</v>
      </c>
      <c r="CG448" s="818">
        <f>DIVISIONS!CG714</f>
        <v>8</v>
      </c>
      <c r="CH448" s="818">
        <f t="shared" si="454"/>
        <v>-81</v>
      </c>
      <c r="CI448" s="862"/>
      <c r="CJ448" s="818">
        <f>DIVISIONS!CJ714</f>
        <v>26</v>
      </c>
      <c r="CK448" s="818">
        <f>DIVISIONS!CK714</f>
        <v>-156</v>
      </c>
      <c r="CL448" s="818">
        <f t="shared" ref="CL448" si="459">CJ448+CK448</f>
        <v>-130</v>
      </c>
      <c r="CM448" s="862"/>
      <c r="CN448" s="818">
        <f>DIVISIONS!CN714</f>
        <v>-40</v>
      </c>
      <c r="CO448" s="818">
        <f>DIVISIONS!CO714</f>
        <v>91</v>
      </c>
      <c r="CP448" s="818">
        <f t="shared" ref="CP448" si="460">CN448+CO448</f>
        <v>51</v>
      </c>
      <c r="CQ448" s="862"/>
      <c r="CR448" s="818">
        <f>DIVISIONS!CR714</f>
        <v>-11</v>
      </c>
      <c r="CS448" s="818">
        <f>DIVISIONS!CS714</f>
        <v>17</v>
      </c>
      <c r="CT448" s="818">
        <f>DIVISIONS!CT714</f>
        <v>6</v>
      </c>
      <c r="CU448" s="853"/>
      <c r="CV448" s="818">
        <f>DIVISIONS!CV714</f>
        <v>-24</v>
      </c>
      <c r="CW448" s="818">
        <f>DIVISIONS!CW714</f>
        <v>-9</v>
      </c>
      <c r="CX448" s="818">
        <f>DIVISIONS!CX714</f>
        <v>-33</v>
      </c>
      <c r="CY448" s="853"/>
      <c r="CZ448" s="818">
        <f>DIVISIONS!CZ714</f>
        <v>35</v>
      </c>
      <c r="DA448" s="818">
        <f>DIVISIONS!DA714</f>
        <v>55</v>
      </c>
      <c r="DB448" s="818">
        <f>DIVISIONS!DB714</f>
        <v>90</v>
      </c>
      <c r="DC448" s="853"/>
      <c r="DD448" s="818">
        <f>DIVISIONS!DD714</f>
        <v>118</v>
      </c>
      <c r="DE448" s="818">
        <f>DIVISIONS!DE714</f>
        <v>-310</v>
      </c>
      <c r="DF448" s="818">
        <f>DIVISIONS!DF714</f>
        <v>-192</v>
      </c>
      <c r="DG448" s="853"/>
      <c r="DH448" s="818">
        <f>DIVISIONS!DH714</f>
        <v>-212</v>
      </c>
      <c r="DI448" s="818">
        <f>DIVISIONS!DI714</f>
        <v>-57.817599999999999</v>
      </c>
      <c r="DJ448" s="818">
        <f>DIVISIONS!DJ714</f>
        <v>-269.81759999999997</v>
      </c>
      <c r="DK448" s="853"/>
      <c r="DL448" s="818">
        <f>DIVISIONS!DL714</f>
        <v>-100</v>
      </c>
      <c r="DM448" s="818">
        <f>DIVISIONS!DM714</f>
        <v>-95</v>
      </c>
      <c r="DN448" s="818">
        <f>DIVISIONS!DN714</f>
        <v>-195</v>
      </c>
      <c r="DO448" s="853"/>
      <c r="DP448" s="818">
        <f>DIVISIONS!DP714</f>
        <v>-45</v>
      </c>
      <c r="DQ448" s="818">
        <f>DIVISIONS!DQ714</f>
        <v>-50</v>
      </c>
      <c r="DR448" s="818">
        <f>DIVISIONS!DR714</f>
        <v>-95</v>
      </c>
      <c r="DS448" s="853"/>
      <c r="DT448" s="853"/>
      <c r="DU448" s="818"/>
      <c r="DV448" s="818"/>
      <c r="DW448" s="818"/>
      <c r="DX448" s="853"/>
      <c r="DY448" s="853"/>
      <c r="DZ448" s="818"/>
      <c r="EA448" s="818"/>
      <c r="EB448" s="853"/>
      <c r="EC448" s="853"/>
      <c r="ED448" s="818"/>
      <c r="EE448" s="818"/>
      <c r="EF448" s="853"/>
      <c r="EG448" s="853"/>
      <c r="EH448" s="853"/>
      <c r="EI448" s="853"/>
      <c r="EJ448" s="853"/>
      <c r="EK448" s="853"/>
      <c r="EL448" s="853"/>
      <c r="EM448" s="853"/>
      <c r="EN448" s="853"/>
      <c r="EO448" s="853"/>
      <c r="EP448" s="853"/>
      <c r="EQ448" s="855"/>
      <c r="ER448" s="855"/>
      <c r="ES448" s="855"/>
      <c r="ET448" s="855"/>
      <c r="EU448" s="855"/>
      <c r="EV448" s="855"/>
      <c r="EW448" s="855"/>
      <c r="EX448" s="855"/>
      <c r="EY448" s="855"/>
      <c r="EZ448" s="855"/>
      <c r="FA448" s="855"/>
      <c r="FB448" s="855"/>
      <c r="FC448" s="855"/>
      <c r="FD448" s="855"/>
      <c r="FE448" s="855"/>
      <c r="FF448" s="855"/>
      <c r="FG448" s="855"/>
      <c r="FH448" s="855"/>
      <c r="FI448" s="855"/>
      <c r="FJ448" s="855"/>
      <c r="FK448" s="855"/>
      <c r="FL448" s="855"/>
      <c r="FM448" s="855"/>
      <c r="FN448" s="855"/>
      <c r="FO448" s="855"/>
      <c r="FP448" s="855"/>
      <c r="FQ448" s="855"/>
      <c r="FR448" s="855"/>
      <c r="FS448" s="855"/>
      <c r="FT448" s="855"/>
      <c r="FU448" s="855"/>
      <c r="FV448" s="855"/>
      <c r="FW448" s="855"/>
      <c r="FX448" s="855"/>
      <c r="FY448" s="855"/>
      <c r="FZ448" s="855"/>
      <c r="GA448" s="855"/>
      <c r="GB448" s="855"/>
      <c r="GC448" s="855"/>
      <c r="GD448" s="855"/>
      <c r="GE448" s="855"/>
      <c r="GF448" s="855"/>
      <c r="GG448" s="855"/>
      <c r="GH448" s="855"/>
      <c r="GI448" s="855"/>
      <c r="GJ448" s="855"/>
      <c r="GK448" s="855"/>
      <c r="GL448" s="855"/>
      <c r="GM448" s="855"/>
      <c r="GN448" s="855"/>
      <c r="GO448" s="855"/>
      <c r="GP448" s="855"/>
      <c r="GQ448" s="855"/>
      <c r="GR448" s="855"/>
      <c r="GS448" s="855"/>
      <c r="GT448" s="855"/>
      <c r="GU448" s="855"/>
      <c r="GV448" s="855"/>
      <c r="GW448" s="855"/>
      <c r="GX448" s="855"/>
      <c r="GY448" s="855"/>
      <c r="GZ448" s="855"/>
      <c r="HA448" s="855"/>
      <c r="HB448" s="855"/>
      <c r="HC448" s="855"/>
      <c r="HD448" s="855"/>
      <c r="HE448" s="855"/>
      <c r="HF448" s="855"/>
      <c r="HG448" s="855"/>
      <c r="HH448" s="855"/>
      <c r="HI448" s="855"/>
      <c r="HJ448" s="855"/>
      <c r="HK448" s="855"/>
      <c r="HL448" s="855"/>
      <c r="HM448" s="855"/>
      <c r="HN448" s="855"/>
      <c r="HO448" s="855"/>
      <c r="HP448" s="855"/>
      <c r="HQ448" s="855"/>
      <c r="HR448" s="855"/>
      <c r="HS448" s="855"/>
      <c r="HT448" s="855"/>
      <c r="HU448" s="855"/>
      <c r="HV448" s="855"/>
      <c r="HW448" s="855"/>
      <c r="HX448" s="855"/>
      <c r="HY448" s="855"/>
      <c r="HZ448" s="855"/>
      <c r="IA448" s="855"/>
      <c r="IB448" s="855"/>
      <c r="IC448" s="855"/>
      <c r="ID448" s="855"/>
      <c r="IE448" s="855"/>
      <c r="IF448" s="855"/>
      <c r="IG448" s="855"/>
      <c r="IH448" s="855"/>
      <c r="II448" s="855"/>
      <c r="IJ448" s="855"/>
      <c r="IK448" s="855"/>
      <c r="IL448" s="855"/>
      <c r="IM448" s="855"/>
      <c r="IN448" s="855"/>
      <c r="IO448" s="855"/>
      <c r="IP448" s="855"/>
      <c r="IQ448" s="855"/>
      <c r="IR448" s="855"/>
      <c r="IS448" s="855"/>
      <c r="IT448" s="855"/>
      <c r="IU448" s="855"/>
      <c r="IV448" s="855"/>
      <c r="IW448" s="855"/>
      <c r="IX448" s="855"/>
      <c r="IY448" s="855"/>
      <c r="IZ448" s="855"/>
      <c r="JA448" s="855"/>
      <c r="JB448" s="855"/>
      <c r="JC448" s="855"/>
      <c r="JD448" s="855"/>
      <c r="JE448" s="855"/>
      <c r="JF448" s="855"/>
      <c r="JG448" s="855"/>
      <c r="JH448" s="855"/>
      <c r="JI448" s="855"/>
      <c r="JJ448" s="855"/>
      <c r="JK448" s="855"/>
      <c r="JL448" s="855"/>
      <c r="JM448"/>
    </row>
    <row r="449" spans="1:273" s="855" customFormat="1">
      <c r="A449" s="289" t="s">
        <v>613</v>
      </c>
      <c r="B449" s="290"/>
      <c r="C449" s="289"/>
      <c r="D449" s="289"/>
      <c r="E449" s="289"/>
      <c r="F449" s="289"/>
      <c r="G449" s="289"/>
      <c r="H449" s="289"/>
      <c r="I449" s="289"/>
      <c r="J449" s="289"/>
      <c r="K449" s="289"/>
      <c r="L449" s="289"/>
      <c r="M449" s="289"/>
      <c r="N449" s="289"/>
      <c r="O449" s="289"/>
      <c r="P449" s="289"/>
      <c r="Q449" s="289"/>
      <c r="R449" s="289"/>
      <c r="S449" s="289"/>
      <c r="T449" s="289"/>
      <c r="U449" s="289"/>
      <c r="V449" s="289"/>
      <c r="W449" s="289"/>
      <c r="X449" s="289"/>
      <c r="Y449" s="289"/>
      <c r="Z449" s="289"/>
      <c r="AA449" s="289"/>
      <c r="AB449" s="289"/>
      <c r="AC449" s="289"/>
      <c r="AD449" s="289"/>
      <c r="AE449" s="289"/>
      <c r="AF449" s="289"/>
      <c r="AG449" s="289"/>
      <c r="AH449" s="289"/>
      <c r="AI449" s="289"/>
      <c r="AJ449" s="289"/>
      <c r="AK449" s="289"/>
      <c r="AL449" s="289"/>
      <c r="AM449" s="289"/>
      <c r="AN449" s="853">
        <f>SUM(AN441:AN448)</f>
        <v>282</v>
      </c>
      <c r="AO449" s="853">
        <f>SUM(AO441:AO448)</f>
        <v>94</v>
      </c>
      <c r="AP449" s="853">
        <f>SUM(AP441:AP448)</f>
        <v>376</v>
      </c>
      <c r="AQ449" s="290"/>
      <c r="AR449" s="853">
        <f>SUM(AR441:AR448)</f>
        <v>-71</v>
      </c>
      <c r="AS449" s="853">
        <f>SUM(AS441:AS448)</f>
        <v>-419</v>
      </c>
      <c r="AT449" s="853">
        <f>SUM(AT441:AT448)</f>
        <v>-490</v>
      </c>
      <c r="AU449" s="290"/>
      <c r="AV449" s="853">
        <f>SUM(AV441:AV448)</f>
        <v>362</v>
      </c>
      <c r="AW449" s="853">
        <f>SUM(AW441:AW448)</f>
        <v>406</v>
      </c>
      <c r="AX449" s="853">
        <f>SUM(AX441:AX448)</f>
        <v>768</v>
      </c>
      <c r="AY449" s="853"/>
      <c r="AZ449" s="853">
        <f>SUM(AZ441:AZ448)</f>
        <v>370</v>
      </c>
      <c r="BA449" s="853">
        <f>SUM(BA441:BA448)</f>
        <v>561</v>
      </c>
      <c r="BB449" s="853">
        <f>SUM(BB441:BB448)</f>
        <v>931</v>
      </c>
      <c r="BC449" s="853"/>
      <c r="BD449" s="853">
        <f>SUM(BD441:BD448)</f>
        <v>358</v>
      </c>
      <c r="BE449" s="853">
        <f>SUM(BE441:BE448)</f>
        <v>729</v>
      </c>
      <c r="BF449" s="853">
        <f>SUM(BF441:BF448)</f>
        <v>1087</v>
      </c>
      <c r="BG449" s="818"/>
      <c r="BH449" s="853">
        <f>SUM(BH441:BH448)</f>
        <v>144</v>
      </c>
      <c r="BI449" s="853">
        <f>SUM(BI441:BI448)</f>
        <v>441</v>
      </c>
      <c r="BJ449" s="853">
        <f>SUM(BJ441:BJ448)</f>
        <v>585</v>
      </c>
      <c r="BK449" s="853"/>
      <c r="BL449" s="853">
        <f>SUM(BL441:BL448)</f>
        <v>320</v>
      </c>
      <c r="BM449" s="853">
        <f>SUM(BM441:BM448)</f>
        <v>535</v>
      </c>
      <c r="BN449" s="853">
        <f>SUM(BN441:BN448)</f>
        <v>855</v>
      </c>
      <c r="BO449" s="853"/>
      <c r="BP449" s="853">
        <f>SUM(BP441:BP448)</f>
        <v>455</v>
      </c>
      <c r="BQ449" s="853">
        <f>SUM(BQ441:BQ448)</f>
        <v>244</v>
      </c>
      <c r="BR449" s="853">
        <f>SUM(BR441:BR448)</f>
        <v>699</v>
      </c>
      <c r="BS449" s="853"/>
      <c r="BT449" s="853">
        <f>SUM(BT441:BT448)</f>
        <v>314</v>
      </c>
      <c r="BU449" s="853">
        <f>SUM(BU441:BU448)</f>
        <v>632</v>
      </c>
      <c r="BV449" s="853">
        <f>SUM(BV441:BV448)</f>
        <v>946</v>
      </c>
      <c r="BW449" s="853"/>
      <c r="BX449" s="853">
        <f>SUM(BX441:BX448)</f>
        <v>1149</v>
      </c>
      <c r="BY449" s="853">
        <f>SUM(BY441:BY448)</f>
        <v>890</v>
      </c>
      <c r="BZ449" s="853">
        <f>SUM(BZ441:BZ448)</f>
        <v>2039</v>
      </c>
      <c r="CA449" s="853"/>
      <c r="CB449" s="853">
        <f>SUM(CB441:CB448)</f>
        <v>834</v>
      </c>
      <c r="CC449" s="853">
        <f>SUM(CC441:CC448)</f>
        <v>1232</v>
      </c>
      <c r="CD449" s="853">
        <f>SUM(CD441:CD448)</f>
        <v>2066</v>
      </c>
      <c r="CE449" s="862"/>
      <c r="CF449" s="853">
        <f>SUM(CF441:CF448)</f>
        <v>933</v>
      </c>
      <c r="CG449" s="853">
        <f>SUM(CG441:CG448)</f>
        <v>1800</v>
      </c>
      <c r="CH449" s="853">
        <f>SUM(CH441:CH448)</f>
        <v>2733</v>
      </c>
      <c r="CI449" s="862"/>
      <c r="CJ449" s="853">
        <f>SUM(CJ441:CJ448)</f>
        <v>1078</v>
      </c>
      <c r="CK449" s="853">
        <f>SUM(CK441:CK448)</f>
        <v>595</v>
      </c>
      <c r="CL449" s="853">
        <f>SUM(CL441:CL448)</f>
        <v>1673</v>
      </c>
      <c r="CM449" s="862"/>
      <c r="CN449" s="853">
        <f>SUM(CN441:CN448)</f>
        <v>440</v>
      </c>
      <c r="CO449" s="853">
        <f>SUM(CO441:CO448)</f>
        <v>1484</v>
      </c>
      <c r="CP449" s="853">
        <f>SUM(CP441:CP448)</f>
        <v>1924</v>
      </c>
      <c r="CQ449" s="862"/>
      <c r="CR449" s="853">
        <f>SUM(CR441:CR448)</f>
        <v>1078</v>
      </c>
      <c r="CS449" s="853">
        <f>SUM(CS441:CS448)</f>
        <v>2263</v>
      </c>
      <c r="CT449" s="853">
        <f>SUM(CT441:CT448)</f>
        <v>3341</v>
      </c>
      <c r="CU449" s="853"/>
      <c r="CV449" s="853">
        <f>SUM(CV441:CV448)</f>
        <v>1460</v>
      </c>
      <c r="CW449" s="853">
        <f>SUM(CW441:CW448)</f>
        <v>774</v>
      </c>
      <c r="CX449" s="853">
        <f>SUM(CX441:CX448)</f>
        <v>2234</v>
      </c>
      <c r="CY449" s="853">
        <f>2688-66-388</f>
        <v>2234</v>
      </c>
      <c r="CZ449" s="853">
        <f>SUM(CZ441:CZ448)</f>
        <v>647</v>
      </c>
      <c r="DA449" s="853">
        <f>SUM(DA441:DA448)</f>
        <v>1133</v>
      </c>
      <c r="DB449" s="853">
        <f>SUM(DB441:DB448)</f>
        <v>1780</v>
      </c>
      <c r="DC449" s="853"/>
      <c r="DD449" s="853">
        <f>SUM(DD441:DD448)</f>
        <v>786</v>
      </c>
      <c r="DE449" s="853">
        <f>SUM(DE441:DE448)</f>
        <v>588</v>
      </c>
      <c r="DF449" s="853">
        <f>SUM(DF441:DF448)</f>
        <v>1374</v>
      </c>
      <c r="DG449" s="853"/>
      <c r="DH449" s="853">
        <f>SUM(DH441:DH448)</f>
        <v>329</v>
      </c>
      <c r="DI449" s="853">
        <f>SUM(DI441:DI448)</f>
        <v>1100.3424</v>
      </c>
      <c r="DJ449" s="853">
        <f>SUM(DJ441:DJ448)</f>
        <v>1429.3424</v>
      </c>
      <c r="DK449" s="853"/>
      <c r="DL449" s="853">
        <f>SUM(DL441:DL448)</f>
        <v>694.38060000000007</v>
      </c>
      <c r="DM449" s="853">
        <f>SUM(DM441:DM448)</f>
        <v>935.69831799999997</v>
      </c>
      <c r="DN449" s="853">
        <f>SUM(DN441:DN448)</f>
        <v>1630.0789180000002</v>
      </c>
      <c r="DO449" s="853"/>
      <c r="DP449" s="853">
        <f>SUM(DP441:DP448)</f>
        <v>804.34669154000005</v>
      </c>
      <c r="DQ449" s="853">
        <f>SUM(DQ441:DQ448)</f>
        <v>1059.7373032861999</v>
      </c>
      <c r="DR449" s="853">
        <f>SUM(DR441:DR448)</f>
        <v>1864.0839948261998</v>
      </c>
      <c r="DS449" s="853"/>
      <c r="DT449" s="853"/>
      <c r="DU449" s="853"/>
      <c r="DV449" s="853"/>
      <c r="DW449" s="853"/>
      <c r="DX449" s="853"/>
      <c r="DY449" s="853"/>
      <c r="DZ449" s="853"/>
      <c r="EA449" s="853"/>
      <c r="EB449" s="853"/>
      <c r="EC449" s="853"/>
      <c r="ED449" s="853"/>
      <c r="EE449" s="853"/>
      <c r="EF449" s="853"/>
      <c r="EG449" s="853"/>
      <c r="EH449" s="853"/>
      <c r="EI449" s="853"/>
      <c r="EJ449" s="853"/>
      <c r="EK449" s="853"/>
      <c r="EL449" s="853"/>
      <c r="EM449" s="853"/>
      <c r="EN449" s="853"/>
      <c r="EO449" s="853"/>
      <c r="EP449" s="853"/>
      <c r="JM449"/>
    </row>
    <row r="450" spans="1:273" s="855" customFormat="1">
      <c r="A450" s="948" t="s">
        <v>1165</v>
      </c>
      <c r="B450" s="290"/>
      <c r="C450" s="289"/>
      <c r="D450" s="289"/>
      <c r="E450" s="289"/>
      <c r="F450" s="289"/>
      <c r="G450" s="289"/>
      <c r="H450" s="289"/>
      <c r="I450" s="289"/>
      <c r="J450" s="289"/>
      <c r="K450" s="289"/>
      <c r="L450" s="289"/>
      <c r="M450" s="289"/>
      <c r="N450" s="289"/>
      <c r="O450" s="289"/>
      <c r="P450" s="289"/>
      <c r="Q450" s="289"/>
      <c r="R450" s="289"/>
      <c r="S450" s="289"/>
      <c r="T450" s="289"/>
      <c r="U450" s="289"/>
      <c r="V450" s="289"/>
      <c r="W450" s="289"/>
      <c r="X450" s="289"/>
      <c r="Y450" s="289"/>
      <c r="Z450" s="289"/>
      <c r="AA450" s="289"/>
      <c r="AB450" s="289"/>
      <c r="AC450" s="289"/>
      <c r="AD450" s="289"/>
      <c r="AE450" s="289"/>
      <c r="AF450" s="289"/>
      <c r="AG450" s="289"/>
      <c r="AH450" s="289"/>
      <c r="AI450" s="289"/>
      <c r="AJ450" s="289"/>
      <c r="AK450" s="289"/>
      <c r="AL450" s="289"/>
      <c r="AM450" s="289"/>
      <c r="AN450" s="949">
        <f t="shared" ref="AN450" si="461">AN449-AN464</f>
        <v>282</v>
      </c>
      <c r="AO450" s="949">
        <f t="shared" ref="AO450" si="462">AO449-AO464</f>
        <v>94</v>
      </c>
      <c r="AP450" s="949">
        <f t="shared" ref="AP450" si="463">AP449-AP464</f>
        <v>376</v>
      </c>
      <c r="AQ450" s="853"/>
      <c r="AR450" s="949">
        <f t="shared" ref="AR450" si="464">AR449-AR464</f>
        <v>-71</v>
      </c>
      <c r="AS450" s="949">
        <f t="shared" ref="AS450" si="465">AS449-AS464</f>
        <v>-419</v>
      </c>
      <c r="AT450" s="949">
        <f t="shared" ref="AT450" si="466">AT449-AT464</f>
        <v>-490</v>
      </c>
      <c r="AU450" s="853"/>
      <c r="AV450" s="949">
        <f t="shared" ref="AV450" si="467">AV449-AV464</f>
        <v>291</v>
      </c>
      <c r="AW450" s="949">
        <f t="shared" ref="AW450" si="468">AW449-AW464</f>
        <v>343</v>
      </c>
      <c r="AX450" s="949">
        <f t="shared" ref="AX450" si="469">AX449-AX464</f>
        <v>634</v>
      </c>
      <c r="AY450" s="853"/>
      <c r="AZ450" s="949">
        <f t="shared" ref="AZ450" si="470">AZ449-AZ464</f>
        <v>299</v>
      </c>
      <c r="BA450" s="949">
        <f t="shared" ref="BA450" si="471">BA449-BA464</f>
        <v>389</v>
      </c>
      <c r="BB450" s="949">
        <f t="shared" ref="BB450" si="472">BB449-BB464</f>
        <v>688</v>
      </c>
      <c r="BC450" s="853"/>
      <c r="BD450" s="949">
        <f t="shared" ref="BD450" si="473">BD449-BD464</f>
        <v>175</v>
      </c>
      <c r="BE450" s="949">
        <f t="shared" ref="BE450" si="474">BE449-BE464</f>
        <v>531</v>
      </c>
      <c r="BF450" s="949">
        <f t="shared" ref="BF450" si="475">BF449-BF464</f>
        <v>706</v>
      </c>
      <c r="BG450" s="853"/>
      <c r="BH450" s="949">
        <f t="shared" ref="BH450" si="476">BH449-BH464</f>
        <v>-59</v>
      </c>
      <c r="BI450" s="949">
        <f t="shared" ref="BI450" si="477">BI449-BI464</f>
        <v>229</v>
      </c>
      <c r="BJ450" s="949">
        <f t="shared" ref="BJ450" si="478">BJ449-BJ464</f>
        <v>170</v>
      </c>
      <c r="BK450" s="853"/>
      <c r="BL450" s="949">
        <f>BL449-BL464</f>
        <v>65</v>
      </c>
      <c r="BM450" s="949">
        <f t="shared" ref="BM450:BN450" si="479">BM449-BM464</f>
        <v>270</v>
      </c>
      <c r="BN450" s="949">
        <f t="shared" si="479"/>
        <v>335</v>
      </c>
      <c r="BO450" s="853"/>
      <c r="BP450" s="949">
        <f t="shared" ref="BP450" si="480">BP449-BP464</f>
        <v>190</v>
      </c>
      <c r="BQ450" s="949">
        <f t="shared" ref="BQ450" si="481">BQ449-BQ464</f>
        <v>-52</v>
      </c>
      <c r="BR450" s="949">
        <f t="shared" ref="BR450" si="482">BR449-BR464</f>
        <v>138</v>
      </c>
      <c r="BS450" s="853"/>
      <c r="BT450" s="949">
        <f t="shared" ref="BT450" si="483">BT449-BT464</f>
        <v>-83</v>
      </c>
      <c r="BU450" s="949">
        <f t="shared" ref="BU450" si="484">BU449-BU464</f>
        <v>149</v>
      </c>
      <c r="BV450" s="949">
        <f t="shared" ref="BV450" si="485">BV449-BV464</f>
        <v>66</v>
      </c>
      <c r="BW450" s="853"/>
      <c r="BX450" s="949">
        <f t="shared" ref="BX450" si="486">BX449-BX464</f>
        <v>673</v>
      </c>
      <c r="BY450" s="949">
        <f t="shared" ref="BY450" si="487">BY449-BY464</f>
        <v>445</v>
      </c>
      <c r="BZ450" s="949">
        <f t="shared" ref="BZ450" si="488">BZ449-BZ464</f>
        <v>1118</v>
      </c>
      <c r="CA450" s="853"/>
      <c r="CB450" s="949">
        <f t="shared" ref="CB450" si="489">CB449-CB464</f>
        <v>365</v>
      </c>
      <c r="CC450" s="949">
        <f t="shared" ref="CC450" si="490">CC449-CC464</f>
        <v>766</v>
      </c>
      <c r="CD450" s="949">
        <f t="shared" ref="CD450" si="491">CD449-CD464</f>
        <v>1131</v>
      </c>
      <c r="CE450" s="862"/>
      <c r="CF450" s="949">
        <f t="shared" ref="CF450:CH450" si="492">CF449-CF464</f>
        <v>472</v>
      </c>
      <c r="CG450" s="949">
        <f t="shared" si="492"/>
        <v>1311</v>
      </c>
      <c r="CH450" s="949">
        <f t="shared" si="492"/>
        <v>1783</v>
      </c>
      <c r="CI450" s="862"/>
      <c r="CJ450" s="949">
        <f t="shared" ref="CJ450:CL450" si="493">CJ449-CJ464</f>
        <v>617</v>
      </c>
      <c r="CK450" s="949">
        <f t="shared" si="493"/>
        <v>311</v>
      </c>
      <c r="CL450" s="949">
        <f t="shared" si="493"/>
        <v>928</v>
      </c>
      <c r="CM450" s="862"/>
      <c r="CN450" s="949">
        <f t="shared" ref="CN450:CP450" si="494">CN449-CN464</f>
        <v>195</v>
      </c>
      <c r="CO450" s="949">
        <f t="shared" si="494"/>
        <v>1263</v>
      </c>
      <c r="CP450" s="949">
        <f t="shared" si="494"/>
        <v>1458</v>
      </c>
      <c r="CQ450" s="862"/>
      <c r="CR450" s="949">
        <f t="shared" ref="CR450:CT450" si="495">CR449-CR464</f>
        <v>892</v>
      </c>
      <c r="CS450" s="949">
        <f t="shared" si="495"/>
        <v>2047</v>
      </c>
      <c r="CT450" s="949">
        <f t="shared" si="495"/>
        <v>2939</v>
      </c>
      <c r="CU450" s="853"/>
      <c r="CV450" s="949">
        <f t="shared" ref="CV450:CX450" si="496">CV449-CV464</f>
        <v>1286</v>
      </c>
      <c r="CW450" s="949">
        <f t="shared" si="496"/>
        <v>571</v>
      </c>
      <c r="CX450" s="949">
        <f t="shared" si="496"/>
        <v>1857</v>
      </c>
      <c r="CY450" s="853">
        <f>+CY449-CX449</f>
        <v>0</v>
      </c>
      <c r="CZ450" s="949">
        <f t="shared" ref="CZ450:DB450" si="497">CZ449-CZ464</f>
        <v>434</v>
      </c>
      <c r="DA450" s="949">
        <f t="shared" si="497"/>
        <v>915</v>
      </c>
      <c r="DB450" s="949">
        <f t="shared" si="497"/>
        <v>1349</v>
      </c>
      <c r="DC450" s="853"/>
      <c r="DD450" s="949">
        <f t="shared" ref="DD450:DF450" si="498">DD449-DD464</f>
        <v>575</v>
      </c>
      <c r="DE450" s="949">
        <f t="shared" si="498"/>
        <v>381</v>
      </c>
      <c r="DF450" s="949">
        <f t="shared" si="498"/>
        <v>956</v>
      </c>
      <c r="DG450" s="853"/>
      <c r="DH450" s="949">
        <f t="shared" ref="DH450" si="499">DH449-DH464</f>
        <v>113</v>
      </c>
      <c r="DI450" s="949">
        <f t="shared" ref="DI450:DJ450" si="500">DI449-DI464</f>
        <v>860.22239999999999</v>
      </c>
      <c r="DJ450" s="949">
        <f t="shared" si="500"/>
        <v>973.22239999999999</v>
      </c>
      <c r="DK450" s="853"/>
      <c r="DL450" s="949">
        <f t="shared" ref="DL450:DN450" si="501">DL449-DL464</f>
        <v>441.6606000000001</v>
      </c>
      <c r="DM450" s="949">
        <f t="shared" si="501"/>
        <v>666.76391799999999</v>
      </c>
      <c r="DN450" s="949">
        <f t="shared" si="501"/>
        <v>1108.4245180000003</v>
      </c>
      <c r="DO450" s="853"/>
      <c r="DP450" s="949">
        <f t="shared" ref="DP450:DR450" si="502">DP449-DP464</f>
        <v>521.30029153999999</v>
      </c>
      <c r="DQ450" s="949">
        <f t="shared" si="502"/>
        <v>758.53077528619997</v>
      </c>
      <c r="DR450" s="949">
        <f t="shared" si="502"/>
        <v>1279.8310668261997</v>
      </c>
      <c r="DS450" s="853"/>
      <c r="DT450" s="853"/>
      <c r="DU450" s="853"/>
      <c r="DV450" s="853"/>
      <c r="DW450" s="853"/>
      <c r="DX450" s="853"/>
      <c r="DY450" s="853"/>
      <c r="DZ450" s="853"/>
      <c r="EA450" s="853"/>
      <c r="EB450" s="853"/>
      <c r="EC450" s="853"/>
      <c r="ED450" s="853"/>
      <c r="EE450" s="853"/>
      <c r="EF450" s="853"/>
      <c r="EG450" s="853"/>
      <c r="EH450" s="853"/>
      <c r="EI450" s="853"/>
      <c r="EJ450" s="853"/>
      <c r="EK450" s="853"/>
      <c r="EL450" s="853"/>
      <c r="EM450" s="853"/>
      <c r="EN450" s="853"/>
      <c r="EO450" s="853"/>
      <c r="EP450" s="853"/>
      <c r="JM450"/>
    </row>
    <row r="451" spans="1:273" s="855" customFormat="1">
      <c r="A451" s="289" t="s">
        <v>952</v>
      </c>
      <c r="B451" s="290"/>
      <c r="C451" s="289"/>
      <c r="D451" s="289"/>
      <c r="E451" s="289"/>
      <c r="F451" s="289"/>
      <c r="G451" s="289"/>
      <c r="H451" s="289"/>
      <c r="I451" s="289"/>
      <c r="J451" s="289"/>
      <c r="K451" s="289"/>
      <c r="L451" s="289"/>
      <c r="M451" s="289"/>
      <c r="N451" s="289"/>
      <c r="O451" s="289"/>
      <c r="P451" s="289"/>
      <c r="Q451" s="289"/>
      <c r="R451" s="289"/>
      <c r="S451" s="289"/>
      <c r="T451" s="289"/>
      <c r="U451" s="289"/>
      <c r="V451" s="289"/>
      <c r="W451" s="289"/>
      <c r="X451" s="289"/>
      <c r="Y451" s="289"/>
      <c r="Z451" s="289"/>
      <c r="AA451" s="289"/>
      <c r="AB451" s="289"/>
      <c r="AC451" s="289"/>
      <c r="AD451" s="289"/>
      <c r="AE451" s="289"/>
      <c r="AF451" s="289"/>
      <c r="AG451" s="289"/>
      <c r="AH451" s="289"/>
      <c r="AI451" s="289"/>
      <c r="AJ451" s="289"/>
      <c r="AK451" s="289"/>
      <c r="AL451" s="289"/>
      <c r="AM451" s="289"/>
      <c r="AN451" s="290"/>
      <c r="AO451" s="290"/>
      <c r="AP451" s="290"/>
      <c r="AQ451" s="290"/>
      <c r="AR451" s="290"/>
      <c r="AS451" s="290"/>
      <c r="AT451" s="290"/>
      <c r="AU451" s="290"/>
      <c r="AV451" s="853"/>
      <c r="AW451" s="853"/>
      <c r="AX451" s="853"/>
      <c r="AY451" s="853"/>
      <c r="AZ451" s="853"/>
      <c r="BA451" s="853"/>
      <c r="BB451" s="853"/>
      <c r="BC451" s="853"/>
      <c r="BD451" s="853"/>
      <c r="BE451" s="853"/>
      <c r="BF451" s="853"/>
      <c r="BG451" s="853"/>
      <c r="BH451" s="853"/>
      <c r="BI451" s="853"/>
      <c r="BJ451" s="853"/>
      <c r="BK451" s="853"/>
      <c r="BL451" s="853"/>
      <c r="BM451" s="853"/>
      <c r="BN451" s="853"/>
      <c r="BO451" s="853"/>
      <c r="BP451" s="853"/>
      <c r="BQ451" s="853"/>
      <c r="BR451" s="853"/>
      <c r="BS451" s="853"/>
      <c r="BT451" s="853"/>
      <c r="BU451" s="853"/>
      <c r="BV451" s="853"/>
      <c r="BW451" s="853"/>
      <c r="BX451" s="853"/>
      <c r="BY451" s="853"/>
      <c r="BZ451" s="853"/>
      <c r="CA451" s="853"/>
      <c r="CB451" s="853"/>
      <c r="CC451" s="853"/>
      <c r="CD451" s="853"/>
      <c r="CE451" s="862"/>
      <c r="CF451" s="853"/>
      <c r="CG451" s="853"/>
      <c r="CH451" s="853"/>
      <c r="CI451" s="862"/>
      <c r="CJ451" s="853"/>
      <c r="CK451" s="853"/>
      <c r="CL451" s="853"/>
      <c r="CM451" s="862"/>
      <c r="CN451" s="853"/>
      <c r="CO451" s="853"/>
      <c r="CP451" s="853"/>
      <c r="CQ451" s="862"/>
      <c r="CR451" s="853"/>
      <c r="CS451" s="853"/>
      <c r="CT451" s="853"/>
      <c r="CU451" s="853"/>
      <c r="CV451" s="853"/>
      <c r="CW451" s="853"/>
      <c r="CX451" s="853"/>
      <c r="CY451" s="853"/>
      <c r="CZ451" s="853"/>
      <c r="DA451" s="853"/>
      <c r="DB451" s="853"/>
      <c r="DC451" s="853"/>
      <c r="DD451" s="853"/>
      <c r="DE451" s="853"/>
      <c r="DF451" s="853"/>
      <c r="DG451" s="853"/>
      <c r="DH451" s="853"/>
      <c r="DI451" s="853"/>
      <c r="DJ451" s="853"/>
      <c r="DK451" s="853"/>
      <c r="DL451" s="853"/>
      <c r="DM451" s="853"/>
      <c r="DN451" s="853"/>
      <c r="DO451" s="853"/>
      <c r="DP451" s="853"/>
      <c r="DQ451" s="853"/>
      <c r="DR451" s="853"/>
      <c r="DS451" s="853"/>
      <c r="DT451" s="853"/>
      <c r="DU451" s="853"/>
      <c r="DV451" s="853"/>
      <c r="DW451" s="853"/>
      <c r="DX451" s="853"/>
      <c r="DY451" s="853"/>
      <c r="DZ451" s="853"/>
      <c r="EA451" s="853"/>
      <c r="EB451" s="853"/>
      <c r="EC451" s="853"/>
      <c r="ED451" s="853"/>
      <c r="EE451" s="853"/>
      <c r="EF451" s="853"/>
      <c r="EG451" s="853"/>
      <c r="EH451" s="853"/>
      <c r="EI451" s="853"/>
      <c r="EJ451" s="853"/>
      <c r="EK451" s="853"/>
      <c r="EL451" s="853"/>
      <c r="EM451" s="853"/>
      <c r="EN451" s="853"/>
      <c r="EO451" s="853"/>
      <c r="EP451" s="853"/>
      <c r="JM451"/>
    </row>
    <row r="452" spans="1:273" s="855" customFormat="1">
      <c r="A452" s="102" t="s">
        <v>685</v>
      </c>
      <c r="B452" s="290"/>
      <c r="C452" s="289"/>
      <c r="D452" s="289"/>
      <c r="E452" s="289"/>
      <c r="F452" s="289"/>
      <c r="G452" s="289"/>
      <c r="H452" s="289"/>
      <c r="I452" s="289"/>
      <c r="J452" s="289"/>
      <c r="K452" s="289"/>
      <c r="L452" s="289"/>
      <c r="M452" s="289"/>
      <c r="N452" s="289"/>
      <c r="O452" s="289"/>
      <c r="P452" s="289"/>
      <c r="Q452" s="289"/>
      <c r="R452" s="289"/>
      <c r="S452" s="289"/>
      <c r="T452" s="289"/>
      <c r="U452" s="289"/>
      <c r="V452" s="289"/>
      <c r="W452" s="289"/>
      <c r="X452" s="289"/>
      <c r="Y452" s="289"/>
      <c r="Z452" s="289"/>
      <c r="AA452" s="289"/>
      <c r="AB452" s="289"/>
      <c r="AC452" s="289"/>
      <c r="AD452" s="289"/>
      <c r="AE452" s="289"/>
      <c r="AF452" s="289"/>
      <c r="AG452" s="289"/>
      <c r="AH452" s="289"/>
      <c r="AI452" s="289"/>
      <c r="AJ452" s="289"/>
      <c r="AK452" s="289"/>
      <c r="AL452" s="289"/>
      <c r="AM452" s="289"/>
      <c r="AN452" s="290"/>
      <c r="AO452" s="290"/>
      <c r="AP452" s="290"/>
      <c r="AQ452" s="290"/>
      <c r="AR452" s="290"/>
      <c r="AS452" s="290"/>
      <c r="AT452" s="290"/>
      <c r="AU452" s="290"/>
      <c r="AV452" s="853"/>
      <c r="AW452" s="853"/>
      <c r="AX452" s="853"/>
      <c r="AY452" s="853"/>
      <c r="AZ452" s="853"/>
      <c r="BA452" s="853"/>
      <c r="BB452" s="853"/>
      <c r="BC452" s="853"/>
      <c r="BD452" s="853"/>
      <c r="BE452" s="853"/>
      <c r="BF452" s="853"/>
      <c r="BG452" s="853"/>
      <c r="BH452" s="853"/>
      <c r="BI452" s="853"/>
      <c r="BJ452" s="853"/>
      <c r="BK452" s="853"/>
      <c r="BL452" s="853"/>
      <c r="BM452" s="853"/>
      <c r="BN452" s="853"/>
      <c r="BO452" s="853"/>
      <c r="BP452" s="853"/>
      <c r="BQ452" s="853"/>
      <c r="BR452" s="853"/>
      <c r="BS452" s="853"/>
      <c r="BT452" s="853"/>
      <c r="BU452" s="853"/>
      <c r="BV452" s="853"/>
      <c r="BW452" s="853"/>
      <c r="BX452" s="853"/>
      <c r="BY452" s="853"/>
      <c r="BZ452" s="853"/>
      <c r="CA452" s="853"/>
      <c r="CB452" s="853"/>
      <c r="CC452" s="853"/>
      <c r="CD452" s="853"/>
      <c r="CE452" s="862"/>
      <c r="CF452" s="853"/>
      <c r="CG452" s="853"/>
      <c r="CH452" s="853"/>
      <c r="CI452" s="862"/>
      <c r="CJ452" s="853"/>
      <c r="CK452" s="853"/>
      <c r="CL452" s="853"/>
      <c r="CM452" s="862"/>
      <c r="CN452" s="853"/>
      <c r="CO452" s="853"/>
      <c r="CP452" s="853"/>
      <c r="CQ452" s="862"/>
      <c r="CR452" s="853"/>
      <c r="CS452" s="853"/>
      <c r="CT452" s="853"/>
      <c r="CU452" s="853"/>
      <c r="CV452" s="853"/>
      <c r="CW452" s="853"/>
      <c r="CX452" s="853"/>
      <c r="CY452" s="853"/>
      <c r="CZ452" s="853"/>
      <c r="DA452" s="853"/>
      <c r="DB452" s="853"/>
      <c r="DC452" s="853"/>
      <c r="DD452" s="853"/>
      <c r="DE452" s="853"/>
      <c r="DF452" s="853"/>
      <c r="DG452" s="853"/>
      <c r="DH452" s="853"/>
      <c r="DI452" s="853"/>
      <c r="DJ452" s="853"/>
      <c r="DK452" s="853"/>
      <c r="DL452" s="853"/>
      <c r="DM452" s="853"/>
      <c r="DN452" s="853"/>
      <c r="DO452" s="853"/>
      <c r="DP452" s="853"/>
      <c r="DQ452" s="853"/>
      <c r="DR452" s="853"/>
      <c r="DS452" s="853"/>
      <c r="DT452" s="853"/>
      <c r="DU452" s="853"/>
      <c r="DV452" s="853"/>
      <c r="DW452" s="853"/>
      <c r="DX452" s="853"/>
      <c r="DY452" s="853"/>
      <c r="DZ452" s="853"/>
      <c r="EA452" s="853"/>
      <c r="EB452" s="853"/>
      <c r="EC452" s="853"/>
      <c r="ED452" s="853"/>
      <c r="EE452" s="853"/>
      <c r="EF452" s="853"/>
      <c r="EG452" s="853"/>
      <c r="EH452" s="853"/>
      <c r="EI452" s="853"/>
      <c r="EJ452" s="853"/>
      <c r="EK452" s="853"/>
      <c r="EL452" s="853"/>
      <c r="EM452" s="853"/>
      <c r="EN452" s="853"/>
      <c r="EO452" s="853"/>
      <c r="EP452" s="853"/>
      <c r="JM452"/>
    </row>
    <row r="453" spans="1:273" s="855" customFormat="1">
      <c r="A453" s="102" t="s">
        <v>686</v>
      </c>
      <c r="B453" s="290"/>
      <c r="C453" s="289"/>
      <c r="D453" s="289"/>
      <c r="E453" s="289"/>
      <c r="F453" s="289"/>
      <c r="G453" s="289"/>
      <c r="H453" s="289"/>
      <c r="I453" s="289"/>
      <c r="J453" s="289"/>
      <c r="K453" s="289"/>
      <c r="L453" s="289"/>
      <c r="M453" s="289"/>
      <c r="N453" s="289"/>
      <c r="O453" s="289"/>
      <c r="P453" s="289"/>
      <c r="Q453" s="289"/>
      <c r="R453" s="289"/>
      <c r="S453" s="289"/>
      <c r="T453" s="289"/>
      <c r="U453" s="289"/>
      <c r="V453" s="289"/>
      <c r="W453" s="289"/>
      <c r="X453" s="289"/>
      <c r="Y453" s="289"/>
      <c r="Z453" s="289"/>
      <c r="AA453" s="289"/>
      <c r="AB453" s="289"/>
      <c r="AC453" s="289"/>
      <c r="AD453" s="289"/>
      <c r="AE453" s="289"/>
      <c r="AF453" s="289"/>
      <c r="AG453" s="289"/>
      <c r="AH453" s="289"/>
      <c r="AI453" s="289"/>
      <c r="AJ453" s="289"/>
      <c r="AK453" s="289"/>
      <c r="AL453" s="289"/>
      <c r="AM453" s="289"/>
      <c r="AN453" s="290"/>
      <c r="AO453" s="290"/>
      <c r="AP453" s="290"/>
      <c r="AQ453" s="290"/>
      <c r="AR453" s="290"/>
      <c r="AS453" s="290"/>
      <c r="AT453" s="290"/>
      <c r="AU453" s="290"/>
      <c r="AV453" s="853"/>
      <c r="AW453" s="853"/>
      <c r="AX453" s="853"/>
      <c r="AY453" s="853"/>
      <c r="AZ453" s="853"/>
      <c r="BA453" s="853"/>
      <c r="BB453" s="853"/>
      <c r="BC453" s="853"/>
      <c r="BD453" s="853"/>
      <c r="BE453" s="853"/>
      <c r="BF453" s="853"/>
      <c r="BG453" s="853"/>
      <c r="BH453" s="853"/>
      <c r="BI453" s="853"/>
      <c r="BJ453" s="853"/>
      <c r="BK453" s="853"/>
      <c r="BL453" s="853"/>
      <c r="BM453" s="853"/>
      <c r="BN453" s="853"/>
      <c r="BO453" s="853"/>
      <c r="BP453" s="853"/>
      <c r="BQ453" s="853"/>
      <c r="BR453" s="853"/>
      <c r="BS453" s="853"/>
      <c r="BT453" s="853"/>
      <c r="BU453" s="853"/>
      <c r="BV453" s="853"/>
      <c r="BW453" s="853"/>
      <c r="BX453" s="853"/>
      <c r="BY453" s="853"/>
      <c r="BZ453" s="853"/>
      <c r="CA453" s="853"/>
      <c r="CB453" s="853"/>
      <c r="CC453" s="853"/>
      <c r="CD453" s="853"/>
      <c r="CE453" s="862"/>
      <c r="CF453" s="853"/>
      <c r="CG453" s="853"/>
      <c r="CH453" s="853"/>
      <c r="CI453" s="862"/>
      <c r="CJ453" s="853"/>
      <c r="CK453" s="853"/>
      <c r="CL453" s="853"/>
      <c r="CM453" s="862"/>
      <c r="CN453" s="853"/>
      <c r="CO453" s="853"/>
      <c r="CP453" s="853"/>
      <c r="CQ453" s="862"/>
      <c r="CR453" s="853"/>
      <c r="CS453" s="853"/>
      <c r="CT453" s="853"/>
      <c r="CU453" s="853"/>
      <c r="CV453" s="853"/>
      <c r="CW453" s="853"/>
      <c r="CX453" s="853"/>
      <c r="CY453" s="853"/>
      <c r="CZ453" s="853"/>
      <c r="DA453" s="853"/>
      <c r="DB453" s="853"/>
      <c r="DC453" s="853"/>
      <c r="DD453" s="853"/>
      <c r="DE453" s="853"/>
      <c r="DF453" s="853"/>
      <c r="DG453" s="853"/>
      <c r="DH453" s="853"/>
      <c r="DI453" s="853"/>
      <c r="DJ453" s="853"/>
      <c r="DK453" s="853"/>
      <c r="DL453" s="853"/>
      <c r="DM453" s="853"/>
      <c r="DN453" s="853"/>
      <c r="DO453" s="853"/>
      <c r="DP453" s="853"/>
      <c r="DQ453" s="853"/>
      <c r="DR453" s="853"/>
      <c r="DS453" s="853"/>
      <c r="DT453" s="853"/>
      <c r="DU453" s="853"/>
      <c r="DV453" s="853"/>
      <c r="DW453" s="853"/>
      <c r="DX453" s="853"/>
      <c r="DY453" s="853"/>
      <c r="DZ453" s="853"/>
      <c r="EA453" s="853"/>
      <c r="EB453" s="853"/>
      <c r="EC453" s="853"/>
      <c r="ED453" s="853"/>
      <c r="EE453" s="853"/>
      <c r="EF453" s="853"/>
      <c r="EG453" s="853"/>
      <c r="EH453" s="853"/>
      <c r="EI453" s="853"/>
      <c r="EJ453" s="853"/>
      <c r="EK453" s="853"/>
      <c r="EL453" s="853"/>
      <c r="EM453" s="853"/>
      <c r="EN453" s="853"/>
      <c r="EO453" s="853"/>
      <c r="EP453" s="853"/>
      <c r="JM453"/>
    </row>
    <row r="454" spans="1:273" s="855" customFormat="1">
      <c r="A454" s="102" t="s">
        <v>616</v>
      </c>
      <c r="B454" s="290"/>
      <c r="C454" s="289"/>
      <c r="D454" s="289"/>
      <c r="E454" s="289"/>
      <c r="F454" s="289"/>
      <c r="G454" s="289"/>
      <c r="H454" s="289"/>
      <c r="I454" s="289"/>
      <c r="J454" s="289"/>
      <c r="K454" s="289"/>
      <c r="L454" s="289"/>
      <c r="M454" s="289"/>
      <c r="N454" s="289"/>
      <c r="O454" s="289"/>
      <c r="P454" s="289"/>
      <c r="Q454" s="289"/>
      <c r="R454" s="289"/>
      <c r="S454" s="289"/>
      <c r="T454" s="289"/>
      <c r="U454" s="289"/>
      <c r="V454" s="289"/>
      <c r="W454" s="289"/>
      <c r="X454" s="289"/>
      <c r="Y454" s="289"/>
      <c r="Z454" s="289"/>
      <c r="AA454" s="289"/>
      <c r="AB454" s="289"/>
      <c r="AC454" s="289"/>
      <c r="AD454" s="289"/>
      <c r="AE454" s="289"/>
      <c r="AF454" s="289"/>
      <c r="AG454" s="289"/>
      <c r="AH454" s="289"/>
      <c r="AI454" s="289"/>
      <c r="AJ454" s="289"/>
      <c r="AK454" s="289"/>
      <c r="AL454" s="289"/>
      <c r="AM454" s="289"/>
      <c r="AN454" s="290"/>
      <c r="AO454" s="290"/>
      <c r="AP454" s="290"/>
      <c r="AQ454" s="290"/>
      <c r="AR454" s="290"/>
      <c r="AS454" s="290"/>
      <c r="AT454" s="290"/>
      <c r="AU454" s="290"/>
      <c r="AV454" s="853"/>
      <c r="AW454" s="853"/>
      <c r="AX454" s="853"/>
      <c r="AY454" s="853"/>
      <c r="AZ454" s="853"/>
      <c r="BA454" s="853"/>
      <c r="BB454" s="853"/>
      <c r="BC454" s="853"/>
      <c r="BD454" s="853"/>
      <c r="BE454" s="853"/>
      <c r="BF454" s="853"/>
      <c r="BG454" s="853"/>
      <c r="BH454" s="853"/>
      <c r="BI454" s="853"/>
      <c r="BJ454" s="853"/>
      <c r="BK454" s="853"/>
      <c r="BL454" s="853"/>
      <c r="BM454" s="853"/>
      <c r="BN454" s="853"/>
      <c r="BO454" s="853"/>
      <c r="BP454" s="853"/>
      <c r="BQ454" s="853"/>
      <c r="BR454" s="853"/>
      <c r="BS454" s="853"/>
      <c r="BT454" s="853"/>
      <c r="BU454" s="853"/>
      <c r="BV454" s="853"/>
      <c r="BW454" s="853"/>
      <c r="BX454" s="853"/>
      <c r="BY454" s="853"/>
      <c r="BZ454" s="853"/>
      <c r="CA454" s="853"/>
      <c r="CB454" s="853"/>
      <c r="CC454" s="853"/>
      <c r="CD454" s="853"/>
      <c r="CE454" s="862"/>
      <c r="CF454" s="853"/>
      <c r="CG454" s="853"/>
      <c r="CH454" s="853"/>
      <c r="CI454" s="862"/>
      <c r="CJ454" s="853"/>
      <c r="CK454" s="853"/>
      <c r="CL454" s="853"/>
      <c r="CM454" s="862"/>
      <c r="CN454" s="853"/>
      <c r="CO454" s="853"/>
      <c r="CP454" s="853"/>
      <c r="CQ454" s="862"/>
      <c r="CR454" s="853"/>
      <c r="CS454" s="853"/>
      <c r="CT454" s="853"/>
      <c r="CU454" s="853"/>
      <c r="CV454" s="853"/>
      <c r="CW454" s="853"/>
      <c r="CX454" s="853"/>
      <c r="CY454" s="853"/>
      <c r="CZ454" s="853"/>
      <c r="DA454" s="853"/>
      <c r="DB454" s="853"/>
      <c r="DC454" s="853"/>
      <c r="DD454" s="853"/>
      <c r="DE454" s="853"/>
      <c r="DF454" s="853"/>
      <c r="DG454" s="853"/>
      <c r="DH454" s="853"/>
      <c r="DI454" s="853"/>
      <c r="DJ454" s="853"/>
      <c r="DK454" s="853"/>
      <c r="DL454" s="853"/>
      <c r="DM454" s="853"/>
      <c r="DN454" s="853"/>
      <c r="DO454" s="853"/>
      <c r="DP454" s="853"/>
      <c r="DQ454" s="853"/>
      <c r="DR454" s="853"/>
      <c r="DS454" s="853"/>
      <c r="DT454" s="853"/>
      <c r="DU454" s="853"/>
      <c r="DV454" s="853"/>
      <c r="DW454" s="853"/>
      <c r="DX454" s="853"/>
      <c r="DY454" s="853"/>
      <c r="DZ454" s="853"/>
      <c r="EA454" s="853"/>
      <c r="EB454" s="853"/>
      <c r="EC454" s="853"/>
      <c r="ED454" s="853"/>
      <c r="EE454" s="853"/>
      <c r="EF454" s="853"/>
      <c r="EG454" s="853"/>
      <c r="EH454" s="853"/>
      <c r="EI454" s="853"/>
      <c r="EJ454" s="853"/>
      <c r="EK454" s="853"/>
      <c r="EL454" s="853"/>
      <c r="EM454" s="853"/>
      <c r="EN454" s="853"/>
      <c r="EO454" s="853"/>
      <c r="EP454" s="853"/>
      <c r="JM454"/>
    </row>
    <row r="455" spans="1:273" s="855" customFormat="1">
      <c r="A455" s="102" t="s">
        <v>1024</v>
      </c>
      <c r="B455" s="290"/>
      <c r="C455" s="289"/>
      <c r="D455" s="289"/>
      <c r="E455" s="289"/>
      <c r="F455" s="289"/>
      <c r="G455" s="289"/>
      <c r="H455" s="289"/>
      <c r="I455" s="289"/>
      <c r="J455" s="289"/>
      <c r="K455" s="289"/>
      <c r="L455" s="289"/>
      <c r="M455" s="289"/>
      <c r="N455" s="289"/>
      <c r="O455" s="289"/>
      <c r="P455" s="289"/>
      <c r="Q455" s="289"/>
      <c r="R455" s="289"/>
      <c r="S455" s="289"/>
      <c r="T455" s="289"/>
      <c r="U455" s="289"/>
      <c r="V455" s="289"/>
      <c r="W455" s="289"/>
      <c r="X455" s="289"/>
      <c r="Y455" s="289"/>
      <c r="Z455" s="289"/>
      <c r="AA455" s="289"/>
      <c r="AB455" s="289"/>
      <c r="AC455" s="289"/>
      <c r="AD455" s="289"/>
      <c r="AE455" s="289"/>
      <c r="AF455" s="289"/>
      <c r="AG455" s="289"/>
      <c r="AH455" s="289"/>
      <c r="AI455" s="289"/>
      <c r="AJ455" s="289"/>
      <c r="AK455" s="289"/>
      <c r="AL455" s="289"/>
      <c r="AM455" s="289"/>
      <c r="AN455" s="290"/>
      <c r="AO455" s="290"/>
      <c r="AP455" s="290"/>
      <c r="AQ455" s="290"/>
      <c r="AR455" s="290"/>
      <c r="AS455" s="290"/>
      <c r="AT455" s="290"/>
      <c r="AU455" s="290"/>
      <c r="AV455" s="853"/>
      <c r="AW455" s="853"/>
      <c r="AX455" s="853"/>
      <c r="AY455" s="853"/>
      <c r="AZ455" s="853"/>
      <c r="BA455" s="853"/>
      <c r="BB455" s="853"/>
      <c r="BC455" s="853"/>
      <c r="BD455" s="853"/>
      <c r="BE455" s="853"/>
      <c r="BF455" s="853"/>
      <c r="BG455" s="853"/>
      <c r="BH455" s="853"/>
      <c r="BI455" s="853"/>
      <c r="BJ455" s="853"/>
      <c r="BK455" s="853"/>
      <c r="BL455" s="853"/>
      <c r="BM455" s="853"/>
      <c r="BN455" s="853"/>
      <c r="BO455" s="853"/>
      <c r="BP455" s="853"/>
      <c r="BQ455" s="853"/>
      <c r="BR455" s="853"/>
      <c r="BS455" s="853"/>
      <c r="BT455" s="853"/>
      <c r="BU455" s="853"/>
      <c r="BV455" s="853"/>
      <c r="BW455" s="853"/>
      <c r="BX455" s="853"/>
      <c r="BY455" s="853"/>
      <c r="BZ455" s="853"/>
      <c r="CA455" s="853"/>
      <c r="CB455" s="853"/>
      <c r="CC455" s="853"/>
      <c r="CD455" s="853"/>
      <c r="CE455" s="862"/>
      <c r="CF455" s="853"/>
      <c r="CG455" s="853"/>
      <c r="CH455" s="853"/>
      <c r="CI455" s="862"/>
      <c r="CJ455" s="853"/>
      <c r="CK455" s="853"/>
      <c r="CL455" s="853"/>
      <c r="CM455" s="862"/>
      <c r="CN455" s="853"/>
      <c r="CO455" s="853"/>
      <c r="CP455" s="853"/>
      <c r="CQ455" s="862"/>
      <c r="CR455" s="853"/>
      <c r="CS455" s="853"/>
      <c r="CT455" s="853"/>
      <c r="CU455" s="853"/>
      <c r="CV455" s="853"/>
      <c r="CW455" s="853"/>
      <c r="CX455" s="853"/>
      <c r="CY455" s="853"/>
      <c r="CZ455" s="853"/>
      <c r="DA455" s="853"/>
      <c r="DB455" s="853"/>
      <c r="DC455" s="853"/>
      <c r="DD455" s="853"/>
      <c r="DE455" s="853"/>
      <c r="DF455" s="853"/>
      <c r="DG455" s="853"/>
      <c r="DH455" s="853"/>
      <c r="DI455" s="853"/>
      <c r="DJ455" s="853"/>
      <c r="DK455" s="853"/>
      <c r="DL455" s="853"/>
      <c r="DM455" s="853"/>
      <c r="DN455" s="853"/>
      <c r="DO455" s="853"/>
      <c r="DP455" s="853"/>
      <c r="DQ455" s="853"/>
      <c r="DR455" s="853"/>
      <c r="DS455" s="853"/>
      <c r="DT455" s="853"/>
      <c r="DU455" s="853"/>
      <c r="DV455" s="853"/>
      <c r="DW455" s="853"/>
      <c r="DX455" s="853"/>
      <c r="DY455" s="853"/>
      <c r="DZ455" s="853"/>
      <c r="EA455" s="853"/>
      <c r="EB455" s="853"/>
      <c r="EC455" s="853"/>
      <c r="ED455" s="853"/>
      <c r="EE455" s="853"/>
      <c r="EF455" s="853"/>
      <c r="EG455" s="853"/>
      <c r="EH455" s="853"/>
      <c r="EI455" s="853"/>
      <c r="EJ455" s="853"/>
      <c r="EK455" s="853"/>
      <c r="EL455" s="853"/>
      <c r="EM455" s="853"/>
      <c r="EN455" s="853"/>
      <c r="EO455" s="853"/>
      <c r="EP455" s="853"/>
      <c r="JM455"/>
    </row>
    <row r="456" spans="1:273" s="855" customFormat="1">
      <c r="A456" s="102" t="s">
        <v>690</v>
      </c>
      <c r="B456" s="290"/>
      <c r="C456" s="289"/>
      <c r="D456" s="289"/>
      <c r="E456" s="289"/>
      <c r="F456" s="289"/>
      <c r="G456" s="289"/>
      <c r="H456" s="289"/>
      <c r="I456" s="289"/>
      <c r="J456" s="289"/>
      <c r="K456" s="289"/>
      <c r="L456" s="289"/>
      <c r="M456" s="289"/>
      <c r="N456" s="289"/>
      <c r="O456" s="289"/>
      <c r="P456" s="289"/>
      <c r="Q456" s="289"/>
      <c r="R456" s="289"/>
      <c r="S456" s="289"/>
      <c r="T456" s="289"/>
      <c r="U456" s="289"/>
      <c r="V456" s="289"/>
      <c r="W456" s="289"/>
      <c r="X456" s="289"/>
      <c r="Y456" s="289"/>
      <c r="Z456" s="289"/>
      <c r="AA456" s="289"/>
      <c r="AB456" s="289"/>
      <c r="AC456" s="289"/>
      <c r="AD456" s="289"/>
      <c r="AE456" s="289"/>
      <c r="AF456" s="289"/>
      <c r="AG456" s="289"/>
      <c r="AH456" s="289"/>
      <c r="AI456" s="289"/>
      <c r="AJ456" s="289"/>
      <c r="AK456" s="289"/>
      <c r="AL456" s="289"/>
      <c r="AM456" s="289"/>
      <c r="AN456" s="290"/>
      <c r="AO456" s="290"/>
      <c r="AP456" s="290"/>
      <c r="AQ456" s="290"/>
      <c r="AR456" s="290"/>
      <c r="AS456" s="290"/>
      <c r="AT456" s="290"/>
      <c r="AU456" s="290"/>
      <c r="AV456" s="853"/>
      <c r="AW456" s="853"/>
      <c r="AX456" s="853"/>
      <c r="AY456" s="853"/>
      <c r="AZ456" s="853"/>
      <c r="BA456" s="853"/>
      <c r="BB456" s="853"/>
      <c r="BC456" s="853"/>
      <c r="BD456" s="853"/>
      <c r="BE456" s="853"/>
      <c r="BF456" s="853"/>
      <c r="BG456" s="853"/>
      <c r="BH456" s="853"/>
      <c r="BI456" s="853"/>
      <c r="BJ456" s="853"/>
      <c r="BK456" s="853"/>
      <c r="BL456" s="853"/>
      <c r="BM456" s="853"/>
      <c r="BN456" s="853"/>
      <c r="BO456" s="853"/>
      <c r="BP456" s="853"/>
      <c r="BQ456" s="853"/>
      <c r="BR456" s="853"/>
      <c r="BS456" s="853"/>
      <c r="BT456" s="853"/>
      <c r="BU456" s="853"/>
      <c r="BV456" s="853"/>
      <c r="BW456" s="853"/>
      <c r="BX456" s="853"/>
      <c r="BY456" s="853"/>
      <c r="BZ456" s="853"/>
      <c r="CA456" s="853"/>
      <c r="CB456" s="853"/>
      <c r="CC456" s="853"/>
      <c r="CD456" s="853"/>
      <c r="CE456" s="862"/>
      <c r="CF456" s="853"/>
      <c r="CG456" s="853"/>
      <c r="CH456" s="853"/>
      <c r="CI456" s="862"/>
      <c r="CJ456" s="853"/>
      <c r="CK456" s="853"/>
      <c r="CL456" s="853"/>
      <c r="CM456" s="862"/>
      <c r="CN456" s="853"/>
      <c r="CO456" s="853"/>
      <c r="CP456" s="853"/>
      <c r="CQ456" s="862"/>
      <c r="CR456" s="853"/>
      <c r="CS456" s="853"/>
      <c r="CT456" s="853"/>
      <c r="CU456" s="853"/>
      <c r="CV456" s="853"/>
      <c r="CW456" s="853"/>
      <c r="CX456" s="853"/>
      <c r="CY456" s="853"/>
      <c r="CZ456" s="853"/>
      <c r="DA456" s="853"/>
      <c r="DB456" s="853"/>
      <c r="DC456" s="853"/>
      <c r="DD456" s="853"/>
      <c r="DE456" s="853"/>
      <c r="DF456" s="853"/>
      <c r="DG456" s="853"/>
      <c r="DH456" s="853"/>
      <c r="DI456" s="853"/>
      <c r="DJ456" s="853"/>
      <c r="DK456" s="853"/>
      <c r="DL456" s="853"/>
      <c r="DM456" s="853"/>
      <c r="DN456" s="853"/>
      <c r="DO456" s="853"/>
      <c r="DP456" s="853"/>
      <c r="DQ456" s="853"/>
      <c r="DR456" s="853"/>
      <c r="DS456" s="853"/>
      <c r="DT456" s="853"/>
      <c r="DU456" s="853"/>
      <c r="DV456" s="853"/>
      <c r="DW456" s="853"/>
      <c r="DX456" s="853"/>
      <c r="DY456" s="853"/>
      <c r="DZ456" s="853"/>
      <c r="EA456" s="853"/>
      <c r="EB456" s="853"/>
      <c r="EC456" s="853"/>
      <c r="ED456" s="853"/>
      <c r="EE456" s="853"/>
      <c r="EF456" s="853"/>
      <c r="EG456" s="853"/>
      <c r="EH456" s="853"/>
      <c r="EI456" s="853"/>
      <c r="EJ456" s="853"/>
      <c r="EK456" s="853"/>
      <c r="EL456" s="853"/>
      <c r="EM456" s="853"/>
      <c r="EN456" s="853"/>
      <c r="EO456" s="853"/>
      <c r="EP456" s="853"/>
      <c r="JM456"/>
    </row>
    <row r="457" spans="1:273" s="855" customFormat="1">
      <c r="A457" s="102" t="s">
        <v>689</v>
      </c>
      <c r="B457" s="290"/>
      <c r="C457" s="289"/>
      <c r="D457" s="289"/>
      <c r="E457" s="289"/>
      <c r="F457" s="289"/>
      <c r="G457" s="289"/>
      <c r="H457" s="289"/>
      <c r="I457" s="289"/>
      <c r="J457" s="289"/>
      <c r="K457" s="289"/>
      <c r="L457" s="289"/>
      <c r="M457" s="289"/>
      <c r="N457" s="289"/>
      <c r="O457" s="289"/>
      <c r="P457" s="289"/>
      <c r="Q457" s="289"/>
      <c r="R457" s="289"/>
      <c r="S457" s="289"/>
      <c r="T457" s="289"/>
      <c r="U457" s="289"/>
      <c r="V457" s="289"/>
      <c r="W457" s="289"/>
      <c r="X457" s="289"/>
      <c r="Y457" s="289"/>
      <c r="Z457" s="289"/>
      <c r="AA457" s="289"/>
      <c r="AB457" s="289"/>
      <c r="AC457" s="289"/>
      <c r="AD457" s="289"/>
      <c r="AE457" s="289"/>
      <c r="AF457" s="289"/>
      <c r="AG457" s="289"/>
      <c r="AH457" s="289"/>
      <c r="AI457" s="289"/>
      <c r="AJ457" s="289"/>
      <c r="AK457" s="289"/>
      <c r="AL457" s="289"/>
      <c r="AM457" s="289"/>
      <c r="AN457" s="290"/>
      <c r="AO457" s="290"/>
      <c r="AP457" s="290"/>
      <c r="AQ457" s="290"/>
      <c r="AR457" s="290"/>
      <c r="AS457" s="290"/>
      <c r="AT457" s="290"/>
      <c r="AU457" s="290"/>
      <c r="AV457" s="853"/>
      <c r="AW457" s="853"/>
      <c r="AX457" s="853"/>
      <c r="AY457" s="853"/>
      <c r="AZ457" s="853"/>
      <c r="BA457" s="853"/>
      <c r="BB457" s="853"/>
      <c r="BC457" s="853"/>
      <c r="BD457" s="853"/>
      <c r="BE457" s="853"/>
      <c r="BF457" s="853"/>
      <c r="BG457" s="853"/>
      <c r="BH457" s="853"/>
      <c r="BI457" s="853"/>
      <c r="BJ457" s="853"/>
      <c r="BK457" s="853"/>
      <c r="BL457" s="853"/>
      <c r="BM457" s="853"/>
      <c r="BN457" s="853"/>
      <c r="BO457" s="853"/>
      <c r="BP457" s="853"/>
      <c r="BQ457" s="853"/>
      <c r="BR457" s="853"/>
      <c r="BS457" s="853"/>
      <c r="BT457" s="853"/>
      <c r="BU457" s="853"/>
      <c r="BV457" s="853"/>
      <c r="BW457" s="853"/>
      <c r="BX457" s="853"/>
      <c r="BY457" s="853"/>
      <c r="BZ457" s="853"/>
      <c r="CA457" s="853"/>
      <c r="CB457" s="853"/>
      <c r="CC457" s="853"/>
      <c r="CD457" s="853"/>
      <c r="CE457" s="862"/>
      <c r="CF457" s="853"/>
      <c r="CG457" s="853"/>
      <c r="CH457" s="853"/>
      <c r="CI457" s="862"/>
      <c r="CJ457" s="853"/>
      <c r="CK457" s="853"/>
      <c r="CL457" s="853"/>
      <c r="CM457" s="862"/>
      <c r="CN457" s="853"/>
      <c r="CO457" s="853"/>
      <c r="CP457" s="853"/>
      <c r="CQ457" s="862"/>
      <c r="CR457" s="853"/>
      <c r="CS457" s="853"/>
      <c r="CT457" s="853"/>
      <c r="CU457" s="853"/>
      <c r="CV457" s="853"/>
      <c r="CW457" s="853"/>
      <c r="CX457" s="853"/>
      <c r="CY457" s="853"/>
      <c r="CZ457" s="853"/>
      <c r="DA457" s="853"/>
      <c r="DB457" s="853"/>
      <c r="DC457" s="853"/>
      <c r="DD457" s="853"/>
      <c r="DE457" s="853"/>
      <c r="DF457" s="853"/>
      <c r="DG457" s="853"/>
      <c r="DH457" s="853"/>
      <c r="DI457" s="853"/>
      <c r="DJ457" s="853"/>
      <c r="DK457" s="853"/>
      <c r="DL457" s="853"/>
      <c r="DM457" s="853"/>
      <c r="DN457" s="853"/>
      <c r="DO457" s="853"/>
      <c r="DP457" s="853"/>
      <c r="DQ457" s="853"/>
      <c r="DR457" s="853"/>
      <c r="DS457" s="853"/>
      <c r="DT457" s="853"/>
      <c r="DU457" s="853"/>
      <c r="DV457" s="853"/>
      <c r="DW457" s="853"/>
      <c r="DX457" s="853"/>
      <c r="DY457" s="853"/>
      <c r="DZ457" s="853"/>
      <c r="EA457" s="853"/>
      <c r="EB457" s="853"/>
      <c r="EC457" s="853"/>
      <c r="ED457" s="853"/>
      <c r="EE457" s="853"/>
      <c r="EF457" s="853"/>
      <c r="EG457" s="853"/>
      <c r="EH457" s="853"/>
      <c r="EI457" s="853"/>
      <c r="EJ457" s="853"/>
      <c r="EK457" s="853"/>
      <c r="EL457" s="853"/>
      <c r="EM457" s="853"/>
      <c r="EN457" s="853"/>
      <c r="EO457" s="853"/>
      <c r="EP457" s="853"/>
      <c r="JM457"/>
    </row>
    <row r="458" spans="1:273" s="855" customFormat="1">
      <c r="A458" s="102" t="s">
        <v>688</v>
      </c>
      <c r="B458" s="290"/>
      <c r="C458" s="289"/>
      <c r="D458" s="289"/>
      <c r="E458" s="289"/>
      <c r="F458" s="289"/>
      <c r="G458" s="289"/>
      <c r="H458" s="289"/>
      <c r="I458" s="289"/>
      <c r="J458" s="289"/>
      <c r="K458" s="289"/>
      <c r="L458" s="289"/>
      <c r="M458" s="289"/>
      <c r="N458" s="289"/>
      <c r="O458" s="289"/>
      <c r="P458" s="289"/>
      <c r="Q458" s="289"/>
      <c r="R458" s="289"/>
      <c r="S458" s="289"/>
      <c r="T458" s="289"/>
      <c r="U458" s="289"/>
      <c r="V458" s="289"/>
      <c r="W458" s="289"/>
      <c r="X458" s="289"/>
      <c r="Y458" s="289"/>
      <c r="Z458" s="289"/>
      <c r="AA458" s="289"/>
      <c r="AB458" s="289"/>
      <c r="AC458" s="289"/>
      <c r="AD458" s="289"/>
      <c r="AE458" s="289"/>
      <c r="AF458" s="289"/>
      <c r="AG458" s="289"/>
      <c r="AH458" s="289"/>
      <c r="AI458" s="289"/>
      <c r="AJ458" s="289"/>
      <c r="AK458" s="289"/>
      <c r="AL458" s="289"/>
      <c r="AM458" s="289"/>
      <c r="AN458" s="290"/>
      <c r="AO458" s="290"/>
      <c r="AP458" s="290"/>
      <c r="AQ458" s="290"/>
      <c r="AR458" s="290"/>
      <c r="AS458" s="290"/>
      <c r="AT458" s="290"/>
      <c r="AU458" s="290"/>
      <c r="AV458" s="853"/>
      <c r="AW458" s="853"/>
      <c r="AX458" s="853"/>
      <c r="AY458" s="853"/>
      <c r="AZ458" s="853"/>
      <c r="BA458" s="853"/>
      <c r="BB458" s="853"/>
      <c r="BC458" s="853"/>
      <c r="BD458" s="853"/>
      <c r="BE458" s="853"/>
      <c r="BF458" s="853"/>
      <c r="BG458" s="853"/>
      <c r="BH458" s="853"/>
      <c r="BI458" s="853"/>
      <c r="BJ458" s="853"/>
      <c r="BK458" s="853"/>
      <c r="BL458" s="853"/>
      <c r="BM458" s="853"/>
      <c r="BN458" s="853"/>
      <c r="BO458" s="853"/>
      <c r="BP458" s="853"/>
      <c r="BQ458" s="853"/>
      <c r="BR458" s="853"/>
      <c r="BS458" s="853"/>
      <c r="BT458" s="853"/>
      <c r="BU458" s="853"/>
      <c r="BV458" s="853"/>
      <c r="BW458" s="853"/>
      <c r="BX458" s="853"/>
      <c r="BY458" s="853"/>
      <c r="BZ458" s="853"/>
      <c r="CA458" s="853"/>
      <c r="CB458" s="853"/>
      <c r="CC458" s="853"/>
      <c r="CD458" s="853"/>
      <c r="CE458" s="862"/>
      <c r="CF458" s="853"/>
      <c r="CG458" s="853"/>
      <c r="CH458" s="853"/>
      <c r="CI458" s="862"/>
      <c r="CJ458" s="853"/>
      <c r="CK458" s="853"/>
      <c r="CL458" s="853"/>
      <c r="CM458" s="862"/>
      <c r="CN458" s="853"/>
      <c r="CO458" s="853"/>
      <c r="CP458" s="853"/>
      <c r="CQ458" s="862"/>
      <c r="CR458" s="853"/>
      <c r="CS458" s="853"/>
      <c r="CT458" s="853"/>
      <c r="CU458" s="853"/>
      <c r="CV458" s="853"/>
      <c r="CW458" s="853"/>
      <c r="CX458" s="853"/>
      <c r="CY458" s="853"/>
      <c r="CZ458" s="853"/>
      <c r="DA458" s="853"/>
      <c r="DB458" s="853"/>
      <c r="DC458" s="853"/>
      <c r="DD458" s="853"/>
      <c r="DE458" s="853"/>
      <c r="DF458" s="853"/>
      <c r="DG458" s="853"/>
      <c r="DH458" s="853"/>
      <c r="DI458" s="853"/>
      <c r="DJ458" s="853"/>
      <c r="DK458" s="853"/>
      <c r="DL458" s="853"/>
      <c r="DM458" s="853"/>
      <c r="DN458" s="853"/>
      <c r="DO458" s="853"/>
      <c r="DP458" s="853"/>
      <c r="DQ458" s="853"/>
      <c r="DR458" s="853"/>
      <c r="DS458" s="853"/>
      <c r="DT458" s="853"/>
      <c r="DU458" s="853"/>
      <c r="DV458" s="853"/>
      <c r="DW458" s="853"/>
      <c r="DX458" s="853"/>
      <c r="DY458" s="853"/>
      <c r="DZ458" s="853"/>
      <c r="EA458" s="853"/>
      <c r="EB458" s="853"/>
      <c r="EC458" s="853"/>
      <c r="ED458" s="853"/>
      <c r="EE458" s="853"/>
      <c r="EF458" s="853"/>
      <c r="EG458" s="853"/>
      <c r="EH458" s="853"/>
      <c r="EI458" s="853"/>
      <c r="EJ458" s="853"/>
      <c r="EK458" s="853"/>
      <c r="EL458" s="853"/>
      <c r="EM458" s="853"/>
      <c r="EN458" s="853"/>
      <c r="EO458" s="853"/>
      <c r="EP458" s="853"/>
      <c r="JM458"/>
    </row>
    <row r="459" spans="1:273" s="855" customFormat="1">
      <c r="A459" s="102" t="s">
        <v>691</v>
      </c>
      <c r="B459" s="290"/>
      <c r="C459" s="289"/>
      <c r="D459" s="289"/>
      <c r="E459" s="289"/>
      <c r="F459" s="289"/>
      <c r="G459" s="289"/>
      <c r="H459" s="289"/>
      <c r="I459" s="289"/>
      <c r="J459" s="289"/>
      <c r="K459" s="289"/>
      <c r="L459" s="289"/>
      <c r="M459" s="289"/>
      <c r="N459" s="289"/>
      <c r="O459" s="289"/>
      <c r="P459" s="289"/>
      <c r="Q459" s="289"/>
      <c r="R459" s="289"/>
      <c r="S459" s="289"/>
      <c r="T459" s="289"/>
      <c r="U459" s="289"/>
      <c r="V459" s="289"/>
      <c r="W459" s="289"/>
      <c r="X459" s="289"/>
      <c r="Y459" s="289"/>
      <c r="Z459" s="289"/>
      <c r="AA459" s="289"/>
      <c r="AB459" s="289"/>
      <c r="AC459" s="289"/>
      <c r="AD459" s="289"/>
      <c r="AE459" s="289"/>
      <c r="AF459" s="289"/>
      <c r="AG459" s="289"/>
      <c r="AH459" s="289"/>
      <c r="AI459" s="289"/>
      <c r="AJ459" s="289"/>
      <c r="AK459" s="289"/>
      <c r="AL459" s="289"/>
      <c r="AM459" s="289"/>
      <c r="AN459" s="290"/>
      <c r="AO459" s="290"/>
      <c r="AP459" s="290"/>
      <c r="AQ459" s="290"/>
      <c r="AR459" s="290"/>
      <c r="AS459" s="290"/>
      <c r="AT459" s="290"/>
      <c r="AU459" s="290"/>
      <c r="AV459" s="853"/>
      <c r="AW459" s="853"/>
      <c r="AX459" s="853"/>
      <c r="AY459" s="853"/>
      <c r="AZ459" s="853"/>
      <c r="BA459" s="853"/>
      <c r="BB459" s="853"/>
      <c r="BC459" s="853"/>
      <c r="BD459" s="853"/>
      <c r="BE459" s="853"/>
      <c r="BF459" s="853"/>
      <c r="BG459" s="853"/>
      <c r="BH459" s="853"/>
      <c r="BI459" s="853"/>
      <c r="BJ459" s="853"/>
      <c r="BK459" s="853"/>
      <c r="BL459" s="853"/>
      <c r="BM459" s="853"/>
      <c r="BN459" s="853"/>
      <c r="BO459" s="853"/>
      <c r="BP459" s="853"/>
      <c r="BQ459" s="853"/>
      <c r="BR459" s="853"/>
      <c r="BS459" s="853"/>
      <c r="BT459" s="853"/>
      <c r="BU459" s="853"/>
      <c r="BV459" s="853"/>
      <c r="BW459" s="853"/>
      <c r="BX459" s="853"/>
      <c r="BY459" s="853"/>
      <c r="BZ459" s="853"/>
      <c r="CA459" s="853"/>
      <c r="CB459" s="853"/>
      <c r="CC459" s="853"/>
      <c r="CD459" s="853"/>
      <c r="CE459" s="862"/>
      <c r="CF459" s="853"/>
      <c r="CG459" s="853"/>
      <c r="CH459" s="853"/>
      <c r="CI459" s="862"/>
      <c r="CJ459" s="853"/>
      <c r="CK459" s="853"/>
      <c r="CL459" s="853"/>
      <c r="CM459" s="862"/>
      <c r="CN459" s="853"/>
      <c r="CO459" s="853"/>
      <c r="CP459" s="853"/>
      <c r="CQ459" s="862"/>
      <c r="CR459" s="853"/>
      <c r="CS459" s="853"/>
      <c r="CT459" s="853"/>
      <c r="CU459" s="853"/>
      <c r="CV459" s="853"/>
      <c r="CW459" s="853"/>
      <c r="CX459" s="853"/>
      <c r="CY459" s="853"/>
      <c r="CZ459" s="853"/>
      <c r="DA459" s="853"/>
      <c r="DB459" s="853"/>
      <c r="DC459" s="853"/>
      <c r="DD459" s="853"/>
      <c r="DE459" s="853"/>
      <c r="DF459" s="853"/>
      <c r="DG459" s="853"/>
      <c r="DH459" s="853"/>
      <c r="DI459" s="853"/>
      <c r="DJ459" s="853"/>
      <c r="DK459" s="853"/>
      <c r="DL459" s="853"/>
      <c r="DM459" s="853"/>
      <c r="DN459" s="853"/>
      <c r="DO459" s="853"/>
      <c r="DP459" s="853"/>
      <c r="DQ459" s="853"/>
      <c r="DR459" s="853"/>
      <c r="DS459" s="853"/>
      <c r="DT459" s="853"/>
      <c r="DU459" s="853"/>
      <c r="DV459" s="853"/>
      <c r="DW459" s="853"/>
      <c r="DX459" s="853"/>
      <c r="DY459" s="853"/>
      <c r="DZ459" s="853"/>
      <c r="EA459" s="853"/>
      <c r="EB459" s="853"/>
      <c r="EC459" s="853"/>
      <c r="ED459" s="853"/>
      <c r="EE459" s="853"/>
      <c r="EF459" s="853"/>
      <c r="EG459" s="853"/>
      <c r="EH459" s="853"/>
      <c r="EI459" s="853"/>
      <c r="EJ459" s="853"/>
      <c r="EK459" s="853"/>
      <c r="EL459" s="853"/>
      <c r="EM459" s="853"/>
      <c r="EN459" s="853"/>
      <c r="EO459" s="853"/>
      <c r="EP459" s="853"/>
      <c r="JM459"/>
    </row>
    <row r="460" spans="1:273" s="855" customFormat="1">
      <c r="A460" s="289" t="s">
        <v>613</v>
      </c>
      <c r="B460" s="290"/>
      <c r="C460" s="289"/>
      <c r="D460" s="289"/>
      <c r="E460" s="289"/>
      <c r="F460" s="289"/>
      <c r="G460" s="289"/>
      <c r="H460" s="289"/>
      <c r="I460" s="289"/>
      <c r="J460" s="289"/>
      <c r="K460" s="289"/>
      <c r="L460" s="289"/>
      <c r="M460" s="289"/>
      <c r="N460" s="289"/>
      <c r="O460" s="289"/>
      <c r="P460" s="289"/>
      <c r="Q460" s="289"/>
      <c r="R460" s="289"/>
      <c r="S460" s="289"/>
      <c r="T460" s="289"/>
      <c r="U460" s="289"/>
      <c r="V460" s="289"/>
      <c r="W460" s="289"/>
      <c r="X460" s="289"/>
      <c r="Y460" s="289"/>
      <c r="Z460" s="289"/>
      <c r="AA460" s="289"/>
      <c r="AB460" s="289"/>
      <c r="AC460" s="289"/>
      <c r="AD460" s="289"/>
      <c r="AE460" s="289"/>
      <c r="AF460" s="289"/>
      <c r="AG460" s="289"/>
      <c r="AH460" s="289"/>
      <c r="AI460" s="289"/>
      <c r="AJ460" s="289"/>
      <c r="AK460" s="289"/>
      <c r="AL460" s="289"/>
      <c r="AM460" s="289"/>
      <c r="AN460" s="290"/>
      <c r="AO460" s="290"/>
      <c r="AP460" s="290"/>
      <c r="AQ460" s="290"/>
      <c r="AR460" s="290"/>
      <c r="AS460" s="290"/>
      <c r="AT460" s="290"/>
      <c r="AU460" s="290"/>
      <c r="AV460" s="853"/>
      <c r="AW460" s="853"/>
      <c r="AX460" s="853"/>
      <c r="AY460" s="853"/>
      <c r="AZ460" s="853"/>
      <c r="BA460" s="853"/>
      <c r="BB460" s="853"/>
      <c r="BC460" s="853"/>
      <c r="BD460" s="853"/>
      <c r="BE460" s="853"/>
      <c r="BF460" s="853"/>
      <c r="BG460" s="853"/>
      <c r="BH460" s="853"/>
      <c r="BI460" s="853"/>
      <c r="BJ460" s="853"/>
      <c r="BK460" s="853"/>
      <c r="BL460" s="853"/>
      <c r="BM460" s="853"/>
      <c r="BN460" s="853"/>
      <c r="BO460" s="853"/>
      <c r="BP460" s="853"/>
      <c r="BQ460" s="853"/>
      <c r="BR460" s="853"/>
      <c r="BS460" s="853"/>
      <c r="BT460" s="853"/>
      <c r="BU460" s="853"/>
      <c r="BV460" s="853"/>
      <c r="BW460" s="853"/>
      <c r="BX460" s="853"/>
      <c r="BY460" s="853"/>
      <c r="BZ460" s="853"/>
      <c r="CA460" s="853"/>
      <c r="CB460" s="853"/>
      <c r="CC460" s="853"/>
      <c r="CD460" s="853"/>
      <c r="CE460" s="862"/>
      <c r="CF460" s="853"/>
      <c r="CG460" s="853"/>
      <c r="CH460" s="853"/>
      <c r="CI460" s="862"/>
      <c r="CJ460" s="853"/>
      <c r="CK460" s="853"/>
      <c r="CL460" s="853"/>
      <c r="CM460" s="862"/>
      <c r="CN460" s="853"/>
      <c r="CO460" s="853"/>
      <c r="CP460" s="853"/>
      <c r="CQ460" s="862"/>
      <c r="CR460" s="853"/>
      <c r="CS460" s="853"/>
      <c r="CT460" s="853"/>
      <c r="CU460" s="853"/>
      <c r="CV460" s="853"/>
      <c r="CW460" s="853"/>
      <c r="CX460" s="853"/>
      <c r="CY460" s="853"/>
      <c r="CZ460" s="853"/>
      <c r="DA460" s="853"/>
      <c r="DB460" s="853"/>
      <c r="DC460" s="853"/>
      <c r="DD460" s="853"/>
      <c r="DE460" s="853"/>
      <c r="DF460" s="853"/>
      <c r="DG460" s="853"/>
      <c r="DH460" s="853"/>
      <c r="DI460" s="853"/>
      <c r="DJ460" s="853"/>
      <c r="DK460" s="853"/>
      <c r="DL460" s="853"/>
      <c r="DM460" s="853"/>
      <c r="DN460" s="853"/>
      <c r="DO460" s="853"/>
      <c r="DP460" s="853"/>
      <c r="DQ460" s="853"/>
      <c r="DR460" s="853"/>
      <c r="DS460" s="853"/>
      <c r="DT460" s="853"/>
      <c r="DU460" s="853"/>
      <c r="DV460" s="853"/>
      <c r="DW460" s="853"/>
      <c r="DX460" s="853"/>
      <c r="DY460" s="853"/>
      <c r="DZ460" s="853"/>
      <c r="EA460" s="853"/>
      <c r="EB460" s="853"/>
      <c r="EC460" s="853"/>
      <c r="ED460" s="853"/>
      <c r="EE460" s="853"/>
      <c r="EF460" s="853"/>
      <c r="EG460" s="853"/>
      <c r="EH460" s="853"/>
      <c r="EI460" s="853"/>
      <c r="EJ460" s="853"/>
      <c r="EK460" s="853"/>
      <c r="EL460" s="853"/>
      <c r="EM460" s="853"/>
      <c r="EN460" s="853"/>
      <c r="EO460" s="853"/>
      <c r="EP460" s="853"/>
      <c r="JM460"/>
    </row>
    <row r="461" spans="1:273" s="855" customFormat="1">
      <c r="A461" s="289"/>
      <c r="B461" s="290"/>
      <c r="C461" s="289"/>
      <c r="D461" s="289"/>
      <c r="E461" s="289"/>
      <c r="F461" s="289"/>
      <c r="G461" s="289"/>
      <c r="H461" s="289"/>
      <c r="I461" s="289"/>
      <c r="J461" s="289"/>
      <c r="K461" s="289"/>
      <c r="L461" s="289"/>
      <c r="M461" s="289"/>
      <c r="N461" s="289"/>
      <c r="O461" s="289"/>
      <c r="P461" s="289"/>
      <c r="Q461" s="289"/>
      <c r="R461" s="289"/>
      <c r="S461" s="289"/>
      <c r="T461" s="289"/>
      <c r="U461" s="289"/>
      <c r="V461" s="289"/>
      <c r="W461" s="289"/>
      <c r="X461" s="289"/>
      <c r="Y461" s="289"/>
      <c r="Z461" s="289"/>
      <c r="AA461" s="289"/>
      <c r="AB461" s="289"/>
      <c r="AC461" s="289"/>
      <c r="AD461" s="289"/>
      <c r="AE461" s="289"/>
      <c r="AF461" s="289"/>
      <c r="AG461" s="289"/>
      <c r="AH461" s="289"/>
      <c r="AI461" s="289"/>
      <c r="AJ461" s="289"/>
      <c r="AK461" s="289"/>
      <c r="AL461" s="289"/>
      <c r="AM461" s="289"/>
      <c r="AN461" s="290"/>
      <c r="AO461" s="290"/>
      <c r="AP461" s="290"/>
      <c r="AQ461" s="290"/>
      <c r="AR461" s="290"/>
      <c r="AS461" s="290"/>
      <c r="AT461" s="290"/>
      <c r="AU461" s="290"/>
      <c r="AV461" s="853"/>
      <c r="AW461" s="853"/>
      <c r="AX461" s="853"/>
      <c r="AY461" s="853"/>
      <c r="AZ461" s="853"/>
      <c r="BA461" s="853"/>
      <c r="BB461" s="853"/>
      <c r="BC461" s="853"/>
      <c r="BD461" s="853"/>
      <c r="BE461" s="853"/>
      <c r="BF461" s="853"/>
      <c r="BG461" s="853"/>
      <c r="BH461" s="853"/>
      <c r="BI461" s="853"/>
      <c r="BJ461" s="853"/>
      <c r="BK461" s="853"/>
      <c r="BL461" s="853"/>
      <c r="BM461" s="853"/>
      <c r="BN461" s="853"/>
      <c r="BO461" s="853"/>
      <c r="BP461" s="853"/>
      <c r="BQ461" s="853"/>
      <c r="BR461" s="853"/>
      <c r="BS461" s="853"/>
      <c r="BT461" s="853"/>
      <c r="BU461" s="853"/>
      <c r="BV461" s="853"/>
      <c r="BW461" s="853"/>
      <c r="BX461" s="853"/>
      <c r="BY461" s="853"/>
      <c r="BZ461" s="853"/>
      <c r="CA461" s="853"/>
      <c r="CB461" s="853"/>
      <c r="CC461" s="853"/>
      <c r="CD461" s="853"/>
      <c r="CE461" s="862"/>
      <c r="CF461" s="853"/>
      <c r="CG461" s="853"/>
      <c r="CH461" s="853"/>
      <c r="CI461" s="862"/>
      <c r="CJ461" s="853"/>
      <c r="CK461" s="853"/>
      <c r="CL461" s="853"/>
      <c r="CM461" s="862"/>
      <c r="CN461" s="853"/>
      <c r="CO461" s="853"/>
      <c r="CP461" s="853"/>
      <c r="CQ461" s="862"/>
      <c r="CR461" s="853"/>
      <c r="CS461" s="853"/>
      <c r="CT461" s="853"/>
      <c r="CU461" s="853"/>
      <c r="CV461" s="853"/>
      <c r="CW461" s="853"/>
      <c r="CX461" s="853"/>
      <c r="CY461" s="853"/>
      <c r="CZ461" s="853"/>
      <c r="DA461" s="853"/>
      <c r="DB461" s="853"/>
      <c r="DC461" s="853"/>
      <c r="DD461" s="853"/>
      <c r="DE461" s="853"/>
      <c r="DF461" s="853"/>
      <c r="DG461" s="853"/>
      <c r="DH461" s="853"/>
      <c r="DI461" s="853"/>
      <c r="DJ461" s="853"/>
      <c r="DK461" s="853"/>
      <c r="DL461" s="853"/>
      <c r="DM461" s="853"/>
      <c r="DN461" s="853"/>
      <c r="DO461" s="853"/>
      <c r="DP461" s="853"/>
      <c r="DQ461" s="853"/>
      <c r="DR461" s="853"/>
      <c r="DS461" s="853"/>
      <c r="DT461" s="853"/>
      <c r="DU461" s="853"/>
      <c r="DV461" s="853"/>
      <c r="DW461" s="853"/>
      <c r="DX461" s="853"/>
      <c r="DY461" s="853"/>
      <c r="DZ461" s="853"/>
      <c r="EA461" s="853"/>
      <c r="EB461" s="853"/>
      <c r="EC461" s="853"/>
      <c r="ED461" s="853"/>
      <c r="EE461" s="853"/>
      <c r="EF461" s="853"/>
      <c r="EG461" s="853"/>
      <c r="EH461" s="853"/>
      <c r="EI461" s="853"/>
      <c r="EJ461" s="853"/>
      <c r="EK461" s="853"/>
      <c r="EL461" s="853"/>
      <c r="EM461" s="853"/>
      <c r="EN461" s="853"/>
      <c r="EO461" s="853"/>
      <c r="EP461" s="853"/>
      <c r="JM461"/>
    </row>
    <row r="462" spans="1:273" s="855" customFormat="1" ht="15.6">
      <c r="A462" s="2113" t="s">
        <v>621</v>
      </c>
      <c r="B462" s="290"/>
      <c r="C462" s="289"/>
      <c r="D462" s="289"/>
      <c r="E462" s="289"/>
      <c r="F462" s="289"/>
      <c r="G462" s="289"/>
      <c r="H462" s="289"/>
      <c r="I462" s="289"/>
      <c r="J462" s="289"/>
      <c r="K462" s="289"/>
      <c r="L462" s="289"/>
      <c r="M462" s="289"/>
      <c r="N462" s="289"/>
      <c r="O462" s="289"/>
      <c r="P462" s="289"/>
      <c r="Q462" s="289"/>
      <c r="R462" s="289"/>
      <c r="S462" s="289"/>
      <c r="T462" s="289"/>
      <c r="U462" s="289"/>
      <c r="V462" s="289"/>
      <c r="W462" s="289"/>
      <c r="X462" s="289"/>
      <c r="Y462" s="289"/>
      <c r="Z462" s="289"/>
      <c r="AA462" s="289"/>
      <c r="AB462" s="289"/>
      <c r="AC462" s="289"/>
      <c r="AD462" s="289"/>
      <c r="AE462" s="289"/>
      <c r="AF462" s="289"/>
      <c r="AG462" s="289"/>
      <c r="AH462" s="289"/>
      <c r="AI462" s="289"/>
      <c r="AJ462" s="289"/>
      <c r="AK462" s="289"/>
      <c r="AL462" s="289"/>
      <c r="AM462" s="289"/>
      <c r="AN462" s="290"/>
      <c r="AO462" s="290"/>
      <c r="AP462" s="290"/>
      <c r="AQ462" s="290"/>
      <c r="AR462" s="290"/>
      <c r="AS462" s="290"/>
      <c r="AT462" s="950">
        <f>+AT463+AT467</f>
        <v>-1788</v>
      </c>
      <c r="AU462" s="290"/>
      <c r="AV462" s="950">
        <f>+AV463+AV467</f>
        <v>-607</v>
      </c>
      <c r="AW462" s="950">
        <f t="shared" ref="AW462" si="503">+AW463+AW467</f>
        <v>-82</v>
      </c>
      <c r="AX462" s="950">
        <f t="shared" ref="AX462" si="504">+AX463+AX467</f>
        <v>-689</v>
      </c>
      <c r="AY462" s="853"/>
      <c r="AZ462" s="950">
        <f>+AZ463+AZ467</f>
        <v>-127</v>
      </c>
      <c r="BA462" s="950">
        <f t="shared" ref="BA462" si="505">+BA463+BA467</f>
        <v>-133</v>
      </c>
      <c r="BB462" s="950">
        <f t="shared" ref="BB462" si="506">+BB463+BB467</f>
        <v>-260</v>
      </c>
      <c r="BC462" s="853"/>
      <c r="BD462" s="950">
        <f>+BD463+BD467</f>
        <v>-96</v>
      </c>
      <c r="BE462" s="950">
        <f t="shared" ref="BE462" si="507">+BE463+BE467</f>
        <v>-336</v>
      </c>
      <c r="BF462" s="950">
        <f t="shared" ref="BF462" si="508">+BF463+BF467</f>
        <v>-432</v>
      </c>
      <c r="BG462" s="853"/>
      <c r="BH462" s="950">
        <f>+BH463+BH467</f>
        <v>-312</v>
      </c>
      <c r="BI462" s="950">
        <f t="shared" ref="BI462" si="509">+BI463+BI467</f>
        <v>-286</v>
      </c>
      <c r="BJ462" s="950">
        <f t="shared" ref="BJ462" si="510">+BJ463+BJ467</f>
        <v>-598</v>
      </c>
      <c r="BK462" s="853"/>
      <c r="BL462" s="950">
        <f>+BL463+BL467</f>
        <v>-194</v>
      </c>
      <c r="BM462" s="950">
        <f t="shared" ref="BM462" si="511">+BM463+BM467</f>
        <v>-305</v>
      </c>
      <c r="BN462" s="950">
        <f t="shared" ref="BN462" si="512">+BN463+BN467</f>
        <v>-499</v>
      </c>
      <c r="BO462" s="853"/>
      <c r="BP462" s="950">
        <f>+BP463+BP467</f>
        <v>-163</v>
      </c>
      <c r="BQ462" s="950">
        <f t="shared" ref="BQ462" si="513">+BQ463+BQ467</f>
        <v>-618</v>
      </c>
      <c r="BR462" s="950">
        <f t="shared" ref="BR462" si="514">+BR463+BR467</f>
        <v>-781</v>
      </c>
      <c r="BS462" s="853"/>
      <c r="BT462" s="950">
        <f>+BT463+BT467</f>
        <v>-428</v>
      </c>
      <c r="BU462" s="950">
        <f t="shared" ref="BU462" si="515">+BU463+BU467</f>
        <v>-340</v>
      </c>
      <c r="BV462" s="950">
        <f t="shared" ref="BV462" si="516">+BV463+BV467</f>
        <v>-768</v>
      </c>
      <c r="BW462" s="853"/>
      <c r="BX462" s="950">
        <f>+BX463+BX467</f>
        <v>-294</v>
      </c>
      <c r="BY462" s="950">
        <f t="shared" ref="BY462" si="517">+BY463+BY467</f>
        <v>-164</v>
      </c>
      <c r="BZ462" s="950">
        <f t="shared" ref="BZ462" si="518">+BZ463+BZ467</f>
        <v>-458</v>
      </c>
      <c r="CA462" s="853"/>
      <c r="CB462" s="950">
        <f>+CB463+CB467</f>
        <v>-142</v>
      </c>
      <c r="CC462" s="950">
        <f t="shared" ref="CC462:CD462" si="519">+CC463+CC467</f>
        <v>-216</v>
      </c>
      <c r="CD462" s="950">
        <f t="shared" si="519"/>
        <v>-358</v>
      </c>
      <c r="CE462" s="862"/>
      <c r="CF462" s="950">
        <f>+CF463+CF467</f>
        <v>-76</v>
      </c>
      <c r="CG462" s="950">
        <f t="shared" ref="CG462" si="520">+CG463+CG467</f>
        <v>-476</v>
      </c>
      <c r="CH462" s="950">
        <f t="shared" ref="CH462" si="521">+CH463+CH467</f>
        <v>-552</v>
      </c>
      <c r="CI462" s="862"/>
      <c r="CJ462" s="950">
        <f>+CJ463+CJ467</f>
        <v>-139</v>
      </c>
      <c r="CK462" s="950">
        <f t="shared" ref="CK462:CL462" si="522">+CK463+CK467</f>
        <v>-901</v>
      </c>
      <c r="CL462" s="950">
        <f t="shared" si="522"/>
        <v>-1040</v>
      </c>
      <c r="CM462" s="862"/>
      <c r="CN462" s="950">
        <f>+CN463+CN467</f>
        <v>-447</v>
      </c>
      <c r="CO462" s="950">
        <f t="shared" ref="CO462:CP462" si="523">+CO463+CO467</f>
        <v>-77</v>
      </c>
      <c r="CP462" s="950">
        <f t="shared" si="523"/>
        <v>-524</v>
      </c>
      <c r="CQ462" s="862"/>
      <c r="CR462" s="950">
        <f>+CR463+CR467</f>
        <v>-230</v>
      </c>
      <c r="CS462" s="950">
        <f t="shared" ref="CS462:CT462" si="524">+CS463+CS467</f>
        <v>-279</v>
      </c>
      <c r="CT462" s="950">
        <f t="shared" si="524"/>
        <v>-509</v>
      </c>
      <c r="CU462" s="853"/>
      <c r="CV462" s="950">
        <f>+CV463+CV467</f>
        <v>-286</v>
      </c>
      <c r="CW462" s="950">
        <f t="shared" ref="CW462:CX462" si="525">+CW463+CW467</f>
        <v>-168</v>
      </c>
      <c r="CX462" s="950">
        <f t="shared" si="525"/>
        <v>-454</v>
      </c>
      <c r="CY462" s="853"/>
      <c r="CZ462" s="950">
        <f>+CZ463+CZ467</f>
        <v>117</v>
      </c>
      <c r="DA462" s="950">
        <f t="shared" ref="DA462:DB462" si="526">+DA463+DA467</f>
        <v>252</v>
      </c>
      <c r="DB462" s="950">
        <f t="shared" si="526"/>
        <v>369</v>
      </c>
      <c r="DC462" s="853"/>
      <c r="DD462" s="950">
        <f>+DD463+DD467</f>
        <v>-75</v>
      </c>
      <c r="DE462" s="950">
        <f t="shared" ref="DE462:DF462" si="527">+DE463+DE467</f>
        <v>-286</v>
      </c>
      <c r="DF462" s="950">
        <f t="shared" si="527"/>
        <v>-361</v>
      </c>
      <c r="DG462" s="853"/>
      <c r="DH462" s="950">
        <f>+DH463+DH467</f>
        <v>-29</v>
      </c>
      <c r="DI462" s="950">
        <f t="shared" ref="DI462:DJ462" si="528">+DI463+DI467</f>
        <v>-141.61760000000001</v>
      </c>
      <c r="DJ462" s="950">
        <f t="shared" si="528"/>
        <v>-170.61760000000001</v>
      </c>
      <c r="DK462" s="853"/>
      <c r="DL462" s="950">
        <f>+DL463+DL467</f>
        <v>-202.92000000000002</v>
      </c>
      <c r="DM462" s="950">
        <f t="shared" ref="DM462:DN462" si="529">+DM463+DM467</f>
        <v>-218.91200000000001</v>
      </c>
      <c r="DN462" s="950">
        <f t="shared" si="529"/>
        <v>-421.83199999999999</v>
      </c>
      <c r="DO462" s="853"/>
      <c r="DP462" s="950">
        <f>+DP463+DP467</f>
        <v>-210.07679999999999</v>
      </c>
      <c r="DQ462" s="950">
        <f t="shared" ref="DQ462:DR462" si="530">+DQ463+DQ467</f>
        <v>-225.26848000000001</v>
      </c>
      <c r="DR462" s="950">
        <f t="shared" si="530"/>
        <v>-435.34528</v>
      </c>
      <c r="DS462" s="853"/>
      <c r="DT462" s="853"/>
      <c r="DU462" s="853"/>
      <c r="DV462" s="853"/>
      <c r="DW462" s="853"/>
      <c r="DX462" s="853"/>
      <c r="DY462" s="853"/>
      <c r="DZ462" s="853"/>
      <c r="EA462" s="853"/>
      <c r="EB462" s="853"/>
      <c r="EC462" s="853"/>
      <c r="ED462" s="853"/>
      <c r="EE462" s="853"/>
      <c r="EF462" s="853"/>
      <c r="EG462" s="853"/>
      <c r="EH462" s="853"/>
      <c r="EI462" s="853"/>
      <c r="EJ462" s="853"/>
      <c r="EK462" s="853"/>
      <c r="EL462" s="853"/>
      <c r="EM462" s="853"/>
      <c r="EN462" s="853"/>
      <c r="EO462" s="853"/>
      <c r="EP462" s="853"/>
      <c r="JM462"/>
    </row>
    <row r="463" spans="1:273" s="855" customFormat="1">
      <c r="A463" s="102" t="s">
        <v>60</v>
      </c>
      <c r="B463" s="290"/>
      <c r="C463" s="289"/>
      <c r="D463" s="289"/>
      <c r="E463" s="289"/>
      <c r="F463" s="289"/>
      <c r="G463" s="289"/>
      <c r="H463" s="289"/>
      <c r="I463" s="289"/>
      <c r="J463" s="289"/>
      <c r="K463" s="289"/>
      <c r="L463" s="289"/>
      <c r="M463" s="289"/>
      <c r="N463" s="289"/>
      <c r="O463" s="289"/>
      <c r="P463" s="289"/>
      <c r="Q463" s="289"/>
      <c r="R463" s="289"/>
      <c r="S463" s="289"/>
      <c r="T463" s="289"/>
      <c r="U463" s="289"/>
      <c r="V463" s="289"/>
      <c r="W463" s="289"/>
      <c r="X463" s="289"/>
      <c r="Y463" s="289"/>
      <c r="Z463" s="289"/>
      <c r="AA463" s="289"/>
      <c r="AB463" s="289"/>
      <c r="AC463" s="289"/>
      <c r="AD463" s="289"/>
      <c r="AE463" s="289"/>
      <c r="AF463" s="289"/>
      <c r="AG463" s="289"/>
      <c r="AH463" s="289"/>
      <c r="AI463" s="289"/>
      <c r="AJ463" s="289"/>
      <c r="AK463" s="289"/>
      <c r="AL463" s="289"/>
      <c r="AM463" s="289"/>
      <c r="AN463" s="290"/>
      <c r="AO463" s="290"/>
      <c r="AP463" s="290"/>
      <c r="AQ463" s="290"/>
      <c r="AR463" s="290"/>
      <c r="AS463" s="290"/>
      <c r="AT463" s="293">
        <f>AT486</f>
        <v>-500</v>
      </c>
      <c r="AU463" s="290"/>
      <c r="AV463" s="293">
        <f>AV486</f>
        <v>-131</v>
      </c>
      <c r="AW463" s="293">
        <f>AW486</f>
        <v>-85</v>
      </c>
      <c r="AX463" s="293">
        <f t="shared" ref="AX463:AX469" si="531">+AV463+AW463</f>
        <v>-216</v>
      </c>
      <c r="AY463" s="295"/>
      <c r="AZ463" s="293">
        <f>AZ486</f>
        <v>-76</v>
      </c>
      <c r="BA463" s="293">
        <f>BA486</f>
        <v>-56</v>
      </c>
      <c r="BB463" s="293">
        <f t="shared" ref="BB463:BB469" si="532">+AZ463+BA463</f>
        <v>-132</v>
      </c>
      <c r="BC463" s="295"/>
      <c r="BD463" s="293">
        <f>BD486</f>
        <v>-65</v>
      </c>
      <c r="BE463" s="293">
        <f>BE486</f>
        <v>-112</v>
      </c>
      <c r="BF463" s="293">
        <f t="shared" ref="BF463:BF469" si="533">+BD463+BE463</f>
        <v>-177</v>
      </c>
      <c r="BG463" s="295"/>
      <c r="BH463" s="293">
        <f>BH486</f>
        <v>-89</v>
      </c>
      <c r="BI463" s="293">
        <f>BI486</f>
        <v>-99</v>
      </c>
      <c r="BJ463" s="293">
        <f t="shared" ref="BJ463:BJ469" si="534">+BH463+BI463</f>
        <v>-188</v>
      </c>
      <c r="BK463" s="295"/>
      <c r="BL463" s="293">
        <f>BL486</f>
        <v>-90</v>
      </c>
      <c r="BM463" s="293">
        <f>BM486</f>
        <v>-142</v>
      </c>
      <c r="BN463" s="293">
        <f t="shared" ref="BN463:BN469" si="535">+BL463+BM463</f>
        <v>-232</v>
      </c>
      <c r="BO463" s="295"/>
      <c r="BP463" s="293">
        <f>BP486</f>
        <v>-99</v>
      </c>
      <c r="BQ463" s="293">
        <f>BQ486</f>
        <v>-351</v>
      </c>
      <c r="BR463" s="293">
        <f t="shared" ref="BR463:BR469" si="536">+BP463+BQ463</f>
        <v>-450</v>
      </c>
      <c r="BS463" s="295"/>
      <c r="BT463" s="293">
        <f>BT486</f>
        <v>-258</v>
      </c>
      <c r="BU463" s="293">
        <f>BU486</f>
        <v>-261</v>
      </c>
      <c r="BV463" s="293">
        <f t="shared" ref="BV463:BV469" si="537">+BT463+BU463</f>
        <v>-519</v>
      </c>
      <c r="BW463" s="295"/>
      <c r="BX463" s="293">
        <f>BX486</f>
        <v>-172</v>
      </c>
      <c r="BY463" s="293">
        <f>BY486</f>
        <v>-130</v>
      </c>
      <c r="BZ463" s="293">
        <f t="shared" ref="BZ463:BZ469" si="538">+BX463+BY463</f>
        <v>-302</v>
      </c>
      <c r="CA463" s="295"/>
      <c r="CB463" s="293">
        <f>CB486</f>
        <v>-142</v>
      </c>
      <c r="CC463" s="293">
        <f>CC486</f>
        <v>-216</v>
      </c>
      <c r="CD463" s="293">
        <f t="shared" ref="CD463:CD469" si="539">+CB463+CC463</f>
        <v>-358</v>
      </c>
      <c r="CE463" s="791"/>
      <c r="CF463" s="293">
        <f>CF486</f>
        <v>-76</v>
      </c>
      <c r="CG463" s="293">
        <f>CG486</f>
        <v>-461</v>
      </c>
      <c r="CH463" s="293">
        <f t="shared" ref="CH463:CH469" si="540">+CF463+CG463</f>
        <v>-537</v>
      </c>
      <c r="CI463" s="791"/>
      <c r="CJ463" s="293">
        <f>CJ486</f>
        <v>-139</v>
      </c>
      <c r="CK463" s="293">
        <f>CK486</f>
        <v>-901</v>
      </c>
      <c r="CL463" s="293">
        <f t="shared" ref="CL463:CL469" si="541">+CJ463+CK463</f>
        <v>-1040</v>
      </c>
      <c r="CM463" s="791"/>
      <c r="CN463" s="293">
        <f>CN486</f>
        <v>-447</v>
      </c>
      <c r="CO463" s="293">
        <f>CO486</f>
        <v>-77</v>
      </c>
      <c r="CP463" s="293">
        <f t="shared" ref="CP463:CP469" si="542">+CN463+CO463</f>
        <v>-524</v>
      </c>
      <c r="CQ463" s="791"/>
      <c r="CR463" s="293">
        <f>CR486</f>
        <v>-230</v>
      </c>
      <c r="CS463" s="293">
        <f>CS486</f>
        <v>-279</v>
      </c>
      <c r="CT463" s="293">
        <f t="shared" ref="CT463:CT469" si="543">+CR463+CS463</f>
        <v>-509</v>
      </c>
      <c r="CU463" s="295"/>
      <c r="CV463" s="293">
        <f>CV486</f>
        <v>-286</v>
      </c>
      <c r="CW463" s="293">
        <f>CW486</f>
        <v>-168</v>
      </c>
      <c r="CX463" s="293">
        <f t="shared" ref="CX463:CX469" si="544">+CV463+CW463</f>
        <v>-454</v>
      </c>
      <c r="CY463" s="295"/>
      <c r="CZ463" s="293">
        <f>CZ486</f>
        <v>117</v>
      </c>
      <c r="DA463" s="293">
        <f>DA486</f>
        <v>252</v>
      </c>
      <c r="DB463" s="293">
        <f t="shared" ref="DB463:DB469" si="545">+CZ463+DA463</f>
        <v>369</v>
      </c>
      <c r="DC463" s="295"/>
      <c r="DD463" s="293">
        <f>DD486</f>
        <v>-75</v>
      </c>
      <c r="DE463" s="293">
        <f>DE486</f>
        <v>-286</v>
      </c>
      <c r="DF463" s="293">
        <f t="shared" ref="DF463:DF469" si="546">+DD463+DE463</f>
        <v>-361</v>
      </c>
      <c r="DG463" s="295"/>
      <c r="DH463" s="293">
        <f>DH486</f>
        <v>-29</v>
      </c>
      <c r="DI463" s="293">
        <f>DI486</f>
        <v>-141.61760000000001</v>
      </c>
      <c r="DJ463" s="293">
        <f t="shared" ref="DJ463:DJ469" si="547">+DH463+DI463</f>
        <v>-170.61760000000001</v>
      </c>
      <c r="DK463" s="295"/>
      <c r="DL463" s="293">
        <f>DL486</f>
        <v>-202.92000000000002</v>
      </c>
      <c r="DM463" s="293">
        <f>DM486</f>
        <v>-218.91200000000001</v>
      </c>
      <c r="DN463" s="293">
        <f t="shared" ref="DN463:DN469" si="548">+DL463+DM463</f>
        <v>-421.83199999999999</v>
      </c>
      <c r="DO463" s="293"/>
      <c r="DP463" s="293">
        <f>DP486</f>
        <v>-210.07679999999999</v>
      </c>
      <c r="DQ463" s="293">
        <f>DQ486</f>
        <v>-225.26848000000001</v>
      </c>
      <c r="DR463" s="293">
        <f t="shared" ref="DR463:DR469" si="549">+DP463+DQ463</f>
        <v>-435.34528</v>
      </c>
      <c r="DS463" s="293"/>
      <c r="DT463" s="295"/>
      <c r="DU463" s="293"/>
      <c r="DV463" s="293"/>
      <c r="DW463" s="293"/>
      <c r="DX463" s="293"/>
      <c r="DY463" s="295"/>
      <c r="DZ463" s="293"/>
      <c r="EA463" s="293"/>
      <c r="EB463" s="293"/>
      <c r="EC463" s="295"/>
      <c r="ED463" s="293"/>
      <c r="EE463" s="293"/>
      <c r="EF463" s="293"/>
      <c r="EG463" s="295"/>
      <c r="EH463" s="295"/>
      <c r="EI463" s="295"/>
      <c r="EJ463" s="295"/>
      <c r="EK463" s="295"/>
      <c r="EL463" s="295"/>
      <c r="EM463" s="295"/>
      <c r="EN463" s="295"/>
      <c r="EO463" s="295"/>
      <c r="EP463" s="295"/>
      <c r="EQ463" s="327"/>
      <c r="ER463" s="327"/>
      <c r="ES463" s="327"/>
      <c r="ET463" s="327"/>
      <c r="JM463"/>
    </row>
    <row r="464" spans="1:273" s="855" customFormat="1">
      <c r="A464" s="102" t="s">
        <v>726</v>
      </c>
      <c r="B464" s="290"/>
      <c r="C464" s="289"/>
      <c r="D464" s="289"/>
      <c r="E464" s="289"/>
      <c r="F464" s="289"/>
      <c r="G464" s="289"/>
      <c r="H464" s="289"/>
      <c r="I464" s="289"/>
      <c r="J464" s="289"/>
      <c r="K464" s="289"/>
      <c r="L464" s="289"/>
      <c r="M464" s="289"/>
      <c r="N464" s="289"/>
      <c r="O464" s="289"/>
      <c r="P464" s="289"/>
      <c r="Q464" s="289"/>
      <c r="R464" s="289"/>
      <c r="S464" s="289"/>
      <c r="T464" s="289"/>
      <c r="U464" s="289"/>
      <c r="V464" s="289"/>
      <c r="W464" s="289"/>
      <c r="X464" s="289"/>
      <c r="Y464" s="289"/>
      <c r="Z464" s="289"/>
      <c r="AA464" s="289"/>
      <c r="AB464" s="289"/>
      <c r="AC464" s="289"/>
      <c r="AD464" s="289"/>
      <c r="AE464" s="289"/>
      <c r="AF464" s="289"/>
      <c r="AG464" s="289"/>
      <c r="AH464" s="289"/>
      <c r="AI464" s="289"/>
      <c r="AJ464" s="289"/>
      <c r="AK464" s="289"/>
      <c r="AL464" s="289"/>
      <c r="AM464" s="289"/>
      <c r="AN464" s="290"/>
      <c r="AO464" s="290"/>
      <c r="AP464" s="290"/>
      <c r="AQ464" s="290"/>
      <c r="AR464" s="290"/>
      <c r="AS464" s="290"/>
      <c r="AT464" s="290"/>
      <c r="AU464" s="290"/>
      <c r="AV464" s="293">
        <f>AV481</f>
        <v>71</v>
      </c>
      <c r="AW464" s="293">
        <f>AW481</f>
        <v>63</v>
      </c>
      <c r="AX464" s="293">
        <f t="shared" si="531"/>
        <v>134</v>
      </c>
      <c r="AY464" s="295"/>
      <c r="AZ464" s="293">
        <f>AZ481</f>
        <v>71</v>
      </c>
      <c r="BA464" s="293">
        <f>BA481</f>
        <v>172</v>
      </c>
      <c r="BB464" s="293">
        <f t="shared" si="532"/>
        <v>243</v>
      </c>
      <c r="BC464" s="295"/>
      <c r="BD464" s="293">
        <f>BD481</f>
        <v>183</v>
      </c>
      <c r="BE464" s="293">
        <f>BE481</f>
        <v>198</v>
      </c>
      <c r="BF464" s="293">
        <f t="shared" si="533"/>
        <v>381</v>
      </c>
      <c r="BG464" s="295"/>
      <c r="BH464" s="293">
        <f>BH481</f>
        <v>203</v>
      </c>
      <c r="BI464" s="293">
        <f>BI481</f>
        <v>212</v>
      </c>
      <c r="BJ464" s="293">
        <f t="shared" si="534"/>
        <v>415</v>
      </c>
      <c r="BK464" s="295"/>
      <c r="BL464" s="293">
        <f>BL481</f>
        <v>255</v>
      </c>
      <c r="BM464" s="293">
        <f>BM481</f>
        <v>265</v>
      </c>
      <c r="BN464" s="293">
        <f t="shared" si="535"/>
        <v>520</v>
      </c>
      <c r="BO464" s="295"/>
      <c r="BP464" s="293">
        <f>BP481</f>
        <v>265</v>
      </c>
      <c r="BQ464" s="293">
        <f>BQ481</f>
        <v>296</v>
      </c>
      <c r="BR464" s="293">
        <f t="shared" si="536"/>
        <v>561</v>
      </c>
      <c r="BS464" s="295"/>
      <c r="BT464" s="293">
        <f>BT481</f>
        <v>397</v>
      </c>
      <c r="BU464" s="293">
        <f>BU481</f>
        <v>483</v>
      </c>
      <c r="BV464" s="293">
        <f t="shared" si="537"/>
        <v>880</v>
      </c>
      <c r="BW464" s="295"/>
      <c r="BX464" s="293">
        <f>BX481</f>
        <v>476</v>
      </c>
      <c r="BY464" s="293">
        <f>BY481</f>
        <v>445</v>
      </c>
      <c r="BZ464" s="293">
        <f t="shared" si="538"/>
        <v>921</v>
      </c>
      <c r="CA464" s="295"/>
      <c r="CB464" s="293">
        <f>CB481</f>
        <v>469</v>
      </c>
      <c r="CC464" s="293">
        <f>CC481</f>
        <v>466</v>
      </c>
      <c r="CD464" s="293">
        <f t="shared" si="539"/>
        <v>935</v>
      </c>
      <c r="CE464" s="791"/>
      <c r="CF464" s="293">
        <f>CF481</f>
        <v>461</v>
      </c>
      <c r="CG464" s="293">
        <f>CG481</f>
        <v>489</v>
      </c>
      <c r="CH464" s="293">
        <f t="shared" si="540"/>
        <v>950</v>
      </c>
      <c r="CI464" s="791"/>
      <c r="CJ464" s="293">
        <f>CJ481</f>
        <v>461</v>
      </c>
      <c r="CK464" s="293">
        <f>CK481</f>
        <v>284</v>
      </c>
      <c r="CL464" s="293">
        <f t="shared" si="541"/>
        <v>745</v>
      </c>
      <c r="CM464" s="791"/>
      <c r="CN464" s="293">
        <f>CN481</f>
        <v>245</v>
      </c>
      <c r="CO464" s="293">
        <f>CO481</f>
        <v>221</v>
      </c>
      <c r="CP464" s="293">
        <f t="shared" si="542"/>
        <v>466</v>
      </c>
      <c r="CQ464" s="791"/>
      <c r="CR464" s="293">
        <f>CR481</f>
        <v>186</v>
      </c>
      <c r="CS464" s="293">
        <f>CS481</f>
        <v>216</v>
      </c>
      <c r="CT464" s="293">
        <f t="shared" si="543"/>
        <v>402</v>
      </c>
      <c r="CU464" s="295"/>
      <c r="CV464" s="293">
        <f>CV481</f>
        <v>174</v>
      </c>
      <c r="CW464" s="293">
        <f>CW481</f>
        <v>203</v>
      </c>
      <c r="CX464" s="293">
        <f t="shared" si="544"/>
        <v>377</v>
      </c>
      <c r="CY464" s="295"/>
      <c r="CZ464" s="293">
        <f>CZ481</f>
        <v>213</v>
      </c>
      <c r="DA464" s="293">
        <f>DA481</f>
        <v>218</v>
      </c>
      <c r="DB464" s="293">
        <f t="shared" si="545"/>
        <v>431</v>
      </c>
      <c r="DC464" s="295"/>
      <c r="DD464" s="293">
        <f>DD481</f>
        <v>211</v>
      </c>
      <c r="DE464" s="293">
        <f>DE481</f>
        <v>207</v>
      </c>
      <c r="DF464" s="293">
        <f t="shared" si="546"/>
        <v>418</v>
      </c>
      <c r="DG464" s="295"/>
      <c r="DH464" s="293">
        <f>DH481</f>
        <v>216</v>
      </c>
      <c r="DI464" s="293">
        <f>DI481</f>
        <v>240.11999999999998</v>
      </c>
      <c r="DJ464" s="293">
        <f t="shared" si="547"/>
        <v>456.12</v>
      </c>
      <c r="DK464" s="295"/>
      <c r="DL464" s="293">
        <f>DL481</f>
        <v>252.71999999999997</v>
      </c>
      <c r="DM464" s="293">
        <f>DM481</f>
        <v>268.93439999999998</v>
      </c>
      <c r="DN464" s="293">
        <f t="shared" si="548"/>
        <v>521.6543999999999</v>
      </c>
      <c r="DO464" s="293"/>
      <c r="DP464" s="293">
        <f>DP481</f>
        <v>283.04640000000001</v>
      </c>
      <c r="DQ464" s="293">
        <f>DQ481</f>
        <v>301.20652799999999</v>
      </c>
      <c r="DR464" s="293">
        <f t="shared" si="549"/>
        <v>584.252928</v>
      </c>
      <c r="DS464" s="293"/>
      <c r="DT464" s="295"/>
      <c r="DU464" s="293"/>
      <c r="DV464" s="293"/>
      <c r="DW464" s="293"/>
      <c r="DX464" s="293"/>
      <c r="DY464" s="295"/>
      <c r="DZ464" s="293"/>
      <c r="EA464" s="293"/>
      <c r="EB464" s="293"/>
      <c r="EC464" s="295"/>
      <c r="ED464" s="293"/>
      <c r="EE464" s="293"/>
      <c r="EF464" s="293"/>
      <c r="EG464" s="295"/>
      <c r="EH464" s="295"/>
      <c r="EI464" s="295"/>
      <c r="EJ464" s="295"/>
      <c r="EK464" s="295"/>
      <c r="EL464" s="295"/>
      <c r="EM464" s="295"/>
      <c r="EN464" s="295"/>
      <c r="EO464" s="295"/>
      <c r="EP464" s="295"/>
      <c r="EQ464" s="327"/>
      <c r="ER464" s="327"/>
      <c r="ES464" s="327"/>
      <c r="ET464" s="327"/>
      <c r="JM464"/>
    </row>
    <row r="465" spans="1:273" s="855" customFormat="1">
      <c r="A465" s="102" t="s">
        <v>13</v>
      </c>
      <c r="B465" s="290"/>
      <c r="C465" s="289"/>
      <c r="D465" s="289"/>
      <c r="E465" s="289"/>
      <c r="F465" s="289"/>
      <c r="G465" s="289"/>
      <c r="H465" s="289"/>
      <c r="I465" s="289"/>
      <c r="J465" s="289"/>
      <c r="K465" s="289"/>
      <c r="L465" s="289"/>
      <c r="M465" s="289"/>
      <c r="N465" s="289"/>
      <c r="O465" s="289"/>
      <c r="P465" s="289"/>
      <c r="Q465" s="289"/>
      <c r="R465" s="289"/>
      <c r="S465" s="289"/>
      <c r="T465" s="289"/>
      <c r="U465" s="289"/>
      <c r="V465" s="289"/>
      <c r="W465" s="289"/>
      <c r="X465" s="289"/>
      <c r="Y465" s="289"/>
      <c r="Z465" s="289"/>
      <c r="AA465" s="289"/>
      <c r="AB465" s="289"/>
      <c r="AC465" s="289"/>
      <c r="AD465" s="289"/>
      <c r="AE465" s="289"/>
      <c r="AF465" s="289"/>
      <c r="AG465" s="289"/>
      <c r="AH465" s="289"/>
      <c r="AI465" s="289"/>
      <c r="AJ465" s="289"/>
      <c r="AK465" s="289"/>
      <c r="AL465" s="289"/>
      <c r="AM465" s="289"/>
      <c r="AN465" s="290"/>
      <c r="AO465" s="290"/>
      <c r="AP465" s="290"/>
      <c r="AQ465" s="290"/>
      <c r="AR465" s="290"/>
      <c r="AS465" s="290"/>
      <c r="AT465" s="290"/>
      <c r="AU465" s="290"/>
      <c r="AV465" s="293">
        <f>AV487</f>
        <v>0</v>
      </c>
      <c r="AW465" s="293">
        <f>AW487</f>
        <v>0</v>
      </c>
      <c r="AX465" s="293">
        <f t="shared" si="531"/>
        <v>0</v>
      </c>
      <c r="AY465" s="295"/>
      <c r="AZ465" s="293">
        <f>AZ487</f>
        <v>48</v>
      </c>
      <c r="BA465" s="293">
        <f>BA487</f>
        <v>35</v>
      </c>
      <c r="BB465" s="293">
        <f t="shared" si="532"/>
        <v>83</v>
      </c>
      <c r="BC465" s="295"/>
      <c r="BD465" s="293">
        <f>BD487</f>
        <v>65</v>
      </c>
      <c r="BE465" s="293">
        <f>BE487</f>
        <v>337</v>
      </c>
      <c r="BF465" s="293">
        <f t="shared" si="533"/>
        <v>402</v>
      </c>
      <c r="BG465" s="295"/>
      <c r="BH465" s="293">
        <f>BH487</f>
        <v>42</v>
      </c>
      <c r="BI465" s="293">
        <f>BI487</f>
        <v>39</v>
      </c>
      <c r="BJ465" s="293">
        <f t="shared" si="534"/>
        <v>81</v>
      </c>
      <c r="BK465" s="295"/>
      <c r="BL465" s="293">
        <f>BL487</f>
        <v>52</v>
      </c>
      <c r="BM465" s="293">
        <f>BM487</f>
        <v>36</v>
      </c>
      <c r="BN465" s="293">
        <f t="shared" si="535"/>
        <v>88</v>
      </c>
      <c r="BO465" s="295"/>
      <c r="BP465" s="293">
        <f>BP487</f>
        <v>2</v>
      </c>
      <c r="BQ465" s="293">
        <f>BQ487</f>
        <v>0</v>
      </c>
      <c r="BR465" s="293">
        <f t="shared" si="536"/>
        <v>2</v>
      </c>
      <c r="BS465" s="295"/>
      <c r="BT465" s="293">
        <f>BT487</f>
        <v>0</v>
      </c>
      <c r="BU465" s="293">
        <f>BU487</f>
        <v>0</v>
      </c>
      <c r="BV465" s="293">
        <f t="shared" si="537"/>
        <v>0</v>
      </c>
      <c r="BW465" s="295"/>
      <c r="BX465" s="293">
        <f>BX487</f>
        <v>0</v>
      </c>
      <c r="BY465" s="293">
        <f>BY487</f>
        <v>0</v>
      </c>
      <c r="BZ465" s="293">
        <f t="shared" si="538"/>
        <v>0</v>
      </c>
      <c r="CA465" s="295"/>
      <c r="CB465" s="293">
        <f>CB487</f>
        <v>0</v>
      </c>
      <c r="CC465" s="293">
        <f>CC487</f>
        <v>0</v>
      </c>
      <c r="CD465" s="293">
        <f t="shared" si="539"/>
        <v>0</v>
      </c>
      <c r="CE465" s="791"/>
      <c r="CF465" s="293">
        <f>CF487</f>
        <v>0</v>
      </c>
      <c r="CG465" s="293">
        <f>CG487</f>
        <v>0</v>
      </c>
      <c r="CH465" s="293">
        <f t="shared" si="540"/>
        <v>0</v>
      </c>
      <c r="CI465" s="791"/>
      <c r="CJ465" s="293">
        <f>CJ487</f>
        <v>0</v>
      </c>
      <c r="CK465" s="293">
        <f>CK487</f>
        <v>0</v>
      </c>
      <c r="CL465" s="293">
        <f t="shared" si="541"/>
        <v>0</v>
      </c>
      <c r="CM465" s="791"/>
      <c r="CN465" s="293">
        <f>CN487</f>
        <v>0</v>
      </c>
      <c r="CO465" s="293">
        <f>CO487</f>
        <v>0</v>
      </c>
      <c r="CP465" s="293">
        <f t="shared" si="542"/>
        <v>0</v>
      </c>
      <c r="CQ465" s="791"/>
      <c r="CR465" s="293">
        <f>CR487</f>
        <v>0</v>
      </c>
      <c r="CS465" s="293">
        <f>CS487</f>
        <v>0</v>
      </c>
      <c r="CT465" s="293">
        <f t="shared" si="543"/>
        <v>0</v>
      </c>
      <c r="CU465" s="295"/>
      <c r="CV465" s="293">
        <f>CV487</f>
        <v>0</v>
      </c>
      <c r="CW465" s="293">
        <f>CW487</f>
        <v>0</v>
      </c>
      <c r="CX465" s="293">
        <f t="shared" si="544"/>
        <v>0</v>
      </c>
      <c r="CY465" s="295"/>
      <c r="CZ465" s="293">
        <f>CZ487</f>
        <v>0</v>
      </c>
      <c r="DA465" s="293">
        <f>DA487</f>
        <v>0</v>
      </c>
      <c r="DB465" s="293">
        <f t="shared" si="545"/>
        <v>0</v>
      </c>
      <c r="DC465" s="295"/>
      <c r="DD465" s="293">
        <f>DD487</f>
        <v>0</v>
      </c>
      <c r="DE465" s="293">
        <f>DE487</f>
        <v>0</v>
      </c>
      <c r="DF465" s="293">
        <f t="shared" si="546"/>
        <v>0</v>
      </c>
      <c r="DG465" s="295"/>
      <c r="DH465" s="293">
        <f>DH487</f>
        <v>0</v>
      </c>
      <c r="DI465" s="293">
        <f>DI487</f>
        <v>0</v>
      </c>
      <c r="DJ465" s="293">
        <f t="shared" si="547"/>
        <v>0</v>
      </c>
      <c r="DK465" s="295"/>
      <c r="DL465" s="293">
        <f>DL487</f>
        <v>0</v>
      </c>
      <c r="DM465" s="293">
        <f>DM487</f>
        <v>0</v>
      </c>
      <c r="DN465" s="293">
        <f t="shared" si="548"/>
        <v>0</v>
      </c>
      <c r="DO465" s="293"/>
      <c r="DP465" s="293">
        <f>DP487</f>
        <v>0</v>
      </c>
      <c r="DQ465" s="293">
        <f>DQ487</f>
        <v>0</v>
      </c>
      <c r="DR465" s="293">
        <f t="shared" si="549"/>
        <v>0</v>
      </c>
      <c r="DS465" s="293"/>
      <c r="DT465" s="295"/>
      <c r="DU465" s="293"/>
      <c r="DV465" s="293"/>
      <c r="DW465" s="293"/>
      <c r="DX465" s="293"/>
      <c r="DY465" s="295"/>
      <c r="DZ465" s="293"/>
      <c r="EA465" s="293"/>
      <c r="EB465" s="293"/>
      <c r="EC465" s="295"/>
      <c r="ED465" s="293"/>
      <c r="EE465" s="293"/>
      <c r="EF465" s="293"/>
      <c r="EG465" s="295"/>
      <c r="EH465" s="295"/>
      <c r="EI465" s="295"/>
      <c r="EJ465" s="295"/>
      <c r="EK465" s="295"/>
      <c r="EL465" s="295"/>
      <c r="EM465" s="295"/>
      <c r="EN465" s="295"/>
      <c r="EO465" s="295"/>
      <c r="EP465" s="295"/>
      <c r="EQ465" s="327"/>
      <c r="ER465" s="327"/>
      <c r="ES465" s="327"/>
      <c r="ET465" s="327"/>
      <c r="JM465"/>
    </row>
    <row r="466" spans="1:273" s="855" customFormat="1">
      <c r="A466" s="289" t="s">
        <v>910</v>
      </c>
      <c r="B466" s="290"/>
      <c r="C466" s="289"/>
      <c r="D466" s="289"/>
      <c r="E466" s="289"/>
      <c r="F466" s="289"/>
      <c r="G466" s="289"/>
      <c r="H466" s="289"/>
      <c r="I466" s="289"/>
      <c r="J466" s="289"/>
      <c r="K466" s="289"/>
      <c r="L466" s="289"/>
      <c r="M466" s="289"/>
      <c r="N466" s="289"/>
      <c r="O466" s="289"/>
      <c r="P466" s="289"/>
      <c r="Q466" s="289"/>
      <c r="R466" s="289"/>
      <c r="S466" s="289"/>
      <c r="T466" s="289"/>
      <c r="U466" s="289"/>
      <c r="V466" s="289"/>
      <c r="W466" s="289"/>
      <c r="X466" s="289"/>
      <c r="Y466" s="289"/>
      <c r="Z466" s="289"/>
      <c r="AA466" s="289"/>
      <c r="AB466" s="289"/>
      <c r="AC466" s="289"/>
      <c r="AD466" s="289"/>
      <c r="AE466" s="289"/>
      <c r="AF466" s="289"/>
      <c r="AG466" s="289"/>
      <c r="AH466" s="289"/>
      <c r="AI466" s="289"/>
      <c r="AJ466" s="289"/>
      <c r="AK466" s="289"/>
      <c r="AL466" s="289"/>
      <c r="AM466" s="289"/>
      <c r="AN466" s="290"/>
      <c r="AO466" s="290"/>
      <c r="AP466" s="290"/>
      <c r="AQ466" s="290"/>
      <c r="AR466" s="290"/>
      <c r="AS466" s="290"/>
      <c r="AT466" s="295">
        <f>AT476+AT477+AT480+AT482+AT483+AT488+AT484+AT485</f>
        <v>649</v>
      </c>
      <c r="AU466" s="290"/>
      <c r="AV466" s="295">
        <f>AV476+AV477+AV480+AV482+AV483+AV488+AV484+AV485</f>
        <v>751</v>
      </c>
      <c r="AW466" s="295">
        <f>AW476+AW477+AW480+AW482+AW483+AW488+AW484+AW485</f>
        <v>274</v>
      </c>
      <c r="AX466" s="295">
        <f t="shared" si="531"/>
        <v>1025</v>
      </c>
      <c r="AY466" s="295"/>
      <c r="AZ466" s="295">
        <f>AZ476+AZ477+AZ480+AZ482+AZ483+AZ488+AZ484+AZ485</f>
        <v>144</v>
      </c>
      <c r="BA466" s="295">
        <f>BA476+BA477+BA480+BA482+BA483+BA488+BA484+BA485</f>
        <v>209</v>
      </c>
      <c r="BB466" s="295">
        <f t="shared" si="532"/>
        <v>353</v>
      </c>
      <c r="BC466" s="295"/>
      <c r="BD466" s="295">
        <f>BD476+BD477+BD480+BD482+BD483+BD488+BD484+BD485</f>
        <v>91</v>
      </c>
      <c r="BE466" s="295">
        <f>BE476+BE477+BE480+BE482+BE483+BE488+BE484+BE485</f>
        <v>333</v>
      </c>
      <c r="BF466" s="295">
        <f t="shared" si="533"/>
        <v>424</v>
      </c>
      <c r="BG466" s="295"/>
      <c r="BH466" s="295">
        <f>BH476+BH477+BH480+BH482+BH483+BH488+BH484+BH485</f>
        <v>84</v>
      </c>
      <c r="BI466" s="295">
        <f>BI476+BI477+BI480+BI482+BI483+BI488+BI484+BI485</f>
        <v>331</v>
      </c>
      <c r="BJ466" s="295">
        <f t="shared" si="534"/>
        <v>415</v>
      </c>
      <c r="BK466" s="295"/>
      <c r="BL466" s="295">
        <f>BL476+BL477+BL480+BL482+BL483+BL488+BL484+BL485</f>
        <v>99</v>
      </c>
      <c r="BM466" s="295">
        <f>BM476+BM477+BM480+BM482+BM483+BM488+BM484+BM485</f>
        <v>387</v>
      </c>
      <c r="BN466" s="295">
        <f t="shared" si="535"/>
        <v>486</v>
      </c>
      <c r="BO466" s="295"/>
      <c r="BP466" s="295">
        <f>BP476+BP477+BP480+BP482+BP483+BP488+BP484+BP485</f>
        <v>193</v>
      </c>
      <c r="BQ466" s="295">
        <f>BQ476+BQ477+BQ480+BQ482+BQ483+BQ488+BQ484+BQ485</f>
        <v>301</v>
      </c>
      <c r="BR466" s="295">
        <f t="shared" si="536"/>
        <v>494</v>
      </c>
      <c r="BS466" s="295"/>
      <c r="BT466" s="295">
        <f>BT476+BT477+BT480+BT482+BT483+BT488+BT484+BT485</f>
        <v>245</v>
      </c>
      <c r="BU466" s="295">
        <f>BU476+BU477+BU480+BU482+BU483+BU488+BU484+BU485</f>
        <v>348</v>
      </c>
      <c r="BV466" s="295">
        <f t="shared" si="537"/>
        <v>593</v>
      </c>
      <c r="BW466" s="295"/>
      <c r="BX466" s="295">
        <f>BX476+BX477+BX480+BX482+BX483+BX488+BX484+BX485</f>
        <v>841</v>
      </c>
      <c r="BY466" s="295">
        <f>BY476+BY477+BY480+BY482+BY483+BY488+BY484+BY485</f>
        <v>503</v>
      </c>
      <c r="BZ466" s="295">
        <f t="shared" si="538"/>
        <v>1344</v>
      </c>
      <c r="CA466" s="295"/>
      <c r="CB466" s="295">
        <f>CB476+CB477+CB480+CB482+CB483+CB488+CB484+CB485</f>
        <v>452</v>
      </c>
      <c r="CC466" s="295">
        <f>CC476+CC477+CC480+CC482+CC483+CC488+CC484+CC485</f>
        <v>830</v>
      </c>
      <c r="CD466" s="295">
        <f t="shared" si="539"/>
        <v>1282</v>
      </c>
      <c r="CE466" s="791"/>
      <c r="CF466" s="295">
        <f>CF476+CF477+CF480+CF482+CF483+CF488+CF484+CF485</f>
        <v>473</v>
      </c>
      <c r="CG466" s="295">
        <f>CG476+CG477+CG480+CG482+CG483+CG488+CG484+CG485</f>
        <v>1601</v>
      </c>
      <c r="CH466" s="295">
        <f t="shared" si="540"/>
        <v>2074</v>
      </c>
      <c r="CI466" s="791"/>
      <c r="CJ466" s="295">
        <f>CJ476+CJ477+CJ480+CJ482+CJ483+CJ488+CJ484+CJ485</f>
        <v>651</v>
      </c>
      <c r="CK466" s="295">
        <f>CK476+CK477+CK480+CK482+CK483+CK488+CK484+CK485</f>
        <v>1010</v>
      </c>
      <c r="CL466" s="295">
        <f t="shared" si="541"/>
        <v>1661</v>
      </c>
      <c r="CM466" s="791"/>
      <c r="CN466" s="295">
        <f>CN476+CN477+CN480+CN482+CN483+CN488+CN484+CN485</f>
        <v>603</v>
      </c>
      <c r="CO466" s="295">
        <f>CO476+CO477+CO480+CO482+CO483+CO488+CO484+CO485</f>
        <v>1311</v>
      </c>
      <c r="CP466" s="295">
        <f t="shared" si="542"/>
        <v>1914</v>
      </c>
      <c r="CQ466" s="791"/>
      <c r="CR466" s="295">
        <f>CR476+CR477+CR480+CR482+CR483+CR488+CR484+CR485</f>
        <v>985</v>
      </c>
      <c r="CS466" s="295">
        <f>CS476+CS477+CS480+CS482+CS483+CS488+CS484+CS485</f>
        <v>2251</v>
      </c>
      <c r="CT466" s="295">
        <f t="shared" si="543"/>
        <v>3236</v>
      </c>
      <c r="CU466" s="295"/>
      <c r="CV466" s="295">
        <f>CV476+CV477+CV480+CV482+CV483+CV488+CV484+CV485</f>
        <v>1542</v>
      </c>
      <c r="CW466" s="295">
        <f>CW476+CW477+CW480+CW482+CW483+CW488+CW484+CW485</f>
        <v>562</v>
      </c>
      <c r="CX466" s="295">
        <f t="shared" si="544"/>
        <v>2104</v>
      </c>
      <c r="CY466" s="295"/>
      <c r="CZ466" s="295">
        <f>CZ476+CZ477+CZ480+CZ482+CZ483+CZ488+CZ484+CZ485</f>
        <v>346</v>
      </c>
      <c r="DA466" s="295">
        <f>DA476+DA477+DA480+DA482+DA483+DA488+DA484+DA485</f>
        <v>710</v>
      </c>
      <c r="DB466" s="295">
        <f t="shared" si="545"/>
        <v>1056</v>
      </c>
      <c r="DC466" s="295"/>
      <c r="DD466" s="295">
        <f>DD476+DD477+DD480+DD482+DD483+DD488+DD484+DD485</f>
        <v>526</v>
      </c>
      <c r="DE466" s="295">
        <f>DE476+DE477+DE480+DE482+DE483+DE488+DE484+DE485</f>
        <v>796</v>
      </c>
      <c r="DF466" s="295">
        <f t="shared" si="546"/>
        <v>1322</v>
      </c>
      <c r="DG466" s="295"/>
      <c r="DH466" s="295">
        <f>DH476+DH477+DH480+DH482+DH483+DH488+DH484+DH485</f>
        <v>326</v>
      </c>
      <c r="DI466" s="295">
        <f>DI476+DI477+DI480+DI482+DI483+DI488+DI484+DI485</f>
        <v>993.82</v>
      </c>
      <c r="DJ466" s="295">
        <f t="shared" si="547"/>
        <v>1319.8200000000002</v>
      </c>
      <c r="DK466" s="295"/>
      <c r="DL466" s="295">
        <f>DL476+DL477+DL480+DL482+DL483+DL488+DL484+DL485</f>
        <v>618.08000000000004</v>
      </c>
      <c r="DM466" s="295">
        <f>DM476+DM477+DM480+DM482+DM483+DM488+DM484+DM485</f>
        <v>841.91679999999997</v>
      </c>
      <c r="DN466" s="295">
        <f t="shared" si="548"/>
        <v>1459.9967999999999</v>
      </c>
      <c r="DO466" s="295"/>
      <c r="DP466" s="295">
        <f>DP476+DP477+DP480+DP482+DP483+DP488+DP484+DP485</f>
        <v>644.20320000000004</v>
      </c>
      <c r="DQ466" s="295">
        <f>DQ476+DQ477+DQ480+DQ482+DQ483+DQ488+DQ484+DQ485</f>
        <v>888.993472</v>
      </c>
      <c r="DR466" s="295">
        <f t="shared" si="549"/>
        <v>1533.196672</v>
      </c>
      <c r="DS466" s="295"/>
      <c r="DT466" s="295"/>
      <c r="DU466" s="295"/>
      <c r="DV466" s="295"/>
      <c r="DW466" s="295"/>
      <c r="DX466" s="295"/>
      <c r="DY466" s="295"/>
      <c r="DZ466" s="295"/>
      <c r="EA466" s="295"/>
      <c r="EB466" s="295"/>
      <c r="EC466" s="295"/>
      <c r="ED466" s="295"/>
      <c r="EE466" s="295"/>
      <c r="EF466" s="295"/>
      <c r="EG466" s="295"/>
      <c r="EH466" s="295"/>
      <c r="EI466" s="295"/>
      <c r="EJ466" s="295"/>
      <c r="EK466" s="295"/>
      <c r="EL466" s="295"/>
      <c r="EM466" s="295"/>
      <c r="EN466" s="295"/>
      <c r="EO466" s="295"/>
      <c r="EP466" s="295"/>
      <c r="EQ466" s="327"/>
      <c r="ER466" s="327"/>
      <c r="ES466" s="327"/>
      <c r="ET466" s="327"/>
      <c r="JM466"/>
    </row>
    <row r="467" spans="1:273" s="855" customFormat="1">
      <c r="A467" s="102" t="s">
        <v>798</v>
      </c>
      <c r="B467" s="290"/>
      <c r="C467" s="289"/>
      <c r="D467" s="289"/>
      <c r="E467" s="289"/>
      <c r="F467" s="289"/>
      <c r="G467" s="289"/>
      <c r="H467" s="289"/>
      <c r="I467" s="289"/>
      <c r="J467" s="289"/>
      <c r="K467" s="289"/>
      <c r="L467" s="289"/>
      <c r="M467" s="289"/>
      <c r="N467" s="289"/>
      <c r="O467" s="289"/>
      <c r="P467" s="289"/>
      <c r="Q467" s="289"/>
      <c r="R467" s="289"/>
      <c r="S467" s="289"/>
      <c r="T467" s="289"/>
      <c r="U467" s="289"/>
      <c r="V467" s="289"/>
      <c r="W467" s="289"/>
      <c r="X467" s="289"/>
      <c r="Y467" s="289"/>
      <c r="Z467" s="289"/>
      <c r="AA467" s="289"/>
      <c r="AB467" s="289"/>
      <c r="AC467" s="289"/>
      <c r="AD467" s="289"/>
      <c r="AE467" s="289"/>
      <c r="AF467" s="289"/>
      <c r="AG467" s="289"/>
      <c r="AH467" s="289"/>
      <c r="AI467" s="289"/>
      <c r="AJ467" s="289"/>
      <c r="AK467" s="289"/>
      <c r="AL467" s="289"/>
      <c r="AM467" s="289"/>
      <c r="AN467" s="290"/>
      <c r="AO467" s="290"/>
      <c r="AP467" s="290"/>
      <c r="AQ467" s="290"/>
      <c r="AR467" s="290"/>
      <c r="AS467" s="290"/>
      <c r="AT467" s="293">
        <f>+AT478+AT479</f>
        <v>-1288</v>
      </c>
      <c r="AU467" s="290"/>
      <c r="AV467" s="293">
        <f>+AV478+AV479</f>
        <v>-476</v>
      </c>
      <c r="AW467" s="293">
        <f>+AW478+AW479</f>
        <v>3</v>
      </c>
      <c r="AX467" s="293">
        <f t="shared" si="531"/>
        <v>-473</v>
      </c>
      <c r="AY467" s="295"/>
      <c r="AZ467" s="293">
        <f>+AZ478+AZ479</f>
        <v>-51</v>
      </c>
      <c r="BA467" s="293">
        <f>+BA478+BA479</f>
        <v>-77</v>
      </c>
      <c r="BB467" s="293">
        <f t="shared" si="532"/>
        <v>-128</v>
      </c>
      <c r="BC467" s="295"/>
      <c r="BD467" s="293">
        <f>+BD478+BD479</f>
        <v>-31</v>
      </c>
      <c r="BE467" s="293">
        <f>+BE478+BE479</f>
        <v>-224</v>
      </c>
      <c r="BF467" s="293">
        <f t="shared" si="533"/>
        <v>-255</v>
      </c>
      <c r="BG467" s="295"/>
      <c r="BH467" s="293">
        <f>+BH478+BH479</f>
        <v>-223</v>
      </c>
      <c r="BI467" s="293">
        <f>+BI478+BI479</f>
        <v>-187</v>
      </c>
      <c r="BJ467" s="293">
        <f t="shared" si="534"/>
        <v>-410</v>
      </c>
      <c r="BK467" s="295"/>
      <c r="BL467" s="293">
        <f>+BL478+BL479</f>
        <v>-104</v>
      </c>
      <c r="BM467" s="293">
        <f>+BM478+BM479</f>
        <v>-163</v>
      </c>
      <c r="BN467" s="293">
        <f t="shared" si="535"/>
        <v>-267</v>
      </c>
      <c r="BO467" s="295"/>
      <c r="BP467" s="293">
        <f>+BP478+BP479</f>
        <v>-64</v>
      </c>
      <c r="BQ467" s="293">
        <f>+BQ478+BQ479</f>
        <v>-267</v>
      </c>
      <c r="BR467" s="293">
        <f t="shared" si="536"/>
        <v>-331</v>
      </c>
      <c r="BS467" s="295"/>
      <c r="BT467" s="293">
        <f>+BT478+BT479</f>
        <v>-170</v>
      </c>
      <c r="BU467" s="293">
        <f>+BU478+BU479</f>
        <v>-79</v>
      </c>
      <c r="BV467" s="293">
        <f t="shared" si="537"/>
        <v>-249</v>
      </c>
      <c r="BW467" s="295"/>
      <c r="BX467" s="293">
        <f>+BX478+BX479</f>
        <v>-122</v>
      </c>
      <c r="BY467" s="293">
        <f>+BY478+BY479</f>
        <v>-34</v>
      </c>
      <c r="BZ467" s="293">
        <f t="shared" si="538"/>
        <v>-156</v>
      </c>
      <c r="CA467" s="295"/>
      <c r="CB467" s="293">
        <f>+CB478+CB479</f>
        <v>0</v>
      </c>
      <c r="CC467" s="293">
        <f>+CC478+CC479</f>
        <v>0</v>
      </c>
      <c r="CD467" s="293">
        <f t="shared" si="539"/>
        <v>0</v>
      </c>
      <c r="CE467" s="791"/>
      <c r="CF467" s="293">
        <f>+CF478+CF479</f>
        <v>0</v>
      </c>
      <c r="CG467" s="293">
        <f>+CG478+CG479</f>
        <v>-15</v>
      </c>
      <c r="CH467" s="293">
        <f t="shared" si="540"/>
        <v>-15</v>
      </c>
      <c r="CI467" s="791"/>
      <c r="CJ467" s="293">
        <f>+CJ478+CJ479</f>
        <v>0</v>
      </c>
      <c r="CK467" s="293">
        <f>+CK478+CK479</f>
        <v>0</v>
      </c>
      <c r="CL467" s="293">
        <f t="shared" si="541"/>
        <v>0</v>
      </c>
      <c r="CM467" s="791"/>
      <c r="CN467" s="293">
        <f>+CN478+CN479</f>
        <v>0</v>
      </c>
      <c r="CO467" s="293">
        <f>+CO478+CO479</f>
        <v>0</v>
      </c>
      <c r="CP467" s="293">
        <f t="shared" si="542"/>
        <v>0</v>
      </c>
      <c r="CQ467" s="791"/>
      <c r="CR467" s="293">
        <f>+CR478+CR479</f>
        <v>0</v>
      </c>
      <c r="CS467" s="293">
        <f>+CS478+CS479</f>
        <v>0</v>
      </c>
      <c r="CT467" s="293">
        <f t="shared" si="543"/>
        <v>0</v>
      </c>
      <c r="CU467" s="295"/>
      <c r="CV467" s="293">
        <f>+CV478+CV479</f>
        <v>0</v>
      </c>
      <c r="CW467" s="293">
        <f>+CW478+CW479</f>
        <v>0</v>
      </c>
      <c r="CX467" s="293">
        <f t="shared" si="544"/>
        <v>0</v>
      </c>
      <c r="CY467" s="295"/>
      <c r="CZ467" s="293">
        <f>+CZ478+CZ479</f>
        <v>0</v>
      </c>
      <c r="DA467" s="293">
        <f>+DA478+DA479</f>
        <v>0</v>
      </c>
      <c r="DB467" s="293">
        <f t="shared" si="545"/>
        <v>0</v>
      </c>
      <c r="DC467" s="295"/>
      <c r="DD467" s="293">
        <f>+DD478+DD479</f>
        <v>0</v>
      </c>
      <c r="DE467" s="293">
        <f>+DE478+DE479</f>
        <v>0</v>
      </c>
      <c r="DF467" s="293">
        <f t="shared" si="546"/>
        <v>0</v>
      </c>
      <c r="DG467" s="295"/>
      <c r="DH467" s="293">
        <f>+DH478+DH479</f>
        <v>0</v>
      </c>
      <c r="DI467" s="293">
        <f>+DI478+DI479</f>
        <v>0</v>
      </c>
      <c r="DJ467" s="293">
        <f t="shared" si="547"/>
        <v>0</v>
      </c>
      <c r="DK467" s="295"/>
      <c r="DL467" s="293">
        <f>+DL478+DL479</f>
        <v>0</v>
      </c>
      <c r="DM467" s="293">
        <f>+DM478+DM479</f>
        <v>0</v>
      </c>
      <c r="DN467" s="293">
        <f t="shared" si="548"/>
        <v>0</v>
      </c>
      <c r="DO467" s="293"/>
      <c r="DP467" s="293">
        <f>+DP478+DP479</f>
        <v>0</v>
      </c>
      <c r="DQ467" s="293">
        <f>+DQ478+DQ479</f>
        <v>0</v>
      </c>
      <c r="DR467" s="293">
        <f t="shared" si="549"/>
        <v>0</v>
      </c>
      <c r="DS467" s="293"/>
      <c r="DT467" s="295"/>
      <c r="DU467" s="293"/>
      <c r="DV467" s="293"/>
      <c r="DW467" s="293"/>
      <c r="DX467" s="293"/>
      <c r="DY467" s="295"/>
      <c r="DZ467" s="293"/>
      <c r="EA467" s="293"/>
      <c r="EB467" s="293"/>
      <c r="EC467" s="295"/>
      <c r="ED467" s="293"/>
      <c r="EE467" s="293"/>
      <c r="EF467" s="293"/>
      <c r="EG467" s="295"/>
      <c r="EH467" s="295"/>
      <c r="EI467" s="295"/>
      <c r="EJ467" s="295"/>
      <c r="EK467" s="295"/>
      <c r="EL467" s="295"/>
      <c r="EM467" s="295"/>
      <c r="EN467" s="295"/>
      <c r="EO467" s="295"/>
      <c r="EP467" s="295"/>
      <c r="EQ467" s="327"/>
      <c r="ER467" s="327"/>
      <c r="ES467" s="327"/>
      <c r="ET467" s="327"/>
      <c r="JM467"/>
    </row>
    <row r="468" spans="1:273" s="855" customFormat="1">
      <c r="A468" s="102" t="s">
        <v>1059</v>
      </c>
      <c r="B468" s="290"/>
      <c r="C468" s="289"/>
      <c r="D468" s="289"/>
      <c r="E468" s="289"/>
      <c r="F468" s="289"/>
      <c r="G468" s="289"/>
      <c r="H468" s="289"/>
      <c r="I468" s="289"/>
      <c r="J468" s="289"/>
      <c r="K468" s="289"/>
      <c r="L468" s="289"/>
      <c r="M468" s="289"/>
      <c r="N468" s="289"/>
      <c r="O468" s="289"/>
      <c r="P468" s="289"/>
      <c r="Q468" s="289"/>
      <c r="R468" s="289"/>
      <c r="S468" s="289"/>
      <c r="T468" s="289"/>
      <c r="U468" s="289"/>
      <c r="V468" s="289"/>
      <c r="W468" s="289"/>
      <c r="X468" s="289"/>
      <c r="Y468" s="289"/>
      <c r="Z468" s="289"/>
      <c r="AA468" s="289"/>
      <c r="AB468" s="289"/>
      <c r="AC468" s="289"/>
      <c r="AD468" s="289"/>
      <c r="AE468" s="289"/>
      <c r="AF468" s="289"/>
      <c r="AG468" s="289"/>
      <c r="AH468" s="289"/>
      <c r="AI468" s="289"/>
      <c r="AJ468" s="289"/>
      <c r="AK468" s="289"/>
      <c r="AL468" s="289"/>
      <c r="AM468" s="289"/>
      <c r="AN468" s="290"/>
      <c r="AO468" s="290"/>
      <c r="AP468" s="290"/>
      <c r="AQ468" s="290"/>
      <c r="AR468" s="290"/>
      <c r="AS468" s="290"/>
      <c r="AT468" s="290"/>
      <c r="AU468" s="290"/>
      <c r="AV468" s="293">
        <f>+AV489</f>
        <v>145</v>
      </c>
      <c r="AW468" s="293">
        <f>+AW489</f>
        <v>153</v>
      </c>
      <c r="AX468" s="293">
        <f t="shared" si="531"/>
        <v>298</v>
      </c>
      <c r="AY468" s="295"/>
      <c r="AZ468" s="293">
        <f>+AZ489</f>
        <v>234</v>
      </c>
      <c r="BA468" s="293">
        <f>+BA489</f>
        <v>278</v>
      </c>
      <c r="BB468" s="293">
        <f t="shared" si="532"/>
        <v>512</v>
      </c>
      <c r="BC468" s="295"/>
      <c r="BD468" s="293">
        <f>+BD489</f>
        <v>113</v>
      </c>
      <c r="BE468" s="293">
        <f>+BE489</f>
        <v>235</v>
      </c>
      <c r="BF468" s="293">
        <f t="shared" si="533"/>
        <v>348</v>
      </c>
      <c r="BG468" s="295"/>
      <c r="BH468" s="293">
        <f>+BH489</f>
        <v>127</v>
      </c>
      <c r="BI468" s="293">
        <f>+BI489</f>
        <v>145</v>
      </c>
      <c r="BJ468" s="293">
        <f t="shared" si="534"/>
        <v>272</v>
      </c>
      <c r="BK468" s="295"/>
      <c r="BL468" s="293">
        <f>+BL489</f>
        <v>108</v>
      </c>
      <c r="BM468" s="293">
        <f>+BM489</f>
        <v>152</v>
      </c>
      <c r="BN468" s="293">
        <f t="shared" si="535"/>
        <v>260</v>
      </c>
      <c r="BO468" s="295"/>
      <c r="BP468" s="293">
        <f>+BP489</f>
        <v>158</v>
      </c>
      <c r="BQ468" s="293">
        <f>+BQ489</f>
        <v>265</v>
      </c>
      <c r="BR468" s="293">
        <f t="shared" si="536"/>
        <v>423</v>
      </c>
      <c r="BS468" s="295"/>
      <c r="BT468" s="293">
        <f>+BT489</f>
        <v>100</v>
      </c>
      <c r="BU468" s="293">
        <f>+BU489</f>
        <v>141</v>
      </c>
      <c r="BV468" s="293">
        <f t="shared" si="537"/>
        <v>241</v>
      </c>
      <c r="BW468" s="295"/>
      <c r="BX468" s="293">
        <f>+BX489</f>
        <v>126</v>
      </c>
      <c r="BY468" s="293">
        <f>+BY489</f>
        <v>106</v>
      </c>
      <c r="BZ468" s="293">
        <f t="shared" si="538"/>
        <v>232</v>
      </c>
      <c r="CA468" s="295"/>
      <c r="CB468" s="293">
        <f>+CB489</f>
        <v>55</v>
      </c>
      <c r="CC468" s="293">
        <f>+CC489</f>
        <v>152</v>
      </c>
      <c r="CD468" s="293">
        <f t="shared" si="539"/>
        <v>207</v>
      </c>
      <c r="CE468" s="791"/>
      <c r="CF468" s="293">
        <f>+CF489</f>
        <v>75</v>
      </c>
      <c r="CG468" s="293">
        <f>+CG489</f>
        <v>186</v>
      </c>
      <c r="CH468" s="293">
        <f t="shared" si="540"/>
        <v>261</v>
      </c>
      <c r="CI468" s="791"/>
      <c r="CJ468" s="293">
        <f>+CJ489</f>
        <v>105</v>
      </c>
      <c r="CK468" s="293">
        <f>+CK489</f>
        <v>202</v>
      </c>
      <c r="CL468" s="293">
        <f t="shared" si="541"/>
        <v>307</v>
      </c>
      <c r="CM468" s="791"/>
      <c r="CN468" s="293">
        <f>+CN489</f>
        <v>39</v>
      </c>
      <c r="CO468" s="293">
        <f>+CO489</f>
        <v>29</v>
      </c>
      <c r="CP468" s="293">
        <f t="shared" si="542"/>
        <v>68</v>
      </c>
      <c r="CQ468" s="791"/>
      <c r="CR468" s="293">
        <f>+CR489</f>
        <v>137</v>
      </c>
      <c r="CS468" s="293">
        <f>+CS489</f>
        <v>75</v>
      </c>
      <c r="CT468" s="293">
        <f t="shared" si="543"/>
        <v>212</v>
      </c>
      <c r="CU468" s="295"/>
      <c r="CV468" s="293">
        <f>+CV489</f>
        <v>30</v>
      </c>
      <c r="CW468" s="293">
        <f>+CW489</f>
        <v>177</v>
      </c>
      <c r="CX468" s="293">
        <f t="shared" si="544"/>
        <v>207</v>
      </c>
      <c r="CY468" s="295"/>
      <c r="CZ468" s="293">
        <f>+CZ489</f>
        <v>-29</v>
      </c>
      <c r="DA468" s="293">
        <f>+DA489</f>
        <v>-47</v>
      </c>
      <c r="DB468" s="293">
        <f t="shared" si="545"/>
        <v>-76</v>
      </c>
      <c r="DC468" s="295"/>
      <c r="DD468" s="293">
        <f>+DD489</f>
        <v>124</v>
      </c>
      <c r="DE468" s="293">
        <f>+DE489</f>
        <v>-129</v>
      </c>
      <c r="DF468" s="293">
        <f t="shared" si="546"/>
        <v>-5</v>
      </c>
      <c r="DG468" s="295"/>
      <c r="DH468" s="293">
        <f>+DH489</f>
        <v>-184</v>
      </c>
      <c r="DI468" s="293">
        <f>+DI489</f>
        <v>8.0200000000000102</v>
      </c>
      <c r="DJ468" s="293">
        <f t="shared" si="547"/>
        <v>-175.98</v>
      </c>
      <c r="DK468" s="295"/>
      <c r="DL468" s="293">
        <f>+DL489</f>
        <v>26.500599999999991</v>
      </c>
      <c r="DM468" s="293">
        <f>+DM489</f>
        <v>43.759118000000015</v>
      </c>
      <c r="DN468" s="293">
        <f t="shared" si="548"/>
        <v>70.259718000000007</v>
      </c>
      <c r="DO468" s="293"/>
      <c r="DP468" s="293">
        <f>+DP489</f>
        <v>87.173891540000014</v>
      </c>
      <c r="DQ468" s="293">
        <f>+DQ489</f>
        <v>94.805783286200025</v>
      </c>
      <c r="DR468" s="293">
        <f t="shared" si="549"/>
        <v>181.97967482620004</v>
      </c>
      <c r="DS468" s="293"/>
      <c r="DT468" s="295"/>
      <c r="DU468" s="293"/>
      <c r="DV468" s="293"/>
      <c r="DW468" s="293"/>
      <c r="DX468" s="293"/>
      <c r="DY468" s="295"/>
      <c r="DZ468" s="293"/>
      <c r="EA468" s="293"/>
      <c r="EB468" s="293"/>
      <c r="EC468" s="295"/>
      <c r="ED468" s="293"/>
      <c r="EE468" s="293"/>
      <c r="EF468" s="293"/>
      <c r="EG468" s="295"/>
      <c r="EH468" s="295"/>
      <c r="EI468" s="295"/>
      <c r="EJ468" s="295"/>
      <c r="EK468" s="295"/>
      <c r="EL468" s="295"/>
      <c r="EM468" s="295"/>
      <c r="EN468" s="295"/>
      <c r="EO468" s="295"/>
      <c r="EP468" s="295"/>
      <c r="EQ468" s="327"/>
      <c r="ER468" s="327"/>
      <c r="ES468" s="327"/>
      <c r="ET468" s="327"/>
      <c r="JM468"/>
    </row>
    <row r="469" spans="1:273" s="855" customFormat="1" ht="15.6">
      <c r="A469" s="1360" t="s">
        <v>763</v>
      </c>
      <c r="B469" s="290"/>
      <c r="C469" s="289"/>
      <c r="D469" s="289"/>
      <c r="E469" s="289"/>
      <c r="F469" s="289"/>
      <c r="G469" s="289"/>
      <c r="H469" s="289"/>
      <c r="I469" s="289"/>
      <c r="J469" s="289"/>
      <c r="K469" s="289"/>
      <c r="L469" s="289"/>
      <c r="M469" s="289"/>
      <c r="N469" s="289"/>
      <c r="O469" s="289"/>
      <c r="P469" s="289"/>
      <c r="Q469" s="289"/>
      <c r="R469" s="289"/>
      <c r="S469" s="289"/>
      <c r="T469" s="289"/>
      <c r="U469" s="289"/>
      <c r="V469" s="289"/>
      <c r="W469" s="289"/>
      <c r="X469" s="289"/>
      <c r="Y469" s="289"/>
      <c r="Z469" s="289"/>
      <c r="AA469" s="289"/>
      <c r="AB469" s="289"/>
      <c r="AC469" s="289"/>
      <c r="AD469" s="289"/>
      <c r="AE469" s="289"/>
      <c r="AF469" s="289"/>
      <c r="AG469" s="289"/>
      <c r="AH469" s="289"/>
      <c r="AI469" s="289"/>
      <c r="AJ469" s="289"/>
      <c r="AK469" s="289"/>
      <c r="AL469" s="289"/>
      <c r="AM469" s="289"/>
      <c r="AN469" s="290"/>
      <c r="AO469" s="290"/>
      <c r="AP469" s="290"/>
      <c r="AQ469" s="290"/>
      <c r="AR469" s="290"/>
      <c r="AS469" s="290"/>
      <c r="AT469" s="290"/>
      <c r="AU469" s="290"/>
      <c r="AV469" s="295">
        <f>SUM(AV463:AV468)</f>
        <v>360</v>
      </c>
      <c r="AW469" s="295">
        <f>SUM(AW463:AW468)</f>
        <v>408</v>
      </c>
      <c r="AX469" s="295">
        <f t="shared" si="531"/>
        <v>768</v>
      </c>
      <c r="AY469" s="295"/>
      <c r="AZ469" s="295">
        <f>SUM(AZ463:AZ468)</f>
        <v>370</v>
      </c>
      <c r="BA469" s="295">
        <f>SUM(BA463:BA468)</f>
        <v>561</v>
      </c>
      <c r="BB469" s="295">
        <f t="shared" si="532"/>
        <v>931</v>
      </c>
      <c r="BC469" s="295"/>
      <c r="BD469" s="295">
        <f>SUM(BD463:BD468)</f>
        <v>356</v>
      </c>
      <c r="BE469" s="295">
        <f>SUM(BE463:BE468)</f>
        <v>767</v>
      </c>
      <c r="BF469" s="295">
        <f t="shared" si="533"/>
        <v>1123</v>
      </c>
      <c r="BG469" s="295"/>
      <c r="BH469" s="295">
        <f>SUM(BH463:BH468)</f>
        <v>144</v>
      </c>
      <c r="BI469" s="295">
        <f>SUM(BI463:BI468)</f>
        <v>441</v>
      </c>
      <c r="BJ469" s="295">
        <f t="shared" si="534"/>
        <v>585</v>
      </c>
      <c r="BK469" s="295"/>
      <c r="BL469" s="295">
        <f>SUM(BL463:BL468)</f>
        <v>320</v>
      </c>
      <c r="BM469" s="295">
        <f>SUM(BM463:BM468)</f>
        <v>535</v>
      </c>
      <c r="BN469" s="295">
        <f t="shared" si="535"/>
        <v>855</v>
      </c>
      <c r="BO469" s="295"/>
      <c r="BP469" s="295">
        <f>SUM(BP463:BP468)</f>
        <v>455</v>
      </c>
      <c r="BQ469" s="295">
        <f>SUM(BQ463:BQ468)</f>
        <v>244</v>
      </c>
      <c r="BR469" s="295">
        <f t="shared" si="536"/>
        <v>699</v>
      </c>
      <c r="BS469" s="295"/>
      <c r="BT469" s="295">
        <f>SUM(BT463:BT468)</f>
        <v>314</v>
      </c>
      <c r="BU469" s="295">
        <f>SUM(BU463:BU468)</f>
        <v>632</v>
      </c>
      <c r="BV469" s="295">
        <f t="shared" si="537"/>
        <v>946</v>
      </c>
      <c r="BW469" s="295"/>
      <c r="BX469" s="295">
        <f>SUM(BX463:BX468)</f>
        <v>1149</v>
      </c>
      <c r="BY469" s="295">
        <f>SUM(BY463:BY468)</f>
        <v>890</v>
      </c>
      <c r="BZ469" s="295">
        <f t="shared" si="538"/>
        <v>2039</v>
      </c>
      <c r="CA469" s="295"/>
      <c r="CB469" s="295">
        <f>SUM(CB463:CB468)</f>
        <v>834</v>
      </c>
      <c r="CC469" s="295">
        <f>SUM(CC463:CC468)</f>
        <v>1232</v>
      </c>
      <c r="CD469" s="295">
        <f t="shared" si="539"/>
        <v>2066</v>
      </c>
      <c r="CE469" s="791"/>
      <c r="CF469" s="295">
        <f>SUM(CF463:CF468)</f>
        <v>933</v>
      </c>
      <c r="CG469" s="295">
        <f>SUM(CG463:CG468)</f>
        <v>1800</v>
      </c>
      <c r="CH469" s="295">
        <f t="shared" si="540"/>
        <v>2733</v>
      </c>
      <c r="CI469" s="791"/>
      <c r="CJ469" s="295">
        <f>SUM(CJ463:CJ468)</f>
        <v>1078</v>
      </c>
      <c r="CK469" s="295">
        <f>SUM(CK463:CK468)</f>
        <v>595</v>
      </c>
      <c r="CL469" s="295">
        <f t="shared" si="541"/>
        <v>1673</v>
      </c>
      <c r="CM469" s="791"/>
      <c r="CN469" s="295">
        <f>SUM(CN463:CN468)</f>
        <v>440</v>
      </c>
      <c r="CO469" s="295">
        <f>SUM(CO463:CO468)</f>
        <v>1484</v>
      </c>
      <c r="CP469" s="295">
        <f t="shared" si="542"/>
        <v>1924</v>
      </c>
      <c r="CQ469" s="791"/>
      <c r="CR469" s="295">
        <f>SUM(CR463:CR468)</f>
        <v>1078</v>
      </c>
      <c r="CS469" s="295">
        <f>SUM(CS463:CS468)</f>
        <v>2263</v>
      </c>
      <c r="CT469" s="295">
        <f t="shared" si="543"/>
        <v>3341</v>
      </c>
      <c r="CU469" s="295"/>
      <c r="CV469" s="295">
        <f>SUM(CV463:CV468)</f>
        <v>1460</v>
      </c>
      <c r="CW469" s="295">
        <f>SUM(CW463:CW468)</f>
        <v>774</v>
      </c>
      <c r="CX469" s="295">
        <f t="shared" si="544"/>
        <v>2234</v>
      </c>
      <c r="CY469" s="295"/>
      <c r="CZ469" s="295">
        <f>SUM(CZ463:CZ468)</f>
        <v>647</v>
      </c>
      <c r="DA469" s="295">
        <f>SUM(DA463:DA468)</f>
        <v>1133</v>
      </c>
      <c r="DB469" s="295">
        <f t="shared" si="545"/>
        <v>1780</v>
      </c>
      <c r="DC469" s="295"/>
      <c r="DD469" s="295">
        <f>SUM(DD463:DD468)</f>
        <v>786</v>
      </c>
      <c r="DE469" s="295">
        <f>SUM(DE463:DE468)</f>
        <v>588</v>
      </c>
      <c r="DF469" s="295">
        <f t="shared" si="546"/>
        <v>1374</v>
      </c>
      <c r="DG469" s="295"/>
      <c r="DH469" s="295">
        <f>SUM(DH463:DH468)</f>
        <v>329</v>
      </c>
      <c r="DI469" s="295">
        <f>SUM(DI463:DI468)</f>
        <v>1100.3424</v>
      </c>
      <c r="DJ469" s="295">
        <f t="shared" si="547"/>
        <v>1429.3424</v>
      </c>
      <c r="DK469" s="295"/>
      <c r="DL469" s="295">
        <f>SUM(DL463:DL468)</f>
        <v>694.38059999999996</v>
      </c>
      <c r="DM469" s="295">
        <f>SUM(DM463:DM468)</f>
        <v>935.69831799999997</v>
      </c>
      <c r="DN469" s="295">
        <f t="shared" si="548"/>
        <v>1630.0789179999999</v>
      </c>
      <c r="DO469" s="295"/>
      <c r="DP469" s="295">
        <f>SUM(DP463:DP468)</f>
        <v>804.34669154000005</v>
      </c>
      <c r="DQ469" s="295">
        <f>SUM(DQ463:DQ468)</f>
        <v>1059.7373032861999</v>
      </c>
      <c r="DR469" s="295">
        <f t="shared" si="549"/>
        <v>1864.0839948262001</v>
      </c>
      <c r="DS469" s="295"/>
      <c r="DT469" s="295"/>
      <c r="DU469" s="295"/>
      <c r="DV469" s="295"/>
      <c r="DW469" s="295"/>
      <c r="DX469" s="295"/>
      <c r="DY469" s="295"/>
      <c r="DZ469" s="295"/>
      <c r="EA469" s="295"/>
      <c r="EB469" s="295"/>
      <c r="EC469" s="295"/>
      <c r="ED469" s="295"/>
      <c r="EE469" s="295"/>
      <c r="EF469" s="295"/>
      <c r="EG469" s="295"/>
      <c r="EH469" s="295"/>
      <c r="EI469" s="295"/>
      <c r="EJ469" s="295"/>
      <c r="EK469" s="295"/>
      <c r="EL469" s="295"/>
      <c r="EM469" s="295"/>
      <c r="EN469" s="295"/>
      <c r="EO469" s="295"/>
      <c r="EP469" s="295"/>
      <c r="EQ469" s="327"/>
      <c r="ER469" s="327"/>
      <c r="ES469" s="327"/>
      <c r="ET469" s="327"/>
      <c r="JM469"/>
    </row>
    <row r="470" spans="1:273" s="955" customFormat="1">
      <c r="A470" s="951" t="s">
        <v>580</v>
      </c>
      <c r="B470" s="952"/>
      <c r="C470" s="953"/>
      <c r="D470" s="953"/>
      <c r="E470" s="953"/>
      <c r="F470" s="953"/>
      <c r="G470" s="953"/>
      <c r="H470" s="953"/>
      <c r="I470" s="953"/>
      <c r="J470" s="953"/>
      <c r="K470" s="953"/>
      <c r="L470" s="953"/>
      <c r="M470" s="953"/>
      <c r="N470" s="953"/>
      <c r="O470" s="953"/>
      <c r="P470" s="953"/>
      <c r="Q470" s="953"/>
      <c r="R470" s="953"/>
      <c r="S470" s="953"/>
      <c r="T470" s="953"/>
      <c r="U470" s="953"/>
      <c r="V470" s="953"/>
      <c r="W470" s="953"/>
      <c r="X470" s="953"/>
      <c r="Y470" s="953"/>
      <c r="Z470" s="953"/>
      <c r="AA470" s="953"/>
      <c r="AB470" s="953"/>
      <c r="AC470" s="953"/>
      <c r="AD470" s="953"/>
      <c r="AE470" s="953"/>
      <c r="AF470" s="953"/>
      <c r="AG470" s="953"/>
      <c r="AH470" s="953"/>
      <c r="AI470" s="953"/>
      <c r="AJ470" s="953"/>
      <c r="AK470" s="953"/>
      <c r="AL470" s="953"/>
      <c r="AM470" s="953"/>
      <c r="AN470" s="952"/>
      <c r="AO470" s="952"/>
      <c r="AP470" s="952"/>
      <c r="AQ470" s="952"/>
      <c r="AR470" s="952"/>
      <c r="AS470" s="952"/>
      <c r="AT470" s="952"/>
      <c r="AU470" s="952"/>
      <c r="AV470" s="661">
        <f>AV449-AV469</f>
        <v>2</v>
      </c>
      <c r="AW470" s="661">
        <f>AW449-AW469</f>
        <v>-2</v>
      </c>
      <c r="AX470" s="661">
        <f>AX449-AX469</f>
        <v>0</v>
      </c>
      <c r="AY470" s="954"/>
      <c r="AZ470" s="661">
        <f>AZ449-AZ469</f>
        <v>0</v>
      </c>
      <c r="BA470" s="661">
        <f>BA449-BA469</f>
        <v>0</v>
      </c>
      <c r="BB470" s="661">
        <f>BB449-BB469</f>
        <v>0</v>
      </c>
      <c r="BC470" s="954"/>
      <c r="BD470" s="661">
        <f>BD449-BD469</f>
        <v>2</v>
      </c>
      <c r="BE470" s="661">
        <f>BE449-BE469</f>
        <v>-38</v>
      </c>
      <c r="BF470" s="661">
        <f>BF449-BF469</f>
        <v>-36</v>
      </c>
      <c r="BG470" s="954"/>
      <c r="BH470" s="661">
        <f>BH449-BH469</f>
        <v>0</v>
      </c>
      <c r="BI470" s="661">
        <f>BI449-BI469</f>
        <v>0</v>
      </c>
      <c r="BJ470" s="661">
        <f>BJ449-BJ469</f>
        <v>0</v>
      </c>
      <c r="BK470" s="954"/>
      <c r="BL470" s="661">
        <f>BL449-BL469</f>
        <v>0</v>
      </c>
      <c r="BM470" s="661">
        <f>BM449-BM469</f>
        <v>0</v>
      </c>
      <c r="BN470" s="661">
        <f>BN449-BN469</f>
        <v>0</v>
      </c>
      <c r="BO470" s="954"/>
      <c r="BP470" s="661">
        <f>BP449-BP469</f>
        <v>0</v>
      </c>
      <c r="BQ470" s="661">
        <f>BQ449-BQ469</f>
        <v>0</v>
      </c>
      <c r="BR470" s="661">
        <f>BR449-BR469</f>
        <v>0</v>
      </c>
      <c r="BS470" s="954"/>
      <c r="BT470" s="661">
        <f>BT449-BT469</f>
        <v>0</v>
      </c>
      <c r="BU470" s="661">
        <f>BU449-BU469</f>
        <v>0</v>
      </c>
      <c r="BV470" s="661">
        <f>BV449-BV469</f>
        <v>0</v>
      </c>
      <c r="BW470" s="954"/>
      <c r="BX470" s="661">
        <f>BX449-BX469</f>
        <v>0</v>
      </c>
      <c r="BY470" s="661">
        <f>BY449-BY469</f>
        <v>0</v>
      </c>
      <c r="BZ470" s="661">
        <f>BZ449-BZ469</f>
        <v>0</v>
      </c>
      <c r="CA470" s="954"/>
      <c r="CB470" s="661">
        <f>CB449-CB469</f>
        <v>0</v>
      </c>
      <c r="CC470" s="661">
        <f>CC449-CC469</f>
        <v>0</v>
      </c>
      <c r="CD470" s="661">
        <f>CD449-CD469</f>
        <v>0</v>
      </c>
      <c r="CE470" s="961"/>
      <c r="CF470" s="661">
        <f>CF449-CF469</f>
        <v>0</v>
      </c>
      <c r="CG470" s="661">
        <f>CG449-CG469</f>
        <v>0</v>
      </c>
      <c r="CH470" s="661">
        <f>CH449-CH469</f>
        <v>0</v>
      </c>
      <c r="CI470" s="961"/>
      <c r="CJ470" s="661">
        <f>CJ449-CJ469</f>
        <v>0</v>
      </c>
      <c r="CK470" s="661">
        <f>CK449-CK469</f>
        <v>0</v>
      </c>
      <c r="CL470" s="661">
        <f>CL449-CL469</f>
        <v>0</v>
      </c>
      <c r="CM470" s="961"/>
      <c r="CN470" s="661">
        <f>CN449-CN469</f>
        <v>0</v>
      </c>
      <c r="CO470" s="661">
        <f>CO449-CO469</f>
        <v>0</v>
      </c>
      <c r="CP470" s="661">
        <f>CP449-CP469</f>
        <v>0</v>
      </c>
      <c r="CQ470" s="961"/>
      <c r="CR470" s="661">
        <f>CR449-CR469</f>
        <v>0</v>
      </c>
      <c r="CS470" s="661">
        <f>CS449-CS469</f>
        <v>0</v>
      </c>
      <c r="CT470" s="661">
        <f>CT449-CT469</f>
        <v>0</v>
      </c>
      <c r="CU470" s="954"/>
      <c r="CV470" s="661">
        <f>CV449-CV469</f>
        <v>0</v>
      </c>
      <c r="CW470" s="661">
        <f>CW449-CW469</f>
        <v>0</v>
      </c>
      <c r="CX470" s="661">
        <f>CX449-CX469</f>
        <v>0</v>
      </c>
      <c r="CY470" s="954"/>
      <c r="CZ470" s="661">
        <f>CZ449-CZ469</f>
        <v>0</v>
      </c>
      <c r="DA470" s="661">
        <f>DA449-DA469</f>
        <v>0</v>
      </c>
      <c r="DB470" s="661">
        <f>DB449-DB469</f>
        <v>0</v>
      </c>
      <c r="DC470" s="954"/>
      <c r="DD470" s="661">
        <f>DD449-DD469</f>
        <v>0</v>
      </c>
      <c r="DE470" s="661">
        <f>DE449-DE469</f>
        <v>0</v>
      </c>
      <c r="DF470" s="661">
        <f>DF449-DF469</f>
        <v>0</v>
      </c>
      <c r="DG470" s="954"/>
      <c r="DH470" s="661">
        <f>DH449-DH469</f>
        <v>0</v>
      </c>
      <c r="DI470" s="661">
        <f>DI449-DI469</f>
        <v>0</v>
      </c>
      <c r="DJ470" s="661">
        <f>DJ449-DJ469</f>
        <v>0</v>
      </c>
      <c r="DK470" s="954"/>
      <c r="DL470" s="661">
        <f>DL449-DL469</f>
        <v>0</v>
      </c>
      <c r="DM470" s="661">
        <f>DM449-DM469</f>
        <v>0</v>
      </c>
      <c r="DN470" s="661">
        <f>DN449-DN469</f>
        <v>0</v>
      </c>
      <c r="DO470" s="661"/>
      <c r="DP470" s="661">
        <f>DP449-DP469</f>
        <v>0</v>
      </c>
      <c r="DQ470" s="661">
        <f>DQ449-DQ469</f>
        <v>0</v>
      </c>
      <c r="DR470" s="661">
        <f>DR449-DR469</f>
        <v>0</v>
      </c>
      <c r="DS470" s="661"/>
      <c r="DT470" s="954"/>
      <c r="DU470" s="661"/>
      <c r="DV470" s="661"/>
      <c r="DW470" s="661"/>
      <c r="DX470" s="661"/>
      <c r="DY470" s="954"/>
      <c r="DZ470" s="661"/>
      <c r="EA470" s="661"/>
      <c r="EB470" s="661"/>
      <c r="EC470" s="954"/>
      <c r="ED470" s="661"/>
      <c r="EE470" s="661"/>
      <c r="EF470" s="661"/>
      <c r="EG470" s="954"/>
      <c r="EH470" s="954"/>
      <c r="EI470" s="954"/>
      <c r="EJ470" s="954"/>
      <c r="EK470" s="954"/>
      <c r="EL470" s="954"/>
      <c r="EM470" s="954"/>
      <c r="EN470" s="954"/>
      <c r="EO470" s="954"/>
      <c r="EP470" s="954"/>
      <c r="EQ470" s="956"/>
      <c r="ER470" s="956"/>
      <c r="ES470" s="956"/>
      <c r="ET470" s="956"/>
      <c r="JM470"/>
    </row>
    <row r="471" spans="1:273" s="955" customFormat="1">
      <c r="A471" s="951"/>
      <c r="B471" s="952"/>
      <c r="C471" s="953"/>
      <c r="D471" s="953"/>
      <c r="E471" s="953"/>
      <c r="F471" s="953"/>
      <c r="G471" s="953"/>
      <c r="H471" s="953"/>
      <c r="I471" s="953"/>
      <c r="J471" s="953"/>
      <c r="K471" s="953"/>
      <c r="L471" s="953"/>
      <c r="M471" s="953"/>
      <c r="N471" s="953"/>
      <c r="O471" s="953"/>
      <c r="P471" s="953"/>
      <c r="Q471" s="953"/>
      <c r="R471" s="953"/>
      <c r="S471" s="953"/>
      <c r="T471" s="953"/>
      <c r="U471" s="953"/>
      <c r="V471" s="953"/>
      <c r="W471" s="953"/>
      <c r="X471" s="953"/>
      <c r="Y471" s="953"/>
      <c r="Z471" s="953"/>
      <c r="AA471" s="953"/>
      <c r="AB471" s="953"/>
      <c r="AC471" s="953"/>
      <c r="AD471" s="953"/>
      <c r="AE471" s="953"/>
      <c r="AF471" s="953"/>
      <c r="AG471" s="953"/>
      <c r="AH471" s="953"/>
      <c r="AI471" s="953"/>
      <c r="AJ471" s="953"/>
      <c r="AK471" s="953"/>
      <c r="AL471" s="953"/>
      <c r="AM471" s="953"/>
      <c r="AN471" s="952"/>
      <c r="AO471" s="952"/>
      <c r="AP471" s="952"/>
      <c r="AQ471" s="952"/>
      <c r="AR471" s="952"/>
      <c r="AS471" s="952"/>
      <c r="AT471" s="952"/>
      <c r="AU471" s="952"/>
      <c r="AV471" s="661"/>
      <c r="AW471" s="661"/>
      <c r="AX471" s="661"/>
      <c r="AY471" s="954"/>
      <c r="AZ471" s="661"/>
      <c r="BA471" s="661"/>
      <c r="BB471" s="661"/>
      <c r="BC471" s="954"/>
      <c r="BD471" s="661"/>
      <c r="BE471" s="661"/>
      <c r="BF471" s="661"/>
      <c r="BG471" s="954"/>
      <c r="BH471" s="661"/>
      <c r="BI471" s="661"/>
      <c r="BJ471" s="661"/>
      <c r="BK471" s="954"/>
      <c r="BL471" s="661"/>
      <c r="BM471" s="661"/>
      <c r="BN471" s="661"/>
      <c r="BO471" s="954"/>
      <c r="BP471" s="661"/>
      <c r="BQ471" s="661"/>
      <c r="BR471" s="661"/>
      <c r="BS471" s="954"/>
      <c r="BT471" s="661"/>
      <c r="BU471" s="661"/>
      <c r="BV471" s="661"/>
      <c r="BW471" s="954"/>
      <c r="BX471" s="661"/>
      <c r="BY471" s="661"/>
      <c r="BZ471" s="661"/>
      <c r="CA471" s="954"/>
      <c r="CB471" s="661"/>
      <c r="CC471" s="661"/>
      <c r="CD471" s="661"/>
      <c r="CE471" s="961"/>
      <c r="CF471" s="661"/>
      <c r="CG471" s="661"/>
      <c r="CH471" s="661"/>
      <c r="CI471" s="961"/>
      <c r="CJ471" s="661"/>
      <c r="CK471" s="661"/>
      <c r="CL471" s="661"/>
      <c r="CM471" s="961"/>
      <c r="CN471" s="661"/>
      <c r="CO471" s="661"/>
      <c r="CP471" s="661"/>
      <c r="CQ471" s="961"/>
      <c r="CR471" s="661"/>
      <c r="CS471" s="661"/>
      <c r="CT471" s="661"/>
      <c r="CU471" s="954"/>
      <c r="CV471" s="661"/>
      <c r="CW471" s="661"/>
      <c r="CX471" s="661"/>
      <c r="CY471" s="954"/>
      <c r="CZ471" s="661"/>
      <c r="DA471" s="661"/>
      <c r="DB471" s="661"/>
      <c r="DC471" s="954"/>
      <c r="DD471" s="661"/>
      <c r="DE471" s="661"/>
      <c r="DF471" s="661"/>
      <c r="DG471" s="954"/>
      <c r="DH471" s="661"/>
      <c r="DI471" s="661"/>
      <c r="DJ471" s="661"/>
      <c r="DK471" s="954"/>
      <c r="DL471" s="661"/>
      <c r="DM471" s="661"/>
      <c r="DN471" s="661"/>
      <c r="DO471" s="661"/>
      <c r="DP471" s="661"/>
      <c r="DQ471" s="661"/>
      <c r="DR471" s="661"/>
      <c r="DS471" s="661"/>
      <c r="DT471" s="954"/>
      <c r="DU471" s="661"/>
      <c r="DV471" s="661"/>
      <c r="DW471" s="661"/>
      <c r="DX471" s="661"/>
      <c r="DY471" s="954"/>
      <c r="DZ471" s="661"/>
      <c r="EA471" s="661"/>
      <c r="EB471" s="661"/>
      <c r="EC471" s="954"/>
      <c r="ED471" s="661"/>
      <c r="EE471" s="661"/>
      <c r="EF471" s="661"/>
      <c r="EG471" s="954"/>
      <c r="EH471" s="954"/>
      <c r="EI471" s="954"/>
      <c r="EJ471" s="954"/>
      <c r="EK471" s="954"/>
      <c r="EL471" s="954"/>
      <c r="EM471" s="954"/>
      <c r="EN471" s="954"/>
      <c r="EO471" s="954"/>
      <c r="EP471" s="954"/>
      <c r="EQ471" s="956"/>
      <c r="ER471" s="956"/>
      <c r="ES471" s="956"/>
      <c r="ET471" s="956"/>
      <c r="JM471"/>
    </row>
    <row r="472" spans="1:273" s="958" customFormat="1">
      <c r="A472" s="99" t="s">
        <v>1044</v>
      </c>
      <c r="B472" s="957"/>
      <c r="C472" s="662"/>
      <c r="D472" s="662"/>
      <c r="E472" s="662"/>
      <c r="F472" s="662"/>
      <c r="G472" s="662"/>
      <c r="H472" s="662"/>
      <c r="I472" s="662"/>
      <c r="J472" s="662"/>
      <c r="K472" s="662"/>
      <c r="L472" s="662"/>
      <c r="M472" s="662"/>
      <c r="N472" s="662"/>
      <c r="O472" s="662"/>
      <c r="P472" s="662"/>
      <c r="Q472" s="662"/>
      <c r="R472" s="662"/>
      <c r="S472" s="662"/>
      <c r="T472" s="662"/>
      <c r="U472" s="662"/>
      <c r="V472" s="662"/>
      <c r="W472" s="662"/>
      <c r="X472" s="662"/>
      <c r="Y472" s="662"/>
      <c r="Z472" s="662"/>
      <c r="AA472" s="662"/>
      <c r="AB472" s="662"/>
      <c r="AC472" s="662"/>
      <c r="AD472" s="662"/>
      <c r="AE472" s="662"/>
      <c r="AF472" s="662"/>
      <c r="AG472" s="662"/>
      <c r="AH472" s="662"/>
      <c r="AI472" s="662"/>
      <c r="AJ472" s="662"/>
      <c r="AK472" s="662"/>
      <c r="AL472" s="662"/>
      <c r="AM472" s="662"/>
      <c r="AN472" s="957"/>
      <c r="AO472" s="957"/>
      <c r="AP472" s="957"/>
      <c r="AQ472" s="957"/>
      <c r="AR472" s="957"/>
      <c r="AS472" s="957"/>
      <c r="AT472" s="957"/>
      <c r="AU472" s="957"/>
      <c r="AV472" s="661"/>
      <c r="AW472" s="661"/>
      <c r="AX472" s="661"/>
      <c r="AY472" s="841"/>
      <c r="AZ472" s="661"/>
      <c r="BA472" s="661"/>
      <c r="BB472" s="661"/>
      <c r="BC472" s="841"/>
      <c r="BD472" s="661"/>
      <c r="BE472" s="661"/>
      <c r="BF472" s="661"/>
      <c r="BG472" s="841"/>
      <c r="BH472" s="492">
        <f>'Bal Sheet'!BH153</f>
        <v>5152</v>
      </c>
      <c r="BI472" s="492">
        <f>'Bal Sheet'!BI153</f>
        <v>5105</v>
      </c>
      <c r="BJ472" s="492">
        <f>'Bal Sheet'!BJ153</f>
        <v>5128.5</v>
      </c>
      <c r="BK472" s="841"/>
      <c r="BL472" s="492">
        <f>'Bal Sheet'!BL153</f>
        <v>5371.5</v>
      </c>
      <c r="BM472" s="492">
        <f>'Bal Sheet'!BM153</f>
        <v>4849</v>
      </c>
      <c r="BN472" s="492">
        <f>'Bal Sheet'!BN153</f>
        <v>5110.25</v>
      </c>
      <c r="BO472" s="841"/>
      <c r="BP472" s="492">
        <f>'Bal Sheet'!BP153</f>
        <v>4207.5</v>
      </c>
      <c r="BQ472" s="492">
        <f>'Bal Sheet'!BQ153</f>
        <v>4308.5</v>
      </c>
      <c r="BR472" s="492">
        <f>'Bal Sheet'!BR153</f>
        <v>4258</v>
      </c>
      <c r="BS472" s="841"/>
      <c r="BT472" s="492">
        <f>'Bal Sheet'!BT153</f>
        <v>4925</v>
      </c>
      <c r="BU472" s="492">
        <f>'Bal Sheet'!BU153</f>
        <v>5334</v>
      </c>
      <c r="BV472" s="492">
        <f>'Bal Sheet'!BV153</f>
        <v>5129.5</v>
      </c>
      <c r="BW472" s="841"/>
      <c r="BX472" s="492">
        <f>'Bal Sheet'!BX153</f>
        <v>4850</v>
      </c>
      <c r="BY472" s="492">
        <f>'Bal Sheet'!BY153</f>
        <v>4750</v>
      </c>
      <c r="BZ472" s="492">
        <f>'Bal Sheet'!BZ153</f>
        <v>4800</v>
      </c>
      <c r="CA472" s="841"/>
      <c r="CB472" s="492">
        <f>'Bal Sheet'!CB153</f>
        <v>6300</v>
      </c>
      <c r="CC472" s="492">
        <f>'Bal Sheet'!CC153</f>
        <v>7200</v>
      </c>
      <c r="CD472" s="492">
        <f>'Bal Sheet'!CD153</f>
        <v>6750</v>
      </c>
      <c r="CE472" s="661"/>
      <c r="CF472" s="492">
        <f>'Bal Sheet'!CF153</f>
        <v>6550</v>
      </c>
      <c r="CG472" s="492">
        <f>'Bal Sheet'!CG153</f>
        <v>6100</v>
      </c>
      <c r="CH472" s="492">
        <f>'Bal Sheet'!CH153</f>
        <v>6325</v>
      </c>
      <c r="CI472" s="661"/>
      <c r="CJ472" s="492">
        <f>'Bal Sheet'!CJ153</f>
        <v>8050</v>
      </c>
      <c r="CK472" s="492">
        <f>'Bal Sheet'!CK153</f>
        <v>9950</v>
      </c>
      <c r="CL472" s="492">
        <f>'Bal Sheet'!CL153</f>
        <v>9000</v>
      </c>
      <c r="CM472" s="661"/>
      <c r="CN472" s="492">
        <f>'Bal Sheet'!CN153</f>
        <v>9150</v>
      </c>
      <c r="CO472" s="492">
        <f>'Bal Sheet'!CO153</f>
        <v>8150</v>
      </c>
      <c r="CP472" s="492">
        <f>'Bal Sheet'!CP153</f>
        <v>8650</v>
      </c>
      <c r="CQ472" s="661"/>
      <c r="CR472" s="492">
        <f>'Bal Sheet'!CR153</f>
        <v>8250</v>
      </c>
      <c r="CS472" s="492">
        <f>'Bal Sheet'!CS153</f>
        <v>8550</v>
      </c>
      <c r="CT472" s="492">
        <f>'Bal Sheet'!CT153</f>
        <v>8400</v>
      </c>
      <c r="CU472" s="841"/>
      <c r="CV472" s="492">
        <f>'Bal Sheet'!CV153</f>
        <v>8800</v>
      </c>
      <c r="CW472" s="492">
        <f>'Bal Sheet'!CW153</f>
        <v>9450</v>
      </c>
      <c r="CX472" s="492">
        <f>'Bal Sheet'!CX153</f>
        <v>9125</v>
      </c>
      <c r="CY472" s="841"/>
      <c r="CZ472" s="492">
        <f>'Bal Sheet'!CZ153</f>
        <v>10500</v>
      </c>
      <c r="DA472" s="492">
        <f>'Bal Sheet'!DA153</f>
        <v>12300</v>
      </c>
      <c r="DB472" s="492">
        <f>'Bal Sheet'!DB153</f>
        <v>11400</v>
      </c>
      <c r="DC472" s="841"/>
      <c r="DD472" s="492">
        <f>'Bal Sheet'!DD153</f>
        <v>12750</v>
      </c>
      <c r="DE472" s="492">
        <f>'Bal Sheet'!DE153</f>
        <v>12850</v>
      </c>
      <c r="DF472" s="492">
        <f>'Bal Sheet'!DF153</f>
        <v>12800</v>
      </c>
      <c r="DG472" s="841"/>
      <c r="DH472" s="492">
        <f>'Bal Sheet'!DH153</f>
        <v>13250</v>
      </c>
      <c r="DI472" s="492">
        <f>'Bal Sheet'!DI153</f>
        <v>13317</v>
      </c>
      <c r="DJ472" s="492">
        <f>'Bal Sheet'!DJ153</f>
        <v>13283.5</v>
      </c>
      <c r="DK472" s="841"/>
      <c r="DL472" s="492">
        <f>'Bal Sheet'!DL153</f>
        <v>13762.240000000002</v>
      </c>
      <c r="DM472" s="492">
        <f>'Bal Sheet'!DM153</f>
        <v>14230.769800000002</v>
      </c>
      <c r="DN472" s="492">
        <f>'Bal Sheet'!DN153</f>
        <v>13996.504900000002</v>
      </c>
      <c r="DO472" s="661"/>
      <c r="DP472" s="492">
        <f>'Bal Sheet'!DP153</f>
        <v>14724.278446</v>
      </c>
      <c r="DQ472" s="492">
        <f>'Bal Sheet'!DQ153</f>
        <v>15244.600327420001</v>
      </c>
      <c r="DR472" s="492">
        <f>'Bal Sheet'!DR153</f>
        <v>14984.439386710001</v>
      </c>
      <c r="DS472" s="661"/>
      <c r="DT472" s="841"/>
      <c r="DU472" s="661"/>
      <c r="DV472" s="661"/>
      <c r="DW472" s="661"/>
      <c r="DX472" s="661"/>
      <c r="DY472" s="841"/>
      <c r="DZ472" s="661"/>
      <c r="EA472" s="661"/>
      <c r="EB472" s="661"/>
      <c r="EC472" s="841"/>
      <c r="ED472" s="661"/>
      <c r="EE472" s="661"/>
      <c r="EF472" s="661"/>
      <c r="EG472" s="841"/>
      <c r="EH472" s="841"/>
      <c r="EI472" s="841"/>
      <c r="EJ472" s="841"/>
      <c r="EK472" s="841"/>
      <c r="EL472" s="841"/>
      <c r="EM472" s="841"/>
      <c r="EN472" s="841"/>
      <c r="EO472" s="841"/>
      <c r="EP472" s="841"/>
      <c r="EQ472" s="959"/>
      <c r="ER472" s="959"/>
      <c r="ES472" s="959"/>
      <c r="ET472" s="959"/>
      <c r="JM472"/>
    </row>
    <row r="473" spans="1:273" s="955" customFormat="1">
      <c r="A473" s="960" t="s">
        <v>1048</v>
      </c>
      <c r="B473" s="952"/>
      <c r="C473" s="953"/>
      <c r="D473" s="953"/>
      <c r="E473" s="953"/>
      <c r="F473" s="953"/>
      <c r="G473" s="953"/>
      <c r="H473" s="953"/>
      <c r="I473" s="953"/>
      <c r="J473" s="953"/>
      <c r="K473" s="953"/>
      <c r="L473" s="953"/>
      <c r="M473" s="953"/>
      <c r="N473" s="953"/>
      <c r="O473" s="953"/>
      <c r="P473" s="953"/>
      <c r="Q473" s="953"/>
      <c r="R473" s="953"/>
      <c r="S473" s="953"/>
      <c r="T473" s="953"/>
      <c r="U473" s="953"/>
      <c r="V473" s="953"/>
      <c r="W473" s="953"/>
      <c r="X473" s="953"/>
      <c r="Y473" s="953"/>
      <c r="Z473" s="953"/>
      <c r="AA473" s="953"/>
      <c r="AB473" s="953"/>
      <c r="AC473" s="953"/>
      <c r="AD473" s="953"/>
      <c r="AE473" s="953"/>
      <c r="AF473" s="953"/>
      <c r="AG473" s="953"/>
      <c r="AH473" s="953"/>
      <c r="AI473" s="953"/>
      <c r="AJ473" s="953"/>
      <c r="AK473" s="953"/>
      <c r="AL473" s="953"/>
      <c r="AM473" s="953"/>
      <c r="AN473" s="952"/>
      <c r="AO473" s="952"/>
      <c r="AP473" s="952"/>
      <c r="AQ473" s="952"/>
      <c r="AR473" s="952"/>
      <c r="AS473" s="952"/>
      <c r="AT473" s="952"/>
      <c r="AU473" s="952"/>
      <c r="AV473" s="961"/>
      <c r="AW473" s="961"/>
      <c r="AX473" s="961"/>
      <c r="AY473" s="954"/>
      <c r="AZ473" s="961"/>
      <c r="BA473" s="961"/>
      <c r="BB473" s="961"/>
      <c r="BC473" s="954"/>
      <c r="BD473" s="961"/>
      <c r="BE473" s="961"/>
      <c r="BF473" s="961"/>
      <c r="BG473" s="954"/>
      <c r="BH473" s="962">
        <f>BH466*BH2/BH1/BH472</f>
        <v>3.2519600855310048E-2</v>
      </c>
      <c r="BI473" s="962">
        <f>BI466*BI2/BI1/BI472</f>
        <v>0.13003304237388469</v>
      </c>
      <c r="BJ473" s="962">
        <f>BJ466*BJ2/BJ1/BJ472</f>
        <v>8.0920347080042893E-2</v>
      </c>
      <c r="BK473" s="954"/>
      <c r="BL473" s="962">
        <f>BL466*BL2/BL1/BL472</f>
        <v>3.6760498258110889E-2</v>
      </c>
      <c r="BM473" s="962">
        <f>BM466*BM2/BM1/BM472</f>
        <v>0.16005905828549671</v>
      </c>
      <c r="BN473" s="962">
        <f>BN466*BN2/BN1/BN472</f>
        <v>9.5102979306296173E-2</v>
      </c>
      <c r="BO473" s="954"/>
      <c r="BP473" s="962">
        <f>BP466*BP2/BP1/BP472</f>
        <v>9.1490280497030743E-2</v>
      </c>
      <c r="BQ473" s="962">
        <f>BQ466*BQ2/BQ1/BQ472</f>
        <v>0.14010765838548131</v>
      </c>
      <c r="BR473" s="962">
        <f>BR466*BR2/BR1/BR472</f>
        <v>0.11601690934711131</v>
      </c>
      <c r="BS473" s="954"/>
      <c r="BT473" s="962">
        <f>BT466*BT2/BT1/BT472</f>
        <v>9.9492385786802029E-2</v>
      </c>
      <c r="BU473" s="962">
        <f>BU466*BU2/BU1/BU472</f>
        <v>0.13048368953880765</v>
      </c>
      <c r="BV473" s="962">
        <f>BV466*BV2/BV1/BV472</f>
        <v>0.11560580953309289</v>
      </c>
      <c r="BW473" s="954"/>
      <c r="BX473" s="962">
        <f>BX466*BX2/BX1/BX472</f>
        <v>0.34585657146076276</v>
      </c>
      <c r="BY473" s="962">
        <f>BY466*BY2/BY1/BY472</f>
        <v>0.2123713128976287</v>
      </c>
      <c r="BZ473" s="962">
        <f>BZ466*BZ2/BZ1/BZ472</f>
        <v>0.28000000000000003</v>
      </c>
      <c r="CA473" s="954"/>
      <c r="CB473" s="962">
        <f>CB466*CB2/CB1/CB472</f>
        <v>0.14310000867377917</v>
      </c>
      <c r="CC473" s="962">
        <f>CC466*CC2/CC1/CC472</f>
        <v>0.23118894993894995</v>
      </c>
      <c r="CD473" s="962">
        <f>CD466*CD2/CD1/CD472</f>
        <v>0.18992592592592591</v>
      </c>
      <c r="CE473" s="791"/>
      <c r="CF473" s="962">
        <f>CF466*CF2/CF1/CF472</f>
        <v>0.14403287031243481</v>
      </c>
      <c r="CG473" s="962">
        <f>CG466*CG2/CG1/CG472</f>
        <v>0.52636011529454152</v>
      </c>
      <c r="CH473" s="962">
        <f>CH466*CH2/CH1/CH472</f>
        <v>0.32790513833992097</v>
      </c>
      <c r="CI473" s="791"/>
      <c r="CJ473" s="962">
        <f>CJ466*CJ2/CJ1/CJ472</f>
        <v>0.16173913043478261</v>
      </c>
      <c r="CK473" s="962">
        <f>CK466*CK2/CK1/CK472</f>
        <v>0.20301507537688443</v>
      </c>
      <c r="CL473" s="962">
        <f>CL466*CL2/CL1/CL472</f>
        <v>0.18455555555555556</v>
      </c>
      <c r="CM473" s="791"/>
      <c r="CN473" s="962">
        <f>CN466*CN2/CN1/CN472</f>
        <v>0.13144316044074175</v>
      </c>
      <c r="CO473" s="962">
        <f>CO466*CO2/CO1/CO472</f>
        <v>0.32260163149733706</v>
      </c>
      <c r="CP473" s="962">
        <f>CP466*CP2/CP1/CP472</f>
        <v>0.22127167630057804</v>
      </c>
      <c r="CQ473" s="961"/>
      <c r="CR473" s="962">
        <f>CR466*CR2/CR1/CR472</f>
        <v>0.23813545288955124</v>
      </c>
      <c r="CS473" s="962">
        <f>CS466*CS2/CS1/CS472</f>
        <v>0.52799627273311489</v>
      </c>
      <c r="CT473" s="962">
        <f>CT466*CT2/CT1/CT472</f>
        <v>0.38523809523809521</v>
      </c>
      <c r="CU473" s="954"/>
      <c r="CV473" s="962">
        <f>CV466*CV2/CV1/CV472</f>
        <v>0.34949701937406857</v>
      </c>
      <c r="CW473" s="962">
        <f>CW466*CW2/CW1/CW472</f>
        <v>0.119268562125705</v>
      </c>
      <c r="CX473" s="962">
        <f>CX466*CX2/CX1/CX472</f>
        <v>0.23057534246575342</v>
      </c>
      <c r="CY473" s="954"/>
      <c r="CZ473" s="962">
        <f>CZ466*CZ2/CZ1/CZ472</f>
        <v>6.590476190476191E-2</v>
      </c>
      <c r="DA473" s="962">
        <f>DA466*DA2/DA1/DA472</f>
        <v>0.11544715447154472</v>
      </c>
      <c r="DB473" s="962">
        <f>DB466*DB2/DB1/DB472</f>
        <v>9.2631578947368426E-2</v>
      </c>
      <c r="DC473" s="954"/>
      <c r="DD473" s="962">
        <f>DD466*DD2/DD1/DD472</f>
        <v>8.2284367298832109E-2</v>
      </c>
      <c r="DE473" s="962">
        <f>DE466*DE2/DE1/DE472</f>
        <v>0.12423141061273357</v>
      </c>
      <c r="DF473" s="962">
        <f>DF466*DF2/DF1/DF472</f>
        <v>0.10328125</v>
      </c>
      <c r="DG473" s="954"/>
      <c r="DH473" s="962">
        <f>DH466*DH2/DH1/DH472</f>
        <v>4.9073100319620581E-2</v>
      </c>
      <c r="DI473" s="963">
        <f>DI466*DI2/DI1/DI472</f>
        <v>0.14966588191413605</v>
      </c>
      <c r="DJ473" s="963">
        <f>DJ466*DJ2/DJ1/DJ472</f>
        <v>9.9357849964241365E-2</v>
      </c>
      <c r="DK473" s="954"/>
      <c r="DL473" s="963">
        <f>DL466*DL2/DL1/DL472</f>
        <v>8.9577170116289365E-2</v>
      </c>
      <c r="DM473" s="963">
        <f>DM466*DM2/DM1/DM472</f>
        <v>0.11864850181776647</v>
      </c>
      <c r="DN473" s="963">
        <f>DN466*DN2/DN1/DN472</f>
        <v>0.10431152708702297</v>
      </c>
      <c r="DO473" s="961"/>
      <c r="DP473" s="963">
        <f>DP466*DP2/DP1/DP472</f>
        <v>8.75021757246114E-2</v>
      </c>
      <c r="DQ473" s="963">
        <f>DQ466*DQ2/DQ1/DQ472</f>
        <v>0.11663060400488091</v>
      </c>
      <c r="DR473" s="963">
        <f>DR466*DR2/DR1/DR472</f>
        <v>0.10231925482376225</v>
      </c>
      <c r="DS473" s="961"/>
      <c r="DT473" s="954"/>
      <c r="DU473" s="961"/>
      <c r="DV473" s="961"/>
      <c r="DW473" s="961"/>
      <c r="DX473" s="961"/>
      <c r="DY473" s="954"/>
      <c r="DZ473" s="961"/>
      <c r="EA473" s="961"/>
      <c r="EB473" s="961"/>
      <c r="EC473" s="954"/>
      <c r="ED473" s="961"/>
      <c r="EE473" s="961"/>
      <c r="EF473" s="961"/>
      <c r="EG473" s="954"/>
      <c r="EH473" s="954"/>
      <c r="EI473" s="954"/>
      <c r="EJ473" s="954"/>
      <c r="EK473" s="954"/>
      <c r="EL473" s="954"/>
      <c r="EM473" s="954"/>
      <c r="EN473" s="954"/>
      <c r="EO473" s="954"/>
      <c r="EP473" s="954"/>
      <c r="EQ473" s="956"/>
      <c r="ER473" s="956"/>
      <c r="ES473" s="956"/>
      <c r="ET473" s="956"/>
      <c r="JM473"/>
    </row>
    <row r="474" spans="1:273" s="955" customFormat="1">
      <c r="A474" s="964" t="s">
        <v>1049</v>
      </c>
      <c r="B474" s="952"/>
      <c r="C474" s="953"/>
      <c r="D474" s="953"/>
      <c r="E474" s="953"/>
      <c r="F474" s="953"/>
      <c r="G474" s="953"/>
      <c r="H474" s="953"/>
      <c r="I474" s="953"/>
      <c r="J474" s="953"/>
      <c r="K474" s="953"/>
      <c r="L474" s="953"/>
      <c r="M474" s="953"/>
      <c r="N474" s="953"/>
      <c r="O474" s="953"/>
      <c r="P474" s="953"/>
      <c r="Q474" s="953"/>
      <c r="R474" s="953"/>
      <c r="S474" s="953"/>
      <c r="T474" s="953"/>
      <c r="U474" s="953"/>
      <c r="V474" s="953"/>
      <c r="W474" s="953"/>
      <c r="X474" s="953"/>
      <c r="Y474" s="953"/>
      <c r="Z474" s="953"/>
      <c r="AA474" s="953"/>
      <c r="AB474" s="953"/>
      <c r="AC474" s="953"/>
      <c r="AD474" s="953"/>
      <c r="AE474" s="953"/>
      <c r="AF474" s="953"/>
      <c r="AG474" s="953"/>
      <c r="AH474" s="953"/>
      <c r="AI474" s="953"/>
      <c r="AJ474" s="953"/>
      <c r="AK474" s="953"/>
      <c r="AL474" s="953"/>
      <c r="AM474" s="953"/>
      <c r="AN474" s="952"/>
      <c r="AO474" s="952"/>
      <c r="AP474" s="952"/>
      <c r="AQ474" s="952"/>
      <c r="AR474" s="952"/>
      <c r="AS474" s="952"/>
      <c r="AT474" s="952"/>
      <c r="AU474" s="952"/>
      <c r="AV474" s="661"/>
      <c r="AW474" s="661"/>
      <c r="AX474" s="661"/>
      <c r="AY474" s="954"/>
      <c r="AZ474" s="661"/>
      <c r="BA474" s="661"/>
      <c r="BB474" s="661"/>
      <c r="BC474" s="954"/>
      <c r="BD474" s="661"/>
      <c r="BE474" s="661"/>
      <c r="BF474" s="661"/>
      <c r="BG474" s="954"/>
      <c r="BH474" s="830">
        <f>BH468*BH2/BH1/BH472</f>
        <v>4.916653938838543E-2</v>
      </c>
      <c r="BI474" s="830">
        <f>BI468*BI2/BI1/BI472</f>
        <v>5.6963115239315042E-2</v>
      </c>
      <c r="BJ474" s="830">
        <f>BJ468*BJ2/BJ1/BJ472</f>
        <v>5.3036950375353414E-2</v>
      </c>
      <c r="BK474" s="954"/>
      <c r="BL474" s="830">
        <f>BL468*BL2/BL1/BL472</f>
        <v>4.0102361736120966E-2</v>
      </c>
      <c r="BM474" s="830">
        <f>BM468*BM2/BM1/BM472</f>
        <v>6.2865573280091736E-2</v>
      </c>
      <c r="BN474" s="830">
        <f>BN468*BN2/BN1/BN472</f>
        <v>5.0878137077442397E-2</v>
      </c>
      <c r="BO474" s="954"/>
      <c r="BP474" s="830">
        <f>BP468*BP2/BP1/BP472</f>
        <v>7.4898778852491479E-2</v>
      </c>
      <c r="BQ474" s="830">
        <f>BQ468*BQ2/BQ1/BQ472</f>
        <v>0.12335059625299848</v>
      </c>
      <c r="BR474" s="830">
        <f>BR468*BR2/BR1/BR472</f>
        <v>9.9342414279004226E-2</v>
      </c>
      <c r="BS474" s="954"/>
      <c r="BT474" s="830">
        <f>BT468*BT2/BT1/BT472</f>
        <v>4.060913705583756E-2</v>
      </c>
      <c r="BU474" s="830">
        <f>BU468*BU2/BU1/BU472</f>
        <v>5.2868391451068614E-2</v>
      </c>
      <c r="BV474" s="830">
        <f>BV468*BV2/BV1/BV472</f>
        <v>4.6983136757968613E-2</v>
      </c>
      <c r="BW474" s="954"/>
      <c r="BX474" s="830">
        <f>BX468*BX2/BX1/BX472</f>
        <v>5.1816799053574447E-2</v>
      </c>
      <c r="BY474" s="830">
        <f>BY468*BY2/BY1/BY472</f>
        <v>4.4754193175245809E-2</v>
      </c>
      <c r="BZ474" s="830">
        <f>BZ468*BZ2/BZ1/BZ472</f>
        <v>4.8333333333333332E-2</v>
      </c>
      <c r="CA474" s="954"/>
      <c r="CB474" s="830">
        <f>CB468*CB2/CB1/CB472</f>
        <v>1.7412611674906757E-2</v>
      </c>
      <c r="CC474" s="830">
        <f>CC468*CC2/CC1/CC472</f>
        <v>4.233821733821734E-2</v>
      </c>
      <c r="CD474" s="830">
        <f>CD468*CD2/CD1/CD472</f>
        <v>3.0666666666666665E-2</v>
      </c>
      <c r="CE474" s="961"/>
      <c r="CF474" s="830">
        <f>CF468*CF2/CF1/CF472</f>
        <v>2.2838192967087976E-2</v>
      </c>
      <c r="CG474" s="830">
        <f>CG468*CG2/CG1/CG472</f>
        <v>6.1151143938029187E-2</v>
      </c>
      <c r="CH474" s="830">
        <f>CH468*CH2/CH1/CH472</f>
        <v>4.1264822134387355E-2</v>
      </c>
      <c r="CI474" s="961"/>
      <c r="CJ474" s="830">
        <f>CJ468*CJ2/CJ1/CJ472</f>
        <v>2.6086956521739129E-2</v>
      </c>
      <c r="CK474" s="830">
        <f>CK468*CK2/CK1/CK472</f>
        <v>4.0603015075376885E-2</v>
      </c>
      <c r="CL474" s="830">
        <f>CL468*CL2/CL1/CL472</f>
        <v>3.4111111111111113E-2</v>
      </c>
      <c r="CM474" s="961"/>
      <c r="CN474" s="830">
        <f>CN468*CN2/CN1/CN472</f>
        <v>8.5012989339783209E-3</v>
      </c>
      <c r="CO474" s="830">
        <f>CO468*CO2/CO1/CO472</f>
        <v>7.1361154183240067E-3</v>
      </c>
      <c r="CP474" s="830">
        <f>CP468*CP2/CP1/CP472</f>
        <v>7.8612716763005776E-3</v>
      </c>
      <c r="CQ474" s="961"/>
      <c r="CR474" s="830">
        <f>CR468*CR2/CR1/CR472</f>
        <v>3.3121377711541646E-2</v>
      </c>
      <c r="CS474" s="830">
        <f>CS468*CS2/CS1/CS472</f>
        <v>1.7592057065741275E-2</v>
      </c>
      <c r="CT474" s="830">
        <f>CT468*CT2/CT1/CT472</f>
        <v>2.5238095238095237E-2</v>
      </c>
      <c r="CU474" s="954"/>
      <c r="CV474" s="830">
        <f>CV468*CV2/CV1/CV472</f>
        <v>6.7995529061102827E-3</v>
      </c>
      <c r="CW474" s="830">
        <f>CW468*CW2/CW1/CW472</f>
        <v>3.7563230420373281E-2</v>
      </c>
      <c r="CX474" s="830">
        <f>CX468*CX2/CX1/CX472</f>
        <v>2.2684931506849314E-2</v>
      </c>
      <c r="CY474" s="954"/>
      <c r="CZ474" s="830">
        <f>CZ468*CZ2/CZ1/CZ472</f>
        <v>-5.5238095238095237E-3</v>
      </c>
      <c r="DA474" s="830">
        <f>DA468*DA2/DA1/DA472</f>
        <v>-7.6422764227642281E-3</v>
      </c>
      <c r="DB474" s="830">
        <f>DB468*DB2/DB1/DB472</f>
        <v>-6.6666666666666671E-3</v>
      </c>
      <c r="DC474" s="954"/>
      <c r="DD474" s="830">
        <f>DD468*DD2/DD1/DD472</f>
        <v>1.9397835636987035E-2</v>
      </c>
      <c r="DE474" s="830">
        <f>DE468*DE2/DE1/DE472</f>
        <v>-2.0132979860606318E-2</v>
      </c>
      <c r="DF474" s="830">
        <f>DF468*DF2/DF1/DF472</f>
        <v>-3.9062500000000002E-4</v>
      </c>
      <c r="DG474" s="954"/>
      <c r="DH474" s="830">
        <f>DH468*DH2/DH1/DH472</f>
        <v>-2.7697700793896277E-2</v>
      </c>
      <c r="DI474" s="965">
        <f>DI468*DI2/DI1/DI472</f>
        <v>1.2077844810442257E-3</v>
      </c>
      <c r="DJ474" s="965">
        <f>DJ468*DJ2/DJ1/DJ472</f>
        <v>-1.3248014454021906E-2</v>
      </c>
      <c r="DK474" s="954"/>
      <c r="DL474" s="965">
        <f>DL468*DL2/DL1/DL472</f>
        <v>3.8406820385447466E-3</v>
      </c>
      <c r="DM474" s="965">
        <f>DM468*DM2/DM1/DM472</f>
        <v>6.1668252629795001E-3</v>
      </c>
      <c r="DN474" s="965">
        <f>DN468*DN2/DN1/DN472</f>
        <v>5.0198044799026932E-3</v>
      </c>
      <c r="DO474" s="661"/>
      <c r="DP474" s="965">
        <f>DP468*DP2/DP1/DP472</f>
        <v>1.1840837139789581E-2</v>
      </c>
      <c r="DQ474" s="965">
        <f>DQ468*DQ2/DQ1/DQ472</f>
        <v>1.243794933943604E-2</v>
      </c>
      <c r="DR474" s="965">
        <f>DR468*DR2/DR1/DR472</f>
        <v>1.2144576792616043E-2</v>
      </c>
      <c r="DS474" s="661"/>
      <c r="DT474" s="954"/>
      <c r="DU474" s="661"/>
      <c r="DV474" s="661"/>
      <c r="DW474" s="661"/>
      <c r="DX474" s="661"/>
      <c r="DY474" s="954"/>
      <c r="DZ474" s="661"/>
      <c r="EA474" s="661"/>
      <c r="EB474" s="661"/>
      <c r="EC474" s="954"/>
      <c r="ED474" s="661"/>
      <c r="EE474" s="661"/>
      <c r="EF474" s="661"/>
      <c r="EG474" s="954"/>
      <c r="EH474" s="954"/>
      <c r="EI474" s="954"/>
      <c r="EJ474" s="954"/>
      <c r="EK474" s="954"/>
      <c r="EL474" s="954"/>
      <c r="EM474" s="954"/>
      <c r="EN474" s="954"/>
      <c r="EO474" s="954"/>
      <c r="EP474" s="954"/>
      <c r="EQ474" s="956"/>
      <c r="ER474" s="956"/>
      <c r="ES474" s="956"/>
      <c r="ET474" s="956"/>
      <c r="JM474"/>
    </row>
    <row r="475" spans="1:273" s="855" customFormat="1">
      <c r="A475" s="289"/>
      <c r="B475" s="290"/>
      <c r="C475" s="289"/>
      <c r="D475" s="289"/>
      <c r="E475" s="289"/>
      <c r="F475" s="289"/>
      <c r="G475" s="289"/>
      <c r="H475" s="289"/>
      <c r="I475" s="289"/>
      <c r="J475" s="289"/>
      <c r="K475" s="289"/>
      <c r="L475" s="289"/>
      <c r="M475" s="289"/>
      <c r="N475" s="289"/>
      <c r="O475" s="289"/>
      <c r="P475" s="289"/>
      <c r="Q475" s="289"/>
      <c r="R475" s="289"/>
      <c r="S475" s="289"/>
      <c r="T475" s="289"/>
      <c r="U475" s="289"/>
      <c r="V475" s="289"/>
      <c r="W475" s="289"/>
      <c r="X475" s="289"/>
      <c r="Y475" s="289"/>
      <c r="Z475" s="289"/>
      <c r="AA475" s="289"/>
      <c r="AB475" s="289"/>
      <c r="AC475" s="289"/>
      <c r="AD475" s="289"/>
      <c r="AE475" s="289"/>
      <c r="AF475" s="289"/>
      <c r="AG475" s="289"/>
      <c r="AH475" s="289"/>
      <c r="AI475" s="289"/>
      <c r="AJ475" s="289"/>
      <c r="AK475" s="289"/>
      <c r="AL475" s="289"/>
      <c r="AM475" s="289"/>
      <c r="AN475" s="290"/>
      <c r="AO475" s="290"/>
      <c r="AP475" s="290"/>
      <c r="AQ475" s="290"/>
      <c r="AR475" s="290"/>
      <c r="AS475" s="290"/>
      <c r="AT475" s="290"/>
      <c r="AU475" s="290"/>
      <c r="AV475" s="853"/>
      <c r="AW475" s="853"/>
      <c r="AX475" s="853"/>
      <c r="AY475" s="853"/>
      <c r="AZ475" s="853"/>
      <c r="BA475" s="853"/>
      <c r="BB475" s="853"/>
      <c r="BC475" s="853"/>
      <c r="BD475" s="853"/>
      <c r="BE475" s="853"/>
      <c r="BF475" s="853"/>
      <c r="BG475" s="853"/>
      <c r="BH475" s="853"/>
      <c r="BI475" s="853"/>
      <c r="BJ475" s="853"/>
      <c r="BK475" s="853"/>
      <c r="BL475" s="853"/>
      <c r="BM475" s="853"/>
      <c r="BN475" s="853"/>
      <c r="BO475" s="853"/>
      <c r="BP475" s="853"/>
      <c r="BQ475" s="853"/>
      <c r="BR475" s="853"/>
      <c r="BS475" s="853"/>
      <c r="BT475" s="853"/>
      <c r="BU475" s="853"/>
      <c r="BV475" s="853"/>
      <c r="BW475" s="853"/>
      <c r="BX475" s="853"/>
      <c r="BY475" s="853"/>
      <c r="BZ475" s="853"/>
      <c r="CA475" s="853"/>
      <c r="CB475" s="853"/>
      <c r="CC475" s="853"/>
      <c r="CD475" s="853"/>
      <c r="CE475" s="862"/>
      <c r="CF475" s="853"/>
      <c r="CG475" s="853"/>
      <c r="CH475" s="853"/>
      <c r="CI475" s="862"/>
      <c r="CJ475" s="853"/>
      <c r="CK475" s="853"/>
      <c r="CL475" s="853"/>
      <c r="CM475" s="862"/>
      <c r="CN475" s="853"/>
      <c r="CO475" s="853"/>
      <c r="CP475" s="853"/>
      <c r="CQ475" s="862"/>
      <c r="CR475" s="853"/>
      <c r="CS475" s="853"/>
      <c r="CT475" s="853"/>
      <c r="CU475" s="853"/>
      <c r="CV475" s="853"/>
      <c r="CW475" s="853"/>
      <c r="CX475" s="853"/>
      <c r="CY475" s="853"/>
      <c r="CZ475" s="853"/>
      <c r="DA475" s="853"/>
      <c r="DB475" s="853"/>
      <c r="DC475" s="853"/>
      <c r="DD475" s="853"/>
      <c r="DE475" s="853"/>
      <c r="DF475" s="853"/>
      <c r="DG475" s="853"/>
      <c r="DH475" s="853"/>
      <c r="DI475" s="853"/>
      <c r="DJ475" s="853"/>
      <c r="DK475" s="853"/>
      <c r="DL475" s="853"/>
      <c r="DM475" s="853"/>
      <c r="DN475" s="853"/>
      <c r="DO475" s="853"/>
      <c r="DP475" s="853"/>
      <c r="DQ475" s="853"/>
      <c r="DR475" s="853"/>
      <c r="DS475" s="853"/>
      <c r="DT475" s="853"/>
      <c r="DU475" s="853"/>
      <c r="DV475" s="853"/>
      <c r="DW475" s="853"/>
      <c r="DX475" s="853"/>
      <c r="DY475" s="853"/>
      <c r="DZ475" s="853"/>
      <c r="EA475" s="853"/>
      <c r="EB475" s="853"/>
      <c r="EC475" s="853"/>
      <c r="ED475" s="853"/>
      <c r="EE475" s="853"/>
      <c r="EF475" s="853"/>
      <c r="EG475" s="853"/>
      <c r="EH475" s="853"/>
      <c r="EI475" s="853"/>
      <c r="EJ475" s="853"/>
      <c r="EK475" s="853"/>
      <c r="EL475" s="853"/>
      <c r="EM475" s="853"/>
      <c r="EN475" s="853"/>
      <c r="EO475" s="853"/>
      <c r="EP475" s="853"/>
      <c r="JM475"/>
    </row>
    <row r="476" spans="1:273" s="327" customFormat="1">
      <c r="A476" s="332" t="s">
        <v>657</v>
      </c>
      <c r="B476" s="295"/>
      <c r="AN476" s="295"/>
      <c r="AO476" s="295"/>
      <c r="AP476" s="295"/>
      <c r="AQ476" s="295"/>
      <c r="AR476" s="295"/>
      <c r="AS476" s="295"/>
      <c r="AT476" s="293">
        <f>AT502</f>
        <v>232</v>
      </c>
      <c r="AU476" s="295"/>
      <c r="AV476" s="293">
        <f>AV502</f>
        <v>75</v>
      </c>
      <c r="AW476" s="966">
        <f>AW502</f>
        <v>42</v>
      </c>
      <c r="AX476" s="293">
        <f t="shared" ref="AX476:AX490" si="550">+AV476+AW476</f>
        <v>117</v>
      </c>
      <c r="AY476" s="853"/>
      <c r="AZ476" s="293">
        <f>AZ502</f>
        <v>63</v>
      </c>
      <c r="BA476" s="293">
        <f>BA502</f>
        <v>117</v>
      </c>
      <c r="BB476" s="293">
        <f t="shared" ref="BB476:BB490" si="551">+AZ476+BA476</f>
        <v>180</v>
      </c>
      <c r="BC476" s="295"/>
      <c r="BD476" s="293">
        <f>BD502</f>
        <v>66</v>
      </c>
      <c r="BE476" s="293">
        <f>BE502</f>
        <v>188</v>
      </c>
      <c r="BF476" s="293">
        <f t="shared" ref="BF476:BF490" si="552">+BD476+BE476</f>
        <v>254</v>
      </c>
      <c r="BG476" s="295"/>
      <c r="BH476" s="293">
        <f>BH502</f>
        <v>119</v>
      </c>
      <c r="BI476" s="293">
        <f>BI502</f>
        <v>157</v>
      </c>
      <c r="BJ476" s="293">
        <f t="shared" ref="BJ476:BJ490" si="553">+BH476+BI476</f>
        <v>276</v>
      </c>
      <c r="BK476" s="295"/>
      <c r="BL476" s="293">
        <f>BL502</f>
        <v>92</v>
      </c>
      <c r="BM476" s="293">
        <f>BM502</f>
        <v>133</v>
      </c>
      <c r="BN476" s="293">
        <f t="shared" ref="BN476:BN490" si="554">+BL476+BM476</f>
        <v>225</v>
      </c>
      <c r="BO476" s="295"/>
      <c r="BP476" s="293">
        <f>BP502</f>
        <v>170</v>
      </c>
      <c r="BQ476" s="293">
        <f>BQ502</f>
        <v>144</v>
      </c>
      <c r="BR476" s="293">
        <f t="shared" ref="BR476:BR490" si="555">+BP476+BQ476</f>
        <v>314</v>
      </c>
      <c r="BS476" s="295"/>
      <c r="BT476" s="293">
        <f>BT502</f>
        <v>265</v>
      </c>
      <c r="BU476" s="293">
        <f>BU502</f>
        <v>345</v>
      </c>
      <c r="BV476" s="293">
        <f t="shared" ref="BV476:BV490" si="556">+BT476+BU476</f>
        <v>610</v>
      </c>
      <c r="BW476" s="295"/>
      <c r="BX476" s="293">
        <f>BX502</f>
        <v>588</v>
      </c>
      <c r="BY476" s="293">
        <f>BY502</f>
        <v>451</v>
      </c>
      <c r="BZ476" s="293">
        <f t="shared" ref="BZ476:BZ490" si="557">+BX476+BY476</f>
        <v>1039</v>
      </c>
      <c r="CA476" s="295"/>
      <c r="CB476" s="293">
        <f>CB502</f>
        <v>446</v>
      </c>
      <c r="CC476" s="293">
        <f>CC502</f>
        <v>817</v>
      </c>
      <c r="CD476" s="293">
        <f t="shared" ref="CD476:CD490" si="558">+CB476+CC476</f>
        <v>1263</v>
      </c>
      <c r="CE476" s="791"/>
      <c r="CF476" s="293">
        <f>CF502</f>
        <v>473</v>
      </c>
      <c r="CG476" s="293">
        <f>CG502</f>
        <v>1601</v>
      </c>
      <c r="CH476" s="293">
        <f t="shared" ref="CH476:CH490" si="559">+CF476+CG476</f>
        <v>2074</v>
      </c>
      <c r="CI476" s="791"/>
      <c r="CJ476" s="293">
        <f>CJ502</f>
        <v>651</v>
      </c>
      <c r="CK476" s="293">
        <f>CK502</f>
        <v>1010</v>
      </c>
      <c r="CL476" s="293">
        <f t="shared" ref="CL476:CL490" si="560">+CJ476+CK476</f>
        <v>1661</v>
      </c>
      <c r="CM476" s="791"/>
      <c r="CN476" s="293">
        <f>CN502</f>
        <v>603</v>
      </c>
      <c r="CO476" s="293">
        <f>CO502</f>
        <v>1311</v>
      </c>
      <c r="CP476" s="293">
        <f t="shared" ref="CP476:CP490" si="561">+CN476+CO476</f>
        <v>1914</v>
      </c>
      <c r="CQ476" s="791"/>
      <c r="CR476" s="293">
        <f>CR502</f>
        <v>985</v>
      </c>
      <c r="CS476" s="293">
        <f>CS502</f>
        <v>2251</v>
      </c>
      <c r="CT476" s="293">
        <f t="shared" ref="CT476:CT490" si="562">+CR476+CS476</f>
        <v>3236</v>
      </c>
      <c r="CU476" s="295"/>
      <c r="CV476" s="293">
        <f>CV502</f>
        <v>1542</v>
      </c>
      <c r="CW476" s="293">
        <f>CW502</f>
        <v>562</v>
      </c>
      <c r="CX476" s="293">
        <f t="shared" ref="CX476:CX490" si="563">+CV476+CW476</f>
        <v>2104</v>
      </c>
      <c r="CY476" s="295"/>
      <c r="CZ476" s="293">
        <f>CZ502</f>
        <v>346</v>
      </c>
      <c r="DA476" s="293">
        <f>DA502</f>
        <v>710</v>
      </c>
      <c r="DB476" s="293">
        <f t="shared" ref="DB476:DB490" si="564">+CZ476+DA476</f>
        <v>1056</v>
      </c>
      <c r="DC476" s="295"/>
      <c r="DD476" s="293">
        <f>DD502</f>
        <v>526</v>
      </c>
      <c r="DE476" s="293">
        <f>DE502</f>
        <v>796</v>
      </c>
      <c r="DF476" s="293">
        <f t="shared" ref="DF476:DF490" si="565">+DD476+DE476</f>
        <v>1322</v>
      </c>
      <c r="DG476" s="295"/>
      <c r="DH476" s="293">
        <f>DH502</f>
        <v>326</v>
      </c>
      <c r="DI476" s="293">
        <f>DI502</f>
        <v>993.82</v>
      </c>
      <c r="DJ476" s="293">
        <f t="shared" ref="DJ476:DJ490" si="566">+DH476+DI476</f>
        <v>1319.8200000000002</v>
      </c>
      <c r="DK476" s="295"/>
      <c r="DL476" s="293">
        <f>DL502</f>
        <v>618.08000000000004</v>
      </c>
      <c r="DM476" s="293">
        <f>DM502</f>
        <v>841.91679999999997</v>
      </c>
      <c r="DN476" s="293">
        <f t="shared" ref="DN476:DN490" si="567">+DL476+DM476</f>
        <v>1459.9967999999999</v>
      </c>
      <c r="DO476" s="295"/>
      <c r="DP476" s="293">
        <f>DP502</f>
        <v>644.20320000000004</v>
      </c>
      <c r="DQ476" s="293">
        <f>DQ502</f>
        <v>888.993472</v>
      </c>
      <c r="DR476" s="293">
        <f t="shared" ref="DR476:DR490" si="568">+DP476+DQ476</f>
        <v>1533.196672</v>
      </c>
      <c r="DS476" s="295"/>
      <c r="DT476" s="295"/>
      <c r="DU476" s="293"/>
      <c r="DV476" s="293"/>
      <c r="DW476" s="293"/>
      <c r="DX476" s="295"/>
      <c r="DY476" s="295"/>
      <c r="DZ476" s="293"/>
      <c r="EA476" s="293"/>
      <c r="EB476" s="295"/>
      <c r="EC476" s="295"/>
      <c r="ED476" s="293"/>
      <c r="EE476" s="293"/>
      <c r="EF476" s="295"/>
      <c r="EG476" s="295"/>
      <c r="EH476" s="295"/>
      <c r="EI476" s="295"/>
      <c r="EJ476" s="295"/>
      <c r="EK476" s="295"/>
      <c r="EL476" s="295"/>
      <c r="EM476" s="295"/>
      <c r="EN476" s="295"/>
      <c r="EO476" s="295"/>
      <c r="EP476" s="295"/>
      <c r="JM476"/>
    </row>
    <row r="477" spans="1:273" s="327" customFormat="1">
      <c r="A477" s="332" t="s">
        <v>674</v>
      </c>
      <c r="B477" s="295"/>
      <c r="AN477" s="295"/>
      <c r="AO477" s="295"/>
      <c r="AP477" s="295"/>
      <c r="AQ477" s="295"/>
      <c r="AR477" s="295"/>
      <c r="AS477" s="295"/>
      <c r="AT477" s="293">
        <f>AT513</f>
        <v>-7</v>
      </c>
      <c r="AU477" s="295"/>
      <c r="AV477" s="293">
        <f>AV513</f>
        <v>10</v>
      </c>
      <c r="AW477" s="966">
        <f>AW513</f>
        <v>18</v>
      </c>
      <c r="AX477" s="293">
        <f t="shared" si="550"/>
        <v>28</v>
      </c>
      <c r="AY477" s="820"/>
      <c r="AZ477" s="293">
        <f>AZ513</f>
        <v>43</v>
      </c>
      <c r="BA477" s="293">
        <f>BA513</f>
        <v>6</v>
      </c>
      <c r="BB477" s="293">
        <f t="shared" si="551"/>
        <v>49</v>
      </c>
      <c r="BC477" s="295"/>
      <c r="BD477" s="293">
        <f>BD513</f>
        <v>25</v>
      </c>
      <c r="BE477" s="293">
        <f>BE513</f>
        <v>-24</v>
      </c>
      <c r="BF477" s="293">
        <f t="shared" si="552"/>
        <v>1</v>
      </c>
      <c r="BG477" s="295"/>
      <c r="BH477" s="293">
        <f>BH513</f>
        <v>5</v>
      </c>
      <c r="BI477" s="293">
        <f>BI513</f>
        <v>174</v>
      </c>
      <c r="BJ477" s="293">
        <f t="shared" si="553"/>
        <v>179</v>
      </c>
      <c r="BK477" s="295"/>
      <c r="BL477" s="293">
        <f>BL513</f>
        <v>7</v>
      </c>
      <c r="BM477" s="293">
        <f>BM513</f>
        <v>254</v>
      </c>
      <c r="BN477" s="293">
        <f t="shared" si="554"/>
        <v>261</v>
      </c>
      <c r="BO477" s="295"/>
      <c r="BP477" s="293">
        <f>BP513</f>
        <v>23</v>
      </c>
      <c r="BQ477" s="293">
        <f>BQ513</f>
        <v>16</v>
      </c>
      <c r="BR477" s="293">
        <f t="shared" si="555"/>
        <v>39</v>
      </c>
      <c r="BS477" s="295"/>
      <c r="BT477" s="293">
        <f>BT513</f>
        <v>-23</v>
      </c>
      <c r="BU477" s="293">
        <f>BU513</f>
        <v>-2</v>
      </c>
      <c r="BV477" s="293">
        <f t="shared" si="556"/>
        <v>-25</v>
      </c>
      <c r="BW477" s="295"/>
      <c r="BX477" s="293">
        <f>BX513</f>
        <v>46</v>
      </c>
      <c r="BY477" s="293">
        <f>BY513</f>
        <v>51</v>
      </c>
      <c r="BZ477" s="293">
        <f t="shared" si="557"/>
        <v>97</v>
      </c>
      <c r="CA477" s="295"/>
      <c r="CB477" s="293">
        <f>CB513</f>
        <v>0</v>
      </c>
      <c r="CC477" s="293">
        <f>CC513</f>
        <v>0</v>
      </c>
      <c r="CD477" s="293">
        <f t="shared" si="558"/>
        <v>0</v>
      </c>
      <c r="CE477" s="791"/>
      <c r="CF477" s="293">
        <f>CF513</f>
        <v>0</v>
      </c>
      <c r="CG477" s="293">
        <f>CG513</f>
        <v>0</v>
      </c>
      <c r="CH477" s="293">
        <f t="shared" si="559"/>
        <v>0</v>
      </c>
      <c r="CI477" s="791"/>
      <c r="CJ477" s="293">
        <f>CJ513</f>
        <v>0</v>
      </c>
      <c r="CK477" s="293">
        <f>CK513</f>
        <v>0</v>
      </c>
      <c r="CL477" s="293">
        <f t="shared" si="560"/>
        <v>0</v>
      </c>
      <c r="CM477" s="791"/>
      <c r="CN477" s="293">
        <f>CN513</f>
        <v>0</v>
      </c>
      <c r="CO477" s="293">
        <f>CO513</f>
        <v>0</v>
      </c>
      <c r="CP477" s="293">
        <f t="shared" si="561"/>
        <v>0</v>
      </c>
      <c r="CQ477" s="791"/>
      <c r="CR477" s="293">
        <f>CR513</f>
        <v>0</v>
      </c>
      <c r="CS477" s="293">
        <f>CS513</f>
        <v>0</v>
      </c>
      <c r="CT477" s="293">
        <f t="shared" si="562"/>
        <v>0</v>
      </c>
      <c r="CU477" s="295"/>
      <c r="CV477" s="293">
        <f>CV513</f>
        <v>0</v>
      </c>
      <c r="CW477" s="293">
        <f>CW513</f>
        <v>0</v>
      </c>
      <c r="CX477" s="293">
        <f t="shared" si="563"/>
        <v>0</v>
      </c>
      <c r="CY477" s="295"/>
      <c r="CZ477" s="293">
        <f>CZ513</f>
        <v>0</v>
      </c>
      <c r="DA477" s="293">
        <f>DA513</f>
        <v>0</v>
      </c>
      <c r="DB477" s="293">
        <f t="shared" si="564"/>
        <v>0</v>
      </c>
      <c r="DC477" s="295"/>
      <c r="DD477" s="293">
        <f>DD513</f>
        <v>0</v>
      </c>
      <c r="DE477" s="293">
        <f>DE513</f>
        <v>0</v>
      </c>
      <c r="DF477" s="293">
        <f t="shared" si="565"/>
        <v>0</v>
      </c>
      <c r="DG477" s="295"/>
      <c r="DH477" s="293">
        <f>DH513</f>
        <v>0</v>
      </c>
      <c r="DI477" s="293">
        <f>DI513</f>
        <v>0</v>
      </c>
      <c r="DJ477" s="293">
        <f t="shared" si="566"/>
        <v>0</v>
      </c>
      <c r="DK477" s="295"/>
      <c r="DL477" s="293">
        <f>DL513</f>
        <v>0</v>
      </c>
      <c r="DM477" s="293">
        <f>DM513</f>
        <v>0</v>
      </c>
      <c r="DN477" s="293">
        <f t="shared" si="567"/>
        <v>0</v>
      </c>
      <c r="DO477" s="295"/>
      <c r="DP477" s="293">
        <f>DP513</f>
        <v>0</v>
      </c>
      <c r="DQ477" s="293">
        <f>DQ513</f>
        <v>0</v>
      </c>
      <c r="DR477" s="293">
        <f t="shared" si="568"/>
        <v>0</v>
      </c>
      <c r="DS477" s="295"/>
      <c r="DT477" s="295"/>
      <c r="DU477" s="293"/>
      <c r="DV477" s="293"/>
      <c r="DW477" s="293"/>
      <c r="DX477" s="295"/>
      <c r="DY477" s="295"/>
      <c r="DZ477" s="293"/>
      <c r="EA477" s="293"/>
      <c r="EB477" s="295"/>
      <c r="EC477" s="295"/>
      <c r="ED477" s="293"/>
      <c r="EE477" s="293"/>
      <c r="EF477" s="295"/>
      <c r="EG477" s="295"/>
      <c r="EH477" s="295"/>
      <c r="EI477" s="295"/>
      <c r="EJ477" s="295"/>
      <c r="EK477" s="295"/>
      <c r="EL477" s="295"/>
      <c r="EM477" s="295"/>
      <c r="EN477" s="295"/>
      <c r="EO477" s="295"/>
      <c r="EP477" s="295"/>
      <c r="JM477"/>
    </row>
    <row r="478" spans="1:273" s="327" customFormat="1">
      <c r="A478" s="332" t="s">
        <v>659</v>
      </c>
      <c r="B478" s="295"/>
      <c r="AN478" s="295"/>
      <c r="AO478" s="295"/>
      <c r="AP478" s="295"/>
      <c r="AQ478" s="295"/>
      <c r="AR478" s="295"/>
      <c r="AS478" s="295"/>
      <c r="AT478" s="293">
        <f>AT524</f>
        <v>-1213</v>
      </c>
      <c r="AU478" s="295"/>
      <c r="AV478" s="293">
        <f>AV524</f>
        <v>-433</v>
      </c>
      <c r="AW478" s="293">
        <f>AW524</f>
        <v>-6</v>
      </c>
      <c r="AX478" s="293">
        <f t="shared" si="550"/>
        <v>-439</v>
      </c>
      <c r="AY478" s="820"/>
      <c r="AZ478" s="293">
        <f>AZ524</f>
        <v>-48</v>
      </c>
      <c r="BA478" s="293">
        <f>BA524</f>
        <v>-75</v>
      </c>
      <c r="BB478" s="293">
        <f t="shared" si="551"/>
        <v>-123</v>
      </c>
      <c r="BC478" s="295"/>
      <c r="BD478" s="293">
        <f>BD524</f>
        <v>-31</v>
      </c>
      <c r="BE478" s="293">
        <f>BE524</f>
        <v>-208</v>
      </c>
      <c r="BF478" s="293">
        <f t="shared" si="552"/>
        <v>-239</v>
      </c>
      <c r="BG478" s="295"/>
      <c r="BH478" s="293">
        <f>BH524</f>
        <v>-221</v>
      </c>
      <c r="BI478" s="293">
        <f>BI524</f>
        <v>-176</v>
      </c>
      <c r="BJ478" s="293">
        <f t="shared" si="553"/>
        <v>-397</v>
      </c>
      <c r="BK478" s="295"/>
      <c r="BL478" s="293">
        <f>BL524</f>
        <v>-104</v>
      </c>
      <c r="BM478" s="293">
        <f>BM524</f>
        <v>-163</v>
      </c>
      <c r="BN478" s="293">
        <f t="shared" si="554"/>
        <v>-267</v>
      </c>
      <c r="BO478" s="295"/>
      <c r="BP478" s="293">
        <f>BP524</f>
        <v>-64</v>
      </c>
      <c r="BQ478" s="293">
        <f>BQ524</f>
        <v>-267</v>
      </c>
      <c r="BR478" s="293">
        <f t="shared" si="555"/>
        <v>-331</v>
      </c>
      <c r="BS478" s="295"/>
      <c r="BT478" s="293">
        <f>BT524</f>
        <v>-170</v>
      </c>
      <c r="BU478" s="293">
        <f>BU524</f>
        <v>-79</v>
      </c>
      <c r="BV478" s="293">
        <f t="shared" si="556"/>
        <v>-249</v>
      </c>
      <c r="BW478" s="295"/>
      <c r="BX478" s="966">
        <f>BX524</f>
        <v>-122</v>
      </c>
      <c r="BY478" s="293">
        <f>BY524</f>
        <v>-34</v>
      </c>
      <c r="BZ478" s="293">
        <f t="shared" si="557"/>
        <v>-156</v>
      </c>
      <c r="CA478" s="295"/>
      <c r="CB478" s="293">
        <f>CB524</f>
        <v>0</v>
      </c>
      <c r="CC478" s="293">
        <f>CC524</f>
        <v>0</v>
      </c>
      <c r="CD478" s="293">
        <f t="shared" si="558"/>
        <v>0</v>
      </c>
      <c r="CE478" s="791"/>
      <c r="CF478" s="293">
        <f>CF524</f>
        <v>0</v>
      </c>
      <c r="CG478" s="293">
        <f>CG524</f>
        <v>-15</v>
      </c>
      <c r="CH478" s="293">
        <f t="shared" si="559"/>
        <v>-15</v>
      </c>
      <c r="CI478" s="791"/>
      <c r="CJ478" s="293">
        <f>CJ524</f>
        <v>0</v>
      </c>
      <c r="CK478" s="293">
        <f>CK524</f>
        <v>0</v>
      </c>
      <c r="CL478" s="293">
        <f t="shared" si="560"/>
        <v>0</v>
      </c>
      <c r="CM478" s="791"/>
      <c r="CN478" s="293">
        <f>CN524</f>
        <v>0</v>
      </c>
      <c r="CO478" s="293">
        <f>CO524</f>
        <v>0</v>
      </c>
      <c r="CP478" s="293">
        <f t="shared" si="561"/>
        <v>0</v>
      </c>
      <c r="CQ478" s="791"/>
      <c r="CR478" s="293">
        <f>CR524</f>
        <v>0</v>
      </c>
      <c r="CS478" s="293">
        <f>CS524</f>
        <v>0</v>
      </c>
      <c r="CT478" s="293">
        <f t="shared" si="562"/>
        <v>0</v>
      </c>
      <c r="CU478" s="295"/>
      <c r="CV478" s="293">
        <f>CV524</f>
        <v>0</v>
      </c>
      <c r="CW478" s="293">
        <f>CW524</f>
        <v>0</v>
      </c>
      <c r="CX478" s="293">
        <f t="shared" si="563"/>
        <v>0</v>
      </c>
      <c r="CY478" s="295"/>
      <c r="CZ478" s="293">
        <f>CZ524</f>
        <v>0</v>
      </c>
      <c r="DA478" s="293">
        <f>DA524</f>
        <v>0</v>
      </c>
      <c r="DB478" s="293">
        <f t="shared" si="564"/>
        <v>0</v>
      </c>
      <c r="DC478" s="295"/>
      <c r="DD478" s="293">
        <f>DD524</f>
        <v>0</v>
      </c>
      <c r="DE478" s="293">
        <f>DE524</f>
        <v>0</v>
      </c>
      <c r="DF478" s="293">
        <f t="shared" si="565"/>
        <v>0</v>
      </c>
      <c r="DG478" s="295"/>
      <c r="DH478" s="293">
        <f>DH524</f>
        <v>0</v>
      </c>
      <c r="DI478" s="293">
        <f>DI524</f>
        <v>0</v>
      </c>
      <c r="DJ478" s="293">
        <f t="shared" si="566"/>
        <v>0</v>
      </c>
      <c r="DK478" s="295"/>
      <c r="DL478" s="293">
        <f>DL524</f>
        <v>0</v>
      </c>
      <c r="DM478" s="293">
        <f>DM524</f>
        <v>0</v>
      </c>
      <c r="DN478" s="293">
        <f t="shared" si="567"/>
        <v>0</v>
      </c>
      <c r="DO478" s="295"/>
      <c r="DP478" s="293">
        <f>DP524</f>
        <v>0</v>
      </c>
      <c r="DQ478" s="293">
        <f>DQ524</f>
        <v>0</v>
      </c>
      <c r="DR478" s="293">
        <f t="shared" si="568"/>
        <v>0</v>
      </c>
      <c r="DS478" s="295"/>
      <c r="DT478" s="295"/>
      <c r="DU478" s="293"/>
      <c r="DV478" s="293"/>
      <c r="DW478" s="293"/>
      <c r="DX478" s="295"/>
      <c r="DY478" s="295"/>
      <c r="DZ478" s="293"/>
      <c r="EA478" s="293"/>
      <c r="EB478" s="295"/>
      <c r="EC478" s="295"/>
      <c r="ED478" s="293"/>
      <c r="EE478" s="293"/>
      <c r="EF478" s="295"/>
      <c r="EG478" s="295"/>
      <c r="EH478" s="295"/>
      <c r="EI478" s="295"/>
      <c r="EJ478" s="295"/>
      <c r="EK478" s="295"/>
      <c r="EL478" s="295"/>
      <c r="EM478" s="295"/>
      <c r="EN478" s="295"/>
      <c r="EO478" s="295"/>
      <c r="EP478" s="295"/>
      <c r="JM478"/>
    </row>
    <row r="479" spans="1:273" s="327" customFormat="1">
      <c r="A479" s="332" t="s">
        <v>660</v>
      </c>
      <c r="B479" s="295"/>
      <c r="AN479" s="295"/>
      <c r="AO479" s="295"/>
      <c r="AP479" s="295"/>
      <c r="AQ479" s="295"/>
      <c r="AR479" s="295"/>
      <c r="AS479" s="295"/>
      <c r="AT479" s="293">
        <f>AT535</f>
        <v>-75</v>
      </c>
      <c r="AU479" s="295"/>
      <c r="AV479" s="293">
        <f>AV535</f>
        <v>-43</v>
      </c>
      <c r="AW479" s="293">
        <f>AW535</f>
        <v>9</v>
      </c>
      <c r="AX479" s="293">
        <f t="shared" si="550"/>
        <v>-34</v>
      </c>
      <c r="AY479" s="820"/>
      <c r="AZ479" s="293">
        <f>AZ535</f>
        <v>-3</v>
      </c>
      <c r="BA479" s="293">
        <f>BA535</f>
        <v>-2</v>
      </c>
      <c r="BB479" s="293">
        <f t="shared" si="551"/>
        <v>-5</v>
      </c>
      <c r="BC479" s="295"/>
      <c r="BD479" s="293">
        <f>BD535</f>
        <v>0</v>
      </c>
      <c r="BE479" s="293">
        <f>BE535</f>
        <v>-16</v>
      </c>
      <c r="BF479" s="293">
        <f t="shared" si="552"/>
        <v>-16</v>
      </c>
      <c r="BG479" s="295"/>
      <c r="BH479" s="293">
        <f>BH535</f>
        <v>-2</v>
      </c>
      <c r="BI479" s="293">
        <f>BI535</f>
        <v>-11</v>
      </c>
      <c r="BJ479" s="293">
        <f t="shared" si="553"/>
        <v>-13</v>
      </c>
      <c r="BK479" s="295"/>
      <c r="BL479" s="293">
        <f>BL535</f>
        <v>0</v>
      </c>
      <c r="BM479" s="293">
        <f>BM535</f>
        <v>0</v>
      </c>
      <c r="BN479" s="293">
        <f t="shared" si="554"/>
        <v>0</v>
      </c>
      <c r="BO479" s="295"/>
      <c r="BP479" s="293">
        <f>BP535</f>
        <v>0</v>
      </c>
      <c r="BQ479" s="293">
        <f>BQ535</f>
        <v>0</v>
      </c>
      <c r="BR479" s="293">
        <f t="shared" si="555"/>
        <v>0</v>
      </c>
      <c r="BS479" s="295"/>
      <c r="BT479" s="293">
        <f>BT535</f>
        <v>0</v>
      </c>
      <c r="BU479" s="293">
        <f>BU535</f>
        <v>0</v>
      </c>
      <c r="BV479" s="293">
        <f t="shared" si="556"/>
        <v>0</v>
      </c>
      <c r="BW479" s="295"/>
      <c r="BX479" s="293">
        <f>BX535</f>
        <v>0</v>
      </c>
      <c r="BY479" s="293">
        <f>BY535</f>
        <v>0</v>
      </c>
      <c r="BZ479" s="293">
        <f t="shared" si="557"/>
        <v>0</v>
      </c>
      <c r="CA479" s="295"/>
      <c r="CB479" s="293">
        <f>CB535</f>
        <v>0</v>
      </c>
      <c r="CC479" s="293">
        <f>CC535</f>
        <v>0</v>
      </c>
      <c r="CD479" s="293">
        <f t="shared" si="558"/>
        <v>0</v>
      </c>
      <c r="CE479" s="791"/>
      <c r="CF479" s="293">
        <f>CF535</f>
        <v>0</v>
      </c>
      <c r="CG479" s="293">
        <f>CG535</f>
        <v>0</v>
      </c>
      <c r="CH479" s="293">
        <f t="shared" si="559"/>
        <v>0</v>
      </c>
      <c r="CI479" s="791"/>
      <c r="CJ479" s="293">
        <f>CJ535</f>
        <v>0</v>
      </c>
      <c r="CK479" s="293">
        <f>CK535</f>
        <v>0</v>
      </c>
      <c r="CL479" s="293">
        <f t="shared" si="560"/>
        <v>0</v>
      </c>
      <c r="CM479" s="791"/>
      <c r="CN479" s="293">
        <f>CN535</f>
        <v>0</v>
      </c>
      <c r="CO479" s="293">
        <f>CO535</f>
        <v>0</v>
      </c>
      <c r="CP479" s="293">
        <f t="shared" si="561"/>
        <v>0</v>
      </c>
      <c r="CQ479" s="791"/>
      <c r="CR479" s="293">
        <f>CR535</f>
        <v>0</v>
      </c>
      <c r="CS479" s="293">
        <f>CS535</f>
        <v>0</v>
      </c>
      <c r="CT479" s="293">
        <f t="shared" si="562"/>
        <v>0</v>
      </c>
      <c r="CU479" s="295"/>
      <c r="CV479" s="293">
        <f>CV535</f>
        <v>0</v>
      </c>
      <c r="CW479" s="293">
        <f>CW535</f>
        <v>0</v>
      </c>
      <c r="CX479" s="293">
        <f t="shared" si="563"/>
        <v>0</v>
      </c>
      <c r="CY479" s="295"/>
      <c r="CZ479" s="293">
        <f>CZ535</f>
        <v>0</v>
      </c>
      <c r="DA479" s="293">
        <f>DA535</f>
        <v>0</v>
      </c>
      <c r="DB479" s="293">
        <f t="shared" si="564"/>
        <v>0</v>
      </c>
      <c r="DC479" s="295"/>
      <c r="DD479" s="293">
        <f>DD535</f>
        <v>0</v>
      </c>
      <c r="DE479" s="293">
        <f>DE535</f>
        <v>0</v>
      </c>
      <c r="DF479" s="293">
        <f t="shared" si="565"/>
        <v>0</v>
      </c>
      <c r="DG479" s="295"/>
      <c r="DH479" s="293">
        <f>DH535</f>
        <v>0</v>
      </c>
      <c r="DI479" s="293">
        <f>DI535</f>
        <v>0</v>
      </c>
      <c r="DJ479" s="293">
        <f t="shared" si="566"/>
        <v>0</v>
      </c>
      <c r="DK479" s="295"/>
      <c r="DL479" s="293">
        <f>DL535</f>
        <v>0</v>
      </c>
      <c r="DM479" s="293">
        <f>DM535</f>
        <v>0</v>
      </c>
      <c r="DN479" s="293">
        <f t="shared" si="567"/>
        <v>0</v>
      </c>
      <c r="DO479" s="295"/>
      <c r="DP479" s="293">
        <f>DP535</f>
        <v>0</v>
      </c>
      <c r="DQ479" s="293">
        <f>DQ535</f>
        <v>0</v>
      </c>
      <c r="DR479" s="293">
        <f t="shared" si="568"/>
        <v>0</v>
      </c>
      <c r="DS479" s="295"/>
      <c r="DT479" s="295"/>
      <c r="DU479" s="293"/>
      <c r="DV479" s="293"/>
      <c r="DW479" s="293"/>
      <c r="DX479" s="295"/>
      <c r="DY479" s="295"/>
      <c r="DZ479" s="293"/>
      <c r="EA479" s="293"/>
      <c r="EB479" s="295"/>
      <c r="EC479" s="295"/>
      <c r="ED479" s="293"/>
      <c r="EE479" s="293"/>
      <c r="EF479" s="295"/>
      <c r="EG479" s="295"/>
      <c r="EH479" s="295"/>
      <c r="EI479" s="295"/>
      <c r="EJ479" s="295"/>
      <c r="EK479" s="295"/>
      <c r="EL479" s="295"/>
      <c r="EM479" s="295"/>
      <c r="EN479" s="295"/>
      <c r="EO479" s="295"/>
      <c r="EP479" s="295"/>
      <c r="JM479"/>
    </row>
    <row r="480" spans="1:273" s="327" customFormat="1">
      <c r="A480" s="332" t="s">
        <v>661</v>
      </c>
      <c r="B480" s="295"/>
      <c r="AN480" s="295"/>
      <c r="AO480" s="295"/>
      <c r="AP480" s="295"/>
      <c r="AQ480" s="295"/>
      <c r="AR480" s="295"/>
      <c r="AS480" s="295"/>
      <c r="AT480" s="293">
        <f>AT546</f>
        <v>330</v>
      </c>
      <c r="AU480" s="295"/>
      <c r="AV480" s="293">
        <f>AV546</f>
        <v>266</v>
      </c>
      <c r="AW480" s="966">
        <f>AW546</f>
        <v>131</v>
      </c>
      <c r="AX480" s="293">
        <f t="shared" si="550"/>
        <v>397</v>
      </c>
      <c r="AY480" s="820"/>
      <c r="AZ480" s="293">
        <f>AZ546</f>
        <v>9</v>
      </c>
      <c r="BA480" s="293">
        <f>BA546</f>
        <v>56</v>
      </c>
      <c r="BB480" s="293">
        <f t="shared" si="551"/>
        <v>65</v>
      </c>
      <c r="BC480" s="295"/>
      <c r="BD480" s="293">
        <f>BD546</f>
        <v>0</v>
      </c>
      <c r="BE480" s="293">
        <f>BE546</f>
        <v>0</v>
      </c>
      <c r="BF480" s="293">
        <f t="shared" si="552"/>
        <v>0</v>
      </c>
      <c r="BG480" s="295"/>
      <c r="BH480" s="293">
        <f>BH546</f>
        <v>0</v>
      </c>
      <c r="BI480" s="293">
        <f>BI546</f>
        <v>0</v>
      </c>
      <c r="BJ480" s="293">
        <f t="shared" si="553"/>
        <v>0</v>
      </c>
      <c r="BK480" s="295"/>
      <c r="BL480" s="293">
        <f>BL546</f>
        <v>0</v>
      </c>
      <c r="BM480" s="293">
        <f>BM546</f>
        <v>0</v>
      </c>
      <c r="BN480" s="293">
        <f t="shared" si="554"/>
        <v>0</v>
      </c>
      <c r="BO480" s="295"/>
      <c r="BP480" s="293">
        <f>BP546</f>
        <v>0</v>
      </c>
      <c r="BQ480" s="293">
        <f>BQ546</f>
        <v>141</v>
      </c>
      <c r="BR480" s="293">
        <f t="shared" si="555"/>
        <v>141</v>
      </c>
      <c r="BS480" s="295"/>
      <c r="BT480" s="293">
        <f>BT546</f>
        <v>3</v>
      </c>
      <c r="BU480" s="293">
        <f>BU546</f>
        <v>5</v>
      </c>
      <c r="BV480" s="293">
        <f t="shared" si="556"/>
        <v>8</v>
      </c>
      <c r="BW480" s="295"/>
      <c r="BX480" s="293">
        <f>BX546</f>
        <v>207</v>
      </c>
      <c r="BY480" s="293">
        <f>BY546</f>
        <v>1</v>
      </c>
      <c r="BZ480" s="293">
        <f t="shared" si="557"/>
        <v>208</v>
      </c>
      <c r="CA480" s="295"/>
      <c r="CB480" s="293">
        <f>CB546</f>
        <v>6</v>
      </c>
      <c r="CC480" s="293">
        <f>CC546</f>
        <v>13</v>
      </c>
      <c r="CD480" s="293">
        <f t="shared" si="558"/>
        <v>19</v>
      </c>
      <c r="CE480" s="791"/>
      <c r="CF480" s="293">
        <f>CF546</f>
        <v>0</v>
      </c>
      <c r="CG480" s="293">
        <f>CG546</f>
        <v>0</v>
      </c>
      <c r="CH480" s="293">
        <f t="shared" si="559"/>
        <v>0</v>
      </c>
      <c r="CI480" s="791"/>
      <c r="CJ480" s="293">
        <f>CJ546</f>
        <v>0</v>
      </c>
      <c r="CK480" s="293">
        <f>CK546</f>
        <v>0</v>
      </c>
      <c r="CL480" s="293">
        <f t="shared" si="560"/>
        <v>0</v>
      </c>
      <c r="CM480" s="791"/>
      <c r="CN480" s="293">
        <f>CN546</f>
        <v>0</v>
      </c>
      <c r="CO480" s="293">
        <f>CO546</f>
        <v>0</v>
      </c>
      <c r="CP480" s="293">
        <f t="shared" si="561"/>
        <v>0</v>
      </c>
      <c r="CQ480" s="791"/>
      <c r="CR480" s="293">
        <f>CR546</f>
        <v>0</v>
      </c>
      <c r="CS480" s="293">
        <f>CS546</f>
        <v>0</v>
      </c>
      <c r="CT480" s="293">
        <f t="shared" si="562"/>
        <v>0</v>
      </c>
      <c r="CU480" s="295"/>
      <c r="CV480" s="293">
        <f>CV546</f>
        <v>0</v>
      </c>
      <c r="CW480" s="293">
        <f>CW546</f>
        <v>0</v>
      </c>
      <c r="CX480" s="293">
        <f t="shared" si="563"/>
        <v>0</v>
      </c>
      <c r="CY480" s="295"/>
      <c r="CZ480" s="293">
        <f>CZ546</f>
        <v>0</v>
      </c>
      <c r="DA480" s="293">
        <f>DA546</f>
        <v>0</v>
      </c>
      <c r="DB480" s="293">
        <f t="shared" si="564"/>
        <v>0</v>
      </c>
      <c r="DC480" s="295"/>
      <c r="DD480" s="293">
        <f>DD546</f>
        <v>0</v>
      </c>
      <c r="DE480" s="293">
        <f>DE546</f>
        <v>0</v>
      </c>
      <c r="DF480" s="293">
        <f t="shared" si="565"/>
        <v>0</v>
      </c>
      <c r="DG480" s="295"/>
      <c r="DH480" s="293">
        <f>DH546</f>
        <v>0</v>
      </c>
      <c r="DI480" s="293">
        <f>DI546</f>
        <v>0</v>
      </c>
      <c r="DJ480" s="293">
        <f t="shared" si="566"/>
        <v>0</v>
      </c>
      <c r="DK480" s="295"/>
      <c r="DL480" s="293">
        <f>DL546</f>
        <v>0</v>
      </c>
      <c r="DM480" s="293">
        <f>DM546</f>
        <v>0</v>
      </c>
      <c r="DN480" s="293">
        <f t="shared" si="567"/>
        <v>0</v>
      </c>
      <c r="DO480" s="295"/>
      <c r="DP480" s="293">
        <f>DP546</f>
        <v>0</v>
      </c>
      <c r="DQ480" s="293">
        <f>DQ546</f>
        <v>0</v>
      </c>
      <c r="DR480" s="293">
        <f t="shared" si="568"/>
        <v>0</v>
      </c>
      <c r="DS480" s="295"/>
      <c r="DT480" s="295"/>
      <c r="DU480" s="293"/>
      <c r="DV480" s="293"/>
      <c r="DW480" s="293"/>
      <c r="DX480" s="295"/>
      <c r="DY480" s="295"/>
      <c r="DZ480" s="293"/>
      <c r="EA480" s="293"/>
      <c r="EB480" s="295"/>
      <c r="EC480" s="295"/>
      <c r="ED480" s="293"/>
      <c r="EE480" s="293"/>
      <c r="EF480" s="295"/>
      <c r="EG480" s="295"/>
      <c r="EH480" s="295"/>
      <c r="EI480" s="295"/>
      <c r="EJ480" s="295"/>
      <c r="EK480" s="295"/>
      <c r="EL480" s="295"/>
      <c r="EM480" s="295"/>
      <c r="EN480" s="295"/>
      <c r="EO480" s="295"/>
      <c r="EP480" s="295"/>
      <c r="JM480"/>
    </row>
    <row r="481" spans="1:273" s="327" customFormat="1">
      <c r="A481" s="332" t="s">
        <v>662</v>
      </c>
      <c r="B481" s="295"/>
      <c r="AN481" s="295"/>
      <c r="AO481" s="295"/>
      <c r="AP481" s="295"/>
      <c r="AQ481" s="295"/>
      <c r="AR481" s="295"/>
      <c r="AS481" s="295"/>
      <c r="AT481" s="293">
        <f>AT557</f>
        <v>184</v>
      </c>
      <c r="AU481" s="295"/>
      <c r="AV481" s="293">
        <f>AV557</f>
        <v>71</v>
      </c>
      <c r="AW481" s="293">
        <f>AW557</f>
        <v>63</v>
      </c>
      <c r="AX481" s="293">
        <f t="shared" si="550"/>
        <v>134</v>
      </c>
      <c r="AY481" s="820"/>
      <c r="AZ481" s="293">
        <f>AZ557</f>
        <v>71</v>
      </c>
      <c r="BA481" s="293">
        <f>BA557</f>
        <v>172</v>
      </c>
      <c r="BB481" s="293">
        <f t="shared" si="551"/>
        <v>243</v>
      </c>
      <c r="BC481" s="295"/>
      <c r="BD481" s="293">
        <f>BD557</f>
        <v>183</v>
      </c>
      <c r="BE481" s="293">
        <f>BE557</f>
        <v>198</v>
      </c>
      <c r="BF481" s="293">
        <f t="shared" si="552"/>
        <v>381</v>
      </c>
      <c r="BG481" s="295"/>
      <c r="BH481" s="293">
        <f>BH557</f>
        <v>203</v>
      </c>
      <c r="BI481" s="293">
        <f>BI557</f>
        <v>212</v>
      </c>
      <c r="BJ481" s="293">
        <f t="shared" si="553"/>
        <v>415</v>
      </c>
      <c r="BK481" s="295"/>
      <c r="BL481" s="293">
        <f>BL557</f>
        <v>255</v>
      </c>
      <c r="BM481" s="293">
        <f>BM557</f>
        <v>265</v>
      </c>
      <c r="BN481" s="293">
        <f t="shared" si="554"/>
        <v>520</v>
      </c>
      <c r="BO481" s="295"/>
      <c r="BP481" s="293">
        <f>BP557</f>
        <v>265</v>
      </c>
      <c r="BQ481" s="293">
        <f>BQ557</f>
        <v>296</v>
      </c>
      <c r="BR481" s="293">
        <f t="shared" si="555"/>
        <v>561</v>
      </c>
      <c r="BS481" s="295"/>
      <c r="BT481" s="293">
        <f>BT557</f>
        <v>397</v>
      </c>
      <c r="BU481" s="293">
        <f>BU557</f>
        <v>483</v>
      </c>
      <c r="BV481" s="293">
        <f t="shared" si="556"/>
        <v>880</v>
      </c>
      <c r="BW481" s="295"/>
      <c r="BX481" s="293">
        <f>BX557</f>
        <v>476</v>
      </c>
      <c r="BY481" s="293">
        <f>BY557</f>
        <v>445</v>
      </c>
      <c r="BZ481" s="293">
        <f t="shared" si="557"/>
        <v>921</v>
      </c>
      <c r="CA481" s="295"/>
      <c r="CB481" s="293">
        <f>CB557</f>
        <v>469</v>
      </c>
      <c r="CC481" s="293">
        <f>CC557</f>
        <v>466</v>
      </c>
      <c r="CD481" s="293">
        <f t="shared" si="558"/>
        <v>935</v>
      </c>
      <c r="CE481" s="791"/>
      <c r="CF481" s="293">
        <f>CF557</f>
        <v>461</v>
      </c>
      <c r="CG481" s="293">
        <f>CG557</f>
        <v>489</v>
      </c>
      <c r="CH481" s="293">
        <f t="shared" si="559"/>
        <v>950</v>
      </c>
      <c r="CI481" s="791"/>
      <c r="CJ481" s="293">
        <f>CJ557</f>
        <v>461</v>
      </c>
      <c r="CK481" s="293">
        <f>CK557</f>
        <v>284</v>
      </c>
      <c r="CL481" s="293">
        <f t="shared" si="560"/>
        <v>745</v>
      </c>
      <c r="CM481" s="791"/>
      <c r="CN481" s="293">
        <f>CN557</f>
        <v>245</v>
      </c>
      <c r="CO481" s="293">
        <f>CO557</f>
        <v>221</v>
      </c>
      <c r="CP481" s="293">
        <f t="shared" si="561"/>
        <v>466</v>
      </c>
      <c r="CQ481" s="791"/>
      <c r="CR481" s="293">
        <f>CR557</f>
        <v>186</v>
      </c>
      <c r="CS481" s="293">
        <f>CS557</f>
        <v>216</v>
      </c>
      <c r="CT481" s="293">
        <f t="shared" si="562"/>
        <v>402</v>
      </c>
      <c r="CU481" s="295"/>
      <c r="CV481" s="293">
        <f>CV557</f>
        <v>174</v>
      </c>
      <c r="CW481" s="293">
        <f>CW557</f>
        <v>203</v>
      </c>
      <c r="CX481" s="293">
        <f t="shared" si="563"/>
        <v>377</v>
      </c>
      <c r="CY481" s="295"/>
      <c r="CZ481" s="293">
        <f>CZ557</f>
        <v>213</v>
      </c>
      <c r="DA481" s="293">
        <f>DA557</f>
        <v>218</v>
      </c>
      <c r="DB481" s="293">
        <f t="shared" si="564"/>
        <v>431</v>
      </c>
      <c r="DC481" s="295"/>
      <c r="DD481" s="293">
        <f>DD557</f>
        <v>211</v>
      </c>
      <c r="DE481" s="293">
        <f>DE557</f>
        <v>207</v>
      </c>
      <c r="DF481" s="293">
        <f t="shared" si="565"/>
        <v>418</v>
      </c>
      <c r="DG481" s="295"/>
      <c r="DH481" s="293">
        <f>DH557</f>
        <v>216</v>
      </c>
      <c r="DI481" s="293">
        <f>DI557</f>
        <v>240.11999999999998</v>
      </c>
      <c r="DJ481" s="293">
        <f t="shared" si="566"/>
        <v>456.12</v>
      </c>
      <c r="DK481" s="295"/>
      <c r="DL481" s="293">
        <f>DL557</f>
        <v>252.71999999999997</v>
      </c>
      <c r="DM481" s="293">
        <f>DM557</f>
        <v>268.93439999999998</v>
      </c>
      <c r="DN481" s="293">
        <f t="shared" si="567"/>
        <v>521.6543999999999</v>
      </c>
      <c r="DO481" s="295"/>
      <c r="DP481" s="293">
        <f>DP557</f>
        <v>283.04640000000001</v>
      </c>
      <c r="DQ481" s="293">
        <f>DQ557</f>
        <v>301.20652799999999</v>
      </c>
      <c r="DR481" s="293">
        <f t="shared" si="568"/>
        <v>584.252928</v>
      </c>
      <c r="DS481" s="295"/>
      <c r="DT481" s="295"/>
      <c r="DU481" s="293"/>
      <c r="DV481" s="293"/>
      <c r="DW481" s="293"/>
      <c r="DX481" s="295"/>
      <c r="DY481" s="295"/>
      <c r="DZ481" s="293"/>
      <c r="EA481" s="293"/>
      <c r="EB481" s="295"/>
      <c r="EC481" s="295"/>
      <c r="ED481" s="293"/>
      <c r="EE481" s="293"/>
      <c r="EF481" s="295"/>
      <c r="EG481" s="295"/>
      <c r="EH481" s="295"/>
      <c r="EI481" s="295"/>
      <c r="EJ481" s="295"/>
      <c r="EK481" s="295"/>
      <c r="EL481" s="295"/>
      <c r="EM481" s="295"/>
      <c r="EN481" s="295"/>
      <c r="EO481" s="295"/>
      <c r="EP481" s="295"/>
      <c r="JM481"/>
    </row>
    <row r="482" spans="1:273" s="327" customFormat="1">
      <c r="A482" s="332" t="s">
        <v>658</v>
      </c>
      <c r="B482" s="295"/>
      <c r="AN482" s="295"/>
      <c r="AO482" s="295"/>
      <c r="AP482" s="295"/>
      <c r="AQ482" s="295"/>
      <c r="AR482" s="295"/>
      <c r="AS482" s="295"/>
      <c r="AT482" s="293">
        <f>AT568</f>
        <v>0</v>
      </c>
      <c r="AU482" s="295"/>
      <c r="AV482" s="293">
        <f>AV568</f>
        <v>0</v>
      </c>
      <c r="AW482" s="966">
        <f>AW568</f>
        <v>0</v>
      </c>
      <c r="AX482" s="293">
        <f t="shared" si="550"/>
        <v>0</v>
      </c>
      <c r="AY482" s="820"/>
      <c r="AZ482" s="293">
        <f>AZ568</f>
        <v>20</v>
      </c>
      <c r="BA482" s="293">
        <f>BA568</f>
        <v>17</v>
      </c>
      <c r="BB482" s="293">
        <f t="shared" si="551"/>
        <v>37</v>
      </c>
      <c r="BC482" s="295"/>
      <c r="BD482" s="293">
        <f>BD568</f>
        <v>0</v>
      </c>
      <c r="BE482" s="293">
        <f>BE568</f>
        <v>65</v>
      </c>
      <c r="BF482" s="293">
        <f t="shared" si="552"/>
        <v>65</v>
      </c>
      <c r="BG482" s="295"/>
      <c r="BH482" s="293">
        <f>BH568</f>
        <v>-40</v>
      </c>
      <c r="BI482" s="293">
        <f>BI568</f>
        <v>0</v>
      </c>
      <c r="BJ482" s="293">
        <f t="shared" si="553"/>
        <v>-40</v>
      </c>
      <c r="BK482" s="295"/>
      <c r="BL482" s="293">
        <f>BL568</f>
        <v>0</v>
      </c>
      <c r="BM482" s="293">
        <f>BM568</f>
        <v>0</v>
      </c>
      <c r="BN482" s="293">
        <f t="shared" si="554"/>
        <v>0</v>
      </c>
      <c r="BO482" s="295"/>
      <c r="BP482" s="293">
        <f>BP568</f>
        <v>0</v>
      </c>
      <c r="BQ482" s="293">
        <f>BQ568</f>
        <v>0</v>
      </c>
      <c r="BR482" s="293">
        <f t="shared" si="555"/>
        <v>0</v>
      </c>
      <c r="BS482" s="295"/>
      <c r="BT482" s="293">
        <f>BT568</f>
        <v>0</v>
      </c>
      <c r="BU482" s="293">
        <f>BU568</f>
        <v>0</v>
      </c>
      <c r="BV482" s="293">
        <f t="shared" si="556"/>
        <v>0</v>
      </c>
      <c r="BW482" s="295"/>
      <c r="BX482" s="293">
        <f>BX568</f>
        <v>0</v>
      </c>
      <c r="BY482" s="293">
        <f>BY568</f>
        <v>0</v>
      </c>
      <c r="BZ482" s="293">
        <f t="shared" si="557"/>
        <v>0</v>
      </c>
      <c r="CA482" s="295"/>
      <c r="CB482" s="293">
        <f>CB568</f>
        <v>0</v>
      </c>
      <c r="CC482" s="293">
        <f>CC568</f>
        <v>0</v>
      </c>
      <c r="CD482" s="293">
        <f t="shared" si="558"/>
        <v>0</v>
      </c>
      <c r="CE482" s="791"/>
      <c r="CF482" s="293">
        <f>CF568</f>
        <v>0</v>
      </c>
      <c r="CG482" s="293">
        <f>CG568</f>
        <v>0</v>
      </c>
      <c r="CH482" s="293">
        <f t="shared" si="559"/>
        <v>0</v>
      </c>
      <c r="CI482" s="791"/>
      <c r="CJ482" s="293">
        <f>CJ568</f>
        <v>0</v>
      </c>
      <c r="CK482" s="293">
        <f>CK568</f>
        <v>0</v>
      </c>
      <c r="CL482" s="293">
        <f t="shared" si="560"/>
        <v>0</v>
      </c>
      <c r="CM482" s="791"/>
      <c r="CN482" s="293">
        <f>CN568</f>
        <v>0</v>
      </c>
      <c r="CO482" s="293">
        <f>CO568</f>
        <v>0</v>
      </c>
      <c r="CP482" s="293">
        <f t="shared" si="561"/>
        <v>0</v>
      </c>
      <c r="CQ482" s="791"/>
      <c r="CR482" s="293">
        <f>CR568</f>
        <v>0</v>
      </c>
      <c r="CS482" s="293">
        <f>CS568</f>
        <v>0</v>
      </c>
      <c r="CT482" s="293">
        <f t="shared" si="562"/>
        <v>0</v>
      </c>
      <c r="CU482" s="295"/>
      <c r="CV482" s="293">
        <f>CV568</f>
        <v>0</v>
      </c>
      <c r="CW482" s="293">
        <f>CW568</f>
        <v>0</v>
      </c>
      <c r="CX482" s="293">
        <f t="shared" si="563"/>
        <v>0</v>
      </c>
      <c r="CY482" s="295"/>
      <c r="CZ482" s="293">
        <f>CZ568</f>
        <v>0</v>
      </c>
      <c r="DA482" s="293">
        <f>DA568</f>
        <v>0</v>
      </c>
      <c r="DB482" s="293">
        <f t="shared" si="564"/>
        <v>0</v>
      </c>
      <c r="DC482" s="295"/>
      <c r="DD482" s="293">
        <f>DD568</f>
        <v>0</v>
      </c>
      <c r="DE482" s="293">
        <f>DE568</f>
        <v>0</v>
      </c>
      <c r="DF482" s="293">
        <f t="shared" si="565"/>
        <v>0</v>
      </c>
      <c r="DG482" s="295"/>
      <c r="DH482" s="293">
        <f>DH568</f>
        <v>0</v>
      </c>
      <c r="DI482" s="293">
        <f>DI568</f>
        <v>0</v>
      </c>
      <c r="DJ482" s="293">
        <f t="shared" si="566"/>
        <v>0</v>
      </c>
      <c r="DK482" s="295"/>
      <c r="DL482" s="293">
        <f>DL568</f>
        <v>0</v>
      </c>
      <c r="DM482" s="293">
        <f>DM568</f>
        <v>0</v>
      </c>
      <c r="DN482" s="293">
        <f t="shared" si="567"/>
        <v>0</v>
      </c>
      <c r="DO482" s="295"/>
      <c r="DP482" s="293">
        <f>DP568</f>
        <v>0</v>
      </c>
      <c r="DQ482" s="293">
        <f>DQ568</f>
        <v>0</v>
      </c>
      <c r="DR482" s="293">
        <f t="shared" si="568"/>
        <v>0</v>
      </c>
      <c r="DS482" s="295"/>
      <c r="DT482" s="295"/>
      <c r="DU482" s="293"/>
      <c r="DV482" s="293"/>
      <c r="DW482" s="293"/>
      <c r="DX482" s="295"/>
      <c r="DY482" s="295"/>
      <c r="DZ482" s="293"/>
      <c r="EA482" s="293"/>
      <c r="EB482" s="295"/>
      <c r="EC482" s="295"/>
      <c r="ED482" s="293"/>
      <c r="EE482" s="293"/>
      <c r="EF482" s="295"/>
      <c r="EG482" s="295"/>
      <c r="EH482" s="295"/>
      <c r="EI482" s="295"/>
      <c r="EJ482" s="295"/>
      <c r="EK482" s="295"/>
      <c r="EL482" s="295"/>
      <c r="EM482" s="295"/>
      <c r="EN482" s="295"/>
      <c r="EO482" s="295"/>
      <c r="EP482" s="295"/>
      <c r="JM482"/>
    </row>
    <row r="483" spans="1:273" s="327" customFormat="1">
      <c r="A483" s="332" t="s">
        <v>887</v>
      </c>
      <c r="B483" s="295"/>
      <c r="AN483" s="295"/>
      <c r="AO483" s="295"/>
      <c r="AP483" s="295"/>
      <c r="AQ483" s="295"/>
      <c r="AR483" s="295"/>
      <c r="AS483" s="295"/>
      <c r="AT483" s="293">
        <f>AT579</f>
        <v>94</v>
      </c>
      <c r="AU483" s="295"/>
      <c r="AV483" s="293">
        <f>AV579</f>
        <v>0</v>
      </c>
      <c r="AW483" s="966">
        <f>AW579</f>
        <v>0</v>
      </c>
      <c r="AX483" s="293">
        <f t="shared" si="550"/>
        <v>0</v>
      </c>
      <c r="AY483" s="820"/>
      <c r="AZ483" s="293">
        <f>AZ579</f>
        <v>0</v>
      </c>
      <c r="BA483" s="293">
        <f>BA579</f>
        <v>0</v>
      </c>
      <c r="BB483" s="293">
        <f t="shared" si="551"/>
        <v>0</v>
      </c>
      <c r="BC483" s="295"/>
      <c r="BD483" s="293">
        <f>BD579</f>
        <v>0</v>
      </c>
      <c r="BE483" s="293">
        <f>BE579</f>
        <v>104</v>
      </c>
      <c r="BF483" s="293">
        <f t="shared" si="552"/>
        <v>104</v>
      </c>
      <c r="BG483" s="295"/>
      <c r="BH483" s="293">
        <f>BH579</f>
        <v>0</v>
      </c>
      <c r="BI483" s="293">
        <f>BI579</f>
        <v>0</v>
      </c>
      <c r="BJ483" s="293">
        <f t="shared" si="553"/>
        <v>0</v>
      </c>
      <c r="BK483" s="295"/>
      <c r="BL483" s="293">
        <f>BL579</f>
        <v>0</v>
      </c>
      <c r="BM483" s="293">
        <f>BM579</f>
        <v>0</v>
      </c>
      <c r="BN483" s="293">
        <f t="shared" si="554"/>
        <v>0</v>
      </c>
      <c r="BO483" s="295"/>
      <c r="BP483" s="293">
        <f>BP579</f>
        <v>0</v>
      </c>
      <c r="BQ483" s="293">
        <f>BQ579</f>
        <v>0</v>
      </c>
      <c r="BR483" s="293">
        <f t="shared" si="555"/>
        <v>0</v>
      </c>
      <c r="BS483" s="295"/>
      <c r="BT483" s="293">
        <f>BT579</f>
        <v>0</v>
      </c>
      <c r="BU483" s="293">
        <f>BU579</f>
        <v>0</v>
      </c>
      <c r="BV483" s="293">
        <f t="shared" si="556"/>
        <v>0</v>
      </c>
      <c r="BW483" s="295"/>
      <c r="BX483" s="293">
        <f>BX579</f>
        <v>0</v>
      </c>
      <c r="BY483" s="293">
        <f>BY579</f>
        <v>0</v>
      </c>
      <c r="BZ483" s="293">
        <f t="shared" si="557"/>
        <v>0</v>
      </c>
      <c r="CA483" s="295"/>
      <c r="CB483" s="293">
        <f>CB579</f>
        <v>0</v>
      </c>
      <c r="CC483" s="293">
        <f>CC579</f>
        <v>0</v>
      </c>
      <c r="CD483" s="293">
        <f t="shared" si="558"/>
        <v>0</v>
      </c>
      <c r="CE483" s="791"/>
      <c r="CF483" s="293">
        <f>CF579</f>
        <v>0</v>
      </c>
      <c r="CG483" s="293">
        <f>CG579</f>
        <v>0</v>
      </c>
      <c r="CH483" s="293">
        <f t="shared" si="559"/>
        <v>0</v>
      </c>
      <c r="CI483" s="791"/>
      <c r="CJ483" s="293">
        <f>CJ579</f>
        <v>0</v>
      </c>
      <c r="CK483" s="293">
        <f>CK579</f>
        <v>0</v>
      </c>
      <c r="CL483" s="293">
        <f t="shared" si="560"/>
        <v>0</v>
      </c>
      <c r="CM483" s="791"/>
      <c r="CN483" s="293">
        <f>CN579</f>
        <v>0</v>
      </c>
      <c r="CO483" s="293">
        <f>CO579</f>
        <v>0</v>
      </c>
      <c r="CP483" s="293">
        <f t="shared" si="561"/>
        <v>0</v>
      </c>
      <c r="CQ483" s="791"/>
      <c r="CR483" s="293">
        <f>CR579</f>
        <v>0</v>
      </c>
      <c r="CS483" s="293">
        <f>CS579</f>
        <v>0</v>
      </c>
      <c r="CT483" s="293">
        <f t="shared" si="562"/>
        <v>0</v>
      </c>
      <c r="CU483" s="295"/>
      <c r="CV483" s="293">
        <f>CV579</f>
        <v>0</v>
      </c>
      <c r="CW483" s="293">
        <f>CW579</f>
        <v>0</v>
      </c>
      <c r="CX483" s="293">
        <f t="shared" si="563"/>
        <v>0</v>
      </c>
      <c r="CY483" s="295"/>
      <c r="CZ483" s="293">
        <f>CZ579</f>
        <v>0</v>
      </c>
      <c r="DA483" s="293">
        <f>DA579</f>
        <v>0</v>
      </c>
      <c r="DB483" s="293">
        <f t="shared" si="564"/>
        <v>0</v>
      </c>
      <c r="DC483" s="295"/>
      <c r="DD483" s="293">
        <f>DD579</f>
        <v>0</v>
      </c>
      <c r="DE483" s="293">
        <f>DE579</f>
        <v>0</v>
      </c>
      <c r="DF483" s="293">
        <f t="shared" si="565"/>
        <v>0</v>
      </c>
      <c r="DG483" s="295"/>
      <c r="DH483" s="293">
        <f>DH579</f>
        <v>0</v>
      </c>
      <c r="DI483" s="293">
        <f>DI579</f>
        <v>0</v>
      </c>
      <c r="DJ483" s="293">
        <f t="shared" si="566"/>
        <v>0</v>
      </c>
      <c r="DK483" s="295"/>
      <c r="DL483" s="293">
        <f>DL579</f>
        <v>0</v>
      </c>
      <c r="DM483" s="293">
        <f>DM579</f>
        <v>0</v>
      </c>
      <c r="DN483" s="293">
        <f t="shared" si="567"/>
        <v>0</v>
      </c>
      <c r="DO483" s="295"/>
      <c r="DP483" s="293">
        <f>DP579</f>
        <v>0</v>
      </c>
      <c r="DQ483" s="293">
        <f>DQ579</f>
        <v>0</v>
      </c>
      <c r="DR483" s="293">
        <f t="shared" si="568"/>
        <v>0</v>
      </c>
      <c r="DS483" s="295"/>
      <c r="DT483" s="295"/>
      <c r="DU483" s="293"/>
      <c r="DV483" s="293"/>
      <c r="DW483" s="293"/>
      <c r="DX483" s="295"/>
      <c r="DY483" s="295"/>
      <c r="DZ483" s="293"/>
      <c r="EA483" s="293"/>
      <c r="EB483" s="295"/>
      <c r="EC483" s="295"/>
      <c r="ED483" s="293"/>
      <c r="EE483" s="293"/>
      <c r="EF483" s="295"/>
      <c r="EG483" s="295"/>
      <c r="EH483" s="295"/>
      <c r="EI483" s="295"/>
      <c r="EJ483" s="295"/>
      <c r="EK483" s="295"/>
      <c r="EL483" s="295"/>
      <c r="EM483" s="295"/>
      <c r="EN483" s="295"/>
      <c r="EO483" s="295"/>
      <c r="EP483" s="295"/>
      <c r="JM483"/>
    </row>
    <row r="484" spans="1:273" s="327" customFormat="1">
      <c r="A484" s="332" t="s">
        <v>667</v>
      </c>
      <c r="B484" s="295"/>
      <c r="AN484" s="295"/>
      <c r="AO484" s="295"/>
      <c r="AP484" s="295"/>
      <c r="AQ484" s="295"/>
      <c r="AR484" s="295"/>
      <c r="AS484" s="295"/>
      <c r="AT484" s="293">
        <f>AT590</f>
        <v>0</v>
      </c>
      <c r="AU484" s="295"/>
      <c r="AV484" s="293">
        <f>AV590</f>
        <v>345</v>
      </c>
      <c r="AW484" s="966">
        <f>AW590</f>
        <v>83</v>
      </c>
      <c r="AX484" s="293">
        <f t="shared" si="550"/>
        <v>428</v>
      </c>
      <c r="AY484" s="820"/>
      <c r="AZ484" s="293">
        <f>AZ590</f>
        <v>0</v>
      </c>
      <c r="BA484" s="293">
        <f>BA590</f>
        <v>14</v>
      </c>
      <c r="BB484" s="293">
        <f t="shared" si="551"/>
        <v>14</v>
      </c>
      <c r="BC484" s="295"/>
      <c r="BD484" s="293">
        <f>BD590</f>
        <v>0</v>
      </c>
      <c r="BE484" s="293">
        <f>BE590</f>
        <v>0</v>
      </c>
      <c r="BF484" s="293">
        <f t="shared" si="552"/>
        <v>0</v>
      </c>
      <c r="BG484" s="295"/>
      <c r="BH484" s="293">
        <f>BH590</f>
        <v>0</v>
      </c>
      <c r="BI484" s="293">
        <f>BI590</f>
        <v>0</v>
      </c>
      <c r="BJ484" s="293">
        <f t="shared" si="553"/>
        <v>0</v>
      </c>
      <c r="BK484" s="295"/>
      <c r="BL484" s="293">
        <f>BL590</f>
        <v>0</v>
      </c>
      <c r="BM484" s="293">
        <f>BM590</f>
        <v>0</v>
      </c>
      <c r="BN484" s="293">
        <f t="shared" si="554"/>
        <v>0</v>
      </c>
      <c r="BO484" s="295"/>
      <c r="BP484" s="293">
        <f>BP590</f>
        <v>0</v>
      </c>
      <c r="BQ484" s="293">
        <f>BQ590</f>
        <v>0</v>
      </c>
      <c r="BR484" s="293">
        <f t="shared" si="555"/>
        <v>0</v>
      </c>
      <c r="BS484" s="295"/>
      <c r="BT484" s="293">
        <f>BT590</f>
        <v>0</v>
      </c>
      <c r="BU484" s="293">
        <f>BU590</f>
        <v>0</v>
      </c>
      <c r="BV484" s="293">
        <f t="shared" si="556"/>
        <v>0</v>
      </c>
      <c r="BW484" s="295"/>
      <c r="BX484" s="293">
        <f>BX590</f>
        <v>0</v>
      </c>
      <c r="BY484" s="293">
        <f>BY590</f>
        <v>0</v>
      </c>
      <c r="BZ484" s="293">
        <f t="shared" si="557"/>
        <v>0</v>
      </c>
      <c r="CA484" s="295"/>
      <c r="CB484" s="293">
        <f>CB590</f>
        <v>0</v>
      </c>
      <c r="CC484" s="293">
        <f>CC590</f>
        <v>0</v>
      </c>
      <c r="CD484" s="293">
        <f t="shared" si="558"/>
        <v>0</v>
      </c>
      <c r="CE484" s="791"/>
      <c r="CF484" s="293">
        <f>CF590</f>
        <v>0</v>
      </c>
      <c r="CG484" s="293">
        <f>CG590</f>
        <v>0</v>
      </c>
      <c r="CH484" s="293">
        <f t="shared" si="559"/>
        <v>0</v>
      </c>
      <c r="CI484" s="791"/>
      <c r="CJ484" s="293">
        <f>CJ590</f>
        <v>0</v>
      </c>
      <c r="CK484" s="293">
        <f>CK590</f>
        <v>0</v>
      </c>
      <c r="CL484" s="293">
        <f t="shared" si="560"/>
        <v>0</v>
      </c>
      <c r="CM484" s="791"/>
      <c r="CN484" s="293">
        <f>CN590</f>
        <v>0</v>
      </c>
      <c r="CO484" s="293">
        <f>CO590</f>
        <v>0</v>
      </c>
      <c r="CP484" s="293">
        <f t="shared" si="561"/>
        <v>0</v>
      </c>
      <c r="CQ484" s="791"/>
      <c r="CR484" s="293">
        <f>CR590</f>
        <v>0</v>
      </c>
      <c r="CS484" s="293">
        <f>CS590</f>
        <v>0</v>
      </c>
      <c r="CT484" s="293">
        <f t="shared" si="562"/>
        <v>0</v>
      </c>
      <c r="CU484" s="295"/>
      <c r="CV484" s="293">
        <f>CV590</f>
        <v>0</v>
      </c>
      <c r="CW484" s="293">
        <f>CW590</f>
        <v>0</v>
      </c>
      <c r="CX484" s="293">
        <f t="shared" si="563"/>
        <v>0</v>
      </c>
      <c r="CY484" s="295"/>
      <c r="CZ484" s="293">
        <f>CZ590</f>
        <v>0</v>
      </c>
      <c r="DA484" s="293">
        <f>DA590</f>
        <v>0</v>
      </c>
      <c r="DB484" s="293">
        <f t="shared" si="564"/>
        <v>0</v>
      </c>
      <c r="DC484" s="295"/>
      <c r="DD484" s="293">
        <f>DD590</f>
        <v>0</v>
      </c>
      <c r="DE484" s="293">
        <f>DE590</f>
        <v>0</v>
      </c>
      <c r="DF484" s="293">
        <f t="shared" si="565"/>
        <v>0</v>
      </c>
      <c r="DG484" s="295"/>
      <c r="DH484" s="293">
        <f>DH590</f>
        <v>0</v>
      </c>
      <c r="DI484" s="293">
        <f>DI590</f>
        <v>0</v>
      </c>
      <c r="DJ484" s="293">
        <f t="shared" si="566"/>
        <v>0</v>
      </c>
      <c r="DK484" s="295"/>
      <c r="DL484" s="293">
        <f>DL590</f>
        <v>0</v>
      </c>
      <c r="DM484" s="293">
        <f>DM590</f>
        <v>0</v>
      </c>
      <c r="DN484" s="293">
        <f t="shared" si="567"/>
        <v>0</v>
      </c>
      <c r="DO484" s="295"/>
      <c r="DP484" s="293">
        <f>DP590</f>
        <v>0</v>
      </c>
      <c r="DQ484" s="293">
        <f>DQ590</f>
        <v>0</v>
      </c>
      <c r="DR484" s="293">
        <f t="shared" si="568"/>
        <v>0</v>
      </c>
      <c r="DS484" s="295"/>
      <c r="DT484" s="295"/>
      <c r="DU484" s="293"/>
      <c r="DV484" s="293"/>
      <c r="DW484" s="293"/>
      <c r="DX484" s="295"/>
      <c r="DY484" s="295"/>
      <c r="DZ484" s="293"/>
      <c r="EA484" s="293"/>
      <c r="EB484" s="295"/>
      <c r="EC484" s="295"/>
      <c r="ED484" s="293"/>
      <c r="EE484" s="293"/>
      <c r="EF484" s="295"/>
      <c r="EG484" s="295"/>
      <c r="EH484" s="295"/>
      <c r="EI484" s="295"/>
      <c r="EJ484" s="295"/>
      <c r="EK484" s="295"/>
      <c r="EL484" s="295"/>
      <c r="EM484" s="295"/>
      <c r="EN484" s="295"/>
      <c r="EO484" s="295"/>
      <c r="EP484" s="295"/>
      <c r="JM484"/>
    </row>
    <row r="485" spans="1:273" s="327" customFormat="1">
      <c r="A485" s="332" t="s">
        <v>675</v>
      </c>
      <c r="B485" s="295"/>
      <c r="AN485" s="295"/>
      <c r="AO485" s="295"/>
      <c r="AP485" s="295"/>
      <c r="AQ485" s="295"/>
      <c r="AR485" s="295"/>
      <c r="AS485" s="295"/>
      <c r="AT485" s="293">
        <f>AT601</f>
        <v>0</v>
      </c>
      <c r="AU485" s="295"/>
      <c r="AV485" s="293">
        <f>AV601</f>
        <v>55</v>
      </c>
      <c r="AW485" s="966">
        <f>AW601</f>
        <v>0</v>
      </c>
      <c r="AX485" s="293">
        <f t="shared" si="550"/>
        <v>55</v>
      </c>
      <c r="AY485" s="820"/>
      <c r="AZ485" s="293">
        <f>AZ601</f>
        <v>0</v>
      </c>
      <c r="BA485" s="293">
        <f>BA601</f>
        <v>0</v>
      </c>
      <c r="BB485" s="293">
        <f t="shared" si="551"/>
        <v>0</v>
      </c>
      <c r="BC485" s="295"/>
      <c r="BD485" s="293">
        <f>BD601</f>
        <v>0</v>
      </c>
      <c r="BE485" s="293">
        <f>BE601</f>
        <v>0</v>
      </c>
      <c r="BF485" s="293">
        <f t="shared" si="552"/>
        <v>0</v>
      </c>
      <c r="BG485" s="295"/>
      <c r="BH485" s="293">
        <f>BH601</f>
        <v>0</v>
      </c>
      <c r="BI485" s="293">
        <f>BI601</f>
        <v>0</v>
      </c>
      <c r="BJ485" s="293">
        <f t="shared" si="553"/>
        <v>0</v>
      </c>
      <c r="BL485" s="293">
        <f>BL601</f>
        <v>0</v>
      </c>
      <c r="BM485" s="293">
        <f>BM601</f>
        <v>0</v>
      </c>
      <c r="BN485" s="293">
        <f t="shared" si="554"/>
        <v>0</v>
      </c>
      <c r="BO485" s="295"/>
      <c r="BP485" s="293">
        <f>BP601</f>
        <v>0</v>
      </c>
      <c r="BQ485" s="293">
        <f>BQ601</f>
        <v>0</v>
      </c>
      <c r="BR485" s="293">
        <f t="shared" si="555"/>
        <v>0</v>
      </c>
      <c r="BS485" s="295"/>
      <c r="BT485" s="293">
        <f>BT601</f>
        <v>0</v>
      </c>
      <c r="BU485" s="293">
        <f>BU601</f>
        <v>0</v>
      </c>
      <c r="BV485" s="293">
        <f t="shared" si="556"/>
        <v>0</v>
      </c>
      <c r="BW485" s="295"/>
      <c r="BX485" s="293">
        <f>BX601</f>
        <v>0</v>
      </c>
      <c r="BY485" s="293">
        <f>BY601</f>
        <v>0</v>
      </c>
      <c r="BZ485" s="293">
        <f t="shared" si="557"/>
        <v>0</v>
      </c>
      <c r="CA485" s="295"/>
      <c r="CB485" s="293">
        <f>CB601</f>
        <v>0</v>
      </c>
      <c r="CC485" s="293">
        <f>CC601</f>
        <v>0</v>
      </c>
      <c r="CD485" s="293">
        <f t="shared" si="558"/>
        <v>0</v>
      </c>
      <c r="CE485" s="791"/>
      <c r="CF485" s="293">
        <f>CF601</f>
        <v>0</v>
      </c>
      <c r="CG485" s="293">
        <f>CG601</f>
        <v>0</v>
      </c>
      <c r="CH485" s="293">
        <f t="shared" si="559"/>
        <v>0</v>
      </c>
      <c r="CI485" s="791"/>
      <c r="CJ485" s="293">
        <f>CJ601</f>
        <v>0</v>
      </c>
      <c r="CK485" s="293">
        <f>CK601</f>
        <v>0</v>
      </c>
      <c r="CL485" s="293">
        <f t="shared" si="560"/>
        <v>0</v>
      </c>
      <c r="CM485" s="791"/>
      <c r="CN485" s="293">
        <f>CN601</f>
        <v>0</v>
      </c>
      <c r="CO485" s="293">
        <f>CO601</f>
        <v>0</v>
      </c>
      <c r="CP485" s="293">
        <f t="shared" si="561"/>
        <v>0</v>
      </c>
      <c r="CQ485" s="791"/>
      <c r="CR485" s="293">
        <f>CR601</f>
        <v>0</v>
      </c>
      <c r="CS485" s="293">
        <f>CS601</f>
        <v>0</v>
      </c>
      <c r="CT485" s="293">
        <f t="shared" si="562"/>
        <v>0</v>
      </c>
      <c r="CU485" s="295"/>
      <c r="CV485" s="293">
        <f>CV601</f>
        <v>0</v>
      </c>
      <c r="CW485" s="293">
        <f>CW601</f>
        <v>0</v>
      </c>
      <c r="CX485" s="293">
        <f t="shared" si="563"/>
        <v>0</v>
      </c>
      <c r="CY485" s="295"/>
      <c r="CZ485" s="293">
        <f>CZ601</f>
        <v>0</v>
      </c>
      <c r="DA485" s="293">
        <f>DA601</f>
        <v>0</v>
      </c>
      <c r="DB485" s="293">
        <f t="shared" si="564"/>
        <v>0</v>
      </c>
      <c r="DC485" s="295"/>
      <c r="DD485" s="293">
        <f>DD601</f>
        <v>0</v>
      </c>
      <c r="DE485" s="293">
        <f>DE601</f>
        <v>0</v>
      </c>
      <c r="DF485" s="293">
        <f t="shared" si="565"/>
        <v>0</v>
      </c>
      <c r="DG485" s="295"/>
      <c r="DH485" s="293">
        <f>DH601</f>
        <v>0</v>
      </c>
      <c r="DI485" s="293">
        <f>DI601</f>
        <v>0</v>
      </c>
      <c r="DJ485" s="293">
        <f t="shared" si="566"/>
        <v>0</v>
      </c>
      <c r="DK485" s="295"/>
      <c r="DL485" s="293">
        <f>DL601</f>
        <v>0</v>
      </c>
      <c r="DM485" s="293">
        <f>DM601</f>
        <v>0</v>
      </c>
      <c r="DN485" s="293">
        <f t="shared" si="567"/>
        <v>0</v>
      </c>
      <c r="DO485" s="295"/>
      <c r="DP485" s="293">
        <f>DP601</f>
        <v>0</v>
      </c>
      <c r="DQ485" s="293">
        <f>DQ601</f>
        <v>0</v>
      </c>
      <c r="DR485" s="293">
        <f t="shared" si="568"/>
        <v>0</v>
      </c>
      <c r="DS485" s="295"/>
      <c r="DT485" s="295"/>
      <c r="DU485" s="293"/>
      <c r="DV485" s="293"/>
      <c r="DW485" s="293"/>
      <c r="DX485" s="295"/>
      <c r="DY485" s="295"/>
      <c r="DZ485" s="293"/>
      <c r="EA485" s="293"/>
      <c r="EB485" s="295"/>
      <c r="EC485" s="295"/>
      <c r="ED485" s="293"/>
      <c r="EE485" s="293"/>
      <c r="EF485" s="295"/>
      <c r="EG485" s="295"/>
      <c r="EH485" s="295"/>
      <c r="EI485" s="295"/>
      <c r="EJ485" s="295"/>
      <c r="EK485" s="295"/>
      <c r="EL485" s="295"/>
      <c r="EM485" s="295"/>
      <c r="EN485" s="295"/>
      <c r="EO485" s="295"/>
      <c r="EP485" s="295"/>
      <c r="JM485"/>
    </row>
    <row r="486" spans="1:273" s="327" customFormat="1">
      <c r="A486" s="332" t="s">
        <v>672</v>
      </c>
      <c r="B486" s="295"/>
      <c r="AN486" s="295"/>
      <c r="AO486" s="295"/>
      <c r="AP486" s="295"/>
      <c r="AQ486" s="295"/>
      <c r="AR486" s="295"/>
      <c r="AS486" s="295"/>
      <c r="AT486" s="293">
        <f>AT612</f>
        <v>-500</v>
      </c>
      <c r="AU486" s="295"/>
      <c r="AV486" s="293">
        <f>AV612</f>
        <v>-131</v>
      </c>
      <c r="AW486" s="293">
        <f>AW612</f>
        <v>-85</v>
      </c>
      <c r="AX486" s="293">
        <f t="shared" si="550"/>
        <v>-216</v>
      </c>
      <c r="AY486" s="820"/>
      <c r="AZ486" s="293">
        <f>AZ612</f>
        <v>-76</v>
      </c>
      <c r="BA486" s="293">
        <f>BA612</f>
        <v>-56</v>
      </c>
      <c r="BB486" s="293">
        <f t="shared" si="551"/>
        <v>-132</v>
      </c>
      <c r="BC486" s="295"/>
      <c r="BD486" s="293">
        <f>BD612</f>
        <v>-65</v>
      </c>
      <c r="BE486" s="293">
        <f>BE612</f>
        <v>-112</v>
      </c>
      <c r="BF486" s="293">
        <f t="shared" si="552"/>
        <v>-177</v>
      </c>
      <c r="BG486" s="295"/>
      <c r="BH486" s="293">
        <f>BH612</f>
        <v>-89</v>
      </c>
      <c r="BI486" s="293">
        <f>BI612</f>
        <v>-99</v>
      </c>
      <c r="BJ486" s="293">
        <f t="shared" si="553"/>
        <v>-188</v>
      </c>
      <c r="BK486" s="295"/>
      <c r="BL486" s="293">
        <f>BL612</f>
        <v>-90</v>
      </c>
      <c r="BM486" s="293">
        <f>BM612</f>
        <v>-142</v>
      </c>
      <c r="BN486" s="293">
        <f t="shared" si="554"/>
        <v>-232</v>
      </c>
      <c r="BO486" s="295"/>
      <c r="BP486" s="293">
        <f>BP612</f>
        <v>-99</v>
      </c>
      <c r="BQ486" s="293">
        <f>BQ612</f>
        <v>-351</v>
      </c>
      <c r="BR486" s="293">
        <f t="shared" si="555"/>
        <v>-450</v>
      </c>
      <c r="BS486" s="295"/>
      <c r="BT486" s="293">
        <f>BT612</f>
        <v>-258</v>
      </c>
      <c r="BU486" s="293">
        <f>BU612</f>
        <v>-261</v>
      </c>
      <c r="BV486" s="293">
        <f t="shared" si="556"/>
        <v>-519</v>
      </c>
      <c r="BW486" s="295"/>
      <c r="BX486" s="966">
        <f>BX612</f>
        <v>-172</v>
      </c>
      <c r="BY486" s="293">
        <f>BY612</f>
        <v>-130</v>
      </c>
      <c r="BZ486" s="293">
        <f t="shared" si="557"/>
        <v>-302</v>
      </c>
      <c r="CA486" s="295"/>
      <c r="CB486" s="293">
        <f>CB612</f>
        <v>-142</v>
      </c>
      <c r="CC486" s="293">
        <f>CC612</f>
        <v>-216</v>
      </c>
      <c r="CD486" s="293">
        <f t="shared" si="558"/>
        <v>-358</v>
      </c>
      <c r="CE486" s="791"/>
      <c r="CF486" s="293">
        <f>CF612</f>
        <v>-76</v>
      </c>
      <c r="CG486" s="293">
        <f>CG612</f>
        <v>-461</v>
      </c>
      <c r="CH486" s="293">
        <f t="shared" si="559"/>
        <v>-537</v>
      </c>
      <c r="CI486" s="791"/>
      <c r="CJ486" s="293">
        <f>CJ612</f>
        <v>-139</v>
      </c>
      <c r="CK486" s="293">
        <f>CK612</f>
        <v>-901</v>
      </c>
      <c r="CL486" s="293">
        <f t="shared" si="560"/>
        <v>-1040</v>
      </c>
      <c r="CM486" s="791"/>
      <c r="CN486" s="293">
        <f>CN612</f>
        <v>-447</v>
      </c>
      <c r="CO486" s="293">
        <f>CO612</f>
        <v>-77</v>
      </c>
      <c r="CP486" s="293">
        <f t="shared" si="561"/>
        <v>-524</v>
      </c>
      <c r="CQ486" s="791"/>
      <c r="CR486" s="293">
        <f>CR612</f>
        <v>-230</v>
      </c>
      <c r="CS486" s="293">
        <f>CS612</f>
        <v>-279</v>
      </c>
      <c r="CT486" s="293">
        <f t="shared" si="562"/>
        <v>-509</v>
      </c>
      <c r="CU486" s="295"/>
      <c r="CV486" s="293">
        <f>CV612</f>
        <v>-286</v>
      </c>
      <c r="CW486" s="293">
        <f>CW612</f>
        <v>-168</v>
      </c>
      <c r="CX486" s="293">
        <f t="shared" si="563"/>
        <v>-454</v>
      </c>
      <c r="CY486" s="295"/>
      <c r="CZ486" s="293">
        <f>CZ612</f>
        <v>117</v>
      </c>
      <c r="DA486" s="293">
        <f>DA612</f>
        <v>252</v>
      </c>
      <c r="DB486" s="293">
        <f t="shared" si="564"/>
        <v>369</v>
      </c>
      <c r="DC486" s="295"/>
      <c r="DD486" s="293">
        <f>DD612</f>
        <v>-75</v>
      </c>
      <c r="DE486" s="293">
        <f>DE612</f>
        <v>-286</v>
      </c>
      <c r="DF486" s="293">
        <f t="shared" si="565"/>
        <v>-361</v>
      </c>
      <c r="DG486" s="295"/>
      <c r="DH486" s="293">
        <f>DH612</f>
        <v>-29</v>
      </c>
      <c r="DI486" s="293">
        <f>DI612</f>
        <v>-141.61760000000001</v>
      </c>
      <c r="DJ486" s="293">
        <f t="shared" si="566"/>
        <v>-170.61760000000001</v>
      </c>
      <c r="DK486" s="295"/>
      <c r="DL486" s="293">
        <f>DL612</f>
        <v>-202.92000000000002</v>
      </c>
      <c r="DM486" s="293">
        <f>DM612</f>
        <v>-218.91200000000001</v>
      </c>
      <c r="DN486" s="293">
        <f t="shared" si="567"/>
        <v>-421.83199999999999</v>
      </c>
      <c r="DO486" s="295"/>
      <c r="DP486" s="293">
        <f>DP612</f>
        <v>-210.07679999999999</v>
      </c>
      <c r="DQ486" s="293">
        <f>DQ612</f>
        <v>-225.26848000000001</v>
      </c>
      <c r="DR486" s="293">
        <f t="shared" si="568"/>
        <v>-435.34528</v>
      </c>
      <c r="DS486" s="295"/>
      <c r="DT486" s="295"/>
      <c r="DU486" s="293"/>
      <c r="DV486" s="293"/>
      <c r="DW486" s="293"/>
      <c r="DX486" s="295"/>
      <c r="DY486" s="295"/>
      <c r="DZ486" s="293"/>
      <c r="EA486" s="293"/>
      <c r="EB486" s="295"/>
      <c r="EC486" s="295"/>
      <c r="ED486" s="293"/>
      <c r="EE486" s="293"/>
      <c r="EF486" s="295"/>
      <c r="EG486" s="295"/>
      <c r="EH486" s="295"/>
      <c r="EI486" s="295"/>
      <c r="EJ486" s="295"/>
      <c r="EK486" s="295"/>
      <c r="EL486" s="295"/>
      <c r="EM486" s="295"/>
      <c r="EN486" s="295"/>
      <c r="EO486" s="295"/>
      <c r="EP486" s="295"/>
      <c r="JM486"/>
    </row>
    <row r="487" spans="1:273" s="327" customFormat="1">
      <c r="A487" s="332" t="s">
        <v>828</v>
      </c>
      <c r="B487" s="295"/>
      <c r="AN487" s="295"/>
      <c r="AO487" s="295"/>
      <c r="AP487" s="295"/>
      <c r="AQ487" s="295"/>
      <c r="AR487" s="295"/>
      <c r="AS487" s="295"/>
      <c r="AT487" s="293">
        <f>AT623</f>
        <v>0</v>
      </c>
      <c r="AU487" s="295"/>
      <c r="AV487" s="293">
        <f>AV623</f>
        <v>0</v>
      </c>
      <c r="AW487" s="293">
        <f>AW623</f>
        <v>0</v>
      </c>
      <c r="AX487" s="293">
        <f t="shared" si="550"/>
        <v>0</v>
      </c>
      <c r="AY487" s="820"/>
      <c r="AZ487" s="293">
        <f>AZ623</f>
        <v>48</v>
      </c>
      <c r="BA487" s="293">
        <f>BA623</f>
        <v>35</v>
      </c>
      <c r="BB487" s="293">
        <f t="shared" si="551"/>
        <v>83</v>
      </c>
      <c r="BC487" s="295"/>
      <c r="BD487" s="293">
        <f>BD623</f>
        <v>65</v>
      </c>
      <c r="BE487" s="293">
        <f>BE623</f>
        <v>337</v>
      </c>
      <c r="BF487" s="293">
        <f t="shared" si="552"/>
        <v>402</v>
      </c>
      <c r="BG487" s="295"/>
      <c r="BH487" s="293">
        <f>BH623</f>
        <v>42</v>
      </c>
      <c r="BI487" s="293">
        <f>BI623</f>
        <v>39</v>
      </c>
      <c r="BJ487" s="293">
        <f t="shared" si="553"/>
        <v>81</v>
      </c>
      <c r="BL487" s="293">
        <f>BL623</f>
        <v>52</v>
      </c>
      <c r="BM487" s="293">
        <f>BM623</f>
        <v>36</v>
      </c>
      <c r="BN487" s="293">
        <f t="shared" si="554"/>
        <v>88</v>
      </c>
      <c r="BO487" s="295"/>
      <c r="BP487" s="293">
        <f>BP623</f>
        <v>2</v>
      </c>
      <c r="BQ487" s="293">
        <f>BQ623</f>
        <v>0</v>
      </c>
      <c r="BR487" s="293">
        <f t="shared" si="555"/>
        <v>2</v>
      </c>
      <c r="BS487" s="295"/>
      <c r="BT487" s="293">
        <f>BT623</f>
        <v>0</v>
      </c>
      <c r="BU487" s="293">
        <f>BU623</f>
        <v>0</v>
      </c>
      <c r="BV487" s="293">
        <f t="shared" si="556"/>
        <v>0</v>
      </c>
      <c r="BW487" s="295"/>
      <c r="BX487" s="293">
        <f>BX623</f>
        <v>0</v>
      </c>
      <c r="BY487" s="293">
        <f>BY623</f>
        <v>0</v>
      </c>
      <c r="BZ487" s="293">
        <f t="shared" si="557"/>
        <v>0</v>
      </c>
      <c r="CA487" s="295"/>
      <c r="CB487" s="293">
        <f>CB623</f>
        <v>0</v>
      </c>
      <c r="CC487" s="293">
        <f>CC623</f>
        <v>0</v>
      </c>
      <c r="CD487" s="293">
        <f t="shared" si="558"/>
        <v>0</v>
      </c>
      <c r="CE487" s="791"/>
      <c r="CF487" s="293">
        <f>CF623</f>
        <v>0</v>
      </c>
      <c r="CG487" s="293">
        <f>CG623</f>
        <v>0</v>
      </c>
      <c r="CH487" s="293">
        <f t="shared" si="559"/>
        <v>0</v>
      </c>
      <c r="CI487" s="791"/>
      <c r="CJ487" s="293">
        <f>CJ623</f>
        <v>0</v>
      </c>
      <c r="CK487" s="293">
        <f>CK623</f>
        <v>0</v>
      </c>
      <c r="CL487" s="293">
        <f t="shared" si="560"/>
        <v>0</v>
      </c>
      <c r="CM487" s="791"/>
      <c r="CN487" s="293">
        <f>CN623</f>
        <v>0</v>
      </c>
      <c r="CO487" s="293">
        <f>CO623</f>
        <v>0</v>
      </c>
      <c r="CP487" s="293">
        <f t="shared" si="561"/>
        <v>0</v>
      </c>
      <c r="CQ487" s="791"/>
      <c r="CR487" s="293">
        <f>CR623</f>
        <v>0</v>
      </c>
      <c r="CS487" s="293">
        <f>CS623</f>
        <v>0</v>
      </c>
      <c r="CT487" s="293">
        <f t="shared" si="562"/>
        <v>0</v>
      </c>
      <c r="CU487" s="295"/>
      <c r="CV487" s="293">
        <f>CV623</f>
        <v>0</v>
      </c>
      <c r="CW487" s="293">
        <f>CW623</f>
        <v>0</v>
      </c>
      <c r="CX487" s="293">
        <f t="shared" si="563"/>
        <v>0</v>
      </c>
      <c r="CY487" s="295"/>
      <c r="CZ487" s="293">
        <f>CZ623</f>
        <v>0</v>
      </c>
      <c r="DA487" s="293">
        <f>DA623</f>
        <v>0</v>
      </c>
      <c r="DB487" s="293">
        <f t="shared" si="564"/>
        <v>0</v>
      </c>
      <c r="DC487" s="295"/>
      <c r="DD487" s="293">
        <f>DD623</f>
        <v>0</v>
      </c>
      <c r="DE487" s="293">
        <f>DE623</f>
        <v>0</v>
      </c>
      <c r="DF487" s="293">
        <f t="shared" si="565"/>
        <v>0</v>
      </c>
      <c r="DG487" s="295"/>
      <c r="DH487" s="293">
        <f>DH623</f>
        <v>0</v>
      </c>
      <c r="DI487" s="293">
        <f>DI623</f>
        <v>0</v>
      </c>
      <c r="DJ487" s="293">
        <f t="shared" si="566"/>
        <v>0</v>
      </c>
      <c r="DK487" s="295"/>
      <c r="DL487" s="293">
        <f>DL623</f>
        <v>0</v>
      </c>
      <c r="DM487" s="293">
        <f>DM623</f>
        <v>0</v>
      </c>
      <c r="DN487" s="293">
        <f t="shared" si="567"/>
        <v>0</v>
      </c>
      <c r="DO487" s="293"/>
      <c r="DP487" s="293">
        <f>DP623</f>
        <v>0</v>
      </c>
      <c r="DQ487" s="293">
        <f>DQ623</f>
        <v>0</v>
      </c>
      <c r="DR487" s="293">
        <f t="shared" si="568"/>
        <v>0</v>
      </c>
      <c r="DS487" s="293"/>
      <c r="DT487" s="295"/>
      <c r="DU487" s="293"/>
      <c r="DV487" s="293"/>
      <c r="DW487" s="293"/>
      <c r="DX487" s="293"/>
      <c r="DY487" s="295"/>
      <c r="DZ487" s="293"/>
      <c r="EA487" s="293"/>
      <c r="EB487" s="293"/>
      <c r="EC487" s="295"/>
      <c r="ED487" s="293"/>
      <c r="EE487" s="293"/>
      <c r="EF487" s="293"/>
      <c r="EG487" s="295"/>
      <c r="EH487" s="295"/>
      <c r="EI487" s="295"/>
      <c r="EJ487" s="295"/>
      <c r="EK487" s="295"/>
      <c r="EL487" s="295"/>
      <c r="EM487" s="295"/>
      <c r="EN487" s="295"/>
      <c r="EO487" s="295"/>
      <c r="EP487" s="295"/>
      <c r="JM487"/>
    </row>
    <row r="488" spans="1:273" s="327" customFormat="1">
      <c r="A488" s="332" t="s">
        <v>827</v>
      </c>
      <c r="B488" s="295"/>
      <c r="AN488" s="295"/>
      <c r="AO488" s="295"/>
      <c r="AP488" s="295"/>
      <c r="AQ488" s="295"/>
      <c r="AR488" s="295"/>
      <c r="AS488" s="295"/>
      <c r="AT488" s="293">
        <f>AT634</f>
        <v>0</v>
      </c>
      <c r="AU488" s="295"/>
      <c r="AV488" s="293">
        <f>AV634</f>
        <v>0</v>
      </c>
      <c r="AW488" s="966">
        <f>AW634</f>
        <v>0</v>
      </c>
      <c r="AX488" s="293">
        <f t="shared" si="550"/>
        <v>0</v>
      </c>
      <c r="AY488" s="820"/>
      <c r="AZ488" s="293">
        <f>AZ634</f>
        <v>9</v>
      </c>
      <c r="BA488" s="293">
        <f>BA634</f>
        <v>-1</v>
      </c>
      <c r="BB488" s="293">
        <f t="shared" si="551"/>
        <v>8</v>
      </c>
      <c r="BC488" s="295"/>
      <c r="BD488" s="293">
        <f>BD634</f>
        <v>0</v>
      </c>
      <c r="BE488" s="293">
        <f>BE634</f>
        <v>0</v>
      </c>
      <c r="BF488" s="293">
        <f t="shared" si="552"/>
        <v>0</v>
      </c>
      <c r="BG488" s="295"/>
      <c r="BH488" s="293">
        <f>BH634</f>
        <v>0</v>
      </c>
      <c r="BI488" s="293">
        <f>BI634</f>
        <v>0</v>
      </c>
      <c r="BJ488" s="293">
        <f t="shared" si="553"/>
        <v>0</v>
      </c>
      <c r="BK488" s="295"/>
      <c r="BL488" s="293">
        <f>BL634</f>
        <v>0</v>
      </c>
      <c r="BM488" s="293">
        <f>BM634</f>
        <v>0</v>
      </c>
      <c r="BN488" s="293">
        <f t="shared" si="554"/>
        <v>0</v>
      </c>
      <c r="BO488" s="295"/>
      <c r="BP488" s="293">
        <f>BP634</f>
        <v>0</v>
      </c>
      <c r="BQ488" s="293">
        <f>BQ634</f>
        <v>0</v>
      </c>
      <c r="BR488" s="293">
        <f t="shared" si="555"/>
        <v>0</v>
      </c>
      <c r="BS488" s="295"/>
      <c r="BT488" s="293">
        <f>BT634</f>
        <v>0</v>
      </c>
      <c r="BU488" s="293">
        <f>BU634</f>
        <v>0</v>
      </c>
      <c r="BV488" s="293">
        <f t="shared" si="556"/>
        <v>0</v>
      </c>
      <c r="BW488" s="295"/>
      <c r="BX488" s="293">
        <f>BX634</f>
        <v>0</v>
      </c>
      <c r="BY488" s="293">
        <f>BY634</f>
        <v>0</v>
      </c>
      <c r="BZ488" s="293">
        <f t="shared" si="557"/>
        <v>0</v>
      </c>
      <c r="CA488" s="295"/>
      <c r="CB488" s="293">
        <f>CB634</f>
        <v>0</v>
      </c>
      <c r="CC488" s="293">
        <f>CC634</f>
        <v>0</v>
      </c>
      <c r="CD488" s="293">
        <f t="shared" si="558"/>
        <v>0</v>
      </c>
      <c r="CE488" s="791"/>
      <c r="CF488" s="293">
        <f>CF634</f>
        <v>0</v>
      </c>
      <c r="CG488" s="293">
        <f>CG634</f>
        <v>0</v>
      </c>
      <c r="CH488" s="293">
        <f t="shared" si="559"/>
        <v>0</v>
      </c>
      <c r="CI488" s="791"/>
      <c r="CJ488" s="293">
        <f>CJ634</f>
        <v>0</v>
      </c>
      <c r="CK488" s="293">
        <f>CK634</f>
        <v>0</v>
      </c>
      <c r="CL488" s="293">
        <f t="shared" si="560"/>
        <v>0</v>
      </c>
      <c r="CM488" s="791"/>
      <c r="CN488" s="293">
        <f>CN634</f>
        <v>0</v>
      </c>
      <c r="CO488" s="293">
        <f>CO634</f>
        <v>0</v>
      </c>
      <c r="CP488" s="293">
        <f t="shared" si="561"/>
        <v>0</v>
      </c>
      <c r="CQ488" s="791"/>
      <c r="CR488" s="293">
        <f>CR634</f>
        <v>0</v>
      </c>
      <c r="CS488" s="293">
        <f>CS634</f>
        <v>0</v>
      </c>
      <c r="CT488" s="293">
        <f t="shared" si="562"/>
        <v>0</v>
      </c>
      <c r="CU488" s="295"/>
      <c r="CV488" s="293">
        <f>CV634</f>
        <v>0</v>
      </c>
      <c r="CW488" s="293">
        <f>CW634</f>
        <v>0</v>
      </c>
      <c r="CX488" s="293">
        <f t="shared" si="563"/>
        <v>0</v>
      </c>
      <c r="CY488" s="295"/>
      <c r="CZ488" s="293">
        <f>CZ634</f>
        <v>0</v>
      </c>
      <c r="DA488" s="293">
        <f>DA634</f>
        <v>0</v>
      </c>
      <c r="DB488" s="293">
        <f t="shared" si="564"/>
        <v>0</v>
      </c>
      <c r="DC488" s="295"/>
      <c r="DD488" s="293">
        <f>DD634</f>
        <v>0</v>
      </c>
      <c r="DE488" s="293">
        <f>DE634</f>
        <v>0</v>
      </c>
      <c r="DF488" s="293">
        <f t="shared" si="565"/>
        <v>0</v>
      </c>
      <c r="DG488" s="295"/>
      <c r="DH488" s="293">
        <f>DH634</f>
        <v>0</v>
      </c>
      <c r="DI488" s="293">
        <f>DI634</f>
        <v>0</v>
      </c>
      <c r="DJ488" s="293">
        <f t="shared" si="566"/>
        <v>0</v>
      </c>
      <c r="DK488" s="295"/>
      <c r="DL488" s="293">
        <f>DL634</f>
        <v>0</v>
      </c>
      <c r="DM488" s="293">
        <f>DM634</f>
        <v>0</v>
      </c>
      <c r="DN488" s="293">
        <f t="shared" si="567"/>
        <v>0</v>
      </c>
      <c r="DO488" s="293"/>
      <c r="DP488" s="293">
        <f>DP634</f>
        <v>0</v>
      </c>
      <c r="DQ488" s="293">
        <f>DQ634</f>
        <v>0</v>
      </c>
      <c r="DR488" s="293">
        <f t="shared" si="568"/>
        <v>0</v>
      </c>
      <c r="DS488" s="293"/>
      <c r="DT488" s="295"/>
      <c r="DU488" s="293"/>
      <c r="DV488" s="293"/>
      <c r="DW488" s="293"/>
      <c r="DX488" s="293"/>
      <c r="DY488" s="295"/>
      <c r="DZ488" s="293"/>
      <c r="EA488" s="293"/>
      <c r="EB488" s="293"/>
      <c r="EC488" s="295"/>
      <c r="ED488" s="293"/>
      <c r="EE488" s="293"/>
      <c r="EF488" s="293"/>
      <c r="EG488" s="295"/>
      <c r="EH488" s="295"/>
      <c r="EI488" s="295"/>
      <c r="EJ488" s="295"/>
      <c r="EK488" s="295"/>
      <c r="EL488" s="295"/>
      <c r="EM488" s="295"/>
      <c r="EN488" s="295"/>
      <c r="EO488" s="295"/>
      <c r="EP488" s="295"/>
      <c r="JM488"/>
    </row>
    <row r="489" spans="1:273" s="327" customFormat="1">
      <c r="A489" s="332" t="s">
        <v>663</v>
      </c>
      <c r="B489" s="295"/>
      <c r="AN489" s="295"/>
      <c r="AO489" s="295"/>
      <c r="AP489" s="295"/>
      <c r="AQ489" s="295"/>
      <c r="AR489" s="295"/>
      <c r="AS489" s="295"/>
      <c r="AT489" s="293">
        <f>AT645</f>
        <v>266</v>
      </c>
      <c r="AU489" s="295"/>
      <c r="AV489" s="293">
        <f>AV645</f>
        <v>145</v>
      </c>
      <c r="AW489" s="293">
        <f>AW645</f>
        <v>153</v>
      </c>
      <c r="AX489" s="293">
        <f t="shared" si="550"/>
        <v>298</v>
      </c>
      <c r="AY489" s="820"/>
      <c r="AZ489" s="293">
        <f>AZ645</f>
        <v>234</v>
      </c>
      <c r="BA489" s="293">
        <f>BA645</f>
        <v>278</v>
      </c>
      <c r="BB489" s="293">
        <f t="shared" si="551"/>
        <v>512</v>
      </c>
      <c r="BC489" s="295"/>
      <c r="BD489" s="293">
        <f>BD645</f>
        <v>113</v>
      </c>
      <c r="BE489" s="293">
        <f>BE645</f>
        <v>235</v>
      </c>
      <c r="BF489" s="293">
        <f t="shared" si="552"/>
        <v>348</v>
      </c>
      <c r="BG489" s="295"/>
      <c r="BH489" s="293">
        <f>BH645</f>
        <v>127</v>
      </c>
      <c r="BI489" s="293">
        <f>BI645</f>
        <v>145</v>
      </c>
      <c r="BJ489" s="293">
        <f t="shared" si="553"/>
        <v>272</v>
      </c>
      <c r="BK489" s="295"/>
      <c r="BL489" s="293">
        <f>BL645</f>
        <v>108</v>
      </c>
      <c r="BM489" s="293">
        <f>BM645</f>
        <v>152</v>
      </c>
      <c r="BN489" s="293">
        <f t="shared" si="554"/>
        <v>260</v>
      </c>
      <c r="BO489" s="295"/>
      <c r="BP489" s="293">
        <f>BP645</f>
        <v>158</v>
      </c>
      <c r="BQ489" s="293">
        <f>BQ645</f>
        <v>265</v>
      </c>
      <c r="BR489" s="293">
        <f t="shared" si="555"/>
        <v>423</v>
      </c>
      <c r="BS489" s="295"/>
      <c r="BT489" s="293">
        <f>BT645</f>
        <v>100</v>
      </c>
      <c r="BU489" s="293">
        <f>BU645</f>
        <v>141</v>
      </c>
      <c r="BV489" s="293">
        <f t="shared" si="556"/>
        <v>241</v>
      </c>
      <c r="BW489" s="295"/>
      <c r="BX489" s="293">
        <f>BX645</f>
        <v>126</v>
      </c>
      <c r="BY489" s="293">
        <f>BY645</f>
        <v>106</v>
      </c>
      <c r="BZ489" s="293">
        <f t="shared" si="557"/>
        <v>232</v>
      </c>
      <c r="CA489" s="295"/>
      <c r="CB489" s="293">
        <f>CB645</f>
        <v>55</v>
      </c>
      <c r="CC489" s="293">
        <f>CC645</f>
        <v>152</v>
      </c>
      <c r="CD489" s="293">
        <f t="shared" si="558"/>
        <v>207</v>
      </c>
      <c r="CE489" s="791"/>
      <c r="CF489" s="293">
        <f>CF645</f>
        <v>75</v>
      </c>
      <c r="CG489" s="293">
        <f>CG645</f>
        <v>186</v>
      </c>
      <c r="CH489" s="293">
        <f t="shared" si="559"/>
        <v>261</v>
      </c>
      <c r="CI489" s="791"/>
      <c r="CJ489" s="293">
        <f>CJ645</f>
        <v>105</v>
      </c>
      <c r="CK489" s="293">
        <f>CK645</f>
        <v>202</v>
      </c>
      <c r="CL489" s="293">
        <f t="shared" si="560"/>
        <v>307</v>
      </c>
      <c r="CM489" s="791"/>
      <c r="CN489" s="293">
        <f>CN645</f>
        <v>39</v>
      </c>
      <c r="CO489" s="293">
        <f>CO645</f>
        <v>29</v>
      </c>
      <c r="CP489" s="293">
        <f t="shared" si="561"/>
        <v>68</v>
      </c>
      <c r="CQ489" s="791"/>
      <c r="CR489" s="293">
        <f>CR645</f>
        <v>137</v>
      </c>
      <c r="CS489" s="293">
        <f>CS645</f>
        <v>75</v>
      </c>
      <c r="CT489" s="293">
        <f t="shared" si="562"/>
        <v>212</v>
      </c>
      <c r="CU489" s="295"/>
      <c r="CV489" s="293">
        <f>CV645</f>
        <v>30</v>
      </c>
      <c r="CW489" s="293">
        <f>CW645</f>
        <v>177</v>
      </c>
      <c r="CX489" s="293">
        <f t="shared" si="563"/>
        <v>207</v>
      </c>
      <c r="CY489" s="295"/>
      <c r="CZ489" s="293">
        <f>CZ645</f>
        <v>-29</v>
      </c>
      <c r="DA489" s="293">
        <f>DA645</f>
        <v>-47</v>
      </c>
      <c r="DB489" s="293">
        <f t="shared" si="564"/>
        <v>-76</v>
      </c>
      <c r="DC489" s="295"/>
      <c r="DD489" s="293">
        <f>DD645</f>
        <v>124</v>
      </c>
      <c r="DE489" s="293">
        <f>DE645</f>
        <v>-129</v>
      </c>
      <c r="DF489" s="293">
        <f t="shared" si="565"/>
        <v>-5</v>
      </c>
      <c r="DG489" s="295"/>
      <c r="DH489" s="293">
        <f>DH645</f>
        <v>-184</v>
      </c>
      <c r="DI489" s="293">
        <f>DI645</f>
        <v>8.0200000000000102</v>
      </c>
      <c r="DJ489" s="293">
        <f t="shared" si="566"/>
        <v>-175.98</v>
      </c>
      <c r="DK489" s="295"/>
      <c r="DL489" s="293">
        <f>DL645</f>
        <v>26.500599999999991</v>
      </c>
      <c r="DM489" s="293">
        <f>DM645</f>
        <v>43.759118000000015</v>
      </c>
      <c r="DN489" s="293">
        <f t="shared" si="567"/>
        <v>70.259718000000007</v>
      </c>
      <c r="DO489" s="295"/>
      <c r="DP489" s="293">
        <f>DP645</f>
        <v>87.173891540000014</v>
      </c>
      <c r="DQ489" s="293">
        <f>DQ645</f>
        <v>94.805783286200025</v>
      </c>
      <c r="DR489" s="293">
        <f t="shared" si="568"/>
        <v>181.97967482620004</v>
      </c>
      <c r="DS489" s="295"/>
      <c r="DT489" s="295"/>
      <c r="DU489" s="293"/>
      <c r="DV489" s="293"/>
      <c r="DW489" s="293"/>
      <c r="DX489" s="295"/>
      <c r="DY489" s="295"/>
      <c r="DZ489" s="293"/>
      <c r="EA489" s="293"/>
      <c r="EB489" s="295"/>
      <c r="EC489" s="295"/>
      <c r="ED489" s="293"/>
      <c r="EE489" s="293"/>
      <c r="EF489" s="295"/>
      <c r="EG489" s="295"/>
      <c r="EH489" s="295"/>
      <c r="EI489" s="295"/>
      <c r="EJ489" s="295"/>
      <c r="EK489" s="295"/>
      <c r="EL489" s="295"/>
      <c r="EM489" s="295"/>
      <c r="EN489" s="295"/>
      <c r="EO489" s="295"/>
      <c r="EP489" s="295"/>
      <c r="JM489"/>
    </row>
    <row r="490" spans="1:273" s="327" customFormat="1">
      <c r="A490" s="327" t="s">
        <v>613</v>
      </c>
      <c r="B490" s="295"/>
      <c r="AN490" s="295"/>
      <c r="AO490" s="295"/>
      <c r="AP490" s="295"/>
      <c r="AQ490" s="295"/>
      <c r="AR490" s="295"/>
      <c r="AS490" s="295"/>
      <c r="AT490" s="295">
        <f>SUM(AT476:AT489)</f>
        <v>-689</v>
      </c>
      <c r="AU490" s="295"/>
      <c r="AV490" s="295">
        <f>SUM(AV476:AV489)</f>
        <v>360</v>
      </c>
      <c r="AW490" s="295">
        <f>SUM(AW476:AW489)</f>
        <v>408</v>
      </c>
      <c r="AX490" s="295">
        <f t="shared" si="550"/>
        <v>768</v>
      </c>
      <c r="AY490" s="820"/>
      <c r="AZ490" s="295">
        <f>SUM(AZ476:AZ489)</f>
        <v>370</v>
      </c>
      <c r="BA490" s="295">
        <f>SUM(BA476:BA489)</f>
        <v>561</v>
      </c>
      <c r="BB490" s="295">
        <f t="shared" si="551"/>
        <v>931</v>
      </c>
      <c r="BC490" s="295"/>
      <c r="BD490" s="295">
        <f>SUM(BD476:BD489)</f>
        <v>356</v>
      </c>
      <c r="BE490" s="295">
        <f>SUM(BE476:BE489)</f>
        <v>767</v>
      </c>
      <c r="BF490" s="295">
        <f t="shared" si="552"/>
        <v>1123</v>
      </c>
      <c r="BG490" s="295"/>
      <c r="BH490" s="295">
        <f>SUM(BH476:BH489)</f>
        <v>144</v>
      </c>
      <c r="BI490" s="295">
        <f>SUM(BI476:BI489)</f>
        <v>441</v>
      </c>
      <c r="BJ490" s="295">
        <f t="shared" si="553"/>
        <v>585</v>
      </c>
      <c r="BK490" s="295"/>
      <c r="BL490" s="295">
        <f>SUM(BL476:BL489)</f>
        <v>320</v>
      </c>
      <c r="BM490" s="295">
        <f>SUM(BM476:BM489)</f>
        <v>535</v>
      </c>
      <c r="BN490" s="295">
        <f t="shared" si="554"/>
        <v>855</v>
      </c>
      <c r="BO490" s="295"/>
      <c r="BP490" s="295">
        <f>SUM(BP476:BP489)</f>
        <v>455</v>
      </c>
      <c r="BQ490" s="295">
        <f>SUM(BQ476:BQ489)</f>
        <v>244</v>
      </c>
      <c r="BR490" s="295">
        <f t="shared" si="555"/>
        <v>699</v>
      </c>
      <c r="BS490" s="295"/>
      <c r="BT490" s="295">
        <f>SUM(BT476:BT489)</f>
        <v>314</v>
      </c>
      <c r="BU490" s="295">
        <f>SUM(BU476:BU489)</f>
        <v>632</v>
      </c>
      <c r="BV490" s="295">
        <f t="shared" si="556"/>
        <v>946</v>
      </c>
      <c r="BW490" s="295"/>
      <c r="BX490" s="295">
        <f>SUM(BX476:BX489)</f>
        <v>1149</v>
      </c>
      <c r="BY490" s="295">
        <f>SUM(BY476:BY489)</f>
        <v>890</v>
      </c>
      <c r="BZ490" s="295">
        <f t="shared" si="557"/>
        <v>2039</v>
      </c>
      <c r="CA490" s="295"/>
      <c r="CB490" s="295">
        <f>SUM(CB476:CB489)</f>
        <v>834</v>
      </c>
      <c r="CC490" s="295">
        <f>SUM(CC476:CC489)</f>
        <v>1232</v>
      </c>
      <c r="CD490" s="295">
        <f t="shared" si="558"/>
        <v>2066</v>
      </c>
      <c r="CE490" s="791"/>
      <c r="CF490" s="295">
        <f>SUM(CF476:CF489)</f>
        <v>933</v>
      </c>
      <c r="CG490" s="295">
        <f>SUM(CG476:CG489)</f>
        <v>1800</v>
      </c>
      <c r="CH490" s="295">
        <f t="shared" si="559"/>
        <v>2733</v>
      </c>
      <c r="CI490" s="791"/>
      <c r="CJ490" s="295">
        <f>SUM(CJ476:CJ489)</f>
        <v>1078</v>
      </c>
      <c r="CK490" s="295">
        <f>SUM(CK476:CK489)</f>
        <v>595</v>
      </c>
      <c r="CL490" s="295">
        <f t="shared" si="560"/>
        <v>1673</v>
      </c>
      <c r="CM490" s="791"/>
      <c r="CN490" s="295">
        <f>SUM(CN476:CN489)</f>
        <v>440</v>
      </c>
      <c r="CO490" s="295">
        <f>SUM(CO476:CO489)</f>
        <v>1484</v>
      </c>
      <c r="CP490" s="295">
        <f t="shared" si="561"/>
        <v>1924</v>
      </c>
      <c r="CQ490" s="791"/>
      <c r="CR490" s="295">
        <f>SUM(CR476:CR489)</f>
        <v>1078</v>
      </c>
      <c r="CS490" s="295">
        <f>SUM(CS476:CS489)</f>
        <v>2263</v>
      </c>
      <c r="CT490" s="295">
        <f t="shared" si="562"/>
        <v>3341</v>
      </c>
      <c r="CU490" s="295"/>
      <c r="CV490" s="295">
        <f>SUM(CV476:CV489)</f>
        <v>1460</v>
      </c>
      <c r="CW490" s="295">
        <f>SUM(CW476:CW489)</f>
        <v>774</v>
      </c>
      <c r="CX490" s="295">
        <f t="shared" si="563"/>
        <v>2234</v>
      </c>
      <c r="CY490" s="295"/>
      <c r="CZ490" s="295">
        <f>SUM(CZ476:CZ489)</f>
        <v>647</v>
      </c>
      <c r="DA490" s="295">
        <f>SUM(DA476:DA489)</f>
        <v>1133</v>
      </c>
      <c r="DB490" s="295">
        <f t="shared" si="564"/>
        <v>1780</v>
      </c>
      <c r="DC490" s="295"/>
      <c r="DD490" s="295">
        <f>SUM(DD476:DD489)</f>
        <v>786</v>
      </c>
      <c r="DE490" s="295">
        <f>SUM(DE476:DE489)</f>
        <v>588</v>
      </c>
      <c r="DF490" s="295">
        <f t="shared" si="565"/>
        <v>1374</v>
      </c>
      <c r="DG490" s="295"/>
      <c r="DH490" s="295">
        <f>SUM(DH476:DH489)</f>
        <v>329</v>
      </c>
      <c r="DI490" s="295">
        <f>SUM(DI476:DI489)</f>
        <v>1100.3424</v>
      </c>
      <c r="DJ490" s="295">
        <f t="shared" si="566"/>
        <v>1429.3424</v>
      </c>
      <c r="DK490" s="295"/>
      <c r="DL490" s="295">
        <f>SUM(DL476:DL489)</f>
        <v>694.38059999999984</v>
      </c>
      <c r="DM490" s="295">
        <f>SUM(DM476:DM489)</f>
        <v>935.69831800000009</v>
      </c>
      <c r="DN490" s="295">
        <f t="shared" si="567"/>
        <v>1630.0789179999999</v>
      </c>
      <c r="DO490" s="295"/>
      <c r="DP490" s="295">
        <f>SUM(DP476:DP489)</f>
        <v>804.34669154000005</v>
      </c>
      <c r="DQ490" s="295">
        <f>SUM(DQ476:DQ489)</f>
        <v>1059.7373032862001</v>
      </c>
      <c r="DR490" s="295">
        <f t="shared" si="568"/>
        <v>1864.0839948262001</v>
      </c>
      <c r="DS490" s="295"/>
      <c r="DT490" s="295"/>
      <c r="DU490" s="295"/>
      <c r="DV490" s="295"/>
      <c r="DW490" s="295"/>
      <c r="DX490" s="295"/>
      <c r="DY490" s="295"/>
      <c r="DZ490" s="295"/>
      <c r="EA490" s="295"/>
      <c r="EB490" s="295"/>
      <c r="EC490" s="295"/>
      <c r="ED490" s="295"/>
      <c r="EE490" s="295"/>
      <c r="EF490" s="295"/>
      <c r="EG490" s="295"/>
      <c r="EH490" s="295"/>
      <c r="EI490" s="295"/>
      <c r="EJ490" s="295"/>
      <c r="EK490" s="295"/>
      <c r="EL490" s="295"/>
      <c r="EM490" s="295"/>
      <c r="EN490" s="295"/>
      <c r="EO490" s="295"/>
      <c r="EP490" s="295"/>
      <c r="JM490"/>
    </row>
    <row r="491" spans="1:273" s="955" customFormat="1">
      <c r="A491" s="951" t="s">
        <v>580</v>
      </c>
      <c r="B491" s="952"/>
      <c r="C491" s="953"/>
      <c r="D491" s="953"/>
      <c r="E491" s="953"/>
      <c r="F491" s="953"/>
      <c r="G491" s="953"/>
      <c r="H491" s="953"/>
      <c r="I491" s="953"/>
      <c r="J491" s="953"/>
      <c r="K491" s="953"/>
      <c r="L491" s="953"/>
      <c r="M491" s="953"/>
      <c r="N491" s="953"/>
      <c r="O491" s="953"/>
      <c r="P491" s="953"/>
      <c r="Q491" s="953"/>
      <c r="R491" s="953"/>
      <c r="S491" s="953"/>
      <c r="T491" s="953"/>
      <c r="U491" s="953"/>
      <c r="V491" s="953"/>
      <c r="W491" s="953"/>
      <c r="X491" s="953"/>
      <c r="Y491" s="953"/>
      <c r="Z491" s="953"/>
      <c r="AA491" s="953"/>
      <c r="AB491" s="953"/>
      <c r="AC491" s="953"/>
      <c r="AD491" s="953"/>
      <c r="AE491" s="953"/>
      <c r="AF491" s="953"/>
      <c r="AG491" s="953"/>
      <c r="AH491" s="953"/>
      <c r="AI491" s="953"/>
      <c r="AJ491" s="953"/>
      <c r="AK491" s="953"/>
      <c r="AL491" s="953"/>
      <c r="AM491" s="953"/>
      <c r="AN491" s="952"/>
      <c r="AO491" s="952"/>
      <c r="AP491" s="952"/>
      <c r="AQ491" s="952"/>
      <c r="AR491" s="952"/>
      <c r="AS491" s="952"/>
      <c r="AT491" s="952"/>
      <c r="AU491" s="952"/>
      <c r="AV491" s="661">
        <f>AV469-AV490</f>
        <v>0</v>
      </c>
      <c r="AW491" s="661">
        <f>AW469-AW490</f>
        <v>0</v>
      </c>
      <c r="AX491" s="661">
        <f>AX469-AX490</f>
        <v>0</v>
      </c>
      <c r="AY491" s="954"/>
      <c r="AZ491" s="661">
        <f>AZ469-AZ490</f>
        <v>0</v>
      </c>
      <c r="BA491" s="661">
        <f>BA469-BA490</f>
        <v>0</v>
      </c>
      <c r="BB491" s="661">
        <f>BB469-BB490</f>
        <v>0</v>
      </c>
      <c r="BC491" s="954"/>
      <c r="BD491" s="661">
        <f>BD469-BD490</f>
        <v>0</v>
      </c>
      <c r="BE491" s="661">
        <f>BE469-BE490</f>
        <v>0</v>
      </c>
      <c r="BF491" s="661">
        <f>BF469-BF490</f>
        <v>0</v>
      </c>
      <c r="BG491" s="954"/>
      <c r="BH491" s="661">
        <f>BH469-BH490</f>
        <v>0</v>
      </c>
      <c r="BI491" s="661">
        <f>BI469-BI490</f>
        <v>0</v>
      </c>
      <c r="BJ491" s="661">
        <f>BJ469-BJ490</f>
        <v>0</v>
      </c>
      <c r="BK491" s="954"/>
      <c r="BL491" s="661">
        <f>BL469-BL490</f>
        <v>0</v>
      </c>
      <c r="BM491" s="661">
        <f>BM469-BM490</f>
        <v>0</v>
      </c>
      <c r="BN491" s="661">
        <f>BN469-BN490</f>
        <v>0</v>
      </c>
      <c r="BO491" s="954"/>
      <c r="BP491" s="661">
        <f>BP469-BP490</f>
        <v>0</v>
      </c>
      <c r="BQ491" s="661">
        <f>BQ469-BQ490</f>
        <v>0</v>
      </c>
      <c r="BR491" s="661">
        <f>BR469-BR490</f>
        <v>0</v>
      </c>
      <c r="BS491" s="954"/>
      <c r="BT491" s="661">
        <f>BT469-BT490</f>
        <v>0</v>
      </c>
      <c r="BU491" s="661">
        <f>BU469-BU490</f>
        <v>0</v>
      </c>
      <c r="BV491" s="661">
        <f>BV469-BV490</f>
        <v>0</v>
      </c>
      <c r="BW491" s="954"/>
      <c r="BX491" s="661">
        <f>BX469-BX490</f>
        <v>0</v>
      </c>
      <c r="BY491" s="661">
        <f>BY469-BY490</f>
        <v>0</v>
      </c>
      <c r="BZ491" s="661">
        <f>BZ469-BZ490</f>
        <v>0</v>
      </c>
      <c r="CA491" s="954"/>
      <c r="CB491" s="661">
        <f>CB469-CB490</f>
        <v>0</v>
      </c>
      <c r="CC491" s="661">
        <f>CC469-CC490</f>
        <v>0</v>
      </c>
      <c r="CD491" s="661">
        <f>CD469-CD490</f>
        <v>0</v>
      </c>
      <c r="CE491" s="961"/>
      <c r="CF491" s="661">
        <f>CF469-CF490</f>
        <v>0</v>
      </c>
      <c r="CG491" s="661">
        <f>CG469-CG490</f>
        <v>0</v>
      </c>
      <c r="CH491" s="661">
        <f>CH469-CH490</f>
        <v>0</v>
      </c>
      <c r="CI491" s="961"/>
      <c r="CJ491" s="661">
        <f>CJ469-CJ490</f>
        <v>0</v>
      </c>
      <c r="CK491" s="661">
        <f>CK469-CK490</f>
        <v>0</v>
      </c>
      <c r="CL491" s="661">
        <f>CL469-CL490</f>
        <v>0</v>
      </c>
      <c r="CM491" s="961"/>
      <c r="CN491" s="661">
        <f>CN469-CN490</f>
        <v>0</v>
      </c>
      <c r="CO491" s="661">
        <f>CO469-CO490</f>
        <v>0</v>
      </c>
      <c r="CP491" s="661">
        <f>CP469-CP490</f>
        <v>0</v>
      </c>
      <c r="CQ491" s="961"/>
      <c r="CR491" s="661">
        <f>CR469-CR490</f>
        <v>0</v>
      </c>
      <c r="CS491" s="661">
        <f>CS469-CS490</f>
        <v>0</v>
      </c>
      <c r="CT491" s="661">
        <f>CT469-CT490</f>
        <v>0</v>
      </c>
      <c r="CU491" s="954"/>
      <c r="CV491" s="661">
        <f>CV469-CV490</f>
        <v>0</v>
      </c>
      <c r="CW491" s="661">
        <f>CW469-CW490</f>
        <v>0</v>
      </c>
      <c r="CX491" s="661">
        <f>CX469-CX490</f>
        <v>0</v>
      </c>
      <c r="CY491" s="954"/>
      <c r="CZ491" s="661">
        <f>CZ469-CZ490</f>
        <v>0</v>
      </c>
      <c r="DA491" s="661">
        <f>DA469-DA490</f>
        <v>0</v>
      </c>
      <c r="DB491" s="661">
        <f>DB469-DB490</f>
        <v>0</v>
      </c>
      <c r="DC491" s="954"/>
      <c r="DD491" s="661">
        <f>DD469-DD490</f>
        <v>0</v>
      </c>
      <c r="DE491" s="661">
        <f>DE469-DE490</f>
        <v>0</v>
      </c>
      <c r="DF491" s="661">
        <f>DF469-DF490</f>
        <v>0</v>
      </c>
      <c r="DG491" s="954"/>
      <c r="DH491" s="661">
        <f>DH469-DH490</f>
        <v>0</v>
      </c>
      <c r="DI491" s="661">
        <f>DI469-DI490</f>
        <v>0</v>
      </c>
      <c r="DJ491" s="661">
        <f>DJ469-DJ490</f>
        <v>0</v>
      </c>
      <c r="DK491" s="954"/>
      <c r="DL491" s="661">
        <f>DL469-DL490</f>
        <v>0</v>
      </c>
      <c r="DM491" s="661">
        <f>DM469-DM490</f>
        <v>0</v>
      </c>
      <c r="DN491" s="661">
        <f>DN469-DN490</f>
        <v>0</v>
      </c>
      <c r="DO491" s="661"/>
      <c r="DP491" s="661">
        <f>DP469-DP490</f>
        <v>0</v>
      </c>
      <c r="DQ491" s="661">
        <f>DQ469-DQ490</f>
        <v>0</v>
      </c>
      <c r="DR491" s="661">
        <f>DR469-DR490</f>
        <v>0</v>
      </c>
      <c r="DS491" s="661"/>
      <c r="DT491" s="954"/>
      <c r="DU491" s="661"/>
      <c r="DV491" s="661"/>
      <c r="DW491" s="661"/>
      <c r="DX491" s="661"/>
      <c r="DY491" s="954"/>
      <c r="DZ491" s="661"/>
      <c r="EA491" s="661"/>
      <c r="EB491" s="661"/>
      <c r="EC491" s="954"/>
      <c r="ED491" s="661"/>
      <c r="EE491" s="661"/>
      <c r="EF491" s="661"/>
      <c r="EG491" s="954"/>
      <c r="EH491" s="954"/>
      <c r="EI491" s="954"/>
      <c r="EJ491" s="954"/>
      <c r="EK491" s="954"/>
      <c r="EL491" s="954"/>
      <c r="EM491" s="954"/>
      <c r="EN491" s="954"/>
      <c r="EO491" s="954"/>
      <c r="EP491" s="954"/>
      <c r="EQ491" s="956"/>
      <c r="ER491" s="956"/>
      <c r="ES491" s="956"/>
      <c r="ET491" s="956"/>
      <c r="JM491"/>
    </row>
    <row r="492" spans="1:273" s="855" customFormat="1">
      <c r="A492" s="289"/>
      <c r="B492" s="290"/>
      <c r="C492" s="289"/>
      <c r="D492" s="289"/>
      <c r="E492" s="289"/>
      <c r="F492" s="289"/>
      <c r="G492" s="289"/>
      <c r="H492" s="289"/>
      <c r="I492" s="289"/>
      <c r="J492" s="289"/>
      <c r="K492" s="289"/>
      <c r="L492" s="289"/>
      <c r="M492" s="289"/>
      <c r="N492" s="289"/>
      <c r="O492" s="289"/>
      <c r="P492" s="289"/>
      <c r="Q492" s="289"/>
      <c r="R492" s="289"/>
      <c r="S492" s="289"/>
      <c r="T492" s="289"/>
      <c r="U492" s="289"/>
      <c r="V492" s="289"/>
      <c r="W492" s="289"/>
      <c r="X492" s="289"/>
      <c r="Y492" s="289"/>
      <c r="Z492" s="289"/>
      <c r="AA492" s="289"/>
      <c r="AB492" s="289"/>
      <c r="AC492" s="289"/>
      <c r="AD492" s="289"/>
      <c r="AE492" s="289"/>
      <c r="AF492" s="289"/>
      <c r="AG492" s="289"/>
      <c r="AH492" s="289"/>
      <c r="AI492" s="289"/>
      <c r="AJ492" s="289"/>
      <c r="AK492" s="289"/>
      <c r="AL492" s="289"/>
      <c r="AM492" s="289"/>
      <c r="AN492" s="290"/>
      <c r="AO492" s="290"/>
      <c r="AP492" s="290"/>
      <c r="AQ492" s="290"/>
      <c r="AR492" s="290"/>
      <c r="AS492" s="290"/>
      <c r="AT492" s="290"/>
      <c r="AU492" s="290"/>
      <c r="AV492" s="853"/>
      <c r="AW492" s="853"/>
      <c r="AX492" s="853"/>
      <c r="AY492" s="820"/>
      <c r="AZ492" s="853"/>
      <c r="BA492" s="853"/>
      <c r="BB492" s="853"/>
      <c r="BC492" s="853"/>
      <c r="BD492" s="967"/>
      <c r="BE492" s="967"/>
      <c r="BF492" s="853"/>
      <c r="BG492" s="853"/>
      <c r="BH492" s="967"/>
      <c r="BI492" s="967"/>
      <c r="BJ492" s="853"/>
      <c r="BK492" s="853"/>
      <c r="BL492" s="967"/>
      <c r="BM492" s="967"/>
      <c r="BN492" s="853"/>
      <c r="BO492" s="853"/>
      <c r="BP492" s="967"/>
      <c r="BQ492" s="967"/>
      <c r="BR492" s="853"/>
      <c r="BS492" s="853"/>
      <c r="BT492" s="967"/>
      <c r="BU492" s="967"/>
      <c r="BV492" s="853"/>
      <c r="BW492" s="853"/>
      <c r="BX492" s="967"/>
      <c r="BY492" s="967"/>
      <c r="BZ492" s="853"/>
      <c r="CA492" s="853"/>
      <c r="CB492" s="967"/>
      <c r="CC492" s="967"/>
      <c r="CD492" s="853"/>
      <c r="CE492" s="862"/>
      <c r="CF492" s="967"/>
      <c r="CG492" s="967"/>
      <c r="CH492" s="853"/>
      <c r="CI492" s="862"/>
      <c r="CJ492" s="967"/>
      <c r="CK492" s="967"/>
      <c r="CL492" s="853"/>
      <c r="CM492" s="862"/>
      <c r="CN492" s="967"/>
      <c r="CO492" s="967"/>
      <c r="CP492" s="853"/>
      <c r="CQ492" s="862"/>
      <c r="CR492" s="967"/>
      <c r="CS492" s="967"/>
      <c r="CT492" s="1019" t="s">
        <v>1419</v>
      </c>
      <c r="CU492" s="853"/>
      <c r="CV492" s="967"/>
      <c r="CW492" s="967"/>
      <c r="CX492" s="853"/>
      <c r="CY492" s="853"/>
      <c r="CZ492" s="967"/>
      <c r="DA492" s="967"/>
      <c r="DB492" s="853"/>
      <c r="DC492" s="853"/>
      <c r="DD492" s="967"/>
      <c r="DE492" s="967"/>
      <c r="DF492" s="853"/>
      <c r="DG492" s="853"/>
      <c r="DH492" s="967"/>
      <c r="DI492" s="967"/>
      <c r="DJ492" s="853"/>
      <c r="DK492" s="853"/>
      <c r="DL492" s="967"/>
      <c r="DM492" s="967"/>
      <c r="DN492" s="853"/>
      <c r="DO492" s="853"/>
      <c r="DP492" s="967"/>
      <c r="DQ492" s="967"/>
      <c r="DR492" s="853"/>
      <c r="DS492" s="853"/>
      <c r="DT492" s="853"/>
      <c r="DU492" s="967"/>
      <c r="DV492" s="967"/>
      <c r="DW492" s="967"/>
      <c r="DX492" s="853"/>
      <c r="DY492" s="853"/>
      <c r="DZ492" s="967"/>
      <c r="EA492" s="967"/>
      <c r="EB492" s="853"/>
      <c r="EC492" s="853"/>
      <c r="ED492" s="967"/>
      <c r="EE492" s="967"/>
      <c r="EF492" s="853"/>
      <c r="EG492" s="853"/>
      <c r="EH492" s="853"/>
      <c r="EI492" s="853"/>
      <c r="EJ492" s="853"/>
      <c r="EK492" s="853"/>
      <c r="EL492" s="853"/>
      <c r="EM492" s="853"/>
      <c r="EN492" s="853"/>
      <c r="EO492" s="853"/>
      <c r="EP492" s="853"/>
      <c r="JM492"/>
    </row>
    <row r="493" spans="1:273" s="971" customFormat="1">
      <c r="A493" s="866" t="s">
        <v>818</v>
      </c>
      <c r="B493" s="925"/>
      <c r="C493" s="866"/>
      <c r="D493" s="866"/>
      <c r="E493" s="866"/>
      <c r="F493" s="866"/>
      <c r="G493" s="866"/>
      <c r="H493" s="866"/>
      <c r="I493" s="866"/>
      <c r="J493" s="866"/>
      <c r="K493" s="866"/>
      <c r="L493" s="866"/>
      <c r="M493" s="866"/>
      <c r="N493" s="866"/>
      <c r="O493" s="866"/>
      <c r="P493" s="866"/>
      <c r="Q493" s="866"/>
      <c r="R493" s="866"/>
      <c r="S493" s="866"/>
      <c r="T493" s="866"/>
      <c r="U493" s="866"/>
      <c r="V493" s="866"/>
      <c r="W493" s="866"/>
      <c r="X493" s="866"/>
      <c r="Y493" s="866"/>
      <c r="Z493" s="866"/>
      <c r="AA493" s="866"/>
      <c r="AB493" s="866"/>
      <c r="AC493" s="866"/>
      <c r="AD493" s="866"/>
      <c r="AE493" s="866"/>
      <c r="AF493" s="866"/>
      <c r="AG493" s="866"/>
      <c r="AH493" s="866"/>
      <c r="AI493" s="866"/>
      <c r="AJ493" s="866"/>
      <c r="AK493" s="866"/>
      <c r="AL493" s="866"/>
      <c r="AM493" s="866"/>
      <c r="AN493" s="925"/>
      <c r="AO493" s="925"/>
      <c r="AP493" s="925"/>
      <c r="AQ493" s="925"/>
      <c r="AR493" s="925"/>
      <c r="AS493" s="925"/>
      <c r="AT493" s="925"/>
      <c r="AU493" s="925"/>
      <c r="AV493" s="968"/>
      <c r="AW493" s="968"/>
      <c r="AX493" s="968"/>
      <c r="AY493" s="969"/>
      <c r="AZ493" s="968"/>
      <c r="BA493" s="968"/>
      <c r="BB493" s="968"/>
      <c r="BC493" s="968"/>
      <c r="BD493" s="970"/>
      <c r="BE493" s="970"/>
      <c r="BF493" s="968"/>
      <c r="BG493" s="968"/>
      <c r="BH493" s="970"/>
      <c r="BI493" s="970"/>
      <c r="BJ493" s="968"/>
      <c r="BK493" s="968"/>
      <c r="BL493" s="970"/>
      <c r="BM493" s="970"/>
      <c r="BN493" s="968"/>
      <c r="BO493" s="968"/>
      <c r="BP493" s="970"/>
      <c r="BQ493" s="970"/>
      <c r="BR493" s="968"/>
      <c r="BS493" s="968"/>
      <c r="BT493" s="970"/>
      <c r="BU493" s="970"/>
      <c r="BV493" s="968"/>
      <c r="BW493" s="968"/>
      <c r="BX493" s="970"/>
      <c r="BY493" s="970"/>
      <c r="BZ493" s="968"/>
      <c r="CA493" s="968"/>
      <c r="CB493" s="968">
        <f>SUMMARY!AH42</f>
        <v>452</v>
      </c>
      <c r="CC493" s="968">
        <f>SUMMARY!AI42</f>
        <v>830</v>
      </c>
      <c r="CD493" s="968">
        <f>SUMMARY!AJ42</f>
        <v>1282</v>
      </c>
      <c r="CE493" s="1617"/>
      <c r="CF493" s="968">
        <f>SUMMARY!AL42</f>
        <v>473</v>
      </c>
      <c r="CG493" s="968">
        <f>SUMMARY!AM42</f>
        <v>1601</v>
      </c>
      <c r="CH493" s="968">
        <f>SUMMARY!AN42</f>
        <v>2074</v>
      </c>
      <c r="CI493" s="1617"/>
      <c r="CJ493" s="968">
        <f>SUMMARY!AP42</f>
        <v>651</v>
      </c>
      <c r="CK493" s="968">
        <f>SUMMARY!AQ42</f>
        <v>1010</v>
      </c>
      <c r="CL493" s="968">
        <f>SUMMARY!AR42</f>
        <v>1661</v>
      </c>
      <c r="CM493" s="1617"/>
      <c r="CN493" s="968">
        <f>SUMMARY!AT42</f>
        <v>603</v>
      </c>
      <c r="CO493" s="968">
        <f>SUMMARY!AU42</f>
        <v>1311</v>
      </c>
      <c r="CP493" s="968">
        <f>SUMMARY!AV42</f>
        <v>1914</v>
      </c>
      <c r="CQ493" s="1617"/>
      <c r="CR493" s="968">
        <f>SUMMARY!AX42</f>
        <v>985</v>
      </c>
      <c r="CS493" s="968">
        <f>SUMMARY!AY42</f>
        <v>2251</v>
      </c>
      <c r="CT493" s="968">
        <f>SUMMARY!AZ42</f>
        <v>3236</v>
      </c>
      <c r="CU493" s="968"/>
      <c r="CV493" s="968">
        <f>SUMMARY!BB42</f>
        <v>1542</v>
      </c>
      <c r="CW493" s="968">
        <f>SUMMARY!BC42</f>
        <v>562</v>
      </c>
      <c r="CX493" s="968">
        <f>SUMMARY!BD42</f>
        <v>2104</v>
      </c>
      <c r="CY493" s="968"/>
      <c r="CZ493" s="968">
        <f>SUMMARY!BF42</f>
        <v>346</v>
      </c>
      <c r="DA493" s="968">
        <f>SUMMARY!BG42</f>
        <v>710</v>
      </c>
      <c r="DB493" s="968">
        <f>SUMMARY!BH42</f>
        <v>1056</v>
      </c>
      <c r="DC493" s="968"/>
      <c r="DD493" s="968">
        <f>SUMMARY!BJ42</f>
        <v>526</v>
      </c>
      <c r="DE493" s="968">
        <f>SUMMARY!BK42</f>
        <v>796</v>
      </c>
      <c r="DF493" s="968">
        <f>SUMMARY!BL42</f>
        <v>1322</v>
      </c>
      <c r="DG493" s="968"/>
      <c r="DH493" s="968">
        <f>SUMMARY!BN42</f>
        <v>326</v>
      </c>
      <c r="DI493" s="968">
        <f>SUMMARY!BO42</f>
        <v>993.82</v>
      </c>
      <c r="DJ493" s="968">
        <f>SUMMARY!BP42</f>
        <v>1319.8200000000002</v>
      </c>
      <c r="DK493" s="968"/>
      <c r="DL493" s="968">
        <f>SUMMARY!BR42</f>
        <v>618.08000000000004</v>
      </c>
      <c r="DM493" s="968">
        <f>SUMMARY!BS42</f>
        <v>841.91679999999997</v>
      </c>
      <c r="DN493" s="968">
        <f>SUMMARY!BT42</f>
        <v>1459.9967999999999</v>
      </c>
      <c r="DO493" s="968"/>
      <c r="DP493" s="968">
        <f>SUMMARY!BV42</f>
        <v>644.20320000000004</v>
      </c>
      <c r="DQ493" s="968">
        <f>SUMMARY!BW42</f>
        <v>888.993472</v>
      </c>
      <c r="DR493" s="968">
        <f>SUMMARY!BX42</f>
        <v>1533.196672</v>
      </c>
      <c r="DS493" s="968"/>
      <c r="DT493" s="968"/>
      <c r="DU493" s="970"/>
      <c r="DV493" s="970"/>
      <c r="DW493" s="970"/>
      <c r="DX493" s="968"/>
      <c r="DY493" s="968"/>
      <c r="DZ493" s="970"/>
      <c r="EA493" s="970"/>
      <c r="EB493" s="968"/>
      <c r="EC493" s="968"/>
      <c r="ED493" s="970"/>
      <c r="EE493" s="970"/>
      <c r="EF493" s="968"/>
      <c r="EG493" s="968"/>
      <c r="EH493" s="968"/>
      <c r="EI493" s="968"/>
      <c r="EJ493" s="968"/>
      <c r="EK493" s="968"/>
      <c r="EL493" s="968"/>
      <c r="EM493" s="968"/>
      <c r="EN493" s="968"/>
      <c r="EO493" s="968"/>
      <c r="EP493" s="968"/>
      <c r="FL493" s="855"/>
      <c r="FM493" s="855"/>
      <c r="FN493" s="855"/>
      <c r="FO493" s="855"/>
      <c r="FP493" s="855"/>
      <c r="FQ493" s="855"/>
      <c r="FR493" s="855"/>
      <c r="FS493" s="855"/>
      <c r="FT493" s="855"/>
      <c r="FU493" s="855"/>
      <c r="FV493" s="855"/>
      <c r="FW493" s="855"/>
      <c r="FX493" s="855"/>
      <c r="FY493" s="855"/>
      <c r="FZ493" s="855"/>
      <c r="GA493" s="855"/>
      <c r="GB493" s="855"/>
      <c r="GC493" s="855"/>
      <c r="GD493" s="855"/>
      <c r="GE493" s="855"/>
      <c r="GF493" s="855"/>
      <c r="GG493" s="855"/>
      <c r="GH493" s="855"/>
      <c r="GI493" s="855"/>
      <c r="GJ493" s="855"/>
      <c r="GK493" s="855"/>
      <c r="GL493" s="855"/>
      <c r="GM493" s="855"/>
      <c r="GN493" s="855"/>
      <c r="GO493" s="855"/>
      <c r="GP493" s="855"/>
      <c r="GQ493" s="855"/>
      <c r="GR493" s="855"/>
      <c r="GS493" s="855"/>
      <c r="GT493" s="855"/>
      <c r="GU493" s="855"/>
      <c r="GV493" s="855"/>
      <c r="GW493" s="855"/>
      <c r="GX493" s="855"/>
      <c r="GY493" s="855"/>
      <c r="GZ493" s="855"/>
      <c r="HA493" s="855"/>
      <c r="HB493" s="855"/>
      <c r="HC493" s="855"/>
      <c r="HD493" s="855"/>
      <c r="HE493" s="855"/>
      <c r="HF493" s="855"/>
      <c r="HG493" s="855"/>
      <c r="HH493" s="855"/>
      <c r="HI493" s="855"/>
      <c r="HJ493" s="855"/>
      <c r="HK493" s="855"/>
      <c r="HL493" s="855"/>
      <c r="HM493" s="855"/>
      <c r="HN493" s="855"/>
      <c r="HO493" s="855"/>
      <c r="HP493" s="855"/>
      <c r="HQ493" s="855"/>
      <c r="HR493" s="855"/>
      <c r="HS493" s="855"/>
      <c r="HT493" s="855"/>
      <c r="HU493" s="855"/>
      <c r="HV493" s="855"/>
      <c r="HW493" s="855"/>
      <c r="HX493" s="855"/>
      <c r="HY493" s="855"/>
      <c r="HZ493" s="855"/>
      <c r="IA493" s="855"/>
      <c r="IB493" s="855"/>
      <c r="IC493" s="855"/>
      <c r="ID493" s="855"/>
      <c r="IE493" s="855"/>
      <c r="IF493" s="855"/>
      <c r="IG493" s="855"/>
      <c r="IH493" s="855"/>
      <c r="II493" s="855"/>
      <c r="IJ493" s="855"/>
      <c r="IK493" s="855"/>
      <c r="IL493" s="855"/>
      <c r="IM493" s="855"/>
      <c r="IN493" s="855"/>
      <c r="IO493" s="855"/>
      <c r="IP493" s="855"/>
      <c r="IQ493" s="855"/>
      <c r="IR493" s="855"/>
      <c r="IS493" s="855"/>
      <c r="IT493" s="855"/>
      <c r="IU493" s="855"/>
      <c r="IV493" s="855"/>
      <c r="IW493" s="855"/>
      <c r="IX493" s="855"/>
      <c r="IY493" s="855"/>
      <c r="IZ493" s="855"/>
      <c r="JA493" s="855"/>
      <c r="JB493" s="855"/>
      <c r="JC493" s="855"/>
      <c r="JD493" s="855"/>
      <c r="JE493" s="855"/>
      <c r="JF493" s="855"/>
      <c r="JG493" s="855"/>
      <c r="JH493" s="855"/>
      <c r="JI493" s="855"/>
      <c r="JJ493" s="855"/>
      <c r="JK493" s="855"/>
      <c r="JL493" s="855"/>
      <c r="JM493"/>
    </row>
    <row r="494" spans="1:273" s="860" customFormat="1">
      <c r="A494" s="302" t="s">
        <v>685</v>
      </c>
      <c r="B494" s="298"/>
      <c r="C494" s="296"/>
      <c r="D494" s="296"/>
      <c r="E494" s="296"/>
      <c r="F494" s="296"/>
      <c r="G494" s="296"/>
      <c r="H494" s="296"/>
      <c r="I494" s="296"/>
      <c r="J494" s="296"/>
      <c r="K494" s="296"/>
      <c r="L494" s="296"/>
      <c r="M494" s="296"/>
      <c r="N494" s="296"/>
      <c r="O494" s="296"/>
      <c r="P494" s="296"/>
      <c r="Q494" s="296"/>
      <c r="R494" s="296"/>
      <c r="S494" s="296"/>
      <c r="T494" s="296"/>
      <c r="U494" s="296"/>
      <c r="V494" s="296"/>
      <c r="W494" s="296"/>
      <c r="X494" s="296"/>
      <c r="Y494" s="296"/>
      <c r="Z494" s="296"/>
      <c r="AA494" s="296"/>
      <c r="AB494" s="296"/>
      <c r="AC494" s="296"/>
      <c r="AD494" s="296"/>
      <c r="AE494" s="296"/>
      <c r="AF494" s="296"/>
      <c r="AG494" s="296"/>
      <c r="AH494" s="296"/>
      <c r="AI494" s="296"/>
      <c r="AJ494" s="296"/>
      <c r="AK494" s="296"/>
      <c r="AL494" s="296"/>
      <c r="AM494" s="296"/>
      <c r="AN494" s="298"/>
      <c r="AO494" s="298"/>
      <c r="AP494" s="298"/>
      <c r="AQ494" s="298"/>
      <c r="AR494" s="298"/>
      <c r="AS494" s="298"/>
      <c r="AT494" s="298"/>
      <c r="AU494" s="972">
        <f>SUM(AV494:BZ494)</f>
        <v>0</v>
      </c>
      <c r="AV494" s="973">
        <v>0</v>
      </c>
      <c r="AW494" s="973">
        <v>0</v>
      </c>
      <c r="AX494" s="929">
        <f>AV494+AW494</f>
        <v>0</v>
      </c>
      <c r="AY494" s="633"/>
      <c r="AZ494" s="973">
        <v>0</v>
      </c>
      <c r="BA494" s="973">
        <v>0</v>
      </c>
      <c r="BB494" s="929">
        <f>AZ494+BA494</f>
        <v>0</v>
      </c>
      <c r="BC494" s="857"/>
      <c r="BD494" s="973">
        <v>0</v>
      </c>
      <c r="BE494" s="973">
        <v>0</v>
      </c>
      <c r="BF494" s="929">
        <f>BD494+BE494</f>
        <v>0</v>
      </c>
      <c r="BG494" s="974"/>
      <c r="BH494" s="973">
        <v>0</v>
      </c>
      <c r="BI494" s="973">
        <v>0</v>
      </c>
      <c r="BJ494" s="929">
        <f>BH494+BI494</f>
        <v>0</v>
      </c>
      <c r="BK494" s="974"/>
      <c r="BL494" s="973">
        <v>0</v>
      </c>
      <c r="BM494" s="973">
        <v>0</v>
      </c>
      <c r="BN494" s="929">
        <f>BL494+BM494</f>
        <v>0</v>
      </c>
      <c r="BO494" s="974"/>
      <c r="BP494" s="973">
        <v>0</v>
      </c>
      <c r="BQ494" s="973">
        <v>0</v>
      </c>
      <c r="BR494" s="929">
        <f t="shared" ref="BR494:BR499" si="569">BP494+BQ494</f>
        <v>0</v>
      </c>
      <c r="BS494" s="974"/>
      <c r="BT494" s="973">
        <v>0</v>
      </c>
      <c r="BU494" s="973">
        <v>0</v>
      </c>
      <c r="BV494" s="929">
        <f t="shared" ref="BV494:BV499" si="570">BT494+BU494</f>
        <v>0</v>
      </c>
      <c r="BW494" s="974"/>
      <c r="BX494" s="974"/>
      <c r="BY494" s="974"/>
      <c r="BZ494" s="974"/>
      <c r="CA494" s="974"/>
      <c r="CB494" s="974"/>
      <c r="CC494" s="974"/>
      <c r="CD494" s="974"/>
      <c r="CE494" s="1618"/>
      <c r="CF494" s="974"/>
      <c r="CG494" s="974"/>
      <c r="CH494" s="974"/>
      <c r="CI494" s="1618"/>
      <c r="CJ494" s="974"/>
      <c r="CK494" s="974"/>
      <c r="CL494" s="974"/>
      <c r="CM494" s="1618"/>
      <c r="CN494" s="973"/>
      <c r="CO494" s="974"/>
      <c r="CP494" s="974"/>
      <c r="CQ494" s="975"/>
      <c r="CR494" s="977">
        <f>+CR495/CN495-1</f>
        <v>1.9645390070921986</v>
      </c>
      <c r="CS494" s="974"/>
      <c r="CT494" s="974"/>
      <c r="CU494" s="974"/>
      <c r="CV494" s="977">
        <f>+CV495/CR495-1</f>
        <v>0.65789473684210531</v>
      </c>
      <c r="CW494" s="974"/>
      <c r="CX494" s="974"/>
      <c r="CY494" s="974"/>
      <c r="CZ494" s="977">
        <f>+CZ495/CV495-1</f>
        <v>-0.63492063492063489</v>
      </c>
      <c r="DA494" s="974"/>
      <c r="DB494" s="974"/>
      <c r="DC494" s="974"/>
      <c r="DD494" s="977">
        <f>+DD495/CZ495-1</f>
        <v>0.22134387351778662</v>
      </c>
      <c r="DE494" s="974"/>
      <c r="DF494" s="974"/>
      <c r="DG494" s="974"/>
      <c r="DH494" s="977">
        <f>+DH495/DD495-1</f>
        <v>-5.5016181229773475E-2</v>
      </c>
      <c r="DI494" s="973"/>
      <c r="DJ494" s="973"/>
      <c r="DK494" s="974"/>
      <c r="DL494" s="980"/>
      <c r="DM494" s="973"/>
      <c r="DN494" s="973"/>
      <c r="DO494" s="929"/>
      <c r="DP494" s="980"/>
      <c r="DQ494" s="973"/>
      <c r="DR494" s="973"/>
      <c r="DS494" s="929"/>
      <c r="DT494" s="974"/>
      <c r="DU494" s="859"/>
      <c r="DV494" s="859"/>
      <c r="DW494" s="859"/>
      <c r="DX494" s="929"/>
      <c r="DY494" s="857"/>
      <c r="DZ494" s="859"/>
      <c r="EA494" s="859"/>
      <c r="EB494" s="929"/>
      <c r="EC494" s="857"/>
      <c r="ED494" s="859"/>
      <c r="EE494" s="859"/>
      <c r="EF494" s="929"/>
      <c r="EG494" s="857"/>
      <c r="EH494" s="857"/>
      <c r="EI494" s="857"/>
      <c r="EJ494" s="857"/>
      <c r="EK494" s="857"/>
      <c r="EL494" s="857"/>
      <c r="EM494" s="857"/>
      <c r="EN494" s="857"/>
      <c r="EO494" s="857"/>
      <c r="EP494" s="857"/>
      <c r="FL494" s="855"/>
      <c r="FM494" s="855"/>
      <c r="FN494" s="855"/>
      <c r="FO494" s="855"/>
      <c r="FP494" s="855"/>
      <c r="FQ494" s="855"/>
      <c r="FR494" s="855"/>
      <c r="FS494" s="855"/>
      <c r="FT494" s="855"/>
      <c r="FU494" s="855"/>
      <c r="FV494" s="855"/>
      <c r="FW494" s="855"/>
      <c r="FX494" s="855"/>
      <c r="FY494" s="855"/>
      <c r="FZ494" s="855"/>
      <c r="GA494" s="855"/>
      <c r="GB494" s="855"/>
      <c r="GC494" s="855"/>
      <c r="GD494" s="855"/>
      <c r="GE494" s="855"/>
      <c r="GF494" s="855"/>
      <c r="GG494" s="855"/>
      <c r="GH494" s="855"/>
      <c r="GI494" s="855"/>
      <c r="GJ494" s="855"/>
      <c r="GK494" s="855"/>
      <c r="GL494" s="855"/>
      <c r="GM494" s="855"/>
      <c r="GN494" s="855"/>
      <c r="GO494" s="855"/>
      <c r="GP494" s="855"/>
      <c r="GQ494" s="855"/>
      <c r="GR494" s="855"/>
      <c r="GS494" s="855"/>
      <c r="GT494" s="855"/>
      <c r="GU494" s="855"/>
      <c r="GV494" s="855"/>
      <c r="GW494" s="855"/>
      <c r="GX494" s="855"/>
      <c r="GY494" s="855"/>
      <c r="GZ494" s="855"/>
      <c r="HA494" s="855"/>
      <c r="HB494" s="855"/>
      <c r="HC494" s="855"/>
      <c r="HD494" s="855"/>
      <c r="HE494" s="855"/>
      <c r="HF494" s="855"/>
      <c r="HG494" s="855"/>
      <c r="HH494" s="855"/>
      <c r="HI494" s="855"/>
      <c r="HJ494" s="855"/>
      <c r="HK494" s="855"/>
      <c r="HL494" s="855"/>
      <c r="HM494" s="855"/>
      <c r="HN494" s="855"/>
      <c r="HO494" s="855"/>
      <c r="HP494" s="855"/>
      <c r="HQ494" s="855"/>
      <c r="HR494" s="855"/>
      <c r="HS494" s="855"/>
      <c r="HT494" s="855"/>
      <c r="HU494" s="855"/>
      <c r="HV494" s="855"/>
      <c r="HW494" s="855"/>
      <c r="HX494" s="855"/>
      <c r="HY494" s="855"/>
      <c r="HZ494" s="855"/>
      <c r="IA494" s="855"/>
      <c r="IB494" s="855"/>
      <c r="IC494" s="855"/>
      <c r="ID494" s="855"/>
      <c r="IE494" s="855"/>
      <c r="IF494" s="855"/>
      <c r="IG494" s="855"/>
      <c r="IH494" s="855"/>
      <c r="II494" s="855"/>
      <c r="IJ494" s="855"/>
      <c r="IK494" s="855"/>
      <c r="IL494" s="855"/>
      <c r="IM494" s="855"/>
      <c r="IN494" s="855"/>
      <c r="IO494" s="855"/>
      <c r="IP494" s="855"/>
      <c r="IQ494" s="855"/>
      <c r="IR494" s="855"/>
      <c r="IS494" s="855"/>
      <c r="IT494" s="855"/>
      <c r="IU494" s="855"/>
      <c r="IV494" s="855"/>
      <c r="IW494" s="855"/>
      <c r="IX494" s="855"/>
      <c r="IY494" s="855"/>
      <c r="IZ494" s="855"/>
      <c r="JA494" s="855"/>
      <c r="JB494" s="855"/>
      <c r="JC494" s="855"/>
      <c r="JD494" s="855"/>
      <c r="JE494" s="855"/>
      <c r="JF494" s="855"/>
      <c r="JG494" s="855"/>
      <c r="JH494" s="855"/>
      <c r="JI494" s="855"/>
      <c r="JJ494" s="855"/>
      <c r="JK494" s="855"/>
      <c r="JL494" s="855"/>
      <c r="JM494"/>
    </row>
    <row r="495" spans="1:273" s="860" customFormat="1" ht="18">
      <c r="A495" s="302" t="s">
        <v>686</v>
      </c>
      <c r="B495" s="298"/>
      <c r="C495" s="296"/>
      <c r="D495" s="296"/>
      <c r="E495" s="296"/>
      <c r="F495" s="296"/>
      <c r="G495" s="296"/>
      <c r="H495" s="296"/>
      <c r="I495" s="296"/>
      <c r="J495" s="296"/>
      <c r="K495" s="296"/>
      <c r="L495" s="296"/>
      <c r="M495" s="296"/>
      <c r="N495" s="296"/>
      <c r="O495" s="296"/>
      <c r="P495" s="296"/>
      <c r="Q495" s="296"/>
      <c r="R495" s="296"/>
      <c r="S495" s="296"/>
      <c r="T495" s="296"/>
      <c r="U495" s="296"/>
      <c r="V495" s="296"/>
      <c r="W495" s="296"/>
      <c r="X495" s="296"/>
      <c r="Y495" s="296"/>
      <c r="Z495" s="296"/>
      <c r="AA495" s="296"/>
      <c r="AB495" s="296"/>
      <c r="AC495" s="296"/>
      <c r="AD495" s="296"/>
      <c r="AE495" s="296"/>
      <c r="AF495" s="296"/>
      <c r="AG495" s="296"/>
      <c r="AH495" s="296"/>
      <c r="AI495" s="296"/>
      <c r="AJ495" s="296"/>
      <c r="AK495" s="296"/>
      <c r="AL495" s="296"/>
      <c r="AM495" s="296"/>
      <c r="AN495" s="298"/>
      <c r="AO495" s="298"/>
      <c r="AP495" s="929">
        <f>DIVISIONS!AP169</f>
        <v>0</v>
      </c>
      <c r="AQ495" s="298"/>
      <c r="AR495" s="298"/>
      <c r="AS495" s="298"/>
      <c r="AT495" s="929">
        <f>DIVISIONS!AT169</f>
        <v>211</v>
      </c>
      <c r="AU495" s="298"/>
      <c r="AV495" s="929">
        <f>DIVISIONS!AV169</f>
        <v>57</v>
      </c>
      <c r="AW495" s="929">
        <f>DIVISIONS!AW169</f>
        <v>27</v>
      </c>
      <c r="AX495" s="929">
        <f t="shared" ref="AX495:AX502" si="571">AV495+AW495</f>
        <v>84</v>
      </c>
      <c r="AY495" s="976"/>
      <c r="AZ495" s="929">
        <f>DIVISIONS!AZ169</f>
        <v>6</v>
      </c>
      <c r="BA495" s="929">
        <f>DIVISIONS!BA169</f>
        <v>1</v>
      </c>
      <c r="BB495" s="929">
        <f t="shared" ref="BB495:BB502" si="572">AZ495+BA495</f>
        <v>7</v>
      </c>
      <c r="BC495" s="857"/>
      <c r="BD495" s="929">
        <f>DIVISIONS!BD169</f>
        <v>35</v>
      </c>
      <c r="BE495" s="929">
        <f>DIVISIONS!BE169</f>
        <v>66</v>
      </c>
      <c r="BF495" s="929">
        <f t="shared" ref="BF495:BF502" si="573">BD495+BE495</f>
        <v>101</v>
      </c>
      <c r="BG495" s="859"/>
      <c r="BH495" s="929">
        <f>DIVISIONS!BH169</f>
        <v>56</v>
      </c>
      <c r="BI495" s="929">
        <f>DIVISIONS!BI169</f>
        <v>86</v>
      </c>
      <c r="BJ495" s="929">
        <f t="shared" ref="BJ495:BJ502" si="574">BH495+BI495</f>
        <v>142</v>
      </c>
      <c r="BK495" s="859"/>
      <c r="BL495" s="929">
        <f>DIVISIONS!BL169</f>
        <v>50</v>
      </c>
      <c r="BM495" s="929">
        <f>DIVISIONS!BM169</f>
        <v>38</v>
      </c>
      <c r="BN495" s="929">
        <f t="shared" ref="BN495:BN502" si="575">BL495+BM495</f>
        <v>88</v>
      </c>
      <c r="BO495" s="859"/>
      <c r="BP495" s="929">
        <f>DIVISIONS!BP169</f>
        <v>109</v>
      </c>
      <c r="BQ495" s="929">
        <f>DIVISIONS!BQ169</f>
        <v>117</v>
      </c>
      <c r="BR495" s="929">
        <f t="shared" si="569"/>
        <v>226</v>
      </c>
      <c r="BS495" s="859"/>
      <c r="BT495" s="929">
        <f>DIVISIONS!BT169</f>
        <v>106</v>
      </c>
      <c r="BU495" s="929">
        <f>DIVISIONS!BU169</f>
        <v>307</v>
      </c>
      <c r="BV495" s="929">
        <f t="shared" si="570"/>
        <v>413</v>
      </c>
      <c r="BW495" s="859"/>
      <c r="BX495" s="929">
        <f>DIVISIONS!BX169</f>
        <v>244</v>
      </c>
      <c r="BY495" s="929">
        <f>DIVISIONS!BY169</f>
        <v>131</v>
      </c>
      <c r="BZ495" s="929">
        <f>BX495+BY495</f>
        <v>375</v>
      </c>
      <c r="CA495" s="977">
        <f>BZ495/BV495-1</f>
        <v>-9.2009685230024174E-2</v>
      </c>
      <c r="CB495" s="929">
        <f>DIVISIONS!CB169</f>
        <v>132</v>
      </c>
      <c r="CC495" s="929">
        <f>DIVISIONS!CC169</f>
        <v>493</v>
      </c>
      <c r="CD495" s="929">
        <f>CB495+CC495</f>
        <v>625</v>
      </c>
      <c r="CE495" s="977">
        <f>CD495/BZ495-1</f>
        <v>0.66666666666666674</v>
      </c>
      <c r="CF495" s="929">
        <f>DIVISIONS!CF169</f>
        <v>477</v>
      </c>
      <c r="CG495" s="929">
        <f>DIVISIONS!CG169</f>
        <v>1493</v>
      </c>
      <c r="CH495" s="929">
        <f>CF495+CG495</f>
        <v>1970</v>
      </c>
      <c r="CI495" s="977">
        <f>CH495/CD495-1</f>
        <v>2.1520000000000001</v>
      </c>
      <c r="CJ495" s="929">
        <f>DIVISIONS!CJ169</f>
        <v>590</v>
      </c>
      <c r="CK495" s="929">
        <f>DIVISIONS!CK169</f>
        <v>827</v>
      </c>
      <c r="CL495" s="929">
        <f>CJ495+CK495</f>
        <v>1417</v>
      </c>
      <c r="CM495" s="977">
        <f>CL495/CH495-1</f>
        <v>-0.28071065989847721</v>
      </c>
      <c r="CN495" s="929">
        <f>DIVISIONS!CN169</f>
        <v>141</v>
      </c>
      <c r="CO495" s="929">
        <f>DIVISIONS!CO169</f>
        <v>998</v>
      </c>
      <c r="CP495" s="929">
        <f>CN495+CO495</f>
        <v>1139</v>
      </c>
      <c r="CQ495" s="977">
        <f>CP495/CL495-1</f>
        <v>-0.19618913196894849</v>
      </c>
      <c r="CR495" s="929">
        <f>DIVISIONS!CR169</f>
        <v>418</v>
      </c>
      <c r="CS495" s="929">
        <f>DIVISIONS!CS169</f>
        <v>725</v>
      </c>
      <c r="CT495" s="929">
        <f>CR495+CS495</f>
        <v>1143</v>
      </c>
      <c r="CU495" s="977">
        <f>CT495/CP495-1</f>
        <v>3.5118525021948788E-3</v>
      </c>
      <c r="CV495" s="929">
        <f>DIVISIONS!CV169</f>
        <v>693</v>
      </c>
      <c r="CW495" s="929">
        <f>DIVISIONS!CW169</f>
        <v>184</v>
      </c>
      <c r="CX495" s="929">
        <f>CV495+CW495</f>
        <v>877</v>
      </c>
      <c r="CY495" s="977">
        <f>CX495/CT495-1</f>
        <v>-0.23272090988626426</v>
      </c>
      <c r="CZ495" s="929">
        <f>DIVISIONS!CZ169</f>
        <v>253</v>
      </c>
      <c r="DA495" s="929">
        <f>DIVISIONS!DA169</f>
        <v>430</v>
      </c>
      <c r="DB495" s="929">
        <f>CZ495+DA495</f>
        <v>683</v>
      </c>
      <c r="DC495" s="977">
        <f>DB495/CX495-1</f>
        <v>-0.22120866590649946</v>
      </c>
      <c r="DD495" s="929">
        <f>DIVISIONS!DD169</f>
        <v>309</v>
      </c>
      <c r="DE495" s="929">
        <f>DIVISIONS!DE169</f>
        <v>303</v>
      </c>
      <c r="DF495" s="929">
        <f>DD495+DE495</f>
        <v>612</v>
      </c>
      <c r="DG495" s="977">
        <f>DF495/DB495-1</f>
        <v>-0.10395314787701315</v>
      </c>
      <c r="DH495" s="929">
        <f>DIVISIONS!DH169</f>
        <v>292</v>
      </c>
      <c r="DI495" s="2131">
        <f>+DE495*1.3</f>
        <v>393.90000000000003</v>
      </c>
      <c r="DJ495" s="929">
        <f>DH495+DI495</f>
        <v>685.90000000000009</v>
      </c>
      <c r="DK495" s="977">
        <f>DJ495/DF495-1</f>
        <v>0.12075163398692834</v>
      </c>
      <c r="DL495" s="980">
        <v>400</v>
      </c>
      <c r="DM495" s="980">
        <f>600</f>
        <v>600</v>
      </c>
      <c r="DN495" s="929">
        <f>DL495+DM495</f>
        <v>1000</v>
      </c>
      <c r="DO495" s="980"/>
      <c r="DP495" s="980">
        <v>440</v>
      </c>
      <c r="DQ495" s="980">
        <v>660</v>
      </c>
      <c r="DR495" s="929">
        <f>DP495+DQ495</f>
        <v>1100</v>
      </c>
      <c r="DS495" s="980"/>
      <c r="DT495" s="859"/>
      <c r="DU495" s="859"/>
      <c r="DV495" s="859"/>
      <c r="DW495" s="859"/>
      <c r="DX495" s="929"/>
      <c r="DY495" s="857"/>
      <c r="DZ495" s="859"/>
      <c r="EA495" s="859"/>
      <c r="EB495" s="929"/>
      <c r="EC495" s="857"/>
      <c r="ED495" s="859"/>
      <c r="EE495" s="859"/>
      <c r="EF495" s="929"/>
      <c r="EG495" s="857"/>
      <c r="EH495" s="857"/>
      <c r="EI495" s="857"/>
      <c r="EJ495" s="857"/>
      <c r="EK495" s="857"/>
      <c r="EL495" s="857"/>
      <c r="EM495" s="857"/>
      <c r="EN495" s="857"/>
      <c r="EO495" s="857"/>
      <c r="EP495" s="857"/>
      <c r="FL495" s="855"/>
      <c r="FM495" s="855"/>
      <c r="FN495" s="855"/>
      <c r="FO495" s="855"/>
      <c r="FP495" s="855"/>
      <c r="FQ495" s="855"/>
      <c r="FR495" s="855"/>
      <c r="FS495" s="855"/>
      <c r="FT495" s="855"/>
      <c r="FU495" s="855"/>
      <c r="FV495" s="855"/>
      <c r="FW495" s="855"/>
      <c r="FX495" s="855"/>
      <c r="FY495" s="855"/>
      <c r="FZ495" s="855"/>
      <c r="GA495" s="855"/>
      <c r="GB495" s="855"/>
      <c r="GC495" s="855"/>
      <c r="GD495" s="855"/>
      <c r="GE495" s="855"/>
      <c r="GF495" s="855"/>
      <c r="GG495" s="855"/>
      <c r="GH495" s="855"/>
      <c r="GI495" s="855"/>
      <c r="GJ495" s="855"/>
      <c r="GK495" s="855"/>
      <c r="GL495" s="855"/>
      <c r="GM495" s="855"/>
      <c r="GN495" s="855"/>
      <c r="GO495" s="855"/>
      <c r="GP495" s="855"/>
      <c r="GQ495" s="855"/>
      <c r="GR495" s="855"/>
      <c r="GS495" s="855"/>
      <c r="GT495" s="855"/>
      <c r="GU495" s="855"/>
      <c r="GV495" s="855"/>
      <c r="GW495" s="855"/>
      <c r="GX495" s="855"/>
      <c r="GY495" s="855"/>
      <c r="GZ495" s="855"/>
      <c r="HA495" s="855"/>
      <c r="HB495" s="855"/>
      <c r="HC495" s="855"/>
      <c r="HD495" s="855"/>
      <c r="HE495" s="855"/>
      <c r="HF495" s="855"/>
      <c r="HG495" s="855"/>
      <c r="HH495" s="855"/>
      <c r="HI495" s="855"/>
      <c r="HJ495" s="855"/>
      <c r="HK495" s="855"/>
      <c r="HL495" s="855"/>
      <c r="HM495" s="855"/>
      <c r="HN495" s="855"/>
      <c r="HO495" s="855"/>
      <c r="HP495" s="855"/>
      <c r="HQ495" s="855"/>
      <c r="HR495" s="855"/>
      <c r="HS495" s="855"/>
      <c r="HT495" s="855"/>
      <c r="HU495" s="855"/>
      <c r="HV495" s="855"/>
      <c r="HW495" s="855"/>
      <c r="HX495" s="855"/>
      <c r="HY495" s="855"/>
      <c r="HZ495" s="855"/>
      <c r="IA495" s="855"/>
      <c r="IB495" s="855"/>
      <c r="IC495" s="855"/>
      <c r="ID495" s="855"/>
      <c r="IE495" s="855"/>
      <c r="IF495" s="855"/>
      <c r="IG495" s="855"/>
      <c r="IH495" s="855"/>
      <c r="II495" s="855"/>
      <c r="IJ495" s="855"/>
      <c r="IK495" s="855"/>
      <c r="IL495" s="855"/>
      <c r="IM495" s="855"/>
      <c r="IN495" s="855"/>
      <c r="IO495" s="855"/>
      <c r="IP495" s="855"/>
      <c r="IQ495" s="855"/>
      <c r="IR495" s="855"/>
      <c r="IS495" s="855"/>
      <c r="IT495" s="855"/>
      <c r="IU495" s="855"/>
      <c r="IV495" s="855"/>
      <c r="IW495" s="855"/>
      <c r="IX495" s="855"/>
      <c r="IY495" s="855"/>
      <c r="IZ495" s="855"/>
      <c r="JA495" s="855"/>
      <c r="JB495" s="855"/>
      <c r="JC495" s="855"/>
      <c r="JD495" s="855"/>
      <c r="JE495" s="855"/>
      <c r="JF495" s="855"/>
      <c r="JG495" s="855"/>
      <c r="JH495" s="855"/>
      <c r="JI495" s="855"/>
      <c r="JJ495" s="855"/>
      <c r="JK495" s="855"/>
      <c r="JL495" s="855"/>
      <c r="JM495"/>
    </row>
    <row r="496" spans="1:273" s="860" customFormat="1" ht="18">
      <c r="A496" s="302" t="s">
        <v>616</v>
      </c>
      <c r="B496" s="298"/>
      <c r="C496" s="296"/>
      <c r="D496" s="296"/>
      <c r="E496" s="296"/>
      <c r="F496" s="296"/>
      <c r="G496" s="296"/>
      <c r="H496" s="296"/>
      <c r="I496" s="296"/>
      <c r="J496" s="296"/>
      <c r="K496" s="296"/>
      <c r="L496" s="296"/>
      <c r="M496" s="296"/>
      <c r="N496" s="296"/>
      <c r="O496" s="296"/>
      <c r="P496" s="296"/>
      <c r="Q496" s="296"/>
      <c r="R496" s="296"/>
      <c r="S496" s="296"/>
      <c r="T496" s="296"/>
      <c r="U496" s="296"/>
      <c r="V496" s="296"/>
      <c r="W496" s="296"/>
      <c r="X496" s="296"/>
      <c r="Y496" s="296"/>
      <c r="Z496" s="296"/>
      <c r="AA496" s="296"/>
      <c r="AB496" s="296"/>
      <c r="AC496" s="296"/>
      <c r="AD496" s="296"/>
      <c r="AE496" s="296"/>
      <c r="AF496" s="296"/>
      <c r="AG496" s="296"/>
      <c r="AH496" s="296"/>
      <c r="AI496" s="296"/>
      <c r="AJ496" s="296"/>
      <c r="AK496" s="296"/>
      <c r="AL496" s="296"/>
      <c r="AM496" s="296"/>
      <c r="AN496" s="298"/>
      <c r="AO496" s="298"/>
      <c r="AP496" s="929">
        <f>DIVISIONS!AP423</f>
        <v>0</v>
      </c>
      <c r="AQ496" s="298"/>
      <c r="AR496" s="298"/>
      <c r="AS496" s="298"/>
      <c r="AT496" s="929">
        <f>DIVISIONS!AT423</f>
        <v>0</v>
      </c>
      <c r="AU496" s="298"/>
      <c r="AV496" s="929">
        <f>DIVISIONS!AV423</f>
        <v>0</v>
      </c>
      <c r="AW496" s="929">
        <f>DIVISIONS!AW423</f>
        <v>0</v>
      </c>
      <c r="AX496" s="929">
        <f>AV496+AW496</f>
        <v>0</v>
      </c>
      <c r="AY496" s="976"/>
      <c r="AZ496" s="929">
        <f>DIVISIONS!AZ423</f>
        <v>0</v>
      </c>
      <c r="BA496" s="929">
        <f>DIVISIONS!BA423</f>
        <v>0</v>
      </c>
      <c r="BB496" s="929">
        <f t="shared" si="572"/>
        <v>0</v>
      </c>
      <c r="BC496" s="857"/>
      <c r="BD496" s="929">
        <f>DIVISIONS!BD423</f>
        <v>-2</v>
      </c>
      <c r="BE496" s="929">
        <f>DIVISIONS!BE423</f>
        <v>9</v>
      </c>
      <c r="BF496" s="929">
        <f t="shared" si="573"/>
        <v>7</v>
      </c>
      <c r="BG496" s="859"/>
      <c r="BH496" s="929">
        <f>DIVISIONS!BH423</f>
        <v>10</v>
      </c>
      <c r="BI496" s="929">
        <f>DIVISIONS!BI423</f>
        <v>8</v>
      </c>
      <c r="BJ496" s="929">
        <f t="shared" si="574"/>
        <v>18</v>
      </c>
      <c r="BK496" s="859"/>
      <c r="BL496" s="929">
        <f>DIVISIONS!BL423</f>
        <v>23</v>
      </c>
      <c r="BM496" s="929">
        <f>DIVISIONS!BM423</f>
        <v>19</v>
      </c>
      <c r="BN496" s="929">
        <f t="shared" si="575"/>
        <v>42</v>
      </c>
      <c r="BO496" s="859"/>
      <c r="BP496" s="929">
        <f>DIVISIONS!BP423</f>
        <v>34</v>
      </c>
      <c r="BQ496" s="929">
        <f>DIVISIONS!BQ423</f>
        <v>17</v>
      </c>
      <c r="BR496" s="929">
        <f t="shared" si="569"/>
        <v>51</v>
      </c>
      <c r="BS496" s="859"/>
      <c r="BT496" s="929">
        <f>DIVISIONS!BT423</f>
        <v>129</v>
      </c>
      <c r="BU496" s="929">
        <f>DIVISIONS!BU423</f>
        <v>37</v>
      </c>
      <c r="BV496" s="929">
        <f t="shared" si="570"/>
        <v>166</v>
      </c>
      <c r="BW496" s="859"/>
      <c r="BX496" s="929">
        <f>DIVISIONS!BX423</f>
        <v>203</v>
      </c>
      <c r="BY496" s="929">
        <f>DIVISIONS!BY423</f>
        <v>163</v>
      </c>
      <c r="BZ496" s="929">
        <f>BX496+BY496</f>
        <v>366</v>
      </c>
      <c r="CA496" s="977">
        <f t="shared" ref="CA496:CA497" si="576">BZ496/BV496-1</f>
        <v>1.2048192771084336</v>
      </c>
      <c r="CB496" s="929">
        <f>DIVISIONS!CB423</f>
        <v>229</v>
      </c>
      <c r="CC496" s="929">
        <f>DIVISIONS!CC423</f>
        <v>77</v>
      </c>
      <c r="CD496" s="929">
        <f>CB496+CC496</f>
        <v>306</v>
      </c>
      <c r="CE496" s="977">
        <f t="shared" ref="CE496:CE498" si="577">CD496/BZ496-1</f>
        <v>-0.16393442622950816</v>
      </c>
      <c r="CF496" s="929">
        <f>DIVISIONS!CF423</f>
        <v>33</v>
      </c>
      <c r="CG496" s="929">
        <f>DIVISIONS!CG423</f>
        <v>45</v>
      </c>
      <c r="CH496" s="929">
        <f>CF496+CG496</f>
        <v>78</v>
      </c>
      <c r="CI496" s="977">
        <f t="shared" ref="CI496:CI498" si="578">CH496/CD496-1</f>
        <v>-0.74509803921568629</v>
      </c>
      <c r="CJ496" s="929">
        <f>DIVISIONS!CJ423</f>
        <v>52</v>
      </c>
      <c r="CK496" s="929">
        <f>DIVISIONS!CK423</f>
        <v>201</v>
      </c>
      <c r="CL496" s="929">
        <f>CJ496+CK496</f>
        <v>253</v>
      </c>
      <c r="CM496" s="977">
        <f t="shared" ref="CM496:CM497" si="579">CL496/CH496-1</f>
        <v>2.2435897435897436</v>
      </c>
      <c r="CN496" s="929">
        <f>DIVISIONS!CN423</f>
        <v>404</v>
      </c>
      <c r="CO496" s="929">
        <f>DIVISIONS!CO423</f>
        <v>240</v>
      </c>
      <c r="CP496" s="929">
        <f>CN496+CO496</f>
        <v>644</v>
      </c>
      <c r="CQ496" s="977">
        <f t="shared" ref="CQ496:CQ497" si="580">CP496/CL496-1</f>
        <v>1.5454545454545454</v>
      </c>
      <c r="CR496" s="929">
        <f>DIVISIONS!CR423</f>
        <v>62</v>
      </c>
      <c r="CS496" s="929">
        <f>DIVISIONS!CS423</f>
        <v>1498</v>
      </c>
      <c r="CT496" s="929">
        <f>CR496+CS496</f>
        <v>1560</v>
      </c>
      <c r="CU496" s="977">
        <f t="shared" ref="CU496:CU497" si="581">CT496/CP496-1</f>
        <v>1.4223602484472049</v>
      </c>
      <c r="CV496" s="929">
        <f>DIVISIONS!CV423</f>
        <v>877</v>
      </c>
      <c r="CW496" s="929">
        <f>DIVISIONS!CW423</f>
        <v>302</v>
      </c>
      <c r="CX496" s="929">
        <f>CV496+CW496</f>
        <v>1179</v>
      </c>
      <c r="CY496" s="977">
        <f t="shared" ref="CY496:CY497" si="582">CX496/CT496-1</f>
        <v>-0.24423076923076925</v>
      </c>
      <c r="CZ496" s="929">
        <f>DIVISIONS!CZ423</f>
        <v>49</v>
      </c>
      <c r="DA496" s="929">
        <f>DIVISIONS!DA423</f>
        <v>298</v>
      </c>
      <c r="DB496" s="929">
        <f>CZ496+DA496</f>
        <v>347</v>
      </c>
      <c r="DC496" s="977">
        <f t="shared" ref="DC496:DC497" si="583">DB496/CX496-1</f>
        <v>-0.70568278201865986</v>
      </c>
      <c r="DD496" s="929">
        <f>DIVISIONS!DD423</f>
        <v>47</v>
      </c>
      <c r="DE496" s="929">
        <f>DIVISIONS!DE423</f>
        <v>352</v>
      </c>
      <c r="DF496" s="929">
        <f>DD496+DE496</f>
        <v>399</v>
      </c>
      <c r="DG496" s="977">
        <f t="shared" ref="DG496:DG497" si="584">DF496/DB496-1</f>
        <v>0.14985590778097979</v>
      </c>
      <c r="DH496" s="929">
        <f>DIVISIONS!DH423</f>
        <v>7</v>
      </c>
      <c r="DI496" s="2131">
        <f>50+500</f>
        <v>550</v>
      </c>
      <c r="DJ496" s="929">
        <f>DH496+DI496</f>
        <v>557</v>
      </c>
      <c r="DK496" s="977">
        <f t="shared" ref="DK496:DK497" si="585">DJ496/DF496-1</f>
        <v>0.39598997493734345</v>
      </c>
      <c r="DL496" s="980">
        <v>190</v>
      </c>
      <c r="DM496" s="980">
        <v>190</v>
      </c>
      <c r="DN496" s="929">
        <f>DL496+DM496</f>
        <v>380</v>
      </c>
      <c r="DO496" s="980"/>
      <c r="DP496" s="980">
        <v>175</v>
      </c>
      <c r="DQ496" s="980">
        <v>175</v>
      </c>
      <c r="DR496" s="929">
        <f>DP496+DQ496</f>
        <v>350</v>
      </c>
      <c r="DS496" s="980"/>
      <c r="DT496" s="859"/>
      <c r="DU496" s="859"/>
      <c r="DV496" s="859"/>
      <c r="DW496" s="859"/>
      <c r="DX496" s="929"/>
      <c r="DY496" s="857"/>
      <c r="DZ496" s="859"/>
      <c r="EA496" s="859"/>
      <c r="EB496" s="929"/>
      <c r="EC496" s="857"/>
      <c r="ED496" s="859"/>
      <c r="EE496" s="859"/>
      <c r="EF496" s="929"/>
      <c r="EG496" s="857"/>
      <c r="EH496" s="857"/>
      <c r="EI496" s="857"/>
      <c r="EJ496" s="857"/>
      <c r="EK496" s="857"/>
      <c r="EL496" s="857"/>
      <c r="EM496" s="857"/>
      <c r="EN496" s="857"/>
      <c r="EO496" s="857"/>
      <c r="EP496" s="857"/>
      <c r="FL496" s="855"/>
      <c r="FM496" s="855"/>
      <c r="FN496" s="855"/>
      <c r="FO496" s="855"/>
      <c r="FP496" s="855"/>
      <c r="FQ496" s="855"/>
      <c r="FR496" s="855"/>
      <c r="FS496" s="855"/>
      <c r="FT496" s="855"/>
      <c r="FU496" s="855"/>
      <c r="FV496" s="855"/>
      <c r="FW496" s="855"/>
      <c r="FX496" s="855"/>
      <c r="FY496" s="855"/>
      <c r="FZ496" s="855"/>
      <c r="GA496" s="855"/>
      <c r="GB496" s="855"/>
      <c r="GC496" s="855"/>
      <c r="GD496" s="855"/>
      <c r="GE496" s="855"/>
      <c r="GF496" s="855"/>
      <c r="GG496" s="855"/>
      <c r="GH496" s="855"/>
      <c r="GI496" s="855"/>
      <c r="GJ496" s="855"/>
      <c r="GK496" s="855"/>
      <c r="GL496" s="855"/>
      <c r="GM496" s="855"/>
      <c r="GN496" s="855"/>
      <c r="GO496" s="855"/>
      <c r="GP496" s="855"/>
      <c r="GQ496" s="855"/>
      <c r="GR496" s="855"/>
      <c r="GS496" s="855"/>
      <c r="GT496" s="855"/>
      <c r="GU496" s="855"/>
      <c r="GV496" s="855"/>
      <c r="GW496" s="855"/>
      <c r="GX496" s="855"/>
      <c r="GY496" s="855"/>
      <c r="GZ496" s="855"/>
      <c r="HA496" s="855"/>
      <c r="HB496" s="855"/>
      <c r="HC496" s="855"/>
      <c r="HD496" s="855"/>
      <c r="HE496" s="855"/>
      <c r="HF496" s="855"/>
      <c r="HG496" s="855"/>
      <c r="HH496" s="855"/>
      <c r="HI496" s="855"/>
      <c r="HJ496" s="855"/>
      <c r="HK496" s="855"/>
      <c r="HL496" s="855"/>
      <c r="HM496" s="855"/>
      <c r="HN496" s="855"/>
      <c r="HO496" s="855"/>
      <c r="HP496" s="855"/>
      <c r="HQ496" s="855"/>
      <c r="HR496" s="855"/>
      <c r="HS496" s="855"/>
      <c r="HT496" s="855"/>
      <c r="HU496" s="855"/>
      <c r="HV496" s="855"/>
      <c r="HW496" s="855"/>
      <c r="HX496" s="855"/>
      <c r="HY496" s="855"/>
      <c r="HZ496" s="855"/>
      <c r="IA496" s="855"/>
      <c r="IB496" s="855"/>
      <c r="IC496" s="855"/>
      <c r="ID496" s="855"/>
      <c r="IE496" s="855"/>
      <c r="IF496" s="855"/>
      <c r="IG496" s="855"/>
      <c r="IH496" s="855"/>
      <c r="II496" s="855"/>
      <c r="IJ496" s="855"/>
      <c r="IK496" s="855"/>
      <c r="IL496" s="855"/>
      <c r="IM496" s="855"/>
      <c r="IN496" s="855"/>
      <c r="IO496" s="855"/>
      <c r="IP496" s="855"/>
      <c r="IQ496" s="855"/>
      <c r="IR496" s="855"/>
      <c r="IS496" s="855"/>
      <c r="IT496" s="855"/>
      <c r="IU496" s="855"/>
      <c r="IV496" s="855"/>
      <c r="IW496" s="855"/>
      <c r="IX496" s="855"/>
      <c r="IY496" s="855"/>
      <c r="IZ496" s="855"/>
      <c r="JA496" s="855"/>
      <c r="JB496" s="855"/>
      <c r="JC496" s="855"/>
      <c r="JD496" s="855"/>
      <c r="JE496" s="855"/>
      <c r="JF496" s="855"/>
      <c r="JG496" s="855"/>
      <c r="JH496" s="855"/>
      <c r="JI496" s="855"/>
      <c r="JJ496" s="855"/>
      <c r="JK496" s="855"/>
      <c r="JL496" s="855"/>
      <c r="JM496"/>
    </row>
    <row r="497" spans="1:273" s="860" customFormat="1">
      <c r="A497" s="302" t="s">
        <v>1024</v>
      </c>
      <c r="B497" s="298"/>
      <c r="C497" s="296"/>
      <c r="D497" s="296"/>
      <c r="E497" s="296"/>
      <c r="F497" s="296"/>
      <c r="G497" s="296"/>
      <c r="H497" s="296"/>
      <c r="I497" s="296"/>
      <c r="J497" s="296"/>
      <c r="K497" s="296"/>
      <c r="L497" s="296"/>
      <c r="M497" s="296"/>
      <c r="N497" s="296"/>
      <c r="O497" s="296"/>
      <c r="P497" s="296"/>
      <c r="Q497" s="296"/>
      <c r="R497" s="296"/>
      <c r="S497" s="296"/>
      <c r="T497" s="296"/>
      <c r="U497" s="296"/>
      <c r="V497" s="296"/>
      <c r="W497" s="296"/>
      <c r="X497" s="296"/>
      <c r="Y497" s="296"/>
      <c r="Z497" s="296"/>
      <c r="AA497" s="296"/>
      <c r="AB497" s="296"/>
      <c r="AC497" s="296"/>
      <c r="AD497" s="296"/>
      <c r="AE497" s="296"/>
      <c r="AF497" s="296"/>
      <c r="AG497" s="296"/>
      <c r="AH497" s="296"/>
      <c r="AI497" s="296"/>
      <c r="AJ497" s="296"/>
      <c r="AK497" s="296"/>
      <c r="AL497" s="296"/>
      <c r="AM497" s="296"/>
      <c r="AN497" s="298"/>
      <c r="AO497" s="298"/>
      <c r="AP497" s="929">
        <f>DIVISIONS!AP308</f>
        <v>0</v>
      </c>
      <c r="AQ497" s="298"/>
      <c r="AR497" s="298"/>
      <c r="AS497" s="298"/>
      <c r="AT497" s="929">
        <f>DIVISIONS!AT308</f>
        <v>10</v>
      </c>
      <c r="AU497" s="298"/>
      <c r="AV497" s="929">
        <f>DIVISIONS!AV308</f>
        <v>26</v>
      </c>
      <c r="AW497" s="929">
        <f>DIVISIONS!AW308</f>
        <v>38</v>
      </c>
      <c r="AX497" s="929">
        <f t="shared" si="571"/>
        <v>64</v>
      </c>
      <c r="AY497" s="976"/>
      <c r="AZ497" s="929">
        <f>DIVISIONS!AZ308</f>
        <v>52</v>
      </c>
      <c r="BA497" s="929">
        <f>DIVISIONS!BA308</f>
        <v>87</v>
      </c>
      <c r="BB497" s="929">
        <f t="shared" si="572"/>
        <v>139</v>
      </c>
      <c r="BC497" s="857"/>
      <c r="BD497" s="929">
        <f>DIVISIONS!BD308</f>
        <v>32</v>
      </c>
      <c r="BE497" s="929">
        <f>DIVISIONS!BE308</f>
        <v>113</v>
      </c>
      <c r="BF497" s="929">
        <f t="shared" si="573"/>
        <v>145</v>
      </c>
      <c r="BG497" s="859"/>
      <c r="BH497" s="929">
        <f>DIVISIONS!BH308</f>
        <v>49</v>
      </c>
      <c r="BI497" s="929">
        <f>DIVISIONS!BI308</f>
        <v>65</v>
      </c>
      <c r="BJ497" s="929">
        <f t="shared" si="574"/>
        <v>114</v>
      </c>
      <c r="BK497" s="859"/>
      <c r="BL497" s="929">
        <f>DIVISIONS!BL308</f>
        <v>18</v>
      </c>
      <c r="BM497" s="929">
        <f>DIVISIONS!BM308</f>
        <v>27</v>
      </c>
      <c r="BN497" s="929">
        <f t="shared" si="575"/>
        <v>45</v>
      </c>
      <c r="BO497" s="859"/>
      <c r="BP497" s="929">
        <f>DIVISIONS!BP308</f>
        <v>23</v>
      </c>
      <c r="BQ497" s="929">
        <f>DIVISIONS!BQ308</f>
        <v>9</v>
      </c>
      <c r="BR497" s="929">
        <f t="shared" si="569"/>
        <v>32</v>
      </c>
      <c r="BS497" s="859"/>
      <c r="BT497" s="929">
        <f>DIVISIONS!BT308</f>
        <v>30</v>
      </c>
      <c r="BU497" s="929">
        <f>DIVISIONS!BU308</f>
        <v>1</v>
      </c>
      <c r="BV497" s="929">
        <f t="shared" si="570"/>
        <v>31</v>
      </c>
      <c r="BW497" s="859"/>
      <c r="BX497" s="929">
        <f>DIVISIONS!BX308</f>
        <v>141</v>
      </c>
      <c r="BY497" s="929">
        <f>DIVISIONS!BY308</f>
        <v>17</v>
      </c>
      <c r="BZ497" s="929">
        <f>BX497+BY497</f>
        <v>158</v>
      </c>
      <c r="CA497" s="977">
        <f t="shared" si="576"/>
        <v>4.096774193548387</v>
      </c>
      <c r="CB497" s="929">
        <f>DIVISIONS!CB308</f>
        <v>12</v>
      </c>
      <c r="CC497" s="929">
        <f>DIVISIONS!CC308</f>
        <v>75</v>
      </c>
      <c r="CD497" s="929">
        <f>CB497+CC497</f>
        <v>87</v>
      </c>
      <c r="CE497" s="977">
        <f t="shared" si="577"/>
        <v>-0.44936708860759489</v>
      </c>
      <c r="CF497" s="929">
        <f>DIVISIONS!CF308</f>
        <v>14</v>
      </c>
      <c r="CG497" s="929">
        <f>DIVISIONS!CG308</f>
        <v>59</v>
      </c>
      <c r="CH497" s="929">
        <f>CF497+CG497</f>
        <v>73</v>
      </c>
      <c r="CI497" s="977">
        <f t="shared" si="578"/>
        <v>-0.16091954022988508</v>
      </c>
      <c r="CJ497" s="929">
        <f>DIVISIONS!CJ308</f>
        <v>0</v>
      </c>
      <c r="CK497" s="929">
        <f>DIVISIONS!CK308</f>
        <v>6</v>
      </c>
      <c r="CL497" s="929">
        <f>CJ497+CK497</f>
        <v>6</v>
      </c>
      <c r="CM497" s="977">
        <f t="shared" si="579"/>
        <v>-0.9178082191780822</v>
      </c>
      <c r="CN497" s="929">
        <f>DIVISIONS!CN308</f>
        <v>53</v>
      </c>
      <c r="CO497" s="929">
        <f>DIVISIONS!CO308</f>
        <v>28</v>
      </c>
      <c r="CP497" s="929">
        <f>CN497+CO497</f>
        <v>81</v>
      </c>
      <c r="CQ497" s="977">
        <f t="shared" si="580"/>
        <v>12.5</v>
      </c>
      <c r="CR497" s="929">
        <f>DIVISIONS!CR308</f>
        <v>473</v>
      </c>
      <c r="CS497" s="929">
        <f>DIVISIONS!CS308</f>
        <v>47</v>
      </c>
      <c r="CT497" s="929">
        <f>CR497+CS497</f>
        <v>520</v>
      </c>
      <c r="CU497" s="977">
        <f t="shared" si="581"/>
        <v>5.4197530864197532</v>
      </c>
      <c r="CV497" s="929">
        <f>DIVISIONS!CV308</f>
        <v>-25</v>
      </c>
      <c r="CW497" s="929">
        <f>DIVISIONS!CW308</f>
        <v>74</v>
      </c>
      <c r="CX497" s="929">
        <f>CV497+CW497</f>
        <v>49</v>
      </c>
      <c r="CY497" s="977">
        <f t="shared" si="582"/>
        <v>-0.90576923076923077</v>
      </c>
      <c r="CZ497" s="929">
        <f>DIVISIONS!CZ308</f>
        <v>38</v>
      </c>
      <c r="DA497" s="929">
        <f>DIVISIONS!DA308</f>
        <v>-36</v>
      </c>
      <c r="DB497" s="929">
        <f>CZ497+DA497</f>
        <v>2</v>
      </c>
      <c r="DC497" s="977">
        <f t="shared" si="583"/>
        <v>-0.95918367346938771</v>
      </c>
      <c r="DD497" s="929">
        <f>DIVISIONS!DD308</f>
        <v>42</v>
      </c>
      <c r="DE497" s="929">
        <f>DIVISIONS!DE308</f>
        <v>48</v>
      </c>
      <c r="DF497" s="929">
        <f>DD497+DE497</f>
        <v>90</v>
      </c>
      <c r="DG497" s="977">
        <f t="shared" si="584"/>
        <v>44</v>
      </c>
      <c r="DH497" s="929">
        <f>DIVISIONS!DH308</f>
        <v>27</v>
      </c>
      <c r="DI497" s="1780">
        <f t="shared" ref="DI497" si="586">+DE497*1.04</f>
        <v>49.92</v>
      </c>
      <c r="DJ497" s="929">
        <f>DH497+DI497</f>
        <v>76.92</v>
      </c>
      <c r="DK497" s="977">
        <f t="shared" si="585"/>
        <v>-0.14533333333333331</v>
      </c>
      <c r="DL497" s="1780">
        <f t="shared" ref="DL497" si="587">+DH497*1.04</f>
        <v>28.080000000000002</v>
      </c>
      <c r="DM497" s="1780">
        <f t="shared" ref="DM497" si="588">+DI497*1.04</f>
        <v>51.916800000000002</v>
      </c>
      <c r="DN497" s="929">
        <f>DL497+DM497</f>
        <v>79.996800000000007</v>
      </c>
      <c r="DO497" s="929"/>
      <c r="DP497" s="1780">
        <f t="shared" ref="DP497" si="589">+DL497*1.04</f>
        <v>29.203200000000002</v>
      </c>
      <c r="DQ497" s="1780">
        <f t="shared" ref="DQ497" si="590">+DM497*1.04</f>
        <v>53.993472000000004</v>
      </c>
      <c r="DR497" s="929">
        <f>DP497+DQ497</f>
        <v>83.196672000000007</v>
      </c>
      <c r="DS497" s="929"/>
      <c r="DT497" s="859"/>
      <c r="DU497" s="859"/>
      <c r="DV497" s="859"/>
      <c r="DW497" s="859"/>
      <c r="DX497" s="929"/>
      <c r="DY497" s="857"/>
      <c r="DZ497" s="859"/>
      <c r="EA497" s="859"/>
      <c r="EB497" s="929"/>
      <c r="EC497" s="857"/>
      <c r="ED497" s="859"/>
      <c r="EE497" s="859"/>
      <c r="EF497" s="929"/>
      <c r="EG497" s="857"/>
      <c r="EH497" s="857"/>
      <c r="EI497" s="857"/>
      <c r="EJ497" s="857"/>
      <c r="EK497" s="857"/>
      <c r="EL497" s="857"/>
      <c r="EM497" s="857"/>
      <c r="EN497" s="857"/>
      <c r="EO497" s="857"/>
      <c r="EP497" s="857"/>
      <c r="FL497" s="855"/>
      <c r="FM497" s="855"/>
      <c r="FN497" s="855"/>
      <c r="FO497" s="855"/>
      <c r="FP497" s="855"/>
      <c r="FQ497" s="855"/>
      <c r="FR497" s="855"/>
      <c r="FS497" s="855"/>
      <c r="FT497" s="855"/>
      <c r="FU497" s="855"/>
      <c r="FV497" s="855"/>
      <c r="FW497" s="855"/>
      <c r="FX497" s="855"/>
      <c r="FY497" s="855"/>
      <c r="FZ497" s="855"/>
      <c r="GA497" s="855"/>
      <c r="GB497" s="855"/>
      <c r="GC497" s="855"/>
      <c r="GD497" s="855"/>
      <c r="GE497" s="855"/>
      <c r="GF497" s="855"/>
      <c r="GG497" s="855"/>
      <c r="GH497" s="855"/>
      <c r="GI497" s="855"/>
      <c r="GJ497" s="855"/>
      <c r="GK497" s="855"/>
      <c r="GL497" s="855"/>
      <c r="GM497" s="855"/>
      <c r="GN497" s="855"/>
      <c r="GO497" s="855"/>
      <c r="GP497" s="855"/>
      <c r="GQ497" s="855"/>
      <c r="GR497" s="855"/>
      <c r="GS497" s="855"/>
      <c r="GT497" s="855"/>
      <c r="GU497" s="855"/>
      <c r="GV497" s="855"/>
      <c r="GW497" s="855"/>
      <c r="GX497" s="855"/>
      <c r="GY497" s="855"/>
      <c r="GZ497" s="855"/>
      <c r="HA497" s="855"/>
      <c r="HB497" s="855"/>
      <c r="HC497" s="855"/>
      <c r="HD497" s="855"/>
      <c r="HE497" s="855"/>
      <c r="HF497" s="855"/>
      <c r="HG497" s="855"/>
      <c r="HH497" s="855"/>
      <c r="HI497" s="855"/>
      <c r="HJ497" s="855"/>
      <c r="HK497" s="855"/>
      <c r="HL497" s="855"/>
      <c r="HM497" s="855"/>
      <c r="HN497" s="855"/>
      <c r="HO497" s="855"/>
      <c r="HP497" s="855"/>
      <c r="HQ497" s="855"/>
      <c r="HR497" s="855"/>
      <c r="HS497" s="855"/>
      <c r="HT497" s="855"/>
      <c r="HU497" s="855"/>
      <c r="HV497" s="855"/>
      <c r="HW497" s="855"/>
      <c r="HX497" s="855"/>
      <c r="HY497" s="855"/>
      <c r="HZ497" s="855"/>
      <c r="IA497" s="855"/>
      <c r="IB497" s="855"/>
      <c r="IC497" s="855"/>
      <c r="ID497" s="855"/>
      <c r="IE497" s="855"/>
      <c r="IF497" s="855"/>
      <c r="IG497" s="855"/>
      <c r="IH497" s="855"/>
      <c r="II497" s="855"/>
      <c r="IJ497" s="855"/>
      <c r="IK497" s="855"/>
      <c r="IL497" s="855"/>
      <c r="IM497" s="855"/>
      <c r="IN497" s="855"/>
      <c r="IO497" s="855"/>
      <c r="IP497" s="855"/>
      <c r="IQ497" s="855"/>
      <c r="IR497" s="855"/>
      <c r="IS497" s="855"/>
      <c r="IT497" s="855"/>
      <c r="IU497" s="855"/>
      <c r="IV497" s="855"/>
      <c r="IW497" s="855"/>
      <c r="IX497" s="855"/>
      <c r="IY497" s="855"/>
      <c r="IZ497" s="855"/>
      <c r="JA497" s="855"/>
      <c r="JB497" s="855"/>
      <c r="JC497" s="855"/>
      <c r="JD497" s="855"/>
      <c r="JE497" s="855"/>
      <c r="JF497" s="855"/>
      <c r="JG497" s="855"/>
      <c r="JH497" s="855"/>
      <c r="JI497" s="855"/>
      <c r="JJ497" s="855"/>
      <c r="JK497" s="855"/>
      <c r="JL497" s="855"/>
      <c r="JM497"/>
    </row>
    <row r="498" spans="1:273" s="860" customFormat="1">
      <c r="A498" s="302" t="s">
        <v>690</v>
      </c>
      <c r="B498" s="298"/>
      <c r="C498" s="296"/>
      <c r="D498" s="296"/>
      <c r="E498" s="296"/>
      <c r="F498" s="296"/>
      <c r="G498" s="296"/>
      <c r="H498" s="296"/>
      <c r="I498" s="296"/>
      <c r="J498" s="296"/>
      <c r="K498" s="296"/>
      <c r="L498" s="296"/>
      <c r="M498" s="296"/>
      <c r="N498" s="296"/>
      <c r="O498" s="296"/>
      <c r="P498" s="296"/>
      <c r="Q498" s="296"/>
      <c r="R498" s="296"/>
      <c r="S498" s="296"/>
      <c r="T498" s="296"/>
      <c r="U498" s="296"/>
      <c r="V498" s="296"/>
      <c r="W498" s="296"/>
      <c r="X498" s="296"/>
      <c r="Y498" s="296"/>
      <c r="Z498" s="296"/>
      <c r="AA498" s="296"/>
      <c r="AB498" s="296"/>
      <c r="AC498" s="296"/>
      <c r="AD498" s="296"/>
      <c r="AE498" s="296"/>
      <c r="AF498" s="296"/>
      <c r="AG498" s="296"/>
      <c r="AH498" s="296"/>
      <c r="AI498" s="296"/>
      <c r="AJ498" s="296"/>
      <c r="AK498" s="296"/>
      <c r="AL498" s="296"/>
      <c r="AM498" s="296"/>
      <c r="AN498" s="298"/>
      <c r="AO498" s="298"/>
      <c r="AP498" s="929">
        <f>DIVISIONS!AP511</f>
        <v>0</v>
      </c>
      <c r="AQ498" s="298"/>
      <c r="AR498" s="298"/>
      <c r="AS498" s="298"/>
      <c r="AT498" s="929">
        <f>DIVISIONS!AT511</f>
        <v>0</v>
      </c>
      <c r="AU498" s="298"/>
      <c r="AV498" s="929">
        <f>DIVISIONS!AV511</f>
        <v>0</v>
      </c>
      <c r="AW498" s="929">
        <f>DIVISIONS!AW511</f>
        <v>0</v>
      </c>
      <c r="AX498" s="929">
        <f t="shared" si="571"/>
        <v>0</v>
      </c>
      <c r="AY498" s="976"/>
      <c r="AZ498" s="929">
        <f>DIVISIONS!AZ511</f>
        <v>0</v>
      </c>
      <c r="BA498" s="929">
        <f>DIVISIONS!BA511</f>
        <v>0</v>
      </c>
      <c r="BB498" s="929">
        <f t="shared" si="572"/>
        <v>0</v>
      </c>
      <c r="BC498" s="857"/>
      <c r="BD498" s="929">
        <f>DIVISIONS!BD511</f>
        <v>0</v>
      </c>
      <c r="BE498" s="929">
        <f>DIVISIONS!BE511</f>
        <v>0</v>
      </c>
      <c r="BF498" s="929">
        <f t="shared" si="573"/>
        <v>0</v>
      </c>
      <c r="BG498" s="859"/>
      <c r="BH498" s="929">
        <f>DIVISIONS!BH511</f>
        <v>0</v>
      </c>
      <c r="BI498" s="929">
        <f>DIVISIONS!BI511</f>
        <v>0</v>
      </c>
      <c r="BJ498" s="929">
        <f t="shared" si="574"/>
        <v>0</v>
      </c>
      <c r="BK498" s="859"/>
      <c r="BL498" s="929">
        <f>DIVISIONS!BL511</f>
        <v>0</v>
      </c>
      <c r="BM498" s="929">
        <f>DIVISIONS!BM511</f>
        <v>0</v>
      </c>
      <c r="BN498" s="929">
        <f t="shared" si="575"/>
        <v>0</v>
      </c>
      <c r="BO498" s="859"/>
      <c r="BP498" s="929">
        <f>DIVISIONS!BP511</f>
        <v>0</v>
      </c>
      <c r="BQ498" s="929">
        <f>DIVISIONS!BQ511</f>
        <v>0</v>
      </c>
      <c r="BR498" s="929">
        <f t="shared" si="569"/>
        <v>0</v>
      </c>
      <c r="BS498" s="859"/>
      <c r="BT498" s="929">
        <f>DIVISIONS!BT511</f>
        <v>0</v>
      </c>
      <c r="BU498" s="929">
        <f>DIVISIONS!BU511</f>
        <v>0</v>
      </c>
      <c r="BV498" s="929">
        <f t="shared" si="570"/>
        <v>0</v>
      </c>
      <c r="BW498" s="859"/>
      <c r="BX498" s="929">
        <f>DIVISIONS!BX511</f>
        <v>0</v>
      </c>
      <c r="BY498" s="929">
        <f>DIVISIONS!BY511</f>
        <v>140</v>
      </c>
      <c r="BZ498" s="929">
        <f>BX498+BY498</f>
        <v>140</v>
      </c>
      <c r="CA498" s="977"/>
      <c r="CB498" s="929">
        <f>DIVISIONS!CB511</f>
        <v>67</v>
      </c>
      <c r="CC498" s="929">
        <f>DIVISIONS!CC511</f>
        <v>168</v>
      </c>
      <c r="CD498" s="929">
        <f>CB498+CC498</f>
        <v>235</v>
      </c>
      <c r="CE498" s="977">
        <f t="shared" si="577"/>
        <v>0.6785714285714286</v>
      </c>
      <c r="CF498" s="929">
        <f>DIVISIONS!CF511</f>
        <v>0</v>
      </c>
      <c r="CG498" s="929">
        <f>DIVISIONS!CG511</f>
        <v>0</v>
      </c>
      <c r="CH498" s="929">
        <f>CF498+CG498</f>
        <v>0</v>
      </c>
      <c r="CI498" s="977">
        <f t="shared" si="578"/>
        <v>-1</v>
      </c>
      <c r="CJ498" s="929">
        <f>DIVISIONS!CJ511</f>
        <v>0</v>
      </c>
      <c r="CK498" s="929">
        <f>DIVISIONS!CK511</f>
        <v>0</v>
      </c>
      <c r="CL498" s="929">
        <f>CJ498+CK498</f>
        <v>0</v>
      </c>
      <c r="CM498" s="977"/>
      <c r="CN498" s="929">
        <f>DIVISIONS!CN511</f>
        <v>0</v>
      </c>
      <c r="CO498" s="929">
        <f>DIVISIONS!CO511</f>
        <v>0</v>
      </c>
      <c r="CP498" s="929">
        <f>CN498+CO498</f>
        <v>0</v>
      </c>
      <c r="CQ498" s="977"/>
      <c r="CR498" s="929">
        <f>DIVISIONS!CR511</f>
        <v>0</v>
      </c>
      <c r="CS498" s="929">
        <f>DIVISIONS!CS511</f>
        <v>0</v>
      </c>
      <c r="CT498" s="929">
        <f>CR498+CS498</f>
        <v>0</v>
      </c>
      <c r="CU498" s="859"/>
      <c r="CV498" s="929">
        <f>DIVISIONS!CV511</f>
        <v>0</v>
      </c>
      <c r="CW498" s="929">
        <f>DIVISIONS!CW511</f>
        <v>0</v>
      </c>
      <c r="CX498" s="929">
        <f>CV498+CW498</f>
        <v>0</v>
      </c>
      <c r="CY498" s="859"/>
      <c r="CZ498" s="929">
        <f>DIVISIONS!CZ511</f>
        <v>0</v>
      </c>
      <c r="DA498" s="929">
        <f>DIVISIONS!DA511</f>
        <v>0</v>
      </c>
      <c r="DB498" s="929">
        <f>CZ498+DA498</f>
        <v>0</v>
      </c>
      <c r="DC498" s="859"/>
      <c r="DD498" s="929">
        <f>DIVISIONS!DD511</f>
        <v>0</v>
      </c>
      <c r="DE498" s="929">
        <f>DIVISIONS!DE511</f>
        <v>0</v>
      </c>
      <c r="DF498" s="929">
        <f>DD498+DE498</f>
        <v>0</v>
      </c>
      <c r="DG498" s="859"/>
      <c r="DH498" s="929">
        <f>DIVISIONS!DH511</f>
        <v>0</v>
      </c>
      <c r="DI498" s="859">
        <v>0</v>
      </c>
      <c r="DJ498" s="929">
        <f>DH498+DI498</f>
        <v>0</v>
      </c>
      <c r="DK498" s="859"/>
      <c r="DL498" s="859">
        <v>0</v>
      </c>
      <c r="DM498" s="859">
        <v>0</v>
      </c>
      <c r="DN498" s="929">
        <f>DL498+DM498</f>
        <v>0</v>
      </c>
      <c r="DO498" s="929"/>
      <c r="DP498" s="859">
        <v>0</v>
      </c>
      <c r="DQ498" s="859">
        <v>0</v>
      </c>
      <c r="DR498" s="929">
        <f>DP498+DQ498</f>
        <v>0</v>
      </c>
      <c r="DS498" s="929"/>
      <c r="DT498" s="859"/>
      <c r="DU498" s="859"/>
      <c r="DV498" s="859"/>
      <c r="DW498" s="859"/>
      <c r="DX498" s="929"/>
      <c r="DY498" s="857"/>
      <c r="DZ498" s="859"/>
      <c r="EA498" s="859"/>
      <c r="EB498" s="929"/>
      <c r="EC498" s="857"/>
      <c r="ED498" s="859"/>
      <c r="EE498" s="859"/>
      <c r="EF498" s="929"/>
      <c r="EG498" s="857"/>
      <c r="EH498" s="857"/>
      <c r="EI498" s="857"/>
      <c r="EJ498" s="857"/>
      <c r="EK498" s="857"/>
      <c r="EL498" s="857"/>
      <c r="EM498" s="857"/>
      <c r="EN498" s="857"/>
      <c r="EO498" s="857"/>
      <c r="EP498" s="857"/>
      <c r="FL498" s="855"/>
      <c r="FM498" s="855"/>
      <c r="FN498" s="855"/>
      <c r="FO498" s="855"/>
      <c r="FP498" s="855"/>
      <c r="FQ498" s="855"/>
      <c r="FR498" s="855"/>
      <c r="FS498" s="855"/>
      <c r="FT498" s="855"/>
      <c r="FU498" s="855"/>
      <c r="FV498" s="855"/>
      <c r="FW498" s="855"/>
      <c r="FX498" s="855"/>
      <c r="FY498" s="855"/>
      <c r="FZ498" s="855"/>
      <c r="GA498" s="855"/>
      <c r="GB498" s="855"/>
      <c r="GC498" s="855"/>
      <c r="GD498" s="855"/>
      <c r="GE498" s="855"/>
      <c r="GF498" s="855"/>
      <c r="GG498" s="855"/>
      <c r="GH498" s="855"/>
      <c r="GI498" s="855"/>
      <c r="GJ498" s="855"/>
      <c r="GK498" s="855"/>
      <c r="GL498" s="855"/>
      <c r="GM498" s="855"/>
      <c r="GN498" s="855"/>
      <c r="GO498" s="855"/>
      <c r="GP498" s="855"/>
      <c r="GQ498" s="855"/>
      <c r="GR498" s="855"/>
      <c r="GS498" s="855"/>
      <c r="GT498" s="855"/>
      <c r="GU498" s="855"/>
      <c r="GV498" s="855"/>
      <c r="GW498" s="855"/>
      <c r="GX498" s="855"/>
      <c r="GY498" s="855"/>
      <c r="GZ498" s="855"/>
      <c r="HA498" s="855"/>
      <c r="HB498" s="855"/>
      <c r="HC498" s="855"/>
      <c r="HD498" s="855"/>
      <c r="HE498" s="855"/>
      <c r="HF498" s="855"/>
      <c r="HG498" s="855"/>
      <c r="HH498" s="855"/>
      <c r="HI498" s="855"/>
      <c r="HJ498" s="855"/>
      <c r="HK498" s="855"/>
      <c r="HL498" s="855"/>
      <c r="HM498" s="855"/>
      <c r="HN498" s="855"/>
      <c r="HO498" s="855"/>
      <c r="HP498" s="855"/>
      <c r="HQ498" s="855"/>
      <c r="HR498" s="855"/>
      <c r="HS498" s="855"/>
      <c r="HT498" s="855"/>
      <c r="HU498" s="855"/>
      <c r="HV498" s="855"/>
      <c r="HW498" s="855"/>
      <c r="HX498" s="855"/>
      <c r="HY498" s="855"/>
      <c r="HZ498" s="855"/>
      <c r="IA498" s="855"/>
      <c r="IB498" s="855"/>
      <c r="IC498" s="855"/>
      <c r="ID498" s="855"/>
      <c r="IE498" s="855"/>
      <c r="IF498" s="855"/>
      <c r="IG498" s="855"/>
      <c r="IH498" s="855"/>
      <c r="II498" s="855"/>
      <c r="IJ498" s="855"/>
      <c r="IK498" s="855"/>
      <c r="IL498" s="855"/>
      <c r="IM498" s="855"/>
      <c r="IN498" s="855"/>
      <c r="IO498" s="855"/>
      <c r="IP498" s="855"/>
      <c r="IQ498" s="855"/>
      <c r="IR498" s="855"/>
      <c r="IS498" s="855"/>
      <c r="IT498" s="855"/>
      <c r="IU498" s="855"/>
      <c r="IV498" s="855"/>
      <c r="IW498" s="855"/>
      <c r="IX498" s="855"/>
      <c r="IY498" s="855"/>
      <c r="IZ498" s="855"/>
      <c r="JA498" s="855"/>
      <c r="JB498" s="855"/>
      <c r="JC498" s="855"/>
      <c r="JD498" s="855"/>
      <c r="JE498" s="855"/>
      <c r="JF498" s="855"/>
      <c r="JG498" s="855"/>
      <c r="JH498" s="855"/>
      <c r="JI498" s="855"/>
      <c r="JJ498" s="855"/>
      <c r="JK498" s="855"/>
      <c r="JL498" s="855"/>
      <c r="JM498"/>
    </row>
    <row r="499" spans="1:273" s="860" customFormat="1">
      <c r="A499" s="302" t="s">
        <v>689</v>
      </c>
      <c r="B499" s="298"/>
      <c r="C499" s="296"/>
      <c r="D499" s="296"/>
      <c r="E499" s="296"/>
      <c r="F499" s="296"/>
      <c r="G499" s="296"/>
      <c r="H499" s="296"/>
      <c r="I499" s="296"/>
      <c r="J499" s="296"/>
      <c r="K499" s="296"/>
      <c r="L499" s="296"/>
      <c r="M499" s="296"/>
      <c r="N499" s="296"/>
      <c r="O499" s="296"/>
      <c r="P499" s="296"/>
      <c r="Q499" s="296"/>
      <c r="R499" s="296"/>
      <c r="S499" s="296"/>
      <c r="T499" s="296"/>
      <c r="U499" s="296"/>
      <c r="V499" s="296"/>
      <c r="W499" s="296"/>
      <c r="X499" s="296"/>
      <c r="Y499" s="296"/>
      <c r="Z499" s="296"/>
      <c r="AA499" s="296"/>
      <c r="AB499" s="296"/>
      <c r="AC499" s="296"/>
      <c r="AD499" s="296"/>
      <c r="AE499" s="296"/>
      <c r="AF499" s="296"/>
      <c r="AG499" s="296"/>
      <c r="AH499" s="296"/>
      <c r="AI499" s="296"/>
      <c r="AJ499" s="296"/>
      <c r="AK499" s="296"/>
      <c r="AL499" s="296"/>
      <c r="AM499" s="296"/>
      <c r="AN499" s="298"/>
      <c r="AO499" s="298"/>
      <c r="AP499" s="929">
        <f>DIVISIONS!AP632</f>
        <v>0</v>
      </c>
      <c r="AQ499" s="298"/>
      <c r="AR499" s="298"/>
      <c r="AS499" s="298"/>
      <c r="AT499" s="929">
        <f>DIVISIONS!AT632</f>
        <v>-2</v>
      </c>
      <c r="AU499" s="298"/>
      <c r="AV499" s="929">
        <f>DIVISIONS!AV632</f>
        <v>0</v>
      </c>
      <c r="AW499" s="929">
        <f>DIVISIONS!AW632</f>
        <v>2</v>
      </c>
      <c r="AX499" s="929">
        <f t="shared" si="571"/>
        <v>2</v>
      </c>
      <c r="AY499" s="976"/>
      <c r="AZ499" s="929">
        <f>DIVISIONS!AZ632</f>
        <v>2</v>
      </c>
      <c r="BA499" s="929">
        <f>DIVISIONS!BA632</f>
        <v>1</v>
      </c>
      <c r="BB499" s="929">
        <f t="shared" si="572"/>
        <v>3</v>
      </c>
      <c r="BC499" s="857"/>
      <c r="BD499" s="929">
        <f>DIVISIONS!BD632</f>
        <v>1</v>
      </c>
      <c r="BE499" s="929">
        <f>DIVISIONS!BE632</f>
        <v>0</v>
      </c>
      <c r="BF499" s="929">
        <f t="shared" si="573"/>
        <v>1</v>
      </c>
      <c r="BG499" s="859"/>
      <c r="BH499" s="929">
        <f>DIVISIONS!BH632</f>
        <v>4</v>
      </c>
      <c r="BI499" s="929">
        <f>DIVISIONS!BI632</f>
        <v>-2</v>
      </c>
      <c r="BJ499" s="929">
        <f t="shared" si="574"/>
        <v>2</v>
      </c>
      <c r="BK499" s="859"/>
      <c r="BL499" s="929">
        <f>DIVISIONS!BL632</f>
        <v>1</v>
      </c>
      <c r="BM499" s="929">
        <f>DIVISIONS!BM632</f>
        <v>49</v>
      </c>
      <c r="BN499" s="929">
        <f t="shared" si="575"/>
        <v>50</v>
      </c>
      <c r="BO499" s="859"/>
      <c r="BP499" s="929">
        <f>DIVISIONS!BP632</f>
        <v>4</v>
      </c>
      <c r="BQ499" s="929">
        <f>DIVISIONS!BQ632</f>
        <v>1</v>
      </c>
      <c r="BR499" s="929">
        <f t="shared" si="569"/>
        <v>5</v>
      </c>
      <c r="BS499" s="859"/>
      <c r="BT499" s="929">
        <f>DIVISIONS!BT632</f>
        <v>0</v>
      </c>
      <c r="BU499" s="929">
        <f>DIVISIONS!BU632</f>
        <v>0</v>
      </c>
      <c r="BV499" s="929">
        <f t="shared" si="570"/>
        <v>0</v>
      </c>
      <c r="BW499" s="859"/>
      <c r="BX499" s="929">
        <f>DIVISIONS!BX632</f>
        <v>0</v>
      </c>
      <c r="BY499" s="929">
        <f>DIVISIONS!BY632</f>
        <v>0</v>
      </c>
      <c r="BZ499" s="929">
        <f>BX499+BY499</f>
        <v>0</v>
      </c>
      <c r="CA499" s="977"/>
      <c r="CB499" s="929">
        <f>DIVISIONS!CB632</f>
        <v>0</v>
      </c>
      <c r="CC499" s="929">
        <f>DIVISIONS!CC632</f>
        <v>0</v>
      </c>
      <c r="CD499" s="929">
        <f>CB499+CC499</f>
        <v>0</v>
      </c>
      <c r="CE499" s="977"/>
      <c r="CF499" s="929">
        <f>DIVISIONS!CF632</f>
        <v>0</v>
      </c>
      <c r="CG499" s="929">
        <f>DIVISIONS!CG632</f>
        <v>0</v>
      </c>
      <c r="CH499" s="929">
        <f>CF499+CG499</f>
        <v>0</v>
      </c>
      <c r="CI499" s="977"/>
      <c r="CJ499" s="929">
        <f>DIVISIONS!CJ632</f>
        <v>0</v>
      </c>
      <c r="CK499" s="929">
        <f>DIVISIONS!CK632</f>
        <v>0</v>
      </c>
      <c r="CL499" s="929">
        <f>CJ499+CK499</f>
        <v>0</v>
      </c>
      <c r="CM499" s="977"/>
      <c r="CN499" s="929">
        <f>DIVISIONS!CN632</f>
        <v>0</v>
      </c>
      <c r="CO499" s="929">
        <f>DIVISIONS!CO632</f>
        <v>0</v>
      </c>
      <c r="CP499" s="929">
        <f>CN499+CO499</f>
        <v>0</v>
      </c>
      <c r="CQ499" s="977"/>
      <c r="CR499" s="929">
        <f>DIVISIONS!CR632</f>
        <v>0</v>
      </c>
      <c r="CS499" s="929">
        <f>DIVISIONS!CS632</f>
        <v>0</v>
      </c>
      <c r="CT499" s="929">
        <f>CR499+CS499</f>
        <v>0</v>
      </c>
      <c r="CU499" s="859"/>
      <c r="CV499" s="929">
        <f>DIVISIONS!CV632</f>
        <v>0</v>
      </c>
      <c r="CW499" s="929">
        <f>DIVISIONS!CW632</f>
        <v>0</v>
      </c>
      <c r="CX499" s="929">
        <f>CV499+CW499</f>
        <v>0</v>
      </c>
      <c r="CY499" s="859"/>
      <c r="CZ499" s="929">
        <f>DIVISIONS!CZ632</f>
        <v>0</v>
      </c>
      <c r="DA499" s="929">
        <f>DIVISIONS!DA632</f>
        <v>0</v>
      </c>
      <c r="DB499" s="929">
        <f>CZ499+DA499</f>
        <v>0</v>
      </c>
      <c r="DC499" s="859"/>
      <c r="DD499" s="929">
        <f>DIVISIONS!DD632</f>
        <v>0</v>
      </c>
      <c r="DE499" s="929">
        <f>DIVISIONS!DE632</f>
        <v>0</v>
      </c>
      <c r="DF499" s="929">
        <f>DD499+DE499</f>
        <v>0</v>
      </c>
      <c r="DG499" s="859"/>
      <c r="DH499" s="929">
        <f>DIVISIONS!DH632</f>
        <v>0</v>
      </c>
      <c r="DI499" s="859">
        <v>0</v>
      </c>
      <c r="DJ499" s="929">
        <f>DH499+DI499</f>
        <v>0</v>
      </c>
      <c r="DK499" s="859"/>
      <c r="DL499" s="859">
        <v>0</v>
      </c>
      <c r="DM499" s="859">
        <v>0</v>
      </c>
      <c r="DN499" s="929">
        <f>DL499+DM499</f>
        <v>0</v>
      </c>
      <c r="DO499" s="929"/>
      <c r="DP499" s="859">
        <v>0</v>
      </c>
      <c r="DQ499" s="859">
        <v>0</v>
      </c>
      <c r="DR499" s="929">
        <f>DP499+DQ499</f>
        <v>0</v>
      </c>
      <c r="DS499" s="929"/>
      <c r="DT499" s="859"/>
      <c r="DU499" s="859"/>
      <c r="DV499" s="859"/>
      <c r="DW499" s="859"/>
      <c r="DX499" s="929"/>
      <c r="DY499" s="857"/>
      <c r="DZ499" s="859"/>
      <c r="EA499" s="859"/>
      <c r="EB499" s="929"/>
      <c r="EC499" s="857"/>
      <c r="ED499" s="859"/>
      <c r="EE499" s="859"/>
      <c r="EF499" s="929"/>
      <c r="EG499" s="857"/>
      <c r="EH499" s="857"/>
      <c r="EI499" s="857"/>
      <c r="EJ499" s="857"/>
      <c r="EK499" s="857"/>
      <c r="EL499" s="857"/>
      <c r="EM499" s="857"/>
      <c r="EN499" s="857"/>
      <c r="EO499" s="857"/>
      <c r="EP499" s="857"/>
      <c r="FL499" s="855"/>
      <c r="FM499" s="855"/>
      <c r="FN499" s="855"/>
      <c r="FO499" s="855"/>
      <c r="FP499" s="855"/>
      <c r="FQ499" s="855"/>
      <c r="FR499" s="855"/>
      <c r="FS499" s="855"/>
      <c r="FT499" s="855"/>
      <c r="FU499" s="855"/>
      <c r="FV499" s="855"/>
      <c r="FW499" s="855"/>
      <c r="FX499" s="855"/>
      <c r="FY499" s="855"/>
      <c r="FZ499" s="855"/>
      <c r="GA499" s="855"/>
      <c r="GB499" s="855"/>
      <c r="GC499" s="855"/>
      <c r="GD499" s="855"/>
      <c r="GE499" s="855"/>
      <c r="GF499" s="855"/>
      <c r="GG499" s="855"/>
      <c r="GH499" s="855"/>
      <c r="GI499" s="855"/>
      <c r="GJ499" s="855"/>
      <c r="GK499" s="855"/>
      <c r="GL499" s="855"/>
      <c r="GM499" s="855"/>
      <c r="GN499" s="855"/>
      <c r="GO499" s="855"/>
      <c r="GP499" s="855"/>
      <c r="GQ499" s="855"/>
      <c r="GR499" s="855"/>
      <c r="GS499" s="855"/>
      <c r="GT499" s="855"/>
      <c r="GU499" s="855"/>
      <c r="GV499" s="855"/>
      <c r="GW499" s="855"/>
      <c r="GX499" s="855"/>
      <c r="GY499" s="855"/>
      <c r="GZ499" s="855"/>
      <c r="HA499" s="855"/>
      <c r="HB499" s="855"/>
      <c r="HC499" s="855"/>
      <c r="HD499" s="855"/>
      <c r="HE499" s="855"/>
      <c r="HF499" s="855"/>
      <c r="HG499" s="855"/>
      <c r="HH499" s="855"/>
      <c r="HI499" s="855"/>
      <c r="HJ499" s="855"/>
      <c r="HK499" s="855"/>
      <c r="HL499" s="855"/>
      <c r="HM499" s="855"/>
      <c r="HN499" s="855"/>
      <c r="HO499" s="855"/>
      <c r="HP499" s="855"/>
      <c r="HQ499" s="855"/>
      <c r="HR499" s="855"/>
      <c r="HS499" s="855"/>
      <c r="HT499" s="855"/>
      <c r="HU499" s="855"/>
      <c r="HV499" s="855"/>
      <c r="HW499" s="855"/>
      <c r="HX499" s="855"/>
      <c r="HY499" s="855"/>
      <c r="HZ499" s="855"/>
      <c r="IA499" s="855"/>
      <c r="IB499" s="855"/>
      <c r="IC499" s="855"/>
      <c r="ID499" s="855"/>
      <c r="IE499" s="855"/>
      <c r="IF499" s="855"/>
      <c r="IG499" s="855"/>
      <c r="IH499" s="855"/>
      <c r="II499" s="855"/>
      <c r="IJ499" s="855"/>
      <c r="IK499" s="855"/>
      <c r="IL499" s="855"/>
      <c r="IM499" s="855"/>
      <c r="IN499" s="855"/>
      <c r="IO499" s="855"/>
      <c r="IP499" s="855"/>
      <c r="IQ499" s="855"/>
      <c r="IR499" s="855"/>
      <c r="IS499" s="855"/>
      <c r="IT499" s="855"/>
      <c r="IU499" s="855"/>
      <c r="IV499" s="855"/>
      <c r="IW499" s="855"/>
      <c r="IX499" s="855"/>
      <c r="IY499" s="855"/>
      <c r="IZ499" s="855"/>
      <c r="JA499" s="855"/>
      <c r="JB499" s="855"/>
      <c r="JC499" s="855"/>
      <c r="JD499" s="855"/>
      <c r="JE499" s="855"/>
      <c r="JF499" s="855"/>
      <c r="JG499" s="855"/>
      <c r="JH499" s="855"/>
      <c r="JI499" s="855"/>
      <c r="JJ499" s="855"/>
      <c r="JK499" s="855"/>
      <c r="JL499" s="855"/>
      <c r="JM499"/>
    </row>
    <row r="500" spans="1:273" s="860" customFormat="1">
      <c r="A500" s="302" t="s">
        <v>688</v>
      </c>
      <c r="B500" s="298"/>
      <c r="C500" s="296"/>
      <c r="D500" s="296"/>
      <c r="E500" s="296"/>
      <c r="F500" s="296"/>
      <c r="G500" s="296"/>
      <c r="H500" s="296"/>
      <c r="I500" s="296"/>
      <c r="J500" s="296"/>
      <c r="K500" s="296"/>
      <c r="L500" s="296"/>
      <c r="M500" s="296"/>
      <c r="N500" s="296"/>
      <c r="O500" s="296"/>
      <c r="P500" s="296"/>
      <c r="Q500" s="296"/>
      <c r="R500" s="296"/>
      <c r="S500" s="296"/>
      <c r="T500" s="296"/>
      <c r="U500" s="296"/>
      <c r="V500" s="296"/>
      <c r="W500" s="296"/>
      <c r="X500" s="296"/>
      <c r="Y500" s="296"/>
      <c r="Z500" s="296"/>
      <c r="AA500" s="296"/>
      <c r="AB500" s="296"/>
      <c r="AC500" s="296"/>
      <c r="AD500" s="296"/>
      <c r="AE500" s="296"/>
      <c r="AF500" s="296"/>
      <c r="AG500" s="296"/>
      <c r="AH500" s="296"/>
      <c r="AI500" s="296"/>
      <c r="AJ500" s="296"/>
      <c r="AK500" s="296"/>
      <c r="AL500" s="296"/>
      <c r="AM500" s="296"/>
      <c r="AN500" s="298"/>
      <c r="AO500" s="298"/>
      <c r="AP500" s="929">
        <f>DIVISIONS!AP691</f>
        <v>0</v>
      </c>
      <c r="AQ500" s="298"/>
      <c r="AR500" s="298"/>
      <c r="AS500" s="298"/>
      <c r="AT500" s="929">
        <f>DIVISIONS!AT691</f>
        <v>13</v>
      </c>
      <c r="AU500" s="298"/>
      <c r="AV500" s="929">
        <f>DIVISIONS!AV691</f>
        <v>-8</v>
      </c>
      <c r="AW500" s="929">
        <f>DIVISIONS!AW691</f>
        <v>-25</v>
      </c>
      <c r="AX500" s="929"/>
      <c r="AY500" s="976"/>
      <c r="AZ500" s="929">
        <f>DIVISIONS!AZ691</f>
        <v>3</v>
      </c>
      <c r="BA500" s="929">
        <f>DIVISIONS!BA691</f>
        <v>28</v>
      </c>
      <c r="BB500" s="929"/>
      <c r="BC500" s="857"/>
      <c r="BD500" s="929"/>
      <c r="BE500" s="929"/>
      <c r="BF500" s="929"/>
      <c r="BG500" s="859"/>
      <c r="BH500" s="929"/>
      <c r="BI500" s="929"/>
      <c r="BJ500" s="929"/>
      <c r="BK500" s="859"/>
      <c r="BL500" s="929"/>
      <c r="BM500" s="929"/>
      <c r="BN500" s="929"/>
      <c r="BO500" s="859"/>
      <c r="BP500" s="929"/>
      <c r="BQ500" s="929"/>
      <c r="BR500" s="929"/>
      <c r="BS500" s="859"/>
      <c r="BT500" s="929"/>
      <c r="BU500" s="929"/>
      <c r="BV500" s="929"/>
      <c r="BW500" s="859"/>
      <c r="BX500" s="929"/>
      <c r="BY500" s="929"/>
      <c r="BZ500" s="929"/>
      <c r="CA500" s="977"/>
      <c r="CB500" s="929"/>
      <c r="CC500" s="929"/>
      <c r="CD500" s="929"/>
      <c r="CE500" s="977"/>
      <c r="CF500" s="929"/>
      <c r="CG500" s="929"/>
      <c r="CH500" s="929"/>
      <c r="CI500" s="977"/>
      <c r="CJ500" s="929"/>
      <c r="CK500" s="929"/>
      <c r="CL500" s="929"/>
      <c r="CM500" s="977"/>
      <c r="CN500" s="929"/>
      <c r="CO500" s="929"/>
      <c r="CP500" s="929"/>
      <c r="CQ500" s="977"/>
      <c r="CR500" s="929"/>
      <c r="CS500" s="929"/>
      <c r="CT500" s="929"/>
      <c r="CU500" s="859"/>
      <c r="CV500" s="929"/>
      <c r="CW500" s="929"/>
      <c r="CX500" s="929"/>
      <c r="CY500" s="859"/>
      <c r="CZ500" s="929"/>
      <c r="DA500" s="929"/>
      <c r="DB500" s="929"/>
      <c r="DC500" s="859"/>
      <c r="DD500" s="929"/>
      <c r="DE500" s="929"/>
      <c r="DF500" s="929"/>
      <c r="DG500" s="859"/>
      <c r="DH500" s="929"/>
      <c r="DI500" s="859"/>
      <c r="DJ500" s="929"/>
      <c r="DK500" s="859"/>
      <c r="DL500" s="859"/>
      <c r="DM500" s="859"/>
      <c r="DN500" s="929"/>
      <c r="DO500" s="929"/>
      <c r="DP500" s="859"/>
      <c r="DQ500" s="859"/>
      <c r="DR500" s="929"/>
      <c r="DS500" s="929"/>
      <c r="DT500" s="859"/>
      <c r="DU500" s="859"/>
      <c r="DV500" s="859"/>
      <c r="DW500" s="859"/>
      <c r="DX500" s="929"/>
      <c r="DY500" s="857"/>
      <c r="DZ500" s="859"/>
      <c r="EA500" s="859"/>
      <c r="EB500" s="929"/>
      <c r="EC500" s="857"/>
      <c r="ED500" s="859"/>
      <c r="EE500" s="859"/>
      <c r="EF500" s="929"/>
      <c r="EG500" s="857"/>
      <c r="EH500" s="857"/>
      <c r="EI500" s="857"/>
      <c r="EJ500" s="857"/>
      <c r="EK500" s="857"/>
      <c r="EL500" s="857"/>
      <c r="EM500" s="857"/>
      <c r="EN500" s="857"/>
      <c r="EO500" s="857"/>
      <c r="EP500" s="857"/>
      <c r="FL500" s="855"/>
      <c r="FM500" s="855"/>
      <c r="FN500" s="855"/>
      <c r="FO500" s="855"/>
      <c r="FP500" s="855"/>
      <c r="FQ500" s="855"/>
      <c r="FR500" s="855"/>
      <c r="FS500" s="855"/>
      <c r="FT500" s="855"/>
      <c r="FU500" s="855"/>
      <c r="FV500" s="855"/>
      <c r="FW500" s="855"/>
      <c r="FX500" s="855"/>
      <c r="FY500" s="855"/>
      <c r="FZ500" s="855"/>
      <c r="GA500" s="855"/>
      <c r="GB500" s="855"/>
      <c r="GC500" s="855"/>
      <c r="GD500" s="855"/>
      <c r="GE500" s="855"/>
      <c r="GF500" s="855"/>
      <c r="GG500" s="855"/>
      <c r="GH500" s="855"/>
      <c r="GI500" s="855"/>
      <c r="GJ500" s="855"/>
      <c r="GK500" s="855"/>
      <c r="GL500" s="855"/>
      <c r="GM500" s="855"/>
      <c r="GN500" s="855"/>
      <c r="GO500" s="855"/>
      <c r="GP500" s="855"/>
      <c r="GQ500" s="855"/>
      <c r="GR500" s="855"/>
      <c r="GS500" s="855"/>
      <c r="GT500" s="855"/>
      <c r="GU500" s="855"/>
      <c r="GV500" s="855"/>
      <c r="GW500" s="855"/>
      <c r="GX500" s="855"/>
      <c r="GY500" s="855"/>
      <c r="GZ500" s="855"/>
      <c r="HA500" s="855"/>
      <c r="HB500" s="855"/>
      <c r="HC500" s="855"/>
      <c r="HD500" s="855"/>
      <c r="HE500" s="855"/>
      <c r="HF500" s="855"/>
      <c r="HG500" s="855"/>
      <c r="HH500" s="855"/>
      <c r="HI500" s="855"/>
      <c r="HJ500" s="855"/>
      <c r="HK500" s="855"/>
      <c r="HL500" s="855"/>
      <c r="HM500" s="855"/>
      <c r="HN500" s="855"/>
      <c r="HO500" s="855"/>
      <c r="HP500" s="855"/>
      <c r="HQ500" s="855"/>
      <c r="HR500" s="855"/>
      <c r="HS500" s="855"/>
      <c r="HT500" s="855"/>
      <c r="HU500" s="855"/>
      <c r="HV500" s="855"/>
      <c r="HW500" s="855"/>
      <c r="HX500" s="855"/>
      <c r="HY500" s="855"/>
      <c r="HZ500" s="855"/>
      <c r="IA500" s="855"/>
      <c r="IB500" s="855"/>
      <c r="IC500" s="855"/>
      <c r="ID500" s="855"/>
      <c r="IE500" s="855"/>
      <c r="IF500" s="855"/>
      <c r="IG500" s="855"/>
      <c r="IH500" s="855"/>
      <c r="II500" s="855"/>
      <c r="IJ500" s="855"/>
      <c r="IK500" s="855"/>
      <c r="IL500" s="855"/>
      <c r="IM500" s="855"/>
      <c r="IN500" s="855"/>
      <c r="IO500" s="855"/>
      <c r="IP500" s="855"/>
      <c r="IQ500" s="855"/>
      <c r="IR500" s="855"/>
      <c r="IS500" s="855"/>
      <c r="IT500" s="855"/>
      <c r="IU500" s="855"/>
      <c r="IV500" s="855"/>
      <c r="IW500" s="855"/>
      <c r="IX500" s="855"/>
      <c r="IY500" s="855"/>
      <c r="IZ500" s="855"/>
      <c r="JA500" s="855"/>
      <c r="JB500" s="855"/>
      <c r="JC500" s="855"/>
      <c r="JD500" s="855"/>
      <c r="JE500" s="855"/>
      <c r="JF500" s="855"/>
      <c r="JG500" s="855"/>
      <c r="JH500" s="855"/>
      <c r="JI500" s="855"/>
      <c r="JJ500" s="855"/>
      <c r="JK500" s="855"/>
      <c r="JL500" s="855"/>
      <c r="JM500"/>
    </row>
    <row r="501" spans="1:273" s="860" customFormat="1">
      <c r="A501" s="302" t="s">
        <v>691</v>
      </c>
      <c r="B501" s="298"/>
      <c r="C501" s="296"/>
      <c r="D501" s="296"/>
      <c r="E501" s="296"/>
      <c r="F501" s="296"/>
      <c r="G501" s="296"/>
      <c r="H501" s="296"/>
      <c r="I501" s="296"/>
      <c r="J501" s="296"/>
      <c r="K501" s="296"/>
      <c r="L501" s="296"/>
      <c r="M501" s="296"/>
      <c r="N501" s="296"/>
      <c r="O501" s="296"/>
      <c r="P501" s="296"/>
      <c r="Q501" s="296"/>
      <c r="R501" s="296"/>
      <c r="S501" s="296"/>
      <c r="T501" s="296"/>
      <c r="U501" s="296"/>
      <c r="V501" s="296"/>
      <c r="W501" s="296"/>
      <c r="X501" s="296"/>
      <c r="Y501" s="296"/>
      <c r="Z501" s="296"/>
      <c r="AA501" s="296"/>
      <c r="AB501" s="296"/>
      <c r="AC501" s="296"/>
      <c r="AD501" s="296"/>
      <c r="AE501" s="296"/>
      <c r="AF501" s="296"/>
      <c r="AG501" s="296"/>
      <c r="AH501" s="296"/>
      <c r="AI501" s="296"/>
      <c r="AJ501" s="296"/>
      <c r="AK501" s="296"/>
      <c r="AL501" s="296"/>
      <c r="AM501" s="296"/>
      <c r="AN501" s="298"/>
      <c r="AO501" s="298"/>
      <c r="AP501" s="929">
        <f>DIVISIONS!AP747</f>
        <v>0</v>
      </c>
      <c r="AQ501" s="298"/>
      <c r="AR501" s="298"/>
      <c r="AS501" s="298"/>
      <c r="AT501" s="929">
        <f>DIVISIONS!AT747</f>
        <v>0</v>
      </c>
      <c r="AU501" s="298"/>
      <c r="AV501" s="929">
        <f>DIVISIONS!AV747</f>
        <v>0</v>
      </c>
      <c r="AW501" s="929">
        <f>DIVISIONS!AW747</f>
        <v>0</v>
      </c>
      <c r="AX501" s="929">
        <f t="shared" si="571"/>
        <v>0</v>
      </c>
      <c r="AY501" s="976"/>
      <c r="AZ501" s="929">
        <f>DIVISIONS!AZ747</f>
        <v>0</v>
      </c>
      <c r="BA501" s="929">
        <f>DIVISIONS!BA747</f>
        <v>0</v>
      </c>
      <c r="BB501" s="929">
        <f t="shared" si="572"/>
        <v>0</v>
      </c>
      <c r="BC501" s="857"/>
      <c r="BD501" s="929">
        <f>DIVISIONS!BD747</f>
        <v>0</v>
      </c>
      <c r="BE501" s="929">
        <f>DIVISIONS!BE747</f>
        <v>0</v>
      </c>
      <c r="BF501" s="929">
        <f t="shared" si="573"/>
        <v>0</v>
      </c>
      <c r="BG501" s="859"/>
      <c r="BH501" s="929">
        <f>DIVISIONS!BH747</f>
        <v>0</v>
      </c>
      <c r="BI501" s="929">
        <f>DIVISIONS!BI747</f>
        <v>0</v>
      </c>
      <c r="BJ501" s="929">
        <f t="shared" si="574"/>
        <v>0</v>
      </c>
      <c r="BK501" s="859"/>
      <c r="BL501" s="929">
        <f>DIVISIONS!BL747</f>
        <v>0</v>
      </c>
      <c r="BM501" s="929">
        <f>DIVISIONS!BM747</f>
        <v>0</v>
      </c>
      <c r="BN501" s="929">
        <f t="shared" si="575"/>
        <v>0</v>
      </c>
      <c r="BO501" s="859"/>
      <c r="BP501" s="929">
        <f>DIVISIONS!BP747</f>
        <v>0</v>
      </c>
      <c r="BQ501" s="929">
        <f>DIVISIONS!BQ747</f>
        <v>0</v>
      </c>
      <c r="BR501" s="929">
        <f>BP501+BQ501</f>
        <v>0</v>
      </c>
      <c r="BS501" s="859"/>
      <c r="BT501" s="929">
        <f>DIVISIONS!BT747</f>
        <v>0</v>
      </c>
      <c r="BU501" s="929">
        <f>DIVISIONS!BU747</f>
        <v>0</v>
      </c>
      <c r="BV501" s="929">
        <f>BT501+BU501</f>
        <v>0</v>
      </c>
      <c r="BW501" s="859"/>
      <c r="BX501" s="929">
        <f>DIVISIONS!BX747</f>
        <v>0</v>
      </c>
      <c r="BY501" s="929">
        <f>DIVISIONS!BY747</f>
        <v>0</v>
      </c>
      <c r="BZ501" s="929">
        <f>BX501+BY501</f>
        <v>0</v>
      </c>
      <c r="CA501" s="977"/>
      <c r="CB501" s="929">
        <f>DIVISIONS!CB747</f>
        <v>6</v>
      </c>
      <c r="CC501" s="929">
        <f>DIVISIONS!CC747</f>
        <v>4</v>
      </c>
      <c r="CD501" s="929">
        <f>CB501+CC501</f>
        <v>10</v>
      </c>
      <c r="CE501" s="977"/>
      <c r="CF501" s="929">
        <f>DIVISIONS!CF747</f>
        <v>-51</v>
      </c>
      <c r="CG501" s="929">
        <f>DIVISIONS!CG747</f>
        <v>4</v>
      </c>
      <c r="CH501" s="929">
        <f>CF501+CG501</f>
        <v>-47</v>
      </c>
      <c r="CI501" s="977"/>
      <c r="CJ501" s="929">
        <f>DIVISIONS!CJ747</f>
        <v>9</v>
      </c>
      <c r="CK501" s="929">
        <f>DIVISIONS!CK747</f>
        <v>-24</v>
      </c>
      <c r="CL501" s="929">
        <f>CJ501+CK501</f>
        <v>-15</v>
      </c>
      <c r="CM501" s="977"/>
      <c r="CN501" s="929">
        <f>DIVISIONS!CN747</f>
        <v>5</v>
      </c>
      <c r="CO501" s="929">
        <f>DIVISIONS!CO747</f>
        <v>45</v>
      </c>
      <c r="CP501" s="929">
        <f>CN501+CO501</f>
        <v>50</v>
      </c>
      <c r="CQ501" s="977"/>
      <c r="CR501" s="929">
        <f>DIVISIONS!CR747</f>
        <v>32</v>
      </c>
      <c r="CS501" s="929">
        <f>DIVISIONS!CS747</f>
        <v>-19</v>
      </c>
      <c r="CT501" s="929">
        <f>CR501+CS501</f>
        <v>13</v>
      </c>
      <c r="CU501" s="859"/>
      <c r="CV501" s="929">
        <f>DIVISIONS!CV747</f>
        <v>-3</v>
      </c>
      <c r="CW501" s="929">
        <f>DIVISIONS!CW747</f>
        <v>2</v>
      </c>
      <c r="CX501" s="929">
        <f>CV501+CW501</f>
        <v>-1</v>
      </c>
      <c r="CY501" s="859"/>
      <c r="CZ501" s="929">
        <f>DIVISIONS!CZ747</f>
        <v>6</v>
      </c>
      <c r="DA501" s="929">
        <f>DIVISIONS!DA747</f>
        <v>18</v>
      </c>
      <c r="DB501" s="929">
        <f>CZ501+DA501</f>
        <v>24</v>
      </c>
      <c r="DC501" s="859"/>
      <c r="DD501" s="929">
        <f>DIVISIONS!DD747</f>
        <v>128</v>
      </c>
      <c r="DE501" s="929">
        <f>DIVISIONS!DE747</f>
        <v>93</v>
      </c>
      <c r="DF501" s="929">
        <f>DD501+DE501</f>
        <v>221</v>
      </c>
      <c r="DG501" s="859"/>
      <c r="DH501" s="929">
        <f>DIVISIONS!DH747</f>
        <v>0</v>
      </c>
      <c r="DI501" s="859">
        <v>0</v>
      </c>
      <c r="DJ501" s="929">
        <f>DH501+DI501</f>
        <v>0</v>
      </c>
      <c r="DK501" s="859"/>
      <c r="DL501" s="859">
        <v>0</v>
      </c>
      <c r="DM501" s="859">
        <v>0</v>
      </c>
      <c r="DN501" s="929">
        <f>DL501+DM501</f>
        <v>0</v>
      </c>
      <c r="DO501" s="929"/>
      <c r="DP501" s="859">
        <v>0</v>
      </c>
      <c r="DQ501" s="859">
        <v>0</v>
      </c>
      <c r="DR501" s="929">
        <f>DP501+DQ501</f>
        <v>0</v>
      </c>
      <c r="DS501" s="929"/>
      <c r="DT501" s="859"/>
      <c r="DU501" s="859"/>
      <c r="DV501" s="859"/>
      <c r="DW501" s="859"/>
      <c r="DX501" s="929"/>
      <c r="DY501" s="857"/>
      <c r="DZ501" s="859"/>
      <c r="EA501" s="859"/>
      <c r="EB501" s="929"/>
      <c r="EC501" s="857"/>
      <c r="ED501" s="859"/>
      <c r="EE501" s="859"/>
      <c r="EF501" s="929"/>
      <c r="EG501" s="857"/>
      <c r="EH501" s="857"/>
      <c r="EI501" s="857"/>
      <c r="EJ501" s="857"/>
      <c r="EK501" s="857"/>
      <c r="EL501" s="857"/>
      <c r="EM501" s="857"/>
      <c r="EN501" s="857"/>
      <c r="EO501" s="857"/>
      <c r="EP501" s="857"/>
      <c r="FL501" s="855"/>
      <c r="FM501" s="855"/>
      <c r="FN501" s="855"/>
      <c r="FO501" s="855"/>
      <c r="FP501" s="855"/>
      <c r="FQ501" s="855"/>
      <c r="FR501" s="855"/>
      <c r="FS501" s="855"/>
      <c r="FT501" s="855"/>
      <c r="FU501" s="855"/>
      <c r="FV501" s="855"/>
      <c r="FW501" s="855"/>
      <c r="FX501" s="855"/>
      <c r="FY501" s="855"/>
      <c r="FZ501" s="855"/>
      <c r="GA501" s="855"/>
      <c r="GB501" s="855"/>
      <c r="GC501" s="855"/>
      <c r="GD501" s="855"/>
      <c r="GE501" s="855"/>
      <c r="GF501" s="855"/>
      <c r="GG501" s="855"/>
      <c r="GH501" s="855"/>
      <c r="GI501" s="855"/>
      <c r="GJ501" s="855"/>
      <c r="GK501" s="855"/>
      <c r="GL501" s="855"/>
      <c r="GM501" s="855"/>
      <c r="GN501" s="855"/>
      <c r="GO501" s="855"/>
      <c r="GP501" s="855"/>
      <c r="GQ501" s="855"/>
      <c r="GR501" s="855"/>
      <c r="GS501" s="855"/>
      <c r="GT501" s="855"/>
      <c r="GU501" s="855"/>
      <c r="GV501" s="855"/>
      <c r="GW501" s="855"/>
      <c r="GX501" s="855"/>
      <c r="GY501" s="855"/>
      <c r="GZ501" s="855"/>
      <c r="HA501" s="855"/>
      <c r="HB501" s="855"/>
      <c r="HC501" s="855"/>
      <c r="HD501" s="855"/>
      <c r="HE501" s="855"/>
      <c r="HF501" s="855"/>
      <c r="HG501" s="855"/>
      <c r="HH501" s="855"/>
      <c r="HI501" s="855"/>
      <c r="HJ501" s="855"/>
      <c r="HK501" s="855"/>
      <c r="HL501" s="855"/>
      <c r="HM501" s="855"/>
      <c r="HN501" s="855"/>
      <c r="HO501" s="855"/>
      <c r="HP501" s="855"/>
      <c r="HQ501" s="855"/>
      <c r="HR501" s="855"/>
      <c r="HS501" s="855"/>
      <c r="HT501" s="855"/>
      <c r="HU501" s="855"/>
      <c r="HV501" s="855"/>
      <c r="HW501" s="855"/>
      <c r="HX501" s="855"/>
      <c r="HY501" s="855"/>
      <c r="HZ501" s="855"/>
      <c r="IA501" s="855"/>
      <c r="IB501" s="855"/>
      <c r="IC501" s="855"/>
      <c r="ID501" s="855"/>
      <c r="IE501" s="855"/>
      <c r="IF501" s="855"/>
      <c r="IG501" s="855"/>
      <c r="IH501" s="855"/>
      <c r="II501" s="855"/>
      <c r="IJ501" s="855"/>
      <c r="IK501" s="855"/>
      <c r="IL501" s="855"/>
      <c r="IM501" s="855"/>
      <c r="IN501" s="855"/>
      <c r="IO501" s="855"/>
      <c r="IP501" s="855"/>
      <c r="IQ501" s="855"/>
      <c r="IR501" s="855"/>
      <c r="IS501" s="855"/>
      <c r="IT501" s="855"/>
      <c r="IU501" s="855"/>
      <c r="IV501" s="855"/>
      <c r="IW501" s="855"/>
      <c r="IX501" s="855"/>
      <c r="IY501" s="855"/>
      <c r="IZ501" s="855"/>
      <c r="JA501" s="855"/>
      <c r="JB501" s="855"/>
      <c r="JC501" s="855"/>
      <c r="JD501" s="855"/>
      <c r="JE501" s="855"/>
      <c r="JF501" s="855"/>
      <c r="JG501" s="855"/>
      <c r="JH501" s="855"/>
      <c r="JI501" s="855"/>
      <c r="JJ501" s="855"/>
      <c r="JK501" s="855"/>
      <c r="JL501" s="855"/>
      <c r="JM501"/>
    </row>
    <row r="502" spans="1:273" s="855" customFormat="1">
      <c r="A502" s="289" t="s">
        <v>613</v>
      </c>
      <c r="B502" s="290"/>
      <c r="C502" s="289"/>
      <c r="D502" s="289"/>
      <c r="E502" s="289"/>
      <c r="F502" s="289"/>
      <c r="G502" s="289"/>
      <c r="H502" s="289"/>
      <c r="I502" s="289"/>
      <c r="J502" s="289"/>
      <c r="K502" s="289"/>
      <c r="L502" s="289"/>
      <c r="M502" s="289"/>
      <c r="N502" s="289"/>
      <c r="O502" s="289"/>
      <c r="P502" s="289"/>
      <c r="Q502" s="289"/>
      <c r="R502" s="289"/>
      <c r="S502" s="289"/>
      <c r="T502" s="289"/>
      <c r="U502" s="289"/>
      <c r="V502" s="289"/>
      <c r="W502" s="289"/>
      <c r="X502" s="289"/>
      <c r="Y502" s="289"/>
      <c r="Z502" s="289"/>
      <c r="AA502" s="289"/>
      <c r="AB502" s="289"/>
      <c r="AC502" s="289"/>
      <c r="AD502" s="289"/>
      <c r="AE502" s="289"/>
      <c r="AF502" s="289"/>
      <c r="AG502" s="289"/>
      <c r="AH502" s="289"/>
      <c r="AI502" s="289"/>
      <c r="AJ502" s="289"/>
      <c r="AK502" s="289"/>
      <c r="AL502" s="289"/>
      <c r="AM502" s="289"/>
      <c r="AN502" s="290"/>
      <c r="AO502" s="290"/>
      <c r="AP502" s="853">
        <f>SUM(AP494:AP501)</f>
        <v>0</v>
      </c>
      <c r="AQ502" s="290"/>
      <c r="AR502" s="290"/>
      <c r="AS502" s="290"/>
      <c r="AT502" s="853">
        <f>SUM(AT494:AT501)</f>
        <v>232</v>
      </c>
      <c r="AU502" s="290"/>
      <c r="AV502" s="853">
        <f>SUM(AV494:AV501)</f>
        <v>75</v>
      </c>
      <c r="AW502" s="853">
        <f>SUM(AW494:AW501)</f>
        <v>42</v>
      </c>
      <c r="AX502" s="818">
        <f t="shared" si="571"/>
        <v>117</v>
      </c>
      <c r="AY502" s="820"/>
      <c r="AZ502" s="853">
        <f>SUM(AZ494:AZ501)</f>
        <v>63</v>
      </c>
      <c r="BA502" s="853">
        <f>SUM(BA494:BA501)</f>
        <v>117</v>
      </c>
      <c r="BB502" s="818">
        <f t="shared" si="572"/>
        <v>180</v>
      </c>
      <c r="BC502" s="853"/>
      <c r="BD502" s="853">
        <f>SUM(BD494:BD501)</f>
        <v>66</v>
      </c>
      <c r="BE502" s="853">
        <f>SUM(BE494:BE501)</f>
        <v>188</v>
      </c>
      <c r="BF502" s="818">
        <f t="shared" si="573"/>
        <v>254</v>
      </c>
      <c r="BG502" s="853"/>
      <c r="BH502" s="853">
        <f>SUM(BH494:BH501)</f>
        <v>119</v>
      </c>
      <c r="BI502" s="853">
        <f>SUM(BI494:BI501)</f>
        <v>157</v>
      </c>
      <c r="BJ502" s="818">
        <f t="shared" si="574"/>
        <v>276</v>
      </c>
      <c r="BK502" s="853"/>
      <c r="BL502" s="853">
        <f>SUM(BL494:BL501)</f>
        <v>92</v>
      </c>
      <c r="BM502" s="853">
        <f>SUM(BM494:BM501)</f>
        <v>133</v>
      </c>
      <c r="BN502" s="818">
        <f t="shared" si="575"/>
        <v>225</v>
      </c>
      <c r="BO502" s="853"/>
      <c r="BP502" s="853">
        <f>SUM(BP494:BP501)</f>
        <v>170</v>
      </c>
      <c r="BQ502" s="853">
        <f>SUM(BQ494:BQ501)</f>
        <v>144</v>
      </c>
      <c r="BR502" s="818">
        <f>BP502+BQ502</f>
        <v>314</v>
      </c>
      <c r="BS502" s="853"/>
      <c r="BT502" s="853">
        <f>SUM(BT494:BT501)</f>
        <v>265</v>
      </c>
      <c r="BU502" s="853">
        <f>SUM(BU494:BU501)</f>
        <v>345</v>
      </c>
      <c r="BV502" s="853">
        <f>BT502+BU502</f>
        <v>610</v>
      </c>
      <c r="BW502" s="853"/>
      <c r="BX502" s="853">
        <f t="shared" ref="BX502:BY502" si="591">SUM(BX495:BX501)</f>
        <v>588</v>
      </c>
      <c r="BY502" s="853">
        <f t="shared" si="591"/>
        <v>451</v>
      </c>
      <c r="BZ502" s="853">
        <f t="shared" ref="BZ502" si="592">BX502+BY502</f>
        <v>1039</v>
      </c>
      <c r="CA502" s="978">
        <f t="shared" ref="CA502" si="593">BZ502/BV502-1</f>
        <v>0.70327868852459008</v>
      </c>
      <c r="CB502" s="853">
        <f t="shared" ref="CB502:CC502" si="594">SUM(CB495:CB501)</f>
        <v>446</v>
      </c>
      <c r="CC502" s="853">
        <f t="shared" si="594"/>
        <v>817</v>
      </c>
      <c r="CD502" s="853">
        <f t="shared" ref="CD502" si="595">CB502+CC502</f>
        <v>1263</v>
      </c>
      <c r="CE502" s="978">
        <f t="shared" ref="CE502" si="596">CD502/BZ502-1</f>
        <v>0.21559191530317623</v>
      </c>
      <c r="CF502" s="853">
        <f t="shared" ref="CF502:CG502" si="597">SUM(CF495:CF501)</f>
        <v>473</v>
      </c>
      <c r="CG502" s="853">
        <f t="shared" si="597"/>
        <v>1601</v>
      </c>
      <c r="CH502" s="853">
        <f t="shared" ref="CH502" si="598">CF502+CG502</f>
        <v>2074</v>
      </c>
      <c r="CI502" s="978">
        <f t="shared" ref="CI502" si="599">CH502/CD502-1</f>
        <v>0.64212193190815525</v>
      </c>
      <c r="CJ502" s="853">
        <f t="shared" ref="CJ502:CK502" si="600">SUM(CJ495:CJ501)</f>
        <v>651</v>
      </c>
      <c r="CK502" s="853">
        <f t="shared" si="600"/>
        <v>1010</v>
      </c>
      <c r="CL502" s="853">
        <f t="shared" ref="CL502" si="601">CJ502+CK502</f>
        <v>1661</v>
      </c>
      <c r="CM502" s="978">
        <f t="shared" ref="CM502" si="602">CL502/CH502-1</f>
        <v>-0.19913211186113788</v>
      </c>
      <c r="CN502" s="853">
        <f t="shared" ref="CN502:CO502" si="603">SUM(CN495:CN501)</f>
        <v>603</v>
      </c>
      <c r="CO502" s="853">
        <f t="shared" si="603"/>
        <v>1311</v>
      </c>
      <c r="CP502" s="853">
        <f t="shared" ref="CP502" si="604">CN502+CO502</f>
        <v>1914</v>
      </c>
      <c r="CQ502" s="978">
        <f t="shared" ref="CQ502" si="605">CP502/CL502-1</f>
        <v>0.15231788079470188</v>
      </c>
      <c r="CR502" s="853">
        <f t="shared" ref="CR502:CS502" si="606">SUM(CR495:CR501)</f>
        <v>985</v>
      </c>
      <c r="CS502" s="853">
        <f t="shared" si="606"/>
        <v>2251</v>
      </c>
      <c r="CT502" s="853">
        <f t="shared" ref="CT502" si="607">CR502+CS502</f>
        <v>3236</v>
      </c>
      <c r="CU502" s="978">
        <f t="shared" ref="CU502" si="608">CT502/CP502-1</f>
        <v>0.69070010449320796</v>
      </c>
      <c r="CV502" s="853">
        <f t="shared" ref="CV502:CW502" si="609">SUM(CV495:CV501)</f>
        <v>1542</v>
      </c>
      <c r="CW502" s="853">
        <f t="shared" si="609"/>
        <v>562</v>
      </c>
      <c r="CX502" s="853">
        <f t="shared" ref="CX502" si="610">CV502+CW502</f>
        <v>2104</v>
      </c>
      <c r="CY502" s="978">
        <f t="shared" ref="CY502" si="611">CX502/CT502-1</f>
        <v>-0.3498145859085291</v>
      </c>
      <c r="CZ502" s="853">
        <f>SUM(CZ495:CZ501)</f>
        <v>346</v>
      </c>
      <c r="DA502" s="853">
        <f>SUM(DA495:DA501)</f>
        <v>710</v>
      </c>
      <c r="DB502" s="853">
        <f>CZ502+DA502</f>
        <v>1056</v>
      </c>
      <c r="DC502" s="978">
        <f t="shared" ref="DC502" si="612">DB502/CX502-1</f>
        <v>-0.49809885931558939</v>
      </c>
      <c r="DD502" s="853">
        <f>SUM(DD495:DD501)</f>
        <v>526</v>
      </c>
      <c r="DE502" s="853">
        <f>SUM(DE495:DE501)</f>
        <v>796</v>
      </c>
      <c r="DF502" s="853">
        <f>DD502+DE502</f>
        <v>1322</v>
      </c>
      <c r="DG502" s="978">
        <f t="shared" ref="DG502" si="613">DF502/DB502-1</f>
        <v>0.25189393939393945</v>
      </c>
      <c r="DH502" s="853">
        <f>SUM(DH495:DH501)</f>
        <v>326</v>
      </c>
      <c r="DI502" s="853">
        <f t="shared" ref="DI502" si="614">SUM(DI495:DI501)</f>
        <v>993.82</v>
      </c>
      <c r="DJ502" s="853">
        <f t="shared" ref="DJ502" si="615">DH502+DI502</f>
        <v>1319.8200000000002</v>
      </c>
      <c r="DK502" s="978">
        <f t="shared" ref="DK502" si="616">DJ502/DF502-1</f>
        <v>-1.6490166414522278E-3</v>
      </c>
      <c r="DL502" s="853">
        <f t="shared" ref="DL502:DM502" si="617">SUM(DL495:DL501)</f>
        <v>618.08000000000004</v>
      </c>
      <c r="DM502" s="853">
        <f t="shared" si="617"/>
        <v>841.91679999999997</v>
      </c>
      <c r="DN502" s="853">
        <f t="shared" ref="DN502" si="618">DL502+DM502</f>
        <v>1459.9967999999999</v>
      </c>
      <c r="DO502" s="978">
        <f t="shared" ref="DO502" si="619">DN502/DJ502-1</f>
        <v>0.10620902850388658</v>
      </c>
      <c r="DP502" s="853">
        <f t="shared" ref="DP502:DQ502" si="620">SUM(DP495:DP501)</f>
        <v>644.20320000000004</v>
      </c>
      <c r="DQ502" s="853">
        <f t="shared" si="620"/>
        <v>888.993472</v>
      </c>
      <c r="DR502" s="853">
        <f t="shared" ref="DR502" si="621">DP502+DQ502</f>
        <v>1533.196672</v>
      </c>
      <c r="DS502" s="978">
        <f t="shared" ref="DS502" si="622">DR502/DN502-1</f>
        <v>5.0137008519470783E-2</v>
      </c>
      <c r="DT502" s="853"/>
      <c r="DU502" s="853"/>
      <c r="DV502" s="853"/>
      <c r="DW502" s="853"/>
      <c r="DX502" s="818"/>
      <c r="DY502" s="853"/>
      <c r="DZ502" s="853"/>
      <c r="EA502" s="853"/>
      <c r="EB502" s="818"/>
      <c r="EC502" s="853"/>
      <c r="ED502" s="853"/>
      <c r="EE502" s="853"/>
      <c r="EF502" s="818"/>
      <c r="EG502" s="853"/>
      <c r="EH502" s="853"/>
      <c r="EI502" s="853"/>
      <c r="EJ502" s="853"/>
      <c r="EK502" s="853"/>
      <c r="EL502" s="853"/>
      <c r="EM502" s="853"/>
      <c r="EN502" s="853"/>
      <c r="EO502" s="853"/>
      <c r="EP502" s="853"/>
      <c r="JM502"/>
    </row>
    <row r="503" spans="1:273" s="855" customFormat="1">
      <c r="A503" s="289"/>
      <c r="B503" s="290"/>
      <c r="C503" s="289"/>
      <c r="D503" s="289"/>
      <c r="E503" s="289"/>
      <c r="F503" s="289"/>
      <c r="G503" s="289"/>
      <c r="H503" s="289"/>
      <c r="I503" s="289"/>
      <c r="J503" s="289"/>
      <c r="K503" s="289"/>
      <c r="L503" s="289"/>
      <c r="M503" s="289"/>
      <c r="N503" s="289"/>
      <c r="O503" s="289"/>
      <c r="P503" s="289"/>
      <c r="Q503" s="289"/>
      <c r="R503" s="289"/>
      <c r="S503" s="289"/>
      <c r="T503" s="289"/>
      <c r="U503" s="289"/>
      <c r="V503" s="289"/>
      <c r="W503" s="289"/>
      <c r="X503" s="289"/>
      <c r="Y503" s="289"/>
      <c r="Z503" s="289"/>
      <c r="AA503" s="289"/>
      <c r="AB503" s="289"/>
      <c r="AC503" s="289"/>
      <c r="AD503" s="289"/>
      <c r="AE503" s="289"/>
      <c r="AF503" s="289"/>
      <c r="AG503" s="289"/>
      <c r="AH503" s="289"/>
      <c r="AI503" s="289"/>
      <c r="AJ503" s="289"/>
      <c r="AK503" s="289"/>
      <c r="AL503" s="289"/>
      <c r="AM503" s="289"/>
      <c r="AN503" s="290"/>
      <c r="AO503" s="290"/>
      <c r="AP503" s="290"/>
      <c r="AQ503" s="290"/>
      <c r="AR503" s="290"/>
      <c r="AS503" s="290"/>
      <c r="AT503" s="290"/>
      <c r="AU503" s="290"/>
      <c r="AV503" s="853"/>
      <c r="AW503" s="853"/>
      <c r="AX503" s="853"/>
      <c r="AY503" s="820"/>
      <c r="AZ503" s="853"/>
      <c r="BA503" s="853"/>
      <c r="BB503" s="853"/>
      <c r="BC503" s="853"/>
      <c r="BD503" s="967"/>
      <c r="BE503" s="967"/>
      <c r="BF503" s="853"/>
      <c r="BG503" s="853"/>
      <c r="BH503" s="979">
        <f>BH502/BJ502</f>
        <v>0.4311594202898551</v>
      </c>
      <c r="BI503" s="979">
        <f>BI502/BJ502</f>
        <v>0.5688405797101449</v>
      </c>
      <c r="BJ503" s="853"/>
      <c r="BK503" s="853"/>
      <c r="BL503" s="979">
        <f>BL502/BN502</f>
        <v>0.40888888888888891</v>
      </c>
      <c r="BM503" s="979">
        <f>BM502/BN502</f>
        <v>0.59111111111111114</v>
      </c>
      <c r="BN503" s="853"/>
      <c r="BO503" s="853"/>
      <c r="BP503" s="979">
        <f>BP502/BR502</f>
        <v>0.54140127388535031</v>
      </c>
      <c r="BQ503" s="979">
        <f>BQ502/BR502</f>
        <v>0.45859872611464969</v>
      </c>
      <c r="BR503" s="853"/>
      <c r="BS503" s="853"/>
      <c r="BT503" s="979">
        <f>BT502/BV502</f>
        <v>0.4344262295081967</v>
      </c>
      <c r="BU503" s="979">
        <f>BU502/BV502</f>
        <v>0.56557377049180324</v>
      </c>
      <c r="BV503" s="853"/>
      <c r="BW503" s="853"/>
      <c r="BX503" s="979">
        <f>BX502/BZ502</f>
        <v>0.56592877767083738</v>
      </c>
      <c r="BY503" s="979">
        <f>BY502/BZ502</f>
        <v>0.43407122232916268</v>
      </c>
      <c r="BZ503" s="853"/>
      <c r="CA503" s="853"/>
      <c r="CB503" s="979">
        <f>CB502/CD502</f>
        <v>0.35312747426761676</v>
      </c>
      <c r="CC503" s="979">
        <f>CC502/CD502</f>
        <v>0.64687252573238319</v>
      </c>
      <c r="CD503" s="853"/>
      <c r="CE503" s="862"/>
      <c r="CF503" s="979">
        <f>CF502/CH502</f>
        <v>0.22806171648987464</v>
      </c>
      <c r="CG503" s="979">
        <f>CG502/CH502</f>
        <v>0.77193828351012539</v>
      </c>
      <c r="CH503" s="853"/>
      <c r="CI503" s="862"/>
      <c r="CJ503" s="979">
        <f>CJ502/CL502</f>
        <v>0.39193257074051774</v>
      </c>
      <c r="CK503" s="979">
        <f>CK502/CL502</f>
        <v>0.60806742925948221</v>
      </c>
      <c r="CL503" s="853"/>
      <c r="CM503" s="862"/>
      <c r="CN503" s="979">
        <f>CN502/CP502</f>
        <v>0.31504702194357365</v>
      </c>
      <c r="CO503" s="979">
        <f>CO502/CP502</f>
        <v>0.6849529780564263</v>
      </c>
      <c r="CP503" s="853"/>
      <c r="CQ503" s="862"/>
      <c r="CR503" s="979">
        <f>CR502/CT502</f>
        <v>0.30438813349814586</v>
      </c>
      <c r="CS503" s="979">
        <f>CS502/CT502</f>
        <v>0.69561186650185414</v>
      </c>
      <c r="CT503" s="928"/>
      <c r="CU503" s="853"/>
      <c r="CV503" s="979">
        <f>CV502/CX502</f>
        <v>0.7328897338403042</v>
      </c>
      <c r="CW503" s="979">
        <f>CW502/CX502</f>
        <v>0.2671102661596958</v>
      </c>
      <c r="CX503" s="928"/>
      <c r="CY503" s="853"/>
      <c r="CZ503" s="979">
        <f>CZ502/DB502</f>
        <v>0.32765151515151514</v>
      </c>
      <c r="DA503" s="979">
        <f>DA502/DB502</f>
        <v>0.67234848484848486</v>
      </c>
      <c r="DB503" s="928"/>
      <c r="DC503" s="853"/>
      <c r="DD503" s="979">
        <f>DD502/DF502</f>
        <v>0.39788199697428139</v>
      </c>
      <c r="DE503" s="979">
        <f>DE502/DF502</f>
        <v>0.60211800302571861</v>
      </c>
      <c r="DF503" s="928"/>
      <c r="DG503" s="853"/>
      <c r="DH503" s="979">
        <f>DH502/DJ502</f>
        <v>0.2470033792486854</v>
      </c>
      <c r="DI503" s="979">
        <f>DI502/DJ502</f>
        <v>0.75299662075131457</v>
      </c>
      <c r="DJ503" s="928"/>
      <c r="DK503" s="853"/>
      <c r="DL503" s="979">
        <f>DL502/DN502</f>
        <v>0.42334339362935597</v>
      </c>
      <c r="DM503" s="979">
        <f>DM502/DN502</f>
        <v>0.57665660637064409</v>
      </c>
      <c r="DN503" s="928"/>
      <c r="DO503" s="853"/>
      <c r="DP503" s="979">
        <f>DP502/DR502</f>
        <v>0.42016997020979707</v>
      </c>
      <c r="DQ503" s="979">
        <f>DQ502/DR502</f>
        <v>0.57983002979020293</v>
      </c>
      <c r="DR503" s="928"/>
      <c r="DS503" s="853"/>
      <c r="DT503" s="853"/>
      <c r="DU503" s="967"/>
      <c r="DV503" s="967"/>
      <c r="DW503" s="967"/>
      <c r="DX503" s="853"/>
      <c r="DY503" s="853"/>
      <c r="DZ503" s="967"/>
      <c r="EA503" s="967"/>
      <c r="EB503" s="853"/>
      <c r="EC503" s="853"/>
      <c r="ED503" s="967"/>
      <c r="EE503" s="967"/>
      <c r="EF503" s="853"/>
      <c r="EG503" s="853"/>
      <c r="EH503" s="853"/>
      <c r="EI503" s="853"/>
      <c r="EJ503" s="853"/>
      <c r="EK503" s="853"/>
      <c r="EL503" s="853"/>
      <c r="EM503" s="853"/>
      <c r="EN503" s="853"/>
      <c r="EO503" s="853"/>
      <c r="EP503" s="853"/>
      <c r="JM503"/>
    </row>
    <row r="504" spans="1:273" s="971" customFormat="1">
      <c r="A504" s="866" t="s">
        <v>823</v>
      </c>
      <c r="B504" s="925"/>
      <c r="C504" s="866"/>
      <c r="D504" s="866"/>
      <c r="E504" s="866"/>
      <c r="F504" s="866"/>
      <c r="G504" s="866"/>
      <c r="H504" s="866"/>
      <c r="I504" s="866"/>
      <c r="J504" s="866"/>
      <c r="K504" s="866"/>
      <c r="L504" s="866"/>
      <c r="M504" s="866"/>
      <c r="N504" s="866"/>
      <c r="O504" s="866"/>
      <c r="P504" s="866"/>
      <c r="Q504" s="866"/>
      <c r="R504" s="866"/>
      <c r="S504" s="866"/>
      <c r="T504" s="866"/>
      <c r="U504" s="866"/>
      <c r="V504" s="866"/>
      <c r="W504" s="866"/>
      <c r="X504" s="866"/>
      <c r="Y504" s="866"/>
      <c r="Z504" s="866"/>
      <c r="AA504" s="866"/>
      <c r="AB504" s="866"/>
      <c r="AC504" s="866"/>
      <c r="AD504" s="866"/>
      <c r="AE504" s="866"/>
      <c r="AF504" s="866"/>
      <c r="AG504" s="866"/>
      <c r="AH504" s="866"/>
      <c r="AI504" s="866"/>
      <c r="AJ504" s="866"/>
      <c r="AK504" s="866"/>
      <c r="AL504" s="866"/>
      <c r="AM504" s="866"/>
      <c r="AN504" s="925"/>
      <c r="AO504" s="925"/>
      <c r="AP504" s="925"/>
      <c r="AQ504" s="925"/>
      <c r="AR504" s="925"/>
      <c r="AS504" s="925"/>
      <c r="AT504" s="925"/>
      <c r="AU504" s="925"/>
      <c r="AV504" s="968"/>
      <c r="AW504" s="968"/>
      <c r="AX504" s="968"/>
      <c r="AY504" s="969"/>
      <c r="AZ504" s="968"/>
      <c r="BA504" s="968"/>
      <c r="BB504" s="968"/>
      <c r="BC504" s="968"/>
      <c r="BD504" s="970"/>
      <c r="BE504" s="970"/>
      <c r="BF504" s="968"/>
      <c r="BG504" s="968"/>
      <c r="BH504" s="970"/>
      <c r="BI504" s="970"/>
      <c r="BJ504" s="968"/>
      <c r="BK504" s="968"/>
      <c r="BL504" s="970"/>
      <c r="BM504" s="970"/>
      <c r="BN504" s="968"/>
      <c r="BO504" s="968"/>
      <c r="BP504" s="970"/>
      <c r="BQ504" s="970"/>
      <c r="BR504" s="968"/>
      <c r="BS504" s="968"/>
      <c r="BT504" s="970"/>
      <c r="BU504" s="970"/>
      <c r="BV504" s="968"/>
      <c r="BW504" s="968"/>
      <c r="BX504" s="970"/>
      <c r="BY504" s="970"/>
      <c r="BZ504" s="968"/>
      <c r="CA504" s="968"/>
      <c r="CB504" s="970"/>
      <c r="CC504" s="970"/>
      <c r="CD504" s="968"/>
      <c r="CE504" s="1617"/>
      <c r="CF504" s="970"/>
      <c r="CG504" s="970"/>
      <c r="CH504" s="968"/>
      <c r="CI504" s="1617"/>
      <c r="CJ504" s="970"/>
      <c r="CK504" s="970"/>
      <c r="CL504" s="968"/>
      <c r="CM504" s="1617"/>
      <c r="CN504" s="970"/>
      <c r="CO504" s="970"/>
      <c r="CP504" s="968"/>
      <c r="CQ504" s="1617"/>
      <c r="CR504" s="970"/>
      <c r="CS504" s="970"/>
      <c r="CT504" s="968"/>
      <c r="CU504" s="968"/>
      <c r="CV504" s="970"/>
      <c r="CW504" s="970"/>
      <c r="CX504" s="968"/>
      <c r="CY504" s="968"/>
      <c r="CZ504" s="1556"/>
      <c r="DA504" s="970"/>
      <c r="DB504" s="968"/>
      <c r="DC504" s="968"/>
      <c r="DD504" s="1556"/>
      <c r="DE504" s="1556"/>
      <c r="DF504" s="1556"/>
      <c r="DG504" s="968"/>
      <c r="DH504" s="1556"/>
      <c r="DI504" s="1556"/>
      <c r="DJ504" s="1556"/>
      <c r="DK504" s="968"/>
      <c r="DL504" s="1556"/>
      <c r="DM504" s="1556"/>
      <c r="DN504" s="1556"/>
      <c r="DO504" s="968"/>
      <c r="DP504" s="1556"/>
      <c r="DQ504" s="1556"/>
      <c r="DR504" s="1556"/>
      <c r="DS504" s="968"/>
      <c r="DT504" s="968"/>
      <c r="DU504" s="970"/>
      <c r="DV504" s="970"/>
      <c r="DW504" s="970"/>
      <c r="DX504" s="968"/>
      <c r="DY504" s="968"/>
      <c r="DZ504" s="970"/>
      <c r="EA504" s="970"/>
      <c r="EB504" s="968"/>
      <c r="EC504" s="968"/>
      <c r="ED504" s="970"/>
      <c r="EE504" s="970"/>
      <c r="EF504" s="968"/>
      <c r="EG504" s="968"/>
      <c r="EH504" s="968"/>
      <c r="EI504" s="968"/>
      <c r="EJ504" s="968"/>
      <c r="EK504" s="968"/>
      <c r="EL504" s="968"/>
      <c r="EM504" s="968"/>
      <c r="EN504" s="968"/>
      <c r="EO504" s="968"/>
      <c r="EP504" s="968"/>
      <c r="FL504" s="855"/>
      <c r="FM504" s="855"/>
      <c r="FN504" s="855"/>
      <c r="FO504" s="855"/>
      <c r="FP504" s="855"/>
      <c r="FQ504" s="855"/>
      <c r="FR504" s="855"/>
      <c r="FS504" s="855"/>
      <c r="FT504" s="855"/>
      <c r="FU504" s="855"/>
      <c r="FV504" s="855"/>
      <c r="FW504" s="855"/>
      <c r="FX504" s="855"/>
      <c r="FY504" s="855"/>
      <c r="FZ504" s="855"/>
      <c r="GA504" s="855"/>
      <c r="GB504" s="855"/>
      <c r="GC504" s="855"/>
      <c r="GD504" s="855"/>
      <c r="GE504" s="855"/>
      <c r="GF504" s="855"/>
      <c r="GG504" s="855"/>
      <c r="GH504" s="855"/>
      <c r="GI504" s="855"/>
      <c r="GJ504" s="855"/>
      <c r="GK504" s="855"/>
      <c r="GL504" s="855"/>
      <c r="GM504" s="855"/>
      <c r="GN504" s="855"/>
      <c r="GO504" s="855"/>
      <c r="GP504" s="855"/>
      <c r="GQ504" s="855"/>
      <c r="GR504" s="855"/>
      <c r="GS504" s="855"/>
      <c r="GT504" s="855"/>
      <c r="GU504" s="855"/>
      <c r="GV504" s="855"/>
      <c r="GW504" s="855"/>
      <c r="GX504" s="855"/>
      <c r="GY504" s="855"/>
      <c r="GZ504" s="855"/>
      <c r="HA504" s="855"/>
      <c r="HB504" s="855"/>
      <c r="HC504" s="855"/>
      <c r="HD504" s="855"/>
      <c r="HE504" s="855"/>
      <c r="HF504" s="855"/>
      <c r="HG504" s="855"/>
      <c r="HH504" s="855"/>
      <c r="HI504" s="855"/>
      <c r="HJ504" s="855"/>
      <c r="HK504" s="855"/>
      <c r="HL504" s="855"/>
      <c r="HM504" s="855"/>
      <c r="HN504" s="855"/>
      <c r="HO504" s="855"/>
      <c r="HP504" s="855"/>
      <c r="HQ504" s="855"/>
      <c r="HR504" s="855"/>
      <c r="HS504" s="855"/>
      <c r="HT504" s="855"/>
      <c r="HU504" s="855"/>
      <c r="HV504" s="855"/>
      <c r="HW504" s="855"/>
      <c r="HX504" s="855"/>
      <c r="HY504" s="855"/>
      <c r="HZ504" s="855"/>
      <c r="IA504" s="855"/>
      <c r="IB504" s="855"/>
      <c r="IC504" s="855"/>
      <c r="ID504" s="855"/>
      <c r="IE504" s="855"/>
      <c r="IF504" s="855"/>
      <c r="IG504" s="855"/>
      <c r="IH504" s="855"/>
      <c r="II504" s="855"/>
      <c r="IJ504" s="855"/>
      <c r="IK504" s="855"/>
      <c r="IL504" s="855"/>
      <c r="IM504" s="855"/>
      <c r="IN504" s="855"/>
      <c r="IO504" s="855"/>
      <c r="IP504" s="855"/>
      <c r="IQ504" s="855"/>
      <c r="IR504" s="855"/>
      <c r="IS504" s="855"/>
      <c r="IT504" s="855"/>
      <c r="IU504" s="855"/>
      <c r="IV504" s="855"/>
      <c r="IW504" s="855"/>
      <c r="IX504" s="855"/>
      <c r="IY504" s="855"/>
      <c r="IZ504" s="855"/>
      <c r="JA504" s="855"/>
      <c r="JB504" s="855"/>
      <c r="JC504" s="855"/>
      <c r="JD504" s="855"/>
      <c r="JE504" s="855"/>
      <c r="JF504" s="855"/>
      <c r="JG504" s="855"/>
      <c r="JH504" s="855"/>
      <c r="JI504" s="855"/>
      <c r="JJ504" s="855"/>
      <c r="JK504" s="855"/>
      <c r="JL504" s="855"/>
      <c r="JM504"/>
    </row>
    <row r="505" spans="1:273" s="860" customFormat="1">
      <c r="A505" s="302" t="s">
        <v>685</v>
      </c>
      <c r="B505" s="298"/>
      <c r="C505" s="296"/>
      <c r="D505" s="296"/>
      <c r="E505" s="296"/>
      <c r="F505" s="296"/>
      <c r="G505" s="296"/>
      <c r="H505" s="296"/>
      <c r="I505" s="296"/>
      <c r="J505" s="296"/>
      <c r="K505" s="296"/>
      <c r="L505" s="296"/>
      <c r="M505" s="296"/>
      <c r="N505" s="296"/>
      <c r="O505" s="296"/>
      <c r="P505" s="296"/>
      <c r="Q505" s="296"/>
      <c r="R505" s="296"/>
      <c r="S505" s="296"/>
      <c r="T505" s="296"/>
      <c r="U505" s="296"/>
      <c r="V505" s="296"/>
      <c r="W505" s="296"/>
      <c r="X505" s="296"/>
      <c r="Y505" s="296"/>
      <c r="Z505" s="296"/>
      <c r="AA505" s="296"/>
      <c r="AB505" s="296"/>
      <c r="AC505" s="296"/>
      <c r="AD505" s="296"/>
      <c r="AE505" s="296"/>
      <c r="AF505" s="296"/>
      <c r="AG505" s="296"/>
      <c r="AH505" s="296"/>
      <c r="AI505" s="296"/>
      <c r="AJ505" s="296"/>
      <c r="AK505" s="296"/>
      <c r="AL505" s="296"/>
      <c r="AM505" s="296"/>
      <c r="AN505" s="298"/>
      <c r="AO505" s="298"/>
      <c r="AP505" s="298"/>
      <c r="AQ505" s="298"/>
      <c r="AR505" s="298"/>
      <c r="AS505" s="298"/>
      <c r="AT505" s="298"/>
      <c r="AU505" s="972">
        <f>SUM(AV505:BZ505)</f>
        <v>0</v>
      </c>
      <c r="AV505" s="973">
        <v>0</v>
      </c>
      <c r="AW505" s="973">
        <v>0</v>
      </c>
      <c r="AX505" s="980"/>
      <c r="AY505" s="633"/>
      <c r="AZ505" s="973">
        <v>0</v>
      </c>
      <c r="BA505" s="973">
        <v>0</v>
      </c>
      <c r="BB505" s="857"/>
      <c r="BC505" s="857"/>
      <c r="BD505" s="973">
        <v>0</v>
      </c>
      <c r="BE505" s="973">
        <v>0</v>
      </c>
      <c r="BF505" s="929">
        <f>BD505+BE505</f>
        <v>0</v>
      </c>
      <c r="BG505" s="974"/>
      <c r="BH505" s="973">
        <v>0</v>
      </c>
      <c r="BI505" s="973">
        <v>0</v>
      </c>
      <c r="BJ505" s="929">
        <f t="shared" ref="BJ505:BJ510" si="623">BH505+BI505</f>
        <v>0</v>
      </c>
      <c r="BK505" s="974"/>
      <c r="BL505" s="973">
        <v>0</v>
      </c>
      <c r="BM505" s="973">
        <v>0</v>
      </c>
      <c r="BN505" s="929">
        <f t="shared" ref="BN505:BN510" si="624">BL505+BM505</f>
        <v>0</v>
      </c>
      <c r="BO505" s="974"/>
      <c r="BP505" s="973">
        <v>0</v>
      </c>
      <c r="BQ505" s="973">
        <v>0</v>
      </c>
      <c r="BR505" s="929">
        <f t="shared" ref="BR505:BR510" si="625">BP505+BQ505</f>
        <v>0</v>
      </c>
      <c r="BS505" s="974"/>
      <c r="BT505" s="973">
        <v>0</v>
      </c>
      <c r="BU505" s="973">
        <v>0</v>
      </c>
      <c r="BV505" s="929">
        <f t="shared" ref="BV505:BV510" si="626">BT505+BU505</f>
        <v>0</v>
      </c>
      <c r="BW505" s="974"/>
      <c r="BX505" s="974"/>
      <c r="BY505" s="974"/>
      <c r="BZ505" s="974"/>
      <c r="CA505" s="974"/>
      <c r="CB505" s="974"/>
      <c r="CC505" s="974"/>
      <c r="CD505" s="974"/>
      <c r="CE505" s="1618"/>
      <c r="CF505" s="974"/>
      <c r="CG505" s="974"/>
      <c r="CH505" s="974"/>
      <c r="CI505" s="1618"/>
      <c r="CJ505" s="974"/>
      <c r="CK505" s="974"/>
      <c r="CL505" s="974"/>
      <c r="CM505" s="1618"/>
      <c r="CN505" s="974"/>
      <c r="CO505" s="974"/>
      <c r="CP505" s="974"/>
      <c r="CQ505" s="1618"/>
      <c r="CR505" s="974"/>
      <c r="CS505" s="974"/>
      <c r="CT505" s="974"/>
      <c r="CU505" s="974"/>
      <c r="CV505" s="974"/>
      <c r="CW505" s="974"/>
      <c r="CX505" s="974"/>
      <c r="CY505" s="974"/>
      <c r="CZ505" s="974"/>
      <c r="DA505" s="974"/>
      <c r="DB505" s="974"/>
      <c r="DC505" s="974"/>
      <c r="DD505" s="974"/>
      <c r="DE505" s="974"/>
      <c r="DF505" s="974"/>
      <c r="DG505" s="974"/>
      <c r="DH505" s="974"/>
      <c r="DI505" s="974"/>
      <c r="DJ505" s="974"/>
      <c r="DK505" s="974"/>
      <c r="DL505" s="974"/>
      <c r="DM505" s="974"/>
      <c r="DN505" s="974"/>
      <c r="DO505" s="929"/>
      <c r="DP505" s="974"/>
      <c r="DQ505" s="974"/>
      <c r="DR505" s="974"/>
      <c r="DS505" s="929"/>
      <c r="DT505" s="974"/>
      <c r="DU505" s="859"/>
      <c r="DV505" s="859"/>
      <c r="DW505" s="859"/>
      <c r="DX505" s="929"/>
      <c r="DY505" s="857"/>
      <c r="DZ505" s="859"/>
      <c r="EA505" s="859"/>
      <c r="EB505" s="929"/>
      <c r="EC505" s="857"/>
      <c r="ED505" s="859"/>
      <c r="EE505" s="859"/>
      <c r="EF505" s="929"/>
      <c r="EG505" s="857"/>
      <c r="EH505" s="857"/>
      <c r="EI505" s="857"/>
      <c r="EJ505" s="857"/>
      <c r="EK505" s="857"/>
      <c r="EL505" s="857"/>
      <c r="EM505" s="857"/>
      <c r="EN505" s="857"/>
      <c r="EO505" s="857"/>
      <c r="EP505" s="857"/>
      <c r="FL505" s="855"/>
      <c r="FM505" s="855"/>
      <c r="FN505" s="855"/>
      <c r="FO505" s="855"/>
      <c r="FP505" s="855"/>
      <c r="FQ505" s="855"/>
      <c r="FR505" s="855"/>
      <c r="FS505" s="855"/>
      <c r="FT505" s="855"/>
      <c r="FU505" s="855"/>
      <c r="FV505" s="855"/>
      <c r="FW505" s="855"/>
      <c r="FX505" s="855"/>
      <c r="FY505" s="855"/>
      <c r="FZ505" s="855"/>
      <c r="GA505" s="855"/>
      <c r="GB505" s="855"/>
      <c r="GC505" s="855"/>
      <c r="GD505" s="855"/>
      <c r="GE505" s="855"/>
      <c r="GF505" s="855"/>
      <c r="GG505" s="855"/>
      <c r="GH505" s="855"/>
      <c r="GI505" s="855"/>
      <c r="GJ505" s="855"/>
      <c r="GK505" s="855"/>
      <c r="GL505" s="855"/>
      <c r="GM505" s="855"/>
      <c r="GN505" s="855"/>
      <c r="GO505" s="855"/>
      <c r="GP505" s="855"/>
      <c r="GQ505" s="855"/>
      <c r="GR505" s="855"/>
      <c r="GS505" s="855"/>
      <c r="GT505" s="855"/>
      <c r="GU505" s="855"/>
      <c r="GV505" s="855"/>
      <c r="GW505" s="855"/>
      <c r="GX505" s="855"/>
      <c r="GY505" s="855"/>
      <c r="GZ505" s="855"/>
      <c r="HA505" s="855"/>
      <c r="HB505" s="855"/>
      <c r="HC505" s="855"/>
      <c r="HD505" s="855"/>
      <c r="HE505" s="855"/>
      <c r="HF505" s="855"/>
      <c r="HG505" s="855"/>
      <c r="HH505" s="855"/>
      <c r="HI505" s="855"/>
      <c r="HJ505" s="855"/>
      <c r="HK505" s="855"/>
      <c r="HL505" s="855"/>
      <c r="HM505" s="855"/>
      <c r="HN505" s="855"/>
      <c r="HO505" s="855"/>
      <c r="HP505" s="855"/>
      <c r="HQ505" s="855"/>
      <c r="HR505" s="855"/>
      <c r="HS505" s="855"/>
      <c r="HT505" s="855"/>
      <c r="HU505" s="855"/>
      <c r="HV505" s="855"/>
      <c r="HW505" s="855"/>
      <c r="HX505" s="855"/>
      <c r="HY505" s="855"/>
      <c r="HZ505" s="855"/>
      <c r="IA505" s="855"/>
      <c r="IB505" s="855"/>
      <c r="IC505" s="855"/>
      <c r="ID505" s="855"/>
      <c r="IE505" s="855"/>
      <c r="IF505" s="855"/>
      <c r="IG505" s="855"/>
      <c r="IH505" s="855"/>
      <c r="II505" s="855"/>
      <c r="IJ505" s="855"/>
      <c r="IK505" s="855"/>
      <c r="IL505" s="855"/>
      <c r="IM505" s="855"/>
      <c r="IN505" s="855"/>
      <c r="IO505" s="855"/>
      <c r="IP505" s="855"/>
      <c r="IQ505" s="855"/>
      <c r="IR505" s="855"/>
      <c r="IS505" s="855"/>
      <c r="IT505" s="855"/>
      <c r="IU505" s="855"/>
      <c r="IV505" s="855"/>
      <c r="IW505" s="855"/>
      <c r="IX505" s="855"/>
      <c r="IY505" s="855"/>
      <c r="IZ505" s="855"/>
      <c r="JA505" s="855"/>
      <c r="JB505" s="855"/>
      <c r="JC505" s="855"/>
      <c r="JD505" s="855"/>
      <c r="JE505" s="855"/>
      <c r="JF505" s="855"/>
      <c r="JG505" s="855"/>
      <c r="JH505" s="855"/>
      <c r="JI505" s="855"/>
      <c r="JJ505" s="855"/>
      <c r="JK505" s="855"/>
      <c r="JL505" s="855"/>
      <c r="JM505"/>
    </row>
    <row r="506" spans="1:273" s="860" customFormat="1">
      <c r="A506" s="302" t="s">
        <v>686</v>
      </c>
      <c r="B506" s="298"/>
      <c r="C506" s="296"/>
      <c r="D506" s="296"/>
      <c r="E506" s="296"/>
      <c r="F506" s="296"/>
      <c r="G506" s="296"/>
      <c r="H506" s="296"/>
      <c r="I506" s="296"/>
      <c r="J506" s="296"/>
      <c r="K506" s="296"/>
      <c r="L506" s="296"/>
      <c r="M506" s="296"/>
      <c r="N506" s="296"/>
      <c r="O506" s="296"/>
      <c r="P506" s="296"/>
      <c r="Q506" s="296"/>
      <c r="R506" s="296"/>
      <c r="S506" s="296"/>
      <c r="T506" s="296"/>
      <c r="U506" s="296"/>
      <c r="V506" s="296"/>
      <c r="W506" s="296"/>
      <c r="X506" s="296"/>
      <c r="Y506" s="296"/>
      <c r="Z506" s="296"/>
      <c r="AA506" s="296"/>
      <c r="AB506" s="296"/>
      <c r="AC506" s="296"/>
      <c r="AD506" s="296"/>
      <c r="AE506" s="296"/>
      <c r="AF506" s="296"/>
      <c r="AG506" s="296"/>
      <c r="AH506" s="296"/>
      <c r="AI506" s="296"/>
      <c r="AJ506" s="296"/>
      <c r="AK506" s="296"/>
      <c r="AL506" s="296"/>
      <c r="AM506" s="296"/>
      <c r="AN506" s="298"/>
      <c r="AO506" s="298"/>
      <c r="AP506" s="929">
        <f>DIVISIONS!AP170</f>
        <v>0</v>
      </c>
      <c r="AQ506" s="298"/>
      <c r="AR506" s="298"/>
      <c r="AS506" s="298"/>
      <c r="AT506" s="929">
        <f>DIVISIONS!AT170</f>
        <v>0</v>
      </c>
      <c r="AU506" s="298"/>
      <c r="AV506" s="929">
        <f>DIVISIONS!AV170</f>
        <v>0</v>
      </c>
      <c r="AW506" s="929">
        <f>DIVISIONS!AW170</f>
        <v>0</v>
      </c>
      <c r="AX506" s="857"/>
      <c r="AY506" s="976"/>
      <c r="AZ506" s="929">
        <f>DIVISIONS!AZ170</f>
        <v>0</v>
      </c>
      <c r="BA506" s="929">
        <f>DIVISIONS!BA170</f>
        <v>0</v>
      </c>
      <c r="BB506" s="857"/>
      <c r="BC506" s="857"/>
      <c r="BD506" s="929">
        <f>DIVISIONS!BD170</f>
        <v>0</v>
      </c>
      <c r="BE506" s="929">
        <f>DIVISIONS!BE170</f>
        <v>0</v>
      </c>
      <c r="BF506" s="929">
        <f t="shared" ref="BF506:BF513" si="627">BD506+BE506</f>
        <v>0</v>
      </c>
      <c r="BG506" s="859"/>
      <c r="BH506" s="929">
        <f>DIVISIONS!BH170</f>
        <v>0</v>
      </c>
      <c r="BI506" s="929">
        <f>DIVISIONS!BI170</f>
        <v>0</v>
      </c>
      <c r="BJ506" s="929">
        <f t="shared" si="623"/>
        <v>0</v>
      </c>
      <c r="BK506" s="859"/>
      <c r="BL506" s="929">
        <f>DIVISIONS!BL170</f>
        <v>0</v>
      </c>
      <c r="BM506" s="929">
        <f>DIVISIONS!BM170</f>
        <v>0</v>
      </c>
      <c r="BN506" s="929">
        <f t="shared" si="624"/>
        <v>0</v>
      </c>
      <c r="BO506" s="859"/>
      <c r="BP506" s="929">
        <f>DIVISIONS!BP170</f>
        <v>0</v>
      </c>
      <c r="BQ506" s="929">
        <f>DIVISIONS!BQ170</f>
        <v>0</v>
      </c>
      <c r="BR506" s="929">
        <f t="shared" si="625"/>
        <v>0</v>
      </c>
      <c r="BS506" s="859"/>
      <c r="BT506" s="929">
        <f>DIVISIONS!BT170</f>
        <v>0</v>
      </c>
      <c r="BU506" s="929">
        <f>DIVISIONS!BU170</f>
        <v>0</v>
      </c>
      <c r="BV506" s="929">
        <f t="shared" si="626"/>
        <v>0</v>
      </c>
      <c r="BW506" s="859"/>
      <c r="BX506" s="929">
        <f>DIVISIONS!BX170</f>
        <v>0</v>
      </c>
      <c r="BY506" s="929">
        <f>DIVISIONS!BY170</f>
        <v>0</v>
      </c>
      <c r="BZ506" s="929">
        <f>BX506+BY506</f>
        <v>0</v>
      </c>
      <c r="CA506" s="859"/>
      <c r="CB506" s="929">
        <f>DIVISIONS!CB170</f>
        <v>0</v>
      </c>
      <c r="CC506" s="929">
        <f>DIVISIONS!CC170</f>
        <v>0</v>
      </c>
      <c r="CD506" s="929">
        <f>CB506+CC506</f>
        <v>0</v>
      </c>
      <c r="CE506" s="1619"/>
      <c r="CF506" s="929">
        <f>DIVISIONS!CF170</f>
        <v>0</v>
      </c>
      <c r="CG506" s="929">
        <f>DIVISIONS!CG170</f>
        <v>0</v>
      </c>
      <c r="CH506" s="929">
        <f>CF506+CG506</f>
        <v>0</v>
      </c>
      <c r="CI506" s="1619"/>
      <c r="CJ506" s="929">
        <f>DIVISIONS!CJ170</f>
        <v>0</v>
      </c>
      <c r="CK506" s="929">
        <f>DIVISIONS!CK170</f>
        <v>0</v>
      </c>
      <c r="CL506" s="929">
        <f>CJ506+CK506</f>
        <v>0</v>
      </c>
      <c r="CM506" s="1619"/>
      <c r="CN506" s="929">
        <f>DIVISIONS!CN170</f>
        <v>0</v>
      </c>
      <c r="CO506" s="929">
        <f>DIVISIONS!CO170</f>
        <v>0</v>
      </c>
      <c r="CP506" s="929">
        <f>CN506+CO506</f>
        <v>0</v>
      </c>
      <c r="CQ506" s="1619"/>
      <c r="CR506" s="929">
        <f>DIVISIONS!CR170</f>
        <v>0</v>
      </c>
      <c r="CS506" s="929">
        <f>DIVISIONS!CS170</f>
        <v>0</v>
      </c>
      <c r="CT506" s="929">
        <f>CR506+CS506</f>
        <v>0</v>
      </c>
      <c r="CU506" s="859"/>
      <c r="CV506" s="929">
        <f>DIVISIONS!CV170</f>
        <v>0</v>
      </c>
      <c r="CW506" s="929">
        <f>DIVISIONS!CW170</f>
        <v>0</v>
      </c>
      <c r="CX506" s="929">
        <f>CV506+CW506</f>
        <v>0</v>
      </c>
      <c r="CY506" s="859"/>
      <c r="CZ506" s="929">
        <f>DIVISIONS!CZ170</f>
        <v>0</v>
      </c>
      <c r="DA506" s="929">
        <f>DIVISIONS!DA170</f>
        <v>0</v>
      </c>
      <c r="DB506" s="929">
        <f>CZ506+DA506</f>
        <v>0</v>
      </c>
      <c r="DC506" s="859"/>
      <c r="DD506" s="929">
        <f>DIVISIONS!DD170</f>
        <v>0</v>
      </c>
      <c r="DE506" s="929">
        <f>DIVISIONS!DE170</f>
        <v>0</v>
      </c>
      <c r="DF506" s="929">
        <f>DD506+DE506</f>
        <v>0</v>
      </c>
      <c r="DG506" s="859"/>
      <c r="DH506" s="929">
        <f>DIVISIONS!DH170</f>
        <v>0</v>
      </c>
      <c r="DI506" s="859">
        <v>0</v>
      </c>
      <c r="DJ506" s="929">
        <f>DH506+DI506</f>
        <v>0</v>
      </c>
      <c r="DK506" s="859"/>
      <c r="DL506" s="859">
        <v>0</v>
      </c>
      <c r="DM506" s="859">
        <v>0</v>
      </c>
      <c r="DN506" s="929">
        <f>DL506+DM506</f>
        <v>0</v>
      </c>
      <c r="DO506" s="929"/>
      <c r="DP506" s="859">
        <v>0</v>
      </c>
      <c r="DQ506" s="859">
        <v>0</v>
      </c>
      <c r="DR506" s="929">
        <f>DP506+DQ506</f>
        <v>0</v>
      </c>
      <c r="DS506" s="929"/>
      <c r="DT506" s="859"/>
      <c r="DU506" s="859"/>
      <c r="DV506" s="859"/>
      <c r="DW506" s="859"/>
      <c r="DX506" s="929"/>
      <c r="DY506" s="857"/>
      <c r="DZ506" s="859"/>
      <c r="EA506" s="859"/>
      <c r="EB506" s="929"/>
      <c r="EC506" s="857"/>
      <c r="ED506" s="859"/>
      <c r="EE506" s="859"/>
      <c r="EF506" s="929"/>
      <c r="EG506" s="857"/>
      <c r="EH506" s="857"/>
      <c r="EI506" s="857"/>
      <c r="EJ506" s="857"/>
      <c r="EK506" s="857"/>
      <c r="EL506" s="857"/>
      <c r="EM506" s="857"/>
      <c r="EN506" s="857"/>
      <c r="EO506" s="857"/>
      <c r="EP506" s="857"/>
      <c r="FL506" s="855"/>
      <c r="FM506" s="855"/>
      <c r="FN506" s="855"/>
      <c r="FO506" s="855"/>
      <c r="FP506" s="855"/>
      <c r="FQ506" s="855"/>
      <c r="FR506" s="855"/>
      <c r="FS506" s="855"/>
      <c r="FT506" s="855"/>
      <c r="FU506" s="855"/>
      <c r="FV506" s="855"/>
      <c r="FW506" s="855"/>
      <c r="FX506" s="855"/>
      <c r="FY506" s="855"/>
      <c r="FZ506" s="855"/>
      <c r="GA506" s="855"/>
      <c r="GB506" s="855"/>
      <c r="GC506" s="855"/>
      <c r="GD506" s="855"/>
      <c r="GE506" s="855"/>
      <c r="GF506" s="855"/>
      <c r="GG506" s="855"/>
      <c r="GH506" s="855"/>
      <c r="GI506" s="855"/>
      <c r="GJ506" s="855"/>
      <c r="GK506" s="855"/>
      <c r="GL506" s="855"/>
      <c r="GM506" s="855"/>
      <c r="GN506" s="855"/>
      <c r="GO506" s="855"/>
      <c r="GP506" s="855"/>
      <c r="GQ506" s="855"/>
      <c r="GR506" s="855"/>
      <c r="GS506" s="855"/>
      <c r="GT506" s="855"/>
      <c r="GU506" s="855"/>
      <c r="GV506" s="855"/>
      <c r="GW506" s="855"/>
      <c r="GX506" s="855"/>
      <c r="GY506" s="855"/>
      <c r="GZ506" s="855"/>
      <c r="HA506" s="855"/>
      <c r="HB506" s="855"/>
      <c r="HC506" s="855"/>
      <c r="HD506" s="855"/>
      <c r="HE506" s="855"/>
      <c r="HF506" s="855"/>
      <c r="HG506" s="855"/>
      <c r="HH506" s="855"/>
      <c r="HI506" s="855"/>
      <c r="HJ506" s="855"/>
      <c r="HK506" s="855"/>
      <c r="HL506" s="855"/>
      <c r="HM506" s="855"/>
      <c r="HN506" s="855"/>
      <c r="HO506" s="855"/>
      <c r="HP506" s="855"/>
      <c r="HQ506" s="855"/>
      <c r="HR506" s="855"/>
      <c r="HS506" s="855"/>
      <c r="HT506" s="855"/>
      <c r="HU506" s="855"/>
      <c r="HV506" s="855"/>
      <c r="HW506" s="855"/>
      <c r="HX506" s="855"/>
      <c r="HY506" s="855"/>
      <c r="HZ506" s="855"/>
      <c r="IA506" s="855"/>
      <c r="IB506" s="855"/>
      <c r="IC506" s="855"/>
      <c r="ID506" s="855"/>
      <c r="IE506" s="855"/>
      <c r="IF506" s="855"/>
      <c r="IG506" s="855"/>
      <c r="IH506" s="855"/>
      <c r="II506" s="855"/>
      <c r="IJ506" s="855"/>
      <c r="IK506" s="855"/>
      <c r="IL506" s="855"/>
      <c r="IM506" s="855"/>
      <c r="IN506" s="855"/>
      <c r="IO506" s="855"/>
      <c r="IP506" s="855"/>
      <c r="IQ506" s="855"/>
      <c r="IR506" s="855"/>
      <c r="IS506" s="855"/>
      <c r="IT506" s="855"/>
      <c r="IU506" s="855"/>
      <c r="IV506" s="855"/>
      <c r="IW506" s="855"/>
      <c r="IX506" s="855"/>
      <c r="IY506" s="855"/>
      <c r="IZ506" s="855"/>
      <c r="JA506" s="855"/>
      <c r="JB506" s="855"/>
      <c r="JC506" s="855"/>
      <c r="JD506" s="855"/>
      <c r="JE506" s="855"/>
      <c r="JF506" s="855"/>
      <c r="JG506" s="855"/>
      <c r="JH506" s="855"/>
      <c r="JI506" s="855"/>
      <c r="JJ506" s="855"/>
      <c r="JK506" s="855"/>
      <c r="JL506" s="855"/>
      <c r="JM506"/>
    </row>
    <row r="507" spans="1:273" s="860" customFormat="1">
      <c r="A507" s="302" t="s">
        <v>616</v>
      </c>
      <c r="B507" s="298"/>
      <c r="C507" s="296"/>
      <c r="D507" s="296"/>
      <c r="E507" s="296"/>
      <c r="F507" s="296"/>
      <c r="G507" s="296"/>
      <c r="H507" s="296"/>
      <c r="I507" s="296"/>
      <c r="J507" s="296"/>
      <c r="K507" s="296"/>
      <c r="L507" s="296"/>
      <c r="M507" s="296"/>
      <c r="N507" s="296"/>
      <c r="O507" s="296"/>
      <c r="P507" s="296"/>
      <c r="Q507" s="296"/>
      <c r="R507" s="296"/>
      <c r="S507" s="296"/>
      <c r="T507" s="296"/>
      <c r="U507" s="296"/>
      <c r="V507" s="296"/>
      <c r="W507" s="296"/>
      <c r="X507" s="296"/>
      <c r="Y507" s="296"/>
      <c r="Z507" s="296"/>
      <c r="AA507" s="296"/>
      <c r="AB507" s="296"/>
      <c r="AC507" s="296"/>
      <c r="AD507" s="296"/>
      <c r="AE507" s="296"/>
      <c r="AF507" s="296"/>
      <c r="AG507" s="296"/>
      <c r="AH507" s="296"/>
      <c r="AI507" s="296"/>
      <c r="AJ507" s="296"/>
      <c r="AK507" s="296"/>
      <c r="AL507" s="296"/>
      <c r="AM507" s="296"/>
      <c r="AN507" s="298"/>
      <c r="AO507" s="298"/>
      <c r="AP507" s="929">
        <f>DIVISIONS!AP424</f>
        <v>0</v>
      </c>
      <c r="AQ507" s="298"/>
      <c r="AR507" s="298"/>
      <c r="AS507" s="298"/>
      <c r="AT507" s="929">
        <f>DIVISIONS!AT424</f>
        <v>0</v>
      </c>
      <c r="AU507" s="298"/>
      <c r="AV507" s="929">
        <f>DIVISIONS!AV424</f>
        <v>0</v>
      </c>
      <c r="AW507" s="929">
        <f>DIVISIONS!AW424</f>
        <v>0</v>
      </c>
      <c r="AX507" s="857"/>
      <c r="AY507" s="976"/>
      <c r="AZ507" s="929">
        <f>DIVISIONS!AZ424</f>
        <v>0</v>
      </c>
      <c r="BA507" s="929">
        <f>DIVISIONS!BA424</f>
        <v>0</v>
      </c>
      <c r="BB507" s="857"/>
      <c r="BC507" s="857"/>
      <c r="BD507" s="929">
        <f>DIVISIONS!BD424</f>
        <v>0</v>
      </c>
      <c r="BE507" s="929">
        <f>DIVISIONS!BE424</f>
        <v>0</v>
      </c>
      <c r="BF507" s="929">
        <f t="shared" si="627"/>
        <v>0</v>
      </c>
      <c r="BG507" s="859"/>
      <c r="BH507" s="929">
        <f>DIVISIONS!BH424</f>
        <v>0</v>
      </c>
      <c r="BI507" s="929">
        <f>DIVISIONS!BI424</f>
        <v>0</v>
      </c>
      <c r="BJ507" s="929">
        <f t="shared" si="623"/>
        <v>0</v>
      </c>
      <c r="BK507" s="859"/>
      <c r="BL507" s="929">
        <f>DIVISIONS!BL424</f>
        <v>0</v>
      </c>
      <c r="BM507" s="929">
        <f>DIVISIONS!BM424</f>
        <v>0</v>
      </c>
      <c r="BN507" s="929">
        <f t="shared" si="624"/>
        <v>0</v>
      </c>
      <c r="BO507" s="859"/>
      <c r="BP507" s="929">
        <f>DIVISIONS!BP424</f>
        <v>0</v>
      </c>
      <c r="BQ507" s="929">
        <f>DIVISIONS!BQ424</f>
        <v>0</v>
      </c>
      <c r="BR507" s="929">
        <f t="shared" si="625"/>
        <v>0</v>
      </c>
      <c r="BS507" s="859"/>
      <c r="BT507" s="929">
        <f>DIVISIONS!BT424</f>
        <v>0</v>
      </c>
      <c r="BU507" s="929">
        <f>DIVISIONS!BU424</f>
        <v>0</v>
      </c>
      <c r="BV507" s="929">
        <f t="shared" si="626"/>
        <v>0</v>
      </c>
      <c r="BW507" s="859"/>
      <c r="BX507" s="929">
        <f>DIVISIONS!BX424</f>
        <v>0</v>
      </c>
      <c r="BY507" s="929">
        <f>DIVISIONS!BY424</f>
        <v>0</v>
      </c>
      <c r="BZ507" s="929">
        <f>BX507+BY507</f>
        <v>0</v>
      </c>
      <c r="CA507" s="859"/>
      <c r="CB507" s="929">
        <f>DIVISIONS!CB424</f>
        <v>0</v>
      </c>
      <c r="CC507" s="929">
        <f>DIVISIONS!CC424</f>
        <v>0</v>
      </c>
      <c r="CD507" s="929">
        <f>CB507+CC507</f>
        <v>0</v>
      </c>
      <c r="CE507" s="1619"/>
      <c r="CF507" s="929">
        <f>DIVISIONS!CF424</f>
        <v>0</v>
      </c>
      <c r="CG507" s="929">
        <f>DIVISIONS!CG424</f>
        <v>0</v>
      </c>
      <c r="CH507" s="929">
        <f>CF507+CG507</f>
        <v>0</v>
      </c>
      <c r="CI507" s="1619"/>
      <c r="CJ507" s="929">
        <f>DIVISIONS!CJ424</f>
        <v>0</v>
      </c>
      <c r="CK507" s="929">
        <f>DIVISIONS!CK424</f>
        <v>0</v>
      </c>
      <c r="CL507" s="929">
        <f>CJ507+CK507</f>
        <v>0</v>
      </c>
      <c r="CM507" s="1619"/>
      <c r="CN507" s="929">
        <f>DIVISIONS!CN424</f>
        <v>0</v>
      </c>
      <c r="CO507" s="929">
        <f>DIVISIONS!CO424</f>
        <v>0</v>
      </c>
      <c r="CP507" s="929">
        <f>CN507+CO507</f>
        <v>0</v>
      </c>
      <c r="CQ507" s="1619"/>
      <c r="CR507" s="929">
        <f>DIVISIONS!CR424</f>
        <v>0</v>
      </c>
      <c r="CS507" s="929">
        <f>DIVISIONS!CS424</f>
        <v>0</v>
      </c>
      <c r="CT507" s="929">
        <f>CR507+CS507</f>
        <v>0</v>
      </c>
      <c r="CU507" s="859"/>
      <c r="CV507" s="929">
        <f>DIVISIONS!CV424</f>
        <v>0</v>
      </c>
      <c r="CW507" s="929">
        <f>DIVISIONS!CW424</f>
        <v>0</v>
      </c>
      <c r="CX507" s="929">
        <f>CV507+CW507</f>
        <v>0</v>
      </c>
      <c r="CY507" s="859"/>
      <c r="CZ507" s="929">
        <f>DIVISIONS!CZ424</f>
        <v>0</v>
      </c>
      <c r="DA507" s="929">
        <f>DIVISIONS!DA424</f>
        <v>0</v>
      </c>
      <c r="DB507" s="929">
        <f>CZ507+DA507</f>
        <v>0</v>
      </c>
      <c r="DC507" s="859"/>
      <c r="DD507" s="929">
        <f>DIVISIONS!DD424</f>
        <v>0</v>
      </c>
      <c r="DE507" s="929">
        <f>DIVISIONS!DE424</f>
        <v>0</v>
      </c>
      <c r="DF507" s="929">
        <f>DD507+DE507</f>
        <v>0</v>
      </c>
      <c r="DG507" s="859"/>
      <c r="DH507" s="929">
        <f>DIVISIONS!DH424</f>
        <v>0</v>
      </c>
      <c r="DI507" s="859">
        <v>0</v>
      </c>
      <c r="DJ507" s="929">
        <f>DH507+DI507</f>
        <v>0</v>
      </c>
      <c r="DK507" s="859"/>
      <c r="DL507" s="859">
        <v>0</v>
      </c>
      <c r="DM507" s="859">
        <v>0</v>
      </c>
      <c r="DN507" s="929">
        <f>DL507+DM507</f>
        <v>0</v>
      </c>
      <c r="DO507" s="929"/>
      <c r="DP507" s="859">
        <v>0</v>
      </c>
      <c r="DQ507" s="859">
        <v>0</v>
      </c>
      <c r="DR507" s="929">
        <f>DP507+DQ507</f>
        <v>0</v>
      </c>
      <c r="DS507" s="929"/>
      <c r="DT507" s="859"/>
      <c r="DU507" s="859"/>
      <c r="DV507" s="859"/>
      <c r="DW507" s="859"/>
      <c r="DX507" s="929"/>
      <c r="DY507" s="857"/>
      <c r="DZ507" s="859"/>
      <c r="EA507" s="859"/>
      <c r="EB507" s="929"/>
      <c r="EC507" s="857"/>
      <c r="ED507" s="859"/>
      <c r="EE507" s="859"/>
      <c r="EF507" s="929"/>
      <c r="EG507" s="857"/>
      <c r="EH507" s="857"/>
      <c r="EI507" s="857"/>
      <c r="EJ507" s="857"/>
      <c r="EK507" s="857"/>
      <c r="EL507" s="857"/>
      <c r="EM507" s="857"/>
      <c r="EN507" s="857"/>
      <c r="EO507" s="857"/>
      <c r="EP507" s="857"/>
      <c r="FL507" s="855"/>
      <c r="FM507" s="855"/>
      <c r="FN507" s="855"/>
      <c r="FO507" s="855"/>
      <c r="FP507" s="855"/>
      <c r="FQ507" s="855"/>
      <c r="FR507" s="855"/>
      <c r="FS507" s="855"/>
      <c r="FT507" s="855"/>
      <c r="FU507" s="855"/>
      <c r="FV507" s="855"/>
      <c r="FW507" s="855"/>
      <c r="FX507" s="855"/>
      <c r="FY507" s="855"/>
      <c r="FZ507" s="855"/>
      <c r="GA507" s="855"/>
      <c r="GB507" s="855"/>
      <c r="GC507" s="855"/>
      <c r="GD507" s="855"/>
      <c r="GE507" s="855"/>
      <c r="GF507" s="855"/>
      <c r="GG507" s="855"/>
      <c r="GH507" s="855"/>
      <c r="GI507" s="855"/>
      <c r="GJ507" s="855"/>
      <c r="GK507" s="855"/>
      <c r="GL507" s="855"/>
      <c r="GM507" s="855"/>
      <c r="GN507" s="855"/>
      <c r="GO507" s="855"/>
      <c r="GP507" s="855"/>
      <c r="GQ507" s="855"/>
      <c r="GR507" s="855"/>
      <c r="GS507" s="855"/>
      <c r="GT507" s="855"/>
      <c r="GU507" s="855"/>
      <c r="GV507" s="855"/>
      <c r="GW507" s="855"/>
      <c r="GX507" s="855"/>
      <c r="GY507" s="855"/>
      <c r="GZ507" s="855"/>
      <c r="HA507" s="855"/>
      <c r="HB507" s="855"/>
      <c r="HC507" s="855"/>
      <c r="HD507" s="855"/>
      <c r="HE507" s="855"/>
      <c r="HF507" s="855"/>
      <c r="HG507" s="855"/>
      <c r="HH507" s="855"/>
      <c r="HI507" s="855"/>
      <c r="HJ507" s="855"/>
      <c r="HK507" s="855"/>
      <c r="HL507" s="855"/>
      <c r="HM507" s="855"/>
      <c r="HN507" s="855"/>
      <c r="HO507" s="855"/>
      <c r="HP507" s="855"/>
      <c r="HQ507" s="855"/>
      <c r="HR507" s="855"/>
      <c r="HS507" s="855"/>
      <c r="HT507" s="855"/>
      <c r="HU507" s="855"/>
      <c r="HV507" s="855"/>
      <c r="HW507" s="855"/>
      <c r="HX507" s="855"/>
      <c r="HY507" s="855"/>
      <c r="HZ507" s="855"/>
      <c r="IA507" s="855"/>
      <c r="IB507" s="855"/>
      <c r="IC507" s="855"/>
      <c r="ID507" s="855"/>
      <c r="IE507" s="855"/>
      <c r="IF507" s="855"/>
      <c r="IG507" s="855"/>
      <c r="IH507" s="855"/>
      <c r="II507" s="855"/>
      <c r="IJ507" s="855"/>
      <c r="IK507" s="855"/>
      <c r="IL507" s="855"/>
      <c r="IM507" s="855"/>
      <c r="IN507" s="855"/>
      <c r="IO507" s="855"/>
      <c r="IP507" s="855"/>
      <c r="IQ507" s="855"/>
      <c r="IR507" s="855"/>
      <c r="IS507" s="855"/>
      <c r="IT507" s="855"/>
      <c r="IU507" s="855"/>
      <c r="IV507" s="855"/>
      <c r="IW507" s="855"/>
      <c r="IX507" s="855"/>
      <c r="IY507" s="855"/>
      <c r="IZ507" s="855"/>
      <c r="JA507" s="855"/>
      <c r="JB507" s="855"/>
      <c r="JC507" s="855"/>
      <c r="JD507" s="855"/>
      <c r="JE507" s="855"/>
      <c r="JF507" s="855"/>
      <c r="JG507" s="855"/>
      <c r="JH507" s="855"/>
      <c r="JI507" s="855"/>
      <c r="JJ507" s="855"/>
      <c r="JK507" s="855"/>
      <c r="JL507" s="855"/>
      <c r="JM507"/>
    </row>
    <row r="508" spans="1:273" s="860" customFormat="1">
      <c r="A508" s="302" t="s">
        <v>1024</v>
      </c>
      <c r="B508" s="298"/>
      <c r="C508" s="296"/>
      <c r="D508" s="296"/>
      <c r="E508" s="296"/>
      <c r="F508" s="296"/>
      <c r="G508" s="296"/>
      <c r="H508" s="296"/>
      <c r="I508" s="296"/>
      <c r="J508" s="296"/>
      <c r="K508" s="296"/>
      <c r="L508" s="296"/>
      <c r="M508" s="296"/>
      <c r="N508" s="296"/>
      <c r="O508" s="296"/>
      <c r="P508" s="296"/>
      <c r="Q508" s="296"/>
      <c r="R508" s="296"/>
      <c r="S508" s="296"/>
      <c r="T508" s="296"/>
      <c r="U508" s="296"/>
      <c r="V508" s="296"/>
      <c r="W508" s="296"/>
      <c r="X508" s="296"/>
      <c r="Y508" s="296"/>
      <c r="Z508" s="296"/>
      <c r="AA508" s="296"/>
      <c r="AB508" s="296"/>
      <c r="AC508" s="296"/>
      <c r="AD508" s="296"/>
      <c r="AE508" s="296"/>
      <c r="AF508" s="296"/>
      <c r="AG508" s="296"/>
      <c r="AH508" s="296"/>
      <c r="AI508" s="296"/>
      <c r="AJ508" s="296"/>
      <c r="AK508" s="296"/>
      <c r="AL508" s="296"/>
      <c r="AM508" s="296"/>
      <c r="AN508" s="298"/>
      <c r="AO508" s="298"/>
      <c r="AP508" s="929">
        <f>DIVISIONS!AP309</f>
        <v>0</v>
      </c>
      <c r="AQ508" s="298"/>
      <c r="AR508" s="298"/>
      <c r="AS508" s="298"/>
      <c r="AT508" s="929">
        <f>DIVISIONS!AT309</f>
        <v>0</v>
      </c>
      <c r="AU508" s="298"/>
      <c r="AV508" s="929">
        <f>DIVISIONS!AV309</f>
        <v>0</v>
      </c>
      <c r="AW508" s="929">
        <f>DIVISIONS!AW309</f>
        <v>0</v>
      </c>
      <c r="AX508" s="857"/>
      <c r="AY508" s="976"/>
      <c r="AZ508" s="929">
        <f>DIVISIONS!AZ309</f>
        <v>0</v>
      </c>
      <c r="BA508" s="929">
        <f>DIVISIONS!BA309</f>
        <v>0</v>
      </c>
      <c r="BB508" s="857"/>
      <c r="BC508" s="857"/>
      <c r="BD508" s="929">
        <f>DIVISIONS!BD309</f>
        <v>0</v>
      </c>
      <c r="BE508" s="929">
        <f>DIVISIONS!BE309</f>
        <v>0</v>
      </c>
      <c r="BF508" s="929">
        <f t="shared" si="627"/>
        <v>0</v>
      </c>
      <c r="BG508" s="859"/>
      <c r="BH508" s="929">
        <f>DIVISIONS!BH309</f>
        <v>0</v>
      </c>
      <c r="BI508" s="929">
        <f>DIVISIONS!BI309</f>
        <v>0</v>
      </c>
      <c r="BJ508" s="929">
        <f t="shared" si="623"/>
        <v>0</v>
      </c>
      <c r="BK508" s="859"/>
      <c r="BL508" s="929">
        <f>DIVISIONS!BL309</f>
        <v>0</v>
      </c>
      <c r="BM508" s="929">
        <f>DIVISIONS!BM309</f>
        <v>0</v>
      </c>
      <c r="BN508" s="929">
        <f t="shared" si="624"/>
        <v>0</v>
      </c>
      <c r="BO508" s="859"/>
      <c r="BP508" s="929">
        <f>DIVISIONS!BP309</f>
        <v>0</v>
      </c>
      <c r="BQ508" s="929">
        <f>DIVISIONS!BQ309</f>
        <v>0</v>
      </c>
      <c r="BR508" s="929">
        <f t="shared" si="625"/>
        <v>0</v>
      </c>
      <c r="BS508" s="859"/>
      <c r="BT508" s="929">
        <f>DIVISIONS!BT309</f>
        <v>0</v>
      </c>
      <c r="BU508" s="929">
        <f>DIVISIONS!BU309</f>
        <v>0</v>
      </c>
      <c r="BV508" s="929">
        <f t="shared" si="626"/>
        <v>0</v>
      </c>
      <c r="BW508" s="859"/>
      <c r="BX508" s="929">
        <f>DIVISIONS!BX309</f>
        <v>0</v>
      </c>
      <c r="BY508" s="929">
        <f>DIVISIONS!BY309</f>
        <v>0</v>
      </c>
      <c r="BZ508" s="929">
        <f>BX508+BY508</f>
        <v>0</v>
      </c>
      <c r="CA508" s="859"/>
      <c r="CB508" s="929">
        <f>DIVISIONS!CB309</f>
        <v>0</v>
      </c>
      <c r="CC508" s="929">
        <f>DIVISIONS!CC309</f>
        <v>0</v>
      </c>
      <c r="CD508" s="929">
        <f>CB508+CC508</f>
        <v>0</v>
      </c>
      <c r="CE508" s="1619"/>
      <c r="CF508" s="929">
        <f>DIVISIONS!CF309</f>
        <v>0</v>
      </c>
      <c r="CG508" s="929">
        <f>DIVISIONS!CG309</f>
        <v>0</v>
      </c>
      <c r="CH508" s="929">
        <f>CF508+CG508</f>
        <v>0</v>
      </c>
      <c r="CI508" s="1619"/>
      <c r="CJ508" s="929">
        <f>DIVISIONS!CJ309</f>
        <v>0</v>
      </c>
      <c r="CK508" s="929">
        <f>DIVISIONS!CK309</f>
        <v>0</v>
      </c>
      <c r="CL508" s="929">
        <f>CJ508+CK508</f>
        <v>0</v>
      </c>
      <c r="CM508" s="1619"/>
      <c r="CN508" s="929">
        <f>DIVISIONS!CN309</f>
        <v>0</v>
      </c>
      <c r="CO508" s="929">
        <f>DIVISIONS!CO309</f>
        <v>0</v>
      </c>
      <c r="CP508" s="929">
        <f>CN508+CO508</f>
        <v>0</v>
      </c>
      <c r="CQ508" s="1619"/>
      <c r="CR508" s="929">
        <f>DIVISIONS!CR309</f>
        <v>0</v>
      </c>
      <c r="CS508" s="929">
        <f>DIVISIONS!CS309</f>
        <v>0</v>
      </c>
      <c r="CT508" s="929">
        <f>CR508+CS508</f>
        <v>0</v>
      </c>
      <c r="CU508" s="859"/>
      <c r="CV508" s="929">
        <f>DIVISIONS!CV309</f>
        <v>0</v>
      </c>
      <c r="CW508" s="929">
        <f>DIVISIONS!CW309</f>
        <v>0</v>
      </c>
      <c r="CX508" s="929">
        <f>CV508+CW508</f>
        <v>0</v>
      </c>
      <c r="CY508" s="859"/>
      <c r="CZ508" s="929">
        <f>DIVISIONS!CZ309</f>
        <v>0</v>
      </c>
      <c r="DA508" s="929">
        <f>DIVISIONS!DA309</f>
        <v>0</v>
      </c>
      <c r="DB508" s="929">
        <f>CZ508+DA508</f>
        <v>0</v>
      </c>
      <c r="DC508" s="859"/>
      <c r="DD508" s="929">
        <f>DIVISIONS!DD309</f>
        <v>0</v>
      </c>
      <c r="DE508" s="929">
        <f>DIVISIONS!DE309</f>
        <v>0</v>
      </c>
      <c r="DF508" s="929">
        <f>DD508+DE508</f>
        <v>0</v>
      </c>
      <c r="DG508" s="859"/>
      <c r="DH508" s="929">
        <f>DIVISIONS!DH309</f>
        <v>0</v>
      </c>
      <c r="DI508" s="859">
        <v>0</v>
      </c>
      <c r="DJ508" s="929">
        <f>DH508+DI508</f>
        <v>0</v>
      </c>
      <c r="DK508" s="859"/>
      <c r="DL508" s="859">
        <v>0</v>
      </c>
      <c r="DM508" s="859">
        <v>0</v>
      </c>
      <c r="DN508" s="929">
        <f>DL508+DM508</f>
        <v>0</v>
      </c>
      <c r="DO508" s="929"/>
      <c r="DP508" s="859">
        <v>0</v>
      </c>
      <c r="DQ508" s="859">
        <v>0</v>
      </c>
      <c r="DR508" s="929">
        <f>DP508+DQ508</f>
        <v>0</v>
      </c>
      <c r="DS508" s="929"/>
      <c r="DT508" s="859"/>
      <c r="DU508" s="859"/>
      <c r="DV508" s="859"/>
      <c r="DW508" s="859"/>
      <c r="DX508" s="929"/>
      <c r="DY508" s="857"/>
      <c r="DZ508" s="859"/>
      <c r="EA508" s="859"/>
      <c r="EB508" s="929"/>
      <c r="EC508" s="857"/>
      <c r="ED508" s="859"/>
      <c r="EE508" s="859"/>
      <c r="EF508" s="929"/>
      <c r="EG508" s="857"/>
      <c r="EH508" s="857"/>
      <c r="EI508" s="857"/>
      <c r="EJ508" s="857"/>
      <c r="EK508" s="857"/>
      <c r="EL508" s="857"/>
      <c r="EM508" s="857"/>
      <c r="EN508" s="857"/>
      <c r="EO508" s="857"/>
      <c r="EP508" s="857"/>
      <c r="FL508" s="855"/>
      <c r="FM508" s="855"/>
      <c r="FN508" s="855"/>
      <c r="FO508" s="855"/>
      <c r="FP508" s="855"/>
      <c r="FQ508" s="855"/>
      <c r="FR508" s="855"/>
      <c r="FS508" s="855"/>
      <c r="FT508" s="855"/>
      <c r="FU508" s="855"/>
      <c r="FV508" s="855"/>
      <c r="FW508" s="855"/>
      <c r="FX508" s="855"/>
      <c r="FY508" s="855"/>
      <c r="FZ508" s="855"/>
      <c r="GA508" s="855"/>
      <c r="GB508" s="855"/>
      <c r="GC508" s="855"/>
      <c r="GD508" s="855"/>
      <c r="GE508" s="855"/>
      <c r="GF508" s="855"/>
      <c r="GG508" s="855"/>
      <c r="GH508" s="855"/>
      <c r="GI508" s="855"/>
      <c r="GJ508" s="855"/>
      <c r="GK508" s="855"/>
      <c r="GL508" s="855"/>
      <c r="GM508" s="855"/>
      <c r="GN508" s="855"/>
      <c r="GO508" s="855"/>
      <c r="GP508" s="855"/>
      <c r="GQ508" s="855"/>
      <c r="GR508" s="855"/>
      <c r="GS508" s="855"/>
      <c r="GT508" s="855"/>
      <c r="GU508" s="855"/>
      <c r="GV508" s="855"/>
      <c r="GW508" s="855"/>
      <c r="GX508" s="855"/>
      <c r="GY508" s="855"/>
      <c r="GZ508" s="855"/>
      <c r="HA508" s="855"/>
      <c r="HB508" s="855"/>
      <c r="HC508" s="855"/>
      <c r="HD508" s="855"/>
      <c r="HE508" s="855"/>
      <c r="HF508" s="855"/>
      <c r="HG508" s="855"/>
      <c r="HH508" s="855"/>
      <c r="HI508" s="855"/>
      <c r="HJ508" s="855"/>
      <c r="HK508" s="855"/>
      <c r="HL508" s="855"/>
      <c r="HM508" s="855"/>
      <c r="HN508" s="855"/>
      <c r="HO508" s="855"/>
      <c r="HP508" s="855"/>
      <c r="HQ508" s="855"/>
      <c r="HR508" s="855"/>
      <c r="HS508" s="855"/>
      <c r="HT508" s="855"/>
      <c r="HU508" s="855"/>
      <c r="HV508" s="855"/>
      <c r="HW508" s="855"/>
      <c r="HX508" s="855"/>
      <c r="HY508" s="855"/>
      <c r="HZ508" s="855"/>
      <c r="IA508" s="855"/>
      <c r="IB508" s="855"/>
      <c r="IC508" s="855"/>
      <c r="ID508" s="855"/>
      <c r="IE508" s="855"/>
      <c r="IF508" s="855"/>
      <c r="IG508" s="855"/>
      <c r="IH508" s="855"/>
      <c r="II508" s="855"/>
      <c r="IJ508" s="855"/>
      <c r="IK508" s="855"/>
      <c r="IL508" s="855"/>
      <c r="IM508" s="855"/>
      <c r="IN508" s="855"/>
      <c r="IO508" s="855"/>
      <c r="IP508" s="855"/>
      <c r="IQ508" s="855"/>
      <c r="IR508" s="855"/>
      <c r="IS508" s="855"/>
      <c r="IT508" s="855"/>
      <c r="IU508" s="855"/>
      <c r="IV508" s="855"/>
      <c r="IW508" s="855"/>
      <c r="IX508" s="855"/>
      <c r="IY508" s="855"/>
      <c r="IZ508" s="855"/>
      <c r="JA508" s="855"/>
      <c r="JB508" s="855"/>
      <c r="JC508" s="855"/>
      <c r="JD508" s="855"/>
      <c r="JE508" s="855"/>
      <c r="JF508" s="855"/>
      <c r="JG508" s="855"/>
      <c r="JH508" s="855"/>
      <c r="JI508" s="855"/>
      <c r="JJ508" s="855"/>
      <c r="JK508" s="855"/>
      <c r="JL508" s="855"/>
      <c r="JM508"/>
    </row>
    <row r="509" spans="1:273" s="860" customFormat="1">
      <c r="A509" s="302" t="s">
        <v>690</v>
      </c>
      <c r="B509" s="298"/>
      <c r="C509" s="296"/>
      <c r="D509" s="296"/>
      <c r="E509" s="296"/>
      <c r="F509" s="296"/>
      <c r="G509" s="296"/>
      <c r="H509" s="296"/>
      <c r="I509" s="296"/>
      <c r="J509" s="296"/>
      <c r="K509" s="296"/>
      <c r="L509" s="296"/>
      <c r="M509" s="296"/>
      <c r="N509" s="296"/>
      <c r="O509" s="296"/>
      <c r="P509" s="296"/>
      <c r="Q509" s="296"/>
      <c r="R509" s="296"/>
      <c r="S509" s="296"/>
      <c r="T509" s="296"/>
      <c r="U509" s="296"/>
      <c r="V509" s="296"/>
      <c r="W509" s="296"/>
      <c r="X509" s="296"/>
      <c r="Y509" s="296"/>
      <c r="Z509" s="296"/>
      <c r="AA509" s="296"/>
      <c r="AB509" s="296"/>
      <c r="AC509" s="296"/>
      <c r="AD509" s="296"/>
      <c r="AE509" s="296"/>
      <c r="AF509" s="296"/>
      <c r="AG509" s="296"/>
      <c r="AH509" s="296"/>
      <c r="AI509" s="296"/>
      <c r="AJ509" s="296"/>
      <c r="AK509" s="296"/>
      <c r="AL509" s="296"/>
      <c r="AM509" s="296"/>
      <c r="AN509" s="298"/>
      <c r="AO509" s="298"/>
      <c r="AP509" s="929">
        <f>DIVISIONS!AP512</f>
        <v>0</v>
      </c>
      <c r="AQ509" s="298"/>
      <c r="AR509" s="298"/>
      <c r="AS509" s="298"/>
      <c r="AT509" s="929">
        <f>DIVISIONS!AT512</f>
        <v>0</v>
      </c>
      <c r="AU509" s="298"/>
      <c r="AV509" s="929">
        <f>DIVISIONS!AV512</f>
        <v>0</v>
      </c>
      <c r="AW509" s="929">
        <f>DIVISIONS!AW512</f>
        <v>0</v>
      </c>
      <c r="AX509" s="857"/>
      <c r="AY509" s="976"/>
      <c r="AZ509" s="929">
        <f>DIVISIONS!AZ512</f>
        <v>0</v>
      </c>
      <c r="BA509" s="929">
        <f>DIVISIONS!BA512</f>
        <v>0</v>
      </c>
      <c r="BB509" s="857"/>
      <c r="BC509" s="857"/>
      <c r="BD509" s="929">
        <f>DIVISIONS!BD512</f>
        <v>0</v>
      </c>
      <c r="BE509" s="929">
        <f>DIVISIONS!BE512</f>
        <v>0</v>
      </c>
      <c r="BF509" s="929">
        <f t="shared" si="627"/>
        <v>0</v>
      </c>
      <c r="BG509" s="859"/>
      <c r="BH509" s="929">
        <f>DIVISIONS!BH512</f>
        <v>0</v>
      </c>
      <c r="BI509" s="929">
        <f>DIVISIONS!BI512</f>
        <v>0</v>
      </c>
      <c r="BJ509" s="929">
        <f t="shared" si="623"/>
        <v>0</v>
      </c>
      <c r="BK509" s="859"/>
      <c r="BL509" s="929">
        <f>DIVISIONS!BL512</f>
        <v>0</v>
      </c>
      <c r="BM509" s="929">
        <f>DIVISIONS!BM512</f>
        <v>0</v>
      </c>
      <c r="BN509" s="929">
        <f t="shared" si="624"/>
        <v>0</v>
      </c>
      <c r="BO509" s="859"/>
      <c r="BP509" s="929">
        <f>DIVISIONS!BP512</f>
        <v>0</v>
      </c>
      <c r="BQ509" s="929">
        <f>DIVISIONS!BQ512</f>
        <v>0</v>
      </c>
      <c r="BR509" s="929">
        <f t="shared" si="625"/>
        <v>0</v>
      </c>
      <c r="BS509" s="859"/>
      <c r="BT509" s="929">
        <f>DIVISIONS!BT512</f>
        <v>0</v>
      </c>
      <c r="BU509" s="929">
        <f>DIVISIONS!BU512</f>
        <v>0</v>
      </c>
      <c r="BV509" s="929">
        <f t="shared" si="626"/>
        <v>0</v>
      </c>
      <c r="BW509" s="859"/>
      <c r="BX509" s="929">
        <f>DIVISIONS!BX512</f>
        <v>0</v>
      </c>
      <c r="BY509" s="929">
        <f>DIVISIONS!BY512</f>
        <v>0</v>
      </c>
      <c r="BZ509" s="929">
        <f>BX509+BY509</f>
        <v>0</v>
      </c>
      <c r="CA509" s="859"/>
      <c r="CB509" s="929">
        <f>DIVISIONS!CB512</f>
        <v>0</v>
      </c>
      <c r="CC509" s="929">
        <f>DIVISIONS!CC512</f>
        <v>0</v>
      </c>
      <c r="CD509" s="929">
        <f>CB509+CC509</f>
        <v>0</v>
      </c>
      <c r="CE509" s="1619"/>
      <c r="CF509" s="929">
        <f>DIVISIONS!CF512</f>
        <v>0</v>
      </c>
      <c r="CG509" s="929">
        <f>DIVISIONS!CG512</f>
        <v>0</v>
      </c>
      <c r="CH509" s="929">
        <f>CF509+CG509</f>
        <v>0</v>
      </c>
      <c r="CI509" s="1619"/>
      <c r="CJ509" s="929">
        <f>DIVISIONS!CJ512</f>
        <v>0</v>
      </c>
      <c r="CK509" s="929">
        <f>DIVISIONS!CK512</f>
        <v>0</v>
      </c>
      <c r="CL509" s="929">
        <f>CJ509+CK509</f>
        <v>0</v>
      </c>
      <c r="CM509" s="1619"/>
      <c r="CN509" s="929">
        <f>DIVISIONS!CN512</f>
        <v>0</v>
      </c>
      <c r="CO509" s="929">
        <f>DIVISIONS!CO512</f>
        <v>0</v>
      </c>
      <c r="CP509" s="929">
        <f>CN509+CO509</f>
        <v>0</v>
      </c>
      <c r="CQ509" s="1619"/>
      <c r="CR509" s="929">
        <f>DIVISIONS!CR512</f>
        <v>0</v>
      </c>
      <c r="CS509" s="929">
        <f>DIVISIONS!CS512</f>
        <v>0</v>
      </c>
      <c r="CT509" s="929">
        <f>CR509+CS509</f>
        <v>0</v>
      </c>
      <c r="CU509" s="859"/>
      <c r="CV509" s="929">
        <f>DIVISIONS!CV512</f>
        <v>0</v>
      </c>
      <c r="CW509" s="929">
        <f>DIVISIONS!CW512</f>
        <v>0</v>
      </c>
      <c r="CX509" s="929">
        <f>CV509+CW509</f>
        <v>0</v>
      </c>
      <c r="CY509" s="859"/>
      <c r="CZ509" s="929">
        <f>DIVISIONS!CZ512</f>
        <v>0</v>
      </c>
      <c r="DA509" s="929">
        <f>DIVISIONS!DA512</f>
        <v>0</v>
      </c>
      <c r="DB509" s="929">
        <f>CZ509+DA509</f>
        <v>0</v>
      </c>
      <c r="DC509" s="859"/>
      <c r="DD509" s="929">
        <f>DIVISIONS!DD512</f>
        <v>0</v>
      </c>
      <c r="DE509" s="929">
        <f>DIVISIONS!DE512</f>
        <v>0</v>
      </c>
      <c r="DF509" s="929">
        <f>DD509+DE509</f>
        <v>0</v>
      </c>
      <c r="DG509" s="859"/>
      <c r="DH509" s="929">
        <f>DIVISIONS!DH512</f>
        <v>0</v>
      </c>
      <c r="DI509" s="859">
        <v>0</v>
      </c>
      <c r="DJ509" s="929">
        <f>DH509+DI509</f>
        <v>0</v>
      </c>
      <c r="DK509" s="859"/>
      <c r="DL509" s="859">
        <v>0</v>
      </c>
      <c r="DM509" s="859">
        <v>0</v>
      </c>
      <c r="DN509" s="929">
        <f>DL509+DM509</f>
        <v>0</v>
      </c>
      <c r="DO509" s="929"/>
      <c r="DP509" s="859">
        <v>0</v>
      </c>
      <c r="DQ509" s="859">
        <v>0</v>
      </c>
      <c r="DR509" s="929">
        <f>DP509+DQ509</f>
        <v>0</v>
      </c>
      <c r="DS509" s="929"/>
      <c r="DT509" s="859"/>
      <c r="DU509" s="859"/>
      <c r="DV509" s="859"/>
      <c r="DW509" s="859"/>
      <c r="DX509" s="929"/>
      <c r="DY509" s="857"/>
      <c r="DZ509" s="859"/>
      <c r="EA509" s="859"/>
      <c r="EB509" s="929"/>
      <c r="EC509" s="857"/>
      <c r="ED509" s="859"/>
      <c r="EE509" s="859"/>
      <c r="EF509" s="929"/>
      <c r="EG509" s="857"/>
      <c r="EH509" s="857"/>
      <c r="EI509" s="857"/>
      <c r="EJ509" s="857"/>
      <c r="EK509" s="857"/>
      <c r="EL509" s="857"/>
      <c r="EM509" s="857"/>
      <c r="EN509" s="857"/>
      <c r="EO509" s="857"/>
      <c r="EP509" s="857"/>
      <c r="FL509" s="855"/>
      <c r="FM509" s="855"/>
      <c r="FN509" s="855"/>
      <c r="FO509" s="855"/>
      <c r="FP509" s="855"/>
      <c r="FQ509" s="855"/>
      <c r="FR509" s="855"/>
      <c r="FS509" s="855"/>
      <c r="FT509" s="855"/>
      <c r="FU509" s="855"/>
      <c r="FV509" s="855"/>
      <c r="FW509" s="855"/>
      <c r="FX509" s="855"/>
      <c r="FY509" s="855"/>
      <c r="FZ509" s="855"/>
      <c r="GA509" s="855"/>
      <c r="GB509" s="855"/>
      <c r="GC509" s="855"/>
      <c r="GD509" s="855"/>
      <c r="GE509" s="855"/>
      <c r="GF509" s="855"/>
      <c r="GG509" s="855"/>
      <c r="GH509" s="855"/>
      <c r="GI509" s="855"/>
      <c r="GJ509" s="855"/>
      <c r="GK509" s="855"/>
      <c r="GL509" s="855"/>
      <c r="GM509" s="855"/>
      <c r="GN509" s="855"/>
      <c r="GO509" s="855"/>
      <c r="GP509" s="855"/>
      <c r="GQ509" s="855"/>
      <c r="GR509" s="855"/>
      <c r="GS509" s="855"/>
      <c r="GT509" s="855"/>
      <c r="GU509" s="855"/>
      <c r="GV509" s="855"/>
      <c r="GW509" s="855"/>
      <c r="GX509" s="855"/>
      <c r="GY509" s="855"/>
      <c r="GZ509" s="855"/>
      <c r="HA509" s="855"/>
      <c r="HB509" s="855"/>
      <c r="HC509" s="855"/>
      <c r="HD509" s="855"/>
      <c r="HE509" s="855"/>
      <c r="HF509" s="855"/>
      <c r="HG509" s="855"/>
      <c r="HH509" s="855"/>
      <c r="HI509" s="855"/>
      <c r="HJ509" s="855"/>
      <c r="HK509" s="855"/>
      <c r="HL509" s="855"/>
      <c r="HM509" s="855"/>
      <c r="HN509" s="855"/>
      <c r="HO509" s="855"/>
      <c r="HP509" s="855"/>
      <c r="HQ509" s="855"/>
      <c r="HR509" s="855"/>
      <c r="HS509" s="855"/>
      <c r="HT509" s="855"/>
      <c r="HU509" s="855"/>
      <c r="HV509" s="855"/>
      <c r="HW509" s="855"/>
      <c r="HX509" s="855"/>
      <c r="HY509" s="855"/>
      <c r="HZ509" s="855"/>
      <c r="IA509" s="855"/>
      <c r="IB509" s="855"/>
      <c r="IC509" s="855"/>
      <c r="ID509" s="855"/>
      <c r="IE509" s="855"/>
      <c r="IF509" s="855"/>
      <c r="IG509" s="855"/>
      <c r="IH509" s="855"/>
      <c r="II509" s="855"/>
      <c r="IJ509" s="855"/>
      <c r="IK509" s="855"/>
      <c r="IL509" s="855"/>
      <c r="IM509" s="855"/>
      <c r="IN509" s="855"/>
      <c r="IO509" s="855"/>
      <c r="IP509" s="855"/>
      <c r="IQ509" s="855"/>
      <c r="IR509" s="855"/>
      <c r="IS509" s="855"/>
      <c r="IT509" s="855"/>
      <c r="IU509" s="855"/>
      <c r="IV509" s="855"/>
      <c r="IW509" s="855"/>
      <c r="IX509" s="855"/>
      <c r="IY509" s="855"/>
      <c r="IZ509" s="855"/>
      <c r="JA509" s="855"/>
      <c r="JB509" s="855"/>
      <c r="JC509" s="855"/>
      <c r="JD509" s="855"/>
      <c r="JE509" s="855"/>
      <c r="JF509" s="855"/>
      <c r="JG509" s="855"/>
      <c r="JH509" s="855"/>
      <c r="JI509" s="855"/>
      <c r="JJ509" s="855"/>
      <c r="JK509" s="855"/>
      <c r="JL509" s="855"/>
      <c r="JM509"/>
    </row>
    <row r="510" spans="1:273" s="860" customFormat="1">
      <c r="A510" s="302" t="s">
        <v>689</v>
      </c>
      <c r="B510" s="298"/>
      <c r="C510" s="296"/>
      <c r="D510" s="296"/>
      <c r="E510" s="296"/>
      <c r="F510" s="296"/>
      <c r="G510" s="296"/>
      <c r="H510" s="296"/>
      <c r="I510" s="296"/>
      <c r="J510" s="296"/>
      <c r="K510" s="296"/>
      <c r="L510" s="296"/>
      <c r="M510" s="296"/>
      <c r="N510" s="296"/>
      <c r="O510" s="296"/>
      <c r="P510" s="296"/>
      <c r="Q510" s="296"/>
      <c r="R510" s="296"/>
      <c r="S510" s="296"/>
      <c r="T510" s="296"/>
      <c r="U510" s="296"/>
      <c r="V510" s="296"/>
      <c r="W510" s="296"/>
      <c r="X510" s="296"/>
      <c r="Y510" s="296"/>
      <c r="Z510" s="296"/>
      <c r="AA510" s="296"/>
      <c r="AB510" s="296"/>
      <c r="AC510" s="296"/>
      <c r="AD510" s="296"/>
      <c r="AE510" s="296"/>
      <c r="AF510" s="296"/>
      <c r="AG510" s="296"/>
      <c r="AH510" s="296"/>
      <c r="AI510" s="296"/>
      <c r="AJ510" s="296"/>
      <c r="AK510" s="296"/>
      <c r="AL510" s="296"/>
      <c r="AM510" s="296"/>
      <c r="AN510" s="298"/>
      <c r="AO510" s="298"/>
      <c r="AP510" s="929">
        <f>DIVISIONS!AP633</f>
        <v>0</v>
      </c>
      <c r="AQ510" s="298"/>
      <c r="AR510" s="298"/>
      <c r="AS510" s="298"/>
      <c r="AT510" s="929">
        <f>DIVISIONS!AT633</f>
        <v>0</v>
      </c>
      <c r="AU510" s="298"/>
      <c r="AV510" s="929">
        <f>DIVISIONS!AV633</f>
        <v>0</v>
      </c>
      <c r="AW510" s="929">
        <f>DIVISIONS!AW633</f>
        <v>0</v>
      </c>
      <c r="AX510" s="857"/>
      <c r="AY510" s="976"/>
      <c r="AZ510" s="929">
        <f>DIVISIONS!AZ633</f>
        <v>0</v>
      </c>
      <c r="BA510" s="929">
        <f>DIVISIONS!BA633</f>
        <v>0</v>
      </c>
      <c r="BB510" s="857"/>
      <c r="BC510" s="857"/>
      <c r="BD510" s="929">
        <f>DIVISIONS!BD633</f>
        <v>0</v>
      </c>
      <c r="BE510" s="929">
        <f>DIVISIONS!BE633</f>
        <v>0</v>
      </c>
      <c r="BF510" s="929">
        <f t="shared" si="627"/>
        <v>0</v>
      </c>
      <c r="BG510" s="859"/>
      <c r="BH510" s="929">
        <f>DIVISIONS!BH633</f>
        <v>0</v>
      </c>
      <c r="BI510" s="929">
        <f>DIVISIONS!BI633</f>
        <v>0</v>
      </c>
      <c r="BJ510" s="929">
        <f t="shared" si="623"/>
        <v>0</v>
      </c>
      <c r="BK510" s="859"/>
      <c r="BL510" s="929">
        <f>DIVISIONS!BL633</f>
        <v>0</v>
      </c>
      <c r="BM510" s="929">
        <f>DIVISIONS!BM633</f>
        <v>0</v>
      </c>
      <c r="BN510" s="929">
        <f t="shared" si="624"/>
        <v>0</v>
      </c>
      <c r="BO510" s="859"/>
      <c r="BP510" s="929">
        <f>DIVISIONS!BP633</f>
        <v>0</v>
      </c>
      <c r="BQ510" s="929">
        <f>DIVISIONS!BQ633</f>
        <v>0</v>
      </c>
      <c r="BR510" s="929">
        <f t="shared" si="625"/>
        <v>0</v>
      </c>
      <c r="BS510" s="859"/>
      <c r="BT510" s="929">
        <f>DIVISIONS!BT633</f>
        <v>0</v>
      </c>
      <c r="BU510" s="929">
        <f>DIVISIONS!BU633</f>
        <v>0</v>
      </c>
      <c r="BV510" s="929">
        <f t="shared" si="626"/>
        <v>0</v>
      </c>
      <c r="BW510" s="859"/>
      <c r="BX510" s="929">
        <f>DIVISIONS!BX633</f>
        <v>0</v>
      </c>
      <c r="BY510" s="929">
        <f>DIVISIONS!BY633</f>
        <v>0</v>
      </c>
      <c r="BZ510" s="929">
        <f>BX510+BY510</f>
        <v>0</v>
      </c>
      <c r="CA510" s="859"/>
      <c r="CB510" s="929">
        <f>DIVISIONS!CB633</f>
        <v>0</v>
      </c>
      <c r="CC510" s="929">
        <f>DIVISIONS!CC633</f>
        <v>0</v>
      </c>
      <c r="CD510" s="929">
        <f>CB510+CC510</f>
        <v>0</v>
      </c>
      <c r="CE510" s="1619"/>
      <c r="CF510" s="929">
        <f>DIVISIONS!CF633</f>
        <v>0</v>
      </c>
      <c r="CG510" s="929">
        <f>DIVISIONS!CG633</f>
        <v>0</v>
      </c>
      <c r="CH510" s="929">
        <f>CF510+CG510</f>
        <v>0</v>
      </c>
      <c r="CI510" s="1619"/>
      <c r="CJ510" s="929">
        <f>DIVISIONS!CJ633</f>
        <v>0</v>
      </c>
      <c r="CK510" s="929">
        <f>DIVISIONS!CK633</f>
        <v>0</v>
      </c>
      <c r="CL510" s="929">
        <f>CJ510+CK510</f>
        <v>0</v>
      </c>
      <c r="CM510" s="1619"/>
      <c r="CN510" s="929">
        <f>DIVISIONS!CN633</f>
        <v>0</v>
      </c>
      <c r="CO510" s="929">
        <f>DIVISIONS!CO633</f>
        <v>0</v>
      </c>
      <c r="CP510" s="929">
        <f>CN510+CO510</f>
        <v>0</v>
      </c>
      <c r="CQ510" s="1619"/>
      <c r="CR510" s="929">
        <f>DIVISIONS!CR633</f>
        <v>0</v>
      </c>
      <c r="CS510" s="929">
        <f>DIVISIONS!CS633</f>
        <v>0</v>
      </c>
      <c r="CT510" s="929">
        <f>CR510+CS510</f>
        <v>0</v>
      </c>
      <c r="CU510" s="859"/>
      <c r="CV510" s="929">
        <f>DIVISIONS!CV633</f>
        <v>0</v>
      </c>
      <c r="CW510" s="929">
        <f>DIVISIONS!CW633</f>
        <v>0</v>
      </c>
      <c r="CX510" s="929">
        <f>CV510+CW510</f>
        <v>0</v>
      </c>
      <c r="CY510" s="859"/>
      <c r="CZ510" s="929">
        <f>DIVISIONS!CZ633</f>
        <v>0</v>
      </c>
      <c r="DA510" s="929">
        <f>DIVISIONS!DA633</f>
        <v>0</v>
      </c>
      <c r="DB510" s="929">
        <f>CZ510+DA510</f>
        <v>0</v>
      </c>
      <c r="DC510" s="859"/>
      <c r="DD510" s="929">
        <f>DIVISIONS!DD633</f>
        <v>0</v>
      </c>
      <c r="DE510" s="929">
        <f>DIVISIONS!DE633</f>
        <v>0</v>
      </c>
      <c r="DF510" s="929">
        <f>DD510+DE510</f>
        <v>0</v>
      </c>
      <c r="DG510" s="859"/>
      <c r="DH510" s="929">
        <f>DIVISIONS!DH633</f>
        <v>0</v>
      </c>
      <c r="DI510" s="859">
        <v>0</v>
      </c>
      <c r="DJ510" s="929">
        <f>DH510+DI510</f>
        <v>0</v>
      </c>
      <c r="DK510" s="859"/>
      <c r="DL510" s="859">
        <v>0</v>
      </c>
      <c r="DM510" s="859">
        <v>0</v>
      </c>
      <c r="DN510" s="929">
        <f>DL510+DM510</f>
        <v>0</v>
      </c>
      <c r="DO510" s="929"/>
      <c r="DP510" s="859">
        <v>0</v>
      </c>
      <c r="DQ510" s="859">
        <v>0</v>
      </c>
      <c r="DR510" s="929">
        <f>DP510+DQ510</f>
        <v>0</v>
      </c>
      <c r="DS510" s="929"/>
      <c r="DT510" s="859"/>
      <c r="DU510" s="859"/>
      <c r="DV510" s="859"/>
      <c r="DW510" s="859"/>
      <c r="DX510" s="929"/>
      <c r="DY510" s="857"/>
      <c r="DZ510" s="859"/>
      <c r="EA510" s="859"/>
      <c r="EB510" s="929"/>
      <c r="EC510" s="857"/>
      <c r="ED510" s="859"/>
      <c r="EE510" s="859"/>
      <c r="EF510" s="929"/>
      <c r="EG510" s="857"/>
      <c r="EH510" s="857"/>
      <c r="EI510" s="857"/>
      <c r="EJ510" s="857"/>
      <c r="EK510" s="857"/>
      <c r="EL510" s="857"/>
      <c r="EM510" s="857"/>
      <c r="EN510" s="857"/>
      <c r="EO510" s="857"/>
      <c r="EP510" s="857"/>
      <c r="FL510" s="855"/>
      <c r="FM510" s="855"/>
      <c r="FN510" s="855"/>
      <c r="FO510" s="855"/>
      <c r="FP510" s="855"/>
      <c r="FQ510" s="855"/>
      <c r="FR510" s="855"/>
      <c r="FS510" s="855"/>
      <c r="FT510" s="855"/>
      <c r="FU510" s="855"/>
      <c r="FV510" s="855"/>
      <c r="FW510" s="855"/>
      <c r="FX510" s="855"/>
      <c r="FY510" s="855"/>
      <c r="FZ510" s="855"/>
      <c r="GA510" s="855"/>
      <c r="GB510" s="855"/>
      <c r="GC510" s="855"/>
      <c r="GD510" s="855"/>
      <c r="GE510" s="855"/>
      <c r="GF510" s="855"/>
      <c r="GG510" s="855"/>
      <c r="GH510" s="855"/>
      <c r="GI510" s="855"/>
      <c r="GJ510" s="855"/>
      <c r="GK510" s="855"/>
      <c r="GL510" s="855"/>
      <c r="GM510" s="855"/>
      <c r="GN510" s="855"/>
      <c r="GO510" s="855"/>
      <c r="GP510" s="855"/>
      <c r="GQ510" s="855"/>
      <c r="GR510" s="855"/>
      <c r="GS510" s="855"/>
      <c r="GT510" s="855"/>
      <c r="GU510" s="855"/>
      <c r="GV510" s="855"/>
      <c r="GW510" s="855"/>
      <c r="GX510" s="855"/>
      <c r="GY510" s="855"/>
      <c r="GZ510" s="855"/>
      <c r="HA510" s="855"/>
      <c r="HB510" s="855"/>
      <c r="HC510" s="855"/>
      <c r="HD510" s="855"/>
      <c r="HE510" s="855"/>
      <c r="HF510" s="855"/>
      <c r="HG510" s="855"/>
      <c r="HH510" s="855"/>
      <c r="HI510" s="855"/>
      <c r="HJ510" s="855"/>
      <c r="HK510" s="855"/>
      <c r="HL510" s="855"/>
      <c r="HM510" s="855"/>
      <c r="HN510" s="855"/>
      <c r="HO510" s="855"/>
      <c r="HP510" s="855"/>
      <c r="HQ510" s="855"/>
      <c r="HR510" s="855"/>
      <c r="HS510" s="855"/>
      <c r="HT510" s="855"/>
      <c r="HU510" s="855"/>
      <c r="HV510" s="855"/>
      <c r="HW510" s="855"/>
      <c r="HX510" s="855"/>
      <c r="HY510" s="855"/>
      <c r="HZ510" s="855"/>
      <c r="IA510" s="855"/>
      <c r="IB510" s="855"/>
      <c r="IC510" s="855"/>
      <c r="ID510" s="855"/>
      <c r="IE510" s="855"/>
      <c r="IF510" s="855"/>
      <c r="IG510" s="855"/>
      <c r="IH510" s="855"/>
      <c r="II510" s="855"/>
      <c r="IJ510" s="855"/>
      <c r="IK510" s="855"/>
      <c r="IL510" s="855"/>
      <c r="IM510" s="855"/>
      <c r="IN510" s="855"/>
      <c r="IO510" s="855"/>
      <c r="IP510" s="855"/>
      <c r="IQ510" s="855"/>
      <c r="IR510" s="855"/>
      <c r="IS510" s="855"/>
      <c r="IT510" s="855"/>
      <c r="IU510" s="855"/>
      <c r="IV510" s="855"/>
      <c r="IW510" s="855"/>
      <c r="IX510" s="855"/>
      <c r="IY510" s="855"/>
      <c r="IZ510" s="855"/>
      <c r="JA510" s="855"/>
      <c r="JB510" s="855"/>
      <c r="JC510" s="855"/>
      <c r="JD510" s="855"/>
      <c r="JE510" s="855"/>
      <c r="JF510" s="855"/>
      <c r="JG510" s="855"/>
      <c r="JH510" s="855"/>
      <c r="JI510" s="855"/>
      <c r="JJ510" s="855"/>
      <c r="JK510" s="855"/>
      <c r="JL510" s="855"/>
      <c r="JM510"/>
    </row>
    <row r="511" spans="1:273" s="860" customFormat="1">
      <c r="A511" s="302" t="s">
        <v>688</v>
      </c>
      <c r="B511" s="298"/>
      <c r="C511" s="296"/>
      <c r="D511" s="296"/>
      <c r="E511" s="296"/>
      <c r="F511" s="296"/>
      <c r="G511" s="296"/>
      <c r="H511" s="296"/>
      <c r="I511" s="296"/>
      <c r="J511" s="296"/>
      <c r="K511" s="296"/>
      <c r="L511" s="296"/>
      <c r="M511" s="296"/>
      <c r="N511" s="296"/>
      <c r="O511" s="296"/>
      <c r="P511" s="296"/>
      <c r="Q511" s="296"/>
      <c r="R511" s="296"/>
      <c r="S511" s="296"/>
      <c r="T511" s="296"/>
      <c r="U511" s="296"/>
      <c r="V511" s="296"/>
      <c r="W511" s="296"/>
      <c r="X511" s="296"/>
      <c r="Y511" s="296"/>
      <c r="Z511" s="296"/>
      <c r="AA511" s="296"/>
      <c r="AB511" s="296"/>
      <c r="AC511" s="296"/>
      <c r="AD511" s="296"/>
      <c r="AE511" s="296"/>
      <c r="AF511" s="296"/>
      <c r="AG511" s="296"/>
      <c r="AH511" s="296"/>
      <c r="AI511" s="296"/>
      <c r="AJ511" s="296"/>
      <c r="AK511" s="296"/>
      <c r="AL511" s="296"/>
      <c r="AM511" s="296"/>
      <c r="AN511" s="298"/>
      <c r="AO511" s="298"/>
      <c r="AP511" s="929">
        <f>DIVISIONS!AP692</f>
        <v>0</v>
      </c>
      <c r="AQ511" s="298"/>
      <c r="AR511" s="298"/>
      <c r="AS511" s="298"/>
      <c r="AT511" s="929">
        <f>DIVISIONS!AT692</f>
        <v>0</v>
      </c>
      <c r="AU511" s="298"/>
      <c r="AV511" s="929">
        <f>DIVISIONS!AV692</f>
        <v>0</v>
      </c>
      <c r="AW511" s="929">
        <f>DIVISIONS!AW692</f>
        <v>0</v>
      </c>
      <c r="AX511" s="857"/>
      <c r="AY511" s="976"/>
      <c r="AZ511" s="929">
        <f>DIVISIONS!AZ692</f>
        <v>0</v>
      </c>
      <c r="BA511" s="929">
        <f>DIVISIONS!BA692</f>
        <v>0</v>
      </c>
      <c r="BB511" s="857"/>
      <c r="BC511" s="857"/>
      <c r="BD511" s="929"/>
      <c r="BE511" s="929"/>
      <c r="BF511" s="929"/>
      <c r="BG511" s="859"/>
      <c r="BH511" s="929"/>
      <c r="BI511" s="929"/>
      <c r="BJ511" s="929"/>
      <c r="BK511" s="859"/>
      <c r="BL511" s="929"/>
      <c r="BM511" s="929"/>
      <c r="BN511" s="929"/>
      <c r="BO511" s="859"/>
      <c r="BP511" s="929"/>
      <c r="BQ511" s="929"/>
      <c r="BR511" s="929"/>
      <c r="BS511" s="859"/>
      <c r="BT511" s="929"/>
      <c r="BU511" s="929"/>
      <c r="BV511" s="929"/>
      <c r="BW511" s="859"/>
      <c r="BX511" s="929"/>
      <c r="BY511" s="929"/>
      <c r="BZ511" s="929"/>
      <c r="CA511" s="859"/>
      <c r="CB511" s="929"/>
      <c r="CC511" s="929"/>
      <c r="CD511" s="929"/>
      <c r="CE511" s="1619"/>
      <c r="CF511" s="929"/>
      <c r="CG511" s="929"/>
      <c r="CH511" s="929"/>
      <c r="CI511" s="1619"/>
      <c r="CJ511" s="929"/>
      <c r="CK511" s="929"/>
      <c r="CL511" s="929"/>
      <c r="CM511" s="1619"/>
      <c r="CN511" s="929"/>
      <c r="CO511" s="929"/>
      <c r="CP511" s="929"/>
      <c r="CQ511" s="1619"/>
      <c r="CR511" s="929"/>
      <c r="CS511" s="929"/>
      <c r="CT511" s="929"/>
      <c r="CU511" s="859"/>
      <c r="CV511" s="929"/>
      <c r="CW511" s="929"/>
      <c r="CX511" s="929"/>
      <c r="CY511" s="859"/>
      <c r="CZ511" s="929"/>
      <c r="DA511" s="929"/>
      <c r="DB511" s="929"/>
      <c r="DC511" s="859"/>
      <c r="DD511" s="929"/>
      <c r="DE511" s="929"/>
      <c r="DF511" s="929"/>
      <c r="DG511" s="859"/>
      <c r="DH511" s="929"/>
      <c r="DI511" s="859"/>
      <c r="DJ511" s="929"/>
      <c r="DK511" s="859"/>
      <c r="DL511" s="859"/>
      <c r="DM511" s="859"/>
      <c r="DN511" s="929"/>
      <c r="DO511" s="929"/>
      <c r="DP511" s="859"/>
      <c r="DQ511" s="859"/>
      <c r="DR511" s="929"/>
      <c r="DS511" s="929"/>
      <c r="DT511" s="859"/>
      <c r="DU511" s="859"/>
      <c r="DV511" s="859"/>
      <c r="DW511" s="859"/>
      <c r="DX511" s="929"/>
      <c r="DY511" s="857"/>
      <c r="DZ511" s="859"/>
      <c r="EA511" s="859"/>
      <c r="EB511" s="929"/>
      <c r="EC511" s="857"/>
      <c r="ED511" s="859"/>
      <c r="EE511" s="859"/>
      <c r="EF511" s="929"/>
      <c r="EG511" s="857"/>
      <c r="EH511" s="857"/>
      <c r="EI511" s="857"/>
      <c r="EJ511" s="857"/>
      <c r="EK511" s="857"/>
      <c r="EL511" s="857"/>
      <c r="EM511" s="857"/>
      <c r="EN511" s="857"/>
      <c r="EO511" s="857"/>
      <c r="EP511" s="857"/>
      <c r="FL511" s="855"/>
      <c r="FM511" s="855"/>
      <c r="FN511" s="855"/>
      <c r="FO511" s="855"/>
      <c r="FP511" s="855"/>
      <c r="FQ511" s="855"/>
      <c r="FR511" s="855"/>
      <c r="FS511" s="855"/>
      <c r="FT511" s="855"/>
      <c r="FU511" s="855"/>
      <c r="FV511" s="855"/>
      <c r="FW511" s="855"/>
      <c r="FX511" s="855"/>
      <c r="FY511" s="855"/>
      <c r="FZ511" s="855"/>
      <c r="GA511" s="855"/>
      <c r="GB511" s="855"/>
      <c r="GC511" s="855"/>
      <c r="GD511" s="855"/>
      <c r="GE511" s="855"/>
      <c r="GF511" s="855"/>
      <c r="GG511" s="855"/>
      <c r="GH511" s="855"/>
      <c r="GI511" s="855"/>
      <c r="GJ511" s="855"/>
      <c r="GK511" s="855"/>
      <c r="GL511" s="855"/>
      <c r="GM511" s="855"/>
      <c r="GN511" s="855"/>
      <c r="GO511" s="855"/>
      <c r="GP511" s="855"/>
      <c r="GQ511" s="855"/>
      <c r="GR511" s="855"/>
      <c r="GS511" s="855"/>
      <c r="GT511" s="855"/>
      <c r="GU511" s="855"/>
      <c r="GV511" s="855"/>
      <c r="GW511" s="855"/>
      <c r="GX511" s="855"/>
      <c r="GY511" s="855"/>
      <c r="GZ511" s="855"/>
      <c r="HA511" s="855"/>
      <c r="HB511" s="855"/>
      <c r="HC511" s="855"/>
      <c r="HD511" s="855"/>
      <c r="HE511" s="855"/>
      <c r="HF511" s="855"/>
      <c r="HG511" s="855"/>
      <c r="HH511" s="855"/>
      <c r="HI511" s="855"/>
      <c r="HJ511" s="855"/>
      <c r="HK511" s="855"/>
      <c r="HL511" s="855"/>
      <c r="HM511" s="855"/>
      <c r="HN511" s="855"/>
      <c r="HO511" s="855"/>
      <c r="HP511" s="855"/>
      <c r="HQ511" s="855"/>
      <c r="HR511" s="855"/>
      <c r="HS511" s="855"/>
      <c r="HT511" s="855"/>
      <c r="HU511" s="855"/>
      <c r="HV511" s="855"/>
      <c r="HW511" s="855"/>
      <c r="HX511" s="855"/>
      <c r="HY511" s="855"/>
      <c r="HZ511" s="855"/>
      <c r="IA511" s="855"/>
      <c r="IB511" s="855"/>
      <c r="IC511" s="855"/>
      <c r="ID511" s="855"/>
      <c r="IE511" s="855"/>
      <c r="IF511" s="855"/>
      <c r="IG511" s="855"/>
      <c r="IH511" s="855"/>
      <c r="II511" s="855"/>
      <c r="IJ511" s="855"/>
      <c r="IK511" s="855"/>
      <c r="IL511" s="855"/>
      <c r="IM511" s="855"/>
      <c r="IN511" s="855"/>
      <c r="IO511" s="855"/>
      <c r="IP511" s="855"/>
      <c r="IQ511" s="855"/>
      <c r="IR511" s="855"/>
      <c r="IS511" s="855"/>
      <c r="IT511" s="855"/>
      <c r="IU511" s="855"/>
      <c r="IV511" s="855"/>
      <c r="IW511" s="855"/>
      <c r="IX511" s="855"/>
      <c r="IY511" s="855"/>
      <c r="IZ511" s="855"/>
      <c r="JA511" s="855"/>
      <c r="JB511" s="855"/>
      <c r="JC511" s="855"/>
      <c r="JD511" s="855"/>
      <c r="JE511" s="855"/>
      <c r="JF511" s="855"/>
      <c r="JG511" s="855"/>
      <c r="JH511" s="855"/>
      <c r="JI511" s="855"/>
      <c r="JJ511" s="855"/>
      <c r="JK511" s="855"/>
      <c r="JL511" s="855"/>
      <c r="JM511"/>
    </row>
    <row r="512" spans="1:273" s="860" customFormat="1">
      <c r="A512" s="302" t="s">
        <v>691</v>
      </c>
      <c r="B512" s="298"/>
      <c r="C512" s="296"/>
      <c r="D512" s="296"/>
      <c r="E512" s="296"/>
      <c r="F512" s="296"/>
      <c r="G512" s="296"/>
      <c r="H512" s="296"/>
      <c r="I512" s="296"/>
      <c r="J512" s="296"/>
      <c r="K512" s="296"/>
      <c r="L512" s="296"/>
      <c r="M512" s="296"/>
      <c r="N512" s="296"/>
      <c r="O512" s="296"/>
      <c r="P512" s="296"/>
      <c r="Q512" s="296"/>
      <c r="R512" s="296"/>
      <c r="S512" s="296"/>
      <c r="T512" s="296"/>
      <c r="U512" s="296"/>
      <c r="V512" s="296"/>
      <c r="W512" s="296"/>
      <c r="X512" s="296"/>
      <c r="Y512" s="296"/>
      <c r="Z512" s="296"/>
      <c r="AA512" s="296"/>
      <c r="AB512" s="296"/>
      <c r="AC512" s="296"/>
      <c r="AD512" s="296"/>
      <c r="AE512" s="296"/>
      <c r="AF512" s="296"/>
      <c r="AG512" s="296"/>
      <c r="AH512" s="296"/>
      <c r="AI512" s="296"/>
      <c r="AJ512" s="296"/>
      <c r="AK512" s="296"/>
      <c r="AL512" s="296"/>
      <c r="AM512" s="296"/>
      <c r="AN512" s="298"/>
      <c r="AO512" s="298"/>
      <c r="AP512" s="929">
        <f>DIVISIONS!AP748</f>
        <v>0</v>
      </c>
      <c r="AQ512" s="298"/>
      <c r="AR512" s="298"/>
      <c r="AS512" s="298"/>
      <c r="AT512" s="929">
        <f>DIVISIONS!AT748</f>
        <v>-7</v>
      </c>
      <c r="AU512" s="298"/>
      <c r="AV512" s="929">
        <f>DIVISIONS!AV748</f>
        <v>10</v>
      </c>
      <c r="AW512" s="929">
        <f>DIVISIONS!AW748</f>
        <v>18</v>
      </c>
      <c r="AX512" s="857"/>
      <c r="AY512" s="976"/>
      <c r="AZ512" s="929">
        <f>DIVISIONS!AZ748</f>
        <v>43</v>
      </c>
      <c r="BA512" s="929">
        <f>DIVISIONS!BA748</f>
        <v>6</v>
      </c>
      <c r="BB512" s="857"/>
      <c r="BC512" s="857"/>
      <c r="BD512" s="929">
        <f>DIVISIONS!BD748</f>
        <v>25</v>
      </c>
      <c r="BE512" s="929">
        <f>DIVISIONS!BE748</f>
        <v>-24</v>
      </c>
      <c r="BF512" s="929">
        <f t="shared" si="627"/>
        <v>1</v>
      </c>
      <c r="BG512" s="859"/>
      <c r="BH512" s="929">
        <f>DIVISIONS!BH748</f>
        <v>5</v>
      </c>
      <c r="BI512" s="929">
        <f>DIVISIONS!BI748</f>
        <v>174</v>
      </c>
      <c r="BJ512" s="929">
        <f>BH512+BI512</f>
        <v>179</v>
      </c>
      <c r="BK512" s="859"/>
      <c r="BL512" s="929">
        <f>DIVISIONS!BL748</f>
        <v>7</v>
      </c>
      <c r="BM512" s="929">
        <f>DIVISIONS!BM748</f>
        <v>254</v>
      </c>
      <c r="BN512" s="929">
        <f>BL512+BM512</f>
        <v>261</v>
      </c>
      <c r="BO512" s="859"/>
      <c r="BP512" s="929">
        <f>DIVISIONS!BP748</f>
        <v>23</v>
      </c>
      <c r="BQ512" s="929">
        <f>DIVISIONS!BQ748</f>
        <v>16</v>
      </c>
      <c r="BR512" s="929">
        <f>BP512+BQ512</f>
        <v>39</v>
      </c>
      <c r="BS512" s="859"/>
      <c r="BT512" s="929">
        <f>DIVISIONS!BT748</f>
        <v>-23</v>
      </c>
      <c r="BU512" s="929">
        <f>DIVISIONS!BU748</f>
        <v>-2</v>
      </c>
      <c r="BV512" s="929">
        <f>BT512+BU512</f>
        <v>-25</v>
      </c>
      <c r="BW512" s="859"/>
      <c r="BX512" s="929">
        <f>DIVISIONS!BX748</f>
        <v>46</v>
      </c>
      <c r="BY512" s="929">
        <f>DIVISIONS!BY748</f>
        <v>51</v>
      </c>
      <c r="BZ512" s="929">
        <f>BX512+BY512</f>
        <v>97</v>
      </c>
      <c r="CA512" s="859"/>
      <c r="CB512" s="929">
        <f>DIVISIONS!CB748</f>
        <v>0</v>
      </c>
      <c r="CC512" s="929">
        <f>DIVISIONS!CC748</f>
        <v>0</v>
      </c>
      <c r="CD512" s="929">
        <f>CB512+CC512</f>
        <v>0</v>
      </c>
      <c r="CE512" s="1619"/>
      <c r="CF512" s="929">
        <f>DIVISIONS!CF748</f>
        <v>0</v>
      </c>
      <c r="CG512" s="929">
        <f>DIVISIONS!CG748</f>
        <v>0</v>
      </c>
      <c r="CH512" s="929">
        <f>CF512+CG512</f>
        <v>0</v>
      </c>
      <c r="CI512" s="1619"/>
      <c r="CJ512" s="929">
        <f>DIVISIONS!CJ748</f>
        <v>0</v>
      </c>
      <c r="CK512" s="929">
        <f>DIVISIONS!CK748</f>
        <v>0</v>
      </c>
      <c r="CL512" s="929">
        <f>CJ512+CK512</f>
        <v>0</v>
      </c>
      <c r="CM512" s="1619"/>
      <c r="CN512" s="929">
        <f>DIVISIONS!CN748</f>
        <v>0</v>
      </c>
      <c r="CO512" s="929">
        <f>DIVISIONS!CO748</f>
        <v>0</v>
      </c>
      <c r="CP512" s="929">
        <f>CN512+CO512</f>
        <v>0</v>
      </c>
      <c r="CQ512" s="1619"/>
      <c r="CR512" s="929">
        <f>DIVISIONS!CR748</f>
        <v>0</v>
      </c>
      <c r="CS512" s="929">
        <f>DIVISIONS!CS748</f>
        <v>0</v>
      </c>
      <c r="CT512" s="929">
        <f>CR512+CS512</f>
        <v>0</v>
      </c>
      <c r="CU512" s="859"/>
      <c r="CV512" s="929">
        <f>DIVISIONS!CV748</f>
        <v>0</v>
      </c>
      <c r="CW512" s="929">
        <f>DIVISIONS!CW748</f>
        <v>0</v>
      </c>
      <c r="CX512" s="929">
        <f>CV512+CW512</f>
        <v>0</v>
      </c>
      <c r="CY512" s="859"/>
      <c r="CZ512" s="929">
        <f>DIVISIONS!CZ748</f>
        <v>0</v>
      </c>
      <c r="DA512" s="929">
        <f>DIVISIONS!DA748</f>
        <v>0</v>
      </c>
      <c r="DB512" s="929">
        <f>CZ512+DA512</f>
        <v>0</v>
      </c>
      <c r="DC512" s="859"/>
      <c r="DD512" s="929">
        <f>DIVISIONS!DD748</f>
        <v>0</v>
      </c>
      <c r="DE512" s="929">
        <f>DIVISIONS!DE748</f>
        <v>0</v>
      </c>
      <c r="DF512" s="929">
        <f>DD512+DE512</f>
        <v>0</v>
      </c>
      <c r="DG512" s="859"/>
      <c r="DH512" s="929">
        <f>DIVISIONS!DH748</f>
        <v>0</v>
      </c>
      <c r="DI512" s="859">
        <v>0</v>
      </c>
      <c r="DJ512" s="929">
        <f>DH512+DI512</f>
        <v>0</v>
      </c>
      <c r="DK512" s="859"/>
      <c r="DL512" s="859">
        <v>0</v>
      </c>
      <c r="DM512" s="859">
        <v>0</v>
      </c>
      <c r="DN512" s="929">
        <f>DL512+DM512</f>
        <v>0</v>
      </c>
      <c r="DO512" s="929"/>
      <c r="DP512" s="859">
        <v>0</v>
      </c>
      <c r="DQ512" s="859">
        <v>0</v>
      </c>
      <c r="DR512" s="929">
        <f>DP512+DQ512</f>
        <v>0</v>
      </c>
      <c r="DS512" s="929"/>
      <c r="DT512" s="859"/>
      <c r="DU512" s="859"/>
      <c r="DV512" s="859"/>
      <c r="DW512" s="859"/>
      <c r="DX512" s="929"/>
      <c r="DY512" s="857"/>
      <c r="DZ512" s="859"/>
      <c r="EA512" s="859"/>
      <c r="EB512" s="929"/>
      <c r="EC512" s="857"/>
      <c r="ED512" s="859"/>
      <c r="EE512" s="859"/>
      <c r="EF512" s="929"/>
      <c r="EG512" s="857"/>
      <c r="EH512" s="857"/>
      <c r="EI512" s="857"/>
      <c r="EJ512" s="857"/>
      <c r="EK512" s="857"/>
      <c r="EL512" s="857"/>
      <c r="EM512" s="857"/>
      <c r="EN512" s="857"/>
      <c r="EO512" s="857"/>
      <c r="EP512" s="857"/>
      <c r="FL512" s="855"/>
      <c r="FM512" s="855"/>
      <c r="FN512" s="855"/>
      <c r="FO512" s="855"/>
      <c r="FP512" s="855"/>
      <c r="FQ512" s="855"/>
      <c r="FR512" s="855"/>
      <c r="FS512" s="855"/>
      <c r="FT512" s="855"/>
      <c r="FU512" s="855"/>
      <c r="FV512" s="855"/>
      <c r="FW512" s="855"/>
      <c r="FX512" s="855"/>
      <c r="FY512" s="855"/>
      <c r="FZ512" s="855"/>
      <c r="GA512" s="855"/>
      <c r="GB512" s="855"/>
      <c r="GC512" s="855"/>
      <c r="GD512" s="855"/>
      <c r="GE512" s="855"/>
      <c r="GF512" s="855"/>
      <c r="GG512" s="855"/>
      <c r="GH512" s="855"/>
      <c r="GI512" s="855"/>
      <c r="GJ512" s="855"/>
      <c r="GK512" s="855"/>
      <c r="GL512" s="855"/>
      <c r="GM512" s="855"/>
      <c r="GN512" s="855"/>
      <c r="GO512" s="855"/>
      <c r="GP512" s="855"/>
      <c r="GQ512" s="855"/>
      <c r="GR512" s="855"/>
      <c r="GS512" s="855"/>
      <c r="GT512" s="855"/>
      <c r="GU512" s="855"/>
      <c r="GV512" s="855"/>
      <c r="GW512" s="855"/>
      <c r="GX512" s="855"/>
      <c r="GY512" s="855"/>
      <c r="GZ512" s="855"/>
      <c r="HA512" s="855"/>
      <c r="HB512" s="855"/>
      <c r="HC512" s="855"/>
      <c r="HD512" s="855"/>
      <c r="HE512" s="855"/>
      <c r="HF512" s="855"/>
      <c r="HG512" s="855"/>
      <c r="HH512" s="855"/>
      <c r="HI512" s="855"/>
      <c r="HJ512" s="855"/>
      <c r="HK512" s="855"/>
      <c r="HL512" s="855"/>
      <c r="HM512" s="855"/>
      <c r="HN512" s="855"/>
      <c r="HO512" s="855"/>
      <c r="HP512" s="855"/>
      <c r="HQ512" s="855"/>
      <c r="HR512" s="855"/>
      <c r="HS512" s="855"/>
      <c r="HT512" s="855"/>
      <c r="HU512" s="855"/>
      <c r="HV512" s="855"/>
      <c r="HW512" s="855"/>
      <c r="HX512" s="855"/>
      <c r="HY512" s="855"/>
      <c r="HZ512" s="855"/>
      <c r="IA512" s="855"/>
      <c r="IB512" s="855"/>
      <c r="IC512" s="855"/>
      <c r="ID512" s="855"/>
      <c r="IE512" s="855"/>
      <c r="IF512" s="855"/>
      <c r="IG512" s="855"/>
      <c r="IH512" s="855"/>
      <c r="II512" s="855"/>
      <c r="IJ512" s="855"/>
      <c r="IK512" s="855"/>
      <c r="IL512" s="855"/>
      <c r="IM512" s="855"/>
      <c r="IN512" s="855"/>
      <c r="IO512" s="855"/>
      <c r="IP512" s="855"/>
      <c r="IQ512" s="855"/>
      <c r="IR512" s="855"/>
      <c r="IS512" s="855"/>
      <c r="IT512" s="855"/>
      <c r="IU512" s="855"/>
      <c r="IV512" s="855"/>
      <c r="IW512" s="855"/>
      <c r="IX512" s="855"/>
      <c r="IY512" s="855"/>
      <c r="IZ512" s="855"/>
      <c r="JA512" s="855"/>
      <c r="JB512" s="855"/>
      <c r="JC512" s="855"/>
      <c r="JD512" s="855"/>
      <c r="JE512" s="855"/>
      <c r="JF512" s="855"/>
      <c r="JG512" s="855"/>
      <c r="JH512" s="855"/>
      <c r="JI512" s="855"/>
      <c r="JJ512" s="855"/>
      <c r="JK512" s="855"/>
      <c r="JL512" s="855"/>
      <c r="JM512"/>
    </row>
    <row r="513" spans="1:273" s="855" customFormat="1">
      <c r="A513" s="289" t="s">
        <v>613</v>
      </c>
      <c r="B513" s="290"/>
      <c r="C513" s="289"/>
      <c r="D513" s="289"/>
      <c r="E513" s="289"/>
      <c r="F513" s="289"/>
      <c r="G513" s="289"/>
      <c r="H513" s="289"/>
      <c r="I513" s="289"/>
      <c r="J513" s="289"/>
      <c r="K513" s="289"/>
      <c r="L513" s="289"/>
      <c r="M513" s="289"/>
      <c r="N513" s="289"/>
      <c r="O513" s="289"/>
      <c r="P513" s="289"/>
      <c r="Q513" s="289"/>
      <c r="R513" s="289"/>
      <c r="S513" s="289"/>
      <c r="T513" s="289"/>
      <c r="U513" s="289"/>
      <c r="V513" s="289"/>
      <c r="W513" s="289"/>
      <c r="X513" s="289"/>
      <c r="Y513" s="289"/>
      <c r="Z513" s="289"/>
      <c r="AA513" s="289"/>
      <c r="AB513" s="289"/>
      <c r="AC513" s="289"/>
      <c r="AD513" s="289"/>
      <c r="AE513" s="289"/>
      <c r="AF513" s="289"/>
      <c r="AG513" s="289"/>
      <c r="AH513" s="289"/>
      <c r="AI513" s="289"/>
      <c r="AJ513" s="289"/>
      <c r="AK513" s="289"/>
      <c r="AL513" s="289"/>
      <c r="AM513" s="289"/>
      <c r="AN513" s="290"/>
      <c r="AO513" s="290"/>
      <c r="AP513" s="853">
        <f>SUM(AP505:AP512)</f>
        <v>0</v>
      </c>
      <c r="AQ513" s="290"/>
      <c r="AR513" s="290"/>
      <c r="AS513" s="290"/>
      <c r="AT513" s="853">
        <f>SUM(AT505:AT512)</f>
        <v>-7</v>
      </c>
      <c r="AU513" s="290"/>
      <c r="AV513" s="853">
        <f>SUM(AV505:AV512)</f>
        <v>10</v>
      </c>
      <c r="AW513" s="853">
        <f>SUM(AW505:AW512)</f>
        <v>18</v>
      </c>
      <c r="AX513" s="853"/>
      <c r="AY513" s="820"/>
      <c r="AZ513" s="853">
        <f>SUM(AZ505:AZ512)</f>
        <v>43</v>
      </c>
      <c r="BA513" s="853">
        <f>SUM(BA505:BA512)</f>
        <v>6</v>
      </c>
      <c r="BB513" s="853"/>
      <c r="BC513" s="853"/>
      <c r="BD513" s="853">
        <f>SUM(BD505:BD512)</f>
        <v>25</v>
      </c>
      <c r="BE513" s="853">
        <f>SUM(BE505:BE512)</f>
        <v>-24</v>
      </c>
      <c r="BF513" s="818">
        <f t="shared" si="627"/>
        <v>1</v>
      </c>
      <c r="BG513" s="853"/>
      <c r="BH513" s="853">
        <f>SUM(BH505:BH512)</f>
        <v>5</v>
      </c>
      <c r="BI513" s="853">
        <f>SUM(BI505:BI512)</f>
        <v>174</v>
      </c>
      <c r="BJ513" s="818">
        <f>BH513+BI513</f>
        <v>179</v>
      </c>
      <c r="BK513" s="853"/>
      <c r="BL513" s="853">
        <f>SUM(BL505:BL512)</f>
        <v>7</v>
      </c>
      <c r="BM513" s="853">
        <f>SUM(BM505:BM512)</f>
        <v>254</v>
      </c>
      <c r="BN513" s="818">
        <f>BL513+BM513</f>
        <v>261</v>
      </c>
      <c r="BO513" s="853"/>
      <c r="BP513" s="853">
        <f>SUM(BP505:BP512)</f>
        <v>23</v>
      </c>
      <c r="BQ513" s="853">
        <f>SUM(BQ505:BQ512)</f>
        <v>16</v>
      </c>
      <c r="BR513" s="818">
        <f>BP513+BQ513</f>
        <v>39</v>
      </c>
      <c r="BS513" s="853"/>
      <c r="BT513" s="853">
        <f>SUM(BT505:BT512)</f>
        <v>-23</v>
      </c>
      <c r="BU513" s="853">
        <f>SUM(BU505:BU512)</f>
        <v>-2</v>
      </c>
      <c r="BV513" s="818">
        <f>BT513+BU513</f>
        <v>-25</v>
      </c>
      <c r="BW513" s="853"/>
      <c r="BX513" s="853">
        <f>SUM(BX505:BX512)</f>
        <v>46</v>
      </c>
      <c r="BY513" s="853">
        <f>SUM(BY505:BY512)</f>
        <v>51</v>
      </c>
      <c r="BZ513" s="818">
        <f>BX513+BY513</f>
        <v>97</v>
      </c>
      <c r="CA513" s="853"/>
      <c r="CB513" s="853">
        <f>SUM(CB505:CB512)</f>
        <v>0</v>
      </c>
      <c r="CC513" s="853">
        <f>SUM(CC505:CC512)</f>
        <v>0</v>
      </c>
      <c r="CD513" s="818">
        <f>CB513+CC513</f>
        <v>0</v>
      </c>
      <c r="CE513" s="862"/>
      <c r="CF513" s="853">
        <f>SUM(CF505:CF512)</f>
        <v>0</v>
      </c>
      <c r="CG513" s="853">
        <f>SUM(CG505:CG512)</f>
        <v>0</v>
      </c>
      <c r="CH513" s="818">
        <f>CF513+CG513</f>
        <v>0</v>
      </c>
      <c r="CI513" s="862"/>
      <c r="CJ513" s="853">
        <f>SUM(CJ505:CJ512)</f>
        <v>0</v>
      </c>
      <c r="CK513" s="853">
        <f>SUM(CK505:CK512)</f>
        <v>0</v>
      </c>
      <c r="CL513" s="818">
        <f>CJ513+CK513</f>
        <v>0</v>
      </c>
      <c r="CM513" s="862"/>
      <c r="CN513" s="853">
        <f>SUM(CN505:CN512)</f>
        <v>0</v>
      </c>
      <c r="CO513" s="853">
        <f>SUM(CO505:CO512)</f>
        <v>0</v>
      </c>
      <c r="CP513" s="818">
        <f>CN513+CO513</f>
        <v>0</v>
      </c>
      <c r="CQ513" s="862"/>
      <c r="CR513" s="853">
        <f>SUM(CR505:CR512)</f>
        <v>0</v>
      </c>
      <c r="CS513" s="853">
        <f>SUM(CS505:CS512)</f>
        <v>0</v>
      </c>
      <c r="CT513" s="818">
        <f>CR513+CS513</f>
        <v>0</v>
      </c>
      <c r="CU513" s="853"/>
      <c r="CV513" s="853">
        <f>SUM(CV505:CV512)</f>
        <v>0</v>
      </c>
      <c r="CW513" s="853">
        <f>SUM(CW505:CW512)</f>
        <v>0</v>
      </c>
      <c r="CX513" s="818">
        <f>CV513+CW513</f>
        <v>0</v>
      </c>
      <c r="CY513" s="853"/>
      <c r="CZ513" s="853">
        <f>SUM(CZ505:CZ512)</f>
        <v>0</v>
      </c>
      <c r="DA513" s="853">
        <f>SUM(DA505:DA512)</f>
        <v>0</v>
      </c>
      <c r="DB513" s="818">
        <f>CZ513+DA513</f>
        <v>0</v>
      </c>
      <c r="DC513" s="853"/>
      <c r="DD513" s="853">
        <f>SUM(DD505:DD512)</f>
        <v>0</v>
      </c>
      <c r="DE513" s="853">
        <f>SUM(DE505:DE512)</f>
        <v>0</v>
      </c>
      <c r="DF513" s="818">
        <f>DD513+DE513</f>
        <v>0</v>
      </c>
      <c r="DG513" s="853"/>
      <c r="DH513" s="853">
        <f>SUM(DH505:DH512)</f>
        <v>0</v>
      </c>
      <c r="DI513" s="853">
        <f>SUM(DI505:DI512)</f>
        <v>0</v>
      </c>
      <c r="DJ513" s="818">
        <f>DH513+DI513</f>
        <v>0</v>
      </c>
      <c r="DK513" s="853"/>
      <c r="DL513" s="853">
        <f>SUM(DL505:DL512)</f>
        <v>0</v>
      </c>
      <c r="DM513" s="853">
        <f>SUM(DM505:DM512)</f>
        <v>0</v>
      </c>
      <c r="DN513" s="818">
        <f>DL513+DM513</f>
        <v>0</v>
      </c>
      <c r="DO513" s="818"/>
      <c r="DP513" s="853">
        <f>SUM(DP505:DP512)</f>
        <v>0</v>
      </c>
      <c r="DQ513" s="853">
        <f>SUM(DQ505:DQ512)</f>
        <v>0</v>
      </c>
      <c r="DR513" s="818">
        <f>DP513+DQ513</f>
        <v>0</v>
      </c>
      <c r="DS513" s="818"/>
      <c r="DT513" s="853"/>
      <c r="DU513" s="853"/>
      <c r="DV513" s="853"/>
      <c r="DW513" s="853"/>
      <c r="DX513" s="818"/>
      <c r="DY513" s="853"/>
      <c r="DZ513" s="853"/>
      <c r="EA513" s="853"/>
      <c r="EB513" s="818"/>
      <c r="EC513" s="853"/>
      <c r="ED513" s="853"/>
      <c r="EE513" s="853"/>
      <c r="EF513" s="818"/>
      <c r="EG513" s="853"/>
      <c r="EH513" s="853"/>
      <c r="EI513" s="853"/>
      <c r="EJ513" s="853"/>
      <c r="EK513" s="853"/>
      <c r="EL513" s="853"/>
      <c r="EM513" s="853"/>
      <c r="EN513" s="853"/>
      <c r="EO513" s="853"/>
      <c r="EP513" s="853"/>
      <c r="JM513"/>
    </row>
    <row r="514" spans="1:273" s="855" customFormat="1">
      <c r="A514" s="289"/>
      <c r="B514" s="290"/>
      <c r="C514" s="289"/>
      <c r="D514" s="289"/>
      <c r="E514" s="289"/>
      <c r="F514" s="289"/>
      <c r="G514" s="289"/>
      <c r="H514" s="289"/>
      <c r="I514" s="289"/>
      <c r="J514" s="289"/>
      <c r="K514" s="289"/>
      <c r="L514" s="289"/>
      <c r="M514" s="289"/>
      <c r="N514" s="289"/>
      <c r="O514" s="289"/>
      <c r="P514" s="289"/>
      <c r="Q514" s="289"/>
      <c r="R514" s="289"/>
      <c r="S514" s="289"/>
      <c r="T514" s="289"/>
      <c r="U514" s="289"/>
      <c r="V514" s="289"/>
      <c r="W514" s="289"/>
      <c r="X514" s="289"/>
      <c r="Y514" s="289"/>
      <c r="Z514" s="289"/>
      <c r="AA514" s="289"/>
      <c r="AB514" s="289"/>
      <c r="AC514" s="289"/>
      <c r="AD514" s="289"/>
      <c r="AE514" s="289"/>
      <c r="AF514" s="289"/>
      <c r="AG514" s="289"/>
      <c r="AH514" s="289"/>
      <c r="AI514" s="289"/>
      <c r="AJ514" s="289"/>
      <c r="AK514" s="289"/>
      <c r="AL514" s="289"/>
      <c r="AM514" s="289"/>
      <c r="AN514" s="290"/>
      <c r="AO514" s="290"/>
      <c r="AP514" s="290"/>
      <c r="AQ514" s="290"/>
      <c r="AR514" s="290"/>
      <c r="AS514" s="290"/>
      <c r="AT514" s="290"/>
      <c r="AU514" s="290"/>
      <c r="AV514" s="853"/>
      <c r="AW514" s="853"/>
      <c r="AX514" s="853"/>
      <c r="AY514" s="820"/>
      <c r="AZ514" s="853"/>
      <c r="BA514" s="853"/>
      <c r="BB514" s="853"/>
      <c r="BC514" s="853"/>
      <c r="BD514" s="967"/>
      <c r="BE514" s="967"/>
      <c r="BF514" s="853"/>
      <c r="BG514" s="853"/>
      <c r="BH514" s="967"/>
      <c r="BI514" s="967"/>
      <c r="BJ514" s="853"/>
      <c r="BK514" s="853"/>
      <c r="BL514" s="967"/>
      <c r="BM514" s="967"/>
      <c r="BN514" s="853"/>
      <c r="BO514" s="853"/>
      <c r="BP514" s="967"/>
      <c r="BQ514" s="967"/>
      <c r="BR514" s="853"/>
      <c r="BS514" s="853"/>
      <c r="BT514" s="967"/>
      <c r="BU514" s="967"/>
      <c r="BV514" s="853"/>
      <c r="BW514" s="853"/>
      <c r="BX514" s="967"/>
      <c r="BY514" s="967"/>
      <c r="BZ514" s="853"/>
      <c r="CA514" s="853"/>
      <c r="CB514" s="967"/>
      <c r="CC514" s="967"/>
      <c r="CD514" s="853"/>
      <c r="CE514" s="862"/>
      <c r="CF514" s="967"/>
      <c r="CG514" s="967"/>
      <c r="CH514" s="853"/>
      <c r="CI514" s="862"/>
      <c r="CJ514" s="967"/>
      <c r="CK514" s="967"/>
      <c r="CL514" s="853"/>
      <c r="CM514" s="862"/>
      <c r="CN514" s="967"/>
      <c r="CO514" s="967"/>
      <c r="CP514" s="853"/>
      <c r="CQ514" s="862"/>
      <c r="CR514" s="967"/>
      <c r="CS514" s="967"/>
      <c r="CT514" s="853"/>
      <c r="CU514" s="853"/>
      <c r="CV514" s="967"/>
      <c r="CW514" s="967"/>
      <c r="CX514" s="853"/>
      <c r="CY514" s="853"/>
      <c r="CZ514" s="967"/>
      <c r="DA514" s="967"/>
      <c r="DB514" s="853"/>
      <c r="DC514" s="853"/>
      <c r="DD514" s="967"/>
      <c r="DE514" s="967"/>
      <c r="DF514" s="853"/>
      <c r="DG514" s="853"/>
      <c r="DH514" s="967"/>
      <c r="DI514" s="967"/>
      <c r="DJ514" s="853"/>
      <c r="DK514" s="853"/>
      <c r="DL514" s="967"/>
      <c r="DM514" s="967"/>
      <c r="DN514" s="853"/>
      <c r="DO514" s="853"/>
      <c r="DP514" s="967"/>
      <c r="DQ514" s="967"/>
      <c r="DR514" s="853"/>
      <c r="DS514" s="853"/>
      <c r="DT514" s="853"/>
      <c r="DU514" s="967"/>
      <c r="DV514" s="967"/>
      <c r="DW514" s="967"/>
      <c r="DX514" s="853"/>
      <c r="DY514" s="853"/>
      <c r="DZ514" s="967"/>
      <c r="EA514" s="967"/>
      <c r="EB514" s="853"/>
      <c r="EC514" s="853"/>
      <c r="ED514" s="967"/>
      <c r="EE514" s="967"/>
      <c r="EF514" s="853"/>
      <c r="EG514" s="853"/>
      <c r="EH514" s="853"/>
      <c r="EI514" s="853"/>
      <c r="EJ514" s="853"/>
      <c r="EK514" s="853"/>
      <c r="EL514" s="853"/>
      <c r="EM514" s="853"/>
      <c r="EN514" s="853"/>
      <c r="EO514" s="853"/>
      <c r="EP514" s="853"/>
      <c r="JM514"/>
    </row>
    <row r="515" spans="1:273" s="971" customFormat="1">
      <c r="A515" s="866" t="s">
        <v>820</v>
      </c>
      <c r="B515" s="925"/>
      <c r="C515" s="866"/>
      <c r="D515" s="866"/>
      <c r="E515" s="866"/>
      <c r="F515" s="866"/>
      <c r="G515" s="866"/>
      <c r="H515" s="866"/>
      <c r="I515" s="866"/>
      <c r="J515" s="866"/>
      <c r="K515" s="866"/>
      <c r="L515" s="866"/>
      <c r="M515" s="866"/>
      <c r="N515" s="866"/>
      <c r="O515" s="866"/>
      <c r="P515" s="866"/>
      <c r="Q515" s="866"/>
      <c r="R515" s="866"/>
      <c r="S515" s="866"/>
      <c r="T515" s="866"/>
      <c r="U515" s="866"/>
      <c r="V515" s="866"/>
      <c r="W515" s="866"/>
      <c r="X515" s="866"/>
      <c r="Y515" s="866"/>
      <c r="Z515" s="866"/>
      <c r="AA515" s="866"/>
      <c r="AB515" s="866"/>
      <c r="AC515" s="866"/>
      <c r="AD515" s="866"/>
      <c r="AE515" s="866"/>
      <c r="AF515" s="866"/>
      <c r="AG515" s="866"/>
      <c r="AH515" s="866"/>
      <c r="AI515" s="866"/>
      <c r="AJ515" s="866"/>
      <c r="AK515" s="866"/>
      <c r="AL515" s="866"/>
      <c r="AM515" s="866"/>
      <c r="AN515" s="925"/>
      <c r="AO515" s="925"/>
      <c r="AP515" s="925"/>
      <c r="AQ515" s="925"/>
      <c r="AR515" s="925"/>
      <c r="AS515" s="925"/>
      <c r="AT515" s="925"/>
      <c r="AU515" s="925"/>
      <c r="AV515" s="968"/>
      <c r="AW515" s="968"/>
      <c r="AX515" s="968"/>
      <c r="AY515" s="969"/>
      <c r="AZ515" s="968"/>
      <c r="BA515" s="968"/>
      <c r="BB515" s="968"/>
      <c r="BC515" s="968"/>
      <c r="BD515" s="970"/>
      <c r="BE515" s="970"/>
      <c r="BF515" s="968"/>
      <c r="BG515" s="968"/>
      <c r="BH515" s="970"/>
      <c r="BI515" s="970"/>
      <c r="BJ515" s="968"/>
      <c r="BK515" s="968"/>
      <c r="BL515" s="970"/>
      <c r="BM515" s="970"/>
      <c r="BN515" s="968"/>
      <c r="BO515" s="968"/>
      <c r="BP515" s="970"/>
      <c r="BQ515" s="970"/>
      <c r="BR515" s="968"/>
      <c r="BS515" s="968"/>
      <c r="BT515" s="970"/>
      <c r="BU515" s="970"/>
      <c r="BV515" s="968"/>
      <c r="BW515" s="968"/>
      <c r="BX515" s="970"/>
      <c r="BY515" s="970"/>
      <c r="BZ515" s="968"/>
      <c r="CA515" s="968"/>
      <c r="CB515" s="970"/>
      <c r="CC515" s="970"/>
      <c r="CD515" s="968"/>
      <c r="CE515" s="1617"/>
      <c r="CF515" s="970"/>
      <c r="CG515" s="970"/>
      <c r="CH515" s="968"/>
      <c r="CI515" s="1617"/>
      <c r="CJ515" s="970"/>
      <c r="CK515" s="970"/>
      <c r="CL515" s="968"/>
      <c r="CM515" s="1617"/>
      <c r="CN515" s="970"/>
      <c r="CO515" s="970"/>
      <c r="CP515" s="968"/>
      <c r="CQ515" s="1617"/>
      <c r="CR515" s="970"/>
      <c r="CS515" s="970"/>
      <c r="CT515" s="968"/>
      <c r="CU515" s="968"/>
      <c r="CV515" s="970"/>
      <c r="CW515" s="970"/>
      <c r="CX515" s="968"/>
      <c r="CY515" s="968"/>
      <c r="CZ515" s="970"/>
      <c r="DA515" s="970"/>
      <c r="DB515" s="968"/>
      <c r="DC515" s="968"/>
      <c r="DD515" s="970"/>
      <c r="DE515" s="970"/>
      <c r="DF515" s="968"/>
      <c r="DG515" s="968"/>
      <c r="DH515" s="970"/>
      <c r="DI515" s="970"/>
      <c r="DJ515" s="968"/>
      <c r="DK515" s="968"/>
      <c r="DL515" s="970"/>
      <c r="DM515" s="970"/>
      <c r="DN515" s="968"/>
      <c r="DO515" s="968"/>
      <c r="DP515" s="970"/>
      <c r="DQ515" s="970"/>
      <c r="DR515" s="968"/>
      <c r="DS515" s="968"/>
      <c r="DT515" s="968"/>
      <c r="DU515" s="970"/>
      <c r="DV515" s="970"/>
      <c r="DW515" s="970"/>
      <c r="DX515" s="968"/>
      <c r="DY515" s="968"/>
      <c r="DZ515" s="970"/>
      <c r="EA515" s="970"/>
      <c r="EB515" s="968"/>
      <c r="EC515" s="968"/>
      <c r="ED515" s="970"/>
      <c r="EE515" s="970"/>
      <c r="EF515" s="968"/>
      <c r="EG515" s="968"/>
      <c r="EH515" s="968"/>
      <c r="EI515" s="968"/>
      <c r="EJ515" s="968"/>
      <c r="EK515" s="968"/>
      <c r="EL515" s="968"/>
      <c r="EM515" s="968"/>
      <c r="EN515" s="968"/>
      <c r="EO515" s="968"/>
      <c r="EP515" s="968"/>
      <c r="FL515" s="855"/>
      <c r="FM515" s="855"/>
      <c r="FN515" s="855"/>
      <c r="FO515" s="855"/>
      <c r="FP515" s="855"/>
      <c r="FQ515" s="855"/>
      <c r="FR515" s="855"/>
      <c r="FS515" s="855"/>
      <c r="FT515" s="855"/>
      <c r="FU515" s="855"/>
      <c r="FV515" s="855"/>
      <c r="FW515" s="855"/>
      <c r="FX515" s="855"/>
      <c r="FY515" s="855"/>
      <c r="FZ515" s="855"/>
      <c r="GA515" s="855"/>
      <c r="GB515" s="855"/>
      <c r="GC515" s="855"/>
      <c r="GD515" s="855"/>
      <c r="GE515" s="855"/>
      <c r="GF515" s="855"/>
      <c r="GG515" s="855"/>
      <c r="GH515" s="855"/>
      <c r="GI515" s="855"/>
      <c r="GJ515" s="855"/>
      <c r="GK515" s="855"/>
      <c r="GL515" s="855"/>
      <c r="GM515" s="855"/>
      <c r="GN515" s="855"/>
      <c r="GO515" s="855"/>
      <c r="GP515" s="855"/>
      <c r="GQ515" s="855"/>
      <c r="GR515" s="855"/>
      <c r="GS515" s="855"/>
      <c r="GT515" s="855"/>
      <c r="GU515" s="855"/>
      <c r="GV515" s="855"/>
      <c r="GW515" s="855"/>
      <c r="GX515" s="855"/>
      <c r="GY515" s="855"/>
      <c r="GZ515" s="855"/>
      <c r="HA515" s="855"/>
      <c r="HB515" s="855"/>
      <c r="HC515" s="855"/>
      <c r="HD515" s="855"/>
      <c r="HE515" s="855"/>
      <c r="HF515" s="855"/>
      <c r="HG515" s="855"/>
      <c r="HH515" s="855"/>
      <c r="HI515" s="855"/>
      <c r="HJ515" s="855"/>
      <c r="HK515" s="855"/>
      <c r="HL515" s="855"/>
      <c r="HM515" s="855"/>
      <c r="HN515" s="855"/>
      <c r="HO515" s="855"/>
      <c r="HP515" s="855"/>
      <c r="HQ515" s="855"/>
      <c r="HR515" s="855"/>
      <c r="HS515" s="855"/>
      <c r="HT515" s="855"/>
      <c r="HU515" s="855"/>
      <c r="HV515" s="855"/>
      <c r="HW515" s="855"/>
      <c r="HX515" s="855"/>
      <c r="HY515" s="855"/>
      <c r="HZ515" s="855"/>
      <c r="IA515" s="855"/>
      <c r="IB515" s="855"/>
      <c r="IC515" s="855"/>
      <c r="ID515" s="855"/>
      <c r="IE515" s="855"/>
      <c r="IF515" s="855"/>
      <c r="IG515" s="855"/>
      <c r="IH515" s="855"/>
      <c r="II515" s="855"/>
      <c r="IJ515" s="855"/>
      <c r="IK515" s="855"/>
      <c r="IL515" s="855"/>
      <c r="IM515" s="855"/>
      <c r="IN515" s="855"/>
      <c r="IO515" s="855"/>
      <c r="IP515" s="855"/>
      <c r="IQ515" s="855"/>
      <c r="IR515" s="855"/>
      <c r="IS515" s="855"/>
      <c r="IT515" s="855"/>
      <c r="IU515" s="855"/>
      <c r="IV515" s="855"/>
      <c r="IW515" s="855"/>
      <c r="IX515" s="855"/>
      <c r="IY515" s="855"/>
      <c r="IZ515" s="855"/>
      <c r="JA515" s="855"/>
      <c r="JB515" s="855"/>
      <c r="JC515" s="855"/>
      <c r="JD515" s="855"/>
      <c r="JE515" s="855"/>
      <c r="JF515" s="855"/>
      <c r="JG515" s="855"/>
      <c r="JH515" s="855"/>
      <c r="JI515" s="855"/>
      <c r="JJ515" s="855"/>
      <c r="JK515" s="855"/>
      <c r="JL515" s="855"/>
      <c r="JM515"/>
    </row>
    <row r="516" spans="1:273" s="860" customFormat="1">
      <c r="A516" s="302" t="s">
        <v>685</v>
      </c>
      <c r="B516" s="298"/>
      <c r="C516" s="296"/>
      <c r="D516" s="296"/>
      <c r="E516" s="296"/>
      <c r="F516" s="296"/>
      <c r="G516" s="296"/>
      <c r="H516" s="296"/>
      <c r="I516" s="296"/>
      <c r="J516" s="296"/>
      <c r="K516" s="296"/>
      <c r="L516" s="296"/>
      <c r="M516" s="296"/>
      <c r="N516" s="296"/>
      <c r="O516" s="296"/>
      <c r="P516" s="296"/>
      <c r="Q516" s="296"/>
      <c r="R516" s="296"/>
      <c r="S516" s="296"/>
      <c r="T516" s="296"/>
      <c r="U516" s="296"/>
      <c r="V516" s="296"/>
      <c r="W516" s="296"/>
      <c r="X516" s="296"/>
      <c r="Y516" s="296"/>
      <c r="Z516" s="296"/>
      <c r="AA516" s="296"/>
      <c r="AB516" s="296"/>
      <c r="AC516" s="296"/>
      <c r="AD516" s="296"/>
      <c r="AE516" s="296"/>
      <c r="AF516" s="296"/>
      <c r="AG516" s="296"/>
      <c r="AH516" s="296"/>
      <c r="AI516" s="296"/>
      <c r="AJ516" s="296"/>
      <c r="AK516" s="296"/>
      <c r="AL516" s="296"/>
      <c r="AM516" s="296"/>
      <c r="AN516" s="298"/>
      <c r="AO516" s="298"/>
      <c r="AP516" s="298"/>
      <c r="AQ516" s="298"/>
      <c r="AR516" s="298"/>
      <c r="AS516" s="298"/>
      <c r="AT516" s="298"/>
      <c r="AU516" s="972">
        <f>SUM(AV516:BZ516)</f>
        <v>0</v>
      </c>
      <c r="AV516" s="973">
        <v>0</v>
      </c>
      <c r="AW516" s="973">
        <v>0</v>
      </c>
      <c r="AX516" s="929">
        <f>AV516+AW516</f>
        <v>0</v>
      </c>
      <c r="AY516" s="633"/>
      <c r="AZ516" s="973">
        <v>0</v>
      </c>
      <c r="BA516" s="973">
        <v>0</v>
      </c>
      <c r="BB516" s="929">
        <f>AZ516+BA516</f>
        <v>0</v>
      </c>
      <c r="BC516" s="857"/>
      <c r="BD516" s="973">
        <v>0</v>
      </c>
      <c r="BE516" s="973">
        <v>0</v>
      </c>
      <c r="BF516" s="929">
        <f>BD516+BE516</f>
        <v>0</v>
      </c>
      <c r="BG516" s="974"/>
      <c r="BH516" s="973">
        <v>0</v>
      </c>
      <c r="BI516" s="973">
        <v>0</v>
      </c>
      <c r="BJ516" s="929">
        <f t="shared" ref="BJ516:BJ521" si="628">BH516+BI516</f>
        <v>0</v>
      </c>
      <c r="BK516" s="974"/>
      <c r="BL516" s="973">
        <v>0</v>
      </c>
      <c r="BM516" s="973">
        <v>0</v>
      </c>
      <c r="BN516" s="929">
        <f t="shared" ref="BN516:BN521" si="629">BL516+BM516</f>
        <v>0</v>
      </c>
      <c r="BO516" s="974"/>
      <c r="BP516" s="973">
        <v>0</v>
      </c>
      <c r="BQ516" s="973">
        <v>0</v>
      </c>
      <c r="BR516" s="929">
        <f t="shared" ref="BR516:BR521" si="630">BP516+BQ516</f>
        <v>0</v>
      </c>
      <c r="BS516" s="974"/>
      <c r="BT516" s="973">
        <v>0</v>
      </c>
      <c r="BU516" s="973">
        <v>0</v>
      </c>
      <c r="BV516" s="929">
        <f t="shared" ref="BV516:BV521" si="631">BT516+BU516</f>
        <v>0</v>
      </c>
      <c r="BW516" s="974"/>
      <c r="BX516" s="974"/>
      <c r="BY516" s="974"/>
      <c r="BZ516" s="974"/>
      <c r="CA516" s="974"/>
      <c r="CB516" s="974"/>
      <c r="CC516" s="974"/>
      <c r="CD516" s="974"/>
      <c r="CE516" s="1618"/>
      <c r="CF516" s="974"/>
      <c r="CG516" s="974"/>
      <c r="CH516" s="974"/>
      <c r="CI516" s="1618"/>
      <c r="CJ516" s="974"/>
      <c r="CK516" s="974"/>
      <c r="CL516" s="974"/>
      <c r="CM516" s="1618"/>
      <c r="CN516" s="974"/>
      <c r="CO516" s="974"/>
      <c r="CP516" s="974"/>
      <c r="CQ516" s="1618"/>
      <c r="CR516" s="974"/>
      <c r="CS516" s="974"/>
      <c r="CT516" s="974"/>
      <c r="CU516" s="974"/>
      <c r="CV516" s="974"/>
      <c r="CW516" s="974"/>
      <c r="CX516" s="974"/>
      <c r="CY516" s="974"/>
      <c r="CZ516" s="974"/>
      <c r="DA516" s="974"/>
      <c r="DB516" s="974"/>
      <c r="DC516" s="974"/>
      <c r="DD516" s="974"/>
      <c r="DE516" s="974"/>
      <c r="DF516" s="974"/>
      <c r="DG516" s="974"/>
      <c r="DH516" s="974"/>
      <c r="DI516" s="974"/>
      <c r="DJ516" s="974"/>
      <c r="DK516" s="974"/>
      <c r="DL516" s="974"/>
      <c r="DM516" s="974"/>
      <c r="DN516" s="974"/>
      <c r="DO516" s="929"/>
      <c r="DP516" s="974"/>
      <c r="DQ516" s="974"/>
      <c r="DR516" s="974"/>
      <c r="DS516" s="929"/>
      <c r="DT516" s="974"/>
      <c r="DU516" s="859"/>
      <c r="DV516" s="859"/>
      <c r="DW516" s="859"/>
      <c r="DX516" s="929"/>
      <c r="DY516" s="857"/>
      <c r="DZ516" s="859"/>
      <c r="EA516" s="859"/>
      <c r="EB516" s="929"/>
      <c r="EC516" s="857"/>
      <c r="ED516" s="859"/>
      <c r="EE516" s="859"/>
      <c r="EF516" s="929"/>
      <c r="EG516" s="857"/>
      <c r="EH516" s="857"/>
      <c r="EI516" s="857"/>
      <c r="EJ516" s="857"/>
      <c r="EK516" s="857"/>
      <c r="EL516" s="857"/>
      <c r="EM516" s="857"/>
      <c r="EN516" s="857"/>
      <c r="EO516" s="857"/>
      <c r="EP516" s="857"/>
      <c r="FL516" s="855"/>
      <c r="FM516" s="855"/>
      <c r="FN516" s="855"/>
      <c r="FO516" s="855"/>
      <c r="FP516" s="855"/>
      <c r="FQ516" s="855"/>
      <c r="FR516" s="855"/>
      <c r="FS516" s="855"/>
      <c r="FT516" s="855"/>
      <c r="FU516" s="855"/>
      <c r="FV516" s="855"/>
      <c r="FW516" s="855"/>
      <c r="FX516" s="855"/>
      <c r="FY516" s="855"/>
      <c r="FZ516" s="855"/>
      <c r="GA516" s="855"/>
      <c r="GB516" s="855"/>
      <c r="GC516" s="855"/>
      <c r="GD516" s="855"/>
      <c r="GE516" s="855"/>
      <c r="GF516" s="855"/>
      <c r="GG516" s="855"/>
      <c r="GH516" s="855"/>
      <c r="GI516" s="855"/>
      <c r="GJ516" s="855"/>
      <c r="GK516" s="855"/>
      <c r="GL516" s="855"/>
      <c r="GM516" s="855"/>
      <c r="GN516" s="855"/>
      <c r="GO516" s="855"/>
      <c r="GP516" s="855"/>
      <c r="GQ516" s="855"/>
      <c r="GR516" s="855"/>
      <c r="GS516" s="855"/>
      <c r="GT516" s="855"/>
      <c r="GU516" s="855"/>
      <c r="GV516" s="855"/>
      <c r="GW516" s="855"/>
      <c r="GX516" s="855"/>
      <c r="GY516" s="855"/>
      <c r="GZ516" s="855"/>
      <c r="HA516" s="855"/>
      <c r="HB516" s="855"/>
      <c r="HC516" s="855"/>
      <c r="HD516" s="855"/>
      <c r="HE516" s="855"/>
      <c r="HF516" s="855"/>
      <c r="HG516" s="855"/>
      <c r="HH516" s="855"/>
      <c r="HI516" s="855"/>
      <c r="HJ516" s="855"/>
      <c r="HK516" s="855"/>
      <c r="HL516" s="855"/>
      <c r="HM516" s="855"/>
      <c r="HN516" s="855"/>
      <c r="HO516" s="855"/>
      <c r="HP516" s="855"/>
      <c r="HQ516" s="855"/>
      <c r="HR516" s="855"/>
      <c r="HS516" s="855"/>
      <c r="HT516" s="855"/>
      <c r="HU516" s="855"/>
      <c r="HV516" s="855"/>
      <c r="HW516" s="855"/>
      <c r="HX516" s="855"/>
      <c r="HY516" s="855"/>
      <c r="HZ516" s="855"/>
      <c r="IA516" s="855"/>
      <c r="IB516" s="855"/>
      <c r="IC516" s="855"/>
      <c r="ID516" s="855"/>
      <c r="IE516" s="855"/>
      <c r="IF516" s="855"/>
      <c r="IG516" s="855"/>
      <c r="IH516" s="855"/>
      <c r="II516" s="855"/>
      <c r="IJ516" s="855"/>
      <c r="IK516" s="855"/>
      <c r="IL516" s="855"/>
      <c r="IM516" s="855"/>
      <c r="IN516" s="855"/>
      <c r="IO516" s="855"/>
      <c r="IP516" s="855"/>
      <c r="IQ516" s="855"/>
      <c r="IR516" s="855"/>
      <c r="IS516" s="855"/>
      <c r="IT516" s="855"/>
      <c r="IU516" s="855"/>
      <c r="IV516" s="855"/>
      <c r="IW516" s="855"/>
      <c r="IX516" s="855"/>
      <c r="IY516" s="855"/>
      <c r="IZ516" s="855"/>
      <c r="JA516" s="855"/>
      <c r="JB516" s="855"/>
      <c r="JC516" s="855"/>
      <c r="JD516" s="855"/>
      <c r="JE516" s="855"/>
      <c r="JF516" s="855"/>
      <c r="JG516" s="855"/>
      <c r="JH516" s="855"/>
      <c r="JI516" s="855"/>
      <c r="JJ516" s="855"/>
      <c r="JK516" s="855"/>
      <c r="JL516" s="855"/>
      <c r="JM516"/>
    </row>
    <row r="517" spans="1:273" s="860" customFormat="1">
      <c r="A517" s="302" t="s">
        <v>686</v>
      </c>
      <c r="B517" s="298"/>
      <c r="C517" s="296"/>
      <c r="D517" s="296"/>
      <c r="E517" s="296"/>
      <c r="F517" s="296"/>
      <c r="G517" s="296"/>
      <c r="H517" s="296"/>
      <c r="I517" s="296"/>
      <c r="J517" s="296"/>
      <c r="K517" s="296"/>
      <c r="L517" s="296"/>
      <c r="M517" s="296"/>
      <c r="N517" s="296"/>
      <c r="O517" s="296"/>
      <c r="P517" s="296"/>
      <c r="Q517" s="296"/>
      <c r="R517" s="296"/>
      <c r="S517" s="296"/>
      <c r="T517" s="296"/>
      <c r="U517" s="296"/>
      <c r="V517" s="296"/>
      <c r="W517" s="296"/>
      <c r="X517" s="296"/>
      <c r="Y517" s="296"/>
      <c r="Z517" s="296"/>
      <c r="AA517" s="296"/>
      <c r="AB517" s="296"/>
      <c r="AC517" s="296"/>
      <c r="AD517" s="296"/>
      <c r="AE517" s="296"/>
      <c r="AF517" s="296"/>
      <c r="AG517" s="296"/>
      <c r="AH517" s="296"/>
      <c r="AI517" s="296"/>
      <c r="AJ517" s="296"/>
      <c r="AK517" s="296"/>
      <c r="AL517" s="296"/>
      <c r="AM517" s="296"/>
      <c r="AN517" s="298"/>
      <c r="AO517" s="298"/>
      <c r="AP517" s="929">
        <f>DIVISIONS!AP171</f>
        <v>0</v>
      </c>
      <c r="AQ517" s="298"/>
      <c r="AR517" s="298"/>
      <c r="AS517" s="298"/>
      <c r="AT517" s="929">
        <f>DIVISIONS!AT171</f>
        <v>-696</v>
      </c>
      <c r="AU517" s="298"/>
      <c r="AV517" s="929">
        <f>DIVISIONS!AV171</f>
        <v>-368</v>
      </c>
      <c r="AW517" s="929">
        <f>DIVISIONS!AW171</f>
        <v>-19</v>
      </c>
      <c r="AX517" s="929">
        <f t="shared" ref="AX517:AX524" si="632">AV517+AW517</f>
        <v>-387</v>
      </c>
      <c r="AY517" s="976"/>
      <c r="AZ517" s="929">
        <f>DIVISIONS!AZ171</f>
        <v>-8</v>
      </c>
      <c r="BA517" s="929">
        <f>DIVISIONS!BA171</f>
        <v>-4</v>
      </c>
      <c r="BB517" s="929">
        <f t="shared" ref="BB517:BB524" si="633">AZ517+BA517</f>
        <v>-12</v>
      </c>
      <c r="BC517" s="857"/>
      <c r="BD517" s="929">
        <f>DIVISIONS!BD171</f>
        <v>0</v>
      </c>
      <c r="BE517" s="929">
        <f>DIVISIONS!BE171</f>
        <v>-8</v>
      </c>
      <c r="BF517" s="929">
        <f t="shared" ref="BF517:BF524" si="634">BD517+BE517</f>
        <v>-8</v>
      </c>
      <c r="BG517" s="859"/>
      <c r="BH517" s="929">
        <f>DIVISIONS!BH171</f>
        <v>-34</v>
      </c>
      <c r="BI517" s="929">
        <f>DIVISIONS!BI171</f>
        <v>14</v>
      </c>
      <c r="BJ517" s="929">
        <f t="shared" si="628"/>
        <v>-20</v>
      </c>
      <c r="BK517" s="859"/>
      <c r="BL517" s="929">
        <f>DIVISIONS!BL171</f>
        <v>0</v>
      </c>
      <c r="BM517" s="929">
        <f>DIVISIONS!BM171</f>
        <v>-18</v>
      </c>
      <c r="BN517" s="929">
        <f t="shared" si="629"/>
        <v>-18</v>
      </c>
      <c r="BO517" s="859"/>
      <c r="BP517" s="929">
        <f>DIVISIONS!BP171</f>
        <v>-1</v>
      </c>
      <c r="BQ517" s="929">
        <f>DIVISIONS!BQ171</f>
        <v>-28</v>
      </c>
      <c r="BR517" s="929">
        <f t="shared" si="630"/>
        <v>-29</v>
      </c>
      <c r="BS517" s="859"/>
      <c r="BT517" s="929">
        <f>DIVISIONS!BT171</f>
        <v>-68</v>
      </c>
      <c r="BU517" s="929">
        <f>DIVISIONS!BU171</f>
        <v>-43</v>
      </c>
      <c r="BV517" s="929">
        <f t="shared" si="631"/>
        <v>-111</v>
      </c>
      <c r="BW517" s="859"/>
      <c r="BX517" s="929">
        <f>DIVISIONS!BX171</f>
        <v>-37</v>
      </c>
      <c r="BY517" s="929">
        <f>DIVISIONS!BY171</f>
        <v>-8</v>
      </c>
      <c r="BZ517" s="929">
        <f>BX517+BY517</f>
        <v>-45</v>
      </c>
      <c r="CA517" s="859"/>
      <c r="CB517" s="929">
        <f>DIVISIONS!CB171</f>
        <v>0</v>
      </c>
      <c r="CC517" s="929">
        <f>DIVISIONS!CC171</f>
        <v>0</v>
      </c>
      <c r="CD517" s="929">
        <f>CB517+CC517</f>
        <v>0</v>
      </c>
      <c r="CE517" s="1619"/>
      <c r="CF517" s="929">
        <f>DIVISIONS!CF171</f>
        <v>0</v>
      </c>
      <c r="CG517" s="929">
        <f>DIVISIONS!CG171</f>
        <v>0</v>
      </c>
      <c r="CH517" s="929">
        <f>CF517+CG517</f>
        <v>0</v>
      </c>
      <c r="CI517" s="1619"/>
      <c r="CJ517" s="929">
        <f>DIVISIONS!CJ171</f>
        <v>0</v>
      </c>
      <c r="CK517" s="929">
        <f>DIVISIONS!CK171</f>
        <v>0</v>
      </c>
      <c r="CL517" s="929">
        <f>CJ517+CK517</f>
        <v>0</v>
      </c>
      <c r="CM517" s="1619"/>
      <c r="CN517" s="929">
        <f>DIVISIONS!CN171</f>
        <v>0</v>
      </c>
      <c r="CO517" s="929">
        <f>DIVISIONS!CO171</f>
        <v>0</v>
      </c>
      <c r="CP517" s="929">
        <f>CN517+CO517</f>
        <v>0</v>
      </c>
      <c r="CQ517" s="1619"/>
      <c r="CR517" s="929">
        <f>DIVISIONS!CR171</f>
        <v>0</v>
      </c>
      <c r="CS517" s="929">
        <f>DIVISIONS!CS171</f>
        <v>0</v>
      </c>
      <c r="CT517" s="929">
        <f>CR517+CS517</f>
        <v>0</v>
      </c>
      <c r="CU517" s="859"/>
      <c r="CV517" s="929">
        <f>DIVISIONS!CV171</f>
        <v>0</v>
      </c>
      <c r="CW517" s="929">
        <f>DIVISIONS!CW171</f>
        <v>0</v>
      </c>
      <c r="CX517" s="929">
        <f>CV517+CW517</f>
        <v>0</v>
      </c>
      <c r="CY517" s="859"/>
      <c r="CZ517" s="929">
        <f>DIVISIONS!CZ171</f>
        <v>0</v>
      </c>
      <c r="DA517" s="929">
        <f>DIVISIONS!DA171</f>
        <v>0</v>
      </c>
      <c r="DB517" s="929">
        <f>CZ517+DA517</f>
        <v>0</v>
      </c>
      <c r="DC517" s="859"/>
      <c r="DD517" s="929">
        <f>DIVISIONS!DD171</f>
        <v>0</v>
      </c>
      <c r="DE517" s="929">
        <f>DIVISIONS!DE171</f>
        <v>0</v>
      </c>
      <c r="DF517" s="929">
        <f>DD517+DE517</f>
        <v>0</v>
      </c>
      <c r="DG517" s="859"/>
      <c r="DH517" s="929">
        <f>DIVISIONS!DH171</f>
        <v>0</v>
      </c>
      <c r="DI517" s="859">
        <v>0</v>
      </c>
      <c r="DJ517" s="929">
        <f>DH517+DI517</f>
        <v>0</v>
      </c>
      <c r="DK517" s="859"/>
      <c r="DL517" s="859">
        <v>0</v>
      </c>
      <c r="DM517" s="859">
        <v>0</v>
      </c>
      <c r="DN517" s="929">
        <f>DL517+DM517</f>
        <v>0</v>
      </c>
      <c r="DO517" s="929"/>
      <c r="DP517" s="859">
        <v>0</v>
      </c>
      <c r="DQ517" s="859">
        <v>0</v>
      </c>
      <c r="DR517" s="929">
        <f>DP517+DQ517</f>
        <v>0</v>
      </c>
      <c r="DS517" s="929"/>
      <c r="DT517" s="859"/>
      <c r="DU517" s="859"/>
      <c r="DV517" s="859"/>
      <c r="DW517" s="859"/>
      <c r="DX517" s="929"/>
      <c r="DY517" s="857"/>
      <c r="DZ517" s="859"/>
      <c r="EA517" s="859"/>
      <c r="EB517" s="929"/>
      <c r="EC517" s="857"/>
      <c r="ED517" s="859"/>
      <c r="EE517" s="859"/>
      <c r="EF517" s="929"/>
      <c r="EG517" s="857"/>
      <c r="EH517" s="857"/>
      <c r="EI517" s="857"/>
      <c r="EJ517" s="857"/>
      <c r="EK517" s="857"/>
      <c r="EL517" s="857"/>
      <c r="EM517" s="857"/>
      <c r="EN517" s="857"/>
      <c r="EO517" s="857"/>
      <c r="EP517" s="857"/>
      <c r="FL517" s="855"/>
      <c r="FM517" s="855"/>
      <c r="FN517" s="855"/>
      <c r="FO517" s="855"/>
      <c r="FP517" s="855"/>
      <c r="FQ517" s="855"/>
      <c r="FR517" s="855"/>
      <c r="FS517" s="855"/>
      <c r="FT517" s="855"/>
      <c r="FU517" s="855"/>
      <c r="FV517" s="855"/>
      <c r="FW517" s="855"/>
      <c r="FX517" s="855"/>
      <c r="FY517" s="855"/>
      <c r="FZ517" s="855"/>
      <c r="GA517" s="855"/>
      <c r="GB517" s="855"/>
      <c r="GC517" s="855"/>
      <c r="GD517" s="855"/>
      <c r="GE517" s="855"/>
      <c r="GF517" s="855"/>
      <c r="GG517" s="855"/>
      <c r="GH517" s="855"/>
      <c r="GI517" s="855"/>
      <c r="GJ517" s="855"/>
      <c r="GK517" s="855"/>
      <c r="GL517" s="855"/>
      <c r="GM517" s="855"/>
      <c r="GN517" s="855"/>
      <c r="GO517" s="855"/>
      <c r="GP517" s="855"/>
      <c r="GQ517" s="855"/>
      <c r="GR517" s="855"/>
      <c r="GS517" s="855"/>
      <c r="GT517" s="855"/>
      <c r="GU517" s="855"/>
      <c r="GV517" s="855"/>
      <c r="GW517" s="855"/>
      <c r="GX517" s="855"/>
      <c r="GY517" s="855"/>
      <c r="GZ517" s="855"/>
      <c r="HA517" s="855"/>
      <c r="HB517" s="855"/>
      <c r="HC517" s="855"/>
      <c r="HD517" s="855"/>
      <c r="HE517" s="855"/>
      <c r="HF517" s="855"/>
      <c r="HG517" s="855"/>
      <c r="HH517" s="855"/>
      <c r="HI517" s="855"/>
      <c r="HJ517" s="855"/>
      <c r="HK517" s="855"/>
      <c r="HL517" s="855"/>
      <c r="HM517" s="855"/>
      <c r="HN517" s="855"/>
      <c r="HO517" s="855"/>
      <c r="HP517" s="855"/>
      <c r="HQ517" s="855"/>
      <c r="HR517" s="855"/>
      <c r="HS517" s="855"/>
      <c r="HT517" s="855"/>
      <c r="HU517" s="855"/>
      <c r="HV517" s="855"/>
      <c r="HW517" s="855"/>
      <c r="HX517" s="855"/>
      <c r="HY517" s="855"/>
      <c r="HZ517" s="855"/>
      <c r="IA517" s="855"/>
      <c r="IB517" s="855"/>
      <c r="IC517" s="855"/>
      <c r="ID517" s="855"/>
      <c r="IE517" s="855"/>
      <c r="IF517" s="855"/>
      <c r="IG517" s="855"/>
      <c r="IH517" s="855"/>
      <c r="II517" s="855"/>
      <c r="IJ517" s="855"/>
      <c r="IK517" s="855"/>
      <c r="IL517" s="855"/>
      <c r="IM517" s="855"/>
      <c r="IN517" s="855"/>
      <c r="IO517" s="855"/>
      <c r="IP517" s="855"/>
      <c r="IQ517" s="855"/>
      <c r="IR517" s="855"/>
      <c r="IS517" s="855"/>
      <c r="IT517" s="855"/>
      <c r="IU517" s="855"/>
      <c r="IV517" s="855"/>
      <c r="IW517" s="855"/>
      <c r="IX517" s="855"/>
      <c r="IY517" s="855"/>
      <c r="IZ517" s="855"/>
      <c r="JA517" s="855"/>
      <c r="JB517" s="855"/>
      <c r="JC517" s="855"/>
      <c r="JD517" s="855"/>
      <c r="JE517" s="855"/>
      <c r="JF517" s="855"/>
      <c r="JG517" s="855"/>
      <c r="JH517" s="855"/>
      <c r="JI517" s="855"/>
      <c r="JJ517" s="855"/>
      <c r="JK517" s="855"/>
      <c r="JL517" s="855"/>
      <c r="JM517"/>
    </row>
    <row r="518" spans="1:273" s="860" customFormat="1">
      <c r="A518" s="302" t="s">
        <v>616</v>
      </c>
      <c r="B518" s="298"/>
      <c r="C518" s="296"/>
      <c r="D518" s="296"/>
      <c r="E518" s="296"/>
      <c r="F518" s="296"/>
      <c r="G518" s="296"/>
      <c r="H518" s="296"/>
      <c r="I518" s="296"/>
      <c r="J518" s="296"/>
      <c r="K518" s="296"/>
      <c r="L518" s="296"/>
      <c r="M518" s="296"/>
      <c r="N518" s="296"/>
      <c r="O518" s="296"/>
      <c r="P518" s="296"/>
      <c r="Q518" s="296"/>
      <c r="R518" s="296"/>
      <c r="S518" s="296"/>
      <c r="T518" s="296"/>
      <c r="U518" s="296"/>
      <c r="V518" s="296"/>
      <c r="W518" s="296"/>
      <c r="X518" s="296"/>
      <c r="Y518" s="296"/>
      <c r="Z518" s="296"/>
      <c r="AA518" s="296"/>
      <c r="AB518" s="296"/>
      <c r="AC518" s="296"/>
      <c r="AD518" s="296"/>
      <c r="AE518" s="296"/>
      <c r="AF518" s="296"/>
      <c r="AG518" s="296"/>
      <c r="AH518" s="296"/>
      <c r="AI518" s="296"/>
      <c r="AJ518" s="296"/>
      <c r="AK518" s="296"/>
      <c r="AL518" s="296"/>
      <c r="AM518" s="296"/>
      <c r="AN518" s="298"/>
      <c r="AO518" s="298"/>
      <c r="AP518" s="929">
        <f>DIVISIONS!AP425</f>
        <v>0</v>
      </c>
      <c r="AQ518" s="298"/>
      <c r="AR518" s="298"/>
      <c r="AS518" s="298"/>
      <c r="AT518" s="929">
        <f>DIVISIONS!AT425</f>
        <v>-5</v>
      </c>
      <c r="AU518" s="298"/>
      <c r="AV518" s="929">
        <f>DIVISIONS!AV425</f>
        <v>-7</v>
      </c>
      <c r="AW518" s="929">
        <f>DIVISIONS!AW425</f>
        <v>41</v>
      </c>
      <c r="AX518" s="929">
        <f t="shared" si="632"/>
        <v>34</v>
      </c>
      <c r="AY518" s="976"/>
      <c r="AZ518" s="929">
        <f>DIVISIONS!AZ425</f>
        <v>4</v>
      </c>
      <c r="BA518" s="929">
        <f>DIVISIONS!BA425</f>
        <v>-27</v>
      </c>
      <c r="BB518" s="929">
        <f t="shared" si="633"/>
        <v>-23</v>
      </c>
      <c r="BC518" s="857"/>
      <c r="BD518" s="929">
        <f>DIVISIONS!BD425</f>
        <v>7</v>
      </c>
      <c r="BE518" s="929">
        <f>DIVISIONS!BE425</f>
        <v>-35</v>
      </c>
      <c r="BF518" s="929">
        <f t="shared" si="634"/>
        <v>-28</v>
      </c>
      <c r="BG518" s="859"/>
      <c r="BH518" s="929">
        <f>DIVISIONS!BH425</f>
        <v>-22</v>
      </c>
      <c r="BI518" s="929">
        <f>DIVISIONS!BI425</f>
        <v>-2</v>
      </c>
      <c r="BJ518" s="929">
        <f t="shared" si="628"/>
        <v>-24</v>
      </c>
      <c r="BK518" s="859"/>
      <c r="BL518" s="929">
        <f>DIVISIONS!BL425</f>
        <v>1</v>
      </c>
      <c r="BM518" s="929">
        <f>DIVISIONS!BM425</f>
        <v>-2</v>
      </c>
      <c r="BN518" s="929">
        <f t="shared" si="629"/>
        <v>-1</v>
      </c>
      <c r="BO518" s="859"/>
      <c r="BP518" s="929">
        <f>DIVISIONS!BP425</f>
        <v>0</v>
      </c>
      <c r="BQ518" s="929">
        <f>DIVISIONS!BQ425</f>
        <v>0</v>
      </c>
      <c r="BR518" s="929">
        <f t="shared" si="630"/>
        <v>0</v>
      </c>
      <c r="BS518" s="859"/>
      <c r="BT518" s="929">
        <f>DIVISIONS!BT425</f>
        <v>0</v>
      </c>
      <c r="BU518" s="929">
        <f>DIVISIONS!BU425</f>
        <v>0</v>
      </c>
      <c r="BV518" s="929">
        <f t="shared" si="631"/>
        <v>0</v>
      </c>
      <c r="BW518" s="859"/>
      <c r="BX518" s="929">
        <f>DIVISIONS!BX425</f>
        <v>0</v>
      </c>
      <c r="BY518" s="929">
        <f>DIVISIONS!BY425</f>
        <v>0</v>
      </c>
      <c r="BZ518" s="929">
        <f>BX518+BY518</f>
        <v>0</v>
      </c>
      <c r="CA518" s="859"/>
      <c r="CB518" s="929">
        <f>DIVISIONS!CB425</f>
        <v>0</v>
      </c>
      <c r="CC518" s="929">
        <f>DIVISIONS!CC425</f>
        <v>0</v>
      </c>
      <c r="CD518" s="929">
        <f>CB518+CC518</f>
        <v>0</v>
      </c>
      <c r="CE518" s="1619"/>
      <c r="CF518" s="929">
        <f>DIVISIONS!CF425</f>
        <v>0</v>
      </c>
      <c r="CG518" s="929">
        <f>DIVISIONS!CG425</f>
        <v>0</v>
      </c>
      <c r="CH518" s="929">
        <f>CF518+CG518</f>
        <v>0</v>
      </c>
      <c r="CI518" s="1619"/>
      <c r="CJ518" s="929">
        <f>DIVISIONS!CJ425</f>
        <v>0</v>
      </c>
      <c r="CK518" s="929">
        <f>DIVISIONS!CK425</f>
        <v>0</v>
      </c>
      <c r="CL518" s="929">
        <f>CJ518+CK518</f>
        <v>0</v>
      </c>
      <c r="CM518" s="1619"/>
      <c r="CN518" s="929">
        <f>DIVISIONS!CN425</f>
        <v>0</v>
      </c>
      <c r="CO518" s="929">
        <f>DIVISIONS!CO425</f>
        <v>0</v>
      </c>
      <c r="CP518" s="929">
        <f>CN518+CO518</f>
        <v>0</v>
      </c>
      <c r="CQ518" s="1619"/>
      <c r="CR518" s="929">
        <f>DIVISIONS!CR425</f>
        <v>0</v>
      </c>
      <c r="CS518" s="929">
        <f>DIVISIONS!CS425</f>
        <v>0</v>
      </c>
      <c r="CT518" s="929">
        <f>CR518+CS518</f>
        <v>0</v>
      </c>
      <c r="CU518" s="859"/>
      <c r="CV518" s="929">
        <f>DIVISIONS!CV425</f>
        <v>0</v>
      </c>
      <c r="CW518" s="929">
        <f>DIVISIONS!CW425</f>
        <v>0</v>
      </c>
      <c r="CX518" s="929">
        <f>CV518+CW518</f>
        <v>0</v>
      </c>
      <c r="CY518" s="859"/>
      <c r="CZ518" s="929">
        <f>DIVISIONS!CZ425</f>
        <v>0</v>
      </c>
      <c r="DA518" s="929">
        <f>DIVISIONS!DA425</f>
        <v>0</v>
      </c>
      <c r="DB518" s="929">
        <f>CZ518+DA518</f>
        <v>0</v>
      </c>
      <c r="DC518" s="859"/>
      <c r="DD518" s="929">
        <f>DIVISIONS!DD425</f>
        <v>0</v>
      </c>
      <c r="DE518" s="929">
        <f>DIVISIONS!DE425</f>
        <v>0</v>
      </c>
      <c r="DF518" s="929">
        <f>DD518+DE518</f>
        <v>0</v>
      </c>
      <c r="DG518" s="859"/>
      <c r="DH518" s="929">
        <f>DIVISIONS!DH425</f>
        <v>0</v>
      </c>
      <c r="DI518" s="859">
        <v>0</v>
      </c>
      <c r="DJ518" s="929">
        <f>DH518+DI518</f>
        <v>0</v>
      </c>
      <c r="DK518" s="859"/>
      <c r="DL518" s="859">
        <v>0</v>
      </c>
      <c r="DM518" s="859">
        <v>0</v>
      </c>
      <c r="DN518" s="929">
        <f>DL518+DM518</f>
        <v>0</v>
      </c>
      <c r="DO518" s="929"/>
      <c r="DP518" s="859">
        <v>0</v>
      </c>
      <c r="DQ518" s="859">
        <v>0</v>
      </c>
      <c r="DR518" s="929">
        <f>DP518+DQ518</f>
        <v>0</v>
      </c>
      <c r="DS518" s="929"/>
      <c r="DT518" s="859"/>
      <c r="DU518" s="859"/>
      <c r="DV518" s="859"/>
      <c r="DW518" s="859"/>
      <c r="DX518" s="929"/>
      <c r="DY518" s="857"/>
      <c r="DZ518" s="859"/>
      <c r="EA518" s="859"/>
      <c r="EB518" s="929"/>
      <c r="EC518" s="857"/>
      <c r="ED518" s="859"/>
      <c r="EE518" s="859"/>
      <c r="EF518" s="929"/>
      <c r="EG518" s="857"/>
      <c r="EH518" s="857"/>
      <c r="EI518" s="857"/>
      <c r="EJ518" s="857"/>
      <c r="EK518" s="857"/>
      <c r="EL518" s="857"/>
      <c r="EM518" s="857"/>
      <c r="EN518" s="857"/>
      <c r="EO518" s="857"/>
      <c r="EP518" s="857"/>
      <c r="FL518" s="855"/>
      <c r="FM518" s="855"/>
      <c r="FN518" s="855"/>
      <c r="FO518" s="855"/>
      <c r="FP518" s="855"/>
      <c r="FQ518" s="855"/>
      <c r="FR518" s="855"/>
      <c r="FS518" s="855"/>
      <c r="FT518" s="855"/>
      <c r="FU518" s="855"/>
      <c r="FV518" s="855"/>
      <c r="FW518" s="855"/>
      <c r="FX518" s="855"/>
      <c r="FY518" s="855"/>
      <c r="FZ518" s="855"/>
      <c r="GA518" s="855"/>
      <c r="GB518" s="855"/>
      <c r="GC518" s="855"/>
      <c r="GD518" s="855"/>
      <c r="GE518" s="855"/>
      <c r="GF518" s="855"/>
      <c r="GG518" s="855"/>
      <c r="GH518" s="855"/>
      <c r="GI518" s="855"/>
      <c r="GJ518" s="855"/>
      <c r="GK518" s="855"/>
      <c r="GL518" s="855"/>
      <c r="GM518" s="855"/>
      <c r="GN518" s="855"/>
      <c r="GO518" s="855"/>
      <c r="GP518" s="855"/>
      <c r="GQ518" s="855"/>
      <c r="GR518" s="855"/>
      <c r="GS518" s="855"/>
      <c r="GT518" s="855"/>
      <c r="GU518" s="855"/>
      <c r="GV518" s="855"/>
      <c r="GW518" s="855"/>
      <c r="GX518" s="855"/>
      <c r="GY518" s="855"/>
      <c r="GZ518" s="855"/>
      <c r="HA518" s="855"/>
      <c r="HB518" s="855"/>
      <c r="HC518" s="855"/>
      <c r="HD518" s="855"/>
      <c r="HE518" s="855"/>
      <c r="HF518" s="855"/>
      <c r="HG518" s="855"/>
      <c r="HH518" s="855"/>
      <c r="HI518" s="855"/>
      <c r="HJ518" s="855"/>
      <c r="HK518" s="855"/>
      <c r="HL518" s="855"/>
      <c r="HM518" s="855"/>
      <c r="HN518" s="855"/>
      <c r="HO518" s="855"/>
      <c r="HP518" s="855"/>
      <c r="HQ518" s="855"/>
      <c r="HR518" s="855"/>
      <c r="HS518" s="855"/>
      <c r="HT518" s="855"/>
      <c r="HU518" s="855"/>
      <c r="HV518" s="855"/>
      <c r="HW518" s="855"/>
      <c r="HX518" s="855"/>
      <c r="HY518" s="855"/>
      <c r="HZ518" s="855"/>
      <c r="IA518" s="855"/>
      <c r="IB518" s="855"/>
      <c r="IC518" s="855"/>
      <c r="ID518" s="855"/>
      <c r="IE518" s="855"/>
      <c r="IF518" s="855"/>
      <c r="IG518" s="855"/>
      <c r="IH518" s="855"/>
      <c r="II518" s="855"/>
      <c r="IJ518" s="855"/>
      <c r="IK518" s="855"/>
      <c r="IL518" s="855"/>
      <c r="IM518" s="855"/>
      <c r="IN518" s="855"/>
      <c r="IO518" s="855"/>
      <c r="IP518" s="855"/>
      <c r="IQ518" s="855"/>
      <c r="IR518" s="855"/>
      <c r="IS518" s="855"/>
      <c r="IT518" s="855"/>
      <c r="IU518" s="855"/>
      <c r="IV518" s="855"/>
      <c r="IW518" s="855"/>
      <c r="IX518" s="855"/>
      <c r="IY518" s="855"/>
      <c r="IZ518" s="855"/>
      <c r="JA518" s="855"/>
      <c r="JB518" s="855"/>
      <c r="JC518" s="855"/>
      <c r="JD518" s="855"/>
      <c r="JE518" s="855"/>
      <c r="JF518" s="855"/>
      <c r="JG518" s="855"/>
      <c r="JH518" s="855"/>
      <c r="JI518" s="855"/>
      <c r="JJ518" s="855"/>
      <c r="JK518" s="855"/>
      <c r="JL518" s="855"/>
      <c r="JM518"/>
    </row>
    <row r="519" spans="1:273" s="860" customFormat="1">
      <c r="A519" s="302" t="s">
        <v>1024</v>
      </c>
      <c r="B519" s="298"/>
      <c r="C519" s="296"/>
      <c r="D519" s="296"/>
      <c r="E519" s="296"/>
      <c r="F519" s="296"/>
      <c r="G519" s="296"/>
      <c r="H519" s="296"/>
      <c r="I519" s="296"/>
      <c r="J519" s="296"/>
      <c r="K519" s="296"/>
      <c r="L519" s="296"/>
      <c r="M519" s="296"/>
      <c r="N519" s="296"/>
      <c r="O519" s="296"/>
      <c r="P519" s="296"/>
      <c r="Q519" s="296"/>
      <c r="R519" s="296"/>
      <c r="S519" s="296"/>
      <c r="T519" s="296"/>
      <c r="U519" s="296"/>
      <c r="V519" s="296"/>
      <c r="W519" s="296"/>
      <c r="X519" s="296"/>
      <c r="Y519" s="296"/>
      <c r="Z519" s="296"/>
      <c r="AA519" s="296"/>
      <c r="AB519" s="296"/>
      <c r="AC519" s="296"/>
      <c r="AD519" s="296"/>
      <c r="AE519" s="296"/>
      <c r="AF519" s="296"/>
      <c r="AG519" s="296"/>
      <c r="AH519" s="296"/>
      <c r="AI519" s="296"/>
      <c r="AJ519" s="296"/>
      <c r="AK519" s="296"/>
      <c r="AL519" s="296"/>
      <c r="AM519" s="296"/>
      <c r="AN519" s="298"/>
      <c r="AO519" s="298"/>
      <c r="AP519" s="929">
        <f>DIVISIONS!AP310</f>
        <v>0</v>
      </c>
      <c r="AQ519" s="298"/>
      <c r="AR519" s="298"/>
      <c r="AS519" s="298"/>
      <c r="AT519" s="929">
        <f>DIVISIONS!AT310</f>
        <v>-120</v>
      </c>
      <c r="AU519" s="298"/>
      <c r="AV519" s="929">
        <f>DIVISIONS!AV310</f>
        <v>-2</v>
      </c>
      <c r="AW519" s="929">
        <f>DIVISIONS!AW310</f>
        <v>-1</v>
      </c>
      <c r="AX519" s="929">
        <f t="shared" si="632"/>
        <v>-3</v>
      </c>
      <c r="AY519" s="976"/>
      <c r="AZ519" s="929">
        <f>DIVISIONS!AZ310</f>
        <v>-2</v>
      </c>
      <c r="BA519" s="929">
        <f>DIVISIONS!BA310</f>
        <v>-7</v>
      </c>
      <c r="BB519" s="929">
        <f t="shared" si="633"/>
        <v>-9</v>
      </c>
      <c r="BC519" s="857"/>
      <c r="BD519" s="929">
        <f>DIVISIONS!BD310</f>
        <v>-23</v>
      </c>
      <c r="BE519" s="929">
        <f>DIVISIONS!BE310</f>
        <v>-29</v>
      </c>
      <c r="BF519" s="929">
        <f t="shared" si="634"/>
        <v>-52</v>
      </c>
      <c r="BG519" s="859"/>
      <c r="BH519" s="929">
        <f>DIVISIONS!BH310</f>
        <v>-90</v>
      </c>
      <c r="BI519" s="929">
        <f>DIVISIONS!BI310</f>
        <v>-81</v>
      </c>
      <c r="BJ519" s="929">
        <f t="shared" si="628"/>
        <v>-171</v>
      </c>
      <c r="BK519" s="859"/>
      <c r="BL519" s="857">
        <f>DIVISIONS!BL310</f>
        <v>-104</v>
      </c>
      <c r="BM519" s="929">
        <f>DIVISIONS!BM310</f>
        <v>-12</v>
      </c>
      <c r="BN519" s="929">
        <f t="shared" si="629"/>
        <v>-116</v>
      </c>
      <c r="BO519" s="859"/>
      <c r="BP519" s="857">
        <f>DIVISIONS!BP310</f>
        <v>-24</v>
      </c>
      <c r="BQ519" s="929">
        <f>DIVISIONS!BQ310</f>
        <v>-75</v>
      </c>
      <c r="BR519" s="929">
        <f t="shared" si="630"/>
        <v>-99</v>
      </c>
      <c r="BS519" s="859"/>
      <c r="BT519" s="857">
        <f>DIVISIONS!BT310</f>
        <v>-10</v>
      </c>
      <c r="BU519" s="929">
        <f>DIVISIONS!BU310</f>
        <v>-34</v>
      </c>
      <c r="BV519" s="929">
        <f t="shared" si="631"/>
        <v>-44</v>
      </c>
      <c r="BW519" s="859"/>
      <c r="BX519" s="857">
        <f>DIVISIONS!BX310</f>
        <v>-10</v>
      </c>
      <c r="BY519" s="857">
        <f>DIVISIONS!BY310</f>
        <v>-10</v>
      </c>
      <c r="BZ519" s="929">
        <f>BX519+BY519</f>
        <v>-20</v>
      </c>
      <c r="CA519" s="859"/>
      <c r="CB519" s="857">
        <f>DIVISIONS!CB310</f>
        <v>0</v>
      </c>
      <c r="CC519" s="857">
        <f>DIVISIONS!CC310</f>
        <v>0</v>
      </c>
      <c r="CD519" s="929">
        <f>CB519+CC519</f>
        <v>0</v>
      </c>
      <c r="CE519" s="1619"/>
      <c r="CF519" s="857">
        <f>DIVISIONS!CF310</f>
        <v>0</v>
      </c>
      <c r="CG519" s="857">
        <f>DIVISIONS!CG310</f>
        <v>0</v>
      </c>
      <c r="CH519" s="929">
        <f>CF519+CG519</f>
        <v>0</v>
      </c>
      <c r="CI519" s="1619"/>
      <c r="CJ519" s="857">
        <f>DIVISIONS!CJ310</f>
        <v>0</v>
      </c>
      <c r="CK519" s="857">
        <f>DIVISIONS!CK310</f>
        <v>0</v>
      </c>
      <c r="CL519" s="929">
        <f>CJ519+CK519</f>
        <v>0</v>
      </c>
      <c r="CM519" s="1619"/>
      <c r="CN519" s="857">
        <f>DIVISIONS!CN310</f>
        <v>0</v>
      </c>
      <c r="CO519" s="857">
        <f>DIVISIONS!CO310</f>
        <v>0</v>
      </c>
      <c r="CP519" s="929">
        <f>CN519+CO519</f>
        <v>0</v>
      </c>
      <c r="CQ519" s="1619"/>
      <c r="CR519" s="857">
        <f>DIVISIONS!CR310</f>
        <v>0</v>
      </c>
      <c r="CS519" s="857">
        <f>DIVISIONS!CS310</f>
        <v>0</v>
      </c>
      <c r="CT519" s="929">
        <f>CR519+CS519</f>
        <v>0</v>
      </c>
      <c r="CU519" s="859"/>
      <c r="CV519" s="857">
        <f>DIVISIONS!CV310</f>
        <v>0</v>
      </c>
      <c r="CW519" s="857">
        <f>DIVISIONS!CW310</f>
        <v>0</v>
      </c>
      <c r="CX519" s="929">
        <f>CV519+CW519</f>
        <v>0</v>
      </c>
      <c r="CY519" s="859"/>
      <c r="CZ519" s="857">
        <f>DIVISIONS!CZ310</f>
        <v>0</v>
      </c>
      <c r="DA519" s="857">
        <f>DIVISIONS!DA310</f>
        <v>0</v>
      </c>
      <c r="DB519" s="929">
        <f>CZ519+DA519</f>
        <v>0</v>
      </c>
      <c r="DC519" s="859"/>
      <c r="DD519" s="857">
        <f>DIVISIONS!DD310</f>
        <v>0</v>
      </c>
      <c r="DE519" s="857">
        <f>DIVISIONS!DE310</f>
        <v>0</v>
      </c>
      <c r="DF519" s="929">
        <f>DD519+DE519</f>
        <v>0</v>
      </c>
      <c r="DG519" s="859"/>
      <c r="DH519" s="857">
        <f>DIVISIONS!DH310</f>
        <v>0</v>
      </c>
      <c r="DI519" s="859">
        <v>0</v>
      </c>
      <c r="DJ519" s="929">
        <f>DH519+DI519</f>
        <v>0</v>
      </c>
      <c r="DK519" s="859"/>
      <c r="DL519" s="859">
        <v>0</v>
      </c>
      <c r="DM519" s="859">
        <v>0</v>
      </c>
      <c r="DN519" s="929">
        <f>DL519+DM519</f>
        <v>0</v>
      </c>
      <c r="DO519" s="929"/>
      <c r="DP519" s="859">
        <v>0</v>
      </c>
      <c r="DQ519" s="859">
        <v>0</v>
      </c>
      <c r="DR519" s="929">
        <f>DP519+DQ519</f>
        <v>0</v>
      </c>
      <c r="DS519" s="929"/>
      <c r="DT519" s="859"/>
      <c r="DU519" s="859"/>
      <c r="DV519" s="859"/>
      <c r="DW519" s="859"/>
      <c r="DX519" s="929"/>
      <c r="DY519" s="857"/>
      <c r="DZ519" s="859"/>
      <c r="EA519" s="859"/>
      <c r="EB519" s="929"/>
      <c r="EC519" s="857"/>
      <c r="ED519" s="859"/>
      <c r="EE519" s="859"/>
      <c r="EF519" s="929"/>
      <c r="EG519" s="857"/>
      <c r="EH519" s="857"/>
      <c r="EI519" s="857"/>
      <c r="EJ519" s="857"/>
      <c r="EK519" s="857"/>
      <c r="EL519" s="857"/>
      <c r="EM519" s="857"/>
      <c r="EN519" s="857"/>
      <c r="EO519" s="857"/>
      <c r="EP519" s="857"/>
      <c r="FL519" s="855"/>
      <c r="FM519" s="855"/>
      <c r="FN519" s="855"/>
      <c r="FO519" s="855"/>
      <c r="FP519" s="855"/>
      <c r="FQ519" s="855"/>
      <c r="FR519" s="855"/>
      <c r="FS519" s="855"/>
      <c r="FT519" s="855"/>
      <c r="FU519" s="855"/>
      <c r="FV519" s="855"/>
      <c r="FW519" s="855"/>
      <c r="FX519" s="855"/>
      <c r="FY519" s="855"/>
      <c r="FZ519" s="855"/>
      <c r="GA519" s="855"/>
      <c r="GB519" s="855"/>
      <c r="GC519" s="855"/>
      <c r="GD519" s="855"/>
      <c r="GE519" s="855"/>
      <c r="GF519" s="855"/>
      <c r="GG519" s="855"/>
      <c r="GH519" s="855"/>
      <c r="GI519" s="855"/>
      <c r="GJ519" s="855"/>
      <c r="GK519" s="855"/>
      <c r="GL519" s="855"/>
      <c r="GM519" s="855"/>
      <c r="GN519" s="855"/>
      <c r="GO519" s="855"/>
      <c r="GP519" s="855"/>
      <c r="GQ519" s="855"/>
      <c r="GR519" s="855"/>
      <c r="GS519" s="855"/>
      <c r="GT519" s="855"/>
      <c r="GU519" s="855"/>
      <c r="GV519" s="855"/>
      <c r="GW519" s="855"/>
      <c r="GX519" s="855"/>
      <c r="GY519" s="855"/>
      <c r="GZ519" s="855"/>
      <c r="HA519" s="855"/>
      <c r="HB519" s="855"/>
      <c r="HC519" s="855"/>
      <c r="HD519" s="855"/>
      <c r="HE519" s="855"/>
      <c r="HF519" s="855"/>
      <c r="HG519" s="855"/>
      <c r="HH519" s="855"/>
      <c r="HI519" s="855"/>
      <c r="HJ519" s="855"/>
      <c r="HK519" s="855"/>
      <c r="HL519" s="855"/>
      <c r="HM519" s="855"/>
      <c r="HN519" s="855"/>
      <c r="HO519" s="855"/>
      <c r="HP519" s="855"/>
      <c r="HQ519" s="855"/>
      <c r="HR519" s="855"/>
      <c r="HS519" s="855"/>
      <c r="HT519" s="855"/>
      <c r="HU519" s="855"/>
      <c r="HV519" s="855"/>
      <c r="HW519" s="855"/>
      <c r="HX519" s="855"/>
      <c r="HY519" s="855"/>
      <c r="HZ519" s="855"/>
      <c r="IA519" s="855"/>
      <c r="IB519" s="855"/>
      <c r="IC519" s="855"/>
      <c r="ID519" s="855"/>
      <c r="IE519" s="855"/>
      <c r="IF519" s="855"/>
      <c r="IG519" s="855"/>
      <c r="IH519" s="855"/>
      <c r="II519" s="855"/>
      <c r="IJ519" s="855"/>
      <c r="IK519" s="855"/>
      <c r="IL519" s="855"/>
      <c r="IM519" s="855"/>
      <c r="IN519" s="855"/>
      <c r="IO519" s="855"/>
      <c r="IP519" s="855"/>
      <c r="IQ519" s="855"/>
      <c r="IR519" s="855"/>
      <c r="IS519" s="855"/>
      <c r="IT519" s="855"/>
      <c r="IU519" s="855"/>
      <c r="IV519" s="855"/>
      <c r="IW519" s="855"/>
      <c r="IX519" s="855"/>
      <c r="IY519" s="855"/>
      <c r="IZ519" s="855"/>
      <c r="JA519" s="855"/>
      <c r="JB519" s="855"/>
      <c r="JC519" s="855"/>
      <c r="JD519" s="855"/>
      <c r="JE519" s="855"/>
      <c r="JF519" s="855"/>
      <c r="JG519" s="855"/>
      <c r="JH519" s="855"/>
      <c r="JI519" s="855"/>
      <c r="JJ519" s="855"/>
      <c r="JK519" s="855"/>
      <c r="JL519" s="855"/>
      <c r="JM519"/>
    </row>
    <row r="520" spans="1:273" s="860" customFormat="1">
      <c r="A520" s="302" t="s">
        <v>690</v>
      </c>
      <c r="B520" s="298"/>
      <c r="C520" s="296"/>
      <c r="D520" s="296"/>
      <c r="E520" s="296"/>
      <c r="F520" s="296"/>
      <c r="G520" s="296"/>
      <c r="H520" s="296"/>
      <c r="I520" s="296"/>
      <c r="J520" s="296"/>
      <c r="K520" s="296"/>
      <c r="L520" s="296"/>
      <c r="M520" s="296"/>
      <c r="N520" s="296"/>
      <c r="O520" s="296"/>
      <c r="P520" s="296"/>
      <c r="Q520" s="296"/>
      <c r="R520" s="296"/>
      <c r="S520" s="296"/>
      <c r="T520" s="296"/>
      <c r="U520" s="296"/>
      <c r="V520" s="296"/>
      <c r="W520" s="296"/>
      <c r="X520" s="296"/>
      <c r="Y520" s="296"/>
      <c r="Z520" s="296"/>
      <c r="AA520" s="296"/>
      <c r="AB520" s="296"/>
      <c r="AC520" s="296"/>
      <c r="AD520" s="296"/>
      <c r="AE520" s="296"/>
      <c r="AF520" s="296"/>
      <c r="AG520" s="296"/>
      <c r="AH520" s="296"/>
      <c r="AI520" s="296"/>
      <c r="AJ520" s="296"/>
      <c r="AK520" s="296"/>
      <c r="AL520" s="296"/>
      <c r="AM520" s="296"/>
      <c r="AN520" s="298"/>
      <c r="AO520" s="298"/>
      <c r="AP520" s="929">
        <f>DIVISIONS!AP513</f>
        <v>0</v>
      </c>
      <c r="AQ520" s="298"/>
      <c r="AR520" s="298"/>
      <c r="AS520" s="298"/>
      <c r="AT520" s="929">
        <f>DIVISIONS!AT513</f>
        <v>0</v>
      </c>
      <c r="AU520" s="298"/>
      <c r="AV520" s="929">
        <f>DIVISIONS!AV513</f>
        <v>-12</v>
      </c>
      <c r="AW520" s="929">
        <f>DIVISIONS!AW513</f>
        <v>-1</v>
      </c>
      <c r="AX520" s="929">
        <f t="shared" si="632"/>
        <v>-13</v>
      </c>
      <c r="AY520" s="976"/>
      <c r="AZ520" s="929">
        <f>DIVISIONS!AZ513</f>
        <v>-4</v>
      </c>
      <c r="BA520" s="929">
        <f>DIVISIONS!BA513</f>
        <v>1</v>
      </c>
      <c r="BB520" s="929">
        <f t="shared" si="633"/>
        <v>-3</v>
      </c>
      <c r="BC520" s="857"/>
      <c r="BD520" s="929">
        <f>DIVISIONS!BD513</f>
        <v>-1</v>
      </c>
      <c r="BE520" s="929">
        <f>DIVISIONS!BE513</f>
        <v>-12</v>
      </c>
      <c r="BF520" s="929">
        <f t="shared" si="634"/>
        <v>-13</v>
      </c>
      <c r="BG520" s="859"/>
      <c r="BH520" s="929">
        <f>DIVISIONS!BH513</f>
        <v>-1</v>
      </c>
      <c r="BI520" s="929">
        <f>DIVISIONS!BI513</f>
        <v>-10</v>
      </c>
      <c r="BJ520" s="929">
        <f t="shared" si="628"/>
        <v>-11</v>
      </c>
      <c r="BK520" s="859"/>
      <c r="BL520" s="929">
        <f>DIVISIONS!BL513</f>
        <v>-2</v>
      </c>
      <c r="BM520" s="929">
        <f>DIVISIONS!BM513</f>
        <v>-14</v>
      </c>
      <c r="BN520" s="929">
        <f t="shared" si="629"/>
        <v>-16</v>
      </c>
      <c r="BO520" s="859"/>
      <c r="BP520" s="929">
        <f>DIVISIONS!BP513</f>
        <v>-15</v>
      </c>
      <c r="BQ520" s="929">
        <f>DIVISIONS!BQ513</f>
        <v>-34</v>
      </c>
      <c r="BR520" s="929">
        <f t="shared" si="630"/>
        <v>-49</v>
      </c>
      <c r="BS520" s="859"/>
      <c r="BT520" s="929">
        <f>DIVISIONS!BT513</f>
        <v>-4</v>
      </c>
      <c r="BU520" s="929">
        <f>DIVISIONS!BU513</f>
        <v>-41</v>
      </c>
      <c r="BV520" s="929">
        <f t="shared" si="631"/>
        <v>-45</v>
      </c>
      <c r="BW520" s="859"/>
      <c r="BX520" s="929">
        <f>DIVISIONS!BX513</f>
        <v>-17</v>
      </c>
      <c r="BY520" s="929">
        <f>DIVISIONS!BY513</f>
        <v>-11</v>
      </c>
      <c r="BZ520" s="929">
        <f>BX520+BY520</f>
        <v>-28</v>
      </c>
      <c r="CA520" s="859"/>
      <c r="CB520" s="929">
        <f>DIVISIONS!CB513</f>
        <v>0</v>
      </c>
      <c r="CC520" s="929">
        <f>DIVISIONS!CC513</f>
        <v>0</v>
      </c>
      <c r="CD520" s="929">
        <f>CB520+CC520</f>
        <v>0</v>
      </c>
      <c r="CE520" s="1619"/>
      <c r="CF520" s="929">
        <f>DIVISIONS!CF513</f>
        <v>0</v>
      </c>
      <c r="CG520" s="929">
        <f>DIVISIONS!CG513</f>
        <v>0</v>
      </c>
      <c r="CH520" s="929">
        <f>CF520+CG520</f>
        <v>0</v>
      </c>
      <c r="CI520" s="1619"/>
      <c r="CJ520" s="929">
        <f>DIVISIONS!CJ513</f>
        <v>0</v>
      </c>
      <c r="CK520" s="929">
        <f>DIVISIONS!CK513</f>
        <v>0</v>
      </c>
      <c r="CL520" s="929">
        <f>CJ520+CK520</f>
        <v>0</v>
      </c>
      <c r="CM520" s="1619"/>
      <c r="CN520" s="929">
        <f>DIVISIONS!CN513</f>
        <v>0</v>
      </c>
      <c r="CO520" s="929">
        <f>DIVISIONS!CO513</f>
        <v>0</v>
      </c>
      <c r="CP520" s="929">
        <f>CN520+CO520</f>
        <v>0</v>
      </c>
      <c r="CQ520" s="1619"/>
      <c r="CR520" s="929">
        <f>DIVISIONS!CR513</f>
        <v>0</v>
      </c>
      <c r="CS520" s="929">
        <f>DIVISIONS!CS513</f>
        <v>0</v>
      </c>
      <c r="CT520" s="929">
        <f>CR520+CS520</f>
        <v>0</v>
      </c>
      <c r="CU520" s="859"/>
      <c r="CV520" s="929">
        <f>DIVISIONS!CV513</f>
        <v>0</v>
      </c>
      <c r="CW520" s="929">
        <f>DIVISIONS!CW513</f>
        <v>0</v>
      </c>
      <c r="CX520" s="929">
        <f>CV520+CW520</f>
        <v>0</v>
      </c>
      <c r="CY520" s="859"/>
      <c r="CZ520" s="929">
        <f>DIVISIONS!CZ513</f>
        <v>0</v>
      </c>
      <c r="DA520" s="929">
        <f>DIVISIONS!DA513</f>
        <v>0</v>
      </c>
      <c r="DB520" s="929">
        <f>CZ520+DA520</f>
        <v>0</v>
      </c>
      <c r="DC520" s="859"/>
      <c r="DD520" s="929">
        <f>DIVISIONS!DD513</f>
        <v>0</v>
      </c>
      <c r="DE520" s="929">
        <f>DIVISIONS!DE513</f>
        <v>0</v>
      </c>
      <c r="DF520" s="929">
        <f>DD520+DE520</f>
        <v>0</v>
      </c>
      <c r="DG520" s="859"/>
      <c r="DH520" s="929">
        <f>DIVISIONS!DH513</f>
        <v>0</v>
      </c>
      <c r="DI520" s="859">
        <v>0</v>
      </c>
      <c r="DJ520" s="929">
        <f>DH520+DI520</f>
        <v>0</v>
      </c>
      <c r="DK520" s="859"/>
      <c r="DL520" s="859">
        <v>0</v>
      </c>
      <c r="DM520" s="859">
        <v>0</v>
      </c>
      <c r="DN520" s="929">
        <f>DL520+DM520</f>
        <v>0</v>
      </c>
      <c r="DO520" s="929"/>
      <c r="DP520" s="859">
        <v>0</v>
      </c>
      <c r="DQ520" s="859">
        <v>0</v>
      </c>
      <c r="DR520" s="929">
        <f>DP520+DQ520</f>
        <v>0</v>
      </c>
      <c r="DS520" s="929"/>
      <c r="DT520" s="859"/>
      <c r="DU520" s="859"/>
      <c r="DV520" s="859"/>
      <c r="DW520" s="859"/>
      <c r="DX520" s="929"/>
      <c r="DY520" s="857"/>
      <c r="DZ520" s="859"/>
      <c r="EA520" s="859"/>
      <c r="EB520" s="929"/>
      <c r="EC520" s="857"/>
      <c r="ED520" s="859"/>
      <c r="EE520" s="859"/>
      <c r="EF520" s="929"/>
      <c r="EG520" s="857"/>
      <c r="EH520" s="857"/>
      <c r="EI520" s="857"/>
      <c r="EJ520" s="857"/>
      <c r="EK520" s="857"/>
      <c r="EL520" s="857"/>
      <c r="EM520" s="857"/>
      <c r="EN520" s="857"/>
      <c r="EO520" s="857"/>
      <c r="EP520" s="857"/>
      <c r="FL520" s="855"/>
      <c r="FM520" s="855"/>
      <c r="FN520" s="855"/>
      <c r="FO520" s="855"/>
      <c r="FP520" s="855"/>
      <c r="FQ520" s="855"/>
      <c r="FR520" s="855"/>
      <c r="FS520" s="855"/>
      <c r="FT520" s="855"/>
      <c r="FU520" s="855"/>
      <c r="FV520" s="855"/>
      <c r="FW520" s="855"/>
      <c r="FX520" s="855"/>
      <c r="FY520" s="855"/>
      <c r="FZ520" s="855"/>
      <c r="GA520" s="855"/>
      <c r="GB520" s="855"/>
      <c r="GC520" s="855"/>
      <c r="GD520" s="855"/>
      <c r="GE520" s="855"/>
      <c r="GF520" s="855"/>
      <c r="GG520" s="855"/>
      <c r="GH520" s="855"/>
      <c r="GI520" s="855"/>
      <c r="GJ520" s="855"/>
      <c r="GK520" s="855"/>
      <c r="GL520" s="855"/>
      <c r="GM520" s="855"/>
      <c r="GN520" s="855"/>
      <c r="GO520" s="855"/>
      <c r="GP520" s="855"/>
      <c r="GQ520" s="855"/>
      <c r="GR520" s="855"/>
      <c r="GS520" s="855"/>
      <c r="GT520" s="855"/>
      <c r="GU520" s="855"/>
      <c r="GV520" s="855"/>
      <c r="GW520" s="855"/>
      <c r="GX520" s="855"/>
      <c r="GY520" s="855"/>
      <c r="GZ520" s="855"/>
      <c r="HA520" s="855"/>
      <c r="HB520" s="855"/>
      <c r="HC520" s="855"/>
      <c r="HD520" s="855"/>
      <c r="HE520" s="855"/>
      <c r="HF520" s="855"/>
      <c r="HG520" s="855"/>
      <c r="HH520" s="855"/>
      <c r="HI520" s="855"/>
      <c r="HJ520" s="855"/>
      <c r="HK520" s="855"/>
      <c r="HL520" s="855"/>
      <c r="HM520" s="855"/>
      <c r="HN520" s="855"/>
      <c r="HO520" s="855"/>
      <c r="HP520" s="855"/>
      <c r="HQ520" s="855"/>
      <c r="HR520" s="855"/>
      <c r="HS520" s="855"/>
      <c r="HT520" s="855"/>
      <c r="HU520" s="855"/>
      <c r="HV520" s="855"/>
      <c r="HW520" s="855"/>
      <c r="HX520" s="855"/>
      <c r="HY520" s="855"/>
      <c r="HZ520" s="855"/>
      <c r="IA520" s="855"/>
      <c r="IB520" s="855"/>
      <c r="IC520" s="855"/>
      <c r="ID520" s="855"/>
      <c r="IE520" s="855"/>
      <c r="IF520" s="855"/>
      <c r="IG520" s="855"/>
      <c r="IH520" s="855"/>
      <c r="II520" s="855"/>
      <c r="IJ520" s="855"/>
      <c r="IK520" s="855"/>
      <c r="IL520" s="855"/>
      <c r="IM520" s="855"/>
      <c r="IN520" s="855"/>
      <c r="IO520" s="855"/>
      <c r="IP520" s="855"/>
      <c r="IQ520" s="855"/>
      <c r="IR520" s="855"/>
      <c r="IS520" s="855"/>
      <c r="IT520" s="855"/>
      <c r="IU520" s="855"/>
      <c r="IV520" s="855"/>
      <c r="IW520" s="855"/>
      <c r="IX520" s="855"/>
      <c r="IY520" s="855"/>
      <c r="IZ520" s="855"/>
      <c r="JA520" s="855"/>
      <c r="JB520" s="855"/>
      <c r="JC520" s="855"/>
      <c r="JD520" s="855"/>
      <c r="JE520" s="855"/>
      <c r="JF520" s="855"/>
      <c r="JG520" s="855"/>
      <c r="JH520" s="855"/>
      <c r="JI520" s="855"/>
      <c r="JJ520" s="855"/>
      <c r="JK520" s="855"/>
      <c r="JL520" s="855"/>
      <c r="JM520"/>
    </row>
    <row r="521" spans="1:273" s="860" customFormat="1">
      <c r="A521" s="302" t="s">
        <v>689</v>
      </c>
      <c r="B521" s="298"/>
      <c r="C521" s="296"/>
      <c r="D521" s="296"/>
      <c r="E521" s="296"/>
      <c r="F521" s="296"/>
      <c r="G521" s="296"/>
      <c r="H521" s="296"/>
      <c r="I521" s="296"/>
      <c r="J521" s="296"/>
      <c r="K521" s="296"/>
      <c r="L521" s="296"/>
      <c r="M521" s="296"/>
      <c r="N521" s="296"/>
      <c r="O521" s="296"/>
      <c r="P521" s="296"/>
      <c r="Q521" s="296"/>
      <c r="R521" s="296"/>
      <c r="S521" s="296"/>
      <c r="T521" s="296"/>
      <c r="U521" s="296"/>
      <c r="V521" s="296"/>
      <c r="W521" s="296"/>
      <c r="X521" s="296"/>
      <c r="Y521" s="296"/>
      <c r="Z521" s="296"/>
      <c r="AA521" s="296"/>
      <c r="AB521" s="296"/>
      <c r="AC521" s="296"/>
      <c r="AD521" s="296"/>
      <c r="AE521" s="296"/>
      <c r="AF521" s="296"/>
      <c r="AG521" s="296"/>
      <c r="AH521" s="296"/>
      <c r="AI521" s="296"/>
      <c r="AJ521" s="296"/>
      <c r="AK521" s="296"/>
      <c r="AL521" s="296"/>
      <c r="AM521" s="296"/>
      <c r="AN521" s="298"/>
      <c r="AO521" s="298"/>
      <c r="AP521" s="929">
        <f>DIVISIONS!AP634</f>
        <v>0</v>
      </c>
      <c r="AQ521" s="298"/>
      <c r="AR521" s="298"/>
      <c r="AS521" s="298"/>
      <c r="AT521" s="929">
        <f>DIVISIONS!AT634</f>
        <v>-214</v>
      </c>
      <c r="AU521" s="298"/>
      <c r="AV521" s="929">
        <f>DIVISIONS!AV634</f>
        <v>-1</v>
      </c>
      <c r="AW521" s="929">
        <f>DIVISIONS!AW634</f>
        <v>-4</v>
      </c>
      <c r="AX521" s="929">
        <f t="shared" si="632"/>
        <v>-5</v>
      </c>
      <c r="AY521" s="976"/>
      <c r="AZ521" s="929">
        <f>DIVISIONS!AZ634</f>
        <v>-5</v>
      </c>
      <c r="BA521" s="929">
        <f>DIVISIONS!BA634</f>
        <v>-4</v>
      </c>
      <c r="BB521" s="929">
        <f t="shared" si="633"/>
        <v>-9</v>
      </c>
      <c r="BC521" s="857"/>
      <c r="BD521" s="929">
        <f>DIVISIONS!BD634</f>
        <v>-1</v>
      </c>
      <c r="BE521" s="929">
        <f>DIVISIONS!BE634</f>
        <v>-4</v>
      </c>
      <c r="BF521" s="929">
        <f t="shared" si="634"/>
        <v>-5</v>
      </c>
      <c r="BG521" s="859"/>
      <c r="BH521" s="929">
        <f>DIVISIONS!BH634</f>
        <v>-4</v>
      </c>
      <c r="BI521" s="929">
        <f>DIVISIONS!BI634</f>
        <v>-2</v>
      </c>
      <c r="BJ521" s="929">
        <f t="shared" si="628"/>
        <v>-6</v>
      </c>
      <c r="BK521" s="859"/>
      <c r="BL521" s="929">
        <f>DIVISIONS!BL634</f>
        <v>0</v>
      </c>
      <c r="BM521" s="929">
        <f>DIVISIONS!BM634</f>
        <v>0</v>
      </c>
      <c r="BN521" s="929">
        <f t="shared" si="629"/>
        <v>0</v>
      </c>
      <c r="BO521" s="859"/>
      <c r="BP521" s="929">
        <f>DIVISIONS!BP634</f>
        <v>1</v>
      </c>
      <c r="BQ521" s="929">
        <f>DIVISIONS!BQ634</f>
        <v>-4</v>
      </c>
      <c r="BR521" s="929">
        <f t="shared" si="630"/>
        <v>-3</v>
      </c>
      <c r="BS521" s="859"/>
      <c r="BT521" s="929">
        <f>DIVISIONS!BT634</f>
        <v>-2</v>
      </c>
      <c r="BU521" s="929">
        <f>DIVISIONS!BU634</f>
        <v>-6</v>
      </c>
      <c r="BV521" s="929">
        <f t="shared" si="631"/>
        <v>-8</v>
      </c>
      <c r="BW521" s="859"/>
      <c r="BX521" s="929">
        <f>DIVISIONS!BX634</f>
        <v>-46</v>
      </c>
      <c r="BY521" s="929">
        <f>DIVISIONS!BY634</f>
        <v>-7</v>
      </c>
      <c r="BZ521" s="929">
        <f>BX521+BY521</f>
        <v>-53</v>
      </c>
      <c r="CA521" s="859"/>
      <c r="CB521" s="929">
        <f>DIVISIONS!CB634</f>
        <v>0</v>
      </c>
      <c r="CC521" s="929">
        <f>DIVISIONS!CC634</f>
        <v>0</v>
      </c>
      <c r="CD521" s="929">
        <f>CB521+CC521</f>
        <v>0</v>
      </c>
      <c r="CE521" s="1619"/>
      <c r="CF521" s="929">
        <f>DIVISIONS!CF634</f>
        <v>0</v>
      </c>
      <c r="CG521" s="929">
        <f>DIVISIONS!CG634</f>
        <v>-15</v>
      </c>
      <c r="CH521" s="929">
        <f>CF521+CG521</f>
        <v>-15</v>
      </c>
      <c r="CI521" s="1619"/>
      <c r="CJ521" s="929">
        <f>DIVISIONS!CJ634</f>
        <v>0</v>
      </c>
      <c r="CK521" s="929">
        <f>DIVISIONS!CK634</f>
        <v>0</v>
      </c>
      <c r="CL521" s="929">
        <f>CJ521+CK521</f>
        <v>0</v>
      </c>
      <c r="CM521" s="1619"/>
      <c r="CN521" s="929">
        <f>DIVISIONS!CN634</f>
        <v>0</v>
      </c>
      <c r="CO521" s="929">
        <f>DIVISIONS!CO634</f>
        <v>0</v>
      </c>
      <c r="CP521" s="929">
        <f>CN521+CO521</f>
        <v>0</v>
      </c>
      <c r="CQ521" s="1619"/>
      <c r="CR521" s="929">
        <f>DIVISIONS!CR634</f>
        <v>0</v>
      </c>
      <c r="CS521" s="929">
        <f>DIVISIONS!CS634</f>
        <v>0</v>
      </c>
      <c r="CT521" s="929">
        <f>CR521+CS521</f>
        <v>0</v>
      </c>
      <c r="CU521" s="859"/>
      <c r="CV521" s="929">
        <f>DIVISIONS!CV634</f>
        <v>0</v>
      </c>
      <c r="CW521" s="929">
        <f>DIVISIONS!CW634</f>
        <v>0</v>
      </c>
      <c r="CX521" s="929">
        <f>CV521+CW521</f>
        <v>0</v>
      </c>
      <c r="CY521" s="859"/>
      <c r="CZ521" s="929">
        <f>DIVISIONS!CZ634</f>
        <v>0</v>
      </c>
      <c r="DA521" s="929">
        <f>DIVISIONS!DA634</f>
        <v>0</v>
      </c>
      <c r="DB521" s="929">
        <f>CZ521+DA521</f>
        <v>0</v>
      </c>
      <c r="DC521" s="859"/>
      <c r="DD521" s="929">
        <f>DIVISIONS!DD634</f>
        <v>0</v>
      </c>
      <c r="DE521" s="929">
        <f>DIVISIONS!DE634</f>
        <v>0</v>
      </c>
      <c r="DF521" s="929">
        <f>DD521+DE521</f>
        <v>0</v>
      </c>
      <c r="DG521" s="859"/>
      <c r="DH521" s="929">
        <f>DIVISIONS!DH634</f>
        <v>0</v>
      </c>
      <c r="DI521" s="859">
        <v>0</v>
      </c>
      <c r="DJ521" s="929">
        <f>DH521+DI521</f>
        <v>0</v>
      </c>
      <c r="DK521" s="859"/>
      <c r="DL521" s="859">
        <v>0</v>
      </c>
      <c r="DM521" s="859">
        <v>0</v>
      </c>
      <c r="DN521" s="929">
        <f>DL521+DM521</f>
        <v>0</v>
      </c>
      <c r="DO521" s="929"/>
      <c r="DP521" s="859">
        <v>0</v>
      </c>
      <c r="DQ521" s="859">
        <v>0</v>
      </c>
      <c r="DR521" s="929">
        <f>DP521+DQ521</f>
        <v>0</v>
      </c>
      <c r="DS521" s="929"/>
      <c r="DT521" s="859"/>
      <c r="DU521" s="859"/>
      <c r="DV521" s="859"/>
      <c r="DW521" s="859"/>
      <c r="DX521" s="929"/>
      <c r="DY521" s="857"/>
      <c r="DZ521" s="859"/>
      <c r="EA521" s="859"/>
      <c r="EB521" s="929"/>
      <c r="EC521" s="857"/>
      <c r="ED521" s="859"/>
      <c r="EE521" s="859"/>
      <c r="EF521" s="929"/>
      <c r="EG521" s="857"/>
      <c r="EH521" s="857"/>
      <c r="EI521" s="857"/>
      <c r="EJ521" s="857"/>
      <c r="EK521" s="857"/>
      <c r="EL521" s="857"/>
      <c r="EM521" s="857"/>
      <c r="EN521" s="857"/>
      <c r="EO521" s="857"/>
      <c r="EP521" s="857"/>
      <c r="FL521" s="855"/>
      <c r="FM521" s="855"/>
      <c r="FN521" s="855"/>
      <c r="FO521" s="855"/>
      <c r="FP521" s="855"/>
      <c r="FQ521" s="855"/>
      <c r="FR521" s="855"/>
      <c r="FS521" s="855"/>
      <c r="FT521" s="855"/>
      <c r="FU521" s="855"/>
      <c r="FV521" s="855"/>
      <c r="FW521" s="855"/>
      <c r="FX521" s="855"/>
      <c r="FY521" s="855"/>
      <c r="FZ521" s="855"/>
      <c r="GA521" s="855"/>
      <c r="GB521" s="855"/>
      <c r="GC521" s="855"/>
      <c r="GD521" s="855"/>
      <c r="GE521" s="855"/>
      <c r="GF521" s="855"/>
      <c r="GG521" s="855"/>
      <c r="GH521" s="855"/>
      <c r="GI521" s="855"/>
      <c r="GJ521" s="855"/>
      <c r="GK521" s="855"/>
      <c r="GL521" s="855"/>
      <c r="GM521" s="855"/>
      <c r="GN521" s="855"/>
      <c r="GO521" s="855"/>
      <c r="GP521" s="855"/>
      <c r="GQ521" s="855"/>
      <c r="GR521" s="855"/>
      <c r="GS521" s="855"/>
      <c r="GT521" s="855"/>
      <c r="GU521" s="855"/>
      <c r="GV521" s="855"/>
      <c r="GW521" s="855"/>
      <c r="GX521" s="855"/>
      <c r="GY521" s="855"/>
      <c r="GZ521" s="855"/>
      <c r="HA521" s="855"/>
      <c r="HB521" s="855"/>
      <c r="HC521" s="855"/>
      <c r="HD521" s="855"/>
      <c r="HE521" s="855"/>
      <c r="HF521" s="855"/>
      <c r="HG521" s="855"/>
      <c r="HH521" s="855"/>
      <c r="HI521" s="855"/>
      <c r="HJ521" s="855"/>
      <c r="HK521" s="855"/>
      <c r="HL521" s="855"/>
      <c r="HM521" s="855"/>
      <c r="HN521" s="855"/>
      <c r="HO521" s="855"/>
      <c r="HP521" s="855"/>
      <c r="HQ521" s="855"/>
      <c r="HR521" s="855"/>
      <c r="HS521" s="855"/>
      <c r="HT521" s="855"/>
      <c r="HU521" s="855"/>
      <c r="HV521" s="855"/>
      <c r="HW521" s="855"/>
      <c r="HX521" s="855"/>
      <c r="HY521" s="855"/>
      <c r="HZ521" s="855"/>
      <c r="IA521" s="855"/>
      <c r="IB521" s="855"/>
      <c r="IC521" s="855"/>
      <c r="ID521" s="855"/>
      <c r="IE521" s="855"/>
      <c r="IF521" s="855"/>
      <c r="IG521" s="855"/>
      <c r="IH521" s="855"/>
      <c r="II521" s="855"/>
      <c r="IJ521" s="855"/>
      <c r="IK521" s="855"/>
      <c r="IL521" s="855"/>
      <c r="IM521" s="855"/>
      <c r="IN521" s="855"/>
      <c r="IO521" s="855"/>
      <c r="IP521" s="855"/>
      <c r="IQ521" s="855"/>
      <c r="IR521" s="855"/>
      <c r="IS521" s="855"/>
      <c r="IT521" s="855"/>
      <c r="IU521" s="855"/>
      <c r="IV521" s="855"/>
      <c r="IW521" s="855"/>
      <c r="IX521" s="855"/>
      <c r="IY521" s="855"/>
      <c r="IZ521" s="855"/>
      <c r="JA521" s="855"/>
      <c r="JB521" s="855"/>
      <c r="JC521" s="855"/>
      <c r="JD521" s="855"/>
      <c r="JE521" s="855"/>
      <c r="JF521" s="855"/>
      <c r="JG521" s="855"/>
      <c r="JH521" s="855"/>
      <c r="JI521" s="855"/>
      <c r="JJ521" s="855"/>
      <c r="JK521" s="855"/>
      <c r="JL521" s="855"/>
      <c r="JM521"/>
    </row>
    <row r="522" spans="1:273" s="860" customFormat="1">
      <c r="A522" s="302" t="s">
        <v>688</v>
      </c>
      <c r="B522" s="298"/>
      <c r="C522" s="296"/>
      <c r="D522" s="296"/>
      <c r="E522" s="296"/>
      <c r="F522" s="296"/>
      <c r="G522" s="296"/>
      <c r="H522" s="296"/>
      <c r="I522" s="296"/>
      <c r="J522" s="296"/>
      <c r="K522" s="296"/>
      <c r="L522" s="296"/>
      <c r="M522" s="296"/>
      <c r="N522" s="296"/>
      <c r="O522" s="296"/>
      <c r="P522" s="296"/>
      <c r="Q522" s="296"/>
      <c r="R522" s="296"/>
      <c r="S522" s="296"/>
      <c r="T522" s="296"/>
      <c r="U522" s="296"/>
      <c r="V522" s="296"/>
      <c r="W522" s="296"/>
      <c r="X522" s="296"/>
      <c r="Y522" s="296"/>
      <c r="Z522" s="296"/>
      <c r="AA522" s="296"/>
      <c r="AB522" s="296"/>
      <c r="AC522" s="296"/>
      <c r="AD522" s="296"/>
      <c r="AE522" s="296"/>
      <c r="AF522" s="296"/>
      <c r="AG522" s="296"/>
      <c r="AH522" s="296"/>
      <c r="AI522" s="296"/>
      <c r="AJ522" s="296"/>
      <c r="AK522" s="296"/>
      <c r="AL522" s="296"/>
      <c r="AM522" s="296"/>
      <c r="AN522" s="298"/>
      <c r="AO522" s="298"/>
      <c r="AP522" s="929">
        <f>DIVISIONS!AP693</f>
        <v>0</v>
      </c>
      <c r="AQ522" s="298"/>
      <c r="AR522" s="298"/>
      <c r="AS522" s="298"/>
      <c r="AT522" s="929">
        <f>DIVISIONS!AT693</f>
        <v>-146</v>
      </c>
      <c r="AU522" s="298"/>
      <c r="AV522" s="929">
        <f>DIVISIONS!AV693</f>
        <v>-43</v>
      </c>
      <c r="AW522" s="929">
        <f>DIVISIONS!AW693</f>
        <v>-21</v>
      </c>
      <c r="AX522" s="929"/>
      <c r="AY522" s="976"/>
      <c r="AZ522" s="929">
        <f>DIVISIONS!AZ693</f>
        <v>-3</v>
      </c>
      <c r="BA522" s="929">
        <f>DIVISIONS!BA693</f>
        <v>-17</v>
      </c>
      <c r="BB522" s="929"/>
      <c r="BC522" s="857"/>
      <c r="BD522" s="929"/>
      <c r="BE522" s="929"/>
      <c r="BF522" s="929"/>
      <c r="BG522" s="859"/>
      <c r="BH522" s="929"/>
      <c r="BI522" s="929"/>
      <c r="BJ522" s="929"/>
      <c r="BK522" s="859"/>
      <c r="BL522" s="929"/>
      <c r="BM522" s="929"/>
      <c r="BN522" s="929"/>
      <c r="BO522" s="859"/>
      <c r="BP522" s="929"/>
      <c r="BQ522" s="929"/>
      <c r="BR522" s="929"/>
      <c r="BS522" s="859"/>
      <c r="BT522" s="929"/>
      <c r="BU522" s="929"/>
      <c r="BV522" s="929"/>
      <c r="BW522" s="859"/>
      <c r="BX522" s="929"/>
      <c r="BY522" s="929"/>
      <c r="BZ522" s="929"/>
      <c r="CA522" s="859"/>
      <c r="CB522" s="929"/>
      <c r="CC522" s="929"/>
      <c r="CD522" s="929"/>
      <c r="CE522" s="1619"/>
      <c r="CF522" s="929"/>
      <c r="CG522" s="929"/>
      <c r="CH522" s="929"/>
      <c r="CI522" s="1619"/>
      <c r="CJ522" s="929"/>
      <c r="CK522" s="929"/>
      <c r="CL522" s="929"/>
      <c r="CM522" s="1619"/>
      <c r="CN522" s="929"/>
      <c r="CO522" s="929"/>
      <c r="CP522" s="929"/>
      <c r="CQ522" s="1619"/>
      <c r="CR522" s="929"/>
      <c r="CS522" s="929"/>
      <c r="CT522" s="929"/>
      <c r="CU522" s="859"/>
      <c r="CV522" s="929"/>
      <c r="CW522" s="929"/>
      <c r="CX522" s="929"/>
      <c r="CY522" s="859"/>
      <c r="CZ522" s="929"/>
      <c r="DA522" s="929"/>
      <c r="DB522" s="929"/>
      <c r="DC522" s="859"/>
      <c r="DD522" s="929"/>
      <c r="DE522" s="929"/>
      <c r="DF522" s="929"/>
      <c r="DG522" s="859"/>
      <c r="DH522" s="929"/>
      <c r="DI522" s="859"/>
      <c r="DJ522" s="929"/>
      <c r="DK522" s="859"/>
      <c r="DL522" s="859"/>
      <c r="DM522" s="859"/>
      <c r="DN522" s="929"/>
      <c r="DO522" s="929"/>
      <c r="DP522" s="859"/>
      <c r="DQ522" s="859"/>
      <c r="DR522" s="929"/>
      <c r="DS522" s="929"/>
      <c r="DT522" s="859"/>
      <c r="DU522" s="859"/>
      <c r="DV522" s="859"/>
      <c r="DW522" s="859"/>
      <c r="DX522" s="929"/>
      <c r="DY522" s="857"/>
      <c r="DZ522" s="859"/>
      <c r="EA522" s="859"/>
      <c r="EB522" s="929"/>
      <c r="EC522" s="857"/>
      <c r="ED522" s="859"/>
      <c r="EE522" s="859"/>
      <c r="EF522" s="929"/>
      <c r="EG522" s="857"/>
      <c r="EH522" s="857"/>
      <c r="EI522" s="857"/>
      <c r="EJ522" s="857"/>
      <c r="EK522" s="857"/>
      <c r="EL522" s="857"/>
      <c r="EM522" s="857"/>
      <c r="EN522" s="857"/>
      <c r="EO522" s="857"/>
      <c r="EP522" s="857"/>
      <c r="FL522" s="855"/>
      <c r="FM522" s="855"/>
      <c r="FN522" s="855"/>
      <c r="FO522" s="855"/>
      <c r="FP522" s="855"/>
      <c r="FQ522" s="855"/>
      <c r="FR522" s="855"/>
      <c r="FS522" s="855"/>
      <c r="FT522" s="855"/>
      <c r="FU522" s="855"/>
      <c r="FV522" s="855"/>
      <c r="FW522" s="855"/>
      <c r="FX522" s="855"/>
      <c r="FY522" s="855"/>
      <c r="FZ522" s="855"/>
      <c r="GA522" s="855"/>
      <c r="GB522" s="855"/>
      <c r="GC522" s="855"/>
      <c r="GD522" s="855"/>
      <c r="GE522" s="855"/>
      <c r="GF522" s="855"/>
      <c r="GG522" s="855"/>
      <c r="GH522" s="855"/>
      <c r="GI522" s="855"/>
      <c r="GJ522" s="855"/>
      <c r="GK522" s="855"/>
      <c r="GL522" s="855"/>
      <c r="GM522" s="855"/>
      <c r="GN522" s="855"/>
      <c r="GO522" s="855"/>
      <c r="GP522" s="855"/>
      <c r="GQ522" s="855"/>
      <c r="GR522" s="855"/>
      <c r="GS522" s="855"/>
      <c r="GT522" s="855"/>
      <c r="GU522" s="855"/>
      <c r="GV522" s="855"/>
      <c r="GW522" s="855"/>
      <c r="GX522" s="855"/>
      <c r="GY522" s="855"/>
      <c r="GZ522" s="855"/>
      <c r="HA522" s="855"/>
      <c r="HB522" s="855"/>
      <c r="HC522" s="855"/>
      <c r="HD522" s="855"/>
      <c r="HE522" s="855"/>
      <c r="HF522" s="855"/>
      <c r="HG522" s="855"/>
      <c r="HH522" s="855"/>
      <c r="HI522" s="855"/>
      <c r="HJ522" s="855"/>
      <c r="HK522" s="855"/>
      <c r="HL522" s="855"/>
      <c r="HM522" s="855"/>
      <c r="HN522" s="855"/>
      <c r="HO522" s="855"/>
      <c r="HP522" s="855"/>
      <c r="HQ522" s="855"/>
      <c r="HR522" s="855"/>
      <c r="HS522" s="855"/>
      <c r="HT522" s="855"/>
      <c r="HU522" s="855"/>
      <c r="HV522" s="855"/>
      <c r="HW522" s="855"/>
      <c r="HX522" s="855"/>
      <c r="HY522" s="855"/>
      <c r="HZ522" s="855"/>
      <c r="IA522" s="855"/>
      <c r="IB522" s="855"/>
      <c r="IC522" s="855"/>
      <c r="ID522" s="855"/>
      <c r="IE522" s="855"/>
      <c r="IF522" s="855"/>
      <c r="IG522" s="855"/>
      <c r="IH522" s="855"/>
      <c r="II522" s="855"/>
      <c r="IJ522" s="855"/>
      <c r="IK522" s="855"/>
      <c r="IL522" s="855"/>
      <c r="IM522" s="855"/>
      <c r="IN522" s="855"/>
      <c r="IO522" s="855"/>
      <c r="IP522" s="855"/>
      <c r="IQ522" s="855"/>
      <c r="IR522" s="855"/>
      <c r="IS522" s="855"/>
      <c r="IT522" s="855"/>
      <c r="IU522" s="855"/>
      <c r="IV522" s="855"/>
      <c r="IW522" s="855"/>
      <c r="IX522" s="855"/>
      <c r="IY522" s="855"/>
      <c r="IZ522" s="855"/>
      <c r="JA522" s="855"/>
      <c r="JB522" s="855"/>
      <c r="JC522" s="855"/>
      <c r="JD522" s="855"/>
      <c r="JE522" s="855"/>
      <c r="JF522" s="855"/>
      <c r="JG522" s="855"/>
      <c r="JH522" s="855"/>
      <c r="JI522" s="855"/>
      <c r="JJ522" s="855"/>
      <c r="JK522" s="855"/>
      <c r="JL522" s="855"/>
      <c r="JM522"/>
    </row>
    <row r="523" spans="1:273" s="860" customFormat="1">
      <c r="A523" s="302" t="s">
        <v>691</v>
      </c>
      <c r="B523" s="298"/>
      <c r="C523" s="296"/>
      <c r="D523" s="296"/>
      <c r="E523" s="296"/>
      <c r="F523" s="296"/>
      <c r="G523" s="296"/>
      <c r="H523" s="296"/>
      <c r="I523" s="296"/>
      <c r="J523" s="296"/>
      <c r="K523" s="296"/>
      <c r="L523" s="296"/>
      <c r="M523" s="296"/>
      <c r="N523" s="296"/>
      <c r="O523" s="296"/>
      <c r="P523" s="296"/>
      <c r="Q523" s="296"/>
      <c r="R523" s="296"/>
      <c r="S523" s="296"/>
      <c r="T523" s="296"/>
      <c r="U523" s="296"/>
      <c r="V523" s="296"/>
      <c r="W523" s="296"/>
      <c r="X523" s="296"/>
      <c r="Y523" s="296"/>
      <c r="Z523" s="296"/>
      <c r="AA523" s="296"/>
      <c r="AB523" s="296"/>
      <c r="AC523" s="296"/>
      <c r="AD523" s="296"/>
      <c r="AE523" s="296"/>
      <c r="AF523" s="296"/>
      <c r="AG523" s="296"/>
      <c r="AH523" s="296"/>
      <c r="AI523" s="296"/>
      <c r="AJ523" s="296"/>
      <c r="AK523" s="296"/>
      <c r="AL523" s="296"/>
      <c r="AM523" s="296"/>
      <c r="AN523" s="298"/>
      <c r="AO523" s="298"/>
      <c r="AP523" s="929">
        <f>DIVISIONS!AP749</f>
        <v>0</v>
      </c>
      <c r="AQ523" s="298"/>
      <c r="AR523" s="298"/>
      <c r="AS523" s="298"/>
      <c r="AT523" s="929">
        <f>DIVISIONS!AT749</f>
        <v>-32</v>
      </c>
      <c r="AU523" s="298"/>
      <c r="AV523" s="929">
        <f>DIVISIONS!AV749</f>
        <v>0</v>
      </c>
      <c r="AW523" s="929">
        <f>DIVISIONS!AW749</f>
        <v>-1</v>
      </c>
      <c r="AX523" s="929">
        <f t="shared" si="632"/>
        <v>-1</v>
      </c>
      <c r="AY523" s="976"/>
      <c r="AZ523" s="929">
        <f>DIVISIONS!AZ749</f>
        <v>-30</v>
      </c>
      <c r="BA523" s="929">
        <f>DIVISIONS!BA749</f>
        <v>-17</v>
      </c>
      <c r="BB523" s="929">
        <f t="shared" si="633"/>
        <v>-47</v>
      </c>
      <c r="BC523" s="857"/>
      <c r="BD523" s="929">
        <f>DIVISIONS!BD749</f>
        <v>-13</v>
      </c>
      <c r="BE523" s="929">
        <f>DIVISIONS!BE749</f>
        <v>-120</v>
      </c>
      <c r="BF523" s="929">
        <f t="shared" si="634"/>
        <v>-133</v>
      </c>
      <c r="BG523" s="859"/>
      <c r="BH523" s="929">
        <f>DIVISIONS!BH749</f>
        <v>-70</v>
      </c>
      <c r="BI523" s="929">
        <f>DIVISIONS!BI749</f>
        <v>-95</v>
      </c>
      <c r="BJ523" s="929">
        <f>BH523+BI523</f>
        <v>-165</v>
      </c>
      <c r="BK523" s="859"/>
      <c r="BL523" s="929">
        <f>DIVISIONS!BL749</f>
        <v>1</v>
      </c>
      <c r="BM523" s="857">
        <f>DIVISIONS!BM749</f>
        <v>-117</v>
      </c>
      <c r="BN523" s="929">
        <f>BL523+BM523</f>
        <v>-116</v>
      </c>
      <c r="BO523" s="859"/>
      <c r="BP523" s="929">
        <f>DIVISIONS!BP749</f>
        <v>-25</v>
      </c>
      <c r="BQ523" s="857">
        <f>DIVISIONS!BQ749</f>
        <v>-126</v>
      </c>
      <c r="BR523" s="929">
        <f>BP523+BQ523</f>
        <v>-151</v>
      </c>
      <c r="BS523" s="859"/>
      <c r="BT523" s="929">
        <f>DIVISIONS!BT749</f>
        <v>-86</v>
      </c>
      <c r="BU523" s="857">
        <f>DIVISIONS!BU749</f>
        <v>45</v>
      </c>
      <c r="BV523" s="929">
        <f>BT523+BU523</f>
        <v>-41</v>
      </c>
      <c r="BW523" s="859"/>
      <c r="BX523" s="929">
        <f>DIVISIONS!BX749</f>
        <v>-12</v>
      </c>
      <c r="BY523" s="929">
        <f>DIVISIONS!BY749</f>
        <v>2</v>
      </c>
      <c r="BZ523" s="929">
        <f>BX523+BY523</f>
        <v>-10</v>
      </c>
      <c r="CA523" s="859"/>
      <c r="CB523" s="929">
        <f>DIVISIONS!CB749</f>
        <v>0</v>
      </c>
      <c r="CC523" s="929">
        <f>DIVISIONS!CC749</f>
        <v>0</v>
      </c>
      <c r="CD523" s="929">
        <f>CB523+CC523</f>
        <v>0</v>
      </c>
      <c r="CE523" s="1619"/>
      <c r="CF523" s="929">
        <f>DIVISIONS!CF749</f>
        <v>0</v>
      </c>
      <c r="CG523" s="929">
        <f>DIVISIONS!CG749</f>
        <v>0</v>
      </c>
      <c r="CH523" s="929">
        <f>CF523+CG523</f>
        <v>0</v>
      </c>
      <c r="CI523" s="1619"/>
      <c r="CJ523" s="929">
        <f>DIVISIONS!CJ749</f>
        <v>0</v>
      </c>
      <c r="CK523" s="929">
        <f>DIVISIONS!CK749</f>
        <v>0</v>
      </c>
      <c r="CL523" s="929">
        <f>CJ523+CK523</f>
        <v>0</v>
      </c>
      <c r="CM523" s="1619"/>
      <c r="CN523" s="929">
        <f>DIVISIONS!CN749</f>
        <v>0</v>
      </c>
      <c r="CO523" s="929">
        <f>DIVISIONS!CO749</f>
        <v>0</v>
      </c>
      <c r="CP523" s="929">
        <f>CN523+CO523</f>
        <v>0</v>
      </c>
      <c r="CQ523" s="1619"/>
      <c r="CR523" s="929">
        <f>DIVISIONS!CR749</f>
        <v>0</v>
      </c>
      <c r="CS523" s="929">
        <f>DIVISIONS!CS749</f>
        <v>0</v>
      </c>
      <c r="CT523" s="929">
        <f>CR523+CS523</f>
        <v>0</v>
      </c>
      <c r="CU523" s="859"/>
      <c r="CV523" s="929">
        <f>DIVISIONS!CV749</f>
        <v>0</v>
      </c>
      <c r="CW523" s="929">
        <f>DIVISIONS!CW749</f>
        <v>0</v>
      </c>
      <c r="CX523" s="929">
        <f>CV523+CW523</f>
        <v>0</v>
      </c>
      <c r="CY523" s="859"/>
      <c r="CZ523" s="929">
        <f>DIVISIONS!CZ749</f>
        <v>0</v>
      </c>
      <c r="DA523" s="929">
        <f>DIVISIONS!DA749</f>
        <v>0</v>
      </c>
      <c r="DB523" s="929">
        <f>CZ523+DA523</f>
        <v>0</v>
      </c>
      <c r="DC523" s="859"/>
      <c r="DD523" s="929">
        <f>DIVISIONS!DD749</f>
        <v>0</v>
      </c>
      <c r="DE523" s="929">
        <f>DIVISIONS!DE749</f>
        <v>0</v>
      </c>
      <c r="DF523" s="929">
        <f>DD523+DE523</f>
        <v>0</v>
      </c>
      <c r="DG523" s="859"/>
      <c r="DH523" s="929">
        <f>DIVISIONS!DH749</f>
        <v>0</v>
      </c>
      <c r="DI523" s="859">
        <v>0</v>
      </c>
      <c r="DJ523" s="929">
        <f>DH523+DI523</f>
        <v>0</v>
      </c>
      <c r="DK523" s="859"/>
      <c r="DL523" s="859">
        <v>0</v>
      </c>
      <c r="DM523" s="859">
        <v>0</v>
      </c>
      <c r="DN523" s="929">
        <f>DL523+DM523</f>
        <v>0</v>
      </c>
      <c r="DO523" s="929"/>
      <c r="DP523" s="859">
        <v>0</v>
      </c>
      <c r="DQ523" s="859">
        <v>0</v>
      </c>
      <c r="DR523" s="929">
        <f>DP523+DQ523</f>
        <v>0</v>
      </c>
      <c r="DS523" s="929"/>
      <c r="DT523" s="859"/>
      <c r="DU523" s="859"/>
      <c r="DV523" s="859"/>
      <c r="DW523" s="859"/>
      <c r="DX523" s="929"/>
      <c r="DY523" s="857"/>
      <c r="DZ523" s="859"/>
      <c r="EA523" s="859"/>
      <c r="EB523" s="929"/>
      <c r="EC523" s="857"/>
      <c r="ED523" s="859"/>
      <c r="EE523" s="859"/>
      <c r="EF523" s="929"/>
      <c r="EG523" s="857"/>
      <c r="EH523" s="857"/>
      <c r="EI523" s="857"/>
      <c r="EJ523" s="857"/>
      <c r="EK523" s="857"/>
      <c r="EL523" s="857"/>
      <c r="EM523" s="857"/>
      <c r="EN523" s="857"/>
      <c r="EO523" s="857"/>
      <c r="EP523" s="857"/>
      <c r="FL523" s="855"/>
      <c r="FM523" s="855"/>
      <c r="FN523" s="855"/>
      <c r="FO523" s="855"/>
      <c r="FP523" s="855"/>
      <c r="FQ523" s="855"/>
      <c r="FR523" s="855"/>
      <c r="FS523" s="855"/>
      <c r="FT523" s="855"/>
      <c r="FU523" s="855"/>
      <c r="FV523" s="855"/>
      <c r="FW523" s="855"/>
      <c r="FX523" s="855"/>
      <c r="FY523" s="855"/>
      <c r="FZ523" s="855"/>
      <c r="GA523" s="855"/>
      <c r="GB523" s="855"/>
      <c r="GC523" s="855"/>
      <c r="GD523" s="855"/>
      <c r="GE523" s="855"/>
      <c r="GF523" s="855"/>
      <c r="GG523" s="855"/>
      <c r="GH523" s="855"/>
      <c r="GI523" s="855"/>
      <c r="GJ523" s="855"/>
      <c r="GK523" s="855"/>
      <c r="GL523" s="855"/>
      <c r="GM523" s="855"/>
      <c r="GN523" s="855"/>
      <c r="GO523" s="855"/>
      <c r="GP523" s="855"/>
      <c r="GQ523" s="855"/>
      <c r="GR523" s="855"/>
      <c r="GS523" s="855"/>
      <c r="GT523" s="855"/>
      <c r="GU523" s="855"/>
      <c r="GV523" s="855"/>
      <c r="GW523" s="855"/>
      <c r="GX523" s="855"/>
      <c r="GY523" s="855"/>
      <c r="GZ523" s="855"/>
      <c r="HA523" s="855"/>
      <c r="HB523" s="855"/>
      <c r="HC523" s="855"/>
      <c r="HD523" s="855"/>
      <c r="HE523" s="855"/>
      <c r="HF523" s="855"/>
      <c r="HG523" s="855"/>
      <c r="HH523" s="855"/>
      <c r="HI523" s="855"/>
      <c r="HJ523" s="855"/>
      <c r="HK523" s="855"/>
      <c r="HL523" s="855"/>
      <c r="HM523" s="855"/>
      <c r="HN523" s="855"/>
      <c r="HO523" s="855"/>
      <c r="HP523" s="855"/>
      <c r="HQ523" s="855"/>
      <c r="HR523" s="855"/>
      <c r="HS523" s="855"/>
      <c r="HT523" s="855"/>
      <c r="HU523" s="855"/>
      <c r="HV523" s="855"/>
      <c r="HW523" s="855"/>
      <c r="HX523" s="855"/>
      <c r="HY523" s="855"/>
      <c r="HZ523" s="855"/>
      <c r="IA523" s="855"/>
      <c r="IB523" s="855"/>
      <c r="IC523" s="855"/>
      <c r="ID523" s="855"/>
      <c r="IE523" s="855"/>
      <c r="IF523" s="855"/>
      <c r="IG523" s="855"/>
      <c r="IH523" s="855"/>
      <c r="II523" s="855"/>
      <c r="IJ523" s="855"/>
      <c r="IK523" s="855"/>
      <c r="IL523" s="855"/>
      <c r="IM523" s="855"/>
      <c r="IN523" s="855"/>
      <c r="IO523" s="855"/>
      <c r="IP523" s="855"/>
      <c r="IQ523" s="855"/>
      <c r="IR523" s="855"/>
      <c r="IS523" s="855"/>
      <c r="IT523" s="855"/>
      <c r="IU523" s="855"/>
      <c r="IV523" s="855"/>
      <c r="IW523" s="855"/>
      <c r="IX523" s="855"/>
      <c r="IY523" s="855"/>
      <c r="IZ523" s="855"/>
      <c r="JA523" s="855"/>
      <c r="JB523" s="855"/>
      <c r="JC523" s="855"/>
      <c r="JD523" s="855"/>
      <c r="JE523" s="855"/>
      <c r="JF523" s="855"/>
      <c r="JG523" s="855"/>
      <c r="JH523" s="855"/>
      <c r="JI523" s="855"/>
      <c r="JJ523" s="855"/>
      <c r="JK523" s="855"/>
      <c r="JL523" s="855"/>
      <c r="JM523"/>
    </row>
    <row r="524" spans="1:273" s="855" customFormat="1">
      <c r="A524" s="289" t="s">
        <v>613</v>
      </c>
      <c r="B524" s="290"/>
      <c r="C524" s="289"/>
      <c r="D524" s="289"/>
      <c r="E524" s="289"/>
      <c r="F524" s="289"/>
      <c r="G524" s="289"/>
      <c r="H524" s="289"/>
      <c r="I524" s="289"/>
      <c r="J524" s="289"/>
      <c r="K524" s="289"/>
      <c r="L524" s="289"/>
      <c r="M524" s="289"/>
      <c r="N524" s="289"/>
      <c r="O524" s="289"/>
      <c r="P524" s="289"/>
      <c r="Q524" s="289"/>
      <c r="R524" s="289"/>
      <c r="S524" s="289"/>
      <c r="T524" s="289"/>
      <c r="U524" s="289"/>
      <c r="V524" s="289"/>
      <c r="W524" s="289"/>
      <c r="X524" s="289"/>
      <c r="Y524" s="289"/>
      <c r="Z524" s="289"/>
      <c r="AA524" s="289"/>
      <c r="AB524" s="289"/>
      <c r="AC524" s="289"/>
      <c r="AD524" s="289"/>
      <c r="AE524" s="289"/>
      <c r="AF524" s="289"/>
      <c r="AG524" s="289"/>
      <c r="AH524" s="289"/>
      <c r="AI524" s="289"/>
      <c r="AJ524" s="289"/>
      <c r="AK524" s="289"/>
      <c r="AL524" s="289"/>
      <c r="AM524" s="289"/>
      <c r="AN524" s="290"/>
      <c r="AO524" s="290"/>
      <c r="AP524" s="853">
        <f>SUM(AP516:AP523)</f>
        <v>0</v>
      </c>
      <c r="AQ524" s="290"/>
      <c r="AR524" s="290"/>
      <c r="AS524" s="290"/>
      <c r="AT524" s="853">
        <f>SUM(AT516:AT523)</f>
        <v>-1213</v>
      </c>
      <c r="AU524" s="290"/>
      <c r="AV524" s="853">
        <f>SUM(AV516:AV523)</f>
        <v>-433</v>
      </c>
      <c r="AW524" s="853">
        <f>SUM(AW516:AW523)</f>
        <v>-6</v>
      </c>
      <c r="AX524" s="818">
        <f t="shared" si="632"/>
        <v>-439</v>
      </c>
      <c r="AY524" s="820"/>
      <c r="AZ524" s="853">
        <f>SUM(AZ516:AZ523)</f>
        <v>-48</v>
      </c>
      <c r="BA524" s="853">
        <f>SUM(BA516:BA523)</f>
        <v>-75</v>
      </c>
      <c r="BB524" s="818">
        <f t="shared" si="633"/>
        <v>-123</v>
      </c>
      <c r="BC524" s="853"/>
      <c r="BD524" s="853">
        <f>SUM(BD516:BD523)</f>
        <v>-31</v>
      </c>
      <c r="BE524" s="853">
        <f>SUM(BE516:BE523)</f>
        <v>-208</v>
      </c>
      <c r="BF524" s="818">
        <f t="shared" si="634"/>
        <v>-239</v>
      </c>
      <c r="BG524" s="853"/>
      <c r="BH524" s="853">
        <f>SUM(BH516:BH523)</f>
        <v>-221</v>
      </c>
      <c r="BI524" s="853">
        <f>SUM(BI516:BI523)</f>
        <v>-176</v>
      </c>
      <c r="BJ524" s="818">
        <f>BH524+BI524</f>
        <v>-397</v>
      </c>
      <c r="BK524" s="853"/>
      <c r="BL524" s="853">
        <f>SUM(BL516:BL523)</f>
        <v>-104</v>
      </c>
      <c r="BM524" s="853">
        <f>SUM(BM516:BM523)</f>
        <v>-163</v>
      </c>
      <c r="BN524" s="818">
        <f>BL524+BM524</f>
        <v>-267</v>
      </c>
      <c r="BO524" s="853"/>
      <c r="BP524" s="853">
        <f>SUM(BP516:BP523)</f>
        <v>-64</v>
      </c>
      <c r="BQ524" s="853">
        <f>SUM(BQ516:BQ523)</f>
        <v>-267</v>
      </c>
      <c r="BR524" s="818">
        <f>BP524+BQ524</f>
        <v>-331</v>
      </c>
      <c r="BS524" s="853"/>
      <c r="BT524" s="853">
        <f>SUM(BT516:BT523)</f>
        <v>-170</v>
      </c>
      <c r="BU524" s="853">
        <f>SUM(BU516:BU523)</f>
        <v>-79</v>
      </c>
      <c r="BV524" s="818">
        <f>BT524+BU524</f>
        <v>-249</v>
      </c>
      <c r="BW524" s="853"/>
      <c r="BX524" s="2051">
        <f>SUM(BX516:BX523)</f>
        <v>-122</v>
      </c>
      <c r="BY524" s="818">
        <f>SUM(BY516:BY523)</f>
        <v>-34</v>
      </c>
      <c r="BZ524" s="853">
        <f>BX524+BY524</f>
        <v>-156</v>
      </c>
      <c r="CA524" s="853"/>
      <c r="CB524" s="818">
        <f>SUM(CB516:CB523)</f>
        <v>0</v>
      </c>
      <c r="CC524" s="818">
        <f>SUM(CC516:CC523)</f>
        <v>0</v>
      </c>
      <c r="CD524" s="853">
        <f>CB524+CC524</f>
        <v>0</v>
      </c>
      <c r="CE524" s="862"/>
      <c r="CF524" s="818">
        <f>SUM(CF516:CF523)</f>
        <v>0</v>
      </c>
      <c r="CG524" s="818">
        <f>SUM(CG516:CG523)</f>
        <v>-15</v>
      </c>
      <c r="CH524" s="853">
        <f>CF524+CG524</f>
        <v>-15</v>
      </c>
      <c r="CI524" s="862"/>
      <c r="CJ524" s="818">
        <f>SUM(CJ516:CJ523)</f>
        <v>0</v>
      </c>
      <c r="CK524" s="818">
        <f>SUM(CK516:CK523)</f>
        <v>0</v>
      </c>
      <c r="CL524" s="853">
        <f>CJ524+CK524</f>
        <v>0</v>
      </c>
      <c r="CM524" s="862"/>
      <c r="CN524" s="818">
        <f>SUM(CN516:CN523)</f>
        <v>0</v>
      </c>
      <c r="CO524" s="818">
        <f>SUM(CO516:CO523)</f>
        <v>0</v>
      </c>
      <c r="CP524" s="853">
        <f>CN524+CO524</f>
        <v>0</v>
      </c>
      <c r="CQ524" s="862"/>
      <c r="CR524" s="818">
        <f>SUM(CR516:CR523)</f>
        <v>0</v>
      </c>
      <c r="CS524" s="818">
        <f>SUM(CS516:CS523)</f>
        <v>0</v>
      </c>
      <c r="CT524" s="853">
        <f>CR524+CS524</f>
        <v>0</v>
      </c>
      <c r="CU524" s="853"/>
      <c r="CV524" s="818">
        <f>SUM(CV516:CV523)</f>
        <v>0</v>
      </c>
      <c r="CW524" s="818">
        <f>SUM(CW516:CW523)</f>
        <v>0</v>
      </c>
      <c r="CX524" s="853">
        <f>CV524+CW524</f>
        <v>0</v>
      </c>
      <c r="CY524" s="853"/>
      <c r="CZ524" s="818">
        <f>SUM(CZ516:CZ523)</f>
        <v>0</v>
      </c>
      <c r="DA524" s="818">
        <f>SUM(DA516:DA523)</f>
        <v>0</v>
      </c>
      <c r="DB524" s="853">
        <f>CZ524+DA524</f>
        <v>0</v>
      </c>
      <c r="DC524" s="853"/>
      <c r="DD524" s="818">
        <f>SUM(DD516:DD523)</f>
        <v>0</v>
      </c>
      <c r="DE524" s="818">
        <f>SUM(DE516:DE523)</f>
        <v>0</v>
      </c>
      <c r="DF524" s="853">
        <f>DD524+DE524</f>
        <v>0</v>
      </c>
      <c r="DG524" s="853"/>
      <c r="DH524" s="818">
        <f>SUM(DH516:DH523)</f>
        <v>0</v>
      </c>
      <c r="DI524" s="818">
        <f>SUM(DI516:DI523)</f>
        <v>0</v>
      </c>
      <c r="DJ524" s="853">
        <f>DH524+DI524</f>
        <v>0</v>
      </c>
      <c r="DK524" s="853"/>
      <c r="DL524" s="818">
        <f>SUM(DL516:DL523)</f>
        <v>0</v>
      </c>
      <c r="DM524" s="818">
        <f>SUM(DM516:DM523)</f>
        <v>0</v>
      </c>
      <c r="DN524" s="853">
        <f>DL524+DM524</f>
        <v>0</v>
      </c>
      <c r="DO524" s="818"/>
      <c r="DP524" s="818">
        <f>SUM(DP516:DP523)</f>
        <v>0</v>
      </c>
      <c r="DQ524" s="818">
        <f>SUM(DQ516:DQ523)</f>
        <v>0</v>
      </c>
      <c r="DR524" s="853">
        <f>DP524+DQ524</f>
        <v>0</v>
      </c>
      <c r="DS524" s="818"/>
      <c r="DT524" s="853"/>
      <c r="DU524" s="853"/>
      <c r="DV524" s="853"/>
      <c r="DW524" s="853"/>
      <c r="DX524" s="818"/>
      <c r="DY524" s="853"/>
      <c r="DZ524" s="853"/>
      <c r="EA524" s="853"/>
      <c r="EB524" s="818"/>
      <c r="EC524" s="853"/>
      <c r="ED524" s="853"/>
      <c r="EE524" s="853"/>
      <c r="EF524" s="818"/>
      <c r="EG524" s="853"/>
      <c r="EH524" s="853"/>
      <c r="EI524" s="853"/>
      <c r="EJ524" s="853"/>
      <c r="EK524" s="853"/>
      <c r="EL524" s="853"/>
      <c r="EM524" s="853"/>
      <c r="EN524" s="853"/>
      <c r="EO524" s="853"/>
      <c r="EP524" s="853"/>
      <c r="JM524"/>
    </row>
    <row r="525" spans="1:273" s="855" customFormat="1">
      <c r="A525" s="289"/>
      <c r="B525" s="290"/>
      <c r="C525" s="289"/>
      <c r="D525" s="289"/>
      <c r="E525" s="289"/>
      <c r="F525" s="289"/>
      <c r="G525" s="289"/>
      <c r="H525" s="289"/>
      <c r="I525" s="289"/>
      <c r="J525" s="289"/>
      <c r="K525" s="289"/>
      <c r="L525" s="289"/>
      <c r="M525" s="289"/>
      <c r="N525" s="289"/>
      <c r="O525" s="289"/>
      <c r="P525" s="289"/>
      <c r="Q525" s="289"/>
      <c r="R525" s="289"/>
      <c r="S525" s="289"/>
      <c r="T525" s="289"/>
      <c r="U525" s="289"/>
      <c r="V525" s="289"/>
      <c r="W525" s="289"/>
      <c r="X525" s="289"/>
      <c r="Y525" s="289"/>
      <c r="Z525" s="289"/>
      <c r="AA525" s="289"/>
      <c r="AB525" s="289"/>
      <c r="AC525" s="289"/>
      <c r="AD525" s="289"/>
      <c r="AE525" s="289"/>
      <c r="AF525" s="289"/>
      <c r="AG525" s="289"/>
      <c r="AH525" s="289"/>
      <c r="AI525" s="289"/>
      <c r="AJ525" s="289"/>
      <c r="AK525" s="289"/>
      <c r="AL525" s="289"/>
      <c r="AM525" s="289"/>
      <c r="AN525" s="290"/>
      <c r="AO525" s="290"/>
      <c r="AP525" s="290"/>
      <c r="AQ525" s="290"/>
      <c r="AR525" s="290"/>
      <c r="AS525" s="290"/>
      <c r="AT525" s="290"/>
      <c r="AU525" s="290"/>
      <c r="AV525" s="853"/>
      <c r="AW525" s="853"/>
      <c r="AX525" s="853"/>
      <c r="AY525" s="820"/>
      <c r="AZ525" s="853"/>
      <c r="BA525" s="853"/>
      <c r="BB525" s="853"/>
      <c r="BC525" s="853"/>
      <c r="BD525" s="967"/>
      <c r="BE525" s="967"/>
      <c r="BF525" s="853"/>
      <c r="BG525" s="853"/>
      <c r="BH525" s="967"/>
      <c r="BI525" s="967"/>
      <c r="BJ525" s="853"/>
      <c r="BK525" s="853"/>
      <c r="BL525" s="967"/>
      <c r="BM525" s="967"/>
      <c r="BN525" s="853"/>
      <c r="BO525" s="853"/>
      <c r="BP525" s="967"/>
      <c r="BQ525" s="967"/>
      <c r="BR525" s="853"/>
      <c r="BS525" s="853"/>
      <c r="BT525" s="967"/>
      <c r="BU525" s="967"/>
      <c r="BV525" s="853"/>
      <c r="BW525" s="853"/>
      <c r="BX525" s="967"/>
      <c r="BY525" s="967"/>
      <c r="BZ525" s="853"/>
      <c r="CA525" s="853"/>
      <c r="CB525" s="967"/>
      <c r="CC525" s="967"/>
      <c r="CD525" s="853"/>
      <c r="CE525" s="862"/>
      <c r="CF525" s="967"/>
      <c r="CG525" s="967"/>
      <c r="CH525" s="853"/>
      <c r="CI525" s="862"/>
      <c r="CJ525" s="967"/>
      <c r="CK525" s="967"/>
      <c r="CL525" s="853"/>
      <c r="CM525" s="862"/>
      <c r="CN525" s="967"/>
      <c r="CO525" s="967"/>
      <c r="CP525" s="853"/>
      <c r="CQ525" s="862"/>
      <c r="CR525" s="967"/>
      <c r="CS525" s="967"/>
      <c r="CT525" s="853"/>
      <c r="CU525" s="853"/>
      <c r="CV525" s="967"/>
      <c r="CW525" s="967"/>
      <c r="CX525" s="853"/>
      <c r="CY525" s="853"/>
      <c r="CZ525" s="967"/>
      <c r="DA525" s="967"/>
      <c r="DB525" s="853"/>
      <c r="DC525" s="853"/>
      <c r="DD525" s="967"/>
      <c r="DE525" s="967"/>
      <c r="DF525" s="853"/>
      <c r="DG525" s="853"/>
      <c r="DH525" s="967"/>
      <c r="DI525" s="967"/>
      <c r="DJ525" s="853"/>
      <c r="DK525" s="853"/>
      <c r="DL525" s="967"/>
      <c r="DM525" s="967"/>
      <c r="DN525" s="853"/>
      <c r="DO525" s="853"/>
      <c r="DP525" s="967"/>
      <c r="DQ525" s="967"/>
      <c r="DR525" s="853"/>
      <c r="DS525" s="853"/>
      <c r="DT525" s="853"/>
      <c r="DU525" s="967"/>
      <c r="DV525" s="967"/>
      <c r="DW525" s="967"/>
      <c r="DX525" s="853"/>
      <c r="DY525" s="853"/>
      <c r="DZ525" s="967"/>
      <c r="EA525" s="967"/>
      <c r="EB525" s="853"/>
      <c r="EC525" s="853"/>
      <c r="ED525" s="967"/>
      <c r="EE525" s="967"/>
      <c r="EF525" s="853"/>
      <c r="EG525" s="853"/>
      <c r="EH525" s="853"/>
      <c r="EI525" s="853"/>
      <c r="EJ525" s="853"/>
      <c r="EK525" s="853"/>
      <c r="EL525" s="853"/>
      <c r="EM525" s="853"/>
      <c r="EN525" s="853"/>
      <c r="EO525" s="853"/>
      <c r="EP525" s="853"/>
      <c r="JM525"/>
    </row>
    <row r="526" spans="1:273" s="971" customFormat="1">
      <c r="A526" s="866" t="s">
        <v>719</v>
      </c>
      <c r="B526" s="925"/>
      <c r="C526" s="866"/>
      <c r="D526" s="866"/>
      <c r="E526" s="866"/>
      <c r="F526" s="866"/>
      <c r="G526" s="866"/>
      <c r="H526" s="866"/>
      <c r="I526" s="866"/>
      <c r="J526" s="866"/>
      <c r="K526" s="866"/>
      <c r="L526" s="866"/>
      <c r="M526" s="866"/>
      <c r="N526" s="866"/>
      <c r="O526" s="866"/>
      <c r="P526" s="866"/>
      <c r="Q526" s="866"/>
      <c r="R526" s="866"/>
      <c r="S526" s="866"/>
      <c r="T526" s="866"/>
      <c r="U526" s="866"/>
      <c r="V526" s="866"/>
      <c r="W526" s="866"/>
      <c r="X526" s="866"/>
      <c r="Y526" s="866"/>
      <c r="Z526" s="866"/>
      <c r="AA526" s="866"/>
      <c r="AB526" s="866"/>
      <c r="AC526" s="866"/>
      <c r="AD526" s="866"/>
      <c r="AE526" s="866"/>
      <c r="AF526" s="866"/>
      <c r="AG526" s="866"/>
      <c r="AH526" s="866"/>
      <c r="AI526" s="866"/>
      <c r="AJ526" s="866"/>
      <c r="AK526" s="866"/>
      <c r="AL526" s="866"/>
      <c r="AM526" s="866"/>
      <c r="AN526" s="925"/>
      <c r="AO526" s="925"/>
      <c r="AP526" s="925"/>
      <c r="AQ526" s="925"/>
      <c r="AR526" s="925"/>
      <c r="AS526" s="925"/>
      <c r="AT526" s="925"/>
      <c r="AU526" s="925"/>
      <c r="AV526" s="968"/>
      <c r="AW526" s="968"/>
      <c r="AX526" s="968"/>
      <c r="AY526" s="969"/>
      <c r="AZ526" s="968"/>
      <c r="BA526" s="968"/>
      <c r="BB526" s="968"/>
      <c r="BC526" s="968"/>
      <c r="BD526" s="970"/>
      <c r="BE526" s="970"/>
      <c r="BF526" s="968"/>
      <c r="BG526" s="968"/>
      <c r="BH526" s="970"/>
      <c r="BI526" s="970"/>
      <c r="BJ526" s="968"/>
      <c r="BK526" s="968"/>
      <c r="BL526" s="970"/>
      <c r="BM526" s="970"/>
      <c r="BN526" s="968"/>
      <c r="BO526" s="968"/>
      <c r="BP526" s="970"/>
      <c r="BQ526" s="970"/>
      <c r="BR526" s="968"/>
      <c r="BS526" s="968"/>
      <c r="BT526" s="970"/>
      <c r="BU526" s="970"/>
      <c r="BV526" s="968"/>
      <c r="BW526" s="968"/>
      <c r="BX526" s="970"/>
      <c r="BY526" s="970"/>
      <c r="BZ526" s="968"/>
      <c r="CA526" s="968"/>
      <c r="CB526" s="970"/>
      <c r="CC526" s="970"/>
      <c r="CD526" s="968"/>
      <c r="CE526" s="1617"/>
      <c r="CF526" s="970"/>
      <c r="CG526" s="970"/>
      <c r="CH526" s="968"/>
      <c r="CI526" s="1617"/>
      <c r="CJ526" s="970"/>
      <c r="CK526" s="970"/>
      <c r="CL526" s="968"/>
      <c r="CM526" s="1617"/>
      <c r="CN526" s="970"/>
      <c r="CO526" s="970"/>
      <c r="CP526" s="968"/>
      <c r="CQ526" s="1617"/>
      <c r="CR526" s="970"/>
      <c r="CS526" s="970"/>
      <c r="CT526" s="968"/>
      <c r="CU526" s="968"/>
      <c r="CV526" s="970"/>
      <c r="CW526" s="970"/>
      <c r="CX526" s="968"/>
      <c r="CY526" s="968"/>
      <c r="CZ526" s="970"/>
      <c r="DA526" s="970"/>
      <c r="DB526" s="968"/>
      <c r="DC526" s="968"/>
      <c r="DD526" s="970"/>
      <c r="DE526" s="970"/>
      <c r="DF526" s="968"/>
      <c r="DG526" s="968"/>
      <c r="DH526" s="970"/>
      <c r="DI526" s="970"/>
      <c r="DJ526" s="968"/>
      <c r="DK526" s="968"/>
      <c r="DL526" s="970"/>
      <c r="DM526" s="970"/>
      <c r="DN526" s="968"/>
      <c r="DO526" s="968"/>
      <c r="DP526" s="970"/>
      <c r="DQ526" s="970"/>
      <c r="DR526" s="968"/>
      <c r="DS526" s="968"/>
      <c r="DT526" s="968"/>
      <c r="DU526" s="970"/>
      <c r="DV526" s="970"/>
      <c r="DW526" s="970"/>
      <c r="DX526" s="968"/>
      <c r="DY526" s="968"/>
      <c r="DZ526" s="970"/>
      <c r="EA526" s="970"/>
      <c r="EB526" s="968"/>
      <c r="EC526" s="968"/>
      <c r="ED526" s="970"/>
      <c r="EE526" s="970"/>
      <c r="EF526" s="968"/>
      <c r="EG526" s="968"/>
      <c r="EH526" s="968"/>
      <c r="EI526" s="968"/>
      <c r="EJ526" s="968"/>
      <c r="EK526" s="968"/>
      <c r="EL526" s="968"/>
      <c r="EM526" s="968"/>
      <c r="EN526" s="968"/>
      <c r="EO526" s="968"/>
      <c r="EP526" s="968"/>
      <c r="FL526" s="855"/>
      <c r="FM526" s="855"/>
      <c r="FN526" s="855"/>
      <c r="FO526" s="855"/>
      <c r="FP526" s="855"/>
      <c r="FQ526" s="855"/>
      <c r="FR526" s="855"/>
      <c r="FS526" s="855"/>
      <c r="FT526" s="855"/>
      <c r="FU526" s="855"/>
      <c r="FV526" s="855"/>
      <c r="FW526" s="855"/>
      <c r="FX526" s="855"/>
      <c r="FY526" s="855"/>
      <c r="FZ526" s="855"/>
      <c r="GA526" s="855"/>
      <c r="GB526" s="855"/>
      <c r="GC526" s="855"/>
      <c r="GD526" s="855"/>
      <c r="GE526" s="855"/>
      <c r="GF526" s="855"/>
      <c r="GG526" s="855"/>
      <c r="GH526" s="855"/>
      <c r="GI526" s="855"/>
      <c r="GJ526" s="855"/>
      <c r="GK526" s="855"/>
      <c r="GL526" s="855"/>
      <c r="GM526" s="855"/>
      <c r="GN526" s="855"/>
      <c r="GO526" s="855"/>
      <c r="GP526" s="855"/>
      <c r="GQ526" s="855"/>
      <c r="GR526" s="855"/>
      <c r="GS526" s="855"/>
      <c r="GT526" s="855"/>
      <c r="GU526" s="855"/>
      <c r="GV526" s="855"/>
      <c r="GW526" s="855"/>
      <c r="GX526" s="855"/>
      <c r="GY526" s="855"/>
      <c r="GZ526" s="855"/>
      <c r="HA526" s="855"/>
      <c r="HB526" s="855"/>
      <c r="HC526" s="855"/>
      <c r="HD526" s="855"/>
      <c r="HE526" s="855"/>
      <c r="HF526" s="855"/>
      <c r="HG526" s="855"/>
      <c r="HH526" s="855"/>
      <c r="HI526" s="855"/>
      <c r="HJ526" s="855"/>
      <c r="HK526" s="855"/>
      <c r="HL526" s="855"/>
      <c r="HM526" s="855"/>
      <c r="HN526" s="855"/>
      <c r="HO526" s="855"/>
      <c r="HP526" s="855"/>
      <c r="HQ526" s="855"/>
      <c r="HR526" s="855"/>
      <c r="HS526" s="855"/>
      <c r="HT526" s="855"/>
      <c r="HU526" s="855"/>
      <c r="HV526" s="855"/>
      <c r="HW526" s="855"/>
      <c r="HX526" s="855"/>
      <c r="HY526" s="855"/>
      <c r="HZ526" s="855"/>
      <c r="IA526" s="855"/>
      <c r="IB526" s="855"/>
      <c r="IC526" s="855"/>
      <c r="ID526" s="855"/>
      <c r="IE526" s="855"/>
      <c r="IF526" s="855"/>
      <c r="IG526" s="855"/>
      <c r="IH526" s="855"/>
      <c r="II526" s="855"/>
      <c r="IJ526" s="855"/>
      <c r="IK526" s="855"/>
      <c r="IL526" s="855"/>
      <c r="IM526" s="855"/>
      <c r="IN526" s="855"/>
      <c r="IO526" s="855"/>
      <c r="IP526" s="855"/>
      <c r="IQ526" s="855"/>
      <c r="IR526" s="855"/>
      <c r="IS526" s="855"/>
      <c r="IT526" s="855"/>
      <c r="IU526" s="855"/>
      <c r="IV526" s="855"/>
      <c r="IW526" s="855"/>
      <c r="IX526" s="855"/>
      <c r="IY526" s="855"/>
      <c r="IZ526" s="855"/>
      <c r="JA526" s="855"/>
      <c r="JB526" s="855"/>
      <c r="JC526" s="855"/>
      <c r="JD526" s="855"/>
      <c r="JE526" s="855"/>
      <c r="JF526" s="855"/>
      <c r="JG526" s="855"/>
      <c r="JH526" s="855"/>
      <c r="JI526" s="855"/>
      <c r="JJ526" s="855"/>
      <c r="JK526" s="855"/>
      <c r="JL526" s="855"/>
      <c r="JM526"/>
    </row>
    <row r="527" spans="1:273" s="860" customFormat="1">
      <c r="A527" s="302" t="s">
        <v>685</v>
      </c>
      <c r="B527" s="298"/>
      <c r="C527" s="296"/>
      <c r="D527" s="296"/>
      <c r="E527" s="296"/>
      <c r="F527" s="296"/>
      <c r="G527" s="296"/>
      <c r="H527" s="296"/>
      <c r="I527" s="296"/>
      <c r="J527" s="296"/>
      <c r="K527" s="296"/>
      <c r="L527" s="296"/>
      <c r="M527" s="296"/>
      <c r="N527" s="296"/>
      <c r="O527" s="296"/>
      <c r="P527" s="296"/>
      <c r="Q527" s="296"/>
      <c r="R527" s="296"/>
      <c r="S527" s="296"/>
      <c r="T527" s="296"/>
      <c r="U527" s="296"/>
      <c r="V527" s="296"/>
      <c r="W527" s="296"/>
      <c r="X527" s="296"/>
      <c r="Y527" s="296"/>
      <c r="Z527" s="296"/>
      <c r="AA527" s="296"/>
      <c r="AB527" s="296"/>
      <c r="AC527" s="296"/>
      <c r="AD527" s="296"/>
      <c r="AE527" s="296"/>
      <c r="AF527" s="296"/>
      <c r="AG527" s="296"/>
      <c r="AH527" s="296"/>
      <c r="AI527" s="296"/>
      <c r="AJ527" s="296"/>
      <c r="AK527" s="296"/>
      <c r="AL527" s="296"/>
      <c r="AM527" s="296"/>
      <c r="AN527" s="298"/>
      <c r="AO527" s="298"/>
      <c r="AP527" s="298"/>
      <c r="AQ527" s="298"/>
      <c r="AR527" s="298"/>
      <c r="AS527" s="298"/>
      <c r="AT527" s="298"/>
      <c r="AU527" s="972">
        <f>SUM(AV527:BZ527)</f>
        <v>0</v>
      </c>
      <c r="AV527" s="973">
        <v>0</v>
      </c>
      <c r="AW527" s="973">
        <v>0</v>
      </c>
      <c r="AX527" s="980"/>
      <c r="AY527" s="633"/>
      <c r="AZ527" s="973">
        <v>0</v>
      </c>
      <c r="BA527" s="973">
        <v>0</v>
      </c>
      <c r="BB527" s="857"/>
      <c r="BC527" s="857"/>
      <c r="BD527" s="973">
        <v>0</v>
      </c>
      <c r="BE527" s="973">
        <v>0</v>
      </c>
      <c r="BF527" s="929">
        <f>BD527+BE527</f>
        <v>0</v>
      </c>
      <c r="BG527" s="974"/>
      <c r="BH527" s="973">
        <v>0</v>
      </c>
      <c r="BI527" s="973">
        <v>0</v>
      </c>
      <c r="BJ527" s="929">
        <f t="shared" ref="BJ527:BJ532" si="635">BH527+BI527</f>
        <v>0</v>
      </c>
      <c r="BK527" s="974"/>
      <c r="BL527" s="973">
        <v>0</v>
      </c>
      <c r="BM527" s="973">
        <v>0</v>
      </c>
      <c r="BN527" s="929">
        <f t="shared" ref="BN527:BN532" si="636">BL527+BM527</f>
        <v>0</v>
      </c>
      <c r="BO527" s="974"/>
      <c r="BP527" s="973">
        <v>0</v>
      </c>
      <c r="BQ527" s="973">
        <v>0</v>
      </c>
      <c r="BR527" s="929">
        <f t="shared" ref="BR527:BR532" si="637">BP527+BQ527</f>
        <v>0</v>
      </c>
      <c r="BS527" s="974"/>
      <c r="BT527" s="973">
        <v>0</v>
      </c>
      <c r="BU527" s="973">
        <v>0</v>
      </c>
      <c r="BV527" s="929">
        <f t="shared" ref="BV527:BV532" si="638">BT527+BU527</f>
        <v>0</v>
      </c>
      <c r="BW527" s="974"/>
      <c r="BX527" s="974"/>
      <c r="BY527" s="974"/>
      <c r="BZ527" s="974"/>
      <c r="CA527" s="974"/>
      <c r="CB527" s="974"/>
      <c r="CC527" s="974"/>
      <c r="CD527" s="974"/>
      <c r="CE527" s="1618"/>
      <c r="CF527" s="974"/>
      <c r="CG527" s="974"/>
      <c r="CH527" s="974"/>
      <c r="CI527" s="1618"/>
      <c r="CJ527" s="974"/>
      <c r="CK527" s="974"/>
      <c r="CL527" s="974"/>
      <c r="CM527" s="1618"/>
      <c r="CN527" s="974"/>
      <c r="CO527" s="974"/>
      <c r="CP527" s="974"/>
      <c r="CQ527" s="1618"/>
      <c r="CR527" s="974"/>
      <c r="CS527" s="974"/>
      <c r="CT527" s="974"/>
      <c r="CU527" s="974"/>
      <c r="CV527" s="974"/>
      <c r="CW527" s="974"/>
      <c r="CX527" s="974"/>
      <c r="CY527" s="974"/>
      <c r="CZ527" s="974"/>
      <c r="DA527" s="974"/>
      <c r="DB527" s="974"/>
      <c r="DC527" s="974"/>
      <c r="DD527" s="974"/>
      <c r="DE527" s="974"/>
      <c r="DF527" s="974"/>
      <c r="DG527" s="974"/>
      <c r="DH527" s="974"/>
      <c r="DI527" s="974"/>
      <c r="DJ527" s="974"/>
      <c r="DK527" s="974"/>
      <c r="DL527" s="974"/>
      <c r="DM527" s="974"/>
      <c r="DN527" s="974"/>
      <c r="DO527" s="929"/>
      <c r="DP527" s="974"/>
      <c r="DQ527" s="974"/>
      <c r="DR527" s="974"/>
      <c r="DS527" s="929"/>
      <c r="DT527" s="974"/>
      <c r="DU527" s="859"/>
      <c r="DV527" s="859"/>
      <c r="DW527" s="859"/>
      <c r="DX527" s="929"/>
      <c r="DY527" s="857"/>
      <c r="DZ527" s="859"/>
      <c r="EA527" s="859"/>
      <c r="EB527" s="929"/>
      <c r="EC527" s="857"/>
      <c r="ED527" s="859"/>
      <c r="EE527" s="859"/>
      <c r="EF527" s="929"/>
      <c r="EG527" s="857"/>
      <c r="EH527" s="857"/>
      <c r="EI527" s="857"/>
      <c r="EJ527" s="857"/>
      <c r="EK527" s="857"/>
      <c r="EL527" s="857"/>
      <c r="EM527" s="857"/>
      <c r="EN527" s="857"/>
      <c r="EO527" s="857"/>
      <c r="EP527" s="857"/>
      <c r="FL527" s="855"/>
      <c r="FM527" s="855"/>
      <c r="FN527" s="855"/>
      <c r="FO527" s="855"/>
      <c r="FP527" s="855"/>
      <c r="FQ527" s="855"/>
      <c r="FR527" s="855"/>
      <c r="FS527" s="855"/>
      <c r="FT527" s="855"/>
      <c r="FU527" s="855"/>
      <c r="FV527" s="855"/>
      <c r="FW527" s="855"/>
      <c r="FX527" s="855"/>
      <c r="FY527" s="855"/>
      <c r="FZ527" s="855"/>
      <c r="GA527" s="855"/>
      <c r="GB527" s="855"/>
      <c r="GC527" s="855"/>
      <c r="GD527" s="855"/>
      <c r="GE527" s="855"/>
      <c r="GF527" s="855"/>
      <c r="GG527" s="855"/>
      <c r="GH527" s="855"/>
      <c r="GI527" s="855"/>
      <c r="GJ527" s="855"/>
      <c r="GK527" s="855"/>
      <c r="GL527" s="855"/>
      <c r="GM527" s="855"/>
      <c r="GN527" s="855"/>
      <c r="GO527" s="855"/>
      <c r="GP527" s="855"/>
      <c r="GQ527" s="855"/>
      <c r="GR527" s="855"/>
      <c r="GS527" s="855"/>
      <c r="GT527" s="855"/>
      <c r="GU527" s="855"/>
      <c r="GV527" s="855"/>
      <c r="GW527" s="855"/>
      <c r="GX527" s="855"/>
      <c r="GY527" s="855"/>
      <c r="GZ527" s="855"/>
      <c r="HA527" s="855"/>
      <c r="HB527" s="855"/>
      <c r="HC527" s="855"/>
      <c r="HD527" s="855"/>
      <c r="HE527" s="855"/>
      <c r="HF527" s="855"/>
      <c r="HG527" s="855"/>
      <c r="HH527" s="855"/>
      <c r="HI527" s="855"/>
      <c r="HJ527" s="855"/>
      <c r="HK527" s="855"/>
      <c r="HL527" s="855"/>
      <c r="HM527" s="855"/>
      <c r="HN527" s="855"/>
      <c r="HO527" s="855"/>
      <c r="HP527" s="855"/>
      <c r="HQ527" s="855"/>
      <c r="HR527" s="855"/>
      <c r="HS527" s="855"/>
      <c r="HT527" s="855"/>
      <c r="HU527" s="855"/>
      <c r="HV527" s="855"/>
      <c r="HW527" s="855"/>
      <c r="HX527" s="855"/>
      <c r="HY527" s="855"/>
      <c r="HZ527" s="855"/>
      <c r="IA527" s="855"/>
      <c r="IB527" s="855"/>
      <c r="IC527" s="855"/>
      <c r="ID527" s="855"/>
      <c r="IE527" s="855"/>
      <c r="IF527" s="855"/>
      <c r="IG527" s="855"/>
      <c r="IH527" s="855"/>
      <c r="II527" s="855"/>
      <c r="IJ527" s="855"/>
      <c r="IK527" s="855"/>
      <c r="IL527" s="855"/>
      <c r="IM527" s="855"/>
      <c r="IN527" s="855"/>
      <c r="IO527" s="855"/>
      <c r="IP527" s="855"/>
      <c r="IQ527" s="855"/>
      <c r="IR527" s="855"/>
      <c r="IS527" s="855"/>
      <c r="IT527" s="855"/>
      <c r="IU527" s="855"/>
      <c r="IV527" s="855"/>
      <c r="IW527" s="855"/>
      <c r="IX527" s="855"/>
      <c r="IY527" s="855"/>
      <c r="IZ527" s="855"/>
      <c r="JA527" s="855"/>
      <c r="JB527" s="855"/>
      <c r="JC527" s="855"/>
      <c r="JD527" s="855"/>
      <c r="JE527" s="855"/>
      <c r="JF527" s="855"/>
      <c r="JG527" s="855"/>
      <c r="JH527" s="855"/>
      <c r="JI527" s="855"/>
      <c r="JJ527" s="855"/>
      <c r="JK527" s="855"/>
      <c r="JL527" s="855"/>
      <c r="JM527"/>
    </row>
    <row r="528" spans="1:273" s="860" customFormat="1">
      <c r="A528" s="302" t="s">
        <v>686</v>
      </c>
      <c r="B528" s="298"/>
      <c r="C528" s="296"/>
      <c r="D528" s="296"/>
      <c r="E528" s="296"/>
      <c r="F528" s="296"/>
      <c r="G528" s="296"/>
      <c r="H528" s="296"/>
      <c r="I528" s="296"/>
      <c r="J528" s="296"/>
      <c r="K528" s="296"/>
      <c r="L528" s="296"/>
      <c r="M528" s="296"/>
      <c r="N528" s="296"/>
      <c r="O528" s="296"/>
      <c r="P528" s="296"/>
      <c r="Q528" s="296"/>
      <c r="R528" s="296"/>
      <c r="S528" s="296"/>
      <c r="T528" s="296"/>
      <c r="U528" s="296"/>
      <c r="V528" s="296"/>
      <c r="W528" s="296"/>
      <c r="X528" s="296"/>
      <c r="Y528" s="296"/>
      <c r="Z528" s="296"/>
      <c r="AA528" s="296"/>
      <c r="AB528" s="296"/>
      <c r="AC528" s="296"/>
      <c r="AD528" s="296"/>
      <c r="AE528" s="296"/>
      <c r="AF528" s="296"/>
      <c r="AG528" s="296"/>
      <c r="AH528" s="296"/>
      <c r="AI528" s="296"/>
      <c r="AJ528" s="296"/>
      <c r="AK528" s="296"/>
      <c r="AL528" s="296"/>
      <c r="AM528" s="296"/>
      <c r="AN528" s="298"/>
      <c r="AO528" s="298"/>
      <c r="AP528" s="929">
        <f>DIVISIONS!AP172</f>
        <v>0</v>
      </c>
      <c r="AQ528" s="298"/>
      <c r="AR528" s="298"/>
      <c r="AS528" s="298"/>
      <c r="AT528" s="929">
        <f>DIVISIONS!AT172</f>
        <v>0</v>
      </c>
      <c r="AU528" s="298"/>
      <c r="AV528" s="929">
        <f>DIVISIONS!AV172</f>
        <v>-29</v>
      </c>
      <c r="AW528" s="929">
        <f>DIVISIONS!AW172</f>
        <v>23</v>
      </c>
      <c r="AX528" s="857"/>
      <c r="AY528" s="976"/>
      <c r="AZ528" s="929">
        <f>DIVISIONS!AZ172</f>
        <v>0</v>
      </c>
      <c r="BA528" s="929">
        <f>DIVISIONS!BA172</f>
        <v>0</v>
      </c>
      <c r="BB528" s="857"/>
      <c r="BC528" s="857"/>
      <c r="BD528" s="929">
        <f>DIVISIONS!BD172</f>
        <v>0</v>
      </c>
      <c r="BE528" s="929">
        <f>DIVISIONS!BE172</f>
        <v>-16</v>
      </c>
      <c r="BF528" s="929">
        <f t="shared" ref="BF528:BF535" si="639">BD528+BE528</f>
        <v>-16</v>
      </c>
      <c r="BG528" s="859"/>
      <c r="BH528" s="929">
        <f>DIVISIONS!BH172</f>
        <v>-2</v>
      </c>
      <c r="BI528" s="929">
        <f>DIVISIONS!BI172</f>
        <v>-11</v>
      </c>
      <c r="BJ528" s="929">
        <f t="shared" si="635"/>
        <v>-13</v>
      </c>
      <c r="BK528" s="859"/>
      <c r="BL528" s="929">
        <f>DIVISIONS!BL172</f>
        <v>0</v>
      </c>
      <c r="BM528" s="929">
        <f>DIVISIONS!BM172</f>
        <v>0</v>
      </c>
      <c r="BN528" s="929">
        <f t="shared" si="636"/>
        <v>0</v>
      </c>
      <c r="BO528" s="859"/>
      <c r="BP528" s="929">
        <f>DIVISIONS!BP172</f>
        <v>0</v>
      </c>
      <c r="BQ528" s="929">
        <f>DIVISIONS!BQ172</f>
        <v>0</v>
      </c>
      <c r="BR528" s="929">
        <f t="shared" si="637"/>
        <v>0</v>
      </c>
      <c r="BS528" s="859"/>
      <c r="BT528" s="929">
        <f>DIVISIONS!BT172</f>
        <v>0</v>
      </c>
      <c r="BU528" s="929">
        <f>DIVISIONS!BU172</f>
        <v>0</v>
      </c>
      <c r="BV528" s="929">
        <f t="shared" si="638"/>
        <v>0</v>
      </c>
      <c r="BW528" s="859"/>
      <c r="BX528" s="929">
        <f>DIVISIONS!BX172</f>
        <v>0</v>
      </c>
      <c r="BY528" s="929">
        <f>DIVISIONS!BY172</f>
        <v>0</v>
      </c>
      <c r="BZ528" s="929">
        <f>BX528+BY528</f>
        <v>0</v>
      </c>
      <c r="CA528" s="859"/>
      <c r="CB528" s="929">
        <f>DIVISIONS!CB172</f>
        <v>0</v>
      </c>
      <c r="CC528" s="929">
        <f>DIVISIONS!CC172</f>
        <v>0</v>
      </c>
      <c r="CD528" s="929">
        <f>CB528+CC528</f>
        <v>0</v>
      </c>
      <c r="CE528" s="1619"/>
      <c r="CF528" s="929">
        <f>DIVISIONS!CF172</f>
        <v>0</v>
      </c>
      <c r="CG528" s="929">
        <f>DIVISIONS!CG172</f>
        <v>0</v>
      </c>
      <c r="CH528" s="929">
        <f>CF528+CG528</f>
        <v>0</v>
      </c>
      <c r="CI528" s="1619"/>
      <c r="CJ528" s="929">
        <f>DIVISIONS!CJ172</f>
        <v>0</v>
      </c>
      <c r="CK528" s="929">
        <f>DIVISIONS!CK172</f>
        <v>0</v>
      </c>
      <c r="CL528" s="929">
        <f>CJ528+CK528</f>
        <v>0</v>
      </c>
      <c r="CM528" s="1619"/>
      <c r="CN528" s="929">
        <f>DIVISIONS!CN172</f>
        <v>0</v>
      </c>
      <c r="CO528" s="929">
        <f>DIVISIONS!CO172</f>
        <v>0</v>
      </c>
      <c r="CP528" s="929">
        <f>CN528+CO528</f>
        <v>0</v>
      </c>
      <c r="CQ528" s="1619"/>
      <c r="CR528" s="929">
        <f>DIVISIONS!CR172</f>
        <v>0</v>
      </c>
      <c r="CS528" s="929">
        <f>DIVISIONS!CS172</f>
        <v>0</v>
      </c>
      <c r="CT528" s="929">
        <f>CR528+CS528</f>
        <v>0</v>
      </c>
      <c r="CU528" s="859"/>
      <c r="CV528" s="929">
        <f>DIVISIONS!CV172</f>
        <v>0</v>
      </c>
      <c r="CW528" s="929">
        <f>DIVISIONS!CW172</f>
        <v>0</v>
      </c>
      <c r="CX528" s="929">
        <f>CV528+CW528</f>
        <v>0</v>
      </c>
      <c r="CY528" s="859"/>
      <c r="CZ528" s="929">
        <f>DIVISIONS!CZ172</f>
        <v>0</v>
      </c>
      <c r="DA528" s="929">
        <f>DIVISIONS!DA172</f>
        <v>0</v>
      </c>
      <c r="DB528" s="929">
        <f>CZ528+DA528</f>
        <v>0</v>
      </c>
      <c r="DC528" s="859"/>
      <c r="DD528" s="929">
        <f>DIVISIONS!DD172</f>
        <v>0</v>
      </c>
      <c r="DE528" s="929">
        <f>DIVISIONS!DE172</f>
        <v>0</v>
      </c>
      <c r="DF528" s="929">
        <f>DD528+DE528</f>
        <v>0</v>
      </c>
      <c r="DG528" s="859"/>
      <c r="DH528" s="929">
        <f>DIVISIONS!DH172</f>
        <v>0</v>
      </c>
      <c r="DI528" s="859">
        <v>0</v>
      </c>
      <c r="DJ528" s="929">
        <f>DH528+DI528</f>
        <v>0</v>
      </c>
      <c r="DK528" s="859"/>
      <c r="DL528" s="859">
        <v>0</v>
      </c>
      <c r="DM528" s="859">
        <v>0</v>
      </c>
      <c r="DN528" s="929">
        <f>DL528+DM528</f>
        <v>0</v>
      </c>
      <c r="DO528" s="929"/>
      <c r="DP528" s="859">
        <v>0</v>
      </c>
      <c r="DQ528" s="859">
        <v>0</v>
      </c>
      <c r="DR528" s="929">
        <f>DP528+DQ528</f>
        <v>0</v>
      </c>
      <c r="DS528" s="929"/>
      <c r="DT528" s="859"/>
      <c r="DU528" s="859"/>
      <c r="DV528" s="859"/>
      <c r="DW528" s="859"/>
      <c r="DX528" s="929"/>
      <c r="DY528" s="857"/>
      <c r="DZ528" s="859"/>
      <c r="EA528" s="859"/>
      <c r="EB528" s="929"/>
      <c r="EC528" s="857"/>
      <c r="ED528" s="859"/>
      <c r="EE528" s="859"/>
      <c r="EF528" s="929"/>
      <c r="EG528" s="857"/>
      <c r="EH528" s="857"/>
      <c r="EI528" s="857"/>
      <c r="EJ528" s="857"/>
      <c r="EK528" s="857"/>
      <c r="EL528" s="857"/>
      <c r="EM528" s="857"/>
      <c r="EN528" s="857"/>
      <c r="EO528" s="857"/>
      <c r="EP528" s="857"/>
      <c r="FL528" s="855"/>
      <c r="FM528" s="855"/>
      <c r="FN528" s="855"/>
      <c r="FO528" s="855"/>
      <c r="FP528" s="855"/>
      <c r="FQ528" s="855"/>
      <c r="FR528" s="855"/>
      <c r="FS528" s="855"/>
      <c r="FT528" s="855"/>
      <c r="FU528" s="855"/>
      <c r="FV528" s="855"/>
      <c r="FW528" s="855"/>
      <c r="FX528" s="855"/>
      <c r="FY528" s="855"/>
      <c r="FZ528" s="855"/>
      <c r="GA528" s="855"/>
      <c r="GB528" s="855"/>
      <c r="GC528" s="855"/>
      <c r="GD528" s="855"/>
      <c r="GE528" s="855"/>
      <c r="GF528" s="855"/>
      <c r="GG528" s="855"/>
      <c r="GH528" s="855"/>
      <c r="GI528" s="855"/>
      <c r="GJ528" s="855"/>
      <c r="GK528" s="855"/>
      <c r="GL528" s="855"/>
      <c r="GM528" s="855"/>
      <c r="GN528" s="855"/>
      <c r="GO528" s="855"/>
      <c r="GP528" s="855"/>
      <c r="GQ528" s="855"/>
      <c r="GR528" s="855"/>
      <c r="GS528" s="855"/>
      <c r="GT528" s="855"/>
      <c r="GU528" s="855"/>
      <c r="GV528" s="855"/>
      <c r="GW528" s="855"/>
      <c r="GX528" s="855"/>
      <c r="GY528" s="855"/>
      <c r="GZ528" s="855"/>
      <c r="HA528" s="855"/>
      <c r="HB528" s="855"/>
      <c r="HC528" s="855"/>
      <c r="HD528" s="855"/>
      <c r="HE528" s="855"/>
      <c r="HF528" s="855"/>
      <c r="HG528" s="855"/>
      <c r="HH528" s="855"/>
      <c r="HI528" s="855"/>
      <c r="HJ528" s="855"/>
      <c r="HK528" s="855"/>
      <c r="HL528" s="855"/>
      <c r="HM528" s="855"/>
      <c r="HN528" s="855"/>
      <c r="HO528" s="855"/>
      <c r="HP528" s="855"/>
      <c r="HQ528" s="855"/>
      <c r="HR528" s="855"/>
      <c r="HS528" s="855"/>
      <c r="HT528" s="855"/>
      <c r="HU528" s="855"/>
      <c r="HV528" s="855"/>
      <c r="HW528" s="855"/>
      <c r="HX528" s="855"/>
      <c r="HY528" s="855"/>
      <c r="HZ528" s="855"/>
      <c r="IA528" s="855"/>
      <c r="IB528" s="855"/>
      <c r="IC528" s="855"/>
      <c r="ID528" s="855"/>
      <c r="IE528" s="855"/>
      <c r="IF528" s="855"/>
      <c r="IG528" s="855"/>
      <c r="IH528" s="855"/>
      <c r="II528" s="855"/>
      <c r="IJ528" s="855"/>
      <c r="IK528" s="855"/>
      <c r="IL528" s="855"/>
      <c r="IM528" s="855"/>
      <c r="IN528" s="855"/>
      <c r="IO528" s="855"/>
      <c r="IP528" s="855"/>
      <c r="IQ528" s="855"/>
      <c r="IR528" s="855"/>
      <c r="IS528" s="855"/>
      <c r="IT528" s="855"/>
      <c r="IU528" s="855"/>
      <c r="IV528" s="855"/>
      <c r="IW528" s="855"/>
      <c r="IX528" s="855"/>
      <c r="IY528" s="855"/>
      <c r="IZ528" s="855"/>
      <c r="JA528" s="855"/>
      <c r="JB528" s="855"/>
      <c r="JC528" s="855"/>
      <c r="JD528" s="855"/>
      <c r="JE528" s="855"/>
      <c r="JF528" s="855"/>
      <c r="JG528" s="855"/>
      <c r="JH528" s="855"/>
      <c r="JI528" s="855"/>
      <c r="JJ528" s="855"/>
      <c r="JK528" s="855"/>
      <c r="JL528" s="855"/>
      <c r="JM528"/>
    </row>
    <row r="529" spans="1:273" s="860" customFormat="1">
      <c r="A529" s="302" t="s">
        <v>616</v>
      </c>
      <c r="B529" s="298"/>
      <c r="C529" s="296"/>
      <c r="D529" s="296"/>
      <c r="E529" s="296"/>
      <c r="F529" s="296"/>
      <c r="G529" s="296"/>
      <c r="H529" s="296"/>
      <c r="I529" s="296"/>
      <c r="J529" s="296"/>
      <c r="K529" s="296"/>
      <c r="L529" s="296"/>
      <c r="M529" s="296"/>
      <c r="N529" s="296"/>
      <c r="O529" s="296"/>
      <c r="P529" s="296"/>
      <c r="Q529" s="296"/>
      <c r="R529" s="296"/>
      <c r="S529" s="296"/>
      <c r="T529" s="296"/>
      <c r="U529" s="296"/>
      <c r="V529" s="296"/>
      <c r="W529" s="296"/>
      <c r="X529" s="296"/>
      <c r="Y529" s="296"/>
      <c r="Z529" s="296"/>
      <c r="AA529" s="296"/>
      <c r="AB529" s="296"/>
      <c r="AC529" s="296"/>
      <c r="AD529" s="296"/>
      <c r="AE529" s="296"/>
      <c r="AF529" s="296"/>
      <c r="AG529" s="296"/>
      <c r="AH529" s="296"/>
      <c r="AI529" s="296"/>
      <c r="AJ529" s="296"/>
      <c r="AK529" s="296"/>
      <c r="AL529" s="296"/>
      <c r="AM529" s="296"/>
      <c r="AN529" s="298"/>
      <c r="AO529" s="298"/>
      <c r="AP529" s="929">
        <f>DIVISIONS!AP426</f>
        <v>0</v>
      </c>
      <c r="AQ529" s="298"/>
      <c r="AR529" s="298"/>
      <c r="AS529" s="298"/>
      <c r="AT529" s="929">
        <f>DIVISIONS!AT426</f>
        <v>0</v>
      </c>
      <c r="AU529" s="298"/>
      <c r="AV529" s="929">
        <f>DIVISIONS!AV426</f>
        <v>0</v>
      </c>
      <c r="AW529" s="929">
        <f>DIVISIONS!AW426</f>
        <v>-6</v>
      </c>
      <c r="AX529" s="857"/>
      <c r="AY529" s="976"/>
      <c r="AZ529" s="929">
        <f>DIVISIONS!AZ426</f>
        <v>0</v>
      </c>
      <c r="BA529" s="929">
        <f>DIVISIONS!BA426</f>
        <v>0</v>
      </c>
      <c r="BB529" s="857"/>
      <c r="BC529" s="857"/>
      <c r="BD529" s="929">
        <f>DIVISIONS!BD426</f>
        <v>0</v>
      </c>
      <c r="BE529" s="929">
        <f>DIVISIONS!BE426</f>
        <v>0</v>
      </c>
      <c r="BF529" s="929">
        <f t="shared" si="639"/>
        <v>0</v>
      </c>
      <c r="BG529" s="859"/>
      <c r="BH529" s="929">
        <f>DIVISIONS!BH426</f>
        <v>0</v>
      </c>
      <c r="BI529" s="929">
        <f>DIVISIONS!BI426</f>
        <v>0</v>
      </c>
      <c r="BJ529" s="929">
        <f t="shared" si="635"/>
        <v>0</v>
      </c>
      <c r="BK529" s="859"/>
      <c r="BL529" s="929">
        <f>DIVISIONS!BL426</f>
        <v>0</v>
      </c>
      <c r="BM529" s="929">
        <f>DIVISIONS!BM426</f>
        <v>0</v>
      </c>
      <c r="BN529" s="929">
        <f t="shared" si="636"/>
        <v>0</v>
      </c>
      <c r="BO529" s="859"/>
      <c r="BP529" s="929">
        <f>DIVISIONS!BP426</f>
        <v>0</v>
      </c>
      <c r="BQ529" s="929">
        <f>DIVISIONS!BQ426</f>
        <v>0</v>
      </c>
      <c r="BR529" s="929">
        <f t="shared" si="637"/>
        <v>0</v>
      </c>
      <c r="BS529" s="859"/>
      <c r="BT529" s="929">
        <f>DIVISIONS!BT426</f>
        <v>0</v>
      </c>
      <c r="BU529" s="929">
        <f>DIVISIONS!BU426</f>
        <v>0</v>
      </c>
      <c r="BV529" s="929">
        <f t="shared" si="638"/>
        <v>0</v>
      </c>
      <c r="BW529" s="859"/>
      <c r="BX529" s="929">
        <f>DIVISIONS!BX426</f>
        <v>0</v>
      </c>
      <c r="BY529" s="929">
        <f>DIVISIONS!BY426</f>
        <v>0</v>
      </c>
      <c r="BZ529" s="929">
        <f>BX529+BY529</f>
        <v>0</v>
      </c>
      <c r="CA529" s="859"/>
      <c r="CB529" s="929">
        <f>DIVISIONS!CB426</f>
        <v>0</v>
      </c>
      <c r="CC529" s="929">
        <f>DIVISIONS!CC426</f>
        <v>0</v>
      </c>
      <c r="CD529" s="929">
        <f>CB529+CC529</f>
        <v>0</v>
      </c>
      <c r="CE529" s="1619"/>
      <c r="CF529" s="929">
        <f>DIVISIONS!CF426</f>
        <v>0</v>
      </c>
      <c r="CG529" s="929">
        <f>DIVISIONS!CG426</f>
        <v>0</v>
      </c>
      <c r="CH529" s="929">
        <f>CF529+CG529</f>
        <v>0</v>
      </c>
      <c r="CI529" s="1619"/>
      <c r="CJ529" s="929">
        <f>DIVISIONS!CJ426</f>
        <v>0</v>
      </c>
      <c r="CK529" s="929">
        <f>DIVISIONS!CK426</f>
        <v>0</v>
      </c>
      <c r="CL529" s="929">
        <f>CJ529+CK529</f>
        <v>0</v>
      </c>
      <c r="CM529" s="1619"/>
      <c r="CN529" s="929">
        <f>DIVISIONS!CN426</f>
        <v>0</v>
      </c>
      <c r="CO529" s="929">
        <f>DIVISIONS!CO426</f>
        <v>0</v>
      </c>
      <c r="CP529" s="929">
        <f>CN529+CO529</f>
        <v>0</v>
      </c>
      <c r="CQ529" s="1619"/>
      <c r="CR529" s="929">
        <f>DIVISIONS!CR426</f>
        <v>0</v>
      </c>
      <c r="CS529" s="929">
        <f>DIVISIONS!CS426</f>
        <v>0</v>
      </c>
      <c r="CT529" s="929">
        <f>CR529+CS529</f>
        <v>0</v>
      </c>
      <c r="CU529" s="859"/>
      <c r="CV529" s="929">
        <f>DIVISIONS!CV426</f>
        <v>0</v>
      </c>
      <c r="CW529" s="929">
        <f>DIVISIONS!CW426</f>
        <v>0</v>
      </c>
      <c r="CX529" s="929">
        <f>CV529+CW529</f>
        <v>0</v>
      </c>
      <c r="CY529" s="859"/>
      <c r="CZ529" s="929">
        <f>DIVISIONS!CZ426</f>
        <v>0</v>
      </c>
      <c r="DA529" s="929">
        <f>DIVISIONS!DA426</f>
        <v>0</v>
      </c>
      <c r="DB529" s="929">
        <f>CZ529+DA529</f>
        <v>0</v>
      </c>
      <c r="DC529" s="859"/>
      <c r="DD529" s="929">
        <f>DIVISIONS!DD426</f>
        <v>0</v>
      </c>
      <c r="DE529" s="929">
        <f>DIVISIONS!DE426</f>
        <v>0</v>
      </c>
      <c r="DF529" s="929">
        <f>DD529+DE529</f>
        <v>0</v>
      </c>
      <c r="DG529" s="859"/>
      <c r="DH529" s="929">
        <f>DIVISIONS!DH426</f>
        <v>0</v>
      </c>
      <c r="DI529" s="859">
        <v>0</v>
      </c>
      <c r="DJ529" s="929">
        <f>DH529+DI529</f>
        <v>0</v>
      </c>
      <c r="DK529" s="859"/>
      <c r="DL529" s="859">
        <v>0</v>
      </c>
      <c r="DM529" s="859">
        <v>0</v>
      </c>
      <c r="DN529" s="929">
        <f>DL529+DM529</f>
        <v>0</v>
      </c>
      <c r="DO529" s="929"/>
      <c r="DP529" s="859">
        <v>0</v>
      </c>
      <c r="DQ529" s="859">
        <v>0</v>
      </c>
      <c r="DR529" s="929">
        <f>DP529+DQ529</f>
        <v>0</v>
      </c>
      <c r="DS529" s="929"/>
      <c r="DT529" s="859"/>
      <c r="DU529" s="859"/>
      <c r="DV529" s="859"/>
      <c r="DW529" s="859"/>
      <c r="DX529" s="929"/>
      <c r="DY529" s="857"/>
      <c r="DZ529" s="859"/>
      <c r="EA529" s="859"/>
      <c r="EB529" s="929"/>
      <c r="EC529" s="857"/>
      <c r="ED529" s="859"/>
      <c r="EE529" s="859"/>
      <c r="EF529" s="929"/>
      <c r="EG529" s="857"/>
      <c r="EH529" s="857"/>
      <c r="EI529" s="857"/>
      <c r="EJ529" s="857"/>
      <c r="EK529" s="857"/>
      <c r="EL529" s="857"/>
      <c r="EM529" s="857"/>
      <c r="EN529" s="857"/>
      <c r="EO529" s="857"/>
      <c r="EP529" s="857"/>
      <c r="FL529" s="855"/>
      <c r="FM529" s="855"/>
      <c r="FN529" s="855"/>
      <c r="FO529" s="855"/>
      <c r="FP529" s="855"/>
      <c r="FQ529" s="855"/>
      <c r="FR529" s="855"/>
      <c r="FS529" s="855"/>
      <c r="FT529" s="855"/>
      <c r="FU529" s="855"/>
      <c r="FV529" s="855"/>
      <c r="FW529" s="855"/>
      <c r="FX529" s="855"/>
      <c r="FY529" s="855"/>
      <c r="FZ529" s="855"/>
      <c r="GA529" s="855"/>
      <c r="GB529" s="855"/>
      <c r="GC529" s="855"/>
      <c r="GD529" s="855"/>
      <c r="GE529" s="855"/>
      <c r="GF529" s="855"/>
      <c r="GG529" s="855"/>
      <c r="GH529" s="855"/>
      <c r="GI529" s="855"/>
      <c r="GJ529" s="855"/>
      <c r="GK529" s="855"/>
      <c r="GL529" s="855"/>
      <c r="GM529" s="855"/>
      <c r="GN529" s="855"/>
      <c r="GO529" s="855"/>
      <c r="GP529" s="855"/>
      <c r="GQ529" s="855"/>
      <c r="GR529" s="855"/>
      <c r="GS529" s="855"/>
      <c r="GT529" s="855"/>
      <c r="GU529" s="855"/>
      <c r="GV529" s="855"/>
      <c r="GW529" s="855"/>
      <c r="GX529" s="855"/>
      <c r="GY529" s="855"/>
      <c r="GZ529" s="855"/>
      <c r="HA529" s="855"/>
      <c r="HB529" s="855"/>
      <c r="HC529" s="855"/>
      <c r="HD529" s="855"/>
      <c r="HE529" s="855"/>
      <c r="HF529" s="855"/>
      <c r="HG529" s="855"/>
      <c r="HH529" s="855"/>
      <c r="HI529" s="855"/>
      <c r="HJ529" s="855"/>
      <c r="HK529" s="855"/>
      <c r="HL529" s="855"/>
      <c r="HM529" s="855"/>
      <c r="HN529" s="855"/>
      <c r="HO529" s="855"/>
      <c r="HP529" s="855"/>
      <c r="HQ529" s="855"/>
      <c r="HR529" s="855"/>
      <c r="HS529" s="855"/>
      <c r="HT529" s="855"/>
      <c r="HU529" s="855"/>
      <c r="HV529" s="855"/>
      <c r="HW529" s="855"/>
      <c r="HX529" s="855"/>
      <c r="HY529" s="855"/>
      <c r="HZ529" s="855"/>
      <c r="IA529" s="855"/>
      <c r="IB529" s="855"/>
      <c r="IC529" s="855"/>
      <c r="ID529" s="855"/>
      <c r="IE529" s="855"/>
      <c r="IF529" s="855"/>
      <c r="IG529" s="855"/>
      <c r="IH529" s="855"/>
      <c r="II529" s="855"/>
      <c r="IJ529" s="855"/>
      <c r="IK529" s="855"/>
      <c r="IL529" s="855"/>
      <c r="IM529" s="855"/>
      <c r="IN529" s="855"/>
      <c r="IO529" s="855"/>
      <c r="IP529" s="855"/>
      <c r="IQ529" s="855"/>
      <c r="IR529" s="855"/>
      <c r="IS529" s="855"/>
      <c r="IT529" s="855"/>
      <c r="IU529" s="855"/>
      <c r="IV529" s="855"/>
      <c r="IW529" s="855"/>
      <c r="IX529" s="855"/>
      <c r="IY529" s="855"/>
      <c r="IZ529" s="855"/>
      <c r="JA529" s="855"/>
      <c r="JB529" s="855"/>
      <c r="JC529" s="855"/>
      <c r="JD529" s="855"/>
      <c r="JE529" s="855"/>
      <c r="JF529" s="855"/>
      <c r="JG529" s="855"/>
      <c r="JH529" s="855"/>
      <c r="JI529" s="855"/>
      <c r="JJ529" s="855"/>
      <c r="JK529" s="855"/>
      <c r="JL529" s="855"/>
      <c r="JM529"/>
    </row>
    <row r="530" spans="1:273" s="860" customFormat="1">
      <c r="A530" s="302" t="s">
        <v>1024</v>
      </c>
      <c r="B530" s="298"/>
      <c r="C530" s="296"/>
      <c r="D530" s="296"/>
      <c r="E530" s="296"/>
      <c r="F530" s="296"/>
      <c r="G530" s="296"/>
      <c r="H530" s="296"/>
      <c r="I530" s="296"/>
      <c r="J530" s="296"/>
      <c r="K530" s="296"/>
      <c r="L530" s="296"/>
      <c r="M530" s="296"/>
      <c r="N530" s="296"/>
      <c r="O530" s="296"/>
      <c r="P530" s="296"/>
      <c r="Q530" s="296"/>
      <c r="R530" s="296"/>
      <c r="S530" s="296"/>
      <c r="T530" s="296"/>
      <c r="U530" s="296"/>
      <c r="V530" s="296"/>
      <c r="W530" s="296"/>
      <c r="X530" s="296"/>
      <c r="Y530" s="296"/>
      <c r="Z530" s="296"/>
      <c r="AA530" s="296"/>
      <c r="AB530" s="296"/>
      <c r="AC530" s="296"/>
      <c r="AD530" s="296"/>
      <c r="AE530" s="296"/>
      <c r="AF530" s="296"/>
      <c r="AG530" s="296"/>
      <c r="AH530" s="296"/>
      <c r="AI530" s="296"/>
      <c r="AJ530" s="296"/>
      <c r="AK530" s="296"/>
      <c r="AL530" s="296"/>
      <c r="AM530" s="296"/>
      <c r="AN530" s="298"/>
      <c r="AO530" s="298"/>
      <c r="AP530" s="929">
        <f>DIVISIONS!AP311</f>
        <v>0</v>
      </c>
      <c r="AQ530" s="298"/>
      <c r="AR530" s="298"/>
      <c r="AS530" s="298"/>
      <c r="AT530" s="929">
        <f>DIVISIONS!AT311</f>
        <v>0</v>
      </c>
      <c r="AU530" s="298"/>
      <c r="AV530" s="929">
        <f>DIVISIONS!AV311</f>
        <v>0</v>
      </c>
      <c r="AW530" s="929">
        <f>DIVISIONS!AW311</f>
        <v>0</v>
      </c>
      <c r="AX530" s="857"/>
      <c r="AY530" s="976"/>
      <c r="AZ530" s="929">
        <f>DIVISIONS!AZ311</f>
        <v>0</v>
      </c>
      <c r="BA530" s="929">
        <f>DIVISIONS!BA311</f>
        <v>0</v>
      </c>
      <c r="BB530" s="857"/>
      <c r="BC530" s="857"/>
      <c r="BD530" s="929">
        <f>DIVISIONS!BD311</f>
        <v>0</v>
      </c>
      <c r="BE530" s="929">
        <f>DIVISIONS!BE311</f>
        <v>0</v>
      </c>
      <c r="BF530" s="929">
        <f t="shared" si="639"/>
        <v>0</v>
      </c>
      <c r="BG530" s="859"/>
      <c r="BH530" s="929">
        <f>DIVISIONS!BH311</f>
        <v>0</v>
      </c>
      <c r="BI530" s="929">
        <f>DIVISIONS!BI311</f>
        <v>0</v>
      </c>
      <c r="BJ530" s="929">
        <f t="shared" si="635"/>
        <v>0</v>
      </c>
      <c r="BK530" s="859"/>
      <c r="BL530" s="929">
        <f>DIVISIONS!BL311</f>
        <v>0</v>
      </c>
      <c r="BM530" s="929">
        <f>DIVISIONS!BM311</f>
        <v>0</v>
      </c>
      <c r="BN530" s="929">
        <f t="shared" si="636"/>
        <v>0</v>
      </c>
      <c r="BO530" s="859"/>
      <c r="BP530" s="929">
        <f>DIVISIONS!BP311</f>
        <v>0</v>
      </c>
      <c r="BQ530" s="929">
        <f>DIVISIONS!BQ311</f>
        <v>0</v>
      </c>
      <c r="BR530" s="929">
        <f t="shared" si="637"/>
        <v>0</v>
      </c>
      <c r="BS530" s="859"/>
      <c r="BT530" s="929">
        <f>DIVISIONS!BT311</f>
        <v>0</v>
      </c>
      <c r="BU530" s="929">
        <f>DIVISIONS!BU311</f>
        <v>0</v>
      </c>
      <c r="BV530" s="929">
        <f t="shared" si="638"/>
        <v>0</v>
      </c>
      <c r="BW530" s="859"/>
      <c r="BX530" s="929">
        <f>DIVISIONS!BX311</f>
        <v>0</v>
      </c>
      <c r="BY530" s="929">
        <f>DIVISIONS!BY311</f>
        <v>0</v>
      </c>
      <c r="BZ530" s="929">
        <f>BX530+BY530</f>
        <v>0</v>
      </c>
      <c r="CA530" s="859"/>
      <c r="CB530" s="929">
        <f>DIVISIONS!CB311</f>
        <v>0</v>
      </c>
      <c r="CC530" s="929">
        <f>DIVISIONS!CC311</f>
        <v>0</v>
      </c>
      <c r="CD530" s="929">
        <f>CB530+CC530</f>
        <v>0</v>
      </c>
      <c r="CE530" s="1619"/>
      <c r="CF530" s="929">
        <f>DIVISIONS!CF311</f>
        <v>0</v>
      </c>
      <c r="CG530" s="929">
        <f>DIVISIONS!CG311</f>
        <v>0</v>
      </c>
      <c r="CH530" s="929">
        <f>CF530+CG530</f>
        <v>0</v>
      </c>
      <c r="CI530" s="1619"/>
      <c r="CJ530" s="929">
        <f>DIVISIONS!CJ311</f>
        <v>0</v>
      </c>
      <c r="CK530" s="929">
        <f>DIVISIONS!CK311</f>
        <v>0</v>
      </c>
      <c r="CL530" s="929">
        <f>CJ530+CK530</f>
        <v>0</v>
      </c>
      <c r="CM530" s="1619"/>
      <c r="CN530" s="929">
        <f>DIVISIONS!CN311</f>
        <v>0</v>
      </c>
      <c r="CO530" s="929">
        <f>DIVISIONS!CO311</f>
        <v>0</v>
      </c>
      <c r="CP530" s="929">
        <f>CN530+CO530</f>
        <v>0</v>
      </c>
      <c r="CQ530" s="1619"/>
      <c r="CR530" s="929">
        <f>DIVISIONS!CR311</f>
        <v>0</v>
      </c>
      <c r="CS530" s="929">
        <f>DIVISIONS!CS311</f>
        <v>0</v>
      </c>
      <c r="CT530" s="929">
        <f>CR530+CS530</f>
        <v>0</v>
      </c>
      <c r="CU530" s="859"/>
      <c r="CV530" s="929">
        <f>DIVISIONS!CV311</f>
        <v>0</v>
      </c>
      <c r="CW530" s="929">
        <f>DIVISIONS!CW311</f>
        <v>0</v>
      </c>
      <c r="CX530" s="929">
        <f>CV530+CW530</f>
        <v>0</v>
      </c>
      <c r="CY530" s="859"/>
      <c r="CZ530" s="929">
        <f>DIVISIONS!CZ311</f>
        <v>0</v>
      </c>
      <c r="DA530" s="929">
        <f>DIVISIONS!DA311</f>
        <v>0</v>
      </c>
      <c r="DB530" s="929">
        <f>CZ530+DA530</f>
        <v>0</v>
      </c>
      <c r="DC530" s="859"/>
      <c r="DD530" s="929">
        <f>DIVISIONS!DD311</f>
        <v>0</v>
      </c>
      <c r="DE530" s="929">
        <f>DIVISIONS!DE311</f>
        <v>0</v>
      </c>
      <c r="DF530" s="929">
        <f>DD530+DE530</f>
        <v>0</v>
      </c>
      <c r="DG530" s="859"/>
      <c r="DH530" s="929">
        <f>DIVISIONS!DH311</f>
        <v>0</v>
      </c>
      <c r="DI530" s="859">
        <v>0</v>
      </c>
      <c r="DJ530" s="929">
        <f>DH530+DI530</f>
        <v>0</v>
      </c>
      <c r="DK530" s="859"/>
      <c r="DL530" s="859">
        <v>0</v>
      </c>
      <c r="DM530" s="859">
        <v>0</v>
      </c>
      <c r="DN530" s="929">
        <f>DL530+DM530</f>
        <v>0</v>
      </c>
      <c r="DO530" s="929"/>
      <c r="DP530" s="859">
        <v>0</v>
      </c>
      <c r="DQ530" s="859">
        <v>0</v>
      </c>
      <c r="DR530" s="929">
        <f>DP530+DQ530</f>
        <v>0</v>
      </c>
      <c r="DS530" s="929"/>
      <c r="DT530" s="859"/>
      <c r="DU530" s="859"/>
      <c r="DV530" s="859"/>
      <c r="DW530" s="859"/>
      <c r="DX530" s="929"/>
      <c r="DY530" s="857"/>
      <c r="DZ530" s="859"/>
      <c r="EA530" s="859"/>
      <c r="EB530" s="929"/>
      <c r="EC530" s="857"/>
      <c r="ED530" s="859"/>
      <c r="EE530" s="859"/>
      <c r="EF530" s="929"/>
      <c r="EG530" s="857"/>
      <c r="EH530" s="857"/>
      <c r="EI530" s="857"/>
      <c r="EJ530" s="857"/>
      <c r="EK530" s="857"/>
      <c r="EL530" s="857"/>
      <c r="EM530" s="857"/>
      <c r="EN530" s="857"/>
      <c r="EO530" s="857"/>
      <c r="EP530" s="857"/>
      <c r="FL530" s="855"/>
      <c r="FM530" s="855"/>
      <c r="FN530" s="855"/>
      <c r="FO530" s="855"/>
      <c r="FP530" s="855"/>
      <c r="FQ530" s="855"/>
      <c r="FR530" s="855"/>
      <c r="FS530" s="855"/>
      <c r="FT530" s="855"/>
      <c r="FU530" s="855"/>
      <c r="FV530" s="855"/>
      <c r="FW530" s="855"/>
      <c r="FX530" s="855"/>
      <c r="FY530" s="855"/>
      <c r="FZ530" s="855"/>
      <c r="GA530" s="855"/>
      <c r="GB530" s="855"/>
      <c r="GC530" s="855"/>
      <c r="GD530" s="855"/>
      <c r="GE530" s="855"/>
      <c r="GF530" s="855"/>
      <c r="GG530" s="855"/>
      <c r="GH530" s="855"/>
      <c r="GI530" s="855"/>
      <c r="GJ530" s="855"/>
      <c r="GK530" s="855"/>
      <c r="GL530" s="855"/>
      <c r="GM530" s="855"/>
      <c r="GN530" s="855"/>
      <c r="GO530" s="855"/>
      <c r="GP530" s="855"/>
      <c r="GQ530" s="855"/>
      <c r="GR530" s="855"/>
      <c r="GS530" s="855"/>
      <c r="GT530" s="855"/>
      <c r="GU530" s="855"/>
      <c r="GV530" s="855"/>
      <c r="GW530" s="855"/>
      <c r="GX530" s="855"/>
      <c r="GY530" s="855"/>
      <c r="GZ530" s="855"/>
      <c r="HA530" s="855"/>
      <c r="HB530" s="855"/>
      <c r="HC530" s="855"/>
      <c r="HD530" s="855"/>
      <c r="HE530" s="855"/>
      <c r="HF530" s="855"/>
      <c r="HG530" s="855"/>
      <c r="HH530" s="855"/>
      <c r="HI530" s="855"/>
      <c r="HJ530" s="855"/>
      <c r="HK530" s="855"/>
      <c r="HL530" s="855"/>
      <c r="HM530" s="855"/>
      <c r="HN530" s="855"/>
      <c r="HO530" s="855"/>
      <c r="HP530" s="855"/>
      <c r="HQ530" s="855"/>
      <c r="HR530" s="855"/>
      <c r="HS530" s="855"/>
      <c r="HT530" s="855"/>
      <c r="HU530" s="855"/>
      <c r="HV530" s="855"/>
      <c r="HW530" s="855"/>
      <c r="HX530" s="855"/>
      <c r="HY530" s="855"/>
      <c r="HZ530" s="855"/>
      <c r="IA530" s="855"/>
      <c r="IB530" s="855"/>
      <c r="IC530" s="855"/>
      <c r="ID530" s="855"/>
      <c r="IE530" s="855"/>
      <c r="IF530" s="855"/>
      <c r="IG530" s="855"/>
      <c r="IH530" s="855"/>
      <c r="II530" s="855"/>
      <c r="IJ530" s="855"/>
      <c r="IK530" s="855"/>
      <c r="IL530" s="855"/>
      <c r="IM530" s="855"/>
      <c r="IN530" s="855"/>
      <c r="IO530" s="855"/>
      <c r="IP530" s="855"/>
      <c r="IQ530" s="855"/>
      <c r="IR530" s="855"/>
      <c r="IS530" s="855"/>
      <c r="IT530" s="855"/>
      <c r="IU530" s="855"/>
      <c r="IV530" s="855"/>
      <c r="IW530" s="855"/>
      <c r="IX530" s="855"/>
      <c r="IY530" s="855"/>
      <c r="IZ530" s="855"/>
      <c r="JA530" s="855"/>
      <c r="JB530" s="855"/>
      <c r="JC530" s="855"/>
      <c r="JD530" s="855"/>
      <c r="JE530" s="855"/>
      <c r="JF530" s="855"/>
      <c r="JG530" s="855"/>
      <c r="JH530" s="855"/>
      <c r="JI530" s="855"/>
      <c r="JJ530" s="855"/>
      <c r="JK530" s="855"/>
      <c r="JL530" s="855"/>
      <c r="JM530"/>
    </row>
    <row r="531" spans="1:273" s="860" customFormat="1">
      <c r="A531" s="302" t="s">
        <v>690</v>
      </c>
      <c r="B531" s="298"/>
      <c r="C531" s="296"/>
      <c r="D531" s="296"/>
      <c r="E531" s="296"/>
      <c r="F531" s="296"/>
      <c r="G531" s="296"/>
      <c r="H531" s="296"/>
      <c r="I531" s="296"/>
      <c r="J531" s="296"/>
      <c r="K531" s="296"/>
      <c r="L531" s="296"/>
      <c r="M531" s="296"/>
      <c r="N531" s="296"/>
      <c r="O531" s="296"/>
      <c r="P531" s="296"/>
      <c r="Q531" s="296"/>
      <c r="R531" s="296"/>
      <c r="S531" s="296"/>
      <c r="T531" s="296"/>
      <c r="U531" s="296"/>
      <c r="V531" s="296"/>
      <c r="W531" s="296"/>
      <c r="X531" s="296"/>
      <c r="Y531" s="296"/>
      <c r="Z531" s="296"/>
      <c r="AA531" s="296"/>
      <c r="AB531" s="296"/>
      <c r="AC531" s="296"/>
      <c r="AD531" s="296"/>
      <c r="AE531" s="296"/>
      <c r="AF531" s="296"/>
      <c r="AG531" s="296"/>
      <c r="AH531" s="296"/>
      <c r="AI531" s="296"/>
      <c r="AJ531" s="296"/>
      <c r="AK531" s="296"/>
      <c r="AL531" s="296"/>
      <c r="AM531" s="296"/>
      <c r="AN531" s="298"/>
      <c r="AO531" s="298"/>
      <c r="AP531" s="929">
        <f>DIVISIONS!AP514</f>
        <v>0</v>
      </c>
      <c r="AQ531" s="298"/>
      <c r="AR531" s="298"/>
      <c r="AS531" s="298"/>
      <c r="AT531" s="929">
        <f>DIVISIONS!AT514</f>
        <v>-33</v>
      </c>
      <c r="AU531" s="298"/>
      <c r="AV531" s="929">
        <f>DIVISIONS!AV514</f>
        <v>-12</v>
      </c>
      <c r="AW531" s="929">
        <f>DIVISIONS!AW514</f>
        <v>-4</v>
      </c>
      <c r="AX531" s="857"/>
      <c r="AY531" s="976"/>
      <c r="AZ531" s="929">
        <f>DIVISIONS!AZ514</f>
        <v>-1</v>
      </c>
      <c r="BA531" s="929">
        <f>DIVISIONS!BA514</f>
        <v>1</v>
      </c>
      <c r="BB531" s="857"/>
      <c r="BC531" s="857"/>
      <c r="BD531" s="929">
        <f>DIVISIONS!BD514</f>
        <v>0</v>
      </c>
      <c r="BE531" s="929">
        <f>DIVISIONS!BE514</f>
        <v>0</v>
      </c>
      <c r="BF531" s="929">
        <f t="shared" si="639"/>
        <v>0</v>
      </c>
      <c r="BG531" s="859"/>
      <c r="BH531" s="929">
        <f>DIVISIONS!BH514</f>
        <v>0</v>
      </c>
      <c r="BI531" s="929">
        <f>DIVISIONS!BI514</f>
        <v>0</v>
      </c>
      <c r="BJ531" s="929">
        <f t="shared" si="635"/>
        <v>0</v>
      </c>
      <c r="BK531" s="859"/>
      <c r="BL531" s="929">
        <f>DIVISIONS!BL514</f>
        <v>0</v>
      </c>
      <c r="BM531" s="929">
        <f>DIVISIONS!BM514</f>
        <v>0</v>
      </c>
      <c r="BN531" s="929">
        <f t="shared" si="636"/>
        <v>0</v>
      </c>
      <c r="BO531" s="859"/>
      <c r="BP531" s="929">
        <f>DIVISIONS!BP514</f>
        <v>0</v>
      </c>
      <c r="BQ531" s="929">
        <f>DIVISIONS!BQ514</f>
        <v>0</v>
      </c>
      <c r="BR531" s="929">
        <f t="shared" si="637"/>
        <v>0</v>
      </c>
      <c r="BS531" s="859"/>
      <c r="BT531" s="929">
        <f>DIVISIONS!BT514</f>
        <v>0</v>
      </c>
      <c r="BU531" s="929">
        <f>DIVISIONS!BU514</f>
        <v>0</v>
      </c>
      <c r="BV531" s="929">
        <f t="shared" si="638"/>
        <v>0</v>
      </c>
      <c r="BW531" s="859"/>
      <c r="BX531" s="929">
        <f>DIVISIONS!BX514</f>
        <v>0</v>
      </c>
      <c r="BY531" s="929">
        <f>DIVISIONS!BY514</f>
        <v>0</v>
      </c>
      <c r="BZ531" s="929">
        <f>BX531+BY531</f>
        <v>0</v>
      </c>
      <c r="CA531" s="859"/>
      <c r="CB531" s="929">
        <f>DIVISIONS!CB514</f>
        <v>0</v>
      </c>
      <c r="CC531" s="929">
        <f>DIVISIONS!CC514</f>
        <v>0</v>
      </c>
      <c r="CD531" s="929">
        <f>CB531+CC531</f>
        <v>0</v>
      </c>
      <c r="CE531" s="1619"/>
      <c r="CF531" s="929">
        <f>DIVISIONS!CF514</f>
        <v>0</v>
      </c>
      <c r="CG531" s="929">
        <f>DIVISIONS!CG514</f>
        <v>0</v>
      </c>
      <c r="CH531" s="929">
        <f>CF531+CG531</f>
        <v>0</v>
      </c>
      <c r="CI531" s="1619"/>
      <c r="CJ531" s="929">
        <f>DIVISIONS!CJ514</f>
        <v>0</v>
      </c>
      <c r="CK531" s="929">
        <f>DIVISIONS!CK514</f>
        <v>0</v>
      </c>
      <c r="CL531" s="929">
        <f>CJ531+CK531</f>
        <v>0</v>
      </c>
      <c r="CM531" s="1619"/>
      <c r="CN531" s="929">
        <f>DIVISIONS!CN514</f>
        <v>0</v>
      </c>
      <c r="CO531" s="929">
        <f>DIVISIONS!CO514</f>
        <v>0</v>
      </c>
      <c r="CP531" s="929">
        <f>CN531+CO531</f>
        <v>0</v>
      </c>
      <c r="CQ531" s="1619"/>
      <c r="CR531" s="929">
        <f>DIVISIONS!CR514</f>
        <v>0</v>
      </c>
      <c r="CS531" s="929">
        <f>DIVISIONS!CS514</f>
        <v>0</v>
      </c>
      <c r="CT531" s="929">
        <f>CR531+CS531</f>
        <v>0</v>
      </c>
      <c r="CU531" s="859"/>
      <c r="CV531" s="929">
        <f>DIVISIONS!CV514</f>
        <v>0</v>
      </c>
      <c r="CW531" s="929">
        <f>DIVISIONS!CW514</f>
        <v>0</v>
      </c>
      <c r="CX531" s="929">
        <f>CV531+CW531</f>
        <v>0</v>
      </c>
      <c r="CY531" s="859"/>
      <c r="CZ531" s="929">
        <f>DIVISIONS!CZ514</f>
        <v>0</v>
      </c>
      <c r="DA531" s="929">
        <f>DIVISIONS!DA514</f>
        <v>0</v>
      </c>
      <c r="DB531" s="929">
        <f>CZ531+DA531</f>
        <v>0</v>
      </c>
      <c r="DC531" s="859"/>
      <c r="DD531" s="929">
        <f>DIVISIONS!DD514</f>
        <v>0</v>
      </c>
      <c r="DE531" s="929">
        <f>DIVISIONS!DE514</f>
        <v>0</v>
      </c>
      <c r="DF531" s="929">
        <f>DD531+DE531</f>
        <v>0</v>
      </c>
      <c r="DG531" s="859"/>
      <c r="DH531" s="929">
        <f>DIVISIONS!DH514</f>
        <v>0</v>
      </c>
      <c r="DI531" s="859">
        <v>0</v>
      </c>
      <c r="DJ531" s="929">
        <f>DH531+DI531</f>
        <v>0</v>
      </c>
      <c r="DK531" s="859"/>
      <c r="DL531" s="859">
        <v>0</v>
      </c>
      <c r="DM531" s="859">
        <v>0</v>
      </c>
      <c r="DN531" s="929">
        <f>DL531+DM531</f>
        <v>0</v>
      </c>
      <c r="DO531" s="929"/>
      <c r="DP531" s="859">
        <v>0</v>
      </c>
      <c r="DQ531" s="859">
        <v>0</v>
      </c>
      <c r="DR531" s="929">
        <f>DP531+DQ531</f>
        <v>0</v>
      </c>
      <c r="DS531" s="929"/>
      <c r="DT531" s="859"/>
      <c r="DU531" s="859"/>
      <c r="DV531" s="859"/>
      <c r="DW531" s="859"/>
      <c r="DX531" s="929"/>
      <c r="DY531" s="857"/>
      <c r="DZ531" s="859"/>
      <c r="EA531" s="859"/>
      <c r="EB531" s="929"/>
      <c r="EC531" s="857"/>
      <c r="ED531" s="859"/>
      <c r="EE531" s="859"/>
      <c r="EF531" s="929"/>
      <c r="EG531" s="857"/>
      <c r="EH531" s="857"/>
      <c r="EI531" s="857"/>
      <c r="EJ531" s="857"/>
      <c r="EK531" s="857"/>
      <c r="EL531" s="857"/>
      <c r="EM531" s="857"/>
      <c r="EN531" s="857"/>
      <c r="EO531" s="857"/>
      <c r="EP531" s="857"/>
      <c r="FL531" s="855"/>
      <c r="FM531" s="855"/>
      <c r="FN531" s="855"/>
      <c r="FO531" s="855"/>
      <c r="FP531" s="855"/>
      <c r="FQ531" s="855"/>
      <c r="FR531" s="855"/>
      <c r="FS531" s="855"/>
      <c r="FT531" s="855"/>
      <c r="FU531" s="855"/>
      <c r="FV531" s="855"/>
      <c r="FW531" s="855"/>
      <c r="FX531" s="855"/>
      <c r="FY531" s="855"/>
      <c r="FZ531" s="855"/>
      <c r="GA531" s="855"/>
      <c r="GB531" s="855"/>
      <c r="GC531" s="855"/>
      <c r="GD531" s="855"/>
      <c r="GE531" s="855"/>
      <c r="GF531" s="855"/>
      <c r="GG531" s="855"/>
      <c r="GH531" s="855"/>
      <c r="GI531" s="855"/>
      <c r="GJ531" s="855"/>
      <c r="GK531" s="855"/>
      <c r="GL531" s="855"/>
      <c r="GM531" s="855"/>
      <c r="GN531" s="855"/>
      <c r="GO531" s="855"/>
      <c r="GP531" s="855"/>
      <c r="GQ531" s="855"/>
      <c r="GR531" s="855"/>
      <c r="GS531" s="855"/>
      <c r="GT531" s="855"/>
      <c r="GU531" s="855"/>
      <c r="GV531" s="855"/>
      <c r="GW531" s="855"/>
      <c r="GX531" s="855"/>
      <c r="GY531" s="855"/>
      <c r="GZ531" s="855"/>
      <c r="HA531" s="855"/>
      <c r="HB531" s="855"/>
      <c r="HC531" s="855"/>
      <c r="HD531" s="855"/>
      <c r="HE531" s="855"/>
      <c r="HF531" s="855"/>
      <c r="HG531" s="855"/>
      <c r="HH531" s="855"/>
      <c r="HI531" s="855"/>
      <c r="HJ531" s="855"/>
      <c r="HK531" s="855"/>
      <c r="HL531" s="855"/>
      <c r="HM531" s="855"/>
      <c r="HN531" s="855"/>
      <c r="HO531" s="855"/>
      <c r="HP531" s="855"/>
      <c r="HQ531" s="855"/>
      <c r="HR531" s="855"/>
      <c r="HS531" s="855"/>
      <c r="HT531" s="855"/>
      <c r="HU531" s="855"/>
      <c r="HV531" s="855"/>
      <c r="HW531" s="855"/>
      <c r="HX531" s="855"/>
      <c r="HY531" s="855"/>
      <c r="HZ531" s="855"/>
      <c r="IA531" s="855"/>
      <c r="IB531" s="855"/>
      <c r="IC531" s="855"/>
      <c r="ID531" s="855"/>
      <c r="IE531" s="855"/>
      <c r="IF531" s="855"/>
      <c r="IG531" s="855"/>
      <c r="IH531" s="855"/>
      <c r="II531" s="855"/>
      <c r="IJ531" s="855"/>
      <c r="IK531" s="855"/>
      <c r="IL531" s="855"/>
      <c r="IM531" s="855"/>
      <c r="IN531" s="855"/>
      <c r="IO531" s="855"/>
      <c r="IP531" s="855"/>
      <c r="IQ531" s="855"/>
      <c r="IR531" s="855"/>
      <c r="IS531" s="855"/>
      <c r="IT531" s="855"/>
      <c r="IU531" s="855"/>
      <c r="IV531" s="855"/>
      <c r="IW531" s="855"/>
      <c r="IX531" s="855"/>
      <c r="IY531" s="855"/>
      <c r="IZ531" s="855"/>
      <c r="JA531" s="855"/>
      <c r="JB531" s="855"/>
      <c r="JC531" s="855"/>
      <c r="JD531" s="855"/>
      <c r="JE531" s="855"/>
      <c r="JF531" s="855"/>
      <c r="JG531" s="855"/>
      <c r="JH531" s="855"/>
      <c r="JI531" s="855"/>
      <c r="JJ531" s="855"/>
      <c r="JK531" s="855"/>
      <c r="JL531" s="855"/>
      <c r="JM531"/>
    </row>
    <row r="532" spans="1:273" s="860" customFormat="1">
      <c r="A532" s="302" t="s">
        <v>689</v>
      </c>
      <c r="B532" s="298"/>
      <c r="C532" s="296"/>
      <c r="D532" s="296"/>
      <c r="E532" s="296"/>
      <c r="F532" s="296"/>
      <c r="G532" s="296"/>
      <c r="H532" s="296"/>
      <c r="I532" s="296"/>
      <c r="J532" s="296"/>
      <c r="K532" s="296"/>
      <c r="L532" s="296"/>
      <c r="M532" s="296"/>
      <c r="N532" s="296"/>
      <c r="O532" s="296"/>
      <c r="P532" s="296"/>
      <c r="Q532" s="296"/>
      <c r="R532" s="296"/>
      <c r="S532" s="296"/>
      <c r="T532" s="296"/>
      <c r="U532" s="296"/>
      <c r="V532" s="296"/>
      <c r="W532" s="296"/>
      <c r="X532" s="296"/>
      <c r="Y532" s="296"/>
      <c r="Z532" s="296"/>
      <c r="AA532" s="296"/>
      <c r="AB532" s="296"/>
      <c r="AC532" s="296"/>
      <c r="AD532" s="296"/>
      <c r="AE532" s="296"/>
      <c r="AF532" s="296"/>
      <c r="AG532" s="296"/>
      <c r="AH532" s="296"/>
      <c r="AI532" s="296"/>
      <c r="AJ532" s="296"/>
      <c r="AK532" s="296"/>
      <c r="AL532" s="296"/>
      <c r="AM532" s="296"/>
      <c r="AN532" s="298"/>
      <c r="AO532" s="298"/>
      <c r="AP532" s="929">
        <f>DIVISIONS!AP635</f>
        <v>0</v>
      </c>
      <c r="AQ532" s="298"/>
      <c r="AR532" s="298"/>
      <c r="AS532" s="298"/>
      <c r="AT532" s="929">
        <f>DIVISIONS!AT635</f>
        <v>-2</v>
      </c>
      <c r="AU532" s="298"/>
      <c r="AV532" s="929">
        <f>DIVISIONS!AV635</f>
        <v>-2</v>
      </c>
      <c r="AW532" s="929">
        <f>DIVISIONS!AW635</f>
        <v>-1</v>
      </c>
      <c r="AX532" s="857"/>
      <c r="AY532" s="976"/>
      <c r="AZ532" s="929">
        <f>DIVISIONS!AZ635</f>
        <v>-2</v>
      </c>
      <c r="BA532" s="929">
        <f>DIVISIONS!BA635</f>
        <v>-3</v>
      </c>
      <c r="BB532" s="857"/>
      <c r="BC532" s="857"/>
      <c r="BD532" s="929">
        <f>DIVISIONS!BD635</f>
        <v>0</v>
      </c>
      <c r="BE532" s="929">
        <f>DIVISIONS!BE635</f>
        <v>0</v>
      </c>
      <c r="BF532" s="929">
        <f t="shared" si="639"/>
        <v>0</v>
      </c>
      <c r="BG532" s="859"/>
      <c r="BH532" s="929">
        <f>DIVISIONS!BH635</f>
        <v>0</v>
      </c>
      <c r="BI532" s="929">
        <f>DIVISIONS!BI635</f>
        <v>0</v>
      </c>
      <c r="BJ532" s="929">
        <f t="shared" si="635"/>
        <v>0</v>
      </c>
      <c r="BK532" s="859"/>
      <c r="BL532" s="929">
        <f>DIVISIONS!BL635</f>
        <v>0</v>
      </c>
      <c r="BM532" s="929">
        <f>DIVISIONS!BM635</f>
        <v>0</v>
      </c>
      <c r="BN532" s="929">
        <f t="shared" si="636"/>
        <v>0</v>
      </c>
      <c r="BO532" s="859"/>
      <c r="BP532" s="929">
        <f>DIVISIONS!BP635</f>
        <v>0</v>
      </c>
      <c r="BQ532" s="929">
        <f>DIVISIONS!BQ635</f>
        <v>0</v>
      </c>
      <c r="BR532" s="929">
        <f t="shared" si="637"/>
        <v>0</v>
      </c>
      <c r="BS532" s="859"/>
      <c r="BT532" s="929">
        <f>DIVISIONS!BT635</f>
        <v>0</v>
      </c>
      <c r="BU532" s="929">
        <f>DIVISIONS!BU635</f>
        <v>0</v>
      </c>
      <c r="BV532" s="929">
        <f t="shared" si="638"/>
        <v>0</v>
      </c>
      <c r="BW532" s="859"/>
      <c r="BX532" s="929">
        <f>DIVISIONS!BX635</f>
        <v>0</v>
      </c>
      <c r="BY532" s="929">
        <f>DIVISIONS!BY635</f>
        <v>0</v>
      </c>
      <c r="BZ532" s="929">
        <f>BX532+BY532</f>
        <v>0</v>
      </c>
      <c r="CA532" s="859"/>
      <c r="CB532" s="929">
        <f>DIVISIONS!CB635</f>
        <v>0</v>
      </c>
      <c r="CC532" s="929">
        <f>DIVISIONS!CC635</f>
        <v>0</v>
      </c>
      <c r="CD532" s="929">
        <f>CB532+CC532</f>
        <v>0</v>
      </c>
      <c r="CE532" s="1619"/>
      <c r="CF532" s="929">
        <f>DIVISIONS!CF635</f>
        <v>0</v>
      </c>
      <c r="CG532" s="929">
        <f>DIVISIONS!CG635</f>
        <v>0</v>
      </c>
      <c r="CH532" s="929">
        <f>CF532+CG532</f>
        <v>0</v>
      </c>
      <c r="CI532" s="1619"/>
      <c r="CJ532" s="929">
        <f>DIVISIONS!CJ635</f>
        <v>0</v>
      </c>
      <c r="CK532" s="929">
        <f>DIVISIONS!CK635</f>
        <v>0</v>
      </c>
      <c r="CL532" s="929">
        <f>CJ532+CK532</f>
        <v>0</v>
      </c>
      <c r="CM532" s="1619"/>
      <c r="CN532" s="929">
        <f>DIVISIONS!CN635</f>
        <v>0</v>
      </c>
      <c r="CO532" s="929">
        <f>DIVISIONS!CO635</f>
        <v>0</v>
      </c>
      <c r="CP532" s="929">
        <f>CN532+CO532</f>
        <v>0</v>
      </c>
      <c r="CQ532" s="1619"/>
      <c r="CR532" s="929">
        <f>DIVISIONS!CR635</f>
        <v>0</v>
      </c>
      <c r="CS532" s="929">
        <f>DIVISIONS!CS635</f>
        <v>0</v>
      </c>
      <c r="CT532" s="929">
        <f>CR532+CS532</f>
        <v>0</v>
      </c>
      <c r="CU532" s="859"/>
      <c r="CV532" s="929">
        <f>DIVISIONS!CV635</f>
        <v>0</v>
      </c>
      <c r="CW532" s="929">
        <f>DIVISIONS!CW635</f>
        <v>0</v>
      </c>
      <c r="CX532" s="929">
        <f>CV532+CW532</f>
        <v>0</v>
      </c>
      <c r="CY532" s="859"/>
      <c r="CZ532" s="929">
        <f>DIVISIONS!CZ635</f>
        <v>0</v>
      </c>
      <c r="DA532" s="929">
        <f>DIVISIONS!DA635</f>
        <v>0</v>
      </c>
      <c r="DB532" s="929">
        <f>CZ532+DA532</f>
        <v>0</v>
      </c>
      <c r="DC532" s="859"/>
      <c r="DD532" s="929">
        <f>DIVISIONS!DD635</f>
        <v>0</v>
      </c>
      <c r="DE532" s="929">
        <f>DIVISIONS!DE635</f>
        <v>0</v>
      </c>
      <c r="DF532" s="929">
        <f>DD532+DE532</f>
        <v>0</v>
      </c>
      <c r="DG532" s="859"/>
      <c r="DH532" s="929">
        <f>DIVISIONS!DH635</f>
        <v>0</v>
      </c>
      <c r="DI532" s="859">
        <v>0</v>
      </c>
      <c r="DJ532" s="929">
        <f>DH532+DI532</f>
        <v>0</v>
      </c>
      <c r="DK532" s="859"/>
      <c r="DL532" s="859">
        <v>0</v>
      </c>
      <c r="DM532" s="859">
        <v>0</v>
      </c>
      <c r="DN532" s="929">
        <f>DL532+DM532</f>
        <v>0</v>
      </c>
      <c r="DO532" s="929"/>
      <c r="DP532" s="859">
        <v>0</v>
      </c>
      <c r="DQ532" s="859">
        <v>0</v>
      </c>
      <c r="DR532" s="929">
        <f>DP532+DQ532</f>
        <v>0</v>
      </c>
      <c r="DS532" s="929"/>
      <c r="DT532" s="859"/>
      <c r="DU532" s="859"/>
      <c r="DV532" s="859"/>
      <c r="DW532" s="859"/>
      <c r="DX532" s="929"/>
      <c r="DY532" s="857"/>
      <c r="DZ532" s="859"/>
      <c r="EA532" s="859"/>
      <c r="EB532" s="929"/>
      <c r="EC532" s="857"/>
      <c r="ED532" s="859"/>
      <c r="EE532" s="859"/>
      <c r="EF532" s="929"/>
      <c r="EG532" s="857"/>
      <c r="EH532" s="857"/>
      <c r="EI532" s="857"/>
      <c r="EJ532" s="857"/>
      <c r="EK532" s="857"/>
      <c r="EL532" s="857"/>
      <c r="EM532" s="857"/>
      <c r="EN532" s="857"/>
      <c r="EO532" s="857"/>
      <c r="EP532" s="857"/>
      <c r="FL532" s="855"/>
      <c r="FM532" s="855"/>
      <c r="FN532" s="855"/>
      <c r="FO532" s="855"/>
      <c r="FP532" s="855"/>
      <c r="FQ532" s="855"/>
      <c r="FR532" s="855"/>
      <c r="FS532" s="855"/>
      <c r="FT532" s="855"/>
      <c r="FU532" s="855"/>
      <c r="FV532" s="855"/>
      <c r="FW532" s="855"/>
      <c r="FX532" s="855"/>
      <c r="FY532" s="855"/>
      <c r="FZ532" s="855"/>
      <c r="GA532" s="855"/>
      <c r="GB532" s="855"/>
      <c r="GC532" s="855"/>
      <c r="GD532" s="855"/>
      <c r="GE532" s="855"/>
      <c r="GF532" s="855"/>
      <c r="GG532" s="855"/>
      <c r="GH532" s="855"/>
      <c r="GI532" s="855"/>
      <c r="GJ532" s="855"/>
      <c r="GK532" s="855"/>
      <c r="GL532" s="855"/>
      <c r="GM532" s="855"/>
      <c r="GN532" s="855"/>
      <c r="GO532" s="855"/>
      <c r="GP532" s="855"/>
      <c r="GQ532" s="855"/>
      <c r="GR532" s="855"/>
      <c r="GS532" s="855"/>
      <c r="GT532" s="855"/>
      <c r="GU532" s="855"/>
      <c r="GV532" s="855"/>
      <c r="GW532" s="855"/>
      <c r="GX532" s="855"/>
      <c r="GY532" s="855"/>
      <c r="GZ532" s="855"/>
      <c r="HA532" s="855"/>
      <c r="HB532" s="855"/>
      <c r="HC532" s="855"/>
      <c r="HD532" s="855"/>
      <c r="HE532" s="855"/>
      <c r="HF532" s="855"/>
      <c r="HG532" s="855"/>
      <c r="HH532" s="855"/>
      <c r="HI532" s="855"/>
      <c r="HJ532" s="855"/>
      <c r="HK532" s="855"/>
      <c r="HL532" s="855"/>
      <c r="HM532" s="855"/>
      <c r="HN532" s="855"/>
      <c r="HO532" s="855"/>
      <c r="HP532" s="855"/>
      <c r="HQ532" s="855"/>
      <c r="HR532" s="855"/>
      <c r="HS532" s="855"/>
      <c r="HT532" s="855"/>
      <c r="HU532" s="855"/>
      <c r="HV532" s="855"/>
      <c r="HW532" s="855"/>
      <c r="HX532" s="855"/>
      <c r="HY532" s="855"/>
      <c r="HZ532" s="855"/>
      <c r="IA532" s="855"/>
      <c r="IB532" s="855"/>
      <c r="IC532" s="855"/>
      <c r="ID532" s="855"/>
      <c r="IE532" s="855"/>
      <c r="IF532" s="855"/>
      <c r="IG532" s="855"/>
      <c r="IH532" s="855"/>
      <c r="II532" s="855"/>
      <c r="IJ532" s="855"/>
      <c r="IK532" s="855"/>
      <c r="IL532" s="855"/>
      <c r="IM532" s="855"/>
      <c r="IN532" s="855"/>
      <c r="IO532" s="855"/>
      <c r="IP532" s="855"/>
      <c r="IQ532" s="855"/>
      <c r="IR532" s="855"/>
      <c r="IS532" s="855"/>
      <c r="IT532" s="855"/>
      <c r="IU532" s="855"/>
      <c r="IV532" s="855"/>
      <c r="IW532" s="855"/>
      <c r="IX532" s="855"/>
      <c r="IY532" s="855"/>
      <c r="IZ532" s="855"/>
      <c r="JA532" s="855"/>
      <c r="JB532" s="855"/>
      <c r="JC532" s="855"/>
      <c r="JD532" s="855"/>
      <c r="JE532" s="855"/>
      <c r="JF532" s="855"/>
      <c r="JG532" s="855"/>
      <c r="JH532" s="855"/>
      <c r="JI532" s="855"/>
      <c r="JJ532" s="855"/>
      <c r="JK532" s="855"/>
      <c r="JL532" s="855"/>
      <c r="JM532"/>
    </row>
    <row r="533" spans="1:273" s="860" customFormat="1">
      <c r="A533" s="302" t="s">
        <v>688</v>
      </c>
      <c r="B533" s="298"/>
      <c r="C533" s="296"/>
      <c r="D533" s="296"/>
      <c r="E533" s="296"/>
      <c r="F533" s="296"/>
      <c r="G533" s="296"/>
      <c r="H533" s="296"/>
      <c r="I533" s="296"/>
      <c r="J533" s="296"/>
      <c r="K533" s="296"/>
      <c r="L533" s="296"/>
      <c r="M533" s="296"/>
      <c r="N533" s="296"/>
      <c r="O533" s="296"/>
      <c r="P533" s="296"/>
      <c r="Q533" s="296"/>
      <c r="R533" s="296"/>
      <c r="S533" s="296"/>
      <c r="T533" s="296"/>
      <c r="U533" s="296"/>
      <c r="V533" s="296"/>
      <c r="W533" s="296"/>
      <c r="X533" s="296"/>
      <c r="Y533" s="296"/>
      <c r="Z533" s="296"/>
      <c r="AA533" s="296"/>
      <c r="AB533" s="296"/>
      <c r="AC533" s="296"/>
      <c r="AD533" s="296"/>
      <c r="AE533" s="296"/>
      <c r="AF533" s="296"/>
      <c r="AG533" s="296"/>
      <c r="AH533" s="296"/>
      <c r="AI533" s="296"/>
      <c r="AJ533" s="296"/>
      <c r="AK533" s="296"/>
      <c r="AL533" s="296"/>
      <c r="AM533" s="296"/>
      <c r="AN533" s="298"/>
      <c r="AO533" s="298"/>
      <c r="AP533" s="929">
        <f>DIVISIONS!AP694</f>
        <v>0</v>
      </c>
      <c r="AQ533" s="298"/>
      <c r="AR533" s="298"/>
      <c r="AS533" s="298"/>
      <c r="AT533" s="929">
        <f>DIVISIONS!AT694</f>
        <v>-40</v>
      </c>
      <c r="AU533" s="298"/>
      <c r="AV533" s="929">
        <f>DIVISIONS!AV694</f>
        <v>0</v>
      </c>
      <c r="AW533" s="929">
        <f>DIVISIONS!AW694</f>
        <v>-3</v>
      </c>
      <c r="AX533" s="857"/>
      <c r="AY533" s="976"/>
      <c r="AZ533" s="929">
        <f>DIVISIONS!AZ694</f>
        <v>0</v>
      </c>
      <c r="BA533" s="929">
        <f>DIVISIONS!BA694</f>
        <v>0</v>
      </c>
      <c r="BB533" s="857"/>
      <c r="BC533" s="857"/>
      <c r="BD533" s="929"/>
      <c r="BE533" s="929"/>
      <c r="BF533" s="929"/>
      <c r="BG533" s="859"/>
      <c r="BH533" s="929"/>
      <c r="BI533" s="929"/>
      <c r="BJ533" s="929"/>
      <c r="BK533" s="859"/>
      <c r="BL533" s="929"/>
      <c r="BM533" s="929"/>
      <c r="BN533" s="929"/>
      <c r="BO533" s="859"/>
      <c r="BP533" s="929"/>
      <c r="BQ533" s="929"/>
      <c r="BR533" s="929"/>
      <c r="BS533" s="859"/>
      <c r="BT533" s="929"/>
      <c r="BU533" s="929"/>
      <c r="BV533" s="929"/>
      <c r="BW533" s="859"/>
      <c r="BX533" s="929"/>
      <c r="BY533" s="929"/>
      <c r="BZ533" s="929"/>
      <c r="CA533" s="859"/>
      <c r="CB533" s="929"/>
      <c r="CC533" s="929"/>
      <c r="CD533" s="929"/>
      <c r="CE533" s="1619"/>
      <c r="CF533" s="929"/>
      <c r="CG533" s="929"/>
      <c r="CH533" s="929"/>
      <c r="CI533" s="1619"/>
      <c r="CJ533" s="929"/>
      <c r="CK533" s="929"/>
      <c r="CL533" s="929"/>
      <c r="CM533" s="1619"/>
      <c r="CN533" s="929"/>
      <c r="CO533" s="929"/>
      <c r="CP533" s="929"/>
      <c r="CQ533" s="1619"/>
      <c r="CR533" s="929"/>
      <c r="CS533" s="929"/>
      <c r="CT533" s="929"/>
      <c r="CU533" s="859"/>
      <c r="CV533" s="929"/>
      <c r="CW533" s="929"/>
      <c r="CX533" s="929"/>
      <c r="CY533" s="859"/>
      <c r="CZ533" s="929"/>
      <c r="DA533" s="929"/>
      <c r="DB533" s="929"/>
      <c r="DC533" s="859"/>
      <c r="DD533" s="929"/>
      <c r="DE533" s="929"/>
      <c r="DF533" s="929"/>
      <c r="DG533" s="859"/>
      <c r="DH533" s="929"/>
      <c r="DI533" s="859"/>
      <c r="DJ533" s="929"/>
      <c r="DK533" s="859"/>
      <c r="DL533" s="859"/>
      <c r="DM533" s="859"/>
      <c r="DN533" s="929"/>
      <c r="DO533" s="929"/>
      <c r="DP533" s="859"/>
      <c r="DQ533" s="859"/>
      <c r="DR533" s="929"/>
      <c r="DS533" s="929"/>
      <c r="DT533" s="859"/>
      <c r="DU533" s="859"/>
      <c r="DV533" s="859"/>
      <c r="DW533" s="859"/>
      <c r="DX533" s="929"/>
      <c r="DY533" s="857"/>
      <c r="DZ533" s="859"/>
      <c r="EA533" s="859"/>
      <c r="EB533" s="929"/>
      <c r="EC533" s="857"/>
      <c r="ED533" s="859"/>
      <c r="EE533" s="859"/>
      <c r="EF533" s="929"/>
      <c r="EG533" s="857"/>
      <c r="EH533" s="857"/>
      <c r="EI533" s="857"/>
      <c r="EJ533" s="857"/>
      <c r="EK533" s="857"/>
      <c r="EL533" s="857"/>
      <c r="EM533" s="857"/>
      <c r="EN533" s="857"/>
      <c r="EO533" s="857"/>
      <c r="EP533" s="857"/>
      <c r="FL533" s="855"/>
      <c r="FM533" s="855"/>
      <c r="FN533" s="855"/>
      <c r="FO533" s="855"/>
      <c r="FP533" s="855"/>
      <c r="FQ533" s="855"/>
      <c r="FR533" s="855"/>
      <c r="FS533" s="855"/>
      <c r="FT533" s="855"/>
      <c r="FU533" s="855"/>
      <c r="FV533" s="855"/>
      <c r="FW533" s="855"/>
      <c r="FX533" s="855"/>
      <c r="FY533" s="855"/>
      <c r="FZ533" s="855"/>
      <c r="GA533" s="855"/>
      <c r="GB533" s="855"/>
      <c r="GC533" s="855"/>
      <c r="GD533" s="855"/>
      <c r="GE533" s="855"/>
      <c r="GF533" s="855"/>
      <c r="GG533" s="855"/>
      <c r="GH533" s="855"/>
      <c r="GI533" s="855"/>
      <c r="GJ533" s="855"/>
      <c r="GK533" s="855"/>
      <c r="GL533" s="855"/>
      <c r="GM533" s="855"/>
      <c r="GN533" s="855"/>
      <c r="GO533" s="855"/>
      <c r="GP533" s="855"/>
      <c r="GQ533" s="855"/>
      <c r="GR533" s="855"/>
      <c r="GS533" s="855"/>
      <c r="GT533" s="855"/>
      <c r="GU533" s="855"/>
      <c r="GV533" s="855"/>
      <c r="GW533" s="855"/>
      <c r="GX533" s="855"/>
      <c r="GY533" s="855"/>
      <c r="GZ533" s="855"/>
      <c r="HA533" s="855"/>
      <c r="HB533" s="855"/>
      <c r="HC533" s="855"/>
      <c r="HD533" s="855"/>
      <c r="HE533" s="855"/>
      <c r="HF533" s="855"/>
      <c r="HG533" s="855"/>
      <c r="HH533" s="855"/>
      <c r="HI533" s="855"/>
      <c r="HJ533" s="855"/>
      <c r="HK533" s="855"/>
      <c r="HL533" s="855"/>
      <c r="HM533" s="855"/>
      <c r="HN533" s="855"/>
      <c r="HO533" s="855"/>
      <c r="HP533" s="855"/>
      <c r="HQ533" s="855"/>
      <c r="HR533" s="855"/>
      <c r="HS533" s="855"/>
      <c r="HT533" s="855"/>
      <c r="HU533" s="855"/>
      <c r="HV533" s="855"/>
      <c r="HW533" s="855"/>
      <c r="HX533" s="855"/>
      <c r="HY533" s="855"/>
      <c r="HZ533" s="855"/>
      <c r="IA533" s="855"/>
      <c r="IB533" s="855"/>
      <c r="IC533" s="855"/>
      <c r="ID533" s="855"/>
      <c r="IE533" s="855"/>
      <c r="IF533" s="855"/>
      <c r="IG533" s="855"/>
      <c r="IH533" s="855"/>
      <c r="II533" s="855"/>
      <c r="IJ533" s="855"/>
      <c r="IK533" s="855"/>
      <c r="IL533" s="855"/>
      <c r="IM533" s="855"/>
      <c r="IN533" s="855"/>
      <c r="IO533" s="855"/>
      <c r="IP533" s="855"/>
      <c r="IQ533" s="855"/>
      <c r="IR533" s="855"/>
      <c r="IS533" s="855"/>
      <c r="IT533" s="855"/>
      <c r="IU533" s="855"/>
      <c r="IV533" s="855"/>
      <c r="IW533" s="855"/>
      <c r="IX533" s="855"/>
      <c r="IY533" s="855"/>
      <c r="IZ533" s="855"/>
      <c r="JA533" s="855"/>
      <c r="JB533" s="855"/>
      <c r="JC533" s="855"/>
      <c r="JD533" s="855"/>
      <c r="JE533" s="855"/>
      <c r="JF533" s="855"/>
      <c r="JG533" s="855"/>
      <c r="JH533" s="855"/>
      <c r="JI533" s="855"/>
      <c r="JJ533" s="855"/>
      <c r="JK533" s="855"/>
      <c r="JL533" s="855"/>
      <c r="JM533"/>
    </row>
    <row r="534" spans="1:273" s="860" customFormat="1">
      <c r="A534" s="302" t="s">
        <v>691</v>
      </c>
      <c r="B534" s="298"/>
      <c r="C534" s="296"/>
      <c r="D534" s="296"/>
      <c r="E534" s="296"/>
      <c r="F534" s="296"/>
      <c r="G534" s="296"/>
      <c r="H534" s="296"/>
      <c r="I534" s="296"/>
      <c r="J534" s="296"/>
      <c r="K534" s="296"/>
      <c r="L534" s="296"/>
      <c r="M534" s="296"/>
      <c r="N534" s="296"/>
      <c r="O534" s="296"/>
      <c r="P534" s="296"/>
      <c r="Q534" s="296"/>
      <c r="R534" s="296"/>
      <c r="S534" s="296"/>
      <c r="T534" s="296"/>
      <c r="U534" s="296"/>
      <c r="V534" s="296"/>
      <c r="W534" s="296"/>
      <c r="X534" s="296"/>
      <c r="Y534" s="296"/>
      <c r="Z534" s="296"/>
      <c r="AA534" s="296"/>
      <c r="AB534" s="296"/>
      <c r="AC534" s="296"/>
      <c r="AD534" s="296"/>
      <c r="AE534" s="296"/>
      <c r="AF534" s="296"/>
      <c r="AG534" s="296"/>
      <c r="AH534" s="296"/>
      <c r="AI534" s="296"/>
      <c r="AJ534" s="296"/>
      <c r="AK534" s="296"/>
      <c r="AL534" s="296"/>
      <c r="AM534" s="296"/>
      <c r="AN534" s="298"/>
      <c r="AO534" s="298"/>
      <c r="AP534" s="929">
        <f>DIVISIONS!AP750</f>
        <v>0</v>
      </c>
      <c r="AQ534" s="298"/>
      <c r="AR534" s="298"/>
      <c r="AS534" s="298"/>
      <c r="AT534" s="929">
        <f>DIVISIONS!AT750</f>
        <v>0</v>
      </c>
      <c r="AU534" s="298"/>
      <c r="AV534" s="929">
        <f>DIVISIONS!AV750</f>
        <v>0</v>
      </c>
      <c r="AW534" s="929">
        <f>DIVISIONS!AW750</f>
        <v>0</v>
      </c>
      <c r="AX534" s="857"/>
      <c r="AY534" s="976"/>
      <c r="AZ534" s="929">
        <f>DIVISIONS!AZ750</f>
        <v>0</v>
      </c>
      <c r="BA534" s="929">
        <f>DIVISIONS!BA750</f>
        <v>0</v>
      </c>
      <c r="BB534" s="857"/>
      <c r="BC534" s="857"/>
      <c r="BD534" s="929">
        <f>DIVISIONS!BD750</f>
        <v>0</v>
      </c>
      <c r="BE534" s="929">
        <f>DIVISIONS!BE750</f>
        <v>0</v>
      </c>
      <c r="BF534" s="929">
        <f t="shared" si="639"/>
        <v>0</v>
      </c>
      <c r="BG534" s="859"/>
      <c r="BH534" s="929">
        <f>DIVISIONS!BH750</f>
        <v>0</v>
      </c>
      <c r="BI534" s="929">
        <f>DIVISIONS!BI750</f>
        <v>0</v>
      </c>
      <c r="BJ534" s="929">
        <f>BH534+BI534</f>
        <v>0</v>
      </c>
      <c r="BK534" s="859"/>
      <c r="BL534" s="929">
        <f>DIVISIONS!BL750</f>
        <v>0</v>
      </c>
      <c r="BM534" s="929">
        <f>DIVISIONS!BM750</f>
        <v>0</v>
      </c>
      <c r="BN534" s="929">
        <f>BL534+BM534</f>
        <v>0</v>
      </c>
      <c r="BO534" s="859"/>
      <c r="BP534" s="929">
        <f>DIVISIONS!BP750</f>
        <v>0</v>
      </c>
      <c r="BQ534" s="929">
        <f>DIVISIONS!BQ750</f>
        <v>0</v>
      </c>
      <c r="BR534" s="929">
        <f>BP534+BQ534</f>
        <v>0</v>
      </c>
      <c r="BS534" s="859"/>
      <c r="BT534" s="929">
        <f>DIVISIONS!BT750</f>
        <v>0</v>
      </c>
      <c r="BU534" s="929">
        <f>DIVISIONS!BU750</f>
        <v>0</v>
      </c>
      <c r="BV534" s="929">
        <f>BT534+BU534</f>
        <v>0</v>
      </c>
      <c r="BW534" s="859"/>
      <c r="BX534" s="929">
        <f>DIVISIONS!BX750</f>
        <v>0</v>
      </c>
      <c r="BY534" s="929">
        <f>DIVISIONS!BY750</f>
        <v>0</v>
      </c>
      <c r="BZ534" s="929">
        <f>BX534+BY534</f>
        <v>0</v>
      </c>
      <c r="CA534" s="859"/>
      <c r="CB534" s="929">
        <f>DIVISIONS!CB750</f>
        <v>0</v>
      </c>
      <c r="CC534" s="929">
        <f>DIVISIONS!CC750</f>
        <v>0</v>
      </c>
      <c r="CD534" s="929">
        <f>CB534+CC534</f>
        <v>0</v>
      </c>
      <c r="CE534" s="1619"/>
      <c r="CF534" s="929">
        <f>DIVISIONS!CF750</f>
        <v>0</v>
      </c>
      <c r="CG534" s="929">
        <f>DIVISIONS!CG750</f>
        <v>0</v>
      </c>
      <c r="CH534" s="929">
        <f>CF534+CG534</f>
        <v>0</v>
      </c>
      <c r="CI534" s="1619"/>
      <c r="CJ534" s="929">
        <f>DIVISIONS!CJ750</f>
        <v>0</v>
      </c>
      <c r="CK534" s="929">
        <f>DIVISIONS!CK750</f>
        <v>0</v>
      </c>
      <c r="CL534" s="929">
        <f>CJ534+CK534</f>
        <v>0</v>
      </c>
      <c r="CM534" s="1619"/>
      <c r="CN534" s="929">
        <f>DIVISIONS!CN750</f>
        <v>0</v>
      </c>
      <c r="CO534" s="929">
        <f>DIVISIONS!CO750</f>
        <v>0</v>
      </c>
      <c r="CP534" s="929">
        <f>CN534+CO534</f>
        <v>0</v>
      </c>
      <c r="CQ534" s="1619"/>
      <c r="CR534" s="929">
        <f>DIVISIONS!CR750</f>
        <v>0</v>
      </c>
      <c r="CS534" s="929">
        <f>DIVISIONS!CS750</f>
        <v>0</v>
      </c>
      <c r="CT534" s="929">
        <f>CR534+CS534</f>
        <v>0</v>
      </c>
      <c r="CU534" s="859"/>
      <c r="CV534" s="929">
        <f>DIVISIONS!CV750</f>
        <v>0</v>
      </c>
      <c r="CW534" s="929">
        <f>DIVISIONS!CW750</f>
        <v>0</v>
      </c>
      <c r="CX534" s="929">
        <f>CV534+CW534</f>
        <v>0</v>
      </c>
      <c r="CY534" s="859"/>
      <c r="CZ534" s="929">
        <f>DIVISIONS!CZ750</f>
        <v>0</v>
      </c>
      <c r="DA534" s="929">
        <f>DIVISIONS!DA750</f>
        <v>0</v>
      </c>
      <c r="DB534" s="929">
        <f>CZ534+DA534</f>
        <v>0</v>
      </c>
      <c r="DC534" s="859"/>
      <c r="DD534" s="929">
        <f>DIVISIONS!DD750</f>
        <v>0</v>
      </c>
      <c r="DE534" s="929">
        <f>DIVISIONS!DE750</f>
        <v>0</v>
      </c>
      <c r="DF534" s="929">
        <f>DD534+DE534</f>
        <v>0</v>
      </c>
      <c r="DG534" s="859"/>
      <c r="DH534" s="929">
        <f>DIVISIONS!DH750</f>
        <v>0</v>
      </c>
      <c r="DI534" s="859">
        <v>0</v>
      </c>
      <c r="DJ534" s="929">
        <f>DH534+DI534</f>
        <v>0</v>
      </c>
      <c r="DK534" s="859"/>
      <c r="DL534" s="859">
        <v>0</v>
      </c>
      <c r="DM534" s="859">
        <v>0</v>
      </c>
      <c r="DN534" s="929">
        <f>DL534+DM534</f>
        <v>0</v>
      </c>
      <c r="DO534" s="929"/>
      <c r="DP534" s="859">
        <v>0</v>
      </c>
      <c r="DQ534" s="859">
        <v>0</v>
      </c>
      <c r="DR534" s="929">
        <f>DP534+DQ534</f>
        <v>0</v>
      </c>
      <c r="DS534" s="929"/>
      <c r="DT534" s="859"/>
      <c r="DU534" s="859"/>
      <c r="DV534" s="859"/>
      <c r="DW534" s="859"/>
      <c r="DX534" s="929"/>
      <c r="DY534" s="857"/>
      <c r="DZ534" s="859"/>
      <c r="EA534" s="859"/>
      <c r="EB534" s="929"/>
      <c r="EC534" s="857"/>
      <c r="ED534" s="859"/>
      <c r="EE534" s="859"/>
      <c r="EF534" s="929"/>
      <c r="EG534" s="857"/>
      <c r="EH534" s="857"/>
      <c r="EI534" s="857"/>
      <c r="EJ534" s="857"/>
      <c r="EK534" s="857"/>
      <c r="EL534" s="857"/>
      <c r="EM534" s="857"/>
      <c r="EN534" s="857"/>
      <c r="EO534" s="857"/>
      <c r="EP534" s="857"/>
      <c r="FL534" s="855"/>
      <c r="FM534" s="855"/>
      <c r="FN534" s="855"/>
      <c r="FO534" s="855"/>
      <c r="FP534" s="855"/>
      <c r="FQ534" s="855"/>
      <c r="FR534" s="855"/>
      <c r="FS534" s="855"/>
      <c r="FT534" s="855"/>
      <c r="FU534" s="855"/>
      <c r="FV534" s="855"/>
      <c r="FW534" s="855"/>
      <c r="FX534" s="855"/>
      <c r="FY534" s="855"/>
      <c r="FZ534" s="855"/>
      <c r="GA534" s="855"/>
      <c r="GB534" s="855"/>
      <c r="GC534" s="855"/>
      <c r="GD534" s="855"/>
      <c r="GE534" s="855"/>
      <c r="GF534" s="855"/>
      <c r="GG534" s="855"/>
      <c r="GH534" s="855"/>
      <c r="GI534" s="855"/>
      <c r="GJ534" s="855"/>
      <c r="GK534" s="855"/>
      <c r="GL534" s="855"/>
      <c r="GM534" s="855"/>
      <c r="GN534" s="855"/>
      <c r="GO534" s="855"/>
      <c r="GP534" s="855"/>
      <c r="GQ534" s="855"/>
      <c r="GR534" s="855"/>
      <c r="GS534" s="855"/>
      <c r="GT534" s="855"/>
      <c r="GU534" s="855"/>
      <c r="GV534" s="855"/>
      <c r="GW534" s="855"/>
      <c r="GX534" s="855"/>
      <c r="GY534" s="855"/>
      <c r="GZ534" s="855"/>
      <c r="HA534" s="855"/>
      <c r="HB534" s="855"/>
      <c r="HC534" s="855"/>
      <c r="HD534" s="855"/>
      <c r="HE534" s="855"/>
      <c r="HF534" s="855"/>
      <c r="HG534" s="855"/>
      <c r="HH534" s="855"/>
      <c r="HI534" s="855"/>
      <c r="HJ534" s="855"/>
      <c r="HK534" s="855"/>
      <c r="HL534" s="855"/>
      <c r="HM534" s="855"/>
      <c r="HN534" s="855"/>
      <c r="HO534" s="855"/>
      <c r="HP534" s="855"/>
      <c r="HQ534" s="855"/>
      <c r="HR534" s="855"/>
      <c r="HS534" s="855"/>
      <c r="HT534" s="855"/>
      <c r="HU534" s="855"/>
      <c r="HV534" s="855"/>
      <c r="HW534" s="855"/>
      <c r="HX534" s="855"/>
      <c r="HY534" s="855"/>
      <c r="HZ534" s="855"/>
      <c r="IA534" s="855"/>
      <c r="IB534" s="855"/>
      <c r="IC534" s="855"/>
      <c r="ID534" s="855"/>
      <c r="IE534" s="855"/>
      <c r="IF534" s="855"/>
      <c r="IG534" s="855"/>
      <c r="IH534" s="855"/>
      <c r="II534" s="855"/>
      <c r="IJ534" s="855"/>
      <c r="IK534" s="855"/>
      <c r="IL534" s="855"/>
      <c r="IM534" s="855"/>
      <c r="IN534" s="855"/>
      <c r="IO534" s="855"/>
      <c r="IP534" s="855"/>
      <c r="IQ534" s="855"/>
      <c r="IR534" s="855"/>
      <c r="IS534" s="855"/>
      <c r="IT534" s="855"/>
      <c r="IU534" s="855"/>
      <c r="IV534" s="855"/>
      <c r="IW534" s="855"/>
      <c r="IX534" s="855"/>
      <c r="IY534" s="855"/>
      <c r="IZ534" s="855"/>
      <c r="JA534" s="855"/>
      <c r="JB534" s="855"/>
      <c r="JC534" s="855"/>
      <c r="JD534" s="855"/>
      <c r="JE534" s="855"/>
      <c r="JF534" s="855"/>
      <c r="JG534" s="855"/>
      <c r="JH534" s="855"/>
      <c r="JI534" s="855"/>
      <c r="JJ534" s="855"/>
      <c r="JK534" s="855"/>
      <c r="JL534" s="855"/>
      <c r="JM534"/>
    </row>
    <row r="535" spans="1:273" s="855" customFormat="1">
      <c r="A535" s="289" t="s">
        <v>613</v>
      </c>
      <c r="B535" s="290"/>
      <c r="C535" s="289"/>
      <c r="D535" s="289"/>
      <c r="E535" s="289"/>
      <c r="F535" s="289"/>
      <c r="G535" s="289"/>
      <c r="H535" s="289"/>
      <c r="I535" s="289"/>
      <c r="J535" s="289"/>
      <c r="K535" s="289"/>
      <c r="L535" s="289"/>
      <c r="M535" s="289"/>
      <c r="N535" s="289"/>
      <c r="O535" s="289"/>
      <c r="P535" s="289"/>
      <c r="Q535" s="289"/>
      <c r="R535" s="289"/>
      <c r="S535" s="289"/>
      <c r="T535" s="289"/>
      <c r="U535" s="289"/>
      <c r="V535" s="289"/>
      <c r="W535" s="289"/>
      <c r="X535" s="289"/>
      <c r="Y535" s="289"/>
      <c r="Z535" s="289"/>
      <c r="AA535" s="289"/>
      <c r="AB535" s="289"/>
      <c r="AC535" s="289"/>
      <c r="AD535" s="289"/>
      <c r="AE535" s="289"/>
      <c r="AF535" s="289"/>
      <c r="AG535" s="289"/>
      <c r="AH535" s="289"/>
      <c r="AI535" s="289"/>
      <c r="AJ535" s="289"/>
      <c r="AK535" s="289"/>
      <c r="AL535" s="289"/>
      <c r="AM535" s="289"/>
      <c r="AN535" s="290"/>
      <c r="AO535" s="290"/>
      <c r="AP535" s="853">
        <f>SUM(AP527:AP534)</f>
        <v>0</v>
      </c>
      <c r="AQ535" s="290"/>
      <c r="AR535" s="290"/>
      <c r="AS535" s="290"/>
      <c r="AT535" s="853">
        <f>SUM(AT527:AT534)</f>
        <v>-75</v>
      </c>
      <c r="AU535" s="290"/>
      <c r="AV535" s="853">
        <f>SUM(AV527:AV534)</f>
        <v>-43</v>
      </c>
      <c r="AW535" s="853">
        <f>SUM(AW527:AW534)</f>
        <v>9</v>
      </c>
      <c r="AX535" s="853"/>
      <c r="AY535" s="820"/>
      <c r="AZ535" s="853">
        <f>SUM(AZ527:AZ534)</f>
        <v>-3</v>
      </c>
      <c r="BA535" s="853">
        <f>SUM(BA527:BA534)</f>
        <v>-2</v>
      </c>
      <c r="BB535" s="853"/>
      <c r="BC535" s="853"/>
      <c r="BD535" s="853">
        <f>SUM(BD527:BD534)</f>
        <v>0</v>
      </c>
      <c r="BE535" s="853">
        <f>SUM(BE527:BE534)</f>
        <v>-16</v>
      </c>
      <c r="BF535" s="818">
        <f t="shared" si="639"/>
        <v>-16</v>
      </c>
      <c r="BG535" s="853"/>
      <c r="BH535" s="853">
        <f>SUM(BH527:BH534)</f>
        <v>-2</v>
      </c>
      <c r="BI535" s="853">
        <f>SUM(BI527:BI534)</f>
        <v>-11</v>
      </c>
      <c r="BJ535" s="818">
        <f>BH535+BI535</f>
        <v>-13</v>
      </c>
      <c r="BK535" s="853"/>
      <c r="BL535" s="853">
        <f>SUM(BL527:BL534)</f>
        <v>0</v>
      </c>
      <c r="BM535" s="853">
        <f>SUM(BM527:BM534)</f>
        <v>0</v>
      </c>
      <c r="BN535" s="818">
        <f>BL535+BM535</f>
        <v>0</v>
      </c>
      <c r="BO535" s="853"/>
      <c r="BP535" s="853">
        <f>SUM(BP527:BP534)</f>
        <v>0</v>
      </c>
      <c r="BQ535" s="853">
        <f>SUM(BQ527:BQ534)</f>
        <v>0</v>
      </c>
      <c r="BR535" s="818">
        <f>BP535+BQ535</f>
        <v>0</v>
      </c>
      <c r="BS535" s="853"/>
      <c r="BT535" s="853">
        <f>SUM(BT527:BT534)</f>
        <v>0</v>
      </c>
      <c r="BU535" s="853">
        <f>SUM(BU527:BU534)</f>
        <v>0</v>
      </c>
      <c r="BV535" s="818">
        <f>BT535+BU535</f>
        <v>0</v>
      </c>
      <c r="BW535" s="853"/>
      <c r="BX535" s="818">
        <f>SUM(BX527:BX534)</f>
        <v>0</v>
      </c>
      <c r="BY535" s="818">
        <f>SUM(BY527:BY534)</f>
        <v>0</v>
      </c>
      <c r="BZ535" s="853">
        <f>BX535+BY535</f>
        <v>0</v>
      </c>
      <c r="CA535" s="853"/>
      <c r="CB535" s="818">
        <f>SUM(CB527:CB534)</f>
        <v>0</v>
      </c>
      <c r="CC535" s="818">
        <f>SUM(CC527:CC534)</f>
        <v>0</v>
      </c>
      <c r="CD535" s="853">
        <f>CB535+CC535</f>
        <v>0</v>
      </c>
      <c r="CE535" s="862"/>
      <c r="CF535" s="818">
        <f>SUM(CF527:CF534)</f>
        <v>0</v>
      </c>
      <c r="CG535" s="818">
        <f>SUM(CG527:CG534)</f>
        <v>0</v>
      </c>
      <c r="CH535" s="853">
        <f>CF535+CG535</f>
        <v>0</v>
      </c>
      <c r="CI535" s="862"/>
      <c r="CJ535" s="818">
        <f>SUM(CJ527:CJ534)</f>
        <v>0</v>
      </c>
      <c r="CK535" s="818">
        <f>SUM(CK527:CK534)</f>
        <v>0</v>
      </c>
      <c r="CL535" s="853">
        <f>CJ535+CK535</f>
        <v>0</v>
      </c>
      <c r="CM535" s="862"/>
      <c r="CN535" s="818">
        <f>SUM(CN527:CN534)</f>
        <v>0</v>
      </c>
      <c r="CO535" s="818">
        <f>SUM(CO527:CO534)</f>
        <v>0</v>
      </c>
      <c r="CP535" s="853">
        <f>CN535+CO535</f>
        <v>0</v>
      </c>
      <c r="CQ535" s="862"/>
      <c r="CR535" s="818">
        <f>SUM(CR527:CR534)</f>
        <v>0</v>
      </c>
      <c r="CS535" s="818">
        <f>SUM(CS527:CS534)</f>
        <v>0</v>
      </c>
      <c r="CT535" s="853">
        <f>CR535+CS535</f>
        <v>0</v>
      </c>
      <c r="CU535" s="853"/>
      <c r="CV535" s="818">
        <f>SUM(CV527:CV534)</f>
        <v>0</v>
      </c>
      <c r="CW535" s="818">
        <f>SUM(CW527:CW534)</f>
        <v>0</v>
      </c>
      <c r="CX535" s="853">
        <f>CV535+CW535</f>
        <v>0</v>
      </c>
      <c r="CY535" s="853"/>
      <c r="CZ535" s="818">
        <f>SUM(CZ527:CZ534)</f>
        <v>0</v>
      </c>
      <c r="DA535" s="818">
        <f>SUM(DA527:DA534)</f>
        <v>0</v>
      </c>
      <c r="DB535" s="853">
        <f>CZ535+DA535</f>
        <v>0</v>
      </c>
      <c r="DC535" s="853"/>
      <c r="DD535" s="818">
        <f>SUM(DD527:DD534)</f>
        <v>0</v>
      </c>
      <c r="DE535" s="818">
        <f>SUM(DE527:DE534)</f>
        <v>0</v>
      </c>
      <c r="DF535" s="853">
        <f>DD535+DE535</f>
        <v>0</v>
      </c>
      <c r="DG535" s="853"/>
      <c r="DH535" s="818">
        <f>SUM(DH527:DH534)</f>
        <v>0</v>
      </c>
      <c r="DI535" s="818">
        <f>SUM(DI527:DI534)</f>
        <v>0</v>
      </c>
      <c r="DJ535" s="853">
        <f>DH535+DI535</f>
        <v>0</v>
      </c>
      <c r="DK535" s="853"/>
      <c r="DL535" s="818">
        <f>SUM(DL527:DL534)</f>
        <v>0</v>
      </c>
      <c r="DM535" s="818">
        <f>SUM(DM527:DM534)</f>
        <v>0</v>
      </c>
      <c r="DN535" s="853">
        <f>DL535+DM535</f>
        <v>0</v>
      </c>
      <c r="DO535" s="818"/>
      <c r="DP535" s="818">
        <f>SUM(DP527:DP534)</f>
        <v>0</v>
      </c>
      <c r="DQ535" s="818">
        <f>SUM(DQ527:DQ534)</f>
        <v>0</v>
      </c>
      <c r="DR535" s="853">
        <f>DP535+DQ535</f>
        <v>0</v>
      </c>
      <c r="DS535" s="818"/>
      <c r="DT535" s="853"/>
      <c r="DU535" s="853"/>
      <c r="DV535" s="853"/>
      <c r="DW535" s="853"/>
      <c r="DX535" s="818"/>
      <c r="DY535" s="853"/>
      <c r="DZ535" s="853"/>
      <c r="EA535" s="853"/>
      <c r="EB535" s="818"/>
      <c r="EC535" s="853"/>
      <c r="ED535" s="853"/>
      <c r="EE535" s="853"/>
      <c r="EF535" s="818"/>
      <c r="EG535" s="853"/>
      <c r="EH535" s="853"/>
      <c r="EI535" s="853"/>
      <c r="EJ535" s="853"/>
      <c r="EK535" s="853"/>
      <c r="EL535" s="853"/>
      <c r="EM535" s="853"/>
      <c r="EN535" s="853"/>
      <c r="EO535" s="853"/>
      <c r="EP535" s="853"/>
      <c r="JM535"/>
    </row>
    <row r="536" spans="1:273" s="855" customFormat="1">
      <c r="A536" s="289"/>
      <c r="B536" s="290"/>
      <c r="C536" s="289"/>
      <c r="D536" s="289"/>
      <c r="E536" s="289"/>
      <c r="F536" s="289"/>
      <c r="G536" s="289"/>
      <c r="H536" s="289"/>
      <c r="I536" s="289"/>
      <c r="J536" s="289"/>
      <c r="K536" s="289"/>
      <c r="L536" s="289"/>
      <c r="M536" s="289"/>
      <c r="N536" s="289"/>
      <c r="O536" s="289"/>
      <c r="P536" s="289"/>
      <c r="Q536" s="289"/>
      <c r="R536" s="289"/>
      <c r="S536" s="289"/>
      <c r="T536" s="289"/>
      <c r="U536" s="289"/>
      <c r="V536" s="289"/>
      <c r="W536" s="289"/>
      <c r="X536" s="289"/>
      <c r="Y536" s="289"/>
      <c r="Z536" s="289"/>
      <c r="AA536" s="289"/>
      <c r="AB536" s="289"/>
      <c r="AC536" s="289"/>
      <c r="AD536" s="289"/>
      <c r="AE536" s="289"/>
      <c r="AF536" s="289"/>
      <c r="AG536" s="289"/>
      <c r="AH536" s="289"/>
      <c r="AI536" s="289"/>
      <c r="AJ536" s="289"/>
      <c r="AK536" s="289"/>
      <c r="AL536" s="289"/>
      <c r="AM536" s="289"/>
      <c r="AN536" s="290"/>
      <c r="AO536" s="290"/>
      <c r="AP536" s="290"/>
      <c r="AQ536" s="290"/>
      <c r="AR536" s="290"/>
      <c r="AS536" s="290"/>
      <c r="AT536" s="290"/>
      <c r="AU536" s="290"/>
      <c r="AV536" s="853"/>
      <c r="AW536" s="853"/>
      <c r="AX536" s="853"/>
      <c r="AY536" s="820"/>
      <c r="AZ536" s="853"/>
      <c r="BA536" s="853"/>
      <c r="BB536" s="853"/>
      <c r="BC536" s="853"/>
      <c r="BD536" s="967"/>
      <c r="BE536" s="967"/>
      <c r="BF536" s="853"/>
      <c r="BG536" s="853"/>
      <c r="BH536" s="967"/>
      <c r="BI536" s="967"/>
      <c r="BJ536" s="853"/>
      <c r="BK536" s="853"/>
      <c r="BL536" s="967"/>
      <c r="BM536" s="967"/>
      <c r="BN536" s="853"/>
      <c r="BO536" s="853"/>
      <c r="BP536" s="967"/>
      <c r="BQ536" s="967"/>
      <c r="BR536" s="853"/>
      <c r="BS536" s="853"/>
      <c r="BT536" s="967"/>
      <c r="BU536" s="967"/>
      <c r="BV536" s="853"/>
      <c r="BW536" s="853"/>
      <c r="BX536" s="967"/>
      <c r="BY536" s="967"/>
      <c r="BZ536" s="853"/>
      <c r="CA536" s="853"/>
      <c r="CB536" s="967"/>
      <c r="CC536" s="967"/>
      <c r="CD536" s="853"/>
      <c r="CE536" s="862"/>
      <c r="CF536" s="967"/>
      <c r="CG536" s="967"/>
      <c r="CH536" s="853"/>
      <c r="CI536" s="862"/>
      <c r="CJ536" s="967"/>
      <c r="CK536" s="967"/>
      <c r="CL536" s="853"/>
      <c r="CM536" s="862"/>
      <c r="CN536" s="967"/>
      <c r="CO536" s="967"/>
      <c r="CP536" s="853"/>
      <c r="CQ536" s="862"/>
      <c r="CR536" s="967"/>
      <c r="CS536" s="967"/>
      <c r="CT536" s="853"/>
      <c r="CU536" s="853"/>
      <c r="CV536" s="967"/>
      <c r="CW536" s="967"/>
      <c r="CX536" s="853"/>
      <c r="CY536" s="853"/>
      <c r="CZ536" s="967"/>
      <c r="DA536" s="967"/>
      <c r="DB536" s="853"/>
      <c r="DC536" s="853"/>
      <c r="DD536" s="967"/>
      <c r="DE536" s="967"/>
      <c r="DF536" s="853"/>
      <c r="DG536" s="853"/>
      <c r="DH536" s="967"/>
      <c r="DI536" s="967"/>
      <c r="DJ536" s="853"/>
      <c r="DK536" s="853"/>
      <c r="DL536" s="967"/>
      <c r="DM536" s="967"/>
      <c r="DN536" s="853"/>
      <c r="DO536" s="853"/>
      <c r="DP536" s="967"/>
      <c r="DQ536" s="967"/>
      <c r="DR536" s="853"/>
      <c r="DS536" s="853"/>
      <c r="DT536" s="853"/>
      <c r="DU536" s="967"/>
      <c r="DV536" s="967"/>
      <c r="DW536" s="967"/>
      <c r="DX536" s="853"/>
      <c r="DY536" s="853"/>
      <c r="DZ536" s="967"/>
      <c r="EA536" s="967"/>
      <c r="EB536" s="853"/>
      <c r="EC536" s="853"/>
      <c r="ED536" s="967"/>
      <c r="EE536" s="967"/>
      <c r="EF536" s="853"/>
      <c r="EG536" s="853"/>
      <c r="EH536" s="853"/>
      <c r="EI536" s="853"/>
      <c r="EJ536" s="853"/>
      <c r="EK536" s="853"/>
      <c r="EL536" s="853"/>
      <c r="EM536" s="853"/>
      <c r="EN536" s="853"/>
      <c r="EO536" s="853"/>
      <c r="EP536" s="853"/>
      <c r="JM536"/>
    </row>
    <row r="537" spans="1:273" s="971" customFormat="1">
      <c r="A537" s="866" t="s">
        <v>821</v>
      </c>
      <c r="B537" s="925"/>
      <c r="C537" s="866"/>
      <c r="D537" s="866"/>
      <c r="E537" s="866"/>
      <c r="F537" s="866"/>
      <c r="G537" s="866"/>
      <c r="H537" s="866"/>
      <c r="I537" s="866"/>
      <c r="J537" s="866"/>
      <c r="K537" s="866"/>
      <c r="L537" s="866"/>
      <c r="M537" s="866"/>
      <c r="N537" s="866"/>
      <c r="O537" s="866"/>
      <c r="P537" s="866"/>
      <c r="Q537" s="866"/>
      <c r="R537" s="866"/>
      <c r="S537" s="866"/>
      <c r="T537" s="866"/>
      <c r="U537" s="866"/>
      <c r="V537" s="866"/>
      <c r="W537" s="866"/>
      <c r="X537" s="866"/>
      <c r="Y537" s="866"/>
      <c r="Z537" s="866"/>
      <c r="AA537" s="866"/>
      <c r="AB537" s="866"/>
      <c r="AC537" s="866"/>
      <c r="AD537" s="866"/>
      <c r="AE537" s="866"/>
      <c r="AF537" s="866"/>
      <c r="AG537" s="866"/>
      <c r="AH537" s="866"/>
      <c r="AI537" s="866"/>
      <c r="AJ537" s="866"/>
      <c r="AK537" s="866"/>
      <c r="AL537" s="866"/>
      <c r="AM537" s="866"/>
      <c r="AN537" s="925"/>
      <c r="AO537" s="925"/>
      <c r="AP537" s="925"/>
      <c r="AQ537" s="925"/>
      <c r="AR537" s="925"/>
      <c r="AS537" s="925"/>
      <c r="AT537" s="925"/>
      <c r="AU537" s="925"/>
      <c r="AV537" s="968"/>
      <c r="AW537" s="968"/>
      <c r="AX537" s="968"/>
      <c r="AY537" s="969"/>
      <c r="AZ537" s="968"/>
      <c r="BA537" s="968"/>
      <c r="BB537" s="968"/>
      <c r="BC537" s="968"/>
      <c r="BD537" s="970"/>
      <c r="BE537" s="970"/>
      <c r="BF537" s="968"/>
      <c r="BG537" s="968"/>
      <c r="BH537" s="970"/>
      <c r="BI537" s="970"/>
      <c r="BJ537" s="968"/>
      <c r="BK537" s="968"/>
      <c r="BL537" s="970"/>
      <c r="BM537" s="970"/>
      <c r="BN537" s="968"/>
      <c r="BO537" s="968"/>
      <c r="BP537" s="970"/>
      <c r="BQ537" s="970"/>
      <c r="BR537" s="968"/>
      <c r="BS537" s="968"/>
      <c r="BT537" s="970"/>
      <c r="BU537" s="970"/>
      <c r="BV537" s="968"/>
      <c r="BW537" s="968"/>
      <c r="BX537" s="970"/>
      <c r="BY537" s="970"/>
      <c r="BZ537" s="968"/>
      <c r="CA537" s="968"/>
      <c r="CB537" s="970"/>
      <c r="CC537" s="970"/>
      <c r="CD537" s="968"/>
      <c r="CE537" s="1617"/>
      <c r="CF537" s="970"/>
      <c r="CG537" s="970"/>
      <c r="CH537" s="968"/>
      <c r="CI537" s="1617"/>
      <c r="CJ537" s="970"/>
      <c r="CK537" s="970"/>
      <c r="CL537" s="968"/>
      <c r="CM537" s="1617"/>
      <c r="CN537" s="970"/>
      <c r="CO537" s="970"/>
      <c r="CP537" s="968"/>
      <c r="CQ537" s="1617"/>
      <c r="CR537" s="970"/>
      <c r="CS537" s="970"/>
      <c r="CT537" s="968"/>
      <c r="CU537" s="968"/>
      <c r="CV537" s="970"/>
      <c r="CW537" s="970"/>
      <c r="CX537" s="968"/>
      <c r="CY537" s="968"/>
      <c r="CZ537" s="970"/>
      <c r="DA537" s="970"/>
      <c r="DB537" s="968"/>
      <c r="DC537" s="968"/>
      <c r="DD537" s="970"/>
      <c r="DE537" s="970"/>
      <c r="DF537" s="968"/>
      <c r="DG537" s="968"/>
      <c r="DH537" s="970"/>
      <c r="DI537" s="970"/>
      <c r="DJ537" s="968"/>
      <c r="DK537" s="968"/>
      <c r="DL537" s="970"/>
      <c r="DM537" s="970"/>
      <c r="DN537" s="968"/>
      <c r="DO537" s="968"/>
      <c r="DP537" s="970"/>
      <c r="DQ537" s="970"/>
      <c r="DR537" s="968"/>
      <c r="DS537" s="968"/>
      <c r="DT537" s="968"/>
      <c r="DU537" s="970"/>
      <c r="DV537" s="970"/>
      <c r="DW537" s="970"/>
      <c r="DX537" s="968"/>
      <c r="DY537" s="968"/>
      <c r="DZ537" s="970"/>
      <c r="EA537" s="970"/>
      <c r="EB537" s="968"/>
      <c r="EC537" s="968"/>
      <c r="ED537" s="970"/>
      <c r="EE537" s="970"/>
      <c r="EF537" s="968"/>
      <c r="EG537" s="968"/>
      <c r="EH537" s="968"/>
      <c r="EI537" s="968"/>
      <c r="EJ537" s="968"/>
      <c r="EK537" s="968"/>
      <c r="EL537" s="968"/>
      <c r="EM537" s="968"/>
      <c r="EN537" s="968"/>
      <c r="EO537" s="968"/>
      <c r="EP537" s="968"/>
      <c r="FL537" s="855"/>
      <c r="FM537" s="855"/>
      <c r="FN537" s="855"/>
      <c r="FO537" s="855"/>
      <c r="FP537" s="855"/>
      <c r="FQ537" s="855"/>
      <c r="FR537" s="855"/>
      <c r="FS537" s="855"/>
      <c r="FT537" s="855"/>
      <c r="FU537" s="855"/>
      <c r="FV537" s="855"/>
      <c r="FW537" s="855"/>
      <c r="FX537" s="855"/>
      <c r="FY537" s="855"/>
      <c r="FZ537" s="855"/>
      <c r="GA537" s="855"/>
      <c r="GB537" s="855"/>
      <c r="GC537" s="855"/>
      <c r="GD537" s="855"/>
      <c r="GE537" s="855"/>
      <c r="GF537" s="855"/>
      <c r="GG537" s="855"/>
      <c r="GH537" s="855"/>
      <c r="GI537" s="855"/>
      <c r="GJ537" s="855"/>
      <c r="GK537" s="855"/>
      <c r="GL537" s="855"/>
      <c r="GM537" s="855"/>
      <c r="GN537" s="855"/>
      <c r="GO537" s="855"/>
      <c r="GP537" s="855"/>
      <c r="GQ537" s="855"/>
      <c r="GR537" s="855"/>
      <c r="GS537" s="855"/>
      <c r="GT537" s="855"/>
      <c r="GU537" s="855"/>
      <c r="GV537" s="855"/>
      <c r="GW537" s="855"/>
      <c r="GX537" s="855"/>
      <c r="GY537" s="855"/>
      <c r="GZ537" s="855"/>
      <c r="HA537" s="855"/>
      <c r="HB537" s="855"/>
      <c r="HC537" s="855"/>
      <c r="HD537" s="855"/>
      <c r="HE537" s="855"/>
      <c r="HF537" s="855"/>
      <c r="HG537" s="855"/>
      <c r="HH537" s="855"/>
      <c r="HI537" s="855"/>
      <c r="HJ537" s="855"/>
      <c r="HK537" s="855"/>
      <c r="HL537" s="855"/>
      <c r="HM537" s="855"/>
      <c r="HN537" s="855"/>
      <c r="HO537" s="855"/>
      <c r="HP537" s="855"/>
      <c r="HQ537" s="855"/>
      <c r="HR537" s="855"/>
      <c r="HS537" s="855"/>
      <c r="HT537" s="855"/>
      <c r="HU537" s="855"/>
      <c r="HV537" s="855"/>
      <c r="HW537" s="855"/>
      <c r="HX537" s="855"/>
      <c r="HY537" s="855"/>
      <c r="HZ537" s="855"/>
      <c r="IA537" s="855"/>
      <c r="IB537" s="855"/>
      <c r="IC537" s="855"/>
      <c r="ID537" s="855"/>
      <c r="IE537" s="855"/>
      <c r="IF537" s="855"/>
      <c r="IG537" s="855"/>
      <c r="IH537" s="855"/>
      <c r="II537" s="855"/>
      <c r="IJ537" s="855"/>
      <c r="IK537" s="855"/>
      <c r="IL537" s="855"/>
      <c r="IM537" s="855"/>
      <c r="IN537" s="855"/>
      <c r="IO537" s="855"/>
      <c r="IP537" s="855"/>
      <c r="IQ537" s="855"/>
      <c r="IR537" s="855"/>
      <c r="IS537" s="855"/>
      <c r="IT537" s="855"/>
      <c r="IU537" s="855"/>
      <c r="IV537" s="855"/>
      <c r="IW537" s="855"/>
      <c r="IX537" s="855"/>
      <c r="IY537" s="855"/>
      <c r="IZ537" s="855"/>
      <c r="JA537" s="855"/>
      <c r="JB537" s="855"/>
      <c r="JC537" s="855"/>
      <c r="JD537" s="855"/>
      <c r="JE537" s="855"/>
      <c r="JF537" s="855"/>
      <c r="JG537" s="855"/>
      <c r="JH537" s="855"/>
      <c r="JI537" s="855"/>
      <c r="JJ537" s="855"/>
      <c r="JK537" s="855"/>
      <c r="JL537" s="855"/>
      <c r="JM537"/>
    </row>
    <row r="538" spans="1:273" s="860" customFormat="1">
      <c r="A538" s="302" t="s">
        <v>685</v>
      </c>
      <c r="B538" s="298"/>
      <c r="C538" s="296"/>
      <c r="D538" s="296"/>
      <c r="E538" s="296"/>
      <c r="F538" s="296"/>
      <c r="G538" s="296"/>
      <c r="H538" s="296"/>
      <c r="I538" s="296"/>
      <c r="J538" s="296"/>
      <c r="K538" s="296"/>
      <c r="L538" s="296"/>
      <c r="M538" s="296"/>
      <c r="N538" s="296"/>
      <c r="O538" s="296"/>
      <c r="P538" s="296"/>
      <c r="Q538" s="296"/>
      <c r="R538" s="296"/>
      <c r="S538" s="296"/>
      <c r="T538" s="296"/>
      <c r="U538" s="296"/>
      <c r="V538" s="296"/>
      <c r="W538" s="296"/>
      <c r="X538" s="296"/>
      <c r="Y538" s="296"/>
      <c r="Z538" s="296"/>
      <c r="AA538" s="296"/>
      <c r="AB538" s="296"/>
      <c r="AC538" s="296"/>
      <c r="AD538" s="296"/>
      <c r="AE538" s="296"/>
      <c r="AF538" s="296"/>
      <c r="AG538" s="296"/>
      <c r="AH538" s="296"/>
      <c r="AI538" s="296"/>
      <c r="AJ538" s="296"/>
      <c r="AK538" s="296"/>
      <c r="AL538" s="296"/>
      <c r="AM538" s="296"/>
      <c r="AN538" s="298"/>
      <c r="AO538" s="298"/>
      <c r="AP538" s="298"/>
      <c r="AQ538" s="298"/>
      <c r="AR538" s="298"/>
      <c r="AS538" s="298"/>
      <c r="AT538" s="298"/>
      <c r="AU538" s="972">
        <f>SUM(AV538:BZ538)</f>
        <v>0</v>
      </c>
      <c r="AV538" s="973">
        <v>0</v>
      </c>
      <c r="AW538" s="973">
        <v>0</v>
      </c>
      <c r="AX538" s="980"/>
      <c r="AY538" s="633"/>
      <c r="AZ538" s="973">
        <v>0</v>
      </c>
      <c r="BA538" s="973">
        <v>0</v>
      </c>
      <c r="BB538" s="857"/>
      <c r="BC538" s="857"/>
      <c r="BD538" s="973">
        <v>0</v>
      </c>
      <c r="BE538" s="973">
        <v>0</v>
      </c>
      <c r="BF538" s="929">
        <f>BD538+BE538</f>
        <v>0</v>
      </c>
      <c r="BG538" s="974"/>
      <c r="BH538" s="973">
        <v>0</v>
      </c>
      <c r="BI538" s="973">
        <v>0</v>
      </c>
      <c r="BJ538" s="929">
        <f t="shared" ref="BJ538:BJ543" si="640">BH538+BI538</f>
        <v>0</v>
      </c>
      <c r="BK538" s="974"/>
      <c r="BL538" s="973">
        <v>0</v>
      </c>
      <c r="BM538" s="973">
        <v>0</v>
      </c>
      <c r="BN538" s="929">
        <f t="shared" ref="BN538:BN543" si="641">BL538+BM538</f>
        <v>0</v>
      </c>
      <c r="BO538" s="974"/>
      <c r="BP538" s="973">
        <v>0</v>
      </c>
      <c r="BQ538" s="973">
        <v>0</v>
      </c>
      <c r="BR538" s="929">
        <f t="shared" ref="BR538:BR543" si="642">BP538+BQ538</f>
        <v>0</v>
      </c>
      <c r="BS538" s="974"/>
      <c r="BT538" s="973">
        <v>0</v>
      </c>
      <c r="BU538" s="973">
        <v>0</v>
      </c>
      <c r="BV538" s="929">
        <f t="shared" ref="BV538:BV543" si="643">BT538+BU538</f>
        <v>0</v>
      </c>
      <c r="BW538" s="974"/>
      <c r="BX538" s="974"/>
      <c r="BY538" s="974"/>
      <c r="BZ538" s="974"/>
      <c r="CA538" s="974"/>
      <c r="CB538" s="974"/>
      <c r="CC538" s="974"/>
      <c r="CD538" s="974"/>
      <c r="CE538" s="1618"/>
      <c r="CF538" s="974"/>
      <c r="CG538" s="974"/>
      <c r="CH538" s="974"/>
      <c r="CI538" s="1618"/>
      <c r="CJ538" s="974"/>
      <c r="CK538" s="974"/>
      <c r="CL538" s="974"/>
      <c r="CM538" s="1618"/>
      <c r="CN538" s="974"/>
      <c r="CO538" s="974"/>
      <c r="CP538" s="974"/>
      <c r="CQ538" s="1618"/>
      <c r="CR538" s="974"/>
      <c r="CS538" s="974"/>
      <c r="CT538" s="974"/>
      <c r="CU538" s="974"/>
      <c r="CV538" s="974"/>
      <c r="CW538" s="974"/>
      <c r="CX538" s="974"/>
      <c r="CY538" s="974"/>
      <c r="CZ538" s="974"/>
      <c r="DA538" s="974"/>
      <c r="DB538" s="974"/>
      <c r="DC538" s="974"/>
      <c r="DD538" s="974"/>
      <c r="DE538" s="974"/>
      <c r="DF538" s="974"/>
      <c r="DG538" s="974"/>
      <c r="DH538" s="974"/>
      <c r="DI538" s="974"/>
      <c r="DJ538" s="974"/>
      <c r="DK538" s="974"/>
      <c r="DL538" s="974"/>
      <c r="DM538" s="974"/>
      <c r="DN538" s="974"/>
      <c r="DO538" s="929"/>
      <c r="DP538" s="974"/>
      <c r="DQ538" s="974"/>
      <c r="DR538" s="974"/>
      <c r="DS538" s="929"/>
      <c r="DT538" s="974"/>
      <c r="DU538" s="859"/>
      <c r="DV538" s="859"/>
      <c r="DW538" s="859"/>
      <c r="DX538" s="929"/>
      <c r="DY538" s="857"/>
      <c r="DZ538" s="859"/>
      <c r="EA538" s="859"/>
      <c r="EB538" s="929"/>
      <c r="EC538" s="857"/>
      <c r="ED538" s="859"/>
      <c r="EE538" s="859"/>
      <c r="EF538" s="929"/>
      <c r="EG538" s="857"/>
      <c r="EH538" s="857"/>
      <c r="EI538" s="857"/>
      <c r="EJ538" s="857"/>
      <c r="EK538" s="857"/>
      <c r="EL538" s="857"/>
      <c r="EM538" s="857"/>
      <c r="EN538" s="857"/>
      <c r="EO538" s="857"/>
      <c r="EP538" s="857"/>
      <c r="FL538" s="855"/>
      <c r="FM538" s="855"/>
      <c r="FN538" s="855"/>
      <c r="FO538" s="855"/>
      <c r="FP538" s="855"/>
      <c r="FQ538" s="855"/>
      <c r="FR538" s="855"/>
      <c r="FS538" s="855"/>
      <c r="FT538" s="855"/>
      <c r="FU538" s="855"/>
      <c r="FV538" s="855"/>
      <c r="FW538" s="855"/>
      <c r="FX538" s="855"/>
      <c r="FY538" s="855"/>
      <c r="FZ538" s="855"/>
      <c r="GA538" s="855"/>
      <c r="GB538" s="855"/>
      <c r="GC538" s="855"/>
      <c r="GD538" s="855"/>
      <c r="GE538" s="855"/>
      <c r="GF538" s="855"/>
      <c r="GG538" s="855"/>
      <c r="GH538" s="855"/>
      <c r="GI538" s="855"/>
      <c r="GJ538" s="855"/>
      <c r="GK538" s="855"/>
      <c r="GL538" s="855"/>
      <c r="GM538" s="855"/>
      <c r="GN538" s="855"/>
      <c r="GO538" s="855"/>
      <c r="GP538" s="855"/>
      <c r="GQ538" s="855"/>
      <c r="GR538" s="855"/>
      <c r="GS538" s="855"/>
      <c r="GT538" s="855"/>
      <c r="GU538" s="855"/>
      <c r="GV538" s="855"/>
      <c r="GW538" s="855"/>
      <c r="GX538" s="855"/>
      <c r="GY538" s="855"/>
      <c r="GZ538" s="855"/>
      <c r="HA538" s="855"/>
      <c r="HB538" s="855"/>
      <c r="HC538" s="855"/>
      <c r="HD538" s="855"/>
      <c r="HE538" s="855"/>
      <c r="HF538" s="855"/>
      <c r="HG538" s="855"/>
      <c r="HH538" s="855"/>
      <c r="HI538" s="855"/>
      <c r="HJ538" s="855"/>
      <c r="HK538" s="855"/>
      <c r="HL538" s="855"/>
      <c r="HM538" s="855"/>
      <c r="HN538" s="855"/>
      <c r="HO538" s="855"/>
      <c r="HP538" s="855"/>
      <c r="HQ538" s="855"/>
      <c r="HR538" s="855"/>
      <c r="HS538" s="855"/>
      <c r="HT538" s="855"/>
      <c r="HU538" s="855"/>
      <c r="HV538" s="855"/>
      <c r="HW538" s="855"/>
      <c r="HX538" s="855"/>
      <c r="HY538" s="855"/>
      <c r="HZ538" s="855"/>
      <c r="IA538" s="855"/>
      <c r="IB538" s="855"/>
      <c r="IC538" s="855"/>
      <c r="ID538" s="855"/>
      <c r="IE538" s="855"/>
      <c r="IF538" s="855"/>
      <c r="IG538" s="855"/>
      <c r="IH538" s="855"/>
      <c r="II538" s="855"/>
      <c r="IJ538" s="855"/>
      <c r="IK538" s="855"/>
      <c r="IL538" s="855"/>
      <c r="IM538" s="855"/>
      <c r="IN538" s="855"/>
      <c r="IO538" s="855"/>
      <c r="IP538" s="855"/>
      <c r="IQ538" s="855"/>
      <c r="IR538" s="855"/>
      <c r="IS538" s="855"/>
      <c r="IT538" s="855"/>
      <c r="IU538" s="855"/>
      <c r="IV538" s="855"/>
      <c r="IW538" s="855"/>
      <c r="IX538" s="855"/>
      <c r="IY538" s="855"/>
      <c r="IZ538" s="855"/>
      <c r="JA538" s="855"/>
      <c r="JB538" s="855"/>
      <c r="JC538" s="855"/>
      <c r="JD538" s="855"/>
      <c r="JE538" s="855"/>
      <c r="JF538" s="855"/>
      <c r="JG538" s="855"/>
      <c r="JH538" s="855"/>
      <c r="JI538" s="855"/>
      <c r="JJ538" s="855"/>
      <c r="JK538" s="855"/>
      <c r="JL538" s="855"/>
      <c r="JM538"/>
    </row>
    <row r="539" spans="1:273" s="860" customFormat="1">
      <c r="A539" s="302" t="s">
        <v>686</v>
      </c>
      <c r="B539" s="298"/>
      <c r="C539" s="296"/>
      <c r="D539" s="296"/>
      <c r="E539" s="296"/>
      <c r="F539" s="296"/>
      <c r="G539" s="296"/>
      <c r="H539" s="296"/>
      <c r="I539" s="296"/>
      <c r="J539" s="296"/>
      <c r="K539" s="296"/>
      <c r="L539" s="296"/>
      <c r="M539" s="296"/>
      <c r="N539" s="296"/>
      <c r="O539" s="296"/>
      <c r="P539" s="296"/>
      <c r="Q539" s="296"/>
      <c r="R539" s="296"/>
      <c r="S539" s="296"/>
      <c r="T539" s="296"/>
      <c r="U539" s="296"/>
      <c r="V539" s="296"/>
      <c r="W539" s="296"/>
      <c r="X539" s="296"/>
      <c r="Y539" s="296"/>
      <c r="Z539" s="296"/>
      <c r="AA539" s="296"/>
      <c r="AB539" s="296"/>
      <c r="AC539" s="296"/>
      <c r="AD539" s="296"/>
      <c r="AE539" s="296"/>
      <c r="AF539" s="296"/>
      <c r="AG539" s="296"/>
      <c r="AH539" s="296"/>
      <c r="AI539" s="296"/>
      <c r="AJ539" s="296"/>
      <c r="AK539" s="296"/>
      <c r="AL539" s="296"/>
      <c r="AM539" s="296"/>
      <c r="AN539" s="298"/>
      <c r="AO539" s="298"/>
      <c r="AP539" s="929">
        <f>DIVISIONS!AP173</f>
        <v>0</v>
      </c>
      <c r="AQ539" s="298"/>
      <c r="AR539" s="298"/>
      <c r="AS539" s="298"/>
      <c r="AT539" s="929">
        <f>DIVISIONS!AT173</f>
        <v>70</v>
      </c>
      <c r="AU539" s="298"/>
      <c r="AV539" s="929">
        <f>DIVISIONS!AV173</f>
        <v>0</v>
      </c>
      <c r="AW539" s="929">
        <f>DIVISIONS!AW173</f>
        <v>27</v>
      </c>
      <c r="AX539" s="857"/>
      <c r="AY539" s="976"/>
      <c r="AZ539" s="929">
        <f>DIVISIONS!AZ173</f>
        <v>8</v>
      </c>
      <c r="BA539" s="929">
        <f>DIVISIONS!BA173</f>
        <v>33</v>
      </c>
      <c r="BB539" s="857"/>
      <c r="BC539" s="857"/>
      <c r="BD539" s="929">
        <f>DIVISIONS!BD173</f>
        <v>0</v>
      </c>
      <c r="BE539" s="929">
        <f>DIVISIONS!BE173</f>
        <v>0</v>
      </c>
      <c r="BF539" s="929">
        <f t="shared" ref="BF539:BF546" si="644">BD539+BE539</f>
        <v>0</v>
      </c>
      <c r="BG539" s="859"/>
      <c r="BH539" s="929">
        <f>DIVISIONS!BH173</f>
        <v>0</v>
      </c>
      <c r="BI539" s="929">
        <f>DIVISIONS!BI173</f>
        <v>0</v>
      </c>
      <c r="BJ539" s="929">
        <f t="shared" si="640"/>
        <v>0</v>
      </c>
      <c r="BK539" s="859"/>
      <c r="BL539" s="929">
        <f>DIVISIONS!BL173</f>
        <v>0</v>
      </c>
      <c r="BM539" s="929">
        <f>DIVISIONS!BM173</f>
        <v>0</v>
      </c>
      <c r="BN539" s="929">
        <f t="shared" si="641"/>
        <v>0</v>
      </c>
      <c r="BO539" s="859"/>
      <c r="BP539" s="929">
        <f>DIVISIONS!BP173</f>
        <v>0</v>
      </c>
      <c r="BQ539" s="929">
        <f>DIVISIONS!BQ173</f>
        <v>0</v>
      </c>
      <c r="BR539" s="929">
        <f t="shared" si="642"/>
        <v>0</v>
      </c>
      <c r="BS539" s="859"/>
      <c r="BT539" s="929">
        <f>DIVISIONS!BT173</f>
        <v>0</v>
      </c>
      <c r="BU539" s="929">
        <f>DIVISIONS!BU173</f>
        <v>0</v>
      </c>
      <c r="BV539" s="929">
        <f t="shared" si="643"/>
        <v>0</v>
      </c>
      <c r="BW539" s="859"/>
      <c r="BX539" s="929">
        <f>DIVISIONS!BX173</f>
        <v>0</v>
      </c>
      <c r="BY539" s="929">
        <f>DIVISIONS!BY173</f>
        <v>0</v>
      </c>
      <c r="BZ539" s="929">
        <f>BX539+BY539</f>
        <v>0</v>
      </c>
      <c r="CA539" s="859"/>
      <c r="CB539" s="929">
        <f>DIVISIONS!CB173</f>
        <v>0</v>
      </c>
      <c r="CC539" s="929">
        <f>DIVISIONS!CC173</f>
        <v>0</v>
      </c>
      <c r="CD539" s="929">
        <f>CB539+CC539</f>
        <v>0</v>
      </c>
      <c r="CE539" s="1619"/>
      <c r="CF539" s="929">
        <f>DIVISIONS!CF173</f>
        <v>0</v>
      </c>
      <c r="CG539" s="929">
        <f>DIVISIONS!CG173</f>
        <v>0</v>
      </c>
      <c r="CH539" s="929">
        <f>CF539+CG539</f>
        <v>0</v>
      </c>
      <c r="CI539" s="1619"/>
      <c r="CJ539" s="929">
        <f>DIVISIONS!CJ173</f>
        <v>0</v>
      </c>
      <c r="CK539" s="929">
        <f>DIVISIONS!CK173</f>
        <v>0</v>
      </c>
      <c r="CL539" s="929">
        <f>CJ539+CK539</f>
        <v>0</v>
      </c>
      <c r="CM539" s="1619"/>
      <c r="CN539" s="929">
        <f>DIVISIONS!CN173</f>
        <v>0</v>
      </c>
      <c r="CO539" s="929">
        <f>DIVISIONS!CO173</f>
        <v>0</v>
      </c>
      <c r="CP539" s="929">
        <f>CN539+CO539</f>
        <v>0</v>
      </c>
      <c r="CQ539" s="1619"/>
      <c r="CR539" s="929">
        <f>DIVISIONS!CR173</f>
        <v>0</v>
      </c>
      <c r="CS539" s="929">
        <f>DIVISIONS!CS173</f>
        <v>0</v>
      </c>
      <c r="CT539" s="929">
        <f>CR539+CS539</f>
        <v>0</v>
      </c>
      <c r="CU539" s="859"/>
      <c r="CV539" s="929">
        <f>DIVISIONS!CV173</f>
        <v>0</v>
      </c>
      <c r="CW539" s="929">
        <f>DIVISIONS!CW173</f>
        <v>0</v>
      </c>
      <c r="CX539" s="929">
        <f>CV539+CW539</f>
        <v>0</v>
      </c>
      <c r="CY539" s="859"/>
      <c r="CZ539" s="929">
        <f>DIVISIONS!CZ173</f>
        <v>0</v>
      </c>
      <c r="DA539" s="929">
        <f>DIVISIONS!DA173</f>
        <v>0</v>
      </c>
      <c r="DB539" s="929">
        <f>CZ539+DA539</f>
        <v>0</v>
      </c>
      <c r="DC539" s="859"/>
      <c r="DD539" s="929">
        <f>DIVISIONS!DD173</f>
        <v>0</v>
      </c>
      <c r="DE539" s="929">
        <f>DIVISIONS!DE173</f>
        <v>0</v>
      </c>
      <c r="DF539" s="929">
        <f>DD539+DE539</f>
        <v>0</v>
      </c>
      <c r="DG539" s="859"/>
      <c r="DH539" s="929">
        <f>DIVISIONS!DH173</f>
        <v>0</v>
      </c>
      <c r="DI539" s="859">
        <f>DH539*1.03</f>
        <v>0</v>
      </c>
      <c r="DJ539" s="929">
        <f>DH539+DI539</f>
        <v>0</v>
      </c>
      <c r="DK539" s="859"/>
      <c r="DL539" s="859">
        <f>DI539*1.03</f>
        <v>0</v>
      </c>
      <c r="DM539" s="859">
        <f>DL539*1.03</f>
        <v>0</v>
      </c>
      <c r="DN539" s="929">
        <f>DL539+DM539</f>
        <v>0</v>
      </c>
      <c r="DO539" s="929"/>
      <c r="DP539" s="859">
        <f>DM539*1.03</f>
        <v>0</v>
      </c>
      <c r="DQ539" s="859">
        <f>DP539*1.03</f>
        <v>0</v>
      </c>
      <c r="DR539" s="929">
        <f>DP539+DQ539</f>
        <v>0</v>
      </c>
      <c r="DS539" s="929"/>
      <c r="DT539" s="859"/>
      <c r="DU539" s="859"/>
      <c r="DV539" s="859"/>
      <c r="DW539" s="859"/>
      <c r="DX539" s="929"/>
      <c r="DY539" s="857"/>
      <c r="DZ539" s="859"/>
      <c r="EA539" s="859"/>
      <c r="EB539" s="929"/>
      <c r="EC539" s="857"/>
      <c r="ED539" s="859"/>
      <c r="EE539" s="859"/>
      <c r="EF539" s="929"/>
      <c r="EG539" s="857"/>
      <c r="EH539" s="857"/>
      <c r="EI539" s="857"/>
      <c r="EJ539" s="857"/>
      <c r="EK539" s="857"/>
      <c r="EL539" s="857"/>
      <c r="EM539" s="857"/>
      <c r="EN539" s="857"/>
      <c r="EO539" s="857"/>
      <c r="EP539" s="857"/>
      <c r="FL539" s="855"/>
      <c r="FM539" s="855"/>
      <c r="FN539" s="855"/>
      <c r="FO539" s="855"/>
      <c r="FP539" s="855"/>
      <c r="FQ539" s="855"/>
      <c r="FR539" s="855"/>
      <c r="FS539" s="855"/>
      <c r="FT539" s="855"/>
      <c r="FU539" s="855"/>
      <c r="FV539" s="855"/>
      <c r="FW539" s="855"/>
      <c r="FX539" s="855"/>
      <c r="FY539" s="855"/>
      <c r="FZ539" s="855"/>
      <c r="GA539" s="855"/>
      <c r="GB539" s="855"/>
      <c r="GC539" s="855"/>
      <c r="GD539" s="855"/>
      <c r="GE539" s="855"/>
      <c r="GF539" s="855"/>
      <c r="GG539" s="855"/>
      <c r="GH539" s="855"/>
      <c r="GI539" s="855"/>
      <c r="GJ539" s="855"/>
      <c r="GK539" s="855"/>
      <c r="GL539" s="855"/>
      <c r="GM539" s="855"/>
      <c r="GN539" s="855"/>
      <c r="GO539" s="855"/>
      <c r="GP539" s="855"/>
      <c r="GQ539" s="855"/>
      <c r="GR539" s="855"/>
      <c r="GS539" s="855"/>
      <c r="GT539" s="855"/>
      <c r="GU539" s="855"/>
      <c r="GV539" s="855"/>
      <c r="GW539" s="855"/>
      <c r="GX539" s="855"/>
      <c r="GY539" s="855"/>
      <c r="GZ539" s="855"/>
      <c r="HA539" s="855"/>
      <c r="HB539" s="855"/>
      <c r="HC539" s="855"/>
      <c r="HD539" s="855"/>
      <c r="HE539" s="855"/>
      <c r="HF539" s="855"/>
      <c r="HG539" s="855"/>
      <c r="HH539" s="855"/>
      <c r="HI539" s="855"/>
      <c r="HJ539" s="855"/>
      <c r="HK539" s="855"/>
      <c r="HL539" s="855"/>
      <c r="HM539" s="855"/>
      <c r="HN539" s="855"/>
      <c r="HO539" s="855"/>
      <c r="HP539" s="855"/>
      <c r="HQ539" s="855"/>
      <c r="HR539" s="855"/>
      <c r="HS539" s="855"/>
      <c r="HT539" s="855"/>
      <c r="HU539" s="855"/>
      <c r="HV539" s="855"/>
      <c r="HW539" s="855"/>
      <c r="HX539" s="855"/>
      <c r="HY539" s="855"/>
      <c r="HZ539" s="855"/>
      <c r="IA539" s="855"/>
      <c r="IB539" s="855"/>
      <c r="IC539" s="855"/>
      <c r="ID539" s="855"/>
      <c r="IE539" s="855"/>
      <c r="IF539" s="855"/>
      <c r="IG539" s="855"/>
      <c r="IH539" s="855"/>
      <c r="II539" s="855"/>
      <c r="IJ539" s="855"/>
      <c r="IK539" s="855"/>
      <c r="IL539" s="855"/>
      <c r="IM539" s="855"/>
      <c r="IN539" s="855"/>
      <c r="IO539" s="855"/>
      <c r="IP539" s="855"/>
      <c r="IQ539" s="855"/>
      <c r="IR539" s="855"/>
      <c r="IS539" s="855"/>
      <c r="IT539" s="855"/>
      <c r="IU539" s="855"/>
      <c r="IV539" s="855"/>
      <c r="IW539" s="855"/>
      <c r="IX539" s="855"/>
      <c r="IY539" s="855"/>
      <c r="IZ539" s="855"/>
      <c r="JA539" s="855"/>
      <c r="JB539" s="855"/>
      <c r="JC539" s="855"/>
      <c r="JD539" s="855"/>
      <c r="JE539" s="855"/>
      <c r="JF539" s="855"/>
      <c r="JG539" s="855"/>
      <c r="JH539" s="855"/>
      <c r="JI539" s="855"/>
      <c r="JJ539" s="855"/>
      <c r="JK539" s="855"/>
      <c r="JL539" s="855"/>
      <c r="JM539"/>
    </row>
    <row r="540" spans="1:273" s="860" customFormat="1">
      <c r="A540" s="302" t="s">
        <v>616</v>
      </c>
      <c r="B540" s="298"/>
      <c r="C540" s="296"/>
      <c r="D540" s="296"/>
      <c r="E540" s="296"/>
      <c r="F540" s="296"/>
      <c r="G540" s="296"/>
      <c r="H540" s="296"/>
      <c r="I540" s="296"/>
      <c r="J540" s="296"/>
      <c r="K540" s="296"/>
      <c r="L540" s="296"/>
      <c r="M540" s="296"/>
      <c r="N540" s="296"/>
      <c r="O540" s="296"/>
      <c r="P540" s="296"/>
      <c r="Q540" s="296"/>
      <c r="R540" s="296"/>
      <c r="S540" s="296"/>
      <c r="T540" s="296"/>
      <c r="U540" s="296"/>
      <c r="V540" s="296"/>
      <c r="W540" s="296"/>
      <c r="X540" s="296"/>
      <c r="Y540" s="296"/>
      <c r="Z540" s="296"/>
      <c r="AA540" s="296"/>
      <c r="AB540" s="296"/>
      <c r="AC540" s="296"/>
      <c r="AD540" s="296"/>
      <c r="AE540" s="296"/>
      <c r="AF540" s="296"/>
      <c r="AG540" s="296"/>
      <c r="AH540" s="296"/>
      <c r="AI540" s="296"/>
      <c r="AJ540" s="296"/>
      <c r="AK540" s="296"/>
      <c r="AL540" s="296"/>
      <c r="AM540" s="296"/>
      <c r="AN540" s="298"/>
      <c r="AO540" s="298"/>
      <c r="AP540" s="929">
        <f>DIVISIONS!AP427</f>
        <v>0</v>
      </c>
      <c r="AQ540" s="298"/>
      <c r="AR540" s="298"/>
      <c r="AS540" s="298"/>
      <c r="AT540" s="929">
        <f>DIVISIONS!AT427</f>
        <v>0</v>
      </c>
      <c r="AU540" s="298"/>
      <c r="AV540" s="929">
        <f>DIVISIONS!AV427</f>
        <v>139</v>
      </c>
      <c r="AW540" s="929">
        <f>DIVISIONS!AW427</f>
        <v>99</v>
      </c>
      <c r="AX540" s="857"/>
      <c r="AY540" s="976"/>
      <c r="AZ540" s="929">
        <f>DIVISIONS!AZ427</f>
        <v>0</v>
      </c>
      <c r="BA540" s="929">
        <f>DIVISIONS!BA427</f>
        <v>0</v>
      </c>
      <c r="BB540" s="857"/>
      <c r="BC540" s="857"/>
      <c r="BD540" s="929">
        <f>DIVISIONS!BD427</f>
        <v>0</v>
      </c>
      <c r="BE540" s="929">
        <f>DIVISIONS!BE427</f>
        <v>0</v>
      </c>
      <c r="BF540" s="929">
        <f t="shared" si="644"/>
        <v>0</v>
      </c>
      <c r="BG540" s="859"/>
      <c r="BH540" s="929">
        <f>DIVISIONS!BH427</f>
        <v>0</v>
      </c>
      <c r="BI540" s="929">
        <f>DIVISIONS!BI427</f>
        <v>0</v>
      </c>
      <c r="BJ540" s="929">
        <f t="shared" si="640"/>
        <v>0</v>
      </c>
      <c r="BK540" s="859"/>
      <c r="BL540" s="929">
        <f>DIVISIONS!BL427</f>
        <v>0</v>
      </c>
      <c r="BM540" s="929">
        <f>DIVISIONS!BM427</f>
        <v>0</v>
      </c>
      <c r="BN540" s="929">
        <f t="shared" si="641"/>
        <v>0</v>
      </c>
      <c r="BO540" s="859"/>
      <c r="BP540" s="929">
        <f>DIVISIONS!BP427</f>
        <v>0</v>
      </c>
      <c r="BQ540" s="929">
        <f>DIVISIONS!BQ427</f>
        <v>0</v>
      </c>
      <c r="BR540" s="929">
        <f t="shared" si="642"/>
        <v>0</v>
      </c>
      <c r="BS540" s="859"/>
      <c r="BT540" s="929">
        <f>DIVISIONS!BT427</f>
        <v>0</v>
      </c>
      <c r="BU540" s="929">
        <f>DIVISIONS!BU427</f>
        <v>0</v>
      </c>
      <c r="BV540" s="929">
        <f t="shared" si="643"/>
        <v>0</v>
      </c>
      <c r="BW540" s="859"/>
      <c r="BX540" s="929">
        <f>DIVISIONS!BX427</f>
        <v>0</v>
      </c>
      <c r="BY540" s="929">
        <f>DIVISIONS!BY427</f>
        <v>0</v>
      </c>
      <c r="BZ540" s="929">
        <f>BX540+BY540</f>
        <v>0</v>
      </c>
      <c r="CA540" s="859"/>
      <c r="CB540" s="929">
        <f>DIVISIONS!CB427</f>
        <v>0</v>
      </c>
      <c r="CC540" s="929">
        <f>DIVISIONS!CC427</f>
        <v>0</v>
      </c>
      <c r="CD540" s="929">
        <f>CB540+CC540</f>
        <v>0</v>
      </c>
      <c r="CE540" s="1619"/>
      <c r="CF540" s="929">
        <f>DIVISIONS!CF427</f>
        <v>0</v>
      </c>
      <c r="CG540" s="929">
        <f>DIVISIONS!CG427</f>
        <v>0</v>
      </c>
      <c r="CH540" s="929">
        <f>CF540+CG540</f>
        <v>0</v>
      </c>
      <c r="CI540" s="1619"/>
      <c r="CJ540" s="929">
        <f>DIVISIONS!CJ427</f>
        <v>0</v>
      </c>
      <c r="CK540" s="929">
        <f>DIVISIONS!CK427</f>
        <v>0</v>
      </c>
      <c r="CL540" s="929">
        <f>CJ540+CK540</f>
        <v>0</v>
      </c>
      <c r="CM540" s="1619"/>
      <c r="CN540" s="929">
        <f>DIVISIONS!CN427</f>
        <v>0</v>
      </c>
      <c r="CO540" s="929">
        <f>DIVISIONS!CO427</f>
        <v>0</v>
      </c>
      <c r="CP540" s="929">
        <f>CN540+CO540</f>
        <v>0</v>
      </c>
      <c r="CQ540" s="1619"/>
      <c r="CR540" s="929">
        <f>DIVISIONS!CR427</f>
        <v>0</v>
      </c>
      <c r="CS540" s="929">
        <f>DIVISIONS!CS427</f>
        <v>0</v>
      </c>
      <c r="CT540" s="929">
        <f>CR540+CS540</f>
        <v>0</v>
      </c>
      <c r="CU540" s="859"/>
      <c r="CV540" s="929">
        <f>DIVISIONS!CV427</f>
        <v>0</v>
      </c>
      <c r="CW540" s="929">
        <f>DIVISIONS!CW427</f>
        <v>0</v>
      </c>
      <c r="CX540" s="929">
        <f>CV540+CW540</f>
        <v>0</v>
      </c>
      <c r="CY540" s="859"/>
      <c r="CZ540" s="929">
        <f>DIVISIONS!CZ427</f>
        <v>0</v>
      </c>
      <c r="DA540" s="929">
        <f>DIVISIONS!DA427</f>
        <v>0</v>
      </c>
      <c r="DB540" s="929">
        <f>CZ540+DA540</f>
        <v>0</v>
      </c>
      <c r="DC540" s="859"/>
      <c r="DD540" s="929">
        <f>DIVISIONS!DD427</f>
        <v>0</v>
      </c>
      <c r="DE540" s="929">
        <f>DIVISIONS!DE427</f>
        <v>0</v>
      </c>
      <c r="DF540" s="929">
        <f>DD540+DE540</f>
        <v>0</v>
      </c>
      <c r="DG540" s="859"/>
      <c r="DH540" s="929">
        <f>DIVISIONS!DH427</f>
        <v>0</v>
      </c>
      <c r="DI540" s="859">
        <v>0</v>
      </c>
      <c r="DJ540" s="929">
        <f>DH540+DI540</f>
        <v>0</v>
      </c>
      <c r="DK540" s="859"/>
      <c r="DL540" s="859">
        <v>0</v>
      </c>
      <c r="DM540" s="859">
        <v>0</v>
      </c>
      <c r="DN540" s="929">
        <f>DL540+DM540</f>
        <v>0</v>
      </c>
      <c r="DO540" s="929"/>
      <c r="DP540" s="859">
        <v>0</v>
      </c>
      <c r="DQ540" s="859">
        <v>0</v>
      </c>
      <c r="DR540" s="929">
        <f>DP540+DQ540</f>
        <v>0</v>
      </c>
      <c r="DS540" s="929"/>
      <c r="DT540" s="859"/>
      <c r="DU540" s="859"/>
      <c r="DV540" s="859"/>
      <c r="DW540" s="859"/>
      <c r="DX540" s="929"/>
      <c r="DY540" s="857"/>
      <c r="DZ540" s="859"/>
      <c r="EA540" s="859"/>
      <c r="EB540" s="929"/>
      <c r="EC540" s="857"/>
      <c r="ED540" s="859"/>
      <c r="EE540" s="859"/>
      <c r="EF540" s="929"/>
      <c r="EG540" s="857"/>
      <c r="EH540" s="857"/>
      <c r="EI540" s="857"/>
      <c r="EJ540" s="857"/>
      <c r="EK540" s="857"/>
      <c r="EL540" s="857"/>
      <c r="EM540" s="857"/>
      <c r="EN540" s="857"/>
      <c r="EO540" s="857"/>
      <c r="EP540" s="857"/>
      <c r="FL540" s="855"/>
      <c r="FM540" s="855"/>
      <c r="FN540" s="855"/>
      <c r="FO540" s="855"/>
      <c r="FP540" s="855"/>
      <c r="FQ540" s="855"/>
      <c r="FR540" s="855"/>
      <c r="FS540" s="855"/>
      <c r="FT540" s="855"/>
      <c r="FU540" s="855"/>
      <c r="FV540" s="855"/>
      <c r="FW540" s="855"/>
      <c r="FX540" s="855"/>
      <c r="FY540" s="855"/>
      <c r="FZ540" s="855"/>
      <c r="GA540" s="855"/>
      <c r="GB540" s="855"/>
      <c r="GC540" s="855"/>
      <c r="GD540" s="855"/>
      <c r="GE540" s="855"/>
      <c r="GF540" s="855"/>
      <c r="GG540" s="855"/>
      <c r="GH540" s="855"/>
      <c r="GI540" s="855"/>
      <c r="GJ540" s="855"/>
      <c r="GK540" s="855"/>
      <c r="GL540" s="855"/>
      <c r="GM540" s="855"/>
      <c r="GN540" s="855"/>
      <c r="GO540" s="855"/>
      <c r="GP540" s="855"/>
      <c r="GQ540" s="855"/>
      <c r="GR540" s="855"/>
      <c r="GS540" s="855"/>
      <c r="GT540" s="855"/>
      <c r="GU540" s="855"/>
      <c r="GV540" s="855"/>
      <c r="GW540" s="855"/>
      <c r="GX540" s="855"/>
      <c r="GY540" s="855"/>
      <c r="GZ540" s="855"/>
      <c r="HA540" s="855"/>
      <c r="HB540" s="855"/>
      <c r="HC540" s="855"/>
      <c r="HD540" s="855"/>
      <c r="HE540" s="855"/>
      <c r="HF540" s="855"/>
      <c r="HG540" s="855"/>
      <c r="HH540" s="855"/>
      <c r="HI540" s="855"/>
      <c r="HJ540" s="855"/>
      <c r="HK540" s="855"/>
      <c r="HL540" s="855"/>
      <c r="HM540" s="855"/>
      <c r="HN540" s="855"/>
      <c r="HO540" s="855"/>
      <c r="HP540" s="855"/>
      <c r="HQ540" s="855"/>
      <c r="HR540" s="855"/>
      <c r="HS540" s="855"/>
      <c r="HT540" s="855"/>
      <c r="HU540" s="855"/>
      <c r="HV540" s="855"/>
      <c r="HW540" s="855"/>
      <c r="HX540" s="855"/>
      <c r="HY540" s="855"/>
      <c r="HZ540" s="855"/>
      <c r="IA540" s="855"/>
      <c r="IB540" s="855"/>
      <c r="IC540" s="855"/>
      <c r="ID540" s="855"/>
      <c r="IE540" s="855"/>
      <c r="IF540" s="855"/>
      <c r="IG540" s="855"/>
      <c r="IH540" s="855"/>
      <c r="II540" s="855"/>
      <c r="IJ540" s="855"/>
      <c r="IK540" s="855"/>
      <c r="IL540" s="855"/>
      <c r="IM540" s="855"/>
      <c r="IN540" s="855"/>
      <c r="IO540" s="855"/>
      <c r="IP540" s="855"/>
      <c r="IQ540" s="855"/>
      <c r="IR540" s="855"/>
      <c r="IS540" s="855"/>
      <c r="IT540" s="855"/>
      <c r="IU540" s="855"/>
      <c r="IV540" s="855"/>
      <c r="IW540" s="855"/>
      <c r="IX540" s="855"/>
      <c r="IY540" s="855"/>
      <c r="IZ540" s="855"/>
      <c r="JA540" s="855"/>
      <c r="JB540" s="855"/>
      <c r="JC540" s="855"/>
      <c r="JD540" s="855"/>
      <c r="JE540" s="855"/>
      <c r="JF540" s="855"/>
      <c r="JG540" s="855"/>
      <c r="JH540" s="855"/>
      <c r="JI540" s="855"/>
      <c r="JJ540" s="855"/>
      <c r="JK540" s="855"/>
      <c r="JL540" s="855"/>
      <c r="JM540"/>
    </row>
    <row r="541" spans="1:273" s="860" customFormat="1">
      <c r="A541" s="302" t="s">
        <v>1024</v>
      </c>
      <c r="B541" s="298"/>
      <c r="C541" s="296"/>
      <c r="D541" s="296"/>
      <c r="E541" s="296"/>
      <c r="F541" s="296"/>
      <c r="G541" s="296"/>
      <c r="H541" s="296"/>
      <c r="I541" s="296"/>
      <c r="J541" s="296"/>
      <c r="K541" s="296"/>
      <c r="L541" s="296"/>
      <c r="M541" s="296"/>
      <c r="N541" s="296"/>
      <c r="O541" s="296"/>
      <c r="P541" s="296"/>
      <c r="Q541" s="296"/>
      <c r="R541" s="296"/>
      <c r="S541" s="296"/>
      <c r="T541" s="296"/>
      <c r="U541" s="296"/>
      <c r="V541" s="296"/>
      <c r="W541" s="296"/>
      <c r="X541" s="296"/>
      <c r="Y541" s="296"/>
      <c r="Z541" s="296"/>
      <c r="AA541" s="296"/>
      <c r="AB541" s="296"/>
      <c r="AC541" s="296"/>
      <c r="AD541" s="296"/>
      <c r="AE541" s="296"/>
      <c r="AF541" s="296"/>
      <c r="AG541" s="296"/>
      <c r="AH541" s="296"/>
      <c r="AI541" s="296"/>
      <c r="AJ541" s="296"/>
      <c r="AK541" s="296"/>
      <c r="AL541" s="296"/>
      <c r="AM541" s="296"/>
      <c r="AN541" s="298"/>
      <c r="AO541" s="298"/>
      <c r="AP541" s="929">
        <f>DIVISIONS!AP312</f>
        <v>0</v>
      </c>
      <c r="AQ541" s="298"/>
      <c r="AR541" s="298"/>
      <c r="AS541" s="298"/>
      <c r="AT541" s="929">
        <f>DIVISIONS!AT312</f>
        <v>0</v>
      </c>
      <c r="AU541" s="298"/>
      <c r="AV541" s="929">
        <f>DIVISIONS!AV312</f>
        <v>0</v>
      </c>
      <c r="AW541" s="929">
        <f>DIVISIONS!AW312</f>
        <v>0</v>
      </c>
      <c r="AX541" s="857"/>
      <c r="AY541" s="976"/>
      <c r="AZ541" s="929">
        <f>DIVISIONS!AZ312</f>
        <v>0</v>
      </c>
      <c r="BA541" s="929">
        <f>DIVISIONS!BA312</f>
        <v>0</v>
      </c>
      <c r="BB541" s="857"/>
      <c r="BC541" s="857"/>
      <c r="BD541" s="929">
        <f>DIVISIONS!BD312</f>
        <v>0</v>
      </c>
      <c r="BE541" s="929">
        <f>DIVISIONS!BE312</f>
        <v>0</v>
      </c>
      <c r="BF541" s="929">
        <f t="shared" si="644"/>
        <v>0</v>
      </c>
      <c r="BG541" s="859"/>
      <c r="BH541" s="929">
        <f>DIVISIONS!BH312</f>
        <v>0</v>
      </c>
      <c r="BI541" s="929">
        <f>DIVISIONS!BI312</f>
        <v>0</v>
      </c>
      <c r="BJ541" s="929">
        <f t="shared" si="640"/>
        <v>0</v>
      </c>
      <c r="BK541" s="859"/>
      <c r="BL541" s="929">
        <f>DIVISIONS!BL312</f>
        <v>0</v>
      </c>
      <c r="BM541" s="929">
        <f>DIVISIONS!BM312</f>
        <v>0</v>
      </c>
      <c r="BN541" s="929">
        <f t="shared" si="641"/>
        <v>0</v>
      </c>
      <c r="BO541" s="859"/>
      <c r="BP541" s="929">
        <f>DIVISIONS!BP312</f>
        <v>0</v>
      </c>
      <c r="BQ541" s="929">
        <f>DIVISIONS!BQ312</f>
        <v>0</v>
      </c>
      <c r="BR541" s="929">
        <f t="shared" si="642"/>
        <v>0</v>
      </c>
      <c r="BS541" s="859"/>
      <c r="BT541" s="929">
        <f>DIVISIONS!BT312</f>
        <v>0</v>
      </c>
      <c r="BU541" s="929">
        <f>DIVISIONS!BU312</f>
        <v>0</v>
      </c>
      <c r="BV541" s="929">
        <f t="shared" si="643"/>
        <v>0</v>
      </c>
      <c r="BW541" s="859"/>
      <c r="BX541" s="929">
        <f>DIVISIONS!BX312</f>
        <v>0</v>
      </c>
      <c r="BY541" s="929">
        <f>DIVISIONS!BY312</f>
        <v>0</v>
      </c>
      <c r="BZ541" s="929">
        <f>BX541+BY541</f>
        <v>0</v>
      </c>
      <c r="CA541" s="859"/>
      <c r="CB541" s="929">
        <f>DIVISIONS!CB312</f>
        <v>0</v>
      </c>
      <c r="CC541" s="929">
        <f>DIVISIONS!CC312</f>
        <v>0</v>
      </c>
      <c r="CD541" s="929">
        <f>CB541+CC541</f>
        <v>0</v>
      </c>
      <c r="CE541" s="1619"/>
      <c r="CF541" s="929">
        <f>DIVISIONS!CF312</f>
        <v>0</v>
      </c>
      <c r="CG541" s="929">
        <f>DIVISIONS!CG312</f>
        <v>0</v>
      </c>
      <c r="CH541" s="929">
        <f>CF541+CG541</f>
        <v>0</v>
      </c>
      <c r="CI541" s="1619"/>
      <c r="CJ541" s="929">
        <f>DIVISIONS!CJ312</f>
        <v>0</v>
      </c>
      <c r="CK541" s="929">
        <f>DIVISIONS!CK312</f>
        <v>0</v>
      </c>
      <c r="CL541" s="929">
        <f>CJ541+CK541</f>
        <v>0</v>
      </c>
      <c r="CM541" s="1619"/>
      <c r="CN541" s="929">
        <f>DIVISIONS!CN312</f>
        <v>0</v>
      </c>
      <c r="CO541" s="929">
        <f>DIVISIONS!CO312</f>
        <v>0</v>
      </c>
      <c r="CP541" s="929">
        <f>CN541+CO541</f>
        <v>0</v>
      </c>
      <c r="CQ541" s="1619"/>
      <c r="CR541" s="929">
        <f>DIVISIONS!CR312</f>
        <v>0</v>
      </c>
      <c r="CS541" s="929">
        <f>DIVISIONS!CS312</f>
        <v>0</v>
      </c>
      <c r="CT541" s="929">
        <f>CR541+CS541</f>
        <v>0</v>
      </c>
      <c r="CU541" s="859"/>
      <c r="CV541" s="929">
        <f>DIVISIONS!CV312</f>
        <v>0</v>
      </c>
      <c r="CW541" s="929">
        <f>DIVISIONS!CW312</f>
        <v>0</v>
      </c>
      <c r="CX541" s="929">
        <f>CV541+CW541</f>
        <v>0</v>
      </c>
      <c r="CY541" s="859"/>
      <c r="CZ541" s="929">
        <f>DIVISIONS!CZ312</f>
        <v>0</v>
      </c>
      <c r="DA541" s="929">
        <f>DIVISIONS!DA312</f>
        <v>0</v>
      </c>
      <c r="DB541" s="929">
        <f>CZ541+DA541</f>
        <v>0</v>
      </c>
      <c r="DC541" s="859"/>
      <c r="DD541" s="929">
        <f>DIVISIONS!DD312</f>
        <v>0</v>
      </c>
      <c r="DE541" s="929">
        <f>DIVISIONS!DE312</f>
        <v>0</v>
      </c>
      <c r="DF541" s="929">
        <f>DD541+DE541</f>
        <v>0</v>
      </c>
      <c r="DG541" s="859"/>
      <c r="DH541" s="929">
        <f>DIVISIONS!DH312</f>
        <v>0</v>
      </c>
      <c r="DI541" s="859">
        <v>0</v>
      </c>
      <c r="DJ541" s="929">
        <f>DH541+DI541</f>
        <v>0</v>
      </c>
      <c r="DK541" s="859"/>
      <c r="DL541" s="859">
        <v>0</v>
      </c>
      <c r="DM541" s="859">
        <v>0</v>
      </c>
      <c r="DN541" s="929">
        <f>DL541+DM541</f>
        <v>0</v>
      </c>
      <c r="DO541" s="929"/>
      <c r="DP541" s="859">
        <v>0</v>
      </c>
      <c r="DQ541" s="859">
        <v>0</v>
      </c>
      <c r="DR541" s="929">
        <f>DP541+DQ541</f>
        <v>0</v>
      </c>
      <c r="DS541" s="929"/>
      <c r="DT541" s="859"/>
      <c r="DU541" s="859"/>
      <c r="DV541" s="859"/>
      <c r="DW541" s="859"/>
      <c r="DX541" s="929"/>
      <c r="DY541" s="857"/>
      <c r="DZ541" s="859"/>
      <c r="EA541" s="859"/>
      <c r="EB541" s="929"/>
      <c r="EC541" s="857"/>
      <c r="ED541" s="859"/>
      <c r="EE541" s="859"/>
      <c r="EF541" s="929"/>
      <c r="EG541" s="857"/>
      <c r="EH541" s="857"/>
      <c r="EI541" s="857"/>
      <c r="EJ541" s="857"/>
      <c r="EK541" s="857"/>
      <c r="EL541" s="857"/>
      <c r="EM541" s="857"/>
      <c r="EN541" s="857"/>
      <c r="EO541" s="857"/>
      <c r="EP541" s="857"/>
      <c r="FL541" s="855"/>
      <c r="FM541" s="855"/>
      <c r="FN541" s="855"/>
      <c r="FO541" s="855"/>
      <c r="FP541" s="855"/>
      <c r="FQ541" s="855"/>
      <c r="FR541" s="855"/>
      <c r="FS541" s="855"/>
      <c r="FT541" s="855"/>
      <c r="FU541" s="855"/>
      <c r="FV541" s="855"/>
      <c r="FW541" s="855"/>
      <c r="FX541" s="855"/>
      <c r="FY541" s="855"/>
      <c r="FZ541" s="855"/>
      <c r="GA541" s="855"/>
      <c r="GB541" s="855"/>
      <c r="GC541" s="855"/>
      <c r="GD541" s="855"/>
      <c r="GE541" s="855"/>
      <c r="GF541" s="855"/>
      <c r="GG541" s="855"/>
      <c r="GH541" s="855"/>
      <c r="GI541" s="855"/>
      <c r="GJ541" s="855"/>
      <c r="GK541" s="855"/>
      <c r="GL541" s="855"/>
      <c r="GM541" s="855"/>
      <c r="GN541" s="855"/>
      <c r="GO541" s="855"/>
      <c r="GP541" s="855"/>
      <c r="GQ541" s="855"/>
      <c r="GR541" s="855"/>
      <c r="GS541" s="855"/>
      <c r="GT541" s="855"/>
      <c r="GU541" s="855"/>
      <c r="GV541" s="855"/>
      <c r="GW541" s="855"/>
      <c r="GX541" s="855"/>
      <c r="GY541" s="855"/>
      <c r="GZ541" s="855"/>
      <c r="HA541" s="855"/>
      <c r="HB541" s="855"/>
      <c r="HC541" s="855"/>
      <c r="HD541" s="855"/>
      <c r="HE541" s="855"/>
      <c r="HF541" s="855"/>
      <c r="HG541" s="855"/>
      <c r="HH541" s="855"/>
      <c r="HI541" s="855"/>
      <c r="HJ541" s="855"/>
      <c r="HK541" s="855"/>
      <c r="HL541" s="855"/>
      <c r="HM541" s="855"/>
      <c r="HN541" s="855"/>
      <c r="HO541" s="855"/>
      <c r="HP541" s="855"/>
      <c r="HQ541" s="855"/>
      <c r="HR541" s="855"/>
      <c r="HS541" s="855"/>
      <c r="HT541" s="855"/>
      <c r="HU541" s="855"/>
      <c r="HV541" s="855"/>
      <c r="HW541" s="855"/>
      <c r="HX541" s="855"/>
      <c r="HY541" s="855"/>
      <c r="HZ541" s="855"/>
      <c r="IA541" s="855"/>
      <c r="IB541" s="855"/>
      <c r="IC541" s="855"/>
      <c r="ID541" s="855"/>
      <c r="IE541" s="855"/>
      <c r="IF541" s="855"/>
      <c r="IG541" s="855"/>
      <c r="IH541" s="855"/>
      <c r="II541" s="855"/>
      <c r="IJ541" s="855"/>
      <c r="IK541" s="855"/>
      <c r="IL541" s="855"/>
      <c r="IM541" s="855"/>
      <c r="IN541" s="855"/>
      <c r="IO541" s="855"/>
      <c r="IP541" s="855"/>
      <c r="IQ541" s="855"/>
      <c r="IR541" s="855"/>
      <c r="IS541" s="855"/>
      <c r="IT541" s="855"/>
      <c r="IU541" s="855"/>
      <c r="IV541" s="855"/>
      <c r="IW541" s="855"/>
      <c r="IX541" s="855"/>
      <c r="IY541" s="855"/>
      <c r="IZ541" s="855"/>
      <c r="JA541" s="855"/>
      <c r="JB541" s="855"/>
      <c r="JC541" s="855"/>
      <c r="JD541" s="855"/>
      <c r="JE541" s="855"/>
      <c r="JF541" s="855"/>
      <c r="JG541" s="855"/>
      <c r="JH541" s="855"/>
      <c r="JI541" s="855"/>
      <c r="JJ541" s="855"/>
      <c r="JK541" s="855"/>
      <c r="JL541" s="855"/>
      <c r="JM541"/>
    </row>
    <row r="542" spans="1:273" s="860" customFormat="1">
      <c r="A542" s="302" t="s">
        <v>690</v>
      </c>
      <c r="B542" s="298"/>
      <c r="C542" s="296"/>
      <c r="D542" s="296"/>
      <c r="E542" s="296"/>
      <c r="F542" s="296"/>
      <c r="G542" s="296"/>
      <c r="H542" s="296"/>
      <c r="I542" s="296"/>
      <c r="J542" s="296"/>
      <c r="K542" s="296"/>
      <c r="L542" s="296"/>
      <c r="M542" s="296"/>
      <c r="N542" s="296"/>
      <c r="O542" s="296"/>
      <c r="P542" s="296"/>
      <c r="Q542" s="296"/>
      <c r="R542" s="296"/>
      <c r="S542" s="296"/>
      <c r="T542" s="296"/>
      <c r="U542" s="296"/>
      <c r="V542" s="296"/>
      <c r="W542" s="296"/>
      <c r="X542" s="296"/>
      <c r="Y542" s="296"/>
      <c r="Z542" s="296"/>
      <c r="AA542" s="296"/>
      <c r="AB542" s="296"/>
      <c r="AC542" s="296"/>
      <c r="AD542" s="296"/>
      <c r="AE542" s="296"/>
      <c r="AF542" s="296"/>
      <c r="AG542" s="296"/>
      <c r="AH542" s="296"/>
      <c r="AI542" s="296"/>
      <c r="AJ542" s="296"/>
      <c r="AK542" s="296"/>
      <c r="AL542" s="296"/>
      <c r="AM542" s="296"/>
      <c r="AN542" s="298"/>
      <c r="AO542" s="298"/>
      <c r="AP542" s="929">
        <f>DIVISIONS!AP515</f>
        <v>0</v>
      </c>
      <c r="AQ542" s="298"/>
      <c r="AR542" s="298"/>
      <c r="AS542" s="298"/>
      <c r="AT542" s="929">
        <f>DIVISIONS!AT515</f>
        <v>0</v>
      </c>
      <c r="AU542" s="298"/>
      <c r="AV542" s="929">
        <f>DIVISIONS!AV515</f>
        <v>0</v>
      </c>
      <c r="AW542" s="929">
        <f>DIVISIONS!AW515</f>
        <v>0</v>
      </c>
      <c r="AX542" s="857"/>
      <c r="AY542" s="976"/>
      <c r="AZ542" s="929">
        <f>DIVISIONS!AZ515</f>
        <v>0</v>
      </c>
      <c r="BA542" s="929">
        <f>DIVISIONS!BA515</f>
        <v>0</v>
      </c>
      <c r="BB542" s="857"/>
      <c r="BC542" s="857"/>
      <c r="BD542" s="929">
        <f>DIVISIONS!BD515</f>
        <v>0</v>
      </c>
      <c r="BE542" s="929">
        <f>DIVISIONS!BE515</f>
        <v>0</v>
      </c>
      <c r="BF542" s="929">
        <f t="shared" si="644"/>
        <v>0</v>
      </c>
      <c r="BG542" s="859"/>
      <c r="BH542" s="929">
        <f>DIVISIONS!BH515</f>
        <v>0</v>
      </c>
      <c r="BI542" s="929">
        <f>DIVISIONS!BI515</f>
        <v>0</v>
      </c>
      <c r="BJ542" s="929">
        <f t="shared" si="640"/>
        <v>0</v>
      </c>
      <c r="BK542" s="859"/>
      <c r="BL542" s="929">
        <f>DIVISIONS!BL515</f>
        <v>0</v>
      </c>
      <c r="BM542" s="929">
        <f>DIVISIONS!BM515</f>
        <v>0</v>
      </c>
      <c r="BN542" s="929">
        <f t="shared" si="641"/>
        <v>0</v>
      </c>
      <c r="BO542" s="859"/>
      <c r="BP542" s="929">
        <f>DIVISIONS!BP515</f>
        <v>0</v>
      </c>
      <c r="BQ542" s="929">
        <f>DIVISIONS!BQ515</f>
        <v>141</v>
      </c>
      <c r="BR542" s="929">
        <f t="shared" si="642"/>
        <v>141</v>
      </c>
      <c r="BS542" s="859"/>
      <c r="BT542" s="929">
        <f>DIVISIONS!BT515</f>
        <v>3</v>
      </c>
      <c r="BU542" s="929">
        <f>DIVISIONS!BU515</f>
        <v>5</v>
      </c>
      <c r="BV542" s="929">
        <f t="shared" si="643"/>
        <v>8</v>
      </c>
      <c r="BW542" s="859"/>
      <c r="BX542" s="929">
        <f>DIVISIONS!BX515</f>
        <v>15</v>
      </c>
      <c r="BY542" s="929">
        <f>DIVISIONS!BY515</f>
        <v>1</v>
      </c>
      <c r="BZ542" s="929">
        <f>BX542+BY542</f>
        <v>16</v>
      </c>
      <c r="CA542" s="859"/>
      <c r="CB542" s="929">
        <f>DIVISIONS!CB515</f>
        <v>6</v>
      </c>
      <c r="CC542" s="929">
        <f>DIVISIONS!CC515</f>
        <v>21</v>
      </c>
      <c r="CD542" s="929">
        <f>CB542+CC542</f>
        <v>27</v>
      </c>
      <c r="CE542" s="1619"/>
      <c r="CF542" s="929">
        <f>DIVISIONS!CF515</f>
        <v>0</v>
      </c>
      <c r="CG542" s="929">
        <f>DIVISIONS!CG515</f>
        <v>0</v>
      </c>
      <c r="CH542" s="929">
        <f>CF542+CG542</f>
        <v>0</v>
      </c>
      <c r="CI542" s="1619"/>
      <c r="CJ542" s="929">
        <f>DIVISIONS!CJ515</f>
        <v>0</v>
      </c>
      <c r="CK542" s="929">
        <f>DIVISIONS!CK515</f>
        <v>0</v>
      </c>
      <c r="CL542" s="929">
        <f>CJ542+CK542</f>
        <v>0</v>
      </c>
      <c r="CM542" s="1619"/>
      <c r="CN542" s="929">
        <f>DIVISIONS!CN515</f>
        <v>0</v>
      </c>
      <c r="CO542" s="929">
        <f>DIVISIONS!CO515</f>
        <v>0</v>
      </c>
      <c r="CP542" s="929">
        <f>CN542+CO542</f>
        <v>0</v>
      </c>
      <c r="CQ542" s="1619"/>
      <c r="CR542" s="929">
        <f>DIVISIONS!CR515</f>
        <v>0</v>
      </c>
      <c r="CS542" s="929">
        <f>DIVISIONS!CS515</f>
        <v>0</v>
      </c>
      <c r="CT542" s="929">
        <f>CR542+CS542</f>
        <v>0</v>
      </c>
      <c r="CU542" s="859"/>
      <c r="CV542" s="929">
        <f>DIVISIONS!CV515</f>
        <v>0</v>
      </c>
      <c r="CW542" s="929">
        <f>DIVISIONS!CW515</f>
        <v>0</v>
      </c>
      <c r="CX542" s="929">
        <f>CV542+CW542</f>
        <v>0</v>
      </c>
      <c r="CY542" s="859"/>
      <c r="CZ542" s="929">
        <f>DIVISIONS!CZ515</f>
        <v>0</v>
      </c>
      <c r="DA542" s="929">
        <f>DIVISIONS!DA515</f>
        <v>0</v>
      </c>
      <c r="DB542" s="929">
        <f>CZ542+DA542</f>
        <v>0</v>
      </c>
      <c r="DC542" s="859"/>
      <c r="DD542" s="929">
        <f>DIVISIONS!DD515</f>
        <v>0</v>
      </c>
      <c r="DE542" s="929">
        <f>DIVISIONS!DE515</f>
        <v>0</v>
      </c>
      <c r="DF542" s="929">
        <f>DD542+DE542</f>
        <v>0</v>
      </c>
      <c r="DG542" s="859"/>
      <c r="DH542" s="929">
        <f>DIVISIONS!DH515</f>
        <v>0</v>
      </c>
      <c r="DI542" s="859">
        <v>0</v>
      </c>
      <c r="DJ542" s="929">
        <f>DH542+DI542</f>
        <v>0</v>
      </c>
      <c r="DK542" s="859"/>
      <c r="DL542" s="859">
        <v>0</v>
      </c>
      <c r="DM542" s="859">
        <v>0</v>
      </c>
      <c r="DN542" s="929">
        <f>DL542+DM542</f>
        <v>0</v>
      </c>
      <c r="DO542" s="929"/>
      <c r="DP542" s="859">
        <v>0</v>
      </c>
      <c r="DQ542" s="859">
        <v>0</v>
      </c>
      <c r="DR542" s="929">
        <f>DP542+DQ542</f>
        <v>0</v>
      </c>
      <c r="DS542" s="929"/>
      <c r="DT542" s="859"/>
      <c r="DU542" s="859"/>
      <c r="DV542" s="859"/>
      <c r="DW542" s="859"/>
      <c r="DX542" s="929"/>
      <c r="DY542" s="857"/>
      <c r="DZ542" s="859"/>
      <c r="EA542" s="859"/>
      <c r="EB542" s="929"/>
      <c r="EC542" s="857"/>
      <c r="ED542" s="859"/>
      <c r="EE542" s="859"/>
      <c r="EF542" s="929"/>
      <c r="EG542" s="857"/>
      <c r="EH542" s="857"/>
      <c r="EI542" s="857"/>
      <c r="EJ542" s="857"/>
      <c r="EK542" s="857"/>
      <c r="EL542" s="857"/>
      <c r="EM542" s="857"/>
      <c r="EN542" s="857"/>
      <c r="EO542" s="857"/>
      <c r="EP542" s="857"/>
      <c r="FL542" s="855"/>
      <c r="FM542" s="855"/>
      <c r="FN542" s="855"/>
      <c r="FO542" s="855"/>
      <c r="FP542" s="855"/>
      <c r="FQ542" s="855"/>
      <c r="FR542" s="855"/>
      <c r="FS542" s="855"/>
      <c r="FT542" s="855"/>
      <c r="FU542" s="855"/>
      <c r="FV542" s="855"/>
      <c r="FW542" s="855"/>
      <c r="FX542" s="855"/>
      <c r="FY542" s="855"/>
      <c r="FZ542" s="855"/>
      <c r="GA542" s="855"/>
      <c r="GB542" s="855"/>
      <c r="GC542" s="855"/>
      <c r="GD542" s="855"/>
      <c r="GE542" s="855"/>
      <c r="GF542" s="855"/>
      <c r="GG542" s="855"/>
      <c r="GH542" s="855"/>
      <c r="GI542" s="855"/>
      <c r="GJ542" s="855"/>
      <c r="GK542" s="855"/>
      <c r="GL542" s="855"/>
      <c r="GM542" s="855"/>
      <c r="GN542" s="855"/>
      <c r="GO542" s="855"/>
      <c r="GP542" s="855"/>
      <c r="GQ542" s="855"/>
      <c r="GR542" s="855"/>
      <c r="GS542" s="855"/>
      <c r="GT542" s="855"/>
      <c r="GU542" s="855"/>
      <c r="GV542" s="855"/>
      <c r="GW542" s="855"/>
      <c r="GX542" s="855"/>
      <c r="GY542" s="855"/>
      <c r="GZ542" s="855"/>
      <c r="HA542" s="855"/>
      <c r="HB542" s="855"/>
      <c r="HC542" s="855"/>
      <c r="HD542" s="855"/>
      <c r="HE542" s="855"/>
      <c r="HF542" s="855"/>
      <c r="HG542" s="855"/>
      <c r="HH542" s="855"/>
      <c r="HI542" s="855"/>
      <c r="HJ542" s="855"/>
      <c r="HK542" s="855"/>
      <c r="HL542" s="855"/>
      <c r="HM542" s="855"/>
      <c r="HN542" s="855"/>
      <c r="HO542" s="855"/>
      <c r="HP542" s="855"/>
      <c r="HQ542" s="855"/>
      <c r="HR542" s="855"/>
      <c r="HS542" s="855"/>
      <c r="HT542" s="855"/>
      <c r="HU542" s="855"/>
      <c r="HV542" s="855"/>
      <c r="HW542" s="855"/>
      <c r="HX542" s="855"/>
      <c r="HY542" s="855"/>
      <c r="HZ542" s="855"/>
      <c r="IA542" s="855"/>
      <c r="IB542" s="855"/>
      <c r="IC542" s="855"/>
      <c r="ID542" s="855"/>
      <c r="IE542" s="855"/>
      <c r="IF542" s="855"/>
      <c r="IG542" s="855"/>
      <c r="IH542" s="855"/>
      <c r="II542" s="855"/>
      <c r="IJ542" s="855"/>
      <c r="IK542" s="855"/>
      <c r="IL542" s="855"/>
      <c r="IM542" s="855"/>
      <c r="IN542" s="855"/>
      <c r="IO542" s="855"/>
      <c r="IP542" s="855"/>
      <c r="IQ542" s="855"/>
      <c r="IR542" s="855"/>
      <c r="IS542" s="855"/>
      <c r="IT542" s="855"/>
      <c r="IU542" s="855"/>
      <c r="IV542" s="855"/>
      <c r="IW542" s="855"/>
      <c r="IX542" s="855"/>
      <c r="IY542" s="855"/>
      <c r="IZ542" s="855"/>
      <c r="JA542" s="855"/>
      <c r="JB542" s="855"/>
      <c r="JC542" s="855"/>
      <c r="JD542" s="855"/>
      <c r="JE542" s="855"/>
      <c r="JF542" s="855"/>
      <c r="JG542" s="855"/>
      <c r="JH542" s="855"/>
      <c r="JI542" s="855"/>
      <c r="JJ542" s="855"/>
      <c r="JK542" s="855"/>
      <c r="JL542" s="855"/>
      <c r="JM542"/>
    </row>
    <row r="543" spans="1:273" s="860" customFormat="1">
      <c r="A543" s="302" t="s">
        <v>689</v>
      </c>
      <c r="B543" s="298"/>
      <c r="C543" s="296"/>
      <c r="D543" s="296"/>
      <c r="E543" s="296"/>
      <c r="F543" s="296"/>
      <c r="G543" s="296"/>
      <c r="H543" s="296"/>
      <c r="I543" s="296"/>
      <c r="J543" s="296"/>
      <c r="K543" s="296"/>
      <c r="L543" s="296"/>
      <c r="M543" s="296"/>
      <c r="N543" s="296"/>
      <c r="O543" s="296"/>
      <c r="P543" s="296"/>
      <c r="Q543" s="296"/>
      <c r="R543" s="296"/>
      <c r="S543" s="296"/>
      <c r="T543" s="296"/>
      <c r="U543" s="296"/>
      <c r="V543" s="296"/>
      <c r="W543" s="296"/>
      <c r="X543" s="296"/>
      <c r="Y543" s="296"/>
      <c r="Z543" s="296"/>
      <c r="AA543" s="296"/>
      <c r="AB543" s="296"/>
      <c r="AC543" s="296"/>
      <c r="AD543" s="296"/>
      <c r="AE543" s="296"/>
      <c r="AF543" s="296"/>
      <c r="AG543" s="296"/>
      <c r="AH543" s="296"/>
      <c r="AI543" s="296"/>
      <c r="AJ543" s="296"/>
      <c r="AK543" s="296"/>
      <c r="AL543" s="296"/>
      <c r="AM543" s="296"/>
      <c r="AN543" s="298"/>
      <c r="AO543" s="298"/>
      <c r="AP543" s="929">
        <f>DIVISIONS!AP636</f>
        <v>0</v>
      </c>
      <c r="AQ543" s="298"/>
      <c r="AR543" s="298"/>
      <c r="AS543" s="298"/>
      <c r="AT543" s="929">
        <f>DIVISIONS!AT636</f>
        <v>57</v>
      </c>
      <c r="AU543" s="298"/>
      <c r="AV543" s="929">
        <f>DIVISIONS!AV636</f>
        <v>0</v>
      </c>
      <c r="AW543" s="929">
        <f>DIVISIONS!AW636</f>
        <v>4</v>
      </c>
      <c r="AX543" s="857"/>
      <c r="AY543" s="976"/>
      <c r="AZ543" s="929">
        <f>DIVISIONS!AZ636</f>
        <v>1</v>
      </c>
      <c r="BA543" s="929">
        <f>DIVISIONS!BA636</f>
        <v>23</v>
      </c>
      <c r="BB543" s="857"/>
      <c r="BC543" s="857"/>
      <c r="BD543" s="929">
        <f>DIVISIONS!BD636</f>
        <v>0</v>
      </c>
      <c r="BE543" s="929">
        <f>DIVISIONS!BE636</f>
        <v>0</v>
      </c>
      <c r="BF543" s="929">
        <f t="shared" si="644"/>
        <v>0</v>
      </c>
      <c r="BG543" s="859"/>
      <c r="BH543" s="929">
        <f>DIVISIONS!BH636</f>
        <v>0</v>
      </c>
      <c r="BI543" s="929">
        <f>DIVISIONS!BI636</f>
        <v>0</v>
      </c>
      <c r="BJ543" s="929">
        <f t="shared" si="640"/>
        <v>0</v>
      </c>
      <c r="BK543" s="859"/>
      <c r="BL543" s="929">
        <f>DIVISIONS!BL636</f>
        <v>0</v>
      </c>
      <c r="BM543" s="929">
        <f>DIVISIONS!BM636</f>
        <v>0</v>
      </c>
      <c r="BN543" s="929">
        <f t="shared" si="641"/>
        <v>0</v>
      </c>
      <c r="BO543" s="859"/>
      <c r="BP543" s="929">
        <f>DIVISIONS!BP636</f>
        <v>0</v>
      </c>
      <c r="BQ543" s="929">
        <f>DIVISIONS!BQ636</f>
        <v>0</v>
      </c>
      <c r="BR543" s="929">
        <f t="shared" si="642"/>
        <v>0</v>
      </c>
      <c r="BS543" s="859"/>
      <c r="BT543" s="929">
        <f>DIVISIONS!BT636</f>
        <v>0</v>
      </c>
      <c r="BU543" s="929">
        <f>DIVISIONS!BU636</f>
        <v>0</v>
      </c>
      <c r="BV543" s="929">
        <f t="shared" si="643"/>
        <v>0</v>
      </c>
      <c r="BW543" s="859"/>
      <c r="BX543" s="929">
        <f>DIVISIONS!BX636</f>
        <v>192</v>
      </c>
      <c r="BY543" s="929">
        <f>DIVISIONS!BY636</f>
        <v>0</v>
      </c>
      <c r="BZ543" s="929">
        <f>BX543+BY543</f>
        <v>192</v>
      </c>
      <c r="CA543" s="859"/>
      <c r="CB543" s="929">
        <f>DIVISIONS!CB636</f>
        <v>0</v>
      </c>
      <c r="CC543" s="929">
        <f>DIVISIONS!CC636</f>
        <v>-8</v>
      </c>
      <c r="CD543" s="929">
        <f>CB543+CC543</f>
        <v>-8</v>
      </c>
      <c r="CE543" s="1619"/>
      <c r="CF543" s="929">
        <f>DIVISIONS!CF636</f>
        <v>0</v>
      </c>
      <c r="CG543" s="929">
        <f>DIVISIONS!CG636</f>
        <v>0</v>
      </c>
      <c r="CH543" s="929">
        <f>CF543+CG543</f>
        <v>0</v>
      </c>
      <c r="CI543" s="1619"/>
      <c r="CJ543" s="929">
        <f>DIVISIONS!CJ636</f>
        <v>0</v>
      </c>
      <c r="CK543" s="929">
        <f>DIVISIONS!CK636</f>
        <v>0</v>
      </c>
      <c r="CL543" s="929">
        <f>CJ543+CK543</f>
        <v>0</v>
      </c>
      <c r="CM543" s="1619"/>
      <c r="CN543" s="929">
        <f>DIVISIONS!CN636</f>
        <v>0</v>
      </c>
      <c r="CO543" s="929">
        <f>DIVISIONS!CO636</f>
        <v>0</v>
      </c>
      <c r="CP543" s="929">
        <f>CN543+CO543</f>
        <v>0</v>
      </c>
      <c r="CQ543" s="1619"/>
      <c r="CR543" s="929">
        <f>DIVISIONS!CR636</f>
        <v>0</v>
      </c>
      <c r="CS543" s="929">
        <f>DIVISIONS!CS636</f>
        <v>0</v>
      </c>
      <c r="CT543" s="929">
        <f>CR543+CS543</f>
        <v>0</v>
      </c>
      <c r="CU543" s="859"/>
      <c r="CV543" s="929">
        <f>DIVISIONS!CV636</f>
        <v>0</v>
      </c>
      <c r="CW543" s="929">
        <f>DIVISIONS!CW636</f>
        <v>0</v>
      </c>
      <c r="CX543" s="929">
        <f>CV543+CW543</f>
        <v>0</v>
      </c>
      <c r="CY543" s="859"/>
      <c r="CZ543" s="929">
        <f>DIVISIONS!CZ636</f>
        <v>0</v>
      </c>
      <c r="DA543" s="929">
        <f>DIVISIONS!DA636</f>
        <v>0</v>
      </c>
      <c r="DB543" s="929">
        <f>CZ543+DA543</f>
        <v>0</v>
      </c>
      <c r="DC543" s="859"/>
      <c r="DD543" s="929">
        <f>DIVISIONS!DD636</f>
        <v>0</v>
      </c>
      <c r="DE543" s="929">
        <f>DIVISIONS!DE636</f>
        <v>0</v>
      </c>
      <c r="DF543" s="929">
        <f>DD543+DE543</f>
        <v>0</v>
      </c>
      <c r="DG543" s="859"/>
      <c r="DH543" s="929">
        <f>DIVISIONS!DH636</f>
        <v>0</v>
      </c>
      <c r="DI543" s="859">
        <v>0</v>
      </c>
      <c r="DJ543" s="929">
        <f>DH543+DI543</f>
        <v>0</v>
      </c>
      <c r="DK543" s="859"/>
      <c r="DL543" s="859">
        <v>0</v>
      </c>
      <c r="DM543" s="859">
        <v>0</v>
      </c>
      <c r="DN543" s="929">
        <f>DL543+DM543</f>
        <v>0</v>
      </c>
      <c r="DO543" s="929"/>
      <c r="DP543" s="859">
        <v>0</v>
      </c>
      <c r="DQ543" s="859">
        <v>0</v>
      </c>
      <c r="DR543" s="929">
        <f>DP543+DQ543</f>
        <v>0</v>
      </c>
      <c r="DS543" s="929"/>
      <c r="DT543" s="859"/>
      <c r="DU543" s="859"/>
      <c r="DV543" s="859"/>
      <c r="DW543" s="859"/>
      <c r="DX543" s="929"/>
      <c r="DY543" s="857"/>
      <c r="DZ543" s="859"/>
      <c r="EA543" s="859"/>
      <c r="EB543" s="929"/>
      <c r="EC543" s="857"/>
      <c r="ED543" s="859"/>
      <c r="EE543" s="859"/>
      <c r="EF543" s="929"/>
      <c r="EG543" s="857"/>
      <c r="EH543" s="857"/>
      <c r="EI543" s="857"/>
      <c r="EJ543" s="857"/>
      <c r="EK543" s="857"/>
      <c r="EL543" s="857"/>
      <c r="EM543" s="857"/>
      <c r="EN543" s="857"/>
      <c r="EO543" s="857"/>
      <c r="EP543" s="857"/>
      <c r="FL543" s="855"/>
      <c r="FM543" s="855"/>
      <c r="FN543" s="855"/>
      <c r="FO543" s="855"/>
      <c r="FP543" s="855"/>
      <c r="FQ543" s="855"/>
      <c r="FR543" s="855"/>
      <c r="FS543" s="855"/>
      <c r="FT543" s="855"/>
      <c r="FU543" s="855"/>
      <c r="FV543" s="855"/>
      <c r="FW543" s="855"/>
      <c r="FX543" s="855"/>
      <c r="FY543" s="855"/>
      <c r="FZ543" s="855"/>
      <c r="GA543" s="855"/>
      <c r="GB543" s="855"/>
      <c r="GC543" s="855"/>
      <c r="GD543" s="855"/>
      <c r="GE543" s="855"/>
      <c r="GF543" s="855"/>
      <c r="GG543" s="855"/>
      <c r="GH543" s="855"/>
      <c r="GI543" s="855"/>
      <c r="GJ543" s="855"/>
      <c r="GK543" s="855"/>
      <c r="GL543" s="855"/>
      <c r="GM543" s="855"/>
      <c r="GN543" s="855"/>
      <c r="GO543" s="855"/>
      <c r="GP543" s="855"/>
      <c r="GQ543" s="855"/>
      <c r="GR543" s="855"/>
      <c r="GS543" s="855"/>
      <c r="GT543" s="855"/>
      <c r="GU543" s="855"/>
      <c r="GV543" s="855"/>
      <c r="GW543" s="855"/>
      <c r="GX543" s="855"/>
      <c r="GY543" s="855"/>
      <c r="GZ543" s="855"/>
      <c r="HA543" s="855"/>
      <c r="HB543" s="855"/>
      <c r="HC543" s="855"/>
      <c r="HD543" s="855"/>
      <c r="HE543" s="855"/>
      <c r="HF543" s="855"/>
      <c r="HG543" s="855"/>
      <c r="HH543" s="855"/>
      <c r="HI543" s="855"/>
      <c r="HJ543" s="855"/>
      <c r="HK543" s="855"/>
      <c r="HL543" s="855"/>
      <c r="HM543" s="855"/>
      <c r="HN543" s="855"/>
      <c r="HO543" s="855"/>
      <c r="HP543" s="855"/>
      <c r="HQ543" s="855"/>
      <c r="HR543" s="855"/>
      <c r="HS543" s="855"/>
      <c r="HT543" s="855"/>
      <c r="HU543" s="855"/>
      <c r="HV543" s="855"/>
      <c r="HW543" s="855"/>
      <c r="HX543" s="855"/>
      <c r="HY543" s="855"/>
      <c r="HZ543" s="855"/>
      <c r="IA543" s="855"/>
      <c r="IB543" s="855"/>
      <c r="IC543" s="855"/>
      <c r="ID543" s="855"/>
      <c r="IE543" s="855"/>
      <c r="IF543" s="855"/>
      <c r="IG543" s="855"/>
      <c r="IH543" s="855"/>
      <c r="II543" s="855"/>
      <c r="IJ543" s="855"/>
      <c r="IK543" s="855"/>
      <c r="IL543" s="855"/>
      <c r="IM543" s="855"/>
      <c r="IN543" s="855"/>
      <c r="IO543" s="855"/>
      <c r="IP543" s="855"/>
      <c r="IQ543" s="855"/>
      <c r="IR543" s="855"/>
      <c r="IS543" s="855"/>
      <c r="IT543" s="855"/>
      <c r="IU543" s="855"/>
      <c r="IV543" s="855"/>
      <c r="IW543" s="855"/>
      <c r="IX543" s="855"/>
      <c r="IY543" s="855"/>
      <c r="IZ543" s="855"/>
      <c r="JA543" s="855"/>
      <c r="JB543" s="855"/>
      <c r="JC543" s="855"/>
      <c r="JD543" s="855"/>
      <c r="JE543" s="855"/>
      <c r="JF543" s="855"/>
      <c r="JG543" s="855"/>
      <c r="JH543" s="855"/>
      <c r="JI543" s="855"/>
      <c r="JJ543" s="855"/>
      <c r="JK543" s="855"/>
      <c r="JL543" s="855"/>
      <c r="JM543"/>
    </row>
    <row r="544" spans="1:273" s="860" customFormat="1">
      <c r="A544" s="302" t="s">
        <v>688</v>
      </c>
      <c r="B544" s="298"/>
      <c r="C544" s="296"/>
      <c r="D544" s="296"/>
      <c r="E544" s="296"/>
      <c r="F544" s="296"/>
      <c r="G544" s="296"/>
      <c r="H544" s="296"/>
      <c r="I544" s="296"/>
      <c r="J544" s="296"/>
      <c r="K544" s="296"/>
      <c r="L544" s="296"/>
      <c r="M544" s="296"/>
      <c r="N544" s="296"/>
      <c r="O544" s="296"/>
      <c r="P544" s="296"/>
      <c r="Q544" s="296"/>
      <c r="R544" s="296"/>
      <c r="S544" s="296"/>
      <c r="T544" s="296"/>
      <c r="U544" s="296"/>
      <c r="V544" s="296"/>
      <c r="W544" s="296"/>
      <c r="X544" s="296"/>
      <c r="Y544" s="296"/>
      <c r="Z544" s="296"/>
      <c r="AA544" s="296"/>
      <c r="AB544" s="296"/>
      <c r="AC544" s="296"/>
      <c r="AD544" s="296"/>
      <c r="AE544" s="296"/>
      <c r="AF544" s="296"/>
      <c r="AG544" s="296"/>
      <c r="AH544" s="296"/>
      <c r="AI544" s="296"/>
      <c r="AJ544" s="296"/>
      <c r="AK544" s="296"/>
      <c r="AL544" s="296"/>
      <c r="AM544" s="296"/>
      <c r="AN544" s="298"/>
      <c r="AO544" s="298"/>
      <c r="AP544" s="929">
        <f>DIVISIONS!AP695</f>
        <v>0</v>
      </c>
      <c r="AQ544" s="298"/>
      <c r="AR544" s="298"/>
      <c r="AS544" s="298"/>
      <c r="AT544" s="929">
        <f>DIVISIONS!AT695</f>
        <v>0</v>
      </c>
      <c r="AU544" s="298"/>
      <c r="AV544" s="929">
        <f>DIVISIONS!AV695</f>
        <v>0</v>
      </c>
      <c r="AW544" s="929">
        <f>DIVISIONS!AW695</f>
        <v>0</v>
      </c>
      <c r="AX544" s="857"/>
      <c r="AY544" s="976"/>
      <c r="AZ544" s="929">
        <f>DIVISIONS!AZ695</f>
        <v>0</v>
      </c>
      <c r="BA544" s="929">
        <f>DIVISIONS!BA695</f>
        <v>0</v>
      </c>
      <c r="BB544" s="857"/>
      <c r="BC544" s="857"/>
      <c r="BD544" s="929"/>
      <c r="BE544" s="929"/>
      <c r="BF544" s="929"/>
      <c r="BG544" s="859"/>
      <c r="BH544" s="929"/>
      <c r="BI544" s="929"/>
      <c r="BJ544" s="929"/>
      <c r="BK544" s="859"/>
      <c r="BL544" s="929"/>
      <c r="BM544" s="929"/>
      <c r="BN544" s="929"/>
      <c r="BO544" s="859"/>
      <c r="BP544" s="929"/>
      <c r="BQ544" s="929"/>
      <c r="BR544" s="929"/>
      <c r="BS544" s="859"/>
      <c r="BT544" s="929"/>
      <c r="BU544" s="929"/>
      <c r="BV544" s="929"/>
      <c r="BW544" s="859"/>
      <c r="BX544" s="929"/>
      <c r="BY544" s="929"/>
      <c r="BZ544" s="929"/>
      <c r="CA544" s="859"/>
      <c r="CB544" s="929"/>
      <c r="CC544" s="929"/>
      <c r="CD544" s="929"/>
      <c r="CE544" s="1619"/>
      <c r="CF544" s="929"/>
      <c r="CG544" s="929"/>
      <c r="CH544" s="929"/>
      <c r="CI544" s="1619"/>
      <c r="CJ544" s="929"/>
      <c r="CK544" s="929"/>
      <c r="CL544" s="929"/>
      <c r="CM544" s="1619"/>
      <c r="CN544" s="929"/>
      <c r="CO544" s="929"/>
      <c r="CP544" s="929"/>
      <c r="CQ544" s="1619"/>
      <c r="CR544" s="929"/>
      <c r="CS544" s="929"/>
      <c r="CT544" s="929"/>
      <c r="CU544" s="859"/>
      <c r="CV544" s="929"/>
      <c r="CW544" s="929"/>
      <c r="CX544" s="929"/>
      <c r="CY544" s="859"/>
      <c r="CZ544" s="929"/>
      <c r="DA544" s="929"/>
      <c r="DB544" s="929"/>
      <c r="DC544" s="859"/>
      <c r="DD544" s="929"/>
      <c r="DE544" s="929"/>
      <c r="DF544" s="929"/>
      <c r="DG544" s="859"/>
      <c r="DH544" s="929"/>
      <c r="DI544" s="859"/>
      <c r="DJ544" s="929"/>
      <c r="DK544" s="859"/>
      <c r="DL544" s="859"/>
      <c r="DM544" s="859"/>
      <c r="DN544" s="929"/>
      <c r="DO544" s="929"/>
      <c r="DP544" s="859"/>
      <c r="DQ544" s="859"/>
      <c r="DR544" s="929"/>
      <c r="DS544" s="929"/>
      <c r="DT544" s="859"/>
      <c r="DU544" s="859"/>
      <c r="DV544" s="859"/>
      <c r="DW544" s="859"/>
      <c r="DX544" s="929"/>
      <c r="DY544" s="857"/>
      <c r="DZ544" s="859"/>
      <c r="EA544" s="859"/>
      <c r="EB544" s="929"/>
      <c r="EC544" s="857"/>
      <c r="ED544" s="859"/>
      <c r="EE544" s="859"/>
      <c r="EF544" s="929"/>
      <c r="EG544" s="857"/>
      <c r="EH544" s="857"/>
      <c r="EI544" s="857"/>
      <c r="EJ544" s="857"/>
      <c r="EK544" s="857"/>
      <c r="EL544" s="857"/>
      <c r="EM544" s="857"/>
      <c r="EN544" s="857"/>
      <c r="EO544" s="857"/>
      <c r="EP544" s="857"/>
      <c r="FL544" s="855"/>
      <c r="FM544" s="855"/>
      <c r="FN544" s="855"/>
      <c r="FO544" s="855"/>
      <c r="FP544" s="855"/>
      <c r="FQ544" s="855"/>
      <c r="FR544" s="855"/>
      <c r="FS544" s="855"/>
      <c r="FT544" s="855"/>
      <c r="FU544" s="855"/>
      <c r="FV544" s="855"/>
      <c r="FW544" s="855"/>
      <c r="FX544" s="855"/>
      <c r="FY544" s="855"/>
      <c r="FZ544" s="855"/>
      <c r="GA544" s="855"/>
      <c r="GB544" s="855"/>
      <c r="GC544" s="855"/>
      <c r="GD544" s="855"/>
      <c r="GE544" s="855"/>
      <c r="GF544" s="855"/>
      <c r="GG544" s="855"/>
      <c r="GH544" s="855"/>
      <c r="GI544" s="855"/>
      <c r="GJ544" s="855"/>
      <c r="GK544" s="855"/>
      <c r="GL544" s="855"/>
      <c r="GM544" s="855"/>
      <c r="GN544" s="855"/>
      <c r="GO544" s="855"/>
      <c r="GP544" s="855"/>
      <c r="GQ544" s="855"/>
      <c r="GR544" s="855"/>
      <c r="GS544" s="855"/>
      <c r="GT544" s="855"/>
      <c r="GU544" s="855"/>
      <c r="GV544" s="855"/>
      <c r="GW544" s="855"/>
      <c r="GX544" s="855"/>
      <c r="GY544" s="855"/>
      <c r="GZ544" s="855"/>
      <c r="HA544" s="855"/>
      <c r="HB544" s="855"/>
      <c r="HC544" s="855"/>
      <c r="HD544" s="855"/>
      <c r="HE544" s="855"/>
      <c r="HF544" s="855"/>
      <c r="HG544" s="855"/>
      <c r="HH544" s="855"/>
      <c r="HI544" s="855"/>
      <c r="HJ544" s="855"/>
      <c r="HK544" s="855"/>
      <c r="HL544" s="855"/>
      <c r="HM544" s="855"/>
      <c r="HN544" s="855"/>
      <c r="HO544" s="855"/>
      <c r="HP544" s="855"/>
      <c r="HQ544" s="855"/>
      <c r="HR544" s="855"/>
      <c r="HS544" s="855"/>
      <c r="HT544" s="855"/>
      <c r="HU544" s="855"/>
      <c r="HV544" s="855"/>
      <c r="HW544" s="855"/>
      <c r="HX544" s="855"/>
      <c r="HY544" s="855"/>
      <c r="HZ544" s="855"/>
      <c r="IA544" s="855"/>
      <c r="IB544" s="855"/>
      <c r="IC544" s="855"/>
      <c r="ID544" s="855"/>
      <c r="IE544" s="855"/>
      <c r="IF544" s="855"/>
      <c r="IG544" s="855"/>
      <c r="IH544" s="855"/>
      <c r="II544" s="855"/>
      <c r="IJ544" s="855"/>
      <c r="IK544" s="855"/>
      <c r="IL544" s="855"/>
      <c r="IM544" s="855"/>
      <c r="IN544" s="855"/>
      <c r="IO544" s="855"/>
      <c r="IP544" s="855"/>
      <c r="IQ544" s="855"/>
      <c r="IR544" s="855"/>
      <c r="IS544" s="855"/>
      <c r="IT544" s="855"/>
      <c r="IU544" s="855"/>
      <c r="IV544" s="855"/>
      <c r="IW544" s="855"/>
      <c r="IX544" s="855"/>
      <c r="IY544" s="855"/>
      <c r="IZ544" s="855"/>
      <c r="JA544" s="855"/>
      <c r="JB544" s="855"/>
      <c r="JC544" s="855"/>
      <c r="JD544" s="855"/>
      <c r="JE544" s="855"/>
      <c r="JF544" s="855"/>
      <c r="JG544" s="855"/>
      <c r="JH544" s="855"/>
      <c r="JI544" s="855"/>
      <c r="JJ544" s="855"/>
      <c r="JK544" s="855"/>
      <c r="JL544" s="855"/>
      <c r="JM544"/>
    </row>
    <row r="545" spans="1:273" s="860" customFormat="1">
      <c r="A545" s="302" t="s">
        <v>691</v>
      </c>
      <c r="B545" s="298"/>
      <c r="C545" s="296"/>
      <c r="D545" s="296"/>
      <c r="E545" s="296"/>
      <c r="F545" s="296"/>
      <c r="G545" s="296"/>
      <c r="H545" s="296"/>
      <c r="I545" s="296"/>
      <c r="J545" s="296"/>
      <c r="K545" s="296"/>
      <c r="L545" s="296"/>
      <c r="M545" s="296"/>
      <c r="N545" s="296"/>
      <c r="O545" s="296"/>
      <c r="P545" s="296"/>
      <c r="Q545" s="296"/>
      <c r="R545" s="296"/>
      <c r="S545" s="296"/>
      <c r="T545" s="296"/>
      <c r="U545" s="296"/>
      <c r="V545" s="296"/>
      <c r="W545" s="296"/>
      <c r="X545" s="296"/>
      <c r="Y545" s="296"/>
      <c r="Z545" s="296"/>
      <c r="AA545" s="296"/>
      <c r="AB545" s="296"/>
      <c r="AC545" s="296"/>
      <c r="AD545" s="296"/>
      <c r="AE545" s="296"/>
      <c r="AF545" s="296"/>
      <c r="AG545" s="296"/>
      <c r="AH545" s="296"/>
      <c r="AI545" s="296"/>
      <c r="AJ545" s="296"/>
      <c r="AK545" s="296"/>
      <c r="AL545" s="296"/>
      <c r="AM545" s="296"/>
      <c r="AN545" s="298"/>
      <c r="AO545" s="298"/>
      <c r="AP545" s="929">
        <f>DIVISIONS!AP751</f>
        <v>0</v>
      </c>
      <c r="AQ545" s="298"/>
      <c r="AR545" s="298"/>
      <c r="AS545" s="298"/>
      <c r="AT545" s="929">
        <f>DIVISIONS!AT751</f>
        <v>203</v>
      </c>
      <c r="AU545" s="298"/>
      <c r="AV545" s="929">
        <f>DIVISIONS!AV751</f>
        <v>127</v>
      </c>
      <c r="AW545" s="929">
        <f>DIVISIONS!AW751</f>
        <v>1</v>
      </c>
      <c r="AX545" s="857"/>
      <c r="AY545" s="976"/>
      <c r="AZ545" s="929">
        <f>DIVISIONS!AZ751</f>
        <v>0</v>
      </c>
      <c r="BA545" s="929">
        <f>DIVISIONS!BA751</f>
        <v>0</v>
      </c>
      <c r="BB545" s="857"/>
      <c r="BC545" s="857"/>
      <c r="BD545" s="929">
        <f>DIVISIONS!BD751</f>
        <v>0</v>
      </c>
      <c r="BE545" s="929">
        <f>DIVISIONS!BE751</f>
        <v>0</v>
      </c>
      <c r="BF545" s="929">
        <f t="shared" si="644"/>
        <v>0</v>
      </c>
      <c r="BG545" s="859"/>
      <c r="BH545" s="929">
        <f>DIVISIONS!BH751</f>
        <v>0</v>
      </c>
      <c r="BI545" s="929">
        <f>DIVISIONS!BI751</f>
        <v>0</v>
      </c>
      <c r="BJ545" s="929">
        <f>BH545+BI545</f>
        <v>0</v>
      </c>
      <c r="BK545" s="859"/>
      <c r="BL545" s="929">
        <f>DIVISIONS!BL751</f>
        <v>0</v>
      </c>
      <c r="BM545" s="929">
        <f>DIVISIONS!BM751</f>
        <v>0</v>
      </c>
      <c r="BN545" s="929">
        <f>BL545+BM545</f>
        <v>0</v>
      </c>
      <c r="BO545" s="859"/>
      <c r="BP545" s="929">
        <f>DIVISIONS!BP751</f>
        <v>0</v>
      </c>
      <c r="BQ545" s="929">
        <f>DIVISIONS!BQ751</f>
        <v>0</v>
      </c>
      <c r="BR545" s="929">
        <f>BP545+BQ545</f>
        <v>0</v>
      </c>
      <c r="BS545" s="859"/>
      <c r="BT545" s="929">
        <f>DIVISIONS!BT751</f>
        <v>0</v>
      </c>
      <c r="BU545" s="929">
        <f>DIVISIONS!BU751</f>
        <v>0</v>
      </c>
      <c r="BV545" s="929">
        <f>BT545+BU545</f>
        <v>0</v>
      </c>
      <c r="BW545" s="859"/>
      <c r="BX545" s="929">
        <f>DIVISIONS!BX751</f>
        <v>0</v>
      </c>
      <c r="BY545" s="929">
        <f>DIVISIONS!BY751</f>
        <v>0</v>
      </c>
      <c r="BZ545" s="929">
        <f>BX545+BY545</f>
        <v>0</v>
      </c>
      <c r="CA545" s="859"/>
      <c r="CB545" s="929">
        <f>DIVISIONS!CB751</f>
        <v>0</v>
      </c>
      <c r="CC545" s="929">
        <f>DIVISIONS!CC751</f>
        <v>0</v>
      </c>
      <c r="CD545" s="929">
        <f>CB545+CC545</f>
        <v>0</v>
      </c>
      <c r="CE545" s="1619"/>
      <c r="CF545" s="929">
        <f>DIVISIONS!CF751</f>
        <v>0</v>
      </c>
      <c r="CG545" s="929">
        <f>DIVISIONS!CG751</f>
        <v>0</v>
      </c>
      <c r="CH545" s="929">
        <f>CF545+CG545</f>
        <v>0</v>
      </c>
      <c r="CI545" s="1619"/>
      <c r="CJ545" s="929">
        <f>DIVISIONS!CJ751</f>
        <v>0</v>
      </c>
      <c r="CK545" s="929">
        <f>DIVISIONS!CK751</f>
        <v>0</v>
      </c>
      <c r="CL545" s="929">
        <f>CJ545+CK545</f>
        <v>0</v>
      </c>
      <c r="CM545" s="1619"/>
      <c r="CN545" s="929">
        <f>DIVISIONS!CN751</f>
        <v>0</v>
      </c>
      <c r="CO545" s="929">
        <f>DIVISIONS!CO751</f>
        <v>0</v>
      </c>
      <c r="CP545" s="929">
        <f>CN545+CO545</f>
        <v>0</v>
      </c>
      <c r="CQ545" s="1619"/>
      <c r="CR545" s="929">
        <f>DIVISIONS!CR751</f>
        <v>0</v>
      </c>
      <c r="CS545" s="929">
        <f>DIVISIONS!CS751</f>
        <v>0</v>
      </c>
      <c r="CT545" s="929">
        <f>CR545+CS545</f>
        <v>0</v>
      </c>
      <c r="CU545" s="859"/>
      <c r="CV545" s="929">
        <f>DIVISIONS!CV751</f>
        <v>0</v>
      </c>
      <c r="CW545" s="929">
        <f>DIVISIONS!CW751</f>
        <v>0</v>
      </c>
      <c r="CX545" s="929">
        <f>CV545+CW545</f>
        <v>0</v>
      </c>
      <c r="CY545" s="859"/>
      <c r="CZ545" s="929">
        <f>DIVISIONS!CZ751</f>
        <v>0</v>
      </c>
      <c r="DA545" s="929">
        <f>DIVISIONS!DA751</f>
        <v>0</v>
      </c>
      <c r="DB545" s="929">
        <f>CZ545+DA545</f>
        <v>0</v>
      </c>
      <c r="DC545" s="859"/>
      <c r="DD545" s="929">
        <f>DIVISIONS!DD751</f>
        <v>0</v>
      </c>
      <c r="DE545" s="929">
        <f>DIVISIONS!DE751</f>
        <v>0</v>
      </c>
      <c r="DF545" s="929">
        <f>DD545+DE545</f>
        <v>0</v>
      </c>
      <c r="DG545" s="859"/>
      <c r="DH545" s="929">
        <f>DIVISIONS!DH751</f>
        <v>0</v>
      </c>
      <c r="DI545" s="859">
        <v>0</v>
      </c>
      <c r="DJ545" s="929">
        <f>DH545+DI545</f>
        <v>0</v>
      </c>
      <c r="DK545" s="859"/>
      <c r="DL545" s="859">
        <v>0</v>
      </c>
      <c r="DM545" s="859">
        <v>0</v>
      </c>
      <c r="DN545" s="929">
        <f>DL545+DM545</f>
        <v>0</v>
      </c>
      <c r="DO545" s="929"/>
      <c r="DP545" s="859">
        <v>0</v>
      </c>
      <c r="DQ545" s="859">
        <v>0</v>
      </c>
      <c r="DR545" s="929">
        <f>DP545+DQ545</f>
        <v>0</v>
      </c>
      <c r="DS545" s="929"/>
      <c r="DT545" s="859"/>
      <c r="DU545" s="859"/>
      <c r="DV545" s="859"/>
      <c r="DW545" s="859"/>
      <c r="DX545" s="929"/>
      <c r="DY545" s="857"/>
      <c r="DZ545" s="859"/>
      <c r="EA545" s="859"/>
      <c r="EB545" s="929"/>
      <c r="EC545" s="857"/>
      <c r="ED545" s="859"/>
      <c r="EE545" s="859"/>
      <c r="EF545" s="929"/>
      <c r="EG545" s="857"/>
      <c r="EH545" s="857"/>
      <c r="EI545" s="857"/>
      <c r="EJ545" s="857"/>
      <c r="EK545" s="857"/>
      <c r="EL545" s="857"/>
      <c r="EM545" s="857"/>
      <c r="EN545" s="857"/>
      <c r="EO545" s="857"/>
      <c r="EP545" s="857"/>
      <c r="FL545" s="855"/>
      <c r="FM545" s="855"/>
      <c r="FN545" s="855"/>
      <c r="FO545" s="855"/>
      <c r="FP545" s="855"/>
      <c r="FQ545" s="855"/>
      <c r="FR545" s="855"/>
      <c r="FS545" s="855"/>
      <c r="FT545" s="855"/>
      <c r="FU545" s="855"/>
      <c r="FV545" s="855"/>
      <c r="FW545" s="855"/>
      <c r="FX545" s="855"/>
      <c r="FY545" s="855"/>
      <c r="FZ545" s="855"/>
      <c r="GA545" s="855"/>
      <c r="GB545" s="855"/>
      <c r="GC545" s="855"/>
      <c r="GD545" s="855"/>
      <c r="GE545" s="855"/>
      <c r="GF545" s="855"/>
      <c r="GG545" s="855"/>
      <c r="GH545" s="855"/>
      <c r="GI545" s="855"/>
      <c r="GJ545" s="855"/>
      <c r="GK545" s="855"/>
      <c r="GL545" s="855"/>
      <c r="GM545" s="855"/>
      <c r="GN545" s="855"/>
      <c r="GO545" s="855"/>
      <c r="GP545" s="855"/>
      <c r="GQ545" s="855"/>
      <c r="GR545" s="855"/>
      <c r="GS545" s="855"/>
      <c r="GT545" s="855"/>
      <c r="GU545" s="855"/>
      <c r="GV545" s="855"/>
      <c r="GW545" s="855"/>
      <c r="GX545" s="855"/>
      <c r="GY545" s="855"/>
      <c r="GZ545" s="855"/>
      <c r="HA545" s="855"/>
      <c r="HB545" s="855"/>
      <c r="HC545" s="855"/>
      <c r="HD545" s="855"/>
      <c r="HE545" s="855"/>
      <c r="HF545" s="855"/>
      <c r="HG545" s="855"/>
      <c r="HH545" s="855"/>
      <c r="HI545" s="855"/>
      <c r="HJ545" s="855"/>
      <c r="HK545" s="855"/>
      <c r="HL545" s="855"/>
      <c r="HM545" s="855"/>
      <c r="HN545" s="855"/>
      <c r="HO545" s="855"/>
      <c r="HP545" s="855"/>
      <c r="HQ545" s="855"/>
      <c r="HR545" s="855"/>
      <c r="HS545" s="855"/>
      <c r="HT545" s="855"/>
      <c r="HU545" s="855"/>
      <c r="HV545" s="855"/>
      <c r="HW545" s="855"/>
      <c r="HX545" s="855"/>
      <c r="HY545" s="855"/>
      <c r="HZ545" s="855"/>
      <c r="IA545" s="855"/>
      <c r="IB545" s="855"/>
      <c r="IC545" s="855"/>
      <c r="ID545" s="855"/>
      <c r="IE545" s="855"/>
      <c r="IF545" s="855"/>
      <c r="IG545" s="855"/>
      <c r="IH545" s="855"/>
      <c r="II545" s="855"/>
      <c r="IJ545" s="855"/>
      <c r="IK545" s="855"/>
      <c r="IL545" s="855"/>
      <c r="IM545" s="855"/>
      <c r="IN545" s="855"/>
      <c r="IO545" s="855"/>
      <c r="IP545" s="855"/>
      <c r="IQ545" s="855"/>
      <c r="IR545" s="855"/>
      <c r="IS545" s="855"/>
      <c r="IT545" s="855"/>
      <c r="IU545" s="855"/>
      <c r="IV545" s="855"/>
      <c r="IW545" s="855"/>
      <c r="IX545" s="855"/>
      <c r="IY545" s="855"/>
      <c r="IZ545" s="855"/>
      <c r="JA545" s="855"/>
      <c r="JB545" s="855"/>
      <c r="JC545" s="855"/>
      <c r="JD545" s="855"/>
      <c r="JE545" s="855"/>
      <c r="JF545" s="855"/>
      <c r="JG545" s="855"/>
      <c r="JH545" s="855"/>
      <c r="JI545" s="855"/>
      <c r="JJ545" s="855"/>
      <c r="JK545" s="855"/>
      <c r="JL545" s="855"/>
      <c r="JM545"/>
    </row>
    <row r="546" spans="1:273" s="855" customFormat="1">
      <c r="A546" s="289" t="s">
        <v>613</v>
      </c>
      <c r="B546" s="290"/>
      <c r="C546" s="289"/>
      <c r="D546" s="289"/>
      <c r="E546" s="289"/>
      <c r="F546" s="289"/>
      <c r="G546" s="289"/>
      <c r="H546" s="289"/>
      <c r="I546" s="289"/>
      <c r="J546" s="289"/>
      <c r="K546" s="289"/>
      <c r="L546" s="289"/>
      <c r="M546" s="289"/>
      <c r="N546" s="289"/>
      <c r="O546" s="289"/>
      <c r="P546" s="289"/>
      <c r="Q546" s="289"/>
      <c r="R546" s="289"/>
      <c r="S546" s="289"/>
      <c r="T546" s="289"/>
      <c r="U546" s="289"/>
      <c r="V546" s="289"/>
      <c r="W546" s="289"/>
      <c r="X546" s="289"/>
      <c r="Y546" s="289"/>
      <c r="Z546" s="289"/>
      <c r="AA546" s="289"/>
      <c r="AB546" s="289"/>
      <c r="AC546" s="289"/>
      <c r="AD546" s="289"/>
      <c r="AE546" s="289"/>
      <c r="AF546" s="289"/>
      <c r="AG546" s="289"/>
      <c r="AH546" s="289"/>
      <c r="AI546" s="289"/>
      <c r="AJ546" s="289"/>
      <c r="AK546" s="289"/>
      <c r="AL546" s="289"/>
      <c r="AM546" s="289"/>
      <c r="AN546" s="290"/>
      <c r="AO546" s="290"/>
      <c r="AP546" s="853">
        <f>SUM(AP538:AP545)</f>
        <v>0</v>
      </c>
      <c r="AQ546" s="290"/>
      <c r="AR546" s="290"/>
      <c r="AS546" s="290"/>
      <c r="AT546" s="853">
        <f>SUM(AT538:AT545)</f>
        <v>330</v>
      </c>
      <c r="AU546" s="290"/>
      <c r="AV546" s="853">
        <f>SUM(AV538:AV545)</f>
        <v>266</v>
      </c>
      <c r="AW546" s="853">
        <f>SUM(AW538:AW545)</f>
        <v>131</v>
      </c>
      <c r="AX546" s="853"/>
      <c r="AY546" s="820"/>
      <c r="AZ546" s="853">
        <f>SUM(AZ538:AZ545)</f>
        <v>9</v>
      </c>
      <c r="BA546" s="853">
        <f>SUM(BA538:BA545)</f>
        <v>56</v>
      </c>
      <c r="BB546" s="853"/>
      <c r="BC546" s="853"/>
      <c r="BD546" s="853">
        <f>SUM(BD538:BD545)</f>
        <v>0</v>
      </c>
      <c r="BE546" s="853">
        <f>SUM(BE538:BE545)</f>
        <v>0</v>
      </c>
      <c r="BF546" s="818">
        <f t="shared" si="644"/>
        <v>0</v>
      </c>
      <c r="BG546" s="853"/>
      <c r="BH546" s="853">
        <f>SUM(BH538:BH545)</f>
        <v>0</v>
      </c>
      <c r="BI546" s="853">
        <f>SUM(BI538:BI545)</f>
        <v>0</v>
      </c>
      <c r="BJ546" s="818">
        <f>BH546+BI546</f>
        <v>0</v>
      </c>
      <c r="BK546" s="853"/>
      <c r="BL546" s="853">
        <f>SUM(BL538:BL545)</f>
        <v>0</v>
      </c>
      <c r="BM546" s="853">
        <f>SUM(BM538:BM545)</f>
        <v>0</v>
      </c>
      <c r="BN546" s="818">
        <f>BL546+BM546</f>
        <v>0</v>
      </c>
      <c r="BO546" s="853"/>
      <c r="BP546" s="853">
        <f>SUM(BP538:BP545)</f>
        <v>0</v>
      </c>
      <c r="BQ546" s="853">
        <f>SUM(BQ538:BQ545)</f>
        <v>141</v>
      </c>
      <c r="BR546" s="818">
        <f>BP546+BQ546</f>
        <v>141</v>
      </c>
      <c r="BS546" s="853"/>
      <c r="BT546" s="853">
        <f>SUM(BT538:BT545)</f>
        <v>3</v>
      </c>
      <c r="BU546" s="853">
        <f>SUM(BU538:BU545)</f>
        <v>5</v>
      </c>
      <c r="BV546" s="818">
        <f>BT546+BU546</f>
        <v>8</v>
      </c>
      <c r="BW546" s="853"/>
      <c r="BX546" s="853">
        <f>SUM(BX538:BX545)</f>
        <v>207</v>
      </c>
      <c r="BY546" s="853">
        <f>SUM(BY538:BY545)</f>
        <v>1</v>
      </c>
      <c r="BZ546" s="818">
        <f>BX546+BY546</f>
        <v>208</v>
      </c>
      <c r="CA546" s="853"/>
      <c r="CB546" s="853">
        <f>SUM(CB538:CB545)</f>
        <v>6</v>
      </c>
      <c r="CC546" s="853">
        <f>SUM(CC538:CC545)</f>
        <v>13</v>
      </c>
      <c r="CD546" s="818">
        <f>CB546+CC546</f>
        <v>19</v>
      </c>
      <c r="CE546" s="862"/>
      <c r="CF546" s="853">
        <f>SUM(CF538:CF545)</f>
        <v>0</v>
      </c>
      <c r="CG546" s="853">
        <f>SUM(CG538:CG545)</f>
        <v>0</v>
      </c>
      <c r="CH546" s="818">
        <f>CF546+CG546</f>
        <v>0</v>
      </c>
      <c r="CI546" s="862"/>
      <c r="CJ546" s="853">
        <f>SUM(CJ538:CJ545)</f>
        <v>0</v>
      </c>
      <c r="CK546" s="853">
        <f>SUM(CK538:CK545)</f>
        <v>0</v>
      </c>
      <c r="CL546" s="818">
        <f>CJ546+CK546</f>
        <v>0</v>
      </c>
      <c r="CM546" s="862"/>
      <c r="CN546" s="853">
        <f>SUM(CN538:CN545)</f>
        <v>0</v>
      </c>
      <c r="CO546" s="853">
        <f>SUM(CO538:CO545)</f>
        <v>0</v>
      </c>
      <c r="CP546" s="818">
        <f>CN546+CO546</f>
        <v>0</v>
      </c>
      <c r="CQ546" s="862"/>
      <c r="CR546" s="853">
        <f>SUM(CR538:CR545)</f>
        <v>0</v>
      </c>
      <c r="CS546" s="853">
        <f>SUM(CS538:CS545)</f>
        <v>0</v>
      </c>
      <c r="CT546" s="818">
        <f>CR546+CS546</f>
        <v>0</v>
      </c>
      <c r="CU546" s="853"/>
      <c r="CV546" s="853">
        <f>SUM(CV538:CV545)</f>
        <v>0</v>
      </c>
      <c r="CW546" s="853">
        <f>SUM(CW538:CW545)</f>
        <v>0</v>
      </c>
      <c r="CX546" s="818">
        <f>CV546+CW546</f>
        <v>0</v>
      </c>
      <c r="CY546" s="853"/>
      <c r="CZ546" s="853">
        <f>SUM(CZ538:CZ545)</f>
        <v>0</v>
      </c>
      <c r="DA546" s="853">
        <f>SUM(DA538:DA545)</f>
        <v>0</v>
      </c>
      <c r="DB546" s="818">
        <f>CZ546+DA546</f>
        <v>0</v>
      </c>
      <c r="DC546" s="853"/>
      <c r="DD546" s="853">
        <f>SUM(DD538:DD545)</f>
        <v>0</v>
      </c>
      <c r="DE546" s="853">
        <f>SUM(DE538:DE545)</f>
        <v>0</v>
      </c>
      <c r="DF546" s="818">
        <f>DD546+DE546</f>
        <v>0</v>
      </c>
      <c r="DG546" s="853"/>
      <c r="DH546" s="853">
        <f>SUM(DH538:DH545)</f>
        <v>0</v>
      </c>
      <c r="DI546" s="853">
        <f>SUM(DI538:DI545)</f>
        <v>0</v>
      </c>
      <c r="DJ546" s="818">
        <f>DH546+DI546</f>
        <v>0</v>
      </c>
      <c r="DK546" s="853"/>
      <c r="DL546" s="853">
        <f>SUM(DL538:DL545)</f>
        <v>0</v>
      </c>
      <c r="DM546" s="853">
        <f>SUM(DM538:DM545)</f>
        <v>0</v>
      </c>
      <c r="DN546" s="818">
        <f>DL546+DM546</f>
        <v>0</v>
      </c>
      <c r="DO546" s="818"/>
      <c r="DP546" s="853">
        <f>SUM(DP538:DP545)</f>
        <v>0</v>
      </c>
      <c r="DQ546" s="853">
        <f>SUM(DQ538:DQ545)</f>
        <v>0</v>
      </c>
      <c r="DR546" s="818">
        <f>DP546+DQ546</f>
        <v>0</v>
      </c>
      <c r="DS546" s="818"/>
      <c r="DT546" s="853"/>
      <c r="DU546" s="853"/>
      <c r="DV546" s="853"/>
      <c r="DW546" s="853"/>
      <c r="DX546" s="818"/>
      <c r="DY546" s="853"/>
      <c r="DZ546" s="853"/>
      <c r="EA546" s="853"/>
      <c r="EB546" s="818"/>
      <c r="EC546" s="853"/>
      <c r="ED546" s="853"/>
      <c r="EE546" s="853"/>
      <c r="EF546" s="818"/>
      <c r="EG546" s="853"/>
      <c r="EH546" s="853"/>
      <c r="EI546" s="853"/>
      <c r="EJ546" s="853"/>
      <c r="EK546" s="853"/>
      <c r="EL546" s="853"/>
      <c r="EM546" s="853"/>
      <c r="EN546" s="853"/>
      <c r="EO546" s="853"/>
      <c r="EP546" s="853"/>
      <c r="JM546"/>
    </row>
    <row r="547" spans="1:273" s="855" customFormat="1">
      <c r="A547" s="289"/>
      <c r="B547" s="290"/>
      <c r="C547" s="289"/>
      <c r="D547" s="289"/>
      <c r="E547" s="289"/>
      <c r="F547" s="289"/>
      <c r="G547" s="289"/>
      <c r="H547" s="289"/>
      <c r="I547" s="289"/>
      <c r="J547" s="289"/>
      <c r="K547" s="289"/>
      <c r="L547" s="289"/>
      <c r="M547" s="289"/>
      <c r="N547" s="289"/>
      <c r="O547" s="289"/>
      <c r="P547" s="289"/>
      <c r="Q547" s="289"/>
      <c r="R547" s="289"/>
      <c r="S547" s="289"/>
      <c r="T547" s="289"/>
      <c r="U547" s="289"/>
      <c r="V547" s="289"/>
      <c r="W547" s="289"/>
      <c r="X547" s="289"/>
      <c r="Y547" s="289"/>
      <c r="Z547" s="289"/>
      <c r="AA547" s="289"/>
      <c r="AB547" s="289"/>
      <c r="AC547" s="289"/>
      <c r="AD547" s="289"/>
      <c r="AE547" s="289"/>
      <c r="AF547" s="289"/>
      <c r="AG547" s="289"/>
      <c r="AH547" s="289"/>
      <c r="AI547" s="289"/>
      <c r="AJ547" s="289"/>
      <c r="AK547" s="289"/>
      <c r="AL547" s="289"/>
      <c r="AM547" s="289"/>
      <c r="AN547" s="290"/>
      <c r="AO547" s="290"/>
      <c r="AP547" s="290"/>
      <c r="AQ547" s="290"/>
      <c r="AR547" s="290"/>
      <c r="AS547" s="290"/>
      <c r="AT547" s="290"/>
      <c r="AU547" s="290"/>
      <c r="AV547" s="853"/>
      <c r="AW547" s="853"/>
      <c r="AX547" s="853"/>
      <c r="AY547" s="820"/>
      <c r="AZ547" s="853"/>
      <c r="BA547" s="853"/>
      <c r="BB547" s="853"/>
      <c r="BC547" s="853"/>
      <c r="BD547" s="967"/>
      <c r="BE547" s="967"/>
      <c r="BF547" s="853"/>
      <c r="BG547" s="853"/>
      <c r="BH547" s="967"/>
      <c r="BI547" s="967"/>
      <c r="BJ547" s="853"/>
      <c r="BK547" s="853"/>
      <c r="BL547" s="967"/>
      <c r="BM547" s="967"/>
      <c r="BN547" s="853"/>
      <c r="BO547" s="853"/>
      <c r="BP547" s="967"/>
      <c r="BQ547" s="967"/>
      <c r="BR547" s="853"/>
      <c r="BS547" s="853"/>
      <c r="BT547" s="967"/>
      <c r="BU547" s="967"/>
      <c r="BV547" s="853"/>
      <c r="BW547" s="853"/>
      <c r="BX547" s="967"/>
      <c r="BY547" s="967"/>
      <c r="BZ547" s="853"/>
      <c r="CA547" s="853"/>
      <c r="CB547" s="967"/>
      <c r="CC547" s="967"/>
      <c r="CD547" s="853"/>
      <c r="CE547" s="862"/>
      <c r="CF547" s="967"/>
      <c r="CG547" s="967"/>
      <c r="CH547" s="853"/>
      <c r="CI547" s="862"/>
      <c r="CJ547" s="967"/>
      <c r="CK547" s="967"/>
      <c r="CL547" s="853"/>
      <c r="CM547" s="862"/>
      <c r="CN547" s="967"/>
      <c r="CO547" s="967"/>
      <c r="CP547" s="853"/>
      <c r="CQ547" s="862"/>
      <c r="CR547" s="967"/>
      <c r="CS547" s="967"/>
      <c r="CT547" s="853"/>
      <c r="CU547" s="853"/>
      <c r="CV547" s="967"/>
      <c r="CW547" s="967"/>
      <c r="CX547" s="853"/>
      <c r="CY547" s="853"/>
      <c r="CZ547" s="967"/>
      <c r="DA547" s="967"/>
      <c r="DB547" s="853"/>
      <c r="DC547" s="853"/>
      <c r="DD547" s="967"/>
      <c r="DE547" s="967"/>
      <c r="DF547" s="853"/>
      <c r="DG547" s="853"/>
      <c r="DH547" s="967"/>
      <c r="DI547" s="967"/>
      <c r="DJ547" s="853"/>
      <c r="DK547" s="853"/>
      <c r="DL547" s="967"/>
      <c r="DM547" s="967"/>
      <c r="DN547" s="853"/>
      <c r="DO547" s="853"/>
      <c r="DP547" s="967"/>
      <c r="DQ547" s="967"/>
      <c r="DR547" s="853"/>
      <c r="DS547" s="853"/>
      <c r="DT547" s="853"/>
      <c r="DU547" s="967"/>
      <c r="DV547" s="967"/>
      <c r="DW547" s="967"/>
      <c r="DX547" s="853"/>
      <c r="DY547" s="853"/>
      <c r="DZ547" s="967"/>
      <c r="EA547" s="967"/>
      <c r="EB547" s="853"/>
      <c r="EC547" s="853"/>
      <c r="ED547" s="967"/>
      <c r="EE547" s="967"/>
      <c r="EF547" s="853"/>
      <c r="EG547" s="853"/>
      <c r="EH547" s="853"/>
      <c r="EI547" s="853"/>
      <c r="EJ547" s="853"/>
      <c r="EK547" s="853"/>
      <c r="EL547" s="853"/>
      <c r="EM547" s="853"/>
      <c r="EN547" s="853"/>
      <c r="EO547" s="853"/>
      <c r="EP547" s="853"/>
      <c r="JM547"/>
    </row>
    <row r="548" spans="1:273" s="971" customFormat="1">
      <c r="A548" s="866" t="s">
        <v>726</v>
      </c>
      <c r="B548" s="925"/>
      <c r="C548" s="866"/>
      <c r="D548" s="866"/>
      <c r="E548" s="866"/>
      <c r="F548" s="866"/>
      <c r="G548" s="866"/>
      <c r="H548" s="866"/>
      <c r="I548" s="866"/>
      <c r="J548" s="866"/>
      <c r="K548" s="866"/>
      <c r="L548" s="866"/>
      <c r="M548" s="866"/>
      <c r="N548" s="866"/>
      <c r="O548" s="866"/>
      <c r="P548" s="866"/>
      <c r="Q548" s="866"/>
      <c r="R548" s="866"/>
      <c r="S548" s="866"/>
      <c r="T548" s="866"/>
      <c r="U548" s="866"/>
      <c r="V548" s="866"/>
      <c r="W548" s="866"/>
      <c r="X548" s="866"/>
      <c r="Y548" s="866"/>
      <c r="Z548" s="866"/>
      <c r="AA548" s="866"/>
      <c r="AB548" s="866"/>
      <c r="AC548" s="866"/>
      <c r="AD548" s="866"/>
      <c r="AE548" s="866"/>
      <c r="AF548" s="866"/>
      <c r="AG548" s="866"/>
      <c r="AH548" s="866"/>
      <c r="AI548" s="866"/>
      <c r="AJ548" s="866"/>
      <c r="AK548" s="866"/>
      <c r="AL548" s="866"/>
      <c r="AM548" s="866"/>
      <c r="AN548" s="925"/>
      <c r="AO548" s="925"/>
      <c r="AP548" s="925"/>
      <c r="AQ548" s="925"/>
      <c r="AR548" s="925"/>
      <c r="AS548" s="925"/>
      <c r="AT548" s="925"/>
      <c r="AU548" s="925"/>
      <c r="AV548" s="968"/>
      <c r="AW548" s="968"/>
      <c r="AX548" s="968"/>
      <c r="AY548" s="969"/>
      <c r="AZ548" s="968"/>
      <c r="BA548" s="968"/>
      <c r="BB548" s="968"/>
      <c r="BC548" s="968"/>
      <c r="BD548" s="970"/>
      <c r="BE548" s="970"/>
      <c r="BF548" s="968"/>
      <c r="BG548" s="968"/>
      <c r="BH548" s="970"/>
      <c r="BI548" s="970"/>
      <c r="BJ548" s="968"/>
      <c r="BK548" s="968"/>
      <c r="BL548" s="970"/>
      <c r="BM548" s="970"/>
      <c r="BN548" s="968"/>
      <c r="BO548" s="968"/>
      <c r="BP548" s="970"/>
      <c r="BQ548" s="970"/>
      <c r="BR548" s="968"/>
      <c r="BS548" s="968"/>
      <c r="BT548" s="970"/>
      <c r="BU548" s="970"/>
      <c r="BV548" s="968"/>
      <c r="BW548" s="968"/>
      <c r="BX548" s="970"/>
      <c r="BY548" s="970"/>
      <c r="BZ548" s="968"/>
      <c r="CA548" s="968"/>
      <c r="CB548" s="970"/>
      <c r="CC548" s="970"/>
      <c r="CD548" s="968"/>
      <c r="CE548" s="1617"/>
      <c r="CF548" s="970"/>
      <c r="CG548" s="970"/>
      <c r="CH548" s="968"/>
      <c r="CI548" s="1617"/>
      <c r="CJ548" s="970"/>
      <c r="CK548" s="970"/>
      <c r="CL548" s="968"/>
      <c r="CM548" s="1617"/>
      <c r="CN548" s="970"/>
      <c r="CO548" s="970"/>
      <c r="CP548" s="968"/>
      <c r="CQ548" s="1617"/>
      <c r="CR548" s="970"/>
      <c r="CS548" s="970"/>
      <c r="CT548" s="968"/>
      <c r="CU548" s="968"/>
      <c r="CV548" s="970"/>
      <c r="CW548" s="970"/>
      <c r="CX548" s="968"/>
      <c r="CY548" s="968"/>
      <c r="CZ548" s="970"/>
      <c r="DA548" s="970"/>
      <c r="DB548" s="968"/>
      <c r="DC548" s="968"/>
      <c r="DD548" s="970"/>
      <c r="DE548" s="970"/>
      <c r="DF548" s="968"/>
      <c r="DG548" s="968"/>
      <c r="DH548" s="970"/>
      <c r="DI548" s="970"/>
      <c r="DJ548" s="968"/>
      <c r="DK548" s="968"/>
      <c r="DL548" s="970"/>
      <c r="DM548" s="970"/>
      <c r="DN548" s="968"/>
      <c r="DO548" s="968"/>
      <c r="DP548" s="970"/>
      <c r="DQ548" s="970"/>
      <c r="DR548" s="968"/>
      <c r="DS548" s="968"/>
      <c r="DT548" s="968"/>
      <c r="DU548" s="970"/>
      <c r="DV548" s="970"/>
      <c r="DW548" s="970"/>
      <c r="DX548" s="968"/>
      <c r="DY548" s="968"/>
      <c r="DZ548" s="970"/>
      <c r="EA548" s="970"/>
      <c r="EB548" s="968"/>
      <c r="EC548" s="968"/>
      <c r="ED548" s="970"/>
      <c r="EE548" s="970"/>
      <c r="EF548" s="968"/>
      <c r="EG548" s="968"/>
      <c r="EH548" s="968"/>
      <c r="EI548" s="968"/>
      <c r="EJ548" s="968"/>
      <c r="EK548" s="968"/>
      <c r="EL548" s="968"/>
      <c r="EM548" s="968"/>
      <c r="EN548" s="968"/>
      <c r="EO548" s="968"/>
      <c r="EP548" s="968"/>
      <c r="FL548" s="855"/>
      <c r="FM548" s="855"/>
      <c r="FN548" s="855"/>
      <c r="FO548" s="855"/>
      <c r="FP548" s="855"/>
      <c r="FQ548" s="855"/>
      <c r="FR548" s="855"/>
      <c r="FS548" s="855"/>
      <c r="FT548" s="855"/>
      <c r="FU548" s="855"/>
      <c r="FV548" s="855"/>
      <c r="FW548" s="855"/>
      <c r="FX548" s="855"/>
      <c r="FY548" s="855"/>
      <c r="FZ548" s="855"/>
      <c r="GA548" s="855"/>
      <c r="GB548" s="855"/>
      <c r="GC548" s="855"/>
      <c r="GD548" s="855"/>
      <c r="GE548" s="855"/>
      <c r="GF548" s="855"/>
      <c r="GG548" s="855"/>
      <c r="GH548" s="855"/>
      <c r="GI548" s="855"/>
      <c r="GJ548" s="855"/>
      <c r="GK548" s="855"/>
      <c r="GL548" s="855"/>
      <c r="GM548" s="855"/>
      <c r="GN548" s="855"/>
      <c r="GO548" s="855"/>
      <c r="GP548" s="855"/>
      <c r="GQ548" s="855"/>
      <c r="GR548" s="855"/>
      <c r="GS548" s="855"/>
      <c r="GT548" s="855"/>
      <c r="GU548" s="855"/>
      <c r="GV548" s="855"/>
      <c r="GW548" s="855"/>
      <c r="GX548" s="855"/>
      <c r="GY548" s="855"/>
      <c r="GZ548" s="855"/>
      <c r="HA548" s="855"/>
      <c r="HB548" s="855"/>
      <c r="HC548" s="855"/>
      <c r="HD548" s="855"/>
      <c r="HE548" s="855"/>
      <c r="HF548" s="855"/>
      <c r="HG548" s="855"/>
      <c r="HH548" s="855"/>
      <c r="HI548" s="855"/>
      <c r="HJ548" s="855"/>
      <c r="HK548" s="855"/>
      <c r="HL548" s="855"/>
      <c r="HM548" s="855"/>
      <c r="HN548" s="855"/>
      <c r="HO548" s="855"/>
      <c r="HP548" s="855"/>
      <c r="HQ548" s="855"/>
      <c r="HR548" s="855"/>
      <c r="HS548" s="855"/>
      <c r="HT548" s="855"/>
      <c r="HU548" s="855"/>
      <c r="HV548" s="855"/>
      <c r="HW548" s="855"/>
      <c r="HX548" s="855"/>
      <c r="HY548" s="855"/>
      <c r="HZ548" s="855"/>
      <c r="IA548" s="855"/>
      <c r="IB548" s="855"/>
      <c r="IC548" s="855"/>
      <c r="ID548" s="855"/>
      <c r="IE548" s="855"/>
      <c r="IF548" s="855"/>
      <c r="IG548" s="855"/>
      <c r="IH548" s="855"/>
      <c r="II548" s="855"/>
      <c r="IJ548" s="855"/>
      <c r="IK548" s="855"/>
      <c r="IL548" s="855"/>
      <c r="IM548" s="855"/>
      <c r="IN548" s="855"/>
      <c r="IO548" s="855"/>
      <c r="IP548" s="855"/>
      <c r="IQ548" s="855"/>
      <c r="IR548" s="855"/>
      <c r="IS548" s="855"/>
      <c r="IT548" s="855"/>
      <c r="IU548" s="855"/>
      <c r="IV548" s="855"/>
      <c r="IW548" s="855"/>
      <c r="IX548" s="855"/>
      <c r="IY548" s="855"/>
      <c r="IZ548" s="855"/>
      <c r="JA548" s="855"/>
      <c r="JB548" s="855"/>
      <c r="JC548" s="855"/>
      <c r="JD548" s="855"/>
      <c r="JE548" s="855"/>
      <c r="JF548" s="855"/>
      <c r="JG548" s="855"/>
      <c r="JH548" s="855"/>
      <c r="JI548" s="855"/>
      <c r="JJ548" s="855"/>
      <c r="JK548" s="855"/>
      <c r="JL548" s="855"/>
      <c r="JM548"/>
    </row>
    <row r="549" spans="1:273" s="860" customFormat="1">
      <c r="A549" s="302" t="s">
        <v>685</v>
      </c>
      <c r="B549" s="298"/>
      <c r="C549" s="296"/>
      <c r="D549" s="296"/>
      <c r="E549" s="296"/>
      <c r="F549" s="296"/>
      <c r="G549" s="296"/>
      <c r="H549" s="296"/>
      <c r="I549" s="296"/>
      <c r="J549" s="296"/>
      <c r="K549" s="296"/>
      <c r="L549" s="296"/>
      <c r="M549" s="296"/>
      <c r="N549" s="296"/>
      <c r="O549" s="296"/>
      <c r="P549" s="296"/>
      <c r="Q549" s="296"/>
      <c r="R549" s="296"/>
      <c r="S549" s="296"/>
      <c r="T549" s="296"/>
      <c r="U549" s="296"/>
      <c r="V549" s="296"/>
      <c r="W549" s="296"/>
      <c r="X549" s="296"/>
      <c r="Y549" s="296"/>
      <c r="Z549" s="296"/>
      <c r="AA549" s="296"/>
      <c r="AB549" s="296"/>
      <c r="AC549" s="296"/>
      <c r="AD549" s="296"/>
      <c r="AE549" s="296"/>
      <c r="AF549" s="296"/>
      <c r="AG549" s="296"/>
      <c r="AH549" s="296"/>
      <c r="AI549" s="296"/>
      <c r="AJ549" s="296"/>
      <c r="AK549" s="296"/>
      <c r="AL549" s="296"/>
      <c r="AM549" s="296"/>
      <c r="AN549" s="298"/>
      <c r="AO549" s="298"/>
      <c r="AP549" s="298"/>
      <c r="AQ549" s="298"/>
      <c r="AR549" s="298"/>
      <c r="AS549" s="298"/>
      <c r="AT549" s="298"/>
      <c r="AU549" s="972">
        <f>SUM(AV549:BZ549)</f>
        <v>0</v>
      </c>
      <c r="AV549" s="973">
        <v>0</v>
      </c>
      <c r="AW549" s="973">
        <v>0</v>
      </c>
      <c r="AX549" s="980"/>
      <c r="AY549" s="633"/>
      <c r="AZ549" s="973">
        <v>0</v>
      </c>
      <c r="BA549" s="973">
        <v>0</v>
      </c>
      <c r="BB549" s="857"/>
      <c r="BC549" s="857"/>
      <c r="BD549" s="973">
        <v>0</v>
      </c>
      <c r="BE549" s="973">
        <v>0</v>
      </c>
      <c r="BF549" s="929">
        <f>BD549+BE549</f>
        <v>0</v>
      </c>
      <c r="BG549" s="974"/>
      <c r="BH549" s="973">
        <v>0</v>
      </c>
      <c r="BI549" s="973">
        <v>0</v>
      </c>
      <c r="BJ549" s="929">
        <f>BH549+BI549</f>
        <v>0</v>
      </c>
      <c r="BK549" s="974"/>
      <c r="BL549" s="973">
        <v>0</v>
      </c>
      <c r="BM549" s="973">
        <v>0</v>
      </c>
      <c r="BN549" s="929">
        <f>BL549+BM549</f>
        <v>0</v>
      </c>
      <c r="BO549" s="974"/>
      <c r="BP549" s="973">
        <v>0</v>
      </c>
      <c r="BQ549" s="973">
        <v>0</v>
      </c>
      <c r="BR549" s="929">
        <f>BP549+BQ549</f>
        <v>0</v>
      </c>
      <c r="BS549" s="974"/>
      <c r="BT549" s="973">
        <v>0</v>
      </c>
      <c r="BU549" s="973">
        <v>0</v>
      </c>
      <c r="BV549" s="929">
        <f>BT549+BU549</f>
        <v>0</v>
      </c>
      <c r="BW549" s="974"/>
      <c r="BX549" s="974"/>
      <c r="BY549" s="974"/>
      <c r="BZ549" s="974"/>
      <c r="CA549" s="974"/>
      <c r="CB549" s="974"/>
      <c r="CC549" s="974"/>
      <c r="CD549" s="974"/>
      <c r="CE549" s="932" t="s">
        <v>1183</v>
      </c>
      <c r="CF549" s="974"/>
      <c r="CG549" s="974"/>
      <c r="CH549" s="974"/>
      <c r="CI549" s="932"/>
      <c r="CJ549" s="974"/>
      <c r="CK549" s="974"/>
      <c r="CL549" s="974"/>
      <c r="CM549" s="932"/>
      <c r="CN549" s="980"/>
      <c r="CO549" s="974"/>
      <c r="CP549" s="974"/>
      <c r="CQ549" s="930"/>
      <c r="CR549" s="980"/>
      <c r="CS549" s="973"/>
      <c r="CT549" s="973"/>
      <c r="CU549" s="974"/>
      <c r="CV549" s="980"/>
      <c r="CW549" s="973"/>
      <c r="CX549" s="973"/>
      <c r="CY549" s="974"/>
      <c r="CZ549" s="980"/>
      <c r="DA549" s="973"/>
      <c r="DB549" s="973"/>
      <c r="DC549" s="974"/>
      <c r="DD549" s="980"/>
      <c r="DE549" s="973"/>
      <c r="DF549" s="973"/>
      <c r="DG549" s="974"/>
      <c r="DH549" s="980"/>
      <c r="DI549" s="973"/>
      <c r="DJ549" s="973"/>
      <c r="DK549" s="974"/>
      <c r="DL549" s="973"/>
      <c r="DM549" s="973"/>
      <c r="DN549" s="973"/>
      <c r="DO549" s="929"/>
      <c r="DP549" s="973"/>
      <c r="DQ549" s="973"/>
      <c r="DR549" s="973"/>
      <c r="DS549" s="929"/>
      <c r="DT549" s="974"/>
      <c r="DU549" s="859"/>
      <c r="DV549" s="859"/>
      <c r="DW549" s="859"/>
      <c r="DX549" s="929"/>
      <c r="DY549" s="857"/>
      <c r="DZ549" s="859"/>
      <c r="EA549" s="859"/>
      <c r="EB549" s="929"/>
      <c r="EC549" s="857"/>
      <c r="ED549" s="859"/>
      <c r="EE549" s="859"/>
      <c r="EF549" s="929"/>
      <c r="EG549" s="857"/>
      <c r="EH549" s="857"/>
      <c r="EI549" s="857"/>
      <c r="EJ549" s="857"/>
      <c r="EK549" s="857"/>
      <c r="EL549" s="857"/>
      <c r="EM549" s="857"/>
      <c r="EN549" s="857"/>
      <c r="EO549" s="857"/>
      <c r="EP549" s="857"/>
      <c r="FL549" s="855"/>
      <c r="FM549" s="855"/>
      <c r="FN549" s="855"/>
      <c r="FO549" s="855"/>
      <c r="FP549" s="855"/>
      <c r="FQ549" s="855"/>
      <c r="FR549" s="855"/>
      <c r="FS549" s="855"/>
      <c r="FT549" s="855"/>
      <c r="FU549" s="855"/>
      <c r="FV549" s="855"/>
      <c r="FW549" s="855"/>
      <c r="FX549" s="855"/>
      <c r="FY549" s="855"/>
      <c r="FZ549" s="855"/>
      <c r="GA549" s="855"/>
      <c r="GB549" s="855"/>
      <c r="GC549" s="855"/>
      <c r="GD549" s="855"/>
      <c r="GE549" s="855"/>
      <c r="GF549" s="855"/>
      <c r="GG549" s="855"/>
      <c r="GH549" s="855"/>
      <c r="GI549" s="855"/>
      <c r="GJ549" s="855"/>
      <c r="GK549" s="855"/>
      <c r="GL549" s="855"/>
      <c r="GM549" s="855"/>
      <c r="GN549" s="855"/>
      <c r="GO549" s="855"/>
      <c r="GP549" s="855"/>
      <c r="GQ549" s="855"/>
      <c r="GR549" s="855"/>
      <c r="GS549" s="855"/>
      <c r="GT549" s="855"/>
      <c r="GU549" s="855"/>
      <c r="GV549" s="855"/>
      <c r="GW549" s="855"/>
      <c r="GX549" s="855"/>
      <c r="GY549" s="855"/>
      <c r="GZ549" s="855"/>
      <c r="HA549" s="855"/>
      <c r="HB549" s="855"/>
      <c r="HC549" s="855"/>
      <c r="HD549" s="855"/>
      <c r="HE549" s="855"/>
      <c r="HF549" s="855"/>
      <c r="HG549" s="855"/>
      <c r="HH549" s="855"/>
      <c r="HI549" s="855"/>
      <c r="HJ549" s="855"/>
      <c r="HK549" s="855"/>
      <c r="HL549" s="855"/>
      <c r="HM549" s="855"/>
      <c r="HN549" s="855"/>
      <c r="HO549" s="855"/>
      <c r="HP549" s="855"/>
      <c r="HQ549" s="855"/>
      <c r="HR549" s="855"/>
      <c r="HS549" s="855"/>
      <c r="HT549" s="855"/>
      <c r="HU549" s="855"/>
      <c r="HV549" s="855"/>
      <c r="HW549" s="855"/>
      <c r="HX549" s="855"/>
      <c r="HY549" s="855"/>
      <c r="HZ549" s="855"/>
      <c r="IA549" s="855"/>
      <c r="IB549" s="855"/>
      <c r="IC549" s="855"/>
      <c r="ID549" s="855"/>
      <c r="IE549" s="855"/>
      <c r="IF549" s="855"/>
      <c r="IG549" s="855"/>
      <c r="IH549" s="855"/>
      <c r="II549" s="855"/>
      <c r="IJ549" s="855"/>
      <c r="IK549" s="855"/>
      <c r="IL549" s="855"/>
      <c r="IM549" s="855"/>
      <c r="IN549" s="855"/>
      <c r="IO549" s="855"/>
      <c r="IP549" s="855"/>
      <c r="IQ549" s="855"/>
      <c r="IR549" s="855"/>
      <c r="IS549" s="855"/>
      <c r="IT549" s="855"/>
      <c r="IU549" s="855"/>
      <c r="IV549" s="855"/>
      <c r="IW549" s="855"/>
      <c r="IX549" s="855"/>
      <c r="IY549" s="855"/>
      <c r="IZ549" s="855"/>
      <c r="JA549" s="855"/>
      <c r="JB549" s="855"/>
      <c r="JC549" s="855"/>
      <c r="JD549" s="855"/>
      <c r="JE549" s="855"/>
      <c r="JF549" s="855"/>
      <c r="JG549" s="855"/>
      <c r="JH549" s="855"/>
      <c r="JI549" s="855"/>
      <c r="JJ549" s="855"/>
      <c r="JK549" s="855"/>
      <c r="JL549" s="855"/>
      <c r="JM549"/>
    </row>
    <row r="550" spans="1:273" s="860" customFormat="1">
      <c r="A550" s="302" t="s">
        <v>686</v>
      </c>
      <c r="B550" s="298"/>
      <c r="C550" s="296"/>
      <c r="D550" s="296"/>
      <c r="E550" s="296"/>
      <c r="F550" s="296"/>
      <c r="G550" s="296"/>
      <c r="H550" s="296"/>
      <c r="I550" s="296"/>
      <c r="J550" s="296"/>
      <c r="K550" s="296"/>
      <c r="L550" s="296"/>
      <c r="M550" s="296"/>
      <c r="N550" s="296"/>
      <c r="O550" s="296"/>
      <c r="P550" s="296"/>
      <c r="Q550" s="296"/>
      <c r="R550" s="296"/>
      <c r="S550" s="296"/>
      <c r="T550" s="296"/>
      <c r="U550" s="296"/>
      <c r="V550" s="296"/>
      <c r="W550" s="296"/>
      <c r="X550" s="296"/>
      <c r="Y550" s="296"/>
      <c r="Z550" s="296"/>
      <c r="AA550" s="296"/>
      <c r="AB550" s="296"/>
      <c r="AC550" s="296"/>
      <c r="AD550" s="296"/>
      <c r="AE550" s="296"/>
      <c r="AF550" s="296"/>
      <c r="AG550" s="296"/>
      <c r="AH550" s="296"/>
      <c r="AI550" s="296"/>
      <c r="AJ550" s="296"/>
      <c r="AK550" s="296"/>
      <c r="AL550" s="296"/>
      <c r="AM550" s="296"/>
      <c r="AN550" s="298"/>
      <c r="AO550" s="298"/>
      <c r="AP550" s="929">
        <f>DIVISIONS!AP174</f>
        <v>35</v>
      </c>
      <c r="AQ550" s="298"/>
      <c r="AR550" s="298"/>
      <c r="AS550" s="298"/>
      <c r="AT550" s="929">
        <f>DIVISIONS!AT174</f>
        <v>70</v>
      </c>
      <c r="AU550" s="298"/>
      <c r="AV550" s="929">
        <f>DIVISIONS!AV174</f>
        <v>38</v>
      </c>
      <c r="AW550" s="929">
        <f>DIVISIONS!AW174</f>
        <v>28</v>
      </c>
      <c r="AX550" s="857"/>
      <c r="AY550" s="976"/>
      <c r="AZ550" s="929">
        <f>DIVISIONS!AZ174</f>
        <v>30</v>
      </c>
      <c r="BA550" s="929">
        <f>DIVISIONS!BA174</f>
        <v>13</v>
      </c>
      <c r="BB550" s="857"/>
      <c r="BC550" s="857"/>
      <c r="BD550" s="929">
        <f>DIVISIONS!BD174</f>
        <v>0</v>
      </c>
      <c r="BE550" s="929">
        <f>DIVISIONS!BE174</f>
        <v>0</v>
      </c>
      <c r="BF550" s="929">
        <f t="shared" ref="BF550:BF557" si="645">BD550+BE550</f>
        <v>0</v>
      </c>
      <c r="BG550" s="859"/>
      <c r="BH550" s="929">
        <f>DIVISIONS!BH174</f>
        <v>0</v>
      </c>
      <c r="BI550" s="929">
        <f>DIVISIONS!BI174</f>
        <v>0</v>
      </c>
      <c r="BJ550" s="929">
        <f>BH550+BI550</f>
        <v>0</v>
      </c>
      <c r="BK550" s="859"/>
      <c r="BL550" s="929">
        <f>DIVISIONS!BL174</f>
        <v>0</v>
      </c>
      <c r="BM550" s="929">
        <f>DIVISIONS!BM174</f>
        <v>0</v>
      </c>
      <c r="BN550" s="929">
        <f>BL550+BM550</f>
        <v>0</v>
      </c>
      <c r="BO550" s="859"/>
      <c r="BP550" s="929">
        <f>DIVISIONS!BP174</f>
        <v>0</v>
      </c>
      <c r="BQ550" s="929">
        <f>DIVISIONS!BQ174</f>
        <v>0</v>
      </c>
      <c r="BR550" s="929">
        <f>BP550+BQ550</f>
        <v>0</v>
      </c>
      <c r="BS550" s="859"/>
      <c r="BT550" s="929">
        <f>DIVISIONS!BT174</f>
        <v>0</v>
      </c>
      <c r="BU550" s="929">
        <f>DIVISIONS!BU174</f>
        <v>0</v>
      </c>
      <c r="BV550" s="929">
        <f>BT550+BU550</f>
        <v>0</v>
      </c>
      <c r="BW550" s="859"/>
      <c r="BX550" s="929">
        <f>DIVISIONS!BX174</f>
        <v>0</v>
      </c>
      <c r="BY550" s="929">
        <f>DIVISIONS!BY174</f>
        <v>0</v>
      </c>
      <c r="BZ550" s="929">
        <f>BX550+BY550</f>
        <v>0</v>
      </c>
      <c r="CA550" s="859"/>
      <c r="CB550" s="929">
        <f>DIVISIONS!CB174</f>
        <v>0</v>
      </c>
      <c r="CC550" s="929">
        <f>DIVISIONS!CC174</f>
        <v>0</v>
      </c>
      <c r="CD550" s="929">
        <f>CB550+CC550</f>
        <v>0</v>
      </c>
      <c r="CE550" s="1619"/>
      <c r="CF550" s="929">
        <f>DIVISIONS!CF174</f>
        <v>0</v>
      </c>
      <c r="CG550" s="929">
        <f>DIVISIONS!CG174</f>
        <v>0</v>
      </c>
      <c r="CH550" s="929">
        <f>CF550+CG550</f>
        <v>0</v>
      </c>
      <c r="CI550" s="1619"/>
      <c r="CJ550" s="929">
        <f>DIVISIONS!CJ174</f>
        <v>0</v>
      </c>
      <c r="CK550" s="929">
        <f>DIVISIONS!CK174</f>
        <v>0</v>
      </c>
      <c r="CL550" s="929">
        <f>CJ550+CK550</f>
        <v>0</v>
      </c>
      <c r="CM550" s="1619"/>
      <c r="CN550" s="929">
        <f>DIVISIONS!CN174</f>
        <v>0</v>
      </c>
      <c r="CO550" s="929">
        <f>DIVISIONS!CO174</f>
        <v>0</v>
      </c>
      <c r="CP550" s="929">
        <f>CN550+CO550</f>
        <v>0</v>
      </c>
      <c r="CQ550" s="1619"/>
      <c r="CR550" s="929">
        <f>DIVISIONS!CR174</f>
        <v>0</v>
      </c>
      <c r="CS550" s="929">
        <f>DIVISIONS!CS174</f>
        <v>0</v>
      </c>
      <c r="CT550" s="929">
        <f>CR550+CS550</f>
        <v>0</v>
      </c>
      <c r="CU550" s="859"/>
      <c r="CV550" s="929">
        <f>DIVISIONS!CV174</f>
        <v>0</v>
      </c>
      <c r="CW550" s="929">
        <f>DIVISIONS!CW174</f>
        <v>0</v>
      </c>
      <c r="CX550" s="929">
        <f>CV550+CW550</f>
        <v>0</v>
      </c>
      <c r="CY550" s="859"/>
      <c r="CZ550" s="929">
        <f>DIVISIONS!CZ174</f>
        <v>0</v>
      </c>
      <c r="DA550" s="929">
        <f>DIVISIONS!DA174</f>
        <v>0</v>
      </c>
      <c r="DB550" s="929">
        <f>CZ550+DA550</f>
        <v>0</v>
      </c>
      <c r="DC550" s="859"/>
      <c r="DD550" s="929">
        <f>DIVISIONS!DD174</f>
        <v>0</v>
      </c>
      <c r="DE550" s="929">
        <f>DIVISIONS!DE174</f>
        <v>0</v>
      </c>
      <c r="DF550" s="929">
        <f>DD550+DE550</f>
        <v>0</v>
      </c>
      <c r="DG550" s="859"/>
      <c r="DH550" s="929">
        <f>DIVISIONS!DH174</f>
        <v>0</v>
      </c>
      <c r="DI550" s="859">
        <f>DH550*1.03</f>
        <v>0</v>
      </c>
      <c r="DJ550" s="929">
        <f>DH550+DI550</f>
        <v>0</v>
      </c>
      <c r="DK550" s="859"/>
      <c r="DL550" s="859">
        <f>DI550*1.03</f>
        <v>0</v>
      </c>
      <c r="DM550" s="859">
        <f>DL550*1.03</f>
        <v>0</v>
      </c>
      <c r="DN550" s="929">
        <f>DL550+DM550</f>
        <v>0</v>
      </c>
      <c r="DO550" s="929"/>
      <c r="DP550" s="859">
        <f>DM550*1.03</f>
        <v>0</v>
      </c>
      <c r="DQ550" s="859">
        <f>DP550*1.03</f>
        <v>0</v>
      </c>
      <c r="DR550" s="929">
        <f>DP550+DQ550</f>
        <v>0</v>
      </c>
      <c r="DS550" s="929"/>
      <c r="DT550" s="859"/>
      <c r="DU550" s="859"/>
      <c r="DV550" s="859"/>
      <c r="DW550" s="859"/>
      <c r="DX550" s="929"/>
      <c r="DY550" s="857"/>
      <c r="DZ550" s="859"/>
      <c r="EA550" s="859"/>
      <c r="EB550" s="929"/>
      <c r="EC550" s="857"/>
      <c r="ED550" s="859"/>
      <c r="EE550" s="859"/>
      <c r="EF550" s="929"/>
      <c r="EG550" s="857"/>
      <c r="EH550" s="857"/>
      <c r="EI550" s="857"/>
      <c r="EJ550" s="857"/>
      <c r="EK550" s="857"/>
      <c r="EL550" s="857"/>
      <c r="EM550" s="857"/>
      <c r="EN550" s="857"/>
      <c r="EO550" s="857"/>
      <c r="EP550" s="857"/>
      <c r="FL550" s="855"/>
      <c r="FM550" s="855"/>
      <c r="FN550" s="855"/>
      <c r="FO550" s="855"/>
      <c r="FP550" s="855"/>
      <c r="FQ550" s="855"/>
      <c r="FR550" s="855"/>
      <c r="FS550" s="855"/>
      <c r="FT550" s="855"/>
      <c r="FU550" s="855"/>
      <c r="FV550" s="855"/>
      <c r="FW550" s="855"/>
      <c r="FX550" s="855"/>
      <c r="FY550" s="855"/>
      <c r="FZ550" s="855"/>
      <c r="GA550" s="855"/>
      <c r="GB550" s="855"/>
      <c r="GC550" s="855"/>
      <c r="GD550" s="855"/>
      <c r="GE550" s="855"/>
      <c r="GF550" s="855"/>
      <c r="GG550" s="855"/>
      <c r="GH550" s="855"/>
      <c r="GI550" s="855"/>
      <c r="GJ550" s="855"/>
      <c r="GK550" s="855"/>
      <c r="GL550" s="855"/>
      <c r="GM550" s="855"/>
      <c r="GN550" s="855"/>
      <c r="GO550" s="855"/>
      <c r="GP550" s="855"/>
      <c r="GQ550" s="855"/>
      <c r="GR550" s="855"/>
      <c r="GS550" s="855"/>
      <c r="GT550" s="855"/>
      <c r="GU550" s="855"/>
      <c r="GV550" s="855"/>
      <c r="GW550" s="855"/>
      <c r="GX550" s="855"/>
      <c r="GY550" s="855"/>
      <c r="GZ550" s="855"/>
      <c r="HA550" s="855"/>
      <c r="HB550" s="855"/>
      <c r="HC550" s="855"/>
      <c r="HD550" s="855"/>
      <c r="HE550" s="855"/>
      <c r="HF550" s="855"/>
      <c r="HG550" s="855"/>
      <c r="HH550" s="855"/>
      <c r="HI550" s="855"/>
      <c r="HJ550" s="855"/>
      <c r="HK550" s="855"/>
      <c r="HL550" s="855"/>
      <c r="HM550" s="855"/>
      <c r="HN550" s="855"/>
      <c r="HO550" s="855"/>
      <c r="HP550" s="855"/>
      <c r="HQ550" s="855"/>
      <c r="HR550" s="855"/>
      <c r="HS550" s="855"/>
      <c r="HT550" s="855"/>
      <c r="HU550" s="855"/>
      <c r="HV550" s="855"/>
      <c r="HW550" s="855"/>
      <c r="HX550" s="855"/>
      <c r="HY550" s="855"/>
      <c r="HZ550" s="855"/>
      <c r="IA550" s="855"/>
      <c r="IB550" s="855"/>
      <c r="IC550" s="855"/>
      <c r="ID550" s="855"/>
      <c r="IE550" s="855"/>
      <c r="IF550" s="855"/>
      <c r="IG550" s="855"/>
      <c r="IH550" s="855"/>
      <c r="II550" s="855"/>
      <c r="IJ550" s="855"/>
      <c r="IK550" s="855"/>
      <c r="IL550" s="855"/>
      <c r="IM550" s="855"/>
      <c r="IN550" s="855"/>
      <c r="IO550" s="855"/>
      <c r="IP550" s="855"/>
      <c r="IQ550" s="855"/>
      <c r="IR550" s="855"/>
      <c r="IS550" s="855"/>
      <c r="IT550" s="855"/>
      <c r="IU550" s="855"/>
      <c r="IV550" s="855"/>
      <c r="IW550" s="855"/>
      <c r="IX550" s="855"/>
      <c r="IY550" s="855"/>
      <c r="IZ550" s="855"/>
      <c r="JA550" s="855"/>
      <c r="JB550" s="855"/>
      <c r="JC550" s="855"/>
      <c r="JD550" s="855"/>
      <c r="JE550" s="855"/>
      <c r="JF550" s="855"/>
      <c r="JG550" s="855"/>
      <c r="JH550" s="855"/>
      <c r="JI550" s="855"/>
      <c r="JJ550" s="855"/>
      <c r="JK550" s="855"/>
      <c r="JL550" s="855"/>
      <c r="JM550"/>
    </row>
    <row r="551" spans="1:273" s="860" customFormat="1">
      <c r="A551" s="302" t="s">
        <v>616</v>
      </c>
      <c r="B551" s="298"/>
      <c r="C551" s="296"/>
      <c r="D551" s="296"/>
      <c r="E551" s="296"/>
      <c r="F551" s="296"/>
      <c r="G551" s="296"/>
      <c r="H551" s="296"/>
      <c r="I551" s="296"/>
      <c r="J551" s="296"/>
      <c r="K551" s="296"/>
      <c r="L551" s="296"/>
      <c r="M551" s="296"/>
      <c r="N551" s="296"/>
      <c r="O551" s="296"/>
      <c r="P551" s="296"/>
      <c r="Q551" s="296"/>
      <c r="R551" s="296"/>
      <c r="S551" s="296"/>
      <c r="T551" s="296"/>
      <c r="U551" s="296"/>
      <c r="V551" s="296"/>
      <c r="W551" s="296"/>
      <c r="X551" s="296"/>
      <c r="Y551" s="296"/>
      <c r="Z551" s="296"/>
      <c r="AA551" s="296"/>
      <c r="AB551" s="296"/>
      <c r="AC551" s="296"/>
      <c r="AD551" s="296"/>
      <c r="AE551" s="296"/>
      <c r="AF551" s="296"/>
      <c r="AG551" s="296"/>
      <c r="AH551" s="296"/>
      <c r="AI551" s="296"/>
      <c r="AJ551" s="296"/>
      <c r="AK551" s="296"/>
      <c r="AL551" s="296"/>
      <c r="AM551" s="296"/>
      <c r="AN551" s="298"/>
      <c r="AO551" s="298"/>
      <c r="AP551" s="929">
        <f>DIVISIONS!AP428</f>
        <v>0</v>
      </c>
      <c r="AQ551" s="298"/>
      <c r="AR551" s="298"/>
      <c r="AS551" s="298"/>
      <c r="AT551" s="929">
        <f>DIVISIONS!AT428</f>
        <v>0</v>
      </c>
      <c r="AU551" s="298"/>
      <c r="AV551" s="929">
        <f>DIVISIONS!AV428</f>
        <v>0</v>
      </c>
      <c r="AW551" s="929">
        <f>DIVISIONS!AW428</f>
        <v>0</v>
      </c>
      <c r="AX551" s="857"/>
      <c r="AY551" s="976"/>
      <c r="AZ551" s="929">
        <f>DIVISIONS!AZ428</f>
        <v>0</v>
      </c>
      <c r="BA551" s="929">
        <f>DIVISIONS!BA428</f>
        <v>0</v>
      </c>
      <c r="BB551" s="857"/>
      <c r="BC551" s="857"/>
      <c r="BD551" s="929">
        <f>DIVISIONS!BD428</f>
        <v>0</v>
      </c>
      <c r="BE551" s="929">
        <f>DIVISIONS!BE428</f>
        <v>0</v>
      </c>
      <c r="BF551" s="929">
        <f t="shared" si="645"/>
        <v>0</v>
      </c>
      <c r="BG551" s="859"/>
      <c r="BH551" s="929">
        <f>DIVISIONS!BH428</f>
        <v>0</v>
      </c>
      <c r="BI551" s="929">
        <f>DIVISIONS!BI428</f>
        <v>0</v>
      </c>
      <c r="BJ551" s="929">
        <f>BH551+BI551</f>
        <v>0</v>
      </c>
      <c r="BK551" s="859"/>
      <c r="BL551" s="929">
        <f>DIVISIONS!BL428</f>
        <v>0</v>
      </c>
      <c r="BM551" s="929">
        <f>DIVISIONS!BM428</f>
        <v>0</v>
      </c>
      <c r="BN551" s="929">
        <f>BL551+BM551</f>
        <v>0</v>
      </c>
      <c r="BO551" s="859"/>
      <c r="BP551" s="929">
        <f>DIVISIONS!BP428</f>
        <v>0</v>
      </c>
      <c r="BQ551" s="929">
        <f>DIVISIONS!BQ428</f>
        <v>0</v>
      </c>
      <c r="BR551" s="929">
        <f>BP551+BQ551</f>
        <v>0</v>
      </c>
      <c r="BS551" s="859"/>
      <c r="BT551" s="929">
        <f>DIVISIONS!BT428</f>
        <v>6</v>
      </c>
      <c r="BU551" s="929">
        <f>DIVISIONS!BU428</f>
        <v>6</v>
      </c>
      <c r="BV551" s="929">
        <f>BT551+BU551</f>
        <v>12</v>
      </c>
      <c r="BW551" s="859"/>
      <c r="BX551" s="929">
        <f>DIVISIONS!BX428</f>
        <v>6</v>
      </c>
      <c r="BY551" s="929">
        <f>DIVISIONS!BY428</f>
        <v>8</v>
      </c>
      <c r="BZ551" s="929">
        <f>BX551+BY551</f>
        <v>14</v>
      </c>
      <c r="CA551" s="859"/>
      <c r="CB551" s="929">
        <f>DIVISIONS!CB428</f>
        <v>2</v>
      </c>
      <c r="CC551" s="929">
        <f>DIVISIONS!CC428</f>
        <v>-2</v>
      </c>
      <c r="CD551" s="929">
        <f>CB551+CC551</f>
        <v>0</v>
      </c>
      <c r="CE551" s="1619"/>
      <c r="CF551" s="929">
        <f>DIVISIONS!CF428</f>
        <v>327</v>
      </c>
      <c r="CG551" s="929">
        <f>DIVISIONS!CG428</f>
        <v>335</v>
      </c>
      <c r="CH551" s="929">
        <f>CF551+CG551</f>
        <v>662</v>
      </c>
      <c r="CI551" s="1619"/>
      <c r="CJ551" s="929">
        <f>DIVISIONS!CJ428</f>
        <v>303</v>
      </c>
      <c r="CK551" s="929">
        <f>DIVISIONS!CK428</f>
        <v>77</v>
      </c>
      <c r="CL551" s="929">
        <f>CJ551+CK551</f>
        <v>380</v>
      </c>
      <c r="CM551" s="1619"/>
      <c r="CN551" s="929">
        <f>DIVISIONS!CN428</f>
        <v>46</v>
      </c>
      <c r="CO551" s="929">
        <f>DIVISIONS!CO428</f>
        <v>33</v>
      </c>
      <c r="CP551" s="929">
        <f>CN551+CO551</f>
        <v>79</v>
      </c>
      <c r="CQ551" s="1619"/>
      <c r="CR551" s="929">
        <f>DIVISIONS!CR428</f>
        <v>32</v>
      </c>
      <c r="CS551" s="929">
        <f>DIVISIONS!CS428</f>
        <v>31</v>
      </c>
      <c r="CT551" s="929">
        <f>CR551+CS551</f>
        <v>63</v>
      </c>
      <c r="CU551" s="859"/>
      <c r="CV551" s="929">
        <f>DIVISIONS!CV428</f>
        <v>0</v>
      </c>
      <c r="CW551" s="929">
        <f>DIVISIONS!CW428</f>
        <v>0</v>
      </c>
      <c r="CX551" s="929">
        <f>CV551+CW551</f>
        <v>0</v>
      </c>
      <c r="CY551" s="859"/>
      <c r="CZ551" s="929">
        <f>DIVISIONS!CZ428</f>
        <v>0</v>
      </c>
      <c r="DA551" s="929">
        <f>DIVISIONS!DA428</f>
        <v>0</v>
      </c>
      <c r="DB551" s="929">
        <f>CZ551+DA551</f>
        <v>0</v>
      </c>
      <c r="DC551" s="859"/>
      <c r="DD551" s="929">
        <f>DIVISIONS!DD428</f>
        <v>0</v>
      </c>
      <c r="DE551" s="929">
        <f>DIVISIONS!DE428</f>
        <v>0</v>
      </c>
      <c r="DF551" s="929">
        <f>DD551+DE551</f>
        <v>0</v>
      </c>
      <c r="DG551" s="859"/>
      <c r="DH551" s="929">
        <f>DIVISIONS!DH428</f>
        <v>0</v>
      </c>
      <c r="DI551" s="859">
        <f>DH551*1.02</f>
        <v>0</v>
      </c>
      <c r="DJ551" s="929">
        <f>DH551+DI551</f>
        <v>0</v>
      </c>
      <c r="DK551" s="859"/>
      <c r="DL551" s="859">
        <f>DI551*1.02</f>
        <v>0</v>
      </c>
      <c r="DM551" s="859">
        <f>DL551*1.02</f>
        <v>0</v>
      </c>
      <c r="DN551" s="929">
        <f>DL551+DM551</f>
        <v>0</v>
      </c>
      <c r="DO551" s="929"/>
      <c r="DP551" s="859">
        <f>DM551*1.02</f>
        <v>0</v>
      </c>
      <c r="DQ551" s="859">
        <f>DP551*1.02</f>
        <v>0</v>
      </c>
      <c r="DR551" s="929">
        <f>DP551+DQ551</f>
        <v>0</v>
      </c>
      <c r="DS551" s="929"/>
      <c r="DT551" s="859"/>
      <c r="DU551" s="859"/>
      <c r="DV551" s="859"/>
      <c r="DW551" s="859"/>
      <c r="DX551" s="929"/>
      <c r="DY551" s="857"/>
      <c r="DZ551" s="859"/>
      <c r="EA551" s="859"/>
      <c r="EB551" s="929"/>
      <c r="EC551" s="857"/>
      <c r="ED551" s="859"/>
      <c r="EE551" s="859"/>
      <c r="EF551" s="929"/>
      <c r="EG551" s="857"/>
      <c r="EH551" s="857"/>
      <c r="EI551" s="857"/>
      <c r="EJ551" s="857"/>
      <c r="EK551" s="857"/>
      <c r="EL551" s="857"/>
      <c r="EM551" s="857"/>
      <c r="EN551" s="857"/>
      <c r="EO551" s="857"/>
      <c r="EP551" s="857"/>
      <c r="FL551" s="855"/>
      <c r="FM551" s="855"/>
      <c r="FN551" s="855"/>
      <c r="FO551" s="855"/>
      <c r="FP551" s="855"/>
      <c r="FQ551" s="855"/>
      <c r="FR551" s="855"/>
      <c r="FS551" s="855"/>
      <c r="FT551" s="855"/>
      <c r="FU551" s="855"/>
      <c r="FV551" s="855"/>
      <c r="FW551" s="855"/>
      <c r="FX551" s="855"/>
      <c r="FY551" s="855"/>
      <c r="FZ551" s="855"/>
      <c r="GA551" s="855"/>
      <c r="GB551" s="855"/>
      <c r="GC551" s="855"/>
      <c r="GD551" s="855"/>
      <c r="GE551" s="855"/>
      <c r="GF551" s="855"/>
      <c r="GG551" s="855"/>
      <c r="GH551" s="855"/>
      <c r="GI551" s="855"/>
      <c r="GJ551" s="855"/>
      <c r="GK551" s="855"/>
      <c r="GL551" s="855"/>
      <c r="GM551" s="855"/>
      <c r="GN551" s="855"/>
      <c r="GO551" s="855"/>
      <c r="GP551" s="855"/>
      <c r="GQ551" s="855"/>
      <c r="GR551" s="855"/>
      <c r="GS551" s="855"/>
      <c r="GT551" s="855"/>
      <c r="GU551" s="855"/>
      <c r="GV551" s="855"/>
      <c r="GW551" s="855"/>
      <c r="GX551" s="855"/>
      <c r="GY551" s="855"/>
      <c r="GZ551" s="855"/>
      <c r="HA551" s="855"/>
      <c r="HB551" s="855"/>
      <c r="HC551" s="855"/>
      <c r="HD551" s="855"/>
      <c r="HE551" s="855"/>
      <c r="HF551" s="855"/>
      <c r="HG551" s="855"/>
      <c r="HH551" s="855"/>
      <c r="HI551" s="855"/>
      <c r="HJ551" s="855"/>
      <c r="HK551" s="855"/>
      <c r="HL551" s="855"/>
      <c r="HM551" s="855"/>
      <c r="HN551" s="855"/>
      <c r="HO551" s="855"/>
      <c r="HP551" s="855"/>
      <c r="HQ551" s="855"/>
      <c r="HR551" s="855"/>
      <c r="HS551" s="855"/>
      <c r="HT551" s="855"/>
      <c r="HU551" s="855"/>
      <c r="HV551" s="855"/>
      <c r="HW551" s="855"/>
      <c r="HX551" s="855"/>
      <c r="HY551" s="855"/>
      <c r="HZ551" s="855"/>
      <c r="IA551" s="855"/>
      <c r="IB551" s="855"/>
      <c r="IC551" s="855"/>
      <c r="ID551" s="855"/>
      <c r="IE551" s="855"/>
      <c r="IF551" s="855"/>
      <c r="IG551" s="855"/>
      <c r="IH551" s="855"/>
      <c r="II551" s="855"/>
      <c r="IJ551" s="855"/>
      <c r="IK551" s="855"/>
      <c r="IL551" s="855"/>
      <c r="IM551" s="855"/>
      <c r="IN551" s="855"/>
      <c r="IO551" s="855"/>
      <c r="IP551" s="855"/>
      <c r="IQ551" s="855"/>
      <c r="IR551" s="855"/>
      <c r="IS551" s="855"/>
      <c r="IT551" s="855"/>
      <c r="IU551" s="855"/>
      <c r="IV551" s="855"/>
      <c r="IW551" s="855"/>
      <c r="IX551" s="855"/>
      <c r="IY551" s="855"/>
      <c r="IZ551" s="855"/>
      <c r="JA551" s="855"/>
      <c r="JB551" s="855"/>
      <c r="JC551" s="855"/>
      <c r="JD551" s="855"/>
      <c r="JE551" s="855"/>
      <c r="JF551" s="855"/>
      <c r="JG551" s="855"/>
      <c r="JH551" s="855"/>
      <c r="JI551" s="855"/>
      <c r="JJ551" s="855"/>
      <c r="JK551" s="855"/>
      <c r="JL551" s="855"/>
      <c r="JM551"/>
    </row>
    <row r="552" spans="1:273" s="860" customFormat="1">
      <c r="A552" s="302" t="s">
        <v>1024</v>
      </c>
      <c r="B552" s="298"/>
      <c r="C552" s="296"/>
      <c r="D552" s="296"/>
      <c r="E552" s="296"/>
      <c r="F552" s="296"/>
      <c r="G552" s="296"/>
      <c r="H552" s="296"/>
      <c r="I552" s="296"/>
      <c r="J552" s="296"/>
      <c r="K552" s="296"/>
      <c r="L552" s="296"/>
      <c r="M552" s="296"/>
      <c r="N552" s="296"/>
      <c r="O552" s="296"/>
      <c r="P552" s="296"/>
      <c r="Q552" s="296"/>
      <c r="R552" s="296"/>
      <c r="S552" s="296"/>
      <c r="T552" s="296"/>
      <c r="U552" s="296"/>
      <c r="V552" s="296"/>
      <c r="W552" s="296"/>
      <c r="X552" s="296"/>
      <c r="Y552" s="296"/>
      <c r="Z552" s="296"/>
      <c r="AA552" s="296"/>
      <c r="AB552" s="296"/>
      <c r="AC552" s="296"/>
      <c r="AD552" s="296"/>
      <c r="AE552" s="296"/>
      <c r="AF552" s="296"/>
      <c r="AG552" s="296"/>
      <c r="AH552" s="296"/>
      <c r="AI552" s="296"/>
      <c r="AJ552" s="296"/>
      <c r="AK552" s="296"/>
      <c r="AL552" s="296"/>
      <c r="AM552" s="296"/>
      <c r="AN552" s="298"/>
      <c r="AO552" s="298"/>
      <c r="AP552" s="929">
        <f>DIVISIONS!AP313</f>
        <v>0</v>
      </c>
      <c r="AQ552" s="298"/>
      <c r="AR552" s="298"/>
      <c r="AS552" s="298"/>
      <c r="AT552" s="929">
        <f>DIVISIONS!AT313</f>
        <v>0</v>
      </c>
      <c r="AU552" s="298"/>
      <c r="AV552" s="929">
        <f>DIVISIONS!AV313</f>
        <v>0</v>
      </c>
      <c r="AW552" s="929">
        <f>DIVISIONS!AW313</f>
        <v>0</v>
      </c>
      <c r="AX552" s="857"/>
      <c r="AY552" s="976"/>
      <c r="AZ552" s="929">
        <f>DIVISIONS!AZ313</f>
        <v>0</v>
      </c>
      <c r="BA552" s="929">
        <f>DIVISIONS!BA313</f>
        <v>0</v>
      </c>
      <c r="BB552" s="857"/>
      <c r="BC552" s="857"/>
      <c r="BD552" s="929">
        <f>DIVISIONS!BD313</f>
        <v>0</v>
      </c>
      <c r="BE552" s="929">
        <f>DIVISIONS!BE313</f>
        <v>0</v>
      </c>
      <c r="BF552" s="929">
        <f t="shared" si="645"/>
        <v>0</v>
      </c>
      <c r="BG552" s="859"/>
      <c r="BH552" s="929">
        <f>DIVISIONS!BH313</f>
        <v>0</v>
      </c>
      <c r="BI552" s="929">
        <f>DIVISIONS!BI313</f>
        <v>0</v>
      </c>
      <c r="BJ552" s="929">
        <f>BH552+BI552</f>
        <v>0</v>
      </c>
      <c r="BK552" s="859"/>
      <c r="BL552" s="929">
        <f>DIVISIONS!BL313</f>
        <v>0</v>
      </c>
      <c r="BM552" s="929">
        <f>DIVISIONS!BM313</f>
        <v>0</v>
      </c>
      <c r="BN552" s="929">
        <f>BL552+BM552</f>
        <v>0</v>
      </c>
      <c r="BO552" s="859"/>
      <c r="BP552" s="929">
        <f>DIVISIONS!BP313</f>
        <v>0</v>
      </c>
      <c r="BQ552" s="929">
        <f>DIVISIONS!BQ313</f>
        <v>0</v>
      </c>
      <c r="BR552" s="929">
        <f>BP552+BQ552</f>
        <v>0</v>
      </c>
      <c r="BS552" s="859"/>
      <c r="BT552" s="929">
        <f>DIVISIONS!BT313</f>
        <v>0</v>
      </c>
      <c r="BU552" s="929">
        <f>DIVISIONS!BU313</f>
        <v>0</v>
      </c>
      <c r="BV552" s="929">
        <f>BT552+BU552</f>
        <v>0</v>
      </c>
      <c r="BW552" s="859"/>
      <c r="BX552" s="929">
        <f>DIVISIONS!BX313</f>
        <v>0</v>
      </c>
      <c r="BY552" s="929">
        <f>DIVISIONS!BY313</f>
        <v>0</v>
      </c>
      <c r="BZ552" s="929">
        <f>BX552+BY552</f>
        <v>0</v>
      </c>
      <c r="CA552" s="859"/>
      <c r="CB552" s="929">
        <f>DIVISIONS!CB313</f>
        <v>0</v>
      </c>
      <c r="CC552" s="929">
        <f>DIVISIONS!CC313</f>
        <v>0</v>
      </c>
      <c r="CD552" s="929">
        <f>CB552+CC552</f>
        <v>0</v>
      </c>
      <c r="CE552" s="1619"/>
      <c r="CF552" s="929">
        <f>DIVISIONS!CF313</f>
        <v>132</v>
      </c>
      <c r="CG552" s="929">
        <f>DIVISIONS!CG313</f>
        <v>153</v>
      </c>
      <c r="CH552" s="929">
        <f>CF552+CG552</f>
        <v>285</v>
      </c>
      <c r="CI552" s="1619"/>
      <c r="CJ552" s="929">
        <f>DIVISIONS!CJ313</f>
        <v>157</v>
      </c>
      <c r="CK552" s="929">
        <f>DIVISIONS!CK313</f>
        <v>203</v>
      </c>
      <c r="CL552" s="929">
        <f>CJ552+CK552</f>
        <v>360</v>
      </c>
      <c r="CM552" s="1619"/>
      <c r="CN552" s="929">
        <f>DIVISIONS!CN313</f>
        <v>198</v>
      </c>
      <c r="CO552" s="929">
        <f>DIVISIONS!CO313</f>
        <v>185</v>
      </c>
      <c r="CP552" s="929">
        <f>CN552+CO552</f>
        <v>383</v>
      </c>
      <c r="CQ552" s="1619"/>
      <c r="CR552" s="929">
        <f>DIVISIONS!CR313</f>
        <v>152</v>
      </c>
      <c r="CS552" s="929">
        <f>DIVISIONS!CS313</f>
        <v>183</v>
      </c>
      <c r="CT552" s="929">
        <f>CR552+CS552</f>
        <v>335</v>
      </c>
      <c r="CU552" s="859"/>
      <c r="CV552" s="929">
        <f>DIVISIONS!CV313</f>
        <v>174</v>
      </c>
      <c r="CW552" s="929">
        <f>DIVISIONS!CW313</f>
        <v>203</v>
      </c>
      <c r="CX552" s="929">
        <f>CV552+CW552</f>
        <v>377</v>
      </c>
      <c r="CY552" s="859"/>
      <c r="CZ552" s="929">
        <f>DIVISIONS!CZ313</f>
        <v>213</v>
      </c>
      <c r="DA552" s="929">
        <f>DIVISIONS!DA313</f>
        <v>218</v>
      </c>
      <c r="DB552" s="929">
        <f>CZ552+DA552</f>
        <v>431</v>
      </c>
      <c r="DC552" s="859"/>
      <c r="DD552" s="929">
        <f>DIVISIONS!DD313</f>
        <v>211</v>
      </c>
      <c r="DE552" s="929">
        <f>DIVISIONS!DE313</f>
        <v>207</v>
      </c>
      <c r="DF552" s="929">
        <f>DD552+DE552</f>
        <v>418</v>
      </c>
      <c r="DG552" s="859"/>
      <c r="DH552" s="929">
        <f>DIVISIONS!DH313</f>
        <v>216</v>
      </c>
      <c r="DI552" s="929">
        <f>DIVISIONS!DI313</f>
        <v>240.11999999999998</v>
      </c>
      <c r="DJ552" s="929">
        <f>DH552+DI552</f>
        <v>456.12</v>
      </c>
      <c r="DK552" s="859"/>
      <c r="DL552" s="929">
        <f>DIVISIONS!DL313</f>
        <v>252.71999999999997</v>
      </c>
      <c r="DM552" s="929">
        <f>DIVISIONS!DM313</f>
        <v>268.93439999999998</v>
      </c>
      <c r="DN552" s="929">
        <f>DL552+DM552</f>
        <v>521.6543999999999</v>
      </c>
      <c r="DO552" s="929"/>
      <c r="DP552" s="929">
        <f>DIVISIONS!DP313</f>
        <v>283.04640000000001</v>
      </c>
      <c r="DQ552" s="929">
        <f>DIVISIONS!DQ313</f>
        <v>301.20652799999999</v>
      </c>
      <c r="DR552" s="929">
        <f>DP552+DQ552</f>
        <v>584.252928</v>
      </c>
      <c r="DS552" s="929"/>
      <c r="DT552" s="859"/>
      <c r="DU552" s="859"/>
      <c r="DV552" s="859"/>
      <c r="DW552" s="859"/>
      <c r="DX552" s="929"/>
      <c r="DY552" s="857"/>
      <c r="DZ552" s="859"/>
      <c r="EA552" s="859"/>
      <c r="EB552" s="929"/>
      <c r="EC552" s="857"/>
      <c r="ED552" s="859"/>
      <c r="EE552" s="859"/>
      <c r="EF552" s="929"/>
      <c r="EG552" s="857"/>
      <c r="EH552" s="857"/>
      <c r="EI552" s="857"/>
      <c r="EJ552" s="857"/>
      <c r="EK552" s="857"/>
      <c r="EL552" s="857"/>
      <c r="EM552" s="857"/>
      <c r="EN552" s="857"/>
      <c r="EO552" s="857"/>
      <c r="EP552" s="857"/>
      <c r="FL552" s="855"/>
      <c r="FM552" s="855"/>
      <c r="FN552" s="855"/>
      <c r="FO552" s="855"/>
      <c r="FP552" s="855"/>
      <c r="FQ552" s="855"/>
      <c r="FR552" s="855"/>
      <c r="FS552" s="855"/>
      <c r="FT552" s="855"/>
      <c r="FU552" s="855"/>
      <c r="FV552" s="855"/>
      <c r="FW552" s="855"/>
      <c r="FX552" s="855"/>
      <c r="FY552" s="855"/>
      <c r="FZ552" s="855"/>
      <c r="GA552" s="855"/>
      <c r="GB552" s="855"/>
      <c r="GC552" s="855"/>
      <c r="GD552" s="855"/>
      <c r="GE552" s="855"/>
      <c r="GF552" s="855"/>
      <c r="GG552" s="855"/>
      <c r="GH552" s="855"/>
      <c r="GI552" s="855"/>
      <c r="GJ552" s="855"/>
      <c r="GK552" s="855"/>
      <c r="GL552" s="855"/>
      <c r="GM552" s="855"/>
      <c r="GN552" s="855"/>
      <c r="GO552" s="855"/>
      <c r="GP552" s="855"/>
      <c r="GQ552" s="855"/>
      <c r="GR552" s="855"/>
      <c r="GS552" s="855"/>
      <c r="GT552" s="855"/>
      <c r="GU552" s="855"/>
      <c r="GV552" s="855"/>
      <c r="GW552" s="855"/>
      <c r="GX552" s="855"/>
      <c r="GY552" s="855"/>
      <c r="GZ552" s="855"/>
      <c r="HA552" s="855"/>
      <c r="HB552" s="855"/>
      <c r="HC552" s="855"/>
      <c r="HD552" s="855"/>
      <c r="HE552" s="855"/>
      <c r="HF552" s="855"/>
      <c r="HG552" s="855"/>
      <c r="HH552" s="855"/>
      <c r="HI552" s="855"/>
      <c r="HJ552" s="855"/>
      <c r="HK552" s="855"/>
      <c r="HL552" s="855"/>
      <c r="HM552" s="855"/>
      <c r="HN552" s="855"/>
      <c r="HO552" s="855"/>
      <c r="HP552" s="855"/>
      <c r="HQ552" s="855"/>
      <c r="HR552" s="855"/>
      <c r="HS552" s="855"/>
      <c r="HT552" s="855"/>
      <c r="HU552" s="855"/>
      <c r="HV552" s="855"/>
      <c r="HW552" s="855"/>
      <c r="HX552" s="855"/>
      <c r="HY552" s="855"/>
      <c r="HZ552" s="855"/>
      <c r="IA552" s="855"/>
      <c r="IB552" s="855"/>
      <c r="IC552" s="855"/>
      <c r="ID552" s="855"/>
      <c r="IE552" s="855"/>
      <c r="IF552" s="855"/>
      <c r="IG552" s="855"/>
      <c r="IH552" s="855"/>
      <c r="II552" s="855"/>
      <c r="IJ552" s="855"/>
      <c r="IK552" s="855"/>
      <c r="IL552" s="855"/>
      <c r="IM552" s="855"/>
      <c r="IN552" s="855"/>
      <c r="IO552" s="855"/>
      <c r="IP552" s="855"/>
      <c r="IQ552" s="855"/>
      <c r="IR552" s="855"/>
      <c r="IS552" s="855"/>
      <c r="IT552" s="855"/>
      <c r="IU552" s="855"/>
      <c r="IV552" s="855"/>
      <c r="IW552" s="855"/>
      <c r="IX552" s="855"/>
      <c r="IY552" s="855"/>
      <c r="IZ552" s="855"/>
      <c r="JA552" s="855"/>
      <c r="JB552" s="855"/>
      <c r="JC552" s="855"/>
      <c r="JD552" s="855"/>
      <c r="JE552" s="855"/>
      <c r="JF552" s="855"/>
      <c r="JG552" s="855"/>
      <c r="JH552" s="855"/>
      <c r="JI552" s="855"/>
      <c r="JJ552" s="855"/>
      <c r="JK552" s="855"/>
      <c r="JL552" s="855"/>
      <c r="JM552"/>
    </row>
    <row r="553" spans="1:273" s="860" customFormat="1">
      <c r="A553" s="302" t="s">
        <v>690</v>
      </c>
      <c r="B553" s="298"/>
      <c r="C553" s="296"/>
      <c r="D553" s="296"/>
      <c r="E553" s="296"/>
      <c r="F553" s="296"/>
      <c r="G553" s="296"/>
      <c r="H553" s="296"/>
      <c r="I553" s="296"/>
      <c r="J553" s="296"/>
      <c r="K553" s="296"/>
      <c r="L553" s="296"/>
      <c r="M553" s="296"/>
      <c r="N553" s="296"/>
      <c r="O553" s="296"/>
      <c r="P553" s="296"/>
      <c r="Q553" s="296"/>
      <c r="R553" s="296"/>
      <c r="S553" s="296"/>
      <c r="T553" s="296"/>
      <c r="U553" s="296"/>
      <c r="V553" s="296"/>
      <c r="W553" s="296"/>
      <c r="X553" s="296"/>
      <c r="Y553" s="296"/>
      <c r="Z553" s="296"/>
      <c r="AA553" s="296"/>
      <c r="AB553" s="296"/>
      <c r="AC553" s="296"/>
      <c r="AD553" s="296"/>
      <c r="AE553" s="296"/>
      <c r="AF553" s="296"/>
      <c r="AG553" s="296"/>
      <c r="AH553" s="296"/>
      <c r="AI553" s="296"/>
      <c r="AJ553" s="296"/>
      <c r="AK553" s="296"/>
      <c r="AL553" s="296"/>
      <c r="AM553" s="296"/>
      <c r="AN553" s="298"/>
      <c r="AO553" s="298"/>
      <c r="AP553" s="929">
        <f>DIVISIONS!AP516</f>
        <v>67</v>
      </c>
      <c r="AQ553" s="298"/>
      <c r="AR553" s="298"/>
      <c r="AS553" s="298"/>
      <c r="AT553" s="929">
        <f>DIVISIONS!AT516</f>
        <v>114</v>
      </c>
      <c r="AU553" s="298"/>
      <c r="AV553" s="929">
        <f>DIVISIONS!AV516</f>
        <v>33</v>
      </c>
      <c r="AW553" s="929">
        <f>DIVISIONS!AW516</f>
        <v>35</v>
      </c>
      <c r="AX553" s="929">
        <f>AV553+AW553</f>
        <v>68</v>
      </c>
      <c r="AY553" s="976"/>
      <c r="AZ553" s="929">
        <f>DIVISIONS!AZ516</f>
        <v>41</v>
      </c>
      <c r="BA553" s="929">
        <f>DIVISIONS!BA516</f>
        <v>159</v>
      </c>
      <c r="BB553" s="929">
        <f>AZ553+BA553</f>
        <v>200</v>
      </c>
      <c r="BC553" s="857"/>
      <c r="BD553" s="929">
        <f>DIVISIONS!BD516</f>
        <v>183</v>
      </c>
      <c r="BE553" s="929">
        <f>DIVISIONS!BE516</f>
        <v>198</v>
      </c>
      <c r="BF553" s="929">
        <f t="shared" si="645"/>
        <v>381</v>
      </c>
      <c r="BG553" s="859"/>
      <c r="BH553" s="929">
        <f>DIVISIONS!BH516</f>
        <v>203</v>
      </c>
      <c r="BI553" s="929">
        <f>DIVISIONS!BI516</f>
        <v>212</v>
      </c>
      <c r="BJ553" s="929">
        <f>BH553+BI553</f>
        <v>415</v>
      </c>
      <c r="BK553" s="859"/>
      <c r="BL553" s="929">
        <f>DIVISIONS!BL516</f>
        <v>255</v>
      </c>
      <c r="BM553" s="929">
        <f>DIVISIONS!BM516</f>
        <v>265</v>
      </c>
      <c r="BN553" s="929">
        <f>BL553+BM553</f>
        <v>520</v>
      </c>
      <c r="BO553" s="859"/>
      <c r="BP553" s="929">
        <f>DIVISIONS!BP516</f>
        <v>265</v>
      </c>
      <c r="BQ553" s="929">
        <f>DIVISIONS!BQ516</f>
        <v>296</v>
      </c>
      <c r="BR553" s="929">
        <f>BP553+BQ553</f>
        <v>561</v>
      </c>
      <c r="BS553" s="859"/>
      <c r="BT553" s="929">
        <f>DIVISIONS!BT516</f>
        <v>379</v>
      </c>
      <c r="BU553" s="929">
        <f>DIVISIONS!BU516</f>
        <v>486</v>
      </c>
      <c r="BV553" s="929">
        <f>BT553+BU553</f>
        <v>865</v>
      </c>
      <c r="BW553" s="859"/>
      <c r="BX553" s="929">
        <f>DIVISIONS!BX516</f>
        <v>467</v>
      </c>
      <c r="BY553" s="929">
        <f>DIVISIONS!BY516</f>
        <v>437</v>
      </c>
      <c r="BZ553" s="929">
        <f>BX553+BY553</f>
        <v>904</v>
      </c>
      <c r="CA553" s="859"/>
      <c r="CB553" s="929">
        <f>DIVISIONS!CB516</f>
        <v>466</v>
      </c>
      <c r="CC553" s="929">
        <f>DIVISIONS!CC516</f>
        <v>466</v>
      </c>
      <c r="CD553" s="929">
        <f>CB553+CC553</f>
        <v>932</v>
      </c>
      <c r="CE553" s="1619"/>
      <c r="CF553" s="929">
        <f>DIVISIONS!CF314</f>
        <v>0</v>
      </c>
      <c r="CG553" s="929">
        <f>DIVISIONS!CG314</f>
        <v>0</v>
      </c>
      <c r="CH553" s="929">
        <f>CF553+CG553</f>
        <v>0</v>
      </c>
      <c r="CI553" s="1619"/>
      <c r="CJ553" s="929">
        <f>DIVISIONS!CJ314</f>
        <v>0</v>
      </c>
      <c r="CK553" s="929">
        <f>DIVISIONS!CK314</f>
        <v>0</v>
      </c>
      <c r="CL553" s="929">
        <f>CJ553+CK553</f>
        <v>0</v>
      </c>
      <c r="CM553" s="1619"/>
      <c r="CN553" s="929">
        <f>DIVISIONS!CN314</f>
        <v>0</v>
      </c>
      <c r="CO553" s="929">
        <f>DIVISIONS!CO314</f>
        <v>0</v>
      </c>
      <c r="CP553" s="929">
        <f>CN553+CO553</f>
        <v>0</v>
      </c>
      <c r="CQ553" s="1619"/>
      <c r="CR553" s="929">
        <f>DIVISIONS!CR314</f>
        <v>0</v>
      </c>
      <c r="CS553" s="929">
        <f>DIVISIONS!CS314</f>
        <v>0</v>
      </c>
      <c r="CT553" s="929">
        <f>CR553+CS553</f>
        <v>0</v>
      </c>
      <c r="CU553" s="859"/>
      <c r="CV553" s="929">
        <f>DIVISIONS!CV314</f>
        <v>0</v>
      </c>
      <c r="CW553" s="929">
        <f>DIVISIONS!CW314</f>
        <v>0</v>
      </c>
      <c r="CX553" s="929">
        <f>CV553+CW553</f>
        <v>0</v>
      </c>
      <c r="CY553" s="859"/>
      <c r="CZ553" s="929">
        <f>DIVISIONS!CZ314</f>
        <v>0</v>
      </c>
      <c r="DA553" s="929">
        <f>DIVISIONS!DA314</f>
        <v>0</v>
      </c>
      <c r="DB553" s="929">
        <f>CZ553+DA553</f>
        <v>0</v>
      </c>
      <c r="DC553" s="859"/>
      <c r="DD553" s="929">
        <f>DIVISIONS!DD314</f>
        <v>0</v>
      </c>
      <c r="DE553" s="929">
        <f>DIVISIONS!DE314</f>
        <v>0</v>
      </c>
      <c r="DF553" s="929">
        <f>DD553+DE553</f>
        <v>0</v>
      </c>
      <c r="DG553" s="859"/>
      <c r="DH553" s="929">
        <f>DIVISIONS!DH314</f>
        <v>0</v>
      </c>
      <c r="DI553" s="859"/>
      <c r="DJ553" s="929"/>
      <c r="DK553" s="859"/>
      <c r="DL553" s="859"/>
      <c r="DM553" s="859"/>
      <c r="DN553" s="929"/>
      <c r="DO553" s="929"/>
      <c r="DP553" s="859"/>
      <c r="DQ553" s="859"/>
      <c r="DR553" s="929"/>
      <c r="DS553" s="929"/>
      <c r="DT553" s="859"/>
      <c r="DU553" s="859"/>
      <c r="DV553" s="859"/>
      <c r="DW553" s="859"/>
      <c r="DX553" s="929"/>
      <c r="DY553" s="857"/>
      <c r="DZ553" s="859"/>
      <c r="EA553" s="859"/>
      <c r="EB553" s="929"/>
      <c r="EC553" s="857"/>
      <c r="ED553" s="859"/>
      <c r="EE553" s="859"/>
      <c r="EF553" s="929"/>
      <c r="EG553" s="857"/>
      <c r="EH553" s="857"/>
      <c r="EI553" s="857"/>
      <c r="EJ553" s="857"/>
      <c r="EK553" s="857"/>
      <c r="EL553" s="857"/>
      <c r="EM553" s="857"/>
      <c r="EN553" s="857"/>
      <c r="EO553" s="857"/>
      <c r="EP553" s="857"/>
      <c r="FL553" s="855"/>
      <c r="FM553" s="855"/>
      <c r="FN553" s="855"/>
      <c r="FO553" s="855"/>
      <c r="FP553" s="855"/>
      <c r="FQ553" s="855"/>
      <c r="FR553" s="855"/>
      <c r="FS553" s="855"/>
      <c r="FT553" s="855"/>
      <c r="FU553" s="855"/>
      <c r="FV553" s="855"/>
      <c r="FW553" s="855"/>
      <c r="FX553" s="855"/>
      <c r="FY553" s="855"/>
      <c r="FZ553" s="855"/>
      <c r="GA553" s="855"/>
      <c r="GB553" s="855"/>
      <c r="GC553" s="855"/>
      <c r="GD553" s="855"/>
      <c r="GE553" s="855"/>
      <c r="GF553" s="855"/>
      <c r="GG553" s="855"/>
      <c r="GH553" s="855"/>
      <c r="GI553" s="855"/>
      <c r="GJ553" s="855"/>
      <c r="GK553" s="855"/>
      <c r="GL553" s="855"/>
      <c r="GM553" s="855"/>
      <c r="GN553" s="855"/>
      <c r="GO553" s="855"/>
      <c r="GP553" s="855"/>
      <c r="GQ553" s="855"/>
      <c r="GR553" s="855"/>
      <c r="GS553" s="855"/>
      <c r="GT553" s="855"/>
      <c r="GU553" s="855"/>
      <c r="GV553" s="855"/>
      <c r="GW553" s="855"/>
      <c r="GX553" s="855"/>
      <c r="GY553" s="855"/>
      <c r="GZ553" s="855"/>
      <c r="HA553" s="855"/>
      <c r="HB553" s="855"/>
      <c r="HC553" s="855"/>
      <c r="HD553" s="855"/>
      <c r="HE553" s="855"/>
      <c r="HF553" s="855"/>
      <c r="HG553" s="855"/>
      <c r="HH553" s="855"/>
      <c r="HI553" s="855"/>
      <c r="HJ553" s="855"/>
      <c r="HK553" s="855"/>
      <c r="HL553" s="855"/>
      <c r="HM553" s="855"/>
      <c r="HN553" s="855"/>
      <c r="HO553" s="855"/>
      <c r="HP553" s="855"/>
      <c r="HQ553" s="855"/>
      <c r="HR553" s="855"/>
      <c r="HS553" s="855"/>
      <c r="HT553" s="855"/>
      <c r="HU553" s="855"/>
      <c r="HV553" s="855"/>
      <c r="HW553" s="855"/>
      <c r="HX553" s="855"/>
      <c r="HY553" s="855"/>
      <c r="HZ553" s="855"/>
      <c r="IA553" s="855"/>
      <c r="IB553" s="855"/>
      <c r="IC553" s="855"/>
      <c r="ID553" s="855"/>
      <c r="IE553" s="855"/>
      <c r="IF553" s="855"/>
      <c r="IG553" s="855"/>
      <c r="IH553" s="855"/>
      <c r="II553" s="855"/>
      <c r="IJ553" s="855"/>
      <c r="IK553" s="855"/>
      <c r="IL553" s="855"/>
      <c r="IM553" s="855"/>
      <c r="IN553" s="855"/>
      <c r="IO553" s="855"/>
      <c r="IP553" s="855"/>
      <c r="IQ553" s="855"/>
      <c r="IR553" s="855"/>
      <c r="IS553" s="855"/>
      <c r="IT553" s="855"/>
      <c r="IU553" s="855"/>
      <c r="IV553" s="855"/>
      <c r="IW553" s="855"/>
      <c r="IX553" s="855"/>
      <c r="IY553" s="855"/>
      <c r="IZ553" s="855"/>
      <c r="JA553" s="855"/>
      <c r="JB553" s="855"/>
      <c r="JC553" s="855"/>
      <c r="JD553" s="855"/>
      <c r="JE553" s="855"/>
      <c r="JF553" s="855"/>
      <c r="JG553" s="855"/>
      <c r="JH553" s="855"/>
      <c r="JI553" s="855"/>
      <c r="JJ553" s="855"/>
      <c r="JK553" s="855"/>
      <c r="JL553" s="855"/>
      <c r="JM553"/>
    </row>
    <row r="554" spans="1:273" s="860" customFormat="1">
      <c r="A554" s="302" t="s">
        <v>689</v>
      </c>
      <c r="B554" s="298"/>
      <c r="C554" s="296"/>
      <c r="D554" s="296"/>
      <c r="E554" s="296"/>
      <c r="F554" s="296"/>
      <c r="G554" s="296"/>
      <c r="H554" s="296"/>
      <c r="I554" s="296"/>
      <c r="J554" s="296"/>
      <c r="K554" s="296"/>
      <c r="L554" s="296"/>
      <c r="M554" s="296"/>
      <c r="N554" s="296"/>
      <c r="O554" s="296"/>
      <c r="P554" s="296"/>
      <c r="Q554" s="296"/>
      <c r="R554" s="296"/>
      <c r="S554" s="296"/>
      <c r="T554" s="296"/>
      <c r="U554" s="296"/>
      <c r="V554" s="296"/>
      <c r="W554" s="296"/>
      <c r="X554" s="296"/>
      <c r="Y554" s="296"/>
      <c r="Z554" s="296"/>
      <c r="AA554" s="296"/>
      <c r="AB554" s="296"/>
      <c r="AC554" s="296"/>
      <c r="AD554" s="296"/>
      <c r="AE554" s="296"/>
      <c r="AF554" s="296"/>
      <c r="AG554" s="296"/>
      <c r="AH554" s="296"/>
      <c r="AI554" s="296"/>
      <c r="AJ554" s="296"/>
      <c r="AK554" s="296"/>
      <c r="AL554" s="296"/>
      <c r="AM554" s="296"/>
      <c r="AN554" s="298"/>
      <c r="AO554" s="298"/>
      <c r="AP554" s="929">
        <f>DIVISIONS!AP637</f>
        <v>0</v>
      </c>
      <c r="AQ554" s="298"/>
      <c r="AR554" s="298"/>
      <c r="AS554" s="298"/>
      <c r="AT554" s="929">
        <f>DIVISIONS!AT637</f>
        <v>0</v>
      </c>
      <c r="AU554" s="298"/>
      <c r="AV554" s="929">
        <f>DIVISIONS!AV637</f>
        <v>0</v>
      </c>
      <c r="AW554" s="929">
        <f>DIVISIONS!AW637</f>
        <v>0</v>
      </c>
      <c r="AX554" s="857"/>
      <c r="AY554" s="976"/>
      <c r="AZ554" s="929">
        <f>DIVISIONS!AZ637</f>
        <v>0</v>
      </c>
      <c r="BA554" s="929">
        <f>DIVISIONS!BA637</f>
        <v>0</v>
      </c>
      <c r="BB554" s="857"/>
      <c r="BC554" s="857"/>
      <c r="BD554" s="929"/>
      <c r="BE554" s="929"/>
      <c r="BF554" s="929"/>
      <c r="BG554" s="859"/>
      <c r="BH554" s="929"/>
      <c r="BI554" s="929"/>
      <c r="BJ554" s="929"/>
      <c r="BK554" s="859"/>
      <c r="BL554" s="929"/>
      <c r="BM554" s="929"/>
      <c r="BN554" s="929"/>
      <c r="BO554" s="859"/>
      <c r="BP554" s="929"/>
      <c r="BQ554" s="929"/>
      <c r="BR554" s="929"/>
      <c r="BS554" s="859"/>
      <c r="BT554" s="929"/>
      <c r="BU554" s="929"/>
      <c r="BV554" s="929"/>
      <c r="BW554" s="859"/>
      <c r="BX554" s="929"/>
      <c r="BY554" s="929"/>
      <c r="BZ554" s="929"/>
      <c r="CA554" s="859"/>
      <c r="CB554" s="929"/>
      <c r="CC554" s="929"/>
      <c r="CD554" s="929"/>
      <c r="CE554" s="1619"/>
      <c r="CF554" s="929"/>
      <c r="CG554" s="929"/>
      <c r="CH554" s="929"/>
      <c r="CI554" s="1619"/>
      <c r="CJ554" s="929"/>
      <c r="CK554" s="929"/>
      <c r="CL554" s="929"/>
      <c r="CM554" s="1619"/>
      <c r="CN554" s="929"/>
      <c r="CO554" s="929"/>
      <c r="CP554" s="929"/>
      <c r="CQ554" s="1619"/>
      <c r="CR554" s="929"/>
      <c r="CS554" s="929"/>
      <c r="CT554" s="929"/>
      <c r="CU554" s="859"/>
      <c r="CV554" s="929"/>
      <c r="CW554" s="929"/>
      <c r="CX554" s="929"/>
      <c r="CY554" s="859"/>
      <c r="CZ554" s="929"/>
      <c r="DA554" s="929"/>
      <c r="DB554" s="929"/>
      <c r="DC554" s="859"/>
      <c r="DD554" s="929"/>
      <c r="DE554" s="929"/>
      <c r="DF554" s="929"/>
      <c r="DG554" s="859"/>
      <c r="DH554" s="929"/>
      <c r="DI554" s="859"/>
      <c r="DJ554" s="929"/>
      <c r="DK554" s="859"/>
      <c r="DL554" s="859"/>
      <c r="DM554" s="859"/>
      <c r="DN554" s="929"/>
      <c r="DO554" s="929"/>
      <c r="DP554" s="859"/>
      <c r="DQ554" s="859"/>
      <c r="DR554" s="929"/>
      <c r="DS554" s="929"/>
      <c r="DT554" s="859"/>
      <c r="DU554" s="859"/>
      <c r="DV554" s="859"/>
      <c r="DW554" s="859"/>
      <c r="DX554" s="929"/>
      <c r="DY554" s="857"/>
      <c r="DZ554" s="859"/>
      <c r="EA554" s="859"/>
      <c r="EB554" s="929"/>
      <c r="EC554" s="857"/>
      <c r="ED554" s="859"/>
      <c r="EE554" s="859"/>
      <c r="EF554" s="929"/>
      <c r="EG554" s="857"/>
      <c r="EH554" s="857"/>
      <c r="EI554" s="857"/>
      <c r="EJ554" s="857"/>
      <c r="EK554" s="857"/>
      <c r="EL554" s="857"/>
      <c r="EM554" s="857"/>
      <c r="EN554" s="857"/>
      <c r="EO554" s="857"/>
      <c r="EP554" s="857"/>
      <c r="FL554" s="855"/>
      <c r="FM554" s="855"/>
      <c r="FN554" s="855"/>
      <c r="FO554" s="855"/>
      <c r="FP554" s="855"/>
      <c r="FQ554" s="855"/>
      <c r="FR554" s="855"/>
      <c r="FS554" s="855"/>
      <c r="FT554" s="855"/>
      <c r="FU554" s="855"/>
      <c r="FV554" s="855"/>
      <c r="FW554" s="855"/>
      <c r="FX554" s="855"/>
      <c r="FY554" s="855"/>
      <c r="FZ554" s="855"/>
      <c r="GA554" s="855"/>
      <c r="GB554" s="855"/>
      <c r="GC554" s="855"/>
      <c r="GD554" s="855"/>
      <c r="GE554" s="855"/>
      <c r="GF554" s="855"/>
      <c r="GG554" s="855"/>
      <c r="GH554" s="855"/>
      <c r="GI554" s="855"/>
      <c r="GJ554" s="855"/>
      <c r="GK554" s="855"/>
      <c r="GL554" s="855"/>
      <c r="GM554" s="855"/>
      <c r="GN554" s="855"/>
      <c r="GO554" s="855"/>
      <c r="GP554" s="855"/>
      <c r="GQ554" s="855"/>
      <c r="GR554" s="855"/>
      <c r="GS554" s="855"/>
      <c r="GT554" s="855"/>
      <c r="GU554" s="855"/>
      <c r="GV554" s="855"/>
      <c r="GW554" s="855"/>
      <c r="GX554" s="855"/>
      <c r="GY554" s="855"/>
      <c r="GZ554" s="855"/>
      <c r="HA554" s="855"/>
      <c r="HB554" s="855"/>
      <c r="HC554" s="855"/>
      <c r="HD554" s="855"/>
      <c r="HE554" s="855"/>
      <c r="HF554" s="855"/>
      <c r="HG554" s="855"/>
      <c r="HH554" s="855"/>
      <c r="HI554" s="855"/>
      <c r="HJ554" s="855"/>
      <c r="HK554" s="855"/>
      <c r="HL554" s="855"/>
      <c r="HM554" s="855"/>
      <c r="HN554" s="855"/>
      <c r="HO554" s="855"/>
      <c r="HP554" s="855"/>
      <c r="HQ554" s="855"/>
      <c r="HR554" s="855"/>
      <c r="HS554" s="855"/>
      <c r="HT554" s="855"/>
      <c r="HU554" s="855"/>
      <c r="HV554" s="855"/>
      <c r="HW554" s="855"/>
      <c r="HX554" s="855"/>
      <c r="HY554" s="855"/>
      <c r="HZ554" s="855"/>
      <c r="IA554" s="855"/>
      <c r="IB554" s="855"/>
      <c r="IC554" s="855"/>
      <c r="ID554" s="855"/>
      <c r="IE554" s="855"/>
      <c r="IF554" s="855"/>
      <c r="IG554" s="855"/>
      <c r="IH554" s="855"/>
      <c r="II554" s="855"/>
      <c r="IJ554" s="855"/>
      <c r="IK554" s="855"/>
      <c r="IL554" s="855"/>
      <c r="IM554" s="855"/>
      <c r="IN554" s="855"/>
      <c r="IO554" s="855"/>
      <c r="IP554" s="855"/>
      <c r="IQ554" s="855"/>
      <c r="IR554" s="855"/>
      <c r="IS554" s="855"/>
      <c r="IT554" s="855"/>
      <c r="IU554" s="855"/>
      <c r="IV554" s="855"/>
      <c r="IW554" s="855"/>
      <c r="IX554" s="855"/>
      <c r="IY554" s="855"/>
      <c r="IZ554" s="855"/>
      <c r="JA554" s="855"/>
      <c r="JB554" s="855"/>
      <c r="JC554" s="855"/>
      <c r="JD554" s="855"/>
      <c r="JE554" s="855"/>
      <c r="JF554" s="855"/>
      <c r="JG554" s="855"/>
      <c r="JH554" s="855"/>
      <c r="JI554" s="855"/>
      <c r="JJ554" s="855"/>
      <c r="JK554" s="855"/>
      <c r="JL554" s="855"/>
      <c r="JM554"/>
    </row>
    <row r="555" spans="1:273" s="860" customFormat="1">
      <c r="A555" s="302" t="s">
        <v>688</v>
      </c>
      <c r="B555" s="298"/>
      <c r="C555" s="296"/>
      <c r="D555" s="296"/>
      <c r="E555" s="296"/>
      <c r="F555" s="296"/>
      <c r="G555" s="296"/>
      <c r="H555" s="296"/>
      <c r="I555" s="296"/>
      <c r="J555" s="296"/>
      <c r="K555" s="296"/>
      <c r="L555" s="296"/>
      <c r="M555" s="296"/>
      <c r="N555" s="296"/>
      <c r="O555" s="296"/>
      <c r="P555" s="296"/>
      <c r="Q555" s="296"/>
      <c r="R555" s="296"/>
      <c r="S555" s="296"/>
      <c r="T555" s="296"/>
      <c r="U555" s="296"/>
      <c r="V555" s="296"/>
      <c r="W555" s="296"/>
      <c r="X555" s="296"/>
      <c r="Y555" s="296"/>
      <c r="Z555" s="296"/>
      <c r="AA555" s="296"/>
      <c r="AB555" s="296"/>
      <c r="AC555" s="296"/>
      <c r="AD555" s="296"/>
      <c r="AE555" s="296"/>
      <c r="AF555" s="296"/>
      <c r="AG555" s="296"/>
      <c r="AH555" s="296"/>
      <c r="AI555" s="296"/>
      <c r="AJ555" s="296"/>
      <c r="AK555" s="296"/>
      <c r="AL555" s="296"/>
      <c r="AM555" s="296"/>
      <c r="AN555" s="298"/>
      <c r="AO555" s="298"/>
      <c r="AP555" s="929">
        <f>DIVISIONS!AP696</f>
        <v>0</v>
      </c>
      <c r="AQ555" s="298"/>
      <c r="AR555" s="298"/>
      <c r="AS555" s="298"/>
      <c r="AT555" s="929">
        <f>DIVISIONS!AT696</f>
        <v>0</v>
      </c>
      <c r="AU555" s="298"/>
      <c r="AV555" s="929">
        <f>DIVISIONS!AV696</f>
        <v>0</v>
      </c>
      <c r="AW555" s="929">
        <f>DIVISIONS!AW696</f>
        <v>0</v>
      </c>
      <c r="AX555" s="857"/>
      <c r="AY555" s="976"/>
      <c r="AZ555" s="929">
        <f>DIVISIONS!AZ696</f>
        <v>0</v>
      </c>
      <c r="BA555" s="929">
        <f>DIVISIONS!BA696</f>
        <v>0</v>
      </c>
      <c r="BB555" s="857"/>
      <c r="BC555" s="857"/>
      <c r="BD555" s="929">
        <f>DIVISIONS!BD696</f>
        <v>0</v>
      </c>
      <c r="BE555" s="929">
        <f>DIVISIONS!BE696</f>
        <v>0</v>
      </c>
      <c r="BF555" s="929">
        <f t="shared" si="645"/>
        <v>0</v>
      </c>
      <c r="BG555" s="859"/>
      <c r="BH555" s="929">
        <f>DIVISIONS!BH696</f>
        <v>0</v>
      </c>
      <c r="BI555" s="929">
        <f>DIVISIONS!BI696</f>
        <v>0</v>
      </c>
      <c r="BJ555" s="929">
        <f>BH555+BI555</f>
        <v>0</v>
      </c>
      <c r="BK555" s="859"/>
      <c r="BL555" s="929">
        <f>DIVISIONS!BL696</f>
        <v>0</v>
      </c>
      <c r="BM555" s="929">
        <f>DIVISIONS!BM696</f>
        <v>0</v>
      </c>
      <c r="BN555" s="929">
        <f>BL555+BM555</f>
        <v>0</v>
      </c>
      <c r="BO555" s="859"/>
      <c r="BP555" s="929">
        <f>DIVISIONS!BP696</f>
        <v>0</v>
      </c>
      <c r="BQ555" s="929">
        <f>DIVISIONS!BQ696</f>
        <v>0</v>
      </c>
      <c r="BR555" s="929">
        <f>BP555+BQ555</f>
        <v>0</v>
      </c>
      <c r="BS555" s="859"/>
      <c r="BT555" s="929">
        <f>DIVISIONS!BT696</f>
        <v>0</v>
      </c>
      <c r="BU555" s="929">
        <f>DIVISIONS!BU696</f>
        <v>0</v>
      </c>
      <c r="BV555" s="929">
        <f>BT555+BU555</f>
        <v>0</v>
      </c>
      <c r="BW555" s="859"/>
      <c r="BX555" s="929">
        <f>DIVISIONS!BX696</f>
        <v>0</v>
      </c>
      <c r="BY555" s="929">
        <f>DIVISIONS!BY696</f>
        <v>0</v>
      </c>
      <c r="BZ555" s="929">
        <f>BX555+BY555</f>
        <v>0</v>
      </c>
      <c r="CA555" s="859"/>
      <c r="CB555" s="929">
        <f>DIVISIONS!CB696</f>
        <v>0</v>
      </c>
      <c r="CC555" s="929">
        <f>DIVISIONS!CC696</f>
        <v>0</v>
      </c>
      <c r="CD555" s="929">
        <f>CB555+CC555</f>
        <v>0</v>
      </c>
      <c r="CE555" s="1619"/>
      <c r="CF555" s="929">
        <f>DIVISIONS!CF696</f>
        <v>0</v>
      </c>
      <c r="CG555" s="929">
        <f>DIVISIONS!CG696</f>
        <v>0</v>
      </c>
      <c r="CH555" s="929">
        <f>CF555+CG555</f>
        <v>0</v>
      </c>
      <c r="CI555" s="1619"/>
      <c r="CJ555" s="929">
        <f>DIVISIONS!CJ696</f>
        <v>0</v>
      </c>
      <c r="CK555" s="929">
        <f>DIVISIONS!CK696</f>
        <v>0</v>
      </c>
      <c r="CL555" s="929">
        <f>CJ555+CK555</f>
        <v>0</v>
      </c>
      <c r="CM555" s="1619"/>
      <c r="CN555" s="929">
        <f>DIVISIONS!CN696</f>
        <v>0</v>
      </c>
      <c r="CO555" s="929">
        <f>DIVISIONS!CO696</f>
        <v>0</v>
      </c>
      <c r="CP555" s="929">
        <f>CN555+CO555</f>
        <v>0</v>
      </c>
      <c r="CQ555" s="1619"/>
      <c r="CR555" s="929">
        <f>DIVISIONS!CR696</f>
        <v>0</v>
      </c>
      <c r="CS555" s="929">
        <f>DIVISIONS!CS696</f>
        <v>0</v>
      </c>
      <c r="CT555" s="929">
        <f>CR555+CS555</f>
        <v>0</v>
      </c>
      <c r="CU555" s="859"/>
      <c r="CV555" s="929">
        <f>DIVISIONS!CV696</f>
        <v>0</v>
      </c>
      <c r="CW555" s="929">
        <f>DIVISIONS!CW696</f>
        <v>0</v>
      </c>
      <c r="CX555" s="929">
        <f>CV555+CW555</f>
        <v>0</v>
      </c>
      <c r="CY555" s="859"/>
      <c r="CZ555" s="929">
        <f>DIVISIONS!CZ696</f>
        <v>0</v>
      </c>
      <c r="DA555" s="929">
        <f>DIVISIONS!DA696</f>
        <v>0</v>
      </c>
      <c r="DB555" s="929">
        <f>CZ555+DA555</f>
        <v>0</v>
      </c>
      <c r="DC555" s="859"/>
      <c r="DD555" s="929">
        <f>DIVISIONS!DD696</f>
        <v>0</v>
      </c>
      <c r="DE555" s="929">
        <f>DIVISIONS!DE696</f>
        <v>0</v>
      </c>
      <c r="DF555" s="929">
        <f>DD555+DE555</f>
        <v>0</v>
      </c>
      <c r="DG555" s="859"/>
      <c r="DH555" s="929">
        <f>DIVISIONS!DH696</f>
        <v>0</v>
      </c>
      <c r="DI555" s="859">
        <v>0</v>
      </c>
      <c r="DJ555" s="929">
        <f>DH555+DI555</f>
        <v>0</v>
      </c>
      <c r="DK555" s="859"/>
      <c r="DL555" s="859">
        <v>0</v>
      </c>
      <c r="DM555" s="859">
        <v>0</v>
      </c>
      <c r="DN555" s="929">
        <f>DL555+DM555</f>
        <v>0</v>
      </c>
      <c r="DO555" s="929"/>
      <c r="DP555" s="859">
        <v>0</v>
      </c>
      <c r="DQ555" s="859">
        <v>0</v>
      </c>
      <c r="DR555" s="929">
        <f>DP555+DQ555</f>
        <v>0</v>
      </c>
      <c r="DS555" s="929"/>
      <c r="DT555" s="859"/>
      <c r="DU555" s="859"/>
      <c r="DV555" s="859"/>
      <c r="DW555" s="859"/>
      <c r="DX555" s="929"/>
      <c r="DY555" s="857"/>
      <c r="DZ555" s="859"/>
      <c r="EA555" s="859"/>
      <c r="EB555" s="929"/>
      <c r="EC555" s="857"/>
      <c r="ED555" s="859"/>
      <c r="EE555" s="859"/>
      <c r="EF555" s="929"/>
      <c r="EG555" s="857"/>
      <c r="EH555" s="857"/>
      <c r="EI555" s="857"/>
      <c r="EJ555" s="857"/>
      <c r="EK555" s="857"/>
      <c r="EL555" s="857"/>
      <c r="EM555" s="857"/>
      <c r="EN555" s="857"/>
      <c r="EO555" s="857"/>
      <c r="EP555" s="857"/>
      <c r="FL555" s="855"/>
      <c r="FM555" s="855"/>
      <c r="FN555" s="855"/>
      <c r="FO555" s="855"/>
      <c r="FP555" s="855"/>
      <c r="FQ555" s="855"/>
      <c r="FR555" s="855"/>
      <c r="FS555" s="855"/>
      <c r="FT555" s="855"/>
      <c r="FU555" s="855"/>
      <c r="FV555" s="855"/>
      <c r="FW555" s="855"/>
      <c r="FX555" s="855"/>
      <c r="FY555" s="855"/>
      <c r="FZ555" s="855"/>
      <c r="GA555" s="855"/>
      <c r="GB555" s="855"/>
      <c r="GC555" s="855"/>
      <c r="GD555" s="855"/>
      <c r="GE555" s="855"/>
      <c r="GF555" s="855"/>
      <c r="GG555" s="855"/>
      <c r="GH555" s="855"/>
      <c r="GI555" s="855"/>
      <c r="GJ555" s="855"/>
      <c r="GK555" s="855"/>
      <c r="GL555" s="855"/>
      <c r="GM555" s="855"/>
      <c r="GN555" s="855"/>
      <c r="GO555" s="855"/>
      <c r="GP555" s="855"/>
      <c r="GQ555" s="855"/>
      <c r="GR555" s="855"/>
      <c r="GS555" s="855"/>
      <c r="GT555" s="855"/>
      <c r="GU555" s="855"/>
      <c r="GV555" s="855"/>
      <c r="GW555" s="855"/>
      <c r="GX555" s="855"/>
      <c r="GY555" s="855"/>
      <c r="GZ555" s="855"/>
      <c r="HA555" s="855"/>
      <c r="HB555" s="855"/>
      <c r="HC555" s="855"/>
      <c r="HD555" s="855"/>
      <c r="HE555" s="855"/>
      <c r="HF555" s="855"/>
      <c r="HG555" s="855"/>
      <c r="HH555" s="855"/>
      <c r="HI555" s="855"/>
      <c r="HJ555" s="855"/>
      <c r="HK555" s="855"/>
      <c r="HL555" s="855"/>
      <c r="HM555" s="855"/>
      <c r="HN555" s="855"/>
      <c r="HO555" s="855"/>
      <c r="HP555" s="855"/>
      <c r="HQ555" s="855"/>
      <c r="HR555" s="855"/>
      <c r="HS555" s="855"/>
      <c r="HT555" s="855"/>
      <c r="HU555" s="855"/>
      <c r="HV555" s="855"/>
      <c r="HW555" s="855"/>
      <c r="HX555" s="855"/>
      <c r="HY555" s="855"/>
      <c r="HZ555" s="855"/>
      <c r="IA555" s="855"/>
      <c r="IB555" s="855"/>
      <c r="IC555" s="855"/>
      <c r="ID555" s="855"/>
      <c r="IE555" s="855"/>
      <c r="IF555" s="855"/>
      <c r="IG555" s="855"/>
      <c r="IH555" s="855"/>
      <c r="II555" s="855"/>
      <c r="IJ555" s="855"/>
      <c r="IK555" s="855"/>
      <c r="IL555" s="855"/>
      <c r="IM555" s="855"/>
      <c r="IN555" s="855"/>
      <c r="IO555" s="855"/>
      <c r="IP555" s="855"/>
      <c r="IQ555" s="855"/>
      <c r="IR555" s="855"/>
      <c r="IS555" s="855"/>
      <c r="IT555" s="855"/>
      <c r="IU555" s="855"/>
      <c r="IV555" s="855"/>
      <c r="IW555" s="855"/>
      <c r="IX555" s="855"/>
      <c r="IY555" s="855"/>
      <c r="IZ555" s="855"/>
      <c r="JA555" s="855"/>
      <c r="JB555" s="855"/>
      <c r="JC555" s="855"/>
      <c r="JD555" s="855"/>
      <c r="JE555" s="855"/>
      <c r="JF555" s="855"/>
      <c r="JG555" s="855"/>
      <c r="JH555" s="855"/>
      <c r="JI555" s="855"/>
      <c r="JJ555" s="855"/>
      <c r="JK555" s="855"/>
      <c r="JL555" s="855"/>
      <c r="JM555"/>
    </row>
    <row r="556" spans="1:273" s="860" customFormat="1">
      <c r="A556" s="302" t="s">
        <v>691</v>
      </c>
      <c r="B556" s="298"/>
      <c r="C556" s="296"/>
      <c r="D556" s="296"/>
      <c r="E556" s="296"/>
      <c r="F556" s="296"/>
      <c r="G556" s="296"/>
      <c r="H556" s="296"/>
      <c r="I556" s="296"/>
      <c r="J556" s="296"/>
      <c r="K556" s="296"/>
      <c r="L556" s="296"/>
      <c r="M556" s="296"/>
      <c r="N556" s="296"/>
      <c r="O556" s="296"/>
      <c r="P556" s="296"/>
      <c r="Q556" s="296"/>
      <c r="R556" s="296"/>
      <c r="S556" s="296"/>
      <c r="T556" s="296"/>
      <c r="U556" s="296"/>
      <c r="V556" s="296"/>
      <c r="W556" s="296"/>
      <c r="X556" s="296"/>
      <c r="Y556" s="296"/>
      <c r="Z556" s="296"/>
      <c r="AA556" s="296"/>
      <c r="AB556" s="296"/>
      <c r="AC556" s="296"/>
      <c r="AD556" s="296"/>
      <c r="AE556" s="296"/>
      <c r="AF556" s="296"/>
      <c r="AG556" s="296"/>
      <c r="AH556" s="296"/>
      <c r="AI556" s="296"/>
      <c r="AJ556" s="296"/>
      <c r="AK556" s="296"/>
      <c r="AL556" s="296"/>
      <c r="AM556" s="296"/>
      <c r="AN556" s="298"/>
      <c r="AO556" s="298"/>
      <c r="AP556" s="929">
        <f>DIVISIONS!AP752</f>
        <v>0</v>
      </c>
      <c r="AQ556" s="298"/>
      <c r="AR556" s="298"/>
      <c r="AS556" s="298"/>
      <c r="AT556" s="929">
        <f>DIVISIONS!AT752</f>
        <v>0</v>
      </c>
      <c r="AU556" s="298"/>
      <c r="AV556" s="929">
        <f>DIVISIONS!AV752</f>
        <v>0</v>
      </c>
      <c r="AW556" s="929">
        <f>DIVISIONS!AW752</f>
        <v>0</v>
      </c>
      <c r="AX556" s="857"/>
      <c r="AY556" s="976"/>
      <c r="AZ556" s="929">
        <f>DIVISIONS!AZ752</f>
        <v>0</v>
      </c>
      <c r="BA556" s="929">
        <f>DIVISIONS!BA752</f>
        <v>0</v>
      </c>
      <c r="BB556" s="857"/>
      <c r="BC556" s="857"/>
      <c r="BD556" s="929">
        <f>DIVISIONS!BD752</f>
        <v>0</v>
      </c>
      <c r="BE556" s="929">
        <f>DIVISIONS!BE752</f>
        <v>0</v>
      </c>
      <c r="BF556" s="929">
        <f t="shared" si="645"/>
        <v>0</v>
      </c>
      <c r="BG556" s="859"/>
      <c r="BH556" s="929">
        <f>DIVISIONS!BH752</f>
        <v>0</v>
      </c>
      <c r="BI556" s="929">
        <f>DIVISIONS!BI752</f>
        <v>0</v>
      </c>
      <c r="BJ556" s="929">
        <f>BH556+BI556</f>
        <v>0</v>
      </c>
      <c r="BK556" s="859"/>
      <c r="BL556" s="929">
        <f>DIVISIONS!BL752</f>
        <v>0</v>
      </c>
      <c r="BM556" s="929">
        <f>DIVISIONS!BM752</f>
        <v>0</v>
      </c>
      <c r="BN556" s="929">
        <f>BL556+BM556</f>
        <v>0</v>
      </c>
      <c r="BO556" s="859"/>
      <c r="BP556" s="929">
        <f>DIVISIONS!BP752</f>
        <v>0</v>
      </c>
      <c r="BQ556" s="929">
        <f>DIVISIONS!BQ752</f>
        <v>0</v>
      </c>
      <c r="BR556" s="929">
        <f>BP556+BQ556</f>
        <v>0</v>
      </c>
      <c r="BS556" s="859"/>
      <c r="BT556" s="929">
        <f>DIVISIONS!BT752</f>
        <v>12</v>
      </c>
      <c r="BU556" s="929">
        <f>DIVISIONS!BU752</f>
        <v>-9</v>
      </c>
      <c r="BV556" s="929">
        <f>BT556+BU556</f>
        <v>3</v>
      </c>
      <c r="BW556" s="859"/>
      <c r="BX556" s="929">
        <f>DIVISIONS!BX752</f>
        <v>3</v>
      </c>
      <c r="BY556" s="929">
        <f>DIVISIONS!BY752</f>
        <v>0</v>
      </c>
      <c r="BZ556" s="929">
        <f>BX556+BY556</f>
        <v>3</v>
      </c>
      <c r="CA556" s="859"/>
      <c r="CB556" s="929">
        <f>DIVISIONS!CB752</f>
        <v>1</v>
      </c>
      <c r="CC556" s="929">
        <f>DIVISIONS!CC752</f>
        <v>2</v>
      </c>
      <c r="CD556" s="929">
        <f>CB556+CC556</f>
        <v>3</v>
      </c>
      <c r="CE556" s="1619"/>
      <c r="CF556" s="929">
        <f>DIVISIONS!CF752</f>
        <v>2</v>
      </c>
      <c r="CG556" s="929">
        <f>DIVISIONS!CG752</f>
        <v>1</v>
      </c>
      <c r="CH556" s="929">
        <f>CF556+CG556</f>
        <v>3</v>
      </c>
      <c r="CI556" s="1619"/>
      <c r="CJ556" s="929">
        <f>DIVISIONS!CJ752</f>
        <v>1</v>
      </c>
      <c r="CK556" s="929">
        <f>DIVISIONS!CK752</f>
        <v>4</v>
      </c>
      <c r="CL556" s="929">
        <f>CJ556+CK556</f>
        <v>5</v>
      </c>
      <c r="CM556" s="1619"/>
      <c r="CN556" s="929">
        <f>DIVISIONS!CN752</f>
        <v>1</v>
      </c>
      <c r="CO556" s="929">
        <f>DIVISIONS!CO752</f>
        <v>3</v>
      </c>
      <c r="CP556" s="929">
        <f>CN556+CO556</f>
        <v>4</v>
      </c>
      <c r="CQ556" s="1619"/>
      <c r="CR556" s="929">
        <f>DIVISIONS!CR752</f>
        <v>2</v>
      </c>
      <c r="CS556" s="929">
        <f>DIVISIONS!CS752</f>
        <v>2</v>
      </c>
      <c r="CT556" s="929">
        <f>CR556+CS556</f>
        <v>4</v>
      </c>
      <c r="CU556" s="859"/>
      <c r="CV556" s="929">
        <f>DIVISIONS!CV752</f>
        <v>0</v>
      </c>
      <c r="CW556" s="929">
        <f>DIVISIONS!CW752</f>
        <v>0</v>
      </c>
      <c r="CX556" s="929">
        <f>CV556+CW556</f>
        <v>0</v>
      </c>
      <c r="CY556" s="859"/>
      <c r="CZ556" s="929">
        <f>DIVISIONS!CZ752</f>
        <v>0</v>
      </c>
      <c r="DA556" s="929">
        <f>DIVISIONS!DA752</f>
        <v>0</v>
      </c>
      <c r="DB556" s="929">
        <f>CZ556+DA556</f>
        <v>0</v>
      </c>
      <c r="DC556" s="859"/>
      <c r="DD556" s="929">
        <f>DIVISIONS!DD752</f>
        <v>0</v>
      </c>
      <c r="DE556" s="929">
        <f>DIVISIONS!DE752</f>
        <v>0</v>
      </c>
      <c r="DF556" s="929">
        <f>DD556+DE556</f>
        <v>0</v>
      </c>
      <c r="DG556" s="859"/>
      <c r="DH556" s="929">
        <f>DIVISIONS!DH752</f>
        <v>0</v>
      </c>
      <c r="DI556" s="981">
        <v>0</v>
      </c>
      <c r="DJ556" s="929">
        <f>DH556+DI556</f>
        <v>0</v>
      </c>
      <c r="DK556" s="859"/>
      <c r="DL556" s="981">
        <v>0</v>
      </c>
      <c r="DM556" s="981">
        <v>0</v>
      </c>
      <c r="DN556" s="929">
        <f>DL556+DM556</f>
        <v>0</v>
      </c>
      <c r="DO556" s="929"/>
      <c r="DP556" s="981">
        <v>0</v>
      </c>
      <c r="DQ556" s="981">
        <v>0</v>
      </c>
      <c r="DR556" s="929">
        <f>DP556+DQ556</f>
        <v>0</v>
      </c>
      <c r="DS556" s="929"/>
      <c r="DT556" s="859"/>
      <c r="DU556" s="859"/>
      <c r="DV556" s="859"/>
      <c r="DW556" s="859"/>
      <c r="DX556" s="929"/>
      <c r="DY556" s="857"/>
      <c r="DZ556" s="859"/>
      <c r="EA556" s="859"/>
      <c r="EB556" s="929"/>
      <c r="EC556" s="857"/>
      <c r="ED556" s="859"/>
      <c r="EE556" s="859"/>
      <c r="EF556" s="929"/>
      <c r="EG556" s="857"/>
      <c r="EH556" s="857"/>
      <c r="EI556" s="857"/>
      <c r="EJ556" s="857"/>
      <c r="EK556" s="857"/>
      <c r="EL556" s="857"/>
      <c r="EM556" s="857"/>
      <c r="EN556" s="857"/>
      <c r="EO556" s="857"/>
      <c r="EP556" s="857"/>
      <c r="FL556" s="855"/>
      <c r="FM556" s="855"/>
      <c r="FN556" s="855"/>
      <c r="FO556" s="855"/>
      <c r="FP556" s="855"/>
      <c r="FQ556" s="855"/>
      <c r="FR556" s="855"/>
      <c r="FS556" s="855"/>
      <c r="FT556" s="855"/>
      <c r="FU556" s="855"/>
      <c r="FV556" s="855"/>
      <c r="FW556" s="855"/>
      <c r="FX556" s="855"/>
      <c r="FY556" s="855"/>
      <c r="FZ556" s="855"/>
      <c r="GA556" s="855"/>
      <c r="GB556" s="855"/>
      <c r="GC556" s="855"/>
      <c r="GD556" s="855"/>
      <c r="GE556" s="855"/>
      <c r="GF556" s="855"/>
      <c r="GG556" s="855"/>
      <c r="GH556" s="855"/>
      <c r="GI556" s="855"/>
      <c r="GJ556" s="855"/>
      <c r="GK556" s="855"/>
      <c r="GL556" s="855"/>
      <c r="GM556" s="855"/>
      <c r="GN556" s="855"/>
      <c r="GO556" s="855"/>
      <c r="GP556" s="855"/>
      <c r="GQ556" s="855"/>
      <c r="GR556" s="855"/>
      <c r="GS556" s="855"/>
      <c r="GT556" s="855"/>
      <c r="GU556" s="855"/>
      <c r="GV556" s="855"/>
      <c r="GW556" s="855"/>
      <c r="GX556" s="855"/>
      <c r="GY556" s="855"/>
      <c r="GZ556" s="855"/>
      <c r="HA556" s="855"/>
      <c r="HB556" s="855"/>
      <c r="HC556" s="855"/>
      <c r="HD556" s="855"/>
      <c r="HE556" s="855"/>
      <c r="HF556" s="855"/>
      <c r="HG556" s="855"/>
      <c r="HH556" s="855"/>
      <c r="HI556" s="855"/>
      <c r="HJ556" s="855"/>
      <c r="HK556" s="855"/>
      <c r="HL556" s="855"/>
      <c r="HM556" s="855"/>
      <c r="HN556" s="855"/>
      <c r="HO556" s="855"/>
      <c r="HP556" s="855"/>
      <c r="HQ556" s="855"/>
      <c r="HR556" s="855"/>
      <c r="HS556" s="855"/>
      <c r="HT556" s="855"/>
      <c r="HU556" s="855"/>
      <c r="HV556" s="855"/>
      <c r="HW556" s="855"/>
      <c r="HX556" s="855"/>
      <c r="HY556" s="855"/>
      <c r="HZ556" s="855"/>
      <c r="IA556" s="855"/>
      <c r="IB556" s="855"/>
      <c r="IC556" s="855"/>
      <c r="ID556" s="855"/>
      <c r="IE556" s="855"/>
      <c r="IF556" s="855"/>
      <c r="IG556" s="855"/>
      <c r="IH556" s="855"/>
      <c r="II556" s="855"/>
      <c r="IJ556" s="855"/>
      <c r="IK556" s="855"/>
      <c r="IL556" s="855"/>
      <c r="IM556" s="855"/>
      <c r="IN556" s="855"/>
      <c r="IO556" s="855"/>
      <c r="IP556" s="855"/>
      <c r="IQ556" s="855"/>
      <c r="IR556" s="855"/>
      <c r="IS556" s="855"/>
      <c r="IT556" s="855"/>
      <c r="IU556" s="855"/>
      <c r="IV556" s="855"/>
      <c r="IW556" s="855"/>
      <c r="IX556" s="855"/>
      <c r="IY556" s="855"/>
      <c r="IZ556" s="855"/>
      <c r="JA556" s="855"/>
      <c r="JB556" s="855"/>
      <c r="JC556" s="855"/>
      <c r="JD556" s="855"/>
      <c r="JE556" s="855"/>
      <c r="JF556" s="855"/>
      <c r="JG556" s="855"/>
      <c r="JH556" s="855"/>
      <c r="JI556" s="855"/>
      <c r="JJ556" s="855"/>
      <c r="JK556" s="855"/>
      <c r="JL556" s="855"/>
      <c r="JM556"/>
    </row>
    <row r="557" spans="1:273" s="855" customFormat="1">
      <c r="A557" s="289" t="s">
        <v>613</v>
      </c>
      <c r="B557" s="290"/>
      <c r="C557" s="289"/>
      <c r="D557" s="289"/>
      <c r="E557" s="289"/>
      <c r="F557" s="289"/>
      <c r="G557" s="289"/>
      <c r="H557" s="289"/>
      <c r="I557" s="289"/>
      <c r="J557" s="289"/>
      <c r="K557" s="289"/>
      <c r="L557" s="289"/>
      <c r="M557" s="289"/>
      <c r="N557" s="289"/>
      <c r="O557" s="289"/>
      <c r="P557" s="289"/>
      <c r="Q557" s="289"/>
      <c r="R557" s="289"/>
      <c r="S557" s="289"/>
      <c r="T557" s="289"/>
      <c r="U557" s="289"/>
      <c r="V557" s="289"/>
      <c r="W557" s="289"/>
      <c r="X557" s="289"/>
      <c r="Y557" s="289"/>
      <c r="Z557" s="289"/>
      <c r="AA557" s="289"/>
      <c r="AB557" s="289"/>
      <c r="AC557" s="289"/>
      <c r="AD557" s="289"/>
      <c r="AE557" s="289"/>
      <c r="AF557" s="289"/>
      <c r="AG557" s="289"/>
      <c r="AH557" s="289"/>
      <c r="AI557" s="289"/>
      <c r="AJ557" s="289"/>
      <c r="AK557" s="289"/>
      <c r="AL557" s="289"/>
      <c r="AM557" s="289"/>
      <c r="AN557" s="290"/>
      <c r="AO557" s="290"/>
      <c r="AP557" s="853">
        <f>SUM(AP549:AP556)</f>
        <v>102</v>
      </c>
      <c r="AQ557" s="290"/>
      <c r="AR557" s="290"/>
      <c r="AS557" s="290"/>
      <c r="AT557" s="853">
        <f>SUM(AT549:AT556)</f>
        <v>184</v>
      </c>
      <c r="AU557" s="290"/>
      <c r="AV557" s="853">
        <f>SUM(AV549:AV556)</f>
        <v>71</v>
      </c>
      <c r="AW557" s="853">
        <f>SUM(AW549:AW556)</f>
        <v>63</v>
      </c>
      <c r="AX557" s="853">
        <f>+AV557+AW557</f>
        <v>134</v>
      </c>
      <c r="AY557" s="820"/>
      <c r="AZ557" s="853">
        <f>SUM(AZ549:AZ556)</f>
        <v>71</v>
      </c>
      <c r="BA557" s="853">
        <f>SUM(BA549:BA556)</f>
        <v>172</v>
      </c>
      <c r="BB557" s="853">
        <f>+AZ557+BA557</f>
        <v>243</v>
      </c>
      <c r="BC557" s="853"/>
      <c r="BD557" s="853">
        <f>SUM(BD549:BD556)</f>
        <v>183</v>
      </c>
      <c r="BE557" s="853">
        <f>SUM(BE549:BE556)</f>
        <v>198</v>
      </c>
      <c r="BF557" s="818">
        <f t="shared" si="645"/>
        <v>381</v>
      </c>
      <c r="BG557" s="853"/>
      <c r="BH557" s="853">
        <f>SUM(BH549:BH556)</f>
        <v>203</v>
      </c>
      <c r="BI557" s="853">
        <f>SUM(BI549:BI556)</f>
        <v>212</v>
      </c>
      <c r="BJ557" s="818">
        <f>BH557+BI557</f>
        <v>415</v>
      </c>
      <c r="BK557" s="853"/>
      <c r="BL557" s="853">
        <f>SUM(BL549:BL556)</f>
        <v>255</v>
      </c>
      <c r="BM557" s="853">
        <f>SUM(BM549:BM556)</f>
        <v>265</v>
      </c>
      <c r="BN557" s="818">
        <f>BL557+BM557</f>
        <v>520</v>
      </c>
      <c r="BO557" s="853"/>
      <c r="BP557" s="853">
        <f>SUM(BP549:BP556)</f>
        <v>265</v>
      </c>
      <c r="BQ557" s="853">
        <f>SUM(BQ549:BQ556)</f>
        <v>296</v>
      </c>
      <c r="BR557" s="818">
        <f>BP557+BQ557</f>
        <v>561</v>
      </c>
      <c r="BS557" s="853"/>
      <c r="BT557" s="853">
        <f>SUM(BT549:BT556)</f>
        <v>397</v>
      </c>
      <c r="BU557" s="853">
        <f>SUM(BU549:BU556)</f>
        <v>483</v>
      </c>
      <c r="BV557" s="818">
        <f>BT557+BU557</f>
        <v>880</v>
      </c>
      <c r="BW557" s="853"/>
      <c r="BX557" s="853">
        <f>SUM(BX549:BX556)</f>
        <v>476</v>
      </c>
      <c r="BY557" s="853">
        <f>SUM(BY549:BY556)</f>
        <v>445</v>
      </c>
      <c r="BZ557" s="818">
        <f>BX557+BY557</f>
        <v>921</v>
      </c>
      <c r="CA557" s="853"/>
      <c r="CB557" s="853">
        <f>SUM(CB549:CB556)</f>
        <v>469</v>
      </c>
      <c r="CC557" s="853">
        <f>SUM(CC549:CC556)</f>
        <v>466</v>
      </c>
      <c r="CD557" s="818">
        <f>CB557+CC557</f>
        <v>935</v>
      </c>
      <c r="CE557" s="862"/>
      <c r="CF557" s="853">
        <f>SUM(CF550:CF556)</f>
        <v>461</v>
      </c>
      <c r="CG557" s="853">
        <f>SUM(CG550:CG556)</f>
        <v>489</v>
      </c>
      <c r="CH557" s="818">
        <f>CF557+CG557</f>
        <v>950</v>
      </c>
      <c r="CI557" s="862"/>
      <c r="CJ557" s="853">
        <f>SUM(CJ550:CJ556)</f>
        <v>461</v>
      </c>
      <c r="CK557" s="853">
        <f>SUM(CK550:CK556)</f>
        <v>284</v>
      </c>
      <c r="CL557" s="818">
        <f>CJ557+CK557</f>
        <v>745</v>
      </c>
      <c r="CM557" s="862"/>
      <c r="CN557" s="853">
        <f>SUM(CN550:CN556)</f>
        <v>245</v>
      </c>
      <c r="CO557" s="853">
        <f>SUM(CO550:CO556)</f>
        <v>221</v>
      </c>
      <c r="CP557" s="818">
        <f>CN557+CO557</f>
        <v>466</v>
      </c>
      <c r="CQ557" s="862"/>
      <c r="CR557" s="853">
        <f>SUM(CR550:CR556)</f>
        <v>186</v>
      </c>
      <c r="CS557" s="853">
        <f>SUM(CS550:CS556)</f>
        <v>216</v>
      </c>
      <c r="CT557" s="818">
        <f>CR557+CS557</f>
        <v>402</v>
      </c>
      <c r="CU557" s="853"/>
      <c r="CV557" s="853">
        <f>SUM(CV550:CV556)</f>
        <v>174</v>
      </c>
      <c r="CW557" s="853">
        <f>SUM(CW550:CW556)</f>
        <v>203</v>
      </c>
      <c r="CX557" s="818">
        <f>CV557+CW557</f>
        <v>377</v>
      </c>
      <c r="CY557" s="853"/>
      <c r="CZ557" s="853">
        <f>SUM(CZ550:CZ556)</f>
        <v>213</v>
      </c>
      <c r="DA557" s="853">
        <f>SUM(DA550:DA556)</f>
        <v>218</v>
      </c>
      <c r="DB557" s="818">
        <f>CZ557+DA557</f>
        <v>431</v>
      </c>
      <c r="DC557" s="853"/>
      <c r="DD557" s="853">
        <f>SUM(DD550:DD556)</f>
        <v>211</v>
      </c>
      <c r="DE557" s="853">
        <f>SUM(DE550:DE556)</f>
        <v>207</v>
      </c>
      <c r="DF557" s="818">
        <f>DD557+DE557</f>
        <v>418</v>
      </c>
      <c r="DG557" s="853"/>
      <c r="DH557" s="853">
        <f>SUM(DH550:DH556)</f>
        <v>216</v>
      </c>
      <c r="DI557" s="853">
        <f>SUM(DI550:DI556)</f>
        <v>240.11999999999998</v>
      </c>
      <c r="DJ557" s="853">
        <f>DH557+DI557</f>
        <v>456.12</v>
      </c>
      <c r="DK557" s="853"/>
      <c r="DL557" s="853">
        <f>SUM(DL550:DL556)</f>
        <v>252.71999999999997</v>
      </c>
      <c r="DM557" s="853">
        <f>SUM(DM550:DM556)</f>
        <v>268.93439999999998</v>
      </c>
      <c r="DN557" s="853">
        <f>DL557+DM557</f>
        <v>521.6543999999999</v>
      </c>
      <c r="DO557" s="818"/>
      <c r="DP557" s="853">
        <f>SUM(DP550:DP556)</f>
        <v>283.04640000000001</v>
      </c>
      <c r="DQ557" s="853">
        <f>SUM(DQ550:DQ556)</f>
        <v>301.20652799999999</v>
      </c>
      <c r="DR557" s="853">
        <f>DP557+DQ557</f>
        <v>584.252928</v>
      </c>
      <c r="DS557" s="818"/>
      <c r="DT557" s="853"/>
      <c r="DU557" s="853"/>
      <c r="DV557" s="853"/>
      <c r="DW557" s="853"/>
      <c r="DX557" s="818"/>
      <c r="DY557" s="853"/>
      <c r="DZ557" s="853"/>
      <c r="EA557" s="853"/>
      <c r="EB557" s="818"/>
      <c r="EC557" s="853"/>
      <c r="ED557" s="853"/>
      <c r="EE557" s="853"/>
      <c r="EF557" s="818"/>
      <c r="EG557" s="853"/>
      <c r="EH557" s="853"/>
      <c r="EI557" s="853"/>
      <c r="EJ557" s="853"/>
      <c r="EK557" s="853"/>
      <c r="EL557" s="853"/>
      <c r="EM557" s="853"/>
      <c r="EN557" s="853"/>
      <c r="EO557" s="853"/>
      <c r="EP557" s="853"/>
      <c r="JM557"/>
    </row>
    <row r="558" spans="1:273" s="855" customFormat="1">
      <c r="A558" s="289" t="s">
        <v>1193</v>
      </c>
      <c r="B558" s="290"/>
      <c r="C558" s="289"/>
      <c r="D558" s="289"/>
      <c r="E558" s="289"/>
      <c r="F558" s="289"/>
      <c r="G558" s="289"/>
      <c r="H558" s="289"/>
      <c r="I558" s="289"/>
      <c r="J558" s="289"/>
      <c r="K558" s="289"/>
      <c r="L558" s="289"/>
      <c r="M558" s="289"/>
      <c r="N558" s="289"/>
      <c r="O558" s="289"/>
      <c r="P558" s="289"/>
      <c r="Q558" s="289"/>
      <c r="R558" s="289"/>
      <c r="S558" s="289"/>
      <c r="T558" s="289"/>
      <c r="U558" s="289"/>
      <c r="V558" s="289"/>
      <c r="W558" s="289"/>
      <c r="X558" s="289"/>
      <c r="Y558" s="289"/>
      <c r="Z558" s="289"/>
      <c r="AA558" s="289"/>
      <c r="AB558" s="289"/>
      <c r="AC558" s="289"/>
      <c r="AD558" s="289"/>
      <c r="AE558" s="289"/>
      <c r="AF558" s="289"/>
      <c r="AG558" s="289"/>
      <c r="AH558" s="289"/>
      <c r="AI558" s="289"/>
      <c r="AJ558" s="289"/>
      <c r="AK558" s="289"/>
      <c r="AL558" s="289"/>
      <c r="AM558" s="289"/>
      <c r="AN558" s="290"/>
      <c r="AO558" s="290"/>
      <c r="AP558" s="290"/>
      <c r="AQ558" s="290"/>
      <c r="AR558" s="290"/>
      <c r="AS558" s="290"/>
      <c r="AT558" s="290"/>
      <c r="AU558" s="290"/>
      <c r="AV558" s="853"/>
      <c r="AW558" s="853"/>
      <c r="AX558" s="853"/>
      <c r="AY558" s="820"/>
      <c r="AZ558" s="853"/>
      <c r="BA558" s="853"/>
      <c r="BB558" s="853"/>
      <c r="BC558" s="853"/>
      <c r="BD558" s="967"/>
      <c r="BE558" s="967"/>
      <c r="BF558" s="853"/>
      <c r="BG558" s="853"/>
      <c r="BH558" s="967"/>
      <c r="BI558" s="967"/>
      <c r="BJ558" s="853"/>
      <c r="BK558" s="853"/>
      <c r="BL558" s="967"/>
      <c r="BM558" s="967"/>
      <c r="BN558" s="853"/>
      <c r="BO558" s="853"/>
      <c r="BP558" s="967"/>
      <c r="BQ558" s="967"/>
      <c r="BR558" s="853"/>
      <c r="BS558" s="853"/>
      <c r="BT558" s="967"/>
      <c r="BU558" s="967"/>
      <c r="BV558" s="853"/>
      <c r="BW558" s="853"/>
      <c r="BX558" s="967"/>
      <c r="BY558" s="967"/>
      <c r="BZ558" s="853"/>
      <c r="CA558" s="853"/>
      <c r="CB558" s="967"/>
      <c r="CC558" s="967"/>
      <c r="CD558" s="853"/>
      <c r="CE558" s="862"/>
      <c r="CF558" s="967"/>
      <c r="CG558" s="967"/>
      <c r="CH558" s="853"/>
      <c r="CI558" s="862"/>
      <c r="CJ558" s="967"/>
      <c r="CK558" s="967"/>
      <c r="CL558" s="853"/>
      <c r="CM558" s="862"/>
      <c r="CN558" s="928"/>
      <c r="CO558" s="967"/>
      <c r="CP558" s="853"/>
      <c r="CQ558" s="862"/>
      <c r="CR558" s="928"/>
      <c r="CS558" s="967"/>
      <c r="CT558" s="853"/>
      <c r="CU558" s="853"/>
      <c r="CV558" s="928"/>
      <c r="CW558" s="967"/>
      <c r="CX558" s="853"/>
      <c r="CY558" s="853"/>
      <c r="CZ558" s="928"/>
      <c r="DA558" s="967"/>
      <c r="DB558" s="853"/>
      <c r="DC558" s="853"/>
      <c r="DD558" s="928"/>
      <c r="DE558" s="967"/>
      <c r="DF558" s="853"/>
      <c r="DG558" s="853"/>
      <c r="DH558" s="928"/>
      <c r="DI558" s="967"/>
      <c r="DJ558" s="853"/>
      <c r="DK558" s="853"/>
      <c r="DL558" s="967"/>
      <c r="DM558" s="967"/>
      <c r="DN558" s="853"/>
      <c r="DO558" s="853"/>
      <c r="DP558" s="967"/>
      <c r="DQ558" s="967"/>
      <c r="DR558" s="853"/>
      <c r="DS558" s="853"/>
      <c r="DT558" s="853"/>
      <c r="DU558" s="967"/>
      <c r="DV558" s="967"/>
      <c r="DW558" s="967"/>
      <c r="DX558" s="853"/>
      <c r="DY558" s="853"/>
      <c r="DZ558" s="967"/>
      <c r="EA558" s="967"/>
      <c r="EB558" s="853"/>
      <c r="EC558" s="853"/>
      <c r="ED558" s="967"/>
      <c r="EE558" s="967"/>
      <c r="EF558" s="853"/>
      <c r="EG558" s="853"/>
      <c r="EH558" s="853"/>
      <c r="EI558" s="853"/>
      <c r="EJ558" s="853"/>
      <c r="EK558" s="853"/>
      <c r="EL558" s="853"/>
      <c r="EM558" s="853"/>
      <c r="EN558" s="853"/>
      <c r="EO558" s="853"/>
      <c r="EP558" s="853"/>
      <c r="JM558"/>
    </row>
    <row r="559" spans="1:273" s="971" customFormat="1">
      <c r="A559" s="866" t="s">
        <v>720</v>
      </c>
      <c r="B559" s="925"/>
      <c r="C559" s="866"/>
      <c r="D559" s="866"/>
      <c r="E559" s="866"/>
      <c r="F559" s="866"/>
      <c r="G559" s="866"/>
      <c r="H559" s="866"/>
      <c r="I559" s="866"/>
      <c r="J559" s="866"/>
      <c r="K559" s="866"/>
      <c r="L559" s="866"/>
      <c r="M559" s="866"/>
      <c r="N559" s="866"/>
      <c r="O559" s="866"/>
      <c r="P559" s="866"/>
      <c r="Q559" s="866"/>
      <c r="R559" s="866"/>
      <c r="S559" s="866"/>
      <c r="T559" s="866"/>
      <c r="U559" s="866"/>
      <c r="V559" s="866"/>
      <c r="W559" s="866"/>
      <c r="X559" s="866"/>
      <c r="Y559" s="866"/>
      <c r="Z559" s="866"/>
      <c r="AA559" s="866"/>
      <c r="AB559" s="866"/>
      <c r="AC559" s="866"/>
      <c r="AD559" s="866"/>
      <c r="AE559" s="866"/>
      <c r="AF559" s="866"/>
      <c r="AG559" s="866"/>
      <c r="AH559" s="866"/>
      <c r="AI559" s="866"/>
      <c r="AJ559" s="866"/>
      <c r="AK559" s="866"/>
      <c r="AL559" s="866"/>
      <c r="AM559" s="866"/>
      <c r="AN559" s="925"/>
      <c r="AO559" s="925"/>
      <c r="AP559" s="925"/>
      <c r="AQ559" s="925"/>
      <c r="AR559" s="925"/>
      <c r="AS559" s="925"/>
      <c r="AT559" s="925"/>
      <c r="AU559" s="925"/>
      <c r="AV559" s="968"/>
      <c r="AW559" s="968"/>
      <c r="AX559" s="968"/>
      <c r="AY559" s="969"/>
      <c r="AZ559" s="968"/>
      <c r="BA559" s="968"/>
      <c r="BB559" s="968"/>
      <c r="BC559" s="968"/>
      <c r="BD559" s="970"/>
      <c r="BE559" s="970"/>
      <c r="BF559" s="968"/>
      <c r="BG559" s="968"/>
      <c r="BH559" s="970"/>
      <c r="BI559" s="970"/>
      <c r="BJ559" s="968"/>
      <c r="BK559" s="968"/>
      <c r="BL559" s="970"/>
      <c r="BM559" s="970"/>
      <c r="BN559" s="968"/>
      <c r="BO559" s="968"/>
      <c r="BP559" s="970"/>
      <c r="BQ559" s="970"/>
      <c r="BR559" s="968"/>
      <c r="BS559" s="968"/>
      <c r="BT559" s="970"/>
      <c r="BU559" s="970"/>
      <c r="BV559" s="968"/>
      <c r="BW559" s="968"/>
      <c r="BX559" s="970"/>
      <c r="BY559" s="970"/>
      <c r="BZ559" s="968"/>
      <c r="CA559" s="968"/>
      <c r="CB559" s="970"/>
      <c r="CC559" s="970"/>
      <c r="CD559" s="968"/>
      <c r="CE559" s="1617"/>
      <c r="CF559" s="970"/>
      <c r="CG559" s="970"/>
      <c r="CH559" s="968"/>
      <c r="CI559" s="1617"/>
      <c r="CJ559" s="970"/>
      <c r="CK559" s="970"/>
      <c r="CL559" s="968"/>
      <c r="CM559" s="1617"/>
      <c r="CN559" s="970"/>
      <c r="CO559" s="970"/>
      <c r="CP559" s="968"/>
      <c r="CQ559" s="1617"/>
      <c r="CR559" s="970"/>
      <c r="CS559" s="970"/>
      <c r="CT559" s="968"/>
      <c r="CU559" s="968"/>
      <c r="CV559" s="970"/>
      <c r="CW559" s="970"/>
      <c r="CX559" s="968"/>
      <c r="CY559" s="968"/>
      <c r="CZ559" s="970"/>
      <c r="DA559" s="970"/>
      <c r="DB559" s="968"/>
      <c r="DC559" s="968"/>
      <c r="DD559" s="970"/>
      <c r="DE559" s="970"/>
      <c r="DF559" s="968"/>
      <c r="DG559" s="968"/>
      <c r="DH559" s="970"/>
      <c r="DI559" s="970"/>
      <c r="DJ559" s="968"/>
      <c r="DK559" s="968"/>
      <c r="DL559" s="970"/>
      <c r="DM559" s="970"/>
      <c r="DN559" s="968"/>
      <c r="DO559" s="968"/>
      <c r="DP559" s="970"/>
      <c r="DQ559" s="970"/>
      <c r="DR559" s="968"/>
      <c r="DS559" s="968"/>
      <c r="DT559" s="968"/>
      <c r="DU559" s="970"/>
      <c r="DV559" s="970"/>
      <c r="DW559" s="970"/>
      <c r="DX559" s="968"/>
      <c r="DY559" s="968"/>
      <c r="DZ559" s="970"/>
      <c r="EA559" s="970"/>
      <c r="EB559" s="968"/>
      <c r="EC559" s="968"/>
      <c r="ED559" s="970"/>
      <c r="EE559" s="970"/>
      <c r="EF559" s="968"/>
      <c r="EG559" s="968"/>
      <c r="EH559" s="968"/>
      <c r="EI559" s="968"/>
      <c r="EJ559" s="968"/>
      <c r="EK559" s="968"/>
      <c r="EL559" s="968"/>
      <c r="EM559" s="968"/>
      <c r="EN559" s="968"/>
      <c r="EO559" s="968"/>
      <c r="EP559" s="968"/>
      <c r="FL559" s="855"/>
      <c r="FM559" s="855"/>
      <c r="FN559" s="855"/>
      <c r="FO559" s="855"/>
      <c r="FP559" s="855"/>
      <c r="FQ559" s="855"/>
      <c r="FR559" s="855"/>
      <c r="FS559" s="855"/>
      <c r="FT559" s="855"/>
      <c r="FU559" s="855"/>
      <c r="FV559" s="855"/>
      <c r="FW559" s="855"/>
      <c r="FX559" s="855"/>
      <c r="FY559" s="855"/>
      <c r="FZ559" s="855"/>
      <c r="GA559" s="855"/>
      <c r="GB559" s="855"/>
      <c r="GC559" s="855"/>
      <c r="GD559" s="855"/>
      <c r="GE559" s="855"/>
      <c r="GF559" s="855"/>
      <c r="GG559" s="855"/>
      <c r="GH559" s="855"/>
      <c r="GI559" s="855"/>
      <c r="GJ559" s="855"/>
      <c r="GK559" s="855"/>
      <c r="GL559" s="855"/>
      <c r="GM559" s="855"/>
      <c r="GN559" s="855"/>
      <c r="GO559" s="855"/>
      <c r="GP559" s="855"/>
      <c r="GQ559" s="855"/>
      <c r="GR559" s="855"/>
      <c r="GS559" s="855"/>
      <c r="GT559" s="855"/>
      <c r="GU559" s="855"/>
      <c r="GV559" s="855"/>
      <c r="GW559" s="855"/>
      <c r="GX559" s="855"/>
      <c r="GY559" s="855"/>
      <c r="GZ559" s="855"/>
      <c r="HA559" s="855"/>
      <c r="HB559" s="855"/>
      <c r="HC559" s="855"/>
      <c r="HD559" s="855"/>
      <c r="HE559" s="855"/>
      <c r="HF559" s="855"/>
      <c r="HG559" s="855"/>
      <c r="HH559" s="855"/>
      <c r="HI559" s="855"/>
      <c r="HJ559" s="855"/>
      <c r="HK559" s="855"/>
      <c r="HL559" s="855"/>
      <c r="HM559" s="855"/>
      <c r="HN559" s="855"/>
      <c r="HO559" s="855"/>
      <c r="HP559" s="855"/>
      <c r="HQ559" s="855"/>
      <c r="HR559" s="855"/>
      <c r="HS559" s="855"/>
      <c r="HT559" s="855"/>
      <c r="HU559" s="855"/>
      <c r="HV559" s="855"/>
      <c r="HW559" s="855"/>
      <c r="HX559" s="855"/>
      <c r="HY559" s="855"/>
      <c r="HZ559" s="855"/>
      <c r="IA559" s="855"/>
      <c r="IB559" s="855"/>
      <c r="IC559" s="855"/>
      <c r="ID559" s="855"/>
      <c r="IE559" s="855"/>
      <c r="IF559" s="855"/>
      <c r="IG559" s="855"/>
      <c r="IH559" s="855"/>
      <c r="II559" s="855"/>
      <c r="IJ559" s="855"/>
      <c r="IK559" s="855"/>
      <c r="IL559" s="855"/>
      <c r="IM559" s="855"/>
      <c r="IN559" s="855"/>
      <c r="IO559" s="855"/>
      <c r="IP559" s="855"/>
      <c r="IQ559" s="855"/>
      <c r="IR559" s="855"/>
      <c r="IS559" s="855"/>
      <c r="IT559" s="855"/>
      <c r="IU559" s="855"/>
      <c r="IV559" s="855"/>
      <c r="IW559" s="855"/>
      <c r="IX559" s="855"/>
      <c r="IY559" s="855"/>
      <c r="IZ559" s="855"/>
      <c r="JA559" s="855"/>
      <c r="JB559" s="855"/>
      <c r="JC559" s="855"/>
      <c r="JD559" s="855"/>
      <c r="JE559" s="855"/>
      <c r="JF559" s="855"/>
      <c r="JG559" s="855"/>
      <c r="JH559" s="855"/>
      <c r="JI559" s="855"/>
      <c r="JJ559" s="855"/>
      <c r="JK559" s="855"/>
      <c r="JL559" s="855"/>
      <c r="JM559"/>
    </row>
    <row r="560" spans="1:273" s="860" customFormat="1">
      <c r="A560" s="302" t="s">
        <v>685</v>
      </c>
      <c r="B560" s="298"/>
      <c r="C560" s="296"/>
      <c r="D560" s="296"/>
      <c r="E560" s="296"/>
      <c r="F560" s="296"/>
      <c r="G560" s="296"/>
      <c r="H560" s="296"/>
      <c r="I560" s="296"/>
      <c r="J560" s="296"/>
      <c r="K560" s="296"/>
      <c r="L560" s="296"/>
      <c r="M560" s="296"/>
      <c r="N560" s="296"/>
      <c r="O560" s="296"/>
      <c r="P560" s="296"/>
      <c r="Q560" s="296"/>
      <c r="R560" s="296"/>
      <c r="S560" s="296"/>
      <c r="T560" s="296"/>
      <c r="U560" s="296"/>
      <c r="V560" s="296"/>
      <c r="W560" s="296"/>
      <c r="X560" s="296"/>
      <c r="Y560" s="296"/>
      <c r="Z560" s="296"/>
      <c r="AA560" s="296"/>
      <c r="AB560" s="296"/>
      <c r="AC560" s="296"/>
      <c r="AD560" s="296"/>
      <c r="AE560" s="296"/>
      <c r="AF560" s="296"/>
      <c r="AG560" s="296"/>
      <c r="AH560" s="296"/>
      <c r="AI560" s="296"/>
      <c r="AJ560" s="296"/>
      <c r="AK560" s="296"/>
      <c r="AL560" s="296"/>
      <c r="AM560" s="296"/>
      <c r="AN560" s="298"/>
      <c r="AO560" s="298"/>
      <c r="AP560" s="298"/>
      <c r="AQ560" s="298"/>
      <c r="AR560" s="298"/>
      <c r="AS560" s="298"/>
      <c r="AT560" s="298"/>
      <c r="AU560" s="972">
        <f>SUM(AV560:BZ560)</f>
        <v>0</v>
      </c>
      <c r="AV560" s="973">
        <v>0</v>
      </c>
      <c r="AW560" s="973">
        <v>0</v>
      </c>
      <c r="AX560" s="980"/>
      <c r="AY560" s="633"/>
      <c r="AZ560" s="973">
        <v>0</v>
      </c>
      <c r="BA560" s="973">
        <v>0</v>
      </c>
      <c r="BB560" s="857"/>
      <c r="BC560" s="857"/>
      <c r="BD560" s="973">
        <v>0</v>
      </c>
      <c r="BE560" s="973">
        <v>0</v>
      </c>
      <c r="BF560" s="929">
        <f>BD560+BE560</f>
        <v>0</v>
      </c>
      <c r="BG560" s="974"/>
      <c r="BH560" s="973">
        <v>0</v>
      </c>
      <c r="BI560" s="973">
        <v>0</v>
      </c>
      <c r="BJ560" s="929">
        <f t="shared" ref="BJ560:BJ565" si="646">BH560+BI560</f>
        <v>0</v>
      </c>
      <c r="BK560" s="974"/>
      <c r="BL560" s="973">
        <v>0</v>
      </c>
      <c r="BM560" s="973">
        <v>0</v>
      </c>
      <c r="BN560" s="929">
        <f t="shared" ref="BN560:BN565" si="647">BL560+BM560</f>
        <v>0</v>
      </c>
      <c r="BO560" s="974"/>
      <c r="BP560" s="973">
        <v>0</v>
      </c>
      <c r="BQ560" s="973">
        <v>0</v>
      </c>
      <c r="BR560" s="929">
        <f t="shared" ref="BR560:BR565" si="648">BP560+BQ560</f>
        <v>0</v>
      </c>
      <c r="BS560" s="974"/>
      <c r="BT560" s="973">
        <v>0</v>
      </c>
      <c r="BU560" s="973">
        <v>0</v>
      </c>
      <c r="BV560" s="929">
        <f t="shared" ref="BV560:BV565" si="649">BT560+BU560</f>
        <v>0</v>
      </c>
      <c r="BW560" s="974"/>
      <c r="BX560" s="974"/>
      <c r="BY560" s="974"/>
      <c r="BZ560" s="974"/>
      <c r="CA560" s="974"/>
      <c r="CB560" s="974"/>
      <c r="CC560" s="974"/>
      <c r="CD560" s="974"/>
      <c r="CE560" s="1618"/>
      <c r="CF560" s="974"/>
      <c r="CG560" s="974"/>
      <c r="CH560" s="974"/>
      <c r="CI560" s="1618"/>
      <c r="CJ560" s="974"/>
      <c r="CK560" s="974"/>
      <c r="CL560" s="974"/>
      <c r="CM560" s="1618"/>
      <c r="CN560" s="974"/>
      <c r="CO560" s="974"/>
      <c r="CP560" s="974"/>
      <c r="CQ560" s="1618"/>
      <c r="CR560" s="974"/>
      <c r="CS560" s="974"/>
      <c r="CT560" s="974"/>
      <c r="CU560" s="974"/>
      <c r="CV560" s="974"/>
      <c r="CW560" s="974"/>
      <c r="CX560" s="974"/>
      <c r="CY560" s="974"/>
      <c r="CZ560" s="974"/>
      <c r="DA560" s="974"/>
      <c r="DB560" s="974"/>
      <c r="DC560" s="974"/>
      <c r="DD560" s="974"/>
      <c r="DE560" s="974"/>
      <c r="DF560" s="974"/>
      <c r="DG560" s="974"/>
      <c r="DH560" s="974"/>
      <c r="DI560" s="974"/>
      <c r="DJ560" s="974"/>
      <c r="DK560" s="974"/>
      <c r="DL560" s="974"/>
      <c r="DM560" s="974"/>
      <c r="DN560" s="974"/>
      <c r="DO560" s="929"/>
      <c r="DP560" s="974"/>
      <c r="DQ560" s="974"/>
      <c r="DR560" s="974"/>
      <c r="DS560" s="929"/>
      <c r="DT560" s="974"/>
      <c r="DU560" s="859"/>
      <c r="DV560" s="859"/>
      <c r="DW560" s="859"/>
      <c r="DX560" s="929"/>
      <c r="DY560" s="857"/>
      <c r="DZ560" s="859"/>
      <c r="EA560" s="859"/>
      <c r="EB560" s="929"/>
      <c r="EC560" s="857"/>
      <c r="ED560" s="859"/>
      <c r="EE560" s="859"/>
      <c r="EF560" s="929"/>
      <c r="EG560" s="857"/>
      <c r="EH560" s="857"/>
      <c r="EI560" s="857"/>
      <c r="EJ560" s="857"/>
      <c r="EK560" s="857"/>
      <c r="EL560" s="857"/>
      <c r="EM560" s="857"/>
      <c r="EN560" s="857"/>
      <c r="EO560" s="857"/>
      <c r="EP560" s="857"/>
      <c r="FL560" s="855"/>
      <c r="FM560" s="855"/>
      <c r="FN560" s="855"/>
      <c r="FO560" s="855"/>
      <c r="FP560" s="855"/>
      <c r="FQ560" s="855"/>
      <c r="FR560" s="855"/>
      <c r="FS560" s="855"/>
      <c r="FT560" s="855"/>
      <c r="FU560" s="855"/>
      <c r="FV560" s="855"/>
      <c r="FW560" s="855"/>
      <c r="FX560" s="855"/>
      <c r="FY560" s="855"/>
      <c r="FZ560" s="855"/>
      <c r="GA560" s="855"/>
      <c r="GB560" s="855"/>
      <c r="GC560" s="855"/>
      <c r="GD560" s="855"/>
      <c r="GE560" s="855"/>
      <c r="GF560" s="855"/>
      <c r="GG560" s="855"/>
      <c r="GH560" s="855"/>
      <c r="GI560" s="855"/>
      <c r="GJ560" s="855"/>
      <c r="GK560" s="855"/>
      <c r="GL560" s="855"/>
      <c r="GM560" s="855"/>
      <c r="GN560" s="855"/>
      <c r="GO560" s="855"/>
      <c r="GP560" s="855"/>
      <c r="GQ560" s="855"/>
      <c r="GR560" s="855"/>
      <c r="GS560" s="855"/>
      <c r="GT560" s="855"/>
      <c r="GU560" s="855"/>
      <c r="GV560" s="855"/>
      <c r="GW560" s="855"/>
      <c r="GX560" s="855"/>
      <c r="GY560" s="855"/>
      <c r="GZ560" s="855"/>
      <c r="HA560" s="855"/>
      <c r="HB560" s="855"/>
      <c r="HC560" s="855"/>
      <c r="HD560" s="855"/>
      <c r="HE560" s="855"/>
      <c r="HF560" s="855"/>
      <c r="HG560" s="855"/>
      <c r="HH560" s="855"/>
      <c r="HI560" s="855"/>
      <c r="HJ560" s="855"/>
      <c r="HK560" s="855"/>
      <c r="HL560" s="855"/>
      <c r="HM560" s="855"/>
      <c r="HN560" s="855"/>
      <c r="HO560" s="855"/>
      <c r="HP560" s="855"/>
      <c r="HQ560" s="855"/>
      <c r="HR560" s="855"/>
      <c r="HS560" s="855"/>
      <c r="HT560" s="855"/>
      <c r="HU560" s="855"/>
      <c r="HV560" s="855"/>
      <c r="HW560" s="855"/>
      <c r="HX560" s="855"/>
      <c r="HY560" s="855"/>
      <c r="HZ560" s="855"/>
      <c r="IA560" s="855"/>
      <c r="IB560" s="855"/>
      <c r="IC560" s="855"/>
      <c r="ID560" s="855"/>
      <c r="IE560" s="855"/>
      <c r="IF560" s="855"/>
      <c r="IG560" s="855"/>
      <c r="IH560" s="855"/>
      <c r="II560" s="855"/>
      <c r="IJ560" s="855"/>
      <c r="IK560" s="855"/>
      <c r="IL560" s="855"/>
      <c r="IM560" s="855"/>
      <c r="IN560" s="855"/>
      <c r="IO560" s="855"/>
      <c r="IP560" s="855"/>
      <c r="IQ560" s="855"/>
      <c r="IR560" s="855"/>
      <c r="IS560" s="855"/>
      <c r="IT560" s="855"/>
      <c r="IU560" s="855"/>
      <c r="IV560" s="855"/>
      <c r="IW560" s="855"/>
      <c r="IX560" s="855"/>
      <c r="IY560" s="855"/>
      <c r="IZ560" s="855"/>
      <c r="JA560" s="855"/>
      <c r="JB560" s="855"/>
      <c r="JC560" s="855"/>
      <c r="JD560" s="855"/>
      <c r="JE560" s="855"/>
      <c r="JF560" s="855"/>
      <c r="JG560" s="855"/>
      <c r="JH560" s="855"/>
      <c r="JI560" s="855"/>
      <c r="JJ560" s="855"/>
      <c r="JK560" s="855"/>
      <c r="JL560" s="855"/>
      <c r="JM560"/>
    </row>
    <row r="561" spans="1:273" s="860" customFormat="1">
      <c r="A561" s="302" t="s">
        <v>686</v>
      </c>
      <c r="B561" s="298"/>
      <c r="C561" s="296"/>
      <c r="D561" s="296"/>
      <c r="E561" s="296"/>
      <c r="F561" s="296"/>
      <c r="G561" s="296"/>
      <c r="H561" s="296"/>
      <c r="I561" s="296"/>
      <c r="J561" s="296"/>
      <c r="K561" s="296"/>
      <c r="L561" s="296"/>
      <c r="M561" s="296"/>
      <c r="N561" s="296"/>
      <c r="O561" s="296"/>
      <c r="P561" s="296"/>
      <c r="Q561" s="296"/>
      <c r="R561" s="296"/>
      <c r="S561" s="296"/>
      <c r="T561" s="296"/>
      <c r="U561" s="296"/>
      <c r="V561" s="296"/>
      <c r="W561" s="296"/>
      <c r="X561" s="296"/>
      <c r="Y561" s="296"/>
      <c r="Z561" s="296"/>
      <c r="AA561" s="296"/>
      <c r="AB561" s="296"/>
      <c r="AC561" s="296"/>
      <c r="AD561" s="296"/>
      <c r="AE561" s="296"/>
      <c r="AF561" s="296"/>
      <c r="AG561" s="296"/>
      <c r="AH561" s="296"/>
      <c r="AI561" s="296"/>
      <c r="AJ561" s="296"/>
      <c r="AK561" s="296"/>
      <c r="AL561" s="296"/>
      <c r="AM561" s="296"/>
      <c r="AN561" s="298"/>
      <c r="AO561" s="298"/>
      <c r="AP561" s="929">
        <f>DIVISIONS!AP175</f>
        <v>0</v>
      </c>
      <c r="AQ561" s="298"/>
      <c r="AR561" s="298"/>
      <c r="AS561" s="298"/>
      <c r="AT561" s="929">
        <f>DIVISIONS!AT175</f>
        <v>0</v>
      </c>
      <c r="AU561" s="298"/>
      <c r="AV561" s="929">
        <f>DIVISIONS!AV175</f>
        <v>0</v>
      </c>
      <c r="AW561" s="929">
        <f>DIVISIONS!AW175</f>
        <v>0</v>
      </c>
      <c r="AX561" s="857"/>
      <c r="AY561" s="976"/>
      <c r="AZ561" s="929">
        <f>DIVISIONS!AZ175</f>
        <v>19</v>
      </c>
      <c r="BA561" s="929">
        <f>DIVISIONS!BA175</f>
        <v>0</v>
      </c>
      <c r="BB561" s="857"/>
      <c r="BC561" s="857"/>
      <c r="BD561" s="929">
        <f>DIVISIONS!BD175</f>
        <v>0</v>
      </c>
      <c r="BE561" s="929">
        <f>DIVISIONS!BE175</f>
        <v>0</v>
      </c>
      <c r="BF561" s="929">
        <f t="shared" ref="BF561:BF568" si="650">BD561+BE561</f>
        <v>0</v>
      </c>
      <c r="BG561" s="859"/>
      <c r="BH561" s="929">
        <f>DIVISIONS!BH175</f>
        <v>-40</v>
      </c>
      <c r="BI561" s="929">
        <f>DIVISIONS!BI175</f>
        <v>0</v>
      </c>
      <c r="BJ561" s="929">
        <f t="shared" si="646"/>
        <v>-40</v>
      </c>
      <c r="BK561" s="859"/>
      <c r="BL561" s="929">
        <f>DIVISIONS!BL175</f>
        <v>0</v>
      </c>
      <c r="BM561" s="929">
        <f>DIVISIONS!BM175</f>
        <v>0</v>
      </c>
      <c r="BN561" s="929">
        <f t="shared" si="647"/>
        <v>0</v>
      </c>
      <c r="BO561" s="859"/>
      <c r="BP561" s="929">
        <f>DIVISIONS!BP175</f>
        <v>0</v>
      </c>
      <c r="BQ561" s="929">
        <f>DIVISIONS!BQ175</f>
        <v>0</v>
      </c>
      <c r="BR561" s="929">
        <f t="shared" si="648"/>
        <v>0</v>
      </c>
      <c r="BS561" s="859"/>
      <c r="BT561" s="929">
        <f>DIVISIONS!BT175</f>
        <v>0</v>
      </c>
      <c r="BU561" s="929">
        <f>DIVISIONS!BU175</f>
        <v>0</v>
      </c>
      <c r="BV561" s="929">
        <f t="shared" si="649"/>
        <v>0</v>
      </c>
      <c r="BW561" s="859"/>
      <c r="BX561" s="929">
        <f>DIVISIONS!BX175</f>
        <v>0</v>
      </c>
      <c r="BY561" s="929">
        <f>DIVISIONS!BY175</f>
        <v>0</v>
      </c>
      <c r="BZ561" s="929">
        <f>BX561+BY561</f>
        <v>0</v>
      </c>
      <c r="CA561" s="859"/>
      <c r="CB561" s="929">
        <f>DIVISIONS!CB175</f>
        <v>0</v>
      </c>
      <c r="CC561" s="929">
        <f>DIVISIONS!CC175</f>
        <v>0</v>
      </c>
      <c r="CD561" s="929">
        <f>CB561+CC561</f>
        <v>0</v>
      </c>
      <c r="CE561" s="1619"/>
      <c r="CF561" s="929">
        <f>DIVISIONS!CF175</f>
        <v>0</v>
      </c>
      <c r="CG561" s="929">
        <f>DIVISIONS!CG175</f>
        <v>0</v>
      </c>
      <c r="CH561" s="929">
        <f>CF561+CG561</f>
        <v>0</v>
      </c>
      <c r="CI561" s="1619"/>
      <c r="CJ561" s="929">
        <f>DIVISIONS!CJ175</f>
        <v>0</v>
      </c>
      <c r="CK561" s="929">
        <f>DIVISIONS!CK175</f>
        <v>0</v>
      </c>
      <c r="CL561" s="929">
        <f>CJ561+CK561</f>
        <v>0</v>
      </c>
      <c r="CM561" s="1619"/>
      <c r="CN561" s="929">
        <f>DIVISIONS!CN175</f>
        <v>0</v>
      </c>
      <c r="CO561" s="929">
        <f>DIVISIONS!CO175</f>
        <v>0</v>
      </c>
      <c r="CP561" s="929">
        <f>CN561+CO561</f>
        <v>0</v>
      </c>
      <c r="CQ561" s="1619"/>
      <c r="CR561" s="929">
        <f>DIVISIONS!CR175</f>
        <v>0</v>
      </c>
      <c r="CS561" s="929">
        <f>DIVISIONS!CS175</f>
        <v>0</v>
      </c>
      <c r="CT561" s="929">
        <f>CR561+CS561</f>
        <v>0</v>
      </c>
      <c r="CU561" s="859"/>
      <c r="CV561" s="929">
        <f>DIVISIONS!CV175</f>
        <v>0</v>
      </c>
      <c r="CW561" s="929">
        <f>DIVISIONS!CW175</f>
        <v>0</v>
      </c>
      <c r="CX561" s="929">
        <f>CV561+CW561</f>
        <v>0</v>
      </c>
      <c r="CY561" s="859"/>
      <c r="CZ561" s="929">
        <f>DIVISIONS!CZ175</f>
        <v>0</v>
      </c>
      <c r="DA561" s="929">
        <f>DIVISIONS!DA175</f>
        <v>0</v>
      </c>
      <c r="DB561" s="929">
        <f>CZ561+DA561</f>
        <v>0</v>
      </c>
      <c r="DC561" s="859"/>
      <c r="DD561" s="929">
        <f>DIVISIONS!DD175</f>
        <v>0</v>
      </c>
      <c r="DE561" s="929">
        <f>DIVISIONS!DE175</f>
        <v>0</v>
      </c>
      <c r="DF561" s="929">
        <f>DD561+DE561</f>
        <v>0</v>
      </c>
      <c r="DG561" s="859"/>
      <c r="DH561" s="929">
        <f>DIVISIONS!DH175</f>
        <v>0</v>
      </c>
      <c r="DI561" s="859">
        <v>0</v>
      </c>
      <c r="DJ561" s="929">
        <f>DH561+DI561</f>
        <v>0</v>
      </c>
      <c r="DK561" s="859"/>
      <c r="DL561" s="859">
        <v>0</v>
      </c>
      <c r="DM561" s="859">
        <v>0</v>
      </c>
      <c r="DN561" s="929">
        <f>DL561+DM561</f>
        <v>0</v>
      </c>
      <c r="DO561" s="929"/>
      <c r="DP561" s="859">
        <v>0</v>
      </c>
      <c r="DQ561" s="859">
        <v>0</v>
      </c>
      <c r="DR561" s="929">
        <f>DP561+DQ561</f>
        <v>0</v>
      </c>
      <c r="DS561" s="929"/>
      <c r="DT561" s="859"/>
      <c r="DU561" s="859"/>
      <c r="DV561" s="859"/>
      <c r="DW561" s="859"/>
      <c r="DX561" s="929"/>
      <c r="DY561" s="857"/>
      <c r="DZ561" s="859"/>
      <c r="EA561" s="859"/>
      <c r="EB561" s="929"/>
      <c r="EC561" s="857"/>
      <c r="ED561" s="859"/>
      <c r="EE561" s="859"/>
      <c r="EF561" s="929"/>
      <c r="EG561" s="857"/>
      <c r="EH561" s="857"/>
      <c r="EI561" s="857"/>
      <c r="EJ561" s="857"/>
      <c r="EK561" s="857"/>
      <c r="EL561" s="857"/>
      <c r="EM561" s="857"/>
      <c r="EN561" s="857"/>
      <c r="EO561" s="857"/>
      <c r="EP561" s="857"/>
      <c r="FL561" s="855"/>
      <c r="FM561" s="855"/>
      <c r="FN561" s="855"/>
      <c r="FO561" s="855"/>
      <c r="FP561" s="855"/>
      <c r="FQ561" s="855"/>
      <c r="FR561" s="855"/>
      <c r="FS561" s="855"/>
      <c r="FT561" s="855"/>
      <c r="FU561" s="855"/>
      <c r="FV561" s="855"/>
      <c r="FW561" s="855"/>
      <c r="FX561" s="855"/>
      <c r="FY561" s="855"/>
      <c r="FZ561" s="855"/>
      <c r="GA561" s="855"/>
      <c r="GB561" s="855"/>
      <c r="GC561" s="855"/>
      <c r="GD561" s="855"/>
      <c r="GE561" s="855"/>
      <c r="GF561" s="855"/>
      <c r="GG561" s="855"/>
      <c r="GH561" s="855"/>
      <c r="GI561" s="855"/>
      <c r="GJ561" s="855"/>
      <c r="GK561" s="855"/>
      <c r="GL561" s="855"/>
      <c r="GM561" s="855"/>
      <c r="GN561" s="855"/>
      <c r="GO561" s="855"/>
      <c r="GP561" s="855"/>
      <c r="GQ561" s="855"/>
      <c r="GR561" s="855"/>
      <c r="GS561" s="855"/>
      <c r="GT561" s="855"/>
      <c r="GU561" s="855"/>
      <c r="GV561" s="855"/>
      <c r="GW561" s="855"/>
      <c r="GX561" s="855"/>
      <c r="GY561" s="855"/>
      <c r="GZ561" s="855"/>
      <c r="HA561" s="855"/>
      <c r="HB561" s="855"/>
      <c r="HC561" s="855"/>
      <c r="HD561" s="855"/>
      <c r="HE561" s="855"/>
      <c r="HF561" s="855"/>
      <c r="HG561" s="855"/>
      <c r="HH561" s="855"/>
      <c r="HI561" s="855"/>
      <c r="HJ561" s="855"/>
      <c r="HK561" s="855"/>
      <c r="HL561" s="855"/>
      <c r="HM561" s="855"/>
      <c r="HN561" s="855"/>
      <c r="HO561" s="855"/>
      <c r="HP561" s="855"/>
      <c r="HQ561" s="855"/>
      <c r="HR561" s="855"/>
      <c r="HS561" s="855"/>
      <c r="HT561" s="855"/>
      <c r="HU561" s="855"/>
      <c r="HV561" s="855"/>
      <c r="HW561" s="855"/>
      <c r="HX561" s="855"/>
      <c r="HY561" s="855"/>
      <c r="HZ561" s="855"/>
      <c r="IA561" s="855"/>
      <c r="IB561" s="855"/>
      <c r="IC561" s="855"/>
      <c r="ID561" s="855"/>
      <c r="IE561" s="855"/>
      <c r="IF561" s="855"/>
      <c r="IG561" s="855"/>
      <c r="IH561" s="855"/>
      <c r="II561" s="855"/>
      <c r="IJ561" s="855"/>
      <c r="IK561" s="855"/>
      <c r="IL561" s="855"/>
      <c r="IM561" s="855"/>
      <c r="IN561" s="855"/>
      <c r="IO561" s="855"/>
      <c r="IP561" s="855"/>
      <c r="IQ561" s="855"/>
      <c r="IR561" s="855"/>
      <c r="IS561" s="855"/>
      <c r="IT561" s="855"/>
      <c r="IU561" s="855"/>
      <c r="IV561" s="855"/>
      <c r="IW561" s="855"/>
      <c r="IX561" s="855"/>
      <c r="IY561" s="855"/>
      <c r="IZ561" s="855"/>
      <c r="JA561" s="855"/>
      <c r="JB561" s="855"/>
      <c r="JC561" s="855"/>
      <c r="JD561" s="855"/>
      <c r="JE561" s="855"/>
      <c r="JF561" s="855"/>
      <c r="JG561" s="855"/>
      <c r="JH561" s="855"/>
      <c r="JI561" s="855"/>
      <c r="JJ561" s="855"/>
      <c r="JK561" s="855"/>
      <c r="JL561" s="855"/>
      <c r="JM561"/>
    </row>
    <row r="562" spans="1:273" s="860" customFormat="1">
      <c r="A562" s="302" t="s">
        <v>616</v>
      </c>
      <c r="B562" s="298"/>
      <c r="C562" s="296"/>
      <c r="D562" s="296"/>
      <c r="E562" s="296"/>
      <c r="F562" s="296"/>
      <c r="G562" s="296"/>
      <c r="H562" s="296"/>
      <c r="I562" s="296"/>
      <c r="J562" s="296"/>
      <c r="K562" s="296"/>
      <c r="L562" s="296"/>
      <c r="M562" s="296"/>
      <c r="N562" s="296"/>
      <c r="O562" s="296"/>
      <c r="P562" s="296"/>
      <c r="Q562" s="296"/>
      <c r="R562" s="296"/>
      <c r="S562" s="296"/>
      <c r="T562" s="296"/>
      <c r="U562" s="296"/>
      <c r="V562" s="296"/>
      <c r="W562" s="296"/>
      <c r="X562" s="296"/>
      <c r="Y562" s="296"/>
      <c r="Z562" s="296"/>
      <c r="AA562" s="296"/>
      <c r="AB562" s="296"/>
      <c r="AC562" s="296"/>
      <c r="AD562" s="296"/>
      <c r="AE562" s="296"/>
      <c r="AF562" s="296"/>
      <c r="AG562" s="296"/>
      <c r="AH562" s="296"/>
      <c r="AI562" s="296"/>
      <c r="AJ562" s="296"/>
      <c r="AK562" s="296"/>
      <c r="AL562" s="296"/>
      <c r="AM562" s="296"/>
      <c r="AN562" s="298"/>
      <c r="AO562" s="298"/>
      <c r="AP562" s="929">
        <f>DIVISIONS!AP429</f>
        <v>0</v>
      </c>
      <c r="AQ562" s="298"/>
      <c r="AR562" s="298"/>
      <c r="AS562" s="298"/>
      <c r="AT562" s="929">
        <f>DIVISIONS!AT429</f>
        <v>0</v>
      </c>
      <c r="AU562" s="298"/>
      <c r="AV562" s="929">
        <f>DIVISIONS!AV429</f>
        <v>0</v>
      </c>
      <c r="AW562" s="929">
        <f>DIVISIONS!AW429</f>
        <v>0</v>
      </c>
      <c r="AX562" s="857"/>
      <c r="AY562" s="976"/>
      <c r="AZ562" s="929">
        <f>DIVISIONS!AZ429</f>
        <v>0</v>
      </c>
      <c r="BA562" s="929">
        <f>DIVISIONS!BA429</f>
        <v>0</v>
      </c>
      <c r="BB562" s="857"/>
      <c r="BC562" s="857"/>
      <c r="BD562" s="929">
        <f>DIVISIONS!BD429</f>
        <v>0</v>
      </c>
      <c r="BE562" s="929">
        <f>DIVISIONS!BE429</f>
        <v>29</v>
      </c>
      <c r="BF562" s="929">
        <f t="shared" si="650"/>
        <v>29</v>
      </c>
      <c r="BG562" s="859"/>
      <c r="BH562" s="929">
        <f>DIVISIONS!BH429</f>
        <v>0</v>
      </c>
      <c r="BI562" s="929">
        <f>DIVISIONS!BI429</f>
        <v>0</v>
      </c>
      <c r="BJ562" s="929">
        <f t="shared" si="646"/>
        <v>0</v>
      </c>
      <c r="BK562" s="859"/>
      <c r="BL562" s="929">
        <f>DIVISIONS!BL429</f>
        <v>0</v>
      </c>
      <c r="BM562" s="929">
        <f>DIVISIONS!BM429</f>
        <v>0</v>
      </c>
      <c r="BN562" s="929">
        <f t="shared" si="647"/>
        <v>0</v>
      </c>
      <c r="BO562" s="859"/>
      <c r="BP562" s="929">
        <f>DIVISIONS!BP429</f>
        <v>0</v>
      </c>
      <c r="BQ562" s="929">
        <f>DIVISIONS!BQ429</f>
        <v>0</v>
      </c>
      <c r="BR562" s="929">
        <f t="shared" si="648"/>
        <v>0</v>
      </c>
      <c r="BS562" s="859"/>
      <c r="BT562" s="929">
        <f>DIVISIONS!BT429</f>
        <v>0</v>
      </c>
      <c r="BU562" s="929">
        <f>DIVISIONS!BU429</f>
        <v>0</v>
      </c>
      <c r="BV562" s="929">
        <f t="shared" si="649"/>
        <v>0</v>
      </c>
      <c r="BW562" s="859"/>
      <c r="BX562" s="929">
        <f>DIVISIONS!BX429</f>
        <v>0</v>
      </c>
      <c r="BY562" s="929">
        <f>DIVISIONS!BY429</f>
        <v>0</v>
      </c>
      <c r="BZ562" s="929">
        <f>BX562+BY562</f>
        <v>0</v>
      </c>
      <c r="CA562" s="859"/>
      <c r="CB562" s="929">
        <f>DIVISIONS!CB429</f>
        <v>0</v>
      </c>
      <c r="CC562" s="929">
        <f>DIVISIONS!CC429</f>
        <v>0</v>
      </c>
      <c r="CD562" s="929">
        <f>CB562+CC562</f>
        <v>0</v>
      </c>
      <c r="CE562" s="1619"/>
      <c r="CF562" s="929">
        <f>DIVISIONS!CF429</f>
        <v>0</v>
      </c>
      <c r="CG562" s="929">
        <f>DIVISIONS!CG429</f>
        <v>0</v>
      </c>
      <c r="CH562" s="929">
        <f>CF562+CG562</f>
        <v>0</v>
      </c>
      <c r="CI562" s="1619"/>
      <c r="CJ562" s="929">
        <f>DIVISIONS!CJ429</f>
        <v>0</v>
      </c>
      <c r="CK562" s="929">
        <f>DIVISIONS!CK429</f>
        <v>0</v>
      </c>
      <c r="CL562" s="929">
        <f>CJ562+CK562</f>
        <v>0</v>
      </c>
      <c r="CM562" s="1619"/>
      <c r="CN562" s="929">
        <f>DIVISIONS!CN429</f>
        <v>0</v>
      </c>
      <c r="CO562" s="929">
        <f>DIVISIONS!CO429</f>
        <v>0</v>
      </c>
      <c r="CP562" s="929">
        <f>CN562+CO562</f>
        <v>0</v>
      </c>
      <c r="CQ562" s="1619"/>
      <c r="CR562" s="929">
        <f>DIVISIONS!CR429</f>
        <v>0</v>
      </c>
      <c r="CS562" s="929">
        <f>DIVISIONS!CS429</f>
        <v>0</v>
      </c>
      <c r="CT562" s="929">
        <f>CR562+CS562</f>
        <v>0</v>
      </c>
      <c r="CU562" s="859"/>
      <c r="CV562" s="929">
        <f>DIVISIONS!CV429</f>
        <v>0</v>
      </c>
      <c r="CW562" s="929">
        <f>DIVISIONS!CW429</f>
        <v>0</v>
      </c>
      <c r="CX562" s="929">
        <f>CV562+CW562</f>
        <v>0</v>
      </c>
      <c r="CY562" s="859"/>
      <c r="CZ562" s="929">
        <f>DIVISIONS!CZ429</f>
        <v>0</v>
      </c>
      <c r="DA562" s="929">
        <f>DIVISIONS!DA429</f>
        <v>0</v>
      </c>
      <c r="DB562" s="929">
        <f>CZ562+DA562</f>
        <v>0</v>
      </c>
      <c r="DC562" s="859"/>
      <c r="DD562" s="929">
        <f>DIVISIONS!DD429</f>
        <v>0</v>
      </c>
      <c r="DE562" s="929">
        <f>DIVISIONS!DE429</f>
        <v>0</v>
      </c>
      <c r="DF562" s="929">
        <f>DD562+DE562</f>
        <v>0</v>
      </c>
      <c r="DG562" s="859"/>
      <c r="DH562" s="929">
        <f>DIVISIONS!DH429</f>
        <v>0</v>
      </c>
      <c r="DI562" s="859">
        <v>0</v>
      </c>
      <c r="DJ562" s="929">
        <f>DH562+DI562</f>
        <v>0</v>
      </c>
      <c r="DK562" s="859"/>
      <c r="DL562" s="859">
        <v>0</v>
      </c>
      <c r="DM562" s="859">
        <v>0</v>
      </c>
      <c r="DN562" s="929">
        <f>DL562+DM562</f>
        <v>0</v>
      </c>
      <c r="DO562" s="929"/>
      <c r="DP562" s="859">
        <v>0</v>
      </c>
      <c r="DQ562" s="859">
        <v>0</v>
      </c>
      <c r="DR562" s="929">
        <f>DP562+DQ562</f>
        <v>0</v>
      </c>
      <c r="DS562" s="929"/>
      <c r="DT562" s="859"/>
      <c r="DU562" s="859"/>
      <c r="DV562" s="859"/>
      <c r="DW562" s="859"/>
      <c r="DX562" s="929"/>
      <c r="DY562" s="857"/>
      <c r="DZ562" s="859"/>
      <c r="EA562" s="859"/>
      <c r="EB562" s="929"/>
      <c r="EC562" s="857"/>
      <c r="ED562" s="859"/>
      <c r="EE562" s="859"/>
      <c r="EF562" s="929"/>
      <c r="EG562" s="857"/>
      <c r="EH562" s="857"/>
      <c r="EI562" s="857"/>
      <c r="EJ562" s="857"/>
      <c r="EK562" s="857"/>
      <c r="EL562" s="857"/>
      <c r="EM562" s="857"/>
      <c r="EN562" s="857"/>
      <c r="EO562" s="857"/>
      <c r="EP562" s="857"/>
      <c r="FL562" s="855"/>
      <c r="FM562" s="855"/>
      <c r="FN562" s="855"/>
      <c r="FO562" s="855"/>
      <c r="FP562" s="855"/>
      <c r="FQ562" s="855"/>
      <c r="FR562" s="855"/>
      <c r="FS562" s="855"/>
      <c r="FT562" s="855"/>
      <c r="FU562" s="855"/>
      <c r="FV562" s="855"/>
      <c r="FW562" s="855"/>
      <c r="FX562" s="855"/>
      <c r="FY562" s="855"/>
      <c r="FZ562" s="855"/>
      <c r="GA562" s="855"/>
      <c r="GB562" s="855"/>
      <c r="GC562" s="855"/>
      <c r="GD562" s="855"/>
      <c r="GE562" s="855"/>
      <c r="GF562" s="855"/>
      <c r="GG562" s="855"/>
      <c r="GH562" s="855"/>
      <c r="GI562" s="855"/>
      <c r="GJ562" s="855"/>
      <c r="GK562" s="855"/>
      <c r="GL562" s="855"/>
      <c r="GM562" s="855"/>
      <c r="GN562" s="855"/>
      <c r="GO562" s="855"/>
      <c r="GP562" s="855"/>
      <c r="GQ562" s="855"/>
      <c r="GR562" s="855"/>
      <c r="GS562" s="855"/>
      <c r="GT562" s="855"/>
      <c r="GU562" s="855"/>
      <c r="GV562" s="855"/>
      <c r="GW562" s="855"/>
      <c r="GX562" s="855"/>
      <c r="GY562" s="855"/>
      <c r="GZ562" s="855"/>
      <c r="HA562" s="855"/>
      <c r="HB562" s="855"/>
      <c r="HC562" s="855"/>
      <c r="HD562" s="855"/>
      <c r="HE562" s="855"/>
      <c r="HF562" s="855"/>
      <c r="HG562" s="855"/>
      <c r="HH562" s="855"/>
      <c r="HI562" s="855"/>
      <c r="HJ562" s="855"/>
      <c r="HK562" s="855"/>
      <c r="HL562" s="855"/>
      <c r="HM562" s="855"/>
      <c r="HN562" s="855"/>
      <c r="HO562" s="855"/>
      <c r="HP562" s="855"/>
      <c r="HQ562" s="855"/>
      <c r="HR562" s="855"/>
      <c r="HS562" s="855"/>
      <c r="HT562" s="855"/>
      <c r="HU562" s="855"/>
      <c r="HV562" s="855"/>
      <c r="HW562" s="855"/>
      <c r="HX562" s="855"/>
      <c r="HY562" s="855"/>
      <c r="HZ562" s="855"/>
      <c r="IA562" s="855"/>
      <c r="IB562" s="855"/>
      <c r="IC562" s="855"/>
      <c r="ID562" s="855"/>
      <c r="IE562" s="855"/>
      <c r="IF562" s="855"/>
      <c r="IG562" s="855"/>
      <c r="IH562" s="855"/>
      <c r="II562" s="855"/>
      <c r="IJ562" s="855"/>
      <c r="IK562" s="855"/>
      <c r="IL562" s="855"/>
      <c r="IM562" s="855"/>
      <c r="IN562" s="855"/>
      <c r="IO562" s="855"/>
      <c r="IP562" s="855"/>
      <c r="IQ562" s="855"/>
      <c r="IR562" s="855"/>
      <c r="IS562" s="855"/>
      <c r="IT562" s="855"/>
      <c r="IU562" s="855"/>
      <c r="IV562" s="855"/>
      <c r="IW562" s="855"/>
      <c r="IX562" s="855"/>
      <c r="IY562" s="855"/>
      <c r="IZ562" s="855"/>
      <c r="JA562" s="855"/>
      <c r="JB562" s="855"/>
      <c r="JC562" s="855"/>
      <c r="JD562" s="855"/>
      <c r="JE562" s="855"/>
      <c r="JF562" s="855"/>
      <c r="JG562" s="855"/>
      <c r="JH562" s="855"/>
      <c r="JI562" s="855"/>
      <c r="JJ562" s="855"/>
      <c r="JK562" s="855"/>
      <c r="JL562" s="855"/>
      <c r="JM562"/>
    </row>
    <row r="563" spans="1:273" s="860" customFormat="1">
      <c r="A563" s="302" t="s">
        <v>1024</v>
      </c>
      <c r="B563" s="298"/>
      <c r="C563" s="296"/>
      <c r="D563" s="296"/>
      <c r="E563" s="296"/>
      <c r="F563" s="296"/>
      <c r="G563" s="296"/>
      <c r="H563" s="296"/>
      <c r="I563" s="296"/>
      <c r="J563" s="296"/>
      <c r="K563" s="296"/>
      <c r="L563" s="296"/>
      <c r="M563" s="296"/>
      <c r="N563" s="296"/>
      <c r="O563" s="296"/>
      <c r="P563" s="296"/>
      <c r="Q563" s="296"/>
      <c r="R563" s="296"/>
      <c r="S563" s="296"/>
      <c r="T563" s="296"/>
      <c r="U563" s="296"/>
      <c r="V563" s="296"/>
      <c r="W563" s="296"/>
      <c r="X563" s="296"/>
      <c r="Y563" s="296"/>
      <c r="Z563" s="296"/>
      <c r="AA563" s="296"/>
      <c r="AB563" s="296"/>
      <c r="AC563" s="296"/>
      <c r="AD563" s="296"/>
      <c r="AE563" s="296"/>
      <c r="AF563" s="296"/>
      <c r="AG563" s="296"/>
      <c r="AH563" s="296"/>
      <c r="AI563" s="296"/>
      <c r="AJ563" s="296"/>
      <c r="AK563" s="296"/>
      <c r="AL563" s="296"/>
      <c r="AM563" s="296"/>
      <c r="AN563" s="298"/>
      <c r="AO563" s="298"/>
      <c r="AP563" s="929">
        <f>DIVISIONS!AP314</f>
        <v>0</v>
      </c>
      <c r="AQ563" s="298"/>
      <c r="AR563" s="298"/>
      <c r="AS563" s="298"/>
      <c r="AT563" s="929">
        <f>DIVISIONS!AT314</f>
        <v>0</v>
      </c>
      <c r="AU563" s="298"/>
      <c r="AV563" s="929">
        <f>DIVISIONS!AV314</f>
        <v>0</v>
      </c>
      <c r="AW563" s="929">
        <f>DIVISIONS!AW314</f>
        <v>0</v>
      </c>
      <c r="AX563" s="857"/>
      <c r="AY563" s="976"/>
      <c r="AZ563" s="929">
        <f>DIVISIONS!AZ314</f>
        <v>0</v>
      </c>
      <c r="BA563" s="929">
        <f>DIVISIONS!BA314</f>
        <v>0</v>
      </c>
      <c r="BB563" s="857"/>
      <c r="BC563" s="857"/>
      <c r="BD563" s="929">
        <f>DIVISIONS!BD314</f>
        <v>0</v>
      </c>
      <c r="BE563" s="929">
        <f>DIVISIONS!BE314</f>
        <v>36</v>
      </c>
      <c r="BF563" s="929">
        <f t="shared" si="650"/>
        <v>36</v>
      </c>
      <c r="BG563" s="859"/>
      <c r="BH563" s="929">
        <f>DIVISIONS!BH314</f>
        <v>0</v>
      </c>
      <c r="BI563" s="929">
        <f>DIVISIONS!BI314</f>
        <v>0</v>
      </c>
      <c r="BJ563" s="929">
        <f t="shared" si="646"/>
        <v>0</v>
      </c>
      <c r="BK563" s="859"/>
      <c r="BL563" s="929">
        <f>DIVISIONS!BL314</f>
        <v>0</v>
      </c>
      <c r="BM563" s="929">
        <f>DIVISIONS!BM314</f>
        <v>0</v>
      </c>
      <c r="BN563" s="929">
        <f t="shared" si="647"/>
        <v>0</v>
      </c>
      <c r="BO563" s="859"/>
      <c r="BP563" s="929">
        <f>DIVISIONS!BP314</f>
        <v>0</v>
      </c>
      <c r="BQ563" s="929">
        <f>DIVISIONS!BQ314</f>
        <v>0</v>
      </c>
      <c r="BR563" s="929">
        <f t="shared" si="648"/>
        <v>0</v>
      </c>
      <c r="BS563" s="859"/>
      <c r="BT563" s="929">
        <f>DIVISIONS!BT314</f>
        <v>0</v>
      </c>
      <c r="BU563" s="929">
        <f>DIVISIONS!BU314</f>
        <v>0</v>
      </c>
      <c r="BV563" s="929">
        <f t="shared" si="649"/>
        <v>0</v>
      </c>
      <c r="BW563" s="859"/>
      <c r="BX563" s="929">
        <f>DIVISIONS!BX314</f>
        <v>0</v>
      </c>
      <c r="BY563" s="929">
        <f>DIVISIONS!BY314</f>
        <v>0</v>
      </c>
      <c r="BZ563" s="929">
        <f>BX563+BY563</f>
        <v>0</v>
      </c>
      <c r="CA563" s="859"/>
      <c r="CB563" s="929">
        <f>DIVISIONS!CB314</f>
        <v>0</v>
      </c>
      <c r="CC563" s="929">
        <f>DIVISIONS!CC314</f>
        <v>0</v>
      </c>
      <c r="CD563" s="929">
        <f>CB563+CC563</f>
        <v>0</v>
      </c>
      <c r="CE563" s="1619"/>
      <c r="CF563" s="929">
        <f>DIVISIONS!CF314</f>
        <v>0</v>
      </c>
      <c r="CG563" s="929">
        <f>DIVISIONS!CG314</f>
        <v>0</v>
      </c>
      <c r="CH563" s="929">
        <f>CF563+CG563</f>
        <v>0</v>
      </c>
      <c r="CI563" s="1619"/>
      <c r="CJ563" s="929">
        <f>DIVISIONS!CJ314</f>
        <v>0</v>
      </c>
      <c r="CK563" s="929">
        <f>DIVISIONS!CK314</f>
        <v>0</v>
      </c>
      <c r="CL563" s="929">
        <f>CJ563+CK563</f>
        <v>0</v>
      </c>
      <c r="CM563" s="1619"/>
      <c r="CN563" s="929">
        <f>DIVISIONS!CN314</f>
        <v>0</v>
      </c>
      <c r="CO563" s="929">
        <f>DIVISIONS!CO314</f>
        <v>0</v>
      </c>
      <c r="CP563" s="929">
        <f>CN563+CO563</f>
        <v>0</v>
      </c>
      <c r="CQ563" s="1619"/>
      <c r="CR563" s="929">
        <f>DIVISIONS!CR314</f>
        <v>0</v>
      </c>
      <c r="CS563" s="929">
        <f>DIVISIONS!CS314</f>
        <v>0</v>
      </c>
      <c r="CT563" s="929">
        <f>CR563+CS563</f>
        <v>0</v>
      </c>
      <c r="CU563" s="859"/>
      <c r="CV563" s="929">
        <f>DIVISIONS!CV314</f>
        <v>0</v>
      </c>
      <c r="CW563" s="929">
        <f>DIVISIONS!CW314</f>
        <v>0</v>
      </c>
      <c r="CX563" s="929">
        <f>CV563+CW563</f>
        <v>0</v>
      </c>
      <c r="CY563" s="859"/>
      <c r="CZ563" s="929">
        <f>DIVISIONS!CZ314</f>
        <v>0</v>
      </c>
      <c r="DA563" s="929">
        <f>DIVISIONS!DA314</f>
        <v>0</v>
      </c>
      <c r="DB563" s="929">
        <f>CZ563+DA563</f>
        <v>0</v>
      </c>
      <c r="DC563" s="859"/>
      <c r="DD563" s="929">
        <f>DIVISIONS!DD314</f>
        <v>0</v>
      </c>
      <c r="DE563" s="929">
        <f>DIVISIONS!DE314</f>
        <v>0</v>
      </c>
      <c r="DF563" s="929">
        <f>DD563+DE563</f>
        <v>0</v>
      </c>
      <c r="DG563" s="859"/>
      <c r="DH563" s="929">
        <f>DIVISIONS!DH314</f>
        <v>0</v>
      </c>
      <c r="DI563" s="859">
        <v>0</v>
      </c>
      <c r="DJ563" s="929">
        <f>DH563+DI563</f>
        <v>0</v>
      </c>
      <c r="DK563" s="859"/>
      <c r="DL563" s="859">
        <v>0</v>
      </c>
      <c r="DM563" s="859">
        <v>0</v>
      </c>
      <c r="DN563" s="929">
        <f>DL563+DM563</f>
        <v>0</v>
      </c>
      <c r="DO563" s="929"/>
      <c r="DP563" s="859">
        <v>0</v>
      </c>
      <c r="DQ563" s="859">
        <v>0</v>
      </c>
      <c r="DR563" s="929">
        <f>DP563+DQ563</f>
        <v>0</v>
      </c>
      <c r="DS563" s="929"/>
      <c r="DT563" s="859"/>
      <c r="DU563" s="859"/>
      <c r="DV563" s="859"/>
      <c r="DW563" s="859"/>
      <c r="DX563" s="929"/>
      <c r="DY563" s="857"/>
      <c r="DZ563" s="859"/>
      <c r="EA563" s="859"/>
      <c r="EB563" s="929"/>
      <c r="EC563" s="857"/>
      <c r="ED563" s="859"/>
      <c r="EE563" s="859"/>
      <c r="EF563" s="929"/>
      <c r="EG563" s="857"/>
      <c r="EH563" s="857"/>
      <c r="EI563" s="857"/>
      <c r="EJ563" s="857"/>
      <c r="EK563" s="857"/>
      <c r="EL563" s="857"/>
      <c r="EM563" s="857"/>
      <c r="EN563" s="857"/>
      <c r="EO563" s="857"/>
      <c r="EP563" s="857"/>
      <c r="FL563" s="855"/>
      <c r="FM563" s="855"/>
      <c r="FN563" s="855"/>
      <c r="FO563" s="855"/>
      <c r="FP563" s="855"/>
      <c r="FQ563" s="855"/>
      <c r="FR563" s="855"/>
      <c r="FS563" s="855"/>
      <c r="FT563" s="855"/>
      <c r="FU563" s="855"/>
      <c r="FV563" s="855"/>
      <c r="FW563" s="855"/>
      <c r="FX563" s="855"/>
      <c r="FY563" s="855"/>
      <c r="FZ563" s="855"/>
      <c r="GA563" s="855"/>
      <c r="GB563" s="855"/>
      <c r="GC563" s="855"/>
      <c r="GD563" s="855"/>
      <c r="GE563" s="855"/>
      <c r="GF563" s="855"/>
      <c r="GG563" s="855"/>
      <c r="GH563" s="855"/>
      <c r="GI563" s="855"/>
      <c r="GJ563" s="855"/>
      <c r="GK563" s="855"/>
      <c r="GL563" s="855"/>
      <c r="GM563" s="855"/>
      <c r="GN563" s="855"/>
      <c r="GO563" s="855"/>
      <c r="GP563" s="855"/>
      <c r="GQ563" s="855"/>
      <c r="GR563" s="855"/>
      <c r="GS563" s="855"/>
      <c r="GT563" s="855"/>
      <c r="GU563" s="855"/>
      <c r="GV563" s="855"/>
      <c r="GW563" s="855"/>
      <c r="GX563" s="855"/>
      <c r="GY563" s="855"/>
      <c r="GZ563" s="855"/>
      <c r="HA563" s="855"/>
      <c r="HB563" s="855"/>
      <c r="HC563" s="855"/>
      <c r="HD563" s="855"/>
      <c r="HE563" s="855"/>
      <c r="HF563" s="855"/>
      <c r="HG563" s="855"/>
      <c r="HH563" s="855"/>
      <c r="HI563" s="855"/>
      <c r="HJ563" s="855"/>
      <c r="HK563" s="855"/>
      <c r="HL563" s="855"/>
      <c r="HM563" s="855"/>
      <c r="HN563" s="855"/>
      <c r="HO563" s="855"/>
      <c r="HP563" s="855"/>
      <c r="HQ563" s="855"/>
      <c r="HR563" s="855"/>
      <c r="HS563" s="855"/>
      <c r="HT563" s="855"/>
      <c r="HU563" s="855"/>
      <c r="HV563" s="855"/>
      <c r="HW563" s="855"/>
      <c r="HX563" s="855"/>
      <c r="HY563" s="855"/>
      <c r="HZ563" s="855"/>
      <c r="IA563" s="855"/>
      <c r="IB563" s="855"/>
      <c r="IC563" s="855"/>
      <c r="ID563" s="855"/>
      <c r="IE563" s="855"/>
      <c r="IF563" s="855"/>
      <c r="IG563" s="855"/>
      <c r="IH563" s="855"/>
      <c r="II563" s="855"/>
      <c r="IJ563" s="855"/>
      <c r="IK563" s="855"/>
      <c r="IL563" s="855"/>
      <c r="IM563" s="855"/>
      <c r="IN563" s="855"/>
      <c r="IO563" s="855"/>
      <c r="IP563" s="855"/>
      <c r="IQ563" s="855"/>
      <c r="IR563" s="855"/>
      <c r="IS563" s="855"/>
      <c r="IT563" s="855"/>
      <c r="IU563" s="855"/>
      <c r="IV563" s="855"/>
      <c r="IW563" s="855"/>
      <c r="IX563" s="855"/>
      <c r="IY563" s="855"/>
      <c r="IZ563" s="855"/>
      <c r="JA563" s="855"/>
      <c r="JB563" s="855"/>
      <c r="JC563" s="855"/>
      <c r="JD563" s="855"/>
      <c r="JE563" s="855"/>
      <c r="JF563" s="855"/>
      <c r="JG563" s="855"/>
      <c r="JH563" s="855"/>
      <c r="JI563" s="855"/>
      <c r="JJ563" s="855"/>
      <c r="JK563" s="855"/>
      <c r="JL563" s="855"/>
      <c r="JM563"/>
    </row>
    <row r="564" spans="1:273" s="860" customFormat="1">
      <c r="A564" s="302" t="s">
        <v>690</v>
      </c>
      <c r="B564" s="298"/>
      <c r="C564" s="296"/>
      <c r="D564" s="296"/>
      <c r="E564" s="296"/>
      <c r="F564" s="296"/>
      <c r="G564" s="296"/>
      <c r="H564" s="296"/>
      <c r="I564" s="296"/>
      <c r="J564" s="296"/>
      <c r="K564" s="296"/>
      <c r="L564" s="296"/>
      <c r="M564" s="296"/>
      <c r="N564" s="296"/>
      <c r="O564" s="296"/>
      <c r="P564" s="296"/>
      <c r="Q564" s="296"/>
      <c r="R564" s="296"/>
      <c r="S564" s="296"/>
      <c r="T564" s="296"/>
      <c r="U564" s="296"/>
      <c r="V564" s="296"/>
      <c r="W564" s="296"/>
      <c r="X564" s="296"/>
      <c r="Y564" s="296"/>
      <c r="Z564" s="296"/>
      <c r="AA564" s="296"/>
      <c r="AB564" s="296"/>
      <c r="AC564" s="296"/>
      <c r="AD564" s="296"/>
      <c r="AE564" s="296"/>
      <c r="AF564" s="296"/>
      <c r="AG564" s="296"/>
      <c r="AH564" s="296"/>
      <c r="AI564" s="296"/>
      <c r="AJ564" s="296"/>
      <c r="AK564" s="296"/>
      <c r="AL564" s="296"/>
      <c r="AM564" s="296"/>
      <c r="AN564" s="298"/>
      <c r="AO564" s="298"/>
      <c r="AP564" s="929">
        <f>DIVISIONS!AP517</f>
        <v>0</v>
      </c>
      <c r="AQ564" s="298"/>
      <c r="AR564" s="298"/>
      <c r="AS564" s="298"/>
      <c r="AT564" s="929">
        <f>DIVISIONS!AT517</f>
        <v>0</v>
      </c>
      <c r="AU564" s="298"/>
      <c r="AV564" s="929">
        <f>DIVISIONS!AV517</f>
        <v>0</v>
      </c>
      <c r="AW564" s="929">
        <f>DIVISIONS!AW517</f>
        <v>0</v>
      </c>
      <c r="AX564" s="857"/>
      <c r="AY564" s="976"/>
      <c r="AZ564" s="929">
        <f>DIVISIONS!AZ517</f>
        <v>0</v>
      </c>
      <c r="BA564" s="929">
        <f>DIVISIONS!BA517</f>
        <v>0</v>
      </c>
      <c r="BB564" s="857"/>
      <c r="BC564" s="857"/>
      <c r="BD564" s="929">
        <f>DIVISIONS!BD517</f>
        <v>0</v>
      </c>
      <c r="BE564" s="929">
        <f>DIVISIONS!BE517</f>
        <v>0</v>
      </c>
      <c r="BF564" s="929">
        <f t="shared" si="650"/>
        <v>0</v>
      </c>
      <c r="BG564" s="859"/>
      <c r="BH564" s="929">
        <f>DIVISIONS!BH517</f>
        <v>0</v>
      </c>
      <c r="BI564" s="929">
        <f>DIVISIONS!BI517</f>
        <v>0</v>
      </c>
      <c r="BJ564" s="929">
        <f t="shared" si="646"/>
        <v>0</v>
      </c>
      <c r="BK564" s="859"/>
      <c r="BL564" s="929">
        <f>DIVISIONS!BL517</f>
        <v>0</v>
      </c>
      <c r="BM564" s="929">
        <f>DIVISIONS!BM517</f>
        <v>0</v>
      </c>
      <c r="BN564" s="929">
        <f t="shared" si="647"/>
        <v>0</v>
      </c>
      <c r="BO564" s="859"/>
      <c r="BP564" s="929">
        <f>DIVISIONS!BP517</f>
        <v>0</v>
      </c>
      <c r="BQ564" s="929">
        <f>DIVISIONS!BQ517</f>
        <v>0</v>
      </c>
      <c r="BR564" s="929">
        <f t="shared" si="648"/>
        <v>0</v>
      </c>
      <c r="BS564" s="859"/>
      <c r="BT564" s="929">
        <f>DIVISIONS!BT517</f>
        <v>0</v>
      </c>
      <c r="BU564" s="929">
        <f>DIVISIONS!BU517</f>
        <v>0</v>
      </c>
      <c r="BV564" s="929">
        <f t="shared" si="649"/>
        <v>0</v>
      </c>
      <c r="BW564" s="859"/>
      <c r="BX564" s="929">
        <f>DIVISIONS!BX517</f>
        <v>0</v>
      </c>
      <c r="BY564" s="929">
        <f>DIVISIONS!BY517</f>
        <v>0</v>
      </c>
      <c r="BZ564" s="929">
        <f>BX564+BY564</f>
        <v>0</v>
      </c>
      <c r="CA564" s="859"/>
      <c r="CB564" s="929">
        <f>DIVISIONS!CB517</f>
        <v>0</v>
      </c>
      <c r="CC564" s="929">
        <f>DIVISIONS!CC517</f>
        <v>0</v>
      </c>
      <c r="CD564" s="929">
        <f>CB564+CC564</f>
        <v>0</v>
      </c>
      <c r="CE564" s="1619"/>
      <c r="CF564" s="929">
        <f>DIVISIONS!CF517</f>
        <v>0</v>
      </c>
      <c r="CG564" s="929">
        <f>DIVISIONS!CG517</f>
        <v>0</v>
      </c>
      <c r="CH564" s="929">
        <f>CF564+CG564</f>
        <v>0</v>
      </c>
      <c r="CI564" s="1619"/>
      <c r="CJ564" s="929">
        <f>DIVISIONS!CJ517</f>
        <v>0</v>
      </c>
      <c r="CK564" s="929">
        <f>DIVISIONS!CK517</f>
        <v>0</v>
      </c>
      <c r="CL564" s="929">
        <f>CJ564+CK564</f>
        <v>0</v>
      </c>
      <c r="CM564" s="1619"/>
      <c r="CN564" s="929">
        <f>DIVISIONS!CN517</f>
        <v>0</v>
      </c>
      <c r="CO564" s="929">
        <f>DIVISIONS!CO517</f>
        <v>0</v>
      </c>
      <c r="CP564" s="929">
        <f>CN564+CO564</f>
        <v>0</v>
      </c>
      <c r="CQ564" s="1619"/>
      <c r="CR564" s="929">
        <f>DIVISIONS!CR517</f>
        <v>0</v>
      </c>
      <c r="CS564" s="929">
        <f>DIVISIONS!CS517</f>
        <v>0</v>
      </c>
      <c r="CT564" s="929">
        <f>CR564+CS564</f>
        <v>0</v>
      </c>
      <c r="CU564" s="859"/>
      <c r="CV564" s="929">
        <f>DIVISIONS!CV517</f>
        <v>0</v>
      </c>
      <c r="CW564" s="929">
        <f>DIVISIONS!CW517</f>
        <v>0</v>
      </c>
      <c r="CX564" s="929">
        <f>CV564+CW564</f>
        <v>0</v>
      </c>
      <c r="CY564" s="859"/>
      <c r="CZ564" s="929">
        <f>DIVISIONS!CZ517</f>
        <v>0</v>
      </c>
      <c r="DA564" s="929">
        <f>DIVISIONS!DA517</f>
        <v>0</v>
      </c>
      <c r="DB564" s="929">
        <f>CZ564+DA564</f>
        <v>0</v>
      </c>
      <c r="DC564" s="859"/>
      <c r="DD564" s="929">
        <f>DIVISIONS!DD517</f>
        <v>0</v>
      </c>
      <c r="DE564" s="929">
        <f>DIVISIONS!DE517</f>
        <v>0</v>
      </c>
      <c r="DF564" s="929">
        <f>DD564+DE564</f>
        <v>0</v>
      </c>
      <c r="DG564" s="859"/>
      <c r="DH564" s="929">
        <f>DIVISIONS!DH517</f>
        <v>0</v>
      </c>
      <c r="DI564" s="859">
        <v>0</v>
      </c>
      <c r="DJ564" s="929">
        <f>DH564+DI564</f>
        <v>0</v>
      </c>
      <c r="DK564" s="859"/>
      <c r="DL564" s="859">
        <v>0</v>
      </c>
      <c r="DM564" s="859">
        <v>0</v>
      </c>
      <c r="DN564" s="929">
        <f>DL564+DM564</f>
        <v>0</v>
      </c>
      <c r="DO564" s="929"/>
      <c r="DP564" s="859">
        <v>0</v>
      </c>
      <c r="DQ564" s="859">
        <v>0</v>
      </c>
      <c r="DR564" s="929">
        <f>DP564+DQ564</f>
        <v>0</v>
      </c>
      <c r="DS564" s="929"/>
      <c r="DT564" s="859"/>
      <c r="DU564" s="859"/>
      <c r="DV564" s="859"/>
      <c r="DW564" s="859"/>
      <c r="DX564" s="929"/>
      <c r="DY564" s="857"/>
      <c r="DZ564" s="859"/>
      <c r="EA564" s="859"/>
      <c r="EB564" s="929"/>
      <c r="EC564" s="857"/>
      <c r="ED564" s="859"/>
      <c r="EE564" s="859"/>
      <c r="EF564" s="929"/>
      <c r="EG564" s="857"/>
      <c r="EH564" s="857"/>
      <c r="EI564" s="857"/>
      <c r="EJ564" s="857"/>
      <c r="EK564" s="857"/>
      <c r="EL564" s="857"/>
      <c r="EM564" s="857"/>
      <c r="EN564" s="857"/>
      <c r="EO564" s="857"/>
      <c r="EP564" s="857"/>
      <c r="FL564" s="855"/>
      <c r="FM564" s="855"/>
      <c r="FN564" s="855"/>
      <c r="FO564" s="855"/>
      <c r="FP564" s="855"/>
      <c r="FQ564" s="855"/>
      <c r="FR564" s="855"/>
      <c r="FS564" s="855"/>
      <c r="FT564" s="855"/>
      <c r="FU564" s="855"/>
      <c r="FV564" s="855"/>
      <c r="FW564" s="855"/>
      <c r="FX564" s="855"/>
      <c r="FY564" s="855"/>
      <c r="FZ564" s="855"/>
      <c r="GA564" s="855"/>
      <c r="GB564" s="855"/>
      <c r="GC564" s="855"/>
      <c r="GD564" s="855"/>
      <c r="GE564" s="855"/>
      <c r="GF564" s="855"/>
      <c r="GG564" s="855"/>
      <c r="GH564" s="855"/>
      <c r="GI564" s="855"/>
      <c r="GJ564" s="855"/>
      <c r="GK564" s="855"/>
      <c r="GL564" s="855"/>
      <c r="GM564" s="855"/>
      <c r="GN564" s="855"/>
      <c r="GO564" s="855"/>
      <c r="GP564" s="855"/>
      <c r="GQ564" s="855"/>
      <c r="GR564" s="855"/>
      <c r="GS564" s="855"/>
      <c r="GT564" s="855"/>
      <c r="GU564" s="855"/>
      <c r="GV564" s="855"/>
      <c r="GW564" s="855"/>
      <c r="GX564" s="855"/>
      <c r="GY564" s="855"/>
      <c r="GZ564" s="855"/>
      <c r="HA564" s="855"/>
      <c r="HB564" s="855"/>
      <c r="HC564" s="855"/>
      <c r="HD564" s="855"/>
      <c r="HE564" s="855"/>
      <c r="HF564" s="855"/>
      <c r="HG564" s="855"/>
      <c r="HH564" s="855"/>
      <c r="HI564" s="855"/>
      <c r="HJ564" s="855"/>
      <c r="HK564" s="855"/>
      <c r="HL564" s="855"/>
      <c r="HM564" s="855"/>
      <c r="HN564" s="855"/>
      <c r="HO564" s="855"/>
      <c r="HP564" s="855"/>
      <c r="HQ564" s="855"/>
      <c r="HR564" s="855"/>
      <c r="HS564" s="855"/>
      <c r="HT564" s="855"/>
      <c r="HU564" s="855"/>
      <c r="HV564" s="855"/>
      <c r="HW564" s="855"/>
      <c r="HX564" s="855"/>
      <c r="HY564" s="855"/>
      <c r="HZ564" s="855"/>
      <c r="IA564" s="855"/>
      <c r="IB564" s="855"/>
      <c r="IC564" s="855"/>
      <c r="ID564" s="855"/>
      <c r="IE564" s="855"/>
      <c r="IF564" s="855"/>
      <c r="IG564" s="855"/>
      <c r="IH564" s="855"/>
      <c r="II564" s="855"/>
      <c r="IJ564" s="855"/>
      <c r="IK564" s="855"/>
      <c r="IL564" s="855"/>
      <c r="IM564" s="855"/>
      <c r="IN564" s="855"/>
      <c r="IO564" s="855"/>
      <c r="IP564" s="855"/>
      <c r="IQ564" s="855"/>
      <c r="IR564" s="855"/>
      <c r="IS564" s="855"/>
      <c r="IT564" s="855"/>
      <c r="IU564" s="855"/>
      <c r="IV564" s="855"/>
      <c r="IW564" s="855"/>
      <c r="IX564" s="855"/>
      <c r="IY564" s="855"/>
      <c r="IZ564" s="855"/>
      <c r="JA564" s="855"/>
      <c r="JB564" s="855"/>
      <c r="JC564" s="855"/>
      <c r="JD564" s="855"/>
      <c r="JE564" s="855"/>
      <c r="JF564" s="855"/>
      <c r="JG564" s="855"/>
      <c r="JH564" s="855"/>
      <c r="JI564" s="855"/>
      <c r="JJ564" s="855"/>
      <c r="JK564" s="855"/>
      <c r="JL564" s="855"/>
      <c r="JM564"/>
    </row>
    <row r="565" spans="1:273" s="860" customFormat="1">
      <c r="A565" s="302" t="s">
        <v>689</v>
      </c>
      <c r="B565" s="298"/>
      <c r="C565" s="296"/>
      <c r="D565" s="296"/>
      <c r="E565" s="296"/>
      <c r="F565" s="296"/>
      <c r="G565" s="296"/>
      <c r="H565" s="296"/>
      <c r="I565" s="296"/>
      <c r="J565" s="296"/>
      <c r="K565" s="296"/>
      <c r="L565" s="296"/>
      <c r="M565" s="296"/>
      <c r="N565" s="296"/>
      <c r="O565" s="296"/>
      <c r="P565" s="296"/>
      <c r="Q565" s="296"/>
      <c r="R565" s="296"/>
      <c r="S565" s="296"/>
      <c r="T565" s="296"/>
      <c r="U565" s="296"/>
      <c r="V565" s="296"/>
      <c r="W565" s="296"/>
      <c r="X565" s="296"/>
      <c r="Y565" s="296"/>
      <c r="Z565" s="296"/>
      <c r="AA565" s="296"/>
      <c r="AB565" s="296"/>
      <c r="AC565" s="296"/>
      <c r="AD565" s="296"/>
      <c r="AE565" s="296"/>
      <c r="AF565" s="296"/>
      <c r="AG565" s="296"/>
      <c r="AH565" s="296"/>
      <c r="AI565" s="296"/>
      <c r="AJ565" s="296"/>
      <c r="AK565" s="296"/>
      <c r="AL565" s="296"/>
      <c r="AM565" s="296"/>
      <c r="AN565" s="298"/>
      <c r="AO565" s="298"/>
      <c r="AP565" s="929">
        <f>DIVISIONS!AP638</f>
        <v>0</v>
      </c>
      <c r="AQ565" s="298"/>
      <c r="AR565" s="298"/>
      <c r="AS565" s="298"/>
      <c r="AT565" s="929">
        <f>DIVISIONS!AT638</f>
        <v>0</v>
      </c>
      <c r="AU565" s="298"/>
      <c r="AV565" s="929">
        <f>DIVISIONS!AV638</f>
        <v>0</v>
      </c>
      <c r="AW565" s="929">
        <f>DIVISIONS!AW638</f>
        <v>0</v>
      </c>
      <c r="AX565" s="857"/>
      <c r="AY565" s="976"/>
      <c r="AZ565" s="929">
        <f>DIVISIONS!AZ638</f>
        <v>1</v>
      </c>
      <c r="BA565" s="929">
        <f>DIVISIONS!BA638</f>
        <v>17</v>
      </c>
      <c r="BB565" s="857"/>
      <c r="BC565" s="857"/>
      <c r="BD565" s="929">
        <f>DIVISIONS!BD638</f>
        <v>0</v>
      </c>
      <c r="BE565" s="929">
        <f>DIVISIONS!BE638</f>
        <v>0</v>
      </c>
      <c r="BF565" s="929">
        <f t="shared" si="650"/>
        <v>0</v>
      </c>
      <c r="BG565" s="859"/>
      <c r="BH565" s="929">
        <f>DIVISIONS!BH638</f>
        <v>0</v>
      </c>
      <c r="BI565" s="929">
        <f>DIVISIONS!BI638</f>
        <v>0</v>
      </c>
      <c r="BJ565" s="929">
        <f t="shared" si="646"/>
        <v>0</v>
      </c>
      <c r="BK565" s="859"/>
      <c r="BL565" s="929">
        <f>DIVISIONS!BL638</f>
        <v>0</v>
      </c>
      <c r="BM565" s="929">
        <f>DIVISIONS!BM638</f>
        <v>0</v>
      </c>
      <c r="BN565" s="929">
        <f t="shared" si="647"/>
        <v>0</v>
      </c>
      <c r="BO565" s="859"/>
      <c r="BP565" s="929">
        <f>DIVISIONS!BP638</f>
        <v>0</v>
      </c>
      <c r="BQ565" s="929">
        <f>DIVISIONS!BQ638</f>
        <v>0</v>
      </c>
      <c r="BR565" s="929">
        <f t="shared" si="648"/>
        <v>0</v>
      </c>
      <c r="BS565" s="859"/>
      <c r="BT565" s="929">
        <f>DIVISIONS!BT638</f>
        <v>0</v>
      </c>
      <c r="BU565" s="929">
        <f>DIVISIONS!BU638</f>
        <v>0</v>
      </c>
      <c r="BV565" s="929">
        <f t="shared" si="649"/>
        <v>0</v>
      </c>
      <c r="BW565" s="859"/>
      <c r="BX565" s="929">
        <f>DIVISIONS!BX638</f>
        <v>0</v>
      </c>
      <c r="BY565" s="929">
        <f>DIVISIONS!BY638</f>
        <v>0</v>
      </c>
      <c r="BZ565" s="929">
        <f>BX565+BY565</f>
        <v>0</v>
      </c>
      <c r="CA565" s="859"/>
      <c r="CB565" s="929">
        <f>DIVISIONS!CB638</f>
        <v>0</v>
      </c>
      <c r="CC565" s="929">
        <f>DIVISIONS!CC638</f>
        <v>0</v>
      </c>
      <c r="CD565" s="929">
        <f>CB565+CC565</f>
        <v>0</v>
      </c>
      <c r="CE565" s="1619"/>
      <c r="CF565" s="929">
        <f>DIVISIONS!CF638</f>
        <v>0</v>
      </c>
      <c r="CG565" s="929">
        <f>DIVISIONS!CG638</f>
        <v>0</v>
      </c>
      <c r="CH565" s="929">
        <f>CF565+CG565</f>
        <v>0</v>
      </c>
      <c r="CI565" s="1619"/>
      <c r="CJ565" s="929">
        <f>DIVISIONS!CJ638</f>
        <v>0</v>
      </c>
      <c r="CK565" s="929">
        <f>DIVISIONS!CK638</f>
        <v>0</v>
      </c>
      <c r="CL565" s="929">
        <f>CJ565+CK565</f>
        <v>0</v>
      </c>
      <c r="CM565" s="1619"/>
      <c r="CN565" s="929">
        <f>DIVISIONS!CN638</f>
        <v>0</v>
      </c>
      <c r="CO565" s="929">
        <f>DIVISIONS!CO638</f>
        <v>0</v>
      </c>
      <c r="CP565" s="929">
        <f>CN565+CO565</f>
        <v>0</v>
      </c>
      <c r="CQ565" s="1619"/>
      <c r="CR565" s="929">
        <f>DIVISIONS!CR638</f>
        <v>0</v>
      </c>
      <c r="CS565" s="929">
        <f>DIVISIONS!CS638</f>
        <v>0</v>
      </c>
      <c r="CT565" s="929">
        <f>CR565+CS565</f>
        <v>0</v>
      </c>
      <c r="CU565" s="859"/>
      <c r="CV565" s="929">
        <f>DIVISIONS!CV638</f>
        <v>0</v>
      </c>
      <c r="CW565" s="929">
        <f>DIVISIONS!CW638</f>
        <v>0</v>
      </c>
      <c r="CX565" s="929">
        <f>CV565+CW565</f>
        <v>0</v>
      </c>
      <c r="CY565" s="859"/>
      <c r="CZ565" s="929">
        <f>DIVISIONS!CZ638</f>
        <v>0</v>
      </c>
      <c r="DA565" s="929">
        <f>DIVISIONS!DA638</f>
        <v>0</v>
      </c>
      <c r="DB565" s="929">
        <f>CZ565+DA565</f>
        <v>0</v>
      </c>
      <c r="DC565" s="859"/>
      <c r="DD565" s="929">
        <f>DIVISIONS!DD638</f>
        <v>0</v>
      </c>
      <c r="DE565" s="929">
        <f>DIVISIONS!DE638</f>
        <v>0</v>
      </c>
      <c r="DF565" s="929">
        <f>DD565+DE565</f>
        <v>0</v>
      </c>
      <c r="DG565" s="859"/>
      <c r="DH565" s="929">
        <f>DIVISIONS!DH638</f>
        <v>0</v>
      </c>
      <c r="DI565" s="859">
        <v>0</v>
      </c>
      <c r="DJ565" s="929">
        <f>DH565+DI565</f>
        <v>0</v>
      </c>
      <c r="DK565" s="859"/>
      <c r="DL565" s="859">
        <v>0</v>
      </c>
      <c r="DM565" s="859">
        <v>0</v>
      </c>
      <c r="DN565" s="929">
        <f>DL565+DM565</f>
        <v>0</v>
      </c>
      <c r="DO565" s="929"/>
      <c r="DP565" s="859">
        <v>0</v>
      </c>
      <c r="DQ565" s="859">
        <v>0</v>
      </c>
      <c r="DR565" s="929">
        <f>DP565+DQ565</f>
        <v>0</v>
      </c>
      <c r="DS565" s="929"/>
      <c r="DT565" s="859"/>
      <c r="DU565" s="859"/>
      <c r="DV565" s="859"/>
      <c r="DW565" s="859"/>
      <c r="DX565" s="929"/>
      <c r="DY565" s="857"/>
      <c r="DZ565" s="859"/>
      <c r="EA565" s="859"/>
      <c r="EB565" s="929"/>
      <c r="EC565" s="857"/>
      <c r="ED565" s="859"/>
      <c r="EE565" s="859"/>
      <c r="EF565" s="929"/>
      <c r="EG565" s="857"/>
      <c r="EH565" s="857"/>
      <c r="EI565" s="857"/>
      <c r="EJ565" s="857"/>
      <c r="EK565" s="857"/>
      <c r="EL565" s="857"/>
      <c r="EM565" s="857"/>
      <c r="EN565" s="857"/>
      <c r="EO565" s="857"/>
      <c r="EP565" s="857"/>
      <c r="FL565" s="855"/>
      <c r="FM565" s="855"/>
      <c r="FN565" s="855"/>
      <c r="FO565" s="855"/>
      <c r="FP565" s="855"/>
      <c r="FQ565" s="855"/>
      <c r="FR565" s="855"/>
      <c r="FS565" s="855"/>
      <c r="FT565" s="855"/>
      <c r="FU565" s="855"/>
      <c r="FV565" s="855"/>
      <c r="FW565" s="855"/>
      <c r="FX565" s="855"/>
      <c r="FY565" s="855"/>
      <c r="FZ565" s="855"/>
      <c r="GA565" s="855"/>
      <c r="GB565" s="855"/>
      <c r="GC565" s="855"/>
      <c r="GD565" s="855"/>
      <c r="GE565" s="855"/>
      <c r="GF565" s="855"/>
      <c r="GG565" s="855"/>
      <c r="GH565" s="855"/>
      <c r="GI565" s="855"/>
      <c r="GJ565" s="855"/>
      <c r="GK565" s="855"/>
      <c r="GL565" s="855"/>
      <c r="GM565" s="855"/>
      <c r="GN565" s="855"/>
      <c r="GO565" s="855"/>
      <c r="GP565" s="855"/>
      <c r="GQ565" s="855"/>
      <c r="GR565" s="855"/>
      <c r="GS565" s="855"/>
      <c r="GT565" s="855"/>
      <c r="GU565" s="855"/>
      <c r="GV565" s="855"/>
      <c r="GW565" s="855"/>
      <c r="GX565" s="855"/>
      <c r="GY565" s="855"/>
      <c r="GZ565" s="855"/>
      <c r="HA565" s="855"/>
      <c r="HB565" s="855"/>
      <c r="HC565" s="855"/>
      <c r="HD565" s="855"/>
      <c r="HE565" s="855"/>
      <c r="HF565" s="855"/>
      <c r="HG565" s="855"/>
      <c r="HH565" s="855"/>
      <c r="HI565" s="855"/>
      <c r="HJ565" s="855"/>
      <c r="HK565" s="855"/>
      <c r="HL565" s="855"/>
      <c r="HM565" s="855"/>
      <c r="HN565" s="855"/>
      <c r="HO565" s="855"/>
      <c r="HP565" s="855"/>
      <c r="HQ565" s="855"/>
      <c r="HR565" s="855"/>
      <c r="HS565" s="855"/>
      <c r="HT565" s="855"/>
      <c r="HU565" s="855"/>
      <c r="HV565" s="855"/>
      <c r="HW565" s="855"/>
      <c r="HX565" s="855"/>
      <c r="HY565" s="855"/>
      <c r="HZ565" s="855"/>
      <c r="IA565" s="855"/>
      <c r="IB565" s="855"/>
      <c r="IC565" s="855"/>
      <c r="ID565" s="855"/>
      <c r="IE565" s="855"/>
      <c r="IF565" s="855"/>
      <c r="IG565" s="855"/>
      <c r="IH565" s="855"/>
      <c r="II565" s="855"/>
      <c r="IJ565" s="855"/>
      <c r="IK565" s="855"/>
      <c r="IL565" s="855"/>
      <c r="IM565" s="855"/>
      <c r="IN565" s="855"/>
      <c r="IO565" s="855"/>
      <c r="IP565" s="855"/>
      <c r="IQ565" s="855"/>
      <c r="IR565" s="855"/>
      <c r="IS565" s="855"/>
      <c r="IT565" s="855"/>
      <c r="IU565" s="855"/>
      <c r="IV565" s="855"/>
      <c r="IW565" s="855"/>
      <c r="IX565" s="855"/>
      <c r="IY565" s="855"/>
      <c r="IZ565" s="855"/>
      <c r="JA565" s="855"/>
      <c r="JB565" s="855"/>
      <c r="JC565" s="855"/>
      <c r="JD565" s="855"/>
      <c r="JE565" s="855"/>
      <c r="JF565" s="855"/>
      <c r="JG565" s="855"/>
      <c r="JH565" s="855"/>
      <c r="JI565" s="855"/>
      <c r="JJ565" s="855"/>
      <c r="JK565" s="855"/>
      <c r="JL565" s="855"/>
      <c r="JM565"/>
    </row>
    <row r="566" spans="1:273" s="860" customFormat="1">
      <c r="A566" s="302" t="s">
        <v>688</v>
      </c>
      <c r="B566" s="298"/>
      <c r="C566" s="296"/>
      <c r="D566" s="296"/>
      <c r="E566" s="296"/>
      <c r="F566" s="296"/>
      <c r="G566" s="296"/>
      <c r="H566" s="296"/>
      <c r="I566" s="296"/>
      <c r="J566" s="296"/>
      <c r="K566" s="296"/>
      <c r="L566" s="296"/>
      <c r="M566" s="296"/>
      <c r="N566" s="296"/>
      <c r="O566" s="296"/>
      <c r="P566" s="296"/>
      <c r="Q566" s="296"/>
      <c r="R566" s="296"/>
      <c r="S566" s="296"/>
      <c r="T566" s="296"/>
      <c r="U566" s="296"/>
      <c r="V566" s="296"/>
      <c r="W566" s="296"/>
      <c r="X566" s="296"/>
      <c r="Y566" s="296"/>
      <c r="Z566" s="296"/>
      <c r="AA566" s="296"/>
      <c r="AB566" s="296"/>
      <c r="AC566" s="296"/>
      <c r="AD566" s="296"/>
      <c r="AE566" s="296"/>
      <c r="AF566" s="296"/>
      <c r="AG566" s="296"/>
      <c r="AH566" s="296"/>
      <c r="AI566" s="296"/>
      <c r="AJ566" s="296"/>
      <c r="AK566" s="296"/>
      <c r="AL566" s="296"/>
      <c r="AM566" s="296"/>
      <c r="AN566" s="298"/>
      <c r="AO566" s="298"/>
      <c r="AP566" s="929">
        <f>DIVISIONS!AP697</f>
        <v>0</v>
      </c>
      <c r="AQ566" s="298"/>
      <c r="AR566" s="298"/>
      <c r="AS566" s="298"/>
      <c r="AT566" s="929">
        <f>DIVISIONS!AT697</f>
        <v>0</v>
      </c>
      <c r="AU566" s="298"/>
      <c r="AV566" s="929">
        <f>DIVISIONS!AV697</f>
        <v>0</v>
      </c>
      <c r="AW566" s="929">
        <f>DIVISIONS!AW697</f>
        <v>0</v>
      </c>
      <c r="AX566" s="857"/>
      <c r="AY566" s="976"/>
      <c r="AZ566" s="929">
        <f>DIVISIONS!AZ697</f>
        <v>0</v>
      </c>
      <c r="BA566" s="929">
        <f>DIVISIONS!BA697</f>
        <v>0</v>
      </c>
      <c r="BB566" s="857"/>
      <c r="BC566" s="857"/>
      <c r="BD566" s="929"/>
      <c r="BE566" s="929"/>
      <c r="BF566" s="929"/>
      <c r="BG566" s="859"/>
      <c r="BH566" s="929"/>
      <c r="BI566" s="929"/>
      <c r="BJ566" s="929"/>
      <c r="BK566" s="859"/>
      <c r="BL566" s="929"/>
      <c r="BM566" s="929"/>
      <c r="BN566" s="929"/>
      <c r="BO566" s="859"/>
      <c r="BP566" s="929"/>
      <c r="BQ566" s="929"/>
      <c r="BR566" s="929"/>
      <c r="BS566" s="859"/>
      <c r="BT566" s="929"/>
      <c r="BU566" s="929"/>
      <c r="BV566" s="929"/>
      <c r="BW566" s="859"/>
      <c r="BX566" s="929"/>
      <c r="BY566" s="929"/>
      <c r="BZ566" s="929"/>
      <c r="CA566" s="859"/>
      <c r="CB566" s="929"/>
      <c r="CC566" s="929"/>
      <c r="CD566" s="929"/>
      <c r="CE566" s="1619"/>
      <c r="CF566" s="929"/>
      <c r="CG566" s="929"/>
      <c r="CH566" s="929"/>
      <c r="CI566" s="1619"/>
      <c r="CJ566" s="929"/>
      <c r="CK566" s="929"/>
      <c r="CL566" s="929"/>
      <c r="CM566" s="1619"/>
      <c r="CN566" s="929"/>
      <c r="CO566" s="929"/>
      <c r="CP566" s="929"/>
      <c r="CQ566" s="1619"/>
      <c r="CR566" s="929"/>
      <c r="CS566" s="929"/>
      <c r="CT566" s="929"/>
      <c r="CU566" s="859"/>
      <c r="CV566" s="929"/>
      <c r="CW566" s="929"/>
      <c r="CX566" s="929"/>
      <c r="CY566" s="859"/>
      <c r="CZ566" s="929"/>
      <c r="DA566" s="929"/>
      <c r="DB566" s="929"/>
      <c r="DC566" s="859"/>
      <c r="DD566" s="929"/>
      <c r="DE566" s="929"/>
      <c r="DF566" s="929"/>
      <c r="DG566" s="859"/>
      <c r="DH566" s="929"/>
      <c r="DI566" s="859"/>
      <c r="DJ566" s="929"/>
      <c r="DK566" s="859"/>
      <c r="DL566" s="859"/>
      <c r="DM566" s="859"/>
      <c r="DN566" s="929"/>
      <c r="DO566" s="929"/>
      <c r="DP566" s="859"/>
      <c r="DQ566" s="859"/>
      <c r="DR566" s="929"/>
      <c r="DS566" s="929"/>
      <c r="DT566" s="859"/>
      <c r="DU566" s="859"/>
      <c r="DV566" s="859"/>
      <c r="DW566" s="859"/>
      <c r="DX566" s="929"/>
      <c r="DY566" s="857"/>
      <c r="DZ566" s="859"/>
      <c r="EA566" s="859"/>
      <c r="EB566" s="929"/>
      <c r="EC566" s="857"/>
      <c r="ED566" s="859"/>
      <c r="EE566" s="859"/>
      <c r="EF566" s="929"/>
      <c r="EG566" s="857"/>
      <c r="EH566" s="857"/>
      <c r="EI566" s="857"/>
      <c r="EJ566" s="857"/>
      <c r="EK566" s="857"/>
      <c r="EL566" s="857"/>
      <c r="EM566" s="857"/>
      <c r="EN566" s="857"/>
      <c r="EO566" s="857"/>
      <c r="EP566" s="857"/>
      <c r="FL566" s="855"/>
      <c r="FM566" s="855"/>
      <c r="FN566" s="855"/>
      <c r="FO566" s="855"/>
      <c r="FP566" s="855"/>
      <c r="FQ566" s="855"/>
      <c r="FR566" s="855"/>
      <c r="FS566" s="855"/>
      <c r="FT566" s="855"/>
      <c r="FU566" s="855"/>
      <c r="FV566" s="855"/>
      <c r="FW566" s="855"/>
      <c r="FX566" s="855"/>
      <c r="FY566" s="855"/>
      <c r="FZ566" s="855"/>
      <c r="GA566" s="855"/>
      <c r="GB566" s="855"/>
      <c r="GC566" s="855"/>
      <c r="GD566" s="855"/>
      <c r="GE566" s="855"/>
      <c r="GF566" s="855"/>
      <c r="GG566" s="855"/>
      <c r="GH566" s="855"/>
      <c r="GI566" s="855"/>
      <c r="GJ566" s="855"/>
      <c r="GK566" s="855"/>
      <c r="GL566" s="855"/>
      <c r="GM566" s="855"/>
      <c r="GN566" s="855"/>
      <c r="GO566" s="855"/>
      <c r="GP566" s="855"/>
      <c r="GQ566" s="855"/>
      <c r="GR566" s="855"/>
      <c r="GS566" s="855"/>
      <c r="GT566" s="855"/>
      <c r="GU566" s="855"/>
      <c r="GV566" s="855"/>
      <c r="GW566" s="855"/>
      <c r="GX566" s="855"/>
      <c r="GY566" s="855"/>
      <c r="GZ566" s="855"/>
      <c r="HA566" s="855"/>
      <c r="HB566" s="855"/>
      <c r="HC566" s="855"/>
      <c r="HD566" s="855"/>
      <c r="HE566" s="855"/>
      <c r="HF566" s="855"/>
      <c r="HG566" s="855"/>
      <c r="HH566" s="855"/>
      <c r="HI566" s="855"/>
      <c r="HJ566" s="855"/>
      <c r="HK566" s="855"/>
      <c r="HL566" s="855"/>
      <c r="HM566" s="855"/>
      <c r="HN566" s="855"/>
      <c r="HO566" s="855"/>
      <c r="HP566" s="855"/>
      <c r="HQ566" s="855"/>
      <c r="HR566" s="855"/>
      <c r="HS566" s="855"/>
      <c r="HT566" s="855"/>
      <c r="HU566" s="855"/>
      <c r="HV566" s="855"/>
      <c r="HW566" s="855"/>
      <c r="HX566" s="855"/>
      <c r="HY566" s="855"/>
      <c r="HZ566" s="855"/>
      <c r="IA566" s="855"/>
      <c r="IB566" s="855"/>
      <c r="IC566" s="855"/>
      <c r="ID566" s="855"/>
      <c r="IE566" s="855"/>
      <c r="IF566" s="855"/>
      <c r="IG566" s="855"/>
      <c r="IH566" s="855"/>
      <c r="II566" s="855"/>
      <c r="IJ566" s="855"/>
      <c r="IK566" s="855"/>
      <c r="IL566" s="855"/>
      <c r="IM566" s="855"/>
      <c r="IN566" s="855"/>
      <c r="IO566" s="855"/>
      <c r="IP566" s="855"/>
      <c r="IQ566" s="855"/>
      <c r="IR566" s="855"/>
      <c r="IS566" s="855"/>
      <c r="IT566" s="855"/>
      <c r="IU566" s="855"/>
      <c r="IV566" s="855"/>
      <c r="IW566" s="855"/>
      <c r="IX566" s="855"/>
      <c r="IY566" s="855"/>
      <c r="IZ566" s="855"/>
      <c r="JA566" s="855"/>
      <c r="JB566" s="855"/>
      <c r="JC566" s="855"/>
      <c r="JD566" s="855"/>
      <c r="JE566" s="855"/>
      <c r="JF566" s="855"/>
      <c r="JG566" s="855"/>
      <c r="JH566" s="855"/>
      <c r="JI566" s="855"/>
      <c r="JJ566" s="855"/>
      <c r="JK566" s="855"/>
      <c r="JL566" s="855"/>
      <c r="JM566"/>
    </row>
    <row r="567" spans="1:273" s="860" customFormat="1">
      <c r="A567" s="302" t="s">
        <v>691</v>
      </c>
      <c r="B567" s="298"/>
      <c r="C567" s="296"/>
      <c r="D567" s="296"/>
      <c r="E567" s="296"/>
      <c r="F567" s="296"/>
      <c r="G567" s="296"/>
      <c r="H567" s="296"/>
      <c r="I567" s="296"/>
      <c r="J567" s="296"/>
      <c r="K567" s="296"/>
      <c r="L567" s="296"/>
      <c r="M567" s="296"/>
      <c r="N567" s="296"/>
      <c r="O567" s="296"/>
      <c r="P567" s="296"/>
      <c r="Q567" s="296"/>
      <c r="R567" s="296"/>
      <c r="S567" s="296"/>
      <c r="T567" s="296"/>
      <c r="U567" s="296"/>
      <c r="V567" s="296"/>
      <c r="W567" s="296"/>
      <c r="X567" s="296"/>
      <c r="Y567" s="296"/>
      <c r="Z567" s="296"/>
      <c r="AA567" s="296"/>
      <c r="AB567" s="296"/>
      <c r="AC567" s="296"/>
      <c r="AD567" s="296"/>
      <c r="AE567" s="296"/>
      <c r="AF567" s="296"/>
      <c r="AG567" s="296"/>
      <c r="AH567" s="296"/>
      <c r="AI567" s="296"/>
      <c r="AJ567" s="296"/>
      <c r="AK567" s="296"/>
      <c r="AL567" s="296"/>
      <c r="AM567" s="296"/>
      <c r="AN567" s="298"/>
      <c r="AO567" s="298"/>
      <c r="AP567" s="929">
        <f>DIVISIONS!AP753</f>
        <v>0</v>
      </c>
      <c r="AQ567" s="298"/>
      <c r="AR567" s="298"/>
      <c r="AS567" s="298"/>
      <c r="AT567" s="929">
        <f>DIVISIONS!AT753</f>
        <v>0</v>
      </c>
      <c r="AU567" s="298"/>
      <c r="AV567" s="929">
        <f>DIVISIONS!AV753</f>
        <v>0</v>
      </c>
      <c r="AW567" s="929">
        <f>DIVISIONS!AW753</f>
        <v>0</v>
      </c>
      <c r="AX567" s="857"/>
      <c r="AY567" s="976"/>
      <c r="AZ567" s="929">
        <f>DIVISIONS!AZ753</f>
        <v>0</v>
      </c>
      <c r="BA567" s="929">
        <f>DIVISIONS!BA753</f>
        <v>0</v>
      </c>
      <c r="BB567" s="857"/>
      <c r="BC567" s="857"/>
      <c r="BD567" s="929">
        <f>DIVISIONS!BD753</f>
        <v>0</v>
      </c>
      <c r="BE567" s="929">
        <f>DIVISIONS!BE753</f>
        <v>0</v>
      </c>
      <c r="BF567" s="929">
        <f t="shared" si="650"/>
        <v>0</v>
      </c>
      <c r="BG567" s="859"/>
      <c r="BH567" s="929">
        <f>DIVISIONS!BH753</f>
        <v>0</v>
      </c>
      <c r="BI567" s="929">
        <f>DIVISIONS!BI753</f>
        <v>0</v>
      </c>
      <c r="BJ567" s="929">
        <f>BH567+BI567</f>
        <v>0</v>
      </c>
      <c r="BK567" s="859"/>
      <c r="BL567" s="929">
        <f>DIVISIONS!BL753</f>
        <v>0</v>
      </c>
      <c r="BM567" s="929">
        <f>DIVISIONS!BM753</f>
        <v>0</v>
      </c>
      <c r="BN567" s="929">
        <f>BL567+BM567</f>
        <v>0</v>
      </c>
      <c r="BO567" s="859"/>
      <c r="BP567" s="929">
        <f>DIVISIONS!BP753</f>
        <v>0</v>
      </c>
      <c r="BQ567" s="929">
        <f>DIVISIONS!BQ753</f>
        <v>0</v>
      </c>
      <c r="BR567" s="929">
        <f>BP567+BQ567</f>
        <v>0</v>
      </c>
      <c r="BS567" s="859"/>
      <c r="BT567" s="929">
        <f>DIVISIONS!BT753</f>
        <v>0</v>
      </c>
      <c r="BU567" s="929">
        <f>DIVISIONS!BU753</f>
        <v>0</v>
      </c>
      <c r="BV567" s="929">
        <f>BT567+BU567</f>
        <v>0</v>
      </c>
      <c r="BW567" s="859"/>
      <c r="BX567" s="929">
        <f>DIVISIONS!BX753</f>
        <v>0</v>
      </c>
      <c r="BY567" s="929">
        <f>DIVISIONS!BY753</f>
        <v>0</v>
      </c>
      <c r="BZ567" s="929">
        <f>BX567+BY567</f>
        <v>0</v>
      </c>
      <c r="CA567" s="859"/>
      <c r="CB567" s="929">
        <f>DIVISIONS!CB753</f>
        <v>0</v>
      </c>
      <c r="CC567" s="929">
        <f>DIVISIONS!CC753</f>
        <v>0</v>
      </c>
      <c r="CD567" s="929">
        <f>CB567+CC567</f>
        <v>0</v>
      </c>
      <c r="CE567" s="1619"/>
      <c r="CF567" s="929">
        <f>DIVISIONS!CF753</f>
        <v>0</v>
      </c>
      <c r="CG567" s="929">
        <f>DIVISIONS!CG753</f>
        <v>0</v>
      </c>
      <c r="CH567" s="929">
        <f>CF567+CG567</f>
        <v>0</v>
      </c>
      <c r="CI567" s="1619"/>
      <c r="CJ567" s="929">
        <f>DIVISIONS!CJ753</f>
        <v>0</v>
      </c>
      <c r="CK567" s="929">
        <f>DIVISIONS!CK753</f>
        <v>0</v>
      </c>
      <c r="CL567" s="929">
        <f>CJ567+CK567</f>
        <v>0</v>
      </c>
      <c r="CM567" s="1619"/>
      <c r="CN567" s="929">
        <f>DIVISIONS!CN753</f>
        <v>0</v>
      </c>
      <c r="CO567" s="929">
        <f>DIVISIONS!CO753</f>
        <v>0</v>
      </c>
      <c r="CP567" s="929">
        <f>CN567+CO567</f>
        <v>0</v>
      </c>
      <c r="CQ567" s="1619"/>
      <c r="CR567" s="929">
        <f>DIVISIONS!CR753</f>
        <v>0</v>
      </c>
      <c r="CS567" s="929">
        <f>DIVISIONS!CS753</f>
        <v>0</v>
      </c>
      <c r="CT567" s="929">
        <f>CR567+CS567</f>
        <v>0</v>
      </c>
      <c r="CU567" s="859"/>
      <c r="CV567" s="929">
        <f>DIVISIONS!CV753</f>
        <v>0</v>
      </c>
      <c r="CW567" s="929">
        <f>DIVISIONS!CW753</f>
        <v>0</v>
      </c>
      <c r="CX567" s="929">
        <f>CV567+CW567</f>
        <v>0</v>
      </c>
      <c r="CY567" s="859"/>
      <c r="CZ567" s="929">
        <f>DIVISIONS!CZ753</f>
        <v>0</v>
      </c>
      <c r="DA567" s="929">
        <f>DIVISIONS!DA753</f>
        <v>0</v>
      </c>
      <c r="DB567" s="929">
        <f>CZ567+DA567</f>
        <v>0</v>
      </c>
      <c r="DC567" s="859"/>
      <c r="DD567" s="929">
        <f>DIVISIONS!DD753</f>
        <v>0</v>
      </c>
      <c r="DE567" s="929">
        <f>DIVISIONS!DE753</f>
        <v>0</v>
      </c>
      <c r="DF567" s="929">
        <f>DD567+DE567</f>
        <v>0</v>
      </c>
      <c r="DG567" s="859"/>
      <c r="DH567" s="929">
        <f>DIVISIONS!DH753</f>
        <v>0</v>
      </c>
      <c r="DI567" s="859">
        <v>0</v>
      </c>
      <c r="DJ567" s="929">
        <f>DH567+DI567</f>
        <v>0</v>
      </c>
      <c r="DK567" s="859"/>
      <c r="DL567" s="859">
        <v>0</v>
      </c>
      <c r="DM567" s="859">
        <v>0</v>
      </c>
      <c r="DN567" s="929">
        <f>DL567+DM567</f>
        <v>0</v>
      </c>
      <c r="DO567" s="929"/>
      <c r="DP567" s="859">
        <v>0</v>
      </c>
      <c r="DQ567" s="859">
        <v>0</v>
      </c>
      <c r="DR567" s="929">
        <f>DP567+DQ567</f>
        <v>0</v>
      </c>
      <c r="DS567" s="929"/>
      <c r="DT567" s="859"/>
      <c r="DU567" s="859"/>
      <c r="DV567" s="859"/>
      <c r="DW567" s="859"/>
      <c r="DX567" s="929"/>
      <c r="DY567" s="857"/>
      <c r="DZ567" s="859"/>
      <c r="EA567" s="859"/>
      <c r="EB567" s="929"/>
      <c r="EC567" s="857"/>
      <c r="ED567" s="859"/>
      <c r="EE567" s="859"/>
      <c r="EF567" s="929"/>
      <c r="EG567" s="857"/>
      <c r="EH567" s="857"/>
      <c r="EI567" s="857"/>
      <c r="EJ567" s="857"/>
      <c r="EK567" s="857"/>
      <c r="EL567" s="857"/>
      <c r="EM567" s="857"/>
      <c r="EN567" s="857"/>
      <c r="EO567" s="857"/>
      <c r="EP567" s="857"/>
      <c r="FL567" s="855"/>
      <c r="FM567" s="855"/>
      <c r="FN567" s="855"/>
      <c r="FO567" s="855"/>
      <c r="FP567" s="855"/>
      <c r="FQ567" s="855"/>
      <c r="FR567" s="855"/>
      <c r="FS567" s="855"/>
      <c r="FT567" s="855"/>
      <c r="FU567" s="855"/>
      <c r="FV567" s="855"/>
      <c r="FW567" s="855"/>
      <c r="FX567" s="855"/>
      <c r="FY567" s="855"/>
      <c r="FZ567" s="855"/>
      <c r="GA567" s="855"/>
      <c r="GB567" s="855"/>
      <c r="GC567" s="855"/>
      <c r="GD567" s="855"/>
      <c r="GE567" s="855"/>
      <c r="GF567" s="855"/>
      <c r="GG567" s="855"/>
      <c r="GH567" s="855"/>
      <c r="GI567" s="855"/>
      <c r="GJ567" s="855"/>
      <c r="GK567" s="855"/>
      <c r="GL567" s="855"/>
      <c r="GM567" s="855"/>
      <c r="GN567" s="855"/>
      <c r="GO567" s="855"/>
      <c r="GP567" s="855"/>
      <c r="GQ567" s="855"/>
      <c r="GR567" s="855"/>
      <c r="GS567" s="855"/>
      <c r="GT567" s="855"/>
      <c r="GU567" s="855"/>
      <c r="GV567" s="855"/>
      <c r="GW567" s="855"/>
      <c r="GX567" s="855"/>
      <c r="GY567" s="855"/>
      <c r="GZ567" s="855"/>
      <c r="HA567" s="855"/>
      <c r="HB567" s="855"/>
      <c r="HC567" s="855"/>
      <c r="HD567" s="855"/>
      <c r="HE567" s="855"/>
      <c r="HF567" s="855"/>
      <c r="HG567" s="855"/>
      <c r="HH567" s="855"/>
      <c r="HI567" s="855"/>
      <c r="HJ567" s="855"/>
      <c r="HK567" s="855"/>
      <c r="HL567" s="855"/>
      <c r="HM567" s="855"/>
      <c r="HN567" s="855"/>
      <c r="HO567" s="855"/>
      <c r="HP567" s="855"/>
      <c r="HQ567" s="855"/>
      <c r="HR567" s="855"/>
      <c r="HS567" s="855"/>
      <c r="HT567" s="855"/>
      <c r="HU567" s="855"/>
      <c r="HV567" s="855"/>
      <c r="HW567" s="855"/>
      <c r="HX567" s="855"/>
      <c r="HY567" s="855"/>
      <c r="HZ567" s="855"/>
      <c r="IA567" s="855"/>
      <c r="IB567" s="855"/>
      <c r="IC567" s="855"/>
      <c r="ID567" s="855"/>
      <c r="IE567" s="855"/>
      <c r="IF567" s="855"/>
      <c r="IG567" s="855"/>
      <c r="IH567" s="855"/>
      <c r="II567" s="855"/>
      <c r="IJ567" s="855"/>
      <c r="IK567" s="855"/>
      <c r="IL567" s="855"/>
      <c r="IM567" s="855"/>
      <c r="IN567" s="855"/>
      <c r="IO567" s="855"/>
      <c r="IP567" s="855"/>
      <c r="IQ567" s="855"/>
      <c r="IR567" s="855"/>
      <c r="IS567" s="855"/>
      <c r="IT567" s="855"/>
      <c r="IU567" s="855"/>
      <c r="IV567" s="855"/>
      <c r="IW567" s="855"/>
      <c r="IX567" s="855"/>
      <c r="IY567" s="855"/>
      <c r="IZ567" s="855"/>
      <c r="JA567" s="855"/>
      <c r="JB567" s="855"/>
      <c r="JC567" s="855"/>
      <c r="JD567" s="855"/>
      <c r="JE567" s="855"/>
      <c r="JF567" s="855"/>
      <c r="JG567" s="855"/>
      <c r="JH567" s="855"/>
      <c r="JI567" s="855"/>
      <c r="JJ567" s="855"/>
      <c r="JK567" s="855"/>
      <c r="JL567" s="855"/>
      <c r="JM567"/>
    </row>
    <row r="568" spans="1:273" s="855" customFormat="1">
      <c r="A568" s="289" t="s">
        <v>613</v>
      </c>
      <c r="B568" s="290"/>
      <c r="C568" s="289"/>
      <c r="D568" s="289"/>
      <c r="E568" s="289"/>
      <c r="F568" s="289"/>
      <c r="G568" s="289"/>
      <c r="H568" s="289"/>
      <c r="I568" s="289"/>
      <c r="J568" s="289"/>
      <c r="K568" s="289"/>
      <c r="L568" s="289"/>
      <c r="M568" s="289"/>
      <c r="N568" s="289"/>
      <c r="O568" s="289"/>
      <c r="P568" s="289"/>
      <c r="Q568" s="289"/>
      <c r="R568" s="289"/>
      <c r="S568" s="289"/>
      <c r="T568" s="289"/>
      <c r="U568" s="289"/>
      <c r="V568" s="289"/>
      <c r="W568" s="289"/>
      <c r="X568" s="289"/>
      <c r="Y568" s="289"/>
      <c r="Z568" s="289"/>
      <c r="AA568" s="289"/>
      <c r="AB568" s="289"/>
      <c r="AC568" s="289"/>
      <c r="AD568" s="289"/>
      <c r="AE568" s="289"/>
      <c r="AF568" s="289"/>
      <c r="AG568" s="289"/>
      <c r="AH568" s="289"/>
      <c r="AI568" s="289"/>
      <c r="AJ568" s="289"/>
      <c r="AK568" s="289"/>
      <c r="AL568" s="289"/>
      <c r="AM568" s="289"/>
      <c r="AN568" s="290"/>
      <c r="AO568" s="290"/>
      <c r="AP568" s="853">
        <f>SUM(AP560:AP567)</f>
        <v>0</v>
      </c>
      <c r="AQ568" s="290"/>
      <c r="AR568" s="290"/>
      <c r="AS568" s="290"/>
      <c r="AT568" s="853">
        <f>SUM(AT560:AT567)</f>
        <v>0</v>
      </c>
      <c r="AU568" s="290"/>
      <c r="AV568" s="853">
        <f>SUM(AV560:AV567)</f>
        <v>0</v>
      </c>
      <c r="AW568" s="853">
        <f>SUM(AW560:AW567)</f>
        <v>0</v>
      </c>
      <c r="AX568" s="853"/>
      <c r="AY568" s="820"/>
      <c r="AZ568" s="853">
        <f>SUM(AZ560:AZ567)</f>
        <v>20</v>
      </c>
      <c r="BA568" s="853">
        <f>SUM(BA560:BA567)</f>
        <v>17</v>
      </c>
      <c r="BB568" s="853"/>
      <c r="BC568" s="853"/>
      <c r="BD568" s="853">
        <f>SUM(BD560:BD567)</f>
        <v>0</v>
      </c>
      <c r="BE568" s="853">
        <f>SUM(BE560:BE567)</f>
        <v>65</v>
      </c>
      <c r="BF568" s="818">
        <f t="shared" si="650"/>
        <v>65</v>
      </c>
      <c r="BG568" s="853"/>
      <c r="BH568" s="853">
        <f>SUM(BH560:BH567)</f>
        <v>-40</v>
      </c>
      <c r="BI568" s="853">
        <f>SUM(BI560:BI567)</f>
        <v>0</v>
      </c>
      <c r="BJ568" s="818">
        <f>BH568+BI568</f>
        <v>-40</v>
      </c>
      <c r="BK568" s="853"/>
      <c r="BL568" s="853">
        <f>SUM(BL560:BL567)</f>
        <v>0</v>
      </c>
      <c r="BM568" s="853">
        <f>SUM(BM560:BM567)</f>
        <v>0</v>
      </c>
      <c r="BN568" s="818">
        <f>BL568+BM568</f>
        <v>0</v>
      </c>
      <c r="BO568" s="853"/>
      <c r="BP568" s="853">
        <f>SUM(BP560:BP567)</f>
        <v>0</v>
      </c>
      <c r="BQ568" s="853">
        <f>SUM(BQ560:BQ567)</f>
        <v>0</v>
      </c>
      <c r="BR568" s="818">
        <f>BP568+BQ568</f>
        <v>0</v>
      </c>
      <c r="BS568" s="853"/>
      <c r="BT568" s="853">
        <f>SUM(BT560:BT567)</f>
        <v>0</v>
      </c>
      <c r="BU568" s="853">
        <f>SUM(BU560:BU567)</f>
        <v>0</v>
      </c>
      <c r="BV568" s="818">
        <f>BT568+BU568</f>
        <v>0</v>
      </c>
      <c r="BW568" s="853"/>
      <c r="BX568" s="853">
        <f>SUM(BX560:BX567)</f>
        <v>0</v>
      </c>
      <c r="BY568" s="853">
        <f>SUM(BY560:BY567)</f>
        <v>0</v>
      </c>
      <c r="BZ568" s="818">
        <f>BX568+BY568</f>
        <v>0</v>
      </c>
      <c r="CA568" s="853"/>
      <c r="CB568" s="853">
        <f>SUM(CB560:CB567)</f>
        <v>0</v>
      </c>
      <c r="CC568" s="853">
        <f>SUM(CC560:CC567)</f>
        <v>0</v>
      </c>
      <c r="CD568" s="818">
        <f>CB568+CC568</f>
        <v>0</v>
      </c>
      <c r="CE568" s="862"/>
      <c r="CF568" s="853">
        <f>SUM(CF560:CF567)</f>
        <v>0</v>
      </c>
      <c r="CG568" s="853">
        <f>SUM(CG560:CG567)</f>
        <v>0</v>
      </c>
      <c r="CH568" s="818">
        <f>CF568+CG568</f>
        <v>0</v>
      </c>
      <c r="CI568" s="862"/>
      <c r="CJ568" s="853">
        <f>SUM(CJ560:CJ567)</f>
        <v>0</v>
      </c>
      <c r="CK568" s="853">
        <f>SUM(CK560:CK567)</f>
        <v>0</v>
      </c>
      <c r="CL568" s="818">
        <f>CJ568+CK568</f>
        <v>0</v>
      </c>
      <c r="CM568" s="862"/>
      <c r="CN568" s="853">
        <f>SUM(CN560:CN567)</f>
        <v>0</v>
      </c>
      <c r="CO568" s="853">
        <f>SUM(CO560:CO567)</f>
        <v>0</v>
      </c>
      <c r="CP568" s="818">
        <f>CN568+CO568</f>
        <v>0</v>
      </c>
      <c r="CQ568" s="862"/>
      <c r="CR568" s="853">
        <f>SUM(CR560:CR567)</f>
        <v>0</v>
      </c>
      <c r="CS568" s="853">
        <f>SUM(CS560:CS567)</f>
        <v>0</v>
      </c>
      <c r="CT568" s="818">
        <f>CR568+CS568</f>
        <v>0</v>
      </c>
      <c r="CU568" s="853"/>
      <c r="CV568" s="853">
        <f>SUM(CV560:CV567)</f>
        <v>0</v>
      </c>
      <c r="CW568" s="853">
        <f>SUM(CW560:CW567)</f>
        <v>0</v>
      </c>
      <c r="CX568" s="818">
        <f>CV568+CW568</f>
        <v>0</v>
      </c>
      <c r="CY568" s="853"/>
      <c r="CZ568" s="853">
        <f>SUM(CZ560:CZ567)</f>
        <v>0</v>
      </c>
      <c r="DA568" s="853">
        <f>SUM(DA560:DA567)</f>
        <v>0</v>
      </c>
      <c r="DB568" s="818">
        <f>CZ568+DA568</f>
        <v>0</v>
      </c>
      <c r="DC568" s="853"/>
      <c r="DD568" s="853">
        <f>SUM(DD560:DD567)</f>
        <v>0</v>
      </c>
      <c r="DE568" s="853">
        <f>SUM(DE560:DE567)</f>
        <v>0</v>
      </c>
      <c r="DF568" s="818">
        <f>DD568+DE568</f>
        <v>0</v>
      </c>
      <c r="DG568" s="853"/>
      <c r="DH568" s="853">
        <f>SUM(DH560:DH567)</f>
        <v>0</v>
      </c>
      <c r="DI568" s="853">
        <f>SUM(DI560:DI567)</f>
        <v>0</v>
      </c>
      <c r="DJ568" s="818">
        <f>DH568+DI568</f>
        <v>0</v>
      </c>
      <c r="DK568" s="853"/>
      <c r="DL568" s="853">
        <f>SUM(DL560:DL567)</f>
        <v>0</v>
      </c>
      <c r="DM568" s="853">
        <f>SUM(DM560:DM567)</f>
        <v>0</v>
      </c>
      <c r="DN568" s="818">
        <f>DL568+DM568</f>
        <v>0</v>
      </c>
      <c r="DO568" s="818"/>
      <c r="DP568" s="853">
        <f>SUM(DP560:DP567)</f>
        <v>0</v>
      </c>
      <c r="DQ568" s="853">
        <f>SUM(DQ560:DQ567)</f>
        <v>0</v>
      </c>
      <c r="DR568" s="818">
        <f>DP568+DQ568</f>
        <v>0</v>
      </c>
      <c r="DS568" s="818"/>
      <c r="DT568" s="853"/>
      <c r="DU568" s="853"/>
      <c r="DV568" s="853"/>
      <c r="DW568" s="853"/>
      <c r="DX568" s="818"/>
      <c r="DY568" s="853"/>
      <c r="DZ568" s="853"/>
      <c r="EA568" s="853"/>
      <c r="EB568" s="818"/>
      <c r="EC568" s="853"/>
      <c r="ED568" s="853"/>
      <c r="EE568" s="853"/>
      <c r="EF568" s="818"/>
      <c r="EG568" s="853"/>
      <c r="EH568" s="853"/>
      <c r="EI568" s="853"/>
      <c r="EJ568" s="853"/>
      <c r="EK568" s="853"/>
      <c r="EL568" s="853"/>
      <c r="EM568" s="853"/>
      <c r="EN568" s="853"/>
      <c r="EO568" s="853"/>
      <c r="EP568" s="853"/>
      <c r="JM568"/>
    </row>
    <row r="569" spans="1:273" s="855" customFormat="1">
      <c r="A569" s="289"/>
      <c r="B569" s="290"/>
      <c r="C569" s="289"/>
      <c r="D569" s="289"/>
      <c r="E569" s="289"/>
      <c r="F569" s="289"/>
      <c r="G569" s="289"/>
      <c r="H569" s="289"/>
      <c r="I569" s="289"/>
      <c r="J569" s="289"/>
      <c r="K569" s="289"/>
      <c r="L569" s="289"/>
      <c r="M569" s="289"/>
      <c r="N569" s="289"/>
      <c r="O569" s="289"/>
      <c r="P569" s="289"/>
      <c r="Q569" s="289"/>
      <c r="R569" s="289"/>
      <c r="S569" s="289"/>
      <c r="T569" s="289"/>
      <c r="U569" s="289"/>
      <c r="V569" s="289"/>
      <c r="W569" s="289"/>
      <c r="X569" s="289"/>
      <c r="Y569" s="289"/>
      <c r="Z569" s="289"/>
      <c r="AA569" s="289"/>
      <c r="AB569" s="289"/>
      <c r="AC569" s="289"/>
      <c r="AD569" s="289"/>
      <c r="AE569" s="289"/>
      <c r="AF569" s="289"/>
      <c r="AG569" s="289"/>
      <c r="AH569" s="289"/>
      <c r="AI569" s="289"/>
      <c r="AJ569" s="289"/>
      <c r="AK569" s="289"/>
      <c r="AL569" s="289"/>
      <c r="AM569" s="289"/>
      <c r="AN569" s="290"/>
      <c r="AO569" s="290"/>
      <c r="AP569" s="290"/>
      <c r="AQ569" s="290"/>
      <c r="AR569" s="290"/>
      <c r="AS569" s="290"/>
      <c r="AT569" s="290"/>
      <c r="AU569" s="290"/>
      <c r="AV569" s="853"/>
      <c r="AW569" s="853"/>
      <c r="AX569" s="853"/>
      <c r="AY569" s="820"/>
      <c r="AZ569" s="853"/>
      <c r="BA569" s="853"/>
      <c r="BB569" s="853"/>
      <c r="BC569" s="853"/>
      <c r="BD569" s="853"/>
      <c r="BE569" s="853"/>
      <c r="BF569" s="818"/>
      <c r="BG569" s="853"/>
      <c r="BH569" s="853"/>
      <c r="BI569" s="853"/>
      <c r="BJ569" s="818"/>
      <c r="BK569" s="853"/>
      <c r="BL569" s="853"/>
      <c r="BM569" s="853"/>
      <c r="BN569" s="818"/>
      <c r="BO569" s="853"/>
      <c r="BP569" s="853"/>
      <c r="BQ569" s="853"/>
      <c r="BR569" s="818"/>
      <c r="BS569" s="853"/>
      <c r="BT569" s="853"/>
      <c r="BU569" s="853"/>
      <c r="BV569" s="818"/>
      <c r="BW569" s="853"/>
      <c r="BX569" s="853"/>
      <c r="BY569" s="853"/>
      <c r="BZ569" s="818"/>
      <c r="CA569" s="853"/>
      <c r="CB569" s="853"/>
      <c r="CC569" s="853"/>
      <c r="CD569" s="818"/>
      <c r="CE569" s="862"/>
      <c r="CF569" s="853"/>
      <c r="CG569" s="853"/>
      <c r="CH569" s="818"/>
      <c r="CI569" s="862"/>
      <c r="CJ569" s="853"/>
      <c r="CK569" s="853"/>
      <c r="CL569" s="818"/>
      <c r="CM569" s="862"/>
      <c r="CN569" s="853"/>
      <c r="CO569" s="853"/>
      <c r="CP569" s="818"/>
      <c r="CQ569" s="862"/>
      <c r="CR569" s="853"/>
      <c r="CS569" s="853"/>
      <c r="CT569" s="818"/>
      <c r="CU569" s="853"/>
      <c r="CV569" s="853"/>
      <c r="CW569" s="853"/>
      <c r="CX569" s="818"/>
      <c r="CY569" s="853"/>
      <c r="CZ569" s="853"/>
      <c r="DA569" s="853"/>
      <c r="DB569" s="818"/>
      <c r="DC569" s="853"/>
      <c r="DD569" s="853"/>
      <c r="DE569" s="853"/>
      <c r="DF569" s="818"/>
      <c r="DG569" s="853"/>
      <c r="DH569" s="853"/>
      <c r="DI569" s="853"/>
      <c r="DJ569" s="818"/>
      <c r="DK569" s="853"/>
      <c r="DL569" s="853"/>
      <c r="DM569" s="853"/>
      <c r="DN569" s="818"/>
      <c r="DO569" s="818"/>
      <c r="DP569" s="853"/>
      <c r="DQ569" s="853"/>
      <c r="DR569" s="818"/>
      <c r="DS569" s="818"/>
      <c r="DT569" s="853"/>
      <c r="DU569" s="853"/>
      <c r="DV569" s="853"/>
      <c r="DW569" s="853"/>
      <c r="DX569" s="818"/>
      <c r="DY569" s="853"/>
      <c r="DZ569" s="853"/>
      <c r="EA569" s="853"/>
      <c r="EB569" s="818"/>
      <c r="EC569" s="853"/>
      <c r="ED569" s="853"/>
      <c r="EE569" s="853"/>
      <c r="EF569" s="818"/>
      <c r="EG569" s="853"/>
      <c r="EH569" s="853"/>
      <c r="EI569" s="853"/>
      <c r="EJ569" s="853"/>
      <c r="EK569" s="853"/>
      <c r="EL569" s="853"/>
      <c r="EM569" s="853"/>
      <c r="EN569" s="853"/>
      <c r="EO569" s="853"/>
      <c r="EP569" s="853"/>
      <c r="JM569"/>
    </row>
    <row r="570" spans="1:273" s="971" customFormat="1">
      <c r="A570" s="866" t="s">
        <v>888</v>
      </c>
      <c r="B570" s="925"/>
      <c r="C570" s="866"/>
      <c r="D570" s="866"/>
      <c r="E570" s="866"/>
      <c r="F570" s="866"/>
      <c r="G570" s="866"/>
      <c r="H570" s="866"/>
      <c r="I570" s="866"/>
      <c r="J570" s="866"/>
      <c r="K570" s="866"/>
      <c r="L570" s="866"/>
      <c r="M570" s="866"/>
      <c r="N570" s="866"/>
      <c r="O570" s="866"/>
      <c r="P570" s="866"/>
      <c r="Q570" s="866"/>
      <c r="R570" s="866"/>
      <c r="S570" s="866"/>
      <c r="T570" s="866"/>
      <c r="U570" s="866"/>
      <c r="V570" s="866"/>
      <c r="W570" s="866"/>
      <c r="X570" s="866"/>
      <c r="Y570" s="866"/>
      <c r="Z570" s="866"/>
      <c r="AA570" s="866"/>
      <c r="AB570" s="866"/>
      <c r="AC570" s="866"/>
      <c r="AD570" s="866"/>
      <c r="AE570" s="866"/>
      <c r="AF570" s="866"/>
      <c r="AG570" s="866"/>
      <c r="AH570" s="866"/>
      <c r="AI570" s="866"/>
      <c r="AJ570" s="866"/>
      <c r="AK570" s="866"/>
      <c r="AL570" s="866"/>
      <c r="AM570" s="866"/>
      <c r="AN570" s="925"/>
      <c r="AO570" s="925"/>
      <c r="AP570" s="925"/>
      <c r="AQ570" s="925"/>
      <c r="AR570" s="925"/>
      <c r="AS570" s="925"/>
      <c r="AT570" s="925"/>
      <c r="AU570" s="925"/>
      <c r="AV570" s="968"/>
      <c r="AW570" s="968"/>
      <c r="AX570" s="968"/>
      <c r="AY570" s="969"/>
      <c r="AZ570" s="968"/>
      <c r="BA570" s="968"/>
      <c r="BB570" s="968"/>
      <c r="BC570" s="968"/>
      <c r="BD570" s="970"/>
      <c r="BE570" s="970"/>
      <c r="BF570" s="968"/>
      <c r="BG570" s="968"/>
      <c r="BH570" s="970"/>
      <c r="BI570" s="970"/>
      <c r="BJ570" s="968"/>
      <c r="BK570" s="968"/>
      <c r="BL570" s="970"/>
      <c r="BM570" s="970"/>
      <c r="BN570" s="968"/>
      <c r="BO570" s="968"/>
      <c r="BP570" s="970"/>
      <c r="BQ570" s="970"/>
      <c r="BR570" s="968"/>
      <c r="BS570" s="968"/>
      <c r="BT570" s="970"/>
      <c r="BU570" s="970"/>
      <c r="BV570" s="968"/>
      <c r="BW570" s="968"/>
      <c r="BX570" s="970"/>
      <c r="BY570" s="970"/>
      <c r="BZ570" s="968"/>
      <c r="CA570" s="968"/>
      <c r="CB570" s="970"/>
      <c r="CC570" s="970"/>
      <c r="CD570" s="968"/>
      <c r="CE570" s="1617"/>
      <c r="CF570" s="970"/>
      <c r="CG570" s="970"/>
      <c r="CH570" s="968"/>
      <c r="CI570" s="1617"/>
      <c r="CJ570" s="970"/>
      <c r="CK570" s="970"/>
      <c r="CL570" s="968"/>
      <c r="CM570" s="1617"/>
      <c r="CN570" s="970"/>
      <c r="CO570" s="970"/>
      <c r="CP570" s="968"/>
      <c r="CQ570" s="1617"/>
      <c r="CR570" s="970"/>
      <c r="CS570" s="970"/>
      <c r="CT570" s="968"/>
      <c r="CU570" s="968"/>
      <c r="CV570" s="970"/>
      <c r="CW570" s="970"/>
      <c r="CX570" s="968"/>
      <c r="CY570" s="968"/>
      <c r="CZ570" s="970"/>
      <c r="DA570" s="970"/>
      <c r="DB570" s="968"/>
      <c r="DC570" s="968"/>
      <c r="DD570" s="970"/>
      <c r="DE570" s="970"/>
      <c r="DF570" s="968"/>
      <c r="DG570" s="968"/>
      <c r="DH570" s="970"/>
      <c r="DI570" s="970"/>
      <c r="DJ570" s="968"/>
      <c r="DK570" s="968"/>
      <c r="DL570" s="970"/>
      <c r="DM570" s="970"/>
      <c r="DN570" s="968"/>
      <c r="DO570" s="968"/>
      <c r="DP570" s="970"/>
      <c r="DQ570" s="970"/>
      <c r="DR570" s="968"/>
      <c r="DS570" s="968"/>
      <c r="DT570" s="968"/>
      <c r="DU570" s="970"/>
      <c r="DV570" s="970"/>
      <c r="DW570" s="970"/>
      <c r="DX570" s="968"/>
      <c r="DY570" s="968"/>
      <c r="DZ570" s="970"/>
      <c r="EA570" s="970"/>
      <c r="EB570" s="968"/>
      <c r="EC570" s="968"/>
      <c r="ED570" s="970"/>
      <c r="EE570" s="970"/>
      <c r="EF570" s="968"/>
      <c r="EG570" s="968"/>
      <c r="EH570" s="968"/>
      <c r="EI570" s="968"/>
      <c r="EJ570" s="968"/>
      <c r="EK570" s="968"/>
      <c r="EL570" s="968"/>
      <c r="EM570" s="968"/>
      <c r="EN570" s="968"/>
      <c r="EO570" s="968"/>
      <c r="EP570" s="968"/>
      <c r="FL570" s="855"/>
      <c r="FM570" s="855"/>
      <c r="FN570" s="855"/>
      <c r="FO570" s="855"/>
      <c r="FP570" s="855"/>
      <c r="FQ570" s="855"/>
      <c r="FR570" s="855"/>
      <c r="FS570" s="855"/>
      <c r="FT570" s="855"/>
      <c r="FU570" s="855"/>
      <c r="FV570" s="855"/>
      <c r="FW570" s="855"/>
      <c r="FX570" s="855"/>
      <c r="FY570" s="855"/>
      <c r="FZ570" s="855"/>
      <c r="GA570" s="855"/>
      <c r="GB570" s="855"/>
      <c r="GC570" s="855"/>
      <c r="GD570" s="855"/>
      <c r="GE570" s="855"/>
      <c r="GF570" s="855"/>
      <c r="GG570" s="855"/>
      <c r="GH570" s="855"/>
      <c r="GI570" s="855"/>
      <c r="GJ570" s="855"/>
      <c r="GK570" s="855"/>
      <c r="GL570" s="855"/>
      <c r="GM570" s="855"/>
      <c r="GN570" s="855"/>
      <c r="GO570" s="855"/>
      <c r="GP570" s="855"/>
      <c r="GQ570" s="855"/>
      <c r="GR570" s="855"/>
      <c r="GS570" s="855"/>
      <c r="GT570" s="855"/>
      <c r="GU570" s="855"/>
      <c r="GV570" s="855"/>
      <c r="GW570" s="855"/>
      <c r="GX570" s="855"/>
      <c r="GY570" s="855"/>
      <c r="GZ570" s="855"/>
      <c r="HA570" s="855"/>
      <c r="HB570" s="855"/>
      <c r="HC570" s="855"/>
      <c r="HD570" s="855"/>
      <c r="HE570" s="855"/>
      <c r="HF570" s="855"/>
      <c r="HG570" s="855"/>
      <c r="HH570" s="855"/>
      <c r="HI570" s="855"/>
      <c r="HJ570" s="855"/>
      <c r="HK570" s="855"/>
      <c r="HL570" s="855"/>
      <c r="HM570" s="855"/>
      <c r="HN570" s="855"/>
      <c r="HO570" s="855"/>
      <c r="HP570" s="855"/>
      <c r="HQ570" s="855"/>
      <c r="HR570" s="855"/>
      <c r="HS570" s="855"/>
      <c r="HT570" s="855"/>
      <c r="HU570" s="855"/>
      <c r="HV570" s="855"/>
      <c r="HW570" s="855"/>
      <c r="HX570" s="855"/>
      <c r="HY570" s="855"/>
      <c r="HZ570" s="855"/>
      <c r="IA570" s="855"/>
      <c r="IB570" s="855"/>
      <c r="IC570" s="855"/>
      <c r="ID570" s="855"/>
      <c r="IE570" s="855"/>
      <c r="IF570" s="855"/>
      <c r="IG570" s="855"/>
      <c r="IH570" s="855"/>
      <c r="II570" s="855"/>
      <c r="IJ570" s="855"/>
      <c r="IK570" s="855"/>
      <c r="IL570" s="855"/>
      <c r="IM570" s="855"/>
      <c r="IN570" s="855"/>
      <c r="IO570" s="855"/>
      <c r="IP570" s="855"/>
      <c r="IQ570" s="855"/>
      <c r="IR570" s="855"/>
      <c r="IS570" s="855"/>
      <c r="IT570" s="855"/>
      <c r="IU570" s="855"/>
      <c r="IV570" s="855"/>
      <c r="IW570" s="855"/>
      <c r="IX570" s="855"/>
      <c r="IY570" s="855"/>
      <c r="IZ570" s="855"/>
      <c r="JA570" s="855"/>
      <c r="JB570" s="855"/>
      <c r="JC570" s="855"/>
      <c r="JD570" s="855"/>
      <c r="JE570" s="855"/>
      <c r="JF570" s="855"/>
      <c r="JG570" s="855"/>
      <c r="JH570" s="855"/>
      <c r="JI570" s="855"/>
      <c r="JJ570" s="855"/>
      <c r="JK570" s="855"/>
      <c r="JL570" s="855"/>
      <c r="JM570"/>
    </row>
    <row r="571" spans="1:273" s="860" customFormat="1">
      <c r="A571" s="302" t="s">
        <v>685</v>
      </c>
      <c r="B571" s="298"/>
      <c r="C571" s="296"/>
      <c r="D571" s="296"/>
      <c r="E571" s="296"/>
      <c r="F571" s="296"/>
      <c r="G571" s="296"/>
      <c r="H571" s="296"/>
      <c r="I571" s="296"/>
      <c r="J571" s="296"/>
      <c r="K571" s="296"/>
      <c r="L571" s="296"/>
      <c r="M571" s="296"/>
      <c r="N571" s="296"/>
      <c r="O571" s="296"/>
      <c r="P571" s="296"/>
      <c r="Q571" s="296"/>
      <c r="R571" s="296"/>
      <c r="S571" s="296"/>
      <c r="T571" s="296"/>
      <c r="U571" s="296"/>
      <c r="V571" s="296"/>
      <c r="W571" s="296"/>
      <c r="X571" s="296"/>
      <c r="Y571" s="296"/>
      <c r="Z571" s="296"/>
      <c r="AA571" s="296"/>
      <c r="AB571" s="296"/>
      <c r="AC571" s="296"/>
      <c r="AD571" s="296"/>
      <c r="AE571" s="296"/>
      <c r="AF571" s="296"/>
      <c r="AG571" s="296"/>
      <c r="AH571" s="296"/>
      <c r="AI571" s="296"/>
      <c r="AJ571" s="296"/>
      <c r="AK571" s="296"/>
      <c r="AL571" s="296"/>
      <c r="AM571" s="296"/>
      <c r="AN571" s="298"/>
      <c r="AO571" s="298"/>
      <c r="AP571" s="298"/>
      <c r="AQ571" s="298"/>
      <c r="AR571" s="298"/>
      <c r="AS571" s="298"/>
      <c r="AT571" s="298"/>
      <c r="AU571" s="972">
        <f>SUM(AV571:BZ571)</f>
        <v>0</v>
      </c>
      <c r="AV571" s="973">
        <v>0</v>
      </c>
      <c r="AW571" s="973">
        <v>0</v>
      </c>
      <c r="AX571" s="980"/>
      <c r="AY571" s="633"/>
      <c r="AZ571" s="973">
        <v>0</v>
      </c>
      <c r="BA571" s="973">
        <v>0</v>
      </c>
      <c r="BB571" s="857"/>
      <c r="BC571" s="857"/>
      <c r="BD571" s="982">
        <v>0</v>
      </c>
      <c r="BE571" s="982">
        <v>0</v>
      </c>
      <c r="BF571" s="983">
        <f>BD571+BE571</f>
        <v>0</v>
      </c>
      <c r="BG571" s="984"/>
      <c r="BH571" s="982">
        <v>0</v>
      </c>
      <c r="BI571" s="982">
        <v>0</v>
      </c>
      <c r="BJ571" s="983">
        <f t="shared" ref="BJ571:BJ576" si="651">BH571+BI571</f>
        <v>0</v>
      </c>
      <c r="BK571" s="984"/>
      <c r="BL571" s="982">
        <v>0</v>
      </c>
      <c r="BM571" s="982">
        <v>0</v>
      </c>
      <c r="BN571" s="983">
        <f t="shared" ref="BN571:BN576" si="652">BL571+BM571</f>
        <v>0</v>
      </c>
      <c r="BO571" s="984"/>
      <c r="BP571" s="982">
        <v>0</v>
      </c>
      <c r="BQ571" s="982">
        <v>0</v>
      </c>
      <c r="BR571" s="983">
        <f t="shared" ref="BR571:BR576" si="653">BP571+BQ571</f>
        <v>0</v>
      </c>
      <c r="BS571" s="984"/>
      <c r="BT571" s="982">
        <v>0</v>
      </c>
      <c r="BU571" s="982">
        <v>0</v>
      </c>
      <c r="BV571" s="983">
        <f t="shared" ref="BV571:BV576" si="654">BT571+BU571</f>
        <v>0</v>
      </c>
      <c r="BW571" s="974"/>
      <c r="BX571" s="974"/>
      <c r="BY571" s="974"/>
      <c r="BZ571" s="974"/>
      <c r="CA571" s="974"/>
      <c r="CB571" s="974"/>
      <c r="CC571" s="974"/>
      <c r="CD571" s="974"/>
      <c r="CE571" s="1618"/>
      <c r="CF571" s="974"/>
      <c r="CG571" s="974"/>
      <c r="CH571" s="974"/>
      <c r="CI571" s="1618"/>
      <c r="CJ571" s="974"/>
      <c r="CK571" s="974"/>
      <c r="CL571" s="974"/>
      <c r="CM571" s="1618"/>
      <c r="CN571" s="974"/>
      <c r="CO571" s="974"/>
      <c r="CP571" s="974"/>
      <c r="CQ571" s="1618"/>
      <c r="CR571" s="974"/>
      <c r="CS571" s="974"/>
      <c r="CT571" s="974"/>
      <c r="CU571" s="974"/>
      <c r="CV571" s="974"/>
      <c r="CW571" s="974"/>
      <c r="CX571" s="974"/>
      <c r="CY571" s="974"/>
      <c r="CZ571" s="974"/>
      <c r="DA571" s="974"/>
      <c r="DB571" s="974"/>
      <c r="DC571" s="974"/>
      <c r="DD571" s="974"/>
      <c r="DE571" s="974"/>
      <c r="DF571" s="974"/>
      <c r="DG571" s="974"/>
      <c r="DH571" s="974"/>
      <c r="DI571" s="974"/>
      <c r="DJ571" s="974"/>
      <c r="DK571" s="974"/>
      <c r="DL571" s="974"/>
      <c r="DM571" s="974"/>
      <c r="DN571" s="974"/>
      <c r="DO571" s="929"/>
      <c r="DP571" s="974"/>
      <c r="DQ571" s="974"/>
      <c r="DR571" s="974"/>
      <c r="DS571" s="929"/>
      <c r="DT571" s="974"/>
      <c r="DU571" s="859"/>
      <c r="DV571" s="859"/>
      <c r="DW571" s="859"/>
      <c r="DX571" s="929"/>
      <c r="DY571" s="857"/>
      <c r="DZ571" s="859"/>
      <c r="EA571" s="859"/>
      <c r="EB571" s="929"/>
      <c r="EC571" s="857"/>
      <c r="ED571" s="859"/>
      <c r="EE571" s="859"/>
      <c r="EF571" s="929"/>
      <c r="EG571" s="857"/>
      <c r="EH571" s="857"/>
      <c r="EI571" s="857"/>
      <c r="EJ571" s="857"/>
      <c r="EK571" s="857"/>
      <c r="EL571" s="857"/>
      <c r="EM571" s="857"/>
      <c r="EN571" s="857"/>
      <c r="EO571" s="857"/>
      <c r="EP571" s="857"/>
      <c r="FL571" s="855"/>
      <c r="FM571" s="855"/>
      <c r="FN571" s="855"/>
      <c r="FO571" s="855"/>
      <c r="FP571" s="855"/>
      <c r="FQ571" s="855"/>
      <c r="FR571" s="855"/>
      <c r="FS571" s="855"/>
      <c r="FT571" s="855"/>
      <c r="FU571" s="855"/>
      <c r="FV571" s="855"/>
      <c r="FW571" s="855"/>
      <c r="FX571" s="855"/>
      <c r="FY571" s="855"/>
      <c r="FZ571" s="855"/>
      <c r="GA571" s="855"/>
      <c r="GB571" s="855"/>
      <c r="GC571" s="855"/>
      <c r="GD571" s="855"/>
      <c r="GE571" s="855"/>
      <c r="GF571" s="855"/>
      <c r="GG571" s="855"/>
      <c r="GH571" s="855"/>
      <c r="GI571" s="855"/>
      <c r="GJ571" s="855"/>
      <c r="GK571" s="855"/>
      <c r="GL571" s="855"/>
      <c r="GM571" s="855"/>
      <c r="GN571" s="855"/>
      <c r="GO571" s="855"/>
      <c r="GP571" s="855"/>
      <c r="GQ571" s="855"/>
      <c r="GR571" s="855"/>
      <c r="GS571" s="855"/>
      <c r="GT571" s="855"/>
      <c r="GU571" s="855"/>
      <c r="GV571" s="855"/>
      <c r="GW571" s="855"/>
      <c r="GX571" s="855"/>
      <c r="GY571" s="855"/>
      <c r="GZ571" s="855"/>
      <c r="HA571" s="855"/>
      <c r="HB571" s="855"/>
      <c r="HC571" s="855"/>
      <c r="HD571" s="855"/>
      <c r="HE571" s="855"/>
      <c r="HF571" s="855"/>
      <c r="HG571" s="855"/>
      <c r="HH571" s="855"/>
      <c r="HI571" s="855"/>
      <c r="HJ571" s="855"/>
      <c r="HK571" s="855"/>
      <c r="HL571" s="855"/>
      <c r="HM571" s="855"/>
      <c r="HN571" s="855"/>
      <c r="HO571" s="855"/>
      <c r="HP571" s="855"/>
      <c r="HQ571" s="855"/>
      <c r="HR571" s="855"/>
      <c r="HS571" s="855"/>
      <c r="HT571" s="855"/>
      <c r="HU571" s="855"/>
      <c r="HV571" s="855"/>
      <c r="HW571" s="855"/>
      <c r="HX571" s="855"/>
      <c r="HY571" s="855"/>
      <c r="HZ571" s="855"/>
      <c r="IA571" s="855"/>
      <c r="IB571" s="855"/>
      <c r="IC571" s="855"/>
      <c r="ID571" s="855"/>
      <c r="IE571" s="855"/>
      <c r="IF571" s="855"/>
      <c r="IG571" s="855"/>
      <c r="IH571" s="855"/>
      <c r="II571" s="855"/>
      <c r="IJ571" s="855"/>
      <c r="IK571" s="855"/>
      <c r="IL571" s="855"/>
      <c r="IM571" s="855"/>
      <c r="IN571" s="855"/>
      <c r="IO571" s="855"/>
      <c r="IP571" s="855"/>
      <c r="IQ571" s="855"/>
      <c r="IR571" s="855"/>
      <c r="IS571" s="855"/>
      <c r="IT571" s="855"/>
      <c r="IU571" s="855"/>
      <c r="IV571" s="855"/>
      <c r="IW571" s="855"/>
      <c r="IX571" s="855"/>
      <c r="IY571" s="855"/>
      <c r="IZ571" s="855"/>
      <c r="JA571" s="855"/>
      <c r="JB571" s="855"/>
      <c r="JC571" s="855"/>
      <c r="JD571" s="855"/>
      <c r="JE571" s="855"/>
      <c r="JF571" s="855"/>
      <c r="JG571" s="855"/>
      <c r="JH571" s="855"/>
      <c r="JI571" s="855"/>
      <c r="JJ571" s="855"/>
      <c r="JK571" s="855"/>
      <c r="JL571" s="855"/>
      <c r="JM571"/>
    </row>
    <row r="572" spans="1:273" s="860" customFormat="1">
      <c r="A572" s="302" t="s">
        <v>686</v>
      </c>
      <c r="B572" s="298"/>
      <c r="C572" s="296"/>
      <c r="D572" s="296"/>
      <c r="E572" s="296"/>
      <c r="F572" s="296"/>
      <c r="G572" s="296"/>
      <c r="H572" s="296"/>
      <c r="I572" s="296"/>
      <c r="J572" s="296"/>
      <c r="K572" s="296"/>
      <c r="L572" s="296"/>
      <c r="M572" s="296"/>
      <c r="N572" s="296"/>
      <c r="O572" s="296"/>
      <c r="P572" s="296"/>
      <c r="Q572" s="296"/>
      <c r="R572" s="296"/>
      <c r="S572" s="296"/>
      <c r="T572" s="296"/>
      <c r="U572" s="296"/>
      <c r="V572" s="296"/>
      <c r="W572" s="296"/>
      <c r="X572" s="296"/>
      <c r="Y572" s="296"/>
      <c r="Z572" s="296"/>
      <c r="AA572" s="296"/>
      <c r="AB572" s="296"/>
      <c r="AC572" s="296"/>
      <c r="AD572" s="296"/>
      <c r="AE572" s="296"/>
      <c r="AF572" s="296"/>
      <c r="AG572" s="296"/>
      <c r="AH572" s="296"/>
      <c r="AI572" s="296"/>
      <c r="AJ572" s="296"/>
      <c r="AK572" s="296"/>
      <c r="AL572" s="296"/>
      <c r="AM572" s="296"/>
      <c r="AN572" s="298"/>
      <c r="AO572" s="298"/>
      <c r="AP572" s="929">
        <f>DIVISIONS!AP176</f>
        <v>0</v>
      </c>
      <c r="AQ572" s="298"/>
      <c r="AR572" s="298"/>
      <c r="AS572" s="298"/>
      <c r="AT572" s="929">
        <f>DIVISIONS!AT176</f>
        <v>94</v>
      </c>
      <c r="AU572" s="298"/>
      <c r="AV572" s="929">
        <f>DIVISIONS!AV176</f>
        <v>0</v>
      </c>
      <c r="AW572" s="929">
        <f>DIVISIONS!AW176</f>
        <v>0</v>
      </c>
      <c r="AX572" s="857"/>
      <c r="AY572" s="976"/>
      <c r="AZ572" s="929">
        <f>DIVISIONS!AZ176</f>
        <v>0</v>
      </c>
      <c r="BA572" s="929">
        <f>DIVISIONS!BA176</f>
        <v>0</v>
      </c>
      <c r="BB572" s="857"/>
      <c r="BC572" s="857"/>
      <c r="BD572" s="929">
        <f>DIVISIONS!BD176</f>
        <v>0</v>
      </c>
      <c r="BE572" s="929">
        <f>DIVISIONS!BE176</f>
        <v>0</v>
      </c>
      <c r="BF572" s="929">
        <f t="shared" ref="BF572:BF579" si="655">BD572+BE572</f>
        <v>0</v>
      </c>
      <c r="BG572" s="859"/>
      <c r="BH572" s="929">
        <f>DIVISIONS!BH176</f>
        <v>0</v>
      </c>
      <c r="BI572" s="929">
        <f>DIVISIONS!BI176</f>
        <v>0</v>
      </c>
      <c r="BJ572" s="929">
        <f t="shared" si="651"/>
        <v>0</v>
      </c>
      <c r="BK572" s="859"/>
      <c r="BL572" s="929">
        <f>DIVISIONS!BL176</f>
        <v>0</v>
      </c>
      <c r="BM572" s="929">
        <f>DIVISIONS!BM176</f>
        <v>0</v>
      </c>
      <c r="BN572" s="929">
        <f t="shared" si="652"/>
        <v>0</v>
      </c>
      <c r="BO572" s="859"/>
      <c r="BP572" s="929">
        <f>DIVISIONS!BP176</f>
        <v>0</v>
      </c>
      <c r="BQ572" s="929">
        <f>DIVISIONS!BQ176</f>
        <v>0</v>
      </c>
      <c r="BR572" s="929">
        <f t="shared" si="653"/>
        <v>0</v>
      </c>
      <c r="BS572" s="859"/>
      <c r="BT572" s="929">
        <f>DIVISIONS!BT176</f>
        <v>0</v>
      </c>
      <c r="BU572" s="929">
        <f>DIVISIONS!BU176</f>
        <v>0</v>
      </c>
      <c r="BV572" s="929">
        <f t="shared" si="654"/>
        <v>0</v>
      </c>
      <c r="BW572" s="859"/>
      <c r="BX572" s="929">
        <f>DIVISIONS!BX176</f>
        <v>0</v>
      </c>
      <c r="BY572" s="929">
        <f>DIVISIONS!BY176</f>
        <v>0</v>
      </c>
      <c r="BZ572" s="929">
        <f>BX572+BY572</f>
        <v>0</v>
      </c>
      <c r="CA572" s="859"/>
      <c r="CB572" s="929">
        <f>DIVISIONS!CB176</f>
        <v>0</v>
      </c>
      <c r="CC572" s="929">
        <f>DIVISIONS!CC176</f>
        <v>0</v>
      </c>
      <c r="CD572" s="929">
        <f>CB572+CC572</f>
        <v>0</v>
      </c>
      <c r="CE572" s="1619"/>
      <c r="CF572" s="929">
        <f>DIVISIONS!CF176</f>
        <v>0</v>
      </c>
      <c r="CG572" s="929">
        <f>DIVISIONS!CG176</f>
        <v>0</v>
      </c>
      <c r="CH572" s="929">
        <f>CF572+CG572</f>
        <v>0</v>
      </c>
      <c r="CI572" s="1619"/>
      <c r="CJ572" s="929">
        <f>DIVISIONS!CJ176</f>
        <v>0</v>
      </c>
      <c r="CK572" s="929">
        <f>DIVISIONS!CK176</f>
        <v>0</v>
      </c>
      <c r="CL572" s="929">
        <f>CJ572+CK572</f>
        <v>0</v>
      </c>
      <c r="CM572" s="1619"/>
      <c r="CN572" s="929">
        <f>DIVISIONS!CN176</f>
        <v>0</v>
      </c>
      <c r="CO572" s="929">
        <f>DIVISIONS!CO176</f>
        <v>0</v>
      </c>
      <c r="CP572" s="929">
        <f>CN572+CO572</f>
        <v>0</v>
      </c>
      <c r="CQ572" s="1619"/>
      <c r="CR572" s="929">
        <f>DIVISIONS!CR176</f>
        <v>0</v>
      </c>
      <c r="CS572" s="929">
        <f>DIVISIONS!CS176</f>
        <v>0</v>
      </c>
      <c r="CT572" s="929">
        <f>CR572+CS572</f>
        <v>0</v>
      </c>
      <c r="CU572" s="859"/>
      <c r="CV572" s="929">
        <f>DIVISIONS!CV176</f>
        <v>0</v>
      </c>
      <c r="CW572" s="929">
        <f>DIVISIONS!CW176</f>
        <v>0</v>
      </c>
      <c r="CX572" s="929">
        <f>CV572+CW572</f>
        <v>0</v>
      </c>
      <c r="CY572" s="859"/>
      <c r="CZ572" s="929">
        <f>DIVISIONS!CZ176</f>
        <v>0</v>
      </c>
      <c r="DA572" s="929">
        <f>DIVISIONS!DA176</f>
        <v>0</v>
      </c>
      <c r="DB572" s="929">
        <f>CZ572+DA572</f>
        <v>0</v>
      </c>
      <c r="DC572" s="859"/>
      <c r="DD572" s="929">
        <f>DIVISIONS!DD176</f>
        <v>0</v>
      </c>
      <c r="DE572" s="929">
        <f>DIVISIONS!DE176</f>
        <v>0</v>
      </c>
      <c r="DF572" s="929">
        <f>DD572+DE572</f>
        <v>0</v>
      </c>
      <c r="DG572" s="859"/>
      <c r="DH572" s="929">
        <f>DIVISIONS!DH176</f>
        <v>0</v>
      </c>
      <c r="DI572" s="859">
        <v>0</v>
      </c>
      <c r="DJ572" s="929">
        <f>DH572+DI572</f>
        <v>0</v>
      </c>
      <c r="DK572" s="859"/>
      <c r="DL572" s="859">
        <v>0</v>
      </c>
      <c r="DM572" s="859">
        <v>0</v>
      </c>
      <c r="DN572" s="929">
        <f>DL572+DM572</f>
        <v>0</v>
      </c>
      <c r="DO572" s="929"/>
      <c r="DP572" s="859">
        <v>0</v>
      </c>
      <c r="DQ572" s="859">
        <v>0</v>
      </c>
      <c r="DR572" s="929">
        <f>DP572+DQ572</f>
        <v>0</v>
      </c>
      <c r="DS572" s="929"/>
      <c r="DT572" s="859"/>
      <c r="DU572" s="859"/>
      <c r="DV572" s="859"/>
      <c r="DW572" s="859"/>
      <c r="DX572" s="929"/>
      <c r="DY572" s="857"/>
      <c r="DZ572" s="859"/>
      <c r="EA572" s="859"/>
      <c r="EB572" s="929"/>
      <c r="EC572" s="857"/>
      <c r="ED572" s="859"/>
      <c r="EE572" s="859"/>
      <c r="EF572" s="929"/>
      <c r="EG572" s="857"/>
      <c r="EH572" s="857"/>
      <c r="EI572" s="857"/>
      <c r="EJ572" s="857"/>
      <c r="EK572" s="857"/>
      <c r="EL572" s="857"/>
      <c r="EM572" s="857"/>
      <c r="EN572" s="857"/>
      <c r="EO572" s="857"/>
      <c r="EP572" s="857"/>
      <c r="FL572" s="855"/>
      <c r="FM572" s="855"/>
      <c r="FN572" s="855"/>
      <c r="FO572" s="855"/>
      <c r="FP572" s="855"/>
      <c r="FQ572" s="855"/>
      <c r="FR572" s="855"/>
      <c r="FS572" s="855"/>
      <c r="FT572" s="855"/>
      <c r="FU572" s="855"/>
      <c r="FV572" s="855"/>
      <c r="FW572" s="855"/>
      <c r="FX572" s="855"/>
      <c r="FY572" s="855"/>
      <c r="FZ572" s="855"/>
      <c r="GA572" s="855"/>
      <c r="GB572" s="855"/>
      <c r="GC572" s="855"/>
      <c r="GD572" s="855"/>
      <c r="GE572" s="855"/>
      <c r="GF572" s="855"/>
      <c r="GG572" s="855"/>
      <c r="GH572" s="855"/>
      <c r="GI572" s="855"/>
      <c r="GJ572" s="855"/>
      <c r="GK572" s="855"/>
      <c r="GL572" s="855"/>
      <c r="GM572" s="855"/>
      <c r="GN572" s="855"/>
      <c r="GO572" s="855"/>
      <c r="GP572" s="855"/>
      <c r="GQ572" s="855"/>
      <c r="GR572" s="855"/>
      <c r="GS572" s="855"/>
      <c r="GT572" s="855"/>
      <c r="GU572" s="855"/>
      <c r="GV572" s="855"/>
      <c r="GW572" s="855"/>
      <c r="GX572" s="855"/>
      <c r="GY572" s="855"/>
      <c r="GZ572" s="855"/>
      <c r="HA572" s="855"/>
      <c r="HB572" s="855"/>
      <c r="HC572" s="855"/>
      <c r="HD572" s="855"/>
      <c r="HE572" s="855"/>
      <c r="HF572" s="855"/>
      <c r="HG572" s="855"/>
      <c r="HH572" s="855"/>
      <c r="HI572" s="855"/>
      <c r="HJ572" s="855"/>
      <c r="HK572" s="855"/>
      <c r="HL572" s="855"/>
      <c r="HM572" s="855"/>
      <c r="HN572" s="855"/>
      <c r="HO572" s="855"/>
      <c r="HP572" s="855"/>
      <c r="HQ572" s="855"/>
      <c r="HR572" s="855"/>
      <c r="HS572" s="855"/>
      <c r="HT572" s="855"/>
      <c r="HU572" s="855"/>
      <c r="HV572" s="855"/>
      <c r="HW572" s="855"/>
      <c r="HX572" s="855"/>
      <c r="HY572" s="855"/>
      <c r="HZ572" s="855"/>
      <c r="IA572" s="855"/>
      <c r="IB572" s="855"/>
      <c r="IC572" s="855"/>
      <c r="ID572" s="855"/>
      <c r="IE572" s="855"/>
      <c r="IF572" s="855"/>
      <c r="IG572" s="855"/>
      <c r="IH572" s="855"/>
      <c r="II572" s="855"/>
      <c r="IJ572" s="855"/>
      <c r="IK572" s="855"/>
      <c r="IL572" s="855"/>
      <c r="IM572" s="855"/>
      <c r="IN572" s="855"/>
      <c r="IO572" s="855"/>
      <c r="IP572" s="855"/>
      <c r="IQ572" s="855"/>
      <c r="IR572" s="855"/>
      <c r="IS572" s="855"/>
      <c r="IT572" s="855"/>
      <c r="IU572" s="855"/>
      <c r="IV572" s="855"/>
      <c r="IW572" s="855"/>
      <c r="IX572" s="855"/>
      <c r="IY572" s="855"/>
      <c r="IZ572" s="855"/>
      <c r="JA572" s="855"/>
      <c r="JB572" s="855"/>
      <c r="JC572" s="855"/>
      <c r="JD572" s="855"/>
      <c r="JE572" s="855"/>
      <c r="JF572" s="855"/>
      <c r="JG572" s="855"/>
      <c r="JH572" s="855"/>
      <c r="JI572" s="855"/>
      <c r="JJ572" s="855"/>
      <c r="JK572" s="855"/>
      <c r="JL572" s="855"/>
      <c r="JM572"/>
    </row>
    <row r="573" spans="1:273" s="860" customFormat="1">
      <c r="A573" s="302" t="s">
        <v>616</v>
      </c>
      <c r="B573" s="298"/>
      <c r="C573" s="296"/>
      <c r="D573" s="296"/>
      <c r="E573" s="296"/>
      <c r="F573" s="296"/>
      <c r="G573" s="296"/>
      <c r="H573" s="296"/>
      <c r="I573" s="296"/>
      <c r="J573" s="296"/>
      <c r="K573" s="296"/>
      <c r="L573" s="296"/>
      <c r="M573" s="296"/>
      <c r="N573" s="296"/>
      <c r="O573" s="296"/>
      <c r="P573" s="296"/>
      <c r="Q573" s="296"/>
      <c r="R573" s="296"/>
      <c r="S573" s="296"/>
      <c r="T573" s="296"/>
      <c r="U573" s="296"/>
      <c r="V573" s="296"/>
      <c r="W573" s="296"/>
      <c r="X573" s="296"/>
      <c r="Y573" s="296"/>
      <c r="Z573" s="296"/>
      <c r="AA573" s="296"/>
      <c r="AB573" s="296"/>
      <c r="AC573" s="296"/>
      <c r="AD573" s="296"/>
      <c r="AE573" s="296"/>
      <c r="AF573" s="296"/>
      <c r="AG573" s="296"/>
      <c r="AH573" s="296"/>
      <c r="AI573" s="296"/>
      <c r="AJ573" s="296"/>
      <c r="AK573" s="296"/>
      <c r="AL573" s="296"/>
      <c r="AM573" s="296"/>
      <c r="AN573" s="298"/>
      <c r="AO573" s="298"/>
      <c r="AP573" s="929">
        <f>DIVISIONS!AP430</f>
        <v>0</v>
      </c>
      <c r="AQ573" s="298"/>
      <c r="AR573" s="298"/>
      <c r="AS573" s="298"/>
      <c r="AT573" s="929">
        <f>DIVISIONS!AT430</f>
        <v>0</v>
      </c>
      <c r="AU573" s="298"/>
      <c r="AV573" s="929">
        <f>DIVISIONS!AV430</f>
        <v>0</v>
      </c>
      <c r="AW573" s="929">
        <f>DIVISIONS!AW430</f>
        <v>0</v>
      </c>
      <c r="AX573" s="857"/>
      <c r="AY573" s="976"/>
      <c r="AZ573" s="929">
        <f>DIVISIONS!AZ430</f>
        <v>0</v>
      </c>
      <c r="BA573" s="929">
        <f>DIVISIONS!BA430</f>
        <v>0</v>
      </c>
      <c r="BB573" s="857"/>
      <c r="BC573" s="857"/>
      <c r="BD573" s="929">
        <f>DIVISIONS!BD430</f>
        <v>0</v>
      </c>
      <c r="BE573" s="929">
        <f>DIVISIONS!BE430</f>
        <v>0</v>
      </c>
      <c r="BF573" s="929">
        <f t="shared" si="655"/>
        <v>0</v>
      </c>
      <c r="BG573" s="859"/>
      <c r="BH573" s="929">
        <f>DIVISIONS!BH430</f>
        <v>0</v>
      </c>
      <c r="BI573" s="929">
        <f>DIVISIONS!BI430</f>
        <v>0</v>
      </c>
      <c r="BJ573" s="929">
        <f t="shared" si="651"/>
        <v>0</v>
      </c>
      <c r="BK573" s="859"/>
      <c r="BL573" s="929">
        <f>DIVISIONS!BL430</f>
        <v>0</v>
      </c>
      <c r="BM573" s="929">
        <f>DIVISIONS!BM430</f>
        <v>0</v>
      </c>
      <c r="BN573" s="929">
        <f t="shared" si="652"/>
        <v>0</v>
      </c>
      <c r="BO573" s="859"/>
      <c r="BP573" s="929">
        <f>DIVISIONS!BP430</f>
        <v>0</v>
      </c>
      <c r="BQ573" s="929">
        <f>DIVISIONS!BQ430</f>
        <v>0</v>
      </c>
      <c r="BR573" s="929">
        <f t="shared" si="653"/>
        <v>0</v>
      </c>
      <c r="BS573" s="859"/>
      <c r="BT573" s="929">
        <f>DIVISIONS!BT430</f>
        <v>0</v>
      </c>
      <c r="BU573" s="929">
        <f>DIVISIONS!BU430</f>
        <v>0</v>
      </c>
      <c r="BV573" s="929">
        <f t="shared" si="654"/>
        <v>0</v>
      </c>
      <c r="BW573" s="859"/>
      <c r="BX573" s="929">
        <f>DIVISIONS!BX430</f>
        <v>0</v>
      </c>
      <c r="BY573" s="929">
        <f>DIVISIONS!BY430</f>
        <v>0</v>
      </c>
      <c r="BZ573" s="929">
        <f>BX573+BY573</f>
        <v>0</v>
      </c>
      <c r="CA573" s="859"/>
      <c r="CB573" s="929">
        <f>DIVISIONS!CB430</f>
        <v>0</v>
      </c>
      <c r="CC573" s="929">
        <f>DIVISIONS!CC430</f>
        <v>0</v>
      </c>
      <c r="CD573" s="929">
        <f>CB573+CC573</f>
        <v>0</v>
      </c>
      <c r="CE573" s="1619"/>
      <c r="CF573" s="929">
        <f>DIVISIONS!CF430</f>
        <v>0</v>
      </c>
      <c r="CG573" s="929">
        <f>DIVISIONS!CG430</f>
        <v>0</v>
      </c>
      <c r="CH573" s="929">
        <f>CF573+CG573</f>
        <v>0</v>
      </c>
      <c r="CI573" s="1619"/>
      <c r="CJ573" s="929">
        <f>DIVISIONS!CJ430</f>
        <v>0</v>
      </c>
      <c r="CK573" s="929">
        <f>DIVISIONS!CK430</f>
        <v>0</v>
      </c>
      <c r="CL573" s="929">
        <f>CJ573+CK573</f>
        <v>0</v>
      </c>
      <c r="CM573" s="1619"/>
      <c r="CN573" s="929">
        <f>DIVISIONS!CN430</f>
        <v>0</v>
      </c>
      <c r="CO573" s="929">
        <f>DIVISIONS!CO430</f>
        <v>0</v>
      </c>
      <c r="CP573" s="929">
        <f>CN573+CO573</f>
        <v>0</v>
      </c>
      <c r="CQ573" s="1619"/>
      <c r="CR573" s="929">
        <f>DIVISIONS!CR430</f>
        <v>0</v>
      </c>
      <c r="CS573" s="929">
        <f>DIVISIONS!CS430</f>
        <v>0</v>
      </c>
      <c r="CT573" s="929">
        <f>CR573+CS573</f>
        <v>0</v>
      </c>
      <c r="CU573" s="859"/>
      <c r="CV573" s="929">
        <f>DIVISIONS!CV430</f>
        <v>0</v>
      </c>
      <c r="CW573" s="929">
        <f>DIVISIONS!CW430</f>
        <v>0</v>
      </c>
      <c r="CX573" s="929">
        <f>CV573+CW573</f>
        <v>0</v>
      </c>
      <c r="CY573" s="859"/>
      <c r="CZ573" s="929">
        <f>DIVISIONS!CZ430</f>
        <v>0</v>
      </c>
      <c r="DA573" s="929">
        <f>DIVISIONS!DA430</f>
        <v>0</v>
      </c>
      <c r="DB573" s="929">
        <f>CZ573+DA573</f>
        <v>0</v>
      </c>
      <c r="DC573" s="859"/>
      <c r="DD573" s="929">
        <f>DIVISIONS!DD430</f>
        <v>0</v>
      </c>
      <c r="DE573" s="929">
        <f>DIVISIONS!DE430</f>
        <v>0</v>
      </c>
      <c r="DF573" s="929">
        <f>DD573+DE573</f>
        <v>0</v>
      </c>
      <c r="DG573" s="859"/>
      <c r="DH573" s="929">
        <f>DIVISIONS!DH430</f>
        <v>0</v>
      </c>
      <c r="DI573" s="859">
        <v>0</v>
      </c>
      <c r="DJ573" s="929">
        <f>DH573+DI573</f>
        <v>0</v>
      </c>
      <c r="DK573" s="859"/>
      <c r="DL573" s="859">
        <v>0</v>
      </c>
      <c r="DM573" s="859">
        <v>0</v>
      </c>
      <c r="DN573" s="929">
        <f>DL573+DM573</f>
        <v>0</v>
      </c>
      <c r="DO573" s="929"/>
      <c r="DP573" s="859">
        <v>0</v>
      </c>
      <c r="DQ573" s="859">
        <v>0</v>
      </c>
      <c r="DR573" s="929">
        <f>DP573+DQ573</f>
        <v>0</v>
      </c>
      <c r="DS573" s="929"/>
      <c r="DT573" s="859"/>
      <c r="DU573" s="859"/>
      <c r="DV573" s="859"/>
      <c r="DW573" s="859"/>
      <c r="DX573" s="929"/>
      <c r="DY573" s="857"/>
      <c r="DZ573" s="859"/>
      <c r="EA573" s="859"/>
      <c r="EB573" s="929"/>
      <c r="EC573" s="857"/>
      <c r="ED573" s="859"/>
      <c r="EE573" s="859"/>
      <c r="EF573" s="929"/>
      <c r="EG573" s="857"/>
      <c r="EH573" s="857"/>
      <c r="EI573" s="857"/>
      <c r="EJ573" s="857"/>
      <c r="EK573" s="857"/>
      <c r="EL573" s="857"/>
      <c r="EM573" s="857"/>
      <c r="EN573" s="857"/>
      <c r="EO573" s="857"/>
      <c r="EP573" s="857"/>
      <c r="FL573" s="855"/>
      <c r="FM573" s="855"/>
      <c r="FN573" s="855"/>
      <c r="FO573" s="855"/>
      <c r="FP573" s="855"/>
      <c r="FQ573" s="855"/>
      <c r="FR573" s="855"/>
      <c r="FS573" s="855"/>
      <c r="FT573" s="855"/>
      <c r="FU573" s="855"/>
      <c r="FV573" s="855"/>
      <c r="FW573" s="855"/>
      <c r="FX573" s="855"/>
      <c r="FY573" s="855"/>
      <c r="FZ573" s="855"/>
      <c r="GA573" s="855"/>
      <c r="GB573" s="855"/>
      <c r="GC573" s="855"/>
      <c r="GD573" s="855"/>
      <c r="GE573" s="855"/>
      <c r="GF573" s="855"/>
      <c r="GG573" s="855"/>
      <c r="GH573" s="855"/>
      <c r="GI573" s="855"/>
      <c r="GJ573" s="855"/>
      <c r="GK573" s="855"/>
      <c r="GL573" s="855"/>
      <c r="GM573" s="855"/>
      <c r="GN573" s="855"/>
      <c r="GO573" s="855"/>
      <c r="GP573" s="855"/>
      <c r="GQ573" s="855"/>
      <c r="GR573" s="855"/>
      <c r="GS573" s="855"/>
      <c r="GT573" s="855"/>
      <c r="GU573" s="855"/>
      <c r="GV573" s="855"/>
      <c r="GW573" s="855"/>
      <c r="GX573" s="855"/>
      <c r="GY573" s="855"/>
      <c r="GZ573" s="855"/>
      <c r="HA573" s="855"/>
      <c r="HB573" s="855"/>
      <c r="HC573" s="855"/>
      <c r="HD573" s="855"/>
      <c r="HE573" s="855"/>
      <c r="HF573" s="855"/>
      <c r="HG573" s="855"/>
      <c r="HH573" s="855"/>
      <c r="HI573" s="855"/>
      <c r="HJ573" s="855"/>
      <c r="HK573" s="855"/>
      <c r="HL573" s="855"/>
      <c r="HM573" s="855"/>
      <c r="HN573" s="855"/>
      <c r="HO573" s="855"/>
      <c r="HP573" s="855"/>
      <c r="HQ573" s="855"/>
      <c r="HR573" s="855"/>
      <c r="HS573" s="855"/>
      <c r="HT573" s="855"/>
      <c r="HU573" s="855"/>
      <c r="HV573" s="855"/>
      <c r="HW573" s="855"/>
      <c r="HX573" s="855"/>
      <c r="HY573" s="855"/>
      <c r="HZ573" s="855"/>
      <c r="IA573" s="855"/>
      <c r="IB573" s="855"/>
      <c r="IC573" s="855"/>
      <c r="ID573" s="855"/>
      <c r="IE573" s="855"/>
      <c r="IF573" s="855"/>
      <c r="IG573" s="855"/>
      <c r="IH573" s="855"/>
      <c r="II573" s="855"/>
      <c r="IJ573" s="855"/>
      <c r="IK573" s="855"/>
      <c r="IL573" s="855"/>
      <c r="IM573" s="855"/>
      <c r="IN573" s="855"/>
      <c r="IO573" s="855"/>
      <c r="IP573" s="855"/>
      <c r="IQ573" s="855"/>
      <c r="IR573" s="855"/>
      <c r="IS573" s="855"/>
      <c r="IT573" s="855"/>
      <c r="IU573" s="855"/>
      <c r="IV573" s="855"/>
      <c r="IW573" s="855"/>
      <c r="IX573" s="855"/>
      <c r="IY573" s="855"/>
      <c r="IZ573" s="855"/>
      <c r="JA573" s="855"/>
      <c r="JB573" s="855"/>
      <c r="JC573" s="855"/>
      <c r="JD573" s="855"/>
      <c r="JE573" s="855"/>
      <c r="JF573" s="855"/>
      <c r="JG573" s="855"/>
      <c r="JH573" s="855"/>
      <c r="JI573" s="855"/>
      <c r="JJ573" s="855"/>
      <c r="JK573" s="855"/>
      <c r="JL573" s="855"/>
      <c r="JM573"/>
    </row>
    <row r="574" spans="1:273" s="860" customFormat="1">
      <c r="A574" s="302" t="s">
        <v>1024</v>
      </c>
      <c r="B574" s="298"/>
      <c r="C574" s="296"/>
      <c r="D574" s="296"/>
      <c r="E574" s="296"/>
      <c r="F574" s="296"/>
      <c r="G574" s="296"/>
      <c r="H574" s="296"/>
      <c r="I574" s="296"/>
      <c r="J574" s="296"/>
      <c r="K574" s="296"/>
      <c r="L574" s="296"/>
      <c r="M574" s="296"/>
      <c r="N574" s="296"/>
      <c r="O574" s="296"/>
      <c r="P574" s="296"/>
      <c r="Q574" s="296"/>
      <c r="R574" s="296"/>
      <c r="S574" s="296"/>
      <c r="T574" s="296"/>
      <c r="U574" s="296"/>
      <c r="V574" s="296"/>
      <c r="W574" s="296"/>
      <c r="X574" s="296"/>
      <c r="Y574" s="296"/>
      <c r="Z574" s="296"/>
      <c r="AA574" s="296"/>
      <c r="AB574" s="296"/>
      <c r="AC574" s="296"/>
      <c r="AD574" s="296"/>
      <c r="AE574" s="296"/>
      <c r="AF574" s="296"/>
      <c r="AG574" s="296"/>
      <c r="AH574" s="296"/>
      <c r="AI574" s="296"/>
      <c r="AJ574" s="296"/>
      <c r="AK574" s="296"/>
      <c r="AL574" s="296"/>
      <c r="AM574" s="296"/>
      <c r="AN574" s="298"/>
      <c r="AO574" s="298"/>
      <c r="AP574" s="929">
        <f>DIVISIONS!AP315</f>
        <v>0</v>
      </c>
      <c r="AQ574" s="298"/>
      <c r="AR574" s="298"/>
      <c r="AS574" s="298"/>
      <c r="AT574" s="929">
        <f>DIVISIONS!AT315</f>
        <v>0</v>
      </c>
      <c r="AU574" s="298"/>
      <c r="AV574" s="929">
        <f>DIVISIONS!AV315</f>
        <v>0</v>
      </c>
      <c r="AW574" s="929">
        <f>DIVISIONS!AW315</f>
        <v>0</v>
      </c>
      <c r="AX574" s="857"/>
      <c r="AY574" s="976"/>
      <c r="AZ574" s="929">
        <f>DIVISIONS!AZ315</f>
        <v>0</v>
      </c>
      <c r="BA574" s="929">
        <f>DIVISIONS!BA315</f>
        <v>0</v>
      </c>
      <c r="BB574" s="857"/>
      <c r="BC574" s="857"/>
      <c r="BD574" s="929">
        <f>DIVISIONS!BD315</f>
        <v>0</v>
      </c>
      <c r="BE574" s="929">
        <f>DIVISIONS!BE315</f>
        <v>104</v>
      </c>
      <c r="BF574" s="929">
        <f t="shared" si="655"/>
        <v>104</v>
      </c>
      <c r="BG574" s="859"/>
      <c r="BH574" s="929">
        <f>DIVISIONS!BH315</f>
        <v>0</v>
      </c>
      <c r="BI574" s="929">
        <f>DIVISIONS!BI315</f>
        <v>0</v>
      </c>
      <c r="BJ574" s="929">
        <f t="shared" si="651"/>
        <v>0</v>
      </c>
      <c r="BK574" s="859"/>
      <c r="BL574" s="929">
        <f>DIVISIONS!BL315</f>
        <v>0</v>
      </c>
      <c r="BM574" s="929">
        <f>DIVISIONS!BM315</f>
        <v>0</v>
      </c>
      <c r="BN574" s="929">
        <f t="shared" si="652"/>
        <v>0</v>
      </c>
      <c r="BO574" s="859"/>
      <c r="BP574" s="929">
        <f>DIVISIONS!BP315</f>
        <v>0</v>
      </c>
      <c r="BQ574" s="929">
        <f>DIVISIONS!BQ315</f>
        <v>0</v>
      </c>
      <c r="BR574" s="929">
        <f t="shared" si="653"/>
        <v>0</v>
      </c>
      <c r="BS574" s="859"/>
      <c r="BT574" s="929">
        <f>DIVISIONS!BT315</f>
        <v>0</v>
      </c>
      <c r="BU574" s="929">
        <f>DIVISIONS!BU315</f>
        <v>0</v>
      </c>
      <c r="BV574" s="929">
        <f t="shared" si="654"/>
        <v>0</v>
      </c>
      <c r="BW574" s="859"/>
      <c r="BX574" s="929">
        <f>DIVISIONS!BX315</f>
        <v>0</v>
      </c>
      <c r="BY574" s="929">
        <f>DIVISIONS!BY315</f>
        <v>0</v>
      </c>
      <c r="BZ574" s="929">
        <f>BX574+BY574</f>
        <v>0</v>
      </c>
      <c r="CA574" s="859"/>
      <c r="CB574" s="929">
        <f>DIVISIONS!CB315</f>
        <v>0</v>
      </c>
      <c r="CC574" s="929">
        <f>DIVISIONS!CC315</f>
        <v>0</v>
      </c>
      <c r="CD574" s="929">
        <f>CB574+CC574</f>
        <v>0</v>
      </c>
      <c r="CE574" s="1619"/>
      <c r="CF574" s="929">
        <f>DIVISIONS!CF315</f>
        <v>0</v>
      </c>
      <c r="CG574" s="929">
        <f>DIVISIONS!CG315</f>
        <v>0</v>
      </c>
      <c r="CH574" s="929">
        <f>CF574+CG574</f>
        <v>0</v>
      </c>
      <c r="CI574" s="1619"/>
      <c r="CJ574" s="929">
        <f>DIVISIONS!CJ315</f>
        <v>0</v>
      </c>
      <c r="CK574" s="929">
        <f>DIVISIONS!CK315</f>
        <v>0</v>
      </c>
      <c r="CL574" s="929">
        <f>CJ574+CK574</f>
        <v>0</v>
      </c>
      <c r="CM574" s="1619"/>
      <c r="CN574" s="929">
        <f>DIVISIONS!CN315</f>
        <v>0</v>
      </c>
      <c r="CO574" s="929">
        <f>DIVISIONS!CO315</f>
        <v>0</v>
      </c>
      <c r="CP574" s="929">
        <f>CN574+CO574</f>
        <v>0</v>
      </c>
      <c r="CQ574" s="1619"/>
      <c r="CR574" s="929">
        <f>DIVISIONS!CR315</f>
        <v>0</v>
      </c>
      <c r="CS574" s="929">
        <f>DIVISIONS!CS315</f>
        <v>0</v>
      </c>
      <c r="CT574" s="929">
        <f>CR574+CS574</f>
        <v>0</v>
      </c>
      <c r="CU574" s="859"/>
      <c r="CV574" s="929">
        <f>DIVISIONS!CV315</f>
        <v>0</v>
      </c>
      <c r="CW574" s="929">
        <f>DIVISIONS!CW315</f>
        <v>0</v>
      </c>
      <c r="CX574" s="929">
        <f>CV574+CW574</f>
        <v>0</v>
      </c>
      <c r="CY574" s="859"/>
      <c r="CZ574" s="929">
        <f>DIVISIONS!CZ315</f>
        <v>0</v>
      </c>
      <c r="DA574" s="929">
        <f>DIVISIONS!DA315</f>
        <v>0</v>
      </c>
      <c r="DB574" s="929">
        <f>CZ574+DA574</f>
        <v>0</v>
      </c>
      <c r="DC574" s="859"/>
      <c r="DD574" s="929">
        <f>DIVISIONS!DD315</f>
        <v>0</v>
      </c>
      <c r="DE574" s="929">
        <f>DIVISIONS!DE315</f>
        <v>0</v>
      </c>
      <c r="DF574" s="929">
        <f>DD574+DE574</f>
        <v>0</v>
      </c>
      <c r="DG574" s="859"/>
      <c r="DH574" s="929">
        <f>DIVISIONS!DH315</f>
        <v>0</v>
      </c>
      <c r="DI574" s="859">
        <v>0</v>
      </c>
      <c r="DJ574" s="929">
        <f>DH574+DI574</f>
        <v>0</v>
      </c>
      <c r="DK574" s="859"/>
      <c r="DL574" s="859">
        <v>0</v>
      </c>
      <c r="DM574" s="859">
        <v>0</v>
      </c>
      <c r="DN574" s="929">
        <f>DL574+DM574</f>
        <v>0</v>
      </c>
      <c r="DO574" s="929"/>
      <c r="DP574" s="859">
        <v>0</v>
      </c>
      <c r="DQ574" s="859">
        <v>0</v>
      </c>
      <c r="DR574" s="929">
        <f>DP574+DQ574</f>
        <v>0</v>
      </c>
      <c r="DS574" s="929"/>
      <c r="DT574" s="859"/>
      <c r="DU574" s="859"/>
      <c r="DV574" s="859"/>
      <c r="DW574" s="859"/>
      <c r="DX574" s="929"/>
      <c r="DY574" s="857"/>
      <c r="DZ574" s="859"/>
      <c r="EA574" s="859"/>
      <c r="EB574" s="929"/>
      <c r="EC574" s="857"/>
      <c r="ED574" s="859"/>
      <c r="EE574" s="859"/>
      <c r="EF574" s="929"/>
      <c r="EG574" s="857"/>
      <c r="EH574" s="857"/>
      <c r="EI574" s="857"/>
      <c r="EJ574" s="857"/>
      <c r="EK574" s="857"/>
      <c r="EL574" s="857"/>
      <c r="EM574" s="857"/>
      <c r="EN574" s="857"/>
      <c r="EO574" s="857"/>
      <c r="EP574" s="857"/>
      <c r="FL574" s="855"/>
      <c r="FM574" s="855"/>
      <c r="FN574" s="855"/>
      <c r="FO574" s="855"/>
      <c r="FP574" s="855"/>
      <c r="FQ574" s="855"/>
      <c r="FR574" s="855"/>
      <c r="FS574" s="855"/>
      <c r="FT574" s="855"/>
      <c r="FU574" s="855"/>
      <c r="FV574" s="855"/>
      <c r="FW574" s="855"/>
      <c r="FX574" s="855"/>
      <c r="FY574" s="855"/>
      <c r="FZ574" s="855"/>
      <c r="GA574" s="855"/>
      <c r="GB574" s="855"/>
      <c r="GC574" s="855"/>
      <c r="GD574" s="855"/>
      <c r="GE574" s="855"/>
      <c r="GF574" s="855"/>
      <c r="GG574" s="855"/>
      <c r="GH574" s="855"/>
      <c r="GI574" s="855"/>
      <c r="GJ574" s="855"/>
      <c r="GK574" s="855"/>
      <c r="GL574" s="855"/>
      <c r="GM574" s="855"/>
      <c r="GN574" s="855"/>
      <c r="GO574" s="855"/>
      <c r="GP574" s="855"/>
      <c r="GQ574" s="855"/>
      <c r="GR574" s="855"/>
      <c r="GS574" s="855"/>
      <c r="GT574" s="855"/>
      <c r="GU574" s="855"/>
      <c r="GV574" s="855"/>
      <c r="GW574" s="855"/>
      <c r="GX574" s="855"/>
      <c r="GY574" s="855"/>
      <c r="GZ574" s="855"/>
      <c r="HA574" s="855"/>
      <c r="HB574" s="855"/>
      <c r="HC574" s="855"/>
      <c r="HD574" s="855"/>
      <c r="HE574" s="855"/>
      <c r="HF574" s="855"/>
      <c r="HG574" s="855"/>
      <c r="HH574" s="855"/>
      <c r="HI574" s="855"/>
      <c r="HJ574" s="855"/>
      <c r="HK574" s="855"/>
      <c r="HL574" s="855"/>
      <c r="HM574" s="855"/>
      <c r="HN574" s="855"/>
      <c r="HO574" s="855"/>
      <c r="HP574" s="855"/>
      <c r="HQ574" s="855"/>
      <c r="HR574" s="855"/>
      <c r="HS574" s="855"/>
      <c r="HT574" s="855"/>
      <c r="HU574" s="855"/>
      <c r="HV574" s="855"/>
      <c r="HW574" s="855"/>
      <c r="HX574" s="855"/>
      <c r="HY574" s="855"/>
      <c r="HZ574" s="855"/>
      <c r="IA574" s="855"/>
      <c r="IB574" s="855"/>
      <c r="IC574" s="855"/>
      <c r="ID574" s="855"/>
      <c r="IE574" s="855"/>
      <c r="IF574" s="855"/>
      <c r="IG574" s="855"/>
      <c r="IH574" s="855"/>
      <c r="II574" s="855"/>
      <c r="IJ574" s="855"/>
      <c r="IK574" s="855"/>
      <c r="IL574" s="855"/>
      <c r="IM574" s="855"/>
      <c r="IN574" s="855"/>
      <c r="IO574" s="855"/>
      <c r="IP574" s="855"/>
      <c r="IQ574" s="855"/>
      <c r="IR574" s="855"/>
      <c r="IS574" s="855"/>
      <c r="IT574" s="855"/>
      <c r="IU574" s="855"/>
      <c r="IV574" s="855"/>
      <c r="IW574" s="855"/>
      <c r="IX574" s="855"/>
      <c r="IY574" s="855"/>
      <c r="IZ574" s="855"/>
      <c r="JA574" s="855"/>
      <c r="JB574" s="855"/>
      <c r="JC574" s="855"/>
      <c r="JD574" s="855"/>
      <c r="JE574" s="855"/>
      <c r="JF574" s="855"/>
      <c r="JG574" s="855"/>
      <c r="JH574" s="855"/>
      <c r="JI574" s="855"/>
      <c r="JJ574" s="855"/>
      <c r="JK574" s="855"/>
      <c r="JL574" s="855"/>
      <c r="JM574"/>
    </row>
    <row r="575" spans="1:273" s="860" customFormat="1">
      <c r="A575" s="302" t="s">
        <v>690</v>
      </c>
      <c r="B575" s="298"/>
      <c r="C575" s="296"/>
      <c r="D575" s="296"/>
      <c r="E575" s="296"/>
      <c r="F575" s="296"/>
      <c r="G575" s="296"/>
      <c r="H575" s="296"/>
      <c r="I575" s="296"/>
      <c r="J575" s="296"/>
      <c r="K575" s="296"/>
      <c r="L575" s="296"/>
      <c r="M575" s="296"/>
      <c r="N575" s="296"/>
      <c r="O575" s="296"/>
      <c r="P575" s="296"/>
      <c r="Q575" s="296"/>
      <c r="R575" s="296"/>
      <c r="S575" s="296"/>
      <c r="T575" s="296"/>
      <c r="U575" s="296"/>
      <c r="V575" s="296"/>
      <c r="W575" s="296"/>
      <c r="X575" s="296"/>
      <c r="Y575" s="296"/>
      <c r="Z575" s="296"/>
      <c r="AA575" s="296"/>
      <c r="AB575" s="296"/>
      <c r="AC575" s="296"/>
      <c r="AD575" s="296"/>
      <c r="AE575" s="296"/>
      <c r="AF575" s="296"/>
      <c r="AG575" s="296"/>
      <c r="AH575" s="296"/>
      <c r="AI575" s="296"/>
      <c r="AJ575" s="296"/>
      <c r="AK575" s="296"/>
      <c r="AL575" s="296"/>
      <c r="AM575" s="296"/>
      <c r="AN575" s="298"/>
      <c r="AO575" s="298"/>
      <c r="AP575" s="929">
        <f>DIVISIONS!AP518</f>
        <v>0</v>
      </c>
      <c r="AQ575" s="298"/>
      <c r="AR575" s="298"/>
      <c r="AS575" s="298"/>
      <c r="AT575" s="929">
        <f>DIVISIONS!AT518</f>
        <v>0</v>
      </c>
      <c r="AU575" s="298"/>
      <c r="AV575" s="929">
        <f>DIVISIONS!AV518</f>
        <v>0</v>
      </c>
      <c r="AW575" s="929">
        <f>DIVISIONS!AW518</f>
        <v>0</v>
      </c>
      <c r="AX575" s="857"/>
      <c r="AY575" s="976"/>
      <c r="AZ575" s="929">
        <f>DIVISIONS!AZ518</f>
        <v>0</v>
      </c>
      <c r="BA575" s="929">
        <f>DIVISIONS!BA518</f>
        <v>0</v>
      </c>
      <c r="BB575" s="857"/>
      <c r="BC575" s="857"/>
      <c r="BD575" s="929">
        <f>DIVISIONS!BD518</f>
        <v>0</v>
      </c>
      <c r="BE575" s="929">
        <f>DIVISIONS!BE518</f>
        <v>0</v>
      </c>
      <c r="BF575" s="929">
        <f t="shared" si="655"/>
        <v>0</v>
      </c>
      <c r="BG575" s="859"/>
      <c r="BH575" s="929">
        <f>DIVISIONS!BH518</f>
        <v>0</v>
      </c>
      <c r="BI575" s="929">
        <f>DIVISIONS!BI518</f>
        <v>0</v>
      </c>
      <c r="BJ575" s="929">
        <f t="shared" si="651"/>
        <v>0</v>
      </c>
      <c r="BK575" s="859"/>
      <c r="BL575" s="929">
        <f>DIVISIONS!BL518</f>
        <v>0</v>
      </c>
      <c r="BM575" s="929">
        <f>DIVISIONS!BM518</f>
        <v>0</v>
      </c>
      <c r="BN575" s="929">
        <f t="shared" si="652"/>
        <v>0</v>
      </c>
      <c r="BO575" s="859"/>
      <c r="BP575" s="929">
        <f>DIVISIONS!BP518</f>
        <v>0</v>
      </c>
      <c r="BQ575" s="929">
        <f>DIVISIONS!BQ518</f>
        <v>0</v>
      </c>
      <c r="BR575" s="929">
        <f t="shared" si="653"/>
        <v>0</v>
      </c>
      <c r="BS575" s="859"/>
      <c r="BT575" s="929">
        <f>DIVISIONS!BT518</f>
        <v>0</v>
      </c>
      <c r="BU575" s="929">
        <f>DIVISIONS!BU518</f>
        <v>0</v>
      </c>
      <c r="BV575" s="929">
        <f t="shared" si="654"/>
        <v>0</v>
      </c>
      <c r="BW575" s="859"/>
      <c r="BX575" s="929">
        <f>DIVISIONS!BX518</f>
        <v>0</v>
      </c>
      <c r="BY575" s="929">
        <f>DIVISIONS!BY518</f>
        <v>0</v>
      </c>
      <c r="BZ575" s="929">
        <f>BX575+BY575</f>
        <v>0</v>
      </c>
      <c r="CA575" s="859"/>
      <c r="CB575" s="929">
        <f>DIVISIONS!CB518</f>
        <v>0</v>
      </c>
      <c r="CC575" s="929">
        <f>DIVISIONS!CC518</f>
        <v>0</v>
      </c>
      <c r="CD575" s="929">
        <f>CB575+CC575</f>
        <v>0</v>
      </c>
      <c r="CE575" s="1619"/>
      <c r="CF575" s="929">
        <f>DIVISIONS!CF518</f>
        <v>0</v>
      </c>
      <c r="CG575" s="929">
        <f>DIVISIONS!CG518</f>
        <v>0</v>
      </c>
      <c r="CH575" s="929">
        <f>CF575+CG575</f>
        <v>0</v>
      </c>
      <c r="CI575" s="1619"/>
      <c r="CJ575" s="929">
        <f>DIVISIONS!CJ518</f>
        <v>0</v>
      </c>
      <c r="CK575" s="929">
        <f>DIVISIONS!CK518</f>
        <v>0</v>
      </c>
      <c r="CL575" s="929">
        <f>CJ575+CK575</f>
        <v>0</v>
      </c>
      <c r="CM575" s="1619"/>
      <c r="CN575" s="929">
        <f>DIVISIONS!CN518</f>
        <v>0</v>
      </c>
      <c r="CO575" s="929">
        <f>DIVISIONS!CO518</f>
        <v>0</v>
      </c>
      <c r="CP575" s="929">
        <f>CN575+CO575</f>
        <v>0</v>
      </c>
      <c r="CQ575" s="1619"/>
      <c r="CR575" s="929">
        <f>DIVISIONS!CR518</f>
        <v>0</v>
      </c>
      <c r="CS575" s="929">
        <f>DIVISIONS!CS518</f>
        <v>0</v>
      </c>
      <c r="CT575" s="929">
        <f>CR575+CS575</f>
        <v>0</v>
      </c>
      <c r="CU575" s="859"/>
      <c r="CV575" s="929">
        <f>DIVISIONS!CV518</f>
        <v>0</v>
      </c>
      <c r="CW575" s="929">
        <f>DIVISIONS!CW518</f>
        <v>0</v>
      </c>
      <c r="CX575" s="929">
        <f>CV575+CW575</f>
        <v>0</v>
      </c>
      <c r="CY575" s="859"/>
      <c r="CZ575" s="929">
        <f>DIVISIONS!CZ518</f>
        <v>0</v>
      </c>
      <c r="DA575" s="929">
        <f>DIVISIONS!DA518</f>
        <v>0</v>
      </c>
      <c r="DB575" s="929">
        <f>CZ575+DA575</f>
        <v>0</v>
      </c>
      <c r="DC575" s="859"/>
      <c r="DD575" s="929">
        <f>DIVISIONS!DD518</f>
        <v>0</v>
      </c>
      <c r="DE575" s="929">
        <f>DIVISIONS!DE518</f>
        <v>0</v>
      </c>
      <c r="DF575" s="929">
        <f>DD575+DE575</f>
        <v>0</v>
      </c>
      <c r="DG575" s="859"/>
      <c r="DH575" s="929">
        <f>DIVISIONS!DH518</f>
        <v>0</v>
      </c>
      <c r="DI575" s="859">
        <v>0</v>
      </c>
      <c r="DJ575" s="929">
        <f>DH575+DI575</f>
        <v>0</v>
      </c>
      <c r="DK575" s="859"/>
      <c r="DL575" s="859">
        <v>0</v>
      </c>
      <c r="DM575" s="859">
        <v>0</v>
      </c>
      <c r="DN575" s="929">
        <f>DL575+DM575</f>
        <v>0</v>
      </c>
      <c r="DO575" s="929"/>
      <c r="DP575" s="859">
        <v>0</v>
      </c>
      <c r="DQ575" s="859">
        <v>0</v>
      </c>
      <c r="DR575" s="929">
        <f>DP575+DQ575</f>
        <v>0</v>
      </c>
      <c r="DS575" s="929"/>
      <c r="DT575" s="859"/>
      <c r="DU575" s="859"/>
      <c r="DV575" s="859"/>
      <c r="DW575" s="859"/>
      <c r="DX575" s="929"/>
      <c r="DY575" s="857"/>
      <c r="DZ575" s="859"/>
      <c r="EA575" s="859"/>
      <c r="EB575" s="929"/>
      <c r="EC575" s="857"/>
      <c r="ED575" s="859"/>
      <c r="EE575" s="859"/>
      <c r="EF575" s="929"/>
      <c r="EG575" s="857"/>
      <c r="EH575" s="857"/>
      <c r="EI575" s="857"/>
      <c r="EJ575" s="857"/>
      <c r="EK575" s="857"/>
      <c r="EL575" s="857"/>
      <c r="EM575" s="857"/>
      <c r="EN575" s="857"/>
      <c r="EO575" s="857"/>
      <c r="EP575" s="857"/>
      <c r="FL575" s="855"/>
      <c r="FM575" s="855"/>
      <c r="FN575" s="855"/>
      <c r="FO575" s="855"/>
      <c r="FP575" s="855"/>
      <c r="FQ575" s="855"/>
      <c r="FR575" s="855"/>
      <c r="FS575" s="855"/>
      <c r="FT575" s="855"/>
      <c r="FU575" s="855"/>
      <c r="FV575" s="855"/>
      <c r="FW575" s="855"/>
      <c r="FX575" s="855"/>
      <c r="FY575" s="855"/>
      <c r="FZ575" s="855"/>
      <c r="GA575" s="855"/>
      <c r="GB575" s="855"/>
      <c r="GC575" s="855"/>
      <c r="GD575" s="855"/>
      <c r="GE575" s="855"/>
      <c r="GF575" s="855"/>
      <c r="GG575" s="855"/>
      <c r="GH575" s="855"/>
      <c r="GI575" s="855"/>
      <c r="GJ575" s="855"/>
      <c r="GK575" s="855"/>
      <c r="GL575" s="855"/>
      <c r="GM575" s="855"/>
      <c r="GN575" s="855"/>
      <c r="GO575" s="855"/>
      <c r="GP575" s="855"/>
      <c r="GQ575" s="855"/>
      <c r="GR575" s="855"/>
      <c r="GS575" s="855"/>
      <c r="GT575" s="855"/>
      <c r="GU575" s="855"/>
      <c r="GV575" s="855"/>
      <c r="GW575" s="855"/>
      <c r="GX575" s="855"/>
      <c r="GY575" s="855"/>
      <c r="GZ575" s="855"/>
      <c r="HA575" s="855"/>
      <c r="HB575" s="855"/>
      <c r="HC575" s="855"/>
      <c r="HD575" s="855"/>
      <c r="HE575" s="855"/>
      <c r="HF575" s="855"/>
      <c r="HG575" s="855"/>
      <c r="HH575" s="855"/>
      <c r="HI575" s="855"/>
      <c r="HJ575" s="855"/>
      <c r="HK575" s="855"/>
      <c r="HL575" s="855"/>
      <c r="HM575" s="855"/>
      <c r="HN575" s="855"/>
      <c r="HO575" s="855"/>
      <c r="HP575" s="855"/>
      <c r="HQ575" s="855"/>
      <c r="HR575" s="855"/>
      <c r="HS575" s="855"/>
      <c r="HT575" s="855"/>
      <c r="HU575" s="855"/>
      <c r="HV575" s="855"/>
      <c r="HW575" s="855"/>
      <c r="HX575" s="855"/>
      <c r="HY575" s="855"/>
      <c r="HZ575" s="855"/>
      <c r="IA575" s="855"/>
      <c r="IB575" s="855"/>
      <c r="IC575" s="855"/>
      <c r="ID575" s="855"/>
      <c r="IE575" s="855"/>
      <c r="IF575" s="855"/>
      <c r="IG575" s="855"/>
      <c r="IH575" s="855"/>
      <c r="II575" s="855"/>
      <c r="IJ575" s="855"/>
      <c r="IK575" s="855"/>
      <c r="IL575" s="855"/>
      <c r="IM575" s="855"/>
      <c r="IN575" s="855"/>
      <c r="IO575" s="855"/>
      <c r="IP575" s="855"/>
      <c r="IQ575" s="855"/>
      <c r="IR575" s="855"/>
      <c r="IS575" s="855"/>
      <c r="IT575" s="855"/>
      <c r="IU575" s="855"/>
      <c r="IV575" s="855"/>
      <c r="IW575" s="855"/>
      <c r="IX575" s="855"/>
      <c r="IY575" s="855"/>
      <c r="IZ575" s="855"/>
      <c r="JA575" s="855"/>
      <c r="JB575" s="855"/>
      <c r="JC575" s="855"/>
      <c r="JD575" s="855"/>
      <c r="JE575" s="855"/>
      <c r="JF575" s="855"/>
      <c r="JG575" s="855"/>
      <c r="JH575" s="855"/>
      <c r="JI575" s="855"/>
      <c r="JJ575" s="855"/>
      <c r="JK575" s="855"/>
      <c r="JL575" s="855"/>
      <c r="JM575"/>
    </row>
    <row r="576" spans="1:273" s="860" customFormat="1">
      <c r="A576" s="302" t="s">
        <v>689</v>
      </c>
      <c r="B576" s="298"/>
      <c r="C576" s="296"/>
      <c r="D576" s="296"/>
      <c r="E576" s="296"/>
      <c r="F576" s="296"/>
      <c r="G576" s="296"/>
      <c r="H576" s="296"/>
      <c r="I576" s="296"/>
      <c r="J576" s="296"/>
      <c r="K576" s="296"/>
      <c r="L576" s="296"/>
      <c r="M576" s="296"/>
      <c r="N576" s="296"/>
      <c r="O576" s="296"/>
      <c r="P576" s="296"/>
      <c r="Q576" s="296"/>
      <c r="R576" s="296"/>
      <c r="S576" s="296"/>
      <c r="T576" s="296"/>
      <c r="U576" s="296"/>
      <c r="V576" s="296"/>
      <c r="W576" s="296"/>
      <c r="X576" s="296"/>
      <c r="Y576" s="296"/>
      <c r="Z576" s="296"/>
      <c r="AA576" s="296"/>
      <c r="AB576" s="296"/>
      <c r="AC576" s="296"/>
      <c r="AD576" s="296"/>
      <c r="AE576" s="296"/>
      <c r="AF576" s="296"/>
      <c r="AG576" s="296"/>
      <c r="AH576" s="296"/>
      <c r="AI576" s="296"/>
      <c r="AJ576" s="296"/>
      <c r="AK576" s="296"/>
      <c r="AL576" s="296"/>
      <c r="AM576" s="296"/>
      <c r="AN576" s="298"/>
      <c r="AO576" s="298"/>
      <c r="AP576" s="929">
        <f>DIVISIONS!AP639</f>
        <v>0</v>
      </c>
      <c r="AQ576" s="298"/>
      <c r="AR576" s="298"/>
      <c r="AS576" s="298"/>
      <c r="AT576" s="929">
        <f>DIVISIONS!AT639</f>
        <v>0</v>
      </c>
      <c r="AU576" s="298"/>
      <c r="AV576" s="929">
        <f>DIVISIONS!AV639</f>
        <v>0</v>
      </c>
      <c r="AW576" s="929">
        <f>DIVISIONS!AW639</f>
        <v>0</v>
      </c>
      <c r="AX576" s="857"/>
      <c r="AY576" s="976"/>
      <c r="AZ576" s="929">
        <f>DIVISIONS!AZ639</f>
        <v>0</v>
      </c>
      <c r="BA576" s="929">
        <f>DIVISIONS!BA639</f>
        <v>0</v>
      </c>
      <c r="BB576" s="857"/>
      <c r="BC576" s="857"/>
      <c r="BD576" s="929">
        <f>DIVISIONS!BD639</f>
        <v>0</v>
      </c>
      <c r="BE576" s="929">
        <f>DIVISIONS!BE639</f>
        <v>0</v>
      </c>
      <c r="BF576" s="929">
        <f t="shared" si="655"/>
        <v>0</v>
      </c>
      <c r="BG576" s="859"/>
      <c r="BH576" s="929">
        <f>DIVISIONS!BH639</f>
        <v>0</v>
      </c>
      <c r="BI576" s="929">
        <f>DIVISIONS!BI639</f>
        <v>0</v>
      </c>
      <c r="BJ576" s="929">
        <f t="shared" si="651"/>
        <v>0</v>
      </c>
      <c r="BK576" s="859"/>
      <c r="BL576" s="929">
        <f>DIVISIONS!BL639</f>
        <v>0</v>
      </c>
      <c r="BM576" s="929">
        <f>DIVISIONS!BM639</f>
        <v>0</v>
      </c>
      <c r="BN576" s="929">
        <f t="shared" si="652"/>
        <v>0</v>
      </c>
      <c r="BO576" s="859"/>
      <c r="BP576" s="929">
        <f>DIVISIONS!BP639</f>
        <v>0</v>
      </c>
      <c r="BQ576" s="929">
        <f>DIVISIONS!BQ639</f>
        <v>0</v>
      </c>
      <c r="BR576" s="929">
        <f t="shared" si="653"/>
        <v>0</v>
      </c>
      <c r="BS576" s="859"/>
      <c r="BT576" s="929">
        <f>DIVISIONS!BT639</f>
        <v>0</v>
      </c>
      <c r="BU576" s="929">
        <f>DIVISIONS!BU639</f>
        <v>0</v>
      </c>
      <c r="BV576" s="929">
        <f t="shared" si="654"/>
        <v>0</v>
      </c>
      <c r="BW576" s="859"/>
      <c r="BX576" s="929">
        <f>DIVISIONS!BX639</f>
        <v>0</v>
      </c>
      <c r="BY576" s="929">
        <f>DIVISIONS!BY639</f>
        <v>0</v>
      </c>
      <c r="BZ576" s="929">
        <f>BX576+BY576</f>
        <v>0</v>
      </c>
      <c r="CA576" s="859"/>
      <c r="CB576" s="929">
        <f>DIVISIONS!CB639</f>
        <v>0</v>
      </c>
      <c r="CC576" s="929">
        <f>DIVISIONS!CC639</f>
        <v>0</v>
      </c>
      <c r="CD576" s="929">
        <f>CB576+CC576</f>
        <v>0</v>
      </c>
      <c r="CE576" s="1619"/>
      <c r="CF576" s="929">
        <f>DIVISIONS!CF639</f>
        <v>0</v>
      </c>
      <c r="CG576" s="929">
        <f>DIVISIONS!CG639</f>
        <v>0</v>
      </c>
      <c r="CH576" s="929">
        <f>CF576+CG576</f>
        <v>0</v>
      </c>
      <c r="CI576" s="1619"/>
      <c r="CJ576" s="929">
        <f>DIVISIONS!CJ639</f>
        <v>0</v>
      </c>
      <c r="CK576" s="929">
        <f>DIVISIONS!CK639</f>
        <v>0</v>
      </c>
      <c r="CL576" s="929">
        <f>CJ576+CK576</f>
        <v>0</v>
      </c>
      <c r="CM576" s="1619"/>
      <c r="CN576" s="929">
        <f>DIVISIONS!CN639</f>
        <v>0</v>
      </c>
      <c r="CO576" s="929">
        <f>DIVISIONS!CO639</f>
        <v>0</v>
      </c>
      <c r="CP576" s="929">
        <f>CN576+CO576</f>
        <v>0</v>
      </c>
      <c r="CQ576" s="1619"/>
      <c r="CR576" s="929">
        <f>DIVISIONS!CR639</f>
        <v>0</v>
      </c>
      <c r="CS576" s="929">
        <f>DIVISIONS!CS639</f>
        <v>0</v>
      </c>
      <c r="CT576" s="929">
        <f>CR576+CS576</f>
        <v>0</v>
      </c>
      <c r="CU576" s="859"/>
      <c r="CV576" s="929">
        <f>DIVISIONS!CV639</f>
        <v>0</v>
      </c>
      <c r="CW576" s="929">
        <f>DIVISIONS!CW639</f>
        <v>0</v>
      </c>
      <c r="CX576" s="929">
        <f>CV576+CW576</f>
        <v>0</v>
      </c>
      <c r="CY576" s="859"/>
      <c r="CZ576" s="929">
        <f>DIVISIONS!CZ639</f>
        <v>0</v>
      </c>
      <c r="DA576" s="929">
        <f>DIVISIONS!DA639</f>
        <v>0</v>
      </c>
      <c r="DB576" s="929">
        <f>CZ576+DA576</f>
        <v>0</v>
      </c>
      <c r="DC576" s="859"/>
      <c r="DD576" s="929">
        <f>DIVISIONS!DD639</f>
        <v>0</v>
      </c>
      <c r="DE576" s="929">
        <f>DIVISIONS!DE639</f>
        <v>0</v>
      </c>
      <c r="DF576" s="929">
        <f>DD576+DE576</f>
        <v>0</v>
      </c>
      <c r="DG576" s="859"/>
      <c r="DH576" s="929">
        <f>DIVISIONS!DH639</f>
        <v>0</v>
      </c>
      <c r="DI576" s="859">
        <v>0</v>
      </c>
      <c r="DJ576" s="929">
        <f>DH576+DI576</f>
        <v>0</v>
      </c>
      <c r="DK576" s="859"/>
      <c r="DL576" s="859">
        <v>0</v>
      </c>
      <c r="DM576" s="859">
        <v>0</v>
      </c>
      <c r="DN576" s="929">
        <f>DL576+DM576</f>
        <v>0</v>
      </c>
      <c r="DO576" s="929"/>
      <c r="DP576" s="859">
        <v>0</v>
      </c>
      <c r="DQ576" s="859">
        <v>0</v>
      </c>
      <c r="DR576" s="929">
        <f>DP576+DQ576</f>
        <v>0</v>
      </c>
      <c r="DS576" s="929"/>
      <c r="DT576" s="859"/>
      <c r="DU576" s="859"/>
      <c r="DV576" s="859"/>
      <c r="DW576" s="859"/>
      <c r="DX576" s="929"/>
      <c r="DY576" s="857"/>
      <c r="DZ576" s="859"/>
      <c r="EA576" s="859"/>
      <c r="EB576" s="929"/>
      <c r="EC576" s="857"/>
      <c r="ED576" s="859"/>
      <c r="EE576" s="859"/>
      <c r="EF576" s="929"/>
      <c r="EG576" s="857"/>
      <c r="EH576" s="857"/>
      <c r="EI576" s="857"/>
      <c r="EJ576" s="857"/>
      <c r="EK576" s="857"/>
      <c r="EL576" s="857"/>
      <c r="EM576" s="857"/>
      <c r="EN576" s="857"/>
      <c r="EO576" s="857"/>
      <c r="EP576" s="857"/>
      <c r="FL576" s="855"/>
      <c r="FM576" s="855"/>
      <c r="FN576" s="855"/>
      <c r="FO576" s="855"/>
      <c r="FP576" s="855"/>
      <c r="FQ576" s="855"/>
      <c r="FR576" s="855"/>
      <c r="FS576" s="855"/>
      <c r="FT576" s="855"/>
      <c r="FU576" s="855"/>
      <c r="FV576" s="855"/>
      <c r="FW576" s="855"/>
      <c r="FX576" s="855"/>
      <c r="FY576" s="855"/>
      <c r="FZ576" s="855"/>
      <c r="GA576" s="855"/>
      <c r="GB576" s="855"/>
      <c r="GC576" s="855"/>
      <c r="GD576" s="855"/>
      <c r="GE576" s="855"/>
      <c r="GF576" s="855"/>
      <c r="GG576" s="855"/>
      <c r="GH576" s="855"/>
      <c r="GI576" s="855"/>
      <c r="GJ576" s="855"/>
      <c r="GK576" s="855"/>
      <c r="GL576" s="855"/>
      <c r="GM576" s="855"/>
      <c r="GN576" s="855"/>
      <c r="GO576" s="855"/>
      <c r="GP576" s="855"/>
      <c r="GQ576" s="855"/>
      <c r="GR576" s="855"/>
      <c r="GS576" s="855"/>
      <c r="GT576" s="855"/>
      <c r="GU576" s="855"/>
      <c r="GV576" s="855"/>
      <c r="GW576" s="855"/>
      <c r="GX576" s="855"/>
      <c r="GY576" s="855"/>
      <c r="GZ576" s="855"/>
      <c r="HA576" s="855"/>
      <c r="HB576" s="855"/>
      <c r="HC576" s="855"/>
      <c r="HD576" s="855"/>
      <c r="HE576" s="855"/>
      <c r="HF576" s="855"/>
      <c r="HG576" s="855"/>
      <c r="HH576" s="855"/>
      <c r="HI576" s="855"/>
      <c r="HJ576" s="855"/>
      <c r="HK576" s="855"/>
      <c r="HL576" s="855"/>
      <c r="HM576" s="855"/>
      <c r="HN576" s="855"/>
      <c r="HO576" s="855"/>
      <c r="HP576" s="855"/>
      <c r="HQ576" s="855"/>
      <c r="HR576" s="855"/>
      <c r="HS576" s="855"/>
      <c r="HT576" s="855"/>
      <c r="HU576" s="855"/>
      <c r="HV576" s="855"/>
      <c r="HW576" s="855"/>
      <c r="HX576" s="855"/>
      <c r="HY576" s="855"/>
      <c r="HZ576" s="855"/>
      <c r="IA576" s="855"/>
      <c r="IB576" s="855"/>
      <c r="IC576" s="855"/>
      <c r="ID576" s="855"/>
      <c r="IE576" s="855"/>
      <c r="IF576" s="855"/>
      <c r="IG576" s="855"/>
      <c r="IH576" s="855"/>
      <c r="II576" s="855"/>
      <c r="IJ576" s="855"/>
      <c r="IK576" s="855"/>
      <c r="IL576" s="855"/>
      <c r="IM576" s="855"/>
      <c r="IN576" s="855"/>
      <c r="IO576" s="855"/>
      <c r="IP576" s="855"/>
      <c r="IQ576" s="855"/>
      <c r="IR576" s="855"/>
      <c r="IS576" s="855"/>
      <c r="IT576" s="855"/>
      <c r="IU576" s="855"/>
      <c r="IV576" s="855"/>
      <c r="IW576" s="855"/>
      <c r="IX576" s="855"/>
      <c r="IY576" s="855"/>
      <c r="IZ576" s="855"/>
      <c r="JA576" s="855"/>
      <c r="JB576" s="855"/>
      <c r="JC576" s="855"/>
      <c r="JD576" s="855"/>
      <c r="JE576" s="855"/>
      <c r="JF576" s="855"/>
      <c r="JG576" s="855"/>
      <c r="JH576" s="855"/>
      <c r="JI576" s="855"/>
      <c r="JJ576" s="855"/>
      <c r="JK576" s="855"/>
      <c r="JL576" s="855"/>
      <c r="JM576"/>
    </row>
    <row r="577" spans="1:273" s="860" customFormat="1">
      <c r="A577" s="302" t="s">
        <v>688</v>
      </c>
      <c r="B577" s="298"/>
      <c r="C577" s="296"/>
      <c r="D577" s="296"/>
      <c r="E577" s="296"/>
      <c r="F577" s="296"/>
      <c r="G577" s="296"/>
      <c r="H577" s="296"/>
      <c r="I577" s="296"/>
      <c r="J577" s="296"/>
      <c r="K577" s="296"/>
      <c r="L577" s="296"/>
      <c r="M577" s="296"/>
      <c r="N577" s="296"/>
      <c r="O577" s="296"/>
      <c r="P577" s="296"/>
      <c r="Q577" s="296"/>
      <c r="R577" s="296"/>
      <c r="S577" s="296"/>
      <c r="T577" s="296"/>
      <c r="U577" s="296"/>
      <c r="V577" s="296"/>
      <c r="W577" s="296"/>
      <c r="X577" s="296"/>
      <c r="Y577" s="296"/>
      <c r="Z577" s="296"/>
      <c r="AA577" s="296"/>
      <c r="AB577" s="296"/>
      <c r="AC577" s="296"/>
      <c r="AD577" s="296"/>
      <c r="AE577" s="296"/>
      <c r="AF577" s="296"/>
      <c r="AG577" s="296"/>
      <c r="AH577" s="296"/>
      <c r="AI577" s="296"/>
      <c r="AJ577" s="296"/>
      <c r="AK577" s="296"/>
      <c r="AL577" s="296"/>
      <c r="AM577" s="296"/>
      <c r="AN577" s="298"/>
      <c r="AO577" s="298"/>
      <c r="AP577" s="929">
        <f>DIVISIONS!AP698</f>
        <v>0</v>
      </c>
      <c r="AQ577" s="298"/>
      <c r="AR577" s="298"/>
      <c r="AS577" s="298"/>
      <c r="AT577" s="929">
        <f>DIVISIONS!AT698</f>
        <v>0</v>
      </c>
      <c r="AU577" s="298"/>
      <c r="AV577" s="929">
        <f>DIVISIONS!AV698</f>
        <v>0</v>
      </c>
      <c r="AW577" s="929">
        <f>DIVISIONS!AW698</f>
        <v>0</v>
      </c>
      <c r="AX577" s="857"/>
      <c r="AY577" s="976"/>
      <c r="AZ577" s="929">
        <f>DIVISIONS!AZ698</f>
        <v>0</v>
      </c>
      <c r="BA577" s="929">
        <f>DIVISIONS!BA698</f>
        <v>0</v>
      </c>
      <c r="BB577" s="857"/>
      <c r="BC577" s="857"/>
      <c r="BD577" s="929"/>
      <c r="BE577" s="929"/>
      <c r="BF577" s="929"/>
      <c r="BG577" s="859"/>
      <c r="BH577" s="929"/>
      <c r="BI577" s="929"/>
      <c r="BJ577" s="929"/>
      <c r="BK577" s="859"/>
      <c r="BL577" s="929"/>
      <c r="BM577" s="929"/>
      <c r="BN577" s="929"/>
      <c r="BO577" s="859"/>
      <c r="BP577" s="929"/>
      <c r="BQ577" s="929"/>
      <c r="BR577" s="929"/>
      <c r="BS577" s="859"/>
      <c r="BT577" s="929"/>
      <c r="BU577" s="929"/>
      <c r="BV577" s="929"/>
      <c r="BW577" s="859"/>
      <c r="BX577" s="929"/>
      <c r="BY577" s="929"/>
      <c r="BZ577" s="929"/>
      <c r="CA577" s="859"/>
      <c r="CB577" s="929"/>
      <c r="CC577" s="929"/>
      <c r="CD577" s="929"/>
      <c r="CE577" s="1619"/>
      <c r="CF577" s="929"/>
      <c r="CG577" s="929"/>
      <c r="CH577" s="929"/>
      <c r="CI577" s="1619"/>
      <c r="CJ577" s="929"/>
      <c r="CK577" s="929"/>
      <c r="CL577" s="929"/>
      <c r="CM577" s="1619"/>
      <c r="CN577" s="929"/>
      <c r="CO577" s="929"/>
      <c r="CP577" s="929"/>
      <c r="CQ577" s="1619"/>
      <c r="CR577" s="929"/>
      <c r="CS577" s="929"/>
      <c r="CT577" s="929"/>
      <c r="CU577" s="859"/>
      <c r="CV577" s="929"/>
      <c r="CW577" s="929"/>
      <c r="CX577" s="929"/>
      <c r="CY577" s="859"/>
      <c r="CZ577" s="929"/>
      <c r="DA577" s="929"/>
      <c r="DB577" s="929"/>
      <c r="DC577" s="859"/>
      <c r="DD577" s="929"/>
      <c r="DE577" s="929"/>
      <c r="DF577" s="929"/>
      <c r="DG577" s="859"/>
      <c r="DH577" s="929"/>
      <c r="DI577" s="859"/>
      <c r="DJ577" s="929"/>
      <c r="DK577" s="859"/>
      <c r="DL577" s="859"/>
      <c r="DM577" s="859"/>
      <c r="DN577" s="929"/>
      <c r="DO577" s="929"/>
      <c r="DP577" s="859"/>
      <c r="DQ577" s="859"/>
      <c r="DR577" s="929"/>
      <c r="DS577" s="929"/>
      <c r="DT577" s="859"/>
      <c r="DU577" s="859"/>
      <c r="DV577" s="859"/>
      <c r="DW577" s="859"/>
      <c r="DX577" s="929"/>
      <c r="DY577" s="857"/>
      <c r="DZ577" s="859"/>
      <c r="EA577" s="859"/>
      <c r="EB577" s="929"/>
      <c r="EC577" s="857"/>
      <c r="ED577" s="859"/>
      <c r="EE577" s="859"/>
      <c r="EF577" s="929"/>
      <c r="EG577" s="857"/>
      <c r="EH577" s="857"/>
      <c r="EI577" s="857"/>
      <c r="EJ577" s="857"/>
      <c r="EK577" s="857"/>
      <c r="EL577" s="857"/>
      <c r="EM577" s="857"/>
      <c r="EN577" s="857"/>
      <c r="EO577" s="857"/>
      <c r="EP577" s="857"/>
      <c r="FL577" s="855"/>
      <c r="FM577" s="855"/>
      <c r="FN577" s="855"/>
      <c r="FO577" s="855"/>
      <c r="FP577" s="855"/>
      <c r="FQ577" s="855"/>
      <c r="FR577" s="855"/>
      <c r="FS577" s="855"/>
      <c r="FT577" s="855"/>
      <c r="FU577" s="855"/>
      <c r="FV577" s="855"/>
      <c r="FW577" s="855"/>
      <c r="FX577" s="855"/>
      <c r="FY577" s="855"/>
      <c r="FZ577" s="855"/>
      <c r="GA577" s="855"/>
      <c r="GB577" s="855"/>
      <c r="GC577" s="855"/>
      <c r="GD577" s="855"/>
      <c r="GE577" s="855"/>
      <c r="GF577" s="855"/>
      <c r="GG577" s="855"/>
      <c r="GH577" s="855"/>
      <c r="GI577" s="855"/>
      <c r="GJ577" s="855"/>
      <c r="GK577" s="855"/>
      <c r="GL577" s="855"/>
      <c r="GM577" s="855"/>
      <c r="GN577" s="855"/>
      <c r="GO577" s="855"/>
      <c r="GP577" s="855"/>
      <c r="GQ577" s="855"/>
      <c r="GR577" s="855"/>
      <c r="GS577" s="855"/>
      <c r="GT577" s="855"/>
      <c r="GU577" s="855"/>
      <c r="GV577" s="855"/>
      <c r="GW577" s="855"/>
      <c r="GX577" s="855"/>
      <c r="GY577" s="855"/>
      <c r="GZ577" s="855"/>
      <c r="HA577" s="855"/>
      <c r="HB577" s="855"/>
      <c r="HC577" s="855"/>
      <c r="HD577" s="855"/>
      <c r="HE577" s="855"/>
      <c r="HF577" s="855"/>
      <c r="HG577" s="855"/>
      <c r="HH577" s="855"/>
      <c r="HI577" s="855"/>
      <c r="HJ577" s="855"/>
      <c r="HK577" s="855"/>
      <c r="HL577" s="855"/>
      <c r="HM577" s="855"/>
      <c r="HN577" s="855"/>
      <c r="HO577" s="855"/>
      <c r="HP577" s="855"/>
      <c r="HQ577" s="855"/>
      <c r="HR577" s="855"/>
      <c r="HS577" s="855"/>
      <c r="HT577" s="855"/>
      <c r="HU577" s="855"/>
      <c r="HV577" s="855"/>
      <c r="HW577" s="855"/>
      <c r="HX577" s="855"/>
      <c r="HY577" s="855"/>
      <c r="HZ577" s="855"/>
      <c r="IA577" s="855"/>
      <c r="IB577" s="855"/>
      <c r="IC577" s="855"/>
      <c r="ID577" s="855"/>
      <c r="IE577" s="855"/>
      <c r="IF577" s="855"/>
      <c r="IG577" s="855"/>
      <c r="IH577" s="855"/>
      <c r="II577" s="855"/>
      <c r="IJ577" s="855"/>
      <c r="IK577" s="855"/>
      <c r="IL577" s="855"/>
      <c r="IM577" s="855"/>
      <c r="IN577" s="855"/>
      <c r="IO577" s="855"/>
      <c r="IP577" s="855"/>
      <c r="IQ577" s="855"/>
      <c r="IR577" s="855"/>
      <c r="IS577" s="855"/>
      <c r="IT577" s="855"/>
      <c r="IU577" s="855"/>
      <c r="IV577" s="855"/>
      <c r="IW577" s="855"/>
      <c r="IX577" s="855"/>
      <c r="IY577" s="855"/>
      <c r="IZ577" s="855"/>
      <c r="JA577" s="855"/>
      <c r="JB577" s="855"/>
      <c r="JC577" s="855"/>
      <c r="JD577" s="855"/>
      <c r="JE577" s="855"/>
      <c r="JF577" s="855"/>
      <c r="JG577" s="855"/>
      <c r="JH577" s="855"/>
      <c r="JI577" s="855"/>
      <c r="JJ577" s="855"/>
      <c r="JK577" s="855"/>
      <c r="JL577" s="855"/>
      <c r="JM577"/>
    </row>
    <row r="578" spans="1:273" s="860" customFormat="1">
      <c r="A578" s="302" t="s">
        <v>691</v>
      </c>
      <c r="B578" s="298"/>
      <c r="C578" s="296"/>
      <c r="D578" s="296"/>
      <c r="E578" s="296"/>
      <c r="F578" s="296"/>
      <c r="G578" s="296"/>
      <c r="H578" s="296"/>
      <c r="I578" s="296"/>
      <c r="J578" s="296"/>
      <c r="K578" s="296"/>
      <c r="L578" s="296"/>
      <c r="M578" s="296"/>
      <c r="N578" s="296"/>
      <c r="O578" s="296"/>
      <c r="P578" s="296"/>
      <c r="Q578" s="296"/>
      <c r="R578" s="296"/>
      <c r="S578" s="296"/>
      <c r="T578" s="296"/>
      <c r="U578" s="296"/>
      <c r="V578" s="296"/>
      <c r="W578" s="296"/>
      <c r="X578" s="296"/>
      <c r="Y578" s="296"/>
      <c r="Z578" s="296"/>
      <c r="AA578" s="296"/>
      <c r="AB578" s="296"/>
      <c r="AC578" s="296"/>
      <c r="AD578" s="296"/>
      <c r="AE578" s="296"/>
      <c r="AF578" s="296"/>
      <c r="AG578" s="296"/>
      <c r="AH578" s="296"/>
      <c r="AI578" s="296"/>
      <c r="AJ578" s="296"/>
      <c r="AK578" s="296"/>
      <c r="AL578" s="296"/>
      <c r="AM578" s="296"/>
      <c r="AN578" s="298"/>
      <c r="AO578" s="298"/>
      <c r="AP578" s="929">
        <f>DIVISIONS!AP754</f>
        <v>0</v>
      </c>
      <c r="AQ578" s="298"/>
      <c r="AR578" s="298"/>
      <c r="AS578" s="298"/>
      <c r="AT578" s="929">
        <f>DIVISIONS!AT754</f>
        <v>0</v>
      </c>
      <c r="AU578" s="298"/>
      <c r="AV578" s="929">
        <f>DIVISIONS!AV754</f>
        <v>0</v>
      </c>
      <c r="AW578" s="929">
        <f>DIVISIONS!AW754</f>
        <v>0</v>
      </c>
      <c r="AX578" s="857"/>
      <c r="AY578" s="976"/>
      <c r="AZ578" s="929">
        <f>DIVISIONS!AZ754</f>
        <v>0</v>
      </c>
      <c r="BA578" s="929">
        <f>DIVISIONS!BA754</f>
        <v>0</v>
      </c>
      <c r="BB578" s="857"/>
      <c r="BC578" s="857"/>
      <c r="BD578" s="929">
        <f>DIVISIONS!BD754</f>
        <v>0</v>
      </c>
      <c r="BE578" s="929">
        <f>DIVISIONS!BE754</f>
        <v>0</v>
      </c>
      <c r="BF578" s="929">
        <f t="shared" si="655"/>
        <v>0</v>
      </c>
      <c r="BG578" s="859"/>
      <c r="BH578" s="929">
        <f>DIVISIONS!BH754</f>
        <v>0</v>
      </c>
      <c r="BI578" s="929">
        <f>DIVISIONS!BI754</f>
        <v>0</v>
      </c>
      <c r="BJ578" s="929">
        <f>BH578+BI578</f>
        <v>0</v>
      </c>
      <c r="BK578" s="859"/>
      <c r="BL578" s="929">
        <f>DIVISIONS!BL754</f>
        <v>0</v>
      </c>
      <c r="BM578" s="929">
        <f>DIVISIONS!BM754</f>
        <v>0</v>
      </c>
      <c r="BN578" s="929">
        <f>BL578+BM578</f>
        <v>0</v>
      </c>
      <c r="BO578" s="859"/>
      <c r="BP578" s="929">
        <f>DIVISIONS!BP754</f>
        <v>0</v>
      </c>
      <c r="BQ578" s="929">
        <f>DIVISIONS!BQ754</f>
        <v>0</v>
      </c>
      <c r="BR578" s="929">
        <f>BP578+BQ578</f>
        <v>0</v>
      </c>
      <c r="BS578" s="859"/>
      <c r="BT578" s="929">
        <f>DIVISIONS!BT754</f>
        <v>0</v>
      </c>
      <c r="BU578" s="929">
        <f>DIVISIONS!BU754</f>
        <v>0</v>
      </c>
      <c r="BV578" s="929">
        <f>BT578+BU578</f>
        <v>0</v>
      </c>
      <c r="BW578" s="859"/>
      <c r="BX578" s="929">
        <f>DIVISIONS!BX754</f>
        <v>0</v>
      </c>
      <c r="BY578" s="929">
        <f>DIVISIONS!BY754</f>
        <v>0</v>
      </c>
      <c r="BZ578" s="929">
        <f>BX578+BY578</f>
        <v>0</v>
      </c>
      <c r="CA578" s="859"/>
      <c r="CB578" s="929">
        <f>DIVISIONS!CB754</f>
        <v>0</v>
      </c>
      <c r="CC578" s="929">
        <f>DIVISIONS!CC754</f>
        <v>0</v>
      </c>
      <c r="CD578" s="929">
        <f>CB578+CC578</f>
        <v>0</v>
      </c>
      <c r="CE578" s="1619"/>
      <c r="CF578" s="929">
        <f>DIVISIONS!CF754</f>
        <v>0</v>
      </c>
      <c r="CG578" s="929">
        <f>DIVISIONS!CG754</f>
        <v>0</v>
      </c>
      <c r="CH578" s="929">
        <f>CF578+CG578</f>
        <v>0</v>
      </c>
      <c r="CI578" s="1619"/>
      <c r="CJ578" s="929">
        <f>DIVISIONS!CJ754</f>
        <v>0</v>
      </c>
      <c r="CK578" s="929">
        <f>DIVISIONS!CK754</f>
        <v>0</v>
      </c>
      <c r="CL578" s="929">
        <f>CJ578+CK578</f>
        <v>0</v>
      </c>
      <c r="CM578" s="1619"/>
      <c r="CN578" s="929">
        <f>DIVISIONS!CN754</f>
        <v>0</v>
      </c>
      <c r="CO578" s="929">
        <f>DIVISIONS!CO754</f>
        <v>0</v>
      </c>
      <c r="CP578" s="929">
        <f>CN578+CO578</f>
        <v>0</v>
      </c>
      <c r="CQ578" s="1619"/>
      <c r="CR578" s="929">
        <f>DIVISIONS!CR754</f>
        <v>0</v>
      </c>
      <c r="CS578" s="929">
        <f>DIVISIONS!CS754</f>
        <v>0</v>
      </c>
      <c r="CT578" s="929">
        <f>CR578+CS578</f>
        <v>0</v>
      </c>
      <c r="CU578" s="859"/>
      <c r="CV578" s="929">
        <f>DIVISIONS!CV754</f>
        <v>0</v>
      </c>
      <c r="CW578" s="929">
        <f>DIVISIONS!CW754</f>
        <v>0</v>
      </c>
      <c r="CX578" s="929">
        <f>CV578+CW578</f>
        <v>0</v>
      </c>
      <c r="CY578" s="859"/>
      <c r="CZ578" s="929">
        <f>DIVISIONS!CZ754</f>
        <v>0</v>
      </c>
      <c r="DA578" s="929">
        <f>DIVISIONS!DA754</f>
        <v>0</v>
      </c>
      <c r="DB578" s="929">
        <f>CZ578+DA578</f>
        <v>0</v>
      </c>
      <c r="DC578" s="859"/>
      <c r="DD578" s="929">
        <f>DIVISIONS!DD754</f>
        <v>0</v>
      </c>
      <c r="DE578" s="929">
        <f>DIVISIONS!DE754</f>
        <v>0</v>
      </c>
      <c r="DF578" s="929">
        <f>DD578+DE578</f>
        <v>0</v>
      </c>
      <c r="DG578" s="859"/>
      <c r="DH578" s="929">
        <f>DIVISIONS!DH754</f>
        <v>0</v>
      </c>
      <c r="DI578" s="859">
        <v>0</v>
      </c>
      <c r="DJ578" s="929">
        <f>DH578+DI578</f>
        <v>0</v>
      </c>
      <c r="DK578" s="859"/>
      <c r="DL578" s="859">
        <v>0</v>
      </c>
      <c r="DM578" s="859">
        <v>0</v>
      </c>
      <c r="DN578" s="929">
        <f>DL578+DM578</f>
        <v>0</v>
      </c>
      <c r="DO578" s="929"/>
      <c r="DP578" s="859">
        <v>0</v>
      </c>
      <c r="DQ578" s="859">
        <v>0</v>
      </c>
      <c r="DR578" s="929">
        <f>DP578+DQ578</f>
        <v>0</v>
      </c>
      <c r="DS578" s="929"/>
      <c r="DT578" s="859"/>
      <c r="DU578" s="859"/>
      <c r="DV578" s="859"/>
      <c r="DW578" s="859"/>
      <c r="DX578" s="929"/>
      <c r="DY578" s="857"/>
      <c r="DZ578" s="859"/>
      <c r="EA578" s="859"/>
      <c r="EB578" s="929"/>
      <c r="EC578" s="857"/>
      <c r="ED578" s="859"/>
      <c r="EE578" s="859"/>
      <c r="EF578" s="929"/>
      <c r="EG578" s="857"/>
      <c r="EH578" s="857"/>
      <c r="EI578" s="857"/>
      <c r="EJ578" s="857"/>
      <c r="EK578" s="857"/>
      <c r="EL578" s="857"/>
      <c r="EM578" s="857"/>
      <c r="EN578" s="857"/>
      <c r="EO578" s="857"/>
      <c r="EP578" s="857"/>
      <c r="FL578" s="855"/>
      <c r="FM578" s="855"/>
      <c r="FN578" s="855"/>
      <c r="FO578" s="855"/>
      <c r="FP578" s="855"/>
      <c r="FQ578" s="855"/>
      <c r="FR578" s="855"/>
      <c r="FS578" s="855"/>
      <c r="FT578" s="855"/>
      <c r="FU578" s="855"/>
      <c r="FV578" s="855"/>
      <c r="FW578" s="855"/>
      <c r="FX578" s="855"/>
      <c r="FY578" s="855"/>
      <c r="FZ578" s="855"/>
      <c r="GA578" s="855"/>
      <c r="GB578" s="855"/>
      <c r="GC578" s="855"/>
      <c r="GD578" s="855"/>
      <c r="GE578" s="855"/>
      <c r="GF578" s="855"/>
      <c r="GG578" s="855"/>
      <c r="GH578" s="855"/>
      <c r="GI578" s="855"/>
      <c r="GJ578" s="855"/>
      <c r="GK578" s="855"/>
      <c r="GL578" s="855"/>
      <c r="GM578" s="855"/>
      <c r="GN578" s="855"/>
      <c r="GO578" s="855"/>
      <c r="GP578" s="855"/>
      <c r="GQ578" s="855"/>
      <c r="GR578" s="855"/>
      <c r="GS578" s="855"/>
      <c r="GT578" s="855"/>
      <c r="GU578" s="855"/>
      <c r="GV578" s="855"/>
      <c r="GW578" s="855"/>
      <c r="GX578" s="855"/>
      <c r="GY578" s="855"/>
      <c r="GZ578" s="855"/>
      <c r="HA578" s="855"/>
      <c r="HB578" s="855"/>
      <c r="HC578" s="855"/>
      <c r="HD578" s="855"/>
      <c r="HE578" s="855"/>
      <c r="HF578" s="855"/>
      <c r="HG578" s="855"/>
      <c r="HH578" s="855"/>
      <c r="HI578" s="855"/>
      <c r="HJ578" s="855"/>
      <c r="HK578" s="855"/>
      <c r="HL578" s="855"/>
      <c r="HM578" s="855"/>
      <c r="HN578" s="855"/>
      <c r="HO578" s="855"/>
      <c r="HP578" s="855"/>
      <c r="HQ578" s="855"/>
      <c r="HR578" s="855"/>
      <c r="HS578" s="855"/>
      <c r="HT578" s="855"/>
      <c r="HU578" s="855"/>
      <c r="HV578" s="855"/>
      <c r="HW578" s="855"/>
      <c r="HX578" s="855"/>
      <c r="HY578" s="855"/>
      <c r="HZ578" s="855"/>
      <c r="IA578" s="855"/>
      <c r="IB578" s="855"/>
      <c r="IC578" s="855"/>
      <c r="ID578" s="855"/>
      <c r="IE578" s="855"/>
      <c r="IF578" s="855"/>
      <c r="IG578" s="855"/>
      <c r="IH578" s="855"/>
      <c r="II578" s="855"/>
      <c r="IJ578" s="855"/>
      <c r="IK578" s="855"/>
      <c r="IL578" s="855"/>
      <c r="IM578" s="855"/>
      <c r="IN578" s="855"/>
      <c r="IO578" s="855"/>
      <c r="IP578" s="855"/>
      <c r="IQ578" s="855"/>
      <c r="IR578" s="855"/>
      <c r="IS578" s="855"/>
      <c r="IT578" s="855"/>
      <c r="IU578" s="855"/>
      <c r="IV578" s="855"/>
      <c r="IW578" s="855"/>
      <c r="IX578" s="855"/>
      <c r="IY578" s="855"/>
      <c r="IZ578" s="855"/>
      <c r="JA578" s="855"/>
      <c r="JB578" s="855"/>
      <c r="JC578" s="855"/>
      <c r="JD578" s="855"/>
      <c r="JE578" s="855"/>
      <c r="JF578" s="855"/>
      <c r="JG578" s="855"/>
      <c r="JH578" s="855"/>
      <c r="JI578" s="855"/>
      <c r="JJ578" s="855"/>
      <c r="JK578" s="855"/>
      <c r="JL578" s="855"/>
      <c r="JM578"/>
    </row>
    <row r="579" spans="1:273" s="855" customFormat="1">
      <c r="A579" s="289" t="s">
        <v>613</v>
      </c>
      <c r="B579" s="290"/>
      <c r="C579" s="289"/>
      <c r="D579" s="289"/>
      <c r="E579" s="289"/>
      <c r="F579" s="289"/>
      <c r="G579" s="289"/>
      <c r="H579" s="289"/>
      <c r="I579" s="289"/>
      <c r="J579" s="289"/>
      <c r="K579" s="289"/>
      <c r="L579" s="289"/>
      <c r="M579" s="289"/>
      <c r="N579" s="289"/>
      <c r="O579" s="289"/>
      <c r="P579" s="289"/>
      <c r="Q579" s="289"/>
      <c r="R579" s="289"/>
      <c r="S579" s="289"/>
      <c r="T579" s="289"/>
      <c r="U579" s="289"/>
      <c r="V579" s="289"/>
      <c r="W579" s="289"/>
      <c r="X579" s="289"/>
      <c r="Y579" s="289"/>
      <c r="Z579" s="289"/>
      <c r="AA579" s="289"/>
      <c r="AB579" s="289"/>
      <c r="AC579" s="289"/>
      <c r="AD579" s="289"/>
      <c r="AE579" s="289"/>
      <c r="AF579" s="289"/>
      <c r="AG579" s="289"/>
      <c r="AH579" s="289"/>
      <c r="AI579" s="289"/>
      <c r="AJ579" s="289"/>
      <c r="AK579" s="289"/>
      <c r="AL579" s="289"/>
      <c r="AM579" s="289"/>
      <c r="AN579" s="290"/>
      <c r="AO579" s="290"/>
      <c r="AP579" s="853">
        <f>SUM(AP571:AP578)</f>
        <v>0</v>
      </c>
      <c r="AQ579" s="290"/>
      <c r="AR579" s="290"/>
      <c r="AS579" s="290"/>
      <c r="AT579" s="853">
        <f>SUM(AT571:AT578)</f>
        <v>94</v>
      </c>
      <c r="AU579" s="290"/>
      <c r="AV579" s="853">
        <f>SUM(AV571:AV578)</f>
        <v>0</v>
      </c>
      <c r="AW579" s="853">
        <f>SUM(AW571:AW578)</f>
        <v>0</v>
      </c>
      <c r="AX579" s="853"/>
      <c r="AY579" s="820"/>
      <c r="AZ579" s="853">
        <f>SUM(AZ571:AZ578)</f>
        <v>0</v>
      </c>
      <c r="BA579" s="853">
        <f>SUM(BA571:BA578)</f>
        <v>0</v>
      </c>
      <c r="BB579" s="853"/>
      <c r="BC579" s="853"/>
      <c r="BD579" s="853">
        <f>SUM(BD571:BD578)</f>
        <v>0</v>
      </c>
      <c r="BE579" s="853">
        <f>SUM(BE571:BE578)</f>
        <v>104</v>
      </c>
      <c r="BF579" s="818">
        <f t="shared" si="655"/>
        <v>104</v>
      </c>
      <c r="BG579" s="853"/>
      <c r="BH579" s="853">
        <f>SUM(BH571:BH578)</f>
        <v>0</v>
      </c>
      <c r="BI579" s="853">
        <f>SUM(BI571:BI578)</f>
        <v>0</v>
      </c>
      <c r="BJ579" s="818">
        <f>BH579+BI579</f>
        <v>0</v>
      </c>
      <c r="BK579" s="853"/>
      <c r="BL579" s="853">
        <f>SUM(BL571:BL578)</f>
        <v>0</v>
      </c>
      <c r="BM579" s="853">
        <f>SUM(BM571:BM578)</f>
        <v>0</v>
      </c>
      <c r="BN579" s="818">
        <f>BL579+BM579</f>
        <v>0</v>
      </c>
      <c r="BO579" s="853"/>
      <c r="BP579" s="853">
        <f>SUM(BP571:BP578)</f>
        <v>0</v>
      </c>
      <c r="BQ579" s="853">
        <f>SUM(BQ571:BQ578)</f>
        <v>0</v>
      </c>
      <c r="BR579" s="818">
        <f>BP579+BQ579</f>
        <v>0</v>
      </c>
      <c r="BS579" s="853"/>
      <c r="BT579" s="853">
        <f>SUM(BT571:BT578)</f>
        <v>0</v>
      </c>
      <c r="BU579" s="853">
        <f>SUM(BU571:BU578)</f>
        <v>0</v>
      </c>
      <c r="BV579" s="818">
        <f>BT579+BU579</f>
        <v>0</v>
      </c>
      <c r="BW579" s="853"/>
      <c r="BX579" s="853">
        <f>SUM(BX571:BX578)</f>
        <v>0</v>
      </c>
      <c r="BY579" s="853">
        <f>SUM(BY571:BY578)</f>
        <v>0</v>
      </c>
      <c r="BZ579" s="818">
        <f>BX579+BY579</f>
        <v>0</v>
      </c>
      <c r="CA579" s="853"/>
      <c r="CB579" s="853">
        <f>SUM(CB571:CB578)</f>
        <v>0</v>
      </c>
      <c r="CC579" s="853">
        <f>SUM(CC571:CC578)</f>
        <v>0</v>
      </c>
      <c r="CD579" s="818">
        <f>CB579+CC579</f>
        <v>0</v>
      </c>
      <c r="CE579" s="862"/>
      <c r="CF579" s="853">
        <f>SUM(CF571:CF578)</f>
        <v>0</v>
      </c>
      <c r="CG579" s="853">
        <f>SUM(CG571:CG578)</f>
        <v>0</v>
      </c>
      <c r="CH579" s="818">
        <f>CF579+CG579</f>
        <v>0</v>
      </c>
      <c r="CI579" s="862"/>
      <c r="CJ579" s="853">
        <f>SUM(CJ571:CJ578)</f>
        <v>0</v>
      </c>
      <c r="CK579" s="853">
        <f>SUM(CK571:CK578)</f>
        <v>0</v>
      </c>
      <c r="CL579" s="818">
        <f>CJ579+CK579</f>
        <v>0</v>
      </c>
      <c r="CM579" s="862"/>
      <c r="CN579" s="853">
        <f>SUM(CN571:CN578)</f>
        <v>0</v>
      </c>
      <c r="CO579" s="853">
        <f>SUM(CO571:CO578)</f>
        <v>0</v>
      </c>
      <c r="CP579" s="818">
        <f>CN579+CO579</f>
        <v>0</v>
      </c>
      <c r="CQ579" s="862"/>
      <c r="CR579" s="853">
        <f>SUM(CR571:CR578)</f>
        <v>0</v>
      </c>
      <c r="CS579" s="853">
        <f>SUM(CS571:CS578)</f>
        <v>0</v>
      </c>
      <c r="CT579" s="818">
        <f>CR579+CS579</f>
        <v>0</v>
      </c>
      <c r="CU579" s="853"/>
      <c r="CV579" s="853">
        <f>SUM(CV571:CV578)</f>
        <v>0</v>
      </c>
      <c r="CW579" s="853">
        <f>SUM(CW571:CW578)</f>
        <v>0</v>
      </c>
      <c r="CX579" s="818">
        <f>CV579+CW579</f>
        <v>0</v>
      </c>
      <c r="CY579" s="853"/>
      <c r="CZ579" s="853">
        <f>SUM(CZ571:CZ578)</f>
        <v>0</v>
      </c>
      <c r="DA579" s="853">
        <f>SUM(DA571:DA578)</f>
        <v>0</v>
      </c>
      <c r="DB579" s="818">
        <f>CZ579+DA579</f>
        <v>0</v>
      </c>
      <c r="DC579" s="853"/>
      <c r="DD579" s="853">
        <f>SUM(DD571:DD578)</f>
        <v>0</v>
      </c>
      <c r="DE579" s="853">
        <f>SUM(DE571:DE578)</f>
        <v>0</v>
      </c>
      <c r="DF579" s="818">
        <f>DD579+DE579</f>
        <v>0</v>
      </c>
      <c r="DG579" s="853"/>
      <c r="DH579" s="853">
        <f>SUM(DH571:DH578)</f>
        <v>0</v>
      </c>
      <c r="DI579" s="853">
        <f>SUM(DI571:DI578)</f>
        <v>0</v>
      </c>
      <c r="DJ579" s="818">
        <f>DH579+DI579</f>
        <v>0</v>
      </c>
      <c r="DK579" s="853"/>
      <c r="DL579" s="853">
        <f>SUM(DL571:DL578)</f>
        <v>0</v>
      </c>
      <c r="DM579" s="853">
        <f>SUM(DM571:DM578)</f>
        <v>0</v>
      </c>
      <c r="DN579" s="818">
        <f>DL579+DM579</f>
        <v>0</v>
      </c>
      <c r="DO579" s="818"/>
      <c r="DP579" s="853">
        <f>SUM(DP571:DP578)</f>
        <v>0</v>
      </c>
      <c r="DQ579" s="853">
        <f>SUM(DQ571:DQ578)</f>
        <v>0</v>
      </c>
      <c r="DR579" s="818">
        <f>DP579+DQ579</f>
        <v>0</v>
      </c>
      <c r="DS579" s="818"/>
      <c r="DT579" s="853"/>
      <c r="DU579" s="853"/>
      <c r="DV579" s="853"/>
      <c r="DW579" s="853"/>
      <c r="DX579" s="818"/>
      <c r="DY579" s="853"/>
      <c r="DZ579" s="853"/>
      <c r="EA579" s="853"/>
      <c r="EB579" s="818"/>
      <c r="EC579" s="853"/>
      <c r="ED579" s="853"/>
      <c r="EE579" s="853"/>
      <c r="EF579" s="818"/>
      <c r="EG579" s="853"/>
      <c r="EH579" s="853"/>
      <c r="EI579" s="853"/>
      <c r="EJ579" s="853"/>
      <c r="EK579" s="853"/>
      <c r="EL579" s="853"/>
      <c r="EM579" s="853"/>
      <c r="EN579" s="853"/>
      <c r="EO579" s="853"/>
      <c r="EP579" s="853"/>
      <c r="JM579"/>
    </row>
    <row r="580" spans="1:273" s="855" customFormat="1">
      <c r="A580" s="289"/>
      <c r="B580" s="290"/>
      <c r="C580" s="289"/>
      <c r="D580" s="289"/>
      <c r="E580" s="289"/>
      <c r="F580" s="289"/>
      <c r="G580" s="289"/>
      <c r="H580" s="289"/>
      <c r="I580" s="289"/>
      <c r="J580" s="289"/>
      <c r="K580" s="289"/>
      <c r="L580" s="289"/>
      <c r="M580" s="289"/>
      <c r="N580" s="289"/>
      <c r="O580" s="289"/>
      <c r="P580" s="289"/>
      <c r="Q580" s="289"/>
      <c r="R580" s="289"/>
      <c r="S580" s="289"/>
      <c r="T580" s="289"/>
      <c r="U580" s="289"/>
      <c r="V580" s="289"/>
      <c r="W580" s="289"/>
      <c r="X580" s="289"/>
      <c r="Y580" s="289"/>
      <c r="Z580" s="289"/>
      <c r="AA580" s="289"/>
      <c r="AB580" s="289"/>
      <c r="AC580" s="289"/>
      <c r="AD580" s="289"/>
      <c r="AE580" s="289"/>
      <c r="AF580" s="289"/>
      <c r="AG580" s="289"/>
      <c r="AH580" s="289"/>
      <c r="AI580" s="289"/>
      <c r="AJ580" s="289"/>
      <c r="AK580" s="289"/>
      <c r="AL580" s="289"/>
      <c r="AM580" s="289"/>
      <c r="AN580" s="290"/>
      <c r="AO580" s="290"/>
      <c r="AP580" s="290"/>
      <c r="AQ580" s="290"/>
      <c r="AR580" s="290"/>
      <c r="AS580" s="290"/>
      <c r="AT580" s="290"/>
      <c r="AU580" s="290"/>
      <c r="AV580" s="853"/>
      <c r="AW580" s="853"/>
      <c r="AX580" s="853"/>
      <c r="AY580" s="820"/>
      <c r="AZ580" s="853"/>
      <c r="BA580" s="853"/>
      <c r="BB580" s="853"/>
      <c r="BC580" s="853"/>
      <c r="BD580" s="853"/>
      <c r="BE580" s="853"/>
      <c r="BF580" s="818"/>
      <c r="BG580" s="853"/>
      <c r="BH580" s="853"/>
      <c r="BI580" s="853"/>
      <c r="BJ580" s="818"/>
      <c r="BK580" s="853"/>
      <c r="BL580" s="853"/>
      <c r="BM580" s="853"/>
      <c r="BN580" s="818"/>
      <c r="BO580" s="853"/>
      <c r="BP580" s="853"/>
      <c r="BQ580" s="853"/>
      <c r="BR580" s="818"/>
      <c r="BS580" s="853"/>
      <c r="BT580" s="853"/>
      <c r="BU580" s="853"/>
      <c r="BV580" s="818"/>
      <c r="BW580" s="853"/>
      <c r="BX580" s="853"/>
      <c r="BY580" s="853"/>
      <c r="BZ580" s="818"/>
      <c r="CA580" s="853"/>
      <c r="CB580" s="853"/>
      <c r="CC580" s="853"/>
      <c r="CD580" s="818"/>
      <c r="CE580" s="862"/>
      <c r="CF580" s="853"/>
      <c r="CG580" s="853"/>
      <c r="CH580" s="818"/>
      <c r="CI580" s="862"/>
      <c r="CJ580" s="853"/>
      <c r="CK580" s="853"/>
      <c r="CL580" s="818"/>
      <c r="CM580" s="862"/>
      <c r="CN580" s="853"/>
      <c r="CO580" s="853"/>
      <c r="CP580" s="818"/>
      <c r="CQ580" s="862"/>
      <c r="CR580" s="853"/>
      <c r="CS580" s="853"/>
      <c r="CT580" s="818"/>
      <c r="CU580" s="853"/>
      <c r="CV580" s="853"/>
      <c r="CW580" s="853"/>
      <c r="CX580" s="818"/>
      <c r="CY580" s="853"/>
      <c r="CZ580" s="853"/>
      <c r="DA580" s="853"/>
      <c r="DB580" s="818"/>
      <c r="DC580" s="853"/>
      <c r="DD580" s="853"/>
      <c r="DE580" s="853"/>
      <c r="DF580" s="818"/>
      <c r="DG580" s="853"/>
      <c r="DH580" s="853"/>
      <c r="DI580" s="853"/>
      <c r="DJ580" s="818"/>
      <c r="DK580" s="853"/>
      <c r="DL580" s="853"/>
      <c r="DM580" s="853"/>
      <c r="DN580" s="818"/>
      <c r="DO580" s="818"/>
      <c r="DP580" s="853"/>
      <c r="DQ580" s="853"/>
      <c r="DR580" s="818"/>
      <c r="DS580" s="818"/>
      <c r="DT580" s="853"/>
      <c r="DU580" s="853"/>
      <c r="DV580" s="853"/>
      <c r="DW580" s="853"/>
      <c r="DX580" s="818"/>
      <c r="DY580" s="853"/>
      <c r="DZ580" s="853"/>
      <c r="EA580" s="853"/>
      <c r="EB580" s="818"/>
      <c r="EC580" s="853"/>
      <c r="ED580" s="853"/>
      <c r="EE580" s="853"/>
      <c r="EF580" s="818"/>
      <c r="EG580" s="853"/>
      <c r="EH580" s="853"/>
      <c r="EI580" s="853"/>
      <c r="EJ580" s="853"/>
      <c r="EK580" s="853"/>
      <c r="EL580" s="853"/>
      <c r="EM580" s="853"/>
      <c r="EN580" s="853"/>
      <c r="EO580" s="853"/>
      <c r="EP580" s="853"/>
      <c r="JM580"/>
    </row>
    <row r="581" spans="1:273" s="971" customFormat="1">
      <c r="A581" s="866" t="s">
        <v>725</v>
      </c>
      <c r="B581" s="925"/>
      <c r="C581" s="866"/>
      <c r="D581" s="866"/>
      <c r="E581" s="866"/>
      <c r="F581" s="866"/>
      <c r="G581" s="866"/>
      <c r="H581" s="866"/>
      <c r="I581" s="866"/>
      <c r="J581" s="866"/>
      <c r="K581" s="866"/>
      <c r="L581" s="866"/>
      <c r="M581" s="866"/>
      <c r="N581" s="866"/>
      <c r="O581" s="866"/>
      <c r="P581" s="866"/>
      <c r="Q581" s="866"/>
      <c r="R581" s="866"/>
      <c r="S581" s="866"/>
      <c r="T581" s="866"/>
      <c r="U581" s="866"/>
      <c r="V581" s="866"/>
      <c r="W581" s="866"/>
      <c r="X581" s="866"/>
      <c r="Y581" s="866"/>
      <c r="Z581" s="866"/>
      <c r="AA581" s="866"/>
      <c r="AB581" s="866"/>
      <c r="AC581" s="866"/>
      <c r="AD581" s="866"/>
      <c r="AE581" s="866"/>
      <c r="AF581" s="866"/>
      <c r="AG581" s="866"/>
      <c r="AH581" s="866"/>
      <c r="AI581" s="866"/>
      <c r="AJ581" s="866"/>
      <c r="AK581" s="866"/>
      <c r="AL581" s="866"/>
      <c r="AM581" s="866"/>
      <c r="AN581" s="925"/>
      <c r="AO581" s="925"/>
      <c r="AP581" s="925"/>
      <c r="AQ581" s="925"/>
      <c r="AR581" s="925"/>
      <c r="AS581" s="925"/>
      <c r="AT581" s="925"/>
      <c r="AU581" s="925"/>
      <c r="AV581" s="968"/>
      <c r="AW581" s="968"/>
      <c r="AX581" s="968"/>
      <c r="AY581" s="969"/>
      <c r="AZ581" s="968"/>
      <c r="BA581" s="968"/>
      <c r="BB581" s="968"/>
      <c r="BC581" s="968"/>
      <c r="BD581" s="970"/>
      <c r="BE581" s="970"/>
      <c r="BF581" s="968"/>
      <c r="BG581" s="968"/>
      <c r="BH581" s="970"/>
      <c r="BI581" s="970"/>
      <c r="BJ581" s="968"/>
      <c r="BK581" s="968"/>
      <c r="BL581" s="970"/>
      <c r="BM581" s="970"/>
      <c r="BN581" s="968"/>
      <c r="BO581" s="968"/>
      <c r="BP581" s="970"/>
      <c r="BQ581" s="970"/>
      <c r="BR581" s="968"/>
      <c r="BS581" s="968"/>
      <c r="BT581" s="970"/>
      <c r="BU581" s="970"/>
      <c r="BV581" s="968"/>
      <c r="BW581" s="968"/>
      <c r="BX581" s="970"/>
      <c r="BY581" s="970"/>
      <c r="BZ581" s="968"/>
      <c r="CA581" s="968"/>
      <c r="CB581" s="970"/>
      <c r="CC581" s="970"/>
      <c r="CD581" s="968"/>
      <c r="CE581" s="1617"/>
      <c r="CF581" s="970"/>
      <c r="CG581" s="970"/>
      <c r="CH581" s="968"/>
      <c r="CI581" s="1617"/>
      <c r="CJ581" s="970"/>
      <c r="CK581" s="970"/>
      <c r="CL581" s="968"/>
      <c r="CM581" s="1617"/>
      <c r="CN581" s="970"/>
      <c r="CO581" s="970"/>
      <c r="CP581" s="968"/>
      <c r="CQ581" s="1617"/>
      <c r="CR581" s="970"/>
      <c r="CS581" s="970"/>
      <c r="CT581" s="968"/>
      <c r="CU581" s="968"/>
      <c r="CV581" s="970"/>
      <c r="CW581" s="970"/>
      <c r="CX581" s="968"/>
      <c r="CY581" s="968"/>
      <c r="CZ581" s="970"/>
      <c r="DA581" s="970"/>
      <c r="DB581" s="968"/>
      <c r="DC581" s="968"/>
      <c r="DD581" s="970"/>
      <c r="DE581" s="970"/>
      <c r="DF581" s="968"/>
      <c r="DG581" s="968"/>
      <c r="DH581" s="970"/>
      <c r="DI581" s="970"/>
      <c r="DJ581" s="968"/>
      <c r="DK581" s="968"/>
      <c r="DL581" s="970"/>
      <c r="DM581" s="970"/>
      <c r="DN581" s="968"/>
      <c r="DO581" s="968"/>
      <c r="DP581" s="970"/>
      <c r="DQ581" s="970"/>
      <c r="DR581" s="968"/>
      <c r="DS581" s="968"/>
      <c r="DT581" s="968"/>
      <c r="DU581" s="970"/>
      <c r="DV581" s="970"/>
      <c r="DW581" s="970"/>
      <c r="DX581" s="968"/>
      <c r="DY581" s="968"/>
      <c r="DZ581" s="970"/>
      <c r="EA581" s="970"/>
      <c r="EB581" s="968"/>
      <c r="EC581" s="968"/>
      <c r="ED581" s="970"/>
      <c r="EE581" s="970"/>
      <c r="EF581" s="968"/>
      <c r="EG581" s="968"/>
      <c r="EH581" s="968"/>
      <c r="EI581" s="968"/>
      <c r="EJ581" s="968"/>
      <c r="EK581" s="968"/>
      <c r="EL581" s="968"/>
      <c r="EM581" s="968"/>
      <c r="EN581" s="968"/>
      <c r="EO581" s="968"/>
      <c r="EP581" s="968"/>
      <c r="FL581" s="855"/>
      <c r="FM581" s="855"/>
      <c r="FN581" s="855"/>
      <c r="FO581" s="855"/>
      <c r="FP581" s="855"/>
      <c r="FQ581" s="855"/>
      <c r="FR581" s="855"/>
      <c r="FS581" s="855"/>
      <c r="FT581" s="855"/>
      <c r="FU581" s="855"/>
      <c r="FV581" s="855"/>
      <c r="FW581" s="855"/>
      <c r="FX581" s="855"/>
      <c r="FY581" s="855"/>
      <c r="FZ581" s="855"/>
      <c r="GA581" s="855"/>
      <c r="GB581" s="855"/>
      <c r="GC581" s="855"/>
      <c r="GD581" s="855"/>
      <c r="GE581" s="855"/>
      <c r="GF581" s="855"/>
      <c r="GG581" s="855"/>
      <c r="GH581" s="855"/>
      <c r="GI581" s="855"/>
      <c r="GJ581" s="855"/>
      <c r="GK581" s="855"/>
      <c r="GL581" s="855"/>
      <c r="GM581" s="855"/>
      <c r="GN581" s="855"/>
      <c r="GO581" s="855"/>
      <c r="GP581" s="855"/>
      <c r="GQ581" s="855"/>
      <c r="GR581" s="855"/>
      <c r="GS581" s="855"/>
      <c r="GT581" s="855"/>
      <c r="GU581" s="855"/>
      <c r="GV581" s="855"/>
      <c r="GW581" s="855"/>
      <c r="GX581" s="855"/>
      <c r="GY581" s="855"/>
      <c r="GZ581" s="855"/>
      <c r="HA581" s="855"/>
      <c r="HB581" s="855"/>
      <c r="HC581" s="855"/>
      <c r="HD581" s="855"/>
      <c r="HE581" s="855"/>
      <c r="HF581" s="855"/>
      <c r="HG581" s="855"/>
      <c r="HH581" s="855"/>
      <c r="HI581" s="855"/>
      <c r="HJ581" s="855"/>
      <c r="HK581" s="855"/>
      <c r="HL581" s="855"/>
      <c r="HM581" s="855"/>
      <c r="HN581" s="855"/>
      <c r="HO581" s="855"/>
      <c r="HP581" s="855"/>
      <c r="HQ581" s="855"/>
      <c r="HR581" s="855"/>
      <c r="HS581" s="855"/>
      <c r="HT581" s="855"/>
      <c r="HU581" s="855"/>
      <c r="HV581" s="855"/>
      <c r="HW581" s="855"/>
      <c r="HX581" s="855"/>
      <c r="HY581" s="855"/>
      <c r="HZ581" s="855"/>
      <c r="IA581" s="855"/>
      <c r="IB581" s="855"/>
      <c r="IC581" s="855"/>
      <c r="ID581" s="855"/>
      <c r="IE581" s="855"/>
      <c r="IF581" s="855"/>
      <c r="IG581" s="855"/>
      <c r="IH581" s="855"/>
      <c r="II581" s="855"/>
      <c r="IJ581" s="855"/>
      <c r="IK581" s="855"/>
      <c r="IL581" s="855"/>
      <c r="IM581" s="855"/>
      <c r="IN581" s="855"/>
      <c r="IO581" s="855"/>
      <c r="IP581" s="855"/>
      <c r="IQ581" s="855"/>
      <c r="IR581" s="855"/>
      <c r="IS581" s="855"/>
      <c r="IT581" s="855"/>
      <c r="IU581" s="855"/>
      <c r="IV581" s="855"/>
      <c r="IW581" s="855"/>
      <c r="IX581" s="855"/>
      <c r="IY581" s="855"/>
      <c r="IZ581" s="855"/>
      <c r="JA581" s="855"/>
      <c r="JB581" s="855"/>
      <c r="JC581" s="855"/>
      <c r="JD581" s="855"/>
      <c r="JE581" s="855"/>
      <c r="JF581" s="855"/>
      <c r="JG581" s="855"/>
      <c r="JH581" s="855"/>
      <c r="JI581" s="855"/>
      <c r="JJ581" s="855"/>
      <c r="JK581" s="855"/>
      <c r="JL581" s="855"/>
      <c r="JM581"/>
    </row>
    <row r="582" spans="1:273" s="860" customFormat="1">
      <c r="A582" s="302" t="s">
        <v>685</v>
      </c>
      <c r="B582" s="298"/>
      <c r="C582" s="296"/>
      <c r="D582" s="296"/>
      <c r="E582" s="296"/>
      <c r="F582" s="296"/>
      <c r="G582" s="296"/>
      <c r="H582" s="296"/>
      <c r="I582" s="296"/>
      <c r="J582" s="296"/>
      <c r="K582" s="296"/>
      <c r="L582" s="296"/>
      <c r="M582" s="296"/>
      <c r="N582" s="296"/>
      <c r="O582" s="296"/>
      <c r="P582" s="296"/>
      <c r="Q582" s="296"/>
      <c r="R582" s="296"/>
      <c r="S582" s="296"/>
      <c r="T582" s="296"/>
      <c r="U582" s="296"/>
      <c r="V582" s="296"/>
      <c r="W582" s="296"/>
      <c r="X582" s="296"/>
      <c r="Y582" s="296"/>
      <c r="Z582" s="296"/>
      <c r="AA582" s="296"/>
      <c r="AB582" s="296"/>
      <c r="AC582" s="296"/>
      <c r="AD582" s="296"/>
      <c r="AE582" s="296"/>
      <c r="AF582" s="296"/>
      <c r="AG582" s="296"/>
      <c r="AH582" s="296"/>
      <c r="AI582" s="296"/>
      <c r="AJ582" s="296"/>
      <c r="AK582" s="296"/>
      <c r="AL582" s="296"/>
      <c r="AM582" s="296"/>
      <c r="AN582" s="298"/>
      <c r="AO582" s="298"/>
      <c r="AP582" s="298"/>
      <c r="AQ582" s="298"/>
      <c r="AR582" s="298"/>
      <c r="AS582" s="298"/>
      <c r="AT582" s="298"/>
      <c r="AU582" s="972">
        <f>SUM(AV582:BZ582)</f>
        <v>0</v>
      </c>
      <c r="AV582" s="973">
        <v>0</v>
      </c>
      <c r="AW582" s="973">
        <v>0</v>
      </c>
      <c r="AX582" s="980"/>
      <c r="AY582" s="633"/>
      <c r="AZ582" s="973">
        <v>0</v>
      </c>
      <c r="BA582" s="973">
        <v>0</v>
      </c>
      <c r="BB582" s="857"/>
      <c r="BC582" s="857"/>
      <c r="BD582" s="982">
        <v>0</v>
      </c>
      <c r="BE582" s="982">
        <v>0</v>
      </c>
      <c r="BF582" s="983">
        <f>BD582+BE582</f>
        <v>0</v>
      </c>
      <c r="BG582" s="984"/>
      <c r="BH582" s="982">
        <v>0</v>
      </c>
      <c r="BI582" s="982">
        <v>0</v>
      </c>
      <c r="BJ582" s="983">
        <f t="shared" ref="BJ582:BJ587" si="656">BH582+BI582</f>
        <v>0</v>
      </c>
      <c r="BK582" s="984"/>
      <c r="BL582" s="982">
        <v>0</v>
      </c>
      <c r="BM582" s="982">
        <v>0</v>
      </c>
      <c r="BN582" s="983">
        <f t="shared" ref="BN582:BN587" si="657">BL582+BM582</f>
        <v>0</v>
      </c>
      <c r="BO582" s="984"/>
      <c r="BP582" s="982">
        <v>0</v>
      </c>
      <c r="BQ582" s="982">
        <v>0</v>
      </c>
      <c r="BR582" s="983">
        <f t="shared" ref="BR582:BR587" si="658">BP582+BQ582</f>
        <v>0</v>
      </c>
      <c r="BS582" s="984"/>
      <c r="BT582" s="982">
        <v>0</v>
      </c>
      <c r="BU582" s="982">
        <v>0</v>
      </c>
      <c r="BV582" s="983">
        <f t="shared" ref="BV582:BV587" si="659">BT582+BU582</f>
        <v>0</v>
      </c>
      <c r="BW582" s="974"/>
      <c r="BX582" s="974"/>
      <c r="BY582" s="974"/>
      <c r="BZ582" s="974"/>
      <c r="CA582" s="974"/>
      <c r="CB582" s="974"/>
      <c r="CC582" s="974"/>
      <c r="CD582" s="974"/>
      <c r="CE582" s="1618"/>
      <c r="CF582" s="974"/>
      <c r="CG582" s="974"/>
      <c r="CH582" s="974"/>
      <c r="CI582" s="1618"/>
      <c r="CJ582" s="974"/>
      <c r="CK582" s="974"/>
      <c r="CL582" s="974"/>
      <c r="CM582" s="1618"/>
      <c r="CN582" s="974"/>
      <c r="CO582" s="974"/>
      <c r="CP582" s="974"/>
      <c r="CQ582" s="1618"/>
      <c r="CR582" s="974"/>
      <c r="CS582" s="974"/>
      <c r="CT582" s="974"/>
      <c r="CU582" s="974"/>
      <c r="CV582" s="974"/>
      <c r="CW582" s="974"/>
      <c r="CX582" s="974"/>
      <c r="CY582" s="974"/>
      <c r="CZ582" s="974"/>
      <c r="DA582" s="974"/>
      <c r="DB582" s="974"/>
      <c r="DC582" s="974"/>
      <c r="DD582" s="974"/>
      <c r="DE582" s="974"/>
      <c r="DF582" s="974"/>
      <c r="DG582" s="974"/>
      <c r="DH582" s="974"/>
      <c r="DI582" s="974"/>
      <c r="DJ582" s="974"/>
      <c r="DK582" s="974"/>
      <c r="DL582" s="974"/>
      <c r="DM582" s="974"/>
      <c r="DN582" s="974"/>
      <c r="DO582" s="929"/>
      <c r="DP582" s="974"/>
      <c r="DQ582" s="974"/>
      <c r="DR582" s="974"/>
      <c r="DS582" s="929"/>
      <c r="DT582" s="974"/>
      <c r="DU582" s="859"/>
      <c r="DV582" s="859"/>
      <c r="DW582" s="859"/>
      <c r="DX582" s="929"/>
      <c r="DY582" s="857"/>
      <c r="DZ582" s="859"/>
      <c r="EA582" s="859"/>
      <c r="EB582" s="929"/>
      <c r="EC582" s="857"/>
      <c r="ED582" s="859"/>
      <c r="EE582" s="859"/>
      <c r="EF582" s="929"/>
      <c r="EG582" s="857"/>
      <c r="EH582" s="857"/>
      <c r="EI582" s="857"/>
      <c r="EJ582" s="857"/>
      <c r="EK582" s="857"/>
      <c r="EL582" s="857"/>
      <c r="EM582" s="857"/>
      <c r="EN582" s="857"/>
      <c r="EO582" s="857"/>
      <c r="EP582" s="857"/>
      <c r="FL582" s="855"/>
      <c r="FM582" s="855"/>
      <c r="FN582" s="855"/>
      <c r="FO582" s="855"/>
      <c r="FP582" s="855"/>
      <c r="FQ582" s="855"/>
      <c r="FR582" s="855"/>
      <c r="FS582" s="855"/>
      <c r="FT582" s="855"/>
      <c r="FU582" s="855"/>
      <c r="FV582" s="855"/>
      <c r="FW582" s="855"/>
      <c r="FX582" s="855"/>
      <c r="FY582" s="855"/>
      <c r="FZ582" s="855"/>
      <c r="GA582" s="855"/>
      <c r="GB582" s="855"/>
      <c r="GC582" s="855"/>
      <c r="GD582" s="855"/>
      <c r="GE582" s="855"/>
      <c r="GF582" s="855"/>
      <c r="GG582" s="855"/>
      <c r="GH582" s="855"/>
      <c r="GI582" s="855"/>
      <c r="GJ582" s="855"/>
      <c r="GK582" s="855"/>
      <c r="GL582" s="855"/>
      <c r="GM582" s="855"/>
      <c r="GN582" s="855"/>
      <c r="GO582" s="855"/>
      <c r="GP582" s="855"/>
      <c r="GQ582" s="855"/>
      <c r="GR582" s="855"/>
      <c r="GS582" s="855"/>
      <c r="GT582" s="855"/>
      <c r="GU582" s="855"/>
      <c r="GV582" s="855"/>
      <c r="GW582" s="855"/>
      <c r="GX582" s="855"/>
      <c r="GY582" s="855"/>
      <c r="GZ582" s="855"/>
      <c r="HA582" s="855"/>
      <c r="HB582" s="855"/>
      <c r="HC582" s="855"/>
      <c r="HD582" s="855"/>
      <c r="HE582" s="855"/>
      <c r="HF582" s="855"/>
      <c r="HG582" s="855"/>
      <c r="HH582" s="855"/>
      <c r="HI582" s="855"/>
      <c r="HJ582" s="855"/>
      <c r="HK582" s="855"/>
      <c r="HL582" s="855"/>
      <c r="HM582" s="855"/>
      <c r="HN582" s="855"/>
      <c r="HO582" s="855"/>
      <c r="HP582" s="855"/>
      <c r="HQ582" s="855"/>
      <c r="HR582" s="855"/>
      <c r="HS582" s="855"/>
      <c r="HT582" s="855"/>
      <c r="HU582" s="855"/>
      <c r="HV582" s="855"/>
      <c r="HW582" s="855"/>
      <c r="HX582" s="855"/>
      <c r="HY582" s="855"/>
      <c r="HZ582" s="855"/>
      <c r="IA582" s="855"/>
      <c r="IB582" s="855"/>
      <c r="IC582" s="855"/>
      <c r="ID582" s="855"/>
      <c r="IE582" s="855"/>
      <c r="IF582" s="855"/>
      <c r="IG582" s="855"/>
      <c r="IH582" s="855"/>
      <c r="II582" s="855"/>
      <c r="IJ582" s="855"/>
      <c r="IK582" s="855"/>
      <c r="IL582" s="855"/>
      <c r="IM582" s="855"/>
      <c r="IN582" s="855"/>
      <c r="IO582" s="855"/>
      <c r="IP582" s="855"/>
      <c r="IQ582" s="855"/>
      <c r="IR582" s="855"/>
      <c r="IS582" s="855"/>
      <c r="IT582" s="855"/>
      <c r="IU582" s="855"/>
      <c r="IV582" s="855"/>
      <c r="IW582" s="855"/>
      <c r="IX582" s="855"/>
      <c r="IY582" s="855"/>
      <c r="IZ582" s="855"/>
      <c r="JA582" s="855"/>
      <c r="JB582" s="855"/>
      <c r="JC582" s="855"/>
      <c r="JD582" s="855"/>
      <c r="JE582" s="855"/>
      <c r="JF582" s="855"/>
      <c r="JG582" s="855"/>
      <c r="JH582" s="855"/>
      <c r="JI582" s="855"/>
      <c r="JJ582" s="855"/>
      <c r="JK582" s="855"/>
      <c r="JL582" s="855"/>
      <c r="JM582"/>
    </row>
    <row r="583" spans="1:273" s="860" customFormat="1">
      <c r="A583" s="302" t="s">
        <v>686</v>
      </c>
      <c r="B583" s="298"/>
      <c r="C583" s="296"/>
      <c r="D583" s="296"/>
      <c r="E583" s="296"/>
      <c r="F583" s="296"/>
      <c r="G583" s="296"/>
      <c r="H583" s="296"/>
      <c r="I583" s="296"/>
      <c r="J583" s="296"/>
      <c r="K583" s="296"/>
      <c r="L583" s="296"/>
      <c r="M583" s="296"/>
      <c r="N583" s="296"/>
      <c r="O583" s="296"/>
      <c r="P583" s="296"/>
      <c r="Q583" s="296"/>
      <c r="R583" s="296"/>
      <c r="S583" s="296"/>
      <c r="T583" s="296"/>
      <c r="U583" s="296"/>
      <c r="V583" s="296"/>
      <c r="W583" s="296"/>
      <c r="X583" s="296"/>
      <c r="Y583" s="296"/>
      <c r="Z583" s="296"/>
      <c r="AA583" s="296"/>
      <c r="AB583" s="296"/>
      <c r="AC583" s="296"/>
      <c r="AD583" s="296"/>
      <c r="AE583" s="296"/>
      <c r="AF583" s="296"/>
      <c r="AG583" s="296"/>
      <c r="AH583" s="296"/>
      <c r="AI583" s="296"/>
      <c r="AJ583" s="296"/>
      <c r="AK583" s="296"/>
      <c r="AL583" s="296"/>
      <c r="AM583" s="296"/>
      <c r="AN583" s="298"/>
      <c r="AO583" s="298"/>
      <c r="AP583" s="929">
        <f>DIVISIONS!AP177</f>
        <v>0</v>
      </c>
      <c r="AQ583" s="298"/>
      <c r="AR583" s="298"/>
      <c r="AS583" s="298"/>
      <c r="AT583" s="929">
        <f>DIVISIONS!AT177</f>
        <v>0</v>
      </c>
      <c r="AU583" s="298"/>
      <c r="AV583" s="929">
        <f>DIVISIONS!AV177</f>
        <v>0</v>
      </c>
      <c r="AW583" s="929">
        <f>DIVISIONS!AW177</f>
        <v>0</v>
      </c>
      <c r="AX583" s="857"/>
      <c r="AY583" s="976"/>
      <c r="AZ583" s="929">
        <f>DIVISIONS!AZ177</f>
        <v>0</v>
      </c>
      <c r="BA583" s="929">
        <f>DIVISIONS!BA177</f>
        <v>0</v>
      </c>
      <c r="BB583" s="857"/>
      <c r="BC583" s="857"/>
      <c r="BD583" s="929">
        <f>DIVISIONS!BD177</f>
        <v>0</v>
      </c>
      <c r="BE583" s="929">
        <f>DIVISIONS!BE177</f>
        <v>0</v>
      </c>
      <c r="BF583" s="929">
        <f t="shared" ref="BF583:BF590" si="660">BD583+BE583</f>
        <v>0</v>
      </c>
      <c r="BG583" s="859"/>
      <c r="BH583" s="929">
        <f>DIVISIONS!BH177</f>
        <v>0</v>
      </c>
      <c r="BI583" s="929">
        <f>DIVISIONS!BI177</f>
        <v>0</v>
      </c>
      <c r="BJ583" s="929">
        <f t="shared" si="656"/>
        <v>0</v>
      </c>
      <c r="BK583" s="859"/>
      <c r="BL583" s="929">
        <f>DIVISIONS!BL177</f>
        <v>0</v>
      </c>
      <c r="BM583" s="929">
        <f>DIVISIONS!BM177</f>
        <v>0</v>
      </c>
      <c r="BN583" s="929">
        <f t="shared" si="657"/>
        <v>0</v>
      </c>
      <c r="BO583" s="859"/>
      <c r="BP583" s="929">
        <f>DIVISIONS!BP177</f>
        <v>0</v>
      </c>
      <c r="BQ583" s="929">
        <f>DIVISIONS!BQ177</f>
        <v>0</v>
      </c>
      <c r="BR583" s="929">
        <f t="shared" si="658"/>
        <v>0</v>
      </c>
      <c r="BS583" s="859"/>
      <c r="BT583" s="929">
        <f>DIVISIONS!BT177</f>
        <v>0</v>
      </c>
      <c r="BU583" s="929">
        <f>DIVISIONS!BU177</f>
        <v>0</v>
      </c>
      <c r="BV583" s="929">
        <f t="shared" si="659"/>
        <v>0</v>
      </c>
      <c r="BW583" s="859"/>
      <c r="BX583" s="929">
        <f>DIVISIONS!BX177</f>
        <v>0</v>
      </c>
      <c r="BY583" s="929">
        <f>DIVISIONS!BY177</f>
        <v>0</v>
      </c>
      <c r="BZ583" s="929">
        <f>BX583+BY583</f>
        <v>0</v>
      </c>
      <c r="CA583" s="859"/>
      <c r="CB583" s="929">
        <f>DIVISIONS!CB177</f>
        <v>0</v>
      </c>
      <c r="CC583" s="929">
        <f>DIVISIONS!CC177</f>
        <v>0</v>
      </c>
      <c r="CD583" s="929">
        <f>CB583+CC583</f>
        <v>0</v>
      </c>
      <c r="CE583" s="1619"/>
      <c r="CF583" s="929">
        <f>DIVISIONS!CF177</f>
        <v>0</v>
      </c>
      <c r="CG583" s="929">
        <f>DIVISIONS!CG177</f>
        <v>0</v>
      </c>
      <c r="CH583" s="929">
        <f>CF583+CG583</f>
        <v>0</v>
      </c>
      <c r="CI583" s="1619"/>
      <c r="CJ583" s="929">
        <f>DIVISIONS!CJ177</f>
        <v>0</v>
      </c>
      <c r="CK583" s="929">
        <f>DIVISIONS!CK177</f>
        <v>0</v>
      </c>
      <c r="CL583" s="929">
        <f>CJ583+CK583</f>
        <v>0</v>
      </c>
      <c r="CM583" s="1619"/>
      <c r="CN583" s="929">
        <f>DIVISIONS!CN177</f>
        <v>0</v>
      </c>
      <c r="CO583" s="929">
        <f>DIVISIONS!CO177</f>
        <v>0</v>
      </c>
      <c r="CP583" s="929">
        <f>CN583+CO583</f>
        <v>0</v>
      </c>
      <c r="CQ583" s="1619"/>
      <c r="CR583" s="929">
        <f>DIVISIONS!CR177</f>
        <v>0</v>
      </c>
      <c r="CS583" s="929">
        <f>DIVISIONS!CS177</f>
        <v>0</v>
      </c>
      <c r="CT583" s="929">
        <f>CR583+CS583</f>
        <v>0</v>
      </c>
      <c r="CU583" s="859"/>
      <c r="CV583" s="929">
        <f>DIVISIONS!CV177</f>
        <v>0</v>
      </c>
      <c r="CW583" s="929">
        <f>DIVISIONS!CW177</f>
        <v>0</v>
      </c>
      <c r="CX583" s="929">
        <f>CV583+CW583</f>
        <v>0</v>
      </c>
      <c r="CY583" s="859"/>
      <c r="CZ583" s="929">
        <f>DIVISIONS!CZ177</f>
        <v>0</v>
      </c>
      <c r="DA583" s="929">
        <f>DIVISIONS!DA177</f>
        <v>0</v>
      </c>
      <c r="DB583" s="929">
        <f>CZ583+DA583</f>
        <v>0</v>
      </c>
      <c r="DC583" s="859"/>
      <c r="DD583" s="929">
        <f>DIVISIONS!DD177</f>
        <v>0</v>
      </c>
      <c r="DE583" s="929">
        <f>DIVISIONS!DE177</f>
        <v>0</v>
      </c>
      <c r="DF583" s="929">
        <f>DD583+DE583</f>
        <v>0</v>
      </c>
      <c r="DG583" s="859"/>
      <c r="DH583" s="929">
        <f>DIVISIONS!DH177</f>
        <v>0</v>
      </c>
      <c r="DI583" s="859">
        <v>0</v>
      </c>
      <c r="DJ583" s="929">
        <f>DH583+DI583</f>
        <v>0</v>
      </c>
      <c r="DK583" s="859"/>
      <c r="DL583" s="859">
        <v>0</v>
      </c>
      <c r="DM583" s="859">
        <v>0</v>
      </c>
      <c r="DN583" s="929">
        <f>DL583+DM583</f>
        <v>0</v>
      </c>
      <c r="DO583" s="929"/>
      <c r="DP583" s="859">
        <v>0</v>
      </c>
      <c r="DQ583" s="859">
        <v>0</v>
      </c>
      <c r="DR583" s="929">
        <f>DP583+DQ583</f>
        <v>0</v>
      </c>
      <c r="DS583" s="929"/>
      <c r="DT583" s="859"/>
      <c r="DU583" s="859"/>
      <c r="DV583" s="859"/>
      <c r="DW583" s="859"/>
      <c r="DX583" s="929"/>
      <c r="DY583" s="857"/>
      <c r="DZ583" s="859"/>
      <c r="EA583" s="859"/>
      <c r="EB583" s="929"/>
      <c r="EC583" s="857"/>
      <c r="ED583" s="859"/>
      <c r="EE583" s="859"/>
      <c r="EF583" s="929"/>
      <c r="EG583" s="857"/>
      <c r="EH583" s="857"/>
      <c r="EI583" s="857"/>
      <c r="EJ583" s="857"/>
      <c r="EK583" s="857"/>
      <c r="EL583" s="857"/>
      <c r="EM583" s="857"/>
      <c r="EN583" s="857"/>
      <c r="EO583" s="857"/>
      <c r="EP583" s="857"/>
      <c r="FL583" s="855"/>
      <c r="FM583" s="855"/>
      <c r="FN583" s="855"/>
      <c r="FO583" s="855"/>
      <c r="FP583" s="855"/>
      <c r="FQ583" s="855"/>
      <c r="FR583" s="855"/>
      <c r="FS583" s="855"/>
      <c r="FT583" s="855"/>
      <c r="FU583" s="855"/>
      <c r="FV583" s="855"/>
      <c r="FW583" s="855"/>
      <c r="FX583" s="855"/>
      <c r="FY583" s="855"/>
      <c r="FZ583" s="855"/>
      <c r="GA583" s="855"/>
      <c r="GB583" s="855"/>
      <c r="GC583" s="855"/>
      <c r="GD583" s="855"/>
      <c r="GE583" s="855"/>
      <c r="GF583" s="855"/>
      <c r="GG583" s="855"/>
      <c r="GH583" s="855"/>
      <c r="GI583" s="855"/>
      <c r="GJ583" s="855"/>
      <c r="GK583" s="855"/>
      <c r="GL583" s="855"/>
      <c r="GM583" s="855"/>
      <c r="GN583" s="855"/>
      <c r="GO583" s="855"/>
      <c r="GP583" s="855"/>
      <c r="GQ583" s="855"/>
      <c r="GR583" s="855"/>
      <c r="GS583" s="855"/>
      <c r="GT583" s="855"/>
      <c r="GU583" s="855"/>
      <c r="GV583" s="855"/>
      <c r="GW583" s="855"/>
      <c r="GX583" s="855"/>
      <c r="GY583" s="855"/>
      <c r="GZ583" s="855"/>
      <c r="HA583" s="855"/>
      <c r="HB583" s="855"/>
      <c r="HC583" s="855"/>
      <c r="HD583" s="855"/>
      <c r="HE583" s="855"/>
      <c r="HF583" s="855"/>
      <c r="HG583" s="855"/>
      <c r="HH583" s="855"/>
      <c r="HI583" s="855"/>
      <c r="HJ583" s="855"/>
      <c r="HK583" s="855"/>
      <c r="HL583" s="855"/>
      <c r="HM583" s="855"/>
      <c r="HN583" s="855"/>
      <c r="HO583" s="855"/>
      <c r="HP583" s="855"/>
      <c r="HQ583" s="855"/>
      <c r="HR583" s="855"/>
      <c r="HS583" s="855"/>
      <c r="HT583" s="855"/>
      <c r="HU583" s="855"/>
      <c r="HV583" s="855"/>
      <c r="HW583" s="855"/>
      <c r="HX583" s="855"/>
      <c r="HY583" s="855"/>
      <c r="HZ583" s="855"/>
      <c r="IA583" s="855"/>
      <c r="IB583" s="855"/>
      <c r="IC583" s="855"/>
      <c r="ID583" s="855"/>
      <c r="IE583" s="855"/>
      <c r="IF583" s="855"/>
      <c r="IG583" s="855"/>
      <c r="IH583" s="855"/>
      <c r="II583" s="855"/>
      <c r="IJ583" s="855"/>
      <c r="IK583" s="855"/>
      <c r="IL583" s="855"/>
      <c r="IM583" s="855"/>
      <c r="IN583" s="855"/>
      <c r="IO583" s="855"/>
      <c r="IP583" s="855"/>
      <c r="IQ583" s="855"/>
      <c r="IR583" s="855"/>
      <c r="IS583" s="855"/>
      <c r="IT583" s="855"/>
      <c r="IU583" s="855"/>
      <c r="IV583" s="855"/>
      <c r="IW583" s="855"/>
      <c r="IX583" s="855"/>
      <c r="IY583" s="855"/>
      <c r="IZ583" s="855"/>
      <c r="JA583" s="855"/>
      <c r="JB583" s="855"/>
      <c r="JC583" s="855"/>
      <c r="JD583" s="855"/>
      <c r="JE583" s="855"/>
      <c r="JF583" s="855"/>
      <c r="JG583" s="855"/>
      <c r="JH583" s="855"/>
      <c r="JI583" s="855"/>
      <c r="JJ583" s="855"/>
      <c r="JK583" s="855"/>
      <c r="JL583" s="855"/>
      <c r="JM583"/>
    </row>
    <row r="584" spans="1:273" s="860" customFormat="1">
      <c r="A584" s="302" t="s">
        <v>616</v>
      </c>
      <c r="B584" s="298"/>
      <c r="C584" s="296"/>
      <c r="D584" s="296"/>
      <c r="E584" s="296"/>
      <c r="F584" s="296"/>
      <c r="G584" s="296"/>
      <c r="H584" s="296"/>
      <c r="I584" s="296"/>
      <c r="J584" s="296"/>
      <c r="K584" s="296"/>
      <c r="L584" s="296"/>
      <c r="M584" s="296"/>
      <c r="N584" s="296"/>
      <c r="O584" s="296"/>
      <c r="P584" s="296"/>
      <c r="Q584" s="296"/>
      <c r="R584" s="296"/>
      <c r="S584" s="296"/>
      <c r="T584" s="296"/>
      <c r="U584" s="296"/>
      <c r="V584" s="296"/>
      <c r="W584" s="296"/>
      <c r="X584" s="296"/>
      <c r="Y584" s="296"/>
      <c r="Z584" s="296"/>
      <c r="AA584" s="296"/>
      <c r="AB584" s="296"/>
      <c r="AC584" s="296"/>
      <c r="AD584" s="296"/>
      <c r="AE584" s="296"/>
      <c r="AF584" s="296"/>
      <c r="AG584" s="296"/>
      <c r="AH584" s="296"/>
      <c r="AI584" s="296"/>
      <c r="AJ584" s="296"/>
      <c r="AK584" s="296"/>
      <c r="AL584" s="296"/>
      <c r="AM584" s="296"/>
      <c r="AN584" s="298"/>
      <c r="AO584" s="298"/>
      <c r="AP584" s="929">
        <f>DIVISIONS!AP431</f>
        <v>0</v>
      </c>
      <c r="AQ584" s="298"/>
      <c r="AR584" s="298"/>
      <c r="AS584" s="298"/>
      <c r="AT584" s="929">
        <f>DIVISIONS!AT431</f>
        <v>0</v>
      </c>
      <c r="AU584" s="298"/>
      <c r="AV584" s="929">
        <f>DIVISIONS!AV431</f>
        <v>345</v>
      </c>
      <c r="AW584" s="929">
        <f>DIVISIONS!AW431</f>
        <v>83</v>
      </c>
      <c r="AX584" s="857"/>
      <c r="AY584" s="976"/>
      <c r="AZ584" s="929">
        <f>DIVISIONS!AZ431</f>
        <v>0</v>
      </c>
      <c r="BA584" s="929">
        <f>DIVISIONS!BA431</f>
        <v>14</v>
      </c>
      <c r="BB584" s="857"/>
      <c r="BC584" s="857"/>
      <c r="BD584" s="929">
        <f>DIVISIONS!BD431</f>
        <v>0</v>
      </c>
      <c r="BE584" s="929">
        <f>DIVISIONS!BE431</f>
        <v>0</v>
      </c>
      <c r="BF584" s="929">
        <f t="shared" si="660"/>
        <v>0</v>
      </c>
      <c r="BG584" s="859"/>
      <c r="BH584" s="929">
        <f>DIVISIONS!BH431</f>
        <v>0</v>
      </c>
      <c r="BI584" s="929">
        <f>DIVISIONS!BI431</f>
        <v>0</v>
      </c>
      <c r="BJ584" s="929">
        <f t="shared" si="656"/>
        <v>0</v>
      </c>
      <c r="BK584" s="859"/>
      <c r="BL584" s="929">
        <f>DIVISIONS!BL431</f>
        <v>0</v>
      </c>
      <c r="BM584" s="929">
        <f>DIVISIONS!BM431</f>
        <v>0</v>
      </c>
      <c r="BN584" s="929">
        <f t="shared" si="657"/>
        <v>0</v>
      </c>
      <c r="BO584" s="859"/>
      <c r="BP584" s="929">
        <f>DIVISIONS!BP431</f>
        <v>0</v>
      </c>
      <c r="BQ584" s="929">
        <f>DIVISIONS!BQ431</f>
        <v>0</v>
      </c>
      <c r="BR584" s="929">
        <f t="shared" si="658"/>
        <v>0</v>
      </c>
      <c r="BS584" s="859"/>
      <c r="BT584" s="929">
        <f>DIVISIONS!BT431</f>
        <v>0</v>
      </c>
      <c r="BU584" s="929">
        <f>DIVISIONS!BU431</f>
        <v>0</v>
      </c>
      <c r="BV584" s="929">
        <f t="shared" si="659"/>
        <v>0</v>
      </c>
      <c r="BW584" s="859"/>
      <c r="BX584" s="929">
        <f>DIVISIONS!BX431</f>
        <v>0</v>
      </c>
      <c r="BY584" s="929">
        <f>DIVISIONS!BY431</f>
        <v>0</v>
      </c>
      <c r="BZ584" s="929">
        <f>BX584+BY584</f>
        <v>0</v>
      </c>
      <c r="CA584" s="859"/>
      <c r="CB584" s="929">
        <f>DIVISIONS!CB431</f>
        <v>0</v>
      </c>
      <c r="CC584" s="929">
        <f>DIVISIONS!CC431</f>
        <v>0</v>
      </c>
      <c r="CD584" s="929">
        <f>CB584+CC584</f>
        <v>0</v>
      </c>
      <c r="CE584" s="1619"/>
      <c r="CF584" s="929">
        <f>DIVISIONS!CF431</f>
        <v>0</v>
      </c>
      <c r="CG584" s="929">
        <f>DIVISIONS!CG431</f>
        <v>0</v>
      </c>
      <c r="CH584" s="929">
        <f>CF584+CG584</f>
        <v>0</v>
      </c>
      <c r="CI584" s="1619"/>
      <c r="CJ584" s="929">
        <f>DIVISIONS!CJ431</f>
        <v>0</v>
      </c>
      <c r="CK584" s="929">
        <f>DIVISIONS!CK431</f>
        <v>0</v>
      </c>
      <c r="CL584" s="929">
        <f>CJ584+CK584</f>
        <v>0</v>
      </c>
      <c r="CM584" s="1619"/>
      <c r="CN584" s="929">
        <f>DIVISIONS!CN431</f>
        <v>0</v>
      </c>
      <c r="CO584" s="929">
        <f>DIVISIONS!CO431</f>
        <v>0</v>
      </c>
      <c r="CP584" s="929">
        <f>CN584+CO584</f>
        <v>0</v>
      </c>
      <c r="CQ584" s="1619"/>
      <c r="CR584" s="929">
        <f>DIVISIONS!CR431</f>
        <v>0</v>
      </c>
      <c r="CS584" s="929">
        <f>DIVISIONS!CS431</f>
        <v>0</v>
      </c>
      <c r="CT584" s="929">
        <f>CR584+CS584</f>
        <v>0</v>
      </c>
      <c r="CU584" s="859"/>
      <c r="CV584" s="929">
        <f>DIVISIONS!CV431</f>
        <v>0</v>
      </c>
      <c r="CW584" s="929">
        <f>DIVISIONS!CW431</f>
        <v>0</v>
      </c>
      <c r="CX584" s="929">
        <f>CV584+CW584</f>
        <v>0</v>
      </c>
      <c r="CY584" s="859"/>
      <c r="CZ584" s="929">
        <f>DIVISIONS!CZ431</f>
        <v>0</v>
      </c>
      <c r="DA584" s="929">
        <f>DIVISIONS!DA431</f>
        <v>0</v>
      </c>
      <c r="DB584" s="929">
        <f>CZ584+DA584</f>
        <v>0</v>
      </c>
      <c r="DC584" s="859"/>
      <c r="DD584" s="929">
        <f>DIVISIONS!DD431</f>
        <v>0</v>
      </c>
      <c r="DE584" s="929">
        <f>DIVISIONS!DE431</f>
        <v>0</v>
      </c>
      <c r="DF584" s="929">
        <f>DD584+DE584</f>
        <v>0</v>
      </c>
      <c r="DG584" s="859"/>
      <c r="DH584" s="929">
        <f>DIVISIONS!DH431</f>
        <v>0</v>
      </c>
      <c r="DI584" s="859">
        <v>0</v>
      </c>
      <c r="DJ584" s="929">
        <f>DH584+DI584</f>
        <v>0</v>
      </c>
      <c r="DK584" s="859"/>
      <c r="DL584" s="859">
        <v>0</v>
      </c>
      <c r="DM584" s="859">
        <v>0</v>
      </c>
      <c r="DN584" s="929">
        <f>DL584+DM584</f>
        <v>0</v>
      </c>
      <c r="DO584" s="929"/>
      <c r="DP584" s="859">
        <v>0</v>
      </c>
      <c r="DQ584" s="859">
        <v>0</v>
      </c>
      <c r="DR584" s="929">
        <f>DP584+DQ584</f>
        <v>0</v>
      </c>
      <c r="DS584" s="929"/>
      <c r="DT584" s="859"/>
      <c r="DU584" s="859"/>
      <c r="DV584" s="859"/>
      <c r="DW584" s="859"/>
      <c r="DX584" s="929"/>
      <c r="DY584" s="857"/>
      <c r="DZ584" s="859"/>
      <c r="EA584" s="859"/>
      <c r="EB584" s="929"/>
      <c r="EC584" s="857"/>
      <c r="ED584" s="859"/>
      <c r="EE584" s="859"/>
      <c r="EF584" s="929"/>
      <c r="EG584" s="857"/>
      <c r="EH584" s="857"/>
      <c r="EI584" s="857"/>
      <c r="EJ584" s="857"/>
      <c r="EK584" s="857"/>
      <c r="EL584" s="857"/>
      <c r="EM584" s="857"/>
      <c r="EN584" s="857"/>
      <c r="EO584" s="857"/>
      <c r="EP584" s="857"/>
      <c r="FL584" s="855"/>
      <c r="FM584" s="855"/>
      <c r="FN584" s="855"/>
      <c r="FO584" s="855"/>
      <c r="FP584" s="855"/>
      <c r="FQ584" s="855"/>
      <c r="FR584" s="855"/>
      <c r="FS584" s="855"/>
      <c r="FT584" s="855"/>
      <c r="FU584" s="855"/>
      <c r="FV584" s="855"/>
      <c r="FW584" s="855"/>
      <c r="FX584" s="855"/>
      <c r="FY584" s="855"/>
      <c r="FZ584" s="855"/>
      <c r="GA584" s="855"/>
      <c r="GB584" s="855"/>
      <c r="GC584" s="855"/>
      <c r="GD584" s="855"/>
      <c r="GE584" s="855"/>
      <c r="GF584" s="855"/>
      <c r="GG584" s="855"/>
      <c r="GH584" s="855"/>
      <c r="GI584" s="855"/>
      <c r="GJ584" s="855"/>
      <c r="GK584" s="855"/>
      <c r="GL584" s="855"/>
      <c r="GM584" s="855"/>
      <c r="GN584" s="855"/>
      <c r="GO584" s="855"/>
      <c r="GP584" s="855"/>
      <c r="GQ584" s="855"/>
      <c r="GR584" s="855"/>
      <c r="GS584" s="855"/>
      <c r="GT584" s="855"/>
      <c r="GU584" s="855"/>
      <c r="GV584" s="855"/>
      <c r="GW584" s="855"/>
      <c r="GX584" s="855"/>
      <c r="GY584" s="855"/>
      <c r="GZ584" s="855"/>
      <c r="HA584" s="855"/>
      <c r="HB584" s="855"/>
      <c r="HC584" s="855"/>
      <c r="HD584" s="855"/>
      <c r="HE584" s="855"/>
      <c r="HF584" s="855"/>
      <c r="HG584" s="855"/>
      <c r="HH584" s="855"/>
      <c r="HI584" s="855"/>
      <c r="HJ584" s="855"/>
      <c r="HK584" s="855"/>
      <c r="HL584" s="855"/>
      <c r="HM584" s="855"/>
      <c r="HN584" s="855"/>
      <c r="HO584" s="855"/>
      <c r="HP584" s="855"/>
      <c r="HQ584" s="855"/>
      <c r="HR584" s="855"/>
      <c r="HS584" s="855"/>
      <c r="HT584" s="855"/>
      <c r="HU584" s="855"/>
      <c r="HV584" s="855"/>
      <c r="HW584" s="855"/>
      <c r="HX584" s="855"/>
      <c r="HY584" s="855"/>
      <c r="HZ584" s="855"/>
      <c r="IA584" s="855"/>
      <c r="IB584" s="855"/>
      <c r="IC584" s="855"/>
      <c r="ID584" s="855"/>
      <c r="IE584" s="855"/>
      <c r="IF584" s="855"/>
      <c r="IG584" s="855"/>
      <c r="IH584" s="855"/>
      <c r="II584" s="855"/>
      <c r="IJ584" s="855"/>
      <c r="IK584" s="855"/>
      <c r="IL584" s="855"/>
      <c r="IM584" s="855"/>
      <c r="IN584" s="855"/>
      <c r="IO584" s="855"/>
      <c r="IP584" s="855"/>
      <c r="IQ584" s="855"/>
      <c r="IR584" s="855"/>
      <c r="IS584" s="855"/>
      <c r="IT584" s="855"/>
      <c r="IU584" s="855"/>
      <c r="IV584" s="855"/>
      <c r="IW584" s="855"/>
      <c r="IX584" s="855"/>
      <c r="IY584" s="855"/>
      <c r="IZ584" s="855"/>
      <c r="JA584" s="855"/>
      <c r="JB584" s="855"/>
      <c r="JC584" s="855"/>
      <c r="JD584" s="855"/>
      <c r="JE584" s="855"/>
      <c r="JF584" s="855"/>
      <c r="JG584" s="855"/>
      <c r="JH584" s="855"/>
      <c r="JI584" s="855"/>
      <c r="JJ584" s="855"/>
      <c r="JK584" s="855"/>
      <c r="JL584" s="855"/>
      <c r="JM584"/>
    </row>
    <row r="585" spans="1:273" s="860" customFormat="1">
      <c r="A585" s="302" t="s">
        <v>1024</v>
      </c>
      <c r="B585" s="298"/>
      <c r="C585" s="296"/>
      <c r="D585" s="296"/>
      <c r="E585" s="296"/>
      <c r="F585" s="296"/>
      <c r="G585" s="296"/>
      <c r="H585" s="296"/>
      <c r="I585" s="296"/>
      <c r="J585" s="296"/>
      <c r="K585" s="296"/>
      <c r="L585" s="296"/>
      <c r="M585" s="296"/>
      <c r="N585" s="296"/>
      <c r="O585" s="296"/>
      <c r="P585" s="296"/>
      <c r="Q585" s="296"/>
      <c r="R585" s="296"/>
      <c r="S585" s="296"/>
      <c r="T585" s="296"/>
      <c r="U585" s="296"/>
      <c r="V585" s="296"/>
      <c r="W585" s="296"/>
      <c r="X585" s="296"/>
      <c r="Y585" s="296"/>
      <c r="Z585" s="296"/>
      <c r="AA585" s="296"/>
      <c r="AB585" s="296"/>
      <c r="AC585" s="296"/>
      <c r="AD585" s="296"/>
      <c r="AE585" s="296"/>
      <c r="AF585" s="296"/>
      <c r="AG585" s="296"/>
      <c r="AH585" s="296"/>
      <c r="AI585" s="296"/>
      <c r="AJ585" s="296"/>
      <c r="AK585" s="296"/>
      <c r="AL585" s="296"/>
      <c r="AM585" s="296"/>
      <c r="AN585" s="298"/>
      <c r="AO585" s="298"/>
      <c r="AP585" s="929">
        <f>DIVISIONS!AP316</f>
        <v>0</v>
      </c>
      <c r="AQ585" s="298"/>
      <c r="AR585" s="298"/>
      <c r="AS585" s="298"/>
      <c r="AT585" s="929">
        <f>DIVISIONS!AT316</f>
        <v>0</v>
      </c>
      <c r="AU585" s="298"/>
      <c r="AV585" s="929">
        <f>DIVISIONS!AV316</f>
        <v>0</v>
      </c>
      <c r="AW585" s="929">
        <f>DIVISIONS!AW316</f>
        <v>0</v>
      </c>
      <c r="AX585" s="857"/>
      <c r="AY585" s="976"/>
      <c r="AZ585" s="929">
        <f>DIVISIONS!AZ316</f>
        <v>0</v>
      </c>
      <c r="BA585" s="929">
        <f>DIVISIONS!BA316</f>
        <v>0</v>
      </c>
      <c r="BB585" s="857"/>
      <c r="BC585" s="857"/>
      <c r="BD585" s="929">
        <f>DIVISIONS!BD316</f>
        <v>0</v>
      </c>
      <c r="BE585" s="929">
        <f>DIVISIONS!BE316</f>
        <v>0</v>
      </c>
      <c r="BF585" s="929">
        <f t="shared" si="660"/>
        <v>0</v>
      </c>
      <c r="BG585" s="859"/>
      <c r="BH585" s="929">
        <f>DIVISIONS!BH316</f>
        <v>0</v>
      </c>
      <c r="BI585" s="929">
        <f>DIVISIONS!BI316</f>
        <v>0</v>
      </c>
      <c r="BJ585" s="929">
        <f t="shared" si="656"/>
        <v>0</v>
      </c>
      <c r="BK585" s="859"/>
      <c r="BL585" s="929">
        <f>DIVISIONS!BL316</f>
        <v>0</v>
      </c>
      <c r="BM585" s="929">
        <f>DIVISIONS!BM316</f>
        <v>0</v>
      </c>
      <c r="BN585" s="929">
        <f t="shared" si="657"/>
        <v>0</v>
      </c>
      <c r="BO585" s="859"/>
      <c r="BP585" s="929">
        <f>DIVISIONS!BP316</f>
        <v>0</v>
      </c>
      <c r="BQ585" s="929">
        <f>DIVISIONS!BQ316</f>
        <v>0</v>
      </c>
      <c r="BR585" s="929">
        <f t="shared" si="658"/>
        <v>0</v>
      </c>
      <c r="BS585" s="859"/>
      <c r="BT585" s="929">
        <f>DIVISIONS!BT316</f>
        <v>0</v>
      </c>
      <c r="BU585" s="929">
        <f>DIVISIONS!BU316</f>
        <v>0</v>
      </c>
      <c r="BV585" s="929">
        <f t="shared" si="659"/>
        <v>0</v>
      </c>
      <c r="BW585" s="859"/>
      <c r="BX585" s="929">
        <f>DIVISIONS!BX316</f>
        <v>0</v>
      </c>
      <c r="BY585" s="929">
        <f>DIVISIONS!BY316</f>
        <v>0</v>
      </c>
      <c r="BZ585" s="929">
        <f>BX585+BY585</f>
        <v>0</v>
      </c>
      <c r="CA585" s="859"/>
      <c r="CB585" s="929">
        <f>DIVISIONS!CB316</f>
        <v>0</v>
      </c>
      <c r="CC585" s="929">
        <f>DIVISIONS!CC316</f>
        <v>0</v>
      </c>
      <c r="CD585" s="929">
        <f>CB585+CC585</f>
        <v>0</v>
      </c>
      <c r="CE585" s="1619"/>
      <c r="CF585" s="929">
        <f>DIVISIONS!CF316</f>
        <v>0</v>
      </c>
      <c r="CG585" s="929">
        <f>DIVISIONS!CG316</f>
        <v>0</v>
      </c>
      <c r="CH585" s="929">
        <f>CF585+CG585</f>
        <v>0</v>
      </c>
      <c r="CI585" s="1619"/>
      <c r="CJ585" s="929">
        <f>DIVISIONS!CJ316</f>
        <v>0</v>
      </c>
      <c r="CK585" s="929">
        <f>DIVISIONS!CK316</f>
        <v>0</v>
      </c>
      <c r="CL585" s="929">
        <f>CJ585+CK585</f>
        <v>0</v>
      </c>
      <c r="CM585" s="1619"/>
      <c r="CN585" s="929">
        <f>DIVISIONS!CN316</f>
        <v>0</v>
      </c>
      <c r="CO585" s="929">
        <f>DIVISIONS!CO316</f>
        <v>0</v>
      </c>
      <c r="CP585" s="929">
        <f>CN585+CO585</f>
        <v>0</v>
      </c>
      <c r="CQ585" s="1619"/>
      <c r="CR585" s="929">
        <f>DIVISIONS!CR316</f>
        <v>0</v>
      </c>
      <c r="CS585" s="929">
        <f>DIVISIONS!CS316</f>
        <v>0</v>
      </c>
      <c r="CT585" s="929">
        <f>CR585+CS585</f>
        <v>0</v>
      </c>
      <c r="CU585" s="859"/>
      <c r="CV585" s="929">
        <f>DIVISIONS!CV316</f>
        <v>0</v>
      </c>
      <c r="CW585" s="929">
        <f>DIVISIONS!CW316</f>
        <v>0</v>
      </c>
      <c r="CX585" s="929">
        <f>CV585+CW585</f>
        <v>0</v>
      </c>
      <c r="CY585" s="859"/>
      <c r="CZ585" s="929">
        <f>DIVISIONS!CZ316</f>
        <v>0</v>
      </c>
      <c r="DA585" s="929">
        <f>DIVISIONS!DA316</f>
        <v>0</v>
      </c>
      <c r="DB585" s="929">
        <f>CZ585+DA585</f>
        <v>0</v>
      </c>
      <c r="DC585" s="859"/>
      <c r="DD585" s="929">
        <f>DIVISIONS!DD316</f>
        <v>0</v>
      </c>
      <c r="DE585" s="929">
        <f>DIVISIONS!DE316</f>
        <v>0</v>
      </c>
      <c r="DF585" s="929">
        <f>DD585+DE585</f>
        <v>0</v>
      </c>
      <c r="DG585" s="859"/>
      <c r="DH585" s="929">
        <f>DIVISIONS!DH316</f>
        <v>0</v>
      </c>
      <c r="DI585" s="859">
        <v>0</v>
      </c>
      <c r="DJ585" s="929">
        <f>DH585+DI585</f>
        <v>0</v>
      </c>
      <c r="DK585" s="859"/>
      <c r="DL585" s="859">
        <v>0</v>
      </c>
      <c r="DM585" s="859">
        <v>0</v>
      </c>
      <c r="DN585" s="929">
        <f>DL585+DM585</f>
        <v>0</v>
      </c>
      <c r="DO585" s="929"/>
      <c r="DP585" s="859">
        <v>0</v>
      </c>
      <c r="DQ585" s="859">
        <v>0</v>
      </c>
      <c r="DR585" s="929">
        <f>DP585+DQ585</f>
        <v>0</v>
      </c>
      <c r="DS585" s="929"/>
      <c r="DT585" s="859"/>
      <c r="DU585" s="859"/>
      <c r="DV585" s="859"/>
      <c r="DW585" s="859"/>
      <c r="DX585" s="929"/>
      <c r="DY585" s="857"/>
      <c r="DZ585" s="859"/>
      <c r="EA585" s="859"/>
      <c r="EB585" s="929"/>
      <c r="EC585" s="857"/>
      <c r="ED585" s="859"/>
      <c r="EE585" s="859"/>
      <c r="EF585" s="929"/>
      <c r="EG585" s="857"/>
      <c r="EH585" s="857"/>
      <c r="EI585" s="857"/>
      <c r="EJ585" s="857"/>
      <c r="EK585" s="857"/>
      <c r="EL585" s="857"/>
      <c r="EM585" s="857"/>
      <c r="EN585" s="857"/>
      <c r="EO585" s="857"/>
      <c r="EP585" s="857"/>
      <c r="FL585" s="855"/>
      <c r="FM585" s="855"/>
      <c r="FN585" s="855"/>
      <c r="FO585" s="855"/>
      <c r="FP585" s="855"/>
      <c r="FQ585" s="855"/>
      <c r="FR585" s="855"/>
      <c r="FS585" s="855"/>
      <c r="FT585" s="855"/>
      <c r="FU585" s="855"/>
      <c r="FV585" s="855"/>
      <c r="FW585" s="855"/>
      <c r="FX585" s="855"/>
      <c r="FY585" s="855"/>
      <c r="FZ585" s="855"/>
      <c r="GA585" s="855"/>
      <c r="GB585" s="855"/>
      <c r="GC585" s="855"/>
      <c r="GD585" s="855"/>
      <c r="GE585" s="855"/>
      <c r="GF585" s="855"/>
      <c r="GG585" s="855"/>
      <c r="GH585" s="855"/>
      <c r="GI585" s="855"/>
      <c r="GJ585" s="855"/>
      <c r="GK585" s="855"/>
      <c r="GL585" s="855"/>
      <c r="GM585" s="855"/>
      <c r="GN585" s="855"/>
      <c r="GO585" s="855"/>
      <c r="GP585" s="855"/>
      <c r="GQ585" s="855"/>
      <c r="GR585" s="855"/>
      <c r="GS585" s="855"/>
      <c r="GT585" s="855"/>
      <c r="GU585" s="855"/>
      <c r="GV585" s="855"/>
      <c r="GW585" s="855"/>
      <c r="GX585" s="855"/>
      <c r="GY585" s="855"/>
      <c r="GZ585" s="855"/>
      <c r="HA585" s="855"/>
      <c r="HB585" s="855"/>
      <c r="HC585" s="855"/>
      <c r="HD585" s="855"/>
      <c r="HE585" s="855"/>
      <c r="HF585" s="855"/>
      <c r="HG585" s="855"/>
      <c r="HH585" s="855"/>
      <c r="HI585" s="855"/>
      <c r="HJ585" s="855"/>
      <c r="HK585" s="855"/>
      <c r="HL585" s="855"/>
      <c r="HM585" s="855"/>
      <c r="HN585" s="855"/>
      <c r="HO585" s="855"/>
      <c r="HP585" s="855"/>
      <c r="HQ585" s="855"/>
      <c r="HR585" s="855"/>
      <c r="HS585" s="855"/>
      <c r="HT585" s="855"/>
      <c r="HU585" s="855"/>
      <c r="HV585" s="855"/>
      <c r="HW585" s="855"/>
      <c r="HX585" s="855"/>
      <c r="HY585" s="855"/>
      <c r="HZ585" s="855"/>
      <c r="IA585" s="855"/>
      <c r="IB585" s="855"/>
      <c r="IC585" s="855"/>
      <c r="ID585" s="855"/>
      <c r="IE585" s="855"/>
      <c r="IF585" s="855"/>
      <c r="IG585" s="855"/>
      <c r="IH585" s="855"/>
      <c r="II585" s="855"/>
      <c r="IJ585" s="855"/>
      <c r="IK585" s="855"/>
      <c r="IL585" s="855"/>
      <c r="IM585" s="855"/>
      <c r="IN585" s="855"/>
      <c r="IO585" s="855"/>
      <c r="IP585" s="855"/>
      <c r="IQ585" s="855"/>
      <c r="IR585" s="855"/>
      <c r="IS585" s="855"/>
      <c r="IT585" s="855"/>
      <c r="IU585" s="855"/>
      <c r="IV585" s="855"/>
      <c r="IW585" s="855"/>
      <c r="IX585" s="855"/>
      <c r="IY585" s="855"/>
      <c r="IZ585" s="855"/>
      <c r="JA585" s="855"/>
      <c r="JB585" s="855"/>
      <c r="JC585" s="855"/>
      <c r="JD585" s="855"/>
      <c r="JE585" s="855"/>
      <c r="JF585" s="855"/>
      <c r="JG585" s="855"/>
      <c r="JH585" s="855"/>
      <c r="JI585" s="855"/>
      <c r="JJ585" s="855"/>
      <c r="JK585" s="855"/>
      <c r="JL585" s="855"/>
      <c r="JM585"/>
    </row>
    <row r="586" spans="1:273" s="860" customFormat="1">
      <c r="A586" s="302" t="s">
        <v>690</v>
      </c>
      <c r="B586" s="298"/>
      <c r="C586" s="296"/>
      <c r="D586" s="296"/>
      <c r="E586" s="296"/>
      <c r="F586" s="296"/>
      <c r="G586" s="296"/>
      <c r="H586" s="296"/>
      <c r="I586" s="296"/>
      <c r="J586" s="296"/>
      <c r="K586" s="296"/>
      <c r="L586" s="296"/>
      <c r="M586" s="296"/>
      <c r="N586" s="296"/>
      <c r="O586" s="296"/>
      <c r="P586" s="296"/>
      <c r="Q586" s="296"/>
      <c r="R586" s="296"/>
      <c r="S586" s="296"/>
      <c r="T586" s="296"/>
      <c r="U586" s="296"/>
      <c r="V586" s="296"/>
      <c r="W586" s="296"/>
      <c r="X586" s="296"/>
      <c r="Y586" s="296"/>
      <c r="Z586" s="296"/>
      <c r="AA586" s="296"/>
      <c r="AB586" s="296"/>
      <c r="AC586" s="296"/>
      <c r="AD586" s="296"/>
      <c r="AE586" s="296"/>
      <c r="AF586" s="296"/>
      <c r="AG586" s="296"/>
      <c r="AH586" s="296"/>
      <c r="AI586" s="296"/>
      <c r="AJ586" s="296"/>
      <c r="AK586" s="296"/>
      <c r="AL586" s="296"/>
      <c r="AM586" s="296"/>
      <c r="AN586" s="298"/>
      <c r="AO586" s="298"/>
      <c r="AP586" s="929">
        <f>DIVISIONS!AP519</f>
        <v>0</v>
      </c>
      <c r="AQ586" s="298"/>
      <c r="AR586" s="298"/>
      <c r="AS586" s="298"/>
      <c r="AT586" s="929">
        <f>DIVISIONS!AT519</f>
        <v>0</v>
      </c>
      <c r="AU586" s="298"/>
      <c r="AV586" s="929">
        <f>DIVISIONS!AV519</f>
        <v>0</v>
      </c>
      <c r="AW586" s="929">
        <f>DIVISIONS!AW519</f>
        <v>0</v>
      </c>
      <c r="AX586" s="857"/>
      <c r="AY586" s="976"/>
      <c r="AZ586" s="929">
        <f>DIVISIONS!AZ519</f>
        <v>0</v>
      </c>
      <c r="BA586" s="929">
        <f>DIVISIONS!BA519</f>
        <v>0</v>
      </c>
      <c r="BB586" s="857"/>
      <c r="BC586" s="857"/>
      <c r="BD586" s="929">
        <f>DIVISIONS!BD519</f>
        <v>0</v>
      </c>
      <c r="BE586" s="929">
        <f>DIVISIONS!BE519</f>
        <v>0</v>
      </c>
      <c r="BF586" s="929">
        <f t="shared" si="660"/>
        <v>0</v>
      </c>
      <c r="BG586" s="859"/>
      <c r="BH586" s="929">
        <f>DIVISIONS!BH519</f>
        <v>0</v>
      </c>
      <c r="BI586" s="929">
        <f>DIVISIONS!BI519</f>
        <v>0</v>
      </c>
      <c r="BJ586" s="929">
        <f t="shared" si="656"/>
        <v>0</v>
      </c>
      <c r="BK586" s="859"/>
      <c r="BL586" s="929">
        <f>DIVISIONS!BL519</f>
        <v>0</v>
      </c>
      <c r="BM586" s="929">
        <f>DIVISIONS!BM519</f>
        <v>0</v>
      </c>
      <c r="BN586" s="929">
        <f t="shared" si="657"/>
        <v>0</v>
      </c>
      <c r="BO586" s="859"/>
      <c r="BP586" s="929">
        <f>DIVISIONS!BP519</f>
        <v>0</v>
      </c>
      <c r="BQ586" s="929">
        <f>DIVISIONS!BQ519</f>
        <v>0</v>
      </c>
      <c r="BR586" s="929">
        <f t="shared" si="658"/>
        <v>0</v>
      </c>
      <c r="BS586" s="859"/>
      <c r="BT586" s="929">
        <f>DIVISIONS!BT519</f>
        <v>0</v>
      </c>
      <c r="BU586" s="929">
        <f>DIVISIONS!BU519</f>
        <v>0</v>
      </c>
      <c r="BV586" s="929">
        <f t="shared" si="659"/>
        <v>0</v>
      </c>
      <c r="BW586" s="859"/>
      <c r="BX586" s="929">
        <f>DIVISIONS!BX519</f>
        <v>0</v>
      </c>
      <c r="BY586" s="929">
        <f>DIVISIONS!BY519</f>
        <v>0</v>
      </c>
      <c r="BZ586" s="929">
        <f>BX586+BY586</f>
        <v>0</v>
      </c>
      <c r="CA586" s="859"/>
      <c r="CB586" s="929">
        <f>DIVISIONS!CB519</f>
        <v>0</v>
      </c>
      <c r="CC586" s="929">
        <f>DIVISIONS!CC519</f>
        <v>0</v>
      </c>
      <c r="CD586" s="929">
        <f>CB586+CC586</f>
        <v>0</v>
      </c>
      <c r="CE586" s="1619"/>
      <c r="CF586" s="929">
        <f>DIVISIONS!CF519</f>
        <v>0</v>
      </c>
      <c r="CG586" s="929">
        <f>DIVISIONS!CG519</f>
        <v>0</v>
      </c>
      <c r="CH586" s="929">
        <f>CF586+CG586</f>
        <v>0</v>
      </c>
      <c r="CI586" s="1619"/>
      <c r="CJ586" s="929">
        <f>DIVISIONS!CJ519</f>
        <v>0</v>
      </c>
      <c r="CK586" s="929">
        <f>DIVISIONS!CK519</f>
        <v>0</v>
      </c>
      <c r="CL586" s="929">
        <f>CJ586+CK586</f>
        <v>0</v>
      </c>
      <c r="CM586" s="1619"/>
      <c r="CN586" s="929">
        <f>DIVISIONS!CN519</f>
        <v>0</v>
      </c>
      <c r="CO586" s="929">
        <f>DIVISIONS!CO519</f>
        <v>0</v>
      </c>
      <c r="CP586" s="929">
        <f>CN586+CO586</f>
        <v>0</v>
      </c>
      <c r="CQ586" s="1619"/>
      <c r="CR586" s="929">
        <f>DIVISIONS!CR519</f>
        <v>0</v>
      </c>
      <c r="CS586" s="929">
        <f>DIVISIONS!CS519</f>
        <v>0</v>
      </c>
      <c r="CT586" s="929">
        <f>CR586+CS586</f>
        <v>0</v>
      </c>
      <c r="CU586" s="859"/>
      <c r="CV586" s="929">
        <f>DIVISIONS!CV519</f>
        <v>0</v>
      </c>
      <c r="CW586" s="929">
        <f>DIVISIONS!CW519</f>
        <v>0</v>
      </c>
      <c r="CX586" s="929">
        <f>CV586+CW586</f>
        <v>0</v>
      </c>
      <c r="CY586" s="859"/>
      <c r="CZ586" s="929">
        <f>DIVISIONS!CZ519</f>
        <v>0</v>
      </c>
      <c r="DA586" s="929">
        <f>DIVISIONS!DA519</f>
        <v>0</v>
      </c>
      <c r="DB586" s="929">
        <f>CZ586+DA586</f>
        <v>0</v>
      </c>
      <c r="DC586" s="859"/>
      <c r="DD586" s="929">
        <f>DIVISIONS!DD519</f>
        <v>0</v>
      </c>
      <c r="DE586" s="929">
        <f>DIVISIONS!DE519</f>
        <v>0</v>
      </c>
      <c r="DF586" s="929">
        <f>DD586+DE586</f>
        <v>0</v>
      </c>
      <c r="DG586" s="859"/>
      <c r="DH586" s="929">
        <f>DIVISIONS!DH519</f>
        <v>0</v>
      </c>
      <c r="DI586" s="859">
        <v>0</v>
      </c>
      <c r="DJ586" s="929">
        <f>DH586+DI586</f>
        <v>0</v>
      </c>
      <c r="DK586" s="859"/>
      <c r="DL586" s="859">
        <v>0</v>
      </c>
      <c r="DM586" s="859">
        <v>0</v>
      </c>
      <c r="DN586" s="929">
        <f>DL586+DM586</f>
        <v>0</v>
      </c>
      <c r="DO586" s="929"/>
      <c r="DP586" s="859">
        <v>0</v>
      </c>
      <c r="DQ586" s="859">
        <v>0</v>
      </c>
      <c r="DR586" s="929">
        <f>DP586+DQ586</f>
        <v>0</v>
      </c>
      <c r="DS586" s="929"/>
      <c r="DT586" s="859"/>
      <c r="DU586" s="859"/>
      <c r="DV586" s="859"/>
      <c r="DW586" s="859"/>
      <c r="DX586" s="929"/>
      <c r="DY586" s="857"/>
      <c r="DZ586" s="859"/>
      <c r="EA586" s="859"/>
      <c r="EB586" s="929"/>
      <c r="EC586" s="857"/>
      <c r="ED586" s="859"/>
      <c r="EE586" s="859"/>
      <c r="EF586" s="929"/>
      <c r="EG586" s="857"/>
      <c r="EH586" s="857"/>
      <c r="EI586" s="857"/>
      <c r="EJ586" s="857"/>
      <c r="EK586" s="857"/>
      <c r="EL586" s="857"/>
      <c r="EM586" s="857"/>
      <c r="EN586" s="857"/>
      <c r="EO586" s="857"/>
      <c r="EP586" s="857"/>
      <c r="FL586" s="855"/>
      <c r="FM586" s="855"/>
      <c r="FN586" s="855"/>
      <c r="FO586" s="855"/>
      <c r="FP586" s="855"/>
      <c r="FQ586" s="855"/>
      <c r="FR586" s="855"/>
      <c r="FS586" s="855"/>
      <c r="FT586" s="855"/>
      <c r="FU586" s="855"/>
      <c r="FV586" s="855"/>
      <c r="FW586" s="855"/>
      <c r="FX586" s="855"/>
      <c r="FY586" s="855"/>
      <c r="FZ586" s="855"/>
      <c r="GA586" s="855"/>
      <c r="GB586" s="855"/>
      <c r="GC586" s="855"/>
      <c r="GD586" s="855"/>
      <c r="GE586" s="855"/>
      <c r="GF586" s="855"/>
      <c r="GG586" s="855"/>
      <c r="GH586" s="855"/>
      <c r="GI586" s="855"/>
      <c r="GJ586" s="855"/>
      <c r="GK586" s="855"/>
      <c r="GL586" s="855"/>
      <c r="GM586" s="855"/>
      <c r="GN586" s="855"/>
      <c r="GO586" s="855"/>
      <c r="GP586" s="855"/>
      <c r="GQ586" s="855"/>
      <c r="GR586" s="855"/>
      <c r="GS586" s="855"/>
      <c r="GT586" s="855"/>
      <c r="GU586" s="855"/>
      <c r="GV586" s="855"/>
      <c r="GW586" s="855"/>
      <c r="GX586" s="855"/>
      <c r="GY586" s="855"/>
      <c r="GZ586" s="855"/>
      <c r="HA586" s="855"/>
      <c r="HB586" s="855"/>
      <c r="HC586" s="855"/>
      <c r="HD586" s="855"/>
      <c r="HE586" s="855"/>
      <c r="HF586" s="855"/>
      <c r="HG586" s="855"/>
      <c r="HH586" s="855"/>
      <c r="HI586" s="855"/>
      <c r="HJ586" s="855"/>
      <c r="HK586" s="855"/>
      <c r="HL586" s="855"/>
      <c r="HM586" s="855"/>
      <c r="HN586" s="855"/>
      <c r="HO586" s="855"/>
      <c r="HP586" s="855"/>
      <c r="HQ586" s="855"/>
      <c r="HR586" s="855"/>
      <c r="HS586" s="855"/>
      <c r="HT586" s="855"/>
      <c r="HU586" s="855"/>
      <c r="HV586" s="855"/>
      <c r="HW586" s="855"/>
      <c r="HX586" s="855"/>
      <c r="HY586" s="855"/>
      <c r="HZ586" s="855"/>
      <c r="IA586" s="855"/>
      <c r="IB586" s="855"/>
      <c r="IC586" s="855"/>
      <c r="ID586" s="855"/>
      <c r="IE586" s="855"/>
      <c r="IF586" s="855"/>
      <c r="IG586" s="855"/>
      <c r="IH586" s="855"/>
      <c r="II586" s="855"/>
      <c r="IJ586" s="855"/>
      <c r="IK586" s="855"/>
      <c r="IL586" s="855"/>
      <c r="IM586" s="855"/>
      <c r="IN586" s="855"/>
      <c r="IO586" s="855"/>
      <c r="IP586" s="855"/>
      <c r="IQ586" s="855"/>
      <c r="IR586" s="855"/>
      <c r="IS586" s="855"/>
      <c r="IT586" s="855"/>
      <c r="IU586" s="855"/>
      <c r="IV586" s="855"/>
      <c r="IW586" s="855"/>
      <c r="IX586" s="855"/>
      <c r="IY586" s="855"/>
      <c r="IZ586" s="855"/>
      <c r="JA586" s="855"/>
      <c r="JB586" s="855"/>
      <c r="JC586" s="855"/>
      <c r="JD586" s="855"/>
      <c r="JE586" s="855"/>
      <c r="JF586" s="855"/>
      <c r="JG586" s="855"/>
      <c r="JH586" s="855"/>
      <c r="JI586" s="855"/>
      <c r="JJ586" s="855"/>
      <c r="JK586" s="855"/>
      <c r="JL586" s="855"/>
      <c r="JM586"/>
    </row>
    <row r="587" spans="1:273" s="860" customFormat="1">
      <c r="A587" s="302" t="s">
        <v>689</v>
      </c>
      <c r="B587" s="298"/>
      <c r="C587" s="296"/>
      <c r="D587" s="296"/>
      <c r="E587" s="296"/>
      <c r="F587" s="296"/>
      <c r="G587" s="296"/>
      <c r="H587" s="296"/>
      <c r="I587" s="296"/>
      <c r="J587" s="296"/>
      <c r="K587" s="296"/>
      <c r="L587" s="296"/>
      <c r="M587" s="296"/>
      <c r="N587" s="296"/>
      <c r="O587" s="296"/>
      <c r="P587" s="296"/>
      <c r="Q587" s="296"/>
      <c r="R587" s="296"/>
      <c r="S587" s="296"/>
      <c r="T587" s="296"/>
      <c r="U587" s="296"/>
      <c r="V587" s="296"/>
      <c r="W587" s="296"/>
      <c r="X587" s="296"/>
      <c r="Y587" s="296"/>
      <c r="Z587" s="296"/>
      <c r="AA587" s="296"/>
      <c r="AB587" s="296"/>
      <c r="AC587" s="296"/>
      <c r="AD587" s="296"/>
      <c r="AE587" s="296"/>
      <c r="AF587" s="296"/>
      <c r="AG587" s="296"/>
      <c r="AH587" s="296"/>
      <c r="AI587" s="296"/>
      <c r="AJ587" s="296"/>
      <c r="AK587" s="296"/>
      <c r="AL587" s="296"/>
      <c r="AM587" s="296"/>
      <c r="AN587" s="298"/>
      <c r="AO587" s="298"/>
      <c r="AP587" s="929">
        <f>DIVISIONS!AP640</f>
        <v>0</v>
      </c>
      <c r="AQ587" s="298"/>
      <c r="AR587" s="298"/>
      <c r="AS587" s="298"/>
      <c r="AT587" s="929">
        <f>DIVISIONS!AT640</f>
        <v>0</v>
      </c>
      <c r="AU587" s="298"/>
      <c r="AV587" s="929">
        <f>DIVISIONS!AV640</f>
        <v>0</v>
      </c>
      <c r="AW587" s="929">
        <f>DIVISIONS!AW640</f>
        <v>0</v>
      </c>
      <c r="AX587" s="857"/>
      <c r="AY587" s="976"/>
      <c r="AZ587" s="929">
        <f>DIVISIONS!AZ640</f>
        <v>0</v>
      </c>
      <c r="BA587" s="929">
        <f>DIVISIONS!BA640</f>
        <v>0</v>
      </c>
      <c r="BB587" s="857"/>
      <c r="BC587" s="857"/>
      <c r="BD587" s="929">
        <f>DIVISIONS!BD640</f>
        <v>0</v>
      </c>
      <c r="BE587" s="929">
        <f>DIVISIONS!BE640</f>
        <v>0</v>
      </c>
      <c r="BF587" s="929">
        <f t="shared" si="660"/>
        <v>0</v>
      </c>
      <c r="BG587" s="859"/>
      <c r="BH587" s="929">
        <f>DIVISIONS!BH640</f>
        <v>0</v>
      </c>
      <c r="BI587" s="929">
        <f>DIVISIONS!BI640</f>
        <v>0</v>
      </c>
      <c r="BJ587" s="929">
        <f t="shared" si="656"/>
        <v>0</v>
      </c>
      <c r="BK587" s="859"/>
      <c r="BL587" s="929">
        <f>DIVISIONS!BL640</f>
        <v>0</v>
      </c>
      <c r="BM587" s="929">
        <f>DIVISIONS!BM640</f>
        <v>0</v>
      </c>
      <c r="BN587" s="929">
        <f t="shared" si="657"/>
        <v>0</v>
      </c>
      <c r="BO587" s="859"/>
      <c r="BP587" s="929">
        <f>DIVISIONS!BP640</f>
        <v>0</v>
      </c>
      <c r="BQ587" s="929">
        <f>DIVISIONS!BQ640</f>
        <v>0</v>
      </c>
      <c r="BR587" s="929">
        <f t="shared" si="658"/>
        <v>0</v>
      </c>
      <c r="BS587" s="859"/>
      <c r="BT587" s="929">
        <f>DIVISIONS!BT640</f>
        <v>0</v>
      </c>
      <c r="BU587" s="929">
        <f>DIVISIONS!BU640</f>
        <v>0</v>
      </c>
      <c r="BV587" s="929">
        <f t="shared" si="659"/>
        <v>0</v>
      </c>
      <c r="BW587" s="859"/>
      <c r="BX587" s="929">
        <f>DIVISIONS!BX640</f>
        <v>0</v>
      </c>
      <c r="BY587" s="929">
        <f>DIVISIONS!BY640</f>
        <v>0</v>
      </c>
      <c r="BZ587" s="929">
        <f>BX587+BY587</f>
        <v>0</v>
      </c>
      <c r="CA587" s="859"/>
      <c r="CB587" s="929">
        <f>DIVISIONS!CB640</f>
        <v>0</v>
      </c>
      <c r="CC587" s="929">
        <f>DIVISIONS!CC640</f>
        <v>0</v>
      </c>
      <c r="CD587" s="929">
        <f>CB587+CC587</f>
        <v>0</v>
      </c>
      <c r="CE587" s="1619"/>
      <c r="CF587" s="929">
        <f>DIVISIONS!CF640</f>
        <v>0</v>
      </c>
      <c r="CG587" s="929">
        <f>DIVISIONS!CG640</f>
        <v>0</v>
      </c>
      <c r="CH587" s="929">
        <f>CF587+CG587</f>
        <v>0</v>
      </c>
      <c r="CI587" s="1619"/>
      <c r="CJ587" s="929">
        <f>DIVISIONS!CJ640</f>
        <v>0</v>
      </c>
      <c r="CK587" s="929">
        <f>DIVISIONS!CK640</f>
        <v>0</v>
      </c>
      <c r="CL587" s="929">
        <f>CJ587+CK587</f>
        <v>0</v>
      </c>
      <c r="CM587" s="1619"/>
      <c r="CN587" s="929">
        <f>DIVISIONS!CN640</f>
        <v>0</v>
      </c>
      <c r="CO587" s="929">
        <f>DIVISIONS!CO640</f>
        <v>0</v>
      </c>
      <c r="CP587" s="929">
        <f>CN587+CO587</f>
        <v>0</v>
      </c>
      <c r="CQ587" s="1619"/>
      <c r="CR587" s="929">
        <f>DIVISIONS!CR640</f>
        <v>0</v>
      </c>
      <c r="CS587" s="929">
        <f>DIVISIONS!CS640</f>
        <v>0</v>
      </c>
      <c r="CT587" s="929">
        <f>CR587+CS587</f>
        <v>0</v>
      </c>
      <c r="CU587" s="859"/>
      <c r="CV587" s="929">
        <f>DIVISIONS!CV640</f>
        <v>0</v>
      </c>
      <c r="CW587" s="929">
        <f>DIVISIONS!CW640</f>
        <v>0</v>
      </c>
      <c r="CX587" s="929">
        <f>CV587+CW587</f>
        <v>0</v>
      </c>
      <c r="CY587" s="859"/>
      <c r="CZ587" s="929">
        <f>DIVISIONS!CZ640</f>
        <v>0</v>
      </c>
      <c r="DA587" s="929">
        <f>DIVISIONS!DA640</f>
        <v>0</v>
      </c>
      <c r="DB587" s="929">
        <f>CZ587+DA587</f>
        <v>0</v>
      </c>
      <c r="DC587" s="859"/>
      <c r="DD587" s="929">
        <f>DIVISIONS!DD640</f>
        <v>0</v>
      </c>
      <c r="DE587" s="929">
        <f>DIVISIONS!DE640</f>
        <v>0</v>
      </c>
      <c r="DF587" s="929">
        <f>DD587+DE587</f>
        <v>0</v>
      </c>
      <c r="DG587" s="859"/>
      <c r="DH587" s="929">
        <f>DIVISIONS!DH640</f>
        <v>0</v>
      </c>
      <c r="DI587" s="859">
        <v>0</v>
      </c>
      <c r="DJ587" s="929">
        <f>DH587+DI587</f>
        <v>0</v>
      </c>
      <c r="DK587" s="859"/>
      <c r="DL587" s="859">
        <v>0</v>
      </c>
      <c r="DM587" s="859">
        <v>0</v>
      </c>
      <c r="DN587" s="929">
        <f>DL587+DM587</f>
        <v>0</v>
      </c>
      <c r="DO587" s="929"/>
      <c r="DP587" s="859">
        <v>0</v>
      </c>
      <c r="DQ587" s="859">
        <v>0</v>
      </c>
      <c r="DR587" s="929">
        <f>DP587+DQ587</f>
        <v>0</v>
      </c>
      <c r="DS587" s="929"/>
      <c r="DT587" s="859"/>
      <c r="DU587" s="859"/>
      <c r="DV587" s="859"/>
      <c r="DW587" s="859"/>
      <c r="DX587" s="929"/>
      <c r="DY587" s="857"/>
      <c r="DZ587" s="859"/>
      <c r="EA587" s="859"/>
      <c r="EB587" s="929"/>
      <c r="EC587" s="857"/>
      <c r="ED587" s="859"/>
      <c r="EE587" s="859"/>
      <c r="EF587" s="929"/>
      <c r="EG587" s="857"/>
      <c r="EH587" s="857"/>
      <c r="EI587" s="857"/>
      <c r="EJ587" s="857"/>
      <c r="EK587" s="857"/>
      <c r="EL587" s="857"/>
      <c r="EM587" s="857"/>
      <c r="EN587" s="857"/>
      <c r="EO587" s="857"/>
      <c r="EP587" s="857"/>
      <c r="FL587" s="855"/>
      <c r="FM587" s="855"/>
      <c r="FN587" s="855"/>
      <c r="FO587" s="855"/>
      <c r="FP587" s="855"/>
      <c r="FQ587" s="855"/>
      <c r="FR587" s="855"/>
      <c r="FS587" s="855"/>
      <c r="FT587" s="855"/>
      <c r="FU587" s="855"/>
      <c r="FV587" s="855"/>
      <c r="FW587" s="855"/>
      <c r="FX587" s="855"/>
      <c r="FY587" s="855"/>
      <c r="FZ587" s="855"/>
      <c r="GA587" s="855"/>
      <c r="GB587" s="855"/>
      <c r="GC587" s="855"/>
      <c r="GD587" s="855"/>
      <c r="GE587" s="855"/>
      <c r="GF587" s="855"/>
      <c r="GG587" s="855"/>
      <c r="GH587" s="855"/>
      <c r="GI587" s="855"/>
      <c r="GJ587" s="855"/>
      <c r="GK587" s="855"/>
      <c r="GL587" s="855"/>
      <c r="GM587" s="855"/>
      <c r="GN587" s="855"/>
      <c r="GO587" s="855"/>
      <c r="GP587" s="855"/>
      <c r="GQ587" s="855"/>
      <c r="GR587" s="855"/>
      <c r="GS587" s="855"/>
      <c r="GT587" s="855"/>
      <c r="GU587" s="855"/>
      <c r="GV587" s="855"/>
      <c r="GW587" s="855"/>
      <c r="GX587" s="855"/>
      <c r="GY587" s="855"/>
      <c r="GZ587" s="855"/>
      <c r="HA587" s="855"/>
      <c r="HB587" s="855"/>
      <c r="HC587" s="855"/>
      <c r="HD587" s="855"/>
      <c r="HE587" s="855"/>
      <c r="HF587" s="855"/>
      <c r="HG587" s="855"/>
      <c r="HH587" s="855"/>
      <c r="HI587" s="855"/>
      <c r="HJ587" s="855"/>
      <c r="HK587" s="855"/>
      <c r="HL587" s="855"/>
      <c r="HM587" s="855"/>
      <c r="HN587" s="855"/>
      <c r="HO587" s="855"/>
      <c r="HP587" s="855"/>
      <c r="HQ587" s="855"/>
      <c r="HR587" s="855"/>
      <c r="HS587" s="855"/>
      <c r="HT587" s="855"/>
      <c r="HU587" s="855"/>
      <c r="HV587" s="855"/>
      <c r="HW587" s="855"/>
      <c r="HX587" s="855"/>
      <c r="HY587" s="855"/>
      <c r="HZ587" s="855"/>
      <c r="IA587" s="855"/>
      <c r="IB587" s="855"/>
      <c r="IC587" s="855"/>
      <c r="ID587" s="855"/>
      <c r="IE587" s="855"/>
      <c r="IF587" s="855"/>
      <c r="IG587" s="855"/>
      <c r="IH587" s="855"/>
      <c r="II587" s="855"/>
      <c r="IJ587" s="855"/>
      <c r="IK587" s="855"/>
      <c r="IL587" s="855"/>
      <c r="IM587" s="855"/>
      <c r="IN587" s="855"/>
      <c r="IO587" s="855"/>
      <c r="IP587" s="855"/>
      <c r="IQ587" s="855"/>
      <c r="IR587" s="855"/>
      <c r="IS587" s="855"/>
      <c r="IT587" s="855"/>
      <c r="IU587" s="855"/>
      <c r="IV587" s="855"/>
      <c r="IW587" s="855"/>
      <c r="IX587" s="855"/>
      <c r="IY587" s="855"/>
      <c r="IZ587" s="855"/>
      <c r="JA587" s="855"/>
      <c r="JB587" s="855"/>
      <c r="JC587" s="855"/>
      <c r="JD587" s="855"/>
      <c r="JE587" s="855"/>
      <c r="JF587" s="855"/>
      <c r="JG587" s="855"/>
      <c r="JH587" s="855"/>
      <c r="JI587" s="855"/>
      <c r="JJ587" s="855"/>
      <c r="JK587" s="855"/>
      <c r="JL587" s="855"/>
      <c r="JM587"/>
    </row>
    <row r="588" spans="1:273" s="860" customFormat="1">
      <c r="A588" s="302" t="s">
        <v>688</v>
      </c>
      <c r="B588" s="298"/>
      <c r="C588" s="296"/>
      <c r="D588" s="296"/>
      <c r="E588" s="296"/>
      <c r="F588" s="296"/>
      <c r="G588" s="296"/>
      <c r="H588" s="296"/>
      <c r="I588" s="296"/>
      <c r="J588" s="296"/>
      <c r="K588" s="296"/>
      <c r="L588" s="296"/>
      <c r="M588" s="296"/>
      <c r="N588" s="296"/>
      <c r="O588" s="296"/>
      <c r="P588" s="296"/>
      <c r="Q588" s="296"/>
      <c r="R588" s="296"/>
      <c r="S588" s="296"/>
      <c r="T588" s="296"/>
      <c r="U588" s="296"/>
      <c r="V588" s="296"/>
      <c r="W588" s="296"/>
      <c r="X588" s="296"/>
      <c r="Y588" s="296"/>
      <c r="Z588" s="296"/>
      <c r="AA588" s="296"/>
      <c r="AB588" s="296"/>
      <c r="AC588" s="296"/>
      <c r="AD588" s="296"/>
      <c r="AE588" s="296"/>
      <c r="AF588" s="296"/>
      <c r="AG588" s="296"/>
      <c r="AH588" s="296"/>
      <c r="AI588" s="296"/>
      <c r="AJ588" s="296"/>
      <c r="AK588" s="296"/>
      <c r="AL588" s="296"/>
      <c r="AM588" s="296"/>
      <c r="AN588" s="298"/>
      <c r="AO588" s="298"/>
      <c r="AP588" s="929">
        <f>DIVISIONS!AP699</f>
        <v>0</v>
      </c>
      <c r="AQ588" s="298"/>
      <c r="AR588" s="298"/>
      <c r="AS588" s="298"/>
      <c r="AT588" s="929">
        <f>DIVISIONS!AT699</f>
        <v>0</v>
      </c>
      <c r="AU588" s="298"/>
      <c r="AV588" s="929">
        <f>DIVISIONS!AV699</f>
        <v>0</v>
      </c>
      <c r="AW588" s="929">
        <f>DIVISIONS!AW699</f>
        <v>0</v>
      </c>
      <c r="AX588" s="857"/>
      <c r="AY588" s="976"/>
      <c r="AZ588" s="929">
        <f>DIVISIONS!AZ699</f>
        <v>0</v>
      </c>
      <c r="BA588" s="929">
        <f>DIVISIONS!BA699</f>
        <v>0</v>
      </c>
      <c r="BB588" s="857"/>
      <c r="BC588" s="857"/>
      <c r="BD588" s="929"/>
      <c r="BE588" s="929"/>
      <c r="BF588" s="929"/>
      <c r="BG588" s="859"/>
      <c r="BH588" s="929"/>
      <c r="BI588" s="929"/>
      <c r="BJ588" s="929"/>
      <c r="BK588" s="859"/>
      <c r="BL588" s="929"/>
      <c r="BM588" s="929"/>
      <c r="BN588" s="929"/>
      <c r="BO588" s="859"/>
      <c r="BP588" s="929"/>
      <c r="BQ588" s="929"/>
      <c r="BR588" s="929"/>
      <c r="BS588" s="859"/>
      <c r="BT588" s="929"/>
      <c r="BU588" s="929"/>
      <c r="BV588" s="929"/>
      <c r="BW588" s="859"/>
      <c r="BX588" s="929"/>
      <c r="BY588" s="929"/>
      <c r="BZ588" s="929"/>
      <c r="CA588" s="859"/>
      <c r="CB588" s="929"/>
      <c r="CC588" s="929"/>
      <c r="CD588" s="929"/>
      <c r="CE588" s="1619"/>
      <c r="CF588" s="929"/>
      <c r="CG588" s="929"/>
      <c r="CH588" s="929"/>
      <c r="CI588" s="1619"/>
      <c r="CJ588" s="929"/>
      <c r="CK588" s="929"/>
      <c r="CL588" s="929"/>
      <c r="CM588" s="1619"/>
      <c r="CN588" s="929"/>
      <c r="CO588" s="929"/>
      <c r="CP588" s="929"/>
      <c r="CQ588" s="1619"/>
      <c r="CR588" s="929"/>
      <c r="CS588" s="929"/>
      <c r="CT588" s="929"/>
      <c r="CU588" s="859"/>
      <c r="CV588" s="929"/>
      <c r="CW588" s="929"/>
      <c r="CX588" s="929"/>
      <c r="CY588" s="859"/>
      <c r="CZ588" s="929"/>
      <c r="DA588" s="929"/>
      <c r="DB588" s="929"/>
      <c r="DC588" s="859"/>
      <c r="DD588" s="929"/>
      <c r="DE588" s="929"/>
      <c r="DF588" s="929"/>
      <c r="DG588" s="859"/>
      <c r="DH588" s="929"/>
      <c r="DI588" s="859"/>
      <c r="DJ588" s="929"/>
      <c r="DK588" s="859"/>
      <c r="DL588" s="859"/>
      <c r="DM588" s="859"/>
      <c r="DN588" s="929"/>
      <c r="DO588" s="929"/>
      <c r="DP588" s="859"/>
      <c r="DQ588" s="859"/>
      <c r="DR588" s="929"/>
      <c r="DS588" s="929"/>
      <c r="DT588" s="859"/>
      <c r="DU588" s="859"/>
      <c r="DV588" s="859"/>
      <c r="DW588" s="859"/>
      <c r="DX588" s="929"/>
      <c r="DY588" s="857"/>
      <c r="DZ588" s="859"/>
      <c r="EA588" s="859"/>
      <c r="EB588" s="929"/>
      <c r="EC588" s="857"/>
      <c r="ED588" s="859"/>
      <c r="EE588" s="859"/>
      <c r="EF588" s="929"/>
      <c r="EG588" s="857"/>
      <c r="EH588" s="857"/>
      <c r="EI588" s="857"/>
      <c r="EJ588" s="857"/>
      <c r="EK588" s="857"/>
      <c r="EL588" s="857"/>
      <c r="EM588" s="857"/>
      <c r="EN588" s="857"/>
      <c r="EO588" s="857"/>
      <c r="EP588" s="857"/>
      <c r="FL588" s="855"/>
      <c r="FM588" s="855"/>
      <c r="FN588" s="855"/>
      <c r="FO588" s="855"/>
      <c r="FP588" s="855"/>
      <c r="FQ588" s="855"/>
      <c r="FR588" s="855"/>
      <c r="FS588" s="855"/>
      <c r="FT588" s="855"/>
      <c r="FU588" s="855"/>
      <c r="FV588" s="855"/>
      <c r="FW588" s="855"/>
      <c r="FX588" s="855"/>
      <c r="FY588" s="855"/>
      <c r="FZ588" s="855"/>
      <c r="GA588" s="855"/>
      <c r="GB588" s="855"/>
      <c r="GC588" s="855"/>
      <c r="GD588" s="855"/>
      <c r="GE588" s="855"/>
      <c r="GF588" s="855"/>
      <c r="GG588" s="855"/>
      <c r="GH588" s="855"/>
      <c r="GI588" s="855"/>
      <c r="GJ588" s="855"/>
      <c r="GK588" s="855"/>
      <c r="GL588" s="855"/>
      <c r="GM588" s="855"/>
      <c r="GN588" s="855"/>
      <c r="GO588" s="855"/>
      <c r="GP588" s="855"/>
      <c r="GQ588" s="855"/>
      <c r="GR588" s="855"/>
      <c r="GS588" s="855"/>
      <c r="GT588" s="855"/>
      <c r="GU588" s="855"/>
      <c r="GV588" s="855"/>
      <c r="GW588" s="855"/>
      <c r="GX588" s="855"/>
      <c r="GY588" s="855"/>
      <c r="GZ588" s="855"/>
      <c r="HA588" s="855"/>
      <c r="HB588" s="855"/>
      <c r="HC588" s="855"/>
      <c r="HD588" s="855"/>
      <c r="HE588" s="855"/>
      <c r="HF588" s="855"/>
      <c r="HG588" s="855"/>
      <c r="HH588" s="855"/>
      <c r="HI588" s="855"/>
      <c r="HJ588" s="855"/>
      <c r="HK588" s="855"/>
      <c r="HL588" s="855"/>
      <c r="HM588" s="855"/>
      <c r="HN588" s="855"/>
      <c r="HO588" s="855"/>
      <c r="HP588" s="855"/>
      <c r="HQ588" s="855"/>
      <c r="HR588" s="855"/>
      <c r="HS588" s="855"/>
      <c r="HT588" s="855"/>
      <c r="HU588" s="855"/>
      <c r="HV588" s="855"/>
      <c r="HW588" s="855"/>
      <c r="HX588" s="855"/>
      <c r="HY588" s="855"/>
      <c r="HZ588" s="855"/>
      <c r="IA588" s="855"/>
      <c r="IB588" s="855"/>
      <c r="IC588" s="855"/>
      <c r="ID588" s="855"/>
      <c r="IE588" s="855"/>
      <c r="IF588" s="855"/>
      <c r="IG588" s="855"/>
      <c r="IH588" s="855"/>
      <c r="II588" s="855"/>
      <c r="IJ588" s="855"/>
      <c r="IK588" s="855"/>
      <c r="IL588" s="855"/>
      <c r="IM588" s="855"/>
      <c r="IN588" s="855"/>
      <c r="IO588" s="855"/>
      <c r="IP588" s="855"/>
      <c r="IQ588" s="855"/>
      <c r="IR588" s="855"/>
      <c r="IS588" s="855"/>
      <c r="IT588" s="855"/>
      <c r="IU588" s="855"/>
      <c r="IV588" s="855"/>
      <c r="IW588" s="855"/>
      <c r="IX588" s="855"/>
      <c r="IY588" s="855"/>
      <c r="IZ588" s="855"/>
      <c r="JA588" s="855"/>
      <c r="JB588" s="855"/>
      <c r="JC588" s="855"/>
      <c r="JD588" s="855"/>
      <c r="JE588" s="855"/>
      <c r="JF588" s="855"/>
      <c r="JG588" s="855"/>
      <c r="JH588" s="855"/>
      <c r="JI588" s="855"/>
      <c r="JJ588" s="855"/>
      <c r="JK588" s="855"/>
      <c r="JL588" s="855"/>
      <c r="JM588"/>
    </row>
    <row r="589" spans="1:273" s="860" customFormat="1">
      <c r="A589" s="302" t="s">
        <v>691</v>
      </c>
      <c r="B589" s="298"/>
      <c r="C589" s="296"/>
      <c r="D589" s="296"/>
      <c r="E589" s="296"/>
      <c r="F589" s="296"/>
      <c r="G589" s="296"/>
      <c r="H589" s="296"/>
      <c r="I589" s="296"/>
      <c r="J589" s="296"/>
      <c r="K589" s="296"/>
      <c r="L589" s="296"/>
      <c r="M589" s="296"/>
      <c r="N589" s="296"/>
      <c r="O589" s="296"/>
      <c r="P589" s="296"/>
      <c r="Q589" s="296"/>
      <c r="R589" s="296"/>
      <c r="S589" s="296"/>
      <c r="T589" s="296"/>
      <c r="U589" s="296"/>
      <c r="V589" s="296"/>
      <c r="W589" s="296"/>
      <c r="X589" s="296"/>
      <c r="Y589" s="296"/>
      <c r="Z589" s="296"/>
      <c r="AA589" s="296"/>
      <c r="AB589" s="296"/>
      <c r="AC589" s="296"/>
      <c r="AD589" s="296"/>
      <c r="AE589" s="296"/>
      <c r="AF589" s="296"/>
      <c r="AG589" s="296"/>
      <c r="AH589" s="296"/>
      <c r="AI589" s="296"/>
      <c r="AJ589" s="296"/>
      <c r="AK589" s="296"/>
      <c r="AL589" s="296"/>
      <c r="AM589" s="296"/>
      <c r="AN589" s="298"/>
      <c r="AO589" s="298"/>
      <c r="AP589" s="929">
        <f>DIVISIONS!AP755</f>
        <v>0</v>
      </c>
      <c r="AQ589" s="298"/>
      <c r="AR589" s="298"/>
      <c r="AS589" s="298"/>
      <c r="AT589" s="929">
        <f>DIVISIONS!AT755</f>
        <v>0</v>
      </c>
      <c r="AU589" s="298"/>
      <c r="AV589" s="929">
        <f>DIVISIONS!AV755</f>
        <v>0</v>
      </c>
      <c r="AW589" s="929">
        <f>DIVISIONS!AW755</f>
        <v>0</v>
      </c>
      <c r="AX589" s="857"/>
      <c r="AY589" s="976"/>
      <c r="AZ589" s="929">
        <f>DIVISIONS!AZ755</f>
        <v>0</v>
      </c>
      <c r="BA589" s="929">
        <f>DIVISIONS!BA755</f>
        <v>0</v>
      </c>
      <c r="BB589" s="857"/>
      <c r="BC589" s="857"/>
      <c r="BD589" s="929">
        <f>DIVISIONS!BD755</f>
        <v>0</v>
      </c>
      <c r="BE589" s="929">
        <f>DIVISIONS!BE755</f>
        <v>0</v>
      </c>
      <c r="BF589" s="929">
        <f t="shared" si="660"/>
        <v>0</v>
      </c>
      <c r="BG589" s="859"/>
      <c r="BH589" s="929">
        <f>DIVISIONS!BH755</f>
        <v>0</v>
      </c>
      <c r="BI589" s="929">
        <f>DIVISIONS!BI755</f>
        <v>0</v>
      </c>
      <c r="BJ589" s="929">
        <f>BH589+BI589</f>
        <v>0</v>
      </c>
      <c r="BK589" s="859"/>
      <c r="BL589" s="929">
        <f>DIVISIONS!BL755</f>
        <v>0</v>
      </c>
      <c r="BM589" s="929">
        <f>DIVISIONS!BM755</f>
        <v>0</v>
      </c>
      <c r="BN589" s="929">
        <f>BL589+BM589</f>
        <v>0</v>
      </c>
      <c r="BO589" s="859"/>
      <c r="BP589" s="929">
        <f>DIVISIONS!BP755</f>
        <v>0</v>
      </c>
      <c r="BQ589" s="929">
        <f>DIVISIONS!BQ755</f>
        <v>0</v>
      </c>
      <c r="BR589" s="929">
        <f>BP589+BQ589</f>
        <v>0</v>
      </c>
      <c r="BS589" s="859"/>
      <c r="BT589" s="929">
        <f>DIVISIONS!BT755</f>
        <v>0</v>
      </c>
      <c r="BU589" s="929">
        <f>DIVISIONS!BU755</f>
        <v>0</v>
      </c>
      <c r="BV589" s="929">
        <f>BT589+BU589</f>
        <v>0</v>
      </c>
      <c r="BW589" s="859"/>
      <c r="BX589" s="929">
        <f>DIVISIONS!BX755</f>
        <v>0</v>
      </c>
      <c r="BY589" s="929">
        <f>DIVISIONS!BY755</f>
        <v>0</v>
      </c>
      <c r="BZ589" s="929">
        <f>BX589+BY589</f>
        <v>0</v>
      </c>
      <c r="CA589" s="859"/>
      <c r="CB589" s="929">
        <f>DIVISIONS!CB755</f>
        <v>0</v>
      </c>
      <c r="CC589" s="929">
        <f>DIVISIONS!CC755</f>
        <v>0</v>
      </c>
      <c r="CD589" s="929">
        <f>CB589+CC589</f>
        <v>0</v>
      </c>
      <c r="CE589" s="1619"/>
      <c r="CF589" s="929">
        <f>DIVISIONS!CF755</f>
        <v>0</v>
      </c>
      <c r="CG589" s="929">
        <f>DIVISIONS!CG755</f>
        <v>0</v>
      </c>
      <c r="CH589" s="929">
        <f>CF589+CG589</f>
        <v>0</v>
      </c>
      <c r="CI589" s="1619"/>
      <c r="CJ589" s="929">
        <f>DIVISIONS!CJ755</f>
        <v>0</v>
      </c>
      <c r="CK589" s="929">
        <f>DIVISIONS!CK755</f>
        <v>0</v>
      </c>
      <c r="CL589" s="929">
        <f>CJ589+CK589</f>
        <v>0</v>
      </c>
      <c r="CM589" s="1619"/>
      <c r="CN589" s="929">
        <f>DIVISIONS!CN755</f>
        <v>0</v>
      </c>
      <c r="CO589" s="929">
        <f>DIVISIONS!CO755</f>
        <v>0</v>
      </c>
      <c r="CP589" s="929">
        <f>CN589+CO589</f>
        <v>0</v>
      </c>
      <c r="CQ589" s="1619"/>
      <c r="CR589" s="929">
        <f>DIVISIONS!CR755</f>
        <v>0</v>
      </c>
      <c r="CS589" s="929">
        <f>DIVISIONS!CS755</f>
        <v>0</v>
      </c>
      <c r="CT589" s="929">
        <f>CR589+CS589</f>
        <v>0</v>
      </c>
      <c r="CU589" s="859"/>
      <c r="CV589" s="929">
        <f>DIVISIONS!CV755</f>
        <v>0</v>
      </c>
      <c r="CW589" s="929">
        <f>DIVISIONS!CW755</f>
        <v>0</v>
      </c>
      <c r="CX589" s="929">
        <f>CV589+CW589</f>
        <v>0</v>
      </c>
      <c r="CY589" s="859"/>
      <c r="CZ589" s="929">
        <f>DIVISIONS!CZ755</f>
        <v>0</v>
      </c>
      <c r="DA589" s="929">
        <f>DIVISIONS!DA755</f>
        <v>0</v>
      </c>
      <c r="DB589" s="929">
        <f>CZ589+DA589</f>
        <v>0</v>
      </c>
      <c r="DC589" s="859"/>
      <c r="DD589" s="929">
        <f>DIVISIONS!DD755</f>
        <v>0</v>
      </c>
      <c r="DE589" s="929">
        <f>DIVISIONS!DE755</f>
        <v>0</v>
      </c>
      <c r="DF589" s="929">
        <f>DD589+DE589</f>
        <v>0</v>
      </c>
      <c r="DG589" s="859"/>
      <c r="DH589" s="929">
        <f>DIVISIONS!DH755</f>
        <v>0</v>
      </c>
      <c r="DI589" s="859">
        <v>0</v>
      </c>
      <c r="DJ589" s="929">
        <f>DH589+DI589</f>
        <v>0</v>
      </c>
      <c r="DK589" s="859"/>
      <c r="DL589" s="859">
        <v>0</v>
      </c>
      <c r="DM589" s="859">
        <v>0</v>
      </c>
      <c r="DN589" s="929">
        <f>DL589+DM589</f>
        <v>0</v>
      </c>
      <c r="DO589" s="929"/>
      <c r="DP589" s="859">
        <v>0</v>
      </c>
      <c r="DQ589" s="859">
        <v>0</v>
      </c>
      <c r="DR589" s="929">
        <f>DP589+DQ589</f>
        <v>0</v>
      </c>
      <c r="DS589" s="929"/>
      <c r="DT589" s="859"/>
      <c r="DU589" s="859"/>
      <c r="DV589" s="859"/>
      <c r="DW589" s="859"/>
      <c r="DX589" s="929"/>
      <c r="DY589" s="857"/>
      <c r="DZ589" s="859"/>
      <c r="EA589" s="859"/>
      <c r="EB589" s="929"/>
      <c r="EC589" s="857"/>
      <c r="ED589" s="859"/>
      <c r="EE589" s="859"/>
      <c r="EF589" s="929"/>
      <c r="EG589" s="857"/>
      <c r="EH589" s="857"/>
      <c r="EI589" s="857"/>
      <c r="EJ589" s="857"/>
      <c r="EK589" s="857"/>
      <c r="EL589" s="857"/>
      <c r="EM589" s="857"/>
      <c r="EN589" s="857"/>
      <c r="EO589" s="857"/>
      <c r="EP589" s="857"/>
      <c r="FL589" s="855"/>
      <c r="FM589" s="855"/>
      <c r="FN589" s="855"/>
      <c r="FO589" s="855"/>
      <c r="FP589" s="855"/>
      <c r="FQ589" s="855"/>
      <c r="FR589" s="855"/>
      <c r="FS589" s="855"/>
      <c r="FT589" s="855"/>
      <c r="FU589" s="855"/>
      <c r="FV589" s="855"/>
      <c r="FW589" s="855"/>
      <c r="FX589" s="855"/>
      <c r="FY589" s="855"/>
      <c r="FZ589" s="855"/>
      <c r="GA589" s="855"/>
      <c r="GB589" s="855"/>
      <c r="GC589" s="855"/>
      <c r="GD589" s="855"/>
      <c r="GE589" s="855"/>
      <c r="GF589" s="855"/>
      <c r="GG589" s="855"/>
      <c r="GH589" s="855"/>
      <c r="GI589" s="855"/>
      <c r="GJ589" s="855"/>
      <c r="GK589" s="855"/>
      <c r="GL589" s="855"/>
      <c r="GM589" s="855"/>
      <c r="GN589" s="855"/>
      <c r="GO589" s="855"/>
      <c r="GP589" s="855"/>
      <c r="GQ589" s="855"/>
      <c r="GR589" s="855"/>
      <c r="GS589" s="855"/>
      <c r="GT589" s="855"/>
      <c r="GU589" s="855"/>
      <c r="GV589" s="855"/>
      <c r="GW589" s="855"/>
      <c r="GX589" s="855"/>
      <c r="GY589" s="855"/>
      <c r="GZ589" s="855"/>
      <c r="HA589" s="855"/>
      <c r="HB589" s="855"/>
      <c r="HC589" s="855"/>
      <c r="HD589" s="855"/>
      <c r="HE589" s="855"/>
      <c r="HF589" s="855"/>
      <c r="HG589" s="855"/>
      <c r="HH589" s="855"/>
      <c r="HI589" s="855"/>
      <c r="HJ589" s="855"/>
      <c r="HK589" s="855"/>
      <c r="HL589" s="855"/>
      <c r="HM589" s="855"/>
      <c r="HN589" s="855"/>
      <c r="HO589" s="855"/>
      <c r="HP589" s="855"/>
      <c r="HQ589" s="855"/>
      <c r="HR589" s="855"/>
      <c r="HS589" s="855"/>
      <c r="HT589" s="855"/>
      <c r="HU589" s="855"/>
      <c r="HV589" s="855"/>
      <c r="HW589" s="855"/>
      <c r="HX589" s="855"/>
      <c r="HY589" s="855"/>
      <c r="HZ589" s="855"/>
      <c r="IA589" s="855"/>
      <c r="IB589" s="855"/>
      <c r="IC589" s="855"/>
      <c r="ID589" s="855"/>
      <c r="IE589" s="855"/>
      <c r="IF589" s="855"/>
      <c r="IG589" s="855"/>
      <c r="IH589" s="855"/>
      <c r="II589" s="855"/>
      <c r="IJ589" s="855"/>
      <c r="IK589" s="855"/>
      <c r="IL589" s="855"/>
      <c r="IM589" s="855"/>
      <c r="IN589" s="855"/>
      <c r="IO589" s="855"/>
      <c r="IP589" s="855"/>
      <c r="IQ589" s="855"/>
      <c r="IR589" s="855"/>
      <c r="IS589" s="855"/>
      <c r="IT589" s="855"/>
      <c r="IU589" s="855"/>
      <c r="IV589" s="855"/>
      <c r="IW589" s="855"/>
      <c r="IX589" s="855"/>
      <c r="IY589" s="855"/>
      <c r="IZ589" s="855"/>
      <c r="JA589" s="855"/>
      <c r="JB589" s="855"/>
      <c r="JC589" s="855"/>
      <c r="JD589" s="855"/>
      <c r="JE589" s="855"/>
      <c r="JF589" s="855"/>
      <c r="JG589" s="855"/>
      <c r="JH589" s="855"/>
      <c r="JI589" s="855"/>
      <c r="JJ589" s="855"/>
      <c r="JK589" s="855"/>
      <c r="JL589" s="855"/>
      <c r="JM589"/>
    </row>
    <row r="590" spans="1:273" s="855" customFormat="1">
      <c r="A590" s="289" t="s">
        <v>613</v>
      </c>
      <c r="B590" s="290"/>
      <c r="C590" s="289"/>
      <c r="D590" s="289"/>
      <c r="E590" s="289"/>
      <c r="F590" s="289"/>
      <c r="G590" s="289"/>
      <c r="H590" s="289"/>
      <c r="I590" s="289"/>
      <c r="J590" s="289"/>
      <c r="K590" s="289"/>
      <c r="L590" s="289"/>
      <c r="M590" s="289"/>
      <c r="N590" s="289"/>
      <c r="O590" s="289"/>
      <c r="P590" s="289"/>
      <c r="Q590" s="289"/>
      <c r="R590" s="289"/>
      <c r="S590" s="289"/>
      <c r="T590" s="289"/>
      <c r="U590" s="289"/>
      <c r="V590" s="289"/>
      <c r="W590" s="289"/>
      <c r="X590" s="289"/>
      <c r="Y590" s="289"/>
      <c r="Z590" s="289"/>
      <c r="AA590" s="289"/>
      <c r="AB590" s="289"/>
      <c r="AC590" s="289"/>
      <c r="AD590" s="289"/>
      <c r="AE590" s="289"/>
      <c r="AF590" s="289"/>
      <c r="AG590" s="289"/>
      <c r="AH590" s="289"/>
      <c r="AI590" s="289"/>
      <c r="AJ590" s="289"/>
      <c r="AK590" s="289"/>
      <c r="AL590" s="289"/>
      <c r="AM590" s="289"/>
      <c r="AN590" s="290"/>
      <c r="AO590" s="290"/>
      <c r="AP590" s="853">
        <f>SUM(AP582:AP589)</f>
        <v>0</v>
      </c>
      <c r="AQ590" s="290"/>
      <c r="AR590" s="290"/>
      <c r="AS590" s="290"/>
      <c r="AT590" s="853">
        <f>SUM(AT582:AT589)</f>
        <v>0</v>
      </c>
      <c r="AU590" s="290"/>
      <c r="AV590" s="853">
        <f>SUM(AV582:AV589)</f>
        <v>345</v>
      </c>
      <c r="AW590" s="853">
        <f>SUM(AW582:AW589)</f>
        <v>83</v>
      </c>
      <c r="AX590" s="853"/>
      <c r="AY590" s="820"/>
      <c r="AZ590" s="853">
        <f>SUM(AZ582:AZ589)</f>
        <v>0</v>
      </c>
      <c r="BA590" s="853">
        <f>SUM(BA582:BA589)</f>
        <v>14</v>
      </c>
      <c r="BB590" s="853"/>
      <c r="BC590" s="853"/>
      <c r="BD590" s="853">
        <f>SUM(BD582:BD589)</f>
        <v>0</v>
      </c>
      <c r="BE590" s="853">
        <f>SUM(BE582:BE589)</f>
        <v>0</v>
      </c>
      <c r="BF590" s="818">
        <f t="shared" si="660"/>
        <v>0</v>
      </c>
      <c r="BG590" s="853"/>
      <c r="BH590" s="853">
        <f>SUM(BH582:BH589)</f>
        <v>0</v>
      </c>
      <c r="BI590" s="853">
        <f>SUM(BI582:BI589)</f>
        <v>0</v>
      </c>
      <c r="BJ590" s="818">
        <f>BH590+BI590</f>
        <v>0</v>
      </c>
      <c r="BK590" s="853"/>
      <c r="BL590" s="853">
        <f>SUM(BL582:BL589)</f>
        <v>0</v>
      </c>
      <c r="BM590" s="853">
        <f>SUM(BM582:BM589)</f>
        <v>0</v>
      </c>
      <c r="BN590" s="818">
        <f>BL590+BM590</f>
        <v>0</v>
      </c>
      <c r="BO590" s="853"/>
      <c r="BP590" s="853">
        <f>SUM(BP582:BP589)</f>
        <v>0</v>
      </c>
      <c r="BQ590" s="853">
        <f>SUM(BQ582:BQ589)</f>
        <v>0</v>
      </c>
      <c r="BR590" s="818">
        <f>BP590+BQ590</f>
        <v>0</v>
      </c>
      <c r="BS590" s="853"/>
      <c r="BT590" s="853">
        <f>SUM(BT582:BT589)</f>
        <v>0</v>
      </c>
      <c r="BU590" s="853">
        <f>SUM(BU582:BU589)</f>
        <v>0</v>
      </c>
      <c r="BV590" s="818">
        <f>BT590+BU590</f>
        <v>0</v>
      </c>
      <c r="BW590" s="853"/>
      <c r="BX590" s="853">
        <f>SUM(BX582:BX589)</f>
        <v>0</v>
      </c>
      <c r="BY590" s="853">
        <f>SUM(BY582:BY589)</f>
        <v>0</v>
      </c>
      <c r="BZ590" s="818">
        <f>BX590+BY590</f>
        <v>0</v>
      </c>
      <c r="CA590" s="853"/>
      <c r="CB590" s="853">
        <f>SUM(CB582:CB589)</f>
        <v>0</v>
      </c>
      <c r="CC590" s="853">
        <f>SUM(CC582:CC589)</f>
        <v>0</v>
      </c>
      <c r="CD590" s="818">
        <f>CB590+CC590</f>
        <v>0</v>
      </c>
      <c r="CE590" s="862"/>
      <c r="CF590" s="853">
        <f>SUM(CF582:CF589)</f>
        <v>0</v>
      </c>
      <c r="CG590" s="853">
        <f>SUM(CG582:CG589)</f>
        <v>0</v>
      </c>
      <c r="CH590" s="818">
        <f>CF590+CG590</f>
        <v>0</v>
      </c>
      <c r="CI590" s="862"/>
      <c r="CJ590" s="853">
        <f>SUM(CJ582:CJ589)</f>
        <v>0</v>
      </c>
      <c r="CK590" s="853">
        <f>SUM(CK582:CK589)</f>
        <v>0</v>
      </c>
      <c r="CL590" s="818">
        <f>CJ590+CK590</f>
        <v>0</v>
      </c>
      <c r="CM590" s="862"/>
      <c r="CN590" s="853">
        <f>SUM(CN582:CN589)</f>
        <v>0</v>
      </c>
      <c r="CO590" s="853">
        <f>SUM(CO582:CO589)</f>
        <v>0</v>
      </c>
      <c r="CP590" s="818">
        <f>CN590+CO590</f>
        <v>0</v>
      </c>
      <c r="CQ590" s="862"/>
      <c r="CR590" s="853">
        <f>SUM(CR582:CR589)</f>
        <v>0</v>
      </c>
      <c r="CS590" s="853">
        <f>SUM(CS582:CS589)</f>
        <v>0</v>
      </c>
      <c r="CT590" s="818">
        <f>CR590+CS590</f>
        <v>0</v>
      </c>
      <c r="CU590" s="853"/>
      <c r="CV590" s="853">
        <f>SUM(CV582:CV589)</f>
        <v>0</v>
      </c>
      <c r="CW590" s="853">
        <f>SUM(CW582:CW589)</f>
        <v>0</v>
      </c>
      <c r="CX590" s="818">
        <f>CV590+CW590</f>
        <v>0</v>
      </c>
      <c r="CY590" s="853"/>
      <c r="CZ590" s="853">
        <f>SUM(CZ582:CZ589)</f>
        <v>0</v>
      </c>
      <c r="DA590" s="853">
        <f>SUM(DA582:DA589)</f>
        <v>0</v>
      </c>
      <c r="DB590" s="818">
        <f>CZ590+DA590</f>
        <v>0</v>
      </c>
      <c r="DC590" s="853"/>
      <c r="DD590" s="853">
        <f>SUM(DD582:DD589)</f>
        <v>0</v>
      </c>
      <c r="DE590" s="853">
        <f>SUM(DE582:DE589)</f>
        <v>0</v>
      </c>
      <c r="DF590" s="818">
        <f>DD590+DE590</f>
        <v>0</v>
      </c>
      <c r="DG590" s="853"/>
      <c r="DH590" s="853">
        <f>SUM(DH582:DH589)</f>
        <v>0</v>
      </c>
      <c r="DI590" s="853">
        <f>SUM(DI582:DI589)</f>
        <v>0</v>
      </c>
      <c r="DJ590" s="818">
        <f>DH590+DI590</f>
        <v>0</v>
      </c>
      <c r="DK590" s="853"/>
      <c r="DL590" s="853">
        <f>SUM(DL582:DL589)</f>
        <v>0</v>
      </c>
      <c r="DM590" s="853">
        <f>SUM(DM582:DM589)</f>
        <v>0</v>
      </c>
      <c r="DN590" s="818">
        <f>DL590+DM590</f>
        <v>0</v>
      </c>
      <c r="DO590" s="818"/>
      <c r="DP590" s="853">
        <f>SUM(DP582:DP589)</f>
        <v>0</v>
      </c>
      <c r="DQ590" s="853">
        <f>SUM(DQ582:DQ589)</f>
        <v>0</v>
      </c>
      <c r="DR590" s="818">
        <f>DP590+DQ590</f>
        <v>0</v>
      </c>
      <c r="DS590" s="818"/>
      <c r="DT590" s="853"/>
      <c r="DU590" s="853"/>
      <c r="DV590" s="853"/>
      <c r="DW590" s="853"/>
      <c r="DX590" s="818"/>
      <c r="DY590" s="853"/>
      <c r="DZ590" s="853"/>
      <c r="EA590" s="853"/>
      <c r="EB590" s="818"/>
      <c r="EC590" s="853"/>
      <c r="ED590" s="853"/>
      <c r="EE590" s="853"/>
      <c r="EF590" s="818"/>
      <c r="EG590" s="853"/>
      <c r="EH590" s="853"/>
      <c r="EI590" s="853"/>
      <c r="EJ590" s="853"/>
      <c r="EK590" s="853"/>
      <c r="EL590" s="853"/>
      <c r="EM590" s="853"/>
      <c r="EN590" s="853"/>
      <c r="EO590" s="853"/>
      <c r="EP590" s="853"/>
      <c r="JM590"/>
    </row>
    <row r="591" spans="1:273" s="855" customFormat="1">
      <c r="A591" s="289"/>
      <c r="B591" s="290"/>
      <c r="C591" s="289"/>
      <c r="D591" s="289"/>
      <c r="E591" s="289"/>
      <c r="F591" s="289"/>
      <c r="G591" s="289"/>
      <c r="H591" s="289"/>
      <c r="I591" s="289"/>
      <c r="J591" s="289"/>
      <c r="K591" s="289"/>
      <c r="L591" s="289"/>
      <c r="M591" s="289"/>
      <c r="N591" s="289"/>
      <c r="O591" s="289"/>
      <c r="P591" s="289"/>
      <c r="Q591" s="289"/>
      <c r="R591" s="289"/>
      <c r="S591" s="289"/>
      <c r="T591" s="289"/>
      <c r="U591" s="289"/>
      <c r="V591" s="289"/>
      <c r="W591" s="289"/>
      <c r="X591" s="289"/>
      <c r="Y591" s="289"/>
      <c r="Z591" s="289"/>
      <c r="AA591" s="289"/>
      <c r="AB591" s="289"/>
      <c r="AC591" s="289"/>
      <c r="AD591" s="289"/>
      <c r="AE591" s="289"/>
      <c r="AF591" s="289"/>
      <c r="AG591" s="289"/>
      <c r="AH591" s="289"/>
      <c r="AI591" s="289"/>
      <c r="AJ591" s="289"/>
      <c r="AK591" s="289"/>
      <c r="AL591" s="289"/>
      <c r="AM591" s="289"/>
      <c r="AN591" s="290"/>
      <c r="AO591" s="290"/>
      <c r="AP591" s="290"/>
      <c r="AQ591" s="290"/>
      <c r="AR591" s="290"/>
      <c r="AS591" s="290"/>
      <c r="AT591" s="290"/>
      <c r="AU591" s="290"/>
      <c r="AV591" s="853"/>
      <c r="AW591" s="853"/>
      <c r="AX591" s="853"/>
      <c r="AY591" s="820"/>
      <c r="AZ591" s="853"/>
      <c r="BA591" s="853"/>
      <c r="BB591" s="853"/>
      <c r="BC591" s="853"/>
      <c r="BD591" s="967"/>
      <c r="BE591" s="967"/>
      <c r="BF591" s="853"/>
      <c r="BG591" s="853"/>
      <c r="BH591" s="967"/>
      <c r="BI591" s="967"/>
      <c r="BJ591" s="853"/>
      <c r="BK591" s="853"/>
      <c r="BL591" s="967"/>
      <c r="BM591" s="967"/>
      <c r="BN591" s="853"/>
      <c r="BO591" s="853"/>
      <c r="BP591" s="967"/>
      <c r="BQ591" s="967"/>
      <c r="BR591" s="853"/>
      <c r="BS591" s="853"/>
      <c r="BT591" s="967"/>
      <c r="BU591" s="967"/>
      <c r="BV591" s="853"/>
      <c r="BW591" s="853"/>
      <c r="BX591" s="967"/>
      <c r="BY591" s="967"/>
      <c r="BZ591" s="853"/>
      <c r="CA591" s="853"/>
      <c r="CB591" s="967"/>
      <c r="CC591" s="967"/>
      <c r="CD591" s="853"/>
      <c r="CE591" s="862"/>
      <c r="CF591" s="967"/>
      <c r="CG591" s="967"/>
      <c r="CH591" s="853"/>
      <c r="CI591" s="862"/>
      <c r="CJ591" s="967"/>
      <c r="CK591" s="967"/>
      <c r="CL591" s="853"/>
      <c r="CM591" s="862"/>
      <c r="CN591" s="967"/>
      <c r="CO591" s="967"/>
      <c r="CP591" s="853"/>
      <c r="CQ591" s="862"/>
      <c r="CR591" s="967"/>
      <c r="CS591" s="967"/>
      <c r="CT591" s="853"/>
      <c r="CU591" s="853"/>
      <c r="CV591" s="967"/>
      <c r="CW591" s="967"/>
      <c r="CX591" s="853"/>
      <c r="CY591" s="853"/>
      <c r="CZ591" s="967"/>
      <c r="DA591" s="967"/>
      <c r="DB591" s="853"/>
      <c r="DC591" s="853"/>
      <c r="DD591" s="967"/>
      <c r="DE591" s="967"/>
      <c r="DF591" s="853"/>
      <c r="DG591" s="853"/>
      <c r="DH591" s="967"/>
      <c r="DI591" s="967"/>
      <c r="DJ591" s="853"/>
      <c r="DK591" s="853"/>
      <c r="DL591" s="967"/>
      <c r="DM591" s="967"/>
      <c r="DN591" s="853"/>
      <c r="DO591" s="853"/>
      <c r="DP591" s="967"/>
      <c r="DQ591" s="967"/>
      <c r="DR591" s="853"/>
      <c r="DS591" s="853"/>
      <c r="DT591" s="853"/>
      <c r="DU591" s="967"/>
      <c r="DV591" s="967"/>
      <c r="DW591" s="967"/>
      <c r="DX591" s="853"/>
      <c r="DY591" s="853"/>
      <c r="DZ591" s="967"/>
      <c r="EA591" s="967"/>
      <c r="EB591" s="853"/>
      <c r="EC591" s="853"/>
      <c r="ED591" s="967"/>
      <c r="EE591" s="967"/>
      <c r="EF591" s="853"/>
      <c r="EG591" s="853"/>
      <c r="EH591" s="853"/>
      <c r="EI591" s="853"/>
      <c r="EJ591" s="853"/>
      <c r="EK591" s="853"/>
      <c r="EL591" s="853"/>
      <c r="EM591" s="853"/>
      <c r="EN591" s="853"/>
      <c r="EO591" s="853"/>
      <c r="EP591" s="853"/>
      <c r="JM591"/>
    </row>
    <row r="592" spans="1:273" s="971" customFormat="1">
      <c r="A592" s="866" t="s">
        <v>824</v>
      </c>
      <c r="B592" s="925"/>
      <c r="C592" s="866"/>
      <c r="D592" s="866"/>
      <c r="E592" s="866"/>
      <c r="F592" s="866"/>
      <c r="G592" s="866"/>
      <c r="H592" s="866"/>
      <c r="I592" s="866"/>
      <c r="J592" s="866"/>
      <c r="K592" s="866"/>
      <c r="L592" s="866"/>
      <c r="M592" s="866"/>
      <c r="N592" s="866"/>
      <c r="O592" s="866"/>
      <c r="P592" s="866"/>
      <c r="Q592" s="866"/>
      <c r="R592" s="866"/>
      <c r="S592" s="866"/>
      <c r="T592" s="866"/>
      <c r="U592" s="866"/>
      <c r="V592" s="866"/>
      <c r="W592" s="866"/>
      <c r="X592" s="866"/>
      <c r="Y592" s="866"/>
      <c r="Z592" s="866"/>
      <c r="AA592" s="866"/>
      <c r="AB592" s="866"/>
      <c r="AC592" s="866"/>
      <c r="AD592" s="866"/>
      <c r="AE592" s="866"/>
      <c r="AF592" s="866"/>
      <c r="AG592" s="866"/>
      <c r="AH592" s="866"/>
      <c r="AI592" s="866"/>
      <c r="AJ592" s="866"/>
      <c r="AK592" s="866"/>
      <c r="AL592" s="866"/>
      <c r="AM592" s="866"/>
      <c r="AN592" s="925"/>
      <c r="AO592" s="925"/>
      <c r="AP592" s="925"/>
      <c r="AQ592" s="925"/>
      <c r="AR592" s="925"/>
      <c r="AS592" s="925"/>
      <c r="AT592" s="925"/>
      <c r="AU592" s="925"/>
      <c r="AV592" s="968"/>
      <c r="AW592" s="968"/>
      <c r="AX592" s="968"/>
      <c r="AY592" s="969"/>
      <c r="AZ592" s="968"/>
      <c r="BA592" s="968"/>
      <c r="BB592" s="968"/>
      <c r="BC592" s="968"/>
      <c r="BD592" s="970"/>
      <c r="BE592" s="970"/>
      <c r="BF592" s="968"/>
      <c r="BG592" s="968"/>
      <c r="BH592" s="970"/>
      <c r="BI592" s="970"/>
      <c r="BJ592" s="968"/>
      <c r="BK592" s="968"/>
      <c r="BL592" s="970"/>
      <c r="BM592" s="970"/>
      <c r="BN592" s="968"/>
      <c r="BO592" s="968"/>
      <c r="BP592" s="970"/>
      <c r="BQ592" s="970"/>
      <c r="BR592" s="968"/>
      <c r="BS592" s="968"/>
      <c r="BT592" s="970"/>
      <c r="BU592" s="970"/>
      <c r="BV592" s="968"/>
      <c r="BW592" s="968"/>
      <c r="BX592" s="970"/>
      <c r="BY592" s="970"/>
      <c r="BZ592" s="968"/>
      <c r="CA592" s="968"/>
      <c r="CB592" s="970"/>
      <c r="CC592" s="970"/>
      <c r="CD592" s="968"/>
      <c r="CE592" s="1617"/>
      <c r="CF592" s="970"/>
      <c r="CG592" s="970"/>
      <c r="CH592" s="968"/>
      <c r="CI592" s="1617"/>
      <c r="CJ592" s="970"/>
      <c r="CK592" s="970"/>
      <c r="CL592" s="968"/>
      <c r="CM592" s="1617"/>
      <c r="CN592" s="970"/>
      <c r="CO592" s="970"/>
      <c r="CP592" s="968"/>
      <c r="CQ592" s="1617"/>
      <c r="CR592" s="970"/>
      <c r="CS592" s="970"/>
      <c r="CT592" s="968"/>
      <c r="CU592" s="968"/>
      <c r="CV592" s="970"/>
      <c r="CW592" s="970"/>
      <c r="CX592" s="968"/>
      <c r="CY592" s="968"/>
      <c r="CZ592" s="970"/>
      <c r="DA592" s="970"/>
      <c r="DB592" s="968"/>
      <c r="DC592" s="968"/>
      <c r="DD592" s="970"/>
      <c r="DE592" s="970"/>
      <c r="DF592" s="968"/>
      <c r="DG592" s="968"/>
      <c r="DH592" s="970"/>
      <c r="DI592" s="970"/>
      <c r="DJ592" s="968"/>
      <c r="DK592" s="968"/>
      <c r="DL592" s="970"/>
      <c r="DM592" s="970"/>
      <c r="DN592" s="968"/>
      <c r="DO592" s="968"/>
      <c r="DP592" s="970"/>
      <c r="DQ592" s="970"/>
      <c r="DR592" s="968"/>
      <c r="DS592" s="968"/>
      <c r="DT592" s="968"/>
      <c r="DU592" s="970"/>
      <c r="DV592" s="970"/>
      <c r="DW592" s="970"/>
      <c r="DX592" s="968"/>
      <c r="DY592" s="968"/>
      <c r="DZ592" s="970"/>
      <c r="EA592" s="970"/>
      <c r="EB592" s="968"/>
      <c r="EC592" s="968"/>
      <c r="ED592" s="970"/>
      <c r="EE592" s="970"/>
      <c r="EF592" s="968"/>
      <c r="EG592" s="968"/>
      <c r="EH592" s="968"/>
      <c r="EI592" s="968"/>
      <c r="EJ592" s="968"/>
      <c r="EK592" s="968"/>
      <c r="EL592" s="968"/>
      <c r="EM592" s="968"/>
      <c r="EN592" s="968"/>
      <c r="EO592" s="968"/>
      <c r="EP592" s="968"/>
      <c r="FL592" s="855"/>
      <c r="FM592" s="855"/>
      <c r="FN592" s="855"/>
      <c r="FO592" s="855"/>
      <c r="FP592" s="855"/>
      <c r="FQ592" s="855"/>
      <c r="FR592" s="855"/>
      <c r="FS592" s="855"/>
      <c r="FT592" s="855"/>
      <c r="FU592" s="855"/>
      <c r="FV592" s="855"/>
      <c r="FW592" s="855"/>
      <c r="FX592" s="855"/>
      <c r="FY592" s="855"/>
      <c r="FZ592" s="855"/>
      <c r="GA592" s="855"/>
      <c r="GB592" s="855"/>
      <c r="GC592" s="855"/>
      <c r="GD592" s="855"/>
      <c r="GE592" s="855"/>
      <c r="GF592" s="855"/>
      <c r="GG592" s="855"/>
      <c r="GH592" s="855"/>
      <c r="GI592" s="855"/>
      <c r="GJ592" s="855"/>
      <c r="GK592" s="855"/>
      <c r="GL592" s="855"/>
      <c r="GM592" s="855"/>
      <c r="GN592" s="855"/>
      <c r="GO592" s="855"/>
      <c r="GP592" s="855"/>
      <c r="GQ592" s="855"/>
      <c r="GR592" s="855"/>
      <c r="GS592" s="855"/>
      <c r="GT592" s="855"/>
      <c r="GU592" s="855"/>
      <c r="GV592" s="855"/>
      <c r="GW592" s="855"/>
      <c r="GX592" s="855"/>
      <c r="GY592" s="855"/>
      <c r="GZ592" s="855"/>
      <c r="HA592" s="855"/>
      <c r="HB592" s="855"/>
      <c r="HC592" s="855"/>
      <c r="HD592" s="855"/>
      <c r="HE592" s="855"/>
      <c r="HF592" s="855"/>
      <c r="HG592" s="855"/>
      <c r="HH592" s="855"/>
      <c r="HI592" s="855"/>
      <c r="HJ592" s="855"/>
      <c r="HK592" s="855"/>
      <c r="HL592" s="855"/>
      <c r="HM592" s="855"/>
      <c r="HN592" s="855"/>
      <c r="HO592" s="855"/>
      <c r="HP592" s="855"/>
      <c r="HQ592" s="855"/>
      <c r="HR592" s="855"/>
      <c r="HS592" s="855"/>
      <c r="HT592" s="855"/>
      <c r="HU592" s="855"/>
      <c r="HV592" s="855"/>
      <c r="HW592" s="855"/>
      <c r="HX592" s="855"/>
      <c r="HY592" s="855"/>
      <c r="HZ592" s="855"/>
      <c r="IA592" s="855"/>
      <c r="IB592" s="855"/>
      <c r="IC592" s="855"/>
      <c r="ID592" s="855"/>
      <c r="IE592" s="855"/>
      <c r="IF592" s="855"/>
      <c r="IG592" s="855"/>
      <c r="IH592" s="855"/>
      <c r="II592" s="855"/>
      <c r="IJ592" s="855"/>
      <c r="IK592" s="855"/>
      <c r="IL592" s="855"/>
      <c r="IM592" s="855"/>
      <c r="IN592" s="855"/>
      <c r="IO592" s="855"/>
      <c r="IP592" s="855"/>
      <c r="IQ592" s="855"/>
      <c r="IR592" s="855"/>
      <c r="IS592" s="855"/>
      <c r="IT592" s="855"/>
      <c r="IU592" s="855"/>
      <c r="IV592" s="855"/>
      <c r="IW592" s="855"/>
      <c r="IX592" s="855"/>
      <c r="IY592" s="855"/>
      <c r="IZ592" s="855"/>
      <c r="JA592" s="855"/>
      <c r="JB592" s="855"/>
      <c r="JC592" s="855"/>
      <c r="JD592" s="855"/>
      <c r="JE592" s="855"/>
      <c r="JF592" s="855"/>
      <c r="JG592" s="855"/>
      <c r="JH592" s="855"/>
      <c r="JI592" s="855"/>
      <c r="JJ592" s="855"/>
      <c r="JK592" s="855"/>
      <c r="JL592" s="855"/>
      <c r="JM592"/>
    </row>
    <row r="593" spans="1:273" s="860" customFormat="1">
      <c r="A593" s="302" t="s">
        <v>685</v>
      </c>
      <c r="B593" s="298"/>
      <c r="C593" s="296"/>
      <c r="D593" s="296"/>
      <c r="E593" s="296"/>
      <c r="F593" s="296"/>
      <c r="G593" s="296"/>
      <c r="H593" s="296"/>
      <c r="I593" s="296"/>
      <c r="J593" s="296"/>
      <c r="K593" s="296"/>
      <c r="L593" s="296"/>
      <c r="M593" s="296"/>
      <c r="N593" s="296"/>
      <c r="O593" s="296"/>
      <c r="P593" s="296"/>
      <c r="Q593" s="296"/>
      <c r="R593" s="296"/>
      <c r="S593" s="296"/>
      <c r="T593" s="296"/>
      <c r="U593" s="296"/>
      <c r="V593" s="296"/>
      <c r="W593" s="296"/>
      <c r="X593" s="296"/>
      <c r="Y593" s="296"/>
      <c r="Z593" s="296"/>
      <c r="AA593" s="296"/>
      <c r="AB593" s="296"/>
      <c r="AC593" s="296"/>
      <c r="AD593" s="296"/>
      <c r="AE593" s="296"/>
      <c r="AF593" s="296"/>
      <c r="AG593" s="296"/>
      <c r="AH593" s="296"/>
      <c r="AI593" s="296"/>
      <c r="AJ593" s="296"/>
      <c r="AK593" s="296"/>
      <c r="AL593" s="296"/>
      <c r="AM593" s="296"/>
      <c r="AN593" s="298"/>
      <c r="AO593" s="298"/>
      <c r="AP593" s="298"/>
      <c r="AQ593" s="298"/>
      <c r="AR593" s="298"/>
      <c r="AS593" s="298"/>
      <c r="AT593" s="298"/>
      <c r="AU593" s="972">
        <f>SUM(AV593:BZ593)</f>
        <v>0</v>
      </c>
      <c r="AV593" s="973">
        <v>0</v>
      </c>
      <c r="AW593" s="973">
        <v>0</v>
      </c>
      <c r="AX593" s="980"/>
      <c r="AY593" s="633"/>
      <c r="AZ593" s="973">
        <v>0</v>
      </c>
      <c r="BA593" s="973">
        <v>0</v>
      </c>
      <c r="BB593" s="857"/>
      <c r="BC593" s="857"/>
      <c r="BD593" s="973">
        <v>0</v>
      </c>
      <c r="BE593" s="973">
        <v>0</v>
      </c>
      <c r="BF593" s="929">
        <f>BD593+BE593</f>
        <v>0</v>
      </c>
      <c r="BG593" s="974"/>
      <c r="BH593" s="973">
        <v>0</v>
      </c>
      <c r="BI593" s="973">
        <v>0</v>
      </c>
      <c r="BJ593" s="929">
        <f t="shared" ref="BJ593:BJ598" si="661">BH593+BI593</f>
        <v>0</v>
      </c>
      <c r="BK593" s="974"/>
      <c r="BL593" s="973">
        <v>0</v>
      </c>
      <c r="BM593" s="973">
        <v>0</v>
      </c>
      <c r="BN593" s="929">
        <f t="shared" ref="BN593:BN598" si="662">BL593+BM593</f>
        <v>0</v>
      </c>
      <c r="BO593" s="974"/>
      <c r="BP593" s="973">
        <v>0</v>
      </c>
      <c r="BQ593" s="973">
        <v>0</v>
      </c>
      <c r="BR593" s="929">
        <f t="shared" ref="BR593:BR598" si="663">BP593+BQ593</f>
        <v>0</v>
      </c>
      <c r="BS593" s="974"/>
      <c r="BT593" s="973">
        <v>0</v>
      </c>
      <c r="BU593" s="973">
        <v>0</v>
      </c>
      <c r="BV593" s="929">
        <f t="shared" ref="BV593:BV598" si="664">BT593+BU593</f>
        <v>0</v>
      </c>
      <c r="BW593" s="974"/>
      <c r="BX593" s="974"/>
      <c r="BY593" s="974"/>
      <c r="BZ593" s="974"/>
      <c r="CA593" s="974"/>
      <c r="CB593" s="974"/>
      <c r="CC593" s="974"/>
      <c r="CD593" s="974"/>
      <c r="CE593" s="1618"/>
      <c r="CF593" s="974"/>
      <c r="CG593" s="974"/>
      <c r="CH593" s="974"/>
      <c r="CI593" s="1618"/>
      <c r="CJ593" s="974"/>
      <c r="CK593" s="974"/>
      <c r="CL593" s="974"/>
      <c r="CM593" s="1618"/>
      <c r="CN593" s="974"/>
      <c r="CO593" s="974"/>
      <c r="CP593" s="974"/>
      <c r="CQ593" s="1618"/>
      <c r="CR593" s="974"/>
      <c r="CS593" s="974"/>
      <c r="CT593" s="974"/>
      <c r="CU593" s="974"/>
      <c r="CV593" s="974"/>
      <c r="CW593" s="974"/>
      <c r="CX593" s="974"/>
      <c r="CY593" s="974"/>
      <c r="CZ593" s="974"/>
      <c r="DA593" s="974"/>
      <c r="DB593" s="974"/>
      <c r="DC593" s="974"/>
      <c r="DD593" s="974"/>
      <c r="DE593" s="974"/>
      <c r="DF593" s="974"/>
      <c r="DG593" s="974"/>
      <c r="DH593" s="974"/>
      <c r="DI593" s="974"/>
      <c r="DJ593" s="974"/>
      <c r="DK593" s="974"/>
      <c r="DL593" s="974"/>
      <c r="DM593" s="974"/>
      <c r="DN593" s="974"/>
      <c r="DO593" s="929"/>
      <c r="DP593" s="974"/>
      <c r="DQ593" s="974"/>
      <c r="DR593" s="974"/>
      <c r="DS593" s="929"/>
      <c r="DT593" s="974"/>
      <c r="DU593" s="859"/>
      <c r="DV593" s="859"/>
      <c r="DW593" s="859"/>
      <c r="DX593" s="929"/>
      <c r="DY593" s="857"/>
      <c r="DZ593" s="859"/>
      <c r="EA593" s="859"/>
      <c r="EB593" s="929"/>
      <c r="EC593" s="857"/>
      <c r="ED593" s="859"/>
      <c r="EE593" s="859"/>
      <c r="EF593" s="929"/>
      <c r="EG593" s="857"/>
      <c r="EH593" s="857"/>
      <c r="EI593" s="857"/>
      <c r="EJ593" s="857"/>
      <c r="EK593" s="857"/>
      <c r="EL593" s="857"/>
      <c r="EM593" s="857"/>
      <c r="EN593" s="857"/>
      <c r="EO593" s="857"/>
      <c r="EP593" s="857"/>
      <c r="FL593" s="855"/>
      <c r="FM593" s="855"/>
      <c r="FN593" s="855"/>
      <c r="FO593" s="855"/>
      <c r="FP593" s="855"/>
      <c r="FQ593" s="855"/>
      <c r="FR593" s="855"/>
      <c r="FS593" s="855"/>
      <c r="FT593" s="855"/>
      <c r="FU593" s="855"/>
      <c r="FV593" s="855"/>
      <c r="FW593" s="855"/>
      <c r="FX593" s="855"/>
      <c r="FY593" s="855"/>
      <c r="FZ593" s="855"/>
      <c r="GA593" s="855"/>
      <c r="GB593" s="855"/>
      <c r="GC593" s="855"/>
      <c r="GD593" s="855"/>
      <c r="GE593" s="855"/>
      <c r="GF593" s="855"/>
      <c r="GG593" s="855"/>
      <c r="GH593" s="855"/>
      <c r="GI593" s="855"/>
      <c r="GJ593" s="855"/>
      <c r="GK593" s="855"/>
      <c r="GL593" s="855"/>
      <c r="GM593" s="855"/>
      <c r="GN593" s="855"/>
      <c r="GO593" s="855"/>
      <c r="GP593" s="855"/>
      <c r="GQ593" s="855"/>
      <c r="GR593" s="855"/>
      <c r="GS593" s="855"/>
      <c r="GT593" s="855"/>
      <c r="GU593" s="855"/>
      <c r="GV593" s="855"/>
      <c r="GW593" s="855"/>
      <c r="GX593" s="855"/>
      <c r="GY593" s="855"/>
      <c r="GZ593" s="855"/>
      <c r="HA593" s="855"/>
      <c r="HB593" s="855"/>
      <c r="HC593" s="855"/>
      <c r="HD593" s="855"/>
      <c r="HE593" s="855"/>
      <c r="HF593" s="855"/>
      <c r="HG593" s="855"/>
      <c r="HH593" s="855"/>
      <c r="HI593" s="855"/>
      <c r="HJ593" s="855"/>
      <c r="HK593" s="855"/>
      <c r="HL593" s="855"/>
      <c r="HM593" s="855"/>
      <c r="HN593" s="855"/>
      <c r="HO593" s="855"/>
      <c r="HP593" s="855"/>
      <c r="HQ593" s="855"/>
      <c r="HR593" s="855"/>
      <c r="HS593" s="855"/>
      <c r="HT593" s="855"/>
      <c r="HU593" s="855"/>
      <c r="HV593" s="855"/>
      <c r="HW593" s="855"/>
      <c r="HX593" s="855"/>
      <c r="HY593" s="855"/>
      <c r="HZ593" s="855"/>
      <c r="IA593" s="855"/>
      <c r="IB593" s="855"/>
      <c r="IC593" s="855"/>
      <c r="ID593" s="855"/>
      <c r="IE593" s="855"/>
      <c r="IF593" s="855"/>
      <c r="IG593" s="855"/>
      <c r="IH593" s="855"/>
      <c r="II593" s="855"/>
      <c r="IJ593" s="855"/>
      <c r="IK593" s="855"/>
      <c r="IL593" s="855"/>
      <c r="IM593" s="855"/>
      <c r="IN593" s="855"/>
      <c r="IO593" s="855"/>
      <c r="IP593" s="855"/>
      <c r="IQ593" s="855"/>
      <c r="IR593" s="855"/>
      <c r="IS593" s="855"/>
      <c r="IT593" s="855"/>
      <c r="IU593" s="855"/>
      <c r="IV593" s="855"/>
      <c r="IW593" s="855"/>
      <c r="IX593" s="855"/>
      <c r="IY593" s="855"/>
      <c r="IZ593" s="855"/>
      <c r="JA593" s="855"/>
      <c r="JB593" s="855"/>
      <c r="JC593" s="855"/>
      <c r="JD593" s="855"/>
      <c r="JE593" s="855"/>
      <c r="JF593" s="855"/>
      <c r="JG593" s="855"/>
      <c r="JH593" s="855"/>
      <c r="JI593" s="855"/>
      <c r="JJ593" s="855"/>
      <c r="JK593" s="855"/>
      <c r="JL593" s="855"/>
      <c r="JM593"/>
    </row>
    <row r="594" spans="1:273" s="860" customFormat="1">
      <c r="A594" s="302" t="s">
        <v>686</v>
      </c>
      <c r="B594" s="298"/>
      <c r="C594" s="296"/>
      <c r="D594" s="296"/>
      <c r="E594" s="296"/>
      <c r="F594" s="296"/>
      <c r="G594" s="296"/>
      <c r="H594" s="296"/>
      <c r="I594" s="296"/>
      <c r="J594" s="296"/>
      <c r="K594" s="296"/>
      <c r="L594" s="296"/>
      <c r="M594" s="296"/>
      <c r="N594" s="296"/>
      <c r="O594" s="296"/>
      <c r="P594" s="296"/>
      <c r="Q594" s="296"/>
      <c r="R594" s="296"/>
      <c r="S594" s="296"/>
      <c r="T594" s="296"/>
      <c r="U594" s="296"/>
      <c r="V594" s="296"/>
      <c r="W594" s="296"/>
      <c r="X594" s="296"/>
      <c r="Y594" s="296"/>
      <c r="Z594" s="296"/>
      <c r="AA594" s="296"/>
      <c r="AB594" s="296"/>
      <c r="AC594" s="296"/>
      <c r="AD594" s="296"/>
      <c r="AE594" s="296"/>
      <c r="AF594" s="296"/>
      <c r="AG594" s="296"/>
      <c r="AH594" s="296"/>
      <c r="AI594" s="296"/>
      <c r="AJ594" s="296"/>
      <c r="AK594" s="296"/>
      <c r="AL594" s="296"/>
      <c r="AM594" s="296"/>
      <c r="AN594" s="298"/>
      <c r="AO594" s="298"/>
      <c r="AP594" s="929">
        <f>DIVISIONS!AP178</f>
        <v>0</v>
      </c>
      <c r="AQ594" s="298"/>
      <c r="AR594" s="298"/>
      <c r="AS594" s="298"/>
      <c r="AT594" s="929">
        <f>DIVISIONS!AT178</f>
        <v>0</v>
      </c>
      <c r="AU594" s="298"/>
      <c r="AV594" s="929">
        <f>DIVISIONS!AV178</f>
        <v>0</v>
      </c>
      <c r="AW594" s="929">
        <f>DIVISIONS!AW178</f>
        <v>0</v>
      </c>
      <c r="AX594" s="857"/>
      <c r="AY594" s="976"/>
      <c r="AZ594" s="929">
        <f>DIVISIONS!AZ178</f>
        <v>0</v>
      </c>
      <c r="BA594" s="929">
        <f>DIVISIONS!BA178</f>
        <v>0</v>
      </c>
      <c r="BB594" s="857"/>
      <c r="BC594" s="857"/>
      <c r="BD594" s="929">
        <f>DIVISIONS!BD178</f>
        <v>0</v>
      </c>
      <c r="BE594" s="929">
        <f>DIVISIONS!BE178</f>
        <v>0</v>
      </c>
      <c r="BF594" s="929">
        <f t="shared" ref="BF594:BF601" si="665">BD594+BE594</f>
        <v>0</v>
      </c>
      <c r="BG594" s="859"/>
      <c r="BH594" s="929">
        <f>DIVISIONS!BH178</f>
        <v>0</v>
      </c>
      <c r="BI594" s="929">
        <f>DIVISIONS!BI178</f>
        <v>0</v>
      </c>
      <c r="BJ594" s="929">
        <f t="shared" si="661"/>
        <v>0</v>
      </c>
      <c r="BK594" s="859"/>
      <c r="BL594" s="929">
        <f>DIVISIONS!BL178</f>
        <v>0</v>
      </c>
      <c r="BM594" s="929">
        <f>DIVISIONS!BM178</f>
        <v>0</v>
      </c>
      <c r="BN594" s="929">
        <f t="shared" si="662"/>
        <v>0</v>
      </c>
      <c r="BO594" s="859"/>
      <c r="BP594" s="929">
        <f>DIVISIONS!BP178</f>
        <v>0</v>
      </c>
      <c r="BQ594" s="929">
        <f>DIVISIONS!BQ178</f>
        <v>0</v>
      </c>
      <c r="BR594" s="929">
        <f t="shared" si="663"/>
        <v>0</v>
      </c>
      <c r="BS594" s="859"/>
      <c r="BT594" s="929">
        <f>DIVISIONS!BT178</f>
        <v>0</v>
      </c>
      <c r="BU594" s="929">
        <f>DIVISIONS!BU178</f>
        <v>0</v>
      </c>
      <c r="BV594" s="929">
        <f t="shared" si="664"/>
        <v>0</v>
      </c>
      <c r="BW594" s="859"/>
      <c r="BX594" s="929">
        <f>DIVISIONS!BX178</f>
        <v>0</v>
      </c>
      <c r="BY594" s="929">
        <f>DIVISIONS!BY178</f>
        <v>0</v>
      </c>
      <c r="BZ594" s="929">
        <f>BX594+BY594</f>
        <v>0</v>
      </c>
      <c r="CA594" s="859"/>
      <c r="CB594" s="929">
        <f>DIVISIONS!CB178</f>
        <v>0</v>
      </c>
      <c r="CC594" s="929">
        <f>DIVISIONS!CC178</f>
        <v>0</v>
      </c>
      <c r="CD594" s="929">
        <f>CB594+CC594</f>
        <v>0</v>
      </c>
      <c r="CE594" s="1619"/>
      <c r="CF594" s="929">
        <f>DIVISIONS!CF178</f>
        <v>0</v>
      </c>
      <c r="CG594" s="929">
        <f>DIVISIONS!CG178</f>
        <v>0</v>
      </c>
      <c r="CH594" s="929">
        <f>CF594+CG594</f>
        <v>0</v>
      </c>
      <c r="CI594" s="1619"/>
      <c r="CJ594" s="929">
        <f>DIVISIONS!CJ178</f>
        <v>0</v>
      </c>
      <c r="CK594" s="929">
        <f>DIVISIONS!CK178</f>
        <v>0</v>
      </c>
      <c r="CL594" s="929">
        <f>CJ594+CK594</f>
        <v>0</v>
      </c>
      <c r="CM594" s="1619"/>
      <c r="CN594" s="929">
        <f>DIVISIONS!CN178</f>
        <v>0</v>
      </c>
      <c r="CO594" s="929">
        <f>DIVISIONS!CO178</f>
        <v>0</v>
      </c>
      <c r="CP594" s="929">
        <f>CN594+CO594</f>
        <v>0</v>
      </c>
      <c r="CQ594" s="1619"/>
      <c r="CR594" s="929">
        <f>DIVISIONS!CR178</f>
        <v>0</v>
      </c>
      <c r="CS594" s="929">
        <f>DIVISIONS!CS178</f>
        <v>0</v>
      </c>
      <c r="CT594" s="929">
        <f>CR594+CS594</f>
        <v>0</v>
      </c>
      <c r="CU594" s="859"/>
      <c r="CV594" s="929">
        <f>DIVISIONS!CV178</f>
        <v>0</v>
      </c>
      <c r="CW594" s="929">
        <f>DIVISIONS!CW178</f>
        <v>0</v>
      </c>
      <c r="CX594" s="929">
        <f>CV594+CW594</f>
        <v>0</v>
      </c>
      <c r="CY594" s="859"/>
      <c r="CZ594" s="929">
        <f>DIVISIONS!CZ178</f>
        <v>0</v>
      </c>
      <c r="DA594" s="929">
        <f>DIVISIONS!DA178</f>
        <v>0</v>
      </c>
      <c r="DB594" s="929">
        <f>CZ594+DA594</f>
        <v>0</v>
      </c>
      <c r="DC594" s="859"/>
      <c r="DD594" s="929">
        <f>DIVISIONS!DD178</f>
        <v>0</v>
      </c>
      <c r="DE594" s="929">
        <f>DIVISIONS!DE178</f>
        <v>0</v>
      </c>
      <c r="DF594" s="929">
        <f>DD594+DE594</f>
        <v>0</v>
      </c>
      <c r="DG594" s="859"/>
      <c r="DH594" s="929">
        <f>DIVISIONS!DH178</f>
        <v>0</v>
      </c>
      <c r="DI594" s="859">
        <v>0</v>
      </c>
      <c r="DJ594" s="929">
        <f>DH594+DI594</f>
        <v>0</v>
      </c>
      <c r="DK594" s="859"/>
      <c r="DL594" s="859">
        <v>0</v>
      </c>
      <c r="DM594" s="859">
        <v>0</v>
      </c>
      <c r="DN594" s="929">
        <f>DL594+DM594</f>
        <v>0</v>
      </c>
      <c r="DO594" s="929"/>
      <c r="DP594" s="859">
        <v>0</v>
      </c>
      <c r="DQ594" s="859">
        <v>0</v>
      </c>
      <c r="DR594" s="929">
        <f>DP594+DQ594</f>
        <v>0</v>
      </c>
      <c r="DS594" s="929"/>
      <c r="DT594" s="859"/>
      <c r="DU594" s="859"/>
      <c r="DV594" s="859"/>
      <c r="DW594" s="859"/>
      <c r="DX594" s="929"/>
      <c r="DY594" s="857"/>
      <c r="DZ594" s="859"/>
      <c r="EA594" s="859"/>
      <c r="EB594" s="929"/>
      <c r="EC594" s="857"/>
      <c r="ED594" s="859"/>
      <c r="EE594" s="859"/>
      <c r="EF594" s="929"/>
      <c r="EG594" s="857"/>
      <c r="EH594" s="857"/>
      <c r="EI594" s="857"/>
      <c r="EJ594" s="857"/>
      <c r="EK594" s="857"/>
      <c r="EL594" s="857"/>
      <c r="EM594" s="857"/>
      <c r="EN594" s="857"/>
      <c r="EO594" s="857"/>
      <c r="EP594" s="857"/>
      <c r="FL594" s="855"/>
      <c r="FM594" s="855"/>
      <c r="FN594" s="855"/>
      <c r="FO594" s="855"/>
      <c r="FP594" s="855"/>
      <c r="FQ594" s="855"/>
      <c r="FR594" s="855"/>
      <c r="FS594" s="855"/>
      <c r="FT594" s="855"/>
      <c r="FU594" s="855"/>
      <c r="FV594" s="855"/>
      <c r="FW594" s="855"/>
      <c r="FX594" s="855"/>
      <c r="FY594" s="855"/>
      <c r="FZ594" s="855"/>
      <c r="GA594" s="855"/>
      <c r="GB594" s="855"/>
      <c r="GC594" s="855"/>
      <c r="GD594" s="855"/>
      <c r="GE594" s="855"/>
      <c r="GF594" s="855"/>
      <c r="GG594" s="855"/>
      <c r="GH594" s="855"/>
      <c r="GI594" s="855"/>
      <c r="GJ594" s="855"/>
      <c r="GK594" s="855"/>
      <c r="GL594" s="855"/>
      <c r="GM594" s="855"/>
      <c r="GN594" s="855"/>
      <c r="GO594" s="855"/>
      <c r="GP594" s="855"/>
      <c r="GQ594" s="855"/>
      <c r="GR594" s="855"/>
      <c r="GS594" s="855"/>
      <c r="GT594" s="855"/>
      <c r="GU594" s="855"/>
      <c r="GV594" s="855"/>
      <c r="GW594" s="855"/>
      <c r="GX594" s="855"/>
      <c r="GY594" s="855"/>
      <c r="GZ594" s="855"/>
      <c r="HA594" s="855"/>
      <c r="HB594" s="855"/>
      <c r="HC594" s="855"/>
      <c r="HD594" s="855"/>
      <c r="HE594" s="855"/>
      <c r="HF594" s="855"/>
      <c r="HG594" s="855"/>
      <c r="HH594" s="855"/>
      <c r="HI594" s="855"/>
      <c r="HJ594" s="855"/>
      <c r="HK594" s="855"/>
      <c r="HL594" s="855"/>
      <c r="HM594" s="855"/>
      <c r="HN594" s="855"/>
      <c r="HO594" s="855"/>
      <c r="HP594" s="855"/>
      <c r="HQ594" s="855"/>
      <c r="HR594" s="855"/>
      <c r="HS594" s="855"/>
      <c r="HT594" s="855"/>
      <c r="HU594" s="855"/>
      <c r="HV594" s="855"/>
      <c r="HW594" s="855"/>
      <c r="HX594" s="855"/>
      <c r="HY594" s="855"/>
      <c r="HZ594" s="855"/>
      <c r="IA594" s="855"/>
      <c r="IB594" s="855"/>
      <c r="IC594" s="855"/>
      <c r="ID594" s="855"/>
      <c r="IE594" s="855"/>
      <c r="IF594" s="855"/>
      <c r="IG594" s="855"/>
      <c r="IH594" s="855"/>
      <c r="II594" s="855"/>
      <c r="IJ594" s="855"/>
      <c r="IK594" s="855"/>
      <c r="IL594" s="855"/>
      <c r="IM594" s="855"/>
      <c r="IN594" s="855"/>
      <c r="IO594" s="855"/>
      <c r="IP594" s="855"/>
      <c r="IQ594" s="855"/>
      <c r="IR594" s="855"/>
      <c r="IS594" s="855"/>
      <c r="IT594" s="855"/>
      <c r="IU594" s="855"/>
      <c r="IV594" s="855"/>
      <c r="IW594" s="855"/>
      <c r="IX594" s="855"/>
      <c r="IY594" s="855"/>
      <c r="IZ594" s="855"/>
      <c r="JA594" s="855"/>
      <c r="JB594" s="855"/>
      <c r="JC594" s="855"/>
      <c r="JD594" s="855"/>
      <c r="JE594" s="855"/>
      <c r="JF594" s="855"/>
      <c r="JG594" s="855"/>
      <c r="JH594" s="855"/>
      <c r="JI594" s="855"/>
      <c r="JJ594" s="855"/>
      <c r="JK594" s="855"/>
      <c r="JL594" s="855"/>
      <c r="JM594"/>
    </row>
    <row r="595" spans="1:273" s="860" customFormat="1">
      <c r="A595" s="302" t="s">
        <v>616</v>
      </c>
      <c r="B595" s="298"/>
      <c r="C595" s="296"/>
      <c r="D595" s="296"/>
      <c r="E595" s="296"/>
      <c r="F595" s="296"/>
      <c r="G595" s="296"/>
      <c r="H595" s="296"/>
      <c r="I595" s="296"/>
      <c r="J595" s="296"/>
      <c r="K595" s="296"/>
      <c r="L595" s="296"/>
      <c r="M595" s="296"/>
      <c r="N595" s="296"/>
      <c r="O595" s="296"/>
      <c r="P595" s="296"/>
      <c r="Q595" s="296"/>
      <c r="R595" s="296"/>
      <c r="S595" s="296"/>
      <c r="T595" s="296"/>
      <c r="U595" s="296"/>
      <c r="V595" s="296"/>
      <c r="W595" s="296"/>
      <c r="X595" s="296"/>
      <c r="Y595" s="296"/>
      <c r="Z595" s="296"/>
      <c r="AA595" s="296"/>
      <c r="AB595" s="296"/>
      <c r="AC595" s="296"/>
      <c r="AD595" s="296"/>
      <c r="AE595" s="296"/>
      <c r="AF595" s="296"/>
      <c r="AG595" s="296"/>
      <c r="AH595" s="296"/>
      <c r="AI595" s="296"/>
      <c r="AJ595" s="296"/>
      <c r="AK595" s="296"/>
      <c r="AL595" s="296"/>
      <c r="AM595" s="296"/>
      <c r="AN595" s="298"/>
      <c r="AO595" s="298"/>
      <c r="AP595" s="929">
        <f>DIVISIONS!AP432</f>
        <v>0</v>
      </c>
      <c r="AQ595" s="298"/>
      <c r="AR595" s="298"/>
      <c r="AS595" s="298"/>
      <c r="AT595" s="929">
        <f>DIVISIONS!AT432</f>
        <v>0</v>
      </c>
      <c r="AU595" s="298"/>
      <c r="AV595" s="929">
        <f>DIVISIONS!AV432</f>
        <v>0</v>
      </c>
      <c r="AW595" s="929">
        <f>DIVISIONS!AW432</f>
        <v>0</v>
      </c>
      <c r="AX595" s="857"/>
      <c r="AY595" s="976"/>
      <c r="AZ595" s="929">
        <f>DIVISIONS!AZ432</f>
        <v>0</v>
      </c>
      <c r="BA595" s="929">
        <f>DIVISIONS!BA432</f>
        <v>0</v>
      </c>
      <c r="BB595" s="857"/>
      <c r="BC595" s="857"/>
      <c r="BD595" s="929">
        <f>DIVISIONS!BD432</f>
        <v>0</v>
      </c>
      <c r="BE595" s="929">
        <f>DIVISIONS!BE432</f>
        <v>0</v>
      </c>
      <c r="BF595" s="929">
        <f t="shared" si="665"/>
        <v>0</v>
      </c>
      <c r="BG595" s="859"/>
      <c r="BH595" s="929">
        <f>DIVISIONS!BH432</f>
        <v>0</v>
      </c>
      <c r="BI595" s="929">
        <f>DIVISIONS!BI432</f>
        <v>0</v>
      </c>
      <c r="BJ595" s="929">
        <f t="shared" si="661"/>
        <v>0</v>
      </c>
      <c r="BK595" s="859"/>
      <c r="BL595" s="929">
        <f>DIVISIONS!BL432</f>
        <v>0</v>
      </c>
      <c r="BM595" s="929">
        <f>DIVISIONS!BM432</f>
        <v>0</v>
      </c>
      <c r="BN595" s="929">
        <f t="shared" si="662"/>
        <v>0</v>
      </c>
      <c r="BO595" s="859"/>
      <c r="BP595" s="929">
        <f>DIVISIONS!BP432</f>
        <v>0</v>
      </c>
      <c r="BQ595" s="929">
        <f>DIVISIONS!BQ432</f>
        <v>0</v>
      </c>
      <c r="BR595" s="929">
        <f t="shared" si="663"/>
        <v>0</v>
      </c>
      <c r="BS595" s="859"/>
      <c r="BT595" s="929">
        <f>DIVISIONS!BT432</f>
        <v>0</v>
      </c>
      <c r="BU595" s="929">
        <f>DIVISIONS!BU432</f>
        <v>0</v>
      </c>
      <c r="BV595" s="929">
        <f t="shared" si="664"/>
        <v>0</v>
      </c>
      <c r="BW595" s="859"/>
      <c r="BX595" s="929">
        <f>DIVISIONS!BX432</f>
        <v>0</v>
      </c>
      <c r="BY595" s="929">
        <f>DIVISIONS!BY432</f>
        <v>0</v>
      </c>
      <c r="BZ595" s="929">
        <f>BX595+BY595</f>
        <v>0</v>
      </c>
      <c r="CA595" s="859"/>
      <c r="CB595" s="929">
        <f>DIVISIONS!CB432</f>
        <v>0</v>
      </c>
      <c r="CC595" s="929">
        <f>DIVISIONS!CC432</f>
        <v>0</v>
      </c>
      <c r="CD595" s="929">
        <f>CB595+CC595</f>
        <v>0</v>
      </c>
      <c r="CE595" s="1619"/>
      <c r="CF595" s="929">
        <f>DIVISIONS!CF432</f>
        <v>0</v>
      </c>
      <c r="CG595" s="929">
        <f>DIVISIONS!CG432</f>
        <v>0</v>
      </c>
      <c r="CH595" s="929">
        <f>CF595+CG595</f>
        <v>0</v>
      </c>
      <c r="CI595" s="1619"/>
      <c r="CJ595" s="929">
        <f>DIVISIONS!CJ432</f>
        <v>0</v>
      </c>
      <c r="CK595" s="929">
        <f>DIVISIONS!CK432</f>
        <v>0</v>
      </c>
      <c r="CL595" s="929">
        <f>CJ595+CK595</f>
        <v>0</v>
      </c>
      <c r="CM595" s="1619"/>
      <c r="CN595" s="929">
        <f>DIVISIONS!CN432</f>
        <v>0</v>
      </c>
      <c r="CO595" s="929">
        <f>DIVISIONS!CO432</f>
        <v>0</v>
      </c>
      <c r="CP595" s="929">
        <f>CN595+CO595</f>
        <v>0</v>
      </c>
      <c r="CQ595" s="1619"/>
      <c r="CR595" s="929">
        <f>DIVISIONS!CR432</f>
        <v>0</v>
      </c>
      <c r="CS595" s="929">
        <f>DIVISIONS!CS432</f>
        <v>0</v>
      </c>
      <c r="CT595" s="929">
        <f>CR595+CS595</f>
        <v>0</v>
      </c>
      <c r="CU595" s="859"/>
      <c r="CV595" s="929">
        <f>DIVISIONS!CV432</f>
        <v>0</v>
      </c>
      <c r="CW595" s="929">
        <f>DIVISIONS!CW432</f>
        <v>0</v>
      </c>
      <c r="CX595" s="929">
        <f>CV595+CW595</f>
        <v>0</v>
      </c>
      <c r="CY595" s="859"/>
      <c r="CZ595" s="929">
        <f>DIVISIONS!CZ432</f>
        <v>0</v>
      </c>
      <c r="DA595" s="929">
        <f>DIVISIONS!DA432</f>
        <v>0</v>
      </c>
      <c r="DB595" s="929">
        <f>CZ595+DA595</f>
        <v>0</v>
      </c>
      <c r="DC595" s="859"/>
      <c r="DD595" s="929">
        <f>DIVISIONS!DD432</f>
        <v>0</v>
      </c>
      <c r="DE595" s="929">
        <f>DIVISIONS!DE432</f>
        <v>0</v>
      </c>
      <c r="DF595" s="929">
        <f>DD595+DE595</f>
        <v>0</v>
      </c>
      <c r="DG595" s="859"/>
      <c r="DH595" s="929">
        <f>DIVISIONS!DH432</f>
        <v>0</v>
      </c>
      <c r="DI595" s="859">
        <v>0</v>
      </c>
      <c r="DJ595" s="929">
        <f>DH595+DI595</f>
        <v>0</v>
      </c>
      <c r="DK595" s="859"/>
      <c r="DL595" s="859">
        <v>0</v>
      </c>
      <c r="DM595" s="859">
        <v>0</v>
      </c>
      <c r="DN595" s="929">
        <f>DL595+DM595</f>
        <v>0</v>
      </c>
      <c r="DO595" s="929"/>
      <c r="DP595" s="859">
        <v>0</v>
      </c>
      <c r="DQ595" s="859">
        <v>0</v>
      </c>
      <c r="DR595" s="929">
        <f>DP595+DQ595</f>
        <v>0</v>
      </c>
      <c r="DS595" s="929"/>
      <c r="DT595" s="859"/>
      <c r="DU595" s="859"/>
      <c r="DV595" s="859"/>
      <c r="DW595" s="859"/>
      <c r="DX595" s="929"/>
      <c r="DY595" s="857"/>
      <c r="DZ595" s="859"/>
      <c r="EA595" s="859"/>
      <c r="EB595" s="929"/>
      <c r="EC595" s="857"/>
      <c r="ED595" s="859"/>
      <c r="EE595" s="859"/>
      <c r="EF595" s="929"/>
      <c r="EG595" s="857"/>
      <c r="EH595" s="857"/>
      <c r="EI595" s="857"/>
      <c r="EJ595" s="857"/>
      <c r="EK595" s="857"/>
      <c r="EL595" s="857"/>
      <c r="EM595" s="857"/>
      <c r="EN595" s="857"/>
      <c r="EO595" s="857"/>
      <c r="EP595" s="857"/>
      <c r="FL595" s="855"/>
      <c r="FM595" s="855"/>
      <c r="FN595" s="855"/>
      <c r="FO595" s="855"/>
      <c r="FP595" s="855"/>
      <c r="FQ595" s="855"/>
      <c r="FR595" s="855"/>
      <c r="FS595" s="855"/>
      <c r="FT595" s="855"/>
      <c r="FU595" s="855"/>
      <c r="FV595" s="855"/>
      <c r="FW595" s="855"/>
      <c r="FX595" s="855"/>
      <c r="FY595" s="855"/>
      <c r="FZ595" s="855"/>
      <c r="GA595" s="855"/>
      <c r="GB595" s="855"/>
      <c r="GC595" s="855"/>
      <c r="GD595" s="855"/>
      <c r="GE595" s="855"/>
      <c r="GF595" s="855"/>
      <c r="GG595" s="855"/>
      <c r="GH595" s="855"/>
      <c r="GI595" s="855"/>
      <c r="GJ595" s="855"/>
      <c r="GK595" s="855"/>
      <c r="GL595" s="855"/>
      <c r="GM595" s="855"/>
      <c r="GN595" s="855"/>
      <c r="GO595" s="855"/>
      <c r="GP595" s="855"/>
      <c r="GQ595" s="855"/>
      <c r="GR595" s="855"/>
      <c r="GS595" s="855"/>
      <c r="GT595" s="855"/>
      <c r="GU595" s="855"/>
      <c r="GV595" s="855"/>
      <c r="GW595" s="855"/>
      <c r="GX595" s="855"/>
      <c r="GY595" s="855"/>
      <c r="GZ595" s="855"/>
      <c r="HA595" s="855"/>
      <c r="HB595" s="855"/>
      <c r="HC595" s="855"/>
      <c r="HD595" s="855"/>
      <c r="HE595" s="855"/>
      <c r="HF595" s="855"/>
      <c r="HG595" s="855"/>
      <c r="HH595" s="855"/>
      <c r="HI595" s="855"/>
      <c r="HJ595" s="855"/>
      <c r="HK595" s="855"/>
      <c r="HL595" s="855"/>
      <c r="HM595" s="855"/>
      <c r="HN595" s="855"/>
      <c r="HO595" s="855"/>
      <c r="HP595" s="855"/>
      <c r="HQ595" s="855"/>
      <c r="HR595" s="855"/>
      <c r="HS595" s="855"/>
      <c r="HT595" s="855"/>
      <c r="HU595" s="855"/>
      <c r="HV595" s="855"/>
      <c r="HW595" s="855"/>
      <c r="HX595" s="855"/>
      <c r="HY595" s="855"/>
      <c r="HZ595" s="855"/>
      <c r="IA595" s="855"/>
      <c r="IB595" s="855"/>
      <c r="IC595" s="855"/>
      <c r="ID595" s="855"/>
      <c r="IE595" s="855"/>
      <c r="IF595" s="855"/>
      <c r="IG595" s="855"/>
      <c r="IH595" s="855"/>
      <c r="II595" s="855"/>
      <c r="IJ595" s="855"/>
      <c r="IK595" s="855"/>
      <c r="IL595" s="855"/>
      <c r="IM595" s="855"/>
      <c r="IN595" s="855"/>
      <c r="IO595" s="855"/>
      <c r="IP595" s="855"/>
      <c r="IQ595" s="855"/>
      <c r="IR595" s="855"/>
      <c r="IS595" s="855"/>
      <c r="IT595" s="855"/>
      <c r="IU595" s="855"/>
      <c r="IV595" s="855"/>
      <c r="IW595" s="855"/>
      <c r="IX595" s="855"/>
      <c r="IY595" s="855"/>
      <c r="IZ595" s="855"/>
      <c r="JA595" s="855"/>
      <c r="JB595" s="855"/>
      <c r="JC595" s="855"/>
      <c r="JD595" s="855"/>
      <c r="JE595" s="855"/>
      <c r="JF595" s="855"/>
      <c r="JG595" s="855"/>
      <c r="JH595" s="855"/>
      <c r="JI595" s="855"/>
      <c r="JJ595" s="855"/>
      <c r="JK595" s="855"/>
      <c r="JL595" s="855"/>
      <c r="JM595"/>
    </row>
    <row r="596" spans="1:273" s="860" customFormat="1">
      <c r="A596" s="302" t="s">
        <v>1024</v>
      </c>
      <c r="B596" s="298"/>
      <c r="C596" s="296"/>
      <c r="D596" s="296"/>
      <c r="E596" s="296"/>
      <c r="F596" s="296"/>
      <c r="G596" s="296"/>
      <c r="H596" s="296"/>
      <c r="I596" s="296"/>
      <c r="J596" s="296"/>
      <c r="K596" s="296"/>
      <c r="L596" s="296"/>
      <c r="M596" s="296"/>
      <c r="N596" s="296"/>
      <c r="O596" s="296"/>
      <c r="P596" s="296"/>
      <c r="Q596" s="296"/>
      <c r="R596" s="296"/>
      <c r="S596" s="296"/>
      <c r="T596" s="296"/>
      <c r="U596" s="296"/>
      <c r="V596" s="296"/>
      <c r="W596" s="296"/>
      <c r="X596" s="296"/>
      <c r="Y596" s="296"/>
      <c r="Z596" s="296"/>
      <c r="AA596" s="296"/>
      <c r="AB596" s="296"/>
      <c r="AC596" s="296"/>
      <c r="AD596" s="296"/>
      <c r="AE596" s="296"/>
      <c r="AF596" s="296"/>
      <c r="AG596" s="296"/>
      <c r="AH596" s="296"/>
      <c r="AI596" s="296"/>
      <c r="AJ596" s="296"/>
      <c r="AK596" s="296"/>
      <c r="AL596" s="296"/>
      <c r="AM596" s="296"/>
      <c r="AN596" s="298"/>
      <c r="AO596" s="298"/>
      <c r="AP596" s="929">
        <f>DIVISIONS!AP317</f>
        <v>0</v>
      </c>
      <c r="AQ596" s="298"/>
      <c r="AR596" s="298"/>
      <c r="AS596" s="298"/>
      <c r="AT596" s="929">
        <f>DIVISIONS!AT317</f>
        <v>0</v>
      </c>
      <c r="AU596" s="298"/>
      <c r="AV596" s="929">
        <f>DIVISIONS!AV317</f>
        <v>0</v>
      </c>
      <c r="AW596" s="929">
        <f>DIVISIONS!AW317</f>
        <v>0</v>
      </c>
      <c r="AX596" s="857"/>
      <c r="AY596" s="976"/>
      <c r="AZ596" s="929">
        <f>DIVISIONS!AZ317</f>
        <v>0</v>
      </c>
      <c r="BA596" s="929">
        <f>DIVISIONS!BA317</f>
        <v>0</v>
      </c>
      <c r="BB596" s="857"/>
      <c r="BC596" s="857"/>
      <c r="BD596" s="929">
        <f>DIVISIONS!BD317</f>
        <v>0</v>
      </c>
      <c r="BE596" s="929">
        <f>DIVISIONS!BE317</f>
        <v>0</v>
      </c>
      <c r="BF596" s="929">
        <f t="shared" si="665"/>
        <v>0</v>
      </c>
      <c r="BG596" s="859"/>
      <c r="BH596" s="929">
        <f>DIVISIONS!BH317</f>
        <v>0</v>
      </c>
      <c r="BI596" s="929">
        <f>DIVISIONS!BI317</f>
        <v>0</v>
      </c>
      <c r="BJ596" s="929">
        <f t="shared" si="661"/>
        <v>0</v>
      </c>
      <c r="BK596" s="859"/>
      <c r="BL596" s="929">
        <f>DIVISIONS!BL317</f>
        <v>0</v>
      </c>
      <c r="BM596" s="929">
        <f>DIVISIONS!BM317</f>
        <v>0</v>
      </c>
      <c r="BN596" s="929">
        <f t="shared" si="662"/>
        <v>0</v>
      </c>
      <c r="BO596" s="859"/>
      <c r="BP596" s="929">
        <f>DIVISIONS!BP317</f>
        <v>0</v>
      </c>
      <c r="BQ596" s="929">
        <f>DIVISIONS!BQ317</f>
        <v>0</v>
      </c>
      <c r="BR596" s="929">
        <f t="shared" si="663"/>
        <v>0</v>
      </c>
      <c r="BS596" s="859"/>
      <c r="BT596" s="929">
        <f>DIVISIONS!BT317</f>
        <v>0</v>
      </c>
      <c r="BU596" s="929">
        <f>DIVISIONS!BU317</f>
        <v>0</v>
      </c>
      <c r="BV596" s="929">
        <f t="shared" si="664"/>
        <v>0</v>
      </c>
      <c r="BW596" s="859"/>
      <c r="BX596" s="929">
        <f>DIVISIONS!BX317</f>
        <v>0</v>
      </c>
      <c r="BY596" s="929">
        <f>DIVISIONS!BY317</f>
        <v>0</v>
      </c>
      <c r="BZ596" s="929">
        <f>BX596+BY596</f>
        <v>0</v>
      </c>
      <c r="CA596" s="859"/>
      <c r="CB596" s="929">
        <f>DIVISIONS!CB317</f>
        <v>0</v>
      </c>
      <c r="CC596" s="929">
        <f>DIVISIONS!CC317</f>
        <v>0</v>
      </c>
      <c r="CD596" s="929">
        <f>CB596+CC596</f>
        <v>0</v>
      </c>
      <c r="CE596" s="1619"/>
      <c r="CF596" s="929">
        <f>DIVISIONS!CF317</f>
        <v>0</v>
      </c>
      <c r="CG596" s="929">
        <f>DIVISIONS!CG317</f>
        <v>0</v>
      </c>
      <c r="CH596" s="929">
        <f>CF596+CG596</f>
        <v>0</v>
      </c>
      <c r="CI596" s="1619"/>
      <c r="CJ596" s="929">
        <f>DIVISIONS!CJ317</f>
        <v>0</v>
      </c>
      <c r="CK596" s="929">
        <f>DIVISIONS!CK317</f>
        <v>0</v>
      </c>
      <c r="CL596" s="929">
        <f>CJ596+CK596</f>
        <v>0</v>
      </c>
      <c r="CM596" s="1619"/>
      <c r="CN596" s="929">
        <f>DIVISIONS!CN317</f>
        <v>0</v>
      </c>
      <c r="CO596" s="929">
        <f>DIVISIONS!CO317</f>
        <v>0</v>
      </c>
      <c r="CP596" s="929">
        <f>CN596+CO596</f>
        <v>0</v>
      </c>
      <c r="CQ596" s="1619"/>
      <c r="CR596" s="929">
        <f>DIVISIONS!CR317</f>
        <v>0</v>
      </c>
      <c r="CS596" s="929">
        <f>DIVISIONS!CS317</f>
        <v>0</v>
      </c>
      <c r="CT596" s="929">
        <f>CR596+CS596</f>
        <v>0</v>
      </c>
      <c r="CU596" s="859"/>
      <c r="CV596" s="929">
        <f>DIVISIONS!CV317</f>
        <v>0</v>
      </c>
      <c r="CW596" s="929">
        <f>DIVISIONS!CW317</f>
        <v>0</v>
      </c>
      <c r="CX596" s="929">
        <f>CV596+CW596</f>
        <v>0</v>
      </c>
      <c r="CY596" s="859"/>
      <c r="CZ596" s="929">
        <f>DIVISIONS!CZ317</f>
        <v>0</v>
      </c>
      <c r="DA596" s="929">
        <f>DIVISIONS!DA317</f>
        <v>0</v>
      </c>
      <c r="DB596" s="929">
        <f>CZ596+DA596</f>
        <v>0</v>
      </c>
      <c r="DC596" s="859"/>
      <c r="DD596" s="929">
        <f>DIVISIONS!DD317</f>
        <v>0</v>
      </c>
      <c r="DE596" s="929">
        <f>DIVISIONS!DE317</f>
        <v>0</v>
      </c>
      <c r="DF596" s="929">
        <f>DD596+DE596</f>
        <v>0</v>
      </c>
      <c r="DG596" s="859"/>
      <c r="DH596" s="929">
        <f>DIVISIONS!DH317</f>
        <v>0</v>
      </c>
      <c r="DI596" s="859">
        <v>0</v>
      </c>
      <c r="DJ596" s="929">
        <f>DH596+DI596</f>
        <v>0</v>
      </c>
      <c r="DK596" s="859"/>
      <c r="DL596" s="859">
        <v>0</v>
      </c>
      <c r="DM596" s="859">
        <v>0</v>
      </c>
      <c r="DN596" s="929">
        <f>DL596+DM596</f>
        <v>0</v>
      </c>
      <c r="DO596" s="929"/>
      <c r="DP596" s="859">
        <v>0</v>
      </c>
      <c r="DQ596" s="859">
        <v>0</v>
      </c>
      <c r="DR596" s="929">
        <f>DP596+DQ596</f>
        <v>0</v>
      </c>
      <c r="DS596" s="929"/>
      <c r="DT596" s="859"/>
      <c r="DU596" s="859"/>
      <c r="DV596" s="859"/>
      <c r="DW596" s="859"/>
      <c r="DX596" s="929"/>
      <c r="DY596" s="857"/>
      <c r="DZ596" s="859"/>
      <c r="EA596" s="859"/>
      <c r="EB596" s="929"/>
      <c r="EC596" s="857"/>
      <c r="ED596" s="859"/>
      <c r="EE596" s="859"/>
      <c r="EF596" s="929"/>
      <c r="EG596" s="857"/>
      <c r="EH596" s="857"/>
      <c r="EI596" s="857"/>
      <c r="EJ596" s="857"/>
      <c r="EK596" s="857"/>
      <c r="EL596" s="857"/>
      <c r="EM596" s="857"/>
      <c r="EN596" s="857"/>
      <c r="EO596" s="857"/>
      <c r="EP596" s="857"/>
      <c r="FL596" s="855"/>
      <c r="FM596" s="855"/>
      <c r="FN596" s="855"/>
      <c r="FO596" s="855"/>
      <c r="FP596" s="855"/>
      <c r="FQ596" s="855"/>
      <c r="FR596" s="855"/>
      <c r="FS596" s="855"/>
      <c r="FT596" s="855"/>
      <c r="FU596" s="855"/>
      <c r="FV596" s="855"/>
      <c r="FW596" s="855"/>
      <c r="FX596" s="855"/>
      <c r="FY596" s="855"/>
      <c r="FZ596" s="855"/>
      <c r="GA596" s="855"/>
      <c r="GB596" s="855"/>
      <c r="GC596" s="855"/>
      <c r="GD596" s="855"/>
      <c r="GE596" s="855"/>
      <c r="GF596" s="855"/>
      <c r="GG596" s="855"/>
      <c r="GH596" s="855"/>
      <c r="GI596" s="855"/>
      <c r="GJ596" s="855"/>
      <c r="GK596" s="855"/>
      <c r="GL596" s="855"/>
      <c r="GM596" s="855"/>
      <c r="GN596" s="855"/>
      <c r="GO596" s="855"/>
      <c r="GP596" s="855"/>
      <c r="GQ596" s="855"/>
      <c r="GR596" s="855"/>
      <c r="GS596" s="855"/>
      <c r="GT596" s="855"/>
      <c r="GU596" s="855"/>
      <c r="GV596" s="855"/>
      <c r="GW596" s="855"/>
      <c r="GX596" s="855"/>
      <c r="GY596" s="855"/>
      <c r="GZ596" s="855"/>
      <c r="HA596" s="855"/>
      <c r="HB596" s="855"/>
      <c r="HC596" s="855"/>
      <c r="HD596" s="855"/>
      <c r="HE596" s="855"/>
      <c r="HF596" s="855"/>
      <c r="HG596" s="855"/>
      <c r="HH596" s="855"/>
      <c r="HI596" s="855"/>
      <c r="HJ596" s="855"/>
      <c r="HK596" s="855"/>
      <c r="HL596" s="855"/>
      <c r="HM596" s="855"/>
      <c r="HN596" s="855"/>
      <c r="HO596" s="855"/>
      <c r="HP596" s="855"/>
      <c r="HQ596" s="855"/>
      <c r="HR596" s="855"/>
      <c r="HS596" s="855"/>
      <c r="HT596" s="855"/>
      <c r="HU596" s="855"/>
      <c r="HV596" s="855"/>
      <c r="HW596" s="855"/>
      <c r="HX596" s="855"/>
      <c r="HY596" s="855"/>
      <c r="HZ596" s="855"/>
      <c r="IA596" s="855"/>
      <c r="IB596" s="855"/>
      <c r="IC596" s="855"/>
      <c r="ID596" s="855"/>
      <c r="IE596" s="855"/>
      <c r="IF596" s="855"/>
      <c r="IG596" s="855"/>
      <c r="IH596" s="855"/>
      <c r="II596" s="855"/>
      <c r="IJ596" s="855"/>
      <c r="IK596" s="855"/>
      <c r="IL596" s="855"/>
      <c r="IM596" s="855"/>
      <c r="IN596" s="855"/>
      <c r="IO596" s="855"/>
      <c r="IP596" s="855"/>
      <c r="IQ596" s="855"/>
      <c r="IR596" s="855"/>
      <c r="IS596" s="855"/>
      <c r="IT596" s="855"/>
      <c r="IU596" s="855"/>
      <c r="IV596" s="855"/>
      <c r="IW596" s="855"/>
      <c r="IX596" s="855"/>
      <c r="IY596" s="855"/>
      <c r="IZ596" s="855"/>
      <c r="JA596" s="855"/>
      <c r="JB596" s="855"/>
      <c r="JC596" s="855"/>
      <c r="JD596" s="855"/>
      <c r="JE596" s="855"/>
      <c r="JF596" s="855"/>
      <c r="JG596" s="855"/>
      <c r="JH596" s="855"/>
      <c r="JI596" s="855"/>
      <c r="JJ596" s="855"/>
      <c r="JK596" s="855"/>
      <c r="JL596" s="855"/>
      <c r="JM596"/>
    </row>
    <row r="597" spans="1:273" s="860" customFormat="1">
      <c r="A597" s="302" t="s">
        <v>690</v>
      </c>
      <c r="B597" s="298"/>
      <c r="C597" s="296"/>
      <c r="D597" s="296"/>
      <c r="E597" s="296"/>
      <c r="F597" s="296"/>
      <c r="G597" s="296"/>
      <c r="H597" s="296"/>
      <c r="I597" s="296"/>
      <c r="J597" s="296"/>
      <c r="K597" s="296"/>
      <c r="L597" s="296"/>
      <c r="M597" s="296"/>
      <c r="N597" s="296"/>
      <c r="O597" s="296"/>
      <c r="P597" s="296"/>
      <c r="Q597" s="296"/>
      <c r="R597" s="296"/>
      <c r="S597" s="296"/>
      <c r="T597" s="296"/>
      <c r="U597" s="296"/>
      <c r="V597" s="296"/>
      <c r="W597" s="296"/>
      <c r="X597" s="296"/>
      <c r="Y597" s="296"/>
      <c r="Z597" s="296"/>
      <c r="AA597" s="296"/>
      <c r="AB597" s="296"/>
      <c r="AC597" s="296"/>
      <c r="AD597" s="296"/>
      <c r="AE597" s="296"/>
      <c r="AF597" s="296"/>
      <c r="AG597" s="296"/>
      <c r="AH597" s="296"/>
      <c r="AI597" s="296"/>
      <c r="AJ597" s="296"/>
      <c r="AK597" s="296"/>
      <c r="AL597" s="296"/>
      <c r="AM597" s="296"/>
      <c r="AN597" s="298"/>
      <c r="AO597" s="298"/>
      <c r="AP597" s="929">
        <f>DIVISIONS!AP520</f>
        <v>0</v>
      </c>
      <c r="AQ597" s="298"/>
      <c r="AR597" s="298"/>
      <c r="AS597" s="298"/>
      <c r="AT597" s="929">
        <f>DIVISIONS!AT520</f>
        <v>0</v>
      </c>
      <c r="AU597" s="298"/>
      <c r="AV597" s="929">
        <f>DIVISIONS!AV520</f>
        <v>0</v>
      </c>
      <c r="AW597" s="929">
        <f>DIVISIONS!AW520</f>
        <v>0</v>
      </c>
      <c r="AX597" s="857"/>
      <c r="AY597" s="976"/>
      <c r="AZ597" s="929">
        <f>DIVISIONS!AZ520</f>
        <v>0</v>
      </c>
      <c r="BA597" s="929">
        <f>DIVISIONS!BA520</f>
        <v>0</v>
      </c>
      <c r="BB597" s="857"/>
      <c r="BC597" s="857"/>
      <c r="BD597" s="929">
        <f>DIVISIONS!BD520</f>
        <v>0</v>
      </c>
      <c r="BE597" s="929">
        <f>DIVISIONS!BE520</f>
        <v>0</v>
      </c>
      <c r="BF597" s="929">
        <f t="shared" si="665"/>
        <v>0</v>
      </c>
      <c r="BG597" s="859"/>
      <c r="BH597" s="929">
        <f>DIVISIONS!BH520</f>
        <v>0</v>
      </c>
      <c r="BI597" s="929">
        <f>DIVISIONS!BI520</f>
        <v>0</v>
      </c>
      <c r="BJ597" s="929">
        <f t="shared" si="661"/>
        <v>0</v>
      </c>
      <c r="BK597" s="859"/>
      <c r="BL597" s="929">
        <f>DIVISIONS!BL520</f>
        <v>0</v>
      </c>
      <c r="BM597" s="929">
        <f>DIVISIONS!BM520</f>
        <v>0</v>
      </c>
      <c r="BN597" s="929">
        <f t="shared" si="662"/>
        <v>0</v>
      </c>
      <c r="BO597" s="859"/>
      <c r="BP597" s="929">
        <f>DIVISIONS!BP520</f>
        <v>0</v>
      </c>
      <c r="BQ597" s="929">
        <f>DIVISIONS!BQ520</f>
        <v>0</v>
      </c>
      <c r="BR597" s="929">
        <f t="shared" si="663"/>
        <v>0</v>
      </c>
      <c r="BS597" s="859"/>
      <c r="BT597" s="929">
        <f>DIVISIONS!BT520</f>
        <v>0</v>
      </c>
      <c r="BU597" s="929">
        <f>DIVISIONS!BU520</f>
        <v>0</v>
      </c>
      <c r="BV597" s="929">
        <f t="shared" si="664"/>
        <v>0</v>
      </c>
      <c r="BW597" s="859"/>
      <c r="BX597" s="929">
        <f>DIVISIONS!BX520</f>
        <v>0</v>
      </c>
      <c r="BY597" s="929">
        <f>DIVISIONS!BY520</f>
        <v>0</v>
      </c>
      <c r="BZ597" s="929">
        <f>BX597+BY597</f>
        <v>0</v>
      </c>
      <c r="CA597" s="859"/>
      <c r="CB597" s="929">
        <f>DIVISIONS!CB520</f>
        <v>0</v>
      </c>
      <c r="CC597" s="929">
        <f>DIVISIONS!CC520</f>
        <v>0</v>
      </c>
      <c r="CD597" s="929">
        <f>CB597+CC597</f>
        <v>0</v>
      </c>
      <c r="CE597" s="1619"/>
      <c r="CF597" s="929">
        <f>DIVISIONS!CF520</f>
        <v>0</v>
      </c>
      <c r="CG597" s="929">
        <f>DIVISIONS!CG520</f>
        <v>0</v>
      </c>
      <c r="CH597" s="929">
        <f>CF597+CG597</f>
        <v>0</v>
      </c>
      <c r="CI597" s="1619"/>
      <c r="CJ597" s="929">
        <f>DIVISIONS!CJ520</f>
        <v>0</v>
      </c>
      <c r="CK597" s="929">
        <f>DIVISIONS!CK520</f>
        <v>0</v>
      </c>
      <c r="CL597" s="929">
        <f>CJ597+CK597</f>
        <v>0</v>
      </c>
      <c r="CM597" s="1619"/>
      <c r="CN597" s="929">
        <f>DIVISIONS!CN520</f>
        <v>0</v>
      </c>
      <c r="CO597" s="929">
        <f>DIVISIONS!CO520</f>
        <v>0</v>
      </c>
      <c r="CP597" s="929">
        <f>CN597+CO597</f>
        <v>0</v>
      </c>
      <c r="CQ597" s="1619"/>
      <c r="CR597" s="929">
        <f>DIVISIONS!CR520</f>
        <v>0</v>
      </c>
      <c r="CS597" s="929">
        <f>DIVISIONS!CS520</f>
        <v>0</v>
      </c>
      <c r="CT597" s="929">
        <f>CR597+CS597</f>
        <v>0</v>
      </c>
      <c r="CU597" s="859"/>
      <c r="CV597" s="929">
        <f>DIVISIONS!CV520</f>
        <v>0</v>
      </c>
      <c r="CW597" s="929">
        <f>DIVISIONS!CW520</f>
        <v>0</v>
      </c>
      <c r="CX597" s="929">
        <f>CV597+CW597</f>
        <v>0</v>
      </c>
      <c r="CY597" s="859"/>
      <c r="CZ597" s="929">
        <f>DIVISIONS!CZ520</f>
        <v>0</v>
      </c>
      <c r="DA597" s="929">
        <f>DIVISIONS!DA520</f>
        <v>0</v>
      </c>
      <c r="DB597" s="929">
        <f>CZ597+DA597</f>
        <v>0</v>
      </c>
      <c r="DC597" s="859"/>
      <c r="DD597" s="929">
        <f>DIVISIONS!DD520</f>
        <v>0</v>
      </c>
      <c r="DE597" s="929">
        <f>DIVISIONS!DE520</f>
        <v>0</v>
      </c>
      <c r="DF597" s="929">
        <f>DD597+DE597</f>
        <v>0</v>
      </c>
      <c r="DG597" s="859"/>
      <c r="DH597" s="929">
        <f>DIVISIONS!DH520</f>
        <v>0</v>
      </c>
      <c r="DI597" s="859">
        <v>0</v>
      </c>
      <c r="DJ597" s="929">
        <f>DH597+DI597</f>
        <v>0</v>
      </c>
      <c r="DK597" s="859"/>
      <c r="DL597" s="859">
        <v>0</v>
      </c>
      <c r="DM597" s="859">
        <v>0</v>
      </c>
      <c r="DN597" s="929">
        <f>DL597+DM597</f>
        <v>0</v>
      </c>
      <c r="DO597" s="929"/>
      <c r="DP597" s="859">
        <v>0</v>
      </c>
      <c r="DQ597" s="859">
        <v>0</v>
      </c>
      <c r="DR597" s="929">
        <f>DP597+DQ597</f>
        <v>0</v>
      </c>
      <c r="DS597" s="929"/>
      <c r="DT597" s="859"/>
      <c r="DU597" s="859"/>
      <c r="DV597" s="859"/>
      <c r="DW597" s="859"/>
      <c r="DX597" s="929"/>
      <c r="DY597" s="857"/>
      <c r="DZ597" s="859"/>
      <c r="EA597" s="859"/>
      <c r="EB597" s="929"/>
      <c r="EC597" s="857"/>
      <c r="ED597" s="859"/>
      <c r="EE597" s="859"/>
      <c r="EF597" s="929"/>
      <c r="EG597" s="857"/>
      <c r="EH597" s="857"/>
      <c r="EI597" s="857"/>
      <c r="EJ597" s="857"/>
      <c r="EK597" s="857"/>
      <c r="EL597" s="857"/>
      <c r="EM597" s="857"/>
      <c r="EN597" s="857"/>
      <c r="EO597" s="857"/>
      <c r="EP597" s="857"/>
      <c r="FL597" s="855"/>
      <c r="FM597" s="855"/>
      <c r="FN597" s="855"/>
      <c r="FO597" s="855"/>
      <c r="FP597" s="855"/>
      <c r="FQ597" s="855"/>
      <c r="FR597" s="855"/>
      <c r="FS597" s="855"/>
      <c r="FT597" s="855"/>
      <c r="FU597" s="855"/>
      <c r="FV597" s="855"/>
      <c r="FW597" s="855"/>
      <c r="FX597" s="855"/>
      <c r="FY597" s="855"/>
      <c r="FZ597" s="855"/>
      <c r="GA597" s="855"/>
      <c r="GB597" s="855"/>
      <c r="GC597" s="855"/>
      <c r="GD597" s="855"/>
      <c r="GE597" s="855"/>
      <c r="GF597" s="855"/>
      <c r="GG597" s="855"/>
      <c r="GH597" s="855"/>
      <c r="GI597" s="855"/>
      <c r="GJ597" s="855"/>
      <c r="GK597" s="855"/>
      <c r="GL597" s="855"/>
      <c r="GM597" s="855"/>
      <c r="GN597" s="855"/>
      <c r="GO597" s="855"/>
      <c r="GP597" s="855"/>
      <c r="GQ597" s="855"/>
      <c r="GR597" s="855"/>
      <c r="GS597" s="855"/>
      <c r="GT597" s="855"/>
      <c r="GU597" s="855"/>
      <c r="GV597" s="855"/>
      <c r="GW597" s="855"/>
      <c r="GX597" s="855"/>
      <c r="GY597" s="855"/>
      <c r="GZ597" s="855"/>
      <c r="HA597" s="855"/>
      <c r="HB597" s="855"/>
      <c r="HC597" s="855"/>
      <c r="HD597" s="855"/>
      <c r="HE597" s="855"/>
      <c r="HF597" s="855"/>
      <c r="HG597" s="855"/>
      <c r="HH597" s="855"/>
      <c r="HI597" s="855"/>
      <c r="HJ597" s="855"/>
      <c r="HK597" s="855"/>
      <c r="HL597" s="855"/>
      <c r="HM597" s="855"/>
      <c r="HN597" s="855"/>
      <c r="HO597" s="855"/>
      <c r="HP597" s="855"/>
      <c r="HQ597" s="855"/>
      <c r="HR597" s="855"/>
      <c r="HS597" s="855"/>
      <c r="HT597" s="855"/>
      <c r="HU597" s="855"/>
      <c r="HV597" s="855"/>
      <c r="HW597" s="855"/>
      <c r="HX597" s="855"/>
      <c r="HY597" s="855"/>
      <c r="HZ597" s="855"/>
      <c r="IA597" s="855"/>
      <c r="IB597" s="855"/>
      <c r="IC597" s="855"/>
      <c r="ID597" s="855"/>
      <c r="IE597" s="855"/>
      <c r="IF597" s="855"/>
      <c r="IG597" s="855"/>
      <c r="IH597" s="855"/>
      <c r="II597" s="855"/>
      <c r="IJ597" s="855"/>
      <c r="IK597" s="855"/>
      <c r="IL597" s="855"/>
      <c r="IM597" s="855"/>
      <c r="IN597" s="855"/>
      <c r="IO597" s="855"/>
      <c r="IP597" s="855"/>
      <c r="IQ597" s="855"/>
      <c r="IR597" s="855"/>
      <c r="IS597" s="855"/>
      <c r="IT597" s="855"/>
      <c r="IU597" s="855"/>
      <c r="IV597" s="855"/>
      <c r="IW597" s="855"/>
      <c r="IX597" s="855"/>
      <c r="IY597" s="855"/>
      <c r="IZ597" s="855"/>
      <c r="JA597" s="855"/>
      <c r="JB597" s="855"/>
      <c r="JC597" s="855"/>
      <c r="JD597" s="855"/>
      <c r="JE597" s="855"/>
      <c r="JF597" s="855"/>
      <c r="JG597" s="855"/>
      <c r="JH597" s="855"/>
      <c r="JI597" s="855"/>
      <c r="JJ597" s="855"/>
      <c r="JK597" s="855"/>
      <c r="JL597" s="855"/>
      <c r="JM597"/>
    </row>
    <row r="598" spans="1:273" s="860" customFormat="1">
      <c r="A598" s="302" t="s">
        <v>689</v>
      </c>
      <c r="B598" s="298"/>
      <c r="C598" s="296"/>
      <c r="D598" s="296"/>
      <c r="E598" s="296"/>
      <c r="F598" s="296"/>
      <c r="G598" s="296"/>
      <c r="H598" s="296"/>
      <c r="I598" s="296"/>
      <c r="J598" s="296"/>
      <c r="K598" s="296"/>
      <c r="L598" s="296"/>
      <c r="M598" s="296"/>
      <c r="N598" s="296"/>
      <c r="O598" s="296"/>
      <c r="P598" s="296"/>
      <c r="Q598" s="296"/>
      <c r="R598" s="296"/>
      <c r="S598" s="296"/>
      <c r="T598" s="296"/>
      <c r="U598" s="296"/>
      <c r="V598" s="296"/>
      <c r="W598" s="296"/>
      <c r="X598" s="296"/>
      <c r="Y598" s="296"/>
      <c r="Z598" s="296"/>
      <c r="AA598" s="296"/>
      <c r="AB598" s="296"/>
      <c r="AC598" s="296"/>
      <c r="AD598" s="296"/>
      <c r="AE598" s="296"/>
      <c r="AF598" s="296"/>
      <c r="AG598" s="296"/>
      <c r="AH598" s="296"/>
      <c r="AI598" s="296"/>
      <c r="AJ598" s="296"/>
      <c r="AK598" s="296"/>
      <c r="AL598" s="296"/>
      <c r="AM598" s="296"/>
      <c r="AN598" s="298"/>
      <c r="AO598" s="298"/>
      <c r="AP598" s="929">
        <f>DIVISIONS!AP641</f>
        <v>0</v>
      </c>
      <c r="AQ598" s="298"/>
      <c r="AR598" s="298"/>
      <c r="AS598" s="298"/>
      <c r="AT598" s="929">
        <f>DIVISIONS!AT641</f>
        <v>0</v>
      </c>
      <c r="AU598" s="298"/>
      <c r="AV598" s="929">
        <f>DIVISIONS!AV641</f>
        <v>0</v>
      </c>
      <c r="AW598" s="929">
        <f>DIVISIONS!AW641</f>
        <v>0</v>
      </c>
      <c r="AX598" s="857"/>
      <c r="AY598" s="976"/>
      <c r="AZ598" s="929">
        <f>DIVISIONS!AZ641</f>
        <v>0</v>
      </c>
      <c r="BA598" s="929">
        <f>DIVISIONS!BA641</f>
        <v>0</v>
      </c>
      <c r="BB598" s="857"/>
      <c r="BC598" s="857"/>
      <c r="BD598" s="929">
        <f>DIVISIONS!BD641</f>
        <v>0</v>
      </c>
      <c r="BE598" s="929">
        <f>DIVISIONS!BE641</f>
        <v>0</v>
      </c>
      <c r="BF598" s="929">
        <f t="shared" si="665"/>
        <v>0</v>
      </c>
      <c r="BG598" s="859"/>
      <c r="BH598" s="929">
        <f>DIVISIONS!BH641</f>
        <v>0</v>
      </c>
      <c r="BI598" s="929">
        <f>DIVISIONS!BI641</f>
        <v>0</v>
      </c>
      <c r="BJ598" s="929">
        <f t="shared" si="661"/>
        <v>0</v>
      </c>
      <c r="BK598" s="859"/>
      <c r="BL598" s="929">
        <f>DIVISIONS!BL641</f>
        <v>0</v>
      </c>
      <c r="BM598" s="929">
        <f>DIVISIONS!BM641</f>
        <v>0</v>
      </c>
      <c r="BN598" s="929">
        <f t="shared" si="662"/>
        <v>0</v>
      </c>
      <c r="BO598" s="859"/>
      <c r="BP598" s="929">
        <f>DIVISIONS!BP641</f>
        <v>0</v>
      </c>
      <c r="BQ598" s="929">
        <f>DIVISIONS!BQ641</f>
        <v>0</v>
      </c>
      <c r="BR598" s="929">
        <f t="shared" si="663"/>
        <v>0</v>
      </c>
      <c r="BS598" s="859"/>
      <c r="BT598" s="929">
        <f>DIVISIONS!BT641</f>
        <v>0</v>
      </c>
      <c r="BU598" s="929">
        <f>DIVISIONS!BU641</f>
        <v>0</v>
      </c>
      <c r="BV598" s="929">
        <f t="shared" si="664"/>
        <v>0</v>
      </c>
      <c r="BW598" s="859"/>
      <c r="BX598" s="929">
        <f>DIVISIONS!BX641</f>
        <v>0</v>
      </c>
      <c r="BY598" s="929">
        <f>DIVISIONS!BY641</f>
        <v>0</v>
      </c>
      <c r="BZ598" s="929">
        <f>BX598+BY598</f>
        <v>0</v>
      </c>
      <c r="CA598" s="859"/>
      <c r="CB598" s="929">
        <f>DIVISIONS!CB641</f>
        <v>0</v>
      </c>
      <c r="CC598" s="929">
        <f>DIVISIONS!CC641</f>
        <v>0</v>
      </c>
      <c r="CD598" s="929">
        <f>CB598+CC598</f>
        <v>0</v>
      </c>
      <c r="CE598" s="1619"/>
      <c r="CF598" s="929">
        <f>DIVISIONS!CF641</f>
        <v>0</v>
      </c>
      <c r="CG598" s="929">
        <f>DIVISIONS!CG641</f>
        <v>0</v>
      </c>
      <c r="CH598" s="929">
        <f>CF598+CG598</f>
        <v>0</v>
      </c>
      <c r="CI598" s="1619"/>
      <c r="CJ598" s="929">
        <f>DIVISIONS!CJ641</f>
        <v>0</v>
      </c>
      <c r="CK598" s="929">
        <f>DIVISIONS!CK641</f>
        <v>0</v>
      </c>
      <c r="CL598" s="929">
        <f>CJ598+CK598</f>
        <v>0</v>
      </c>
      <c r="CM598" s="1619"/>
      <c r="CN598" s="929">
        <f>DIVISIONS!CN641</f>
        <v>0</v>
      </c>
      <c r="CO598" s="929">
        <f>DIVISIONS!CO641</f>
        <v>0</v>
      </c>
      <c r="CP598" s="929">
        <f>CN598+CO598</f>
        <v>0</v>
      </c>
      <c r="CQ598" s="1619"/>
      <c r="CR598" s="929">
        <f>DIVISIONS!CR641</f>
        <v>0</v>
      </c>
      <c r="CS598" s="929">
        <f>DIVISIONS!CS641</f>
        <v>0</v>
      </c>
      <c r="CT598" s="929">
        <f>CR598+CS598</f>
        <v>0</v>
      </c>
      <c r="CU598" s="859"/>
      <c r="CV598" s="929">
        <f>DIVISIONS!CV641</f>
        <v>0</v>
      </c>
      <c r="CW598" s="929">
        <f>DIVISIONS!CW641</f>
        <v>0</v>
      </c>
      <c r="CX598" s="929">
        <f>CV598+CW598</f>
        <v>0</v>
      </c>
      <c r="CY598" s="859"/>
      <c r="CZ598" s="929">
        <f>DIVISIONS!CZ641</f>
        <v>0</v>
      </c>
      <c r="DA598" s="929">
        <f>DIVISIONS!DA641</f>
        <v>0</v>
      </c>
      <c r="DB598" s="929">
        <f>CZ598+DA598</f>
        <v>0</v>
      </c>
      <c r="DC598" s="859"/>
      <c r="DD598" s="929">
        <f>DIVISIONS!DD641</f>
        <v>0</v>
      </c>
      <c r="DE598" s="929">
        <f>DIVISIONS!DE641</f>
        <v>0</v>
      </c>
      <c r="DF598" s="929">
        <f>DD598+DE598</f>
        <v>0</v>
      </c>
      <c r="DG598" s="859"/>
      <c r="DH598" s="929">
        <f>DIVISIONS!DH641</f>
        <v>0</v>
      </c>
      <c r="DI598" s="859">
        <v>0</v>
      </c>
      <c r="DJ598" s="929">
        <f>DH598+DI598</f>
        <v>0</v>
      </c>
      <c r="DK598" s="859"/>
      <c r="DL598" s="859">
        <v>0</v>
      </c>
      <c r="DM598" s="859">
        <v>0</v>
      </c>
      <c r="DN598" s="929">
        <f>DL598+DM598</f>
        <v>0</v>
      </c>
      <c r="DO598" s="929"/>
      <c r="DP598" s="859">
        <v>0</v>
      </c>
      <c r="DQ598" s="859">
        <v>0</v>
      </c>
      <c r="DR598" s="929">
        <f>DP598+DQ598</f>
        <v>0</v>
      </c>
      <c r="DS598" s="929"/>
      <c r="DT598" s="859"/>
      <c r="DU598" s="859"/>
      <c r="DV598" s="859"/>
      <c r="DW598" s="859"/>
      <c r="DX598" s="929"/>
      <c r="DY598" s="857"/>
      <c r="DZ598" s="859"/>
      <c r="EA598" s="859"/>
      <c r="EB598" s="929"/>
      <c r="EC598" s="857"/>
      <c r="ED598" s="859"/>
      <c r="EE598" s="859"/>
      <c r="EF598" s="929"/>
      <c r="EG598" s="857"/>
      <c r="EH598" s="857"/>
      <c r="EI598" s="857"/>
      <c r="EJ598" s="857"/>
      <c r="EK598" s="857"/>
      <c r="EL598" s="857"/>
      <c r="EM598" s="857"/>
      <c r="EN598" s="857"/>
      <c r="EO598" s="857"/>
      <c r="EP598" s="857"/>
      <c r="FL598" s="855"/>
      <c r="FM598" s="855"/>
      <c r="FN598" s="855"/>
      <c r="FO598" s="855"/>
      <c r="FP598" s="855"/>
      <c r="FQ598" s="855"/>
      <c r="FR598" s="855"/>
      <c r="FS598" s="855"/>
      <c r="FT598" s="855"/>
      <c r="FU598" s="855"/>
      <c r="FV598" s="855"/>
      <c r="FW598" s="855"/>
      <c r="FX598" s="855"/>
      <c r="FY598" s="855"/>
      <c r="FZ598" s="855"/>
      <c r="GA598" s="855"/>
      <c r="GB598" s="855"/>
      <c r="GC598" s="855"/>
      <c r="GD598" s="855"/>
      <c r="GE598" s="855"/>
      <c r="GF598" s="855"/>
      <c r="GG598" s="855"/>
      <c r="GH598" s="855"/>
      <c r="GI598" s="855"/>
      <c r="GJ598" s="855"/>
      <c r="GK598" s="855"/>
      <c r="GL598" s="855"/>
      <c r="GM598" s="855"/>
      <c r="GN598" s="855"/>
      <c r="GO598" s="855"/>
      <c r="GP598" s="855"/>
      <c r="GQ598" s="855"/>
      <c r="GR598" s="855"/>
      <c r="GS598" s="855"/>
      <c r="GT598" s="855"/>
      <c r="GU598" s="855"/>
      <c r="GV598" s="855"/>
      <c r="GW598" s="855"/>
      <c r="GX598" s="855"/>
      <c r="GY598" s="855"/>
      <c r="GZ598" s="855"/>
      <c r="HA598" s="855"/>
      <c r="HB598" s="855"/>
      <c r="HC598" s="855"/>
      <c r="HD598" s="855"/>
      <c r="HE598" s="855"/>
      <c r="HF598" s="855"/>
      <c r="HG598" s="855"/>
      <c r="HH598" s="855"/>
      <c r="HI598" s="855"/>
      <c r="HJ598" s="855"/>
      <c r="HK598" s="855"/>
      <c r="HL598" s="855"/>
      <c r="HM598" s="855"/>
      <c r="HN598" s="855"/>
      <c r="HO598" s="855"/>
      <c r="HP598" s="855"/>
      <c r="HQ598" s="855"/>
      <c r="HR598" s="855"/>
      <c r="HS598" s="855"/>
      <c r="HT598" s="855"/>
      <c r="HU598" s="855"/>
      <c r="HV598" s="855"/>
      <c r="HW598" s="855"/>
      <c r="HX598" s="855"/>
      <c r="HY598" s="855"/>
      <c r="HZ598" s="855"/>
      <c r="IA598" s="855"/>
      <c r="IB598" s="855"/>
      <c r="IC598" s="855"/>
      <c r="ID598" s="855"/>
      <c r="IE598" s="855"/>
      <c r="IF598" s="855"/>
      <c r="IG598" s="855"/>
      <c r="IH598" s="855"/>
      <c r="II598" s="855"/>
      <c r="IJ598" s="855"/>
      <c r="IK598" s="855"/>
      <c r="IL598" s="855"/>
      <c r="IM598" s="855"/>
      <c r="IN598" s="855"/>
      <c r="IO598" s="855"/>
      <c r="IP598" s="855"/>
      <c r="IQ598" s="855"/>
      <c r="IR598" s="855"/>
      <c r="IS598" s="855"/>
      <c r="IT598" s="855"/>
      <c r="IU598" s="855"/>
      <c r="IV598" s="855"/>
      <c r="IW598" s="855"/>
      <c r="IX598" s="855"/>
      <c r="IY598" s="855"/>
      <c r="IZ598" s="855"/>
      <c r="JA598" s="855"/>
      <c r="JB598" s="855"/>
      <c r="JC598" s="855"/>
      <c r="JD598" s="855"/>
      <c r="JE598" s="855"/>
      <c r="JF598" s="855"/>
      <c r="JG598" s="855"/>
      <c r="JH598" s="855"/>
      <c r="JI598" s="855"/>
      <c r="JJ598" s="855"/>
      <c r="JK598" s="855"/>
      <c r="JL598" s="855"/>
      <c r="JM598"/>
    </row>
    <row r="599" spans="1:273" s="860" customFormat="1">
      <c r="A599" s="302" t="s">
        <v>688</v>
      </c>
      <c r="B599" s="298"/>
      <c r="C599" s="296"/>
      <c r="D599" s="296"/>
      <c r="E599" s="296"/>
      <c r="F599" s="296"/>
      <c r="G599" s="296"/>
      <c r="H599" s="296"/>
      <c r="I599" s="296"/>
      <c r="J599" s="296"/>
      <c r="K599" s="296"/>
      <c r="L599" s="296"/>
      <c r="M599" s="296"/>
      <c r="N599" s="296"/>
      <c r="O599" s="296"/>
      <c r="P599" s="296"/>
      <c r="Q599" s="296"/>
      <c r="R599" s="296"/>
      <c r="S599" s="296"/>
      <c r="T599" s="296"/>
      <c r="U599" s="296"/>
      <c r="V599" s="296"/>
      <c r="W599" s="296"/>
      <c r="X599" s="296"/>
      <c r="Y599" s="296"/>
      <c r="Z599" s="296"/>
      <c r="AA599" s="296"/>
      <c r="AB599" s="296"/>
      <c r="AC599" s="296"/>
      <c r="AD599" s="296"/>
      <c r="AE599" s="296"/>
      <c r="AF599" s="296"/>
      <c r="AG599" s="296"/>
      <c r="AH599" s="296"/>
      <c r="AI599" s="296"/>
      <c r="AJ599" s="296"/>
      <c r="AK599" s="296"/>
      <c r="AL599" s="296"/>
      <c r="AM599" s="296"/>
      <c r="AN599" s="298"/>
      <c r="AO599" s="298"/>
      <c r="AP599" s="929">
        <f>DIVISIONS!AP700</f>
        <v>0</v>
      </c>
      <c r="AQ599" s="298"/>
      <c r="AR599" s="298"/>
      <c r="AS599" s="298"/>
      <c r="AT599" s="929">
        <f>DIVISIONS!AT700</f>
        <v>0</v>
      </c>
      <c r="AU599" s="298"/>
      <c r="AV599" s="929">
        <f>DIVISIONS!AV700</f>
        <v>0</v>
      </c>
      <c r="AW599" s="929">
        <f>DIVISIONS!AW700</f>
        <v>0</v>
      </c>
      <c r="AX599" s="857"/>
      <c r="AY599" s="976"/>
      <c r="AZ599" s="929">
        <f>DIVISIONS!AZ700</f>
        <v>0</v>
      </c>
      <c r="BA599" s="929">
        <f>DIVISIONS!BA700</f>
        <v>0</v>
      </c>
      <c r="BB599" s="857"/>
      <c r="BC599" s="857"/>
      <c r="BD599" s="929"/>
      <c r="BE599" s="929"/>
      <c r="BF599" s="929"/>
      <c r="BG599" s="859"/>
      <c r="BH599" s="929"/>
      <c r="BI599" s="929"/>
      <c r="BJ599" s="929"/>
      <c r="BK599" s="859"/>
      <c r="BL599" s="929"/>
      <c r="BM599" s="929"/>
      <c r="BN599" s="929"/>
      <c r="BO599" s="859"/>
      <c r="BP599" s="929"/>
      <c r="BQ599" s="929"/>
      <c r="BR599" s="929"/>
      <c r="BS599" s="859"/>
      <c r="BT599" s="929"/>
      <c r="BU599" s="929"/>
      <c r="BV599" s="929"/>
      <c r="BW599" s="859"/>
      <c r="BX599" s="929"/>
      <c r="BY599" s="929"/>
      <c r="BZ599" s="929"/>
      <c r="CA599" s="859"/>
      <c r="CB599" s="929"/>
      <c r="CC599" s="929"/>
      <c r="CD599" s="929"/>
      <c r="CE599" s="1619"/>
      <c r="CF599" s="929"/>
      <c r="CG599" s="929"/>
      <c r="CH599" s="929"/>
      <c r="CI599" s="1619"/>
      <c r="CJ599" s="929"/>
      <c r="CK599" s="929"/>
      <c r="CL599" s="929"/>
      <c r="CM599" s="1619"/>
      <c r="CN599" s="929"/>
      <c r="CO599" s="929"/>
      <c r="CP599" s="929"/>
      <c r="CQ599" s="1619"/>
      <c r="CR599" s="929"/>
      <c r="CS599" s="929"/>
      <c r="CT599" s="929"/>
      <c r="CU599" s="859"/>
      <c r="CV599" s="929"/>
      <c r="CW599" s="929"/>
      <c r="CX599" s="929"/>
      <c r="CY599" s="859"/>
      <c r="CZ599" s="929"/>
      <c r="DA599" s="929"/>
      <c r="DB599" s="929"/>
      <c r="DC599" s="859"/>
      <c r="DD599" s="929"/>
      <c r="DE599" s="929"/>
      <c r="DF599" s="929"/>
      <c r="DG599" s="859"/>
      <c r="DH599" s="929"/>
      <c r="DI599" s="859"/>
      <c r="DJ599" s="929"/>
      <c r="DK599" s="859"/>
      <c r="DL599" s="859"/>
      <c r="DM599" s="859"/>
      <c r="DN599" s="929"/>
      <c r="DO599" s="929"/>
      <c r="DP599" s="859"/>
      <c r="DQ599" s="859"/>
      <c r="DR599" s="929"/>
      <c r="DS599" s="929"/>
      <c r="DT599" s="859"/>
      <c r="DU599" s="859"/>
      <c r="DV599" s="859"/>
      <c r="DW599" s="859"/>
      <c r="DX599" s="929"/>
      <c r="DY599" s="857"/>
      <c r="DZ599" s="859"/>
      <c r="EA599" s="859"/>
      <c r="EB599" s="929"/>
      <c r="EC599" s="857"/>
      <c r="ED599" s="859"/>
      <c r="EE599" s="859"/>
      <c r="EF599" s="929"/>
      <c r="EG599" s="857"/>
      <c r="EH599" s="857"/>
      <c r="EI599" s="857"/>
      <c r="EJ599" s="857"/>
      <c r="EK599" s="857"/>
      <c r="EL599" s="857"/>
      <c r="EM599" s="857"/>
      <c r="EN599" s="857"/>
      <c r="EO599" s="857"/>
      <c r="EP599" s="857"/>
      <c r="FL599" s="855"/>
      <c r="FM599" s="855"/>
      <c r="FN599" s="855"/>
      <c r="FO599" s="855"/>
      <c r="FP599" s="855"/>
      <c r="FQ599" s="855"/>
      <c r="FR599" s="855"/>
      <c r="FS599" s="855"/>
      <c r="FT599" s="855"/>
      <c r="FU599" s="855"/>
      <c r="FV599" s="855"/>
      <c r="FW599" s="855"/>
      <c r="FX599" s="855"/>
      <c r="FY599" s="855"/>
      <c r="FZ599" s="855"/>
      <c r="GA599" s="855"/>
      <c r="GB599" s="855"/>
      <c r="GC599" s="855"/>
      <c r="GD599" s="855"/>
      <c r="GE599" s="855"/>
      <c r="GF599" s="855"/>
      <c r="GG599" s="855"/>
      <c r="GH599" s="855"/>
      <c r="GI599" s="855"/>
      <c r="GJ599" s="855"/>
      <c r="GK599" s="855"/>
      <c r="GL599" s="855"/>
      <c r="GM599" s="855"/>
      <c r="GN599" s="855"/>
      <c r="GO599" s="855"/>
      <c r="GP599" s="855"/>
      <c r="GQ599" s="855"/>
      <c r="GR599" s="855"/>
      <c r="GS599" s="855"/>
      <c r="GT599" s="855"/>
      <c r="GU599" s="855"/>
      <c r="GV599" s="855"/>
      <c r="GW599" s="855"/>
      <c r="GX599" s="855"/>
      <c r="GY599" s="855"/>
      <c r="GZ599" s="855"/>
      <c r="HA599" s="855"/>
      <c r="HB599" s="855"/>
      <c r="HC599" s="855"/>
      <c r="HD599" s="855"/>
      <c r="HE599" s="855"/>
      <c r="HF599" s="855"/>
      <c r="HG599" s="855"/>
      <c r="HH599" s="855"/>
      <c r="HI599" s="855"/>
      <c r="HJ599" s="855"/>
      <c r="HK599" s="855"/>
      <c r="HL599" s="855"/>
      <c r="HM599" s="855"/>
      <c r="HN599" s="855"/>
      <c r="HO599" s="855"/>
      <c r="HP599" s="855"/>
      <c r="HQ599" s="855"/>
      <c r="HR599" s="855"/>
      <c r="HS599" s="855"/>
      <c r="HT599" s="855"/>
      <c r="HU599" s="855"/>
      <c r="HV599" s="855"/>
      <c r="HW599" s="855"/>
      <c r="HX599" s="855"/>
      <c r="HY599" s="855"/>
      <c r="HZ599" s="855"/>
      <c r="IA599" s="855"/>
      <c r="IB599" s="855"/>
      <c r="IC599" s="855"/>
      <c r="ID599" s="855"/>
      <c r="IE599" s="855"/>
      <c r="IF599" s="855"/>
      <c r="IG599" s="855"/>
      <c r="IH599" s="855"/>
      <c r="II599" s="855"/>
      <c r="IJ599" s="855"/>
      <c r="IK599" s="855"/>
      <c r="IL599" s="855"/>
      <c r="IM599" s="855"/>
      <c r="IN599" s="855"/>
      <c r="IO599" s="855"/>
      <c r="IP599" s="855"/>
      <c r="IQ599" s="855"/>
      <c r="IR599" s="855"/>
      <c r="IS599" s="855"/>
      <c r="IT599" s="855"/>
      <c r="IU599" s="855"/>
      <c r="IV599" s="855"/>
      <c r="IW599" s="855"/>
      <c r="IX599" s="855"/>
      <c r="IY599" s="855"/>
      <c r="IZ599" s="855"/>
      <c r="JA599" s="855"/>
      <c r="JB599" s="855"/>
      <c r="JC599" s="855"/>
      <c r="JD599" s="855"/>
      <c r="JE599" s="855"/>
      <c r="JF599" s="855"/>
      <c r="JG599" s="855"/>
      <c r="JH599" s="855"/>
      <c r="JI599" s="855"/>
      <c r="JJ599" s="855"/>
      <c r="JK599" s="855"/>
      <c r="JL599" s="855"/>
      <c r="JM599"/>
    </row>
    <row r="600" spans="1:273" s="860" customFormat="1">
      <c r="A600" s="302" t="s">
        <v>691</v>
      </c>
      <c r="B600" s="298"/>
      <c r="C600" s="296"/>
      <c r="D600" s="296"/>
      <c r="E600" s="296"/>
      <c r="F600" s="296"/>
      <c r="G600" s="296"/>
      <c r="H600" s="296"/>
      <c r="I600" s="296"/>
      <c r="J600" s="296"/>
      <c r="K600" s="296"/>
      <c r="L600" s="296"/>
      <c r="M600" s="296"/>
      <c r="N600" s="296"/>
      <c r="O600" s="296"/>
      <c r="P600" s="296"/>
      <c r="Q600" s="296"/>
      <c r="R600" s="296"/>
      <c r="S600" s="296"/>
      <c r="T600" s="296"/>
      <c r="U600" s="296"/>
      <c r="V600" s="296"/>
      <c r="W600" s="296"/>
      <c r="X600" s="296"/>
      <c r="Y600" s="296"/>
      <c r="Z600" s="296"/>
      <c r="AA600" s="296"/>
      <c r="AB600" s="296"/>
      <c r="AC600" s="296"/>
      <c r="AD600" s="296"/>
      <c r="AE600" s="296"/>
      <c r="AF600" s="296"/>
      <c r="AG600" s="296"/>
      <c r="AH600" s="296"/>
      <c r="AI600" s="296"/>
      <c r="AJ600" s="296"/>
      <c r="AK600" s="296"/>
      <c r="AL600" s="296"/>
      <c r="AM600" s="296"/>
      <c r="AN600" s="298"/>
      <c r="AO600" s="298"/>
      <c r="AP600" s="929">
        <f>DIVISIONS!AP756</f>
        <v>0</v>
      </c>
      <c r="AQ600" s="298"/>
      <c r="AR600" s="298"/>
      <c r="AS600" s="298"/>
      <c r="AT600" s="929">
        <f>DIVISIONS!AT756</f>
        <v>0</v>
      </c>
      <c r="AU600" s="298"/>
      <c r="AV600" s="929">
        <f>DIVISIONS!AV756</f>
        <v>55</v>
      </c>
      <c r="AW600" s="929">
        <f>DIVISIONS!AW756</f>
        <v>0</v>
      </c>
      <c r="AX600" s="857"/>
      <c r="AY600" s="976"/>
      <c r="AZ600" s="929">
        <f>DIVISIONS!AZ756</f>
        <v>0</v>
      </c>
      <c r="BA600" s="929">
        <f>DIVISIONS!BA756</f>
        <v>0</v>
      </c>
      <c r="BB600" s="857"/>
      <c r="BC600" s="857"/>
      <c r="BD600" s="929">
        <f>DIVISIONS!BD756</f>
        <v>0</v>
      </c>
      <c r="BE600" s="929">
        <f>DIVISIONS!BE756</f>
        <v>0</v>
      </c>
      <c r="BF600" s="929">
        <f t="shared" si="665"/>
        <v>0</v>
      </c>
      <c r="BG600" s="859"/>
      <c r="BH600" s="929">
        <f>DIVISIONS!BH756</f>
        <v>0</v>
      </c>
      <c r="BI600" s="929">
        <f>DIVISIONS!BI756</f>
        <v>0</v>
      </c>
      <c r="BJ600" s="929">
        <f>BH600+BI600</f>
        <v>0</v>
      </c>
      <c r="BK600" s="859"/>
      <c r="BL600" s="929">
        <f>DIVISIONS!BL756</f>
        <v>0</v>
      </c>
      <c r="BM600" s="929">
        <f>DIVISIONS!BM756</f>
        <v>0</v>
      </c>
      <c r="BN600" s="929">
        <f>BL600+BM600</f>
        <v>0</v>
      </c>
      <c r="BO600" s="859"/>
      <c r="BP600" s="929">
        <f>DIVISIONS!BP756</f>
        <v>0</v>
      </c>
      <c r="BQ600" s="929">
        <f>DIVISIONS!BQ756</f>
        <v>0</v>
      </c>
      <c r="BR600" s="929">
        <f>BP600+BQ600</f>
        <v>0</v>
      </c>
      <c r="BS600" s="859"/>
      <c r="BT600" s="929">
        <f>DIVISIONS!BT756</f>
        <v>0</v>
      </c>
      <c r="BU600" s="929">
        <f>DIVISIONS!BU756</f>
        <v>0</v>
      </c>
      <c r="BV600" s="929">
        <f>BT600+BU600</f>
        <v>0</v>
      </c>
      <c r="BW600" s="859"/>
      <c r="BX600" s="929">
        <f>DIVISIONS!BX756</f>
        <v>0</v>
      </c>
      <c r="BY600" s="929">
        <f>DIVISIONS!BY756</f>
        <v>0</v>
      </c>
      <c r="BZ600" s="929">
        <f>BX600+BY600</f>
        <v>0</v>
      </c>
      <c r="CA600" s="859"/>
      <c r="CB600" s="929">
        <f>DIVISIONS!CB756</f>
        <v>0</v>
      </c>
      <c r="CC600" s="929">
        <f>DIVISIONS!CC756</f>
        <v>0</v>
      </c>
      <c r="CD600" s="929">
        <f>CB600+CC600</f>
        <v>0</v>
      </c>
      <c r="CE600" s="1619"/>
      <c r="CF600" s="929">
        <f>DIVISIONS!CF756</f>
        <v>0</v>
      </c>
      <c r="CG600" s="929">
        <f>DIVISIONS!CG756</f>
        <v>0</v>
      </c>
      <c r="CH600" s="929">
        <f>CF600+CG600</f>
        <v>0</v>
      </c>
      <c r="CI600" s="1619"/>
      <c r="CJ600" s="929">
        <f>DIVISIONS!CJ756</f>
        <v>0</v>
      </c>
      <c r="CK600" s="929">
        <f>DIVISIONS!CK756</f>
        <v>0</v>
      </c>
      <c r="CL600" s="929">
        <f>CJ600+CK600</f>
        <v>0</v>
      </c>
      <c r="CM600" s="1619"/>
      <c r="CN600" s="929">
        <f>DIVISIONS!CN756</f>
        <v>0</v>
      </c>
      <c r="CO600" s="929">
        <f>DIVISIONS!CO756</f>
        <v>0</v>
      </c>
      <c r="CP600" s="929">
        <f>CN600+CO600</f>
        <v>0</v>
      </c>
      <c r="CQ600" s="1619"/>
      <c r="CR600" s="929">
        <f>DIVISIONS!CR756</f>
        <v>0</v>
      </c>
      <c r="CS600" s="929">
        <f>DIVISIONS!CS756</f>
        <v>0</v>
      </c>
      <c r="CT600" s="929">
        <f>CR600+CS600</f>
        <v>0</v>
      </c>
      <c r="CU600" s="859"/>
      <c r="CV600" s="929">
        <f>DIVISIONS!CV756</f>
        <v>0</v>
      </c>
      <c r="CW600" s="929">
        <f>DIVISIONS!CW756</f>
        <v>0</v>
      </c>
      <c r="CX600" s="929">
        <f>CV600+CW600</f>
        <v>0</v>
      </c>
      <c r="CY600" s="859"/>
      <c r="CZ600" s="929">
        <f>DIVISIONS!CZ756</f>
        <v>0</v>
      </c>
      <c r="DA600" s="929">
        <f>DIVISIONS!DA756</f>
        <v>0</v>
      </c>
      <c r="DB600" s="929">
        <f>CZ600+DA600</f>
        <v>0</v>
      </c>
      <c r="DC600" s="859"/>
      <c r="DD600" s="929">
        <f>DIVISIONS!DD756</f>
        <v>0</v>
      </c>
      <c r="DE600" s="929">
        <f>DIVISIONS!DE756</f>
        <v>0</v>
      </c>
      <c r="DF600" s="929">
        <f>DD600+DE600</f>
        <v>0</v>
      </c>
      <c r="DG600" s="859"/>
      <c r="DH600" s="929">
        <f>DIVISIONS!DH756</f>
        <v>0</v>
      </c>
      <c r="DI600" s="859">
        <v>0</v>
      </c>
      <c r="DJ600" s="929">
        <f>DH600+DI600</f>
        <v>0</v>
      </c>
      <c r="DK600" s="859"/>
      <c r="DL600" s="859">
        <v>0</v>
      </c>
      <c r="DM600" s="859">
        <v>0</v>
      </c>
      <c r="DN600" s="929">
        <f>DL600+DM600</f>
        <v>0</v>
      </c>
      <c r="DO600" s="929"/>
      <c r="DP600" s="859">
        <v>0</v>
      </c>
      <c r="DQ600" s="859">
        <v>0</v>
      </c>
      <c r="DR600" s="929">
        <f>DP600+DQ600</f>
        <v>0</v>
      </c>
      <c r="DS600" s="929"/>
      <c r="DT600" s="859"/>
      <c r="DU600" s="859"/>
      <c r="DV600" s="859"/>
      <c r="DW600" s="859"/>
      <c r="DX600" s="929"/>
      <c r="DY600" s="857"/>
      <c r="DZ600" s="859"/>
      <c r="EA600" s="859"/>
      <c r="EB600" s="929"/>
      <c r="EC600" s="857"/>
      <c r="ED600" s="859"/>
      <c r="EE600" s="859"/>
      <c r="EF600" s="929"/>
      <c r="EG600" s="857"/>
      <c r="EH600" s="857"/>
      <c r="EI600" s="857"/>
      <c r="EJ600" s="857"/>
      <c r="EK600" s="857"/>
      <c r="EL600" s="857"/>
      <c r="EM600" s="857"/>
      <c r="EN600" s="857"/>
      <c r="EO600" s="857"/>
      <c r="EP600" s="857"/>
      <c r="FL600" s="855"/>
      <c r="FM600" s="855"/>
      <c r="FN600" s="855"/>
      <c r="FO600" s="855"/>
      <c r="FP600" s="855"/>
      <c r="FQ600" s="855"/>
      <c r="FR600" s="855"/>
      <c r="FS600" s="855"/>
      <c r="FT600" s="855"/>
      <c r="FU600" s="855"/>
      <c r="FV600" s="855"/>
      <c r="FW600" s="855"/>
      <c r="FX600" s="855"/>
      <c r="FY600" s="855"/>
      <c r="FZ600" s="855"/>
      <c r="GA600" s="855"/>
      <c r="GB600" s="855"/>
      <c r="GC600" s="855"/>
      <c r="GD600" s="855"/>
      <c r="GE600" s="855"/>
      <c r="GF600" s="855"/>
      <c r="GG600" s="855"/>
      <c r="GH600" s="855"/>
      <c r="GI600" s="855"/>
      <c r="GJ600" s="855"/>
      <c r="GK600" s="855"/>
      <c r="GL600" s="855"/>
      <c r="GM600" s="855"/>
      <c r="GN600" s="855"/>
      <c r="GO600" s="855"/>
      <c r="GP600" s="855"/>
      <c r="GQ600" s="855"/>
      <c r="GR600" s="855"/>
      <c r="GS600" s="855"/>
      <c r="GT600" s="855"/>
      <c r="GU600" s="855"/>
      <c r="GV600" s="855"/>
      <c r="GW600" s="855"/>
      <c r="GX600" s="855"/>
      <c r="GY600" s="855"/>
      <c r="GZ600" s="855"/>
      <c r="HA600" s="855"/>
      <c r="HB600" s="855"/>
      <c r="HC600" s="855"/>
      <c r="HD600" s="855"/>
      <c r="HE600" s="855"/>
      <c r="HF600" s="855"/>
      <c r="HG600" s="855"/>
      <c r="HH600" s="855"/>
      <c r="HI600" s="855"/>
      <c r="HJ600" s="855"/>
      <c r="HK600" s="855"/>
      <c r="HL600" s="855"/>
      <c r="HM600" s="855"/>
      <c r="HN600" s="855"/>
      <c r="HO600" s="855"/>
      <c r="HP600" s="855"/>
      <c r="HQ600" s="855"/>
      <c r="HR600" s="855"/>
      <c r="HS600" s="855"/>
      <c r="HT600" s="855"/>
      <c r="HU600" s="855"/>
      <c r="HV600" s="855"/>
      <c r="HW600" s="855"/>
      <c r="HX600" s="855"/>
      <c r="HY600" s="855"/>
      <c r="HZ600" s="855"/>
      <c r="IA600" s="855"/>
      <c r="IB600" s="855"/>
      <c r="IC600" s="855"/>
      <c r="ID600" s="855"/>
      <c r="IE600" s="855"/>
      <c r="IF600" s="855"/>
      <c r="IG600" s="855"/>
      <c r="IH600" s="855"/>
      <c r="II600" s="855"/>
      <c r="IJ600" s="855"/>
      <c r="IK600" s="855"/>
      <c r="IL600" s="855"/>
      <c r="IM600" s="855"/>
      <c r="IN600" s="855"/>
      <c r="IO600" s="855"/>
      <c r="IP600" s="855"/>
      <c r="IQ600" s="855"/>
      <c r="IR600" s="855"/>
      <c r="IS600" s="855"/>
      <c r="IT600" s="855"/>
      <c r="IU600" s="855"/>
      <c r="IV600" s="855"/>
      <c r="IW600" s="855"/>
      <c r="IX600" s="855"/>
      <c r="IY600" s="855"/>
      <c r="IZ600" s="855"/>
      <c r="JA600" s="855"/>
      <c r="JB600" s="855"/>
      <c r="JC600" s="855"/>
      <c r="JD600" s="855"/>
      <c r="JE600" s="855"/>
      <c r="JF600" s="855"/>
      <c r="JG600" s="855"/>
      <c r="JH600" s="855"/>
      <c r="JI600" s="855"/>
      <c r="JJ600" s="855"/>
      <c r="JK600" s="855"/>
      <c r="JL600" s="855"/>
      <c r="JM600"/>
    </row>
    <row r="601" spans="1:273" s="855" customFormat="1">
      <c r="A601" s="289" t="s">
        <v>613</v>
      </c>
      <c r="B601" s="290"/>
      <c r="C601" s="289"/>
      <c r="D601" s="289"/>
      <c r="E601" s="289"/>
      <c r="F601" s="289"/>
      <c r="G601" s="289"/>
      <c r="H601" s="289"/>
      <c r="I601" s="289"/>
      <c r="J601" s="289"/>
      <c r="K601" s="289"/>
      <c r="L601" s="289"/>
      <c r="M601" s="289"/>
      <c r="N601" s="289"/>
      <c r="O601" s="289"/>
      <c r="P601" s="289"/>
      <c r="Q601" s="289"/>
      <c r="R601" s="289"/>
      <c r="S601" s="289"/>
      <c r="T601" s="289"/>
      <c r="U601" s="289"/>
      <c r="V601" s="289"/>
      <c r="W601" s="289"/>
      <c r="X601" s="289"/>
      <c r="Y601" s="289"/>
      <c r="Z601" s="289"/>
      <c r="AA601" s="289"/>
      <c r="AB601" s="289"/>
      <c r="AC601" s="289"/>
      <c r="AD601" s="289"/>
      <c r="AE601" s="289"/>
      <c r="AF601" s="289"/>
      <c r="AG601" s="289"/>
      <c r="AH601" s="289"/>
      <c r="AI601" s="289"/>
      <c r="AJ601" s="289"/>
      <c r="AK601" s="289"/>
      <c r="AL601" s="289"/>
      <c r="AM601" s="289"/>
      <c r="AN601" s="290"/>
      <c r="AO601" s="290"/>
      <c r="AP601" s="853">
        <f>SUM(AP593:AP600)</f>
        <v>0</v>
      </c>
      <c r="AQ601" s="290"/>
      <c r="AR601" s="290"/>
      <c r="AS601" s="290"/>
      <c r="AT601" s="853">
        <f>SUM(AT593:AT600)</f>
        <v>0</v>
      </c>
      <c r="AU601" s="290"/>
      <c r="AV601" s="853">
        <f>SUM(AV593:AV600)</f>
        <v>55</v>
      </c>
      <c r="AW601" s="853">
        <f>SUM(AW593:AW600)</f>
        <v>0</v>
      </c>
      <c r="AX601" s="853"/>
      <c r="AY601" s="820"/>
      <c r="AZ601" s="853">
        <f>SUM(AZ593:AZ600)</f>
        <v>0</v>
      </c>
      <c r="BA601" s="853">
        <f>SUM(BA593:BA600)</f>
        <v>0</v>
      </c>
      <c r="BB601" s="853"/>
      <c r="BC601" s="853"/>
      <c r="BD601" s="853">
        <f>SUM(BD593:BD600)</f>
        <v>0</v>
      </c>
      <c r="BE601" s="853">
        <f>SUM(BE593:BE600)</f>
        <v>0</v>
      </c>
      <c r="BF601" s="818">
        <f t="shared" si="665"/>
        <v>0</v>
      </c>
      <c r="BG601" s="853"/>
      <c r="BH601" s="853">
        <f>SUM(BH593:BH600)</f>
        <v>0</v>
      </c>
      <c r="BI601" s="853">
        <f>SUM(BI593:BI600)</f>
        <v>0</v>
      </c>
      <c r="BJ601" s="818">
        <f>BH601+BI601</f>
        <v>0</v>
      </c>
      <c r="BK601" s="853"/>
      <c r="BL601" s="853">
        <f>SUM(BL593:BL600)</f>
        <v>0</v>
      </c>
      <c r="BM601" s="853">
        <f>SUM(BM593:BM600)</f>
        <v>0</v>
      </c>
      <c r="BN601" s="818">
        <f>BL601+BM601</f>
        <v>0</v>
      </c>
      <c r="BO601" s="853"/>
      <c r="BP601" s="853">
        <f>SUM(BP593:BP600)</f>
        <v>0</v>
      </c>
      <c r="BQ601" s="853">
        <f>SUM(BQ593:BQ600)</f>
        <v>0</v>
      </c>
      <c r="BR601" s="818">
        <f>BP601+BQ601</f>
        <v>0</v>
      </c>
      <c r="BS601" s="853"/>
      <c r="BT601" s="853">
        <f>SUM(BT593:BT600)</f>
        <v>0</v>
      </c>
      <c r="BU601" s="853">
        <f>SUM(BU593:BU600)</f>
        <v>0</v>
      </c>
      <c r="BV601" s="818">
        <f>BT601+BU601</f>
        <v>0</v>
      </c>
      <c r="BW601" s="853"/>
      <c r="BX601" s="853">
        <f>SUM(BX593:BX600)</f>
        <v>0</v>
      </c>
      <c r="BY601" s="853">
        <f>SUM(BY593:BY600)</f>
        <v>0</v>
      </c>
      <c r="BZ601" s="818">
        <f>BX601+BY601</f>
        <v>0</v>
      </c>
      <c r="CA601" s="853"/>
      <c r="CB601" s="853">
        <f>SUM(CB593:CB600)</f>
        <v>0</v>
      </c>
      <c r="CC601" s="853">
        <f>SUM(CC593:CC600)</f>
        <v>0</v>
      </c>
      <c r="CD601" s="818">
        <f>CB601+CC601</f>
        <v>0</v>
      </c>
      <c r="CE601" s="862"/>
      <c r="CF601" s="853">
        <f>SUM(CF593:CF600)</f>
        <v>0</v>
      </c>
      <c r="CG601" s="853">
        <f>SUM(CG593:CG600)</f>
        <v>0</v>
      </c>
      <c r="CH601" s="818">
        <f>CF601+CG601</f>
        <v>0</v>
      </c>
      <c r="CI601" s="862"/>
      <c r="CJ601" s="853">
        <f>SUM(CJ593:CJ600)</f>
        <v>0</v>
      </c>
      <c r="CK601" s="853">
        <f>SUM(CK593:CK600)</f>
        <v>0</v>
      </c>
      <c r="CL601" s="818">
        <f>CJ601+CK601</f>
        <v>0</v>
      </c>
      <c r="CM601" s="862"/>
      <c r="CN601" s="853">
        <f>SUM(CN593:CN600)</f>
        <v>0</v>
      </c>
      <c r="CO601" s="853">
        <f>SUM(CO593:CO600)</f>
        <v>0</v>
      </c>
      <c r="CP601" s="818">
        <f>CN601+CO601</f>
        <v>0</v>
      </c>
      <c r="CQ601" s="862"/>
      <c r="CR601" s="853">
        <f>SUM(CR593:CR600)</f>
        <v>0</v>
      </c>
      <c r="CS601" s="853">
        <f>SUM(CS593:CS600)</f>
        <v>0</v>
      </c>
      <c r="CT601" s="818">
        <f>CR601+CS601</f>
        <v>0</v>
      </c>
      <c r="CU601" s="853"/>
      <c r="CV601" s="853">
        <f>SUM(CV593:CV600)</f>
        <v>0</v>
      </c>
      <c r="CW601" s="853">
        <f>SUM(CW593:CW600)</f>
        <v>0</v>
      </c>
      <c r="CX601" s="818">
        <f>CV601+CW601</f>
        <v>0</v>
      </c>
      <c r="CY601" s="853"/>
      <c r="CZ601" s="853">
        <f>SUM(CZ593:CZ600)</f>
        <v>0</v>
      </c>
      <c r="DA601" s="853">
        <f>SUM(DA593:DA600)</f>
        <v>0</v>
      </c>
      <c r="DB601" s="818">
        <f>CZ601+DA601</f>
        <v>0</v>
      </c>
      <c r="DC601" s="853"/>
      <c r="DD601" s="853">
        <f>SUM(DD593:DD600)</f>
        <v>0</v>
      </c>
      <c r="DE601" s="853">
        <f>SUM(DE593:DE600)</f>
        <v>0</v>
      </c>
      <c r="DF601" s="818">
        <f>DD601+DE601</f>
        <v>0</v>
      </c>
      <c r="DG601" s="853"/>
      <c r="DH601" s="853">
        <f>SUM(DH593:DH600)</f>
        <v>0</v>
      </c>
      <c r="DI601" s="853">
        <f>SUM(DI593:DI600)</f>
        <v>0</v>
      </c>
      <c r="DJ601" s="818">
        <f>DH601+DI601</f>
        <v>0</v>
      </c>
      <c r="DK601" s="853"/>
      <c r="DL601" s="853">
        <f>SUM(DL593:DL600)</f>
        <v>0</v>
      </c>
      <c r="DM601" s="853">
        <f>SUM(DM593:DM600)</f>
        <v>0</v>
      </c>
      <c r="DN601" s="818">
        <f>DL601+DM601</f>
        <v>0</v>
      </c>
      <c r="DO601" s="818"/>
      <c r="DP601" s="853">
        <f>SUM(DP593:DP600)</f>
        <v>0</v>
      </c>
      <c r="DQ601" s="853">
        <f>SUM(DQ593:DQ600)</f>
        <v>0</v>
      </c>
      <c r="DR601" s="818">
        <f>DP601+DQ601</f>
        <v>0</v>
      </c>
      <c r="DS601" s="818"/>
      <c r="DT601" s="853"/>
      <c r="DU601" s="853"/>
      <c r="DV601" s="853"/>
      <c r="DW601" s="853"/>
      <c r="DX601" s="818"/>
      <c r="DY601" s="853"/>
      <c r="DZ601" s="853"/>
      <c r="EA601" s="853"/>
      <c r="EB601" s="818"/>
      <c r="EC601" s="853"/>
      <c r="ED601" s="853"/>
      <c r="EE601" s="853"/>
      <c r="EF601" s="818"/>
      <c r="EG601" s="853"/>
      <c r="EH601" s="853"/>
      <c r="EI601" s="853"/>
      <c r="EJ601" s="853"/>
      <c r="EK601" s="853"/>
      <c r="EL601" s="853"/>
      <c r="EM601" s="853"/>
      <c r="EN601" s="853"/>
      <c r="EO601" s="853"/>
      <c r="EP601" s="853"/>
      <c r="JM601"/>
    </row>
    <row r="602" spans="1:273" s="855" customFormat="1">
      <c r="A602" s="289"/>
      <c r="B602" s="290"/>
      <c r="C602" s="289"/>
      <c r="D602" s="289"/>
      <c r="E602" s="289"/>
      <c r="F602" s="289"/>
      <c r="G602" s="289"/>
      <c r="H602" s="289"/>
      <c r="I602" s="289"/>
      <c r="J602" s="289"/>
      <c r="K602" s="289"/>
      <c r="L602" s="289"/>
      <c r="M602" s="289"/>
      <c r="N602" s="289"/>
      <c r="O602" s="289"/>
      <c r="P602" s="289"/>
      <c r="Q602" s="289"/>
      <c r="R602" s="289"/>
      <c r="S602" s="289"/>
      <c r="T602" s="289"/>
      <c r="U602" s="289"/>
      <c r="V602" s="289"/>
      <c r="W602" s="289"/>
      <c r="X602" s="289"/>
      <c r="Y602" s="289"/>
      <c r="Z602" s="289"/>
      <c r="AA602" s="289"/>
      <c r="AB602" s="289"/>
      <c r="AC602" s="289"/>
      <c r="AD602" s="289"/>
      <c r="AE602" s="289"/>
      <c r="AF602" s="289"/>
      <c r="AG602" s="289"/>
      <c r="AH602" s="289"/>
      <c r="AI602" s="289"/>
      <c r="AJ602" s="289"/>
      <c r="AK602" s="289"/>
      <c r="AL602" s="289"/>
      <c r="AM602" s="289"/>
      <c r="AN602" s="290"/>
      <c r="AO602" s="290"/>
      <c r="AP602" s="290"/>
      <c r="AQ602" s="290"/>
      <c r="AR602" s="290"/>
      <c r="AS602" s="290"/>
      <c r="AT602" s="290"/>
      <c r="AU602" s="290"/>
      <c r="AV602" s="853"/>
      <c r="AW602" s="853"/>
      <c r="AX602" s="853"/>
      <c r="AY602" s="820"/>
      <c r="AZ602" s="853"/>
      <c r="BA602" s="853"/>
      <c r="BB602" s="853"/>
      <c r="BC602" s="853"/>
      <c r="BD602" s="967"/>
      <c r="BE602" s="967"/>
      <c r="BF602" s="853"/>
      <c r="BG602" s="853"/>
      <c r="BH602" s="967"/>
      <c r="BI602" s="967"/>
      <c r="BJ602" s="853"/>
      <c r="BK602" s="853"/>
      <c r="BL602" s="967"/>
      <c r="BM602" s="967"/>
      <c r="BN602" s="853"/>
      <c r="BO602" s="853"/>
      <c r="BP602" s="967"/>
      <c r="BQ602" s="967"/>
      <c r="BR602" s="853"/>
      <c r="BS602" s="853"/>
      <c r="BT602" s="967"/>
      <c r="BU602" s="967"/>
      <c r="BV602" s="853"/>
      <c r="BW602" s="853"/>
      <c r="BX602" s="967"/>
      <c r="BY602" s="967"/>
      <c r="BZ602" s="853"/>
      <c r="CA602" s="853"/>
      <c r="CB602" s="967"/>
      <c r="CC602" s="967"/>
      <c r="CD602" s="853"/>
      <c r="CE602" s="862"/>
      <c r="CF602" s="967"/>
      <c r="CG602" s="967"/>
      <c r="CH602" s="853"/>
      <c r="CI602" s="862"/>
      <c r="CJ602" s="967"/>
      <c r="CK602" s="967"/>
      <c r="CL602" s="853"/>
      <c r="CM602" s="862"/>
      <c r="CN602" s="967"/>
      <c r="CO602" s="967"/>
      <c r="CP602" s="853"/>
      <c r="CQ602" s="862"/>
      <c r="CR602" s="967"/>
      <c r="CS602" s="967"/>
      <c r="CT602" s="853"/>
      <c r="CU602" s="853"/>
      <c r="CV602" s="967"/>
      <c r="CW602" s="967"/>
      <c r="CX602" s="853"/>
      <c r="CY602" s="853"/>
      <c r="CZ602" s="967"/>
      <c r="DA602" s="967"/>
      <c r="DB602" s="853"/>
      <c r="DC602" s="853"/>
      <c r="DD602" s="967"/>
      <c r="DE602" s="967"/>
      <c r="DF602" s="853"/>
      <c r="DG602" s="853"/>
      <c r="DH602" s="967"/>
      <c r="DI602" s="967"/>
      <c r="DJ602" s="853"/>
      <c r="DK602" s="853"/>
      <c r="DL602" s="967"/>
      <c r="DM602" s="967"/>
      <c r="DN602" s="853"/>
      <c r="DO602" s="853"/>
      <c r="DP602" s="967"/>
      <c r="DQ602" s="967"/>
      <c r="DR602" s="853"/>
      <c r="DS602" s="853"/>
      <c r="DT602" s="853"/>
      <c r="DU602" s="967"/>
      <c r="DV602" s="967"/>
      <c r="DW602" s="967"/>
      <c r="DX602" s="853"/>
      <c r="DY602" s="853"/>
      <c r="DZ602" s="967"/>
      <c r="EA602" s="967"/>
      <c r="EB602" s="853"/>
      <c r="EC602" s="853"/>
      <c r="ED602" s="967"/>
      <c r="EE602" s="967"/>
      <c r="EF602" s="853"/>
      <c r="EG602" s="853"/>
      <c r="EH602" s="853"/>
      <c r="EI602" s="853"/>
      <c r="EJ602" s="853"/>
      <c r="EK602" s="853"/>
      <c r="EL602" s="853"/>
      <c r="EM602" s="853"/>
      <c r="EN602" s="853"/>
      <c r="EO602" s="853"/>
      <c r="EP602" s="853"/>
      <c r="JM602"/>
    </row>
    <row r="603" spans="1:273" s="971" customFormat="1">
      <c r="A603" s="866" t="s">
        <v>822</v>
      </c>
      <c r="B603" s="925"/>
      <c r="C603" s="866"/>
      <c r="D603" s="866"/>
      <c r="E603" s="866"/>
      <c r="F603" s="866"/>
      <c r="G603" s="866"/>
      <c r="H603" s="866"/>
      <c r="I603" s="866"/>
      <c r="J603" s="866"/>
      <c r="K603" s="866"/>
      <c r="L603" s="866"/>
      <c r="M603" s="866"/>
      <c r="N603" s="866"/>
      <c r="O603" s="866"/>
      <c r="P603" s="866"/>
      <c r="Q603" s="866"/>
      <c r="R603" s="866"/>
      <c r="S603" s="866"/>
      <c r="T603" s="866"/>
      <c r="U603" s="866"/>
      <c r="V603" s="866"/>
      <c r="W603" s="866"/>
      <c r="X603" s="866"/>
      <c r="Y603" s="866"/>
      <c r="Z603" s="866"/>
      <c r="AA603" s="866"/>
      <c r="AB603" s="866"/>
      <c r="AC603" s="866"/>
      <c r="AD603" s="866"/>
      <c r="AE603" s="866"/>
      <c r="AF603" s="866"/>
      <c r="AG603" s="866"/>
      <c r="AH603" s="866"/>
      <c r="AI603" s="866"/>
      <c r="AJ603" s="866"/>
      <c r="AK603" s="866"/>
      <c r="AL603" s="866"/>
      <c r="AM603" s="866"/>
      <c r="AN603" s="925"/>
      <c r="AO603" s="925"/>
      <c r="AP603" s="925"/>
      <c r="AQ603" s="925"/>
      <c r="AR603" s="925"/>
      <c r="AS603" s="925"/>
      <c r="AT603" s="925"/>
      <c r="AU603" s="925"/>
      <c r="AV603" s="968"/>
      <c r="AW603" s="968"/>
      <c r="AX603" s="968"/>
      <c r="AY603" s="969"/>
      <c r="AZ603" s="968"/>
      <c r="BA603" s="968"/>
      <c r="BB603" s="968"/>
      <c r="BC603" s="968"/>
      <c r="BD603" s="970"/>
      <c r="BE603" s="970"/>
      <c r="BF603" s="968"/>
      <c r="BG603" s="968"/>
      <c r="BH603" s="970"/>
      <c r="BI603" s="970"/>
      <c r="BJ603" s="968"/>
      <c r="BK603" s="968"/>
      <c r="BL603" s="970"/>
      <c r="BM603" s="970"/>
      <c r="BN603" s="968"/>
      <c r="BO603" s="968"/>
      <c r="BP603" s="970"/>
      <c r="BQ603" s="970"/>
      <c r="BR603" s="968"/>
      <c r="BS603" s="968"/>
      <c r="BT603" s="970"/>
      <c r="BU603" s="970"/>
      <c r="BV603" s="968"/>
      <c r="BW603" s="968"/>
      <c r="BX603" s="970"/>
      <c r="BY603" s="970"/>
      <c r="BZ603" s="968"/>
      <c r="CA603" s="968"/>
      <c r="CB603" s="970"/>
      <c r="CC603" s="970"/>
      <c r="CD603" s="968"/>
      <c r="CE603" s="1617"/>
      <c r="CF603" s="970"/>
      <c r="CG603" s="970"/>
      <c r="CH603" s="968"/>
      <c r="CI603" s="1617"/>
      <c r="CJ603" s="970"/>
      <c r="CK603" s="970"/>
      <c r="CL603" s="968"/>
      <c r="CM603" s="1617"/>
      <c r="CN603" s="970"/>
      <c r="CO603" s="970"/>
      <c r="CP603" s="968"/>
      <c r="CQ603" s="1617"/>
      <c r="CR603" s="970"/>
      <c r="CS603" s="970"/>
      <c r="CT603" s="968"/>
      <c r="CU603" s="968"/>
      <c r="CV603" s="970"/>
      <c r="CW603" s="970"/>
      <c r="CX603" s="968"/>
      <c r="CY603" s="968"/>
      <c r="CZ603" s="970"/>
      <c r="DA603" s="970"/>
      <c r="DB603" s="968"/>
      <c r="DC603" s="968"/>
      <c r="DD603" s="970"/>
      <c r="DE603" s="970"/>
      <c r="DF603" s="968"/>
      <c r="DG603" s="968"/>
      <c r="DH603" s="970"/>
      <c r="DI603" s="970"/>
      <c r="DJ603" s="968"/>
      <c r="DK603" s="968"/>
      <c r="DL603" s="970"/>
      <c r="DM603" s="970"/>
      <c r="DN603" s="968"/>
      <c r="DO603" s="968"/>
      <c r="DP603" s="970"/>
      <c r="DQ603" s="970"/>
      <c r="DR603" s="968"/>
      <c r="DS603" s="968"/>
      <c r="DT603" s="968"/>
      <c r="DU603" s="970"/>
      <c r="DV603" s="970"/>
      <c r="DW603" s="970"/>
      <c r="DX603" s="968"/>
      <c r="DY603" s="968"/>
      <c r="DZ603" s="970"/>
      <c r="EA603" s="970"/>
      <c r="EB603" s="968"/>
      <c r="EC603" s="968"/>
      <c r="ED603" s="970"/>
      <c r="EE603" s="970"/>
      <c r="EF603" s="968"/>
      <c r="EG603" s="968"/>
      <c r="EH603" s="968"/>
      <c r="EI603" s="968"/>
      <c r="EJ603" s="968"/>
      <c r="EK603" s="968"/>
      <c r="EL603" s="968"/>
      <c r="EM603" s="968"/>
      <c r="EN603" s="968"/>
      <c r="EO603" s="968"/>
      <c r="EP603" s="968"/>
      <c r="FL603" s="855"/>
      <c r="FM603" s="855"/>
      <c r="FN603" s="855"/>
      <c r="FO603" s="855"/>
      <c r="FP603" s="855"/>
      <c r="FQ603" s="855"/>
      <c r="FR603" s="855"/>
      <c r="FS603" s="855"/>
      <c r="FT603" s="855"/>
      <c r="FU603" s="855"/>
      <c r="FV603" s="855"/>
      <c r="FW603" s="855"/>
      <c r="FX603" s="855"/>
      <c r="FY603" s="855"/>
      <c r="FZ603" s="855"/>
      <c r="GA603" s="855"/>
      <c r="GB603" s="855"/>
      <c r="GC603" s="855"/>
      <c r="GD603" s="855"/>
      <c r="GE603" s="855"/>
      <c r="GF603" s="855"/>
      <c r="GG603" s="855"/>
      <c r="GH603" s="855"/>
      <c r="GI603" s="855"/>
      <c r="GJ603" s="855"/>
      <c r="GK603" s="855"/>
      <c r="GL603" s="855"/>
      <c r="GM603" s="855"/>
      <c r="GN603" s="855"/>
      <c r="GO603" s="855"/>
      <c r="GP603" s="855"/>
      <c r="GQ603" s="855"/>
      <c r="GR603" s="855"/>
      <c r="GS603" s="855"/>
      <c r="GT603" s="855"/>
      <c r="GU603" s="855"/>
      <c r="GV603" s="855"/>
      <c r="GW603" s="855"/>
      <c r="GX603" s="855"/>
      <c r="GY603" s="855"/>
      <c r="GZ603" s="855"/>
      <c r="HA603" s="855"/>
      <c r="HB603" s="855"/>
      <c r="HC603" s="855"/>
      <c r="HD603" s="855"/>
      <c r="HE603" s="855"/>
      <c r="HF603" s="855"/>
      <c r="HG603" s="855"/>
      <c r="HH603" s="855"/>
      <c r="HI603" s="855"/>
      <c r="HJ603" s="855"/>
      <c r="HK603" s="855"/>
      <c r="HL603" s="855"/>
      <c r="HM603" s="855"/>
      <c r="HN603" s="855"/>
      <c r="HO603" s="855"/>
      <c r="HP603" s="855"/>
      <c r="HQ603" s="855"/>
      <c r="HR603" s="855"/>
      <c r="HS603" s="855"/>
      <c r="HT603" s="855"/>
      <c r="HU603" s="855"/>
      <c r="HV603" s="855"/>
      <c r="HW603" s="855"/>
      <c r="HX603" s="855"/>
      <c r="HY603" s="855"/>
      <c r="HZ603" s="855"/>
      <c r="IA603" s="855"/>
      <c r="IB603" s="855"/>
      <c r="IC603" s="855"/>
      <c r="ID603" s="855"/>
      <c r="IE603" s="855"/>
      <c r="IF603" s="855"/>
      <c r="IG603" s="855"/>
      <c r="IH603" s="855"/>
      <c r="II603" s="855"/>
      <c r="IJ603" s="855"/>
      <c r="IK603" s="855"/>
      <c r="IL603" s="855"/>
      <c r="IM603" s="855"/>
      <c r="IN603" s="855"/>
      <c r="IO603" s="855"/>
      <c r="IP603" s="855"/>
      <c r="IQ603" s="855"/>
      <c r="IR603" s="855"/>
      <c r="IS603" s="855"/>
      <c r="IT603" s="855"/>
      <c r="IU603" s="855"/>
      <c r="IV603" s="855"/>
      <c r="IW603" s="855"/>
      <c r="IX603" s="855"/>
      <c r="IY603" s="855"/>
      <c r="IZ603" s="855"/>
      <c r="JA603" s="855"/>
      <c r="JB603" s="855"/>
      <c r="JC603" s="855"/>
      <c r="JD603" s="855"/>
      <c r="JE603" s="855"/>
      <c r="JF603" s="855"/>
      <c r="JG603" s="855"/>
      <c r="JH603" s="855"/>
      <c r="JI603" s="855"/>
      <c r="JJ603" s="855"/>
      <c r="JK603" s="855"/>
      <c r="JL603" s="855"/>
      <c r="JM603"/>
    </row>
    <row r="604" spans="1:273" s="860" customFormat="1">
      <c r="A604" s="302" t="s">
        <v>685</v>
      </c>
      <c r="B604" s="298"/>
      <c r="C604" s="296"/>
      <c r="D604" s="296"/>
      <c r="E604" s="296"/>
      <c r="F604" s="296"/>
      <c r="G604" s="296"/>
      <c r="H604" s="296"/>
      <c r="I604" s="296"/>
      <c r="J604" s="296"/>
      <c r="K604" s="296"/>
      <c r="L604" s="296"/>
      <c r="M604" s="296"/>
      <c r="N604" s="296"/>
      <c r="O604" s="296"/>
      <c r="P604" s="296"/>
      <c r="Q604" s="296"/>
      <c r="R604" s="296"/>
      <c r="S604" s="296"/>
      <c r="T604" s="296"/>
      <c r="U604" s="296"/>
      <c r="V604" s="296"/>
      <c r="W604" s="296"/>
      <c r="X604" s="296"/>
      <c r="Y604" s="296"/>
      <c r="Z604" s="296"/>
      <c r="AA604" s="296"/>
      <c r="AB604" s="296"/>
      <c r="AC604" s="296"/>
      <c r="AD604" s="296"/>
      <c r="AE604" s="296"/>
      <c r="AF604" s="296"/>
      <c r="AG604" s="296"/>
      <c r="AH604" s="296"/>
      <c r="AI604" s="296"/>
      <c r="AJ604" s="296"/>
      <c r="AK604" s="296"/>
      <c r="AL604" s="296"/>
      <c r="AM604" s="296"/>
      <c r="AN604" s="298"/>
      <c r="AO604" s="298"/>
      <c r="AP604" s="298"/>
      <c r="AQ604" s="298"/>
      <c r="AR604" s="298"/>
      <c r="AS604" s="298"/>
      <c r="AT604" s="298"/>
      <c r="AU604" s="972">
        <f>SUM(AV604:BZ604)</f>
        <v>0</v>
      </c>
      <c r="AV604" s="973">
        <v>0</v>
      </c>
      <c r="AW604" s="973">
        <v>0</v>
      </c>
      <c r="AX604" s="929">
        <f>AV604+AW604</f>
        <v>0</v>
      </c>
      <c r="AY604" s="633"/>
      <c r="AZ604" s="973">
        <v>0</v>
      </c>
      <c r="BA604" s="973">
        <v>0</v>
      </c>
      <c r="BB604" s="929">
        <f>AZ604+BA604</f>
        <v>0</v>
      </c>
      <c r="BC604" s="857"/>
      <c r="BD604" s="973">
        <v>0</v>
      </c>
      <c r="BE604" s="973">
        <v>0</v>
      </c>
      <c r="BF604" s="929">
        <f>BD604+BE604</f>
        <v>0</v>
      </c>
      <c r="BG604" s="974"/>
      <c r="BH604" s="973">
        <v>0</v>
      </c>
      <c r="BI604" s="973">
        <v>0</v>
      </c>
      <c r="BJ604" s="929">
        <f t="shared" ref="BJ604:BJ609" si="666">BH604+BI604</f>
        <v>0</v>
      </c>
      <c r="BK604" s="974"/>
      <c r="BL604" s="973">
        <v>0</v>
      </c>
      <c r="BM604" s="973">
        <v>0</v>
      </c>
      <c r="BN604" s="929">
        <f t="shared" ref="BN604:BN609" si="667">BL604+BM604</f>
        <v>0</v>
      </c>
      <c r="BO604" s="974"/>
      <c r="BP604" s="973">
        <v>0</v>
      </c>
      <c r="BQ604" s="973">
        <v>0</v>
      </c>
      <c r="BR604" s="929">
        <f t="shared" ref="BR604:BR609" si="668">BP604+BQ604</f>
        <v>0</v>
      </c>
      <c r="BS604" s="974"/>
      <c r="BT604" s="973">
        <v>0</v>
      </c>
      <c r="BU604" s="973">
        <v>0</v>
      </c>
      <c r="BV604" s="929">
        <f t="shared" ref="BV604:BV609" si="669">BT604+BU604</f>
        <v>0</v>
      </c>
      <c r="BW604" s="974"/>
      <c r="BX604" s="974"/>
      <c r="BY604" s="974"/>
      <c r="BZ604" s="974"/>
      <c r="CA604" s="974"/>
      <c r="CB604" s="974"/>
      <c r="CC604" s="974"/>
      <c r="CD604" s="974"/>
      <c r="CE604" s="1618"/>
      <c r="CF604" s="974"/>
      <c r="CG604" s="974"/>
      <c r="CH604" s="974"/>
      <c r="CI604" s="1618"/>
      <c r="CJ604" s="974"/>
      <c r="CK604" s="974"/>
      <c r="CL604" s="974"/>
      <c r="CM604" s="1618"/>
      <c r="CN604" s="974"/>
      <c r="CO604" s="974"/>
      <c r="CP604" s="974"/>
      <c r="CQ604" s="1618"/>
      <c r="CR604" s="974"/>
      <c r="CS604" s="974"/>
      <c r="CT604" s="974"/>
      <c r="CU604" s="974"/>
      <c r="CV604" s="974"/>
      <c r="CW604" s="974"/>
      <c r="CX604" s="974"/>
      <c r="CY604" s="974"/>
      <c r="CZ604" s="974"/>
      <c r="DA604" s="974"/>
      <c r="DB604" s="974"/>
      <c r="DC604" s="974"/>
      <c r="DD604" s="974"/>
      <c r="DE604" s="974"/>
      <c r="DF604" s="974"/>
      <c r="DG604" s="974"/>
      <c r="DH604" s="974"/>
      <c r="DI604" s="974"/>
      <c r="DJ604" s="974"/>
      <c r="DK604" s="974"/>
      <c r="DL604" s="974"/>
      <c r="DM604" s="974"/>
      <c r="DN604" s="974"/>
      <c r="DO604" s="929"/>
      <c r="DP604" s="974"/>
      <c r="DQ604" s="974"/>
      <c r="DR604" s="974"/>
      <c r="DS604" s="929"/>
      <c r="DT604" s="974"/>
      <c r="DU604" s="859"/>
      <c r="DV604" s="859"/>
      <c r="DW604" s="859"/>
      <c r="DX604" s="929"/>
      <c r="DY604" s="857"/>
      <c r="DZ604" s="859"/>
      <c r="EA604" s="859"/>
      <c r="EB604" s="929"/>
      <c r="EC604" s="857"/>
      <c r="ED604" s="859"/>
      <c r="EE604" s="859"/>
      <c r="EF604" s="929"/>
      <c r="EG604" s="857"/>
      <c r="EH604" s="857"/>
      <c r="EI604" s="857"/>
      <c r="EJ604" s="857"/>
      <c r="EK604" s="857"/>
      <c r="EL604" s="857"/>
      <c r="EM604" s="857"/>
      <c r="EN604" s="857"/>
      <c r="EO604" s="857"/>
      <c r="EP604" s="857"/>
      <c r="FL604" s="855"/>
      <c r="FM604" s="855"/>
      <c r="FN604" s="855"/>
      <c r="FO604" s="855"/>
      <c r="FP604" s="855"/>
      <c r="FQ604" s="855"/>
      <c r="FR604" s="855"/>
      <c r="FS604" s="855"/>
      <c r="FT604" s="855"/>
      <c r="FU604" s="855"/>
      <c r="FV604" s="855"/>
      <c r="FW604" s="855"/>
      <c r="FX604" s="855"/>
      <c r="FY604" s="855"/>
      <c r="FZ604" s="855"/>
      <c r="GA604" s="855"/>
      <c r="GB604" s="855"/>
      <c r="GC604" s="855"/>
      <c r="GD604" s="855"/>
      <c r="GE604" s="855"/>
      <c r="GF604" s="855"/>
      <c r="GG604" s="855"/>
      <c r="GH604" s="855"/>
      <c r="GI604" s="855"/>
      <c r="GJ604" s="855"/>
      <c r="GK604" s="855"/>
      <c r="GL604" s="855"/>
      <c r="GM604" s="855"/>
      <c r="GN604" s="855"/>
      <c r="GO604" s="855"/>
      <c r="GP604" s="855"/>
      <c r="GQ604" s="855"/>
      <c r="GR604" s="855"/>
      <c r="GS604" s="855"/>
      <c r="GT604" s="855"/>
      <c r="GU604" s="855"/>
      <c r="GV604" s="855"/>
      <c r="GW604" s="855"/>
      <c r="GX604" s="855"/>
      <c r="GY604" s="855"/>
      <c r="GZ604" s="855"/>
      <c r="HA604" s="855"/>
      <c r="HB604" s="855"/>
      <c r="HC604" s="855"/>
      <c r="HD604" s="855"/>
      <c r="HE604" s="855"/>
      <c r="HF604" s="855"/>
      <c r="HG604" s="855"/>
      <c r="HH604" s="855"/>
      <c r="HI604" s="855"/>
      <c r="HJ604" s="855"/>
      <c r="HK604" s="855"/>
      <c r="HL604" s="855"/>
      <c r="HM604" s="855"/>
      <c r="HN604" s="855"/>
      <c r="HO604" s="855"/>
      <c r="HP604" s="855"/>
      <c r="HQ604" s="855"/>
      <c r="HR604" s="855"/>
      <c r="HS604" s="855"/>
      <c r="HT604" s="855"/>
      <c r="HU604" s="855"/>
      <c r="HV604" s="855"/>
      <c r="HW604" s="855"/>
      <c r="HX604" s="855"/>
      <c r="HY604" s="855"/>
      <c r="HZ604" s="855"/>
      <c r="IA604" s="855"/>
      <c r="IB604" s="855"/>
      <c r="IC604" s="855"/>
      <c r="ID604" s="855"/>
      <c r="IE604" s="855"/>
      <c r="IF604" s="855"/>
      <c r="IG604" s="855"/>
      <c r="IH604" s="855"/>
      <c r="II604" s="855"/>
      <c r="IJ604" s="855"/>
      <c r="IK604" s="855"/>
      <c r="IL604" s="855"/>
      <c r="IM604" s="855"/>
      <c r="IN604" s="855"/>
      <c r="IO604" s="855"/>
      <c r="IP604" s="855"/>
      <c r="IQ604" s="855"/>
      <c r="IR604" s="855"/>
      <c r="IS604" s="855"/>
      <c r="IT604" s="855"/>
      <c r="IU604" s="855"/>
      <c r="IV604" s="855"/>
      <c r="IW604" s="855"/>
      <c r="IX604" s="855"/>
      <c r="IY604" s="855"/>
      <c r="IZ604" s="855"/>
      <c r="JA604" s="855"/>
      <c r="JB604" s="855"/>
      <c r="JC604" s="855"/>
      <c r="JD604" s="855"/>
      <c r="JE604" s="855"/>
      <c r="JF604" s="855"/>
      <c r="JG604" s="855"/>
      <c r="JH604" s="855"/>
      <c r="JI604" s="855"/>
      <c r="JJ604" s="855"/>
      <c r="JK604" s="855"/>
      <c r="JL604" s="855"/>
      <c r="JM604"/>
    </row>
    <row r="605" spans="1:273" s="860" customFormat="1">
      <c r="A605" s="302" t="s">
        <v>686</v>
      </c>
      <c r="B605" s="298"/>
      <c r="C605" s="296"/>
      <c r="D605" s="296"/>
      <c r="E605" s="296"/>
      <c r="F605" s="296"/>
      <c r="G605" s="296"/>
      <c r="H605" s="296"/>
      <c r="I605" s="296"/>
      <c r="J605" s="296"/>
      <c r="K605" s="296"/>
      <c r="L605" s="296"/>
      <c r="M605" s="296"/>
      <c r="N605" s="296"/>
      <c r="O605" s="296"/>
      <c r="P605" s="296"/>
      <c r="Q605" s="296"/>
      <c r="R605" s="296"/>
      <c r="S605" s="296"/>
      <c r="T605" s="296"/>
      <c r="U605" s="296"/>
      <c r="V605" s="296"/>
      <c r="W605" s="296"/>
      <c r="X605" s="296"/>
      <c r="Y605" s="296"/>
      <c r="Z605" s="296"/>
      <c r="AA605" s="296"/>
      <c r="AB605" s="296"/>
      <c r="AC605" s="296"/>
      <c r="AD605" s="296"/>
      <c r="AE605" s="296"/>
      <c r="AF605" s="296"/>
      <c r="AG605" s="296"/>
      <c r="AH605" s="296"/>
      <c r="AI605" s="296"/>
      <c r="AJ605" s="296"/>
      <c r="AK605" s="296"/>
      <c r="AL605" s="296"/>
      <c r="AM605" s="296"/>
      <c r="AN605" s="298"/>
      <c r="AO605" s="298"/>
      <c r="AP605" s="929">
        <f>DIVISIONS!AP179</f>
        <v>-11</v>
      </c>
      <c r="AQ605" s="298"/>
      <c r="AR605" s="298"/>
      <c r="AS605" s="298"/>
      <c r="AT605" s="929">
        <f>DIVISIONS!AT179</f>
        <v>-33</v>
      </c>
      <c r="AU605" s="298"/>
      <c r="AV605" s="929">
        <f>DIVISIONS!AV179</f>
        <v>-4</v>
      </c>
      <c r="AW605" s="929">
        <f>DIVISIONS!AW179</f>
        <v>0</v>
      </c>
      <c r="AX605" s="929">
        <f t="shared" ref="AX605:AX612" si="670">AV605+AW605</f>
        <v>-4</v>
      </c>
      <c r="AY605" s="976"/>
      <c r="AZ605" s="929">
        <f>DIVISIONS!AZ179</f>
        <v>-10</v>
      </c>
      <c r="BA605" s="929">
        <f>DIVISIONS!BA179</f>
        <v>1</v>
      </c>
      <c r="BB605" s="929">
        <f t="shared" ref="BB605:BB612" si="671">AZ605+BA605</f>
        <v>-9</v>
      </c>
      <c r="BC605" s="857"/>
      <c r="BD605" s="929">
        <f>DIVISIONS!BD179</f>
        <v>-5</v>
      </c>
      <c r="BE605" s="857">
        <f>DIVISIONS!BE179</f>
        <v>-25</v>
      </c>
      <c r="BF605" s="929">
        <f t="shared" ref="BF605:BF612" si="672">BD605+BE605</f>
        <v>-30</v>
      </c>
      <c r="BG605" s="859"/>
      <c r="BH605" s="929">
        <f>DIVISIONS!BH179</f>
        <v>-7</v>
      </c>
      <c r="BI605" s="929">
        <f>DIVISIONS!BI179</f>
        <v>-23</v>
      </c>
      <c r="BJ605" s="929">
        <f t="shared" si="666"/>
        <v>-30</v>
      </c>
      <c r="BK605" s="859"/>
      <c r="BL605" s="929">
        <f>DIVISIONS!BL179</f>
        <v>-13</v>
      </c>
      <c r="BM605" s="929">
        <f>DIVISIONS!BM179</f>
        <v>-17</v>
      </c>
      <c r="BN605" s="929">
        <f t="shared" si="667"/>
        <v>-30</v>
      </c>
      <c r="BO605" s="859"/>
      <c r="BP605" s="929">
        <f>DIVISIONS!BP179</f>
        <v>-16</v>
      </c>
      <c r="BQ605" s="929">
        <f>DIVISIONS!BQ179</f>
        <v>-13</v>
      </c>
      <c r="BR605" s="929">
        <f t="shared" si="668"/>
        <v>-29</v>
      </c>
      <c r="BS605" s="859"/>
      <c r="BT605" s="929">
        <f>DIVISIONS!BT179</f>
        <v>-61</v>
      </c>
      <c r="BU605" s="929">
        <f>DIVISIONS!BU179</f>
        <v>-15</v>
      </c>
      <c r="BV605" s="929">
        <f t="shared" si="669"/>
        <v>-76</v>
      </c>
      <c r="BW605" s="859"/>
      <c r="BX605" s="929">
        <f>DIVISIONS!BX179</f>
        <v>-55</v>
      </c>
      <c r="BY605" s="929">
        <f>DIVISIONS!BY179</f>
        <v>3</v>
      </c>
      <c r="BZ605" s="929">
        <f>BX605+BY605</f>
        <v>-52</v>
      </c>
      <c r="CA605" s="859"/>
      <c r="CB605" s="929">
        <f>DIVISIONS!CB179</f>
        <v>-18</v>
      </c>
      <c r="CC605" s="929">
        <f>DIVISIONS!CC179</f>
        <v>-38</v>
      </c>
      <c r="CD605" s="929">
        <f>CB605+CC605</f>
        <v>-56</v>
      </c>
      <c r="CE605" s="1619"/>
      <c r="CF605" s="929">
        <f>DIVISIONS!CF179</f>
        <v>4</v>
      </c>
      <c r="CG605" s="929">
        <f>DIVISIONS!CG179</f>
        <v>-179</v>
      </c>
      <c r="CH605" s="929">
        <f>CF605+CG605</f>
        <v>-175</v>
      </c>
      <c r="CI605" s="1619"/>
      <c r="CJ605" s="929">
        <f>DIVISIONS!CJ179</f>
        <v>-62</v>
      </c>
      <c r="CK605" s="929">
        <f>DIVISIONS!CK179</f>
        <v>-220</v>
      </c>
      <c r="CL605" s="929">
        <f>CJ605+CK605</f>
        <v>-282</v>
      </c>
      <c r="CM605" s="1619">
        <f>+CN605/$CN$612</f>
        <v>0.26621923937360181</v>
      </c>
      <c r="CN605" s="929">
        <f>DIVISIONS!CN179</f>
        <v>-119</v>
      </c>
      <c r="CO605" s="929">
        <f>DIVISIONS!CO179</f>
        <v>-110</v>
      </c>
      <c r="CP605" s="929">
        <f>CN605+CO605</f>
        <v>-229</v>
      </c>
      <c r="CQ605" s="1620"/>
      <c r="CR605" s="929">
        <f>DIVISIONS!CR179</f>
        <v>-137</v>
      </c>
      <c r="CS605" s="929">
        <f>DIVISIONS!CS179</f>
        <v>-225</v>
      </c>
      <c r="CT605" s="929">
        <f>CR605+CS605</f>
        <v>-362</v>
      </c>
      <c r="CU605" s="1344"/>
      <c r="CV605" s="929">
        <f>DIVISIONS!CV179</f>
        <v>-195</v>
      </c>
      <c r="CW605" s="929">
        <f>DIVISIONS!CW179</f>
        <v>-99</v>
      </c>
      <c r="CX605" s="929">
        <f>CV605+CW605</f>
        <v>-294</v>
      </c>
      <c r="CY605" s="1344"/>
      <c r="CZ605" s="929">
        <f>DIVISIONS!CZ179</f>
        <v>33</v>
      </c>
      <c r="DA605" s="929">
        <f>DIVISIONS!DA179</f>
        <v>131</v>
      </c>
      <c r="DB605" s="929">
        <f>CZ605+DA605</f>
        <v>164</v>
      </c>
      <c r="DC605" s="1344"/>
      <c r="DD605" s="929">
        <f>DIVISIONS!DD179</f>
        <v>-42</v>
      </c>
      <c r="DE605" s="929">
        <f>DIVISIONS!DE179</f>
        <v>-73</v>
      </c>
      <c r="DF605" s="929">
        <f>DD605+DE605</f>
        <v>-115</v>
      </c>
      <c r="DG605" s="859"/>
      <c r="DH605" s="929">
        <f>DIVISIONS!DH179</f>
        <v>-13</v>
      </c>
      <c r="DI605" s="859">
        <v>-55</v>
      </c>
      <c r="DJ605" s="929">
        <f>DH605+DI605</f>
        <v>-68</v>
      </c>
      <c r="DK605" s="859"/>
      <c r="DL605" s="859">
        <f>DI605*1.04</f>
        <v>-57.2</v>
      </c>
      <c r="DM605" s="859">
        <f t="shared" ref="DM605" si="673">+DI605*1.04</f>
        <v>-57.2</v>
      </c>
      <c r="DN605" s="929">
        <f>DL605+DM605</f>
        <v>-114.4</v>
      </c>
      <c r="DO605" s="929"/>
      <c r="DP605" s="859">
        <f>DM605*1.04</f>
        <v>-59.488000000000007</v>
      </c>
      <c r="DQ605" s="859">
        <f t="shared" ref="DQ605:DQ607" si="674">+DM605*1.04</f>
        <v>-59.488000000000007</v>
      </c>
      <c r="DR605" s="929">
        <f>DP605+DQ605</f>
        <v>-118.97600000000001</v>
      </c>
      <c r="DS605" s="929"/>
      <c r="DT605" s="859"/>
      <c r="DU605" s="859"/>
      <c r="DV605" s="859"/>
      <c r="DW605" s="859"/>
      <c r="DX605" s="929"/>
      <c r="DY605" s="857"/>
      <c r="DZ605" s="859"/>
      <c r="EA605" s="859"/>
      <c r="EB605" s="929"/>
      <c r="EC605" s="857"/>
      <c r="ED605" s="859"/>
      <c r="EE605" s="859"/>
      <c r="EF605" s="929"/>
      <c r="EG605" s="857"/>
      <c r="EH605" s="857"/>
      <c r="EI605" s="857"/>
      <c r="EJ605" s="857"/>
      <c r="EK605" s="857"/>
      <c r="EL605" s="857"/>
      <c r="EM605" s="857"/>
      <c r="EN605" s="857"/>
      <c r="EO605" s="857"/>
      <c r="EP605" s="857"/>
      <c r="FL605" s="855"/>
      <c r="FM605" s="855"/>
      <c r="FN605" s="855"/>
      <c r="FO605" s="855"/>
      <c r="FP605" s="855"/>
      <c r="FQ605" s="855"/>
      <c r="FR605" s="855"/>
      <c r="FS605" s="855"/>
      <c r="FT605" s="855"/>
      <c r="FU605" s="855"/>
      <c r="FV605" s="855"/>
      <c r="FW605" s="855"/>
      <c r="FX605" s="855"/>
      <c r="FY605" s="855"/>
      <c r="FZ605" s="855"/>
      <c r="GA605" s="855"/>
      <c r="GB605" s="855"/>
      <c r="GC605" s="855"/>
      <c r="GD605" s="855"/>
      <c r="GE605" s="855"/>
      <c r="GF605" s="855"/>
      <c r="GG605" s="855"/>
      <c r="GH605" s="855"/>
      <c r="GI605" s="855"/>
      <c r="GJ605" s="855"/>
      <c r="GK605" s="855"/>
      <c r="GL605" s="855"/>
      <c r="GM605" s="855"/>
      <c r="GN605" s="855"/>
      <c r="GO605" s="855"/>
      <c r="GP605" s="855"/>
      <c r="GQ605" s="855"/>
      <c r="GR605" s="855"/>
      <c r="GS605" s="855"/>
      <c r="GT605" s="855"/>
      <c r="GU605" s="855"/>
      <c r="GV605" s="855"/>
      <c r="GW605" s="855"/>
      <c r="GX605" s="855"/>
      <c r="GY605" s="855"/>
      <c r="GZ605" s="855"/>
      <c r="HA605" s="855"/>
      <c r="HB605" s="855"/>
      <c r="HC605" s="855"/>
      <c r="HD605" s="855"/>
      <c r="HE605" s="855"/>
      <c r="HF605" s="855"/>
      <c r="HG605" s="855"/>
      <c r="HH605" s="855"/>
      <c r="HI605" s="855"/>
      <c r="HJ605" s="855"/>
      <c r="HK605" s="855"/>
      <c r="HL605" s="855"/>
      <c r="HM605" s="855"/>
      <c r="HN605" s="855"/>
      <c r="HO605" s="855"/>
      <c r="HP605" s="855"/>
      <c r="HQ605" s="855"/>
      <c r="HR605" s="855"/>
      <c r="HS605" s="855"/>
      <c r="HT605" s="855"/>
      <c r="HU605" s="855"/>
      <c r="HV605" s="855"/>
      <c r="HW605" s="855"/>
      <c r="HX605" s="855"/>
      <c r="HY605" s="855"/>
      <c r="HZ605" s="855"/>
      <c r="IA605" s="855"/>
      <c r="IB605" s="855"/>
      <c r="IC605" s="855"/>
      <c r="ID605" s="855"/>
      <c r="IE605" s="855"/>
      <c r="IF605" s="855"/>
      <c r="IG605" s="855"/>
      <c r="IH605" s="855"/>
      <c r="II605" s="855"/>
      <c r="IJ605" s="855"/>
      <c r="IK605" s="855"/>
      <c r="IL605" s="855"/>
      <c r="IM605" s="855"/>
      <c r="IN605" s="855"/>
      <c r="IO605" s="855"/>
      <c r="IP605" s="855"/>
      <c r="IQ605" s="855"/>
      <c r="IR605" s="855"/>
      <c r="IS605" s="855"/>
      <c r="IT605" s="855"/>
      <c r="IU605" s="855"/>
      <c r="IV605" s="855"/>
      <c r="IW605" s="855"/>
      <c r="IX605" s="855"/>
      <c r="IY605" s="855"/>
      <c r="IZ605" s="855"/>
      <c r="JA605" s="855"/>
      <c r="JB605" s="855"/>
      <c r="JC605" s="855"/>
      <c r="JD605" s="855"/>
      <c r="JE605" s="855"/>
      <c r="JF605" s="855"/>
      <c r="JG605" s="855"/>
      <c r="JH605" s="855"/>
      <c r="JI605" s="855"/>
      <c r="JJ605" s="855"/>
      <c r="JK605" s="855"/>
      <c r="JL605" s="855"/>
      <c r="JM605"/>
    </row>
    <row r="606" spans="1:273" s="860" customFormat="1">
      <c r="A606" s="302" t="s">
        <v>616</v>
      </c>
      <c r="B606" s="298"/>
      <c r="C606" s="296"/>
      <c r="D606" s="296"/>
      <c r="E606" s="296"/>
      <c r="F606" s="296"/>
      <c r="G606" s="296"/>
      <c r="H606" s="296"/>
      <c r="I606" s="296"/>
      <c r="J606" s="296"/>
      <c r="K606" s="296"/>
      <c r="L606" s="296"/>
      <c r="M606" s="296"/>
      <c r="N606" s="296"/>
      <c r="O606" s="296"/>
      <c r="P606" s="296"/>
      <c r="Q606" s="296"/>
      <c r="R606" s="296"/>
      <c r="S606" s="296"/>
      <c r="T606" s="296"/>
      <c r="U606" s="296"/>
      <c r="V606" s="296"/>
      <c r="W606" s="296"/>
      <c r="X606" s="296"/>
      <c r="Y606" s="296"/>
      <c r="Z606" s="296"/>
      <c r="AA606" s="296"/>
      <c r="AB606" s="296"/>
      <c r="AC606" s="296"/>
      <c r="AD606" s="296"/>
      <c r="AE606" s="296"/>
      <c r="AF606" s="296"/>
      <c r="AG606" s="296"/>
      <c r="AH606" s="296"/>
      <c r="AI606" s="296"/>
      <c r="AJ606" s="296"/>
      <c r="AK606" s="296"/>
      <c r="AL606" s="296"/>
      <c r="AM606" s="296"/>
      <c r="AN606" s="298"/>
      <c r="AO606" s="298"/>
      <c r="AP606" s="929">
        <f>DIVISIONS!AP433</f>
        <v>-2</v>
      </c>
      <c r="AQ606" s="298"/>
      <c r="AR606" s="298"/>
      <c r="AS606" s="298"/>
      <c r="AT606" s="929">
        <f>DIVISIONS!AT433</f>
        <v>-9</v>
      </c>
      <c r="AU606" s="298"/>
      <c r="AV606" s="929">
        <f>DIVISIONS!AV433</f>
        <v>-7</v>
      </c>
      <c r="AW606" s="929">
        <f>DIVISIONS!AW433</f>
        <v>-2</v>
      </c>
      <c r="AX606" s="929">
        <f t="shared" si="670"/>
        <v>-9</v>
      </c>
      <c r="AY606" s="976"/>
      <c r="AZ606" s="929">
        <f>DIVISIONS!AZ433</f>
        <v>-5</v>
      </c>
      <c r="BA606" s="929">
        <f>DIVISIONS!BA433</f>
        <v>-8</v>
      </c>
      <c r="BB606" s="929">
        <f t="shared" si="671"/>
        <v>-13</v>
      </c>
      <c r="BC606" s="857"/>
      <c r="BD606" s="929">
        <f>DIVISIONS!BD433</f>
        <v>-7</v>
      </c>
      <c r="BE606" s="857">
        <f>DIVISIONS!BE433</f>
        <v>-13</v>
      </c>
      <c r="BF606" s="929">
        <f t="shared" si="672"/>
        <v>-20</v>
      </c>
      <c r="BG606" s="859"/>
      <c r="BH606" s="929">
        <f>DIVISIONS!BH433</f>
        <v>-3</v>
      </c>
      <c r="BI606" s="929">
        <f>DIVISIONS!BI433</f>
        <v>-8</v>
      </c>
      <c r="BJ606" s="929">
        <f t="shared" si="666"/>
        <v>-11</v>
      </c>
      <c r="BK606" s="859"/>
      <c r="BL606" s="929">
        <f>DIVISIONS!BL433</f>
        <v>4</v>
      </c>
      <c r="BM606" s="929">
        <f>DIVISIONS!BM433</f>
        <v>1</v>
      </c>
      <c r="BN606" s="929">
        <f t="shared" si="667"/>
        <v>5</v>
      </c>
      <c r="BO606" s="859"/>
      <c r="BP606" s="929">
        <f>DIVISIONS!BP433</f>
        <v>0</v>
      </c>
      <c r="BQ606" s="929">
        <f>DIVISIONS!BQ433</f>
        <v>0</v>
      </c>
      <c r="BR606" s="929">
        <f t="shared" si="668"/>
        <v>0</v>
      </c>
      <c r="BS606" s="859"/>
      <c r="BT606" s="929">
        <f>DIVISIONS!BT433</f>
        <v>0</v>
      </c>
      <c r="BU606" s="929">
        <f>DIVISIONS!BU433</f>
        <v>0</v>
      </c>
      <c r="BV606" s="929">
        <f t="shared" si="669"/>
        <v>0</v>
      </c>
      <c r="BW606" s="859"/>
      <c r="BX606" s="929">
        <f>DIVISIONS!BX433</f>
        <v>0</v>
      </c>
      <c r="BY606" s="929">
        <f>DIVISIONS!BY433</f>
        <v>0</v>
      </c>
      <c r="BZ606" s="929">
        <f>BX606+BY606</f>
        <v>0</v>
      </c>
      <c r="CA606" s="859"/>
      <c r="CB606" s="929">
        <f>DIVISIONS!CB433</f>
        <v>-4</v>
      </c>
      <c r="CC606" s="929">
        <f>DIVISIONS!CC433</f>
        <v>-177</v>
      </c>
      <c r="CD606" s="929">
        <f>CB606+CC606</f>
        <v>-181</v>
      </c>
      <c r="CE606" s="1619"/>
      <c r="CF606" s="929">
        <f>DIVISIONS!CF433</f>
        <v>-18</v>
      </c>
      <c r="CG606" s="929">
        <f>DIVISIONS!CG433</f>
        <v>-87</v>
      </c>
      <c r="CH606" s="929">
        <f>CF606+CG606</f>
        <v>-105</v>
      </c>
      <c r="CI606" s="1619"/>
      <c r="CJ606" s="929">
        <f>DIVISIONS!CJ433</f>
        <v>-5</v>
      </c>
      <c r="CK606" s="929">
        <f>DIVISIONS!CK433</f>
        <v>-226</v>
      </c>
      <c r="CL606" s="929">
        <f>CJ606+CK606</f>
        <v>-231</v>
      </c>
      <c r="CM606" s="1619">
        <f t="shared" ref="CM606:CM611" si="675">+CN606/$CN$612</f>
        <v>2.4608501118568233E-2</v>
      </c>
      <c r="CN606" s="929">
        <f>DIVISIONS!CN433</f>
        <v>-11</v>
      </c>
      <c r="CO606" s="929">
        <f>DIVISIONS!CO433</f>
        <v>96</v>
      </c>
      <c r="CP606" s="929">
        <f>CN606+CO606</f>
        <v>85</v>
      </c>
      <c r="CQ606" s="1620"/>
      <c r="CR606" s="929">
        <f>DIVISIONS!CR433</f>
        <v>44</v>
      </c>
      <c r="CS606" s="929">
        <f>DIVISIONS!CS433</f>
        <v>-143</v>
      </c>
      <c r="CT606" s="929">
        <f>CR606+CS606</f>
        <v>-99</v>
      </c>
      <c r="CU606" s="1344"/>
      <c r="CV606" s="929">
        <f>DIVISIONS!CV433</f>
        <v>-3</v>
      </c>
      <c r="CW606" s="929">
        <f>DIVISIONS!CW433</f>
        <v>-11</v>
      </c>
      <c r="CX606" s="929">
        <f>CV606+CW606</f>
        <v>-14</v>
      </c>
      <c r="CY606" s="1344"/>
      <c r="CZ606" s="929">
        <f>DIVISIONS!CZ433</f>
        <v>110</v>
      </c>
      <c r="DA606" s="929">
        <f>DIVISIONS!DA433</f>
        <v>12</v>
      </c>
      <c r="DB606" s="929">
        <f>CZ606+DA606</f>
        <v>122</v>
      </c>
      <c r="DC606" s="1344"/>
      <c r="DD606" s="929">
        <f>DIVISIONS!DD433</f>
        <v>4</v>
      </c>
      <c r="DE606" s="929">
        <f>DIVISIONS!DE433</f>
        <v>-10</v>
      </c>
      <c r="DF606" s="929">
        <f>DD606+DE606</f>
        <v>-6</v>
      </c>
      <c r="DG606" s="859"/>
      <c r="DH606" s="929">
        <f>DIVISIONS!DH433</f>
        <v>3</v>
      </c>
      <c r="DI606" s="980">
        <f>-25-912*0</f>
        <v>-25</v>
      </c>
      <c r="DJ606" s="929">
        <f>DH606+DI606</f>
        <v>-22</v>
      </c>
      <c r="DK606" s="859"/>
      <c r="DL606" s="980">
        <v>-25</v>
      </c>
      <c r="DM606" s="859">
        <f>+DL606*1.04</f>
        <v>-26</v>
      </c>
      <c r="DN606" s="929">
        <f>DL606+DM606</f>
        <v>-51</v>
      </c>
      <c r="DO606" s="929"/>
      <c r="DP606" s="859">
        <f>DM606*1.04</f>
        <v>-27.04</v>
      </c>
      <c r="DQ606" s="859">
        <f t="shared" si="674"/>
        <v>-27.04</v>
      </c>
      <c r="DR606" s="929">
        <f>DP606+DQ606</f>
        <v>-54.08</v>
      </c>
      <c r="DS606" s="929"/>
      <c r="DT606" s="859"/>
      <c r="DU606" s="859"/>
      <c r="DV606" s="859"/>
      <c r="DW606" s="859"/>
      <c r="DX606" s="929"/>
      <c r="DY606" s="857"/>
      <c r="DZ606" s="859"/>
      <c r="EA606" s="859"/>
      <c r="EB606" s="929"/>
      <c r="EC606" s="857"/>
      <c r="ED606" s="859"/>
      <c r="EE606" s="859"/>
      <c r="EF606" s="929"/>
      <c r="EG606" s="857"/>
      <c r="EH606" s="857"/>
      <c r="EI606" s="857"/>
      <c r="EJ606" s="857"/>
      <c r="EK606" s="857"/>
      <c r="EL606" s="857"/>
      <c r="EM606" s="857"/>
      <c r="EN606" s="857"/>
      <c r="EO606" s="857"/>
      <c r="EP606" s="857"/>
      <c r="FL606" s="855"/>
      <c r="FM606" s="855"/>
      <c r="FN606" s="855"/>
      <c r="FO606" s="855"/>
      <c r="FP606" s="855"/>
      <c r="FQ606" s="855"/>
      <c r="FR606" s="855"/>
      <c r="FS606" s="855"/>
      <c r="FT606" s="855"/>
      <c r="FU606" s="855"/>
      <c r="FV606" s="855"/>
      <c r="FW606" s="855"/>
      <c r="FX606" s="855"/>
      <c r="FY606" s="855"/>
      <c r="FZ606" s="855"/>
      <c r="GA606" s="855"/>
      <c r="GB606" s="855"/>
      <c r="GC606" s="855"/>
      <c r="GD606" s="855"/>
      <c r="GE606" s="855"/>
      <c r="GF606" s="855"/>
      <c r="GG606" s="855"/>
      <c r="GH606" s="855"/>
      <c r="GI606" s="855"/>
      <c r="GJ606" s="855"/>
      <c r="GK606" s="855"/>
      <c r="GL606" s="855"/>
      <c r="GM606" s="855"/>
      <c r="GN606" s="855"/>
      <c r="GO606" s="855"/>
      <c r="GP606" s="855"/>
      <c r="GQ606" s="855"/>
      <c r="GR606" s="855"/>
      <c r="GS606" s="855"/>
      <c r="GT606" s="855"/>
      <c r="GU606" s="855"/>
      <c r="GV606" s="855"/>
      <c r="GW606" s="855"/>
      <c r="GX606" s="855"/>
      <c r="GY606" s="855"/>
      <c r="GZ606" s="855"/>
      <c r="HA606" s="855"/>
      <c r="HB606" s="855"/>
      <c r="HC606" s="855"/>
      <c r="HD606" s="855"/>
      <c r="HE606" s="855"/>
      <c r="HF606" s="855"/>
      <c r="HG606" s="855"/>
      <c r="HH606" s="855"/>
      <c r="HI606" s="855"/>
      <c r="HJ606" s="855"/>
      <c r="HK606" s="855"/>
      <c r="HL606" s="855"/>
      <c r="HM606" s="855"/>
      <c r="HN606" s="855"/>
      <c r="HO606" s="855"/>
      <c r="HP606" s="855"/>
      <c r="HQ606" s="855"/>
      <c r="HR606" s="855"/>
      <c r="HS606" s="855"/>
      <c r="HT606" s="855"/>
      <c r="HU606" s="855"/>
      <c r="HV606" s="855"/>
      <c r="HW606" s="855"/>
      <c r="HX606" s="855"/>
      <c r="HY606" s="855"/>
      <c r="HZ606" s="855"/>
      <c r="IA606" s="855"/>
      <c r="IB606" s="855"/>
      <c r="IC606" s="855"/>
      <c r="ID606" s="855"/>
      <c r="IE606" s="855"/>
      <c r="IF606" s="855"/>
      <c r="IG606" s="855"/>
      <c r="IH606" s="855"/>
      <c r="II606" s="855"/>
      <c r="IJ606" s="855"/>
      <c r="IK606" s="855"/>
      <c r="IL606" s="855"/>
      <c r="IM606" s="855"/>
      <c r="IN606" s="855"/>
      <c r="IO606" s="855"/>
      <c r="IP606" s="855"/>
      <c r="IQ606" s="855"/>
      <c r="IR606" s="855"/>
      <c r="IS606" s="855"/>
      <c r="IT606" s="855"/>
      <c r="IU606" s="855"/>
      <c r="IV606" s="855"/>
      <c r="IW606" s="855"/>
      <c r="IX606" s="855"/>
      <c r="IY606" s="855"/>
      <c r="IZ606" s="855"/>
      <c r="JA606" s="855"/>
      <c r="JB606" s="855"/>
      <c r="JC606" s="855"/>
      <c r="JD606" s="855"/>
      <c r="JE606" s="855"/>
      <c r="JF606" s="855"/>
      <c r="JG606" s="855"/>
      <c r="JH606" s="855"/>
      <c r="JI606" s="855"/>
      <c r="JJ606" s="855"/>
      <c r="JK606" s="855"/>
      <c r="JL606" s="855"/>
      <c r="JM606"/>
    </row>
    <row r="607" spans="1:273" s="860" customFormat="1">
      <c r="A607" s="302" t="s">
        <v>1024</v>
      </c>
      <c r="B607" s="298"/>
      <c r="C607" s="296"/>
      <c r="D607" s="296"/>
      <c r="E607" s="296"/>
      <c r="F607" s="296"/>
      <c r="G607" s="296"/>
      <c r="H607" s="296"/>
      <c r="I607" s="296"/>
      <c r="J607" s="296"/>
      <c r="K607" s="296"/>
      <c r="L607" s="296"/>
      <c r="M607" s="296"/>
      <c r="N607" s="296"/>
      <c r="O607" s="296"/>
      <c r="P607" s="296"/>
      <c r="Q607" s="296"/>
      <c r="R607" s="296"/>
      <c r="S607" s="296"/>
      <c r="T607" s="296"/>
      <c r="U607" s="296"/>
      <c r="V607" s="296"/>
      <c r="W607" s="296"/>
      <c r="X607" s="296"/>
      <c r="Y607" s="296"/>
      <c r="Z607" s="296"/>
      <c r="AA607" s="296"/>
      <c r="AB607" s="296"/>
      <c r="AC607" s="296"/>
      <c r="AD607" s="296"/>
      <c r="AE607" s="296"/>
      <c r="AF607" s="296"/>
      <c r="AG607" s="296"/>
      <c r="AH607" s="296"/>
      <c r="AI607" s="296"/>
      <c r="AJ607" s="296"/>
      <c r="AK607" s="296"/>
      <c r="AL607" s="296"/>
      <c r="AM607" s="296"/>
      <c r="AN607" s="298"/>
      <c r="AO607" s="298"/>
      <c r="AP607" s="929">
        <f>DIVISIONS!AP318</f>
        <v>-32</v>
      </c>
      <c r="AQ607" s="298"/>
      <c r="AR607" s="298"/>
      <c r="AS607" s="298"/>
      <c r="AT607" s="929">
        <f>DIVISIONS!AT318</f>
        <v>-160</v>
      </c>
      <c r="AU607" s="298"/>
      <c r="AV607" s="929">
        <f>DIVISIONS!AV318</f>
        <v>-50</v>
      </c>
      <c r="AW607" s="929">
        <f>DIVISIONS!AW318</f>
        <v>-3</v>
      </c>
      <c r="AX607" s="929">
        <f t="shared" si="670"/>
        <v>-53</v>
      </c>
      <c r="AY607" s="976"/>
      <c r="AZ607" s="929">
        <f>DIVISIONS!AZ318</f>
        <v>12</v>
      </c>
      <c r="BA607" s="929">
        <f>DIVISIONS!BA318</f>
        <v>1</v>
      </c>
      <c r="BB607" s="929">
        <f t="shared" si="671"/>
        <v>13</v>
      </c>
      <c r="BC607" s="857"/>
      <c r="BD607" s="929">
        <f>DIVISIONS!BD318</f>
        <v>-15</v>
      </c>
      <c r="BE607" s="857">
        <f>DIVISIONS!BE318</f>
        <v>-14</v>
      </c>
      <c r="BF607" s="929">
        <f t="shared" si="672"/>
        <v>-29</v>
      </c>
      <c r="BG607" s="859"/>
      <c r="BH607" s="929">
        <f>DIVISIONS!BH318</f>
        <v>-34</v>
      </c>
      <c r="BI607" s="929">
        <f>DIVISIONS!BI318</f>
        <v>-23</v>
      </c>
      <c r="BJ607" s="929">
        <f t="shared" si="666"/>
        <v>-57</v>
      </c>
      <c r="BK607" s="859"/>
      <c r="BL607" s="929">
        <f>DIVISIONS!BL318</f>
        <v>-29</v>
      </c>
      <c r="BM607" s="929">
        <f>DIVISIONS!BM318</f>
        <v>-60</v>
      </c>
      <c r="BN607" s="929">
        <f t="shared" si="667"/>
        <v>-89</v>
      </c>
      <c r="BO607" s="859"/>
      <c r="BP607" s="929">
        <f>DIVISIONS!BP318</f>
        <v>-48</v>
      </c>
      <c r="BQ607" s="929">
        <f>DIVISIONS!BQ318</f>
        <v>-187</v>
      </c>
      <c r="BR607" s="929">
        <f t="shared" si="668"/>
        <v>-235</v>
      </c>
      <c r="BS607" s="859"/>
      <c r="BT607" s="929">
        <f>DIVISIONS!BT318</f>
        <v>-166</v>
      </c>
      <c r="BU607" s="929">
        <f>DIVISIONS!BU318</f>
        <v>-120</v>
      </c>
      <c r="BV607" s="929">
        <f t="shared" si="669"/>
        <v>-286</v>
      </c>
      <c r="BW607" s="859"/>
      <c r="BX607" s="929">
        <f>DIVISIONS!BX318</f>
        <v>-41</v>
      </c>
      <c r="BY607" s="929">
        <f>DIVISIONS!BY318</f>
        <v>-88</v>
      </c>
      <c r="BZ607" s="929">
        <f>BX607+BY607</f>
        <v>-129</v>
      </c>
      <c r="CA607" s="859"/>
      <c r="CB607" s="929">
        <f>DIVISIONS!CB318</f>
        <v>-56</v>
      </c>
      <c r="CC607" s="929">
        <f>DIVISIONS!CC318</f>
        <v>-32</v>
      </c>
      <c r="CD607" s="929">
        <f>CB607+CC607</f>
        <v>-88</v>
      </c>
      <c r="CE607" s="1619"/>
      <c r="CF607" s="929">
        <f>DIVISIONS!CF318</f>
        <v>-18</v>
      </c>
      <c r="CG607" s="929">
        <f>DIVISIONS!CG318</f>
        <v>-147</v>
      </c>
      <c r="CH607" s="929">
        <f>CF607+CG607</f>
        <v>-165</v>
      </c>
      <c r="CI607" s="1619"/>
      <c r="CJ607" s="929">
        <f>DIVISIONS!CJ318</f>
        <v>-32</v>
      </c>
      <c r="CK607" s="929">
        <f>DIVISIONS!CK318</f>
        <v>-211</v>
      </c>
      <c r="CL607" s="929">
        <f>CJ607+CK607</f>
        <v>-243</v>
      </c>
      <c r="CM607" s="1619">
        <f t="shared" si="675"/>
        <v>0.37136465324384788</v>
      </c>
      <c r="CN607" s="929">
        <f>DIVISIONS!CN318</f>
        <v>-166</v>
      </c>
      <c r="CO607" s="929">
        <f>DIVISIONS!CO318</f>
        <v>-71</v>
      </c>
      <c r="CP607" s="929">
        <f>CN607+CO607</f>
        <v>-237</v>
      </c>
      <c r="CQ607" s="1620"/>
      <c r="CR607" s="929">
        <f>DIVISIONS!CR318</f>
        <v>-58</v>
      </c>
      <c r="CS607" s="929">
        <f>DIVISIONS!CS318</f>
        <v>-7</v>
      </c>
      <c r="CT607" s="929">
        <f>CR607+CS607</f>
        <v>-65</v>
      </c>
      <c r="CU607" s="1344"/>
      <c r="CV607" s="929">
        <f>DIVISIONS!CV318</f>
        <v>-35</v>
      </c>
      <c r="CW607" s="929">
        <f>DIVISIONS!CW318</f>
        <v>-22</v>
      </c>
      <c r="CX607" s="929">
        <f>CV607+CW607</f>
        <v>-57</v>
      </c>
      <c r="CY607" s="1344"/>
      <c r="CZ607" s="929">
        <f>DIVISIONS!CZ318</f>
        <v>-21</v>
      </c>
      <c r="DA607" s="929">
        <f>DIVISIONS!DA318</f>
        <v>32</v>
      </c>
      <c r="DB607" s="929">
        <f>CZ607+DA607</f>
        <v>11</v>
      </c>
      <c r="DC607" s="1344"/>
      <c r="DD607" s="929">
        <f>DIVISIONS!DD318</f>
        <v>-16</v>
      </c>
      <c r="DE607" s="929">
        <f>DIVISIONS!DE318</f>
        <v>-81</v>
      </c>
      <c r="DF607" s="929">
        <f>DD607+DE607</f>
        <v>-97</v>
      </c>
      <c r="DG607" s="859"/>
      <c r="DH607" s="929">
        <f>DIVISIONS!DH318</f>
        <v>-68</v>
      </c>
      <c r="DI607" s="980">
        <v>-72.8</v>
      </c>
      <c r="DJ607" s="929">
        <f>DH607+DI607</f>
        <v>-140.80000000000001</v>
      </c>
      <c r="DK607" s="859"/>
      <c r="DL607" s="859">
        <f t="shared" ref="DL607" si="676">+DH607*1.04</f>
        <v>-70.72</v>
      </c>
      <c r="DM607" s="859">
        <f t="shared" ref="DM607" si="677">+DI607*1.04</f>
        <v>-75.712000000000003</v>
      </c>
      <c r="DN607" s="929">
        <f>DL607+DM607</f>
        <v>-146.43200000000002</v>
      </c>
      <c r="DO607" s="929"/>
      <c r="DP607" s="859">
        <f t="shared" ref="DP607" si="678">+DL607*1.04</f>
        <v>-73.5488</v>
      </c>
      <c r="DQ607" s="859">
        <f t="shared" si="674"/>
        <v>-78.740480000000005</v>
      </c>
      <c r="DR607" s="929">
        <f>DP607+DQ607</f>
        <v>-152.28928000000002</v>
      </c>
      <c r="DS607" s="929"/>
      <c r="DT607" s="859"/>
      <c r="DU607" s="859"/>
      <c r="DV607" s="859"/>
      <c r="DW607" s="859"/>
      <c r="DX607" s="929"/>
      <c r="DY607" s="857"/>
      <c r="DZ607" s="859"/>
      <c r="EA607" s="859"/>
      <c r="EB607" s="929"/>
      <c r="EC607" s="857"/>
      <c r="ED607" s="859"/>
      <c r="EE607" s="859"/>
      <c r="EF607" s="929"/>
      <c r="EG607" s="857"/>
      <c r="EH607" s="857"/>
      <c r="EI607" s="857"/>
      <c r="EJ607" s="857"/>
      <c r="EK607" s="857"/>
      <c r="EL607" s="857"/>
      <c r="EM607" s="857"/>
      <c r="EN607" s="857"/>
      <c r="EO607" s="857"/>
      <c r="EP607" s="857"/>
      <c r="FL607" s="855"/>
      <c r="FM607" s="855"/>
      <c r="FN607" s="855"/>
      <c r="FO607" s="855"/>
      <c r="FP607" s="855"/>
      <c r="FQ607" s="855"/>
      <c r="FR607" s="855"/>
      <c r="FS607" s="855"/>
      <c r="FT607" s="855"/>
      <c r="FU607" s="855"/>
      <c r="FV607" s="855"/>
      <c r="FW607" s="855"/>
      <c r="FX607" s="855"/>
      <c r="FY607" s="855"/>
      <c r="FZ607" s="855"/>
      <c r="GA607" s="855"/>
      <c r="GB607" s="855"/>
      <c r="GC607" s="855"/>
      <c r="GD607" s="855"/>
      <c r="GE607" s="855"/>
      <c r="GF607" s="855"/>
      <c r="GG607" s="855"/>
      <c r="GH607" s="855"/>
      <c r="GI607" s="855"/>
      <c r="GJ607" s="855"/>
      <c r="GK607" s="855"/>
      <c r="GL607" s="855"/>
      <c r="GM607" s="855"/>
      <c r="GN607" s="855"/>
      <c r="GO607" s="855"/>
      <c r="GP607" s="855"/>
      <c r="GQ607" s="855"/>
      <c r="GR607" s="855"/>
      <c r="GS607" s="855"/>
      <c r="GT607" s="855"/>
      <c r="GU607" s="855"/>
      <c r="GV607" s="855"/>
      <c r="GW607" s="855"/>
      <c r="GX607" s="855"/>
      <c r="GY607" s="855"/>
      <c r="GZ607" s="855"/>
      <c r="HA607" s="855"/>
      <c r="HB607" s="855"/>
      <c r="HC607" s="855"/>
      <c r="HD607" s="855"/>
      <c r="HE607" s="855"/>
      <c r="HF607" s="855"/>
      <c r="HG607" s="855"/>
      <c r="HH607" s="855"/>
      <c r="HI607" s="855"/>
      <c r="HJ607" s="855"/>
      <c r="HK607" s="855"/>
      <c r="HL607" s="855"/>
      <c r="HM607" s="855"/>
      <c r="HN607" s="855"/>
      <c r="HO607" s="855"/>
      <c r="HP607" s="855"/>
      <c r="HQ607" s="855"/>
      <c r="HR607" s="855"/>
      <c r="HS607" s="855"/>
      <c r="HT607" s="855"/>
      <c r="HU607" s="855"/>
      <c r="HV607" s="855"/>
      <c r="HW607" s="855"/>
      <c r="HX607" s="855"/>
      <c r="HY607" s="855"/>
      <c r="HZ607" s="855"/>
      <c r="IA607" s="855"/>
      <c r="IB607" s="855"/>
      <c r="IC607" s="855"/>
      <c r="ID607" s="855"/>
      <c r="IE607" s="855"/>
      <c r="IF607" s="855"/>
      <c r="IG607" s="855"/>
      <c r="IH607" s="855"/>
      <c r="II607" s="855"/>
      <c r="IJ607" s="855"/>
      <c r="IK607" s="855"/>
      <c r="IL607" s="855"/>
      <c r="IM607" s="855"/>
      <c r="IN607" s="855"/>
      <c r="IO607" s="855"/>
      <c r="IP607" s="855"/>
      <c r="IQ607" s="855"/>
      <c r="IR607" s="855"/>
      <c r="IS607" s="855"/>
      <c r="IT607" s="855"/>
      <c r="IU607" s="855"/>
      <c r="IV607" s="855"/>
      <c r="IW607" s="855"/>
      <c r="IX607" s="855"/>
      <c r="IY607" s="855"/>
      <c r="IZ607" s="855"/>
      <c r="JA607" s="855"/>
      <c r="JB607" s="855"/>
      <c r="JC607" s="855"/>
      <c r="JD607" s="855"/>
      <c r="JE607" s="855"/>
      <c r="JF607" s="855"/>
      <c r="JG607" s="855"/>
      <c r="JH607" s="855"/>
      <c r="JI607" s="855"/>
      <c r="JJ607" s="855"/>
      <c r="JK607" s="855"/>
      <c r="JL607" s="855"/>
      <c r="JM607"/>
    </row>
    <row r="608" spans="1:273" s="860" customFormat="1">
      <c r="A608" s="302" t="s">
        <v>690</v>
      </c>
      <c r="B608" s="298"/>
      <c r="C608" s="296"/>
      <c r="D608" s="296"/>
      <c r="E608" s="296"/>
      <c r="F608" s="296"/>
      <c r="G608" s="296"/>
      <c r="H608" s="296"/>
      <c r="I608" s="296"/>
      <c r="J608" s="296"/>
      <c r="K608" s="296"/>
      <c r="L608" s="296"/>
      <c r="M608" s="296"/>
      <c r="N608" s="296"/>
      <c r="O608" s="296"/>
      <c r="P608" s="296"/>
      <c r="Q608" s="296"/>
      <c r="R608" s="296"/>
      <c r="S608" s="296"/>
      <c r="T608" s="296"/>
      <c r="U608" s="296"/>
      <c r="V608" s="296"/>
      <c r="W608" s="296"/>
      <c r="X608" s="296"/>
      <c r="Y608" s="296"/>
      <c r="Z608" s="296"/>
      <c r="AA608" s="296"/>
      <c r="AB608" s="296"/>
      <c r="AC608" s="296"/>
      <c r="AD608" s="296"/>
      <c r="AE608" s="296"/>
      <c r="AF608" s="296"/>
      <c r="AG608" s="296"/>
      <c r="AH608" s="296"/>
      <c r="AI608" s="296"/>
      <c r="AJ608" s="296"/>
      <c r="AK608" s="296"/>
      <c r="AL608" s="296"/>
      <c r="AM608" s="296"/>
      <c r="AN608" s="298"/>
      <c r="AO608" s="298"/>
      <c r="AP608" s="929">
        <f>DIVISIONS!AP521</f>
        <v>-15</v>
      </c>
      <c r="AQ608" s="298"/>
      <c r="AR608" s="298"/>
      <c r="AS608" s="298"/>
      <c r="AT608" s="929">
        <f>DIVISIONS!AT521</f>
        <v>-44</v>
      </c>
      <c r="AU608" s="298"/>
      <c r="AV608" s="929">
        <f>DIVISIONS!AV521</f>
        <v>-24</v>
      </c>
      <c r="AW608" s="929">
        <f>DIVISIONS!AW521</f>
        <v>-62</v>
      </c>
      <c r="AX608" s="929">
        <f t="shared" si="670"/>
        <v>-86</v>
      </c>
      <c r="AY608" s="976"/>
      <c r="AZ608" s="929">
        <f>DIVISIONS!AZ521</f>
        <v>-19</v>
      </c>
      <c r="BA608" s="929">
        <f>DIVISIONS!BA521</f>
        <v>-21</v>
      </c>
      <c r="BB608" s="929">
        <f t="shared" si="671"/>
        <v>-40</v>
      </c>
      <c r="BC608" s="857"/>
      <c r="BD608" s="929">
        <f>DIVISIONS!BD521</f>
        <v>-18</v>
      </c>
      <c r="BE608" s="857">
        <f>DIVISIONS!BE521</f>
        <v>-32</v>
      </c>
      <c r="BF608" s="929">
        <f t="shared" si="672"/>
        <v>-50</v>
      </c>
      <c r="BG608" s="859"/>
      <c r="BH608" s="929">
        <f>DIVISIONS!BH521</f>
        <v>-18</v>
      </c>
      <c r="BI608" s="929">
        <f>DIVISIONS!BI521</f>
        <v>-29</v>
      </c>
      <c r="BJ608" s="929">
        <f t="shared" si="666"/>
        <v>-47</v>
      </c>
      <c r="BK608" s="859"/>
      <c r="BL608" s="929">
        <f>DIVISIONS!BL521</f>
        <v>-27</v>
      </c>
      <c r="BM608" s="929">
        <f>DIVISIONS!BM521</f>
        <v>-42</v>
      </c>
      <c r="BN608" s="929">
        <f t="shared" si="667"/>
        <v>-69</v>
      </c>
      <c r="BO608" s="859"/>
      <c r="BP608" s="929">
        <f>DIVISIONS!BP521</f>
        <v>-19</v>
      </c>
      <c r="BQ608" s="929">
        <f>DIVISIONS!BQ521</f>
        <v>-85</v>
      </c>
      <c r="BR608" s="929">
        <f t="shared" si="668"/>
        <v>-104</v>
      </c>
      <c r="BS608" s="859"/>
      <c r="BT608" s="929">
        <f>DIVISIONS!BT521</f>
        <v>-19</v>
      </c>
      <c r="BU608" s="929">
        <f>DIVISIONS!BU521</f>
        <v>-103</v>
      </c>
      <c r="BV608" s="929">
        <f t="shared" si="669"/>
        <v>-122</v>
      </c>
      <c r="BW608" s="859"/>
      <c r="BX608" s="929">
        <f>DIVISIONS!BX521</f>
        <v>-44</v>
      </c>
      <c r="BY608" s="929">
        <f>DIVISIONS!BY521</f>
        <v>-39</v>
      </c>
      <c r="BZ608" s="929">
        <f>BX608+BY608</f>
        <v>-83</v>
      </c>
      <c r="CA608" s="859"/>
      <c r="CB608" s="929">
        <f>DIVISIONS!CB521</f>
        <v>28</v>
      </c>
      <c r="CC608" s="929">
        <f>DIVISIONS!CC521</f>
        <v>6</v>
      </c>
      <c r="CD608" s="929">
        <f>CB608+CC608</f>
        <v>34</v>
      </c>
      <c r="CE608" s="1619"/>
      <c r="CF608" s="929">
        <f>DIVISIONS!CF521</f>
        <v>0</v>
      </c>
      <c r="CG608" s="929">
        <f>DIVISIONS!CG521</f>
        <v>0</v>
      </c>
      <c r="CH608" s="929">
        <f>CF608+CG608</f>
        <v>0</v>
      </c>
      <c r="CI608" s="1619"/>
      <c r="CJ608" s="929">
        <f>DIVISIONS!CJ521</f>
        <v>0</v>
      </c>
      <c r="CK608" s="929">
        <f>DIVISIONS!CK521</f>
        <v>0</v>
      </c>
      <c r="CL608" s="929">
        <f>CJ608+CK608</f>
        <v>0</v>
      </c>
      <c r="CM608" s="1619">
        <f t="shared" si="675"/>
        <v>0</v>
      </c>
      <c r="CN608" s="929">
        <f>DIVISIONS!CN521</f>
        <v>0</v>
      </c>
      <c r="CO608" s="929">
        <f>DIVISIONS!CO521</f>
        <v>0</v>
      </c>
      <c r="CP608" s="929">
        <f>CN608+CO608</f>
        <v>0</v>
      </c>
      <c r="CQ608" s="1620"/>
      <c r="CR608" s="929">
        <f>DIVISIONS!CR521</f>
        <v>0</v>
      </c>
      <c r="CS608" s="929">
        <f>DIVISIONS!CS521</f>
        <v>0</v>
      </c>
      <c r="CT608" s="929">
        <f>CR608+CS608</f>
        <v>0</v>
      </c>
      <c r="CU608" s="1344"/>
      <c r="CV608" s="929">
        <f>DIVISIONS!CV521</f>
        <v>0</v>
      </c>
      <c r="CW608" s="929">
        <f>DIVISIONS!CW521</f>
        <v>0</v>
      </c>
      <c r="CX608" s="929">
        <f>CV608+CW608</f>
        <v>0</v>
      </c>
      <c r="CY608" s="1344"/>
      <c r="CZ608" s="929">
        <f>DIVISIONS!CZ521</f>
        <v>0</v>
      </c>
      <c r="DA608" s="929">
        <f>DIVISIONS!DA521</f>
        <v>0</v>
      </c>
      <c r="DB608" s="929">
        <f>CZ608+DA608</f>
        <v>0</v>
      </c>
      <c r="DC608" s="1344"/>
      <c r="DD608" s="929">
        <f>DIVISIONS!DD521</f>
        <v>0</v>
      </c>
      <c r="DE608" s="929">
        <f>DIVISIONS!DE521</f>
        <v>0</v>
      </c>
      <c r="DF608" s="929">
        <f>DD608+DE608</f>
        <v>0</v>
      </c>
      <c r="DG608" s="859"/>
      <c r="DH608" s="929">
        <f>DIVISIONS!DH521</f>
        <v>0</v>
      </c>
      <c r="DI608" s="980">
        <v>0</v>
      </c>
      <c r="DJ608" s="929">
        <f>DH608+DI608</f>
        <v>0</v>
      </c>
      <c r="DK608" s="859"/>
      <c r="DL608" s="859">
        <v>0</v>
      </c>
      <c r="DM608" s="859">
        <v>0</v>
      </c>
      <c r="DN608" s="929">
        <f>DL608+DM608</f>
        <v>0</v>
      </c>
      <c r="DO608" s="929"/>
      <c r="DP608" s="859">
        <v>0</v>
      </c>
      <c r="DQ608" s="859">
        <v>0</v>
      </c>
      <c r="DR608" s="929">
        <f>DP608+DQ608</f>
        <v>0</v>
      </c>
      <c r="DS608" s="929"/>
      <c r="DT608" s="859"/>
      <c r="DU608" s="859"/>
      <c r="DV608" s="859"/>
      <c r="DW608" s="859"/>
      <c r="DX608" s="929"/>
      <c r="DY608" s="857"/>
      <c r="DZ608" s="859"/>
      <c r="EA608" s="859"/>
      <c r="EB608" s="929"/>
      <c r="EC608" s="857"/>
      <c r="ED608" s="859"/>
      <c r="EE608" s="859"/>
      <c r="EF608" s="929"/>
      <c r="EG608" s="857"/>
      <c r="EH608" s="857"/>
      <c r="EI608" s="857"/>
      <c r="EJ608" s="857"/>
      <c r="EK608" s="857"/>
      <c r="EL608" s="857"/>
      <c r="EM608" s="857"/>
      <c r="EN608" s="857"/>
      <c r="EO608" s="857"/>
      <c r="EP608" s="857"/>
      <c r="FL608" s="855"/>
      <c r="FM608" s="855"/>
      <c r="FN608" s="855"/>
      <c r="FO608" s="855"/>
      <c r="FP608" s="855"/>
      <c r="FQ608" s="855"/>
      <c r="FR608" s="855"/>
      <c r="FS608" s="855"/>
      <c r="FT608" s="855"/>
      <c r="FU608" s="855"/>
      <c r="FV608" s="855"/>
      <c r="FW608" s="855"/>
      <c r="FX608" s="855"/>
      <c r="FY608" s="855"/>
      <c r="FZ608" s="855"/>
      <c r="GA608" s="855"/>
      <c r="GB608" s="855"/>
      <c r="GC608" s="855"/>
      <c r="GD608" s="855"/>
      <c r="GE608" s="855"/>
      <c r="GF608" s="855"/>
      <c r="GG608" s="855"/>
      <c r="GH608" s="855"/>
      <c r="GI608" s="855"/>
      <c r="GJ608" s="855"/>
      <c r="GK608" s="855"/>
      <c r="GL608" s="855"/>
      <c r="GM608" s="855"/>
      <c r="GN608" s="855"/>
      <c r="GO608" s="855"/>
      <c r="GP608" s="855"/>
      <c r="GQ608" s="855"/>
      <c r="GR608" s="855"/>
      <c r="GS608" s="855"/>
      <c r="GT608" s="855"/>
      <c r="GU608" s="855"/>
      <c r="GV608" s="855"/>
      <c r="GW608" s="855"/>
      <c r="GX608" s="855"/>
      <c r="GY608" s="855"/>
      <c r="GZ608" s="855"/>
      <c r="HA608" s="855"/>
      <c r="HB608" s="855"/>
      <c r="HC608" s="855"/>
      <c r="HD608" s="855"/>
      <c r="HE608" s="855"/>
      <c r="HF608" s="855"/>
      <c r="HG608" s="855"/>
      <c r="HH608" s="855"/>
      <c r="HI608" s="855"/>
      <c r="HJ608" s="855"/>
      <c r="HK608" s="855"/>
      <c r="HL608" s="855"/>
      <c r="HM608" s="855"/>
      <c r="HN608" s="855"/>
      <c r="HO608" s="855"/>
      <c r="HP608" s="855"/>
      <c r="HQ608" s="855"/>
      <c r="HR608" s="855"/>
      <c r="HS608" s="855"/>
      <c r="HT608" s="855"/>
      <c r="HU608" s="855"/>
      <c r="HV608" s="855"/>
      <c r="HW608" s="855"/>
      <c r="HX608" s="855"/>
      <c r="HY608" s="855"/>
      <c r="HZ608" s="855"/>
      <c r="IA608" s="855"/>
      <c r="IB608" s="855"/>
      <c r="IC608" s="855"/>
      <c r="ID608" s="855"/>
      <c r="IE608" s="855"/>
      <c r="IF608" s="855"/>
      <c r="IG608" s="855"/>
      <c r="IH608" s="855"/>
      <c r="II608" s="855"/>
      <c r="IJ608" s="855"/>
      <c r="IK608" s="855"/>
      <c r="IL608" s="855"/>
      <c r="IM608" s="855"/>
      <c r="IN608" s="855"/>
      <c r="IO608" s="855"/>
      <c r="IP608" s="855"/>
      <c r="IQ608" s="855"/>
      <c r="IR608" s="855"/>
      <c r="IS608" s="855"/>
      <c r="IT608" s="855"/>
      <c r="IU608" s="855"/>
      <c r="IV608" s="855"/>
      <c r="IW608" s="855"/>
      <c r="IX608" s="855"/>
      <c r="IY608" s="855"/>
      <c r="IZ608" s="855"/>
      <c r="JA608" s="855"/>
      <c r="JB608" s="855"/>
      <c r="JC608" s="855"/>
      <c r="JD608" s="855"/>
      <c r="JE608" s="855"/>
      <c r="JF608" s="855"/>
      <c r="JG608" s="855"/>
      <c r="JH608" s="855"/>
      <c r="JI608" s="855"/>
      <c r="JJ608" s="855"/>
      <c r="JK608" s="855"/>
      <c r="JL608" s="855"/>
      <c r="JM608"/>
    </row>
    <row r="609" spans="1:273" s="860" customFormat="1">
      <c r="A609" s="302" t="s">
        <v>689</v>
      </c>
      <c r="B609" s="298"/>
      <c r="C609" s="296"/>
      <c r="D609" s="296"/>
      <c r="E609" s="296"/>
      <c r="F609" s="296"/>
      <c r="G609" s="296"/>
      <c r="H609" s="296"/>
      <c r="I609" s="296"/>
      <c r="J609" s="296"/>
      <c r="K609" s="296"/>
      <c r="L609" s="296"/>
      <c r="M609" s="296"/>
      <c r="N609" s="296"/>
      <c r="O609" s="296"/>
      <c r="P609" s="296"/>
      <c r="Q609" s="296"/>
      <c r="R609" s="296"/>
      <c r="S609" s="296"/>
      <c r="T609" s="296"/>
      <c r="U609" s="296"/>
      <c r="V609" s="296"/>
      <c r="W609" s="296"/>
      <c r="X609" s="296"/>
      <c r="Y609" s="296"/>
      <c r="Z609" s="296"/>
      <c r="AA609" s="296"/>
      <c r="AB609" s="296"/>
      <c r="AC609" s="296"/>
      <c r="AD609" s="296"/>
      <c r="AE609" s="296"/>
      <c r="AF609" s="296"/>
      <c r="AG609" s="296"/>
      <c r="AH609" s="296"/>
      <c r="AI609" s="296"/>
      <c r="AJ609" s="296"/>
      <c r="AK609" s="296"/>
      <c r="AL609" s="296"/>
      <c r="AM609" s="296"/>
      <c r="AN609" s="298"/>
      <c r="AO609" s="298"/>
      <c r="AP609" s="929">
        <f>DIVISIONS!AP642</f>
        <v>-26</v>
      </c>
      <c r="AQ609" s="298"/>
      <c r="AR609" s="298"/>
      <c r="AS609" s="298"/>
      <c r="AT609" s="929">
        <f>DIVISIONS!AT642</f>
        <v>-96</v>
      </c>
      <c r="AU609" s="298"/>
      <c r="AV609" s="929">
        <f>DIVISIONS!AV642</f>
        <v>-29</v>
      </c>
      <c r="AW609" s="929">
        <f>DIVISIONS!AW642</f>
        <v>-16</v>
      </c>
      <c r="AX609" s="929">
        <f t="shared" si="670"/>
        <v>-45</v>
      </c>
      <c r="AY609" s="976"/>
      <c r="AZ609" s="929">
        <f>DIVISIONS!AZ642</f>
        <v>-15</v>
      </c>
      <c r="BA609" s="929">
        <f>DIVISIONS!BA642</f>
        <v>-22</v>
      </c>
      <c r="BB609" s="929">
        <f t="shared" si="671"/>
        <v>-37</v>
      </c>
      <c r="BC609" s="857"/>
      <c r="BD609" s="929">
        <f>DIVISIONS!BD642</f>
        <v>-19</v>
      </c>
      <c r="BE609" s="857">
        <f>DIVISIONS!BE642</f>
        <v>-14</v>
      </c>
      <c r="BF609" s="929">
        <f t="shared" si="672"/>
        <v>-33</v>
      </c>
      <c r="BG609" s="859"/>
      <c r="BH609" s="929">
        <f>DIVISIONS!BH642</f>
        <v>-22</v>
      </c>
      <c r="BI609" s="929">
        <f>DIVISIONS!BI642</f>
        <v>-15</v>
      </c>
      <c r="BJ609" s="929">
        <f t="shared" si="666"/>
        <v>-37</v>
      </c>
      <c r="BK609" s="859"/>
      <c r="BL609" s="929">
        <f>DIVISIONS!BL642</f>
        <v>-23</v>
      </c>
      <c r="BM609" s="929">
        <f>DIVISIONS!BM642</f>
        <v>-24</v>
      </c>
      <c r="BN609" s="929">
        <f t="shared" si="667"/>
        <v>-47</v>
      </c>
      <c r="BO609" s="859"/>
      <c r="BP609" s="929">
        <f>DIVISIONS!BP642</f>
        <v>-14</v>
      </c>
      <c r="BQ609" s="929">
        <f>DIVISIONS!BQ642</f>
        <v>-16</v>
      </c>
      <c r="BR609" s="929">
        <f t="shared" si="668"/>
        <v>-30</v>
      </c>
      <c r="BS609" s="859"/>
      <c r="BT609" s="929">
        <f>DIVISIONS!BT642</f>
        <v>-12</v>
      </c>
      <c r="BU609" s="929">
        <f>DIVISIONS!BU642</f>
        <v>-23</v>
      </c>
      <c r="BV609" s="929">
        <f t="shared" si="669"/>
        <v>-35</v>
      </c>
      <c r="BW609" s="859"/>
      <c r="BX609" s="929">
        <f>DIVISIONS!BX642</f>
        <v>-32</v>
      </c>
      <c r="BY609" s="929">
        <f>DIVISIONS!BY642</f>
        <v>-6</v>
      </c>
      <c r="BZ609" s="929">
        <f>BX609+BY609</f>
        <v>-38</v>
      </c>
      <c r="CA609" s="859"/>
      <c r="CB609" s="929">
        <f>DIVISIONS!CB642</f>
        <v>-34</v>
      </c>
      <c r="CC609" s="929">
        <f>DIVISIONS!CC642</f>
        <v>-33</v>
      </c>
      <c r="CD609" s="929">
        <f>CB609+CC609</f>
        <v>-67</v>
      </c>
      <c r="CE609" s="1619"/>
      <c r="CF609" s="929">
        <f>DIVISIONS!CF642</f>
        <v>-28</v>
      </c>
      <c r="CG609" s="929">
        <f>DIVISIONS!CG642</f>
        <v>-39</v>
      </c>
      <c r="CH609" s="929">
        <f>CF609+CG609</f>
        <v>-67</v>
      </c>
      <c r="CI609" s="1619"/>
      <c r="CJ609" s="929">
        <f>DIVISIONS!CJ642</f>
        <v>-42</v>
      </c>
      <c r="CK609" s="929">
        <f>DIVISIONS!CK642</f>
        <v>-106</v>
      </c>
      <c r="CL609" s="929">
        <f>CJ609+CK609</f>
        <v>-148</v>
      </c>
      <c r="CM609" s="1619">
        <f t="shared" si="675"/>
        <v>0.17449664429530201</v>
      </c>
      <c r="CN609" s="929">
        <f>DIVISIONS!CN642</f>
        <v>-78</v>
      </c>
      <c r="CO609" s="929">
        <f>DIVISIONS!CO642</f>
        <v>-37</v>
      </c>
      <c r="CP609" s="929">
        <f>CN609+CO609</f>
        <v>-115</v>
      </c>
      <c r="CQ609" s="1620"/>
      <c r="CR609" s="929">
        <f>DIVISIONS!CR642</f>
        <v>-31</v>
      </c>
      <c r="CS609" s="929">
        <f>DIVISIONS!CS642</f>
        <v>53</v>
      </c>
      <c r="CT609" s="929">
        <f>CR609+CS609</f>
        <v>22</v>
      </c>
      <c r="CU609" s="1344"/>
      <c r="CV609" s="929">
        <f>DIVISIONS!CV642</f>
        <v>-9</v>
      </c>
      <c r="CW609" s="929">
        <f>DIVISIONS!CW642</f>
        <v>-25</v>
      </c>
      <c r="CX609" s="929">
        <f>CV609+CW609</f>
        <v>-34</v>
      </c>
      <c r="CY609" s="1344"/>
      <c r="CZ609" s="929">
        <f>DIVISIONS!CZ642</f>
        <v>-23</v>
      </c>
      <c r="DA609" s="929">
        <f>DIVISIONS!DA642</f>
        <v>38</v>
      </c>
      <c r="DB609" s="929">
        <f>CZ609+DA609</f>
        <v>15</v>
      </c>
      <c r="DC609" s="1344"/>
      <c r="DD609" s="929">
        <f>DIVISIONS!DD642</f>
        <v>-21</v>
      </c>
      <c r="DE609" s="929">
        <f>DIVISIONS!DE642</f>
        <v>-24</v>
      </c>
      <c r="DF609" s="929">
        <f>DD609+DE609</f>
        <v>-45</v>
      </c>
      <c r="DG609" s="859"/>
      <c r="DH609" s="929">
        <f>DIVISIONS!DH642</f>
        <v>-24</v>
      </c>
      <c r="DI609" s="980">
        <v>-31</v>
      </c>
      <c r="DJ609" s="929">
        <f>DH609+DI609</f>
        <v>-55</v>
      </c>
      <c r="DK609" s="859"/>
      <c r="DL609" s="980">
        <v>-30</v>
      </c>
      <c r="DM609" s="980">
        <v>-35</v>
      </c>
      <c r="DN609" s="929">
        <f>DL609+DM609</f>
        <v>-65</v>
      </c>
      <c r="DO609" s="929"/>
      <c r="DP609" s="980">
        <v>-30</v>
      </c>
      <c r="DQ609" s="980">
        <v>-35</v>
      </c>
      <c r="DR609" s="929">
        <f>DP609+DQ609</f>
        <v>-65</v>
      </c>
      <c r="DS609" s="929"/>
      <c r="DT609" s="859"/>
      <c r="DU609" s="859"/>
      <c r="DV609" s="859"/>
      <c r="DW609" s="859"/>
      <c r="DX609" s="929"/>
      <c r="DY609" s="857"/>
      <c r="DZ609" s="859"/>
      <c r="EA609" s="859"/>
      <c r="EB609" s="929"/>
      <c r="EC609" s="857"/>
      <c r="ED609" s="859"/>
      <c r="EE609" s="859"/>
      <c r="EF609" s="929"/>
      <c r="EG609" s="857"/>
      <c r="EH609" s="857"/>
      <c r="EI609" s="857"/>
      <c r="EJ609" s="857"/>
      <c r="EK609" s="857"/>
      <c r="EL609" s="857"/>
      <c r="EM609" s="857"/>
      <c r="EN609" s="857"/>
      <c r="EO609" s="857"/>
      <c r="EP609" s="857"/>
      <c r="FL609" s="855"/>
      <c r="FM609" s="855"/>
      <c r="FN609" s="855"/>
      <c r="FO609" s="855"/>
      <c r="FP609" s="855"/>
      <c r="FQ609" s="855"/>
      <c r="FR609" s="855"/>
      <c r="FS609" s="855"/>
      <c r="FT609" s="855"/>
      <c r="FU609" s="855"/>
      <c r="FV609" s="855"/>
      <c r="FW609" s="855"/>
      <c r="FX609" s="855"/>
      <c r="FY609" s="855"/>
      <c r="FZ609" s="855"/>
      <c r="GA609" s="855"/>
      <c r="GB609" s="855"/>
      <c r="GC609" s="855"/>
      <c r="GD609" s="855"/>
      <c r="GE609" s="855"/>
      <c r="GF609" s="855"/>
      <c r="GG609" s="855"/>
      <c r="GH609" s="855"/>
      <c r="GI609" s="855"/>
      <c r="GJ609" s="855"/>
      <c r="GK609" s="855"/>
      <c r="GL609" s="855"/>
      <c r="GM609" s="855"/>
      <c r="GN609" s="855"/>
      <c r="GO609" s="855"/>
      <c r="GP609" s="855"/>
      <c r="GQ609" s="855"/>
      <c r="GR609" s="855"/>
      <c r="GS609" s="855"/>
      <c r="GT609" s="855"/>
      <c r="GU609" s="855"/>
      <c r="GV609" s="855"/>
      <c r="GW609" s="855"/>
      <c r="GX609" s="855"/>
      <c r="GY609" s="855"/>
      <c r="GZ609" s="855"/>
      <c r="HA609" s="855"/>
      <c r="HB609" s="855"/>
      <c r="HC609" s="855"/>
      <c r="HD609" s="855"/>
      <c r="HE609" s="855"/>
      <c r="HF609" s="855"/>
      <c r="HG609" s="855"/>
      <c r="HH609" s="855"/>
      <c r="HI609" s="855"/>
      <c r="HJ609" s="855"/>
      <c r="HK609" s="855"/>
      <c r="HL609" s="855"/>
      <c r="HM609" s="855"/>
      <c r="HN609" s="855"/>
      <c r="HO609" s="855"/>
      <c r="HP609" s="855"/>
      <c r="HQ609" s="855"/>
      <c r="HR609" s="855"/>
      <c r="HS609" s="855"/>
      <c r="HT609" s="855"/>
      <c r="HU609" s="855"/>
      <c r="HV609" s="855"/>
      <c r="HW609" s="855"/>
      <c r="HX609" s="855"/>
      <c r="HY609" s="855"/>
      <c r="HZ609" s="855"/>
      <c r="IA609" s="855"/>
      <c r="IB609" s="855"/>
      <c r="IC609" s="855"/>
      <c r="ID609" s="855"/>
      <c r="IE609" s="855"/>
      <c r="IF609" s="855"/>
      <c r="IG609" s="855"/>
      <c r="IH609" s="855"/>
      <c r="II609" s="855"/>
      <c r="IJ609" s="855"/>
      <c r="IK609" s="855"/>
      <c r="IL609" s="855"/>
      <c r="IM609" s="855"/>
      <c r="IN609" s="855"/>
      <c r="IO609" s="855"/>
      <c r="IP609" s="855"/>
      <c r="IQ609" s="855"/>
      <c r="IR609" s="855"/>
      <c r="IS609" s="855"/>
      <c r="IT609" s="855"/>
      <c r="IU609" s="855"/>
      <c r="IV609" s="855"/>
      <c r="IW609" s="855"/>
      <c r="IX609" s="855"/>
      <c r="IY609" s="855"/>
      <c r="IZ609" s="855"/>
      <c r="JA609" s="855"/>
      <c r="JB609" s="855"/>
      <c r="JC609" s="855"/>
      <c r="JD609" s="855"/>
      <c r="JE609" s="855"/>
      <c r="JF609" s="855"/>
      <c r="JG609" s="855"/>
      <c r="JH609" s="855"/>
      <c r="JI609" s="855"/>
      <c r="JJ609" s="855"/>
      <c r="JK609" s="855"/>
      <c r="JL609" s="855"/>
      <c r="JM609"/>
    </row>
    <row r="610" spans="1:273" s="860" customFormat="1">
      <c r="A610" s="302" t="s">
        <v>688</v>
      </c>
      <c r="B610" s="298"/>
      <c r="C610" s="296"/>
      <c r="D610" s="296"/>
      <c r="E610" s="296"/>
      <c r="F610" s="296"/>
      <c r="G610" s="296"/>
      <c r="H610" s="296"/>
      <c r="I610" s="296"/>
      <c r="J610" s="296"/>
      <c r="K610" s="296"/>
      <c r="L610" s="296"/>
      <c r="M610" s="296"/>
      <c r="N610" s="296"/>
      <c r="O610" s="296"/>
      <c r="P610" s="296"/>
      <c r="Q610" s="296"/>
      <c r="R610" s="296"/>
      <c r="S610" s="296"/>
      <c r="T610" s="296"/>
      <c r="U610" s="296"/>
      <c r="V610" s="296"/>
      <c r="W610" s="296"/>
      <c r="X610" s="296"/>
      <c r="Y610" s="296"/>
      <c r="Z610" s="296"/>
      <c r="AA610" s="296"/>
      <c r="AB610" s="296"/>
      <c r="AC610" s="296"/>
      <c r="AD610" s="296"/>
      <c r="AE610" s="296"/>
      <c r="AF610" s="296"/>
      <c r="AG610" s="296"/>
      <c r="AH610" s="296"/>
      <c r="AI610" s="296"/>
      <c r="AJ610" s="296"/>
      <c r="AK610" s="296"/>
      <c r="AL610" s="296"/>
      <c r="AM610" s="296"/>
      <c r="AN610" s="298"/>
      <c r="AO610" s="298"/>
      <c r="AP610" s="929">
        <f>DIVISIONS!AP701</f>
        <v>-13</v>
      </c>
      <c r="AQ610" s="298"/>
      <c r="AR610" s="298"/>
      <c r="AS610" s="298"/>
      <c r="AT610" s="929">
        <f>DIVISIONS!AT701</f>
        <v>-170</v>
      </c>
      <c r="AU610" s="298"/>
      <c r="AV610" s="929">
        <f>DIVISIONS!AV701</f>
        <v>-17</v>
      </c>
      <c r="AW610" s="929">
        <f>DIVISIONS!AW701</f>
        <v>-8</v>
      </c>
      <c r="AX610" s="929"/>
      <c r="AY610" s="976"/>
      <c r="AZ610" s="929">
        <f>DIVISIONS!AZ701</f>
        <v>-10</v>
      </c>
      <c r="BA610" s="929">
        <f>DIVISIONS!BA701</f>
        <v>-21</v>
      </c>
      <c r="BB610" s="929"/>
      <c r="BC610" s="857"/>
      <c r="BD610" s="929"/>
      <c r="BE610" s="857"/>
      <c r="BF610" s="929"/>
      <c r="BG610" s="859"/>
      <c r="BH610" s="929"/>
      <c r="BI610" s="929"/>
      <c r="BJ610" s="929"/>
      <c r="BK610" s="859"/>
      <c r="BL610" s="929"/>
      <c r="BM610" s="929"/>
      <c r="BN610" s="929"/>
      <c r="BO610" s="859"/>
      <c r="BP610" s="929"/>
      <c r="BQ610" s="929"/>
      <c r="BR610" s="929"/>
      <c r="BS610" s="859"/>
      <c r="BT610" s="929"/>
      <c r="BU610" s="929"/>
      <c r="BV610" s="929"/>
      <c r="BW610" s="859"/>
      <c r="BX610" s="929"/>
      <c r="BY610" s="929"/>
      <c r="BZ610" s="929"/>
      <c r="CA610" s="859"/>
      <c r="CB610" s="929"/>
      <c r="CC610" s="929"/>
      <c r="CD610" s="929"/>
      <c r="CE610" s="1619"/>
      <c r="CF610" s="929"/>
      <c r="CG610" s="929"/>
      <c r="CH610" s="929"/>
      <c r="CI610" s="1619"/>
      <c r="CJ610" s="929"/>
      <c r="CK610" s="929"/>
      <c r="CL610" s="929"/>
      <c r="CM610" s="1619">
        <f t="shared" si="675"/>
        <v>0</v>
      </c>
      <c r="CN610" s="929"/>
      <c r="CO610" s="929"/>
      <c r="CP610" s="929"/>
      <c r="CQ610" s="1620"/>
      <c r="CR610" s="929"/>
      <c r="CS610" s="929"/>
      <c r="CT610" s="929"/>
      <c r="CU610" s="1344"/>
      <c r="CV610" s="929"/>
      <c r="CW610" s="929"/>
      <c r="CX610" s="929"/>
      <c r="CY610" s="1344"/>
      <c r="CZ610" s="929"/>
      <c r="DA610" s="929"/>
      <c r="DB610" s="929"/>
      <c r="DC610" s="1344"/>
      <c r="DD610" s="929"/>
      <c r="DE610" s="929"/>
      <c r="DF610" s="929"/>
      <c r="DG610" s="859"/>
      <c r="DH610" s="929"/>
      <c r="DI610" s="980"/>
      <c r="DJ610" s="929"/>
      <c r="DK610" s="859"/>
      <c r="DL610" s="859"/>
      <c r="DM610" s="859"/>
      <c r="DN610" s="929"/>
      <c r="DO610" s="929"/>
      <c r="DP610" s="859"/>
      <c r="DQ610" s="859"/>
      <c r="DR610" s="929"/>
      <c r="DS610" s="929"/>
      <c r="DT610" s="859"/>
      <c r="DU610" s="859"/>
      <c r="DV610" s="859"/>
      <c r="DW610" s="859"/>
      <c r="DX610" s="929"/>
      <c r="DY610" s="857"/>
      <c r="DZ610" s="859"/>
      <c r="EA610" s="859"/>
      <c r="EB610" s="929"/>
      <c r="EC610" s="857"/>
      <c r="ED610" s="859"/>
      <c r="EE610" s="859"/>
      <c r="EF610" s="929"/>
      <c r="EG610" s="857"/>
      <c r="EH610" s="857"/>
      <c r="EI610" s="857"/>
      <c r="EJ610" s="857"/>
      <c r="EK610" s="857"/>
      <c r="EL610" s="857"/>
      <c r="EM610" s="857"/>
      <c r="EN610" s="857"/>
      <c r="EO610" s="857"/>
      <c r="EP610" s="857"/>
      <c r="FL610" s="855"/>
      <c r="FM610" s="855"/>
      <c r="FN610" s="855"/>
      <c r="FO610" s="855"/>
      <c r="FP610" s="855"/>
      <c r="FQ610" s="855"/>
      <c r="FR610" s="855"/>
      <c r="FS610" s="855"/>
      <c r="FT610" s="855"/>
      <c r="FU610" s="855"/>
      <c r="FV610" s="855"/>
      <c r="FW610" s="855"/>
      <c r="FX610" s="855"/>
      <c r="FY610" s="855"/>
      <c r="FZ610" s="855"/>
      <c r="GA610" s="855"/>
      <c r="GB610" s="855"/>
      <c r="GC610" s="855"/>
      <c r="GD610" s="855"/>
      <c r="GE610" s="855"/>
      <c r="GF610" s="855"/>
      <c r="GG610" s="855"/>
      <c r="GH610" s="855"/>
      <c r="GI610" s="855"/>
      <c r="GJ610" s="855"/>
      <c r="GK610" s="855"/>
      <c r="GL610" s="855"/>
      <c r="GM610" s="855"/>
      <c r="GN610" s="855"/>
      <c r="GO610" s="855"/>
      <c r="GP610" s="855"/>
      <c r="GQ610" s="855"/>
      <c r="GR610" s="855"/>
      <c r="GS610" s="855"/>
      <c r="GT610" s="855"/>
      <c r="GU610" s="855"/>
      <c r="GV610" s="855"/>
      <c r="GW610" s="855"/>
      <c r="GX610" s="855"/>
      <c r="GY610" s="855"/>
      <c r="GZ610" s="855"/>
      <c r="HA610" s="855"/>
      <c r="HB610" s="855"/>
      <c r="HC610" s="855"/>
      <c r="HD610" s="855"/>
      <c r="HE610" s="855"/>
      <c r="HF610" s="855"/>
      <c r="HG610" s="855"/>
      <c r="HH610" s="855"/>
      <c r="HI610" s="855"/>
      <c r="HJ610" s="855"/>
      <c r="HK610" s="855"/>
      <c r="HL610" s="855"/>
      <c r="HM610" s="855"/>
      <c r="HN610" s="855"/>
      <c r="HO610" s="855"/>
      <c r="HP610" s="855"/>
      <c r="HQ610" s="855"/>
      <c r="HR610" s="855"/>
      <c r="HS610" s="855"/>
      <c r="HT610" s="855"/>
      <c r="HU610" s="855"/>
      <c r="HV610" s="855"/>
      <c r="HW610" s="855"/>
      <c r="HX610" s="855"/>
      <c r="HY610" s="855"/>
      <c r="HZ610" s="855"/>
      <c r="IA610" s="855"/>
      <c r="IB610" s="855"/>
      <c r="IC610" s="855"/>
      <c r="ID610" s="855"/>
      <c r="IE610" s="855"/>
      <c r="IF610" s="855"/>
      <c r="IG610" s="855"/>
      <c r="IH610" s="855"/>
      <c r="II610" s="855"/>
      <c r="IJ610" s="855"/>
      <c r="IK610" s="855"/>
      <c r="IL610" s="855"/>
      <c r="IM610" s="855"/>
      <c r="IN610" s="855"/>
      <c r="IO610" s="855"/>
      <c r="IP610" s="855"/>
      <c r="IQ610" s="855"/>
      <c r="IR610" s="855"/>
      <c r="IS610" s="855"/>
      <c r="IT610" s="855"/>
      <c r="IU610" s="855"/>
      <c r="IV610" s="855"/>
      <c r="IW610" s="855"/>
      <c r="IX610" s="855"/>
      <c r="IY610" s="855"/>
      <c r="IZ610" s="855"/>
      <c r="JA610" s="855"/>
      <c r="JB610" s="855"/>
      <c r="JC610" s="855"/>
      <c r="JD610" s="855"/>
      <c r="JE610" s="855"/>
      <c r="JF610" s="855"/>
      <c r="JG610" s="855"/>
      <c r="JH610" s="855"/>
      <c r="JI610" s="855"/>
      <c r="JJ610" s="855"/>
      <c r="JK610" s="855"/>
      <c r="JL610" s="855"/>
      <c r="JM610"/>
    </row>
    <row r="611" spans="1:273" s="860" customFormat="1">
      <c r="A611" s="302" t="s">
        <v>691</v>
      </c>
      <c r="B611" s="298"/>
      <c r="C611" s="296"/>
      <c r="D611" s="296"/>
      <c r="E611" s="296"/>
      <c r="F611" s="296"/>
      <c r="G611" s="296"/>
      <c r="H611" s="296"/>
      <c r="I611" s="296"/>
      <c r="J611" s="296"/>
      <c r="K611" s="296"/>
      <c r="L611" s="296"/>
      <c r="M611" s="296"/>
      <c r="N611" s="296"/>
      <c r="O611" s="296"/>
      <c r="P611" s="296"/>
      <c r="Q611" s="296"/>
      <c r="R611" s="296"/>
      <c r="S611" s="296"/>
      <c r="T611" s="296"/>
      <c r="U611" s="296"/>
      <c r="V611" s="296"/>
      <c r="W611" s="296"/>
      <c r="X611" s="296"/>
      <c r="Y611" s="296"/>
      <c r="Z611" s="296"/>
      <c r="AA611" s="296"/>
      <c r="AB611" s="296"/>
      <c r="AC611" s="296"/>
      <c r="AD611" s="296"/>
      <c r="AE611" s="296"/>
      <c r="AF611" s="296"/>
      <c r="AG611" s="296"/>
      <c r="AH611" s="296"/>
      <c r="AI611" s="296"/>
      <c r="AJ611" s="296"/>
      <c r="AK611" s="296"/>
      <c r="AL611" s="296"/>
      <c r="AM611" s="296"/>
      <c r="AN611" s="298"/>
      <c r="AO611" s="298"/>
      <c r="AP611" s="929">
        <f>DIVISIONS!AP757</f>
        <v>0</v>
      </c>
      <c r="AQ611" s="298"/>
      <c r="AR611" s="298"/>
      <c r="AS611" s="298"/>
      <c r="AT611" s="929">
        <f>DIVISIONS!AT757</f>
        <v>12</v>
      </c>
      <c r="AU611" s="298"/>
      <c r="AV611" s="929">
        <f>DIVISIONS!AV757</f>
        <v>0</v>
      </c>
      <c r="AW611" s="929">
        <f>DIVISIONS!AW757</f>
        <v>6</v>
      </c>
      <c r="AX611" s="929">
        <f t="shared" si="670"/>
        <v>6</v>
      </c>
      <c r="AY611" s="976"/>
      <c r="AZ611" s="929">
        <f>DIVISIONS!AZ757</f>
        <v>-29</v>
      </c>
      <c r="BA611" s="929">
        <f>DIVISIONS!BA757</f>
        <v>14</v>
      </c>
      <c r="BB611" s="929">
        <f t="shared" si="671"/>
        <v>-15</v>
      </c>
      <c r="BC611" s="857"/>
      <c r="BD611" s="929">
        <f>DIVISIONS!BD757</f>
        <v>-1</v>
      </c>
      <c r="BE611" s="857">
        <f>DIVISIONS!BE757</f>
        <v>-14</v>
      </c>
      <c r="BF611" s="929">
        <f t="shared" si="672"/>
        <v>-15</v>
      </c>
      <c r="BG611" s="859"/>
      <c r="BH611" s="929">
        <f>DIVISIONS!BH757</f>
        <v>-5</v>
      </c>
      <c r="BI611" s="929">
        <f>DIVISIONS!BI757</f>
        <v>-1</v>
      </c>
      <c r="BJ611" s="929">
        <f>BH611+BI611</f>
        <v>-6</v>
      </c>
      <c r="BK611" s="859"/>
      <c r="BL611" s="929">
        <f>DIVISIONS!BL757</f>
        <v>-2</v>
      </c>
      <c r="BM611" s="929">
        <f>DIVISIONS!BM757</f>
        <v>0</v>
      </c>
      <c r="BN611" s="929">
        <f>BL611+BM611</f>
        <v>-2</v>
      </c>
      <c r="BO611" s="859"/>
      <c r="BP611" s="929">
        <f>DIVISIONS!BP757</f>
        <v>-2</v>
      </c>
      <c r="BQ611" s="929">
        <f>DIVISIONS!BQ757</f>
        <v>-50</v>
      </c>
      <c r="BR611" s="929">
        <f>BP611+BQ611</f>
        <v>-52</v>
      </c>
      <c r="BS611" s="859"/>
      <c r="BT611" s="929">
        <f>DIVISIONS!BT757</f>
        <v>0</v>
      </c>
      <c r="BU611" s="929">
        <f>DIVISIONS!BU757</f>
        <v>0</v>
      </c>
      <c r="BV611" s="929">
        <f>BT611+BU611</f>
        <v>0</v>
      </c>
      <c r="BW611" s="859"/>
      <c r="BX611" s="929">
        <f>DIVISIONS!BX757</f>
        <v>0</v>
      </c>
      <c r="BY611" s="929">
        <f>DIVISIONS!BY757</f>
        <v>0</v>
      </c>
      <c r="BZ611" s="929">
        <f>BX611+BY611</f>
        <v>0</v>
      </c>
      <c r="CA611" s="859"/>
      <c r="CB611" s="929">
        <f>DIVISIONS!CB757</f>
        <v>-58</v>
      </c>
      <c r="CC611" s="929">
        <f>DIVISIONS!CC757</f>
        <v>58</v>
      </c>
      <c r="CD611" s="929">
        <f>CB611+CC611</f>
        <v>0</v>
      </c>
      <c r="CE611" s="1619"/>
      <c r="CF611" s="929">
        <f>DIVISIONS!CF757</f>
        <v>-16</v>
      </c>
      <c r="CG611" s="929">
        <f>DIVISIONS!CG757</f>
        <v>-9</v>
      </c>
      <c r="CH611" s="929">
        <f>CF611+CG611</f>
        <v>-25</v>
      </c>
      <c r="CI611" s="1619"/>
      <c r="CJ611" s="929">
        <f>DIVISIONS!CJ757</f>
        <v>2</v>
      </c>
      <c r="CK611" s="929">
        <f>DIVISIONS!CK757</f>
        <v>-138</v>
      </c>
      <c r="CL611" s="929">
        <f>CJ611+CK611</f>
        <v>-136</v>
      </c>
      <c r="CM611" s="1619">
        <f t="shared" si="675"/>
        <v>0.16331096196868009</v>
      </c>
      <c r="CN611" s="929">
        <f>DIVISIONS!CN757</f>
        <v>-73</v>
      </c>
      <c r="CO611" s="929">
        <f>DIVISIONS!CO757</f>
        <v>45</v>
      </c>
      <c r="CP611" s="929">
        <f>CN611+CO611</f>
        <v>-28</v>
      </c>
      <c r="CQ611" s="1620"/>
      <c r="CR611" s="929">
        <f>DIVISIONS!CR757</f>
        <v>-48</v>
      </c>
      <c r="CS611" s="929">
        <f>DIVISIONS!CS757</f>
        <v>43</v>
      </c>
      <c r="CT611" s="929">
        <f>CR611+CS611</f>
        <v>-5</v>
      </c>
      <c r="CU611" s="1344"/>
      <c r="CV611" s="929">
        <f>DIVISIONS!CV757</f>
        <v>-44</v>
      </c>
      <c r="CW611" s="929">
        <f>DIVISIONS!CW757</f>
        <v>-11</v>
      </c>
      <c r="CX611" s="929">
        <f>CV611+CW611</f>
        <v>-55</v>
      </c>
      <c r="CY611" s="1344"/>
      <c r="CZ611" s="929">
        <f>DIVISIONS!CZ757</f>
        <v>18</v>
      </c>
      <c r="DA611" s="929">
        <f>DIVISIONS!DA757</f>
        <v>39</v>
      </c>
      <c r="DB611" s="929">
        <f>CZ611+DA611</f>
        <v>57</v>
      </c>
      <c r="DC611" s="1344"/>
      <c r="DD611" s="929">
        <f>DIVISIONS!DD757</f>
        <v>0</v>
      </c>
      <c r="DE611" s="929">
        <f>DIVISIONS!DE757</f>
        <v>-98</v>
      </c>
      <c r="DF611" s="929">
        <f>DD611+DE611</f>
        <v>-98</v>
      </c>
      <c r="DG611" s="859"/>
      <c r="DH611" s="929">
        <f>DIVISIONS!DH757</f>
        <v>73</v>
      </c>
      <c r="DI611" s="980">
        <v>42.182400000000001</v>
      </c>
      <c r="DJ611" s="929">
        <f>DH611+DI611</f>
        <v>115.1824</v>
      </c>
      <c r="DK611" s="859"/>
      <c r="DL611" s="980">
        <v>-20</v>
      </c>
      <c r="DM611" s="980">
        <v>-25</v>
      </c>
      <c r="DN611" s="929">
        <f>DL611+DM611</f>
        <v>-45</v>
      </c>
      <c r="DO611" s="929"/>
      <c r="DP611" s="980">
        <v>-20</v>
      </c>
      <c r="DQ611" s="980">
        <v>-25</v>
      </c>
      <c r="DR611" s="929">
        <f>DP611+DQ611</f>
        <v>-45</v>
      </c>
      <c r="DS611" s="929"/>
      <c r="DT611" s="859"/>
      <c r="DU611" s="859"/>
      <c r="DV611" s="859"/>
      <c r="DW611" s="859"/>
      <c r="DX611" s="929"/>
      <c r="DY611" s="857"/>
      <c r="DZ611" s="859"/>
      <c r="EA611" s="859"/>
      <c r="EB611" s="929"/>
      <c r="EC611" s="857"/>
      <c r="ED611" s="859"/>
      <c r="EE611" s="859"/>
      <c r="EF611" s="929"/>
      <c r="EG611" s="857"/>
      <c r="EH611" s="857"/>
      <c r="EI611" s="857"/>
      <c r="EJ611" s="857"/>
      <c r="EK611" s="857"/>
      <c r="EL611" s="857"/>
      <c r="EM611" s="857"/>
      <c r="EN611" s="857"/>
      <c r="EO611" s="857"/>
      <c r="EP611" s="857"/>
      <c r="FL611" s="855"/>
      <c r="FM611" s="855"/>
      <c r="FN611" s="855"/>
      <c r="FO611" s="855"/>
      <c r="FP611" s="855"/>
      <c r="FQ611" s="855"/>
      <c r="FR611" s="855"/>
      <c r="FS611" s="855"/>
      <c r="FT611" s="855"/>
      <c r="FU611" s="855"/>
      <c r="FV611" s="855"/>
      <c r="FW611" s="855"/>
      <c r="FX611" s="855"/>
      <c r="FY611" s="855"/>
      <c r="FZ611" s="855"/>
      <c r="GA611" s="855"/>
      <c r="GB611" s="855"/>
      <c r="GC611" s="855"/>
      <c r="GD611" s="855"/>
      <c r="GE611" s="855"/>
      <c r="GF611" s="855"/>
      <c r="GG611" s="855"/>
      <c r="GH611" s="855"/>
      <c r="GI611" s="855"/>
      <c r="GJ611" s="855"/>
      <c r="GK611" s="855"/>
      <c r="GL611" s="855"/>
      <c r="GM611" s="855"/>
      <c r="GN611" s="855"/>
      <c r="GO611" s="855"/>
      <c r="GP611" s="855"/>
      <c r="GQ611" s="855"/>
      <c r="GR611" s="855"/>
      <c r="GS611" s="855"/>
      <c r="GT611" s="855"/>
      <c r="GU611" s="855"/>
      <c r="GV611" s="855"/>
      <c r="GW611" s="855"/>
      <c r="GX611" s="855"/>
      <c r="GY611" s="855"/>
      <c r="GZ611" s="855"/>
      <c r="HA611" s="855"/>
      <c r="HB611" s="855"/>
      <c r="HC611" s="855"/>
      <c r="HD611" s="855"/>
      <c r="HE611" s="855"/>
      <c r="HF611" s="855"/>
      <c r="HG611" s="855"/>
      <c r="HH611" s="855"/>
      <c r="HI611" s="855"/>
      <c r="HJ611" s="855"/>
      <c r="HK611" s="855"/>
      <c r="HL611" s="855"/>
      <c r="HM611" s="855"/>
      <c r="HN611" s="855"/>
      <c r="HO611" s="855"/>
      <c r="HP611" s="855"/>
      <c r="HQ611" s="855"/>
      <c r="HR611" s="855"/>
      <c r="HS611" s="855"/>
      <c r="HT611" s="855"/>
      <c r="HU611" s="855"/>
      <c r="HV611" s="855"/>
      <c r="HW611" s="855"/>
      <c r="HX611" s="855"/>
      <c r="HY611" s="855"/>
      <c r="HZ611" s="855"/>
      <c r="IA611" s="855"/>
      <c r="IB611" s="855"/>
      <c r="IC611" s="855"/>
      <c r="ID611" s="855"/>
      <c r="IE611" s="855"/>
      <c r="IF611" s="855"/>
      <c r="IG611" s="855"/>
      <c r="IH611" s="855"/>
      <c r="II611" s="855"/>
      <c r="IJ611" s="855"/>
      <c r="IK611" s="855"/>
      <c r="IL611" s="855"/>
      <c r="IM611" s="855"/>
      <c r="IN611" s="855"/>
      <c r="IO611" s="855"/>
      <c r="IP611" s="855"/>
      <c r="IQ611" s="855"/>
      <c r="IR611" s="855"/>
      <c r="IS611" s="855"/>
      <c r="IT611" s="855"/>
      <c r="IU611" s="855"/>
      <c r="IV611" s="855"/>
      <c r="IW611" s="855"/>
      <c r="IX611" s="855"/>
      <c r="IY611" s="855"/>
      <c r="IZ611" s="855"/>
      <c r="JA611" s="855"/>
      <c r="JB611" s="855"/>
      <c r="JC611" s="855"/>
      <c r="JD611" s="855"/>
      <c r="JE611" s="855"/>
      <c r="JF611" s="855"/>
      <c r="JG611" s="855"/>
      <c r="JH611" s="855"/>
      <c r="JI611" s="855"/>
      <c r="JJ611" s="855"/>
      <c r="JK611" s="855"/>
      <c r="JL611" s="855"/>
      <c r="JM611"/>
    </row>
    <row r="612" spans="1:273" s="855" customFormat="1">
      <c r="A612" s="289" t="s">
        <v>613</v>
      </c>
      <c r="B612" s="290"/>
      <c r="C612" s="289"/>
      <c r="D612" s="289"/>
      <c r="E612" s="289"/>
      <c r="F612" s="289"/>
      <c r="G612" s="289"/>
      <c r="H612" s="289"/>
      <c r="I612" s="289"/>
      <c r="J612" s="289"/>
      <c r="K612" s="289"/>
      <c r="L612" s="289"/>
      <c r="M612" s="289"/>
      <c r="N612" s="289"/>
      <c r="O612" s="289"/>
      <c r="P612" s="289"/>
      <c r="Q612" s="289"/>
      <c r="R612" s="289"/>
      <c r="S612" s="289"/>
      <c r="T612" s="289"/>
      <c r="U612" s="289"/>
      <c r="V612" s="289"/>
      <c r="W612" s="289"/>
      <c r="X612" s="289"/>
      <c r="Y612" s="289"/>
      <c r="Z612" s="289"/>
      <c r="AA612" s="289"/>
      <c r="AB612" s="289"/>
      <c r="AC612" s="289"/>
      <c r="AD612" s="289"/>
      <c r="AE612" s="289"/>
      <c r="AF612" s="289"/>
      <c r="AG612" s="289"/>
      <c r="AH612" s="289"/>
      <c r="AI612" s="289"/>
      <c r="AJ612" s="289"/>
      <c r="AK612" s="289"/>
      <c r="AL612" s="289"/>
      <c r="AM612" s="289"/>
      <c r="AN612" s="290"/>
      <c r="AO612" s="290"/>
      <c r="AP612" s="853">
        <f>SUM(AP604:AP611)</f>
        <v>-99</v>
      </c>
      <c r="AQ612" s="290"/>
      <c r="AR612" s="290"/>
      <c r="AS612" s="290"/>
      <c r="AT612" s="853">
        <f>SUM(AT604:AT611)</f>
        <v>-500</v>
      </c>
      <c r="AU612" s="290"/>
      <c r="AV612" s="853">
        <f>SUM(AV604:AV611)</f>
        <v>-131</v>
      </c>
      <c r="AW612" s="853">
        <f>SUM(AW604:AW611)</f>
        <v>-85</v>
      </c>
      <c r="AX612" s="818">
        <f t="shared" si="670"/>
        <v>-216</v>
      </c>
      <c r="AY612" s="820"/>
      <c r="AZ612" s="853">
        <f>SUM(AZ604:AZ611)</f>
        <v>-76</v>
      </c>
      <c r="BA612" s="853">
        <f>SUM(BA604:BA611)</f>
        <v>-56</v>
      </c>
      <c r="BB612" s="818">
        <f t="shared" si="671"/>
        <v>-132</v>
      </c>
      <c r="BC612" s="853"/>
      <c r="BD612" s="853">
        <f>SUM(BD604:BD611)</f>
        <v>-65</v>
      </c>
      <c r="BE612" s="853">
        <f>SUM(BE604:BE611)</f>
        <v>-112</v>
      </c>
      <c r="BF612" s="818">
        <f t="shared" si="672"/>
        <v>-177</v>
      </c>
      <c r="BG612" s="853"/>
      <c r="BH612" s="853">
        <f>SUM(BH604:BH611)</f>
        <v>-89</v>
      </c>
      <c r="BI612" s="853">
        <f>SUM(BI604:BI611)</f>
        <v>-99</v>
      </c>
      <c r="BJ612" s="818">
        <f>BH612+BI612</f>
        <v>-188</v>
      </c>
      <c r="BK612" s="853"/>
      <c r="BL612" s="853">
        <f>SUM(BL604:BL611)</f>
        <v>-90</v>
      </c>
      <c r="BM612" s="853">
        <f>SUM(BM604:BM611)</f>
        <v>-142</v>
      </c>
      <c r="BN612" s="818">
        <f>BL612+BM612</f>
        <v>-232</v>
      </c>
      <c r="BO612" s="853"/>
      <c r="BP612" s="853">
        <f>SUM(BP604:BP611)</f>
        <v>-99</v>
      </c>
      <c r="BQ612" s="853">
        <f>SUM(BQ604:BQ611)</f>
        <v>-351</v>
      </c>
      <c r="BR612" s="818">
        <f>BP612+BQ612</f>
        <v>-450</v>
      </c>
      <c r="BS612" s="853"/>
      <c r="BT612" s="853">
        <f>SUM(BT604:BT611)</f>
        <v>-258</v>
      </c>
      <c r="BU612" s="853">
        <f>SUM(BU604:BU611)</f>
        <v>-261</v>
      </c>
      <c r="BV612" s="818">
        <f>BT612+BU612</f>
        <v>-519</v>
      </c>
      <c r="BW612" s="853"/>
      <c r="BX612" s="2052">
        <f>SUM(BX604:BX611)</f>
        <v>-172</v>
      </c>
      <c r="BY612" s="853">
        <f>SUM(BY604:BY611)</f>
        <v>-130</v>
      </c>
      <c r="BZ612" s="818">
        <f>BX612+BY612</f>
        <v>-302</v>
      </c>
      <c r="CA612" s="853"/>
      <c r="CB612" s="853">
        <f>SUM(CB604:CB611)</f>
        <v>-142</v>
      </c>
      <c r="CC612" s="853">
        <f>SUM(CC604:CC611)</f>
        <v>-216</v>
      </c>
      <c r="CD612" s="818">
        <f>CB612+CC612</f>
        <v>-358</v>
      </c>
      <c r="CE612" s="862"/>
      <c r="CF612" s="853">
        <f>SUM(CF604:CF611)</f>
        <v>-76</v>
      </c>
      <c r="CG612" s="853">
        <f>SUM(CG604:CG611)</f>
        <v>-461</v>
      </c>
      <c r="CH612" s="818">
        <f>CF612+CG612</f>
        <v>-537</v>
      </c>
      <c r="CI612" s="862"/>
      <c r="CJ612" s="853">
        <f>SUM(CJ604:CJ611)</f>
        <v>-139</v>
      </c>
      <c r="CK612" s="853">
        <f>SUM(CK604:CK611)</f>
        <v>-901</v>
      </c>
      <c r="CL612" s="818">
        <f>CJ612+CK612</f>
        <v>-1040</v>
      </c>
      <c r="CM612" s="862"/>
      <c r="CN612" s="853">
        <f>SUM(CN604:CN611)</f>
        <v>-447</v>
      </c>
      <c r="CO612" s="853">
        <f>SUM(CO604:CO611)</f>
        <v>-77</v>
      </c>
      <c r="CP612" s="818">
        <f>CN612+CO612</f>
        <v>-524</v>
      </c>
      <c r="CQ612" s="301"/>
      <c r="CR612" s="853">
        <f>SUM(CR604:CR611)</f>
        <v>-230</v>
      </c>
      <c r="CS612" s="853">
        <f>SUM(CS604:CS611)</f>
        <v>-279</v>
      </c>
      <c r="CT612" s="818">
        <f>CR612+CS612</f>
        <v>-509</v>
      </c>
      <c r="CU612" s="379"/>
      <c r="CV612" s="853">
        <f>SUM(CV604:CV611)</f>
        <v>-286</v>
      </c>
      <c r="CW612" s="853">
        <f>SUM(CW604:CW611)</f>
        <v>-168</v>
      </c>
      <c r="CX612" s="818">
        <f>CV612+CW612</f>
        <v>-454</v>
      </c>
      <c r="CY612" s="379"/>
      <c r="CZ612" s="853">
        <f>SUM(CZ604:CZ611)</f>
        <v>117</v>
      </c>
      <c r="DA612" s="853">
        <f>SUM(DA604:DA611)</f>
        <v>252</v>
      </c>
      <c r="DB612" s="818">
        <f>CZ612+DA612</f>
        <v>369</v>
      </c>
      <c r="DC612" s="379"/>
      <c r="DD612" s="853">
        <f>SUM(DD604:DD611)</f>
        <v>-75</v>
      </c>
      <c r="DE612" s="853">
        <f>SUM(DE604:DE611)</f>
        <v>-286</v>
      </c>
      <c r="DF612" s="818">
        <f>DD612+DE612</f>
        <v>-361</v>
      </c>
      <c r="DG612" s="853"/>
      <c r="DH612" s="853">
        <f>SUM(DH604:DH611)</f>
        <v>-29</v>
      </c>
      <c r="DI612" s="853">
        <f>SUM(DI604:DI611)</f>
        <v>-141.61760000000001</v>
      </c>
      <c r="DJ612" s="853">
        <f>DH612+DI612</f>
        <v>-170.61760000000001</v>
      </c>
      <c r="DK612" s="853"/>
      <c r="DL612" s="853">
        <f>SUM(DL604:DL611)</f>
        <v>-202.92000000000002</v>
      </c>
      <c r="DM612" s="853">
        <f>SUM(DM604:DM611)</f>
        <v>-218.91200000000001</v>
      </c>
      <c r="DN612" s="853">
        <f>DL612+DM612</f>
        <v>-421.83199999999999</v>
      </c>
      <c r="DO612" s="818"/>
      <c r="DP612" s="853">
        <f>SUM(DP604:DP611)</f>
        <v>-210.07679999999999</v>
      </c>
      <c r="DQ612" s="853">
        <f>SUM(DQ604:DQ611)</f>
        <v>-225.26848000000001</v>
      </c>
      <c r="DR612" s="853">
        <f>DP612+DQ612</f>
        <v>-435.34528</v>
      </c>
      <c r="DS612" s="818"/>
      <c r="DT612" s="853"/>
      <c r="DU612" s="853"/>
      <c r="DV612" s="853"/>
      <c r="DW612" s="853"/>
      <c r="DX612" s="818"/>
      <c r="DY612" s="853"/>
      <c r="DZ612" s="853"/>
      <c r="EA612" s="853"/>
      <c r="EB612" s="818"/>
      <c r="EC612" s="853"/>
      <c r="ED612" s="853"/>
      <c r="EE612" s="853"/>
      <c r="EF612" s="818"/>
      <c r="EG612" s="853"/>
      <c r="EH612" s="853"/>
      <c r="EI612" s="853"/>
      <c r="EJ612" s="853"/>
      <c r="EK612" s="853"/>
      <c r="EL612" s="853"/>
      <c r="EM612" s="853"/>
      <c r="EN612" s="853"/>
      <c r="EO612" s="853"/>
      <c r="EP612" s="853"/>
      <c r="JM612"/>
    </row>
    <row r="613" spans="1:273" s="855" customFormat="1">
      <c r="A613" s="289"/>
      <c r="B613" s="290"/>
      <c r="C613" s="289"/>
      <c r="D613" s="289"/>
      <c r="E613" s="289"/>
      <c r="F613" s="289"/>
      <c r="G613" s="289"/>
      <c r="H613" s="289"/>
      <c r="I613" s="289"/>
      <c r="J613" s="289"/>
      <c r="K613" s="289"/>
      <c r="L613" s="289"/>
      <c r="M613" s="289"/>
      <c r="N613" s="289"/>
      <c r="O613" s="289"/>
      <c r="P613" s="289"/>
      <c r="Q613" s="289"/>
      <c r="R613" s="289"/>
      <c r="S613" s="289"/>
      <c r="T613" s="289"/>
      <c r="U613" s="289"/>
      <c r="V613" s="289"/>
      <c r="W613" s="289"/>
      <c r="X613" s="289"/>
      <c r="Y613" s="289"/>
      <c r="Z613" s="289"/>
      <c r="AA613" s="289"/>
      <c r="AB613" s="289"/>
      <c r="AC613" s="289"/>
      <c r="AD613" s="289"/>
      <c r="AE613" s="289"/>
      <c r="AF613" s="289"/>
      <c r="AG613" s="289"/>
      <c r="AH613" s="289"/>
      <c r="AI613" s="289"/>
      <c r="AJ613" s="289"/>
      <c r="AK613" s="289"/>
      <c r="AL613" s="289"/>
      <c r="AM613" s="289"/>
      <c r="AN613" s="290"/>
      <c r="AO613" s="290"/>
      <c r="AP613" s="290"/>
      <c r="AQ613" s="290"/>
      <c r="AR613" s="290"/>
      <c r="AS613" s="290"/>
      <c r="AT613" s="290"/>
      <c r="AU613" s="290"/>
      <c r="AV613" s="853"/>
      <c r="AW613" s="853"/>
      <c r="AX613" s="853"/>
      <c r="AY613" s="820"/>
      <c r="AZ613" s="853"/>
      <c r="BA613" s="853"/>
      <c r="BB613" s="853"/>
      <c r="BC613" s="853"/>
      <c r="BD613" s="853"/>
      <c r="BE613" s="853"/>
      <c r="BF613" s="818"/>
      <c r="BG613" s="853"/>
      <c r="BH613" s="853"/>
      <c r="BI613" s="853"/>
      <c r="BJ613" s="818"/>
      <c r="BK613" s="853"/>
      <c r="BL613" s="853"/>
      <c r="BM613" s="853"/>
      <c r="BN613" s="818"/>
      <c r="BO613" s="853"/>
      <c r="BP613" s="853"/>
      <c r="BQ613" s="853"/>
      <c r="BR613" s="818"/>
      <c r="BS613" s="853"/>
      <c r="BT613" s="853"/>
      <c r="BU613" s="853"/>
      <c r="BV613" s="818"/>
      <c r="BW613" s="853"/>
      <c r="BX613" s="853"/>
      <c r="BY613" s="853"/>
      <c r="BZ613" s="818"/>
      <c r="CA613" s="853"/>
      <c r="CB613" s="853"/>
      <c r="CC613" s="853"/>
      <c r="CD613" s="818"/>
      <c r="CE613" s="862"/>
      <c r="CF613" s="853"/>
      <c r="CG613" s="853"/>
      <c r="CH613" s="818"/>
      <c r="CI613" s="862"/>
      <c r="CJ613" s="853"/>
      <c r="CK613" s="853"/>
      <c r="CL613" s="818"/>
      <c r="CM613" s="862"/>
      <c r="CN613" s="853"/>
      <c r="CO613" s="853"/>
      <c r="CP613" s="818"/>
      <c r="CQ613" s="862"/>
      <c r="CR613" s="853"/>
      <c r="CS613" s="853"/>
      <c r="CT613" s="818"/>
      <c r="CU613" s="853"/>
      <c r="CV613" s="853"/>
      <c r="CW613" s="853"/>
      <c r="CX613" s="818"/>
      <c r="CY613" s="853"/>
      <c r="CZ613" s="853"/>
      <c r="DA613" s="853"/>
      <c r="DB613" s="818"/>
      <c r="DC613" s="853"/>
      <c r="DD613" s="853"/>
      <c r="DE613" s="853"/>
      <c r="DF613" s="818"/>
      <c r="DG613" s="853"/>
      <c r="DH613" s="853"/>
      <c r="DI613" s="853"/>
      <c r="DJ613" s="818"/>
      <c r="DK613" s="853"/>
      <c r="DL613" s="853"/>
      <c r="DM613" s="853"/>
      <c r="DN613" s="818"/>
      <c r="DO613" s="818"/>
      <c r="DP613" s="853"/>
      <c r="DQ613" s="853"/>
      <c r="DR613" s="818"/>
      <c r="DS613" s="818"/>
      <c r="DT613" s="853"/>
      <c r="DU613" s="853"/>
      <c r="DV613" s="853"/>
      <c r="DW613" s="853"/>
      <c r="DX613" s="818"/>
      <c r="DY613" s="853"/>
      <c r="DZ613" s="853"/>
      <c r="EA613" s="853"/>
      <c r="EB613" s="818"/>
      <c r="EC613" s="853"/>
      <c r="ED613" s="853"/>
      <c r="EE613" s="853"/>
      <c r="EF613" s="818"/>
      <c r="EG613" s="853"/>
      <c r="EH613" s="853"/>
      <c r="EI613" s="853"/>
      <c r="EJ613" s="853"/>
      <c r="EK613" s="853"/>
      <c r="EL613" s="853"/>
      <c r="EM613" s="853"/>
      <c r="EN613" s="853"/>
      <c r="EO613" s="853"/>
      <c r="EP613" s="853"/>
      <c r="JM613"/>
    </row>
    <row r="614" spans="1:273" s="971" customFormat="1">
      <c r="A614" s="866" t="s">
        <v>829</v>
      </c>
      <c r="B614" s="925"/>
      <c r="C614" s="866"/>
      <c r="D614" s="866"/>
      <c r="E614" s="866"/>
      <c r="F614" s="866"/>
      <c r="G614" s="866"/>
      <c r="H614" s="866"/>
      <c r="I614" s="866"/>
      <c r="J614" s="866"/>
      <c r="K614" s="866"/>
      <c r="L614" s="866"/>
      <c r="M614" s="866"/>
      <c r="N614" s="866"/>
      <c r="O614" s="866"/>
      <c r="P614" s="866"/>
      <c r="Q614" s="866"/>
      <c r="R614" s="866"/>
      <c r="S614" s="866"/>
      <c r="T614" s="866"/>
      <c r="U614" s="866"/>
      <c r="V614" s="866"/>
      <c r="W614" s="866"/>
      <c r="X614" s="866"/>
      <c r="Y614" s="866"/>
      <c r="Z614" s="866"/>
      <c r="AA614" s="866"/>
      <c r="AB614" s="866"/>
      <c r="AC614" s="866"/>
      <c r="AD614" s="866"/>
      <c r="AE614" s="866"/>
      <c r="AF614" s="866"/>
      <c r="AG614" s="866"/>
      <c r="AH614" s="866"/>
      <c r="AI614" s="866"/>
      <c r="AJ614" s="866"/>
      <c r="AK614" s="866"/>
      <c r="AL614" s="866"/>
      <c r="AM614" s="866"/>
      <c r="AN614" s="925"/>
      <c r="AO614" s="925"/>
      <c r="AP614" s="925"/>
      <c r="AQ614" s="925"/>
      <c r="AR614" s="925"/>
      <c r="AS614" s="925"/>
      <c r="AT614" s="925"/>
      <c r="AU614" s="925"/>
      <c r="AV614" s="968"/>
      <c r="AW614" s="968"/>
      <c r="AX614" s="968"/>
      <c r="AY614" s="969"/>
      <c r="AZ614" s="968"/>
      <c r="BA614" s="968"/>
      <c r="BB614" s="968"/>
      <c r="BC614" s="968"/>
      <c r="BD614" s="968"/>
      <c r="BE614" s="968"/>
      <c r="BF614" s="985"/>
      <c r="BG614" s="968"/>
      <c r="BH614" s="968"/>
      <c r="BI614" s="968"/>
      <c r="BJ614" s="985"/>
      <c r="BK614" s="968"/>
      <c r="BL614" s="968"/>
      <c r="BM614" s="968"/>
      <c r="BN614" s="985"/>
      <c r="BO614" s="968"/>
      <c r="BP614" s="968"/>
      <c r="BQ614" s="968"/>
      <c r="BR614" s="985"/>
      <c r="BS614" s="968"/>
      <c r="BT614" s="968"/>
      <c r="BU614" s="968"/>
      <c r="BV614" s="985"/>
      <c r="BW614" s="968"/>
      <c r="BX614" s="968"/>
      <c r="BY614" s="968"/>
      <c r="BZ614" s="985"/>
      <c r="CA614" s="968"/>
      <c r="CB614" s="968"/>
      <c r="CC614" s="968"/>
      <c r="CD614" s="985"/>
      <c r="CE614" s="1617"/>
      <c r="CF614" s="968"/>
      <c r="CG614" s="968"/>
      <c r="CH614" s="985"/>
      <c r="CI614" s="1617"/>
      <c r="CJ614" s="968"/>
      <c r="CK614" s="968"/>
      <c r="CL614" s="985"/>
      <c r="CM614" s="1617"/>
      <c r="CN614" s="968"/>
      <c r="CO614" s="968"/>
      <c r="CP614" s="985"/>
      <c r="CQ614" s="1617"/>
      <c r="CR614" s="968"/>
      <c r="CS614" s="968"/>
      <c r="CT614" s="985"/>
      <c r="CU614" s="968"/>
      <c r="CV614" s="968"/>
      <c r="CW614" s="968"/>
      <c r="CX614" s="985"/>
      <c r="CY614" s="968"/>
      <c r="CZ614" s="968"/>
      <c r="DA614" s="968"/>
      <c r="DB614" s="985"/>
      <c r="DC614" s="968"/>
      <c r="DD614" s="968"/>
      <c r="DE614" s="968"/>
      <c r="DF614" s="985"/>
      <c r="DG614" s="968"/>
      <c r="DH614" s="968"/>
      <c r="DI614" s="968"/>
      <c r="DJ614" s="985"/>
      <c r="DK614" s="968"/>
      <c r="DL614" s="968"/>
      <c r="DM614" s="968"/>
      <c r="DN614" s="985"/>
      <c r="DO614" s="985"/>
      <c r="DP614" s="968"/>
      <c r="DQ614" s="968"/>
      <c r="DR614" s="985"/>
      <c r="DS614" s="985"/>
      <c r="DT614" s="968"/>
      <c r="DU614" s="968"/>
      <c r="DV614" s="968"/>
      <c r="DW614" s="968"/>
      <c r="DX614" s="985"/>
      <c r="DY614" s="968"/>
      <c r="DZ614" s="968"/>
      <c r="EA614" s="968"/>
      <c r="EB614" s="985"/>
      <c r="EC614" s="968"/>
      <c r="ED614" s="968"/>
      <c r="EE614" s="968"/>
      <c r="EF614" s="985"/>
      <c r="EG614" s="968"/>
      <c r="EH614" s="968"/>
      <c r="EI614" s="968"/>
      <c r="EJ614" s="968"/>
      <c r="EK614" s="968"/>
      <c r="EL614" s="968"/>
      <c r="EM614" s="968"/>
      <c r="EN614" s="968"/>
      <c r="EO614" s="968"/>
      <c r="EP614" s="968"/>
      <c r="FL614" s="855"/>
      <c r="FM614" s="855"/>
      <c r="FN614" s="855"/>
      <c r="FO614" s="855"/>
      <c r="FP614" s="855"/>
      <c r="FQ614" s="855"/>
      <c r="FR614" s="855"/>
      <c r="FS614" s="855"/>
      <c r="FT614" s="855"/>
      <c r="FU614" s="855"/>
      <c r="FV614" s="855"/>
      <c r="FW614" s="855"/>
      <c r="FX614" s="855"/>
      <c r="FY614" s="855"/>
      <c r="FZ614" s="855"/>
      <c r="GA614" s="855"/>
      <c r="GB614" s="855"/>
      <c r="GC614" s="855"/>
      <c r="GD614" s="855"/>
      <c r="GE614" s="855"/>
      <c r="GF614" s="855"/>
      <c r="GG614" s="855"/>
      <c r="GH614" s="855"/>
      <c r="GI614" s="855"/>
      <c r="GJ614" s="855"/>
      <c r="GK614" s="855"/>
      <c r="GL614" s="855"/>
      <c r="GM614" s="855"/>
      <c r="GN614" s="855"/>
      <c r="GO614" s="855"/>
      <c r="GP614" s="855"/>
      <c r="GQ614" s="855"/>
      <c r="GR614" s="855"/>
      <c r="GS614" s="855"/>
      <c r="GT614" s="855"/>
      <c r="GU614" s="855"/>
      <c r="GV614" s="855"/>
      <c r="GW614" s="855"/>
      <c r="GX614" s="855"/>
      <c r="GY614" s="855"/>
      <c r="GZ614" s="855"/>
      <c r="HA614" s="855"/>
      <c r="HB614" s="855"/>
      <c r="HC614" s="855"/>
      <c r="HD614" s="855"/>
      <c r="HE614" s="855"/>
      <c r="HF614" s="855"/>
      <c r="HG614" s="855"/>
      <c r="HH614" s="855"/>
      <c r="HI614" s="855"/>
      <c r="HJ614" s="855"/>
      <c r="HK614" s="855"/>
      <c r="HL614" s="855"/>
      <c r="HM614" s="855"/>
      <c r="HN614" s="855"/>
      <c r="HO614" s="855"/>
      <c r="HP614" s="855"/>
      <c r="HQ614" s="855"/>
      <c r="HR614" s="855"/>
      <c r="HS614" s="855"/>
      <c r="HT614" s="855"/>
      <c r="HU614" s="855"/>
      <c r="HV614" s="855"/>
      <c r="HW614" s="855"/>
      <c r="HX614" s="855"/>
      <c r="HY614" s="855"/>
      <c r="HZ614" s="855"/>
      <c r="IA614" s="855"/>
      <c r="IB614" s="855"/>
      <c r="IC614" s="855"/>
      <c r="ID614" s="855"/>
      <c r="IE614" s="855"/>
      <c r="IF614" s="855"/>
      <c r="IG614" s="855"/>
      <c r="IH614" s="855"/>
      <c r="II614" s="855"/>
      <c r="IJ614" s="855"/>
      <c r="IK614" s="855"/>
      <c r="IL614" s="855"/>
      <c r="IM614" s="855"/>
      <c r="IN614" s="855"/>
      <c r="IO614" s="855"/>
      <c r="IP614" s="855"/>
      <c r="IQ614" s="855"/>
      <c r="IR614" s="855"/>
      <c r="IS614" s="855"/>
      <c r="IT614" s="855"/>
      <c r="IU614" s="855"/>
      <c r="IV614" s="855"/>
      <c r="IW614" s="855"/>
      <c r="IX614" s="855"/>
      <c r="IY614" s="855"/>
      <c r="IZ614" s="855"/>
      <c r="JA614" s="855"/>
      <c r="JB614" s="855"/>
      <c r="JC614" s="855"/>
      <c r="JD614" s="855"/>
      <c r="JE614" s="855"/>
      <c r="JF614" s="855"/>
      <c r="JG614" s="855"/>
      <c r="JH614" s="855"/>
      <c r="JI614" s="855"/>
      <c r="JJ614" s="855"/>
      <c r="JK614" s="855"/>
      <c r="JL614" s="855"/>
      <c r="JM614"/>
    </row>
    <row r="615" spans="1:273" s="860" customFormat="1">
      <c r="A615" s="302" t="s">
        <v>685</v>
      </c>
      <c r="B615" s="298"/>
      <c r="C615" s="296"/>
      <c r="D615" s="296"/>
      <c r="E615" s="296"/>
      <c r="F615" s="296"/>
      <c r="G615" s="296"/>
      <c r="H615" s="296"/>
      <c r="I615" s="296"/>
      <c r="J615" s="296"/>
      <c r="K615" s="296"/>
      <c r="L615" s="296"/>
      <c r="M615" s="296"/>
      <c r="N615" s="296"/>
      <c r="O615" s="296"/>
      <c r="P615" s="296"/>
      <c r="Q615" s="296"/>
      <c r="R615" s="296"/>
      <c r="S615" s="296"/>
      <c r="T615" s="296"/>
      <c r="U615" s="296"/>
      <c r="V615" s="296"/>
      <c r="W615" s="296"/>
      <c r="X615" s="296"/>
      <c r="Y615" s="296"/>
      <c r="Z615" s="296"/>
      <c r="AA615" s="296"/>
      <c r="AB615" s="296"/>
      <c r="AC615" s="296"/>
      <c r="AD615" s="296"/>
      <c r="AE615" s="296"/>
      <c r="AF615" s="296"/>
      <c r="AG615" s="296"/>
      <c r="AH615" s="296"/>
      <c r="AI615" s="296"/>
      <c r="AJ615" s="296"/>
      <c r="AK615" s="296"/>
      <c r="AL615" s="296"/>
      <c r="AM615" s="296"/>
      <c r="AN615" s="298"/>
      <c r="AO615" s="298"/>
      <c r="AP615" s="298"/>
      <c r="AQ615" s="298"/>
      <c r="AR615" s="298"/>
      <c r="AS615" s="298"/>
      <c r="AT615" s="298"/>
      <c r="AU615" s="972">
        <f>SUM(AV615:BZ615)</f>
        <v>0</v>
      </c>
      <c r="AV615" s="973">
        <v>0</v>
      </c>
      <c r="AW615" s="973">
        <v>0</v>
      </c>
      <c r="AX615" s="980"/>
      <c r="AY615" s="633"/>
      <c r="AZ615" s="973">
        <v>0</v>
      </c>
      <c r="BA615" s="973">
        <v>0</v>
      </c>
      <c r="BB615" s="857"/>
      <c r="BC615" s="857"/>
      <c r="BD615" s="973">
        <v>0</v>
      </c>
      <c r="BE615" s="973">
        <v>0</v>
      </c>
      <c r="BF615" s="929">
        <f>BD615+BE615</f>
        <v>0</v>
      </c>
      <c r="BG615" s="974"/>
      <c r="BH615" s="973">
        <v>0</v>
      </c>
      <c r="BI615" s="973">
        <v>0</v>
      </c>
      <c r="BJ615" s="929">
        <f t="shared" ref="BJ615:BJ620" si="679">BH615+BI615</f>
        <v>0</v>
      </c>
      <c r="BK615" s="974"/>
      <c r="BL615" s="973">
        <v>0</v>
      </c>
      <c r="BM615" s="973">
        <v>0</v>
      </c>
      <c r="BN615" s="929">
        <f t="shared" ref="BN615:BN620" si="680">BL615+BM615</f>
        <v>0</v>
      </c>
      <c r="BO615" s="974"/>
      <c r="BP615" s="973">
        <v>0</v>
      </c>
      <c r="BQ615" s="973">
        <v>0</v>
      </c>
      <c r="BR615" s="929">
        <f t="shared" ref="BR615:BR620" si="681">BP615+BQ615</f>
        <v>0</v>
      </c>
      <c r="BS615" s="974"/>
      <c r="BT615" s="973">
        <v>0</v>
      </c>
      <c r="BU615" s="973">
        <v>0</v>
      </c>
      <c r="BV615" s="929">
        <f t="shared" ref="BV615:BV620" si="682">BT615+BU615</f>
        <v>0</v>
      </c>
      <c r="BW615" s="974"/>
      <c r="BX615" s="974"/>
      <c r="BY615" s="974"/>
      <c r="BZ615" s="974"/>
      <c r="CA615" s="974"/>
      <c r="CB615" s="974"/>
      <c r="CC615" s="974"/>
      <c r="CD615" s="974"/>
      <c r="CE615" s="1618"/>
      <c r="CF615" s="974"/>
      <c r="CG615" s="974"/>
      <c r="CH615" s="974"/>
      <c r="CI615" s="1618"/>
      <c r="CJ615" s="974"/>
      <c r="CK615" s="974"/>
      <c r="CL615" s="974"/>
      <c r="CM615" s="1618"/>
      <c r="CN615" s="974"/>
      <c r="CO615" s="974"/>
      <c r="CP615" s="974"/>
      <c r="CQ615" s="1618"/>
      <c r="CR615" s="974"/>
      <c r="CS615" s="974"/>
      <c r="CT615" s="974"/>
      <c r="CU615" s="974"/>
      <c r="CV615" s="974"/>
      <c r="CW615" s="974"/>
      <c r="CX615" s="974"/>
      <c r="CY615" s="974"/>
      <c r="CZ615" s="974"/>
      <c r="DA615" s="974"/>
      <c r="DB615" s="974"/>
      <c r="DC615" s="974"/>
      <c r="DD615" s="974"/>
      <c r="DE615" s="974"/>
      <c r="DF615" s="974"/>
      <c r="DG615" s="974"/>
      <c r="DH615" s="974"/>
      <c r="DI615" s="974"/>
      <c r="DJ615" s="974"/>
      <c r="DK615" s="974"/>
      <c r="DL615" s="974"/>
      <c r="DM615" s="974"/>
      <c r="DN615" s="974"/>
      <c r="DO615" s="929"/>
      <c r="DP615" s="974"/>
      <c r="DQ615" s="974"/>
      <c r="DR615" s="974"/>
      <c r="DS615" s="929"/>
      <c r="DT615" s="974"/>
      <c r="DU615" s="859"/>
      <c r="DV615" s="859"/>
      <c r="DW615" s="859"/>
      <c r="DX615" s="929"/>
      <c r="DY615" s="857"/>
      <c r="DZ615" s="859"/>
      <c r="EA615" s="859"/>
      <c r="EB615" s="929"/>
      <c r="EC615" s="857"/>
      <c r="ED615" s="859"/>
      <c r="EE615" s="859"/>
      <c r="EF615" s="929"/>
      <c r="EG615" s="857"/>
      <c r="EH615" s="857"/>
      <c r="EI615" s="857"/>
      <c r="EJ615" s="857"/>
      <c r="EK615" s="857"/>
      <c r="EL615" s="857"/>
      <c r="EM615" s="857"/>
      <c r="EN615" s="857"/>
      <c r="EO615" s="857"/>
      <c r="EP615" s="857"/>
      <c r="FL615" s="855"/>
      <c r="FM615" s="855"/>
      <c r="FN615" s="855"/>
      <c r="FO615" s="855"/>
      <c r="FP615" s="855"/>
      <c r="FQ615" s="855"/>
      <c r="FR615" s="855"/>
      <c r="FS615" s="855"/>
      <c r="FT615" s="855"/>
      <c r="FU615" s="855"/>
      <c r="FV615" s="855"/>
      <c r="FW615" s="855"/>
      <c r="FX615" s="855"/>
      <c r="FY615" s="855"/>
      <c r="FZ615" s="855"/>
      <c r="GA615" s="855"/>
      <c r="GB615" s="855"/>
      <c r="GC615" s="855"/>
      <c r="GD615" s="855"/>
      <c r="GE615" s="855"/>
      <c r="GF615" s="855"/>
      <c r="GG615" s="855"/>
      <c r="GH615" s="855"/>
      <c r="GI615" s="855"/>
      <c r="GJ615" s="855"/>
      <c r="GK615" s="855"/>
      <c r="GL615" s="855"/>
      <c r="GM615" s="855"/>
      <c r="GN615" s="855"/>
      <c r="GO615" s="855"/>
      <c r="GP615" s="855"/>
      <c r="GQ615" s="855"/>
      <c r="GR615" s="855"/>
      <c r="GS615" s="855"/>
      <c r="GT615" s="855"/>
      <c r="GU615" s="855"/>
      <c r="GV615" s="855"/>
      <c r="GW615" s="855"/>
      <c r="GX615" s="855"/>
      <c r="GY615" s="855"/>
      <c r="GZ615" s="855"/>
      <c r="HA615" s="855"/>
      <c r="HB615" s="855"/>
      <c r="HC615" s="855"/>
      <c r="HD615" s="855"/>
      <c r="HE615" s="855"/>
      <c r="HF615" s="855"/>
      <c r="HG615" s="855"/>
      <c r="HH615" s="855"/>
      <c r="HI615" s="855"/>
      <c r="HJ615" s="855"/>
      <c r="HK615" s="855"/>
      <c r="HL615" s="855"/>
      <c r="HM615" s="855"/>
      <c r="HN615" s="855"/>
      <c r="HO615" s="855"/>
      <c r="HP615" s="855"/>
      <c r="HQ615" s="855"/>
      <c r="HR615" s="855"/>
      <c r="HS615" s="855"/>
      <c r="HT615" s="855"/>
      <c r="HU615" s="855"/>
      <c r="HV615" s="855"/>
      <c r="HW615" s="855"/>
      <c r="HX615" s="855"/>
      <c r="HY615" s="855"/>
      <c r="HZ615" s="855"/>
      <c r="IA615" s="855"/>
      <c r="IB615" s="855"/>
      <c r="IC615" s="855"/>
      <c r="ID615" s="855"/>
      <c r="IE615" s="855"/>
      <c r="IF615" s="855"/>
      <c r="IG615" s="855"/>
      <c r="IH615" s="855"/>
      <c r="II615" s="855"/>
      <c r="IJ615" s="855"/>
      <c r="IK615" s="855"/>
      <c r="IL615" s="855"/>
      <c r="IM615" s="855"/>
      <c r="IN615" s="855"/>
      <c r="IO615" s="855"/>
      <c r="IP615" s="855"/>
      <c r="IQ615" s="855"/>
      <c r="IR615" s="855"/>
      <c r="IS615" s="855"/>
      <c r="IT615" s="855"/>
      <c r="IU615" s="855"/>
      <c r="IV615" s="855"/>
      <c r="IW615" s="855"/>
      <c r="IX615" s="855"/>
      <c r="IY615" s="855"/>
      <c r="IZ615" s="855"/>
      <c r="JA615" s="855"/>
      <c r="JB615" s="855"/>
      <c r="JC615" s="855"/>
      <c r="JD615" s="855"/>
      <c r="JE615" s="855"/>
      <c r="JF615" s="855"/>
      <c r="JG615" s="855"/>
      <c r="JH615" s="855"/>
      <c r="JI615" s="855"/>
      <c r="JJ615" s="855"/>
      <c r="JK615" s="855"/>
      <c r="JL615" s="855"/>
      <c r="JM615"/>
    </row>
    <row r="616" spans="1:273" s="860" customFormat="1">
      <c r="A616" s="302" t="s">
        <v>686</v>
      </c>
      <c r="B616" s="298"/>
      <c r="C616" s="296"/>
      <c r="D616" s="296"/>
      <c r="E616" s="296"/>
      <c r="F616" s="296"/>
      <c r="G616" s="296"/>
      <c r="H616" s="296"/>
      <c r="I616" s="296"/>
      <c r="J616" s="296"/>
      <c r="K616" s="296"/>
      <c r="L616" s="296"/>
      <c r="M616" s="296"/>
      <c r="N616" s="296"/>
      <c r="O616" s="296"/>
      <c r="P616" s="296"/>
      <c r="Q616" s="296"/>
      <c r="R616" s="296"/>
      <c r="S616" s="296"/>
      <c r="T616" s="296"/>
      <c r="U616" s="296"/>
      <c r="V616" s="296"/>
      <c r="W616" s="296"/>
      <c r="X616" s="296"/>
      <c r="Y616" s="296"/>
      <c r="Z616" s="296"/>
      <c r="AA616" s="296"/>
      <c r="AB616" s="296"/>
      <c r="AC616" s="296"/>
      <c r="AD616" s="296"/>
      <c r="AE616" s="296"/>
      <c r="AF616" s="296"/>
      <c r="AG616" s="296"/>
      <c r="AH616" s="296"/>
      <c r="AI616" s="296"/>
      <c r="AJ616" s="296"/>
      <c r="AK616" s="296"/>
      <c r="AL616" s="296"/>
      <c r="AM616" s="296"/>
      <c r="AN616" s="298"/>
      <c r="AO616" s="298"/>
      <c r="AP616" s="929">
        <f>DIVISIONS!AP181</f>
        <v>0</v>
      </c>
      <c r="AQ616" s="298"/>
      <c r="AR616" s="298"/>
      <c r="AS616" s="298"/>
      <c r="AT616" s="929">
        <f>DIVISIONS!AT181</f>
        <v>0</v>
      </c>
      <c r="AU616" s="298"/>
      <c r="AV616" s="929">
        <f>DIVISIONS!AV181</f>
        <v>0</v>
      </c>
      <c r="AW616" s="929">
        <f>DIVISIONS!AW181</f>
        <v>0</v>
      </c>
      <c r="AX616" s="857"/>
      <c r="AY616" s="976"/>
      <c r="AZ616" s="929">
        <f>DIVISIONS!AZ181</f>
        <v>0</v>
      </c>
      <c r="BA616" s="929">
        <f>DIVISIONS!BA181</f>
        <v>0</v>
      </c>
      <c r="BB616" s="857"/>
      <c r="BC616" s="857"/>
      <c r="BD616" s="929">
        <f>DIVISIONS!BD181</f>
        <v>0</v>
      </c>
      <c r="BE616" s="929">
        <f>DIVISIONS!BE181</f>
        <v>0</v>
      </c>
      <c r="BF616" s="929">
        <f t="shared" ref="BF616:BF623" si="683">BD616+BE616</f>
        <v>0</v>
      </c>
      <c r="BG616" s="857"/>
      <c r="BH616" s="929">
        <f>DIVISIONS!BH181</f>
        <v>0</v>
      </c>
      <c r="BI616" s="929">
        <f>DIVISIONS!BI181</f>
        <v>0</v>
      </c>
      <c r="BJ616" s="929">
        <f t="shared" si="679"/>
        <v>0</v>
      </c>
      <c r="BK616" s="857"/>
      <c r="BL616" s="929">
        <f>DIVISIONS!BL181</f>
        <v>0</v>
      </c>
      <c r="BM616" s="929">
        <f>DIVISIONS!BM181</f>
        <v>0</v>
      </c>
      <c r="BN616" s="929">
        <f t="shared" si="680"/>
        <v>0</v>
      </c>
      <c r="BO616" s="857"/>
      <c r="BP616" s="929">
        <f>DIVISIONS!BP181</f>
        <v>0</v>
      </c>
      <c r="BQ616" s="929">
        <f>DIVISIONS!BQ181</f>
        <v>0</v>
      </c>
      <c r="BR616" s="929">
        <f t="shared" si="681"/>
        <v>0</v>
      </c>
      <c r="BS616" s="857"/>
      <c r="BT616" s="929">
        <f>DIVISIONS!BT181</f>
        <v>0</v>
      </c>
      <c r="BU616" s="929">
        <f>DIVISIONS!BU181</f>
        <v>0</v>
      </c>
      <c r="BV616" s="929">
        <f t="shared" si="682"/>
        <v>0</v>
      </c>
      <c r="BW616" s="857"/>
      <c r="BX616" s="929">
        <f>DIVISIONS!BX181</f>
        <v>0</v>
      </c>
      <c r="BY616" s="929">
        <f>DIVISIONS!BY181</f>
        <v>0</v>
      </c>
      <c r="BZ616" s="929">
        <f>BX616+BY616</f>
        <v>0</v>
      </c>
      <c r="CA616" s="857"/>
      <c r="CB616" s="929">
        <f>DIVISIONS!CB181</f>
        <v>0</v>
      </c>
      <c r="CC616" s="929">
        <f>DIVISIONS!CC181</f>
        <v>0</v>
      </c>
      <c r="CD616" s="929">
        <f>CB616+CC616</f>
        <v>0</v>
      </c>
      <c r="CE616" s="931"/>
      <c r="CF616" s="929">
        <f>DIVISIONS!CF181</f>
        <v>0</v>
      </c>
      <c r="CG616" s="929">
        <f>DIVISIONS!CG181</f>
        <v>0</v>
      </c>
      <c r="CH616" s="929">
        <f>CF616+CG616</f>
        <v>0</v>
      </c>
      <c r="CI616" s="931"/>
      <c r="CJ616" s="929">
        <f>DIVISIONS!CJ181</f>
        <v>0</v>
      </c>
      <c r="CK616" s="929">
        <f>DIVISIONS!CK181</f>
        <v>0</v>
      </c>
      <c r="CL616" s="929">
        <f>CJ616+CK616</f>
        <v>0</v>
      </c>
      <c r="CM616" s="931"/>
      <c r="CN616" s="929">
        <f>DIVISIONS!CN181</f>
        <v>0</v>
      </c>
      <c r="CO616" s="929">
        <f>DIVISIONS!CO181</f>
        <v>0</v>
      </c>
      <c r="CP616" s="929">
        <f>CN616+CO616</f>
        <v>0</v>
      </c>
      <c r="CQ616" s="931"/>
      <c r="CR616" s="929">
        <f>DIVISIONS!CR181</f>
        <v>0</v>
      </c>
      <c r="CS616" s="929">
        <f>DIVISIONS!CS181</f>
        <v>0</v>
      </c>
      <c r="CT616" s="929">
        <f>CR616+CS616</f>
        <v>0</v>
      </c>
      <c r="CU616" s="857"/>
      <c r="CV616" s="929">
        <f>DIVISIONS!CV181</f>
        <v>0</v>
      </c>
      <c r="CW616" s="929">
        <f>DIVISIONS!CW181</f>
        <v>0</v>
      </c>
      <c r="CX616" s="929">
        <f>CV616+CW616</f>
        <v>0</v>
      </c>
      <c r="CY616" s="857"/>
      <c r="CZ616" s="929">
        <f>DIVISIONS!CZ181</f>
        <v>0</v>
      </c>
      <c r="DA616" s="929">
        <f>DIVISIONS!DA181</f>
        <v>0</v>
      </c>
      <c r="DB616" s="929">
        <f>CZ616+DA616</f>
        <v>0</v>
      </c>
      <c r="DC616" s="857"/>
      <c r="DD616" s="929">
        <f>DIVISIONS!DD181</f>
        <v>0</v>
      </c>
      <c r="DE616" s="929">
        <f>DIVISIONS!DE181</f>
        <v>0</v>
      </c>
      <c r="DF616" s="929">
        <f>DD616+DE616</f>
        <v>0</v>
      </c>
      <c r="DG616" s="857"/>
      <c r="DH616" s="929">
        <f>DIVISIONS!DH181</f>
        <v>0</v>
      </c>
      <c r="DI616" s="859">
        <v>0</v>
      </c>
      <c r="DJ616" s="929">
        <f>DH616+DI616</f>
        <v>0</v>
      </c>
      <c r="DK616" s="857"/>
      <c r="DL616" s="859">
        <v>0</v>
      </c>
      <c r="DM616" s="859">
        <v>0</v>
      </c>
      <c r="DN616" s="929">
        <f>DL616+DM616</f>
        <v>0</v>
      </c>
      <c r="DO616" s="929"/>
      <c r="DP616" s="859">
        <v>0</v>
      </c>
      <c r="DQ616" s="859">
        <v>0</v>
      </c>
      <c r="DR616" s="929">
        <f>DP616+DQ616</f>
        <v>0</v>
      </c>
      <c r="DS616" s="929"/>
      <c r="DT616" s="857"/>
      <c r="DU616" s="859"/>
      <c r="DV616" s="859"/>
      <c r="DW616" s="859"/>
      <c r="DX616" s="929"/>
      <c r="DY616" s="857"/>
      <c r="DZ616" s="859"/>
      <c r="EA616" s="859"/>
      <c r="EB616" s="929"/>
      <c r="EC616" s="857"/>
      <c r="ED616" s="859"/>
      <c r="EE616" s="859"/>
      <c r="EF616" s="929"/>
      <c r="EG616" s="857"/>
      <c r="EH616" s="857"/>
      <c r="EI616" s="857"/>
      <c r="EJ616" s="857"/>
      <c r="EK616" s="857"/>
      <c r="EL616" s="857"/>
      <c r="EM616" s="857"/>
      <c r="EN616" s="857"/>
      <c r="EO616" s="857"/>
      <c r="EP616" s="857"/>
      <c r="FL616" s="855"/>
      <c r="FM616" s="855"/>
      <c r="FN616" s="855"/>
      <c r="FO616" s="855"/>
      <c r="FP616" s="855"/>
      <c r="FQ616" s="855"/>
      <c r="FR616" s="855"/>
      <c r="FS616" s="855"/>
      <c r="FT616" s="855"/>
      <c r="FU616" s="855"/>
      <c r="FV616" s="855"/>
      <c r="FW616" s="855"/>
      <c r="FX616" s="855"/>
      <c r="FY616" s="855"/>
      <c r="FZ616" s="855"/>
      <c r="GA616" s="855"/>
      <c r="GB616" s="855"/>
      <c r="GC616" s="855"/>
      <c r="GD616" s="855"/>
      <c r="GE616" s="855"/>
      <c r="GF616" s="855"/>
      <c r="GG616" s="855"/>
      <c r="GH616" s="855"/>
      <c r="GI616" s="855"/>
      <c r="GJ616" s="855"/>
      <c r="GK616" s="855"/>
      <c r="GL616" s="855"/>
      <c r="GM616" s="855"/>
      <c r="GN616" s="855"/>
      <c r="GO616" s="855"/>
      <c r="GP616" s="855"/>
      <c r="GQ616" s="855"/>
      <c r="GR616" s="855"/>
      <c r="GS616" s="855"/>
      <c r="GT616" s="855"/>
      <c r="GU616" s="855"/>
      <c r="GV616" s="855"/>
      <c r="GW616" s="855"/>
      <c r="GX616" s="855"/>
      <c r="GY616" s="855"/>
      <c r="GZ616" s="855"/>
      <c r="HA616" s="855"/>
      <c r="HB616" s="855"/>
      <c r="HC616" s="855"/>
      <c r="HD616" s="855"/>
      <c r="HE616" s="855"/>
      <c r="HF616" s="855"/>
      <c r="HG616" s="855"/>
      <c r="HH616" s="855"/>
      <c r="HI616" s="855"/>
      <c r="HJ616" s="855"/>
      <c r="HK616" s="855"/>
      <c r="HL616" s="855"/>
      <c r="HM616" s="855"/>
      <c r="HN616" s="855"/>
      <c r="HO616" s="855"/>
      <c r="HP616" s="855"/>
      <c r="HQ616" s="855"/>
      <c r="HR616" s="855"/>
      <c r="HS616" s="855"/>
      <c r="HT616" s="855"/>
      <c r="HU616" s="855"/>
      <c r="HV616" s="855"/>
      <c r="HW616" s="855"/>
      <c r="HX616" s="855"/>
      <c r="HY616" s="855"/>
      <c r="HZ616" s="855"/>
      <c r="IA616" s="855"/>
      <c r="IB616" s="855"/>
      <c r="IC616" s="855"/>
      <c r="ID616" s="855"/>
      <c r="IE616" s="855"/>
      <c r="IF616" s="855"/>
      <c r="IG616" s="855"/>
      <c r="IH616" s="855"/>
      <c r="II616" s="855"/>
      <c r="IJ616" s="855"/>
      <c r="IK616" s="855"/>
      <c r="IL616" s="855"/>
      <c r="IM616" s="855"/>
      <c r="IN616" s="855"/>
      <c r="IO616" s="855"/>
      <c r="IP616" s="855"/>
      <c r="IQ616" s="855"/>
      <c r="IR616" s="855"/>
      <c r="IS616" s="855"/>
      <c r="IT616" s="855"/>
      <c r="IU616" s="855"/>
      <c r="IV616" s="855"/>
      <c r="IW616" s="855"/>
      <c r="IX616" s="855"/>
      <c r="IY616" s="855"/>
      <c r="IZ616" s="855"/>
      <c r="JA616" s="855"/>
      <c r="JB616" s="855"/>
      <c r="JC616" s="855"/>
      <c r="JD616" s="855"/>
      <c r="JE616" s="855"/>
      <c r="JF616" s="855"/>
      <c r="JG616" s="855"/>
      <c r="JH616" s="855"/>
      <c r="JI616" s="855"/>
      <c r="JJ616" s="855"/>
      <c r="JK616" s="855"/>
      <c r="JL616" s="855"/>
      <c r="JM616"/>
    </row>
    <row r="617" spans="1:273" s="860" customFormat="1">
      <c r="A617" s="302" t="s">
        <v>616</v>
      </c>
      <c r="B617" s="298"/>
      <c r="C617" s="296"/>
      <c r="D617" s="296"/>
      <c r="E617" s="296"/>
      <c r="F617" s="296"/>
      <c r="G617" s="296"/>
      <c r="H617" s="296"/>
      <c r="I617" s="296"/>
      <c r="J617" s="296"/>
      <c r="K617" s="296"/>
      <c r="L617" s="296"/>
      <c r="M617" s="296"/>
      <c r="N617" s="296"/>
      <c r="O617" s="296"/>
      <c r="P617" s="296"/>
      <c r="Q617" s="296"/>
      <c r="R617" s="296"/>
      <c r="S617" s="296"/>
      <c r="T617" s="296"/>
      <c r="U617" s="296"/>
      <c r="V617" s="296"/>
      <c r="W617" s="296"/>
      <c r="X617" s="296"/>
      <c r="Y617" s="296"/>
      <c r="Z617" s="296"/>
      <c r="AA617" s="296"/>
      <c r="AB617" s="296"/>
      <c r="AC617" s="296"/>
      <c r="AD617" s="296"/>
      <c r="AE617" s="296"/>
      <c r="AF617" s="296"/>
      <c r="AG617" s="296"/>
      <c r="AH617" s="296"/>
      <c r="AI617" s="296"/>
      <c r="AJ617" s="296"/>
      <c r="AK617" s="296"/>
      <c r="AL617" s="296"/>
      <c r="AM617" s="296"/>
      <c r="AN617" s="298"/>
      <c r="AO617" s="298"/>
      <c r="AP617" s="929">
        <f>DIVISIONS!AP435</f>
        <v>0</v>
      </c>
      <c r="AQ617" s="298"/>
      <c r="AR617" s="298"/>
      <c r="AS617" s="298"/>
      <c r="AT617" s="929">
        <f>DIVISIONS!AT435</f>
        <v>0</v>
      </c>
      <c r="AU617" s="298"/>
      <c r="AV617" s="929">
        <f>DIVISIONS!AV435</f>
        <v>0</v>
      </c>
      <c r="AW617" s="929">
        <f>DIVISIONS!AW435</f>
        <v>0</v>
      </c>
      <c r="AX617" s="857"/>
      <c r="AY617" s="976"/>
      <c r="AZ617" s="929">
        <f>DIVISIONS!AZ435</f>
        <v>0</v>
      </c>
      <c r="BA617" s="929">
        <f>DIVISIONS!BA435</f>
        <v>0</v>
      </c>
      <c r="BB617" s="857"/>
      <c r="BC617" s="857"/>
      <c r="BD617" s="929">
        <f>DIVISIONS!BD435</f>
        <v>0</v>
      </c>
      <c r="BE617" s="929">
        <f>DIVISIONS!BE435</f>
        <v>0</v>
      </c>
      <c r="BF617" s="929">
        <f t="shared" si="683"/>
        <v>0</v>
      </c>
      <c r="BG617" s="857"/>
      <c r="BH617" s="929">
        <f>DIVISIONS!BH435</f>
        <v>0</v>
      </c>
      <c r="BI617" s="929">
        <f>DIVISIONS!BI435</f>
        <v>0</v>
      </c>
      <c r="BJ617" s="929">
        <f t="shared" si="679"/>
        <v>0</v>
      </c>
      <c r="BK617" s="857"/>
      <c r="BL617" s="929">
        <f>DIVISIONS!BL435</f>
        <v>0</v>
      </c>
      <c r="BM617" s="929">
        <f>DIVISIONS!BM435</f>
        <v>0</v>
      </c>
      <c r="BN617" s="929">
        <f t="shared" si="680"/>
        <v>0</v>
      </c>
      <c r="BO617" s="857"/>
      <c r="BP617" s="929">
        <f>DIVISIONS!BP435</f>
        <v>0</v>
      </c>
      <c r="BQ617" s="929">
        <f>DIVISIONS!BQ435</f>
        <v>0</v>
      </c>
      <c r="BR617" s="929">
        <f t="shared" si="681"/>
        <v>0</v>
      </c>
      <c r="BS617" s="857"/>
      <c r="BT617" s="929">
        <f>DIVISIONS!BT435</f>
        <v>0</v>
      </c>
      <c r="BU617" s="929">
        <f>DIVISIONS!BU435</f>
        <v>0</v>
      </c>
      <c r="BV617" s="929">
        <f t="shared" si="682"/>
        <v>0</v>
      </c>
      <c r="BW617" s="857"/>
      <c r="BX617" s="929">
        <f>DIVISIONS!BX435</f>
        <v>0</v>
      </c>
      <c r="BY617" s="929">
        <f>DIVISIONS!BY435</f>
        <v>0</v>
      </c>
      <c r="BZ617" s="929">
        <f>BX617+BY617</f>
        <v>0</v>
      </c>
      <c r="CA617" s="857"/>
      <c r="CB617" s="929">
        <f>DIVISIONS!CB435</f>
        <v>0</v>
      </c>
      <c r="CC617" s="929">
        <f>DIVISIONS!CC435</f>
        <v>0</v>
      </c>
      <c r="CD617" s="929">
        <f>CB617+CC617</f>
        <v>0</v>
      </c>
      <c r="CE617" s="931"/>
      <c r="CF617" s="929">
        <f>DIVISIONS!CF435</f>
        <v>0</v>
      </c>
      <c r="CG617" s="929">
        <f>DIVISIONS!CG435</f>
        <v>0</v>
      </c>
      <c r="CH617" s="929">
        <f>CF617+CG617</f>
        <v>0</v>
      </c>
      <c r="CI617" s="931"/>
      <c r="CJ617" s="929">
        <f>DIVISIONS!CJ435</f>
        <v>0</v>
      </c>
      <c r="CK617" s="929">
        <f>DIVISIONS!CK435</f>
        <v>0</v>
      </c>
      <c r="CL617" s="929">
        <f>CJ617+CK617</f>
        <v>0</v>
      </c>
      <c r="CM617" s="931"/>
      <c r="CN617" s="929">
        <f>DIVISIONS!CN435</f>
        <v>0</v>
      </c>
      <c r="CO617" s="929">
        <f>DIVISIONS!CO435</f>
        <v>0</v>
      </c>
      <c r="CP617" s="929">
        <f>CN617+CO617</f>
        <v>0</v>
      </c>
      <c r="CQ617" s="931"/>
      <c r="CR617" s="929">
        <f>DIVISIONS!CR435</f>
        <v>0</v>
      </c>
      <c r="CS617" s="929">
        <f>DIVISIONS!CS435</f>
        <v>0</v>
      </c>
      <c r="CT617" s="929">
        <f>CR617+CS617</f>
        <v>0</v>
      </c>
      <c r="CU617" s="857"/>
      <c r="CV617" s="929">
        <f>DIVISIONS!CV435</f>
        <v>0</v>
      </c>
      <c r="CW617" s="929">
        <f>DIVISIONS!CW435</f>
        <v>0</v>
      </c>
      <c r="CX617" s="929">
        <f>CV617+CW617</f>
        <v>0</v>
      </c>
      <c r="CY617" s="857"/>
      <c r="CZ617" s="929">
        <f>DIVISIONS!CZ435</f>
        <v>0</v>
      </c>
      <c r="DA617" s="929">
        <f>DIVISIONS!DA435</f>
        <v>0</v>
      </c>
      <c r="DB617" s="929">
        <f>CZ617+DA617</f>
        <v>0</v>
      </c>
      <c r="DC617" s="857"/>
      <c r="DD617" s="929">
        <f>DIVISIONS!DD435</f>
        <v>0</v>
      </c>
      <c r="DE617" s="929">
        <f>DIVISIONS!DE435</f>
        <v>0</v>
      </c>
      <c r="DF617" s="929">
        <f>DD617+DE617</f>
        <v>0</v>
      </c>
      <c r="DG617" s="857"/>
      <c r="DH617" s="929">
        <f>DIVISIONS!DH435</f>
        <v>0</v>
      </c>
      <c r="DI617" s="859">
        <v>0</v>
      </c>
      <c r="DJ617" s="929">
        <f>DH617+DI617</f>
        <v>0</v>
      </c>
      <c r="DK617" s="857"/>
      <c r="DL617" s="859">
        <v>0</v>
      </c>
      <c r="DM617" s="859">
        <v>0</v>
      </c>
      <c r="DN617" s="929">
        <f>DL617+DM617</f>
        <v>0</v>
      </c>
      <c r="DO617" s="929"/>
      <c r="DP617" s="859">
        <v>0</v>
      </c>
      <c r="DQ617" s="859">
        <v>0</v>
      </c>
      <c r="DR617" s="929">
        <f>DP617+DQ617</f>
        <v>0</v>
      </c>
      <c r="DS617" s="929"/>
      <c r="DT617" s="857"/>
      <c r="DU617" s="859"/>
      <c r="DV617" s="859"/>
      <c r="DW617" s="859"/>
      <c r="DX617" s="929"/>
      <c r="DY617" s="857"/>
      <c r="DZ617" s="859"/>
      <c r="EA617" s="859"/>
      <c r="EB617" s="929"/>
      <c r="EC617" s="857"/>
      <c r="ED617" s="859"/>
      <c r="EE617" s="859"/>
      <c r="EF617" s="929"/>
      <c r="EG617" s="857"/>
      <c r="EH617" s="857"/>
      <c r="EI617" s="857"/>
      <c r="EJ617" s="857"/>
      <c r="EK617" s="857"/>
      <c r="EL617" s="857"/>
      <c r="EM617" s="857"/>
      <c r="EN617" s="857"/>
      <c r="EO617" s="857"/>
      <c r="EP617" s="857"/>
      <c r="FL617" s="855"/>
      <c r="FM617" s="855"/>
      <c r="FN617" s="855"/>
      <c r="FO617" s="855"/>
      <c r="FP617" s="855"/>
      <c r="FQ617" s="855"/>
      <c r="FR617" s="855"/>
      <c r="FS617" s="855"/>
      <c r="FT617" s="855"/>
      <c r="FU617" s="855"/>
      <c r="FV617" s="855"/>
      <c r="FW617" s="855"/>
      <c r="FX617" s="855"/>
      <c r="FY617" s="855"/>
      <c r="FZ617" s="855"/>
      <c r="GA617" s="855"/>
      <c r="GB617" s="855"/>
      <c r="GC617" s="855"/>
      <c r="GD617" s="855"/>
      <c r="GE617" s="855"/>
      <c r="GF617" s="855"/>
      <c r="GG617" s="855"/>
      <c r="GH617" s="855"/>
      <c r="GI617" s="855"/>
      <c r="GJ617" s="855"/>
      <c r="GK617" s="855"/>
      <c r="GL617" s="855"/>
      <c r="GM617" s="855"/>
      <c r="GN617" s="855"/>
      <c r="GO617" s="855"/>
      <c r="GP617" s="855"/>
      <c r="GQ617" s="855"/>
      <c r="GR617" s="855"/>
      <c r="GS617" s="855"/>
      <c r="GT617" s="855"/>
      <c r="GU617" s="855"/>
      <c r="GV617" s="855"/>
      <c r="GW617" s="855"/>
      <c r="GX617" s="855"/>
      <c r="GY617" s="855"/>
      <c r="GZ617" s="855"/>
      <c r="HA617" s="855"/>
      <c r="HB617" s="855"/>
      <c r="HC617" s="855"/>
      <c r="HD617" s="855"/>
      <c r="HE617" s="855"/>
      <c r="HF617" s="855"/>
      <c r="HG617" s="855"/>
      <c r="HH617" s="855"/>
      <c r="HI617" s="855"/>
      <c r="HJ617" s="855"/>
      <c r="HK617" s="855"/>
      <c r="HL617" s="855"/>
      <c r="HM617" s="855"/>
      <c r="HN617" s="855"/>
      <c r="HO617" s="855"/>
      <c r="HP617" s="855"/>
      <c r="HQ617" s="855"/>
      <c r="HR617" s="855"/>
      <c r="HS617" s="855"/>
      <c r="HT617" s="855"/>
      <c r="HU617" s="855"/>
      <c r="HV617" s="855"/>
      <c r="HW617" s="855"/>
      <c r="HX617" s="855"/>
      <c r="HY617" s="855"/>
      <c r="HZ617" s="855"/>
      <c r="IA617" s="855"/>
      <c r="IB617" s="855"/>
      <c r="IC617" s="855"/>
      <c r="ID617" s="855"/>
      <c r="IE617" s="855"/>
      <c r="IF617" s="855"/>
      <c r="IG617" s="855"/>
      <c r="IH617" s="855"/>
      <c r="II617" s="855"/>
      <c r="IJ617" s="855"/>
      <c r="IK617" s="855"/>
      <c r="IL617" s="855"/>
      <c r="IM617" s="855"/>
      <c r="IN617" s="855"/>
      <c r="IO617" s="855"/>
      <c r="IP617" s="855"/>
      <c r="IQ617" s="855"/>
      <c r="IR617" s="855"/>
      <c r="IS617" s="855"/>
      <c r="IT617" s="855"/>
      <c r="IU617" s="855"/>
      <c r="IV617" s="855"/>
      <c r="IW617" s="855"/>
      <c r="IX617" s="855"/>
      <c r="IY617" s="855"/>
      <c r="IZ617" s="855"/>
      <c r="JA617" s="855"/>
      <c r="JB617" s="855"/>
      <c r="JC617" s="855"/>
      <c r="JD617" s="855"/>
      <c r="JE617" s="855"/>
      <c r="JF617" s="855"/>
      <c r="JG617" s="855"/>
      <c r="JH617" s="855"/>
      <c r="JI617" s="855"/>
      <c r="JJ617" s="855"/>
      <c r="JK617" s="855"/>
      <c r="JL617" s="855"/>
      <c r="JM617"/>
    </row>
    <row r="618" spans="1:273" s="860" customFormat="1">
      <c r="A618" s="302" t="s">
        <v>1024</v>
      </c>
      <c r="B618" s="298"/>
      <c r="C618" s="296"/>
      <c r="D618" s="296"/>
      <c r="E618" s="296"/>
      <c r="F618" s="296"/>
      <c r="G618" s="296"/>
      <c r="H618" s="296"/>
      <c r="I618" s="296"/>
      <c r="J618" s="296"/>
      <c r="K618" s="296"/>
      <c r="L618" s="296"/>
      <c r="M618" s="296"/>
      <c r="N618" s="296"/>
      <c r="O618" s="296"/>
      <c r="P618" s="296"/>
      <c r="Q618" s="296"/>
      <c r="R618" s="296"/>
      <c r="S618" s="296"/>
      <c r="T618" s="296"/>
      <c r="U618" s="296"/>
      <c r="V618" s="296"/>
      <c r="W618" s="296"/>
      <c r="X618" s="296"/>
      <c r="Y618" s="296"/>
      <c r="Z618" s="296"/>
      <c r="AA618" s="296"/>
      <c r="AB618" s="296"/>
      <c r="AC618" s="296"/>
      <c r="AD618" s="296"/>
      <c r="AE618" s="296"/>
      <c r="AF618" s="296"/>
      <c r="AG618" s="296"/>
      <c r="AH618" s="296"/>
      <c r="AI618" s="296"/>
      <c r="AJ618" s="296"/>
      <c r="AK618" s="296"/>
      <c r="AL618" s="296"/>
      <c r="AM618" s="296"/>
      <c r="AN618" s="298"/>
      <c r="AO618" s="298"/>
      <c r="AP618" s="929">
        <f>DIVISIONS!AP320</f>
        <v>0</v>
      </c>
      <c r="AQ618" s="298"/>
      <c r="AR618" s="298"/>
      <c r="AS618" s="298"/>
      <c r="AT618" s="929">
        <f>DIVISIONS!AT320</f>
        <v>0</v>
      </c>
      <c r="AU618" s="298"/>
      <c r="AV618" s="929">
        <f>DIVISIONS!AV320</f>
        <v>0</v>
      </c>
      <c r="AW618" s="929">
        <f>DIVISIONS!AW320</f>
        <v>0</v>
      </c>
      <c r="AX618" s="857"/>
      <c r="AY618" s="976"/>
      <c r="AZ618" s="929">
        <f>DIVISIONS!AZ320</f>
        <v>0</v>
      </c>
      <c r="BA618" s="929">
        <f>DIVISIONS!BA320</f>
        <v>0</v>
      </c>
      <c r="BB618" s="857"/>
      <c r="BC618" s="857"/>
      <c r="BD618" s="929">
        <f>DIVISIONS!BD320</f>
        <v>0</v>
      </c>
      <c r="BE618" s="929">
        <f>DIVISIONS!BE320</f>
        <v>0</v>
      </c>
      <c r="BF618" s="929">
        <f t="shared" si="683"/>
        <v>0</v>
      </c>
      <c r="BG618" s="857"/>
      <c r="BH618" s="929">
        <f>DIVISIONS!BH320</f>
        <v>0</v>
      </c>
      <c r="BI618" s="929">
        <f>DIVISIONS!BI320</f>
        <v>0</v>
      </c>
      <c r="BJ618" s="929">
        <f t="shared" si="679"/>
        <v>0</v>
      </c>
      <c r="BK618" s="857"/>
      <c r="BL618" s="929">
        <f>DIVISIONS!BL320</f>
        <v>0</v>
      </c>
      <c r="BM618" s="929">
        <f>DIVISIONS!BM320</f>
        <v>0</v>
      </c>
      <c r="BN618" s="929">
        <f t="shared" si="680"/>
        <v>0</v>
      </c>
      <c r="BO618" s="857"/>
      <c r="BP618" s="929">
        <f>DIVISIONS!BP320</f>
        <v>0</v>
      </c>
      <c r="BQ618" s="929">
        <f>DIVISIONS!BQ320</f>
        <v>0</v>
      </c>
      <c r="BR618" s="929">
        <f t="shared" si="681"/>
        <v>0</v>
      </c>
      <c r="BS618" s="857"/>
      <c r="BT618" s="929">
        <f>DIVISIONS!BT320</f>
        <v>0</v>
      </c>
      <c r="BU618" s="929">
        <f>DIVISIONS!BU320</f>
        <v>0</v>
      </c>
      <c r="BV618" s="929">
        <f t="shared" si="682"/>
        <v>0</v>
      </c>
      <c r="BW618" s="857"/>
      <c r="BX618" s="929">
        <f>DIVISIONS!BX320</f>
        <v>0</v>
      </c>
      <c r="BY618" s="929">
        <f>DIVISIONS!BY320</f>
        <v>0</v>
      </c>
      <c r="BZ618" s="929">
        <f>BX618+BY618</f>
        <v>0</v>
      </c>
      <c r="CA618" s="857"/>
      <c r="CB618" s="929">
        <f>DIVISIONS!CB320</f>
        <v>0</v>
      </c>
      <c r="CC618" s="929">
        <f>DIVISIONS!CC320</f>
        <v>0</v>
      </c>
      <c r="CD618" s="929">
        <f>CB618+CC618</f>
        <v>0</v>
      </c>
      <c r="CE618" s="931"/>
      <c r="CF618" s="929">
        <f>DIVISIONS!CF320</f>
        <v>0</v>
      </c>
      <c r="CG618" s="929">
        <f>DIVISIONS!CG320</f>
        <v>0</v>
      </c>
      <c r="CH618" s="929">
        <f>CF618+CG618</f>
        <v>0</v>
      </c>
      <c r="CI618" s="931"/>
      <c r="CJ618" s="929">
        <f>DIVISIONS!CJ320</f>
        <v>0</v>
      </c>
      <c r="CK618" s="929">
        <f>DIVISIONS!CK320</f>
        <v>0</v>
      </c>
      <c r="CL618" s="929">
        <f>CJ618+CK618</f>
        <v>0</v>
      </c>
      <c r="CM618" s="931"/>
      <c r="CN618" s="929">
        <f>DIVISIONS!CN320</f>
        <v>0</v>
      </c>
      <c r="CO618" s="929">
        <f>DIVISIONS!CO320</f>
        <v>0</v>
      </c>
      <c r="CP618" s="929">
        <f>CN618+CO618</f>
        <v>0</v>
      </c>
      <c r="CQ618" s="931"/>
      <c r="CR618" s="929">
        <f>DIVISIONS!CR320</f>
        <v>0</v>
      </c>
      <c r="CS618" s="929">
        <f>DIVISIONS!CS320</f>
        <v>0</v>
      </c>
      <c r="CT618" s="929">
        <f>CR618+CS618</f>
        <v>0</v>
      </c>
      <c r="CU618" s="857"/>
      <c r="CV618" s="929">
        <f>DIVISIONS!CV320</f>
        <v>0</v>
      </c>
      <c r="CW618" s="929">
        <f>DIVISIONS!CW320</f>
        <v>0</v>
      </c>
      <c r="CX618" s="929">
        <f>CV618+CW618</f>
        <v>0</v>
      </c>
      <c r="CY618" s="857"/>
      <c r="CZ618" s="929">
        <f>DIVISIONS!CZ320</f>
        <v>0</v>
      </c>
      <c r="DA618" s="929">
        <f>DIVISIONS!DA320</f>
        <v>0</v>
      </c>
      <c r="DB618" s="929">
        <f>CZ618+DA618</f>
        <v>0</v>
      </c>
      <c r="DC618" s="857"/>
      <c r="DD618" s="929">
        <f>DIVISIONS!DD320</f>
        <v>0</v>
      </c>
      <c r="DE618" s="929">
        <f>DIVISIONS!DE320</f>
        <v>0</v>
      </c>
      <c r="DF618" s="929">
        <f>DD618+DE618</f>
        <v>0</v>
      </c>
      <c r="DG618" s="857"/>
      <c r="DH618" s="929">
        <f>DIVISIONS!DH320</f>
        <v>0</v>
      </c>
      <c r="DI618" s="859">
        <v>0</v>
      </c>
      <c r="DJ618" s="929">
        <f>DH618+DI618</f>
        <v>0</v>
      </c>
      <c r="DK618" s="857"/>
      <c r="DL618" s="859">
        <v>0</v>
      </c>
      <c r="DM618" s="859">
        <v>0</v>
      </c>
      <c r="DN618" s="929">
        <f>DL618+DM618</f>
        <v>0</v>
      </c>
      <c r="DO618" s="929"/>
      <c r="DP618" s="859">
        <v>0</v>
      </c>
      <c r="DQ618" s="859">
        <v>0</v>
      </c>
      <c r="DR618" s="929">
        <f>DP618+DQ618</f>
        <v>0</v>
      </c>
      <c r="DS618" s="929"/>
      <c r="DT618" s="857"/>
      <c r="DU618" s="859"/>
      <c r="DV618" s="859"/>
      <c r="DW618" s="859"/>
      <c r="DX618" s="929"/>
      <c r="DY618" s="857"/>
      <c r="DZ618" s="859"/>
      <c r="EA618" s="859"/>
      <c r="EB618" s="929"/>
      <c r="EC618" s="857"/>
      <c r="ED618" s="859"/>
      <c r="EE618" s="859"/>
      <c r="EF618" s="929"/>
      <c r="EG618" s="857"/>
      <c r="EH618" s="857"/>
      <c r="EI618" s="857"/>
      <c r="EJ618" s="857"/>
      <c r="EK618" s="857"/>
      <c r="EL618" s="857"/>
      <c r="EM618" s="857"/>
      <c r="EN618" s="857"/>
      <c r="EO618" s="857"/>
      <c r="EP618" s="857"/>
      <c r="FL618" s="855"/>
      <c r="FM618" s="855"/>
      <c r="FN618" s="855"/>
      <c r="FO618" s="855"/>
      <c r="FP618" s="855"/>
      <c r="FQ618" s="855"/>
      <c r="FR618" s="855"/>
      <c r="FS618" s="855"/>
      <c r="FT618" s="855"/>
      <c r="FU618" s="855"/>
      <c r="FV618" s="855"/>
      <c r="FW618" s="855"/>
      <c r="FX618" s="855"/>
      <c r="FY618" s="855"/>
      <c r="FZ618" s="855"/>
      <c r="GA618" s="855"/>
      <c r="GB618" s="855"/>
      <c r="GC618" s="855"/>
      <c r="GD618" s="855"/>
      <c r="GE618" s="855"/>
      <c r="GF618" s="855"/>
      <c r="GG618" s="855"/>
      <c r="GH618" s="855"/>
      <c r="GI618" s="855"/>
      <c r="GJ618" s="855"/>
      <c r="GK618" s="855"/>
      <c r="GL618" s="855"/>
      <c r="GM618" s="855"/>
      <c r="GN618" s="855"/>
      <c r="GO618" s="855"/>
      <c r="GP618" s="855"/>
      <c r="GQ618" s="855"/>
      <c r="GR618" s="855"/>
      <c r="GS618" s="855"/>
      <c r="GT618" s="855"/>
      <c r="GU618" s="855"/>
      <c r="GV618" s="855"/>
      <c r="GW618" s="855"/>
      <c r="GX618" s="855"/>
      <c r="GY618" s="855"/>
      <c r="GZ618" s="855"/>
      <c r="HA618" s="855"/>
      <c r="HB618" s="855"/>
      <c r="HC618" s="855"/>
      <c r="HD618" s="855"/>
      <c r="HE618" s="855"/>
      <c r="HF618" s="855"/>
      <c r="HG618" s="855"/>
      <c r="HH618" s="855"/>
      <c r="HI618" s="855"/>
      <c r="HJ618" s="855"/>
      <c r="HK618" s="855"/>
      <c r="HL618" s="855"/>
      <c r="HM618" s="855"/>
      <c r="HN618" s="855"/>
      <c r="HO618" s="855"/>
      <c r="HP618" s="855"/>
      <c r="HQ618" s="855"/>
      <c r="HR618" s="855"/>
      <c r="HS618" s="855"/>
      <c r="HT618" s="855"/>
      <c r="HU618" s="855"/>
      <c r="HV618" s="855"/>
      <c r="HW618" s="855"/>
      <c r="HX618" s="855"/>
      <c r="HY618" s="855"/>
      <c r="HZ618" s="855"/>
      <c r="IA618" s="855"/>
      <c r="IB618" s="855"/>
      <c r="IC618" s="855"/>
      <c r="ID618" s="855"/>
      <c r="IE618" s="855"/>
      <c r="IF618" s="855"/>
      <c r="IG618" s="855"/>
      <c r="IH618" s="855"/>
      <c r="II618" s="855"/>
      <c r="IJ618" s="855"/>
      <c r="IK618" s="855"/>
      <c r="IL618" s="855"/>
      <c r="IM618" s="855"/>
      <c r="IN618" s="855"/>
      <c r="IO618" s="855"/>
      <c r="IP618" s="855"/>
      <c r="IQ618" s="855"/>
      <c r="IR618" s="855"/>
      <c r="IS618" s="855"/>
      <c r="IT618" s="855"/>
      <c r="IU618" s="855"/>
      <c r="IV618" s="855"/>
      <c r="IW618" s="855"/>
      <c r="IX618" s="855"/>
      <c r="IY618" s="855"/>
      <c r="IZ618" s="855"/>
      <c r="JA618" s="855"/>
      <c r="JB618" s="855"/>
      <c r="JC618" s="855"/>
      <c r="JD618" s="855"/>
      <c r="JE618" s="855"/>
      <c r="JF618" s="855"/>
      <c r="JG618" s="855"/>
      <c r="JH618" s="855"/>
      <c r="JI618" s="855"/>
      <c r="JJ618" s="855"/>
      <c r="JK618" s="855"/>
      <c r="JL618" s="855"/>
      <c r="JM618"/>
    </row>
    <row r="619" spans="1:273" s="860" customFormat="1">
      <c r="A619" s="302" t="s">
        <v>690</v>
      </c>
      <c r="B619" s="298"/>
      <c r="C619" s="296"/>
      <c r="D619" s="296"/>
      <c r="E619" s="296"/>
      <c r="F619" s="296"/>
      <c r="G619" s="296"/>
      <c r="H619" s="296"/>
      <c r="I619" s="296"/>
      <c r="J619" s="296"/>
      <c r="K619" s="296"/>
      <c r="L619" s="296"/>
      <c r="M619" s="296"/>
      <c r="N619" s="296"/>
      <c r="O619" s="296"/>
      <c r="P619" s="296"/>
      <c r="Q619" s="296"/>
      <c r="R619" s="296"/>
      <c r="S619" s="296"/>
      <c r="T619" s="296"/>
      <c r="U619" s="296"/>
      <c r="V619" s="296"/>
      <c r="W619" s="296"/>
      <c r="X619" s="296"/>
      <c r="Y619" s="296"/>
      <c r="Z619" s="296"/>
      <c r="AA619" s="296"/>
      <c r="AB619" s="296"/>
      <c r="AC619" s="296"/>
      <c r="AD619" s="296"/>
      <c r="AE619" s="296"/>
      <c r="AF619" s="296"/>
      <c r="AG619" s="296"/>
      <c r="AH619" s="296"/>
      <c r="AI619" s="296"/>
      <c r="AJ619" s="296"/>
      <c r="AK619" s="296"/>
      <c r="AL619" s="296"/>
      <c r="AM619" s="296"/>
      <c r="AN619" s="298"/>
      <c r="AO619" s="298"/>
      <c r="AP619" s="929">
        <f>DIVISIONS!AP523</f>
        <v>0</v>
      </c>
      <c r="AQ619" s="298"/>
      <c r="AR619" s="298"/>
      <c r="AS619" s="298"/>
      <c r="AT619" s="929">
        <f>DIVISIONS!AT523</f>
        <v>0</v>
      </c>
      <c r="AU619" s="298"/>
      <c r="AV619" s="929">
        <f>DIVISIONS!AV523</f>
        <v>0</v>
      </c>
      <c r="AW619" s="929">
        <f>DIVISIONS!AW523</f>
        <v>0</v>
      </c>
      <c r="AX619" s="857"/>
      <c r="AY619" s="976"/>
      <c r="AZ619" s="929">
        <f>DIVISIONS!AZ523</f>
        <v>0</v>
      </c>
      <c r="BA619" s="929">
        <f>DIVISIONS!BA523</f>
        <v>0</v>
      </c>
      <c r="BB619" s="857"/>
      <c r="BC619" s="857"/>
      <c r="BD619" s="929">
        <f>DIVISIONS!BD523</f>
        <v>0</v>
      </c>
      <c r="BE619" s="929">
        <f>DIVISIONS!BE523</f>
        <v>0</v>
      </c>
      <c r="BF619" s="929">
        <f t="shared" si="683"/>
        <v>0</v>
      </c>
      <c r="BG619" s="857"/>
      <c r="BH619" s="929">
        <f>DIVISIONS!BH523</f>
        <v>0</v>
      </c>
      <c r="BI619" s="929">
        <f>DIVISIONS!BI523</f>
        <v>0</v>
      </c>
      <c r="BJ619" s="929">
        <f t="shared" si="679"/>
        <v>0</v>
      </c>
      <c r="BK619" s="857"/>
      <c r="BL619" s="929">
        <f>DIVISIONS!BL523</f>
        <v>0</v>
      </c>
      <c r="BM619" s="929">
        <f>DIVISIONS!BM523</f>
        <v>0</v>
      </c>
      <c r="BN619" s="929">
        <f t="shared" si="680"/>
        <v>0</v>
      </c>
      <c r="BO619" s="857"/>
      <c r="BP619" s="929">
        <f>DIVISIONS!BP523</f>
        <v>0</v>
      </c>
      <c r="BQ619" s="929">
        <f>DIVISIONS!BQ523</f>
        <v>0</v>
      </c>
      <c r="BR619" s="929">
        <f t="shared" si="681"/>
        <v>0</v>
      </c>
      <c r="BS619" s="857"/>
      <c r="BT619" s="929">
        <f>DIVISIONS!BT523</f>
        <v>0</v>
      </c>
      <c r="BU619" s="929">
        <f>DIVISIONS!BU523</f>
        <v>0</v>
      </c>
      <c r="BV619" s="929">
        <f t="shared" si="682"/>
        <v>0</v>
      </c>
      <c r="BW619" s="857"/>
      <c r="BX619" s="929">
        <f>DIVISIONS!BX523</f>
        <v>0</v>
      </c>
      <c r="BY619" s="929">
        <f>DIVISIONS!BY523</f>
        <v>0</v>
      </c>
      <c r="BZ619" s="929">
        <f>BX619+BY619</f>
        <v>0</v>
      </c>
      <c r="CA619" s="857"/>
      <c r="CB619" s="929">
        <f>DIVISIONS!CB523</f>
        <v>0</v>
      </c>
      <c r="CC619" s="929">
        <f>DIVISIONS!CC523</f>
        <v>0</v>
      </c>
      <c r="CD619" s="929">
        <f>CB619+CC619</f>
        <v>0</v>
      </c>
      <c r="CE619" s="931"/>
      <c r="CF619" s="929">
        <f>DIVISIONS!CF523</f>
        <v>0</v>
      </c>
      <c r="CG619" s="929">
        <f>DIVISIONS!CG523</f>
        <v>0</v>
      </c>
      <c r="CH619" s="929">
        <f>CF619+CG619</f>
        <v>0</v>
      </c>
      <c r="CI619" s="931"/>
      <c r="CJ619" s="929">
        <f>DIVISIONS!CJ523</f>
        <v>0</v>
      </c>
      <c r="CK619" s="929">
        <f>DIVISIONS!CK523</f>
        <v>0</v>
      </c>
      <c r="CL619" s="929">
        <f>CJ619+CK619</f>
        <v>0</v>
      </c>
      <c r="CM619" s="931"/>
      <c r="CN619" s="929">
        <f>DIVISIONS!CN523</f>
        <v>0</v>
      </c>
      <c r="CO619" s="929">
        <f>DIVISIONS!CO523</f>
        <v>0</v>
      </c>
      <c r="CP619" s="929">
        <f>CN619+CO619</f>
        <v>0</v>
      </c>
      <c r="CQ619" s="931"/>
      <c r="CR619" s="929">
        <f>DIVISIONS!CR523</f>
        <v>0</v>
      </c>
      <c r="CS619" s="929">
        <f>DIVISIONS!CS523</f>
        <v>0</v>
      </c>
      <c r="CT619" s="929">
        <f>CR619+CS619</f>
        <v>0</v>
      </c>
      <c r="CU619" s="857"/>
      <c r="CV619" s="929">
        <f>DIVISIONS!CV523</f>
        <v>0</v>
      </c>
      <c r="CW619" s="929">
        <f>DIVISIONS!CW523</f>
        <v>0</v>
      </c>
      <c r="CX619" s="929">
        <f>CV619+CW619</f>
        <v>0</v>
      </c>
      <c r="CY619" s="857"/>
      <c r="CZ619" s="929">
        <f>DIVISIONS!CZ523</f>
        <v>0</v>
      </c>
      <c r="DA619" s="929">
        <f>DIVISIONS!DA523</f>
        <v>0</v>
      </c>
      <c r="DB619" s="929">
        <f>CZ619+DA619</f>
        <v>0</v>
      </c>
      <c r="DC619" s="857"/>
      <c r="DD619" s="929">
        <f>DIVISIONS!DD523</f>
        <v>0</v>
      </c>
      <c r="DE619" s="929">
        <f>DIVISIONS!DE523</f>
        <v>0</v>
      </c>
      <c r="DF619" s="929">
        <f>DD619+DE619</f>
        <v>0</v>
      </c>
      <c r="DG619" s="857"/>
      <c r="DH619" s="929">
        <f>DIVISIONS!DH523</f>
        <v>0</v>
      </c>
      <c r="DI619" s="859">
        <v>0</v>
      </c>
      <c r="DJ619" s="929">
        <f>DH619+DI619</f>
        <v>0</v>
      </c>
      <c r="DK619" s="857"/>
      <c r="DL619" s="859">
        <v>0</v>
      </c>
      <c r="DM619" s="859">
        <v>0</v>
      </c>
      <c r="DN619" s="929">
        <f>DL619+DM619</f>
        <v>0</v>
      </c>
      <c r="DO619" s="929"/>
      <c r="DP619" s="859">
        <v>0</v>
      </c>
      <c r="DQ619" s="859">
        <v>0</v>
      </c>
      <c r="DR619" s="929">
        <f>DP619+DQ619</f>
        <v>0</v>
      </c>
      <c r="DS619" s="929"/>
      <c r="DT619" s="857"/>
      <c r="DU619" s="859"/>
      <c r="DV619" s="859"/>
      <c r="DW619" s="859"/>
      <c r="DX619" s="929"/>
      <c r="DY619" s="857"/>
      <c r="DZ619" s="859"/>
      <c r="EA619" s="859"/>
      <c r="EB619" s="929"/>
      <c r="EC619" s="857"/>
      <c r="ED619" s="859"/>
      <c r="EE619" s="859"/>
      <c r="EF619" s="929"/>
      <c r="EG619" s="857"/>
      <c r="EH619" s="857"/>
      <c r="EI619" s="857"/>
      <c r="EJ619" s="857"/>
      <c r="EK619" s="857"/>
      <c r="EL619" s="857"/>
      <c r="EM619" s="857"/>
      <c r="EN619" s="857"/>
      <c r="EO619" s="857"/>
      <c r="EP619" s="857"/>
      <c r="FL619" s="855"/>
      <c r="FM619" s="855"/>
      <c r="FN619" s="855"/>
      <c r="FO619" s="855"/>
      <c r="FP619" s="855"/>
      <c r="FQ619" s="855"/>
      <c r="FR619" s="855"/>
      <c r="FS619" s="855"/>
      <c r="FT619" s="855"/>
      <c r="FU619" s="855"/>
      <c r="FV619" s="855"/>
      <c r="FW619" s="855"/>
      <c r="FX619" s="855"/>
      <c r="FY619" s="855"/>
      <c r="FZ619" s="855"/>
      <c r="GA619" s="855"/>
      <c r="GB619" s="855"/>
      <c r="GC619" s="855"/>
      <c r="GD619" s="855"/>
      <c r="GE619" s="855"/>
      <c r="GF619" s="855"/>
      <c r="GG619" s="855"/>
      <c r="GH619" s="855"/>
      <c r="GI619" s="855"/>
      <c r="GJ619" s="855"/>
      <c r="GK619" s="855"/>
      <c r="GL619" s="855"/>
      <c r="GM619" s="855"/>
      <c r="GN619" s="855"/>
      <c r="GO619" s="855"/>
      <c r="GP619" s="855"/>
      <c r="GQ619" s="855"/>
      <c r="GR619" s="855"/>
      <c r="GS619" s="855"/>
      <c r="GT619" s="855"/>
      <c r="GU619" s="855"/>
      <c r="GV619" s="855"/>
      <c r="GW619" s="855"/>
      <c r="GX619" s="855"/>
      <c r="GY619" s="855"/>
      <c r="GZ619" s="855"/>
      <c r="HA619" s="855"/>
      <c r="HB619" s="855"/>
      <c r="HC619" s="855"/>
      <c r="HD619" s="855"/>
      <c r="HE619" s="855"/>
      <c r="HF619" s="855"/>
      <c r="HG619" s="855"/>
      <c r="HH619" s="855"/>
      <c r="HI619" s="855"/>
      <c r="HJ619" s="855"/>
      <c r="HK619" s="855"/>
      <c r="HL619" s="855"/>
      <c r="HM619" s="855"/>
      <c r="HN619" s="855"/>
      <c r="HO619" s="855"/>
      <c r="HP619" s="855"/>
      <c r="HQ619" s="855"/>
      <c r="HR619" s="855"/>
      <c r="HS619" s="855"/>
      <c r="HT619" s="855"/>
      <c r="HU619" s="855"/>
      <c r="HV619" s="855"/>
      <c r="HW619" s="855"/>
      <c r="HX619" s="855"/>
      <c r="HY619" s="855"/>
      <c r="HZ619" s="855"/>
      <c r="IA619" s="855"/>
      <c r="IB619" s="855"/>
      <c r="IC619" s="855"/>
      <c r="ID619" s="855"/>
      <c r="IE619" s="855"/>
      <c r="IF619" s="855"/>
      <c r="IG619" s="855"/>
      <c r="IH619" s="855"/>
      <c r="II619" s="855"/>
      <c r="IJ619" s="855"/>
      <c r="IK619" s="855"/>
      <c r="IL619" s="855"/>
      <c r="IM619" s="855"/>
      <c r="IN619" s="855"/>
      <c r="IO619" s="855"/>
      <c r="IP619" s="855"/>
      <c r="IQ619" s="855"/>
      <c r="IR619" s="855"/>
      <c r="IS619" s="855"/>
      <c r="IT619" s="855"/>
      <c r="IU619" s="855"/>
      <c r="IV619" s="855"/>
      <c r="IW619" s="855"/>
      <c r="IX619" s="855"/>
      <c r="IY619" s="855"/>
      <c r="IZ619" s="855"/>
      <c r="JA619" s="855"/>
      <c r="JB619" s="855"/>
      <c r="JC619" s="855"/>
      <c r="JD619" s="855"/>
      <c r="JE619" s="855"/>
      <c r="JF619" s="855"/>
      <c r="JG619" s="855"/>
      <c r="JH619" s="855"/>
      <c r="JI619" s="855"/>
      <c r="JJ619" s="855"/>
      <c r="JK619" s="855"/>
      <c r="JL619" s="855"/>
      <c r="JM619"/>
    </row>
    <row r="620" spans="1:273" s="860" customFormat="1">
      <c r="A620" s="302" t="s">
        <v>689</v>
      </c>
      <c r="B620" s="298"/>
      <c r="C620" s="296"/>
      <c r="D620" s="296"/>
      <c r="E620" s="296"/>
      <c r="F620" s="296"/>
      <c r="G620" s="296"/>
      <c r="H620" s="296"/>
      <c r="I620" s="296"/>
      <c r="J620" s="296"/>
      <c r="K620" s="296"/>
      <c r="L620" s="296"/>
      <c r="M620" s="296"/>
      <c r="N620" s="296"/>
      <c r="O620" s="296"/>
      <c r="P620" s="296"/>
      <c r="Q620" s="296"/>
      <c r="R620" s="296"/>
      <c r="S620" s="296"/>
      <c r="T620" s="296"/>
      <c r="U620" s="296"/>
      <c r="V620" s="296"/>
      <c r="W620" s="296"/>
      <c r="X620" s="296"/>
      <c r="Y620" s="296"/>
      <c r="Z620" s="296"/>
      <c r="AA620" s="296"/>
      <c r="AB620" s="296"/>
      <c r="AC620" s="296"/>
      <c r="AD620" s="296"/>
      <c r="AE620" s="296"/>
      <c r="AF620" s="296"/>
      <c r="AG620" s="296"/>
      <c r="AH620" s="296"/>
      <c r="AI620" s="296"/>
      <c r="AJ620" s="296"/>
      <c r="AK620" s="296"/>
      <c r="AL620" s="296"/>
      <c r="AM620" s="296"/>
      <c r="AN620" s="298"/>
      <c r="AO620" s="298"/>
      <c r="AP620" s="929">
        <f>DIVISIONS!AP644</f>
        <v>0</v>
      </c>
      <c r="AQ620" s="298"/>
      <c r="AR620" s="298"/>
      <c r="AS620" s="298"/>
      <c r="AT620" s="929">
        <f>DIVISIONS!AT644</f>
        <v>0</v>
      </c>
      <c r="AU620" s="298"/>
      <c r="AV620" s="929">
        <f>DIVISIONS!AV644</f>
        <v>0</v>
      </c>
      <c r="AW620" s="929">
        <f>DIVISIONS!AW644</f>
        <v>0</v>
      </c>
      <c r="AX620" s="857"/>
      <c r="AY620" s="976"/>
      <c r="AZ620" s="929">
        <f>DIVISIONS!AZ644</f>
        <v>0</v>
      </c>
      <c r="BA620" s="929">
        <f>DIVISIONS!BA644</f>
        <v>0</v>
      </c>
      <c r="BB620" s="857"/>
      <c r="BC620" s="857"/>
      <c r="BD620" s="929">
        <f>DIVISIONS!BD644</f>
        <v>0</v>
      </c>
      <c r="BE620" s="929">
        <f>DIVISIONS!BE644</f>
        <v>0</v>
      </c>
      <c r="BF620" s="929">
        <f t="shared" si="683"/>
        <v>0</v>
      </c>
      <c r="BG620" s="857"/>
      <c r="BH620" s="929">
        <f>DIVISIONS!BH644</f>
        <v>0</v>
      </c>
      <c r="BI620" s="929">
        <f>DIVISIONS!BI644</f>
        <v>0</v>
      </c>
      <c r="BJ620" s="929">
        <f t="shared" si="679"/>
        <v>0</v>
      </c>
      <c r="BK620" s="857"/>
      <c r="BL620" s="929">
        <f>DIVISIONS!BL644</f>
        <v>0</v>
      </c>
      <c r="BM620" s="929">
        <f>DIVISIONS!BM644</f>
        <v>0</v>
      </c>
      <c r="BN620" s="929">
        <f t="shared" si="680"/>
        <v>0</v>
      </c>
      <c r="BO620" s="857"/>
      <c r="BP620" s="929">
        <f>DIVISIONS!BP644</f>
        <v>0</v>
      </c>
      <c r="BQ620" s="929">
        <f>DIVISIONS!BQ644</f>
        <v>0</v>
      </c>
      <c r="BR620" s="929">
        <f t="shared" si="681"/>
        <v>0</v>
      </c>
      <c r="BS620" s="857"/>
      <c r="BT620" s="929">
        <f>DIVISIONS!BT644</f>
        <v>0</v>
      </c>
      <c r="BU620" s="929">
        <f>DIVISIONS!BU644</f>
        <v>0</v>
      </c>
      <c r="BV620" s="929">
        <f t="shared" si="682"/>
        <v>0</v>
      </c>
      <c r="BW620" s="857"/>
      <c r="BX620" s="929">
        <f>DIVISIONS!BX644</f>
        <v>0</v>
      </c>
      <c r="BY620" s="929">
        <f>DIVISIONS!BY644</f>
        <v>0</v>
      </c>
      <c r="BZ620" s="929">
        <f>BX620+BY620</f>
        <v>0</v>
      </c>
      <c r="CA620" s="857"/>
      <c r="CB620" s="929">
        <f>DIVISIONS!CB644</f>
        <v>0</v>
      </c>
      <c r="CC620" s="929">
        <f>DIVISIONS!CC644</f>
        <v>0</v>
      </c>
      <c r="CD620" s="929">
        <f>CB620+CC620</f>
        <v>0</v>
      </c>
      <c r="CE620" s="931"/>
      <c r="CF620" s="929">
        <f>DIVISIONS!CF644</f>
        <v>0</v>
      </c>
      <c r="CG620" s="929">
        <f>DIVISIONS!CG644</f>
        <v>0</v>
      </c>
      <c r="CH620" s="929">
        <f>CF620+CG620</f>
        <v>0</v>
      </c>
      <c r="CI620" s="931"/>
      <c r="CJ620" s="929">
        <f>DIVISIONS!CJ644</f>
        <v>0</v>
      </c>
      <c r="CK620" s="929">
        <f>DIVISIONS!CK644</f>
        <v>0</v>
      </c>
      <c r="CL620" s="929">
        <f>CJ620+CK620</f>
        <v>0</v>
      </c>
      <c r="CM620" s="931"/>
      <c r="CN620" s="929">
        <f>DIVISIONS!CN644</f>
        <v>0</v>
      </c>
      <c r="CO620" s="929">
        <f>DIVISIONS!CO644</f>
        <v>0</v>
      </c>
      <c r="CP620" s="929">
        <f>CN620+CO620</f>
        <v>0</v>
      </c>
      <c r="CQ620" s="931"/>
      <c r="CR620" s="929">
        <f>DIVISIONS!CR644</f>
        <v>0</v>
      </c>
      <c r="CS620" s="929">
        <f>DIVISIONS!CS644</f>
        <v>0</v>
      </c>
      <c r="CT620" s="929">
        <f>CR620+CS620</f>
        <v>0</v>
      </c>
      <c r="CU620" s="857"/>
      <c r="CV620" s="929">
        <f>DIVISIONS!CV644</f>
        <v>0</v>
      </c>
      <c r="CW620" s="929">
        <f>DIVISIONS!CW644</f>
        <v>0</v>
      </c>
      <c r="CX620" s="929">
        <f>CV620+CW620</f>
        <v>0</v>
      </c>
      <c r="CY620" s="857"/>
      <c r="CZ620" s="929">
        <f>DIVISIONS!CZ644</f>
        <v>0</v>
      </c>
      <c r="DA620" s="929">
        <f>DIVISIONS!DA644</f>
        <v>0</v>
      </c>
      <c r="DB620" s="929">
        <f>CZ620+DA620</f>
        <v>0</v>
      </c>
      <c r="DC620" s="857"/>
      <c r="DD620" s="929">
        <f>DIVISIONS!DD644</f>
        <v>0</v>
      </c>
      <c r="DE620" s="929">
        <f>DIVISIONS!DE644</f>
        <v>0</v>
      </c>
      <c r="DF620" s="929">
        <f>DD620+DE620</f>
        <v>0</v>
      </c>
      <c r="DG620" s="857"/>
      <c r="DH620" s="929">
        <f>DIVISIONS!DH644</f>
        <v>0</v>
      </c>
      <c r="DI620" s="859">
        <v>0</v>
      </c>
      <c r="DJ620" s="929">
        <f>DH620+DI620</f>
        <v>0</v>
      </c>
      <c r="DK620" s="857"/>
      <c r="DL620" s="859">
        <v>0</v>
      </c>
      <c r="DM620" s="859">
        <v>0</v>
      </c>
      <c r="DN620" s="929">
        <f>DL620+DM620</f>
        <v>0</v>
      </c>
      <c r="DO620" s="929"/>
      <c r="DP620" s="859">
        <v>0</v>
      </c>
      <c r="DQ620" s="859">
        <v>0</v>
      </c>
      <c r="DR620" s="929">
        <f>DP620+DQ620</f>
        <v>0</v>
      </c>
      <c r="DS620" s="929"/>
      <c r="DT620" s="857"/>
      <c r="DU620" s="859"/>
      <c r="DV620" s="859"/>
      <c r="DW620" s="859"/>
      <c r="DX620" s="929"/>
      <c r="DY620" s="857"/>
      <c r="DZ620" s="859"/>
      <c r="EA620" s="859"/>
      <c r="EB620" s="929"/>
      <c r="EC620" s="857"/>
      <c r="ED620" s="859"/>
      <c r="EE620" s="859"/>
      <c r="EF620" s="929"/>
      <c r="EG620" s="857"/>
      <c r="EH620" s="857"/>
      <c r="EI620" s="857"/>
      <c r="EJ620" s="857"/>
      <c r="EK620" s="857"/>
      <c r="EL620" s="857"/>
      <c r="EM620" s="857"/>
      <c r="EN620" s="857"/>
      <c r="EO620" s="857"/>
      <c r="EP620" s="857"/>
      <c r="FL620" s="855"/>
      <c r="FM620" s="855"/>
      <c r="FN620" s="855"/>
      <c r="FO620" s="855"/>
      <c r="FP620" s="855"/>
      <c r="FQ620" s="855"/>
      <c r="FR620" s="855"/>
      <c r="FS620" s="855"/>
      <c r="FT620" s="855"/>
      <c r="FU620" s="855"/>
      <c r="FV620" s="855"/>
      <c r="FW620" s="855"/>
      <c r="FX620" s="855"/>
      <c r="FY620" s="855"/>
      <c r="FZ620" s="855"/>
      <c r="GA620" s="855"/>
      <c r="GB620" s="855"/>
      <c r="GC620" s="855"/>
      <c r="GD620" s="855"/>
      <c r="GE620" s="855"/>
      <c r="GF620" s="855"/>
      <c r="GG620" s="855"/>
      <c r="GH620" s="855"/>
      <c r="GI620" s="855"/>
      <c r="GJ620" s="855"/>
      <c r="GK620" s="855"/>
      <c r="GL620" s="855"/>
      <c r="GM620" s="855"/>
      <c r="GN620" s="855"/>
      <c r="GO620" s="855"/>
      <c r="GP620" s="855"/>
      <c r="GQ620" s="855"/>
      <c r="GR620" s="855"/>
      <c r="GS620" s="855"/>
      <c r="GT620" s="855"/>
      <c r="GU620" s="855"/>
      <c r="GV620" s="855"/>
      <c r="GW620" s="855"/>
      <c r="GX620" s="855"/>
      <c r="GY620" s="855"/>
      <c r="GZ620" s="855"/>
      <c r="HA620" s="855"/>
      <c r="HB620" s="855"/>
      <c r="HC620" s="855"/>
      <c r="HD620" s="855"/>
      <c r="HE620" s="855"/>
      <c r="HF620" s="855"/>
      <c r="HG620" s="855"/>
      <c r="HH620" s="855"/>
      <c r="HI620" s="855"/>
      <c r="HJ620" s="855"/>
      <c r="HK620" s="855"/>
      <c r="HL620" s="855"/>
      <c r="HM620" s="855"/>
      <c r="HN620" s="855"/>
      <c r="HO620" s="855"/>
      <c r="HP620" s="855"/>
      <c r="HQ620" s="855"/>
      <c r="HR620" s="855"/>
      <c r="HS620" s="855"/>
      <c r="HT620" s="855"/>
      <c r="HU620" s="855"/>
      <c r="HV620" s="855"/>
      <c r="HW620" s="855"/>
      <c r="HX620" s="855"/>
      <c r="HY620" s="855"/>
      <c r="HZ620" s="855"/>
      <c r="IA620" s="855"/>
      <c r="IB620" s="855"/>
      <c r="IC620" s="855"/>
      <c r="ID620" s="855"/>
      <c r="IE620" s="855"/>
      <c r="IF620" s="855"/>
      <c r="IG620" s="855"/>
      <c r="IH620" s="855"/>
      <c r="II620" s="855"/>
      <c r="IJ620" s="855"/>
      <c r="IK620" s="855"/>
      <c r="IL620" s="855"/>
      <c r="IM620" s="855"/>
      <c r="IN620" s="855"/>
      <c r="IO620" s="855"/>
      <c r="IP620" s="855"/>
      <c r="IQ620" s="855"/>
      <c r="IR620" s="855"/>
      <c r="IS620" s="855"/>
      <c r="IT620" s="855"/>
      <c r="IU620" s="855"/>
      <c r="IV620" s="855"/>
      <c r="IW620" s="855"/>
      <c r="IX620" s="855"/>
      <c r="IY620" s="855"/>
      <c r="IZ620" s="855"/>
      <c r="JA620" s="855"/>
      <c r="JB620" s="855"/>
      <c r="JC620" s="855"/>
      <c r="JD620" s="855"/>
      <c r="JE620" s="855"/>
      <c r="JF620" s="855"/>
      <c r="JG620" s="855"/>
      <c r="JH620" s="855"/>
      <c r="JI620" s="855"/>
      <c r="JJ620" s="855"/>
      <c r="JK620" s="855"/>
      <c r="JL620" s="855"/>
      <c r="JM620"/>
    </row>
    <row r="621" spans="1:273" s="860" customFormat="1">
      <c r="A621" s="302" t="s">
        <v>688</v>
      </c>
      <c r="B621" s="298"/>
      <c r="C621" s="296"/>
      <c r="D621" s="296"/>
      <c r="E621" s="296"/>
      <c r="F621" s="296"/>
      <c r="G621" s="296"/>
      <c r="H621" s="296"/>
      <c r="I621" s="296"/>
      <c r="J621" s="296"/>
      <c r="K621" s="296"/>
      <c r="L621" s="296"/>
      <c r="M621" s="296"/>
      <c r="N621" s="296"/>
      <c r="O621" s="296"/>
      <c r="P621" s="296"/>
      <c r="Q621" s="296"/>
      <c r="R621" s="296"/>
      <c r="S621" s="296"/>
      <c r="T621" s="296"/>
      <c r="U621" s="296"/>
      <c r="V621" s="296"/>
      <c r="W621" s="296"/>
      <c r="X621" s="296"/>
      <c r="Y621" s="296"/>
      <c r="Z621" s="296"/>
      <c r="AA621" s="296"/>
      <c r="AB621" s="296"/>
      <c r="AC621" s="296"/>
      <c r="AD621" s="296"/>
      <c r="AE621" s="296"/>
      <c r="AF621" s="296"/>
      <c r="AG621" s="296"/>
      <c r="AH621" s="296"/>
      <c r="AI621" s="296"/>
      <c r="AJ621" s="296"/>
      <c r="AK621" s="296"/>
      <c r="AL621" s="296"/>
      <c r="AM621" s="296"/>
      <c r="AN621" s="298"/>
      <c r="AO621" s="298"/>
      <c r="AP621" s="929">
        <f>DIVISIONS!AP703</f>
        <v>0</v>
      </c>
      <c r="AQ621" s="298"/>
      <c r="AR621" s="298"/>
      <c r="AS621" s="298"/>
      <c r="AT621" s="929">
        <f>DIVISIONS!AT703</f>
        <v>0</v>
      </c>
      <c r="AU621" s="298"/>
      <c r="AV621" s="929">
        <f>DIVISIONS!AV703</f>
        <v>0</v>
      </c>
      <c r="AW621" s="929">
        <f>DIVISIONS!AW703</f>
        <v>0</v>
      </c>
      <c r="AX621" s="857"/>
      <c r="AY621" s="976"/>
      <c r="AZ621" s="929">
        <f>DIVISIONS!AZ703</f>
        <v>0</v>
      </c>
      <c r="BA621" s="929">
        <f>DIVISIONS!BA703</f>
        <v>0</v>
      </c>
      <c r="BB621" s="857"/>
      <c r="BC621" s="857"/>
      <c r="BD621" s="929"/>
      <c r="BE621" s="929"/>
      <c r="BF621" s="929"/>
      <c r="BG621" s="857"/>
      <c r="BH621" s="929"/>
      <c r="BI621" s="929"/>
      <c r="BJ621" s="929"/>
      <c r="BK621" s="857"/>
      <c r="BL621" s="929"/>
      <c r="BM621" s="929"/>
      <c r="BN621" s="929"/>
      <c r="BO621" s="857"/>
      <c r="BP621" s="929"/>
      <c r="BQ621" s="929"/>
      <c r="BR621" s="929"/>
      <c r="BS621" s="857"/>
      <c r="BT621" s="929"/>
      <c r="BU621" s="929"/>
      <c r="BV621" s="929"/>
      <c r="BW621" s="857"/>
      <c r="BX621" s="929"/>
      <c r="BY621" s="929"/>
      <c r="BZ621" s="929"/>
      <c r="CA621" s="857"/>
      <c r="CB621" s="929"/>
      <c r="CC621" s="929"/>
      <c r="CD621" s="929"/>
      <c r="CE621" s="931"/>
      <c r="CF621" s="929"/>
      <c r="CG621" s="929"/>
      <c r="CH621" s="929"/>
      <c r="CI621" s="931"/>
      <c r="CJ621" s="929"/>
      <c r="CK621" s="929"/>
      <c r="CL621" s="929"/>
      <c r="CM621" s="931"/>
      <c r="CN621" s="929"/>
      <c r="CO621" s="929"/>
      <c r="CP621" s="929"/>
      <c r="CQ621" s="931"/>
      <c r="CR621" s="929"/>
      <c r="CS621" s="929"/>
      <c r="CT621" s="929"/>
      <c r="CU621" s="857"/>
      <c r="CV621" s="929"/>
      <c r="CW621" s="929"/>
      <c r="CX621" s="929"/>
      <c r="CY621" s="857"/>
      <c r="CZ621" s="929"/>
      <c r="DA621" s="929"/>
      <c r="DB621" s="929"/>
      <c r="DC621" s="857"/>
      <c r="DD621" s="929"/>
      <c r="DE621" s="929"/>
      <c r="DF621" s="929"/>
      <c r="DG621" s="857"/>
      <c r="DH621" s="929"/>
      <c r="DI621" s="859"/>
      <c r="DJ621" s="929"/>
      <c r="DK621" s="857"/>
      <c r="DL621" s="859"/>
      <c r="DM621" s="859"/>
      <c r="DN621" s="929"/>
      <c r="DO621" s="929"/>
      <c r="DP621" s="859"/>
      <c r="DQ621" s="859"/>
      <c r="DR621" s="929"/>
      <c r="DS621" s="929"/>
      <c r="DT621" s="857"/>
      <c r="DU621" s="859"/>
      <c r="DV621" s="859"/>
      <c r="DW621" s="859"/>
      <c r="DX621" s="929"/>
      <c r="DY621" s="857"/>
      <c r="DZ621" s="859"/>
      <c r="EA621" s="859"/>
      <c r="EB621" s="929"/>
      <c r="EC621" s="857"/>
      <c r="ED621" s="859"/>
      <c r="EE621" s="859"/>
      <c r="EF621" s="929"/>
      <c r="EG621" s="857"/>
      <c r="EH621" s="857"/>
      <c r="EI621" s="857"/>
      <c r="EJ621" s="857"/>
      <c r="EK621" s="857"/>
      <c r="EL621" s="857"/>
      <c r="EM621" s="857"/>
      <c r="EN621" s="857"/>
      <c r="EO621" s="857"/>
      <c r="EP621" s="857"/>
      <c r="FL621" s="855"/>
      <c r="FM621" s="855"/>
      <c r="FN621" s="855"/>
      <c r="FO621" s="855"/>
      <c r="FP621" s="855"/>
      <c r="FQ621" s="855"/>
      <c r="FR621" s="855"/>
      <c r="FS621" s="855"/>
      <c r="FT621" s="855"/>
      <c r="FU621" s="855"/>
      <c r="FV621" s="855"/>
      <c r="FW621" s="855"/>
      <c r="FX621" s="855"/>
      <c r="FY621" s="855"/>
      <c r="FZ621" s="855"/>
      <c r="GA621" s="855"/>
      <c r="GB621" s="855"/>
      <c r="GC621" s="855"/>
      <c r="GD621" s="855"/>
      <c r="GE621" s="855"/>
      <c r="GF621" s="855"/>
      <c r="GG621" s="855"/>
      <c r="GH621" s="855"/>
      <c r="GI621" s="855"/>
      <c r="GJ621" s="855"/>
      <c r="GK621" s="855"/>
      <c r="GL621" s="855"/>
      <c r="GM621" s="855"/>
      <c r="GN621" s="855"/>
      <c r="GO621" s="855"/>
      <c r="GP621" s="855"/>
      <c r="GQ621" s="855"/>
      <c r="GR621" s="855"/>
      <c r="GS621" s="855"/>
      <c r="GT621" s="855"/>
      <c r="GU621" s="855"/>
      <c r="GV621" s="855"/>
      <c r="GW621" s="855"/>
      <c r="GX621" s="855"/>
      <c r="GY621" s="855"/>
      <c r="GZ621" s="855"/>
      <c r="HA621" s="855"/>
      <c r="HB621" s="855"/>
      <c r="HC621" s="855"/>
      <c r="HD621" s="855"/>
      <c r="HE621" s="855"/>
      <c r="HF621" s="855"/>
      <c r="HG621" s="855"/>
      <c r="HH621" s="855"/>
      <c r="HI621" s="855"/>
      <c r="HJ621" s="855"/>
      <c r="HK621" s="855"/>
      <c r="HL621" s="855"/>
      <c r="HM621" s="855"/>
      <c r="HN621" s="855"/>
      <c r="HO621" s="855"/>
      <c r="HP621" s="855"/>
      <c r="HQ621" s="855"/>
      <c r="HR621" s="855"/>
      <c r="HS621" s="855"/>
      <c r="HT621" s="855"/>
      <c r="HU621" s="855"/>
      <c r="HV621" s="855"/>
      <c r="HW621" s="855"/>
      <c r="HX621" s="855"/>
      <c r="HY621" s="855"/>
      <c r="HZ621" s="855"/>
      <c r="IA621" s="855"/>
      <c r="IB621" s="855"/>
      <c r="IC621" s="855"/>
      <c r="ID621" s="855"/>
      <c r="IE621" s="855"/>
      <c r="IF621" s="855"/>
      <c r="IG621" s="855"/>
      <c r="IH621" s="855"/>
      <c r="II621" s="855"/>
      <c r="IJ621" s="855"/>
      <c r="IK621" s="855"/>
      <c r="IL621" s="855"/>
      <c r="IM621" s="855"/>
      <c r="IN621" s="855"/>
      <c r="IO621" s="855"/>
      <c r="IP621" s="855"/>
      <c r="IQ621" s="855"/>
      <c r="IR621" s="855"/>
      <c r="IS621" s="855"/>
      <c r="IT621" s="855"/>
      <c r="IU621" s="855"/>
      <c r="IV621" s="855"/>
      <c r="IW621" s="855"/>
      <c r="IX621" s="855"/>
      <c r="IY621" s="855"/>
      <c r="IZ621" s="855"/>
      <c r="JA621" s="855"/>
      <c r="JB621" s="855"/>
      <c r="JC621" s="855"/>
      <c r="JD621" s="855"/>
      <c r="JE621" s="855"/>
      <c r="JF621" s="855"/>
      <c r="JG621" s="855"/>
      <c r="JH621" s="855"/>
      <c r="JI621" s="855"/>
      <c r="JJ621" s="855"/>
      <c r="JK621" s="855"/>
      <c r="JL621" s="855"/>
      <c r="JM621"/>
    </row>
    <row r="622" spans="1:273" s="860" customFormat="1">
      <c r="A622" s="302" t="s">
        <v>691</v>
      </c>
      <c r="B622" s="298"/>
      <c r="C622" s="296"/>
      <c r="D622" s="296"/>
      <c r="E622" s="296"/>
      <c r="F622" s="296"/>
      <c r="G622" s="296"/>
      <c r="H622" s="296"/>
      <c r="I622" s="296"/>
      <c r="J622" s="296"/>
      <c r="K622" s="296"/>
      <c r="L622" s="296"/>
      <c r="M622" s="296"/>
      <c r="N622" s="296"/>
      <c r="O622" s="296"/>
      <c r="P622" s="296"/>
      <c r="Q622" s="296"/>
      <c r="R622" s="296"/>
      <c r="S622" s="296"/>
      <c r="T622" s="296"/>
      <c r="U622" s="296"/>
      <c r="V622" s="296"/>
      <c r="W622" s="296"/>
      <c r="X622" s="296"/>
      <c r="Y622" s="296"/>
      <c r="Z622" s="296"/>
      <c r="AA622" s="296"/>
      <c r="AB622" s="296"/>
      <c r="AC622" s="296"/>
      <c r="AD622" s="296"/>
      <c r="AE622" s="296"/>
      <c r="AF622" s="296"/>
      <c r="AG622" s="296"/>
      <c r="AH622" s="296"/>
      <c r="AI622" s="296"/>
      <c r="AJ622" s="296"/>
      <c r="AK622" s="296"/>
      <c r="AL622" s="296"/>
      <c r="AM622" s="296"/>
      <c r="AN622" s="298"/>
      <c r="AO622" s="298"/>
      <c r="AP622" s="929">
        <f>DIVISIONS!AP759</f>
        <v>0</v>
      </c>
      <c r="AQ622" s="298"/>
      <c r="AR622" s="298"/>
      <c r="AS622" s="298"/>
      <c r="AT622" s="929">
        <f>DIVISIONS!AT759</f>
        <v>0</v>
      </c>
      <c r="AU622" s="298"/>
      <c r="AV622" s="929">
        <f>DIVISIONS!AV759</f>
        <v>0</v>
      </c>
      <c r="AW622" s="929">
        <f>DIVISIONS!AW759</f>
        <v>0</v>
      </c>
      <c r="AX622" s="857"/>
      <c r="AY622" s="976"/>
      <c r="AZ622" s="929">
        <f>DIVISIONS!AZ759</f>
        <v>48</v>
      </c>
      <c r="BA622" s="929">
        <f>DIVISIONS!BA759</f>
        <v>35</v>
      </c>
      <c r="BB622" s="857"/>
      <c r="BC622" s="857"/>
      <c r="BD622" s="929">
        <f>DIVISIONS!BD759</f>
        <v>65</v>
      </c>
      <c r="BE622" s="929">
        <f>DIVISIONS!BE759</f>
        <v>337</v>
      </c>
      <c r="BF622" s="929">
        <f t="shared" si="683"/>
        <v>402</v>
      </c>
      <c r="BG622" s="857"/>
      <c r="BH622" s="929">
        <f>DIVISIONS!BH759</f>
        <v>42</v>
      </c>
      <c r="BI622" s="929">
        <f>DIVISIONS!BI759</f>
        <v>39</v>
      </c>
      <c r="BJ622" s="929">
        <f>BH622+BI622</f>
        <v>81</v>
      </c>
      <c r="BK622" s="304"/>
      <c r="BL622" s="929">
        <f>DIVISIONS!BL759</f>
        <v>52</v>
      </c>
      <c r="BM622" s="929">
        <f>DIVISIONS!BM759</f>
        <v>36</v>
      </c>
      <c r="BN622" s="929">
        <f>BL622+BM622</f>
        <v>88</v>
      </c>
      <c r="BO622" s="304"/>
      <c r="BP622" s="929">
        <f>DIVISIONS!BP759</f>
        <v>2</v>
      </c>
      <c r="BQ622" s="929">
        <f>DIVISIONS!BQ759</f>
        <v>0</v>
      </c>
      <c r="BR622" s="929">
        <f>BP622+BQ622</f>
        <v>2</v>
      </c>
      <c r="BS622" s="304"/>
      <c r="BT622" s="929">
        <f>DIVISIONS!BT759</f>
        <v>0</v>
      </c>
      <c r="BU622" s="929">
        <f>DIVISIONS!BU759</f>
        <v>0</v>
      </c>
      <c r="BV622" s="929">
        <f>BT622+BU622</f>
        <v>0</v>
      </c>
      <c r="BW622" s="304"/>
      <c r="BX622" s="929">
        <f>DIVISIONS!BX759</f>
        <v>0</v>
      </c>
      <c r="BY622" s="929">
        <f>DIVISIONS!BY759</f>
        <v>0</v>
      </c>
      <c r="BZ622" s="929">
        <f>BX622+BY622</f>
        <v>0</v>
      </c>
      <c r="CA622" s="304"/>
      <c r="CB622" s="929">
        <f>DIVISIONS!CB759</f>
        <v>0</v>
      </c>
      <c r="CC622" s="929">
        <f>DIVISIONS!CC759</f>
        <v>0</v>
      </c>
      <c r="CD622" s="929">
        <f>CB622+CC622</f>
        <v>0</v>
      </c>
      <c r="CE622" s="300"/>
      <c r="CF622" s="929">
        <f>DIVISIONS!CF759</f>
        <v>0</v>
      </c>
      <c r="CG622" s="929">
        <f>DIVISIONS!CG759</f>
        <v>0</v>
      </c>
      <c r="CH622" s="929">
        <f>CF622+CG622</f>
        <v>0</v>
      </c>
      <c r="CI622" s="300"/>
      <c r="CJ622" s="929">
        <f>DIVISIONS!CJ759</f>
        <v>0</v>
      </c>
      <c r="CK622" s="929">
        <f>DIVISIONS!CK759</f>
        <v>0</v>
      </c>
      <c r="CL622" s="929">
        <f>CJ622+CK622</f>
        <v>0</v>
      </c>
      <c r="CM622" s="300"/>
      <c r="CN622" s="929">
        <f>DIVISIONS!CN759</f>
        <v>0</v>
      </c>
      <c r="CO622" s="929">
        <f>DIVISIONS!CO759</f>
        <v>0</v>
      </c>
      <c r="CP622" s="929">
        <f>CN622+CO622</f>
        <v>0</v>
      </c>
      <c r="CQ622" s="300"/>
      <c r="CR622" s="929">
        <f>DIVISIONS!CR759</f>
        <v>0</v>
      </c>
      <c r="CS622" s="929">
        <f>DIVISIONS!CS759</f>
        <v>0</v>
      </c>
      <c r="CT622" s="929">
        <f>CR622+CS622</f>
        <v>0</v>
      </c>
      <c r="CU622" s="304"/>
      <c r="CV622" s="929">
        <f>DIVISIONS!CV759</f>
        <v>0</v>
      </c>
      <c r="CW622" s="929">
        <f>DIVISIONS!CW759</f>
        <v>0</v>
      </c>
      <c r="CX622" s="929">
        <f>CV622+CW622</f>
        <v>0</v>
      </c>
      <c r="CY622" s="304"/>
      <c r="CZ622" s="929">
        <f>DIVISIONS!CZ759</f>
        <v>0</v>
      </c>
      <c r="DA622" s="929">
        <f>DIVISIONS!DA759</f>
        <v>0</v>
      </c>
      <c r="DB622" s="929">
        <f>CZ622+DA622</f>
        <v>0</v>
      </c>
      <c r="DC622" s="304"/>
      <c r="DD622" s="929">
        <f>DIVISIONS!DD759</f>
        <v>0</v>
      </c>
      <c r="DE622" s="929">
        <f>DIVISIONS!DE759</f>
        <v>0</v>
      </c>
      <c r="DF622" s="929">
        <f>DD622+DE622</f>
        <v>0</v>
      </c>
      <c r="DG622" s="304"/>
      <c r="DH622" s="929">
        <f>DIVISIONS!DH759</f>
        <v>0</v>
      </c>
      <c r="DI622" s="859">
        <f>DH622*1.02</f>
        <v>0</v>
      </c>
      <c r="DJ622" s="303">
        <f>DH622+DI622</f>
        <v>0</v>
      </c>
      <c r="DK622" s="304"/>
      <c r="DL622" s="859">
        <f>DI622*1.02</f>
        <v>0</v>
      </c>
      <c r="DM622" s="859">
        <f>DL622*1.02</f>
        <v>0</v>
      </c>
      <c r="DN622" s="303">
        <f>DL622+DM622</f>
        <v>0</v>
      </c>
      <c r="DO622" s="303"/>
      <c r="DP622" s="859">
        <f>DM622*1.02</f>
        <v>0</v>
      </c>
      <c r="DQ622" s="859">
        <f>DP622*1.02</f>
        <v>0</v>
      </c>
      <c r="DR622" s="303">
        <f>DP622+DQ622</f>
        <v>0</v>
      </c>
      <c r="DS622" s="303"/>
      <c r="DT622" s="304"/>
      <c r="DU622" s="859"/>
      <c r="DV622" s="859"/>
      <c r="DW622" s="859"/>
      <c r="DX622" s="303"/>
      <c r="DY622" s="304"/>
      <c r="DZ622" s="859"/>
      <c r="EA622" s="859"/>
      <c r="EB622" s="303"/>
      <c r="EC622" s="857"/>
      <c r="ED622" s="859"/>
      <c r="EE622" s="859"/>
      <c r="EF622" s="303"/>
      <c r="EG622" s="857"/>
      <c r="EH622" s="857"/>
      <c r="EI622" s="857"/>
      <c r="EJ622" s="857"/>
      <c r="EK622" s="857"/>
      <c r="EL622" s="857"/>
      <c r="EM622" s="857"/>
      <c r="EN622" s="857"/>
      <c r="EO622" s="857"/>
      <c r="EP622" s="857"/>
      <c r="FL622" s="855"/>
      <c r="FM622" s="855"/>
      <c r="FN622" s="855"/>
      <c r="FO622" s="855"/>
      <c r="FP622" s="855"/>
      <c r="FQ622" s="855"/>
      <c r="FR622" s="855"/>
      <c r="FS622" s="855"/>
      <c r="FT622" s="855"/>
      <c r="FU622" s="855"/>
      <c r="FV622" s="855"/>
      <c r="FW622" s="855"/>
      <c r="FX622" s="855"/>
      <c r="FY622" s="855"/>
      <c r="FZ622" s="855"/>
      <c r="GA622" s="855"/>
      <c r="GB622" s="855"/>
      <c r="GC622" s="855"/>
      <c r="GD622" s="855"/>
      <c r="GE622" s="855"/>
      <c r="GF622" s="855"/>
      <c r="GG622" s="855"/>
      <c r="GH622" s="855"/>
      <c r="GI622" s="855"/>
      <c r="GJ622" s="855"/>
      <c r="GK622" s="855"/>
      <c r="GL622" s="855"/>
      <c r="GM622" s="855"/>
      <c r="GN622" s="855"/>
      <c r="GO622" s="855"/>
      <c r="GP622" s="855"/>
      <c r="GQ622" s="855"/>
      <c r="GR622" s="855"/>
      <c r="GS622" s="855"/>
      <c r="GT622" s="855"/>
      <c r="GU622" s="855"/>
      <c r="GV622" s="855"/>
      <c r="GW622" s="855"/>
      <c r="GX622" s="855"/>
      <c r="GY622" s="855"/>
      <c r="GZ622" s="855"/>
      <c r="HA622" s="855"/>
      <c r="HB622" s="855"/>
      <c r="HC622" s="855"/>
      <c r="HD622" s="855"/>
      <c r="HE622" s="855"/>
      <c r="HF622" s="855"/>
      <c r="HG622" s="855"/>
      <c r="HH622" s="855"/>
      <c r="HI622" s="855"/>
      <c r="HJ622" s="855"/>
      <c r="HK622" s="855"/>
      <c r="HL622" s="855"/>
      <c r="HM622" s="855"/>
      <c r="HN622" s="855"/>
      <c r="HO622" s="855"/>
      <c r="HP622" s="855"/>
      <c r="HQ622" s="855"/>
      <c r="HR622" s="855"/>
      <c r="HS622" s="855"/>
      <c r="HT622" s="855"/>
      <c r="HU622" s="855"/>
      <c r="HV622" s="855"/>
      <c r="HW622" s="855"/>
      <c r="HX622" s="855"/>
      <c r="HY622" s="855"/>
      <c r="HZ622" s="855"/>
      <c r="IA622" s="855"/>
      <c r="IB622" s="855"/>
      <c r="IC622" s="855"/>
      <c r="ID622" s="855"/>
      <c r="IE622" s="855"/>
      <c r="IF622" s="855"/>
      <c r="IG622" s="855"/>
      <c r="IH622" s="855"/>
      <c r="II622" s="855"/>
      <c r="IJ622" s="855"/>
      <c r="IK622" s="855"/>
      <c r="IL622" s="855"/>
      <c r="IM622" s="855"/>
      <c r="IN622" s="855"/>
      <c r="IO622" s="855"/>
      <c r="IP622" s="855"/>
      <c r="IQ622" s="855"/>
      <c r="IR622" s="855"/>
      <c r="IS622" s="855"/>
      <c r="IT622" s="855"/>
      <c r="IU622" s="855"/>
      <c r="IV622" s="855"/>
      <c r="IW622" s="855"/>
      <c r="IX622" s="855"/>
      <c r="IY622" s="855"/>
      <c r="IZ622" s="855"/>
      <c r="JA622" s="855"/>
      <c r="JB622" s="855"/>
      <c r="JC622" s="855"/>
      <c r="JD622" s="855"/>
      <c r="JE622" s="855"/>
      <c r="JF622" s="855"/>
      <c r="JG622" s="855"/>
      <c r="JH622" s="855"/>
      <c r="JI622" s="855"/>
      <c r="JJ622" s="855"/>
      <c r="JK622" s="855"/>
      <c r="JL622" s="855"/>
      <c r="JM622"/>
    </row>
    <row r="623" spans="1:273" s="855" customFormat="1">
      <c r="A623" s="289" t="s">
        <v>613</v>
      </c>
      <c r="B623" s="290"/>
      <c r="C623" s="289"/>
      <c r="D623" s="289"/>
      <c r="E623" s="289"/>
      <c r="F623" s="289"/>
      <c r="G623" s="289"/>
      <c r="H623" s="289"/>
      <c r="I623" s="289"/>
      <c r="J623" s="289"/>
      <c r="K623" s="289"/>
      <c r="L623" s="289"/>
      <c r="M623" s="289"/>
      <c r="N623" s="289"/>
      <c r="O623" s="289"/>
      <c r="P623" s="289"/>
      <c r="Q623" s="289"/>
      <c r="R623" s="289"/>
      <c r="S623" s="289"/>
      <c r="T623" s="289"/>
      <c r="U623" s="289"/>
      <c r="V623" s="289"/>
      <c r="W623" s="289"/>
      <c r="X623" s="289"/>
      <c r="Y623" s="289"/>
      <c r="Z623" s="289"/>
      <c r="AA623" s="289"/>
      <c r="AB623" s="289"/>
      <c r="AC623" s="289"/>
      <c r="AD623" s="289"/>
      <c r="AE623" s="289"/>
      <c r="AF623" s="289"/>
      <c r="AG623" s="289"/>
      <c r="AH623" s="289"/>
      <c r="AI623" s="289"/>
      <c r="AJ623" s="289"/>
      <c r="AK623" s="289"/>
      <c r="AL623" s="289"/>
      <c r="AM623" s="289"/>
      <c r="AN623" s="290"/>
      <c r="AO623" s="290"/>
      <c r="AP623" s="853">
        <f>SUM(AP615:AP622)</f>
        <v>0</v>
      </c>
      <c r="AQ623" s="290"/>
      <c r="AR623" s="290"/>
      <c r="AS623" s="290"/>
      <c r="AT623" s="853">
        <f>SUM(AT615:AT622)</f>
        <v>0</v>
      </c>
      <c r="AU623" s="290"/>
      <c r="AV623" s="853">
        <f>SUM(AV615:AV622)</f>
        <v>0</v>
      </c>
      <c r="AW623" s="853">
        <f>SUM(AW615:AW622)</f>
        <v>0</v>
      </c>
      <c r="AX623" s="853"/>
      <c r="AY623" s="820"/>
      <c r="AZ623" s="853">
        <f>SUM(AZ615:AZ622)</f>
        <v>48</v>
      </c>
      <c r="BA623" s="853">
        <f>SUM(BA615:BA622)</f>
        <v>35</v>
      </c>
      <c r="BB623" s="853"/>
      <c r="BC623" s="853"/>
      <c r="BD623" s="853">
        <f>SUM(BD615:BD622)</f>
        <v>65</v>
      </c>
      <c r="BE623" s="853">
        <f>SUM(BE615:BE622)</f>
        <v>337</v>
      </c>
      <c r="BF623" s="818">
        <f t="shared" si="683"/>
        <v>402</v>
      </c>
      <c r="BG623" s="853"/>
      <c r="BH623" s="853">
        <f>SUM(BH615:BH622)</f>
        <v>42</v>
      </c>
      <c r="BI623" s="853">
        <f>SUM(BI615:BI622)</f>
        <v>39</v>
      </c>
      <c r="BJ623" s="818">
        <f>BH623+BI623</f>
        <v>81</v>
      </c>
      <c r="BK623" s="853"/>
      <c r="BL623" s="853">
        <f>SUM(BL615:BL622)</f>
        <v>52</v>
      </c>
      <c r="BM623" s="853">
        <f>SUM(BM615:BM622)</f>
        <v>36</v>
      </c>
      <c r="BN623" s="818">
        <f>BL623+BM623</f>
        <v>88</v>
      </c>
      <c r="BO623" s="853"/>
      <c r="BP623" s="853">
        <f>SUM(BP615:BP622)</f>
        <v>2</v>
      </c>
      <c r="BQ623" s="853">
        <f>SUM(BQ615:BQ622)</f>
        <v>0</v>
      </c>
      <c r="BR623" s="818">
        <f>BP623+BQ623</f>
        <v>2</v>
      </c>
      <c r="BS623" s="853"/>
      <c r="BT623" s="853">
        <f>SUM(BT615:BT622)</f>
        <v>0</v>
      </c>
      <c r="BU623" s="853">
        <f>SUM(BU615:BU622)</f>
        <v>0</v>
      </c>
      <c r="BV623" s="818">
        <f>BT623+BU623</f>
        <v>0</v>
      </c>
      <c r="BW623" s="853"/>
      <c r="BX623" s="853">
        <f>SUM(BX615:BX622)</f>
        <v>0</v>
      </c>
      <c r="BY623" s="853">
        <f>SUM(BY615:BY622)</f>
        <v>0</v>
      </c>
      <c r="BZ623" s="818">
        <f>BX623+BY623</f>
        <v>0</v>
      </c>
      <c r="CA623" s="853"/>
      <c r="CB623" s="853">
        <f>SUM(CB615:CB622)</f>
        <v>0</v>
      </c>
      <c r="CC623" s="853">
        <f>SUM(CC615:CC622)</f>
        <v>0</v>
      </c>
      <c r="CD623" s="818">
        <f>CB623+CC623</f>
        <v>0</v>
      </c>
      <c r="CE623" s="862"/>
      <c r="CF623" s="853">
        <f>SUM(CF615:CF622)</f>
        <v>0</v>
      </c>
      <c r="CG623" s="853">
        <f>SUM(CG615:CG622)</f>
        <v>0</v>
      </c>
      <c r="CH623" s="818">
        <f>CF623+CG623</f>
        <v>0</v>
      </c>
      <c r="CI623" s="862"/>
      <c r="CJ623" s="853">
        <f>SUM(CJ615:CJ622)</f>
        <v>0</v>
      </c>
      <c r="CK623" s="853">
        <f>SUM(CK615:CK622)</f>
        <v>0</v>
      </c>
      <c r="CL623" s="818">
        <f>CJ623+CK623</f>
        <v>0</v>
      </c>
      <c r="CM623" s="862"/>
      <c r="CN623" s="853">
        <f>SUM(CN615:CN622)</f>
        <v>0</v>
      </c>
      <c r="CO623" s="853">
        <f>SUM(CO615:CO622)</f>
        <v>0</v>
      </c>
      <c r="CP623" s="818">
        <f>CN623+CO623</f>
        <v>0</v>
      </c>
      <c r="CQ623" s="862"/>
      <c r="CR623" s="853">
        <f>SUM(CR615:CR622)</f>
        <v>0</v>
      </c>
      <c r="CS623" s="853">
        <f>SUM(CS615:CS622)</f>
        <v>0</v>
      </c>
      <c r="CT623" s="818">
        <f>CR623+CS623</f>
        <v>0</v>
      </c>
      <c r="CU623" s="853"/>
      <c r="CV623" s="853">
        <f>SUM(CV615:CV622)</f>
        <v>0</v>
      </c>
      <c r="CW623" s="853">
        <f>SUM(CW615:CW622)</f>
        <v>0</v>
      </c>
      <c r="CX623" s="818">
        <f>CV623+CW623</f>
        <v>0</v>
      </c>
      <c r="CY623" s="853"/>
      <c r="CZ623" s="853">
        <f>SUM(CZ615:CZ622)</f>
        <v>0</v>
      </c>
      <c r="DA623" s="853">
        <f>SUM(DA615:DA622)</f>
        <v>0</v>
      </c>
      <c r="DB623" s="818">
        <f>CZ623+DA623</f>
        <v>0</v>
      </c>
      <c r="DC623" s="853"/>
      <c r="DD623" s="853">
        <f>SUM(DD615:DD622)</f>
        <v>0</v>
      </c>
      <c r="DE623" s="853">
        <f>SUM(DE615:DE622)</f>
        <v>0</v>
      </c>
      <c r="DF623" s="818">
        <f>DD623+DE623</f>
        <v>0</v>
      </c>
      <c r="DG623" s="853"/>
      <c r="DH623" s="853">
        <f>SUM(DH615:DH622)</f>
        <v>0</v>
      </c>
      <c r="DI623" s="853">
        <f>SUM(DI615:DI622)</f>
        <v>0</v>
      </c>
      <c r="DJ623" s="818">
        <f>DH623+DI623</f>
        <v>0</v>
      </c>
      <c r="DK623" s="853"/>
      <c r="DL623" s="853">
        <f>SUM(DL615:DL622)</f>
        <v>0</v>
      </c>
      <c r="DM623" s="853">
        <f>SUM(DM615:DM622)</f>
        <v>0</v>
      </c>
      <c r="DN623" s="818">
        <f>DL623+DM623</f>
        <v>0</v>
      </c>
      <c r="DO623" s="818"/>
      <c r="DP623" s="853">
        <f>SUM(DP615:DP622)</f>
        <v>0</v>
      </c>
      <c r="DQ623" s="853">
        <f>SUM(DQ615:DQ622)</f>
        <v>0</v>
      </c>
      <c r="DR623" s="818">
        <f>DP623+DQ623</f>
        <v>0</v>
      </c>
      <c r="DS623" s="818"/>
      <c r="DT623" s="853"/>
      <c r="DU623" s="853"/>
      <c r="DV623" s="853"/>
      <c r="DW623" s="853"/>
      <c r="DX623" s="818"/>
      <c r="DY623" s="853"/>
      <c r="DZ623" s="853"/>
      <c r="EA623" s="853"/>
      <c r="EB623" s="818"/>
      <c r="EC623" s="853"/>
      <c r="ED623" s="853"/>
      <c r="EE623" s="853"/>
      <c r="EF623" s="818"/>
      <c r="EG623" s="853"/>
      <c r="EH623" s="853"/>
      <c r="EI623" s="853"/>
      <c r="EJ623" s="853"/>
      <c r="EK623" s="853"/>
      <c r="EL623" s="853"/>
      <c r="EM623" s="853"/>
      <c r="EN623" s="853"/>
      <c r="EO623" s="853"/>
      <c r="EP623" s="853"/>
      <c r="JM623"/>
    </row>
    <row r="624" spans="1:273" s="855" customFormat="1">
      <c r="A624" s="289"/>
      <c r="B624" s="290"/>
      <c r="C624" s="289"/>
      <c r="D624" s="289"/>
      <c r="E624" s="289"/>
      <c r="F624" s="289"/>
      <c r="G624" s="289"/>
      <c r="H624" s="289"/>
      <c r="I624" s="289"/>
      <c r="J624" s="289"/>
      <c r="K624" s="289"/>
      <c r="L624" s="289"/>
      <c r="M624" s="289"/>
      <c r="N624" s="289"/>
      <c r="O624" s="289"/>
      <c r="P624" s="289"/>
      <c r="Q624" s="289"/>
      <c r="R624" s="289"/>
      <c r="S624" s="289"/>
      <c r="T624" s="289"/>
      <c r="U624" s="289"/>
      <c r="V624" s="289"/>
      <c r="W624" s="289"/>
      <c r="X624" s="289"/>
      <c r="Y624" s="289"/>
      <c r="Z624" s="289"/>
      <c r="AA624" s="289"/>
      <c r="AB624" s="289"/>
      <c r="AC624" s="289"/>
      <c r="AD624" s="289"/>
      <c r="AE624" s="289"/>
      <c r="AF624" s="289"/>
      <c r="AG624" s="289"/>
      <c r="AH624" s="289"/>
      <c r="AI624" s="289"/>
      <c r="AJ624" s="289"/>
      <c r="AK624" s="289"/>
      <c r="AL624" s="289"/>
      <c r="AM624" s="289"/>
      <c r="AN624" s="290"/>
      <c r="AO624" s="290"/>
      <c r="AP624" s="290"/>
      <c r="AQ624" s="290"/>
      <c r="AR624" s="290"/>
      <c r="AS624" s="290"/>
      <c r="AT624" s="290"/>
      <c r="AU624" s="290"/>
      <c r="AV624" s="853"/>
      <c r="AW624" s="853"/>
      <c r="AX624" s="853"/>
      <c r="AY624" s="820"/>
      <c r="AZ624" s="853"/>
      <c r="BA624" s="853"/>
      <c r="BB624" s="853"/>
      <c r="BC624" s="853"/>
      <c r="BD624" s="967"/>
      <c r="BE624" s="967"/>
      <c r="BF624" s="853"/>
      <c r="BG624" s="853"/>
      <c r="BH624" s="967"/>
      <c r="BI624" s="967"/>
      <c r="BJ624" s="853"/>
      <c r="BK624" s="853"/>
      <c r="BL624" s="967"/>
      <c r="BM624" s="967"/>
      <c r="BN624" s="853"/>
      <c r="BO624" s="853"/>
      <c r="BP624" s="967"/>
      <c r="BQ624" s="967"/>
      <c r="BR624" s="853"/>
      <c r="BS624" s="853"/>
      <c r="BT624" s="967"/>
      <c r="BU624" s="967"/>
      <c r="BV624" s="853"/>
      <c r="BW624" s="853"/>
      <c r="BX624" s="967"/>
      <c r="BY624" s="967"/>
      <c r="BZ624" s="853"/>
      <c r="CA624" s="853"/>
      <c r="CB624" s="967"/>
      <c r="CC624" s="967"/>
      <c r="CD624" s="853"/>
      <c r="CE624" s="862"/>
      <c r="CF624" s="967"/>
      <c r="CG624" s="967"/>
      <c r="CH624" s="853"/>
      <c r="CI624" s="862"/>
      <c r="CJ624" s="967"/>
      <c r="CK624" s="967"/>
      <c r="CL624" s="853"/>
      <c r="CM624" s="862"/>
      <c r="CN624" s="967"/>
      <c r="CO624" s="967"/>
      <c r="CP624" s="853"/>
      <c r="CQ624" s="862"/>
      <c r="CR624" s="967"/>
      <c r="CS624" s="967"/>
      <c r="CT624" s="853"/>
      <c r="CU624" s="853"/>
      <c r="CV624" s="967"/>
      <c r="CW624" s="967"/>
      <c r="CX624" s="853"/>
      <c r="CY624" s="853"/>
      <c r="CZ624" s="967"/>
      <c r="DA624" s="967"/>
      <c r="DB624" s="853"/>
      <c r="DC624" s="853"/>
      <c r="DD624" s="967"/>
      <c r="DE624" s="967"/>
      <c r="DF624" s="853"/>
      <c r="DG624" s="853"/>
      <c r="DH624" s="967"/>
      <c r="DI624" s="967"/>
      <c r="DJ624" s="853"/>
      <c r="DK624" s="853"/>
      <c r="DL624" s="967"/>
      <c r="DM624" s="967"/>
      <c r="DN624" s="853"/>
      <c r="DO624" s="853"/>
      <c r="DP624" s="967"/>
      <c r="DQ624" s="967"/>
      <c r="DR624" s="853"/>
      <c r="DS624" s="853"/>
      <c r="DT624" s="853"/>
      <c r="DU624" s="967"/>
      <c r="DV624" s="967"/>
      <c r="DW624" s="967"/>
      <c r="DX624" s="853"/>
      <c r="DY624" s="853"/>
      <c r="DZ624" s="967"/>
      <c r="EA624" s="967"/>
      <c r="EB624" s="853"/>
      <c r="EC624" s="853"/>
      <c r="ED624" s="967"/>
      <c r="EE624" s="967"/>
      <c r="EF624" s="853"/>
      <c r="EG624" s="853"/>
      <c r="EH624" s="853"/>
      <c r="EI624" s="853"/>
      <c r="EJ624" s="853"/>
      <c r="EK624" s="853"/>
      <c r="EL624" s="853"/>
      <c r="EM624" s="853"/>
      <c r="EN624" s="853"/>
      <c r="EO624" s="853"/>
      <c r="EP624" s="853"/>
      <c r="JM624"/>
    </row>
    <row r="625" spans="1:273" s="971" customFormat="1">
      <c r="A625" s="866" t="s">
        <v>889</v>
      </c>
      <c r="B625" s="925"/>
      <c r="C625" s="866"/>
      <c r="D625" s="866"/>
      <c r="E625" s="866"/>
      <c r="F625" s="866"/>
      <c r="G625" s="866"/>
      <c r="H625" s="866"/>
      <c r="I625" s="866"/>
      <c r="J625" s="866"/>
      <c r="K625" s="866"/>
      <c r="L625" s="866"/>
      <c r="M625" s="866"/>
      <c r="N625" s="866"/>
      <c r="O625" s="866"/>
      <c r="P625" s="866"/>
      <c r="Q625" s="866"/>
      <c r="R625" s="866"/>
      <c r="S625" s="866"/>
      <c r="T625" s="866"/>
      <c r="U625" s="866"/>
      <c r="V625" s="866"/>
      <c r="W625" s="866"/>
      <c r="X625" s="866"/>
      <c r="Y625" s="866"/>
      <c r="Z625" s="866"/>
      <c r="AA625" s="866"/>
      <c r="AB625" s="866"/>
      <c r="AC625" s="866"/>
      <c r="AD625" s="866"/>
      <c r="AE625" s="866"/>
      <c r="AF625" s="866"/>
      <c r="AG625" s="866"/>
      <c r="AH625" s="866"/>
      <c r="AI625" s="866"/>
      <c r="AJ625" s="866"/>
      <c r="AK625" s="866"/>
      <c r="AL625" s="866"/>
      <c r="AM625" s="866"/>
      <c r="AN625" s="925"/>
      <c r="AO625" s="925"/>
      <c r="AP625" s="925"/>
      <c r="AQ625" s="925"/>
      <c r="AR625" s="925"/>
      <c r="AS625" s="925"/>
      <c r="AT625" s="925"/>
      <c r="AU625" s="925"/>
      <c r="AV625" s="968"/>
      <c r="AW625" s="968"/>
      <c r="AX625" s="968"/>
      <c r="AY625" s="969"/>
      <c r="AZ625" s="968"/>
      <c r="BA625" s="968"/>
      <c r="BB625" s="968"/>
      <c r="BC625" s="968"/>
      <c r="BD625" s="968"/>
      <c r="BE625" s="968"/>
      <c r="BF625" s="985"/>
      <c r="BG625" s="968"/>
      <c r="BH625" s="968"/>
      <c r="BI625" s="968"/>
      <c r="BJ625" s="985"/>
      <c r="BK625" s="968"/>
      <c r="BL625" s="968"/>
      <c r="BM625" s="968"/>
      <c r="BN625" s="985"/>
      <c r="BO625" s="968"/>
      <c r="BP625" s="968"/>
      <c r="BQ625" s="968"/>
      <c r="BR625" s="985"/>
      <c r="BS625" s="968"/>
      <c r="BT625" s="968"/>
      <c r="BU625" s="968"/>
      <c r="BV625" s="985"/>
      <c r="BW625" s="968"/>
      <c r="BX625" s="968"/>
      <c r="BY625" s="968"/>
      <c r="BZ625" s="985"/>
      <c r="CA625" s="968"/>
      <c r="CB625" s="968"/>
      <c r="CC625" s="968"/>
      <c r="CD625" s="985"/>
      <c r="CE625" s="1617"/>
      <c r="CF625" s="968"/>
      <c r="CG625" s="968"/>
      <c r="CH625" s="985"/>
      <c r="CI625" s="1617"/>
      <c r="CJ625" s="968"/>
      <c r="CK625" s="968"/>
      <c r="CL625" s="985"/>
      <c r="CM625" s="1617"/>
      <c r="CN625" s="968"/>
      <c r="CO625" s="968"/>
      <c r="CP625" s="985"/>
      <c r="CQ625" s="1617"/>
      <c r="CR625" s="968"/>
      <c r="CS625" s="968"/>
      <c r="CT625" s="985"/>
      <c r="CU625" s="968"/>
      <c r="CV625" s="968"/>
      <c r="CW625" s="968"/>
      <c r="CX625" s="985"/>
      <c r="CY625" s="968"/>
      <c r="CZ625" s="968"/>
      <c r="DA625" s="968"/>
      <c r="DB625" s="985"/>
      <c r="DC625" s="968"/>
      <c r="DD625" s="968"/>
      <c r="DE625" s="968"/>
      <c r="DF625" s="985"/>
      <c r="DG625" s="968"/>
      <c r="DH625" s="968"/>
      <c r="DI625" s="968"/>
      <c r="DJ625" s="985"/>
      <c r="DK625" s="968"/>
      <c r="DL625" s="968"/>
      <c r="DM625" s="968"/>
      <c r="DN625" s="985"/>
      <c r="DO625" s="985"/>
      <c r="DP625" s="968"/>
      <c r="DQ625" s="968"/>
      <c r="DR625" s="985"/>
      <c r="DS625" s="985"/>
      <c r="DT625" s="968"/>
      <c r="DU625" s="968"/>
      <c r="DV625" s="968"/>
      <c r="DW625" s="968"/>
      <c r="DX625" s="985"/>
      <c r="DY625" s="968"/>
      <c r="DZ625" s="968"/>
      <c r="EA625" s="968"/>
      <c r="EB625" s="985"/>
      <c r="EC625" s="968"/>
      <c r="ED625" s="968"/>
      <c r="EE625" s="968"/>
      <c r="EF625" s="985"/>
      <c r="EG625" s="968"/>
      <c r="EH625" s="968"/>
      <c r="EI625" s="968"/>
      <c r="EJ625" s="968"/>
      <c r="EK625" s="968"/>
      <c r="EL625" s="968"/>
      <c r="EM625" s="968"/>
      <c r="EN625" s="968"/>
      <c r="EO625" s="968"/>
      <c r="EP625" s="968"/>
      <c r="FL625" s="855"/>
      <c r="FM625" s="855"/>
      <c r="FN625" s="855"/>
      <c r="FO625" s="855"/>
      <c r="FP625" s="855"/>
      <c r="FQ625" s="855"/>
      <c r="FR625" s="855"/>
      <c r="FS625" s="855"/>
      <c r="FT625" s="855"/>
      <c r="FU625" s="855"/>
      <c r="FV625" s="855"/>
      <c r="FW625" s="855"/>
      <c r="FX625" s="855"/>
      <c r="FY625" s="855"/>
      <c r="FZ625" s="855"/>
      <c r="GA625" s="855"/>
      <c r="GB625" s="855"/>
      <c r="GC625" s="855"/>
      <c r="GD625" s="855"/>
      <c r="GE625" s="855"/>
      <c r="GF625" s="855"/>
      <c r="GG625" s="855"/>
      <c r="GH625" s="855"/>
      <c r="GI625" s="855"/>
      <c r="GJ625" s="855"/>
      <c r="GK625" s="855"/>
      <c r="GL625" s="855"/>
      <c r="GM625" s="855"/>
      <c r="GN625" s="855"/>
      <c r="GO625" s="855"/>
      <c r="GP625" s="855"/>
      <c r="GQ625" s="855"/>
      <c r="GR625" s="855"/>
      <c r="GS625" s="855"/>
      <c r="GT625" s="855"/>
      <c r="GU625" s="855"/>
      <c r="GV625" s="855"/>
      <c r="GW625" s="855"/>
      <c r="GX625" s="855"/>
      <c r="GY625" s="855"/>
      <c r="GZ625" s="855"/>
      <c r="HA625" s="855"/>
      <c r="HB625" s="855"/>
      <c r="HC625" s="855"/>
      <c r="HD625" s="855"/>
      <c r="HE625" s="855"/>
      <c r="HF625" s="855"/>
      <c r="HG625" s="855"/>
      <c r="HH625" s="855"/>
      <c r="HI625" s="855"/>
      <c r="HJ625" s="855"/>
      <c r="HK625" s="855"/>
      <c r="HL625" s="855"/>
      <c r="HM625" s="855"/>
      <c r="HN625" s="855"/>
      <c r="HO625" s="855"/>
      <c r="HP625" s="855"/>
      <c r="HQ625" s="855"/>
      <c r="HR625" s="855"/>
      <c r="HS625" s="855"/>
      <c r="HT625" s="855"/>
      <c r="HU625" s="855"/>
      <c r="HV625" s="855"/>
      <c r="HW625" s="855"/>
      <c r="HX625" s="855"/>
      <c r="HY625" s="855"/>
      <c r="HZ625" s="855"/>
      <c r="IA625" s="855"/>
      <c r="IB625" s="855"/>
      <c r="IC625" s="855"/>
      <c r="ID625" s="855"/>
      <c r="IE625" s="855"/>
      <c r="IF625" s="855"/>
      <c r="IG625" s="855"/>
      <c r="IH625" s="855"/>
      <c r="II625" s="855"/>
      <c r="IJ625" s="855"/>
      <c r="IK625" s="855"/>
      <c r="IL625" s="855"/>
      <c r="IM625" s="855"/>
      <c r="IN625" s="855"/>
      <c r="IO625" s="855"/>
      <c r="IP625" s="855"/>
      <c r="IQ625" s="855"/>
      <c r="IR625" s="855"/>
      <c r="IS625" s="855"/>
      <c r="IT625" s="855"/>
      <c r="IU625" s="855"/>
      <c r="IV625" s="855"/>
      <c r="IW625" s="855"/>
      <c r="IX625" s="855"/>
      <c r="IY625" s="855"/>
      <c r="IZ625" s="855"/>
      <c r="JA625" s="855"/>
      <c r="JB625" s="855"/>
      <c r="JC625" s="855"/>
      <c r="JD625" s="855"/>
      <c r="JE625" s="855"/>
      <c r="JF625" s="855"/>
      <c r="JG625" s="855"/>
      <c r="JH625" s="855"/>
      <c r="JI625" s="855"/>
      <c r="JJ625" s="855"/>
      <c r="JK625" s="855"/>
      <c r="JL625" s="855"/>
      <c r="JM625"/>
    </row>
    <row r="626" spans="1:273" s="860" customFormat="1">
      <c r="A626" s="302" t="s">
        <v>685</v>
      </c>
      <c r="B626" s="298"/>
      <c r="C626" s="296"/>
      <c r="D626" s="296"/>
      <c r="E626" s="296"/>
      <c r="F626" s="296"/>
      <c r="G626" s="296"/>
      <c r="H626" s="296"/>
      <c r="I626" s="296"/>
      <c r="J626" s="296"/>
      <c r="K626" s="296"/>
      <c r="L626" s="296"/>
      <c r="M626" s="296"/>
      <c r="N626" s="296"/>
      <c r="O626" s="296"/>
      <c r="P626" s="296"/>
      <c r="Q626" s="296"/>
      <c r="R626" s="296"/>
      <c r="S626" s="296"/>
      <c r="T626" s="296"/>
      <c r="U626" s="296"/>
      <c r="V626" s="296"/>
      <c r="W626" s="296"/>
      <c r="X626" s="296"/>
      <c r="Y626" s="296"/>
      <c r="Z626" s="296"/>
      <c r="AA626" s="296"/>
      <c r="AB626" s="296"/>
      <c r="AC626" s="296"/>
      <c r="AD626" s="296"/>
      <c r="AE626" s="296"/>
      <c r="AF626" s="296"/>
      <c r="AG626" s="296"/>
      <c r="AH626" s="296"/>
      <c r="AI626" s="296"/>
      <c r="AJ626" s="296"/>
      <c r="AK626" s="296"/>
      <c r="AL626" s="296"/>
      <c r="AM626" s="296"/>
      <c r="AN626" s="298"/>
      <c r="AO626" s="298"/>
      <c r="AP626" s="298"/>
      <c r="AQ626" s="298"/>
      <c r="AR626" s="298"/>
      <c r="AS626" s="298"/>
      <c r="AT626" s="298"/>
      <c r="AU626" s="972">
        <f>SUM(AV626:BZ626)</f>
        <v>0</v>
      </c>
      <c r="AV626" s="973">
        <v>0</v>
      </c>
      <c r="AW626" s="973">
        <v>0</v>
      </c>
      <c r="AX626" s="980"/>
      <c r="AY626" s="633"/>
      <c r="AZ626" s="973">
        <v>0</v>
      </c>
      <c r="BA626" s="973">
        <v>0</v>
      </c>
      <c r="BB626" s="857"/>
      <c r="BC626" s="857"/>
      <c r="BD626" s="973">
        <v>0</v>
      </c>
      <c r="BE626" s="973">
        <v>0</v>
      </c>
      <c r="BF626" s="929">
        <f>BD626+BE626</f>
        <v>0</v>
      </c>
      <c r="BG626" s="974"/>
      <c r="BH626" s="973">
        <v>0</v>
      </c>
      <c r="BI626" s="973">
        <v>0</v>
      </c>
      <c r="BJ626" s="929">
        <f t="shared" ref="BJ626:BJ631" si="684">BH626+BI626</f>
        <v>0</v>
      </c>
      <c r="BK626" s="974"/>
      <c r="BL626" s="973">
        <v>0</v>
      </c>
      <c r="BM626" s="973">
        <v>0</v>
      </c>
      <c r="BN626" s="929">
        <f t="shared" ref="BN626:BN631" si="685">BL626+BM626</f>
        <v>0</v>
      </c>
      <c r="BO626" s="974"/>
      <c r="BP626" s="973">
        <v>0</v>
      </c>
      <c r="BQ626" s="973">
        <v>0</v>
      </c>
      <c r="BR626" s="929">
        <f t="shared" ref="BR626:BR631" si="686">BP626+BQ626</f>
        <v>0</v>
      </c>
      <c r="BS626" s="974"/>
      <c r="BT626" s="973">
        <v>0</v>
      </c>
      <c r="BU626" s="973">
        <v>0</v>
      </c>
      <c r="BV626" s="929">
        <f t="shared" ref="BV626:BV631" si="687">BT626+BU626</f>
        <v>0</v>
      </c>
      <c r="BW626" s="974"/>
      <c r="BX626" s="974"/>
      <c r="BY626" s="974"/>
      <c r="BZ626" s="974"/>
      <c r="CA626" s="974"/>
      <c r="CB626" s="974"/>
      <c r="CC626" s="974"/>
      <c r="CD626" s="974"/>
      <c r="CE626" s="1618"/>
      <c r="CF626" s="974"/>
      <c r="CG626" s="974"/>
      <c r="CH626" s="974"/>
      <c r="CI626" s="1618"/>
      <c r="CJ626" s="974"/>
      <c r="CK626" s="974"/>
      <c r="CL626" s="974"/>
      <c r="CM626" s="1618"/>
      <c r="CN626" s="974"/>
      <c r="CO626" s="974"/>
      <c r="CP626" s="974"/>
      <c r="CQ626" s="1618"/>
      <c r="CR626" s="974"/>
      <c r="CS626" s="974"/>
      <c r="CT626" s="974"/>
      <c r="CU626" s="974"/>
      <c r="CV626" s="974"/>
      <c r="CW626" s="974"/>
      <c r="CX626" s="974"/>
      <c r="CY626" s="974"/>
      <c r="CZ626" s="974"/>
      <c r="DA626" s="974"/>
      <c r="DB626" s="974"/>
      <c r="DC626" s="974"/>
      <c r="DD626" s="974"/>
      <c r="DE626" s="974"/>
      <c r="DF626" s="974"/>
      <c r="DG626" s="974"/>
      <c r="DH626" s="974"/>
      <c r="DI626" s="974"/>
      <c r="DJ626" s="974"/>
      <c r="DK626" s="974"/>
      <c r="DL626" s="974"/>
      <c r="DM626" s="974"/>
      <c r="DN626" s="974"/>
      <c r="DO626" s="929"/>
      <c r="DP626" s="974"/>
      <c r="DQ626" s="974"/>
      <c r="DR626" s="974"/>
      <c r="DS626" s="929"/>
      <c r="DT626" s="974"/>
      <c r="DU626" s="859"/>
      <c r="DV626" s="859"/>
      <c r="DW626" s="859"/>
      <c r="DX626" s="929"/>
      <c r="DY626" s="857"/>
      <c r="DZ626" s="859"/>
      <c r="EA626" s="859"/>
      <c r="EB626" s="929"/>
      <c r="EC626" s="857"/>
      <c r="ED626" s="859"/>
      <c r="EE626" s="859"/>
      <c r="EF626" s="929"/>
      <c r="EG626" s="857"/>
      <c r="EH626" s="857"/>
      <c r="EI626" s="857"/>
      <c r="EJ626" s="857"/>
      <c r="EK626" s="857"/>
      <c r="EL626" s="857"/>
      <c r="EM626" s="857"/>
      <c r="EN626" s="857"/>
      <c r="EO626" s="857"/>
      <c r="EP626" s="857"/>
      <c r="FL626" s="855"/>
      <c r="FM626" s="855"/>
      <c r="FN626" s="855"/>
      <c r="FO626" s="855"/>
      <c r="FP626" s="855"/>
      <c r="FQ626" s="855"/>
      <c r="FR626" s="855"/>
      <c r="FS626" s="855"/>
      <c r="FT626" s="855"/>
      <c r="FU626" s="855"/>
      <c r="FV626" s="855"/>
      <c r="FW626" s="855"/>
      <c r="FX626" s="855"/>
      <c r="FY626" s="855"/>
      <c r="FZ626" s="855"/>
      <c r="GA626" s="855"/>
      <c r="GB626" s="855"/>
      <c r="GC626" s="855"/>
      <c r="GD626" s="855"/>
      <c r="GE626" s="855"/>
      <c r="GF626" s="855"/>
      <c r="GG626" s="855"/>
      <c r="GH626" s="855"/>
      <c r="GI626" s="855"/>
      <c r="GJ626" s="855"/>
      <c r="GK626" s="855"/>
      <c r="GL626" s="855"/>
      <c r="GM626" s="855"/>
      <c r="GN626" s="855"/>
      <c r="GO626" s="855"/>
      <c r="GP626" s="855"/>
      <c r="GQ626" s="855"/>
      <c r="GR626" s="855"/>
      <c r="GS626" s="855"/>
      <c r="GT626" s="855"/>
      <c r="GU626" s="855"/>
      <c r="GV626" s="855"/>
      <c r="GW626" s="855"/>
      <c r="GX626" s="855"/>
      <c r="GY626" s="855"/>
      <c r="GZ626" s="855"/>
      <c r="HA626" s="855"/>
      <c r="HB626" s="855"/>
      <c r="HC626" s="855"/>
      <c r="HD626" s="855"/>
      <c r="HE626" s="855"/>
      <c r="HF626" s="855"/>
      <c r="HG626" s="855"/>
      <c r="HH626" s="855"/>
      <c r="HI626" s="855"/>
      <c r="HJ626" s="855"/>
      <c r="HK626" s="855"/>
      <c r="HL626" s="855"/>
      <c r="HM626" s="855"/>
      <c r="HN626" s="855"/>
      <c r="HO626" s="855"/>
      <c r="HP626" s="855"/>
      <c r="HQ626" s="855"/>
      <c r="HR626" s="855"/>
      <c r="HS626" s="855"/>
      <c r="HT626" s="855"/>
      <c r="HU626" s="855"/>
      <c r="HV626" s="855"/>
      <c r="HW626" s="855"/>
      <c r="HX626" s="855"/>
      <c r="HY626" s="855"/>
      <c r="HZ626" s="855"/>
      <c r="IA626" s="855"/>
      <c r="IB626" s="855"/>
      <c r="IC626" s="855"/>
      <c r="ID626" s="855"/>
      <c r="IE626" s="855"/>
      <c r="IF626" s="855"/>
      <c r="IG626" s="855"/>
      <c r="IH626" s="855"/>
      <c r="II626" s="855"/>
      <c r="IJ626" s="855"/>
      <c r="IK626" s="855"/>
      <c r="IL626" s="855"/>
      <c r="IM626" s="855"/>
      <c r="IN626" s="855"/>
      <c r="IO626" s="855"/>
      <c r="IP626" s="855"/>
      <c r="IQ626" s="855"/>
      <c r="IR626" s="855"/>
      <c r="IS626" s="855"/>
      <c r="IT626" s="855"/>
      <c r="IU626" s="855"/>
      <c r="IV626" s="855"/>
      <c r="IW626" s="855"/>
      <c r="IX626" s="855"/>
      <c r="IY626" s="855"/>
      <c r="IZ626" s="855"/>
      <c r="JA626" s="855"/>
      <c r="JB626" s="855"/>
      <c r="JC626" s="855"/>
      <c r="JD626" s="855"/>
      <c r="JE626" s="855"/>
      <c r="JF626" s="855"/>
      <c r="JG626" s="855"/>
      <c r="JH626" s="855"/>
      <c r="JI626" s="855"/>
      <c r="JJ626" s="855"/>
      <c r="JK626" s="855"/>
      <c r="JL626" s="855"/>
      <c r="JM626"/>
    </row>
    <row r="627" spans="1:273" s="860" customFormat="1">
      <c r="A627" s="302" t="s">
        <v>686</v>
      </c>
      <c r="B627" s="298"/>
      <c r="C627" s="296"/>
      <c r="D627" s="296"/>
      <c r="E627" s="296"/>
      <c r="F627" s="296"/>
      <c r="G627" s="296"/>
      <c r="H627" s="296"/>
      <c r="I627" s="296"/>
      <c r="J627" s="296"/>
      <c r="K627" s="296"/>
      <c r="L627" s="296"/>
      <c r="M627" s="296"/>
      <c r="N627" s="296"/>
      <c r="O627" s="296"/>
      <c r="P627" s="296"/>
      <c r="Q627" s="296"/>
      <c r="R627" s="296"/>
      <c r="S627" s="296"/>
      <c r="T627" s="296"/>
      <c r="U627" s="296"/>
      <c r="V627" s="296"/>
      <c r="W627" s="296"/>
      <c r="X627" s="296"/>
      <c r="Y627" s="296"/>
      <c r="Z627" s="296"/>
      <c r="AA627" s="296"/>
      <c r="AB627" s="296"/>
      <c r="AC627" s="296"/>
      <c r="AD627" s="296"/>
      <c r="AE627" s="296"/>
      <c r="AF627" s="296"/>
      <c r="AG627" s="296"/>
      <c r="AH627" s="296"/>
      <c r="AI627" s="296"/>
      <c r="AJ627" s="296"/>
      <c r="AK627" s="296"/>
      <c r="AL627" s="296"/>
      <c r="AM627" s="296"/>
      <c r="AN627" s="298"/>
      <c r="AO627" s="298"/>
      <c r="AP627" s="929">
        <f>DIVISIONS!AP180</f>
        <v>0</v>
      </c>
      <c r="AQ627" s="298"/>
      <c r="AR627" s="298"/>
      <c r="AS627" s="298"/>
      <c r="AT627" s="929">
        <f>DIVISIONS!AT180</f>
        <v>0</v>
      </c>
      <c r="AU627" s="298"/>
      <c r="AV627" s="929">
        <f>DIVISIONS!AV180</f>
        <v>0</v>
      </c>
      <c r="AW627" s="929">
        <f>DIVISIONS!AW180</f>
        <v>0</v>
      </c>
      <c r="AX627" s="857"/>
      <c r="AY627" s="976"/>
      <c r="AZ627" s="929">
        <f>DIVISIONS!AZ180</f>
        <v>0</v>
      </c>
      <c r="BA627" s="929">
        <f>DIVISIONS!BA180</f>
        <v>0</v>
      </c>
      <c r="BB627" s="857"/>
      <c r="BC627" s="857"/>
      <c r="BD627" s="929">
        <f>DIVISIONS!BD180</f>
        <v>0</v>
      </c>
      <c r="BE627" s="929">
        <f>DIVISIONS!BE180</f>
        <v>0</v>
      </c>
      <c r="BF627" s="929">
        <f t="shared" ref="BF627:BF634" si="688">BD627+BE627</f>
        <v>0</v>
      </c>
      <c r="BG627" s="857"/>
      <c r="BH627" s="929">
        <f>DIVISIONS!BH180</f>
        <v>0</v>
      </c>
      <c r="BI627" s="929">
        <f>DIVISIONS!BI180</f>
        <v>0</v>
      </c>
      <c r="BJ627" s="929">
        <f t="shared" si="684"/>
        <v>0</v>
      </c>
      <c r="BK627" s="857"/>
      <c r="BL627" s="929">
        <f>DIVISIONS!BL180</f>
        <v>0</v>
      </c>
      <c r="BM627" s="929">
        <f>DIVISIONS!BM180</f>
        <v>0</v>
      </c>
      <c r="BN627" s="929">
        <f t="shared" si="685"/>
        <v>0</v>
      </c>
      <c r="BO627" s="857"/>
      <c r="BP627" s="929">
        <f>DIVISIONS!BP180</f>
        <v>0</v>
      </c>
      <c r="BQ627" s="929">
        <f>DIVISIONS!BQ180</f>
        <v>0</v>
      </c>
      <c r="BR627" s="929">
        <f t="shared" si="686"/>
        <v>0</v>
      </c>
      <c r="BS627" s="857"/>
      <c r="BT627" s="929">
        <f>DIVISIONS!BT180</f>
        <v>0</v>
      </c>
      <c r="BU627" s="929">
        <f>DIVISIONS!BU180</f>
        <v>0</v>
      </c>
      <c r="BV627" s="929">
        <f t="shared" si="687"/>
        <v>0</v>
      </c>
      <c r="BW627" s="857"/>
      <c r="BX627" s="929">
        <f>DIVISIONS!BX180</f>
        <v>0</v>
      </c>
      <c r="BY627" s="929">
        <f>DIVISIONS!BY180</f>
        <v>0</v>
      </c>
      <c r="BZ627" s="929">
        <f>BX627+BY627</f>
        <v>0</v>
      </c>
      <c r="CA627" s="857"/>
      <c r="CB627" s="929">
        <f>DIVISIONS!CB180</f>
        <v>0</v>
      </c>
      <c r="CC627" s="929">
        <f>DIVISIONS!CC180</f>
        <v>0</v>
      </c>
      <c r="CD627" s="929">
        <f>CB627+CC627</f>
        <v>0</v>
      </c>
      <c r="CE627" s="931"/>
      <c r="CF627" s="929">
        <f>DIVISIONS!CF180</f>
        <v>0</v>
      </c>
      <c r="CG627" s="929">
        <f>DIVISIONS!CG180</f>
        <v>0</v>
      </c>
      <c r="CH627" s="929">
        <f>CF627+CG627</f>
        <v>0</v>
      </c>
      <c r="CI627" s="931"/>
      <c r="CJ627" s="929">
        <f>DIVISIONS!CJ180</f>
        <v>0</v>
      </c>
      <c r="CK627" s="929">
        <f>DIVISIONS!CK180</f>
        <v>0</v>
      </c>
      <c r="CL627" s="929">
        <f>CJ627+CK627</f>
        <v>0</v>
      </c>
      <c r="CM627" s="931"/>
      <c r="CN627" s="929">
        <f>DIVISIONS!CN180</f>
        <v>0</v>
      </c>
      <c r="CO627" s="929">
        <f>DIVISIONS!CO180</f>
        <v>0</v>
      </c>
      <c r="CP627" s="929">
        <f>CN627+CO627</f>
        <v>0</v>
      </c>
      <c r="CQ627" s="931"/>
      <c r="CR627" s="929">
        <f>DIVISIONS!CR180</f>
        <v>0</v>
      </c>
      <c r="CS627" s="929">
        <f>DIVISIONS!CS180</f>
        <v>0</v>
      </c>
      <c r="CT627" s="929">
        <f>CR627+CS627</f>
        <v>0</v>
      </c>
      <c r="CU627" s="857"/>
      <c r="CV627" s="929">
        <f>DIVISIONS!CV180</f>
        <v>0</v>
      </c>
      <c r="CW627" s="929">
        <f>DIVISIONS!CW180</f>
        <v>0</v>
      </c>
      <c r="CX627" s="929">
        <f>CV627+CW627</f>
        <v>0</v>
      </c>
      <c r="CY627" s="857"/>
      <c r="CZ627" s="929">
        <f>DIVISIONS!CZ180</f>
        <v>0</v>
      </c>
      <c r="DA627" s="929">
        <f>DIVISIONS!DA180</f>
        <v>0</v>
      </c>
      <c r="DB627" s="929">
        <f>CZ627+DA627</f>
        <v>0</v>
      </c>
      <c r="DC627" s="857"/>
      <c r="DD627" s="929">
        <f>DIVISIONS!DD180</f>
        <v>0</v>
      </c>
      <c r="DE627" s="929">
        <f>DIVISIONS!DE180</f>
        <v>0</v>
      </c>
      <c r="DF627" s="929">
        <f>DD627+DE627</f>
        <v>0</v>
      </c>
      <c r="DG627" s="857"/>
      <c r="DH627" s="929">
        <f>DIVISIONS!DH180</f>
        <v>0</v>
      </c>
      <c r="DI627" s="859">
        <v>0</v>
      </c>
      <c r="DJ627" s="929">
        <f>DH627+DI627</f>
        <v>0</v>
      </c>
      <c r="DK627" s="857"/>
      <c r="DL627" s="859">
        <v>0</v>
      </c>
      <c r="DM627" s="859">
        <v>0</v>
      </c>
      <c r="DN627" s="929">
        <f>DL627+DM627</f>
        <v>0</v>
      </c>
      <c r="DO627" s="929"/>
      <c r="DP627" s="859">
        <v>0</v>
      </c>
      <c r="DQ627" s="859">
        <v>0</v>
      </c>
      <c r="DR627" s="929">
        <f>DP627+DQ627</f>
        <v>0</v>
      </c>
      <c r="DS627" s="929"/>
      <c r="DT627" s="857"/>
      <c r="DU627" s="859"/>
      <c r="DV627" s="859"/>
      <c r="DW627" s="859"/>
      <c r="DX627" s="929"/>
      <c r="DY627" s="857"/>
      <c r="DZ627" s="859"/>
      <c r="EA627" s="859"/>
      <c r="EB627" s="929"/>
      <c r="EC627" s="857"/>
      <c r="ED627" s="859"/>
      <c r="EE627" s="859"/>
      <c r="EF627" s="929"/>
      <c r="EG627" s="857"/>
      <c r="EH627" s="857"/>
      <c r="EI627" s="857"/>
      <c r="EJ627" s="857"/>
      <c r="EK627" s="857"/>
      <c r="EL627" s="857"/>
      <c r="EM627" s="857"/>
      <c r="EN627" s="857"/>
      <c r="EO627" s="857"/>
      <c r="EP627" s="857"/>
      <c r="FL627" s="855"/>
      <c r="FM627" s="855"/>
      <c r="FN627" s="855"/>
      <c r="FO627" s="855"/>
      <c r="FP627" s="855"/>
      <c r="FQ627" s="855"/>
      <c r="FR627" s="855"/>
      <c r="FS627" s="855"/>
      <c r="FT627" s="855"/>
      <c r="FU627" s="855"/>
      <c r="FV627" s="855"/>
      <c r="FW627" s="855"/>
      <c r="FX627" s="855"/>
      <c r="FY627" s="855"/>
      <c r="FZ627" s="855"/>
      <c r="GA627" s="855"/>
      <c r="GB627" s="855"/>
      <c r="GC627" s="855"/>
      <c r="GD627" s="855"/>
      <c r="GE627" s="855"/>
      <c r="GF627" s="855"/>
      <c r="GG627" s="855"/>
      <c r="GH627" s="855"/>
      <c r="GI627" s="855"/>
      <c r="GJ627" s="855"/>
      <c r="GK627" s="855"/>
      <c r="GL627" s="855"/>
      <c r="GM627" s="855"/>
      <c r="GN627" s="855"/>
      <c r="GO627" s="855"/>
      <c r="GP627" s="855"/>
      <c r="GQ627" s="855"/>
      <c r="GR627" s="855"/>
      <c r="GS627" s="855"/>
      <c r="GT627" s="855"/>
      <c r="GU627" s="855"/>
      <c r="GV627" s="855"/>
      <c r="GW627" s="855"/>
      <c r="GX627" s="855"/>
      <c r="GY627" s="855"/>
      <c r="GZ627" s="855"/>
      <c r="HA627" s="855"/>
      <c r="HB627" s="855"/>
      <c r="HC627" s="855"/>
      <c r="HD627" s="855"/>
      <c r="HE627" s="855"/>
      <c r="HF627" s="855"/>
      <c r="HG627" s="855"/>
      <c r="HH627" s="855"/>
      <c r="HI627" s="855"/>
      <c r="HJ627" s="855"/>
      <c r="HK627" s="855"/>
      <c r="HL627" s="855"/>
      <c r="HM627" s="855"/>
      <c r="HN627" s="855"/>
      <c r="HO627" s="855"/>
      <c r="HP627" s="855"/>
      <c r="HQ627" s="855"/>
      <c r="HR627" s="855"/>
      <c r="HS627" s="855"/>
      <c r="HT627" s="855"/>
      <c r="HU627" s="855"/>
      <c r="HV627" s="855"/>
      <c r="HW627" s="855"/>
      <c r="HX627" s="855"/>
      <c r="HY627" s="855"/>
      <c r="HZ627" s="855"/>
      <c r="IA627" s="855"/>
      <c r="IB627" s="855"/>
      <c r="IC627" s="855"/>
      <c r="ID627" s="855"/>
      <c r="IE627" s="855"/>
      <c r="IF627" s="855"/>
      <c r="IG627" s="855"/>
      <c r="IH627" s="855"/>
      <c r="II627" s="855"/>
      <c r="IJ627" s="855"/>
      <c r="IK627" s="855"/>
      <c r="IL627" s="855"/>
      <c r="IM627" s="855"/>
      <c r="IN627" s="855"/>
      <c r="IO627" s="855"/>
      <c r="IP627" s="855"/>
      <c r="IQ627" s="855"/>
      <c r="IR627" s="855"/>
      <c r="IS627" s="855"/>
      <c r="IT627" s="855"/>
      <c r="IU627" s="855"/>
      <c r="IV627" s="855"/>
      <c r="IW627" s="855"/>
      <c r="IX627" s="855"/>
      <c r="IY627" s="855"/>
      <c r="IZ627" s="855"/>
      <c r="JA627" s="855"/>
      <c r="JB627" s="855"/>
      <c r="JC627" s="855"/>
      <c r="JD627" s="855"/>
      <c r="JE627" s="855"/>
      <c r="JF627" s="855"/>
      <c r="JG627" s="855"/>
      <c r="JH627" s="855"/>
      <c r="JI627" s="855"/>
      <c r="JJ627" s="855"/>
      <c r="JK627" s="855"/>
      <c r="JL627" s="855"/>
      <c r="JM627"/>
    </row>
    <row r="628" spans="1:273" s="860" customFormat="1">
      <c r="A628" s="302" t="s">
        <v>616</v>
      </c>
      <c r="B628" s="298"/>
      <c r="C628" s="296"/>
      <c r="D628" s="296"/>
      <c r="E628" s="296"/>
      <c r="F628" s="296"/>
      <c r="G628" s="296"/>
      <c r="H628" s="296"/>
      <c r="I628" s="296"/>
      <c r="J628" s="296"/>
      <c r="K628" s="296"/>
      <c r="L628" s="296"/>
      <c r="M628" s="296"/>
      <c r="N628" s="296"/>
      <c r="O628" s="296"/>
      <c r="P628" s="296"/>
      <c r="Q628" s="296"/>
      <c r="R628" s="296"/>
      <c r="S628" s="296"/>
      <c r="T628" s="296"/>
      <c r="U628" s="296"/>
      <c r="V628" s="296"/>
      <c r="W628" s="296"/>
      <c r="X628" s="296"/>
      <c r="Y628" s="296"/>
      <c r="Z628" s="296"/>
      <c r="AA628" s="296"/>
      <c r="AB628" s="296"/>
      <c r="AC628" s="296"/>
      <c r="AD628" s="296"/>
      <c r="AE628" s="296"/>
      <c r="AF628" s="296"/>
      <c r="AG628" s="296"/>
      <c r="AH628" s="296"/>
      <c r="AI628" s="296"/>
      <c r="AJ628" s="296"/>
      <c r="AK628" s="296"/>
      <c r="AL628" s="296"/>
      <c r="AM628" s="296"/>
      <c r="AN628" s="298"/>
      <c r="AO628" s="298"/>
      <c r="AP628" s="929">
        <f>DIVISIONS!AP434</f>
        <v>0</v>
      </c>
      <c r="AQ628" s="298"/>
      <c r="AR628" s="298"/>
      <c r="AS628" s="298"/>
      <c r="AT628" s="929">
        <f>DIVISIONS!AT434</f>
        <v>0</v>
      </c>
      <c r="AU628" s="298"/>
      <c r="AV628" s="929">
        <f>DIVISIONS!AV434</f>
        <v>0</v>
      </c>
      <c r="AW628" s="929">
        <f>DIVISIONS!AW434</f>
        <v>0</v>
      </c>
      <c r="AX628" s="857"/>
      <c r="AY628" s="976"/>
      <c r="AZ628" s="929">
        <f>DIVISIONS!AZ434</f>
        <v>0</v>
      </c>
      <c r="BA628" s="929">
        <f>DIVISIONS!BA434</f>
        <v>0</v>
      </c>
      <c r="BB628" s="857"/>
      <c r="BC628" s="857"/>
      <c r="BD628" s="929">
        <f>DIVISIONS!BD434</f>
        <v>0</v>
      </c>
      <c r="BE628" s="929">
        <f>DIVISIONS!BE434</f>
        <v>0</v>
      </c>
      <c r="BF628" s="929">
        <f t="shared" si="688"/>
        <v>0</v>
      </c>
      <c r="BG628" s="857"/>
      <c r="BH628" s="929">
        <f>DIVISIONS!BH434</f>
        <v>0</v>
      </c>
      <c r="BI628" s="929">
        <f>DIVISIONS!BI434</f>
        <v>0</v>
      </c>
      <c r="BJ628" s="929">
        <f t="shared" si="684"/>
        <v>0</v>
      </c>
      <c r="BK628" s="857"/>
      <c r="BL628" s="929">
        <f>DIVISIONS!BL434</f>
        <v>0</v>
      </c>
      <c r="BM628" s="929">
        <f>DIVISIONS!BM434</f>
        <v>0</v>
      </c>
      <c r="BN628" s="929">
        <f t="shared" si="685"/>
        <v>0</v>
      </c>
      <c r="BO628" s="857"/>
      <c r="BP628" s="929">
        <f>DIVISIONS!BP434</f>
        <v>0</v>
      </c>
      <c r="BQ628" s="929">
        <f>DIVISIONS!BQ434</f>
        <v>0</v>
      </c>
      <c r="BR628" s="929">
        <f t="shared" si="686"/>
        <v>0</v>
      </c>
      <c r="BS628" s="857"/>
      <c r="BT628" s="929">
        <f>DIVISIONS!BT434</f>
        <v>0</v>
      </c>
      <c r="BU628" s="929">
        <f>DIVISIONS!BU434</f>
        <v>0</v>
      </c>
      <c r="BV628" s="929">
        <f t="shared" si="687"/>
        <v>0</v>
      </c>
      <c r="BW628" s="857"/>
      <c r="BX628" s="929">
        <f>DIVISIONS!BX434</f>
        <v>0</v>
      </c>
      <c r="BY628" s="929">
        <f>DIVISIONS!BY434</f>
        <v>0</v>
      </c>
      <c r="BZ628" s="929">
        <f>BX628+BY628</f>
        <v>0</v>
      </c>
      <c r="CA628" s="857"/>
      <c r="CB628" s="929">
        <f>DIVISIONS!CB434</f>
        <v>0</v>
      </c>
      <c r="CC628" s="929">
        <f>DIVISIONS!CC434</f>
        <v>0</v>
      </c>
      <c r="CD628" s="929">
        <f>CB628+CC628</f>
        <v>0</v>
      </c>
      <c r="CE628" s="931"/>
      <c r="CF628" s="929">
        <f>DIVISIONS!CF434</f>
        <v>0</v>
      </c>
      <c r="CG628" s="929">
        <f>DIVISIONS!CG434</f>
        <v>0</v>
      </c>
      <c r="CH628" s="929">
        <f>CF628+CG628</f>
        <v>0</v>
      </c>
      <c r="CI628" s="931"/>
      <c r="CJ628" s="929">
        <f>DIVISIONS!CJ434</f>
        <v>0</v>
      </c>
      <c r="CK628" s="929">
        <f>DIVISIONS!CK434</f>
        <v>0</v>
      </c>
      <c r="CL628" s="929">
        <f>CJ628+CK628</f>
        <v>0</v>
      </c>
      <c r="CM628" s="931"/>
      <c r="CN628" s="929">
        <f>DIVISIONS!CN434</f>
        <v>0</v>
      </c>
      <c r="CO628" s="929">
        <f>DIVISIONS!CO434</f>
        <v>0</v>
      </c>
      <c r="CP628" s="929">
        <f>CN628+CO628</f>
        <v>0</v>
      </c>
      <c r="CQ628" s="931"/>
      <c r="CR628" s="929">
        <f>DIVISIONS!CR434</f>
        <v>0</v>
      </c>
      <c r="CS628" s="929">
        <f>DIVISIONS!CS434</f>
        <v>0</v>
      </c>
      <c r="CT628" s="929">
        <f>CR628+CS628</f>
        <v>0</v>
      </c>
      <c r="CU628" s="857"/>
      <c r="CV628" s="929">
        <f>DIVISIONS!CV434</f>
        <v>0</v>
      </c>
      <c r="CW628" s="929">
        <f>DIVISIONS!CW434</f>
        <v>0</v>
      </c>
      <c r="CX628" s="929">
        <f>CV628+CW628</f>
        <v>0</v>
      </c>
      <c r="CY628" s="857"/>
      <c r="CZ628" s="929">
        <f>DIVISIONS!CZ434</f>
        <v>0</v>
      </c>
      <c r="DA628" s="929">
        <f>DIVISIONS!DA434</f>
        <v>0</v>
      </c>
      <c r="DB628" s="929">
        <f>CZ628+DA628</f>
        <v>0</v>
      </c>
      <c r="DC628" s="857"/>
      <c r="DD628" s="929">
        <f>DIVISIONS!DD434</f>
        <v>0</v>
      </c>
      <c r="DE628" s="929">
        <f>DIVISIONS!DE434</f>
        <v>0</v>
      </c>
      <c r="DF628" s="929">
        <f>DD628+DE628</f>
        <v>0</v>
      </c>
      <c r="DG628" s="857"/>
      <c r="DH628" s="929">
        <f>DIVISIONS!DH434</f>
        <v>0</v>
      </c>
      <c r="DI628" s="859">
        <v>0</v>
      </c>
      <c r="DJ628" s="929">
        <f>DH628+DI628</f>
        <v>0</v>
      </c>
      <c r="DK628" s="857"/>
      <c r="DL628" s="859">
        <v>0</v>
      </c>
      <c r="DM628" s="859">
        <v>0</v>
      </c>
      <c r="DN628" s="929">
        <f>DL628+DM628</f>
        <v>0</v>
      </c>
      <c r="DO628" s="929"/>
      <c r="DP628" s="859">
        <v>0</v>
      </c>
      <c r="DQ628" s="859">
        <v>0</v>
      </c>
      <c r="DR628" s="929">
        <f>DP628+DQ628</f>
        <v>0</v>
      </c>
      <c r="DS628" s="929"/>
      <c r="DT628" s="857"/>
      <c r="DU628" s="859"/>
      <c r="DV628" s="859"/>
      <c r="DW628" s="859"/>
      <c r="DX628" s="929"/>
      <c r="DY628" s="857"/>
      <c r="DZ628" s="859"/>
      <c r="EA628" s="859"/>
      <c r="EB628" s="929"/>
      <c r="EC628" s="857"/>
      <c r="ED628" s="859"/>
      <c r="EE628" s="859"/>
      <c r="EF628" s="929"/>
      <c r="EG628" s="857"/>
      <c r="EH628" s="857"/>
      <c r="EI628" s="857"/>
      <c r="EJ628" s="857"/>
      <c r="EK628" s="857"/>
      <c r="EL628" s="857"/>
      <c r="EM628" s="857"/>
      <c r="EN628" s="857"/>
      <c r="EO628" s="857"/>
      <c r="EP628" s="857"/>
      <c r="FL628" s="855"/>
      <c r="FM628" s="855"/>
      <c r="FN628" s="855"/>
      <c r="FO628" s="855"/>
      <c r="FP628" s="855"/>
      <c r="FQ628" s="855"/>
      <c r="FR628" s="855"/>
      <c r="FS628" s="855"/>
      <c r="FT628" s="855"/>
      <c r="FU628" s="855"/>
      <c r="FV628" s="855"/>
      <c r="FW628" s="855"/>
      <c r="FX628" s="855"/>
      <c r="FY628" s="855"/>
      <c r="FZ628" s="855"/>
      <c r="GA628" s="855"/>
      <c r="GB628" s="855"/>
      <c r="GC628" s="855"/>
      <c r="GD628" s="855"/>
      <c r="GE628" s="855"/>
      <c r="GF628" s="855"/>
      <c r="GG628" s="855"/>
      <c r="GH628" s="855"/>
      <c r="GI628" s="855"/>
      <c r="GJ628" s="855"/>
      <c r="GK628" s="855"/>
      <c r="GL628" s="855"/>
      <c r="GM628" s="855"/>
      <c r="GN628" s="855"/>
      <c r="GO628" s="855"/>
      <c r="GP628" s="855"/>
      <c r="GQ628" s="855"/>
      <c r="GR628" s="855"/>
      <c r="GS628" s="855"/>
      <c r="GT628" s="855"/>
      <c r="GU628" s="855"/>
      <c r="GV628" s="855"/>
      <c r="GW628" s="855"/>
      <c r="GX628" s="855"/>
      <c r="GY628" s="855"/>
      <c r="GZ628" s="855"/>
      <c r="HA628" s="855"/>
      <c r="HB628" s="855"/>
      <c r="HC628" s="855"/>
      <c r="HD628" s="855"/>
      <c r="HE628" s="855"/>
      <c r="HF628" s="855"/>
      <c r="HG628" s="855"/>
      <c r="HH628" s="855"/>
      <c r="HI628" s="855"/>
      <c r="HJ628" s="855"/>
      <c r="HK628" s="855"/>
      <c r="HL628" s="855"/>
      <c r="HM628" s="855"/>
      <c r="HN628" s="855"/>
      <c r="HO628" s="855"/>
      <c r="HP628" s="855"/>
      <c r="HQ628" s="855"/>
      <c r="HR628" s="855"/>
      <c r="HS628" s="855"/>
      <c r="HT628" s="855"/>
      <c r="HU628" s="855"/>
      <c r="HV628" s="855"/>
      <c r="HW628" s="855"/>
      <c r="HX628" s="855"/>
      <c r="HY628" s="855"/>
      <c r="HZ628" s="855"/>
      <c r="IA628" s="855"/>
      <c r="IB628" s="855"/>
      <c r="IC628" s="855"/>
      <c r="ID628" s="855"/>
      <c r="IE628" s="855"/>
      <c r="IF628" s="855"/>
      <c r="IG628" s="855"/>
      <c r="IH628" s="855"/>
      <c r="II628" s="855"/>
      <c r="IJ628" s="855"/>
      <c r="IK628" s="855"/>
      <c r="IL628" s="855"/>
      <c r="IM628" s="855"/>
      <c r="IN628" s="855"/>
      <c r="IO628" s="855"/>
      <c r="IP628" s="855"/>
      <c r="IQ628" s="855"/>
      <c r="IR628" s="855"/>
      <c r="IS628" s="855"/>
      <c r="IT628" s="855"/>
      <c r="IU628" s="855"/>
      <c r="IV628" s="855"/>
      <c r="IW628" s="855"/>
      <c r="IX628" s="855"/>
      <c r="IY628" s="855"/>
      <c r="IZ628" s="855"/>
      <c r="JA628" s="855"/>
      <c r="JB628" s="855"/>
      <c r="JC628" s="855"/>
      <c r="JD628" s="855"/>
      <c r="JE628" s="855"/>
      <c r="JF628" s="855"/>
      <c r="JG628" s="855"/>
      <c r="JH628" s="855"/>
      <c r="JI628" s="855"/>
      <c r="JJ628" s="855"/>
      <c r="JK628" s="855"/>
      <c r="JL628" s="855"/>
      <c r="JM628"/>
    </row>
    <row r="629" spans="1:273" s="860" customFormat="1">
      <c r="A629" s="302" t="s">
        <v>1024</v>
      </c>
      <c r="B629" s="298"/>
      <c r="C629" s="296"/>
      <c r="D629" s="296"/>
      <c r="E629" s="296"/>
      <c r="F629" s="296"/>
      <c r="G629" s="296"/>
      <c r="H629" s="296"/>
      <c r="I629" s="296"/>
      <c r="J629" s="296"/>
      <c r="K629" s="296"/>
      <c r="L629" s="296"/>
      <c r="M629" s="296"/>
      <c r="N629" s="296"/>
      <c r="O629" s="296"/>
      <c r="P629" s="296"/>
      <c r="Q629" s="296"/>
      <c r="R629" s="296"/>
      <c r="S629" s="296"/>
      <c r="T629" s="296"/>
      <c r="U629" s="296"/>
      <c r="V629" s="296"/>
      <c r="W629" s="296"/>
      <c r="X629" s="296"/>
      <c r="Y629" s="296"/>
      <c r="Z629" s="296"/>
      <c r="AA629" s="296"/>
      <c r="AB629" s="296"/>
      <c r="AC629" s="296"/>
      <c r="AD629" s="296"/>
      <c r="AE629" s="296"/>
      <c r="AF629" s="296"/>
      <c r="AG629" s="296"/>
      <c r="AH629" s="296"/>
      <c r="AI629" s="296"/>
      <c r="AJ629" s="296"/>
      <c r="AK629" s="296"/>
      <c r="AL629" s="296"/>
      <c r="AM629" s="296"/>
      <c r="AN629" s="298"/>
      <c r="AO629" s="298"/>
      <c r="AP629" s="929">
        <f>DIVISIONS!AP319</f>
        <v>0</v>
      </c>
      <c r="AQ629" s="298"/>
      <c r="AR629" s="298"/>
      <c r="AS629" s="298"/>
      <c r="AT629" s="929">
        <f>DIVISIONS!AT319</f>
        <v>0</v>
      </c>
      <c r="AU629" s="298"/>
      <c r="AV629" s="929">
        <f>DIVISIONS!AV319</f>
        <v>0</v>
      </c>
      <c r="AW629" s="929">
        <f>DIVISIONS!AW319</f>
        <v>0</v>
      </c>
      <c r="AX629" s="857"/>
      <c r="AY629" s="976"/>
      <c r="AZ629" s="929">
        <f>DIVISIONS!AZ319</f>
        <v>0</v>
      </c>
      <c r="BA629" s="929">
        <f>DIVISIONS!BA319</f>
        <v>0</v>
      </c>
      <c r="BB629" s="857"/>
      <c r="BC629" s="857"/>
      <c r="BD629" s="929">
        <f>DIVISIONS!BD319</f>
        <v>0</v>
      </c>
      <c r="BE629" s="929">
        <f>DIVISIONS!BE319</f>
        <v>0</v>
      </c>
      <c r="BF629" s="929">
        <f t="shared" si="688"/>
        <v>0</v>
      </c>
      <c r="BG629" s="857"/>
      <c r="BH629" s="929">
        <f>DIVISIONS!BH319</f>
        <v>0</v>
      </c>
      <c r="BI629" s="929">
        <f>DIVISIONS!BI319</f>
        <v>0</v>
      </c>
      <c r="BJ629" s="929">
        <f t="shared" si="684"/>
        <v>0</v>
      </c>
      <c r="BK629" s="857"/>
      <c r="BL629" s="929">
        <f>DIVISIONS!BL319</f>
        <v>0</v>
      </c>
      <c r="BM629" s="929">
        <f>DIVISIONS!BM319</f>
        <v>0</v>
      </c>
      <c r="BN629" s="929">
        <f t="shared" si="685"/>
        <v>0</v>
      </c>
      <c r="BO629" s="857"/>
      <c r="BP629" s="929">
        <f>DIVISIONS!BP319</f>
        <v>0</v>
      </c>
      <c r="BQ629" s="929">
        <f>DIVISIONS!BQ319</f>
        <v>0</v>
      </c>
      <c r="BR629" s="929">
        <f t="shared" si="686"/>
        <v>0</v>
      </c>
      <c r="BS629" s="857"/>
      <c r="BT629" s="929">
        <f>DIVISIONS!BT319</f>
        <v>0</v>
      </c>
      <c r="BU629" s="929">
        <f>DIVISIONS!BU319</f>
        <v>0</v>
      </c>
      <c r="BV629" s="929">
        <f t="shared" si="687"/>
        <v>0</v>
      </c>
      <c r="BW629" s="857"/>
      <c r="BX629" s="929">
        <f>DIVISIONS!BX319</f>
        <v>0</v>
      </c>
      <c r="BY629" s="929">
        <f>DIVISIONS!BY319</f>
        <v>0</v>
      </c>
      <c r="BZ629" s="929">
        <f>BX629+BY629</f>
        <v>0</v>
      </c>
      <c r="CA629" s="857"/>
      <c r="CB629" s="929">
        <f>DIVISIONS!CB319</f>
        <v>0</v>
      </c>
      <c r="CC629" s="929">
        <f>DIVISIONS!CC319</f>
        <v>0</v>
      </c>
      <c r="CD629" s="929">
        <f>CB629+CC629</f>
        <v>0</v>
      </c>
      <c r="CE629" s="931"/>
      <c r="CF629" s="929">
        <f>DIVISIONS!CF319</f>
        <v>0</v>
      </c>
      <c r="CG629" s="929">
        <f>DIVISIONS!CG319</f>
        <v>0</v>
      </c>
      <c r="CH629" s="929">
        <f>CF629+CG629</f>
        <v>0</v>
      </c>
      <c r="CI629" s="931"/>
      <c r="CJ629" s="929">
        <f>DIVISIONS!CJ319</f>
        <v>0</v>
      </c>
      <c r="CK629" s="929">
        <f>DIVISIONS!CK319</f>
        <v>0</v>
      </c>
      <c r="CL629" s="929">
        <f>CJ629+CK629</f>
        <v>0</v>
      </c>
      <c r="CM629" s="931"/>
      <c r="CN629" s="929">
        <f>DIVISIONS!CN319</f>
        <v>0</v>
      </c>
      <c r="CO629" s="929">
        <f>DIVISIONS!CO319</f>
        <v>0</v>
      </c>
      <c r="CP629" s="929">
        <f>CN629+CO629</f>
        <v>0</v>
      </c>
      <c r="CQ629" s="931"/>
      <c r="CR629" s="929">
        <f>DIVISIONS!CR319</f>
        <v>0</v>
      </c>
      <c r="CS629" s="929">
        <f>DIVISIONS!CS319</f>
        <v>0</v>
      </c>
      <c r="CT629" s="929">
        <f>CR629+CS629</f>
        <v>0</v>
      </c>
      <c r="CU629" s="857"/>
      <c r="CV629" s="929">
        <f>DIVISIONS!CV319</f>
        <v>0</v>
      </c>
      <c r="CW629" s="929">
        <f>DIVISIONS!CW319</f>
        <v>0</v>
      </c>
      <c r="CX629" s="929">
        <f>CV629+CW629</f>
        <v>0</v>
      </c>
      <c r="CY629" s="857"/>
      <c r="CZ629" s="929">
        <f>DIVISIONS!CZ319</f>
        <v>0</v>
      </c>
      <c r="DA629" s="929">
        <f>DIVISIONS!DA319</f>
        <v>0</v>
      </c>
      <c r="DB629" s="929">
        <f>CZ629+DA629</f>
        <v>0</v>
      </c>
      <c r="DC629" s="857"/>
      <c r="DD629" s="929">
        <f>DIVISIONS!DD319</f>
        <v>0</v>
      </c>
      <c r="DE629" s="929">
        <f>DIVISIONS!DE319</f>
        <v>0</v>
      </c>
      <c r="DF629" s="929">
        <f>DD629+DE629</f>
        <v>0</v>
      </c>
      <c r="DG629" s="857"/>
      <c r="DH629" s="929">
        <f>DIVISIONS!DH319</f>
        <v>0</v>
      </c>
      <c r="DI629" s="859">
        <v>0</v>
      </c>
      <c r="DJ629" s="929">
        <f>DH629+DI629</f>
        <v>0</v>
      </c>
      <c r="DK629" s="857"/>
      <c r="DL629" s="859">
        <v>0</v>
      </c>
      <c r="DM629" s="859">
        <v>0</v>
      </c>
      <c r="DN629" s="929">
        <f>DL629+DM629</f>
        <v>0</v>
      </c>
      <c r="DO629" s="929"/>
      <c r="DP629" s="859">
        <v>0</v>
      </c>
      <c r="DQ629" s="859">
        <v>0</v>
      </c>
      <c r="DR629" s="929">
        <f>DP629+DQ629</f>
        <v>0</v>
      </c>
      <c r="DS629" s="929"/>
      <c r="DT629" s="857"/>
      <c r="DU629" s="859"/>
      <c r="DV629" s="859"/>
      <c r="DW629" s="859"/>
      <c r="DX629" s="929"/>
      <c r="DY629" s="857"/>
      <c r="DZ629" s="859"/>
      <c r="EA629" s="859"/>
      <c r="EB629" s="929"/>
      <c r="EC629" s="857"/>
      <c r="ED629" s="859"/>
      <c r="EE629" s="859"/>
      <c r="EF629" s="929"/>
      <c r="EG629" s="857"/>
      <c r="EH629" s="857"/>
      <c r="EI629" s="857"/>
      <c r="EJ629" s="857"/>
      <c r="EK629" s="857"/>
      <c r="EL629" s="857"/>
      <c r="EM629" s="857"/>
      <c r="EN629" s="857"/>
      <c r="EO629" s="857"/>
      <c r="EP629" s="857"/>
      <c r="FL629" s="855"/>
      <c r="FM629" s="855"/>
      <c r="FN629" s="855"/>
      <c r="FO629" s="855"/>
      <c r="FP629" s="855"/>
      <c r="FQ629" s="855"/>
      <c r="FR629" s="855"/>
      <c r="FS629" s="855"/>
      <c r="FT629" s="855"/>
      <c r="FU629" s="855"/>
      <c r="FV629" s="855"/>
      <c r="FW629" s="855"/>
      <c r="FX629" s="855"/>
      <c r="FY629" s="855"/>
      <c r="FZ629" s="855"/>
      <c r="GA629" s="855"/>
      <c r="GB629" s="855"/>
      <c r="GC629" s="855"/>
      <c r="GD629" s="855"/>
      <c r="GE629" s="855"/>
      <c r="GF629" s="855"/>
      <c r="GG629" s="855"/>
      <c r="GH629" s="855"/>
      <c r="GI629" s="855"/>
      <c r="GJ629" s="855"/>
      <c r="GK629" s="855"/>
      <c r="GL629" s="855"/>
      <c r="GM629" s="855"/>
      <c r="GN629" s="855"/>
      <c r="GO629" s="855"/>
      <c r="GP629" s="855"/>
      <c r="GQ629" s="855"/>
      <c r="GR629" s="855"/>
      <c r="GS629" s="855"/>
      <c r="GT629" s="855"/>
      <c r="GU629" s="855"/>
      <c r="GV629" s="855"/>
      <c r="GW629" s="855"/>
      <c r="GX629" s="855"/>
      <c r="GY629" s="855"/>
      <c r="GZ629" s="855"/>
      <c r="HA629" s="855"/>
      <c r="HB629" s="855"/>
      <c r="HC629" s="855"/>
      <c r="HD629" s="855"/>
      <c r="HE629" s="855"/>
      <c r="HF629" s="855"/>
      <c r="HG629" s="855"/>
      <c r="HH629" s="855"/>
      <c r="HI629" s="855"/>
      <c r="HJ629" s="855"/>
      <c r="HK629" s="855"/>
      <c r="HL629" s="855"/>
      <c r="HM629" s="855"/>
      <c r="HN629" s="855"/>
      <c r="HO629" s="855"/>
      <c r="HP629" s="855"/>
      <c r="HQ629" s="855"/>
      <c r="HR629" s="855"/>
      <c r="HS629" s="855"/>
      <c r="HT629" s="855"/>
      <c r="HU629" s="855"/>
      <c r="HV629" s="855"/>
      <c r="HW629" s="855"/>
      <c r="HX629" s="855"/>
      <c r="HY629" s="855"/>
      <c r="HZ629" s="855"/>
      <c r="IA629" s="855"/>
      <c r="IB629" s="855"/>
      <c r="IC629" s="855"/>
      <c r="ID629" s="855"/>
      <c r="IE629" s="855"/>
      <c r="IF629" s="855"/>
      <c r="IG629" s="855"/>
      <c r="IH629" s="855"/>
      <c r="II629" s="855"/>
      <c r="IJ629" s="855"/>
      <c r="IK629" s="855"/>
      <c r="IL629" s="855"/>
      <c r="IM629" s="855"/>
      <c r="IN629" s="855"/>
      <c r="IO629" s="855"/>
      <c r="IP629" s="855"/>
      <c r="IQ629" s="855"/>
      <c r="IR629" s="855"/>
      <c r="IS629" s="855"/>
      <c r="IT629" s="855"/>
      <c r="IU629" s="855"/>
      <c r="IV629" s="855"/>
      <c r="IW629" s="855"/>
      <c r="IX629" s="855"/>
      <c r="IY629" s="855"/>
      <c r="IZ629" s="855"/>
      <c r="JA629" s="855"/>
      <c r="JB629" s="855"/>
      <c r="JC629" s="855"/>
      <c r="JD629" s="855"/>
      <c r="JE629" s="855"/>
      <c r="JF629" s="855"/>
      <c r="JG629" s="855"/>
      <c r="JH629" s="855"/>
      <c r="JI629" s="855"/>
      <c r="JJ629" s="855"/>
      <c r="JK629" s="855"/>
      <c r="JL629" s="855"/>
      <c r="JM629"/>
    </row>
    <row r="630" spans="1:273" s="860" customFormat="1">
      <c r="A630" s="302" t="s">
        <v>690</v>
      </c>
      <c r="B630" s="298"/>
      <c r="C630" s="296"/>
      <c r="D630" s="296"/>
      <c r="E630" s="296"/>
      <c r="F630" s="296"/>
      <c r="G630" s="296"/>
      <c r="H630" s="296"/>
      <c r="I630" s="296"/>
      <c r="J630" s="296"/>
      <c r="K630" s="296"/>
      <c r="L630" s="296"/>
      <c r="M630" s="296"/>
      <c r="N630" s="296"/>
      <c r="O630" s="296"/>
      <c r="P630" s="296"/>
      <c r="Q630" s="296"/>
      <c r="R630" s="296"/>
      <c r="S630" s="296"/>
      <c r="T630" s="296"/>
      <c r="U630" s="296"/>
      <c r="V630" s="296"/>
      <c r="W630" s="296"/>
      <c r="X630" s="296"/>
      <c r="Y630" s="296"/>
      <c r="Z630" s="296"/>
      <c r="AA630" s="296"/>
      <c r="AB630" s="296"/>
      <c r="AC630" s="296"/>
      <c r="AD630" s="296"/>
      <c r="AE630" s="296"/>
      <c r="AF630" s="296"/>
      <c r="AG630" s="296"/>
      <c r="AH630" s="296"/>
      <c r="AI630" s="296"/>
      <c r="AJ630" s="296"/>
      <c r="AK630" s="296"/>
      <c r="AL630" s="296"/>
      <c r="AM630" s="296"/>
      <c r="AN630" s="298"/>
      <c r="AO630" s="298"/>
      <c r="AP630" s="929">
        <f>DIVISIONS!AP522</f>
        <v>0</v>
      </c>
      <c r="AQ630" s="298"/>
      <c r="AR630" s="298"/>
      <c r="AS630" s="298"/>
      <c r="AT630" s="929">
        <f>DIVISIONS!AT522</f>
        <v>0</v>
      </c>
      <c r="AU630" s="298"/>
      <c r="AV630" s="929">
        <f>DIVISIONS!AV522</f>
        <v>0</v>
      </c>
      <c r="AW630" s="929">
        <f>DIVISIONS!AW522</f>
        <v>0</v>
      </c>
      <c r="AX630" s="857"/>
      <c r="AY630" s="976"/>
      <c r="AZ630" s="929">
        <f>DIVISIONS!AZ522</f>
        <v>0</v>
      </c>
      <c r="BA630" s="929">
        <f>DIVISIONS!BA522</f>
        <v>0</v>
      </c>
      <c r="BB630" s="857"/>
      <c r="BC630" s="857"/>
      <c r="BD630" s="929">
        <f>DIVISIONS!BD522</f>
        <v>0</v>
      </c>
      <c r="BE630" s="929">
        <f>DIVISIONS!BE522</f>
        <v>0</v>
      </c>
      <c r="BF630" s="929">
        <f t="shared" si="688"/>
        <v>0</v>
      </c>
      <c r="BG630" s="857"/>
      <c r="BH630" s="929">
        <f>DIVISIONS!BH522</f>
        <v>0</v>
      </c>
      <c r="BI630" s="929">
        <f>DIVISIONS!BI522</f>
        <v>0</v>
      </c>
      <c r="BJ630" s="929">
        <f t="shared" si="684"/>
        <v>0</v>
      </c>
      <c r="BK630" s="857"/>
      <c r="BL630" s="929">
        <f>DIVISIONS!BL522</f>
        <v>0</v>
      </c>
      <c r="BM630" s="929">
        <f>DIVISIONS!BM522</f>
        <v>0</v>
      </c>
      <c r="BN630" s="929">
        <f t="shared" si="685"/>
        <v>0</v>
      </c>
      <c r="BO630" s="857"/>
      <c r="BP630" s="929">
        <f>DIVISIONS!BP522</f>
        <v>0</v>
      </c>
      <c r="BQ630" s="929">
        <f>DIVISIONS!BQ522</f>
        <v>0</v>
      </c>
      <c r="BR630" s="929">
        <f t="shared" si="686"/>
        <v>0</v>
      </c>
      <c r="BS630" s="857"/>
      <c r="BT630" s="929">
        <f>DIVISIONS!BT522</f>
        <v>0</v>
      </c>
      <c r="BU630" s="929">
        <f>DIVISIONS!BU522</f>
        <v>0</v>
      </c>
      <c r="BV630" s="929">
        <f t="shared" si="687"/>
        <v>0</v>
      </c>
      <c r="BW630" s="857"/>
      <c r="BX630" s="929">
        <f>DIVISIONS!BX522</f>
        <v>0</v>
      </c>
      <c r="BY630" s="929">
        <f>DIVISIONS!BY522</f>
        <v>0</v>
      </c>
      <c r="BZ630" s="929">
        <f>BX630+BY630</f>
        <v>0</v>
      </c>
      <c r="CA630" s="857"/>
      <c r="CB630" s="929">
        <f>DIVISIONS!CB522</f>
        <v>0</v>
      </c>
      <c r="CC630" s="929">
        <f>DIVISIONS!CC522</f>
        <v>0</v>
      </c>
      <c r="CD630" s="929">
        <f>CB630+CC630</f>
        <v>0</v>
      </c>
      <c r="CE630" s="931"/>
      <c r="CF630" s="929">
        <f>DIVISIONS!CF522</f>
        <v>0</v>
      </c>
      <c r="CG630" s="929">
        <f>DIVISIONS!CG522</f>
        <v>0</v>
      </c>
      <c r="CH630" s="929">
        <f>CF630+CG630</f>
        <v>0</v>
      </c>
      <c r="CI630" s="931"/>
      <c r="CJ630" s="929">
        <f>DIVISIONS!CJ522</f>
        <v>0</v>
      </c>
      <c r="CK630" s="929">
        <f>DIVISIONS!CK522</f>
        <v>0</v>
      </c>
      <c r="CL630" s="929">
        <f>CJ630+CK630</f>
        <v>0</v>
      </c>
      <c r="CM630" s="931"/>
      <c r="CN630" s="929">
        <f>DIVISIONS!CN522</f>
        <v>0</v>
      </c>
      <c r="CO630" s="929">
        <f>DIVISIONS!CO522</f>
        <v>0</v>
      </c>
      <c r="CP630" s="929">
        <f>CN630+CO630</f>
        <v>0</v>
      </c>
      <c r="CQ630" s="931"/>
      <c r="CR630" s="929">
        <f>DIVISIONS!CR522</f>
        <v>0</v>
      </c>
      <c r="CS630" s="929">
        <f>DIVISIONS!CS522</f>
        <v>0</v>
      </c>
      <c r="CT630" s="929">
        <f>CR630+CS630</f>
        <v>0</v>
      </c>
      <c r="CU630" s="857"/>
      <c r="CV630" s="929">
        <f>DIVISIONS!CV522</f>
        <v>0</v>
      </c>
      <c r="CW630" s="929">
        <f>DIVISIONS!CW522</f>
        <v>0</v>
      </c>
      <c r="CX630" s="929">
        <f>CV630+CW630</f>
        <v>0</v>
      </c>
      <c r="CY630" s="857"/>
      <c r="CZ630" s="929">
        <f>DIVISIONS!CZ522</f>
        <v>0</v>
      </c>
      <c r="DA630" s="929">
        <f>DIVISIONS!DA522</f>
        <v>0</v>
      </c>
      <c r="DB630" s="929">
        <f>CZ630+DA630</f>
        <v>0</v>
      </c>
      <c r="DC630" s="857"/>
      <c r="DD630" s="929">
        <f>DIVISIONS!DD522</f>
        <v>0</v>
      </c>
      <c r="DE630" s="929">
        <f>DIVISIONS!DE522</f>
        <v>0</v>
      </c>
      <c r="DF630" s="929">
        <f>DD630+DE630</f>
        <v>0</v>
      </c>
      <c r="DG630" s="857"/>
      <c r="DH630" s="929">
        <f>DIVISIONS!DH522</f>
        <v>0</v>
      </c>
      <c r="DI630" s="859">
        <v>0</v>
      </c>
      <c r="DJ630" s="929">
        <f>DH630+DI630</f>
        <v>0</v>
      </c>
      <c r="DK630" s="857"/>
      <c r="DL630" s="859">
        <v>0</v>
      </c>
      <c r="DM630" s="859">
        <v>0</v>
      </c>
      <c r="DN630" s="929">
        <f>DL630+DM630</f>
        <v>0</v>
      </c>
      <c r="DO630" s="929"/>
      <c r="DP630" s="859">
        <v>0</v>
      </c>
      <c r="DQ630" s="859">
        <v>0</v>
      </c>
      <c r="DR630" s="929">
        <f>DP630+DQ630</f>
        <v>0</v>
      </c>
      <c r="DS630" s="929"/>
      <c r="DT630" s="857"/>
      <c r="DU630" s="859"/>
      <c r="DV630" s="859"/>
      <c r="DW630" s="859"/>
      <c r="DX630" s="929"/>
      <c r="DY630" s="857"/>
      <c r="DZ630" s="859"/>
      <c r="EA630" s="859"/>
      <c r="EB630" s="929"/>
      <c r="EC630" s="857"/>
      <c r="ED630" s="859"/>
      <c r="EE630" s="859"/>
      <c r="EF630" s="929"/>
      <c r="EG630" s="857"/>
      <c r="EH630" s="857"/>
      <c r="EI630" s="857"/>
      <c r="EJ630" s="857"/>
      <c r="EK630" s="857"/>
      <c r="EL630" s="857"/>
      <c r="EM630" s="857"/>
      <c r="EN630" s="857"/>
      <c r="EO630" s="857"/>
      <c r="EP630" s="857"/>
      <c r="FL630" s="855"/>
      <c r="FM630" s="855"/>
      <c r="FN630" s="855"/>
      <c r="FO630" s="855"/>
      <c r="FP630" s="855"/>
      <c r="FQ630" s="855"/>
      <c r="FR630" s="855"/>
      <c r="FS630" s="855"/>
      <c r="FT630" s="855"/>
      <c r="FU630" s="855"/>
      <c r="FV630" s="855"/>
      <c r="FW630" s="855"/>
      <c r="FX630" s="855"/>
      <c r="FY630" s="855"/>
      <c r="FZ630" s="855"/>
      <c r="GA630" s="855"/>
      <c r="GB630" s="855"/>
      <c r="GC630" s="855"/>
      <c r="GD630" s="855"/>
      <c r="GE630" s="855"/>
      <c r="GF630" s="855"/>
      <c r="GG630" s="855"/>
      <c r="GH630" s="855"/>
      <c r="GI630" s="855"/>
      <c r="GJ630" s="855"/>
      <c r="GK630" s="855"/>
      <c r="GL630" s="855"/>
      <c r="GM630" s="855"/>
      <c r="GN630" s="855"/>
      <c r="GO630" s="855"/>
      <c r="GP630" s="855"/>
      <c r="GQ630" s="855"/>
      <c r="GR630" s="855"/>
      <c r="GS630" s="855"/>
      <c r="GT630" s="855"/>
      <c r="GU630" s="855"/>
      <c r="GV630" s="855"/>
      <c r="GW630" s="855"/>
      <c r="GX630" s="855"/>
      <c r="GY630" s="855"/>
      <c r="GZ630" s="855"/>
      <c r="HA630" s="855"/>
      <c r="HB630" s="855"/>
      <c r="HC630" s="855"/>
      <c r="HD630" s="855"/>
      <c r="HE630" s="855"/>
      <c r="HF630" s="855"/>
      <c r="HG630" s="855"/>
      <c r="HH630" s="855"/>
      <c r="HI630" s="855"/>
      <c r="HJ630" s="855"/>
      <c r="HK630" s="855"/>
      <c r="HL630" s="855"/>
      <c r="HM630" s="855"/>
      <c r="HN630" s="855"/>
      <c r="HO630" s="855"/>
      <c r="HP630" s="855"/>
      <c r="HQ630" s="855"/>
      <c r="HR630" s="855"/>
      <c r="HS630" s="855"/>
      <c r="HT630" s="855"/>
      <c r="HU630" s="855"/>
      <c r="HV630" s="855"/>
      <c r="HW630" s="855"/>
      <c r="HX630" s="855"/>
      <c r="HY630" s="855"/>
      <c r="HZ630" s="855"/>
      <c r="IA630" s="855"/>
      <c r="IB630" s="855"/>
      <c r="IC630" s="855"/>
      <c r="ID630" s="855"/>
      <c r="IE630" s="855"/>
      <c r="IF630" s="855"/>
      <c r="IG630" s="855"/>
      <c r="IH630" s="855"/>
      <c r="II630" s="855"/>
      <c r="IJ630" s="855"/>
      <c r="IK630" s="855"/>
      <c r="IL630" s="855"/>
      <c r="IM630" s="855"/>
      <c r="IN630" s="855"/>
      <c r="IO630" s="855"/>
      <c r="IP630" s="855"/>
      <c r="IQ630" s="855"/>
      <c r="IR630" s="855"/>
      <c r="IS630" s="855"/>
      <c r="IT630" s="855"/>
      <c r="IU630" s="855"/>
      <c r="IV630" s="855"/>
      <c r="IW630" s="855"/>
      <c r="IX630" s="855"/>
      <c r="IY630" s="855"/>
      <c r="IZ630" s="855"/>
      <c r="JA630" s="855"/>
      <c r="JB630" s="855"/>
      <c r="JC630" s="855"/>
      <c r="JD630" s="855"/>
      <c r="JE630" s="855"/>
      <c r="JF630" s="855"/>
      <c r="JG630" s="855"/>
      <c r="JH630" s="855"/>
      <c r="JI630" s="855"/>
      <c r="JJ630" s="855"/>
      <c r="JK630" s="855"/>
      <c r="JL630" s="855"/>
      <c r="JM630"/>
    </row>
    <row r="631" spans="1:273" s="860" customFormat="1">
      <c r="A631" s="302" t="s">
        <v>689</v>
      </c>
      <c r="B631" s="298"/>
      <c r="C631" s="296"/>
      <c r="D631" s="296"/>
      <c r="E631" s="296"/>
      <c r="F631" s="296"/>
      <c r="G631" s="296"/>
      <c r="H631" s="296"/>
      <c r="I631" s="296"/>
      <c r="J631" s="296"/>
      <c r="K631" s="296"/>
      <c r="L631" s="296"/>
      <c r="M631" s="296"/>
      <c r="N631" s="296"/>
      <c r="O631" s="296"/>
      <c r="P631" s="296"/>
      <c r="Q631" s="296"/>
      <c r="R631" s="296"/>
      <c r="S631" s="296"/>
      <c r="T631" s="296"/>
      <c r="U631" s="296"/>
      <c r="V631" s="296"/>
      <c r="W631" s="296"/>
      <c r="X631" s="296"/>
      <c r="Y631" s="296"/>
      <c r="Z631" s="296"/>
      <c r="AA631" s="296"/>
      <c r="AB631" s="296"/>
      <c r="AC631" s="296"/>
      <c r="AD631" s="296"/>
      <c r="AE631" s="296"/>
      <c r="AF631" s="296"/>
      <c r="AG631" s="296"/>
      <c r="AH631" s="296"/>
      <c r="AI631" s="296"/>
      <c r="AJ631" s="296"/>
      <c r="AK631" s="296"/>
      <c r="AL631" s="296"/>
      <c r="AM631" s="296"/>
      <c r="AN631" s="298"/>
      <c r="AO631" s="298"/>
      <c r="AP631" s="929">
        <f>DIVISIONS!AP643</f>
        <v>0</v>
      </c>
      <c r="AQ631" s="298"/>
      <c r="AR631" s="298"/>
      <c r="AS631" s="298"/>
      <c r="AT631" s="929">
        <f>DIVISIONS!AT643</f>
        <v>0</v>
      </c>
      <c r="AU631" s="298"/>
      <c r="AV631" s="929">
        <f>DIVISIONS!AV643</f>
        <v>0</v>
      </c>
      <c r="AW631" s="929">
        <f>DIVISIONS!AW643</f>
        <v>0</v>
      </c>
      <c r="AX631" s="857"/>
      <c r="AY631" s="976"/>
      <c r="AZ631" s="929">
        <f>DIVISIONS!AZ643</f>
        <v>0</v>
      </c>
      <c r="BA631" s="929">
        <f>DIVISIONS!BA643</f>
        <v>0</v>
      </c>
      <c r="BB631" s="857"/>
      <c r="BC631" s="857"/>
      <c r="BD631" s="929">
        <f>DIVISIONS!BD643</f>
        <v>0</v>
      </c>
      <c r="BE631" s="929">
        <f>DIVISIONS!BE643</f>
        <v>0</v>
      </c>
      <c r="BF631" s="929">
        <f t="shared" si="688"/>
        <v>0</v>
      </c>
      <c r="BG631" s="857"/>
      <c r="BH631" s="929">
        <f>DIVISIONS!BH643</f>
        <v>0</v>
      </c>
      <c r="BI631" s="929">
        <f>DIVISIONS!BI643</f>
        <v>0</v>
      </c>
      <c r="BJ631" s="929">
        <f t="shared" si="684"/>
        <v>0</v>
      </c>
      <c r="BK631" s="857"/>
      <c r="BL631" s="929">
        <f>DIVISIONS!BL643</f>
        <v>0</v>
      </c>
      <c r="BM631" s="929">
        <f>DIVISIONS!BM643</f>
        <v>0</v>
      </c>
      <c r="BN631" s="929">
        <f t="shared" si="685"/>
        <v>0</v>
      </c>
      <c r="BO631" s="857"/>
      <c r="BP631" s="929">
        <f>DIVISIONS!BP643</f>
        <v>0</v>
      </c>
      <c r="BQ631" s="929">
        <f>DIVISIONS!BQ643</f>
        <v>0</v>
      </c>
      <c r="BR631" s="929">
        <f t="shared" si="686"/>
        <v>0</v>
      </c>
      <c r="BS631" s="857"/>
      <c r="BT631" s="929">
        <f>DIVISIONS!BT643</f>
        <v>0</v>
      </c>
      <c r="BU631" s="929">
        <f>DIVISIONS!BU643</f>
        <v>0</v>
      </c>
      <c r="BV631" s="929">
        <f t="shared" si="687"/>
        <v>0</v>
      </c>
      <c r="BW631" s="857"/>
      <c r="BX631" s="929">
        <f>DIVISIONS!BX643</f>
        <v>0</v>
      </c>
      <c r="BY631" s="929">
        <f>DIVISIONS!BY643</f>
        <v>0</v>
      </c>
      <c r="BZ631" s="929">
        <f>BX631+BY631</f>
        <v>0</v>
      </c>
      <c r="CA631" s="857"/>
      <c r="CB631" s="929">
        <f>DIVISIONS!CB643</f>
        <v>0</v>
      </c>
      <c r="CC631" s="929">
        <f>DIVISIONS!CC643</f>
        <v>0</v>
      </c>
      <c r="CD631" s="929">
        <f>CB631+CC631</f>
        <v>0</v>
      </c>
      <c r="CE631" s="931"/>
      <c r="CF631" s="929">
        <f>DIVISIONS!CF643</f>
        <v>0</v>
      </c>
      <c r="CG631" s="929">
        <f>DIVISIONS!CG643</f>
        <v>0</v>
      </c>
      <c r="CH631" s="929">
        <f>CF631+CG631</f>
        <v>0</v>
      </c>
      <c r="CI631" s="931"/>
      <c r="CJ631" s="929">
        <f>DIVISIONS!CJ643</f>
        <v>0</v>
      </c>
      <c r="CK631" s="929">
        <f>DIVISIONS!CK643</f>
        <v>0</v>
      </c>
      <c r="CL631" s="929">
        <f>CJ631+CK631</f>
        <v>0</v>
      </c>
      <c r="CM631" s="931"/>
      <c r="CN631" s="929">
        <f>DIVISIONS!CN643</f>
        <v>0</v>
      </c>
      <c r="CO631" s="929">
        <f>DIVISIONS!CO643</f>
        <v>0</v>
      </c>
      <c r="CP631" s="929">
        <f>CN631+CO631</f>
        <v>0</v>
      </c>
      <c r="CQ631" s="931"/>
      <c r="CR631" s="929">
        <f>DIVISIONS!CR643</f>
        <v>0</v>
      </c>
      <c r="CS631" s="929">
        <f>DIVISIONS!CS643</f>
        <v>0</v>
      </c>
      <c r="CT631" s="929">
        <f>CR631+CS631</f>
        <v>0</v>
      </c>
      <c r="CU631" s="857"/>
      <c r="CV631" s="929">
        <f>DIVISIONS!CV643</f>
        <v>0</v>
      </c>
      <c r="CW631" s="929">
        <f>DIVISIONS!CW643</f>
        <v>0</v>
      </c>
      <c r="CX631" s="929">
        <f>CV631+CW631</f>
        <v>0</v>
      </c>
      <c r="CY631" s="857"/>
      <c r="CZ631" s="929">
        <f>DIVISIONS!CZ643</f>
        <v>0</v>
      </c>
      <c r="DA631" s="929">
        <f>DIVISIONS!DA643</f>
        <v>0</v>
      </c>
      <c r="DB631" s="929">
        <f>CZ631+DA631</f>
        <v>0</v>
      </c>
      <c r="DC631" s="857"/>
      <c r="DD631" s="929">
        <f>DIVISIONS!DD643</f>
        <v>0</v>
      </c>
      <c r="DE631" s="929">
        <f>DIVISIONS!DE643</f>
        <v>0</v>
      </c>
      <c r="DF631" s="929">
        <f>DD631+DE631</f>
        <v>0</v>
      </c>
      <c r="DG631" s="857"/>
      <c r="DH631" s="929">
        <f>DIVISIONS!DH643</f>
        <v>0</v>
      </c>
      <c r="DI631" s="859">
        <v>0</v>
      </c>
      <c r="DJ631" s="929">
        <f>DH631+DI631</f>
        <v>0</v>
      </c>
      <c r="DK631" s="857"/>
      <c r="DL631" s="859">
        <v>0</v>
      </c>
      <c r="DM631" s="859">
        <v>0</v>
      </c>
      <c r="DN631" s="929">
        <f>DL631+DM631</f>
        <v>0</v>
      </c>
      <c r="DO631" s="929"/>
      <c r="DP631" s="859">
        <v>0</v>
      </c>
      <c r="DQ631" s="859">
        <v>0</v>
      </c>
      <c r="DR631" s="929">
        <f>DP631+DQ631</f>
        <v>0</v>
      </c>
      <c r="DS631" s="929"/>
      <c r="DT631" s="857"/>
      <c r="DU631" s="859"/>
      <c r="DV631" s="859"/>
      <c r="DW631" s="859"/>
      <c r="DX631" s="929"/>
      <c r="DY631" s="857"/>
      <c r="DZ631" s="859"/>
      <c r="EA631" s="859"/>
      <c r="EB631" s="929"/>
      <c r="EC631" s="857"/>
      <c r="ED631" s="859"/>
      <c r="EE631" s="859"/>
      <c r="EF631" s="929"/>
      <c r="EG631" s="857"/>
      <c r="EH631" s="857"/>
      <c r="EI631" s="857"/>
      <c r="EJ631" s="857"/>
      <c r="EK631" s="857"/>
      <c r="EL631" s="857"/>
      <c r="EM631" s="857"/>
      <c r="EN631" s="857"/>
      <c r="EO631" s="857"/>
      <c r="EP631" s="857"/>
      <c r="FL631" s="855"/>
      <c r="FM631" s="855"/>
      <c r="FN631" s="855"/>
      <c r="FO631" s="855"/>
      <c r="FP631" s="855"/>
      <c r="FQ631" s="855"/>
      <c r="FR631" s="855"/>
      <c r="FS631" s="855"/>
      <c r="FT631" s="855"/>
      <c r="FU631" s="855"/>
      <c r="FV631" s="855"/>
      <c r="FW631" s="855"/>
      <c r="FX631" s="855"/>
      <c r="FY631" s="855"/>
      <c r="FZ631" s="855"/>
      <c r="GA631" s="855"/>
      <c r="GB631" s="855"/>
      <c r="GC631" s="855"/>
      <c r="GD631" s="855"/>
      <c r="GE631" s="855"/>
      <c r="GF631" s="855"/>
      <c r="GG631" s="855"/>
      <c r="GH631" s="855"/>
      <c r="GI631" s="855"/>
      <c r="GJ631" s="855"/>
      <c r="GK631" s="855"/>
      <c r="GL631" s="855"/>
      <c r="GM631" s="855"/>
      <c r="GN631" s="855"/>
      <c r="GO631" s="855"/>
      <c r="GP631" s="855"/>
      <c r="GQ631" s="855"/>
      <c r="GR631" s="855"/>
      <c r="GS631" s="855"/>
      <c r="GT631" s="855"/>
      <c r="GU631" s="855"/>
      <c r="GV631" s="855"/>
      <c r="GW631" s="855"/>
      <c r="GX631" s="855"/>
      <c r="GY631" s="855"/>
      <c r="GZ631" s="855"/>
      <c r="HA631" s="855"/>
      <c r="HB631" s="855"/>
      <c r="HC631" s="855"/>
      <c r="HD631" s="855"/>
      <c r="HE631" s="855"/>
      <c r="HF631" s="855"/>
      <c r="HG631" s="855"/>
      <c r="HH631" s="855"/>
      <c r="HI631" s="855"/>
      <c r="HJ631" s="855"/>
      <c r="HK631" s="855"/>
      <c r="HL631" s="855"/>
      <c r="HM631" s="855"/>
      <c r="HN631" s="855"/>
      <c r="HO631" s="855"/>
      <c r="HP631" s="855"/>
      <c r="HQ631" s="855"/>
      <c r="HR631" s="855"/>
      <c r="HS631" s="855"/>
      <c r="HT631" s="855"/>
      <c r="HU631" s="855"/>
      <c r="HV631" s="855"/>
      <c r="HW631" s="855"/>
      <c r="HX631" s="855"/>
      <c r="HY631" s="855"/>
      <c r="HZ631" s="855"/>
      <c r="IA631" s="855"/>
      <c r="IB631" s="855"/>
      <c r="IC631" s="855"/>
      <c r="ID631" s="855"/>
      <c r="IE631" s="855"/>
      <c r="IF631" s="855"/>
      <c r="IG631" s="855"/>
      <c r="IH631" s="855"/>
      <c r="II631" s="855"/>
      <c r="IJ631" s="855"/>
      <c r="IK631" s="855"/>
      <c r="IL631" s="855"/>
      <c r="IM631" s="855"/>
      <c r="IN631" s="855"/>
      <c r="IO631" s="855"/>
      <c r="IP631" s="855"/>
      <c r="IQ631" s="855"/>
      <c r="IR631" s="855"/>
      <c r="IS631" s="855"/>
      <c r="IT631" s="855"/>
      <c r="IU631" s="855"/>
      <c r="IV631" s="855"/>
      <c r="IW631" s="855"/>
      <c r="IX631" s="855"/>
      <c r="IY631" s="855"/>
      <c r="IZ631" s="855"/>
      <c r="JA631" s="855"/>
      <c r="JB631" s="855"/>
      <c r="JC631" s="855"/>
      <c r="JD631" s="855"/>
      <c r="JE631" s="855"/>
      <c r="JF631" s="855"/>
      <c r="JG631" s="855"/>
      <c r="JH631" s="855"/>
      <c r="JI631" s="855"/>
      <c r="JJ631" s="855"/>
      <c r="JK631" s="855"/>
      <c r="JL631" s="855"/>
      <c r="JM631"/>
    </row>
    <row r="632" spans="1:273" s="860" customFormat="1">
      <c r="A632" s="302" t="s">
        <v>688</v>
      </c>
      <c r="B632" s="298"/>
      <c r="C632" s="296"/>
      <c r="D632" s="296"/>
      <c r="E632" s="296"/>
      <c r="F632" s="296"/>
      <c r="G632" s="296"/>
      <c r="H632" s="296"/>
      <c r="I632" s="296"/>
      <c r="J632" s="296"/>
      <c r="K632" s="296"/>
      <c r="L632" s="296"/>
      <c r="M632" s="296"/>
      <c r="N632" s="296"/>
      <c r="O632" s="296"/>
      <c r="P632" s="296"/>
      <c r="Q632" s="296"/>
      <c r="R632" s="296"/>
      <c r="S632" s="296"/>
      <c r="T632" s="296"/>
      <c r="U632" s="296"/>
      <c r="V632" s="296"/>
      <c r="W632" s="296"/>
      <c r="X632" s="296"/>
      <c r="Y632" s="296"/>
      <c r="Z632" s="296"/>
      <c r="AA632" s="296"/>
      <c r="AB632" s="296"/>
      <c r="AC632" s="296"/>
      <c r="AD632" s="296"/>
      <c r="AE632" s="296"/>
      <c r="AF632" s="296"/>
      <c r="AG632" s="296"/>
      <c r="AH632" s="296"/>
      <c r="AI632" s="296"/>
      <c r="AJ632" s="296"/>
      <c r="AK632" s="296"/>
      <c r="AL632" s="296"/>
      <c r="AM632" s="296"/>
      <c r="AN632" s="298"/>
      <c r="AO632" s="298"/>
      <c r="AP632" s="929">
        <f>DIVISIONS!AP702</f>
        <v>0</v>
      </c>
      <c r="AQ632" s="298"/>
      <c r="AR632" s="298"/>
      <c r="AS632" s="298"/>
      <c r="AT632" s="929">
        <f>DIVISIONS!AT702</f>
        <v>0</v>
      </c>
      <c r="AU632" s="298"/>
      <c r="AV632" s="929">
        <f>DIVISIONS!AV702</f>
        <v>0</v>
      </c>
      <c r="AW632" s="929">
        <f>DIVISIONS!AW702</f>
        <v>0</v>
      </c>
      <c r="AX632" s="857"/>
      <c r="AY632" s="976"/>
      <c r="AZ632" s="929">
        <f>DIVISIONS!AZ702</f>
        <v>0</v>
      </c>
      <c r="BA632" s="929">
        <f>DIVISIONS!BA702</f>
        <v>0</v>
      </c>
      <c r="BB632" s="857"/>
      <c r="BC632" s="857"/>
      <c r="BD632" s="929"/>
      <c r="BE632" s="929"/>
      <c r="BF632" s="929"/>
      <c r="BG632" s="857"/>
      <c r="BH632" s="929"/>
      <c r="BI632" s="929"/>
      <c r="BJ632" s="929"/>
      <c r="BK632" s="857"/>
      <c r="BL632" s="929"/>
      <c r="BM632" s="929"/>
      <c r="BN632" s="929"/>
      <c r="BO632" s="857"/>
      <c r="BP632" s="929"/>
      <c r="BQ632" s="929"/>
      <c r="BR632" s="929"/>
      <c r="BS632" s="857"/>
      <c r="BT632" s="929"/>
      <c r="BU632" s="929"/>
      <c r="BV632" s="929"/>
      <c r="BW632" s="857"/>
      <c r="BX632" s="929"/>
      <c r="BY632" s="929"/>
      <c r="BZ632" s="929"/>
      <c r="CA632" s="857"/>
      <c r="CB632" s="929"/>
      <c r="CC632" s="929"/>
      <c r="CD632" s="929"/>
      <c r="CE632" s="931"/>
      <c r="CF632" s="929"/>
      <c r="CG632" s="929"/>
      <c r="CH632" s="929"/>
      <c r="CI632" s="931"/>
      <c r="CJ632" s="929"/>
      <c r="CK632" s="929"/>
      <c r="CL632" s="929"/>
      <c r="CM632" s="931"/>
      <c r="CN632" s="929"/>
      <c r="CO632" s="929"/>
      <c r="CP632" s="929"/>
      <c r="CQ632" s="931"/>
      <c r="CR632" s="929"/>
      <c r="CS632" s="929"/>
      <c r="CT632" s="929"/>
      <c r="CU632" s="857"/>
      <c r="CV632" s="929"/>
      <c r="CW632" s="929"/>
      <c r="CX632" s="929"/>
      <c r="CY632" s="857"/>
      <c r="CZ632" s="929"/>
      <c r="DA632" s="929"/>
      <c r="DB632" s="929"/>
      <c r="DC632" s="857"/>
      <c r="DD632" s="929"/>
      <c r="DE632" s="929"/>
      <c r="DF632" s="929"/>
      <c r="DG632" s="857"/>
      <c r="DH632" s="929"/>
      <c r="DI632" s="859"/>
      <c r="DJ632" s="929"/>
      <c r="DK632" s="857"/>
      <c r="DL632" s="859"/>
      <c r="DM632" s="859"/>
      <c r="DN632" s="929"/>
      <c r="DO632" s="929"/>
      <c r="DP632" s="859"/>
      <c r="DQ632" s="859"/>
      <c r="DR632" s="929"/>
      <c r="DS632" s="929"/>
      <c r="DT632" s="857"/>
      <c r="DU632" s="859"/>
      <c r="DV632" s="859"/>
      <c r="DW632" s="859"/>
      <c r="DX632" s="929"/>
      <c r="DY632" s="857"/>
      <c r="DZ632" s="859"/>
      <c r="EA632" s="859"/>
      <c r="EB632" s="929"/>
      <c r="EC632" s="857"/>
      <c r="ED632" s="859"/>
      <c r="EE632" s="859"/>
      <c r="EF632" s="929"/>
      <c r="EG632" s="857"/>
      <c r="EH632" s="857"/>
      <c r="EI632" s="857"/>
      <c r="EJ632" s="857"/>
      <c r="EK632" s="857"/>
      <c r="EL632" s="857"/>
      <c r="EM632" s="857"/>
      <c r="EN632" s="857"/>
      <c r="EO632" s="857"/>
      <c r="EP632" s="857"/>
      <c r="FL632" s="855"/>
      <c r="FM632" s="855"/>
      <c r="FN632" s="855"/>
      <c r="FO632" s="855"/>
      <c r="FP632" s="855"/>
      <c r="FQ632" s="855"/>
      <c r="FR632" s="855"/>
      <c r="FS632" s="855"/>
      <c r="FT632" s="855"/>
      <c r="FU632" s="855"/>
      <c r="FV632" s="855"/>
      <c r="FW632" s="855"/>
      <c r="FX632" s="855"/>
      <c r="FY632" s="855"/>
      <c r="FZ632" s="855"/>
      <c r="GA632" s="855"/>
      <c r="GB632" s="855"/>
      <c r="GC632" s="855"/>
      <c r="GD632" s="855"/>
      <c r="GE632" s="855"/>
      <c r="GF632" s="855"/>
      <c r="GG632" s="855"/>
      <c r="GH632" s="855"/>
      <c r="GI632" s="855"/>
      <c r="GJ632" s="855"/>
      <c r="GK632" s="855"/>
      <c r="GL632" s="855"/>
      <c r="GM632" s="855"/>
      <c r="GN632" s="855"/>
      <c r="GO632" s="855"/>
      <c r="GP632" s="855"/>
      <c r="GQ632" s="855"/>
      <c r="GR632" s="855"/>
      <c r="GS632" s="855"/>
      <c r="GT632" s="855"/>
      <c r="GU632" s="855"/>
      <c r="GV632" s="855"/>
      <c r="GW632" s="855"/>
      <c r="GX632" s="855"/>
      <c r="GY632" s="855"/>
      <c r="GZ632" s="855"/>
      <c r="HA632" s="855"/>
      <c r="HB632" s="855"/>
      <c r="HC632" s="855"/>
      <c r="HD632" s="855"/>
      <c r="HE632" s="855"/>
      <c r="HF632" s="855"/>
      <c r="HG632" s="855"/>
      <c r="HH632" s="855"/>
      <c r="HI632" s="855"/>
      <c r="HJ632" s="855"/>
      <c r="HK632" s="855"/>
      <c r="HL632" s="855"/>
      <c r="HM632" s="855"/>
      <c r="HN632" s="855"/>
      <c r="HO632" s="855"/>
      <c r="HP632" s="855"/>
      <c r="HQ632" s="855"/>
      <c r="HR632" s="855"/>
      <c r="HS632" s="855"/>
      <c r="HT632" s="855"/>
      <c r="HU632" s="855"/>
      <c r="HV632" s="855"/>
      <c r="HW632" s="855"/>
      <c r="HX632" s="855"/>
      <c r="HY632" s="855"/>
      <c r="HZ632" s="855"/>
      <c r="IA632" s="855"/>
      <c r="IB632" s="855"/>
      <c r="IC632" s="855"/>
      <c r="ID632" s="855"/>
      <c r="IE632" s="855"/>
      <c r="IF632" s="855"/>
      <c r="IG632" s="855"/>
      <c r="IH632" s="855"/>
      <c r="II632" s="855"/>
      <c r="IJ632" s="855"/>
      <c r="IK632" s="855"/>
      <c r="IL632" s="855"/>
      <c r="IM632" s="855"/>
      <c r="IN632" s="855"/>
      <c r="IO632" s="855"/>
      <c r="IP632" s="855"/>
      <c r="IQ632" s="855"/>
      <c r="IR632" s="855"/>
      <c r="IS632" s="855"/>
      <c r="IT632" s="855"/>
      <c r="IU632" s="855"/>
      <c r="IV632" s="855"/>
      <c r="IW632" s="855"/>
      <c r="IX632" s="855"/>
      <c r="IY632" s="855"/>
      <c r="IZ632" s="855"/>
      <c r="JA632" s="855"/>
      <c r="JB632" s="855"/>
      <c r="JC632" s="855"/>
      <c r="JD632" s="855"/>
      <c r="JE632" s="855"/>
      <c r="JF632" s="855"/>
      <c r="JG632" s="855"/>
      <c r="JH632" s="855"/>
      <c r="JI632" s="855"/>
      <c r="JJ632" s="855"/>
      <c r="JK632" s="855"/>
      <c r="JL632" s="855"/>
      <c r="JM632"/>
    </row>
    <row r="633" spans="1:273" s="860" customFormat="1">
      <c r="A633" s="302" t="s">
        <v>691</v>
      </c>
      <c r="B633" s="298"/>
      <c r="C633" s="296"/>
      <c r="D633" s="296"/>
      <c r="E633" s="296"/>
      <c r="F633" s="296"/>
      <c r="G633" s="296"/>
      <c r="H633" s="296"/>
      <c r="I633" s="296"/>
      <c r="J633" s="296"/>
      <c r="K633" s="296"/>
      <c r="L633" s="296"/>
      <c r="M633" s="296"/>
      <c r="N633" s="296"/>
      <c r="O633" s="296"/>
      <c r="P633" s="296"/>
      <c r="Q633" s="296"/>
      <c r="R633" s="296"/>
      <c r="S633" s="296"/>
      <c r="T633" s="296"/>
      <c r="U633" s="296"/>
      <c r="V633" s="296"/>
      <c r="W633" s="296"/>
      <c r="X633" s="296"/>
      <c r="Y633" s="296"/>
      <c r="Z633" s="296"/>
      <c r="AA633" s="296"/>
      <c r="AB633" s="296"/>
      <c r="AC633" s="296"/>
      <c r="AD633" s="296"/>
      <c r="AE633" s="296"/>
      <c r="AF633" s="296"/>
      <c r="AG633" s="296"/>
      <c r="AH633" s="296"/>
      <c r="AI633" s="296"/>
      <c r="AJ633" s="296"/>
      <c r="AK633" s="296"/>
      <c r="AL633" s="296"/>
      <c r="AM633" s="296"/>
      <c r="AN633" s="298"/>
      <c r="AO633" s="298"/>
      <c r="AP633" s="929">
        <f>DIVISIONS!AP758</f>
        <v>0</v>
      </c>
      <c r="AQ633" s="298"/>
      <c r="AR633" s="298"/>
      <c r="AS633" s="298"/>
      <c r="AT633" s="929">
        <f>DIVISIONS!AT758</f>
        <v>0</v>
      </c>
      <c r="AU633" s="298"/>
      <c r="AV633" s="929">
        <f>DIVISIONS!AV758</f>
        <v>0</v>
      </c>
      <c r="AW633" s="929">
        <f>DIVISIONS!AW758</f>
        <v>0</v>
      </c>
      <c r="AX633" s="857"/>
      <c r="AY633" s="976"/>
      <c r="AZ633" s="929">
        <f>DIVISIONS!AZ758</f>
        <v>9</v>
      </c>
      <c r="BA633" s="929">
        <f>DIVISIONS!BA758</f>
        <v>-1</v>
      </c>
      <c r="BB633" s="857"/>
      <c r="BC633" s="857"/>
      <c r="BD633" s="929">
        <f>DIVISIONS!BD758</f>
        <v>0</v>
      </c>
      <c r="BE633" s="929">
        <f>DIVISIONS!BE758</f>
        <v>0</v>
      </c>
      <c r="BF633" s="929">
        <f t="shared" si="688"/>
        <v>0</v>
      </c>
      <c r="BG633" s="857"/>
      <c r="BH633" s="929">
        <f>DIVISIONS!BH758</f>
        <v>0</v>
      </c>
      <c r="BI633" s="929">
        <f>DIVISIONS!BI758</f>
        <v>0</v>
      </c>
      <c r="BJ633" s="929">
        <f>BH633+BI633</f>
        <v>0</v>
      </c>
      <c r="BK633" s="857"/>
      <c r="BL633" s="929">
        <f>DIVISIONS!BL758</f>
        <v>0</v>
      </c>
      <c r="BM633" s="929">
        <f>DIVISIONS!BM758</f>
        <v>0</v>
      </c>
      <c r="BN633" s="929">
        <f>BL633+BM633</f>
        <v>0</v>
      </c>
      <c r="BO633" s="857"/>
      <c r="BP633" s="929">
        <f>DIVISIONS!BP758</f>
        <v>0</v>
      </c>
      <c r="BQ633" s="929">
        <f>DIVISIONS!BQ758</f>
        <v>0</v>
      </c>
      <c r="BR633" s="929">
        <f>BP633+BQ633</f>
        <v>0</v>
      </c>
      <c r="BS633" s="857"/>
      <c r="BT633" s="929">
        <f>DIVISIONS!BT758</f>
        <v>0</v>
      </c>
      <c r="BU633" s="929">
        <f>DIVISIONS!BU758</f>
        <v>0</v>
      </c>
      <c r="BV633" s="929">
        <f>BT633+BU633</f>
        <v>0</v>
      </c>
      <c r="BW633" s="857"/>
      <c r="BX633" s="929">
        <f>DIVISIONS!BX758</f>
        <v>0</v>
      </c>
      <c r="BY633" s="929">
        <f>DIVISIONS!BY758</f>
        <v>0</v>
      </c>
      <c r="BZ633" s="929">
        <f>BX633+BY633</f>
        <v>0</v>
      </c>
      <c r="CA633" s="857"/>
      <c r="CB633" s="929">
        <f>DIVISIONS!CB758</f>
        <v>0</v>
      </c>
      <c r="CC633" s="929">
        <f>DIVISIONS!CC758</f>
        <v>0</v>
      </c>
      <c r="CD633" s="929">
        <f>CB633+CC633</f>
        <v>0</v>
      </c>
      <c r="CE633" s="931"/>
      <c r="CF633" s="929">
        <f>DIVISIONS!CF758</f>
        <v>0</v>
      </c>
      <c r="CG633" s="929">
        <f>DIVISIONS!CG758</f>
        <v>0</v>
      </c>
      <c r="CH633" s="929">
        <f>CF633+CG633</f>
        <v>0</v>
      </c>
      <c r="CI633" s="931"/>
      <c r="CJ633" s="929">
        <f>DIVISIONS!CJ758</f>
        <v>0</v>
      </c>
      <c r="CK633" s="929">
        <f>DIVISIONS!CK758</f>
        <v>0</v>
      </c>
      <c r="CL633" s="929">
        <f>CJ633+CK633</f>
        <v>0</v>
      </c>
      <c r="CM633" s="931"/>
      <c r="CN633" s="929">
        <f>DIVISIONS!CN758</f>
        <v>0</v>
      </c>
      <c r="CO633" s="929">
        <f>DIVISIONS!CO758</f>
        <v>0</v>
      </c>
      <c r="CP633" s="929">
        <f>CN633+CO633</f>
        <v>0</v>
      </c>
      <c r="CQ633" s="931"/>
      <c r="CR633" s="929">
        <f>DIVISIONS!CR758</f>
        <v>0</v>
      </c>
      <c r="CS633" s="929">
        <f>DIVISIONS!CS758</f>
        <v>0</v>
      </c>
      <c r="CT633" s="929">
        <f>CR633+CS633</f>
        <v>0</v>
      </c>
      <c r="CU633" s="857"/>
      <c r="CV633" s="929">
        <f>DIVISIONS!CV758</f>
        <v>0</v>
      </c>
      <c r="CW633" s="929">
        <f>DIVISIONS!CW758</f>
        <v>0</v>
      </c>
      <c r="CX633" s="929">
        <f>CV633+CW633</f>
        <v>0</v>
      </c>
      <c r="CY633" s="857"/>
      <c r="CZ633" s="929">
        <f>DIVISIONS!CZ758</f>
        <v>0</v>
      </c>
      <c r="DA633" s="929">
        <f>DIVISIONS!DA758</f>
        <v>0</v>
      </c>
      <c r="DB633" s="929">
        <f>CZ633+DA633</f>
        <v>0</v>
      </c>
      <c r="DC633" s="857"/>
      <c r="DD633" s="929">
        <f>DIVISIONS!DD758</f>
        <v>0</v>
      </c>
      <c r="DE633" s="929">
        <f>DIVISIONS!DE758</f>
        <v>0</v>
      </c>
      <c r="DF633" s="929">
        <f>DD633+DE633</f>
        <v>0</v>
      </c>
      <c r="DG633" s="857"/>
      <c r="DH633" s="929">
        <f>DIVISIONS!DH758</f>
        <v>0</v>
      </c>
      <c r="DI633" s="859">
        <v>0</v>
      </c>
      <c r="DJ633" s="929">
        <f>DH633+DI633</f>
        <v>0</v>
      </c>
      <c r="DK633" s="857"/>
      <c r="DL633" s="859">
        <v>0</v>
      </c>
      <c r="DM633" s="859">
        <v>0</v>
      </c>
      <c r="DN633" s="929">
        <f>DL633+DM633</f>
        <v>0</v>
      </c>
      <c r="DO633" s="929"/>
      <c r="DP633" s="859">
        <v>0</v>
      </c>
      <c r="DQ633" s="859">
        <v>0</v>
      </c>
      <c r="DR633" s="929">
        <f>DP633+DQ633</f>
        <v>0</v>
      </c>
      <c r="DS633" s="929"/>
      <c r="DT633" s="857"/>
      <c r="DU633" s="859"/>
      <c r="DV633" s="859"/>
      <c r="DW633" s="859"/>
      <c r="DX633" s="929"/>
      <c r="DY633" s="857"/>
      <c r="DZ633" s="859"/>
      <c r="EA633" s="859"/>
      <c r="EB633" s="929"/>
      <c r="EC633" s="857"/>
      <c r="ED633" s="859"/>
      <c r="EE633" s="859"/>
      <c r="EF633" s="929"/>
      <c r="EG633" s="857"/>
      <c r="EH633" s="857"/>
      <c r="EI633" s="857"/>
      <c r="EJ633" s="857"/>
      <c r="EK633" s="857"/>
      <c r="EL633" s="857"/>
      <c r="EM633" s="857"/>
      <c r="EN633" s="857"/>
      <c r="EO633" s="857"/>
      <c r="EP633" s="857"/>
      <c r="FL633" s="855"/>
      <c r="FM633" s="855"/>
      <c r="FN633" s="855"/>
      <c r="FO633" s="855"/>
      <c r="FP633" s="855"/>
      <c r="FQ633" s="855"/>
      <c r="FR633" s="855"/>
      <c r="FS633" s="855"/>
      <c r="FT633" s="855"/>
      <c r="FU633" s="855"/>
      <c r="FV633" s="855"/>
      <c r="FW633" s="855"/>
      <c r="FX633" s="855"/>
      <c r="FY633" s="855"/>
      <c r="FZ633" s="855"/>
      <c r="GA633" s="855"/>
      <c r="GB633" s="855"/>
      <c r="GC633" s="855"/>
      <c r="GD633" s="855"/>
      <c r="GE633" s="855"/>
      <c r="GF633" s="855"/>
      <c r="GG633" s="855"/>
      <c r="GH633" s="855"/>
      <c r="GI633" s="855"/>
      <c r="GJ633" s="855"/>
      <c r="GK633" s="855"/>
      <c r="GL633" s="855"/>
      <c r="GM633" s="855"/>
      <c r="GN633" s="855"/>
      <c r="GO633" s="855"/>
      <c r="GP633" s="855"/>
      <c r="GQ633" s="855"/>
      <c r="GR633" s="855"/>
      <c r="GS633" s="855"/>
      <c r="GT633" s="855"/>
      <c r="GU633" s="855"/>
      <c r="GV633" s="855"/>
      <c r="GW633" s="855"/>
      <c r="GX633" s="855"/>
      <c r="GY633" s="855"/>
      <c r="GZ633" s="855"/>
      <c r="HA633" s="855"/>
      <c r="HB633" s="855"/>
      <c r="HC633" s="855"/>
      <c r="HD633" s="855"/>
      <c r="HE633" s="855"/>
      <c r="HF633" s="855"/>
      <c r="HG633" s="855"/>
      <c r="HH633" s="855"/>
      <c r="HI633" s="855"/>
      <c r="HJ633" s="855"/>
      <c r="HK633" s="855"/>
      <c r="HL633" s="855"/>
      <c r="HM633" s="855"/>
      <c r="HN633" s="855"/>
      <c r="HO633" s="855"/>
      <c r="HP633" s="855"/>
      <c r="HQ633" s="855"/>
      <c r="HR633" s="855"/>
      <c r="HS633" s="855"/>
      <c r="HT633" s="855"/>
      <c r="HU633" s="855"/>
      <c r="HV633" s="855"/>
      <c r="HW633" s="855"/>
      <c r="HX633" s="855"/>
      <c r="HY633" s="855"/>
      <c r="HZ633" s="855"/>
      <c r="IA633" s="855"/>
      <c r="IB633" s="855"/>
      <c r="IC633" s="855"/>
      <c r="ID633" s="855"/>
      <c r="IE633" s="855"/>
      <c r="IF633" s="855"/>
      <c r="IG633" s="855"/>
      <c r="IH633" s="855"/>
      <c r="II633" s="855"/>
      <c r="IJ633" s="855"/>
      <c r="IK633" s="855"/>
      <c r="IL633" s="855"/>
      <c r="IM633" s="855"/>
      <c r="IN633" s="855"/>
      <c r="IO633" s="855"/>
      <c r="IP633" s="855"/>
      <c r="IQ633" s="855"/>
      <c r="IR633" s="855"/>
      <c r="IS633" s="855"/>
      <c r="IT633" s="855"/>
      <c r="IU633" s="855"/>
      <c r="IV633" s="855"/>
      <c r="IW633" s="855"/>
      <c r="IX633" s="855"/>
      <c r="IY633" s="855"/>
      <c r="IZ633" s="855"/>
      <c r="JA633" s="855"/>
      <c r="JB633" s="855"/>
      <c r="JC633" s="855"/>
      <c r="JD633" s="855"/>
      <c r="JE633" s="855"/>
      <c r="JF633" s="855"/>
      <c r="JG633" s="855"/>
      <c r="JH633" s="855"/>
      <c r="JI633" s="855"/>
      <c r="JJ633" s="855"/>
      <c r="JK633" s="855"/>
      <c r="JL633" s="855"/>
      <c r="JM633"/>
    </row>
    <row r="634" spans="1:273" s="855" customFormat="1">
      <c r="A634" s="289" t="s">
        <v>613</v>
      </c>
      <c r="B634" s="290"/>
      <c r="C634" s="289"/>
      <c r="D634" s="289"/>
      <c r="E634" s="289"/>
      <c r="F634" s="289"/>
      <c r="G634" s="289"/>
      <c r="H634" s="289"/>
      <c r="I634" s="289"/>
      <c r="J634" s="289"/>
      <c r="K634" s="289"/>
      <c r="L634" s="289"/>
      <c r="M634" s="289"/>
      <c r="N634" s="289"/>
      <c r="O634" s="289"/>
      <c r="P634" s="289"/>
      <c r="Q634" s="289"/>
      <c r="R634" s="289"/>
      <c r="S634" s="289"/>
      <c r="T634" s="289"/>
      <c r="U634" s="289"/>
      <c r="V634" s="289"/>
      <c r="W634" s="289"/>
      <c r="X634" s="289"/>
      <c r="Y634" s="289"/>
      <c r="Z634" s="289"/>
      <c r="AA634" s="289"/>
      <c r="AB634" s="289"/>
      <c r="AC634" s="289"/>
      <c r="AD634" s="289"/>
      <c r="AE634" s="289"/>
      <c r="AF634" s="289"/>
      <c r="AG634" s="289"/>
      <c r="AH634" s="289"/>
      <c r="AI634" s="289"/>
      <c r="AJ634" s="289"/>
      <c r="AK634" s="289"/>
      <c r="AL634" s="289"/>
      <c r="AM634" s="289"/>
      <c r="AN634" s="290"/>
      <c r="AO634" s="290"/>
      <c r="AP634" s="853">
        <f>SUM(AP626:AP633)</f>
        <v>0</v>
      </c>
      <c r="AQ634" s="290"/>
      <c r="AR634" s="290"/>
      <c r="AS634" s="290"/>
      <c r="AT634" s="853">
        <f>SUM(AT626:AT633)</f>
        <v>0</v>
      </c>
      <c r="AU634" s="290"/>
      <c r="AV634" s="853">
        <f>SUM(AV626:AV633)</f>
        <v>0</v>
      </c>
      <c r="AW634" s="853">
        <f>SUM(AW626:AW633)</f>
        <v>0</v>
      </c>
      <c r="AX634" s="853"/>
      <c r="AY634" s="820"/>
      <c r="AZ634" s="853">
        <f>SUM(AZ626:AZ633)</f>
        <v>9</v>
      </c>
      <c r="BA634" s="853">
        <f>SUM(BA626:BA633)</f>
        <v>-1</v>
      </c>
      <c r="BB634" s="853"/>
      <c r="BC634" s="853"/>
      <c r="BD634" s="853">
        <f>SUM(BD626:BD633)</f>
        <v>0</v>
      </c>
      <c r="BE634" s="853">
        <f>SUM(BE626:BE633)</f>
        <v>0</v>
      </c>
      <c r="BF634" s="818">
        <f t="shared" si="688"/>
        <v>0</v>
      </c>
      <c r="BG634" s="853"/>
      <c r="BH634" s="853">
        <f>SUM(BH626:BH633)</f>
        <v>0</v>
      </c>
      <c r="BI634" s="853">
        <f>SUM(BI626:BI633)</f>
        <v>0</v>
      </c>
      <c r="BJ634" s="818">
        <f>BH634+BI634</f>
        <v>0</v>
      </c>
      <c r="BK634" s="853"/>
      <c r="BL634" s="853">
        <f>SUM(BL626:BL633)</f>
        <v>0</v>
      </c>
      <c r="BM634" s="853">
        <f>SUM(BM626:BM633)</f>
        <v>0</v>
      </c>
      <c r="BN634" s="818">
        <f>BL634+BM634</f>
        <v>0</v>
      </c>
      <c r="BO634" s="853"/>
      <c r="BP634" s="853">
        <f>SUM(BP626:BP633)</f>
        <v>0</v>
      </c>
      <c r="BQ634" s="853">
        <f>SUM(BQ626:BQ633)</f>
        <v>0</v>
      </c>
      <c r="BR634" s="818">
        <f>BP634+BQ634</f>
        <v>0</v>
      </c>
      <c r="BS634" s="853"/>
      <c r="BT634" s="853">
        <f>SUM(BT626:BT633)</f>
        <v>0</v>
      </c>
      <c r="BU634" s="853">
        <f>SUM(BU626:BU633)</f>
        <v>0</v>
      </c>
      <c r="BV634" s="818">
        <f>BT634+BU634</f>
        <v>0</v>
      </c>
      <c r="BW634" s="853"/>
      <c r="BX634" s="853">
        <f>SUM(BX626:BX633)</f>
        <v>0</v>
      </c>
      <c r="BY634" s="853">
        <f>SUM(BY626:BY633)</f>
        <v>0</v>
      </c>
      <c r="BZ634" s="818">
        <f>BX634+BY634</f>
        <v>0</v>
      </c>
      <c r="CA634" s="853"/>
      <c r="CB634" s="853">
        <f>SUM(CB626:CB633)</f>
        <v>0</v>
      </c>
      <c r="CC634" s="853">
        <f>SUM(CC626:CC633)</f>
        <v>0</v>
      </c>
      <c r="CD634" s="818">
        <f>CB634+CC634</f>
        <v>0</v>
      </c>
      <c r="CE634" s="862"/>
      <c r="CF634" s="853">
        <f>SUM(CF626:CF633)</f>
        <v>0</v>
      </c>
      <c r="CG634" s="853">
        <f>SUM(CG626:CG633)</f>
        <v>0</v>
      </c>
      <c r="CH634" s="818">
        <f>CF634+CG634</f>
        <v>0</v>
      </c>
      <c r="CI634" s="862"/>
      <c r="CJ634" s="853">
        <f>SUM(CJ626:CJ633)</f>
        <v>0</v>
      </c>
      <c r="CK634" s="853">
        <f>SUM(CK626:CK633)</f>
        <v>0</v>
      </c>
      <c r="CL634" s="818">
        <f>CJ634+CK634</f>
        <v>0</v>
      </c>
      <c r="CM634" s="862"/>
      <c r="CN634" s="853">
        <f>SUM(CN626:CN633)</f>
        <v>0</v>
      </c>
      <c r="CO634" s="853">
        <f>SUM(CO626:CO633)</f>
        <v>0</v>
      </c>
      <c r="CP634" s="818">
        <f>CN634+CO634</f>
        <v>0</v>
      </c>
      <c r="CQ634" s="862"/>
      <c r="CR634" s="853">
        <f>SUM(CR626:CR633)</f>
        <v>0</v>
      </c>
      <c r="CS634" s="853">
        <f>SUM(CS626:CS633)</f>
        <v>0</v>
      </c>
      <c r="CT634" s="818">
        <f>CR634+CS634</f>
        <v>0</v>
      </c>
      <c r="CU634" s="853"/>
      <c r="CV634" s="853">
        <f>SUM(CV626:CV633)</f>
        <v>0</v>
      </c>
      <c r="CW634" s="853">
        <f>SUM(CW626:CW633)</f>
        <v>0</v>
      </c>
      <c r="CX634" s="818">
        <f>CV634+CW634</f>
        <v>0</v>
      </c>
      <c r="CY634" s="853"/>
      <c r="CZ634" s="853">
        <f>SUM(CZ626:CZ633)</f>
        <v>0</v>
      </c>
      <c r="DA634" s="853">
        <f>SUM(DA626:DA633)</f>
        <v>0</v>
      </c>
      <c r="DB634" s="818">
        <f>CZ634+DA634</f>
        <v>0</v>
      </c>
      <c r="DC634" s="853"/>
      <c r="DD634" s="853">
        <f>SUM(DD626:DD633)</f>
        <v>0</v>
      </c>
      <c r="DE634" s="853">
        <f>SUM(DE626:DE633)</f>
        <v>0</v>
      </c>
      <c r="DF634" s="818">
        <f>DD634+DE634</f>
        <v>0</v>
      </c>
      <c r="DG634" s="853"/>
      <c r="DH634" s="853">
        <f>SUM(DH626:DH633)</f>
        <v>0</v>
      </c>
      <c r="DI634" s="853">
        <f>SUM(DI626:DI633)</f>
        <v>0</v>
      </c>
      <c r="DJ634" s="818">
        <f>DH634+DI634</f>
        <v>0</v>
      </c>
      <c r="DK634" s="853"/>
      <c r="DL634" s="853">
        <f>SUM(DL626:DL633)</f>
        <v>0</v>
      </c>
      <c r="DM634" s="853">
        <f>SUM(DM626:DM633)</f>
        <v>0</v>
      </c>
      <c r="DN634" s="818">
        <f>DL634+DM634</f>
        <v>0</v>
      </c>
      <c r="DO634" s="818"/>
      <c r="DP634" s="853">
        <f>SUM(DP626:DP633)</f>
        <v>0</v>
      </c>
      <c r="DQ634" s="853">
        <f>SUM(DQ626:DQ633)</f>
        <v>0</v>
      </c>
      <c r="DR634" s="818">
        <f>DP634+DQ634</f>
        <v>0</v>
      </c>
      <c r="DS634" s="818"/>
      <c r="DT634" s="853"/>
      <c r="DU634" s="853"/>
      <c r="DV634" s="853"/>
      <c r="DW634" s="853"/>
      <c r="DX634" s="818"/>
      <c r="DY634" s="853"/>
      <c r="DZ634" s="853"/>
      <c r="EA634" s="853"/>
      <c r="EB634" s="818"/>
      <c r="EC634" s="853"/>
      <c r="ED634" s="853"/>
      <c r="EE634" s="853"/>
      <c r="EF634" s="818"/>
      <c r="EG634" s="853"/>
      <c r="EH634" s="853"/>
      <c r="EI634" s="853"/>
      <c r="EJ634" s="853"/>
      <c r="EK634" s="853"/>
      <c r="EL634" s="853"/>
      <c r="EM634" s="853"/>
      <c r="EN634" s="853"/>
      <c r="EO634" s="853"/>
      <c r="EP634" s="853"/>
      <c r="JM634"/>
    </row>
    <row r="635" spans="1:273" s="855" customFormat="1">
      <c r="A635" s="289"/>
      <c r="B635" s="290"/>
      <c r="C635" s="289"/>
      <c r="D635" s="289"/>
      <c r="E635" s="289"/>
      <c r="F635" s="289"/>
      <c r="G635" s="289"/>
      <c r="H635" s="289"/>
      <c r="I635" s="289"/>
      <c r="J635" s="289"/>
      <c r="K635" s="289"/>
      <c r="L635" s="289"/>
      <c r="M635" s="289"/>
      <c r="N635" s="289"/>
      <c r="O635" s="289"/>
      <c r="P635" s="289"/>
      <c r="Q635" s="289"/>
      <c r="R635" s="289"/>
      <c r="S635" s="289"/>
      <c r="T635" s="289"/>
      <c r="U635" s="289"/>
      <c r="V635" s="289"/>
      <c r="W635" s="289"/>
      <c r="X635" s="289"/>
      <c r="Y635" s="289"/>
      <c r="Z635" s="289"/>
      <c r="AA635" s="289"/>
      <c r="AB635" s="289"/>
      <c r="AC635" s="289"/>
      <c r="AD635" s="289"/>
      <c r="AE635" s="289"/>
      <c r="AF635" s="289"/>
      <c r="AG635" s="289"/>
      <c r="AH635" s="289"/>
      <c r="AI635" s="289"/>
      <c r="AJ635" s="289"/>
      <c r="AK635" s="289"/>
      <c r="AL635" s="289"/>
      <c r="AM635" s="289"/>
      <c r="AN635" s="290"/>
      <c r="AO635" s="290"/>
      <c r="AP635" s="290"/>
      <c r="AQ635" s="290"/>
      <c r="AR635" s="290"/>
      <c r="AS635" s="290"/>
      <c r="AT635" s="290"/>
      <c r="AU635" s="290"/>
      <c r="AV635" s="853"/>
      <c r="AW635" s="853"/>
      <c r="AX635" s="853"/>
      <c r="AY635" s="820"/>
      <c r="AZ635" s="853"/>
      <c r="BA635" s="853"/>
      <c r="BB635" s="853"/>
      <c r="BC635" s="853"/>
      <c r="BD635" s="967"/>
      <c r="BE635" s="967"/>
      <c r="BF635" s="853"/>
      <c r="BG635" s="853"/>
      <c r="BH635" s="967"/>
      <c r="BI635" s="967"/>
      <c r="BJ635" s="853"/>
      <c r="BK635" s="853"/>
      <c r="BL635" s="967"/>
      <c r="BM635" s="967"/>
      <c r="BN635" s="853"/>
      <c r="BO635" s="853"/>
      <c r="BP635" s="967"/>
      <c r="BQ635" s="967"/>
      <c r="BR635" s="853"/>
      <c r="BS635" s="853"/>
      <c r="BT635" s="967"/>
      <c r="BU635" s="967"/>
      <c r="BV635" s="853"/>
      <c r="BW635" s="853"/>
      <c r="BX635" s="967"/>
      <c r="BY635" s="967"/>
      <c r="BZ635" s="853"/>
      <c r="CA635" s="853"/>
      <c r="CB635" s="967"/>
      <c r="CC635" s="967"/>
      <c r="CD635" s="853"/>
      <c r="CE635" s="862"/>
      <c r="CF635" s="967"/>
      <c r="CG635" s="967"/>
      <c r="CH635" s="853"/>
      <c r="CI635" s="862"/>
      <c r="CJ635" s="967"/>
      <c r="CK635" s="967"/>
      <c r="CL635" s="853"/>
      <c r="CM635" s="862"/>
      <c r="CN635" s="967"/>
      <c r="CO635" s="967"/>
      <c r="CP635" s="853"/>
      <c r="CQ635" s="862"/>
      <c r="CR635" s="967"/>
      <c r="CS635" s="967"/>
      <c r="CT635" s="853"/>
      <c r="CU635" s="853"/>
      <c r="CV635" s="967"/>
      <c r="CW635" s="967"/>
      <c r="CX635" s="853"/>
      <c r="CY635" s="853"/>
      <c r="CZ635" s="967"/>
      <c r="DA635" s="967"/>
      <c r="DB635" s="853"/>
      <c r="DC635" s="853"/>
      <c r="DD635" s="967"/>
      <c r="DE635" s="967"/>
      <c r="DF635" s="853"/>
      <c r="DG635" s="853"/>
      <c r="DH635" s="967"/>
      <c r="DI635" s="967"/>
      <c r="DJ635" s="853"/>
      <c r="DK635" s="853"/>
      <c r="DL635" s="967"/>
      <c r="DM635" s="967"/>
      <c r="DN635" s="853"/>
      <c r="DO635" s="853"/>
      <c r="DP635" s="967"/>
      <c r="DQ635" s="967"/>
      <c r="DR635" s="853"/>
      <c r="DS635" s="853"/>
      <c r="DT635" s="853"/>
      <c r="DU635" s="967"/>
      <c r="DV635" s="967"/>
      <c r="DW635" s="967"/>
      <c r="DX635" s="853"/>
      <c r="DY635" s="853"/>
      <c r="DZ635" s="967"/>
      <c r="EA635" s="967"/>
      <c r="EB635" s="853"/>
      <c r="EC635" s="853"/>
      <c r="ED635" s="967"/>
      <c r="EE635" s="967"/>
      <c r="EF635" s="853"/>
      <c r="EG635" s="853"/>
      <c r="EH635" s="853"/>
      <c r="EI635" s="853"/>
      <c r="EJ635" s="853"/>
      <c r="EK635" s="853"/>
      <c r="EL635" s="853"/>
      <c r="EM635" s="853"/>
      <c r="EN635" s="853"/>
      <c r="EO635" s="853"/>
      <c r="EP635" s="853"/>
      <c r="JM635"/>
    </row>
    <row r="636" spans="1:273" s="971" customFormat="1">
      <c r="A636" s="866" t="s">
        <v>727</v>
      </c>
      <c r="B636" s="925"/>
      <c r="C636" s="866"/>
      <c r="D636" s="866"/>
      <c r="E636" s="866"/>
      <c r="F636" s="866"/>
      <c r="G636" s="866"/>
      <c r="H636" s="866"/>
      <c r="I636" s="866"/>
      <c r="J636" s="866"/>
      <c r="K636" s="866"/>
      <c r="L636" s="866"/>
      <c r="M636" s="866"/>
      <c r="N636" s="866"/>
      <c r="O636" s="866"/>
      <c r="P636" s="866"/>
      <c r="Q636" s="866"/>
      <c r="R636" s="866"/>
      <c r="S636" s="866"/>
      <c r="T636" s="866"/>
      <c r="U636" s="866"/>
      <c r="V636" s="866"/>
      <c r="W636" s="866"/>
      <c r="X636" s="866"/>
      <c r="Y636" s="866"/>
      <c r="Z636" s="866"/>
      <c r="AA636" s="866"/>
      <c r="AB636" s="866"/>
      <c r="AC636" s="866"/>
      <c r="AD636" s="866"/>
      <c r="AE636" s="866"/>
      <c r="AF636" s="866"/>
      <c r="AG636" s="866"/>
      <c r="AH636" s="866"/>
      <c r="AI636" s="866"/>
      <c r="AJ636" s="866"/>
      <c r="AK636" s="866"/>
      <c r="AL636" s="866"/>
      <c r="AM636" s="866"/>
      <c r="AN636" s="925"/>
      <c r="AO636" s="925"/>
      <c r="AP636" s="925"/>
      <c r="AQ636" s="925"/>
      <c r="AR636" s="925"/>
      <c r="AS636" s="925"/>
      <c r="AT636" s="925"/>
      <c r="AU636" s="925"/>
      <c r="AV636" s="968"/>
      <c r="AW636" s="968"/>
      <c r="AX636" s="968"/>
      <c r="AY636" s="969"/>
      <c r="AZ636" s="968"/>
      <c r="BA636" s="968"/>
      <c r="BB636" s="968"/>
      <c r="BC636" s="968"/>
      <c r="BD636" s="970"/>
      <c r="BE636" s="970"/>
      <c r="BF636" s="968"/>
      <c r="BG636" s="968"/>
      <c r="BH636" s="970"/>
      <c r="BI636" s="970"/>
      <c r="BJ636" s="968"/>
      <c r="BK636" s="968"/>
      <c r="BL636" s="970"/>
      <c r="BM636" s="970"/>
      <c r="BN636" s="968"/>
      <c r="BO636" s="968"/>
      <c r="BP636" s="970"/>
      <c r="BQ636" s="970"/>
      <c r="BR636" s="968"/>
      <c r="BS636" s="968"/>
      <c r="BT636" s="970"/>
      <c r="BU636" s="970"/>
      <c r="BV636" s="968"/>
      <c r="BW636" s="968"/>
      <c r="BX636" s="970"/>
      <c r="BY636" s="970"/>
      <c r="BZ636" s="968"/>
      <c r="CA636" s="968"/>
      <c r="CB636" s="968"/>
      <c r="CC636" s="968"/>
      <c r="CD636" s="968"/>
      <c r="CE636" s="1617"/>
      <c r="CF636" s="968"/>
      <c r="CG636" s="968"/>
      <c r="CH636" s="968"/>
      <c r="CI636" s="1617"/>
      <c r="CJ636" s="968"/>
      <c r="CK636" s="968"/>
      <c r="CL636" s="968"/>
      <c r="CM636" s="1617"/>
      <c r="CN636" s="968"/>
      <c r="CO636" s="968"/>
      <c r="CP636" s="968"/>
      <c r="CQ636" s="1617"/>
      <c r="CR636" s="968"/>
      <c r="CS636" s="968"/>
      <c r="CT636" s="968"/>
      <c r="CU636" s="968"/>
      <c r="CV636" s="968"/>
      <c r="CW636" s="968"/>
      <c r="CX636" s="968"/>
      <c r="CY636" s="968"/>
      <c r="CZ636" s="968"/>
      <c r="DA636" s="968"/>
      <c r="DB636" s="968"/>
      <c r="DC636" s="968"/>
      <c r="DD636" s="968"/>
      <c r="DE636" s="968"/>
      <c r="DF636" s="968"/>
      <c r="DG636" s="968"/>
      <c r="DH636" s="968"/>
      <c r="DI636" s="970"/>
      <c r="DJ636" s="968"/>
      <c r="DK636" s="968"/>
      <c r="DL636" s="970"/>
      <c r="DM636" s="970"/>
      <c r="DN636" s="968"/>
      <c r="DO636" s="968"/>
      <c r="DP636" s="970"/>
      <c r="DQ636" s="970"/>
      <c r="DR636" s="968"/>
      <c r="DS636" s="968"/>
      <c r="DT636" s="968"/>
      <c r="DU636" s="970"/>
      <c r="DV636" s="970"/>
      <c r="DW636" s="970"/>
      <c r="DX636" s="968"/>
      <c r="DY636" s="968"/>
      <c r="DZ636" s="970"/>
      <c r="EA636" s="970"/>
      <c r="EB636" s="968"/>
      <c r="EC636" s="968"/>
      <c r="ED636" s="970"/>
      <c r="EE636" s="970"/>
      <c r="EF636" s="968"/>
      <c r="EG636" s="968"/>
      <c r="EH636" s="968"/>
      <c r="EI636" s="968"/>
      <c r="EJ636" s="968"/>
      <c r="EK636" s="968"/>
      <c r="EL636" s="968"/>
      <c r="EM636" s="968"/>
      <c r="EN636" s="968"/>
      <c r="EO636" s="968"/>
      <c r="EP636" s="968"/>
      <c r="FL636" s="855"/>
      <c r="FM636" s="855"/>
      <c r="FN636" s="855"/>
      <c r="FO636" s="855"/>
      <c r="FP636" s="855"/>
      <c r="FQ636" s="855"/>
      <c r="FR636" s="855"/>
      <c r="FS636" s="855"/>
      <c r="FT636" s="855"/>
      <c r="FU636" s="855"/>
      <c r="FV636" s="855"/>
      <c r="FW636" s="855"/>
      <c r="FX636" s="855"/>
      <c r="FY636" s="855"/>
      <c r="FZ636" s="855"/>
      <c r="GA636" s="855"/>
      <c r="GB636" s="855"/>
      <c r="GC636" s="855"/>
      <c r="GD636" s="855"/>
      <c r="GE636" s="855"/>
      <c r="GF636" s="855"/>
      <c r="GG636" s="855"/>
      <c r="GH636" s="855"/>
      <c r="GI636" s="855"/>
      <c r="GJ636" s="855"/>
      <c r="GK636" s="855"/>
      <c r="GL636" s="855"/>
      <c r="GM636" s="855"/>
      <c r="GN636" s="855"/>
      <c r="GO636" s="855"/>
      <c r="GP636" s="855"/>
      <c r="GQ636" s="855"/>
      <c r="GR636" s="855"/>
      <c r="GS636" s="855"/>
      <c r="GT636" s="855"/>
      <c r="GU636" s="855"/>
      <c r="GV636" s="855"/>
      <c r="GW636" s="855"/>
      <c r="GX636" s="855"/>
      <c r="GY636" s="855"/>
      <c r="GZ636" s="855"/>
      <c r="HA636" s="855"/>
      <c r="HB636" s="855"/>
      <c r="HC636" s="855"/>
      <c r="HD636" s="855"/>
      <c r="HE636" s="855"/>
      <c r="HF636" s="855"/>
      <c r="HG636" s="855"/>
      <c r="HH636" s="855"/>
      <c r="HI636" s="855"/>
      <c r="HJ636" s="855"/>
      <c r="HK636" s="855"/>
      <c r="HL636" s="855"/>
      <c r="HM636" s="855"/>
      <c r="HN636" s="855"/>
      <c r="HO636" s="855"/>
      <c r="HP636" s="855"/>
      <c r="HQ636" s="855"/>
      <c r="HR636" s="855"/>
      <c r="HS636" s="855"/>
      <c r="HT636" s="855"/>
      <c r="HU636" s="855"/>
      <c r="HV636" s="855"/>
      <c r="HW636" s="855"/>
      <c r="HX636" s="855"/>
      <c r="HY636" s="855"/>
      <c r="HZ636" s="855"/>
      <c r="IA636" s="855"/>
      <c r="IB636" s="855"/>
      <c r="IC636" s="855"/>
      <c r="ID636" s="855"/>
      <c r="IE636" s="855"/>
      <c r="IF636" s="855"/>
      <c r="IG636" s="855"/>
      <c r="IH636" s="855"/>
      <c r="II636" s="855"/>
      <c r="IJ636" s="855"/>
      <c r="IK636" s="855"/>
      <c r="IL636" s="855"/>
      <c r="IM636" s="855"/>
      <c r="IN636" s="855"/>
      <c r="IO636" s="855"/>
      <c r="IP636" s="855"/>
      <c r="IQ636" s="855"/>
      <c r="IR636" s="855"/>
      <c r="IS636" s="855"/>
      <c r="IT636" s="855"/>
      <c r="IU636" s="855"/>
      <c r="IV636" s="855"/>
      <c r="IW636" s="855"/>
      <c r="IX636" s="855"/>
      <c r="IY636" s="855"/>
      <c r="IZ636" s="855"/>
      <c r="JA636" s="855"/>
      <c r="JB636" s="855"/>
      <c r="JC636" s="855"/>
      <c r="JD636" s="855"/>
      <c r="JE636" s="855"/>
      <c r="JF636" s="855"/>
      <c r="JG636" s="855"/>
      <c r="JH636" s="855"/>
      <c r="JI636" s="855"/>
      <c r="JJ636" s="855"/>
      <c r="JK636" s="855"/>
      <c r="JL636" s="855"/>
      <c r="JM636"/>
    </row>
    <row r="637" spans="1:273" s="860" customFormat="1">
      <c r="A637" s="302" t="s">
        <v>685</v>
      </c>
      <c r="B637" s="298"/>
      <c r="C637" s="296"/>
      <c r="D637" s="296"/>
      <c r="E637" s="296"/>
      <c r="F637" s="296"/>
      <c r="G637" s="296"/>
      <c r="H637" s="296"/>
      <c r="I637" s="296"/>
      <c r="J637" s="296"/>
      <c r="K637" s="296"/>
      <c r="L637" s="296"/>
      <c r="M637" s="296"/>
      <c r="N637" s="296"/>
      <c r="O637" s="296"/>
      <c r="P637" s="296"/>
      <c r="Q637" s="296"/>
      <c r="R637" s="296"/>
      <c r="S637" s="296"/>
      <c r="T637" s="296"/>
      <c r="U637" s="296"/>
      <c r="V637" s="296"/>
      <c r="W637" s="296"/>
      <c r="X637" s="296"/>
      <c r="Y637" s="296"/>
      <c r="Z637" s="296"/>
      <c r="AA637" s="296"/>
      <c r="AB637" s="296"/>
      <c r="AC637" s="296"/>
      <c r="AD637" s="296"/>
      <c r="AE637" s="296"/>
      <c r="AF637" s="296"/>
      <c r="AG637" s="296"/>
      <c r="AH637" s="296"/>
      <c r="AI637" s="296"/>
      <c r="AJ637" s="296"/>
      <c r="AK637" s="296"/>
      <c r="AL637" s="296"/>
      <c r="AM637" s="296"/>
      <c r="AN637" s="298"/>
      <c r="AO637" s="298"/>
      <c r="AP637" s="298"/>
      <c r="AQ637" s="298"/>
      <c r="AR637" s="298"/>
      <c r="AS637" s="298"/>
      <c r="AT637" s="298"/>
      <c r="AU637" s="972"/>
      <c r="AV637" s="929"/>
      <c r="AW637" s="929"/>
      <c r="AX637" s="980"/>
      <c r="AY637" s="633"/>
      <c r="AZ637" s="929"/>
      <c r="BA637" s="929"/>
      <c r="BB637" s="857"/>
      <c r="BC637" s="857"/>
      <c r="BD637" s="929"/>
      <c r="BE637" s="929"/>
      <c r="BF637" s="929"/>
      <c r="BG637" s="859"/>
      <c r="BH637" s="929"/>
      <c r="BI637" s="929"/>
      <c r="BJ637" s="929"/>
      <c r="BK637" s="859"/>
      <c r="BL637" s="929"/>
      <c r="BM637" s="929"/>
      <c r="BN637" s="929"/>
      <c r="BO637" s="859"/>
      <c r="BP637" s="929"/>
      <c r="BQ637" s="929"/>
      <c r="BR637" s="929"/>
      <c r="BS637" s="859"/>
      <c r="BT637" s="929"/>
      <c r="BU637" s="929"/>
      <c r="BV637" s="929"/>
      <c r="BW637" s="859"/>
      <c r="BX637" s="929"/>
      <c r="BY637" s="929"/>
      <c r="BZ637" s="929"/>
      <c r="CA637" s="859"/>
      <c r="CB637" s="974"/>
      <c r="CC637" s="974"/>
      <c r="CD637" s="974"/>
      <c r="CE637" s="1618"/>
      <c r="CF637" s="974"/>
      <c r="CG637" s="974"/>
      <c r="CH637" s="974"/>
      <c r="CI637" s="1618"/>
      <c r="CJ637" s="974"/>
      <c r="CK637" s="974"/>
      <c r="CL637" s="974"/>
      <c r="CM637" s="1618"/>
      <c r="CN637" s="974"/>
      <c r="CO637" s="974"/>
      <c r="CP637" s="974"/>
      <c r="CQ637" s="1619"/>
      <c r="CR637" s="974"/>
      <c r="CS637" s="974"/>
      <c r="CT637" s="974"/>
      <c r="CU637" s="859"/>
      <c r="CV637" s="974"/>
      <c r="CW637" s="974"/>
      <c r="CX637" s="974"/>
      <c r="CY637" s="859"/>
      <c r="CZ637" s="974"/>
      <c r="DA637" s="974"/>
      <c r="DB637" s="974"/>
      <c r="DC637" s="859"/>
      <c r="DD637" s="974"/>
      <c r="DE637" s="974"/>
      <c r="DF637" s="974"/>
      <c r="DG637" s="859"/>
      <c r="DH637" s="974"/>
      <c r="DI637" s="974"/>
      <c r="DJ637" s="974"/>
      <c r="DK637" s="859"/>
      <c r="DL637" s="974"/>
      <c r="DM637" s="974"/>
      <c r="DN637" s="974"/>
      <c r="DO637" s="929"/>
      <c r="DP637" s="974"/>
      <c r="DQ637" s="974"/>
      <c r="DR637" s="974"/>
      <c r="DS637" s="929"/>
      <c r="DT637" s="859"/>
      <c r="DU637" s="859"/>
      <c r="DV637" s="859"/>
      <c r="DW637" s="859"/>
      <c r="DX637" s="929"/>
      <c r="DY637" s="857"/>
      <c r="DZ637" s="859"/>
      <c r="EA637" s="859"/>
      <c r="EB637" s="929"/>
      <c r="EC637" s="857"/>
      <c r="ED637" s="859"/>
      <c r="EE637" s="859"/>
      <c r="EF637" s="929"/>
      <c r="EG637" s="857"/>
      <c r="EH637" s="857"/>
      <c r="EI637" s="857"/>
      <c r="EJ637" s="857"/>
      <c r="EK637" s="857"/>
      <c r="EL637" s="857"/>
      <c r="EM637" s="857"/>
      <c r="EN637" s="857"/>
      <c r="EO637" s="857"/>
      <c r="EP637" s="857"/>
      <c r="FL637" s="855"/>
      <c r="FM637" s="855"/>
      <c r="FN637" s="855"/>
      <c r="FO637" s="855"/>
      <c r="FP637" s="855"/>
      <c r="FQ637" s="855"/>
      <c r="FR637" s="855"/>
      <c r="FS637" s="855"/>
      <c r="FT637" s="855"/>
      <c r="FU637" s="855"/>
      <c r="FV637" s="855"/>
      <c r="FW637" s="855"/>
      <c r="FX637" s="855"/>
      <c r="FY637" s="855"/>
      <c r="FZ637" s="855"/>
      <c r="GA637" s="855"/>
      <c r="GB637" s="855"/>
      <c r="GC637" s="855"/>
      <c r="GD637" s="855"/>
      <c r="GE637" s="855"/>
      <c r="GF637" s="855"/>
      <c r="GG637" s="855"/>
      <c r="GH637" s="855"/>
      <c r="GI637" s="855"/>
      <c r="GJ637" s="855"/>
      <c r="GK637" s="855"/>
      <c r="GL637" s="855"/>
      <c r="GM637" s="855"/>
      <c r="GN637" s="855"/>
      <c r="GO637" s="855"/>
      <c r="GP637" s="855"/>
      <c r="GQ637" s="855"/>
      <c r="GR637" s="855"/>
      <c r="GS637" s="855"/>
      <c r="GT637" s="855"/>
      <c r="GU637" s="855"/>
      <c r="GV637" s="855"/>
      <c r="GW637" s="855"/>
      <c r="GX637" s="855"/>
      <c r="GY637" s="855"/>
      <c r="GZ637" s="855"/>
      <c r="HA637" s="855"/>
      <c r="HB637" s="855"/>
      <c r="HC637" s="855"/>
      <c r="HD637" s="855"/>
      <c r="HE637" s="855"/>
      <c r="HF637" s="855"/>
      <c r="HG637" s="855"/>
      <c r="HH637" s="855"/>
      <c r="HI637" s="855"/>
      <c r="HJ637" s="855"/>
      <c r="HK637" s="855"/>
      <c r="HL637" s="855"/>
      <c r="HM637" s="855"/>
      <c r="HN637" s="855"/>
      <c r="HO637" s="855"/>
      <c r="HP637" s="855"/>
      <c r="HQ637" s="855"/>
      <c r="HR637" s="855"/>
      <c r="HS637" s="855"/>
      <c r="HT637" s="855"/>
      <c r="HU637" s="855"/>
      <c r="HV637" s="855"/>
      <c r="HW637" s="855"/>
      <c r="HX637" s="855"/>
      <c r="HY637" s="855"/>
      <c r="HZ637" s="855"/>
      <c r="IA637" s="855"/>
      <c r="IB637" s="855"/>
      <c r="IC637" s="855"/>
      <c r="ID637" s="855"/>
      <c r="IE637" s="855"/>
      <c r="IF637" s="855"/>
      <c r="IG637" s="855"/>
      <c r="IH637" s="855"/>
      <c r="II637" s="855"/>
      <c r="IJ637" s="855"/>
      <c r="IK637" s="855"/>
      <c r="IL637" s="855"/>
      <c r="IM637" s="855"/>
      <c r="IN637" s="855"/>
      <c r="IO637" s="855"/>
      <c r="IP637" s="855"/>
      <c r="IQ637" s="855"/>
      <c r="IR637" s="855"/>
      <c r="IS637" s="855"/>
      <c r="IT637" s="855"/>
      <c r="IU637" s="855"/>
      <c r="IV637" s="855"/>
      <c r="IW637" s="855"/>
      <c r="IX637" s="855"/>
      <c r="IY637" s="855"/>
      <c r="IZ637" s="855"/>
      <c r="JA637" s="855"/>
      <c r="JB637" s="855"/>
      <c r="JC637" s="855"/>
      <c r="JD637" s="855"/>
      <c r="JE637" s="855"/>
      <c r="JF637" s="855"/>
      <c r="JG637" s="855"/>
      <c r="JH637" s="855"/>
      <c r="JI637" s="855"/>
      <c r="JJ637" s="855"/>
      <c r="JK637" s="855"/>
      <c r="JL637" s="855"/>
      <c r="JM637"/>
    </row>
    <row r="638" spans="1:273" s="860" customFormat="1">
      <c r="A638" s="302" t="s">
        <v>686</v>
      </c>
      <c r="B638" s="298"/>
      <c r="C638" s="296"/>
      <c r="D638" s="296"/>
      <c r="E638" s="296"/>
      <c r="F638" s="296"/>
      <c r="G638" s="296"/>
      <c r="H638" s="296"/>
      <c r="I638" s="296"/>
      <c r="J638" s="296"/>
      <c r="K638" s="296"/>
      <c r="L638" s="296"/>
      <c r="M638" s="296"/>
      <c r="N638" s="296"/>
      <c r="O638" s="296"/>
      <c r="P638" s="296"/>
      <c r="Q638" s="296"/>
      <c r="R638" s="296"/>
      <c r="S638" s="296"/>
      <c r="T638" s="296"/>
      <c r="U638" s="296"/>
      <c r="V638" s="296"/>
      <c r="W638" s="296"/>
      <c r="X638" s="296"/>
      <c r="Y638" s="296"/>
      <c r="Z638" s="296"/>
      <c r="AA638" s="296"/>
      <c r="AB638" s="296"/>
      <c r="AC638" s="296"/>
      <c r="AD638" s="296"/>
      <c r="AE638" s="296"/>
      <c r="AF638" s="296"/>
      <c r="AG638" s="296"/>
      <c r="AH638" s="296"/>
      <c r="AI638" s="296"/>
      <c r="AJ638" s="296"/>
      <c r="AK638" s="296"/>
      <c r="AL638" s="296"/>
      <c r="AM638" s="296"/>
      <c r="AN638" s="298"/>
      <c r="AO638" s="298"/>
      <c r="AP638" s="929">
        <f>DIVISIONS!AP182</f>
        <v>-2</v>
      </c>
      <c r="AQ638" s="298"/>
      <c r="AR638" s="298"/>
      <c r="AS638" s="298"/>
      <c r="AT638" s="929">
        <f>DIVISIONS!AT182</f>
        <v>88</v>
      </c>
      <c r="AU638" s="298"/>
      <c r="AV638" s="929">
        <f>DIVISIONS!AV182</f>
        <v>38</v>
      </c>
      <c r="AW638" s="929">
        <f>DIVISIONS!AW182</f>
        <v>58</v>
      </c>
      <c r="AX638" s="857"/>
      <c r="AY638" s="976"/>
      <c r="AZ638" s="929">
        <f>DIVISIONS!AZ182</f>
        <v>-5</v>
      </c>
      <c r="BA638" s="929">
        <f>DIVISIONS!BA182</f>
        <v>110</v>
      </c>
      <c r="BB638" s="857"/>
      <c r="BC638" s="857"/>
      <c r="BD638" s="929">
        <f>DIVISIONS!BD182</f>
        <v>-10</v>
      </c>
      <c r="BE638" s="929">
        <f>DIVISIONS!BE182</f>
        <v>72</v>
      </c>
      <c r="BF638" s="929">
        <f t="shared" ref="BF638:BF645" si="689">BD638+BE638</f>
        <v>62</v>
      </c>
      <c r="BG638" s="974"/>
      <c r="BH638" s="929">
        <f>DIVISIONS!BH182</f>
        <v>3</v>
      </c>
      <c r="BI638" s="929">
        <f>DIVISIONS!BI182</f>
        <v>73</v>
      </c>
      <c r="BJ638" s="929">
        <f>BH638+BI638</f>
        <v>76</v>
      </c>
      <c r="BK638" s="974"/>
      <c r="BL638" s="929">
        <f>DIVISIONS!BL182</f>
        <v>22</v>
      </c>
      <c r="BM638" s="929">
        <f>DIVISIONS!BM182</f>
        <v>38</v>
      </c>
      <c r="BN638" s="929">
        <f>BL638+BM638</f>
        <v>60</v>
      </c>
      <c r="BO638" s="974"/>
      <c r="BP638" s="929">
        <f>DIVISIONS!BP182</f>
        <v>5</v>
      </c>
      <c r="BQ638" s="929">
        <f>DIVISIONS!BQ182</f>
        <v>27</v>
      </c>
      <c r="BR638" s="929">
        <f>BP638+BQ638</f>
        <v>32</v>
      </c>
      <c r="BS638" s="974"/>
      <c r="BT638" s="929">
        <f>DIVISIONS!BT182</f>
        <v>19</v>
      </c>
      <c r="BU638" s="929">
        <f>DIVISIONS!BU182</f>
        <v>43</v>
      </c>
      <c r="BV638" s="929">
        <f>BT638+BU638</f>
        <v>62</v>
      </c>
      <c r="BW638" s="974"/>
      <c r="BX638" s="929">
        <f>DIVISIONS!BX182</f>
        <v>0</v>
      </c>
      <c r="BY638" s="929">
        <f>DIVISIONS!BY182</f>
        <v>4</v>
      </c>
      <c r="BZ638" s="929">
        <f>BX638+BY638</f>
        <v>4</v>
      </c>
      <c r="CA638" s="974"/>
      <c r="CB638" s="929">
        <f>DIVISIONS!CB182</f>
        <v>38</v>
      </c>
      <c r="CC638" s="929">
        <f>DIVISIONS!CC182</f>
        <v>3</v>
      </c>
      <c r="CD638" s="929">
        <f>CB638+CC638</f>
        <v>41</v>
      </c>
      <c r="CE638" s="1618"/>
      <c r="CF638" s="929">
        <f>DIVISIONS!CF182</f>
        <v>29</v>
      </c>
      <c r="CG638" s="929">
        <f>DIVISIONS!CG182</f>
        <v>50</v>
      </c>
      <c r="CH638" s="929">
        <f>CF638+CG638</f>
        <v>79</v>
      </c>
      <c r="CI638" s="1618"/>
      <c r="CJ638" s="929">
        <f>DIVISIONS!CJ182</f>
        <v>-14</v>
      </c>
      <c r="CK638" s="929">
        <f>DIVISIONS!CK182</f>
        <v>-6</v>
      </c>
      <c r="CL638" s="929">
        <f>CJ638+CK638</f>
        <v>-20</v>
      </c>
      <c r="CM638" s="1618"/>
      <c r="CN638" s="929">
        <f>DIVISIONS!CN182</f>
        <v>-62</v>
      </c>
      <c r="CO638" s="929">
        <f>DIVISIONS!CO182</f>
        <v>-52</v>
      </c>
      <c r="CP638" s="929">
        <f>CN638+CO638</f>
        <v>-114</v>
      </c>
      <c r="CQ638" s="1618"/>
      <c r="CR638" s="929">
        <f>DIVISIONS!CR182</f>
        <v>9</v>
      </c>
      <c r="CS638" s="929">
        <f>DIVISIONS!CS182</f>
        <v>-6</v>
      </c>
      <c r="CT638" s="929">
        <f>CR638+CS638</f>
        <v>3</v>
      </c>
      <c r="CU638" s="974"/>
      <c r="CV638" s="929">
        <f>DIVISIONS!CV182</f>
        <v>1</v>
      </c>
      <c r="CW638" s="929">
        <f>DIVISIONS!CW182</f>
        <v>25</v>
      </c>
      <c r="CX638" s="929">
        <f>CV638+CW638</f>
        <v>26</v>
      </c>
      <c r="CY638" s="974"/>
      <c r="CZ638" s="929">
        <f>DIVISIONS!CZ182</f>
        <v>7</v>
      </c>
      <c r="DA638" s="929">
        <f>DIVISIONS!DA182</f>
        <v>-10</v>
      </c>
      <c r="DB638" s="929">
        <f>CZ638+DA638</f>
        <v>-3</v>
      </c>
      <c r="DC638" s="974"/>
      <c r="DD638" s="929">
        <f>DIVISIONS!DD182</f>
        <v>-48</v>
      </c>
      <c r="DE638" s="929">
        <f>DIVISIONS!DE182</f>
        <v>2</v>
      </c>
      <c r="DF638" s="929">
        <f>DD638+DE638</f>
        <v>-46</v>
      </c>
      <c r="DG638" s="974"/>
      <c r="DH638" s="929">
        <f>DIVISIONS!DH182</f>
        <v>-11</v>
      </c>
      <c r="DI638" s="859">
        <f>DH638*1.03</f>
        <v>-11.33</v>
      </c>
      <c r="DJ638" s="929">
        <f>DH638+DI638</f>
        <v>-22.33</v>
      </c>
      <c r="DK638" s="974"/>
      <c r="DL638" s="859">
        <f>DI638*1.03</f>
        <v>-11.6699</v>
      </c>
      <c r="DM638" s="859">
        <f>DL638*1.03</f>
        <v>-12.019997</v>
      </c>
      <c r="DN638" s="929">
        <f>DL638+DM638</f>
        <v>-23.689897000000002</v>
      </c>
      <c r="DO638" s="929"/>
      <c r="DP638" s="859">
        <f>DM638*1.03</f>
        <v>-12.38059691</v>
      </c>
      <c r="DQ638" s="859">
        <f>DP638*1.03</f>
        <v>-12.752014817299999</v>
      </c>
      <c r="DR638" s="929">
        <f>DP638+DQ638</f>
        <v>-25.132611727299999</v>
      </c>
      <c r="DS638" s="929"/>
      <c r="DT638" s="933" t="s">
        <v>791</v>
      </c>
      <c r="DU638" s="859"/>
      <c r="DV638" s="859"/>
      <c r="DW638" s="859"/>
      <c r="DX638" s="929"/>
      <c r="DY638" s="857"/>
      <c r="DZ638" s="859"/>
      <c r="EA638" s="859"/>
      <c r="EB638" s="929"/>
      <c r="EC638" s="857"/>
      <c r="ED638" s="859"/>
      <c r="EE638" s="859"/>
      <c r="EF638" s="929"/>
      <c r="EG638" s="857"/>
      <c r="EH638" s="857"/>
      <c r="EI638" s="857"/>
      <c r="EJ638" s="857"/>
      <c r="EK638" s="857"/>
      <c r="EL638" s="857"/>
      <c r="EM638" s="857"/>
      <c r="EN638" s="857"/>
      <c r="EO638" s="857"/>
      <c r="EP638" s="857"/>
      <c r="FL638" s="855"/>
      <c r="FM638" s="855"/>
      <c r="FN638" s="855"/>
      <c r="FO638" s="855"/>
      <c r="FP638" s="855"/>
      <c r="FQ638" s="855"/>
      <c r="FR638" s="855"/>
      <c r="FS638" s="855"/>
      <c r="FT638" s="855"/>
      <c r="FU638" s="855"/>
      <c r="FV638" s="855"/>
      <c r="FW638" s="855"/>
      <c r="FX638" s="855"/>
      <c r="FY638" s="855"/>
      <c r="FZ638" s="855"/>
      <c r="GA638" s="855"/>
      <c r="GB638" s="855"/>
      <c r="GC638" s="855"/>
      <c r="GD638" s="855"/>
      <c r="GE638" s="855"/>
      <c r="GF638" s="855"/>
      <c r="GG638" s="855"/>
      <c r="GH638" s="855"/>
      <c r="GI638" s="855"/>
      <c r="GJ638" s="855"/>
      <c r="GK638" s="855"/>
      <c r="GL638" s="855"/>
      <c r="GM638" s="855"/>
      <c r="GN638" s="855"/>
      <c r="GO638" s="855"/>
      <c r="GP638" s="855"/>
      <c r="GQ638" s="855"/>
      <c r="GR638" s="855"/>
      <c r="GS638" s="855"/>
      <c r="GT638" s="855"/>
      <c r="GU638" s="855"/>
      <c r="GV638" s="855"/>
      <c r="GW638" s="855"/>
      <c r="GX638" s="855"/>
      <c r="GY638" s="855"/>
      <c r="GZ638" s="855"/>
      <c r="HA638" s="855"/>
      <c r="HB638" s="855"/>
      <c r="HC638" s="855"/>
      <c r="HD638" s="855"/>
      <c r="HE638" s="855"/>
      <c r="HF638" s="855"/>
      <c r="HG638" s="855"/>
      <c r="HH638" s="855"/>
      <c r="HI638" s="855"/>
      <c r="HJ638" s="855"/>
      <c r="HK638" s="855"/>
      <c r="HL638" s="855"/>
      <c r="HM638" s="855"/>
      <c r="HN638" s="855"/>
      <c r="HO638" s="855"/>
      <c r="HP638" s="855"/>
      <c r="HQ638" s="855"/>
      <c r="HR638" s="855"/>
      <c r="HS638" s="855"/>
      <c r="HT638" s="855"/>
      <c r="HU638" s="855"/>
      <c r="HV638" s="855"/>
      <c r="HW638" s="855"/>
      <c r="HX638" s="855"/>
      <c r="HY638" s="855"/>
      <c r="HZ638" s="855"/>
      <c r="IA638" s="855"/>
      <c r="IB638" s="855"/>
      <c r="IC638" s="855"/>
      <c r="ID638" s="855"/>
      <c r="IE638" s="855"/>
      <c r="IF638" s="855"/>
      <c r="IG638" s="855"/>
      <c r="IH638" s="855"/>
      <c r="II638" s="855"/>
      <c r="IJ638" s="855"/>
      <c r="IK638" s="855"/>
      <c r="IL638" s="855"/>
      <c r="IM638" s="855"/>
      <c r="IN638" s="855"/>
      <c r="IO638" s="855"/>
      <c r="IP638" s="855"/>
      <c r="IQ638" s="855"/>
      <c r="IR638" s="855"/>
      <c r="IS638" s="855"/>
      <c r="IT638" s="855"/>
      <c r="IU638" s="855"/>
      <c r="IV638" s="855"/>
      <c r="IW638" s="855"/>
      <c r="IX638" s="855"/>
      <c r="IY638" s="855"/>
      <c r="IZ638" s="855"/>
      <c r="JA638" s="855"/>
      <c r="JB638" s="855"/>
      <c r="JC638" s="855"/>
      <c r="JD638" s="855"/>
      <c r="JE638" s="855"/>
      <c r="JF638" s="855"/>
      <c r="JG638" s="855"/>
      <c r="JH638" s="855"/>
      <c r="JI638" s="855"/>
      <c r="JJ638" s="855"/>
      <c r="JK638" s="855"/>
      <c r="JL638" s="855"/>
      <c r="JM638"/>
    </row>
    <row r="639" spans="1:273" s="860" customFormat="1">
      <c r="A639" s="296" t="s">
        <v>616</v>
      </c>
      <c r="B639" s="298"/>
      <c r="C639" s="296"/>
      <c r="D639" s="296"/>
      <c r="E639" s="296"/>
      <c r="F639" s="296"/>
      <c r="G639" s="296"/>
      <c r="H639" s="296"/>
      <c r="I639" s="296"/>
      <c r="J639" s="296"/>
      <c r="K639" s="296"/>
      <c r="L639" s="296"/>
      <c r="M639" s="296"/>
      <c r="N639" s="296"/>
      <c r="O639" s="296"/>
      <c r="P639" s="296"/>
      <c r="Q639" s="296"/>
      <c r="R639" s="296"/>
      <c r="S639" s="296"/>
      <c r="T639" s="296"/>
      <c r="U639" s="296"/>
      <c r="V639" s="296"/>
      <c r="W639" s="296"/>
      <c r="X639" s="296"/>
      <c r="Y639" s="296"/>
      <c r="Z639" s="296"/>
      <c r="AA639" s="296"/>
      <c r="AB639" s="296"/>
      <c r="AC639" s="296"/>
      <c r="AD639" s="296"/>
      <c r="AE639" s="296"/>
      <c r="AF639" s="296"/>
      <c r="AG639" s="296"/>
      <c r="AH639" s="296"/>
      <c r="AI639" s="296"/>
      <c r="AJ639" s="296"/>
      <c r="AK639" s="296"/>
      <c r="AL639" s="296"/>
      <c r="AM639" s="296"/>
      <c r="AN639" s="298"/>
      <c r="AO639" s="298"/>
      <c r="AP639" s="857">
        <f>DIVISIONS!AP436</f>
        <v>24</v>
      </c>
      <c r="AQ639" s="298"/>
      <c r="AR639" s="298"/>
      <c r="AS639" s="298"/>
      <c r="AT639" s="857">
        <f>DIVISIONS!AT436</f>
        <v>19</v>
      </c>
      <c r="AU639" s="298"/>
      <c r="AV639" s="857">
        <f>DIVISIONS!AV436</f>
        <v>24</v>
      </c>
      <c r="AW639" s="857">
        <f>DIVISIONS!AW436</f>
        <v>31</v>
      </c>
      <c r="AX639" s="857"/>
      <c r="AY639" s="976"/>
      <c r="AZ639" s="857">
        <f>DIVISIONS!AZ436</f>
        <v>27</v>
      </c>
      <c r="BA639" s="857">
        <f>DIVISIONS!BA436</f>
        <v>24</v>
      </c>
      <c r="BB639" s="857"/>
      <c r="BC639" s="986"/>
      <c r="BD639" s="857">
        <f>DIVISIONS!BD436</f>
        <v>13</v>
      </c>
      <c r="BE639" s="857">
        <f>DIVISIONS!BE436</f>
        <v>37</v>
      </c>
      <c r="BF639" s="857">
        <f t="shared" si="689"/>
        <v>50</v>
      </c>
      <c r="BG639" s="974"/>
      <c r="BH639" s="857">
        <f>DIVISIONS!BH436</f>
        <v>12</v>
      </c>
      <c r="BI639" s="857">
        <f>DIVISIONS!BI436</f>
        <v>25</v>
      </c>
      <c r="BJ639" s="857">
        <f>BH639+BI639</f>
        <v>37</v>
      </c>
      <c r="BK639" s="974"/>
      <c r="BL639" s="857">
        <f>DIVISIONS!BL436</f>
        <v>26</v>
      </c>
      <c r="BM639" s="857">
        <f>DIVISIONS!BM436</f>
        <v>40</v>
      </c>
      <c r="BN639" s="857">
        <f>BL639+BM639</f>
        <v>66</v>
      </c>
      <c r="BO639" s="974"/>
      <c r="BP639" s="857">
        <f>DIVISIONS!BP436</f>
        <v>26</v>
      </c>
      <c r="BQ639" s="857">
        <f>DIVISIONS!BQ436</f>
        <v>41</v>
      </c>
      <c r="BR639" s="857">
        <f>BP639+BQ639</f>
        <v>67</v>
      </c>
      <c r="BS639" s="974"/>
      <c r="BT639" s="857">
        <f>DIVISIONS!BT436</f>
        <v>46</v>
      </c>
      <c r="BU639" s="857">
        <f>DIVISIONS!BU436</f>
        <v>13</v>
      </c>
      <c r="BV639" s="857">
        <f>BT639+BU639</f>
        <v>59</v>
      </c>
      <c r="BW639" s="974"/>
      <c r="BX639" s="857">
        <f>DIVISIONS!BX436</f>
        <v>66</v>
      </c>
      <c r="BY639" s="857">
        <f>DIVISIONS!BY436</f>
        <v>36</v>
      </c>
      <c r="BZ639" s="857">
        <f>BX639+BY639</f>
        <v>102</v>
      </c>
      <c r="CA639" s="974"/>
      <c r="CB639" s="857">
        <f>DIVISIONS!CB436</f>
        <v>12</v>
      </c>
      <c r="CC639" s="857">
        <f>DIVISIONS!CC436</f>
        <v>14</v>
      </c>
      <c r="CD639" s="857">
        <f>CB639+CC639</f>
        <v>26</v>
      </c>
      <c r="CE639" s="1618"/>
      <c r="CF639" s="857">
        <f>DIVISIONS!CF436</f>
        <v>30</v>
      </c>
      <c r="CG639" s="857">
        <f>DIVISIONS!CG436</f>
        <v>80</v>
      </c>
      <c r="CH639" s="857">
        <f>CF639+CG639</f>
        <v>110</v>
      </c>
      <c r="CI639" s="1618"/>
      <c r="CJ639" s="857">
        <f>DIVISIONS!CJ436</f>
        <v>56</v>
      </c>
      <c r="CK639" s="857">
        <f>DIVISIONS!CK436</f>
        <v>156</v>
      </c>
      <c r="CL639" s="857">
        <f>CJ639+CK639</f>
        <v>212</v>
      </c>
      <c r="CM639" s="1618"/>
      <c r="CN639" s="857">
        <f>DIVISIONS!CN436</f>
        <v>21</v>
      </c>
      <c r="CO639" s="857">
        <f>DIVISIONS!CO436</f>
        <v>34</v>
      </c>
      <c r="CP639" s="857">
        <f>CN639+CO639</f>
        <v>55</v>
      </c>
      <c r="CQ639" s="1618"/>
      <c r="CR639" s="857">
        <f>DIVISIONS!CR436</f>
        <v>77</v>
      </c>
      <c r="CS639" s="857">
        <f>DIVISIONS!CS436</f>
        <v>22</v>
      </c>
      <c r="CT639" s="857">
        <f>CR639+CS639</f>
        <v>99</v>
      </c>
      <c r="CU639" s="974"/>
      <c r="CV639" s="857">
        <f>DIVISIONS!CV436</f>
        <v>-38</v>
      </c>
      <c r="CW639" s="857">
        <f>DIVISIONS!CW436</f>
        <v>100</v>
      </c>
      <c r="CX639" s="857">
        <f>CV639+CW639</f>
        <v>62</v>
      </c>
      <c r="CY639" s="974"/>
      <c r="CZ639" s="857">
        <f>DIVISIONS!CZ436</f>
        <v>-85</v>
      </c>
      <c r="DA639" s="857">
        <f>DIVISIONS!DA436</f>
        <v>-66</v>
      </c>
      <c r="DB639" s="857">
        <f>CZ639+DA639</f>
        <v>-151</v>
      </c>
      <c r="DC639" s="974"/>
      <c r="DD639" s="857">
        <f>DIVISIONS!DD436</f>
        <v>113</v>
      </c>
      <c r="DE639" s="857">
        <f>DIVISIONS!DE436</f>
        <v>148</v>
      </c>
      <c r="DF639" s="857">
        <f>DD639+DE639</f>
        <v>261</v>
      </c>
      <c r="DG639" s="974"/>
      <c r="DH639" s="857">
        <f>DIVISIONS!DH436</f>
        <v>71</v>
      </c>
      <c r="DI639" s="1780">
        <f>+DI648</f>
        <v>77</v>
      </c>
      <c r="DJ639" s="857">
        <f>DH639+DI639</f>
        <v>148</v>
      </c>
      <c r="DK639" s="974"/>
      <c r="DL639" s="1780">
        <f>+DL648</f>
        <v>74.55</v>
      </c>
      <c r="DM639" s="1780">
        <f>+DM648</f>
        <v>80.850000000000009</v>
      </c>
      <c r="DN639" s="857">
        <f>DL639+DM639</f>
        <v>155.4</v>
      </c>
      <c r="DO639" s="857"/>
      <c r="DP639" s="1780">
        <f>+DP648</f>
        <v>78.277500000000003</v>
      </c>
      <c r="DQ639" s="1780">
        <f>+DQ648</f>
        <v>84.892500000000013</v>
      </c>
      <c r="DR639" s="857">
        <f>DP639+DQ639</f>
        <v>163.17000000000002</v>
      </c>
      <c r="DS639" s="857"/>
      <c r="DT639" s="974"/>
      <c r="DU639" s="974"/>
      <c r="DV639" s="974"/>
      <c r="DW639" s="974"/>
      <c r="DX639" s="857"/>
      <c r="DY639" s="857"/>
      <c r="DZ639" s="974"/>
      <c r="EA639" s="974"/>
      <c r="EB639" s="857"/>
      <c r="EC639" s="857"/>
      <c r="ED639" s="974"/>
      <c r="EE639" s="974"/>
      <c r="EF639" s="857"/>
      <c r="EG639" s="857"/>
      <c r="EH639" s="857"/>
      <c r="EI639" s="857"/>
      <c r="EJ639" s="857"/>
      <c r="EK639" s="857"/>
      <c r="EL639" s="857"/>
      <c r="EM639" s="857"/>
      <c r="EN639" s="857"/>
      <c r="EO639" s="857"/>
      <c r="EP639" s="857"/>
      <c r="FL639" s="855"/>
      <c r="FM639" s="855"/>
      <c r="FN639" s="855"/>
      <c r="FO639" s="855"/>
      <c r="FP639" s="855"/>
      <c r="FQ639" s="855"/>
      <c r="FR639" s="855"/>
      <c r="FS639" s="855"/>
      <c r="FT639" s="855"/>
      <c r="FU639" s="855"/>
      <c r="FV639" s="855"/>
      <c r="FW639" s="855"/>
      <c r="FX639" s="855"/>
      <c r="FY639" s="855"/>
      <c r="FZ639" s="855"/>
      <c r="GA639" s="855"/>
      <c r="GB639" s="855"/>
      <c r="GC639" s="855"/>
      <c r="GD639" s="855"/>
      <c r="GE639" s="855"/>
      <c r="GF639" s="855"/>
      <c r="GG639" s="855"/>
      <c r="GH639" s="855"/>
      <c r="GI639" s="855"/>
      <c r="GJ639" s="855"/>
      <c r="GK639" s="855"/>
      <c r="GL639" s="855"/>
      <c r="GM639" s="855"/>
      <c r="GN639" s="855"/>
      <c r="GO639" s="855"/>
      <c r="GP639" s="855"/>
      <c r="GQ639" s="855"/>
      <c r="GR639" s="855"/>
      <c r="GS639" s="855"/>
      <c r="GT639" s="855"/>
      <c r="GU639" s="855"/>
      <c r="GV639" s="855"/>
      <c r="GW639" s="855"/>
      <c r="GX639" s="855"/>
      <c r="GY639" s="855"/>
      <c r="GZ639" s="855"/>
      <c r="HA639" s="855"/>
      <c r="HB639" s="855"/>
      <c r="HC639" s="855"/>
      <c r="HD639" s="855"/>
      <c r="HE639" s="855"/>
      <c r="HF639" s="855"/>
      <c r="HG639" s="855"/>
      <c r="HH639" s="855"/>
      <c r="HI639" s="855"/>
      <c r="HJ639" s="855"/>
      <c r="HK639" s="855"/>
      <c r="HL639" s="855"/>
      <c r="HM639" s="855"/>
      <c r="HN639" s="855"/>
      <c r="HO639" s="855"/>
      <c r="HP639" s="855"/>
      <c r="HQ639" s="855"/>
      <c r="HR639" s="855"/>
      <c r="HS639" s="855"/>
      <c r="HT639" s="855"/>
      <c r="HU639" s="855"/>
      <c r="HV639" s="855"/>
      <c r="HW639" s="855"/>
      <c r="HX639" s="855"/>
      <c r="HY639" s="855"/>
      <c r="HZ639" s="855"/>
      <c r="IA639" s="855"/>
      <c r="IB639" s="855"/>
      <c r="IC639" s="855"/>
      <c r="ID639" s="855"/>
      <c r="IE639" s="855"/>
      <c r="IF639" s="855"/>
      <c r="IG639" s="855"/>
      <c r="IH639" s="855"/>
      <c r="II639" s="855"/>
      <c r="IJ639" s="855"/>
      <c r="IK639" s="855"/>
      <c r="IL639" s="855"/>
      <c r="IM639" s="855"/>
      <c r="IN639" s="855"/>
      <c r="IO639" s="855"/>
      <c r="IP639" s="855"/>
      <c r="IQ639" s="855"/>
      <c r="IR639" s="855"/>
      <c r="IS639" s="855"/>
      <c r="IT639" s="855"/>
      <c r="IU639" s="855"/>
      <c r="IV639" s="855"/>
      <c r="IW639" s="855"/>
      <c r="IX639" s="855"/>
      <c r="IY639" s="855"/>
      <c r="IZ639" s="855"/>
      <c r="JA639" s="855"/>
      <c r="JB639" s="855"/>
      <c r="JC639" s="855"/>
      <c r="JD639" s="855"/>
      <c r="JE639" s="855"/>
      <c r="JF639" s="855"/>
      <c r="JG639" s="855"/>
      <c r="JH639" s="855"/>
      <c r="JI639" s="855"/>
      <c r="JJ639" s="855"/>
      <c r="JK639" s="855"/>
      <c r="JL639" s="855"/>
      <c r="JM639"/>
    </row>
    <row r="640" spans="1:273" s="860" customFormat="1">
      <c r="A640" s="302" t="s">
        <v>1024</v>
      </c>
      <c r="B640" s="298"/>
      <c r="C640" s="296"/>
      <c r="D640" s="296"/>
      <c r="E640" s="296"/>
      <c r="F640" s="296"/>
      <c r="G640" s="296"/>
      <c r="H640" s="296"/>
      <c r="I640" s="296"/>
      <c r="J640" s="296"/>
      <c r="K640" s="296"/>
      <c r="L640" s="296"/>
      <c r="M640" s="296"/>
      <c r="N640" s="296"/>
      <c r="O640" s="296"/>
      <c r="P640" s="296"/>
      <c r="Q640" s="296"/>
      <c r="R640" s="296"/>
      <c r="S640" s="296"/>
      <c r="T640" s="296"/>
      <c r="U640" s="296"/>
      <c r="V640" s="296"/>
      <c r="W640" s="296"/>
      <c r="X640" s="296"/>
      <c r="Y640" s="296"/>
      <c r="Z640" s="296"/>
      <c r="AA640" s="296"/>
      <c r="AB640" s="296"/>
      <c r="AC640" s="296"/>
      <c r="AD640" s="296"/>
      <c r="AE640" s="296"/>
      <c r="AF640" s="296"/>
      <c r="AG640" s="296"/>
      <c r="AH640" s="296"/>
      <c r="AI640" s="296"/>
      <c r="AJ640" s="296"/>
      <c r="AK640" s="296"/>
      <c r="AL640" s="296"/>
      <c r="AM640" s="296"/>
      <c r="AN640" s="298"/>
      <c r="AO640" s="298"/>
      <c r="AP640" s="929">
        <f>DIVISIONS!AP321</f>
        <v>16</v>
      </c>
      <c r="AQ640" s="298"/>
      <c r="AR640" s="298"/>
      <c r="AS640" s="298"/>
      <c r="AT640" s="929">
        <f>DIVISIONS!AT321</f>
        <v>79</v>
      </c>
      <c r="AU640" s="298"/>
      <c r="AV640" s="929">
        <f>DIVISIONS!AV321</f>
        <v>12</v>
      </c>
      <c r="AW640" s="929">
        <f>DIVISIONS!AW321</f>
        <v>17</v>
      </c>
      <c r="AX640" s="857"/>
      <c r="AY640" s="976"/>
      <c r="AZ640" s="929">
        <f>DIVISIONS!AZ321</f>
        <v>42</v>
      </c>
      <c r="BA640" s="929">
        <f>DIVISIONS!BA321</f>
        <v>76</v>
      </c>
      <c r="BB640" s="857"/>
      <c r="BC640" s="857"/>
      <c r="BD640" s="929">
        <f>DIVISIONS!BD321</f>
        <v>37</v>
      </c>
      <c r="BE640" s="929">
        <f>DIVISIONS!BE321</f>
        <v>56</v>
      </c>
      <c r="BF640" s="929">
        <f t="shared" si="689"/>
        <v>93</v>
      </c>
      <c r="BG640" s="859"/>
      <c r="BH640" s="929">
        <f>DIVISIONS!BH321</f>
        <v>16</v>
      </c>
      <c r="BI640" s="929">
        <f>DIVISIONS!BI321</f>
        <v>34</v>
      </c>
      <c r="BJ640" s="929">
        <f>BH640+BI640</f>
        <v>50</v>
      </c>
      <c r="BK640" s="859"/>
      <c r="BL640" s="929">
        <f>DIVISIONS!BL321</f>
        <v>47</v>
      </c>
      <c r="BM640" s="929">
        <f>DIVISIONS!BM321</f>
        <v>34</v>
      </c>
      <c r="BN640" s="929">
        <f>BL640+BM640</f>
        <v>81</v>
      </c>
      <c r="BO640" s="859"/>
      <c r="BP640" s="929">
        <f>DIVISIONS!BP321</f>
        <v>9</v>
      </c>
      <c r="BQ640" s="929">
        <f>DIVISIONS!BQ321</f>
        <v>11</v>
      </c>
      <c r="BR640" s="929">
        <f>BP640+BQ640</f>
        <v>20</v>
      </c>
      <c r="BS640" s="859"/>
      <c r="BT640" s="929">
        <f>DIVISIONS!BT321</f>
        <v>-4</v>
      </c>
      <c r="BU640" s="929">
        <f>DIVISIONS!BU321</f>
        <v>13</v>
      </c>
      <c r="BV640" s="929">
        <f>BT640+BU640</f>
        <v>9</v>
      </c>
      <c r="BW640" s="859"/>
      <c r="BX640" s="929">
        <f>DIVISIONS!BX321</f>
        <v>15</v>
      </c>
      <c r="BY640" s="929">
        <f>DIVISIONS!BY321</f>
        <v>8</v>
      </c>
      <c r="BZ640" s="929">
        <f>BX640+BY640</f>
        <v>23</v>
      </c>
      <c r="CA640" s="859"/>
      <c r="CB640" s="929">
        <f>DIVISIONS!CB321</f>
        <v>10</v>
      </c>
      <c r="CC640" s="929">
        <f>DIVISIONS!CC321</f>
        <v>12</v>
      </c>
      <c r="CD640" s="929">
        <f>CB640+CC640</f>
        <v>22</v>
      </c>
      <c r="CE640" s="1619"/>
      <c r="CF640" s="929">
        <f>DIVISIONS!CF321</f>
        <v>40</v>
      </c>
      <c r="CG640" s="929">
        <f>DIVISIONS!CG321</f>
        <v>23</v>
      </c>
      <c r="CH640" s="929">
        <f>CF640+CG640</f>
        <v>63</v>
      </c>
      <c r="CI640" s="1619"/>
      <c r="CJ640" s="929">
        <f>DIVISIONS!CJ321</f>
        <v>49</v>
      </c>
      <c r="CK640" s="929">
        <f>DIVISIONS!CK321</f>
        <v>42</v>
      </c>
      <c r="CL640" s="929">
        <f>CJ640+CK640</f>
        <v>91</v>
      </c>
      <c r="CM640" s="1619"/>
      <c r="CN640" s="929">
        <f>DIVISIONS!CN321</f>
        <v>37</v>
      </c>
      <c r="CO640" s="929">
        <f>DIVISIONS!CO321</f>
        <v>35</v>
      </c>
      <c r="CP640" s="929">
        <f>CN640+CO640</f>
        <v>72</v>
      </c>
      <c r="CQ640" s="1619"/>
      <c r="CR640" s="929">
        <f>DIVISIONS!CR321</f>
        <v>47</v>
      </c>
      <c r="CS640" s="929">
        <f>DIVISIONS!CS321</f>
        <v>58</v>
      </c>
      <c r="CT640" s="929">
        <f>CR640+CS640</f>
        <v>105</v>
      </c>
      <c r="CU640" s="859"/>
      <c r="CV640" s="929">
        <f>DIVISIONS!CV321</f>
        <v>57</v>
      </c>
      <c r="CW640" s="929">
        <f>DIVISIONS!CW321</f>
        <v>52</v>
      </c>
      <c r="CX640" s="929">
        <f>CV640+CW640</f>
        <v>109</v>
      </c>
      <c r="CY640" s="859"/>
      <c r="CZ640" s="929">
        <f>DIVISIONS!CZ321</f>
        <v>38</v>
      </c>
      <c r="DA640" s="929">
        <f>DIVISIONS!DA321</f>
        <v>37</v>
      </c>
      <c r="DB640" s="929">
        <f>CZ640+DA640</f>
        <v>75</v>
      </c>
      <c r="DC640" s="859"/>
      <c r="DD640" s="929">
        <f>DIVISIONS!DD321</f>
        <v>87</v>
      </c>
      <c r="DE640" s="929">
        <f>DIVISIONS!DE321</f>
        <v>50</v>
      </c>
      <c r="DF640" s="929">
        <f>DD640+DE640</f>
        <v>137</v>
      </c>
      <c r="DG640" s="859"/>
      <c r="DH640" s="929">
        <f>DIVISIONS!DH321</f>
        <v>45</v>
      </c>
      <c r="DI640" s="859">
        <f>DH640*1.03</f>
        <v>46.35</v>
      </c>
      <c r="DJ640" s="929">
        <f>DH640+DI640</f>
        <v>91.35</v>
      </c>
      <c r="DK640" s="859"/>
      <c r="DL640" s="859">
        <f>DI640*1.03</f>
        <v>47.740500000000004</v>
      </c>
      <c r="DM640" s="859">
        <f>DL640*1.03</f>
        <v>49.172715000000004</v>
      </c>
      <c r="DN640" s="929">
        <f>DL640+DM640</f>
        <v>96.913215000000008</v>
      </c>
      <c r="DO640" s="929"/>
      <c r="DP640" s="859">
        <f>DM640*1.03</f>
        <v>50.647896450000005</v>
      </c>
      <c r="DQ640" s="859">
        <f>DP640*1.03</f>
        <v>52.167333343500005</v>
      </c>
      <c r="DR640" s="929">
        <f>DP640+DQ640</f>
        <v>102.81522979350001</v>
      </c>
      <c r="DS640" s="929"/>
      <c r="DT640" s="859"/>
      <c r="DU640" s="859"/>
      <c r="DV640" s="859"/>
      <c r="DW640" s="859"/>
      <c r="DX640" s="929"/>
      <c r="DY640" s="857"/>
      <c r="DZ640" s="859"/>
      <c r="EA640" s="859"/>
      <c r="EB640" s="929"/>
      <c r="EC640" s="857"/>
      <c r="ED640" s="859"/>
      <c r="EE640" s="859"/>
      <c r="EF640" s="929"/>
      <c r="EG640" s="857"/>
      <c r="EH640" s="857"/>
      <c r="EI640" s="857"/>
      <c r="EJ640" s="857"/>
      <c r="EK640" s="857"/>
      <c r="EL640" s="857"/>
      <c r="EM640" s="857"/>
      <c r="EN640" s="857"/>
      <c r="EO640" s="857"/>
      <c r="EP640" s="857"/>
      <c r="FL640" s="855"/>
      <c r="FM640" s="855"/>
      <c r="FN640" s="855"/>
      <c r="FO640" s="855"/>
      <c r="FP640" s="855"/>
      <c r="FQ640" s="855"/>
      <c r="FR640" s="855"/>
      <c r="FS640" s="855"/>
      <c r="FT640" s="855"/>
      <c r="FU640" s="855"/>
      <c r="FV640" s="855"/>
      <c r="FW640" s="855"/>
      <c r="FX640" s="855"/>
      <c r="FY640" s="855"/>
      <c r="FZ640" s="855"/>
      <c r="GA640" s="855"/>
      <c r="GB640" s="855"/>
      <c r="GC640" s="855"/>
      <c r="GD640" s="855"/>
      <c r="GE640" s="855"/>
      <c r="GF640" s="855"/>
      <c r="GG640" s="855"/>
      <c r="GH640" s="855"/>
      <c r="GI640" s="855"/>
      <c r="GJ640" s="855"/>
      <c r="GK640" s="855"/>
      <c r="GL640" s="855"/>
      <c r="GM640" s="855"/>
      <c r="GN640" s="855"/>
      <c r="GO640" s="855"/>
      <c r="GP640" s="855"/>
      <c r="GQ640" s="855"/>
      <c r="GR640" s="855"/>
      <c r="GS640" s="855"/>
      <c r="GT640" s="855"/>
      <c r="GU640" s="855"/>
      <c r="GV640" s="855"/>
      <c r="GW640" s="855"/>
      <c r="GX640" s="855"/>
      <c r="GY640" s="855"/>
      <c r="GZ640" s="855"/>
      <c r="HA640" s="855"/>
      <c r="HB640" s="855"/>
      <c r="HC640" s="855"/>
      <c r="HD640" s="855"/>
      <c r="HE640" s="855"/>
      <c r="HF640" s="855"/>
      <c r="HG640" s="855"/>
      <c r="HH640" s="855"/>
      <c r="HI640" s="855"/>
      <c r="HJ640" s="855"/>
      <c r="HK640" s="855"/>
      <c r="HL640" s="855"/>
      <c r="HM640" s="855"/>
      <c r="HN640" s="855"/>
      <c r="HO640" s="855"/>
      <c r="HP640" s="855"/>
      <c r="HQ640" s="855"/>
      <c r="HR640" s="855"/>
      <c r="HS640" s="855"/>
      <c r="HT640" s="855"/>
      <c r="HU640" s="855"/>
      <c r="HV640" s="855"/>
      <c r="HW640" s="855"/>
      <c r="HX640" s="855"/>
      <c r="HY640" s="855"/>
      <c r="HZ640" s="855"/>
      <c r="IA640" s="855"/>
      <c r="IB640" s="855"/>
      <c r="IC640" s="855"/>
      <c r="ID640" s="855"/>
      <c r="IE640" s="855"/>
      <c r="IF640" s="855"/>
      <c r="IG640" s="855"/>
      <c r="IH640" s="855"/>
      <c r="II640" s="855"/>
      <c r="IJ640" s="855"/>
      <c r="IK640" s="855"/>
      <c r="IL640" s="855"/>
      <c r="IM640" s="855"/>
      <c r="IN640" s="855"/>
      <c r="IO640" s="855"/>
      <c r="IP640" s="855"/>
      <c r="IQ640" s="855"/>
      <c r="IR640" s="855"/>
      <c r="IS640" s="855"/>
      <c r="IT640" s="855"/>
      <c r="IU640" s="855"/>
      <c r="IV640" s="855"/>
      <c r="IW640" s="855"/>
      <c r="IX640" s="855"/>
      <c r="IY640" s="855"/>
      <c r="IZ640" s="855"/>
      <c r="JA640" s="855"/>
      <c r="JB640" s="855"/>
      <c r="JC640" s="855"/>
      <c r="JD640" s="855"/>
      <c r="JE640" s="855"/>
      <c r="JF640" s="855"/>
      <c r="JG640" s="855"/>
      <c r="JH640" s="855"/>
      <c r="JI640" s="855"/>
      <c r="JJ640" s="855"/>
      <c r="JK640" s="855"/>
      <c r="JL640" s="855"/>
      <c r="JM640"/>
    </row>
    <row r="641" spans="1:273" s="860" customFormat="1">
      <c r="A641" s="302" t="s">
        <v>690</v>
      </c>
      <c r="B641" s="298"/>
      <c r="C641" s="296"/>
      <c r="D641" s="296"/>
      <c r="E641" s="296"/>
      <c r="F641" s="296"/>
      <c r="G641" s="296"/>
      <c r="H641" s="296"/>
      <c r="I641" s="296"/>
      <c r="J641" s="296"/>
      <c r="K641" s="296"/>
      <c r="L641" s="296"/>
      <c r="M641" s="296"/>
      <c r="N641" s="296"/>
      <c r="O641" s="296"/>
      <c r="P641" s="296"/>
      <c r="Q641" s="296"/>
      <c r="R641" s="296"/>
      <c r="S641" s="296"/>
      <c r="T641" s="296"/>
      <c r="U641" s="296"/>
      <c r="V641" s="296"/>
      <c r="W641" s="296"/>
      <c r="X641" s="296"/>
      <c r="Y641" s="296"/>
      <c r="Z641" s="296"/>
      <c r="AA641" s="296"/>
      <c r="AB641" s="296"/>
      <c r="AC641" s="296"/>
      <c r="AD641" s="296"/>
      <c r="AE641" s="296"/>
      <c r="AF641" s="296"/>
      <c r="AG641" s="296"/>
      <c r="AH641" s="296"/>
      <c r="AI641" s="296"/>
      <c r="AJ641" s="296"/>
      <c r="AK641" s="296"/>
      <c r="AL641" s="296"/>
      <c r="AM641" s="296"/>
      <c r="AN641" s="298"/>
      <c r="AO641" s="298"/>
      <c r="AP641" s="929">
        <f>DIVISIONS!AP524</f>
        <v>41</v>
      </c>
      <c r="AQ641" s="298"/>
      <c r="AR641" s="298"/>
      <c r="AS641" s="298"/>
      <c r="AT641" s="929">
        <f>DIVISIONS!AT524</f>
        <v>24</v>
      </c>
      <c r="AU641" s="298"/>
      <c r="AV641" s="929">
        <f>DIVISIONS!AV524</f>
        <v>32</v>
      </c>
      <c r="AW641" s="929">
        <f>DIVISIONS!AW524</f>
        <v>22</v>
      </c>
      <c r="AX641" s="857"/>
      <c r="AY641" s="976"/>
      <c r="AZ641" s="929">
        <f>DIVISIONS!AZ524</f>
        <v>42</v>
      </c>
      <c r="BA641" s="929">
        <f>DIVISIONS!BA524</f>
        <v>32</v>
      </c>
      <c r="BB641" s="857"/>
      <c r="BC641" s="857"/>
      <c r="BD641" s="929">
        <f>DIVISIONS!BD524</f>
        <v>49</v>
      </c>
      <c r="BE641" s="929">
        <f>DIVISIONS!BE524</f>
        <v>60</v>
      </c>
      <c r="BF641" s="929">
        <f t="shared" si="689"/>
        <v>109</v>
      </c>
      <c r="BG641" s="859"/>
      <c r="BH641" s="929">
        <f>DIVISIONS!BH524</f>
        <v>51</v>
      </c>
      <c r="BI641" s="929">
        <f>DIVISIONS!BI524</f>
        <v>19</v>
      </c>
      <c r="BJ641" s="929">
        <f>BH641+BI641</f>
        <v>70</v>
      </c>
      <c r="BK641" s="859"/>
      <c r="BL641" s="929">
        <f>DIVISIONS!BL524</f>
        <v>56</v>
      </c>
      <c r="BM641" s="929">
        <f>DIVISIONS!BM524</f>
        <v>0</v>
      </c>
      <c r="BN641" s="929">
        <f>BL641+BM641</f>
        <v>56</v>
      </c>
      <c r="BO641" s="859"/>
      <c r="BP641" s="929">
        <f>DIVISIONS!BP524</f>
        <v>105</v>
      </c>
      <c r="BQ641" s="929">
        <f>DIVISIONS!BQ524</f>
        <v>170</v>
      </c>
      <c r="BR641" s="929">
        <f>BP641+BQ641</f>
        <v>275</v>
      </c>
      <c r="BS641" s="859"/>
      <c r="BT641" s="929">
        <f>DIVISIONS!BT524</f>
        <v>27</v>
      </c>
      <c r="BU641" s="929">
        <f>DIVISIONS!BU524</f>
        <v>32</v>
      </c>
      <c r="BV641" s="929">
        <f>BT641+BU641</f>
        <v>59</v>
      </c>
      <c r="BW641" s="859"/>
      <c r="BX641" s="929">
        <f>DIVISIONS!BX524</f>
        <v>36</v>
      </c>
      <c r="BY641" s="929">
        <f>DIVISIONS!BY524</f>
        <v>41</v>
      </c>
      <c r="BZ641" s="929">
        <f>BX641+BY641</f>
        <v>77</v>
      </c>
      <c r="CA641" s="859"/>
      <c r="CB641" s="929">
        <f>DIVISIONS!CB524</f>
        <v>48</v>
      </c>
      <c r="CC641" s="929">
        <f>DIVISIONS!CC524</f>
        <v>117</v>
      </c>
      <c r="CD641" s="929">
        <f>CB641+CC641</f>
        <v>165</v>
      </c>
      <c r="CE641" s="1619"/>
      <c r="CF641" s="929">
        <f>DIVISIONS!CF524</f>
        <v>0</v>
      </c>
      <c r="CG641" s="929">
        <f>DIVISIONS!CG524</f>
        <v>0</v>
      </c>
      <c r="CH641" s="929">
        <f>CF641+CG641</f>
        <v>0</v>
      </c>
      <c r="CI641" s="1619"/>
      <c r="CJ641" s="929">
        <f>DIVISIONS!CJ524</f>
        <v>0</v>
      </c>
      <c r="CK641" s="929">
        <f>DIVISIONS!CK524</f>
        <v>0</v>
      </c>
      <c r="CL641" s="929">
        <f>CJ641+CK641</f>
        <v>0</v>
      </c>
      <c r="CM641" s="1619"/>
      <c r="CN641" s="929">
        <f>DIVISIONS!CN524</f>
        <v>0</v>
      </c>
      <c r="CO641" s="929">
        <f>DIVISIONS!CO524</f>
        <v>0</v>
      </c>
      <c r="CP641" s="929">
        <f>CN641+CO641</f>
        <v>0</v>
      </c>
      <c r="CQ641" s="1619"/>
      <c r="CR641" s="929">
        <f>DIVISIONS!CR524</f>
        <v>0</v>
      </c>
      <c r="CS641" s="929">
        <f>DIVISIONS!CS524</f>
        <v>0</v>
      </c>
      <c r="CT641" s="929">
        <f>CR641+CS641</f>
        <v>0</v>
      </c>
      <c r="CU641" s="859"/>
      <c r="CV641" s="929">
        <f>DIVISIONS!CV524</f>
        <v>0</v>
      </c>
      <c r="CW641" s="929">
        <f>DIVISIONS!CW524</f>
        <v>0</v>
      </c>
      <c r="CX641" s="929">
        <f>CV641+CW641</f>
        <v>0</v>
      </c>
      <c r="CY641" s="859"/>
      <c r="CZ641" s="929">
        <f>DIVISIONS!CZ524</f>
        <v>0</v>
      </c>
      <c r="DA641" s="929">
        <f>DIVISIONS!DA524</f>
        <v>0</v>
      </c>
      <c r="DB641" s="929">
        <f>CZ641+DA641</f>
        <v>0</v>
      </c>
      <c r="DC641" s="859"/>
      <c r="DD641" s="929">
        <f>DIVISIONS!DD524</f>
        <v>0</v>
      </c>
      <c r="DE641" s="929">
        <f>DIVISIONS!DE524</f>
        <v>0</v>
      </c>
      <c r="DF641" s="929">
        <f>DD641+DE641</f>
        <v>0</v>
      </c>
      <c r="DG641" s="859"/>
      <c r="DH641" s="929">
        <f>DIVISIONS!DH524</f>
        <v>0</v>
      </c>
      <c r="DI641" s="859"/>
      <c r="DJ641" s="929"/>
      <c r="DK641" s="859"/>
      <c r="DL641" s="859"/>
      <c r="DM641" s="859"/>
      <c r="DN641" s="929"/>
      <c r="DO641" s="929"/>
      <c r="DP641" s="859"/>
      <c r="DQ641" s="859"/>
      <c r="DR641" s="929"/>
      <c r="DS641" s="929"/>
      <c r="DT641" s="859"/>
      <c r="DU641" s="859"/>
      <c r="DV641" s="859"/>
      <c r="DW641" s="859"/>
      <c r="DX641" s="929"/>
      <c r="DY641" s="857"/>
      <c r="DZ641" s="859"/>
      <c r="EA641" s="859"/>
      <c r="EB641" s="929"/>
      <c r="EC641" s="857"/>
      <c r="ED641" s="859"/>
      <c r="EE641" s="859"/>
      <c r="EF641" s="929"/>
      <c r="EG641" s="857"/>
      <c r="EH641" s="857"/>
      <c r="EI641" s="857"/>
      <c r="EJ641" s="857"/>
      <c r="EK641" s="857"/>
      <c r="EL641" s="857"/>
      <c r="EM641" s="857"/>
      <c r="EN641" s="857"/>
      <c r="EO641" s="857"/>
      <c r="EP641" s="857"/>
      <c r="FL641" s="855"/>
      <c r="FM641" s="855"/>
      <c r="FN641" s="855"/>
      <c r="FO641" s="855"/>
      <c r="FP641" s="855"/>
      <c r="FQ641" s="855"/>
      <c r="FR641" s="855"/>
      <c r="FS641" s="855"/>
      <c r="FT641" s="855"/>
      <c r="FU641" s="855"/>
      <c r="FV641" s="855"/>
      <c r="FW641" s="855"/>
      <c r="FX641" s="855"/>
      <c r="FY641" s="855"/>
      <c r="FZ641" s="855"/>
      <c r="GA641" s="855"/>
      <c r="GB641" s="855"/>
      <c r="GC641" s="855"/>
      <c r="GD641" s="855"/>
      <c r="GE641" s="855"/>
      <c r="GF641" s="855"/>
      <c r="GG641" s="855"/>
      <c r="GH641" s="855"/>
      <c r="GI641" s="855"/>
      <c r="GJ641" s="855"/>
      <c r="GK641" s="855"/>
      <c r="GL641" s="855"/>
      <c r="GM641" s="855"/>
      <c r="GN641" s="855"/>
      <c r="GO641" s="855"/>
      <c r="GP641" s="855"/>
      <c r="GQ641" s="855"/>
      <c r="GR641" s="855"/>
      <c r="GS641" s="855"/>
      <c r="GT641" s="855"/>
      <c r="GU641" s="855"/>
      <c r="GV641" s="855"/>
      <c r="GW641" s="855"/>
      <c r="GX641" s="855"/>
      <c r="GY641" s="855"/>
      <c r="GZ641" s="855"/>
      <c r="HA641" s="855"/>
      <c r="HB641" s="855"/>
      <c r="HC641" s="855"/>
      <c r="HD641" s="855"/>
      <c r="HE641" s="855"/>
      <c r="HF641" s="855"/>
      <c r="HG641" s="855"/>
      <c r="HH641" s="855"/>
      <c r="HI641" s="855"/>
      <c r="HJ641" s="855"/>
      <c r="HK641" s="855"/>
      <c r="HL641" s="855"/>
      <c r="HM641" s="855"/>
      <c r="HN641" s="855"/>
      <c r="HO641" s="855"/>
      <c r="HP641" s="855"/>
      <c r="HQ641" s="855"/>
      <c r="HR641" s="855"/>
      <c r="HS641" s="855"/>
      <c r="HT641" s="855"/>
      <c r="HU641" s="855"/>
      <c r="HV641" s="855"/>
      <c r="HW641" s="855"/>
      <c r="HX641" s="855"/>
      <c r="HY641" s="855"/>
      <c r="HZ641" s="855"/>
      <c r="IA641" s="855"/>
      <c r="IB641" s="855"/>
      <c r="IC641" s="855"/>
      <c r="ID641" s="855"/>
      <c r="IE641" s="855"/>
      <c r="IF641" s="855"/>
      <c r="IG641" s="855"/>
      <c r="IH641" s="855"/>
      <c r="II641" s="855"/>
      <c r="IJ641" s="855"/>
      <c r="IK641" s="855"/>
      <c r="IL641" s="855"/>
      <c r="IM641" s="855"/>
      <c r="IN641" s="855"/>
      <c r="IO641" s="855"/>
      <c r="IP641" s="855"/>
      <c r="IQ641" s="855"/>
      <c r="IR641" s="855"/>
      <c r="IS641" s="855"/>
      <c r="IT641" s="855"/>
      <c r="IU641" s="855"/>
      <c r="IV641" s="855"/>
      <c r="IW641" s="855"/>
      <c r="IX641" s="855"/>
      <c r="IY641" s="855"/>
      <c r="IZ641" s="855"/>
      <c r="JA641" s="855"/>
      <c r="JB641" s="855"/>
      <c r="JC641" s="855"/>
      <c r="JD641" s="855"/>
      <c r="JE641" s="855"/>
      <c r="JF641" s="855"/>
      <c r="JG641" s="855"/>
      <c r="JH641" s="855"/>
      <c r="JI641" s="855"/>
      <c r="JJ641" s="855"/>
      <c r="JK641" s="855"/>
      <c r="JL641" s="855"/>
      <c r="JM641"/>
    </row>
    <row r="642" spans="1:273" s="860" customFormat="1">
      <c r="A642" s="302" t="s">
        <v>689</v>
      </c>
      <c r="B642" s="298"/>
      <c r="C642" s="296"/>
      <c r="D642" s="296"/>
      <c r="E642" s="296"/>
      <c r="F642" s="296"/>
      <c r="G642" s="296"/>
      <c r="H642" s="296"/>
      <c r="I642" s="296"/>
      <c r="J642" s="296"/>
      <c r="K642" s="296"/>
      <c r="L642" s="296"/>
      <c r="M642" s="296"/>
      <c r="N642" s="296"/>
      <c r="O642" s="296"/>
      <c r="P642" s="296"/>
      <c r="Q642" s="296"/>
      <c r="R642" s="296"/>
      <c r="S642" s="296"/>
      <c r="T642" s="296"/>
      <c r="U642" s="296"/>
      <c r="V642" s="296"/>
      <c r="W642" s="296"/>
      <c r="X642" s="296"/>
      <c r="Y642" s="296"/>
      <c r="Z642" s="296"/>
      <c r="AA642" s="296"/>
      <c r="AB642" s="296"/>
      <c r="AC642" s="296"/>
      <c r="AD642" s="296"/>
      <c r="AE642" s="296"/>
      <c r="AF642" s="296"/>
      <c r="AG642" s="296"/>
      <c r="AH642" s="296"/>
      <c r="AI642" s="296"/>
      <c r="AJ642" s="296"/>
      <c r="AK642" s="296"/>
      <c r="AL642" s="296"/>
      <c r="AM642" s="296"/>
      <c r="AN642" s="298"/>
      <c r="AO642" s="298"/>
      <c r="AP642" s="929">
        <f>DIVISIONS!AP645</f>
        <v>12</v>
      </c>
      <c r="AQ642" s="298"/>
      <c r="AR642" s="298"/>
      <c r="AS642" s="298"/>
      <c r="AT642" s="929">
        <f>DIVISIONS!AT645</f>
        <v>7</v>
      </c>
      <c r="AU642" s="298"/>
      <c r="AV642" s="929">
        <f>DIVISIONS!AV645</f>
        <v>3</v>
      </c>
      <c r="AW642" s="929">
        <f>DIVISIONS!AW645</f>
        <v>3</v>
      </c>
      <c r="AX642" s="857"/>
      <c r="AY642" s="976"/>
      <c r="AZ642" s="929">
        <f>DIVISIONS!AZ645</f>
        <v>11</v>
      </c>
      <c r="BA642" s="929">
        <f>DIVISIONS!BA645</f>
        <v>7</v>
      </c>
      <c r="BB642" s="857"/>
      <c r="BC642" s="857"/>
      <c r="BD642" s="929">
        <f>DIVISIONS!BD645</f>
        <v>9</v>
      </c>
      <c r="BE642" s="929">
        <f>DIVISIONS!BE645</f>
        <v>6</v>
      </c>
      <c r="BF642" s="929">
        <f t="shared" si="689"/>
        <v>15</v>
      </c>
      <c r="BG642" s="859"/>
      <c r="BH642" s="929">
        <f>DIVISIONS!BH645</f>
        <v>27</v>
      </c>
      <c r="BI642" s="929">
        <f>DIVISIONS!BI645</f>
        <v>6</v>
      </c>
      <c r="BJ642" s="929">
        <f>BH642+BI642</f>
        <v>33</v>
      </c>
      <c r="BK642" s="859"/>
      <c r="BL642" s="929">
        <f>DIVISIONS!BL645</f>
        <v>3</v>
      </c>
      <c r="BM642" s="929">
        <f>DIVISIONS!BM645</f>
        <v>-6</v>
      </c>
      <c r="BN642" s="929">
        <f>BL642+BM642</f>
        <v>-3</v>
      </c>
      <c r="BO642" s="859"/>
      <c r="BP642" s="929">
        <f>DIVISIONS!BP645</f>
        <v>5</v>
      </c>
      <c r="BQ642" s="929">
        <f>DIVISIONS!BQ645</f>
        <v>5</v>
      </c>
      <c r="BR642" s="929">
        <f>BP642+BQ642</f>
        <v>10</v>
      </c>
      <c r="BS642" s="859"/>
      <c r="BT642" s="929">
        <f>DIVISIONS!BT645</f>
        <v>12</v>
      </c>
      <c r="BU642" s="929">
        <f>DIVISIONS!BU645</f>
        <v>23</v>
      </c>
      <c r="BV642" s="929">
        <f>BT642+BU642</f>
        <v>35</v>
      </c>
      <c r="BW642" s="859"/>
      <c r="BX642" s="929">
        <f>DIVISIONS!BX645</f>
        <v>9</v>
      </c>
      <c r="BY642" s="929">
        <f>DIVISIONS!BY645</f>
        <v>6</v>
      </c>
      <c r="BZ642" s="929">
        <f>BX642+BY642</f>
        <v>15</v>
      </c>
      <c r="CA642" s="859"/>
      <c r="CB642" s="929">
        <f>DIVISIONS!CB645</f>
        <v>9</v>
      </c>
      <c r="CC642" s="929">
        <f>DIVISIONS!CC645</f>
        <v>10</v>
      </c>
      <c r="CD642" s="929">
        <f>CB642+CC642</f>
        <v>19</v>
      </c>
      <c r="CE642" s="1619"/>
      <c r="CF642" s="929">
        <f>DIVISIONS!CF645</f>
        <v>0</v>
      </c>
      <c r="CG642" s="929">
        <f>DIVISIONS!CG645</f>
        <v>21</v>
      </c>
      <c r="CH642" s="929">
        <f>CF642+CG642</f>
        <v>21</v>
      </c>
      <c r="CI642" s="1619"/>
      <c r="CJ642" s="929">
        <f>DIVISIONS!CJ645</f>
        <v>0</v>
      </c>
      <c r="CK642" s="929">
        <f>DIVISIONS!CK645</f>
        <v>8</v>
      </c>
      <c r="CL642" s="929">
        <f>CJ642+CK642</f>
        <v>8</v>
      </c>
      <c r="CM642" s="1619"/>
      <c r="CN642" s="929">
        <f>DIVISIONS!CN645</f>
        <v>16</v>
      </c>
      <c r="CO642" s="929">
        <f>DIVISIONS!CO645</f>
        <v>14</v>
      </c>
      <c r="CP642" s="929">
        <f>CN642+CO642</f>
        <v>30</v>
      </c>
      <c r="CQ642" s="1619"/>
      <c r="CR642" s="929">
        <f>DIVISIONS!CR645</f>
        <v>1</v>
      </c>
      <c r="CS642" s="929">
        <f>DIVISIONS!CS645</f>
        <v>10</v>
      </c>
      <c r="CT642" s="929">
        <f>CR642+CS642</f>
        <v>11</v>
      </c>
      <c r="CU642" s="859"/>
      <c r="CV642" s="929">
        <f>DIVISIONS!CV645</f>
        <v>-13</v>
      </c>
      <c r="CW642" s="929">
        <f>DIVISIONS!CW645</f>
        <v>0</v>
      </c>
      <c r="CX642" s="929">
        <f>CV642+CW642</f>
        <v>-13</v>
      </c>
      <c r="CY642" s="859"/>
      <c r="CZ642" s="929">
        <f>DIVISIONS!CZ645</f>
        <v>0</v>
      </c>
      <c r="DA642" s="929">
        <f>DIVISIONS!DA645</f>
        <v>-6</v>
      </c>
      <c r="DB642" s="929">
        <f>CZ642+DA642</f>
        <v>-6</v>
      </c>
      <c r="DC642" s="859"/>
      <c r="DD642" s="929">
        <f>DIVISIONS!DD645</f>
        <v>-18</v>
      </c>
      <c r="DE642" s="929">
        <f>DIVISIONS!DE645</f>
        <v>-24</v>
      </c>
      <c r="DF642" s="929">
        <f>DD642+DE642</f>
        <v>-42</v>
      </c>
      <c r="DG642" s="859"/>
      <c r="DH642" s="929">
        <f>DIVISIONS!DH645</f>
        <v>-4</v>
      </c>
      <c r="DI642" s="859">
        <f>DH642</f>
        <v>-4</v>
      </c>
      <c r="DJ642" s="929">
        <f>DH642+DI642</f>
        <v>-8</v>
      </c>
      <c r="DK642" s="859"/>
      <c r="DL642" s="859">
        <f>DI642*1.03</f>
        <v>-4.12</v>
      </c>
      <c r="DM642" s="859">
        <f>DL642*1.03</f>
        <v>-4.2435999999999998</v>
      </c>
      <c r="DN642" s="929">
        <f>DL642+DM642</f>
        <v>-8.3635999999999999</v>
      </c>
      <c r="DO642" s="929"/>
      <c r="DP642" s="859">
        <f>DM642*1.03</f>
        <v>-4.370908</v>
      </c>
      <c r="DQ642" s="859">
        <f>DP642*1.03</f>
        <v>-4.5020352400000005</v>
      </c>
      <c r="DR642" s="929">
        <f>DP642+DQ642</f>
        <v>-8.8729432400000015</v>
      </c>
      <c r="DS642" s="929"/>
      <c r="DT642" s="859"/>
      <c r="DU642" s="859"/>
      <c r="DV642" s="859"/>
      <c r="DW642" s="859"/>
      <c r="DX642" s="929"/>
      <c r="DY642" s="857"/>
      <c r="DZ642" s="859"/>
      <c r="EA642" s="859"/>
      <c r="EB642" s="929"/>
      <c r="EC642" s="857"/>
      <c r="ED642" s="859"/>
      <c r="EE642" s="859"/>
      <c r="EF642" s="929"/>
      <c r="EG642" s="857"/>
      <c r="EH642" s="857"/>
      <c r="EI642" s="857"/>
      <c r="EJ642" s="857"/>
      <c r="EK642" s="857"/>
      <c r="EL642" s="857"/>
      <c r="EM642" s="857"/>
      <c r="EN642" s="857"/>
      <c r="EO642" s="857"/>
      <c r="EP642" s="857"/>
      <c r="FL642" s="855"/>
      <c r="FM642" s="855"/>
      <c r="FN642" s="855"/>
      <c r="FO642" s="855"/>
      <c r="FP642" s="855"/>
      <c r="FQ642" s="855"/>
      <c r="FR642" s="855"/>
      <c r="FS642" s="855"/>
      <c r="FT642" s="855"/>
      <c r="FU642" s="855"/>
      <c r="FV642" s="855"/>
      <c r="FW642" s="855"/>
      <c r="FX642" s="855"/>
      <c r="FY642" s="855"/>
      <c r="FZ642" s="855"/>
      <c r="GA642" s="855"/>
      <c r="GB642" s="855"/>
      <c r="GC642" s="855"/>
      <c r="GD642" s="855"/>
      <c r="GE642" s="855"/>
      <c r="GF642" s="855"/>
      <c r="GG642" s="855"/>
      <c r="GH642" s="855"/>
      <c r="GI642" s="855"/>
      <c r="GJ642" s="855"/>
      <c r="GK642" s="855"/>
      <c r="GL642" s="855"/>
      <c r="GM642" s="855"/>
      <c r="GN642" s="855"/>
      <c r="GO642" s="855"/>
      <c r="GP642" s="855"/>
      <c r="GQ642" s="855"/>
      <c r="GR642" s="855"/>
      <c r="GS642" s="855"/>
      <c r="GT642" s="855"/>
      <c r="GU642" s="855"/>
      <c r="GV642" s="855"/>
      <c r="GW642" s="855"/>
      <c r="GX642" s="855"/>
      <c r="GY642" s="855"/>
      <c r="GZ642" s="855"/>
      <c r="HA642" s="855"/>
      <c r="HB642" s="855"/>
      <c r="HC642" s="855"/>
      <c r="HD642" s="855"/>
      <c r="HE642" s="855"/>
      <c r="HF642" s="855"/>
      <c r="HG642" s="855"/>
      <c r="HH642" s="855"/>
      <c r="HI642" s="855"/>
      <c r="HJ642" s="855"/>
      <c r="HK642" s="855"/>
      <c r="HL642" s="855"/>
      <c r="HM642" s="855"/>
      <c r="HN642" s="855"/>
      <c r="HO642" s="855"/>
      <c r="HP642" s="855"/>
      <c r="HQ642" s="855"/>
      <c r="HR642" s="855"/>
      <c r="HS642" s="855"/>
      <c r="HT642" s="855"/>
      <c r="HU642" s="855"/>
      <c r="HV642" s="855"/>
      <c r="HW642" s="855"/>
      <c r="HX642" s="855"/>
      <c r="HY642" s="855"/>
      <c r="HZ642" s="855"/>
      <c r="IA642" s="855"/>
      <c r="IB642" s="855"/>
      <c r="IC642" s="855"/>
      <c r="ID642" s="855"/>
      <c r="IE642" s="855"/>
      <c r="IF642" s="855"/>
      <c r="IG642" s="855"/>
      <c r="IH642" s="855"/>
      <c r="II642" s="855"/>
      <c r="IJ642" s="855"/>
      <c r="IK642" s="855"/>
      <c r="IL642" s="855"/>
      <c r="IM642" s="855"/>
      <c r="IN642" s="855"/>
      <c r="IO642" s="855"/>
      <c r="IP642" s="855"/>
      <c r="IQ642" s="855"/>
      <c r="IR642" s="855"/>
      <c r="IS642" s="855"/>
      <c r="IT642" s="855"/>
      <c r="IU642" s="855"/>
      <c r="IV642" s="855"/>
      <c r="IW642" s="855"/>
      <c r="IX642" s="855"/>
      <c r="IY642" s="855"/>
      <c r="IZ642" s="855"/>
      <c r="JA642" s="855"/>
      <c r="JB642" s="855"/>
      <c r="JC642" s="855"/>
      <c r="JD642" s="855"/>
      <c r="JE642" s="855"/>
      <c r="JF642" s="855"/>
      <c r="JG642" s="855"/>
      <c r="JH642" s="855"/>
      <c r="JI642" s="855"/>
      <c r="JJ642" s="855"/>
      <c r="JK642" s="855"/>
      <c r="JL642" s="855"/>
      <c r="JM642"/>
    </row>
    <row r="643" spans="1:273" s="860" customFormat="1">
      <c r="A643" s="302" t="s">
        <v>688</v>
      </c>
      <c r="B643" s="298"/>
      <c r="C643" s="296"/>
      <c r="D643" s="296"/>
      <c r="E643" s="296"/>
      <c r="F643" s="296"/>
      <c r="G643" s="296"/>
      <c r="H643" s="296"/>
      <c r="I643" s="296"/>
      <c r="J643" s="296"/>
      <c r="K643" s="296"/>
      <c r="L643" s="296"/>
      <c r="M643" s="296"/>
      <c r="N643" s="296"/>
      <c r="O643" s="296"/>
      <c r="P643" s="296"/>
      <c r="Q643" s="296"/>
      <c r="R643" s="296"/>
      <c r="S643" s="296"/>
      <c r="T643" s="296"/>
      <c r="U643" s="296"/>
      <c r="V643" s="296"/>
      <c r="W643" s="296"/>
      <c r="X643" s="296"/>
      <c r="Y643" s="296"/>
      <c r="Z643" s="296"/>
      <c r="AA643" s="296"/>
      <c r="AB643" s="296"/>
      <c r="AC643" s="296"/>
      <c r="AD643" s="296"/>
      <c r="AE643" s="296"/>
      <c r="AF643" s="296"/>
      <c r="AG643" s="296"/>
      <c r="AH643" s="296"/>
      <c r="AI643" s="296"/>
      <c r="AJ643" s="296"/>
      <c r="AK643" s="296"/>
      <c r="AL643" s="296"/>
      <c r="AM643" s="296"/>
      <c r="AN643" s="298"/>
      <c r="AO643" s="298"/>
      <c r="AP643" s="929">
        <f>DIVISIONS!AP704</f>
        <v>16</v>
      </c>
      <c r="AQ643" s="298"/>
      <c r="AR643" s="298"/>
      <c r="AS643" s="298"/>
      <c r="AT643" s="929">
        <f>DIVISIONS!AT704</f>
        <v>43</v>
      </c>
      <c r="AU643" s="298"/>
      <c r="AV643" s="929">
        <f>DIVISIONS!AV704</f>
        <v>12</v>
      </c>
      <c r="AW643" s="929">
        <f>DIVISIONS!AW704</f>
        <v>6</v>
      </c>
      <c r="AX643" s="857"/>
      <c r="AY643" s="976"/>
      <c r="AZ643" s="929">
        <f>DIVISIONS!AZ704</f>
        <v>7</v>
      </c>
      <c r="BA643" s="929">
        <f>DIVISIONS!BA704</f>
        <v>13</v>
      </c>
      <c r="BB643" s="857"/>
      <c r="BC643" s="857"/>
      <c r="BD643" s="929"/>
      <c r="BE643" s="929"/>
      <c r="BF643" s="929"/>
      <c r="BG643" s="859"/>
      <c r="BH643" s="929"/>
      <c r="BI643" s="929"/>
      <c r="BJ643" s="929"/>
      <c r="BK643" s="859"/>
      <c r="BL643" s="929"/>
      <c r="BM643" s="929"/>
      <c r="BN643" s="929"/>
      <c r="BO643" s="859"/>
      <c r="BP643" s="929"/>
      <c r="BQ643" s="929"/>
      <c r="BR643" s="929"/>
      <c r="BS643" s="859"/>
      <c r="BT643" s="929"/>
      <c r="BU643" s="929"/>
      <c r="BV643" s="929"/>
      <c r="BW643" s="859"/>
      <c r="BX643" s="929"/>
      <c r="BY643" s="929"/>
      <c r="BZ643" s="929"/>
      <c r="CA643" s="859"/>
      <c r="CB643" s="929"/>
      <c r="CC643" s="929"/>
      <c r="CD643" s="929"/>
      <c r="CE643" s="1619"/>
      <c r="CF643" s="929"/>
      <c r="CG643" s="929"/>
      <c r="CH643" s="929"/>
      <c r="CI643" s="1619"/>
      <c r="CJ643" s="929"/>
      <c r="CK643" s="929"/>
      <c r="CL643" s="929"/>
      <c r="CM643" s="1619"/>
      <c r="CN643" s="929"/>
      <c r="CO643" s="929"/>
      <c r="CP643" s="929"/>
      <c r="CQ643" s="1619"/>
      <c r="CR643" s="929"/>
      <c r="CS643" s="929"/>
      <c r="CT643" s="929"/>
      <c r="CU643" s="859"/>
      <c r="CV643" s="929"/>
      <c r="CW643" s="929"/>
      <c r="CX643" s="929"/>
      <c r="CY643" s="859"/>
      <c r="CZ643" s="929"/>
      <c r="DA643" s="929"/>
      <c r="DB643" s="929"/>
      <c r="DC643" s="859"/>
      <c r="DD643" s="929"/>
      <c r="DE643" s="929"/>
      <c r="DF643" s="929"/>
      <c r="DG643" s="859"/>
      <c r="DH643" s="929"/>
      <c r="DI643" s="859"/>
      <c r="DJ643" s="929"/>
      <c r="DK643" s="859"/>
      <c r="DL643" s="859"/>
      <c r="DM643" s="859"/>
      <c r="DN643" s="929"/>
      <c r="DO643" s="929"/>
      <c r="DP643" s="859"/>
      <c r="DQ643" s="859"/>
      <c r="DR643" s="929"/>
      <c r="DS643" s="929"/>
      <c r="DT643" s="859"/>
      <c r="DU643" s="859"/>
      <c r="DV643" s="859"/>
      <c r="DW643" s="859"/>
      <c r="DX643" s="929"/>
      <c r="DY643" s="857"/>
      <c r="DZ643" s="859"/>
      <c r="EA643" s="859"/>
      <c r="EB643" s="929"/>
      <c r="EC643" s="857"/>
      <c r="ED643" s="859"/>
      <c r="EE643" s="859"/>
      <c r="EF643" s="929"/>
      <c r="EG643" s="857"/>
      <c r="EH643" s="857"/>
      <c r="EI643" s="857"/>
      <c r="EJ643" s="857"/>
      <c r="EK643" s="857"/>
      <c r="EL643" s="857"/>
      <c r="EM643" s="857"/>
      <c r="EN643" s="857"/>
      <c r="EO643" s="857"/>
      <c r="EP643" s="857"/>
      <c r="FL643" s="855"/>
      <c r="FM643" s="855"/>
      <c r="FN643" s="855"/>
      <c r="FO643" s="855"/>
      <c r="FP643" s="855"/>
      <c r="FQ643" s="855"/>
      <c r="FR643" s="855"/>
      <c r="FS643" s="855"/>
      <c r="FT643" s="855"/>
      <c r="FU643" s="855"/>
      <c r="FV643" s="855"/>
      <c r="FW643" s="855"/>
      <c r="FX643" s="855"/>
      <c r="FY643" s="855"/>
      <c r="FZ643" s="855"/>
      <c r="GA643" s="855"/>
      <c r="GB643" s="855"/>
      <c r="GC643" s="855"/>
      <c r="GD643" s="855"/>
      <c r="GE643" s="855"/>
      <c r="GF643" s="855"/>
      <c r="GG643" s="855"/>
      <c r="GH643" s="855"/>
      <c r="GI643" s="855"/>
      <c r="GJ643" s="855"/>
      <c r="GK643" s="855"/>
      <c r="GL643" s="855"/>
      <c r="GM643" s="855"/>
      <c r="GN643" s="855"/>
      <c r="GO643" s="855"/>
      <c r="GP643" s="855"/>
      <c r="GQ643" s="855"/>
      <c r="GR643" s="855"/>
      <c r="GS643" s="855"/>
      <c r="GT643" s="855"/>
      <c r="GU643" s="855"/>
      <c r="GV643" s="855"/>
      <c r="GW643" s="855"/>
      <c r="GX643" s="855"/>
      <c r="GY643" s="855"/>
      <c r="GZ643" s="855"/>
      <c r="HA643" s="855"/>
      <c r="HB643" s="855"/>
      <c r="HC643" s="855"/>
      <c r="HD643" s="855"/>
      <c r="HE643" s="855"/>
      <c r="HF643" s="855"/>
      <c r="HG643" s="855"/>
      <c r="HH643" s="855"/>
      <c r="HI643" s="855"/>
      <c r="HJ643" s="855"/>
      <c r="HK643" s="855"/>
      <c r="HL643" s="855"/>
      <c r="HM643" s="855"/>
      <c r="HN643" s="855"/>
      <c r="HO643" s="855"/>
      <c r="HP643" s="855"/>
      <c r="HQ643" s="855"/>
      <c r="HR643" s="855"/>
      <c r="HS643" s="855"/>
      <c r="HT643" s="855"/>
      <c r="HU643" s="855"/>
      <c r="HV643" s="855"/>
      <c r="HW643" s="855"/>
      <c r="HX643" s="855"/>
      <c r="HY643" s="855"/>
      <c r="HZ643" s="855"/>
      <c r="IA643" s="855"/>
      <c r="IB643" s="855"/>
      <c r="IC643" s="855"/>
      <c r="ID643" s="855"/>
      <c r="IE643" s="855"/>
      <c r="IF643" s="855"/>
      <c r="IG643" s="855"/>
      <c r="IH643" s="855"/>
      <c r="II643" s="855"/>
      <c r="IJ643" s="855"/>
      <c r="IK643" s="855"/>
      <c r="IL643" s="855"/>
      <c r="IM643" s="855"/>
      <c r="IN643" s="855"/>
      <c r="IO643" s="855"/>
      <c r="IP643" s="855"/>
      <c r="IQ643" s="855"/>
      <c r="IR643" s="855"/>
      <c r="IS643" s="855"/>
      <c r="IT643" s="855"/>
      <c r="IU643" s="855"/>
      <c r="IV643" s="855"/>
      <c r="IW643" s="855"/>
      <c r="IX643" s="855"/>
      <c r="IY643" s="855"/>
      <c r="IZ643" s="855"/>
      <c r="JA643" s="855"/>
      <c r="JB643" s="855"/>
      <c r="JC643" s="855"/>
      <c r="JD643" s="855"/>
      <c r="JE643" s="855"/>
      <c r="JF643" s="855"/>
      <c r="JG643" s="855"/>
      <c r="JH643" s="855"/>
      <c r="JI643" s="855"/>
      <c r="JJ643" s="855"/>
      <c r="JK643" s="855"/>
      <c r="JL643" s="855"/>
      <c r="JM643"/>
    </row>
    <row r="644" spans="1:273" s="860" customFormat="1">
      <c r="A644" s="302" t="s">
        <v>691</v>
      </c>
      <c r="B644" s="298"/>
      <c r="C644" s="296"/>
      <c r="D644" s="296"/>
      <c r="E644" s="296"/>
      <c r="F644" s="296"/>
      <c r="G644" s="296"/>
      <c r="H644" s="296"/>
      <c r="I644" s="296"/>
      <c r="J644" s="296"/>
      <c r="K644" s="296"/>
      <c r="L644" s="296"/>
      <c r="M644" s="296"/>
      <c r="N644" s="296"/>
      <c r="O644" s="296"/>
      <c r="P644" s="296"/>
      <c r="Q644" s="296"/>
      <c r="R644" s="296"/>
      <c r="S644" s="296"/>
      <c r="T644" s="296"/>
      <c r="U644" s="296"/>
      <c r="V644" s="296"/>
      <c r="W644" s="296"/>
      <c r="X644" s="296"/>
      <c r="Y644" s="296"/>
      <c r="Z644" s="296"/>
      <c r="AA644" s="296"/>
      <c r="AB644" s="296"/>
      <c r="AC644" s="296"/>
      <c r="AD644" s="296"/>
      <c r="AE644" s="296"/>
      <c r="AF644" s="296"/>
      <c r="AG644" s="296"/>
      <c r="AH644" s="296"/>
      <c r="AI644" s="296"/>
      <c r="AJ644" s="296"/>
      <c r="AK644" s="296"/>
      <c r="AL644" s="296"/>
      <c r="AM644" s="296"/>
      <c r="AN644" s="298"/>
      <c r="AO644" s="298"/>
      <c r="AP644" s="929">
        <f>DIVISIONS!AP760</f>
        <v>13</v>
      </c>
      <c r="AQ644" s="298"/>
      <c r="AR644" s="298"/>
      <c r="AS644" s="298"/>
      <c r="AT644" s="929">
        <f>DIVISIONS!AT760</f>
        <v>6</v>
      </c>
      <c r="AU644" s="298"/>
      <c r="AV644" s="929">
        <f>DIVISIONS!AV760</f>
        <v>24</v>
      </c>
      <c r="AW644" s="929">
        <f>DIVISIONS!AW760</f>
        <v>16</v>
      </c>
      <c r="AX644" s="857"/>
      <c r="AY644" s="976"/>
      <c r="AZ644" s="929">
        <f>DIVISIONS!AZ760</f>
        <v>110</v>
      </c>
      <c r="BA644" s="929">
        <f>DIVISIONS!BA760</f>
        <v>16</v>
      </c>
      <c r="BB644" s="857"/>
      <c r="BC644" s="986"/>
      <c r="BD644" s="929">
        <f>DIVISIONS!BD760</f>
        <v>15</v>
      </c>
      <c r="BE644" s="929">
        <f>DIVISIONS!BE760</f>
        <v>4</v>
      </c>
      <c r="BF644" s="929">
        <f t="shared" si="689"/>
        <v>19</v>
      </c>
      <c r="BG644" s="859"/>
      <c r="BH644" s="929">
        <f>DIVISIONS!BH760</f>
        <v>18</v>
      </c>
      <c r="BI644" s="929">
        <f>DIVISIONS!BI760</f>
        <v>-12</v>
      </c>
      <c r="BJ644" s="929">
        <f>BH644+BI644</f>
        <v>6</v>
      </c>
      <c r="BK644" s="859"/>
      <c r="BL644" s="929">
        <f>DIVISIONS!BL760</f>
        <v>-46</v>
      </c>
      <c r="BM644" s="929">
        <f>DIVISIONS!BM760</f>
        <v>46</v>
      </c>
      <c r="BN644" s="929">
        <f>BL644+BM644</f>
        <v>0</v>
      </c>
      <c r="BO644" s="859"/>
      <c r="BP644" s="929">
        <f>DIVISIONS!BP760</f>
        <v>8</v>
      </c>
      <c r="BQ644" s="929">
        <f>DIVISIONS!BQ760</f>
        <v>11</v>
      </c>
      <c r="BR644" s="929">
        <f>BP644+BQ644</f>
        <v>19</v>
      </c>
      <c r="BS644" s="859"/>
      <c r="BT644" s="929">
        <f>DIVISIONS!BT760</f>
        <v>0</v>
      </c>
      <c r="BU644" s="929">
        <f>DIVISIONS!BU760</f>
        <v>17</v>
      </c>
      <c r="BV644" s="929">
        <f>BT644+BU644</f>
        <v>17</v>
      </c>
      <c r="BW644" s="859"/>
      <c r="BX644" s="929">
        <f>DIVISIONS!BX760</f>
        <v>0</v>
      </c>
      <c r="BY644" s="929">
        <f>DIVISIONS!BY760</f>
        <v>11</v>
      </c>
      <c r="BZ644" s="929">
        <f>BX644+BY644</f>
        <v>11</v>
      </c>
      <c r="CA644" s="859"/>
      <c r="CB644" s="929">
        <f>DIVISIONS!CB760</f>
        <v>-62</v>
      </c>
      <c r="CC644" s="929">
        <f>DIVISIONS!CC760</f>
        <v>-4</v>
      </c>
      <c r="CD644" s="929">
        <f>CB644+CC644</f>
        <v>-66</v>
      </c>
      <c r="CE644" s="1619"/>
      <c r="CF644" s="929">
        <f>DIVISIONS!CF760</f>
        <v>-24</v>
      </c>
      <c r="CG644" s="929">
        <f>DIVISIONS!CG760</f>
        <v>12</v>
      </c>
      <c r="CH644" s="929">
        <f>CF644+CG644</f>
        <v>-12</v>
      </c>
      <c r="CI644" s="1619"/>
      <c r="CJ644" s="929">
        <f>DIVISIONS!CJ760</f>
        <v>14</v>
      </c>
      <c r="CK644" s="929">
        <f>DIVISIONS!CK760</f>
        <v>2</v>
      </c>
      <c r="CL644" s="929">
        <f>CJ644+CK644</f>
        <v>16</v>
      </c>
      <c r="CM644" s="1619"/>
      <c r="CN644" s="929">
        <f>DIVISIONS!CN760</f>
        <v>27</v>
      </c>
      <c r="CO644" s="929">
        <f>DIVISIONS!CO760</f>
        <v>-2</v>
      </c>
      <c r="CP644" s="929">
        <f>CN644+CO644</f>
        <v>25</v>
      </c>
      <c r="CQ644" s="1619"/>
      <c r="CR644" s="929">
        <f>DIVISIONS!CR760</f>
        <v>3</v>
      </c>
      <c r="CS644" s="929">
        <f>DIVISIONS!CS760</f>
        <v>-9</v>
      </c>
      <c r="CT644" s="929">
        <f>CR644+CS644</f>
        <v>-6</v>
      </c>
      <c r="CU644" s="859"/>
      <c r="CV644" s="929">
        <f>DIVISIONS!CV760</f>
        <v>23</v>
      </c>
      <c r="CW644" s="929">
        <f>DIVISIONS!CW760</f>
        <v>0</v>
      </c>
      <c r="CX644" s="929">
        <f>CV644+CW644</f>
        <v>23</v>
      </c>
      <c r="CY644" s="859"/>
      <c r="CZ644" s="929">
        <f>DIVISIONS!CZ760</f>
        <v>11</v>
      </c>
      <c r="DA644" s="929">
        <f>DIVISIONS!DA760</f>
        <v>-2</v>
      </c>
      <c r="DB644" s="929">
        <f>CZ644+DA644</f>
        <v>9</v>
      </c>
      <c r="DC644" s="859"/>
      <c r="DD644" s="929">
        <f>DIVISIONS!DD760</f>
        <v>-10</v>
      </c>
      <c r="DE644" s="929">
        <f>DIVISIONS!DE760</f>
        <v>-305</v>
      </c>
      <c r="DF644" s="929">
        <f>DD644+DE644</f>
        <v>-315</v>
      </c>
      <c r="DG644" s="859"/>
      <c r="DH644" s="974">
        <f>DIVISIONS!DH760</f>
        <v>-285</v>
      </c>
      <c r="DI644" s="974">
        <v>-100</v>
      </c>
      <c r="DJ644" s="929">
        <f>DH644+DI644</f>
        <v>-385</v>
      </c>
      <c r="DK644" s="859"/>
      <c r="DL644" s="974">
        <v>-80</v>
      </c>
      <c r="DM644" s="974">
        <v>-70</v>
      </c>
      <c r="DN644" s="929">
        <f>DL644+DM644</f>
        <v>-150</v>
      </c>
      <c r="DO644" s="929"/>
      <c r="DP644" s="859">
        <v>-25</v>
      </c>
      <c r="DQ644" s="859">
        <v>-25</v>
      </c>
      <c r="DR644" s="929">
        <f>DP644+DQ644</f>
        <v>-50</v>
      </c>
      <c r="DS644" s="929"/>
      <c r="DT644" s="859"/>
      <c r="DU644" s="859"/>
      <c r="DV644" s="859"/>
      <c r="DW644" s="859"/>
      <c r="DX644" s="929"/>
      <c r="DY644" s="857"/>
      <c r="DZ644" s="859"/>
      <c r="EA644" s="859"/>
      <c r="EB644" s="929"/>
      <c r="EC644" s="857"/>
      <c r="ED644" s="859"/>
      <c r="EE644" s="859"/>
      <c r="EF644" s="929"/>
      <c r="EG644" s="857"/>
      <c r="EH644" s="857"/>
      <c r="EI644" s="857"/>
      <c r="EJ644" s="857"/>
      <c r="EK644" s="857"/>
      <c r="EL644" s="857"/>
      <c r="EM644" s="857"/>
      <c r="EN644" s="857"/>
      <c r="EO644" s="857"/>
      <c r="EP644" s="857"/>
      <c r="FL644" s="855"/>
      <c r="FM644" s="855"/>
      <c r="FN644" s="855"/>
      <c r="FO644" s="855"/>
      <c r="FP644" s="855"/>
      <c r="FQ644" s="855"/>
      <c r="FR644" s="855"/>
      <c r="FS644" s="855"/>
      <c r="FT644" s="855"/>
      <c r="FU644" s="855"/>
      <c r="FV644" s="855"/>
      <c r="FW644" s="855"/>
      <c r="FX644" s="855"/>
      <c r="FY644" s="855"/>
      <c r="FZ644" s="855"/>
      <c r="GA644" s="855"/>
      <c r="GB644" s="855"/>
      <c r="GC644" s="855"/>
      <c r="GD644" s="855"/>
      <c r="GE644" s="855"/>
      <c r="GF644" s="855"/>
      <c r="GG644" s="855"/>
      <c r="GH644" s="855"/>
      <c r="GI644" s="855"/>
      <c r="GJ644" s="855"/>
      <c r="GK644" s="855"/>
      <c r="GL644" s="855"/>
      <c r="GM644" s="855"/>
      <c r="GN644" s="855"/>
      <c r="GO644" s="855"/>
      <c r="GP644" s="855"/>
      <c r="GQ644" s="855"/>
      <c r="GR644" s="855"/>
      <c r="GS644" s="855"/>
      <c r="GT644" s="855"/>
      <c r="GU644" s="855"/>
      <c r="GV644" s="855"/>
      <c r="GW644" s="855"/>
      <c r="GX644" s="855"/>
      <c r="GY644" s="855"/>
      <c r="GZ644" s="855"/>
      <c r="HA644" s="855"/>
      <c r="HB644" s="855"/>
      <c r="HC644" s="855"/>
      <c r="HD644" s="855"/>
      <c r="HE644" s="855"/>
      <c r="HF644" s="855"/>
      <c r="HG644" s="855"/>
      <c r="HH644" s="855"/>
      <c r="HI644" s="855"/>
      <c r="HJ644" s="855"/>
      <c r="HK644" s="855"/>
      <c r="HL644" s="855"/>
      <c r="HM644" s="855"/>
      <c r="HN644" s="855"/>
      <c r="HO644" s="855"/>
      <c r="HP644" s="855"/>
      <c r="HQ644" s="855"/>
      <c r="HR644" s="855"/>
      <c r="HS644" s="855"/>
      <c r="HT644" s="855"/>
      <c r="HU644" s="855"/>
      <c r="HV644" s="855"/>
      <c r="HW644" s="855"/>
      <c r="HX644" s="855"/>
      <c r="HY644" s="855"/>
      <c r="HZ644" s="855"/>
      <c r="IA644" s="855"/>
      <c r="IB644" s="855"/>
      <c r="IC644" s="855"/>
      <c r="ID644" s="855"/>
      <c r="IE644" s="855"/>
      <c r="IF644" s="855"/>
      <c r="IG644" s="855"/>
      <c r="IH644" s="855"/>
      <c r="II644" s="855"/>
      <c r="IJ644" s="855"/>
      <c r="IK644" s="855"/>
      <c r="IL644" s="855"/>
      <c r="IM644" s="855"/>
      <c r="IN644" s="855"/>
      <c r="IO644" s="855"/>
      <c r="IP644" s="855"/>
      <c r="IQ644" s="855"/>
      <c r="IR644" s="855"/>
      <c r="IS644" s="855"/>
      <c r="IT644" s="855"/>
      <c r="IU644" s="855"/>
      <c r="IV644" s="855"/>
      <c r="IW644" s="855"/>
      <c r="IX644" s="855"/>
      <c r="IY644" s="855"/>
      <c r="IZ644" s="855"/>
      <c r="JA644" s="855"/>
      <c r="JB644" s="855"/>
      <c r="JC644" s="855"/>
      <c r="JD644" s="855"/>
      <c r="JE644" s="855"/>
      <c r="JF644" s="855"/>
      <c r="JG644" s="855"/>
      <c r="JH644" s="855"/>
      <c r="JI644" s="855"/>
      <c r="JJ644" s="855"/>
      <c r="JK644" s="855"/>
      <c r="JL644" s="855"/>
      <c r="JM644"/>
    </row>
    <row r="645" spans="1:273" s="855" customFormat="1">
      <c r="A645" s="289" t="s">
        <v>613</v>
      </c>
      <c r="B645" s="290"/>
      <c r="C645" s="289"/>
      <c r="D645" s="289"/>
      <c r="E645" s="289"/>
      <c r="F645" s="289"/>
      <c r="G645" s="289"/>
      <c r="H645" s="289"/>
      <c r="I645" s="289"/>
      <c r="J645" s="289"/>
      <c r="K645" s="289"/>
      <c r="L645" s="289"/>
      <c r="M645" s="289"/>
      <c r="N645" s="289"/>
      <c r="O645" s="289"/>
      <c r="P645" s="289"/>
      <c r="Q645" s="289"/>
      <c r="R645" s="289"/>
      <c r="S645" s="289"/>
      <c r="T645" s="289"/>
      <c r="U645" s="289"/>
      <c r="V645" s="289"/>
      <c r="W645" s="289"/>
      <c r="X645" s="289"/>
      <c r="Y645" s="289"/>
      <c r="Z645" s="289"/>
      <c r="AA645" s="289"/>
      <c r="AB645" s="289"/>
      <c r="AC645" s="289"/>
      <c r="AD645" s="289"/>
      <c r="AE645" s="289"/>
      <c r="AF645" s="289"/>
      <c r="AG645" s="289"/>
      <c r="AH645" s="289"/>
      <c r="AI645" s="289"/>
      <c r="AJ645" s="289"/>
      <c r="AK645" s="289"/>
      <c r="AL645" s="289"/>
      <c r="AM645" s="289"/>
      <c r="AN645" s="290"/>
      <c r="AO645" s="290"/>
      <c r="AP645" s="853">
        <f>SUM(AP637:AP644)</f>
        <v>120</v>
      </c>
      <c r="AQ645" s="290"/>
      <c r="AR645" s="290"/>
      <c r="AS645" s="290"/>
      <c r="AT645" s="853">
        <f>SUM(AT637:AT644)</f>
        <v>266</v>
      </c>
      <c r="AU645" s="290"/>
      <c r="AV645" s="853">
        <f>SUM(AV637:AV644)</f>
        <v>145</v>
      </c>
      <c r="AW645" s="853">
        <f>SUM(AW637:AW644)</f>
        <v>153</v>
      </c>
      <c r="AX645" s="853"/>
      <c r="AY645" s="820"/>
      <c r="AZ645" s="853">
        <f>SUM(AZ637:AZ644)</f>
        <v>234</v>
      </c>
      <c r="BA645" s="853">
        <f>SUM(BA637:BA644)</f>
        <v>278</v>
      </c>
      <c r="BB645" s="853"/>
      <c r="BC645" s="853"/>
      <c r="BD645" s="853">
        <f>SUM(BD637:BD644)</f>
        <v>113</v>
      </c>
      <c r="BE645" s="853">
        <f>SUM(BE637:BE644)</f>
        <v>235</v>
      </c>
      <c r="BF645" s="853">
        <f t="shared" si="689"/>
        <v>348</v>
      </c>
      <c r="BG645" s="853"/>
      <c r="BH645" s="853">
        <f>SUM(BH637:BH644)</f>
        <v>127</v>
      </c>
      <c r="BI645" s="853">
        <f>SUM(BI637:BI644)</f>
        <v>145</v>
      </c>
      <c r="BJ645" s="853">
        <f>BH645+BI645</f>
        <v>272</v>
      </c>
      <c r="BK645" s="853"/>
      <c r="BL645" s="853">
        <f>SUM(BL637:BL644)</f>
        <v>108</v>
      </c>
      <c r="BM645" s="853">
        <f>SUM(BM637:BM644)</f>
        <v>152</v>
      </c>
      <c r="BN645" s="853">
        <f>BL645+BM645</f>
        <v>260</v>
      </c>
      <c r="BO645" s="853"/>
      <c r="BP645" s="853">
        <f>SUM(BP637:BP644)</f>
        <v>158</v>
      </c>
      <c r="BQ645" s="853">
        <f>SUM(BQ637:BQ644)</f>
        <v>265</v>
      </c>
      <c r="BR645" s="853">
        <f>BP645+BQ645</f>
        <v>423</v>
      </c>
      <c r="BS645" s="853"/>
      <c r="BT645" s="853">
        <f>SUM(BT637:BT644)</f>
        <v>100</v>
      </c>
      <c r="BU645" s="853">
        <f>SUM(BU637:BU644)</f>
        <v>141</v>
      </c>
      <c r="BV645" s="853">
        <f>BT645+BU645</f>
        <v>241</v>
      </c>
      <c r="BW645" s="853"/>
      <c r="BX645" s="853">
        <f>SUM(BX637:BX644)</f>
        <v>126</v>
      </c>
      <c r="BY645" s="853">
        <f>SUM(BY637:BY644)</f>
        <v>106</v>
      </c>
      <c r="BZ645" s="853">
        <f>BX645+BY645</f>
        <v>232</v>
      </c>
      <c r="CA645" s="853"/>
      <c r="CB645" s="853">
        <f>SUM(CB637:CB644)</f>
        <v>55</v>
      </c>
      <c r="CC645" s="853">
        <f>SUM(CC637:CC644)</f>
        <v>152</v>
      </c>
      <c r="CD645" s="853">
        <f>CB645+CC645</f>
        <v>207</v>
      </c>
      <c r="CE645" s="862"/>
      <c r="CF645" s="853">
        <f>SUM(CF637:CF644)</f>
        <v>75</v>
      </c>
      <c r="CG645" s="853">
        <f>SUM(CG637:CG644)</f>
        <v>186</v>
      </c>
      <c r="CH645" s="853">
        <f>CF645+CG645</f>
        <v>261</v>
      </c>
      <c r="CI645" s="862"/>
      <c r="CJ645" s="853">
        <f>SUM(CJ637:CJ644)</f>
        <v>105</v>
      </c>
      <c r="CK645" s="853">
        <f>SUM(CK637:CK644)</f>
        <v>202</v>
      </c>
      <c r="CL645" s="853">
        <f>CJ645+CK645</f>
        <v>307</v>
      </c>
      <c r="CM645" s="862"/>
      <c r="CN645" s="853">
        <f>SUM(CN637:CN644)</f>
        <v>39</v>
      </c>
      <c r="CO645" s="853">
        <f>SUM(CO637:CO644)</f>
        <v>29</v>
      </c>
      <c r="CP645" s="853">
        <f>CN645+CO645</f>
        <v>68</v>
      </c>
      <c r="CQ645" s="862"/>
      <c r="CR645" s="853">
        <f>SUM(CR637:CR644)</f>
        <v>137</v>
      </c>
      <c r="CS645" s="853">
        <f>SUM(CS637:CS644)</f>
        <v>75</v>
      </c>
      <c r="CT645" s="853">
        <f>CR645+CS645</f>
        <v>212</v>
      </c>
      <c r="CU645" s="853"/>
      <c r="CV645" s="853">
        <f>SUM(CV637:CV644)</f>
        <v>30</v>
      </c>
      <c r="CW645" s="853">
        <f>SUM(CW637:CW644)</f>
        <v>177</v>
      </c>
      <c r="CX645" s="853">
        <f>CV645+CW645</f>
        <v>207</v>
      </c>
      <c r="CY645" s="853"/>
      <c r="CZ645" s="853">
        <f>SUM(CZ637:CZ644)</f>
        <v>-29</v>
      </c>
      <c r="DA645" s="853">
        <f>SUM(DA637:DA644)</f>
        <v>-47</v>
      </c>
      <c r="DB645" s="853">
        <f>CZ645+DA645</f>
        <v>-76</v>
      </c>
      <c r="DC645" s="853"/>
      <c r="DD645" s="853">
        <f>SUM(DD637:DD644)</f>
        <v>124</v>
      </c>
      <c r="DE645" s="853">
        <f>SUM(DE637:DE644)</f>
        <v>-129</v>
      </c>
      <c r="DF645" s="853">
        <f>DD645+DE645</f>
        <v>-5</v>
      </c>
      <c r="DG645" s="853"/>
      <c r="DH645" s="853">
        <f>SUM(DH637:DH644)</f>
        <v>-184</v>
      </c>
      <c r="DI645" s="853">
        <f>SUM(DI637:DI644)</f>
        <v>8.0200000000000102</v>
      </c>
      <c r="DJ645" s="853">
        <f>DH645+DI645</f>
        <v>-175.98</v>
      </c>
      <c r="DK645" s="853"/>
      <c r="DL645" s="853">
        <f>SUM(DL637:DL644)</f>
        <v>26.500599999999991</v>
      </c>
      <c r="DM645" s="853">
        <f>SUM(DM637:DM644)</f>
        <v>43.759118000000015</v>
      </c>
      <c r="DN645" s="853">
        <f>DL645+DM645</f>
        <v>70.259718000000007</v>
      </c>
      <c r="DO645" s="853"/>
      <c r="DP645" s="853">
        <f>SUM(DP637:DP644)</f>
        <v>87.173891540000014</v>
      </c>
      <c r="DQ645" s="853">
        <f>SUM(DQ637:DQ644)</f>
        <v>94.805783286200025</v>
      </c>
      <c r="DR645" s="853">
        <f>DP645+DQ645</f>
        <v>181.97967482620004</v>
      </c>
      <c r="DS645" s="853"/>
      <c r="DT645" s="853"/>
      <c r="DU645" s="853"/>
      <c r="DV645" s="853"/>
      <c r="DW645" s="853"/>
      <c r="DX645" s="853"/>
      <c r="DY645" s="853"/>
      <c r="DZ645" s="853"/>
      <c r="EA645" s="853"/>
      <c r="EB645" s="853"/>
      <c r="EC645" s="853"/>
      <c r="ED645" s="853"/>
      <c r="EE645" s="853"/>
      <c r="EF645" s="853"/>
      <c r="EG645" s="853"/>
      <c r="EH645" s="853"/>
      <c r="EI645" s="853"/>
      <c r="EJ645" s="853"/>
      <c r="EK645" s="853"/>
      <c r="EL645" s="853"/>
      <c r="EM645" s="853"/>
      <c r="EN645" s="853"/>
      <c r="EO645" s="853"/>
      <c r="EP645" s="853"/>
      <c r="JM645"/>
    </row>
    <row r="646" spans="1:273" s="855" customFormat="1">
      <c r="A646" s="289"/>
      <c r="B646" s="290"/>
      <c r="C646" s="289"/>
      <c r="D646" s="289"/>
      <c r="E646" s="289"/>
      <c r="F646" s="289"/>
      <c r="G646" s="289"/>
      <c r="H646" s="289"/>
      <c r="I646" s="289"/>
      <c r="J646" s="289"/>
      <c r="K646" s="289"/>
      <c r="L646" s="289"/>
      <c r="M646" s="289"/>
      <c r="N646" s="289"/>
      <c r="O646" s="289"/>
      <c r="P646" s="289"/>
      <c r="Q646" s="289"/>
      <c r="R646" s="289"/>
      <c r="S646" s="289"/>
      <c r="T646" s="289"/>
      <c r="U646" s="289"/>
      <c r="V646" s="289"/>
      <c r="W646" s="289"/>
      <c r="X646" s="289"/>
      <c r="Y646" s="289"/>
      <c r="Z646" s="289"/>
      <c r="AA646" s="289"/>
      <c r="AB646" s="289"/>
      <c r="AC646" s="289"/>
      <c r="AD646" s="289"/>
      <c r="AE646" s="289"/>
      <c r="AF646" s="289"/>
      <c r="AG646" s="289"/>
      <c r="AH646" s="289"/>
      <c r="AI646" s="289"/>
      <c r="AJ646" s="289"/>
      <c r="AK646" s="289"/>
      <c r="AL646" s="289"/>
      <c r="AM646" s="289"/>
      <c r="AN646" s="290"/>
      <c r="AO646" s="290"/>
      <c r="AP646" s="853"/>
      <c r="AQ646" s="290"/>
      <c r="AR646" s="290"/>
      <c r="AS646" s="290"/>
      <c r="AT646" s="853"/>
      <c r="AU646" s="290"/>
      <c r="AV646" s="853"/>
      <c r="AW646" s="853"/>
      <c r="AX646" s="853"/>
      <c r="AY646" s="820"/>
      <c r="AZ646" s="853"/>
      <c r="BA646" s="853"/>
      <c r="BB646" s="853"/>
      <c r="BC646" s="853"/>
      <c r="BD646" s="853"/>
      <c r="BE646" s="853"/>
      <c r="BF646" s="853"/>
      <c r="BG646" s="853"/>
      <c r="BH646" s="853"/>
      <c r="BI646" s="853"/>
      <c r="BJ646" s="853"/>
      <c r="BK646" s="853"/>
      <c r="BL646" s="853"/>
      <c r="BM646" s="853"/>
      <c r="BN646" s="853"/>
      <c r="BO646" s="853"/>
      <c r="BP646" s="853"/>
      <c r="BQ646" s="853"/>
      <c r="BR646" s="853"/>
      <c r="BS646" s="853"/>
      <c r="BT646" s="853"/>
      <c r="BU646" s="853"/>
      <c r="BV646" s="853"/>
      <c r="BW646" s="853"/>
      <c r="BX646" s="853"/>
      <c r="BY646" s="853"/>
      <c r="BZ646" s="853"/>
      <c r="CA646" s="853"/>
      <c r="CB646" s="853"/>
      <c r="CC646" s="853"/>
      <c r="CD646" s="853"/>
      <c r="CE646" s="862"/>
      <c r="CF646" s="853"/>
      <c r="CG646" s="853"/>
      <c r="CH646" s="853"/>
      <c r="CI646" s="862"/>
      <c r="CJ646" s="853"/>
      <c r="CK646" s="853"/>
      <c r="CL646" s="853"/>
      <c r="CM646" s="862"/>
      <c r="CN646" s="853"/>
      <c r="CO646" s="853"/>
      <c r="CP646" s="853"/>
      <c r="CQ646" s="862"/>
      <c r="CR646" s="853"/>
      <c r="CS646" s="853"/>
      <c r="CT646" s="853"/>
      <c r="CU646" s="853"/>
      <c r="CV646" s="853"/>
      <c r="CW646" s="853"/>
      <c r="CX646" s="853"/>
      <c r="CY646" s="853"/>
      <c r="CZ646" s="853"/>
      <c r="DA646" s="853"/>
      <c r="DB646" s="853"/>
      <c r="DC646" s="853"/>
      <c r="DD646" s="1863">
        <v>-285</v>
      </c>
      <c r="DE646" s="853"/>
      <c r="DF646" s="853"/>
      <c r="DG646" s="853"/>
      <c r="DH646" s="853"/>
      <c r="DI646" s="853"/>
      <c r="DJ646" s="853"/>
      <c r="DK646" s="853"/>
      <c r="DL646" s="853"/>
      <c r="DM646" s="853"/>
      <c r="DN646" s="853"/>
      <c r="DO646" s="853"/>
      <c r="DP646" s="853"/>
      <c r="DQ646" s="853"/>
      <c r="DR646" s="853"/>
      <c r="DS646" s="853"/>
      <c r="DT646" s="853"/>
      <c r="DU646" s="853"/>
      <c r="DV646" s="853"/>
      <c r="DW646" s="853"/>
      <c r="DX646" s="853"/>
      <c r="DY646" s="853"/>
      <c r="DZ646" s="853"/>
      <c r="EA646" s="853"/>
      <c r="EB646" s="853"/>
      <c r="EC646" s="853"/>
      <c r="ED646" s="853"/>
      <c r="EE646" s="853"/>
      <c r="EF646" s="853"/>
      <c r="EG646" s="853"/>
      <c r="EH646" s="853"/>
      <c r="EI646" s="853"/>
      <c r="EJ646" s="853"/>
      <c r="EK646" s="853"/>
      <c r="EL646" s="853"/>
      <c r="EM646" s="853"/>
      <c r="EN646" s="853"/>
      <c r="EO646" s="853"/>
      <c r="EP646" s="853"/>
      <c r="JM646"/>
    </row>
    <row r="647" spans="1:273" s="855" customFormat="1">
      <c r="A647" s="289"/>
      <c r="B647" s="290"/>
      <c r="C647" s="289"/>
      <c r="D647" s="289"/>
      <c r="E647" s="289"/>
      <c r="F647" s="289"/>
      <c r="G647" s="289"/>
      <c r="H647" s="289"/>
      <c r="I647" s="289"/>
      <c r="J647" s="289"/>
      <c r="K647" s="289"/>
      <c r="L647" s="289"/>
      <c r="M647" s="289"/>
      <c r="N647" s="289"/>
      <c r="O647" s="289"/>
      <c r="P647" s="289"/>
      <c r="Q647" s="289"/>
      <c r="R647" s="289"/>
      <c r="S647" s="289"/>
      <c r="T647" s="289"/>
      <c r="U647" s="289"/>
      <c r="V647" s="289"/>
      <c r="W647" s="289"/>
      <c r="X647" s="289"/>
      <c r="Y647" s="289"/>
      <c r="Z647" s="289"/>
      <c r="AA647" s="289"/>
      <c r="AB647" s="289"/>
      <c r="AC647" s="289"/>
      <c r="AD647" s="289"/>
      <c r="AE647" s="289"/>
      <c r="AF647" s="289"/>
      <c r="AG647" s="289"/>
      <c r="AH647" s="289"/>
      <c r="AI647" s="289"/>
      <c r="AJ647" s="289"/>
      <c r="AK647" s="289"/>
      <c r="AL647" s="289"/>
      <c r="AM647" s="289"/>
      <c r="AN647" s="290"/>
      <c r="AO647" s="290"/>
      <c r="AP647" s="853"/>
      <c r="AQ647" s="290"/>
      <c r="AR647" s="290"/>
      <c r="AS647" s="290"/>
      <c r="AT647" s="853"/>
      <c r="AU647" s="290"/>
      <c r="AV647" s="853"/>
      <c r="AW647" s="853"/>
      <c r="AX647" s="853"/>
      <c r="AY647" s="820"/>
      <c r="AZ647" s="853"/>
      <c r="BA647" s="853"/>
      <c r="BB647" s="853"/>
      <c r="BC647" s="853"/>
      <c r="BD647" s="853"/>
      <c r="BE647" s="853"/>
      <c r="BF647" s="818"/>
      <c r="BG647" s="853"/>
      <c r="BH647" s="853"/>
      <c r="BI647" s="853"/>
      <c r="BJ647" s="818"/>
      <c r="BK647" s="853"/>
      <c r="BL647" s="853"/>
      <c r="BM647" s="853"/>
      <c r="BN647" s="818"/>
      <c r="BO647" s="853"/>
      <c r="BP647" s="853"/>
      <c r="BQ647" s="853"/>
      <c r="BR647" s="818"/>
      <c r="BS647" s="853"/>
      <c r="BT647" s="853"/>
      <c r="BU647" s="853"/>
      <c r="BV647" s="818"/>
      <c r="BW647" s="853"/>
      <c r="BX647" s="853"/>
      <c r="BY647" s="853"/>
      <c r="BZ647" s="818"/>
      <c r="CA647" s="853"/>
      <c r="CB647" s="853"/>
      <c r="CC647" s="853"/>
      <c r="CD647" s="818"/>
      <c r="CE647" s="862"/>
      <c r="CF647" s="853"/>
      <c r="CG647" s="853"/>
      <c r="CH647" s="818"/>
      <c r="CI647" s="862"/>
      <c r="CJ647" s="853"/>
      <c r="CK647" s="853"/>
      <c r="CL647" s="818"/>
      <c r="CM647" s="862"/>
      <c r="CN647" s="853"/>
      <c r="CO647" s="853"/>
      <c r="CP647" s="818"/>
      <c r="CQ647" s="862"/>
      <c r="CR647" s="853"/>
      <c r="CS647" s="853"/>
      <c r="CT647" s="1019" t="s">
        <v>1419</v>
      </c>
      <c r="CU647" s="853"/>
      <c r="CV647" s="853"/>
      <c r="CW647" s="853"/>
      <c r="CX647" s="818"/>
      <c r="CY647" s="853"/>
      <c r="CZ647" s="853"/>
      <c r="DA647" s="853"/>
      <c r="DB647" s="818"/>
      <c r="DC647" s="853"/>
      <c r="DD647" s="853"/>
      <c r="DE647" s="853"/>
      <c r="DF647" s="818"/>
      <c r="DG647" s="853"/>
      <c r="DH647" s="853"/>
      <c r="DI647" s="853"/>
      <c r="DJ647" s="818"/>
      <c r="DK647" s="853"/>
      <c r="DL647" s="853"/>
      <c r="DM647" s="853"/>
      <c r="DN647" s="818"/>
      <c r="DO647" s="818"/>
      <c r="DP647" s="853"/>
      <c r="DQ647" s="853"/>
      <c r="DR647" s="818"/>
      <c r="DS647" s="818"/>
      <c r="DT647" s="853"/>
      <c r="DU647" s="853"/>
      <c r="DV647" s="853"/>
      <c r="DW647" s="853"/>
      <c r="DX647" s="818"/>
      <c r="DY647" s="853"/>
      <c r="DZ647" s="853"/>
      <c r="EA647" s="853"/>
      <c r="EB647" s="818"/>
      <c r="EC647" s="853"/>
      <c r="ED647" s="853"/>
      <c r="EE647" s="853"/>
      <c r="EF647" s="818"/>
      <c r="EG647" s="853"/>
      <c r="EH647" s="853"/>
      <c r="EI647" s="853"/>
      <c r="EJ647" s="853"/>
      <c r="EK647" s="853"/>
      <c r="EL647" s="853"/>
      <c r="EM647" s="853"/>
      <c r="EN647" s="853"/>
      <c r="EO647" s="853"/>
      <c r="EP647" s="853"/>
      <c r="JM647"/>
    </row>
    <row r="648" spans="1:273" s="2137" customFormat="1" ht="17.399999999999999" customHeight="1">
      <c r="A648" s="213" t="s">
        <v>1417</v>
      </c>
      <c r="B648" s="221"/>
      <c r="C648" s="213"/>
      <c r="D648" s="213"/>
      <c r="E648" s="213"/>
      <c r="F648" s="213"/>
      <c r="G648" s="213"/>
      <c r="H648" s="213"/>
      <c r="I648" s="213"/>
      <c r="J648" s="213"/>
      <c r="K648" s="213"/>
      <c r="L648" s="213"/>
      <c r="M648" s="213"/>
      <c r="N648" s="213"/>
      <c r="O648" s="213"/>
      <c r="P648" s="213"/>
      <c r="Q648" s="213"/>
      <c r="R648" s="213"/>
      <c r="S648" s="213"/>
      <c r="T648" s="213"/>
      <c r="U648" s="213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  <c r="AH648" s="213"/>
      <c r="AI648" s="213"/>
      <c r="AJ648" s="213"/>
      <c r="AK648" s="213"/>
      <c r="AL648" s="213"/>
      <c r="AM648" s="213"/>
      <c r="AN648" s="221"/>
      <c r="AO648" s="221"/>
      <c r="AP648" s="2134"/>
      <c r="AQ648" s="221"/>
      <c r="AR648" s="221"/>
      <c r="AS648" s="221"/>
      <c r="AT648" s="2134"/>
      <c r="AU648" s="221"/>
      <c r="AV648" s="2134"/>
      <c r="AW648" s="2134"/>
      <c r="AX648" s="2134"/>
      <c r="AY648" s="163"/>
      <c r="AZ648" s="2134"/>
      <c r="BA648" s="2134"/>
      <c r="BB648" s="2134"/>
      <c r="BC648" s="2134"/>
      <c r="BD648" s="2134"/>
      <c r="BE648" s="2134"/>
      <c r="BF648" s="2134"/>
      <c r="BG648" s="2134"/>
      <c r="BH648" s="2134"/>
      <c r="BI648" s="2134"/>
      <c r="BJ648" s="2134"/>
      <c r="BK648" s="2134"/>
      <c r="BL648" s="2134"/>
      <c r="BM648" s="2134"/>
      <c r="BN648" s="2134"/>
      <c r="BO648" s="2134"/>
      <c r="BP648" s="2134"/>
      <c r="BQ648" s="2134"/>
      <c r="BR648" s="2134"/>
      <c r="BS648" s="2134"/>
      <c r="BT648" s="2134"/>
      <c r="BU648" s="2134"/>
      <c r="BV648" s="2134"/>
      <c r="BW648" s="2134"/>
      <c r="BX648" s="2134"/>
      <c r="BY648" s="2134"/>
      <c r="BZ648" s="2134"/>
      <c r="CA648" s="2134"/>
      <c r="CB648" s="2134">
        <f>+CB639</f>
        <v>12</v>
      </c>
      <c r="CC648" s="2134">
        <f>+CC639</f>
        <v>14</v>
      </c>
      <c r="CD648" s="2134">
        <f>+CD639</f>
        <v>26</v>
      </c>
      <c r="CE648" s="2136"/>
      <c r="CF648" s="2134">
        <f>+CF639</f>
        <v>30</v>
      </c>
      <c r="CG648" s="2134">
        <f>+CG639</f>
        <v>80</v>
      </c>
      <c r="CH648" s="2134">
        <f>+CH639</f>
        <v>110</v>
      </c>
      <c r="CI648" s="2136"/>
      <c r="CJ648" s="2134">
        <f>+CJ639</f>
        <v>56</v>
      </c>
      <c r="CK648" s="2134">
        <f>+CK639</f>
        <v>156</v>
      </c>
      <c r="CL648" s="2134">
        <f>+CL639</f>
        <v>212</v>
      </c>
      <c r="CM648" s="2136"/>
      <c r="CN648" s="2134">
        <f>+CN639</f>
        <v>21</v>
      </c>
      <c r="CO648" s="2134">
        <f>+CO639</f>
        <v>34</v>
      </c>
      <c r="CP648" s="2134">
        <f>+CP639</f>
        <v>55</v>
      </c>
      <c r="CQ648" s="2136"/>
      <c r="CR648" s="2134">
        <f>+CR639</f>
        <v>77</v>
      </c>
      <c r="CS648" s="2134">
        <f>+CS639</f>
        <v>22</v>
      </c>
      <c r="CT648" s="2134">
        <f>+CT639</f>
        <v>99</v>
      </c>
      <c r="CU648" s="2134"/>
      <c r="CV648" s="2134">
        <f t="shared" ref="CV648:CX648" si="690">+CV639</f>
        <v>-38</v>
      </c>
      <c r="CW648" s="2134">
        <f t="shared" si="690"/>
        <v>100</v>
      </c>
      <c r="CX648" s="2134">
        <f t="shared" si="690"/>
        <v>62</v>
      </c>
      <c r="CY648" s="2134"/>
      <c r="CZ648" s="2134">
        <f t="shared" ref="CZ648:DB648" si="691">+CZ639</f>
        <v>-85</v>
      </c>
      <c r="DA648" s="2134">
        <f t="shared" si="691"/>
        <v>-66</v>
      </c>
      <c r="DB648" s="2134">
        <f t="shared" si="691"/>
        <v>-151</v>
      </c>
      <c r="DC648" s="2134"/>
      <c r="DD648" s="2134">
        <f t="shared" ref="DD648" si="692">+DD639</f>
        <v>113</v>
      </c>
      <c r="DE648" s="2134">
        <f>+DE639</f>
        <v>148</v>
      </c>
      <c r="DF648" s="2134">
        <f>+DF639</f>
        <v>261</v>
      </c>
      <c r="DG648" s="2134"/>
      <c r="DH648" s="2134">
        <f t="shared" ref="DH648" si="693">+DH639</f>
        <v>71</v>
      </c>
      <c r="DI648" s="2216">
        <v>77</v>
      </c>
      <c r="DJ648" s="2217">
        <f>SUM(DH648:DI648)</f>
        <v>148</v>
      </c>
      <c r="DK648" s="2134"/>
      <c r="DL648" s="2216">
        <f>+DH648*1.05</f>
        <v>74.55</v>
      </c>
      <c r="DM648" s="2216">
        <f>+DI648*1.05</f>
        <v>80.850000000000009</v>
      </c>
      <c r="DN648" s="2217">
        <f>SUM(DL648:DM648)</f>
        <v>155.4</v>
      </c>
      <c r="DO648" s="2134"/>
      <c r="DP648" s="2216">
        <f t="shared" ref="DP648:DQ648" si="694">+DL648*1.05</f>
        <v>78.277500000000003</v>
      </c>
      <c r="DQ648" s="2216">
        <f t="shared" si="694"/>
        <v>84.892500000000013</v>
      </c>
      <c r="DR648" s="2217">
        <f>SUM(DP648:DQ648)</f>
        <v>163.17000000000002</v>
      </c>
      <c r="DS648" s="2134"/>
      <c r="DT648" s="2134"/>
      <c r="DU648" s="2134"/>
      <c r="DV648" s="2134"/>
      <c r="DW648" s="2134"/>
      <c r="DX648" s="2134"/>
      <c r="DY648" s="2134"/>
      <c r="DZ648" s="2134"/>
      <c r="EA648" s="2134"/>
      <c r="EB648" s="2134"/>
      <c r="EC648" s="2134"/>
      <c r="ED648" s="2134"/>
      <c r="EE648" s="2134"/>
      <c r="EF648" s="2134"/>
      <c r="EG648" s="2134"/>
      <c r="EH648" s="2134"/>
      <c r="EI648" s="2134"/>
      <c r="EJ648" s="2134"/>
      <c r="EK648" s="2134"/>
      <c r="EL648" s="2134"/>
      <c r="EM648" s="2134"/>
      <c r="EN648" s="2134"/>
      <c r="EO648" s="2134"/>
      <c r="EP648" s="2134"/>
      <c r="JM648"/>
    </row>
    <row r="649" spans="1:273" s="2143" customFormat="1" ht="17.399999999999999" customHeight="1">
      <c r="A649" s="2138" t="s">
        <v>1418</v>
      </c>
      <c r="B649" s="2139"/>
      <c r="C649" s="2138"/>
      <c r="D649" s="2138"/>
      <c r="E649" s="2138"/>
      <c r="F649" s="2138"/>
      <c r="G649" s="2138"/>
      <c r="H649" s="2138"/>
      <c r="I649" s="2138"/>
      <c r="J649" s="2138"/>
      <c r="K649" s="2138"/>
      <c r="L649" s="2138"/>
      <c r="M649" s="2138"/>
      <c r="N649" s="2138"/>
      <c r="O649" s="2138"/>
      <c r="P649" s="2138"/>
      <c r="Q649" s="2138"/>
      <c r="R649" s="2138"/>
      <c r="S649" s="2138"/>
      <c r="T649" s="2138"/>
      <c r="U649" s="2138"/>
      <c r="V649" s="2138"/>
      <c r="W649" s="2138"/>
      <c r="X649" s="2138"/>
      <c r="Y649" s="2138"/>
      <c r="Z649" s="2138"/>
      <c r="AA649" s="2138"/>
      <c r="AB649" s="2138"/>
      <c r="AC649" s="2138"/>
      <c r="AD649" s="2138"/>
      <c r="AE649" s="2138"/>
      <c r="AF649" s="2138"/>
      <c r="AG649" s="2138"/>
      <c r="AH649" s="2138"/>
      <c r="AI649" s="2138"/>
      <c r="AJ649" s="2138"/>
      <c r="AK649" s="2138"/>
      <c r="AL649" s="2138"/>
      <c r="AM649" s="2138"/>
      <c r="AN649" s="2139"/>
      <c r="AO649" s="2139"/>
      <c r="AP649" s="2140"/>
      <c r="AQ649" s="2139"/>
      <c r="AR649" s="2139"/>
      <c r="AS649" s="2139"/>
      <c r="AT649" s="2140"/>
      <c r="AU649" s="2139"/>
      <c r="AV649" s="2140"/>
      <c r="AW649" s="2140"/>
      <c r="AX649" s="2140"/>
      <c r="AY649" s="1971"/>
      <c r="AZ649" s="2140"/>
      <c r="BA649" s="2140"/>
      <c r="BB649" s="2140"/>
      <c r="BC649" s="2140"/>
      <c r="BD649" s="2140"/>
      <c r="BE649" s="2140"/>
      <c r="BF649" s="2141"/>
      <c r="BG649" s="2140"/>
      <c r="BH649" s="2140"/>
      <c r="BI649" s="2140"/>
      <c r="BJ649" s="2141"/>
      <c r="BK649" s="2140"/>
      <c r="BL649" s="2140"/>
      <c r="BM649" s="2140"/>
      <c r="BN649" s="2141"/>
      <c r="BO649" s="2140"/>
      <c r="BP649" s="2140"/>
      <c r="BQ649" s="2140"/>
      <c r="BR649" s="2141"/>
      <c r="BS649" s="2140"/>
      <c r="BT649" s="2140"/>
      <c r="BU649" s="2140"/>
      <c r="BV649" s="2141"/>
      <c r="BW649" s="2140"/>
      <c r="BX649" s="2140"/>
      <c r="BY649" s="2140"/>
      <c r="BZ649" s="2141"/>
      <c r="CA649" s="2140"/>
      <c r="CB649" s="2140"/>
      <c r="CC649" s="2140"/>
      <c r="CD649" s="2141"/>
      <c r="CE649" s="2142"/>
      <c r="CF649" s="2140"/>
      <c r="CG649" s="2140"/>
      <c r="CH649" s="2141"/>
      <c r="CI649" s="2142"/>
      <c r="CJ649" s="2140"/>
      <c r="CK649" s="2140"/>
      <c r="CL649" s="2141"/>
      <c r="CM649" s="2142"/>
      <c r="CN649" s="2140"/>
      <c r="CO649" s="2140"/>
      <c r="CP649" s="2141"/>
      <c r="CQ649" s="2142"/>
      <c r="CR649" s="2135">
        <f>+CR648-CR650</f>
        <v>227</v>
      </c>
      <c r="CS649" s="2135">
        <f t="shared" ref="CS649:CT649" si="695">+CS648-CS650</f>
        <v>172</v>
      </c>
      <c r="CT649" s="2135">
        <f t="shared" si="695"/>
        <v>399</v>
      </c>
      <c r="CV649" s="2135">
        <f t="shared" ref="CV649" si="696">+CV648-CV650</f>
        <v>112</v>
      </c>
      <c r="CW649" s="2135">
        <f t="shared" ref="CW649" si="697">+CW648-CW650</f>
        <v>250</v>
      </c>
      <c r="CX649" s="2135">
        <f t="shared" ref="CX649" si="698">+CX648-CX650</f>
        <v>362</v>
      </c>
      <c r="CZ649" s="2135">
        <f t="shared" ref="CZ649" si="699">+CZ648-CZ650</f>
        <v>140</v>
      </c>
      <c r="DA649" s="2135">
        <f t="shared" ref="DA649" si="700">+DA648-DA650</f>
        <v>159</v>
      </c>
      <c r="DB649" s="2135">
        <f t="shared" ref="DB649" si="701">+DB648-DB650</f>
        <v>299</v>
      </c>
      <c r="DT649" s="2140"/>
      <c r="DU649" s="2140"/>
      <c r="DV649" s="2140"/>
      <c r="DW649" s="2140"/>
      <c r="DX649" s="2141"/>
      <c r="DY649" s="2140"/>
      <c r="DZ649" s="2140"/>
      <c r="EA649" s="2140"/>
      <c r="EB649" s="2141"/>
      <c r="EC649" s="2140"/>
      <c r="ED649" s="2140"/>
      <c r="EE649" s="2140"/>
      <c r="EF649" s="2141"/>
      <c r="EG649" s="2140"/>
      <c r="EH649" s="2140"/>
      <c r="EI649" s="2140"/>
      <c r="EJ649" s="2140"/>
      <c r="EK649" s="2140"/>
      <c r="EL649" s="2140"/>
      <c r="EM649" s="2140"/>
      <c r="EN649" s="2140"/>
      <c r="EO649" s="2140"/>
      <c r="EP649" s="2140"/>
      <c r="JM649"/>
    </row>
    <row r="650" spans="1:273" s="2137" customFormat="1" ht="17.399999999999999" customHeight="1">
      <c r="A650" s="213" t="s">
        <v>1420</v>
      </c>
      <c r="B650" s="221"/>
      <c r="C650" s="213"/>
      <c r="D650" s="213"/>
      <c r="E650" s="213"/>
      <c r="F650" s="213"/>
      <c r="G650" s="213"/>
      <c r="H650" s="213"/>
      <c r="I650" s="213"/>
      <c r="J650" s="213"/>
      <c r="K650" s="213"/>
      <c r="L650" s="213"/>
      <c r="M650" s="213"/>
      <c r="N650" s="213"/>
      <c r="O650" s="213"/>
      <c r="P650" s="213"/>
      <c r="Q650" s="213"/>
      <c r="R650" s="213"/>
      <c r="S650" s="213"/>
      <c r="T650" s="213"/>
      <c r="U650" s="213"/>
      <c r="V650" s="213"/>
      <c r="W650" s="213"/>
      <c r="X650" s="213"/>
      <c r="Y650" s="213"/>
      <c r="Z650" s="213"/>
      <c r="AA650" s="213"/>
      <c r="AB650" s="213"/>
      <c r="AC650" s="213"/>
      <c r="AD650" s="213"/>
      <c r="AE650" s="213"/>
      <c r="AF650" s="213"/>
      <c r="AG650" s="213"/>
      <c r="AH650" s="213"/>
      <c r="AI650" s="213"/>
      <c r="AJ650" s="213"/>
      <c r="AK650" s="213"/>
      <c r="AL650" s="213"/>
      <c r="AM650" s="213"/>
      <c r="AN650" s="221"/>
      <c r="AO650" s="221"/>
      <c r="AP650" s="2134"/>
      <c r="AQ650" s="221"/>
      <c r="AR650" s="221"/>
      <c r="AS650" s="221"/>
      <c r="AT650" s="2134"/>
      <c r="AU650" s="221"/>
      <c r="AV650" s="2134"/>
      <c r="AW650" s="2134"/>
      <c r="AX650" s="2134"/>
      <c r="AY650" s="163"/>
      <c r="AZ650" s="2134"/>
      <c r="BA650" s="2134"/>
      <c r="BB650" s="2134"/>
      <c r="BC650" s="2134"/>
      <c r="BD650" s="2134"/>
      <c r="BE650" s="2134"/>
      <c r="BF650" s="2144"/>
      <c r="BG650" s="2134"/>
      <c r="BH650" s="2134"/>
      <c r="BI650" s="2134"/>
      <c r="BJ650" s="2144"/>
      <c r="BK650" s="2134"/>
      <c r="BL650" s="2134"/>
      <c r="BM650" s="2134"/>
      <c r="BN650" s="2144"/>
      <c r="BO650" s="2134"/>
      <c r="BP650" s="2134"/>
      <c r="BQ650" s="2134"/>
      <c r="BR650" s="2144"/>
      <c r="BS650" s="2134"/>
      <c r="BT650" s="2134"/>
      <c r="BU650" s="2134"/>
      <c r="BV650" s="2144"/>
      <c r="BW650" s="2134"/>
      <c r="BX650" s="2134"/>
      <c r="BY650" s="2134"/>
      <c r="BZ650" s="2144"/>
      <c r="CA650" s="2134"/>
      <c r="CB650" s="2134"/>
      <c r="CC650" s="2134"/>
      <c r="CD650" s="2144"/>
      <c r="CE650" s="2136"/>
      <c r="CF650" s="2134"/>
      <c r="CG650" s="2134"/>
      <c r="CH650" s="2144"/>
      <c r="CI650" s="2136"/>
      <c r="CJ650" s="2134"/>
      <c r="CK650" s="2134"/>
      <c r="CL650" s="2144"/>
      <c r="CM650" s="2136"/>
      <c r="CN650" s="2134"/>
      <c r="CO650" s="2134"/>
      <c r="CP650" s="2144"/>
      <c r="CQ650" s="2136"/>
      <c r="CR650" s="2145">
        <v>-150</v>
      </c>
      <c r="CS650" s="2145">
        <v>-150</v>
      </c>
      <c r="CT650" s="2134">
        <f>+CS650+CR650</f>
        <v>-300</v>
      </c>
      <c r="CU650" s="2134"/>
      <c r="CV650" s="2145">
        <v>-150</v>
      </c>
      <c r="CW650" s="2145">
        <v>-150</v>
      </c>
      <c r="CX650" s="2134">
        <f>+CW650+CV650</f>
        <v>-300</v>
      </c>
      <c r="CY650" s="2134"/>
      <c r="CZ650" s="2145">
        <v>-225</v>
      </c>
      <c r="DA650" s="2145">
        <v>-225</v>
      </c>
      <c r="DB650" s="2134">
        <f>+DA650+CZ650</f>
        <v>-450</v>
      </c>
      <c r="DC650" s="2143"/>
      <c r="DD650" s="2143"/>
      <c r="DE650" s="2143"/>
      <c r="DF650" s="2143"/>
      <c r="DG650" s="2143"/>
      <c r="DH650" s="2143"/>
      <c r="DI650" s="2143"/>
      <c r="DJ650" s="2143"/>
      <c r="DK650" s="2143"/>
      <c r="DL650" s="2143"/>
      <c r="DM650" s="2143"/>
      <c r="DN650" s="2143"/>
      <c r="DO650" s="2143"/>
      <c r="DP650" s="2143"/>
      <c r="DQ650" s="2143"/>
      <c r="DR650" s="2143"/>
      <c r="DS650" s="2143"/>
      <c r="DT650" s="2134"/>
      <c r="DU650" s="2134"/>
      <c r="DV650" s="2134"/>
      <c r="DW650" s="2134"/>
      <c r="DX650" s="2144"/>
      <c r="DY650" s="2134"/>
      <c r="DZ650" s="2134"/>
      <c r="EA650" s="2134"/>
      <c r="EB650" s="2144"/>
      <c r="EC650" s="2134"/>
      <c r="ED650" s="2134"/>
      <c r="EE650" s="2134"/>
      <c r="EF650" s="2144"/>
      <c r="EG650" s="2134"/>
      <c r="EH650" s="2134"/>
      <c r="EI650" s="2134"/>
      <c r="EJ650" s="2134"/>
      <c r="EK650" s="2134"/>
      <c r="EL650" s="2134"/>
      <c r="EM650" s="2134"/>
      <c r="EN650" s="2134"/>
      <c r="EO650" s="2134"/>
      <c r="EP650" s="2134"/>
      <c r="JM650"/>
    </row>
    <row r="651" spans="1:273" s="855" customFormat="1">
      <c r="A651" s="289"/>
      <c r="B651" s="290"/>
      <c r="C651" s="289"/>
      <c r="D651" s="289"/>
      <c r="E651" s="289"/>
      <c r="F651" s="289"/>
      <c r="G651" s="289"/>
      <c r="H651" s="289"/>
      <c r="I651" s="289"/>
      <c r="J651" s="289"/>
      <c r="K651" s="289"/>
      <c r="L651" s="289"/>
      <c r="M651" s="289"/>
      <c r="N651" s="289"/>
      <c r="O651" s="289"/>
      <c r="P651" s="289"/>
      <c r="Q651" s="289"/>
      <c r="R651" s="289"/>
      <c r="S651" s="289"/>
      <c r="T651" s="289"/>
      <c r="U651" s="289"/>
      <c r="V651" s="289"/>
      <c r="W651" s="289"/>
      <c r="X651" s="289"/>
      <c r="Y651" s="289"/>
      <c r="Z651" s="289"/>
      <c r="AA651" s="289"/>
      <c r="AB651" s="289"/>
      <c r="AC651" s="289"/>
      <c r="AD651" s="289"/>
      <c r="AE651" s="289"/>
      <c r="AF651" s="289"/>
      <c r="AG651" s="289"/>
      <c r="AH651" s="289"/>
      <c r="AI651" s="289"/>
      <c r="AJ651" s="289"/>
      <c r="AK651" s="289"/>
      <c r="AL651" s="289"/>
      <c r="AM651" s="289"/>
      <c r="AN651" s="290"/>
      <c r="AO651" s="290"/>
      <c r="AP651" s="853"/>
      <c r="AQ651" s="290"/>
      <c r="AR651" s="290"/>
      <c r="AS651" s="290"/>
      <c r="AT651" s="853"/>
      <c r="AU651" s="290"/>
      <c r="AV651" s="853"/>
      <c r="AW651" s="853"/>
      <c r="AX651" s="853"/>
      <c r="AY651" s="820"/>
      <c r="AZ651" s="853"/>
      <c r="BA651" s="853"/>
      <c r="BB651" s="853"/>
      <c r="BC651" s="853"/>
      <c r="BD651" s="853"/>
      <c r="BE651" s="853"/>
      <c r="BF651" s="818"/>
      <c r="BG651" s="853"/>
      <c r="BH651" s="853"/>
      <c r="BI651" s="853"/>
      <c r="BJ651" s="818"/>
      <c r="BK651" s="853"/>
      <c r="BL651" s="853"/>
      <c r="BM651" s="853"/>
      <c r="BN651" s="818"/>
      <c r="BO651" s="853"/>
      <c r="BP651" s="853"/>
      <c r="BQ651" s="853"/>
      <c r="BR651" s="818"/>
      <c r="BS651" s="853"/>
      <c r="BT651" s="853"/>
      <c r="BU651" s="853"/>
      <c r="BV651" s="818"/>
      <c r="BW651" s="853"/>
      <c r="BX651" s="853"/>
      <c r="BY651" s="853"/>
      <c r="BZ651" s="818"/>
      <c r="CA651" s="853"/>
      <c r="CB651" s="853"/>
      <c r="CC651" s="853"/>
      <c r="CD651" s="818"/>
      <c r="CE651" s="862"/>
      <c r="CF651" s="853"/>
      <c r="CG651" s="853"/>
      <c r="CH651" s="818"/>
      <c r="CI651" s="862"/>
      <c r="CJ651" s="853"/>
      <c r="CK651" s="853"/>
      <c r="CL651" s="818"/>
      <c r="CM651" s="862"/>
      <c r="CN651" s="853"/>
      <c r="CO651" s="853"/>
      <c r="CP651" s="818"/>
      <c r="CQ651" s="862"/>
      <c r="CR651" s="853"/>
      <c r="CS651" s="853"/>
      <c r="CT651" s="818"/>
      <c r="CU651" s="853"/>
      <c r="CV651" s="853"/>
      <c r="CW651" s="853"/>
      <c r="CX651" s="818"/>
      <c r="CY651" s="853"/>
      <c r="CZ651" s="853"/>
      <c r="DA651" s="853"/>
      <c r="DB651" s="818"/>
      <c r="DC651" s="853"/>
      <c r="DD651" s="853"/>
      <c r="DE651" s="853"/>
      <c r="DF651" s="818"/>
      <c r="DG651" s="853"/>
      <c r="DH651" s="853"/>
      <c r="DI651" s="853"/>
      <c r="DJ651" s="818"/>
      <c r="DK651" s="853"/>
      <c r="DL651" s="853"/>
      <c r="DM651" s="853"/>
      <c r="DN651" s="818"/>
      <c r="DO651" s="818"/>
      <c r="DP651" s="853"/>
      <c r="DQ651" s="853"/>
      <c r="DR651" s="818"/>
      <c r="DS651" s="818"/>
      <c r="DT651" s="853"/>
      <c r="DU651" s="853"/>
      <c r="DV651" s="853"/>
      <c r="DW651" s="853"/>
      <c r="DX651" s="818"/>
      <c r="DY651" s="853"/>
      <c r="DZ651" s="853"/>
      <c r="EA651" s="853"/>
      <c r="EB651" s="818"/>
      <c r="EC651" s="853"/>
      <c r="ED651" s="853"/>
      <c r="EE651" s="853"/>
      <c r="EF651" s="818"/>
      <c r="EG651" s="853"/>
      <c r="EH651" s="853"/>
      <c r="EI651" s="853"/>
      <c r="EJ651" s="853"/>
      <c r="EK651" s="853"/>
      <c r="EL651" s="853"/>
      <c r="EM651" s="853"/>
      <c r="EN651" s="853"/>
      <c r="EO651" s="853"/>
      <c r="EP651" s="853"/>
      <c r="JM651"/>
    </row>
    <row r="652" spans="1:273" s="855" customFormat="1">
      <c r="A652" s="289"/>
      <c r="B652" s="290"/>
      <c r="C652" s="289"/>
      <c r="D652" s="289"/>
      <c r="E652" s="289"/>
      <c r="F652" s="289"/>
      <c r="G652" s="289"/>
      <c r="H652" s="289"/>
      <c r="I652" s="289"/>
      <c r="J652" s="289"/>
      <c r="K652" s="289"/>
      <c r="L652" s="289"/>
      <c r="M652" s="289"/>
      <c r="N652" s="289"/>
      <c r="O652" s="289"/>
      <c r="P652" s="289"/>
      <c r="Q652" s="289"/>
      <c r="R652" s="289"/>
      <c r="S652" s="289"/>
      <c r="T652" s="289"/>
      <c r="U652" s="289"/>
      <c r="V652" s="289"/>
      <c r="W652" s="289"/>
      <c r="X652" s="289"/>
      <c r="Y652" s="289"/>
      <c r="Z652" s="289"/>
      <c r="AA652" s="289"/>
      <c r="AB652" s="289"/>
      <c r="AC652" s="289"/>
      <c r="AD652" s="289"/>
      <c r="AE652" s="289"/>
      <c r="AF652" s="289"/>
      <c r="AG652" s="289"/>
      <c r="AH652" s="289"/>
      <c r="AI652" s="289"/>
      <c r="AJ652" s="289"/>
      <c r="AK652" s="289"/>
      <c r="AL652" s="289"/>
      <c r="AM652" s="289"/>
      <c r="AN652" s="290"/>
      <c r="AO652" s="290"/>
      <c r="AP652" s="290"/>
      <c r="AQ652" s="290"/>
      <c r="AR652" s="290"/>
      <c r="AS652" s="290"/>
      <c r="AT652" s="290"/>
      <c r="AU652" s="290"/>
      <c r="BB652" s="853"/>
      <c r="BC652" s="853"/>
      <c r="BD652" s="967"/>
      <c r="BE652" s="967"/>
      <c r="BF652" s="853"/>
      <c r="BG652" s="853"/>
      <c r="BH652" s="967"/>
      <c r="BI652" s="967"/>
      <c r="BJ652" s="967"/>
      <c r="BK652" s="853"/>
      <c r="BL652" s="967"/>
      <c r="BM652" s="967"/>
      <c r="BN652" s="967"/>
      <c r="BO652" s="853"/>
      <c r="BP652" s="967"/>
      <c r="BQ652" s="967"/>
      <c r="BR652" s="967"/>
      <c r="BS652" s="853"/>
      <c r="BT652" s="967"/>
      <c r="BU652" s="967"/>
      <c r="BV652" s="967"/>
      <c r="BW652" s="853"/>
      <c r="BX652" s="967"/>
      <c r="BY652" s="967"/>
      <c r="BZ652" s="967"/>
      <c r="CA652" s="853"/>
      <c r="CB652" s="967"/>
      <c r="CC652" s="967"/>
      <c r="CD652" s="853"/>
      <c r="CE652" s="862"/>
      <c r="CF652" s="967"/>
      <c r="CG652" s="967"/>
      <c r="CH652" s="853"/>
      <c r="CI652" s="862"/>
      <c r="CJ652" s="967"/>
      <c r="CK652" s="967"/>
      <c r="CL652" s="853"/>
      <c r="CM652" s="862"/>
      <c r="CN652" s="967"/>
      <c r="CO652" s="967"/>
      <c r="CP652" s="853"/>
      <c r="CQ652" s="862"/>
      <c r="CR652" s="967"/>
      <c r="CS652" s="967"/>
      <c r="CT652" s="853"/>
      <c r="CU652" s="853"/>
      <c r="CV652" s="967"/>
      <c r="CW652" s="967"/>
      <c r="CX652" s="853"/>
      <c r="CY652" s="853"/>
      <c r="CZ652" s="967"/>
      <c r="DA652" s="967"/>
      <c r="DB652" s="853"/>
      <c r="DC652" s="853"/>
      <c r="DD652" s="967"/>
      <c r="DE652" s="967"/>
      <c r="DF652" s="853"/>
      <c r="DG652" s="853"/>
      <c r="DH652" s="967"/>
      <c r="DI652" s="967"/>
      <c r="DJ652" s="853"/>
      <c r="DK652" s="853"/>
      <c r="DL652" s="967"/>
      <c r="DM652" s="967"/>
      <c r="DN652" s="853"/>
      <c r="DO652" s="853"/>
      <c r="DP652" s="967"/>
      <c r="DQ652" s="967"/>
      <c r="DR652" s="853"/>
      <c r="DS652" s="853"/>
      <c r="DT652" s="853"/>
      <c r="DU652" s="967"/>
      <c r="DV652" s="967"/>
      <c r="DW652" s="967"/>
      <c r="DX652" s="853"/>
      <c r="DY652" s="853"/>
      <c r="DZ652" s="967"/>
      <c r="EA652" s="967"/>
      <c r="EB652" s="853"/>
      <c r="EC652" s="853"/>
      <c r="ED652" s="967"/>
      <c r="EE652" s="967"/>
      <c r="EF652" s="853"/>
      <c r="EG652" s="853"/>
      <c r="EH652" s="853"/>
      <c r="EI652" s="853"/>
      <c r="EJ652" s="853"/>
      <c r="EK652" s="853"/>
      <c r="EL652" s="853"/>
      <c r="EM652" s="853"/>
      <c r="EN652" s="853"/>
      <c r="EO652" s="853"/>
      <c r="EP652" s="853"/>
      <c r="JM652"/>
    </row>
    <row r="653" spans="1:273" s="988" customFormat="1">
      <c r="A653" s="889" t="s">
        <v>722</v>
      </c>
      <c r="B653" s="987"/>
      <c r="C653" s="889"/>
      <c r="D653" s="889"/>
      <c r="E653" s="889"/>
      <c r="F653" s="889"/>
      <c r="G653" s="889"/>
      <c r="H653" s="889"/>
      <c r="I653" s="889"/>
      <c r="J653" s="889"/>
      <c r="K653" s="889"/>
      <c r="L653" s="889"/>
      <c r="M653" s="889"/>
      <c r="N653" s="889"/>
      <c r="O653" s="889"/>
      <c r="P653" s="889"/>
      <c r="Q653" s="889"/>
      <c r="R653" s="889"/>
      <c r="S653" s="889"/>
      <c r="T653" s="889"/>
      <c r="U653" s="889"/>
      <c r="V653" s="889"/>
      <c r="W653" s="889"/>
      <c r="X653" s="889"/>
      <c r="Y653" s="889"/>
      <c r="Z653" s="889"/>
      <c r="AA653" s="889"/>
      <c r="AB653" s="889"/>
      <c r="AC653" s="889"/>
      <c r="AD653" s="889"/>
      <c r="AE653" s="889"/>
      <c r="AF653" s="889"/>
      <c r="AG653" s="889"/>
      <c r="AH653" s="889"/>
      <c r="AI653" s="889"/>
      <c r="AJ653" s="889"/>
      <c r="AK653" s="889"/>
      <c r="AL653" s="889"/>
      <c r="AM653" s="889"/>
      <c r="AN653" s="987"/>
      <c r="AO653" s="987"/>
      <c r="AP653" s="987"/>
      <c r="AQ653" s="987"/>
      <c r="AR653" s="987"/>
      <c r="AS653" s="987"/>
      <c r="AT653" s="987"/>
      <c r="AU653" s="987"/>
      <c r="BB653" s="989"/>
      <c r="BC653" s="989"/>
      <c r="BD653" s="990"/>
      <c r="BE653" s="990"/>
      <c r="BF653" s="989"/>
      <c r="BG653" s="989"/>
      <c r="BH653" s="990"/>
      <c r="BI653" s="990"/>
      <c r="BJ653" s="990"/>
      <c r="BK653" s="989"/>
      <c r="BL653" s="990"/>
      <c r="BM653" s="990"/>
      <c r="BN653" s="990"/>
      <c r="BO653" s="989"/>
      <c r="BP653" s="990"/>
      <c r="BQ653" s="990"/>
      <c r="BR653" s="990"/>
      <c r="BS653" s="989"/>
      <c r="BT653" s="990"/>
      <c r="BU653" s="990"/>
      <c r="BV653" s="990"/>
      <c r="BW653" s="989"/>
      <c r="BX653" s="990"/>
      <c r="BY653" s="990"/>
      <c r="BZ653" s="990"/>
      <c r="CA653" s="989"/>
      <c r="CB653" s="990"/>
      <c r="CC653" s="990"/>
      <c r="CD653" s="989"/>
      <c r="CE653" s="1621"/>
      <c r="CF653" s="990"/>
      <c r="CG653" s="990"/>
      <c r="CH653" s="989"/>
      <c r="CI653" s="1621"/>
      <c r="CJ653" s="990"/>
      <c r="CK653" s="990"/>
      <c r="CL653" s="989"/>
      <c r="CM653" s="1621"/>
      <c r="CN653" s="990"/>
      <c r="CO653" s="990"/>
      <c r="CP653" s="989"/>
      <c r="CQ653" s="1621"/>
      <c r="CR653" s="990"/>
      <c r="CS653" s="990"/>
      <c r="CT653" s="989"/>
      <c r="CU653" s="989"/>
      <c r="CV653" s="990"/>
      <c r="CW653" s="990"/>
      <c r="CX653" s="989"/>
      <c r="CY653" s="989"/>
      <c r="CZ653" s="990"/>
      <c r="DA653" s="990"/>
      <c r="DB653" s="989"/>
      <c r="DC653" s="989"/>
      <c r="DD653" s="990"/>
      <c r="DE653" s="990"/>
      <c r="DF653" s="989"/>
      <c r="DG653" s="989"/>
      <c r="DH653" s="990"/>
      <c r="DI653" s="990"/>
      <c r="DJ653" s="989"/>
      <c r="DK653" s="989"/>
      <c r="DL653" s="990"/>
      <c r="DM653" s="990"/>
      <c r="DN653" s="989"/>
      <c r="DO653" s="989"/>
      <c r="DP653" s="990"/>
      <c r="DQ653" s="990"/>
      <c r="DR653" s="989"/>
      <c r="DS653" s="989"/>
      <c r="DT653" s="989"/>
      <c r="DU653" s="990"/>
      <c r="DV653" s="990"/>
      <c r="DW653" s="990"/>
      <c r="DX653" s="989"/>
      <c r="DY653" s="989"/>
      <c r="DZ653" s="990"/>
      <c r="EA653" s="990"/>
      <c r="EB653" s="989"/>
      <c r="EC653" s="989"/>
      <c r="ED653" s="990"/>
      <c r="EE653" s="990"/>
      <c r="EF653" s="989"/>
      <c r="EG653" s="989"/>
      <c r="EH653" s="989"/>
      <c r="EI653" s="989"/>
      <c r="EJ653" s="989"/>
      <c r="EK653" s="989"/>
      <c r="EL653" s="989"/>
      <c r="EM653" s="989"/>
      <c r="EN653" s="989"/>
      <c r="EO653" s="989"/>
      <c r="EP653" s="989"/>
      <c r="FL653" s="855"/>
      <c r="FM653" s="855"/>
      <c r="FN653" s="855"/>
      <c r="FO653" s="855"/>
      <c r="FP653" s="855"/>
      <c r="FQ653" s="855"/>
      <c r="FR653" s="855"/>
      <c r="FS653" s="855"/>
      <c r="FT653" s="855"/>
      <c r="FU653" s="855"/>
      <c r="FV653" s="855"/>
      <c r="FW653" s="855"/>
      <c r="FX653" s="855"/>
      <c r="FY653" s="855"/>
      <c r="FZ653" s="855"/>
      <c r="GA653" s="855"/>
      <c r="GB653" s="855"/>
      <c r="GC653" s="855"/>
      <c r="GD653" s="855"/>
      <c r="GE653" s="855"/>
      <c r="GF653" s="855"/>
      <c r="GG653" s="855"/>
      <c r="GH653" s="855"/>
      <c r="GI653" s="855"/>
      <c r="GJ653" s="855"/>
      <c r="GK653" s="855"/>
      <c r="GL653" s="855"/>
      <c r="GM653" s="855"/>
      <c r="GN653" s="855"/>
      <c r="GO653" s="855"/>
      <c r="GP653" s="855"/>
      <c r="GQ653" s="855"/>
      <c r="GR653" s="855"/>
      <c r="GS653" s="855"/>
      <c r="GT653" s="855"/>
      <c r="GU653" s="855"/>
      <c r="GV653" s="855"/>
      <c r="GW653" s="855"/>
      <c r="GX653" s="855"/>
      <c r="GY653" s="855"/>
      <c r="GZ653" s="855"/>
      <c r="HA653" s="855"/>
      <c r="HB653" s="855"/>
      <c r="HC653" s="855"/>
      <c r="HD653" s="855"/>
      <c r="HE653" s="855"/>
      <c r="HF653" s="855"/>
      <c r="HG653" s="855"/>
      <c r="HH653" s="855"/>
      <c r="HI653" s="855"/>
      <c r="HJ653" s="855"/>
      <c r="HK653" s="855"/>
      <c r="HL653" s="855"/>
      <c r="HM653" s="855"/>
      <c r="HN653" s="855"/>
      <c r="HO653" s="855"/>
      <c r="HP653" s="855"/>
      <c r="HQ653" s="855"/>
      <c r="HR653" s="855"/>
      <c r="HS653" s="855"/>
      <c r="HT653" s="855"/>
      <c r="HU653" s="855"/>
      <c r="HV653" s="855"/>
      <c r="HW653" s="855"/>
      <c r="HX653" s="855"/>
      <c r="HY653" s="855"/>
      <c r="HZ653" s="855"/>
      <c r="IA653" s="855"/>
      <c r="IB653" s="855"/>
      <c r="IC653" s="855"/>
      <c r="ID653" s="855"/>
      <c r="IE653" s="855"/>
      <c r="IF653" s="855"/>
      <c r="IG653" s="855"/>
      <c r="IH653" s="855"/>
      <c r="II653" s="855"/>
      <c r="IJ653" s="855"/>
      <c r="IK653" s="855"/>
      <c r="IL653" s="855"/>
      <c r="IM653" s="855"/>
      <c r="IN653" s="855"/>
      <c r="IO653" s="855"/>
      <c r="IP653" s="855"/>
      <c r="IQ653" s="855"/>
      <c r="IR653" s="855"/>
      <c r="IS653" s="855"/>
      <c r="IT653" s="855"/>
      <c r="IU653" s="855"/>
      <c r="IV653" s="855"/>
      <c r="IW653" s="855"/>
      <c r="IX653" s="855"/>
      <c r="IY653" s="855"/>
      <c r="IZ653" s="855"/>
      <c r="JA653" s="855"/>
      <c r="JB653" s="855"/>
      <c r="JC653" s="855"/>
      <c r="JD653" s="855"/>
      <c r="JE653" s="855"/>
      <c r="JF653" s="855"/>
      <c r="JG653" s="855"/>
      <c r="JH653" s="855"/>
      <c r="JI653" s="855"/>
      <c r="JJ653" s="855"/>
      <c r="JK653" s="855"/>
      <c r="JL653" s="855"/>
      <c r="JM653"/>
    </row>
    <row r="654" spans="1:273" s="855" customFormat="1">
      <c r="A654" s="289"/>
      <c r="B654" s="290"/>
      <c r="C654" s="289"/>
      <c r="D654" s="289"/>
      <c r="E654" s="289"/>
      <c r="F654" s="289"/>
      <c r="G654" s="289"/>
      <c r="H654" s="289"/>
      <c r="I654" s="289"/>
      <c r="J654" s="289"/>
      <c r="K654" s="289"/>
      <c r="L654" s="289"/>
      <c r="M654" s="289"/>
      <c r="N654" s="289"/>
      <c r="O654" s="289"/>
      <c r="P654" s="289"/>
      <c r="Q654" s="289"/>
      <c r="R654" s="289"/>
      <c r="S654" s="289"/>
      <c r="T654" s="289"/>
      <c r="U654" s="289"/>
      <c r="V654" s="289"/>
      <c r="W654" s="289"/>
      <c r="X654" s="289"/>
      <c r="Y654" s="289"/>
      <c r="Z654" s="289"/>
      <c r="AA654" s="289"/>
      <c r="AB654" s="289"/>
      <c r="AC654" s="289"/>
      <c r="AD654" s="289"/>
      <c r="AE654" s="289"/>
      <c r="AF654" s="289"/>
      <c r="AG654" s="289"/>
      <c r="AH654" s="289"/>
      <c r="AI654" s="289"/>
      <c r="AJ654" s="289"/>
      <c r="AK654" s="289"/>
      <c r="AL654" s="289"/>
      <c r="AM654" s="289"/>
      <c r="AN654" s="290"/>
      <c r="AO654" s="290"/>
      <c r="AP654" s="290"/>
      <c r="AQ654" s="290"/>
      <c r="AR654" s="290"/>
      <c r="AS654" s="290"/>
      <c r="AT654" s="290"/>
      <c r="AU654" s="290"/>
      <c r="BB654" s="853"/>
      <c r="BC654" s="853"/>
      <c r="BD654" s="967"/>
      <c r="BE654" s="967"/>
      <c r="BF654" s="853"/>
      <c r="BG654" s="853"/>
      <c r="BH654" s="967"/>
      <c r="BI654" s="967"/>
      <c r="BJ654" s="967"/>
      <c r="BK654" s="853"/>
      <c r="BL654" s="967"/>
      <c r="BM654" s="967"/>
      <c r="BN654" s="967"/>
      <c r="BO654" s="853"/>
      <c r="BP654" s="967"/>
      <c r="BQ654" s="967"/>
      <c r="BR654" s="967"/>
      <c r="BS654" s="853"/>
      <c r="BT654" s="967"/>
      <c r="BU654" s="967"/>
      <c r="BV654" s="967"/>
      <c r="BW654" s="853"/>
      <c r="BX654" s="967"/>
      <c r="BY654" s="967"/>
      <c r="BZ654" s="967"/>
      <c r="CA654" s="853"/>
      <c r="CB654" s="967"/>
      <c r="CC654" s="967"/>
      <c r="CD654" s="853"/>
      <c r="CE654" s="862"/>
      <c r="CF654" s="967"/>
      <c r="CG654" s="967"/>
      <c r="CH654" s="853"/>
      <c r="CI654" s="862"/>
      <c r="CJ654" s="967"/>
      <c r="CK654" s="967"/>
      <c r="CL654" s="853"/>
      <c r="CM654" s="862"/>
      <c r="CN654" s="967"/>
      <c r="CO654" s="967"/>
      <c r="CP654" s="853"/>
      <c r="CQ654" s="862"/>
      <c r="CR654" s="967"/>
      <c r="CS654" s="967"/>
      <c r="CT654" s="853"/>
      <c r="CU654" s="853"/>
      <c r="CV654" s="967"/>
      <c r="CW654" s="967"/>
      <c r="CX654" s="853"/>
      <c r="CY654" s="853"/>
      <c r="CZ654" s="967"/>
      <c r="DA654" s="967"/>
      <c r="DB654" s="853"/>
      <c r="DC654" s="853"/>
      <c r="DD654" s="967"/>
      <c r="DE654" s="967"/>
      <c r="DF654" s="853"/>
      <c r="DG654" s="853"/>
      <c r="DH654" s="967"/>
      <c r="DI654" s="967"/>
      <c r="DJ654" s="853"/>
      <c r="DK654" s="853"/>
      <c r="DL654" s="967"/>
      <c r="DM654" s="967"/>
      <c r="DN654" s="853"/>
      <c r="DO654" s="853"/>
      <c r="DP654" s="967"/>
      <c r="DQ654" s="967"/>
      <c r="DR654" s="853"/>
      <c r="DS654" s="853"/>
      <c r="DT654" s="853"/>
      <c r="DU654" s="967"/>
      <c r="DV654" s="967"/>
      <c r="DW654" s="967"/>
      <c r="DX654" s="853"/>
      <c r="DY654" s="853"/>
      <c r="DZ654" s="967"/>
      <c r="EA654" s="967"/>
      <c r="EB654" s="853"/>
      <c r="EC654" s="853"/>
      <c r="ED654" s="967"/>
      <c r="EE654" s="967"/>
      <c r="EF654" s="853"/>
      <c r="EG654" s="853"/>
      <c r="EH654" s="853"/>
      <c r="EI654" s="853"/>
      <c r="EJ654" s="853"/>
      <c r="EK654" s="853"/>
      <c r="EL654" s="853"/>
      <c r="EM654" s="853"/>
      <c r="EN654" s="853"/>
      <c r="EO654" s="853"/>
      <c r="EP654" s="853"/>
      <c r="JM654"/>
    </row>
    <row r="655" spans="1:273" s="855" customFormat="1">
      <c r="A655" s="102" t="s">
        <v>42</v>
      </c>
      <c r="B655" s="290"/>
      <c r="C655" s="289"/>
      <c r="D655" s="289"/>
      <c r="E655" s="289"/>
      <c r="F655" s="289"/>
      <c r="G655" s="289"/>
      <c r="H655" s="289"/>
      <c r="I655" s="289"/>
      <c r="J655" s="289"/>
      <c r="K655" s="289"/>
      <c r="L655" s="289"/>
      <c r="M655" s="289"/>
      <c r="N655" s="289"/>
      <c r="O655" s="289"/>
      <c r="P655" s="289"/>
      <c r="Q655" s="289"/>
      <c r="R655" s="289"/>
      <c r="S655" s="289"/>
      <c r="T655" s="289"/>
      <c r="U655" s="289"/>
      <c r="V655" s="289"/>
      <c r="W655" s="289"/>
      <c r="X655" s="289"/>
      <c r="Y655" s="289"/>
      <c r="Z655" s="289"/>
      <c r="AA655" s="289"/>
      <c r="AB655" s="289"/>
      <c r="AC655" s="289"/>
      <c r="AD655" s="289"/>
      <c r="AE655" s="289"/>
      <c r="AF655" s="289"/>
      <c r="AG655" s="289"/>
      <c r="AH655" s="289"/>
      <c r="AI655" s="289"/>
      <c r="AJ655" s="289"/>
      <c r="AK655" s="289"/>
      <c r="AL655" s="289"/>
      <c r="AM655" s="289"/>
      <c r="AN655" s="290"/>
      <c r="AO655" s="290"/>
      <c r="AP655" s="290"/>
      <c r="AQ655" s="290"/>
      <c r="AR655" s="293"/>
      <c r="AS655" s="293"/>
      <c r="AT655" s="293"/>
      <c r="AU655" s="290"/>
      <c r="AV655" s="293">
        <f>AV469</f>
        <v>360</v>
      </c>
      <c r="AW655" s="293">
        <f>AW469</f>
        <v>408</v>
      </c>
      <c r="AX655" s="293">
        <f>AX469</f>
        <v>768</v>
      </c>
      <c r="AZ655" s="293">
        <f>AZ469</f>
        <v>370</v>
      </c>
      <c r="BA655" s="293">
        <f>BA469</f>
        <v>561</v>
      </c>
      <c r="BB655" s="293">
        <f>BB469</f>
        <v>931</v>
      </c>
      <c r="BC655" s="853"/>
      <c r="BD655" s="293">
        <f>BD469</f>
        <v>356</v>
      </c>
      <c r="BE655" s="293">
        <f>BE469</f>
        <v>767</v>
      </c>
      <c r="BF655" s="293">
        <f>BF469</f>
        <v>1123</v>
      </c>
      <c r="BG655" s="853"/>
      <c r="BH655" s="293">
        <f>BH469</f>
        <v>144</v>
      </c>
      <c r="BI655" s="293">
        <f>BI469</f>
        <v>441</v>
      </c>
      <c r="BJ655" s="293">
        <f>BJ469</f>
        <v>585</v>
      </c>
      <c r="BK655" s="295"/>
      <c r="BL655" s="293">
        <f>BL469</f>
        <v>320</v>
      </c>
      <c r="BM655" s="293">
        <f>BM469</f>
        <v>535</v>
      </c>
      <c r="BN655" s="293">
        <f>BN469</f>
        <v>855</v>
      </c>
      <c r="BO655" s="853"/>
      <c r="BP655" s="293">
        <f>BP469</f>
        <v>455</v>
      </c>
      <c r="BQ655" s="293">
        <f>BQ469</f>
        <v>244</v>
      </c>
      <c r="BR655" s="293">
        <f>BR469</f>
        <v>699</v>
      </c>
      <c r="BS655" s="853"/>
      <c r="BT655" s="293">
        <f>BT469</f>
        <v>314</v>
      </c>
      <c r="BU655" s="293">
        <f>BU469</f>
        <v>632</v>
      </c>
      <c r="BV655" s="293">
        <f>BV469</f>
        <v>946</v>
      </c>
      <c r="BW655" s="853"/>
      <c r="BX655" s="293">
        <f>BX469</f>
        <v>1149</v>
      </c>
      <c r="BY655" s="293">
        <f>BY469</f>
        <v>890</v>
      </c>
      <c r="BZ655" s="293">
        <f>BZ469</f>
        <v>2039</v>
      </c>
      <c r="CA655" s="853"/>
      <c r="CB655" s="293">
        <f>CB469</f>
        <v>834</v>
      </c>
      <c r="CC655" s="293">
        <f>CC469</f>
        <v>1232</v>
      </c>
      <c r="CD655" s="293">
        <f>CD469</f>
        <v>2066</v>
      </c>
      <c r="CE655" s="862"/>
      <c r="CF655" s="293">
        <f>CF469</f>
        <v>933</v>
      </c>
      <c r="CG655" s="293">
        <f>CG469</f>
        <v>1800</v>
      </c>
      <c r="CH655" s="293">
        <f>CH469</f>
        <v>2733</v>
      </c>
      <c r="CI655" s="862"/>
      <c r="CJ655" s="293">
        <f>CJ469</f>
        <v>1078</v>
      </c>
      <c r="CK655" s="293">
        <f>CK469</f>
        <v>595</v>
      </c>
      <c r="CL655" s="293">
        <f>CL469</f>
        <v>1673</v>
      </c>
      <c r="CM655" s="862"/>
      <c r="CN655" s="293">
        <f>CN469</f>
        <v>440</v>
      </c>
      <c r="CO655" s="293">
        <f>CO469</f>
        <v>1484</v>
      </c>
      <c r="CP655" s="293">
        <f>CP469</f>
        <v>1924</v>
      </c>
      <c r="CQ655" s="862"/>
      <c r="CR655" s="293">
        <f>CR469</f>
        <v>1078</v>
      </c>
      <c r="CS655" s="293">
        <f>CS469</f>
        <v>2263</v>
      </c>
      <c r="CT655" s="293">
        <f>CT469</f>
        <v>3341</v>
      </c>
      <c r="CU655" s="853"/>
      <c r="CV655" s="293">
        <f>CV469</f>
        <v>1460</v>
      </c>
      <c r="CW655" s="293">
        <f>CW469</f>
        <v>774</v>
      </c>
      <c r="CX655" s="293">
        <f>CX469</f>
        <v>2234</v>
      </c>
      <c r="CY655" s="853"/>
      <c r="CZ655" s="293">
        <f>CZ469</f>
        <v>647</v>
      </c>
      <c r="DA655" s="293">
        <f>DA469</f>
        <v>1133</v>
      </c>
      <c r="DB655" s="293">
        <f>DB469</f>
        <v>1780</v>
      </c>
      <c r="DC655" s="853"/>
      <c r="DD655" s="293">
        <f>DD469</f>
        <v>786</v>
      </c>
      <c r="DE655" s="293">
        <f>DE469</f>
        <v>588</v>
      </c>
      <c r="DF655" s="293">
        <f>DF469</f>
        <v>1374</v>
      </c>
      <c r="DG655" s="853"/>
      <c r="DH655" s="293">
        <f>DH469</f>
        <v>329</v>
      </c>
      <c r="DI655" s="293">
        <f>DI469</f>
        <v>1100.3424</v>
      </c>
      <c r="DJ655" s="293">
        <f>DJ469</f>
        <v>1429.3424</v>
      </c>
      <c r="DK655" s="853"/>
      <c r="DL655" s="293">
        <f>DL469</f>
        <v>694.38059999999996</v>
      </c>
      <c r="DM655" s="293">
        <f>DM469</f>
        <v>935.69831799999997</v>
      </c>
      <c r="DN655" s="293">
        <f>DN469</f>
        <v>1630.0789179999999</v>
      </c>
      <c r="DO655" s="853"/>
      <c r="DP655" s="293">
        <f>DP469</f>
        <v>804.34669154000005</v>
      </c>
      <c r="DQ655" s="293">
        <f>DQ469</f>
        <v>1059.7373032861999</v>
      </c>
      <c r="DR655" s="293">
        <f>DR469</f>
        <v>1864.0839948262001</v>
      </c>
      <c r="DS655" s="853"/>
      <c r="DT655" s="853"/>
      <c r="DU655" s="967"/>
      <c r="DV655" s="967"/>
      <c r="DW655" s="967"/>
      <c r="DX655" s="853"/>
      <c r="DY655" s="853"/>
      <c r="DZ655" s="967"/>
      <c r="EA655" s="967"/>
      <c r="EB655" s="853"/>
      <c r="EC655" s="853"/>
      <c r="ED655" s="967"/>
      <c r="EE655" s="967"/>
      <c r="EF655" s="853"/>
      <c r="EG655" s="853"/>
      <c r="EH655" s="853"/>
      <c r="EI655" s="853"/>
      <c r="EJ655" s="853"/>
      <c r="EK655" s="853"/>
      <c r="EL655" s="853"/>
      <c r="EM655" s="853"/>
      <c r="EN655" s="853"/>
      <c r="EO655" s="853"/>
      <c r="EP655" s="853"/>
      <c r="JM655"/>
    </row>
    <row r="656" spans="1:273" s="855" customFormat="1">
      <c r="A656" s="102" t="s">
        <v>587</v>
      </c>
      <c r="B656" s="290"/>
      <c r="C656" s="289"/>
      <c r="D656" s="289"/>
      <c r="E656" s="289"/>
      <c r="F656" s="289"/>
      <c r="G656" s="289"/>
      <c r="H656" s="289"/>
      <c r="I656" s="289"/>
      <c r="J656" s="289"/>
      <c r="K656" s="289"/>
      <c r="L656" s="289"/>
      <c r="M656" s="289"/>
      <c r="N656" s="289"/>
      <c r="O656" s="289"/>
      <c r="P656" s="289"/>
      <c r="Q656" s="289"/>
      <c r="R656" s="289"/>
      <c r="S656" s="289"/>
      <c r="T656" s="289"/>
      <c r="U656" s="289"/>
      <c r="V656" s="289"/>
      <c r="W656" s="289"/>
      <c r="X656" s="289"/>
      <c r="Y656" s="289"/>
      <c r="Z656" s="289"/>
      <c r="AA656" s="289"/>
      <c r="AB656" s="289"/>
      <c r="AC656" s="289"/>
      <c r="AD656" s="289"/>
      <c r="AE656" s="289"/>
      <c r="AF656" s="289"/>
      <c r="AG656" s="289"/>
      <c r="AH656" s="289"/>
      <c r="AI656" s="289"/>
      <c r="AJ656" s="289"/>
      <c r="AK656" s="289"/>
      <c r="AL656" s="289"/>
      <c r="AM656" s="289"/>
      <c r="AN656" s="290"/>
      <c r="AO656" s="290"/>
      <c r="AP656" s="290"/>
      <c r="AQ656" s="290"/>
      <c r="AR656" s="293"/>
      <c r="AS656" s="293"/>
      <c r="AT656" s="293"/>
      <c r="AU656" s="290"/>
      <c r="AV656" s="293">
        <f>AV387</f>
        <v>52</v>
      </c>
      <c r="AW656" s="293">
        <f>AW387</f>
        <v>5</v>
      </c>
      <c r="AX656" s="293">
        <f>AX387</f>
        <v>22</v>
      </c>
      <c r="AZ656" s="293">
        <f>AZ387</f>
        <v>15</v>
      </c>
      <c r="BA656" s="293">
        <f>BA387</f>
        <v>21</v>
      </c>
      <c r="BB656" s="293">
        <f>BB387</f>
        <v>36</v>
      </c>
      <c r="BC656" s="853"/>
      <c r="BD656" s="293">
        <f>BD387</f>
        <v>89</v>
      </c>
      <c r="BE656" s="293">
        <f>BE387</f>
        <v>41</v>
      </c>
      <c r="BF656" s="293">
        <f>BF387</f>
        <v>130</v>
      </c>
      <c r="BG656" s="853"/>
      <c r="BH656" s="293">
        <f>BH387</f>
        <v>76</v>
      </c>
      <c r="BI656" s="293">
        <f>BI387</f>
        <v>88</v>
      </c>
      <c r="BJ656" s="293">
        <f>BJ387</f>
        <v>164</v>
      </c>
      <c r="BK656" s="295"/>
      <c r="BL656" s="293">
        <f>BL387</f>
        <v>76</v>
      </c>
      <c r="BM656" s="293">
        <f>BM387</f>
        <v>142</v>
      </c>
      <c r="BN656" s="293">
        <f>BN387</f>
        <v>218</v>
      </c>
      <c r="BO656" s="853"/>
      <c r="BP656" s="293">
        <f>BP387</f>
        <v>373</v>
      </c>
      <c r="BQ656" s="293">
        <f>BQ387</f>
        <v>294</v>
      </c>
      <c r="BR656" s="293">
        <f>BR387</f>
        <v>667</v>
      </c>
      <c r="BS656" s="853"/>
      <c r="BT656" s="293">
        <f>BT387</f>
        <v>629</v>
      </c>
      <c r="BU656" s="293">
        <f>BU387</f>
        <v>85</v>
      </c>
      <c r="BV656" s="293">
        <f>BV387</f>
        <v>714</v>
      </c>
      <c r="BW656" s="853"/>
      <c r="BX656" s="293">
        <f>BX387</f>
        <v>170</v>
      </c>
      <c r="BY656" s="293">
        <f>BY387</f>
        <v>94</v>
      </c>
      <c r="BZ656" s="293">
        <f>BZ387</f>
        <v>264</v>
      </c>
      <c r="CA656" s="853"/>
      <c r="CB656" s="293">
        <f>CB387</f>
        <v>537</v>
      </c>
      <c r="CC656" s="293">
        <f>CC387</f>
        <v>58</v>
      </c>
      <c r="CD656" s="293">
        <f>CD387</f>
        <v>595</v>
      </c>
      <c r="CE656" s="862"/>
      <c r="CF656" s="293">
        <f>CF387</f>
        <v>282</v>
      </c>
      <c r="CG656" s="293">
        <f>CG387</f>
        <v>577</v>
      </c>
      <c r="CH656" s="293">
        <f>CH387</f>
        <v>859</v>
      </c>
      <c r="CI656" s="862"/>
      <c r="CJ656" s="293">
        <f>CJ387</f>
        <v>546</v>
      </c>
      <c r="CK656" s="293">
        <f>CK387</f>
        <v>275</v>
      </c>
      <c r="CL656" s="293">
        <f>CL387</f>
        <v>821</v>
      </c>
      <c r="CM656" s="862"/>
      <c r="CN656" s="293">
        <f>CN387</f>
        <v>413</v>
      </c>
      <c r="CO656" s="293">
        <f>CO387</f>
        <v>247</v>
      </c>
      <c r="CP656" s="293">
        <f>CP387</f>
        <v>660</v>
      </c>
      <c r="CQ656" s="862"/>
      <c r="CR656" s="293">
        <f>CR387</f>
        <v>177</v>
      </c>
      <c r="CS656" s="293">
        <f>CS387</f>
        <v>218</v>
      </c>
      <c r="CT656" s="293">
        <f>CT387</f>
        <v>395</v>
      </c>
      <c r="CU656" s="853"/>
      <c r="CV656" s="293">
        <f>CV387</f>
        <v>237</v>
      </c>
      <c r="CW656" s="293">
        <f>CW387</f>
        <v>455</v>
      </c>
      <c r="CX656" s="293">
        <f>CX387</f>
        <v>692</v>
      </c>
      <c r="CY656" s="853"/>
      <c r="CZ656" s="293">
        <f>CZ387</f>
        <v>236</v>
      </c>
      <c r="DA656" s="293">
        <f>DA387</f>
        <v>396</v>
      </c>
      <c r="DB656" s="293">
        <f>DB387</f>
        <v>631</v>
      </c>
      <c r="DC656" s="853"/>
      <c r="DD656" s="293">
        <f>DD387</f>
        <v>403</v>
      </c>
      <c r="DE656" s="293">
        <f ca="1">DE387</f>
        <v>434</v>
      </c>
      <c r="DF656" s="293">
        <f ca="1">DF387</f>
        <v>837</v>
      </c>
      <c r="DG656" s="853"/>
      <c r="DH656" s="293">
        <f>DH387</f>
        <v>756</v>
      </c>
      <c r="DI656" s="293">
        <f>DI387</f>
        <v>687.9232351803339</v>
      </c>
      <c r="DJ656" s="293">
        <f>DJ387</f>
        <v>1443.9232351803339</v>
      </c>
      <c r="DK656" s="853"/>
      <c r="DL656" s="293">
        <f>DL387</f>
        <v>551.54082731850792</v>
      </c>
      <c r="DM656" s="293">
        <f>DM387</f>
        <v>564.66007294519545</v>
      </c>
      <c r="DN656" s="293">
        <f>DN387</f>
        <v>1116.2009002637033</v>
      </c>
      <c r="DO656" s="853"/>
      <c r="DP656" s="293">
        <f>DP387</f>
        <v>587.53366128604671</v>
      </c>
      <c r="DQ656" s="293">
        <f>DQ387</f>
        <v>608.07262499994374</v>
      </c>
      <c r="DR656" s="293">
        <f>DR387</f>
        <v>1195.6062862859903</v>
      </c>
      <c r="DS656" s="853"/>
      <c r="DT656" s="853"/>
      <c r="DU656" s="967"/>
      <c r="DV656" s="967"/>
      <c r="DW656" s="967"/>
      <c r="DX656" s="853"/>
      <c r="DY656" s="853"/>
      <c r="DZ656" s="967"/>
      <c r="EA656" s="967"/>
      <c r="EB656" s="853"/>
      <c r="EC656" s="853"/>
      <c r="ED656" s="967"/>
      <c r="EE656" s="967"/>
      <c r="EF656" s="853"/>
      <c r="EG656" s="853"/>
      <c r="EH656" s="853"/>
      <c r="EI656" s="853"/>
      <c r="EJ656" s="853"/>
      <c r="EK656" s="853"/>
      <c r="EL656" s="853"/>
      <c r="EM656" s="853"/>
      <c r="EN656" s="853"/>
      <c r="EO656" s="853"/>
      <c r="EP656" s="853"/>
      <c r="JM656"/>
    </row>
    <row r="657" spans="1:273" s="855" customFormat="1">
      <c r="A657" s="289" t="s">
        <v>721</v>
      </c>
      <c r="B657" s="290"/>
      <c r="C657" s="289"/>
      <c r="D657" s="289"/>
      <c r="E657" s="289"/>
      <c r="F657" s="289"/>
      <c r="G657" s="289"/>
      <c r="H657" s="289"/>
      <c r="I657" s="289"/>
      <c r="J657" s="289"/>
      <c r="K657" s="289"/>
      <c r="L657" s="289"/>
      <c r="M657" s="289"/>
      <c r="N657" s="289"/>
      <c r="O657" s="289"/>
      <c r="P657" s="289"/>
      <c r="Q657" s="289"/>
      <c r="R657" s="289"/>
      <c r="S657" s="289"/>
      <c r="T657" s="289"/>
      <c r="U657" s="289"/>
      <c r="V657" s="289"/>
      <c r="W657" s="289"/>
      <c r="X657" s="289"/>
      <c r="Y657" s="289"/>
      <c r="Z657" s="289"/>
      <c r="AA657" s="289"/>
      <c r="AB657" s="289"/>
      <c r="AC657" s="289"/>
      <c r="AD657" s="289"/>
      <c r="AE657" s="289"/>
      <c r="AF657" s="289"/>
      <c r="AG657" s="289"/>
      <c r="AH657" s="289"/>
      <c r="AI657" s="289"/>
      <c r="AJ657" s="289"/>
      <c r="AK657" s="289"/>
      <c r="AL657" s="289"/>
      <c r="AM657" s="289"/>
      <c r="AN657" s="290"/>
      <c r="AO657" s="290"/>
      <c r="AP657" s="290"/>
      <c r="AQ657" s="290"/>
      <c r="AR657" s="295"/>
      <c r="AS657" s="295"/>
      <c r="AT657" s="295"/>
      <c r="AU657" s="290"/>
      <c r="AV657" s="295">
        <f>SUM(AV655:AV656)</f>
        <v>412</v>
      </c>
      <c r="AW657" s="295">
        <f>SUM(AW655:AW656)</f>
        <v>413</v>
      </c>
      <c r="AX657" s="295">
        <f>SUM(AX655:AX656)</f>
        <v>790</v>
      </c>
      <c r="AZ657" s="295">
        <f>SUM(AZ655:AZ656)</f>
        <v>385</v>
      </c>
      <c r="BA657" s="295">
        <f>SUM(BA655:BA656)</f>
        <v>582</v>
      </c>
      <c r="BB657" s="295">
        <f>SUM(BB655:BB656)</f>
        <v>967</v>
      </c>
      <c r="BC657" s="853"/>
      <c r="BD657" s="295">
        <f>SUM(BD655:BD656)</f>
        <v>445</v>
      </c>
      <c r="BE657" s="295">
        <f>SUM(BE655:BE656)</f>
        <v>808</v>
      </c>
      <c r="BF657" s="295">
        <f>SUM(BF655:BF656)</f>
        <v>1253</v>
      </c>
      <c r="BG657" s="853"/>
      <c r="BH657" s="295">
        <f>SUM(BH655:BH656)</f>
        <v>220</v>
      </c>
      <c r="BI657" s="295">
        <f>SUM(BI655:BI656)</f>
        <v>529</v>
      </c>
      <c r="BJ657" s="295">
        <f>SUM(BJ655:BJ656)</f>
        <v>749</v>
      </c>
      <c r="BK657" s="295"/>
      <c r="BL657" s="295">
        <f>SUM(BL655:BL656)</f>
        <v>396</v>
      </c>
      <c r="BM657" s="295">
        <f>SUM(BM655:BM656)</f>
        <v>677</v>
      </c>
      <c r="BN657" s="295">
        <f>SUM(BN655:BN656)</f>
        <v>1073</v>
      </c>
      <c r="BO657" s="853"/>
      <c r="BP657" s="295">
        <f>SUM(BP655:BP656)</f>
        <v>828</v>
      </c>
      <c r="BQ657" s="295">
        <f>SUM(BQ655:BQ656)</f>
        <v>538</v>
      </c>
      <c r="BR657" s="295">
        <f>SUM(BR655:BR656)</f>
        <v>1366</v>
      </c>
      <c r="BS657" s="853"/>
      <c r="BT657" s="295">
        <f>SUM(BT655:BT656)</f>
        <v>943</v>
      </c>
      <c r="BU657" s="295">
        <f>SUM(BU655:BU656)</f>
        <v>717</v>
      </c>
      <c r="BV657" s="295">
        <f>SUM(BV655:BV656)</f>
        <v>1660</v>
      </c>
      <c r="BW657" s="853"/>
      <c r="BX657" s="295">
        <f>SUM(BX655:BX656)</f>
        <v>1319</v>
      </c>
      <c r="BY657" s="295">
        <f>SUM(BY655:BY656)</f>
        <v>984</v>
      </c>
      <c r="BZ657" s="295">
        <f>SUM(BZ655:BZ656)</f>
        <v>2303</v>
      </c>
      <c r="CA657" s="853"/>
      <c r="CB657" s="295">
        <f>SUM(CB655:CB656)</f>
        <v>1371</v>
      </c>
      <c r="CC657" s="295">
        <f>SUM(CC655:CC656)</f>
        <v>1290</v>
      </c>
      <c r="CD657" s="295">
        <f>SUM(CD655:CD656)</f>
        <v>2661</v>
      </c>
      <c r="CE657" s="862"/>
      <c r="CF657" s="295">
        <f>SUM(CF655:CF656)</f>
        <v>1215</v>
      </c>
      <c r="CG657" s="295">
        <f>SUM(CG655:CG656)</f>
        <v>2377</v>
      </c>
      <c r="CH657" s="295">
        <f>SUM(CH655:CH656)</f>
        <v>3592</v>
      </c>
      <c r="CI657" s="862"/>
      <c r="CJ657" s="295">
        <f>SUM(CJ655:CJ656)</f>
        <v>1624</v>
      </c>
      <c r="CK657" s="295">
        <f>SUM(CK655:CK656)</f>
        <v>870</v>
      </c>
      <c r="CL657" s="295">
        <f>SUM(CL655:CL656)</f>
        <v>2494</v>
      </c>
      <c r="CM657" s="862"/>
      <c r="CN657" s="295">
        <f>SUM(CN655:CN656)</f>
        <v>853</v>
      </c>
      <c r="CO657" s="295">
        <f>SUM(CO655:CO656)</f>
        <v>1731</v>
      </c>
      <c r="CP657" s="295">
        <f>SUM(CP655:CP656)</f>
        <v>2584</v>
      </c>
      <c r="CQ657" s="862"/>
      <c r="CR657" s="295">
        <f>SUM(CR655:CR656)</f>
        <v>1255</v>
      </c>
      <c r="CS657" s="295">
        <f>SUM(CS655:CS656)</f>
        <v>2481</v>
      </c>
      <c r="CT657" s="295">
        <f>SUM(CT655:CT656)</f>
        <v>3736</v>
      </c>
      <c r="CU657" s="853"/>
      <c r="CV657" s="295">
        <f>SUM(CV655:CV656)</f>
        <v>1697</v>
      </c>
      <c r="CW657" s="295">
        <f>SUM(CW655:CW656)</f>
        <v>1229</v>
      </c>
      <c r="CX657" s="295">
        <f>SUM(CX655:CX656)</f>
        <v>2926</v>
      </c>
      <c r="CY657" s="853"/>
      <c r="CZ657" s="295">
        <f>SUM(CZ655:CZ656)</f>
        <v>883</v>
      </c>
      <c r="DA657" s="295">
        <f>SUM(DA655:DA656)</f>
        <v>1529</v>
      </c>
      <c r="DB657" s="295">
        <f>SUM(DB655:DB656)</f>
        <v>2411</v>
      </c>
      <c r="DC657" s="853"/>
      <c r="DD657" s="295">
        <f>SUM(DD655:DD656)</f>
        <v>1189</v>
      </c>
      <c r="DE657" s="295">
        <f ca="1">SUM(DE655:DE656)</f>
        <v>1022</v>
      </c>
      <c r="DF657" s="295">
        <f ca="1">SUM(DF655:DF656)</f>
        <v>2211</v>
      </c>
      <c r="DG657" s="853"/>
      <c r="DH657" s="295">
        <f>SUM(DH655:DH656)</f>
        <v>1085</v>
      </c>
      <c r="DI657" s="295">
        <f>SUM(DI655:DI656)</f>
        <v>1788.2656351803339</v>
      </c>
      <c r="DJ657" s="295">
        <f>SUM(DJ655:DJ656)</f>
        <v>2873.2656351803339</v>
      </c>
      <c r="DK657" s="853"/>
      <c r="DL657" s="295">
        <f>SUM(DL655:DL656)</f>
        <v>1245.921427318508</v>
      </c>
      <c r="DM657" s="295">
        <f>SUM(DM655:DM656)</f>
        <v>1500.3583909451954</v>
      </c>
      <c r="DN657" s="295">
        <f>SUM(DN655:DN656)</f>
        <v>2746.2798182637034</v>
      </c>
      <c r="DO657" s="853"/>
      <c r="DP657" s="295">
        <f>SUM(DP655:DP656)</f>
        <v>1391.8803528260469</v>
      </c>
      <c r="DQ657" s="295">
        <f>SUM(DQ655:DQ656)</f>
        <v>1667.8099282861435</v>
      </c>
      <c r="DR657" s="295">
        <f>SUM(DR655:DR656)</f>
        <v>3059.6902811121904</v>
      </c>
      <c r="DS657" s="853"/>
      <c r="DT657" s="853"/>
      <c r="DU657" s="967"/>
      <c r="DV657" s="967"/>
      <c r="DW657" s="967"/>
      <c r="DX657" s="853"/>
      <c r="DY657" s="853"/>
      <c r="DZ657" s="967"/>
      <c r="EA657" s="967"/>
      <c r="EB657" s="853"/>
      <c r="EC657" s="853"/>
      <c r="ED657" s="967"/>
      <c r="EE657" s="967"/>
      <c r="EF657" s="853"/>
      <c r="EG657" s="853"/>
      <c r="EH657" s="853"/>
      <c r="EI657" s="853"/>
      <c r="EJ657" s="853"/>
      <c r="EK657" s="853"/>
      <c r="EL657" s="853"/>
      <c r="EM657" s="853"/>
      <c r="EN657" s="853"/>
      <c r="EO657" s="853"/>
      <c r="EP657" s="853"/>
      <c r="JM657"/>
    </row>
    <row r="658" spans="1:273" s="855" customFormat="1">
      <c r="A658" s="102" t="s">
        <v>723</v>
      </c>
      <c r="B658" s="290"/>
      <c r="C658" s="289"/>
      <c r="D658" s="289"/>
      <c r="E658" s="289"/>
      <c r="F658" s="289"/>
      <c r="G658" s="289"/>
      <c r="H658" s="289"/>
      <c r="I658" s="289"/>
      <c r="J658" s="289"/>
      <c r="K658" s="289"/>
      <c r="L658" s="289"/>
      <c r="M658" s="289"/>
      <c r="N658" s="289"/>
      <c r="O658" s="289"/>
      <c r="P658" s="289"/>
      <c r="Q658" s="289"/>
      <c r="R658" s="289"/>
      <c r="S658" s="289"/>
      <c r="T658" s="289"/>
      <c r="U658" s="289"/>
      <c r="V658" s="289"/>
      <c r="W658" s="289"/>
      <c r="X658" s="289"/>
      <c r="Y658" s="289"/>
      <c r="Z658" s="289"/>
      <c r="AA658" s="289"/>
      <c r="AB658" s="289"/>
      <c r="AC658" s="289"/>
      <c r="AD658" s="289"/>
      <c r="AE658" s="289"/>
      <c r="AF658" s="289"/>
      <c r="AG658" s="289"/>
      <c r="AH658" s="289"/>
      <c r="AI658" s="289"/>
      <c r="AJ658" s="289"/>
      <c r="AK658" s="289"/>
      <c r="AL658" s="289"/>
      <c r="AM658" s="289"/>
      <c r="AN658" s="290"/>
      <c r="AO658" s="290"/>
      <c r="AP658" s="290"/>
      <c r="AQ658" s="290"/>
      <c r="AR658" s="293"/>
      <c r="AS658" s="293"/>
      <c r="AT658" s="293"/>
      <c r="AU658" s="290"/>
      <c r="AV658" s="293">
        <f>AV557</f>
        <v>71</v>
      </c>
      <c r="AW658" s="293">
        <f>AW557</f>
        <v>63</v>
      </c>
      <c r="AX658" s="293">
        <f>AX557</f>
        <v>134</v>
      </c>
      <c r="AZ658" s="293">
        <f>AZ557</f>
        <v>71</v>
      </c>
      <c r="BA658" s="293">
        <f>BA557</f>
        <v>172</v>
      </c>
      <c r="BB658" s="293">
        <f>BB557</f>
        <v>243</v>
      </c>
      <c r="BC658" s="853"/>
      <c r="BD658" s="293">
        <f>BD557</f>
        <v>183</v>
      </c>
      <c r="BE658" s="293">
        <f>BE557</f>
        <v>198</v>
      </c>
      <c r="BF658" s="293">
        <f>BF557</f>
        <v>381</v>
      </c>
      <c r="BG658" s="853"/>
      <c r="BH658" s="293">
        <f>BH557</f>
        <v>203</v>
      </c>
      <c r="BI658" s="293">
        <f>BI557</f>
        <v>212</v>
      </c>
      <c r="BJ658" s="293">
        <f>BJ557</f>
        <v>415</v>
      </c>
      <c r="BK658" s="295"/>
      <c r="BL658" s="293">
        <f>BL557</f>
        <v>255</v>
      </c>
      <c r="BM658" s="293">
        <f>BM557</f>
        <v>265</v>
      </c>
      <c r="BN658" s="293">
        <f>BN557</f>
        <v>520</v>
      </c>
      <c r="BO658" s="853"/>
      <c r="BP658" s="293">
        <f>BP557</f>
        <v>265</v>
      </c>
      <c r="BQ658" s="293">
        <f>BQ557</f>
        <v>296</v>
      </c>
      <c r="BR658" s="293">
        <f>BR557</f>
        <v>561</v>
      </c>
      <c r="BS658" s="853"/>
      <c r="BT658" s="293">
        <f>BT557</f>
        <v>397</v>
      </c>
      <c r="BU658" s="293">
        <f>BU557</f>
        <v>483</v>
      </c>
      <c r="BV658" s="293">
        <f>BV557</f>
        <v>880</v>
      </c>
      <c r="BW658" s="853"/>
      <c r="BX658" s="293">
        <f>BX557</f>
        <v>476</v>
      </c>
      <c r="BY658" s="293">
        <f>BY557</f>
        <v>445</v>
      </c>
      <c r="BZ658" s="293">
        <f>BZ557</f>
        <v>921</v>
      </c>
      <c r="CA658" s="853"/>
      <c r="CB658" s="293">
        <f>CB557</f>
        <v>469</v>
      </c>
      <c r="CC658" s="293">
        <f>CC557</f>
        <v>466</v>
      </c>
      <c r="CD658" s="293">
        <f>CD557</f>
        <v>935</v>
      </c>
      <c r="CE658" s="862"/>
      <c r="CF658" s="293">
        <f>CF557</f>
        <v>461</v>
      </c>
      <c r="CG658" s="293">
        <f>CG557</f>
        <v>489</v>
      </c>
      <c r="CH658" s="293">
        <f>CH557</f>
        <v>950</v>
      </c>
      <c r="CI658" s="862"/>
      <c r="CJ658" s="293">
        <f>CJ557</f>
        <v>461</v>
      </c>
      <c r="CK658" s="293">
        <f>CK557</f>
        <v>284</v>
      </c>
      <c r="CL658" s="293">
        <f>CL557</f>
        <v>745</v>
      </c>
      <c r="CM658" s="862"/>
      <c r="CN658" s="293">
        <f>CN557</f>
        <v>245</v>
      </c>
      <c r="CO658" s="293">
        <f>CO557</f>
        <v>221</v>
      </c>
      <c r="CP658" s="293">
        <f>CP557</f>
        <v>466</v>
      </c>
      <c r="CQ658" s="862"/>
      <c r="CR658" s="293">
        <f>CR557</f>
        <v>186</v>
      </c>
      <c r="CS658" s="293">
        <f>CS557</f>
        <v>216</v>
      </c>
      <c r="CT658" s="293">
        <f>CT557</f>
        <v>402</v>
      </c>
      <c r="CU658" s="853"/>
      <c r="CV658" s="293">
        <f>CV557</f>
        <v>174</v>
      </c>
      <c r="CW658" s="293">
        <f>CW557</f>
        <v>203</v>
      </c>
      <c r="CX658" s="293">
        <f>CX557</f>
        <v>377</v>
      </c>
      <c r="CY658" s="853"/>
      <c r="CZ658" s="293">
        <f>CZ557</f>
        <v>213</v>
      </c>
      <c r="DA658" s="293">
        <f>DA557</f>
        <v>218</v>
      </c>
      <c r="DB658" s="293">
        <f>DB557</f>
        <v>431</v>
      </c>
      <c r="DC658" s="853"/>
      <c r="DD658" s="293">
        <f>DD557</f>
        <v>211</v>
      </c>
      <c r="DE658" s="293">
        <f>DE557</f>
        <v>207</v>
      </c>
      <c r="DF658" s="293">
        <f>DF557</f>
        <v>418</v>
      </c>
      <c r="DG658" s="853"/>
      <c r="DH658" s="293">
        <f>DH557</f>
        <v>216</v>
      </c>
      <c r="DI658" s="293">
        <f>DI557</f>
        <v>240.11999999999998</v>
      </c>
      <c r="DJ658" s="293">
        <f>DJ557</f>
        <v>456.12</v>
      </c>
      <c r="DK658" s="853"/>
      <c r="DL658" s="293">
        <f>DL557</f>
        <v>252.71999999999997</v>
      </c>
      <c r="DM658" s="293">
        <f>DM557</f>
        <v>268.93439999999998</v>
      </c>
      <c r="DN658" s="293">
        <f>DN557</f>
        <v>521.6543999999999</v>
      </c>
      <c r="DO658" s="853"/>
      <c r="DP658" s="293">
        <f>DP557</f>
        <v>283.04640000000001</v>
      </c>
      <c r="DQ658" s="293">
        <f>DQ557</f>
        <v>301.20652799999999</v>
      </c>
      <c r="DR658" s="293">
        <f>DR557</f>
        <v>584.252928</v>
      </c>
      <c r="DS658" s="853"/>
      <c r="DT658" s="853"/>
      <c r="DU658" s="967"/>
      <c r="DV658" s="967"/>
      <c r="DW658" s="967"/>
      <c r="DX658" s="853"/>
      <c r="DY658" s="853"/>
      <c r="DZ658" s="967"/>
      <c r="EA658" s="967"/>
      <c r="EB658" s="853"/>
      <c r="EC658" s="853"/>
      <c r="ED658" s="967"/>
      <c r="EE658" s="967"/>
      <c r="EF658" s="853"/>
      <c r="EG658" s="853"/>
      <c r="EH658" s="853"/>
      <c r="EI658" s="853"/>
      <c r="EJ658" s="853"/>
      <c r="EK658" s="853"/>
      <c r="EL658" s="853"/>
      <c r="EM658" s="853"/>
      <c r="EN658" s="853"/>
      <c r="EO658" s="853"/>
      <c r="EP658" s="853"/>
      <c r="JM658"/>
    </row>
    <row r="659" spans="1:273" s="855" customFormat="1">
      <c r="A659" s="289" t="s">
        <v>724</v>
      </c>
      <c r="B659" s="290"/>
      <c r="C659" s="289"/>
      <c r="D659" s="289"/>
      <c r="E659" s="289"/>
      <c r="F659" s="289"/>
      <c r="G659" s="289"/>
      <c r="H659" s="289"/>
      <c r="I659" s="289"/>
      <c r="J659" s="289"/>
      <c r="K659" s="289"/>
      <c r="L659" s="289"/>
      <c r="M659" s="289"/>
      <c r="N659" s="289"/>
      <c r="O659" s="289"/>
      <c r="P659" s="289"/>
      <c r="Q659" s="289"/>
      <c r="R659" s="289"/>
      <c r="S659" s="289"/>
      <c r="T659" s="289"/>
      <c r="U659" s="289"/>
      <c r="V659" s="289"/>
      <c r="W659" s="289"/>
      <c r="X659" s="289"/>
      <c r="Y659" s="289"/>
      <c r="Z659" s="289"/>
      <c r="AA659" s="289"/>
      <c r="AB659" s="289"/>
      <c r="AC659" s="289"/>
      <c r="AD659" s="289"/>
      <c r="AE659" s="289"/>
      <c r="AF659" s="289"/>
      <c r="AG659" s="289"/>
      <c r="AH659" s="289"/>
      <c r="AI659" s="289"/>
      <c r="AJ659" s="289"/>
      <c r="AK659" s="289"/>
      <c r="AL659" s="289"/>
      <c r="AM659" s="289"/>
      <c r="AN659" s="290"/>
      <c r="AO659" s="290"/>
      <c r="AP659" s="290"/>
      <c r="AQ659" s="290"/>
      <c r="AR659" s="295"/>
      <c r="AS659" s="295"/>
      <c r="AT659" s="295"/>
      <c r="AU659" s="290"/>
      <c r="AV659" s="295">
        <f>+AV657-AV658</f>
        <v>341</v>
      </c>
      <c r="AW659" s="295">
        <f>+AW657-AW658</f>
        <v>350</v>
      </c>
      <c r="AX659" s="295">
        <f>+AX657-AX658</f>
        <v>656</v>
      </c>
      <c r="AZ659" s="295">
        <f>+AZ657-AZ658</f>
        <v>314</v>
      </c>
      <c r="BA659" s="295">
        <f>+BA657-BA658</f>
        <v>410</v>
      </c>
      <c r="BB659" s="295">
        <f>+BB657-BB658</f>
        <v>724</v>
      </c>
      <c r="BC659" s="853"/>
      <c r="BD659" s="295">
        <f>+BD657-BD658</f>
        <v>262</v>
      </c>
      <c r="BE659" s="295">
        <f>+BE657-BE658</f>
        <v>610</v>
      </c>
      <c r="BF659" s="295">
        <f>+BF657-BF658</f>
        <v>872</v>
      </c>
      <c r="BG659" s="853"/>
      <c r="BH659" s="295">
        <f>+BH657-BH658</f>
        <v>17</v>
      </c>
      <c r="BI659" s="295">
        <f>+BI657-BI658</f>
        <v>317</v>
      </c>
      <c r="BJ659" s="295">
        <f>+BJ657-BJ658</f>
        <v>334</v>
      </c>
      <c r="BK659" s="295"/>
      <c r="BL659" s="295">
        <f>+BL657-BL658</f>
        <v>141</v>
      </c>
      <c r="BM659" s="295">
        <f>+BM657-BM658</f>
        <v>412</v>
      </c>
      <c r="BN659" s="295">
        <f>+BN657-BN658</f>
        <v>553</v>
      </c>
      <c r="BO659" s="853"/>
      <c r="BP659" s="295">
        <f>+BP657-BP658</f>
        <v>563</v>
      </c>
      <c r="BQ659" s="295">
        <f>+BQ657-BQ658</f>
        <v>242</v>
      </c>
      <c r="BR659" s="295">
        <f>+BR657-BR658</f>
        <v>805</v>
      </c>
      <c r="BS659" s="853"/>
      <c r="BT659" s="295">
        <f>+BT657-BT658</f>
        <v>546</v>
      </c>
      <c r="BU659" s="295">
        <f>+BU657-BU658</f>
        <v>234</v>
      </c>
      <c r="BV659" s="295">
        <f>+BV657-BV658</f>
        <v>780</v>
      </c>
      <c r="BW659" s="853"/>
      <c r="BX659" s="295">
        <f>+BX657-BX658</f>
        <v>843</v>
      </c>
      <c r="BY659" s="295">
        <f>+BY657-BY658</f>
        <v>539</v>
      </c>
      <c r="BZ659" s="295">
        <f>+BZ657-BZ658</f>
        <v>1382</v>
      </c>
      <c r="CA659" s="853"/>
      <c r="CB659" s="295">
        <f>+CB657-CB658</f>
        <v>902</v>
      </c>
      <c r="CC659" s="295">
        <f>+CC657-CC658</f>
        <v>824</v>
      </c>
      <c r="CD659" s="295">
        <f>+CD657-CD658</f>
        <v>1726</v>
      </c>
      <c r="CE659" s="862"/>
      <c r="CF659" s="295">
        <f>+CF657-CF658</f>
        <v>754</v>
      </c>
      <c r="CG659" s="295">
        <f>+CG657-CG658</f>
        <v>1888</v>
      </c>
      <c r="CH659" s="295">
        <f>+CH657-CH658</f>
        <v>2642</v>
      </c>
      <c r="CI659" s="862"/>
      <c r="CJ659" s="295">
        <f>+CJ657-CJ658</f>
        <v>1163</v>
      </c>
      <c r="CK659" s="295">
        <f>+CK657-CK658</f>
        <v>586</v>
      </c>
      <c r="CL659" s="295">
        <f>+CL657-CL658</f>
        <v>1749</v>
      </c>
      <c r="CM659" s="862"/>
      <c r="CN659" s="295">
        <f>+CN657-CN658</f>
        <v>608</v>
      </c>
      <c r="CO659" s="295">
        <f>+CO657-CO658</f>
        <v>1510</v>
      </c>
      <c r="CP659" s="295">
        <f>+CP657-CP658</f>
        <v>2118</v>
      </c>
      <c r="CQ659" s="862"/>
      <c r="CR659" s="295">
        <f>+CR657-CR658</f>
        <v>1069</v>
      </c>
      <c r="CS659" s="295">
        <f>+CS657-CS658</f>
        <v>2265</v>
      </c>
      <c r="CT659" s="295">
        <f>+CT657-CT658</f>
        <v>3334</v>
      </c>
      <c r="CU659" s="853"/>
      <c r="CV659" s="295">
        <f>+CV657-CV658</f>
        <v>1523</v>
      </c>
      <c r="CW659" s="295">
        <f>+CW657-CW658</f>
        <v>1026</v>
      </c>
      <c r="CX659" s="295">
        <f>+CX657-CX658</f>
        <v>2549</v>
      </c>
      <c r="CY659" s="853"/>
      <c r="CZ659" s="295">
        <f>+CZ657-CZ658</f>
        <v>670</v>
      </c>
      <c r="DA659" s="295">
        <f>+DA657-DA658</f>
        <v>1311</v>
      </c>
      <c r="DB659" s="295">
        <f>+DB657-DB658</f>
        <v>1980</v>
      </c>
      <c r="DC659" s="853"/>
      <c r="DD659" s="295">
        <f>+DD657-DD658</f>
        <v>978</v>
      </c>
      <c r="DE659" s="295">
        <f ca="1">+DE657-DE658</f>
        <v>815</v>
      </c>
      <c r="DF659" s="295">
        <f ca="1">+DF657-DF658</f>
        <v>1793</v>
      </c>
      <c r="DG659" s="853"/>
      <c r="DH659" s="295">
        <f>+DH657-DH658</f>
        <v>869</v>
      </c>
      <c r="DI659" s="295">
        <f>+DI657-DI658</f>
        <v>1548.145635180334</v>
      </c>
      <c r="DJ659" s="295">
        <f>+DJ657-DJ658</f>
        <v>2417.145635180334</v>
      </c>
      <c r="DK659" s="853"/>
      <c r="DL659" s="295">
        <f>+DL657-DL658</f>
        <v>993.20142731850797</v>
      </c>
      <c r="DM659" s="295">
        <f>+DM657-DM658</f>
        <v>1231.4239909451953</v>
      </c>
      <c r="DN659" s="295">
        <f>+DN657-DN658</f>
        <v>2224.6254182637035</v>
      </c>
      <c r="DO659" s="853"/>
      <c r="DP659" s="295">
        <f>+DP657-DP658</f>
        <v>1108.8339528260469</v>
      </c>
      <c r="DQ659" s="295">
        <f>+DQ657-DQ658</f>
        <v>1366.6034002861436</v>
      </c>
      <c r="DR659" s="295">
        <f>+DR657-DR658</f>
        <v>2475.4373531121905</v>
      </c>
      <c r="DS659" s="853"/>
      <c r="DT659" s="853"/>
      <c r="DU659" s="967"/>
      <c r="DV659" s="967"/>
      <c r="DW659" s="967"/>
      <c r="DX659" s="853"/>
      <c r="DY659" s="853"/>
      <c r="DZ659" s="967"/>
      <c r="EA659" s="967"/>
      <c r="EB659" s="853"/>
      <c r="EC659" s="853"/>
      <c r="ED659" s="967"/>
      <c r="EE659" s="967"/>
      <c r="EF659" s="853"/>
      <c r="EG659" s="853"/>
      <c r="EH659" s="853"/>
      <c r="EI659" s="853"/>
      <c r="EJ659" s="853"/>
      <c r="EK659" s="853"/>
      <c r="EL659" s="853"/>
      <c r="EM659" s="853"/>
      <c r="EN659" s="853"/>
      <c r="EO659" s="853"/>
      <c r="EP659" s="853"/>
      <c r="JM659"/>
    </row>
    <row r="660" spans="1:273" s="1589" customFormat="1">
      <c r="A660" s="1589" t="s">
        <v>580</v>
      </c>
      <c r="B660" s="1590"/>
      <c r="AN660" s="1590"/>
      <c r="AO660" s="1590"/>
      <c r="AP660" s="1590"/>
      <c r="AQ660" s="1590"/>
      <c r="AR660" s="1591"/>
      <c r="AS660" s="1591"/>
      <c r="AT660" s="1592"/>
      <c r="AU660" s="1592"/>
      <c r="AV660" s="1591"/>
      <c r="AW660" s="1591"/>
      <c r="AX660" s="1592"/>
      <c r="AY660" s="1592"/>
      <c r="AZ660" s="1591"/>
      <c r="BA660" s="1593"/>
      <c r="BB660" s="1590"/>
      <c r="BC660" s="1590"/>
      <c r="BD660" s="1594"/>
      <c r="BE660" s="1595"/>
      <c r="BF660" s="1594"/>
      <c r="BG660" s="1590"/>
      <c r="BH660" s="1591"/>
      <c r="BI660" s="1593"/>
      <c r="BJ660" s="1590"/>
      <c r="BK660" s="1590"/>
      <c r="BL660" s="1593"/>
      <c r="BM660" s="1593"/>
      <c r="BN660" s="1590"/>
      <c r="BO660" s="1590"/>
      <c r="BP660" s="1593"/>
      <c r="BQ660" s="1593"/>
      <c r="BR660" s="1590"/>
      <c r="BS660" s="1590"/>
      <c r="BT660" s="1593"/>
      <c r="BU660" s="1593"/>
      <c r="BV660" s="1590"/>
      <c r="BW660" s="1590"/>
      <c r="BX660" s="1596">
        <f>+BX659-SUMMARY!AD46</f>
        <v>0</v>
      </c>
      <c r="BY660" s="1596">
        <f>+BY659-SUMMARY!AE46</f>
        <v>0</v>
      </c>
      <c r="BZ660" s="1596">
        <f>+BZ659-SUMMARY!AF46</f>
        <v>0</v>
      </c>
      <c r="CA660" s="1590"/>
      <c r="CB660" s="1596">
        <f>+CB659-SUMMARY!AH46</f>
        <v>0</v>
      </c>
      <c r="CC660" s="1596">
        <f>+CC659-SUMMARY!AI46</f>
        <v>0</v>
      </c>
      <c r="CD660" s="1596">
        <f>+CD659-SUMMARY!AJ46</f>
        <v>0</v>
      </c>
      <c r="CE660" s="1590"/>
      <c r="CF660" s="1596">
        <f>+CF659-SUMMARY!AL46</f>
        <v>0</v>
      </c>
      <c r="CG660" s="1596">
        <f>+CG659-SUMMARY!AM46</f>
        <v>0</v>
      </c>
      <c r="CH660" s="1596">
        <f>+CH659-SUMMARY!AN46</f>
        <v>0</v>
      </c>
      <c r="CI660" s="1590"/>
      <c r="CJ660" s="1596">
        <f>+CJ659-SUMMARY!AP46</f>
        <v>0</v>
      </c>
      <c r="CK660" s="1596">
        <f>+CK659-SUMMARY!AQ46</f>
        <v>0</v>
      </c>
      <c r="CL660" s="1596">
        <f>+CL659-SUMMARY!AR46</f>
        <v>0</v>
      </c>
      <c r="CM660" s="1590"/>
      <c r="CN660" s="1596">
        <f>+CN659-SUMMARY!AT46</f>
        <v>0</v>
      </c>
      <c r="CO660" s="1596">
        <f>+CO659-SUMMARY!AU46</f>
        <v>0</v>
      </c>
      <c r="CP660" s="1596">
        <f>+CP659-SUMMARY!AV46</f>
        <v>0</v>
      </c>
      <c r="CQ660" s="1590"/>
      <c r="CR660" s="1596">
        <f>+CR659-SUMMARY!AX46</f>
        <v>0</v>
      </c>
      <c r="CS660" s="1596">
        <f>+CS659-SUMMARY!AY46</f>
        <v>0</v>
      </c>
      <c r="CT660" s="1596">
        <f>+CT659-SUMMARY!AZ46</f>
        <v>0</v>
      </c>
      <c r="CU660" s="1590"/>
      <c r="CV660" s="1596">
        <f>+CV659-SUMMARY!BB46</f>
        <v>0</v>
      </c>
      <c r="CW660" s="1596">
        <f>+CW659-SUMMARY!BC46</f>
        <v>0</v>
      </c>
      <c r="CX660" s="1596">
        <f>+CX659-SUMMARY!BD46</f>
        <v>0</v>
      </c>
      <c r="CY660" s="1590"/>
      <c r="CZ660" s="1596">
        <f>+CZ659-SUMMARY!BF46</f>
        <v>0</v>
      </c>
      <c r="DA660" s="1596">
        <f>+DA659-SUMMARY!BG46</f>
        <v>0</v>
      </c>
      <c r="DB660" s="1596">
        <f>+DB659-SUMMARY!BH46</f>
        <v>-1</v>
      </c>
      <c r="DC660" s="1590"/>
      <c r="DD660" s="1596">
        <f>+DD659-SUMMARY!BJ46</f>
        <v>0</v>
      </c>
      <c r="DE660" s="1596">
        <f ca="1">+DE659-SUMMARY!BK46</f>
        <v>0</v>
      </c>
      <c r="DF660" s="1596">
        <f ca="1">+DF659-SUMMARY!BL46</f>
        <v>0</v>
      </c>
      <c r="DG660" s="1590"/>
      <c r="DH660" s="1596">
        <f>+DH659-SUMMARY!BN46</f>
        <v>0</v>
      </c>
      <c r="DI660" s="1596">
        <f>+DI659-SUMMARY!BO46</f>
        <v>0</v>
      </c>
      <c r="DJ660" s="1596">
        <f>+DJ659-SUMMARY!BP46</f>
        <v>0</v>
      </c>
      <c r="DK660" s="1590"/>
      <c r="DL660" s="1596">
        <f>+DL659-SUMMARY!BR46</f>
        <v>0</v>
      </c>
      <c r="DM660" s="1596">
        <f>+DM659-SUMMARY!BS46</f>
        <v>0</v>
      </c>
      <c r="DN660" s="1596">
        <f>+DN659-SUMMARY!BT46</f>
        <v>0</v>
      </c>
      <c r="DO660" s="1590"/>
      <c r="DP660" s="1596">
        <f>+DP659-SUMMARY!BV46</f>
        <v>0</v>
      </c>
      <c r="DQ660" s="1596">
        <f>+DQ659-SUMMARY!BW46</f>
        <v>0</v>
      </c>
      <c r="DR660" s="1596">
        <f>+DR659-SUMMARY!BX46</f>
        <v>0</v>
      </c>
      <c r="DS660" s="1590"/>
      <c r="DT660" s="1590"/>
      <c r="DU660" s="1593"/>
      <c r="DV660" s="1593"/>
      <c r="DW660" s="1593"/>
      <c r="DX660" s="1590"/>
      <c r="DY660" s="1590"/>
      <c r="DZ660" s="1593"/>
      <c r="EA660" s="1593"/>
      <c r="EB660" s="1590"/>
      <c r="EC660" s="1590"/>
      <c r="ED660" s="1593"/>
      <c r="EE660" s="1593"/>
      <c r="EF660" s="1590"/>
      <c r="EG660" s="1590"/>
      <c r="EH660" s="1590"/>
      <c r="EI660" s="1590"/>
      <c r="EJ660" s="1590"/>
      <c r="EK660" s="1590"/>
      <c r="EL660" s="1590"/>
      <c r="EM660" s="1590"/>
      <c r="EN660" s="1590"/>
      <c r="EO660" s="1590"/>
      <c r="EP660" s="1590"/>
      <c r="JM660"/>
    </row>
    <row r="661" spans="1:273" s="855" customFormat="1">
      <c r="A661" s="289"/>
      <c r="B661" s="290"/>
      <c r="C661" s="289"/>
      <c r="D661" s="289"/>
      <c r="E661" s="289"/>
      <c r="F661" s="289"/>
      <c r="G661" s="289"/>
      <c r="H661" s="289"/>
      <c r="I661" s="289"/>
      <c r="J661" s="289"/>
      <c r="K661" s="289"/>
      <c r="L661" s="289"/>
      <c r="M661" s="289"/>
      <c r="N661" s="289"/>
      <c r="O661" s="289"/>
      <c r="P661" s="289"/>
      <c r="Q661" s="289"/>
      <c r="R661" s="289"/>
      <c r="S661" s="289"/>
      <c r="T661" s="289"/>
      <c r="U661" s="289"/>
      <c r="V661" s="289"/>
      <c r="W661" s="289"/>
      <c r="X661" s="289"/>
      <c r="Y661" s="289"/>
      <c r="Z661" s="289"/>
      <c r="AA661" s="289"/>
      <c r="AB661" s="289"/>
      <c r="AC661" s="289"/>
      <c r="AD661" s="289"/>
      <c r="AE661" s="289"/>
      <c r="AF661" s="289"/>
      <c r="AG661" s="289"/>
      <c r="AH661" s="289"/>
      <c r="AI661" s="289"/>
      <c r="AJ661" s="289"/>
      <c r="AK661" s="289"/>
      <c r="AL661" s="289"/>
      <c r="AM661" s="289"/>
      <c r="AN661" s="290"/>
      <c r="AO661" s="290"/>
      <c r="AP661" s="290"/>
      <c r="AQ661" s="290"/>
      <c r="AR661" s="295"/>
      <c r="AS661" s="295"/>
      <c r="AT661" s="295"/>
      <c r="AU661" s="290"/>
      <c r="AV661" s="295"/>
      <c r="AW661" s="295"/>
      <c r="AX661" s="295"/>
      <c r="AZ661" s="295"/>
      <c r="BA661" s="295"/>
      <c r="BB661" s="295"/>
      <c r="BC661" s="853"/>
      <c r="BD661" s="295"/>
      <c r="BE661" s="295"/>
      <c r="BF661" s="295"/>
      <c r="BG661" s="853"/>
      <c r="BH661" s="295"/>
      <c r="BI661" s="295"/>
      <c r="BJ661" s="295"/>
      <c r="BK661" s="295"/>
      <c r="BL661" s="295"/>
      <c r="BM661" s="295"/>
      <c r="BN661" s="295"/>
      <c r="BO661" s="853"/>
      <c r="BP661" s="295"/>
      <c r="BQ661" s="295"/>
      <c r="BR661" s="295"/>
      <c r="BS661" s="853"/>
      <c r="BT661" s="295"/>
      <c r="BU661" s="295"/>
      <c r="BV661" s="295"/>
      <c r="BW661" s="853"/>
      <c r="BX661" s="295"/>
      <c r="BY661" s="295"/>
      <c r="BZ661" s="295"/>
      <c r="CA661" s="853"/>
      <c r="CB661" s="295"/>
      <c r="CC661" s="295"/>
      <c r="CD661" s="295"/>
      <c r="CE661" s="862"/>
      <c r="CF661" s="295"/>
      <c r="CG661" s="295"/>
      <c r="CH661" s="295"/>
      <c r="CI661" s="862"/>
      <c r="CJ661" s="295"/>
      <c r="CK661" s="295"/>
      <c r="CL661" s="295"/>
      <c r="CM661" s="862"/>
      <c r="CN661" s="295"/>
      <c r="CO661" s="295"/>
      <c r="CP661" s="295"/>
      <c r="CQ661" s="862"/>
      <c r="CR661" s="295"/>
      <c r="CS661" s="295"/>
      <c r="CT661" s="295"/>
      <c r="CU661" s="853"/>
      <c r="CV661" s="295"/>
      <c r="CW661" s="295"/>
      <c r="CX661" s="295"/>
      <c r="CY661" s="853"/>
      <c r="CZ661" s="295"/>
      <c r="DA661" s="295"/>
      <c r="DB661" s="295"/>
      <c r="DC661" s="853"/>
      <c r="DD661" s="295"/>
      <c r="DE661" s="295"/>
      <c r="DF661" s="295"/>
      <c r="DG661" s="853"/>
      <c r="DH661" s="295"/>
      <c r="DI661" s="295"/>
      <c r="DJ661" s="295"/>
      <c r="DK661" s="853"/>
      <c r="DL661" s="295"/>
      <c r="DM661" s="295"/>
      <c r="DN661" s="295"/>
      <c r="DO661" s="853"/>
      <c r="DP661" s="295"/>
      <c r="DQ661" s="295"/>
      <c r="DR661" s="295"/>
      <c r="DS661" s="853"/>
      <c r="DT661" s="853"/>
      <c r="DU661" s="967"/>
      <c r="DV661" s="967"/>
      <c r="DW661" s="967"/>
      <c r="DX661" s="853"/>
      <c r="DY661" s="853"/>
      <c r="DZ661" s="967"/>
      <c r="EA661" s="967"/>
      <c r="EB661" s="853"/>
      <c r="EC661" s="853"/>
      <c r="ED661" s="967"/>
      <c r="EE661" s="967"/>
      <c r="EF661" s="853"/>
      <c r="EG661" s="853"/>
      <c r="EH661" s="853"/>
      <c r="EI661" s="853"/>
      <c r="EJ661" s="853"/>
      <c r="EK661" s="853"/>
      <c r="EL661" s="853"/>
      <c r="EM661" s="853"/>
      <c r="EN661" s="853"/>
      <c r="EO661" s="853"/>
      <c r="EP661" s="853"/>
      <c r="JM661"/>
    </row>
    <row r="662" spans="1:273" s="855" customFormat="1">
      <c r="A662" s="102" t="s">
        <v>900</v>
      </c>
      <c r="B662" s="290"/>
      <c r="C662" s="289"/>
      <c r="D662" s="289"/>
      <c r="E662" s="289"/>
      <c r="F662" s="289"/>
      <c r="G662" s="289"/>
      <c r="H662" s="289"/>
      <c r="I662" s="289"/>
      <c r="J662" s="289"/>
      <c r="K662" s="289"/>
      <c r="L662" s="289"/>
      <c r="M662" s="289"/>
      <c r="N662" s="289"/>
      <c r="O662" s="289"/>
      <c r="P662" s="289"/>
      <c r="Q662" s="289"/>
      <c r="R662" s="289"/>
      <c r="S662" s="289"/>
      <c r="T662" s="289"/>
      <c r="U662" s="289"/>
      <c r="V662" s="289"/>
      <c r="W662" s="289"/>
      <c r="X662" s="289"/>
      <c r="Y662" s="289"/>
      <c r="Z662" s="289"/>
      <c r="AA662" s="289"/>
      <c r="AB662" s="289"/>
      <c r="AC662" s="289"/>
      <c r="AD662" s="289"/>
      <c r="AE662" s="289"/>
      <c r="AF662" s="289"/>
      <c r="AG662" s="289"/>
      <c r="AH662" s="289"/>
      <c r="AI662" s="289"/>
      <c r="AJ662" s="289"/>
      <c r="AK662" s="289"/>
      <c r="AL662" s="289"/>
      <c r="AM662" s="289"/>
      <c r="AN662" s="290"/>
      <c r="AO662" s="290"/>
      <c r="AP662" s="290"/>
      <c r="AQ662" s="290"/>
      <c r="AR662" s="293"/>
      <c r="AS662" s="293"/>
      <c r="AT662" s="293"/>
      <c r="AU662" s="290"/>
      <c r="AV662" s="293">
        <f>AV20</f>
        <v>3105</v>
      </c>
      <c r="AW662" s="293">
        <f>AW20</f>
        <v>3533</v>
      </c>
      <c r="AX662" s="293">
        <f>AX20</f>
        <v>6638</v>
      </c>
      <c r="AZ662" s="293">
        <f>AZ20</f>
        <v>3661</v>
      </c>
      <c r="BA662" s="293">
        <f>BA20</f>
        <v>3983</v>
      </c>
      <c r="BB662" s="293">
        <f>BB20</f>
        <v>7644</v>
      </c>
      <c r="BC662" s="853"/>
      <c r="BD662" s="293">
        <f>BD20</f>
        <v>3242.663</v>
      </c>
      <c r="BE662" s="293">
        <f>BE20</f>
        <v>3720</v>
      </c>
      <c r="BF662" s="293">
        <f>BF20</f>
        <v>6962.6630000000005</v>
      </c>
      <c r="BG662" s="324">
        <f>+BF662/BB662-1</f>
        <v>-8.9133568812140185E-2</v>
      </c>
      <c r="BH662" s="293">
        <f>BH20</f>
        <v>3054</v>
      </c>
      <c r="BI662" s="293">
        <f>BI20</f>
        <v>3603</v>
      </c>
      <c r="BJ662" s="293">
        <f>BJ20</f>
        <v>6657</v>
      </c>
      <c r="BK662" s="324">
        <f>+BJ662/BF662-1</f>
        <v>-4.3900300790085667E-2</v>
      </c>
      <c r="BL662" s="293">
        <f>BL20</f>
        <v>3679</v>
      </c>
      <c r="BM662" s="293">
        <f>BM20</f>
        <v>4455</v>
      </c>
      <c r="BN662" s="293">
        <f>BN20</f>
        <v>8134</v>
      </c>
      <c r="BO662" s="324">
        <f>+BN662/BJ662-1</f>
        <v>0.22187171398527861</v>
      </c>
      <c r="BP662" s="293">
        <f>BP20</f>
        <v>4284</v>
      </c>
      <c r="BQ662" s="293">
        <f>BQ20</f>
        <v>4978</v>
      </c>
      <c r="BR662" s="293">
        <f>BR20</f>
        <v>9262</v>
      </c>
      <c r="BS662" s="324">
        <f>+BR662/BN662-1</f>
        <v>0.13867715761003185</v>
      </c>
      <c r="BT662" s="293">
        <f>BT20</f>
        <v>5318</v>
      </c>
      <c r="BU662" s="293">
        <f>BU20</f>
        <v>4840</v>
      </c>
      <c r="BV662" s="293">
        <f>BV20</f>
        <v>10158</v>
      </c>
      <c r="BW662" s="324">
        <f>+BV662/BR662-1</f>
        <v>9.6739365147916256E-2</v>
      </c>
      <c r="BX662" s="293">
        <f>BX20</f>
        <v>5218</v>
      </c>
      <c r="BY662" s="293">
        <f>BY20</f>
        <v>5146</v>
      </c>
      <c r="BZ662" s="293">
        <f>BZ20</f>
        <v>10364</v>
      </c>
      <c r="CA662" s="324">
        <f>+BZ662/BV662-1</f>
        <v>2.0279582594999068E-2</v>
      </c>
      <c r="CB662" s="293">
        <f>CB20</f>
        <v>5397</v>
      </c>
      <c r="CC662" s="293">
        <f>CC20</f>
        <v>5523</v>
      </c>
      <c r="CD662" s="293">
        <f>CD20</f>
        <v>10920</v>
      </c>
      <c r="CE662" s="324">
        <f>+CD662/BZ662-1</f>
        <v>5.3647240447703526E-2</v>
      </c>
      <c r="CF662" s="293">
        <f>CF20</f>
        <v>5830</v>
      </c>
      <c r="CG662" s="293">
        <f>CG20</f>
        <v>6924</v>
      </c>
      <c r="CH662" s="293">
        <f>CH20</f>
        <v>12754</v>
      </c>
      <c r="CI662" s="324">
        <f>+CH662/CD662-1</f>
        <v>0.16794871794871802</v>
      </c>
      <c r="CJ662" s="293">
        <f>CJ20</f>
        <v>6320</v>
      </c>
      <c r="CK662" s="293">
        <f>CK20</f>
        <v>6005</v>
      </c>
      <c r="CL662" s="293">
        <f>CL20</f>
        <v>12325</v>
      </c>
      <c r="CM662" s="324">
        <f>+CL662/CH662-1</f>
        <v>-3.3636506194135163E-2</v>
      </c>
      <c r="CN662" s="293">
        <f>CN20</f>
        <v>5519</v>
      </c>
      <c r="CO662" s="293">
        <f>CO20</f>
        <v>7255</v>
      </c>
      <c r="CP662" s="293">
        <f>CP20</f>
        <v>12774</v>
      </c>
      <c r="CQ662" s="324">
        <f>+CP662/CL662-1</f>
        <v>3.6430020283975573E-2</v>
      </c>
      <c r="CR662" s="293">
        <f>CR20</f>
        <v>7804</v>
      </c>
      <c r="CS662" s="293">
        <f>CS20</f>
        <v>9520</v>
      </c>
      <c r="CT662" s="293">
        <f>CT20</f>
        <v>17324</v>
      </c>
      <c r="CU662" s="324">
        <f>+CT662/CP662-1</f>
        <v>0.35619226553937677</v>
      </c>
      <c r="CV662" s="293">
        <f>CV20</f>
        <v>8702</v>
      </c>
      <c r="CW662" s="293">
        <f>CW20</f>
        <v>10420</v>
      </c>
      <c r="CX662" s="293">
        <f>CX20</f>
        <v>19122</v>
      </c>
      <c r="CY662" s="324"/>
      <c r="CZ662" s="293">
        <f>CZ20</f>
        <v>7910</v>
      </c>
      <c r="DA662" s="293">
        <f>DA20</f>
        <v>8977</v>
      </c>
      <c r="DB662" s="293">
        <f>DB20</f>
        <v>16887</v>
      </c>
      <c r="DC662" s="324"/>
      <c r="DD662" s="293">
        <f>DD20</f>
        <v>8216</v>
      </c>
      <c r="DE662" s="293">
        <f ca="1">DE20</f>
        <v>8992</v>
      </c>
      <c r="DF662" s="293">
        <f ca="1">DF20</f>
        <v>17208</v>
      </c>
      <c r="DG662" s="324"/>
      <c r="DH662" s="293">
        <f>DH20</f>
        <v>8691</v>
      </c>
      <c r="DI662" s="293">
        <f>DI20</f>
        <v>9966.2236998674798</v>
      </c>
      <c r="DJ662" s="293">
        <f>DJ20</f>
        <v>18657.223699867478</v>
      </c>
      <c r="DK662" s="324"/>
      <c r="DL662" s="293">
        <f>DL20</f>
        <v>8910.2531271361349</v>
      </c>
      <c r="DM662" s="293">
        <f>DM20</f>
        <v>10013.843070651159</v>
      </c>
      <c r="DN662" s="293">
        <f>DN20</f>
        <v>18924.096197787294</v>
      </c>
      <c r="DO662" s="324"/>
      <c r="DP662" s="293">
        <f>DP20</f>
        <v>9412.3249414995025</v>
      </c>
      <c r="DQ662" s="293">
        <f>DQ20</f>
        <v>10551.243662518247</v>
      </c>
      <c r="DR662" s="293">
        <f>DR20</f>
        <v>19963.56860401775</v>
      </c>
      <c r="DS662" s="324"/>
      <c r="DT662" s="853"/>
      <c r="DU662" s="967"/>
      <c r="DV662" s="967"/>
      <c r="DW662" s="967"/>
      <c r="DX662" s="853"/>
      <c r="DY662" s="853"/>
      <c r="DZ662" s="967"/>
      <c r="EA662" s="967"/>
      <c r="EB662" s="853"/>
      <c r="EC662" s="853"/>
      <c r="ED662" s="967"/>
      <c r="EE662" s="967"/>
      <c r="EF662" s="853"/>
      <c r="EG662" s="853"/>
      <c r="EH662" s="853"/>
      <c r="EI662" s="853"/>
      <c r="EJ662" s="853"/>
      <c r="EK662" s="853"/>
      <c r="EL662" s="853"/>
      <c r="EM662" s="853"/>
      <c r="EN662" s="853"/>
      <c r="EO662" s="853"/>
      <c r="EP662" s="853"/>
      <c r="JM662"/>
    </row>
    <row r="663" spans="1:273" s="855" customFormat="1">
      <c r="A663" s="102" t="str">
        <f>A659</f>
        <v>"Lumpy" Items</v>
      </c>
      <c r="B663" s="290"/>
      <c r="C663" s="289"/>
      <c r="D663" s="289"/>
      <c r="E663" s="289"/>
      <c r="F663" s="289"/>
      <c r="G663" s="289"/>
      <c r="H663" s="289"/>
      <c r="I663" s="289"/>
      <c r="J663" s="289"/>
      <c r="K663" s="289"/>
      <c r="L663" s="289"/>
      <c r="M663" s="289"/>
      <c r="N663" s="289"/>
      <c r="O663" s="289"/>
      <c r="P663" s="289"/>
      <c r="Q663" s="289"/>
      <c r="R663" s="289"/>
      <c r="S663" s="289"/>
      <c r="T663" s="289"/>
      <c r="U663" s="289"/>
      <c r="V663" s="289"/>
      <c r="W663" s="289"/>
      <c r="X663" s="289"/>
      <c r="Y663" s="289"/>
      <c r="Z663" s="289"/>
      <c r="AA663" s="289"/>
      <c r="AB663" s="289"/>
      <c r="AC663" s="289"/>
      <c r="AD663" s="289"/>
      <c r="AE663" s="289"/>
      <c r="AF663" s="289"/>
      <c r="AG663" s="289"/>
      <c r="AH663" s="289"/>
      <c r="AI663" s="289"/>
      <c r="AJ663" s="289"/>
      <c r="AK663" s="289"/>
      <c r="AL663" s="289"/>
      <c r="AM663" s="289"/>
      <c r="AN663" s="290"/>
      <c r="AO663" s="290"/>
      <c r="AP663" s="290"/>
      <c r="AQ663" s="290"/>
      <c r="AR663" s="293"/>
      <c r="AS663" s="293"/>
      <c r="AT663" s="293"/>
      <c r="AU663" s="290"/>
      <c r="AV663" s="293">
        <f>AV659</f>
        <v>341</v>
      </c>
      <c r="AW663" s="293">
        <f>AW659</f>
        <v>350</v>
      </c>
      <c r="AX663" s="293">
        <f>AX659</f>
        <v>656</v>
      </c>
      <c r="AZ663" s="293">
        <f>AZ659</f>
        <v>314</v>
      </c>
      <c r="BA663" s="293">
        <f>BA659</f>
        <v>410</v>
      </c>
      <c r="BB663" s="293">
        <f>BB659</f>
        <v>724</v>
      </c>
      <c r="BC663" s="853"/>
      <c r="BD663" s="293">
        <f>BD659</f>
        <v>262</v>
      </c>
      <c r="BE663" s="293">
        <f>BE659</f>
        <v>610</v>
      </c>
      <c r="BF663" s="293">
        <f>BF659</f>
        <v>872</v>
      </c>
      <c r="BG663" s="295"/>
      <c r="BH663" s="293">
        <f>BH659</f>
        <v>17</v>
      </c>
      <c r="BI663" s="293">
        <f>BI659</f>
        <v>317</v>
      </c>
      <c r="BJ663" s="293">
        <f>BJ659</f>
        <v>334</v>
      </c>
      <c r="BK663" s="295"/>
      <c r="BL663" s="293">
        <f>BL659</f>
        <v>141</v>
      </c>
      <c r="BM663" s="293">
        <f>BM659</f>
        <v>412</v>
      </c>
      <c r="BN663" s="293">
        <f>BN659</f>
        <v>553</v>
      </c>
      <c r="BO663" s="295"/>
      <c r="BP663" s="293">
        <f>BP659</f>
        <v>563</v>
      </c>
      <c r="BQ663" s="293">
        <f>BQ659</f>
        <v>242</v>
      </c>
      <c r="BR663" s="293">
        <f>BR659</f>
        <v>805</v>
      </c>
      <c r="BS663" s="295"/>
      <c r="BT663" s="293">
        <f>BT659</f>
        <v>546</v>
      </c>
      <c r="BU663" s="293">
        <f>BU659</f>
        <v>234</v>
      </c>
      <c r="BV663" s="293">
        <f>BV659</f>
        <v>780</v>
      </c>
      <c r="BW663" s="295"/>
      <c r="BX663" s="293">
        <f>BX659</f>
        <v>843</v>
      </c>
      <c r="BY663" s="293">
        <f>BY659</f>
        <v>539</v>
      </c>
      <c r="BZ663" s="293">
        <f>BZ659</f>
        <v>1382</v>
      </c>
      <c r="CA663" s="295"/>
      <c r="CB663" s="293">
        <f>CB659</f>
        <v>902</v>
      </c>
      <c r="CC663" s="293">
        <f>CC659</f>
        <v>824</v>
      </c>
      <c r="CD663" s="293">
        <f>CD659</f>
        <v>1726</v>
      </c>
      <c r="CE663" s="791"/>
      <c r="CF663" s="293">
        <f>CF659</f>
        <v>754</v>
      </c>
      <c r="CG663" s="293">
        <f>CG659</f>
        <v>1888</v>
      </c>
      <c r="CH663" s="293">
        <f>CH659</f>
        <v>2642</v>
      </c>
      <c r="CI663" s="791"/>
      <c r="CJ663" s="293">
        <f>CJ659</f>
        <v>1163</v>
      </c>
      <c r="CK663" s="293">
        <f>CK659</f>
        <v>586</v>
      </c>
      <c r="CL663" s="293">
        <f>CL659</f>
        <v>1749</v>
      </c>
      <c r="CM663" s="791"/>
      <c r="CN663" s="293">
        <f>CN659</f>
        <v>608</v>
      </c>
      <c r="CO663" s="293">
        <f>CO659</f>
        <v>1510</v>
      </c>
      <c r="CP663" s="293">
        <f>CP659</f>
        <v>2118</v>
      </c>
      <c r="CQ663" s="791"/>
      <c r="CR663" s="293">
        <f>CR659</f>
        <v>1069</v>
      </c>
      <c r="CS663" s="293">
        <f>CS659</f>
        <v>2265</v>
      </c>
      <c r="CT663" s="293">
        <f>CT659</f>
        <v>3334</v>
      </c>
      <c r="CU663" s="295"/>
      <c r="CV663" s="293">
        <f>CV659</f>
        <v>1523</v>
      </c>
      <c r="CW663" s="293">
        <f>CW659</f>
        <v>1026</v>
      </c>
      <c r="CX663" s="293">
        <f>CX659</f>
        <v>2549</v>
      </c>
      <c r="CY663" s="295"/>
      <c r="CZ663" s="293">
        <f>CZ659</f>
        <v>670</v>
      </c>
      <c r="DA663" s="293">
        <f>DA659</f>
        <v>1311</v>
      </c>
      <c r="DB663" s="293">
        <f>DB659</f>
        <v>1980</v>
      </c>
      <c r="DC663" s="295"/>
      <c r="DD663" s="293">
        <f>DD659</f>
        <v>978</v>
      </c>
      <c r="DE663" s="293">
        <f ca="1">DE659</f>
        <v>815</v>
      </c>
      <c r="DF663" s="293">
        <f ca="1">DF659</f>
        <v>1793</v>
      </c>
      <c r="DG663" s="295"/>
      <c r="DH663" s="293">
        <f>DH659</f>
        <v>869</v>
      </c>
      <c r="DI663" s="293">
        <f>DI659</f>
        <v>1548.145635180334</v>
      </c>
      <c r="DJ663" s="293">
        <f>DJ659</f>
        <v>2417.145635180334</v>
      </c>
      <c r="DK663" s="295"/>
      <c r="DL663" s="293">
        <f>DL659</f>
        <v>993.20142731850797</v>
      </c>
      <c r="DM663" s="293">
        <f>DM659</f>
        <v>1231.4239909451953</v>
      </c>
      <c r="DN663" s="293">
        <f>DN659</f>
        <v>2224.6254182637035</v>
      </c>
      <c r="DO663" s="295"/>
      <c r="DP663" s="293">
        <f>DP659</f>
        <v>1108.8339528260469</v>
      </c>
      <c r="DQ663" s="293">
        <f>DQ659</f>
        <v>1366.6034002861436</v>
      </c>
      <c r="DR663" s="293">
        <f>DR659</f>
        <v>2475.4373531121905</v>
      </c>
      <c r="DS663" s="295"/>
      <c r="DT663" s="853"/>
      <c r="DU663" s="967"/>
      <c r="DV663" s="967"/>
      <c r="DW663" s="967"/>
      <c r="DX663" s="853"/>
      <c r="DY663" s="853"/>
      <c r="DZ663" s="967"/>
      <c r="EA663" s="967"/>
      <c r="EB663" s="853"/>
      <c r="EC663" s="853"/>
      <c r="ED663" s="967"/>
      <c r="EE663" s="967"/>
      <c r="EF663" s="853"/>
      <c r="EG663" s="853"/>
      <c r="EH663" s="853"/>
      <c r="EI663" s="853"/>
      <c r="EJ663" s="853"/>
      <c r="EK663" s="853"/>
      <c r="EL663" s="853"/>
      <c r="EM663" s="853"/>
      <c r="EN663" s="853"/>
      <c r="EO663" s="853"/>
      <c r="EP663" s="853"/>
      <c r="JM663"/>
    </row>
    <row r="664" spans="1:273" s="855" customFormat="1">
      <c r="A664" s="289" t="s">
        <v>909</v>
      </c>
      <c r="B664" s="290"/>
      <c r="C664" s="289"/>
      <c r="D664" s="289"/>
      <c r="E664" s="289"/>
      <c r="F664" s="289"/>
      <c r="G664" s="289"/>
      <c r="H664" s="289"/>
      <c r="I664" s="289"/>
      <c r="J664" s="289"/>
      <c r="K664" s="289"/>
      <c r="L664" s="289"/>
      <c r="M664" s="289"/>
      <c r="N664" s="289"/>
      <c r="O664" s="289"/>
      <c r="P664" s="289"/>
      <c r="Q664" s="289"/>
      <c r="R664" s="289"/>
      <c r="S664" s="289"/>
      <c r="T664" s="289"/>
      <c r="U664" s="289"/>
      <c r="V664" s="289"/>
      <c r="W664" s="289"/>
      <c r="X664" s="289"/>
      <c r="Y664" s="289"/>
      <c r="Z664" s="289"/>
      <c r="AA664" s="289"/>
      <c r="AB664" s="289"/>
      <c r="AC664" s="289"/>
      <c r="AD664" s="289"/>
      <c r="AE664" s="289"/>
      <c r="AF664" s="289"/>
      <c r="AG664" s="289"/>
      <c r="AH664" s="289"/>
      <c r="AI664" s="289"/>
      <c r="AJ664" s="289"/>
      <c r="AK664" s="289"/>
      <c r="AL664" s="289"/>
      <c r="AM664" s="289"/>
      <c r="AN664" s="290"/>
      <c r="AO664" s="290"/>
      <c r="AP664" s="290"/>
      <c r="AQ664" s="290"/>
      <c r="AR664" s="295"/>
      <c r="AS664" s="295"/>
      <c r="AT664" s="295"/>
      <c r="AU664" s="290"/>
      <c r="AV664" s="295">
        <f>+AV662-AV663</f>
        <v>2764</v>
      </c>
      <c r="AW664" s="295">
        <f>+AW662-AW663</f>
        <v>3183</v>
      </c>
      <c r="AX664" s="295">
        <f>+AX662-AX663</f>
        <v>5982</v>
      </c>
      <c r="AZ664" s="295">
        <f>+AZ662-AZ663</f>
        <v>3347</v>
      </c>
      <c r="BA664" s="295">
        <f>+BA662-BA663</f>
        <v>3573</v>
      </c>
      <c r="BB664" s="295">
        <f>+BB662-BB663</f>
        <v>6920</v>
      </c>
      <c r="BC664" s="853"/>
      <c r="BD664" s="295">
        <f>+BD662-BD663</f>
        <v>2980.663</v>
      </c>
      <c r="BE664" s="295">
        <f>+BE662-BE663</f>
        <v>3110</v>
      </c>
      <c r="BF664" s="295">
        <f>+BF662-BF663</f>
        <v>6090.6630000000005</v>
      </c>
      <c r="BG664" s="324">
        <f>+BF664/BB664-1</f>
        <v>-0.11984638728323693</v>
      </c>
      <c r="BH664" s="295">
        <f>+BH662-BH663</f>
        <v>3037</v>
      </c>
      <c r="BI664" s="295">
        <f>+BI662-BI663</f>
        <v>3286</v>
      </c>
      <c r="BJ664" s="295">
        <f>+BJ662-BJ663</f>
        <v>6323</v>
      </c>
      <c r="BK664" s="324">
        <f>+BJ664/BF664-1</f>
        <v>3.8146421826326549E-2</v>
      </c>
      <c r="BL664" s="295">
        <f>+BL662-BL663</f>
        <v>3538</v>
      </c>
      <c r="BM664" s="295">
        <f>+BM662-BM663</f>
        <v>4043</v>
      </c>
      <c r="BN664" s="295">
        <f>+BN662-BN663</f>
        <v>7581</v>
      </c>
      <c r="BO664" s="324">
        <f>+BN664/BJ664-1</f>
        <v>0.19895619168116396</v>
      </c>
      <c r="BP664" s="295">
        <f>+BP662-BP663</f>
        <v>3721</v>
      </c>
      <c r="BQ664" s="295">
        <f>+BQ662-BQ663</f>
        <v>4736</v>
      </c>
      <c r="BR664" s="295">
        <f>+BR662-BR663</f>
        <v>8457</v>
      </c>
      <c r="BS664" s="324">
        <f>+BR664/BN664-1</f>
        <v>0.11555203798971103</v>
      </c>
      <c r="BT664" s="295">
        <f>+BT662-BT663</f>
        <v>4772</v>
      </c>
      <c r="BU664" s="295">
        <f>+BU662-BU663</f>
        <v>4606</v>
      </c>
      <c r="BV664" s="295">
        <f>+BV662-BV663</f>
        <v>9378</v>
      </c>
      <c r="BW664" s="324">
        <f>+BV664/BR664-1</f>
        <v>0.10890386661936846</v>
      </c>
      <c r="BX664" s="295">
        <f>+BX662-BX663</f>
        <v>4375</v>
      </c>
      <c r="BY664" s="295">
        <f>+BY662-BY663</f>
        <v>4607</v>
      </c>
      <c r="BZ664" s="295">
        <f>+BZ662-BZ663</f>
        <v>8982</v>
      </c>
      <c r="CA664" s="324">
        <f>+BZ664/BV664-1</f>
        <v>-4.2226487523992273E-2</v>
      </c>
      <c r="CB664" s="295">
        <f>+CB662-CB663</f>
        <v>4495</v>
      </c>
      <c r="CC664" s="295">
        <f>+CC662-CC663</f>
        <v>4699</v>
      </c>
      <c r="CD664" s="295">
        <f>+CD662-CD663</f>
        <v>9194</v>
      </c>
      <c r="CE664" s="324">
        <f>+CD664/BZ664-1</f>
        <v>2.3602761077710976E-2</v>
      </c>
      <c r="CF664" s="295">
        <f>+CF662-CF663</f>
        <v>5076</v>
      </c>
      <c r="CG664" s="295">
        <f>+CG662-CG663</f>
        <v>5036</v>
      </c>
      <c r="CH664" s="295">
        <f>+CH662-CH663</f>
        <v>10112</v>
      </c>
      <c r="CI664" s="324">
        <f>+CH664/CD664-1</f>
        <v>9.9847726778333756E-2</v>
      </c>
      <c r="CJ664" s="295">
        <f>+CJ662-CJ663</f>
        <v>5157</v>
      </c>
      <c r="CK664" s="295">
        <f>+CK662-CK663</f>
        <v>5419</v>
      </c>
      <c r="CL664" s="295">
        <f>+CL662-CL663</f>
        <v>10576</v>
      </c>
      <c r="CM664" s="324">
        <f>+CL664/CH664-1</f>
        <v>4.5886075949367111E-2</v>
      </c>
      <c r="CN664" s="295">
        <f>+CN662-CN663</f>
        <v>4911</v>
      </c>
      <c r="CO664" s="295">
        <f>+CO662-CO663</f>
        <v>5745</v>
      </c>
      <c r="CP664" s="295">
        <f>+CP662-CP663</f>
        <v>10656</v>
      </c>
      <c r="CQ664" s="324">
        <f>+CP664/CL664-1</f>
        <v>7.5642965204236745E-3</v>
      </c>
      <c r="CR664" s="295">
        <f>+CR662-CR663</f>
        <v>6735</v>
      </c>
      <c r="CS664" s="295">
        <f>+CS662-CS663</f>
        <v>7255</v>
      </c>
      <c r="CT664" s="295">
        <f>+CT662-CT663</f>
        <v>13990</v>
      </c>
      <c r="CU664" s="324">
        <f>+CT664/CP664-1</f>
        <v>0.31287537537537546</v>
      </c>
      <c r="CV664" s="295">
        <f>+CV662-CV663</f>
        <v>7179</v>
      </c>
      <c r="CW664" s="295">
        <f>+CW662-CW663</f>
        <v>9394</v>
      </c>
      <c r="CX664" s="295">
        <f>+CX662-CX663</f>
        <v>16573</v>
      </c>
      <c r="CY664" s="324"/>
      <c r="CZ664" s="295">
        <f>+CZ662-CZ663</f>
        <v>7240</v>
      </c>
      <c r="DA664" s="295">
        <f>+DA662-DA663</f>
        <v>7666</v>
      </c>
      <c r="DB664" s="295">
        <f>+DB662-DB663</f>
        <v>14907</v>
      </c>
      <c r="DC664" s="324"/>
      <c r="DD664" s="295">
        <f>+DD662-DD663</f>
        <v>7238</v>
      </c>
      <c r="DE664" s="295">
        <f ca="1">+DE662-DE663</f>
        <v>8177</v>
      </c>
      <c r="DF664" s="295">
        <f ca="1">+DF662-DF663</f>
        <v>15415</v>
      </c>
      <c r="DG664" s="324"/>
      <c r="DH664" s="295">
        <f>+DH662-DH663</f>
        <v>7822</v>
      </c>
      <c r="DI664" s="295">
        <f>+DI662-DI663</f>
        <v>8418.0780646871463</v>
      </c>
      <c r="DJ664" s="295">
        <f>+DJ662-DJ663</f>
        <v>16240.078064687144</v>
      </c>
      <c r="DK664" s="324"/>
      <c r="DL664" s="295">
        <f>+DL662-DL663</f>
        <v>7917.0516998176272</v>
      </c>
      <c r="DM664" s="295">
        <f>+DM662-DM663</f>
        <v>8782.4190797059637</v>
      </c>
      <c r="DN664" s="295">
        <f>+DN662-DN663</f>
        <v>16699.470779523592</v>
      </c>
      <c r="DO664" s="324"/>
      <c r="DP664" s="295">
        <f>+DP662-DP663</f>
        <v>8303.4909886734549</v>
      </c>
      <c r="DQ664" s="295">
        <f>+DQ662-DQ663</f>
        <v>9184.6402622321039</v>
      </c>
      <c r="DR664" s="295">
        <f>+DR662-DR663</f>
        <v>17488.131250905561</v>
      </c>
      <c r="DS664" s="324"/>
      <c r="DT664" s="853"/>
      <c r="DU664" s="967"/>
      <c r="DV664" s="967"/>
      <c r="DW664" s="967"/>
      <c r="DX664" s="853"/>
      <c r="DY664" s="853"/>
      <c r="DZ664" s="967"/>
      <c r="EA664" s="967"/>
      <c r="EB664" s="853"/>
      <c r="EC664" s="853"/>
      <c r="ED664" s="967"/>
      <c r="EE664" s="967"/>
      <c r="EF664" s="853"/>
      <c r="EG664" s="853"/>
      <c r="EH664" s="853"/>
      <c r="EI664" s="853"/>
      <c r="EJ664" s="853"/>
      <c r="EK664" s="853"/>
      <c r="EL664" s="853"/>
      <c r="EM664" s="853"/>
      <c r="EN664" s="853"/>
      <c r="EO664" s="853"/>
      <c r="EP664" s="853"/>
      <c r="JM664"/>
    </row>
    <row r="665" spans="1:273" s="855" customFormat="1">
      <c r="A665" s="289"/>
      <c r="B665" s="290"/>
      <c r="C665" s="289"/>
      <c r="D665" s="289"/>
      <c r="E665" s="289"/>
      <c r="F665" s="289"/>
      <c r="G665" s="289"/>
      <c r="H665" s="289"/>
      <c r="I665" s="289"/>
      <c r="J665" s="289"/>
      <c r="K665" s="289"/>
      <c r="L665" s="289"/>
      <c r="M665" s="289"/>
      <c r="N665" s="289"/>
      <c r="O665" s="289"/>
      <c r="P665" s="289"/>
      <c r="Q665" s="289"/>
      <c r="R665" s="289"/>
      <c r="S665" s="289"/>
      <c r="T665" s="289"/>
      <c r="U665" s="289"/>
      <c r="V665" s="289"/>
      <c r="W665" s="289"/>
      <c r="X665" s="289"/>
      <c r="Y665" s="289"/>
      <c r="Z665" s="289"/>
      <c r="AA665" s="289"/>
      <c r="AB665" s="289"/>
      <c r="AC665" s="289"/>
      <c r="AD665" s="289"/>
      <c r="AE665" s="289"/>
      <c r="AF665" s="289"/>
      <c r="AG665" s="289"/>
      <c r="AH665" s="289"/>
      <c r="AI665" s="289"/>
      <c r="AJ665" s="289"/>
      <c r="AK665" s="289"/>
      <c r="AL665" s="289"/>
      <c r="AM665" s="289"/>
      <c r="AN665" s="290"/>
      <c r="AO665" s="290"/>
      <c r="AP665" s="290"/>
      <c r="AQ665" s="290"/>
      <c r="AR665" s="290"/>
      <c r="AS665" s="290"/>
      <c r="AT665" s="290"/>
      <c r="AU665" s="290"/>
      <c r="BB665" s="853"/>
      <c r="BC665" s="853"/>
      <c r="BD665" s="967"/>
      <c r="BE665" s="967"/>
      <c r="BF665" s="853"/>
      <c r="BG665" s="853"/>
      <c r="BH665" s="295"/>
      <c r="BI665" s="295"/>
      <c r="BJ665" s="295"/>
      <c r="BK665" s="295"/>
      <c r="BL665" s="295"/>
      <c r="BM665" s="295"/>
      <c r="BN665" s="295"/>
      <c r="BO665" s="853"/>
      <c r="BP665" s="295"/>
      <c r="BQ665" s="295"/>
      <c r="BR665" s="295"/>
      <c r="BS665" s="853"/>
      <c r="BT665" s="295"/>
      <c r="BU665" s="295"/>
      <c r="BV665" s="295"/>
      <c r="BW665" s="853"/>
      <c r="BX665" s="295"/>
      <c r="BY665" s="295"/>
      <c r="BZ665" s="295"/>
      <c r="CA665" s="853"/>
      <c r="CB665" s="967"/>
      <c r="CC665" s="967"/>
      <c r="CD665" s="853"/>
      <c r="CE665" s="862"/>
      <c r="CF665" s="967"/>
      <c r="CG665" s="967"/>
      <c r="CH665" s="853"/>
      <c r="CI665" s="862"/>
      <c r="CJ665" s="967"/>
      <c r="CK665" s="967"/>
      <c r="CL665" s="853"/>
      <c r="CM665" s="862"/>
      <c r="CN665" s="967"/>
      <c r="CO665" s="967"/>
      <c r="CP665" s="853"/>
      <c r="CQ665" s="862"/>
      <c r="CR665" s="967"/>
      <c r="CS665" s="967"/>
      <c r="CT665" s="853"/>
      <c r="CU665" s="853"/>
      <c r="CV665" s="967"/>
      <c r="CW665" s="967"/>
      <c r="CX665" s="853"/>
      <c r="CY665" s="853"/>
      <c r="CZ665" s="967"/>
      <c r="DA665" s="967"/>
      <c r="DB665" s="853"/>
      <c r="DC665" s="853"/>
      <c r="DD665" s="967"/>
      <c r="DE665" s="967"/>
      <c r="DF665" s="853"/>
      <c r="DG665" s="853"/>
      <c r="DH665" s="967"/>
      <c r="DI665" s="967"/>
      <c r="DJ665" s="853"/>
      <c r="DK665" s="853"/>
      <c r="DL665" s="967"/>
      <c r="DM665" s="967"/>
      <c r="DN665" s="853"/>
      <c r="DO665" s="853"/>
      <c r="DP665" s="967"/>
      <c r="DQ665" s="967"/>
      <c r="DR665" s="853"/>
      <c r="DS665" s="853"/>
      <c r="DT665" s="853"/>
      <c r="DU665" s="967"/>
      <c r="DV665" s="967"/>
      <c r="DW665" s="967"/>
      <c r="DX665" s="853"/>
      <c r="DY665" s="853"/>
      <c r="DZ665" s="967"/>
      <c r="EA665" s="967"/>
      <c r="EB665" s="853"/>
      <c r="EC665" s="853"/>
      <c r="ED665" s="967"/>
      <c r="EE665" s="967"/>
      <c r="EF665" s="853"/>
      <c r="EG665" s="853"/>
      <c r="EH665" s="853"/>
      <c r="EI665" s="853"/>
      <c r="EJ665" s="853"/>
      <c r="EK665" s="853"/>
      <c r="EL665" s="853"/>
      <c r="EM665" s="853"/>
      <c r="EN665" s="853"/>
      <c r="EO665" s="853"/>
      <c r="EP665" s="853"/>
      <c r="JM665"/>
    </row>
    <row r="666" spans="1:273" s="834" customFormat="1">
      <c r="A666" s="832" t="s">
        <v>567</v>
      </c>
      <c r="B666" s="833"/>
      <c r="AN666" s="833"/>
      <c r="AO666" s="833"/>
      <c r="AP666" s="833"/>
      <c r="AQ666" s="833"/>
      <c r="AR666" s="833"/>
      <c r="AS666" s="833"/>
      <c r="AT666" s="833"/>
      <c r="AU666" s="833"/>
      <c r="AV666" s="833"/>
      <c r="AW666" s="833"/>
      <c r="AX666" s="833"/>
      <c r="AY666" s="833"/>
      <c r="AZ666" s="833"/>
      <c r="BA666" s="833"/>
      <c r="BB666" s="833"/>
      <c r="BC666" s="833"/>
      <c r="BD666" s="833"/>
      <c r="BE666" s="833"/>
      <c r="BF666" s="833"/>
      <c r="BG666" s="833"/>
      <c r="BH666" s="833"/>
      <c r="BI666" s="833"/>
      <c r="BJ666" s="833"/>
      <c r="BK666" s="833"/>
      <c r="BL666" s="833"/>
      <c r="BM666" s="833"/>
      <c r="BN666" s="833"/>
      <c r="BO666" s="833"/>
      <c r="BP666" s="833"/>
      <c r="BQ666" s="833"/>
      <c r="BR666" s="833"/>
      <c r="BS666" s="833"/>
      <c r="BT666" s="833"/>
      <c r="BU666" s="833"/>
      <c r="BV666" s="833"/>
      <c r="BW666" s="833"/>
      <c r="BX666" s="833"/>
      <c r="BY666" s="833"/>
      <c r="BZ666" s="833"/>
      <c r="CA666" s="833"/>
      <c r="CB666" s="833"/>
      <c r="CC666" s="833"/>
      <c r="CD666" s="833"/>
      <c r="CE666" s="1607"/>
      <c r="CF666" s="833"/>
      <c r="CG666" s="833"/>
      <c r="CH666" s="833"/>
      <c r="CI666" s="1607"/>
      <c r="CJ666" s="833"/>
      <c r="CK666" s="833"/>
      <c r="CL666" s="833"/>
      <c r="CM666" s="1607"/>
      <c r="CN666" s="833"/>
      <c r="CO666" s="833"/>
      <c r="CP666" s="833"/>
      <c r="CQ666" s="1607"/>
      <c r="CR666" s="833"/>
      <c r="CS666" s="833"/>
      <c r="CT666" s="833"/>
      <c r="CU666" s="833"/>
      <c r="CV666" s="833"/>
      <c r="CW666" s="833"/>
      <c r="CX666" s="833"/>
      <c r="CY666" s="833"/>
      <c r="CZ666" s="833"/>
      <c r="DA666" s="833"/>
      <c r="DB666" s="833"/>
      <c r="DC666" s="833"/>
      <c r="DD666" s="833"/>
      <c r="DE666" s="833"/>
      <c r="DF666" s="833"/>
      <c r="DG666" s="833"/>
      <c r="DH666" s="833"/>
      <c r="DI666" s="833"/>
      <c r="DJ666" s="833"/>
      <c r="DK666" s="833"/>
      <c r="DL666" s="833"/>
      <c r="DM666" s="833"/>
      <c r="DN666" s="833"/>
      <c r="DO666" s="833"/>
      <c r="DP666" s="833"/>
      <c r="DQ666" s="833"/>
      <c r="DR666" s="833"/>
      <c r="DS666" s="833"/>
      <c r="DT666" s="833"/>
      <c r="DU666" s="833"/>
      <c r="DV666" s="833"/>
      <c r="DW666" s="833"/>
      <c r="DX666" s="833"/>
      <c r="DY666" s="833"/>
      <c r="DZ666" s="833"/>
      <c r="EA666" s="833"/>
      <c r="EB666" s="833"/>
      <c r="EC666" s="833"/>
      <c r="ED666" s="833"/>
      <c r="EE666" s="833"/>
      <c r="EF666" s="833"/>
      <c r="EG666" s="833"/>
      <c r="EH666" s="833"/>
      <c r="EI666" s="833"/>
      <c r="EJ666" s="833"/>
      <c r="EK666" s="833"/>
      <c r="EL666" s="833"/>
      <c r="EM666" s="833"/>
      <c r="EN666" s="833"/>
      <c r="EO666" s="833"/>
      <c r="EP666" s="833"/>
      <c r="FL666" s="102"/>
      <c r="FM666" s="102"/>
      <c r="FN666" s="102"/>
      <c r="FO666" s="102"/>
      <c r="FP666" s="102"/>
      <c r="FQ666" s="102"/>
      <c r="FR666" s="102"/>
      <c r="FS666" s="102"/>
      <c r="FT666" s="102"/>
      <c r="FU666" s="102"/>
      <c r="FV666" s="102"/>
      <c r="FW666" s="102"/>
      <c r="FX666" s="102"/>
      <c r="FY666" s="102"/>
      <c r="FZ666" s="102"/>
      <c r="GA666" s="102"/>
      <c r="GB666" s="102"/>
      <c r="GC666" s="102"/>
      <c r="GD666" s="102"/>
      <c r="GE666" s="102"/>
      <c r="GF666" s="102"/>
      <c r="GG666" s="102"/>
      <c r="GH666" s="102"/>
      <c r="GI666" s="102"/>
      <c r="GJ666" s="102"/>
      <c r="GK666" s="102"/>
      <c r="GL666" s="102"/>
      <c r="GM666" s="102"/>
      <c r="GN666" s="102"/>
      <c r="GO666" s="102"/>
      <c r="GP666" s="102"/>
      <c r="GQ666" s="102"/>
      <c r="GR666" s="102"/>
      <c r="GS666" s="102"/>
      <c r="GT666" s="102"/>
      <c r="GU666" s="102"/>
      <c r="GV666" s="102"/>
      <c r="GW666" s="102"/>
      <c r="GX666" s="102"/>
      <c r="GY666" s="102"/>
      <c r="GZ666" s="102"/>
      <c r="HA666" s="102"/>
      <c r="HB666" s="102"/>
      <c r="HC666" s="102"/>
      <c r="HD666" s="102"/>
      <c r="HE666" s="102"/>
      <c r="HF666" s="102"/>
      <c r="HG666" s="102"/>
      <c r="HH666" s="102"/>
      <c r="HI666" s="102"/>
      <c r="HJ666" s="102"/>
      <c r="HK666" s="102"/>
      <c r="HL666" s="102"/>
      <c r="HM666" s="102"/>
      <c r="HN666" s="102"/>
      <c r="HO666" s="102"/>
      <c r="HP666" s="102"/>
      <c r="HQ666" s="102"/>
      <c r="HR666" s="102"/>
      <c r="HS666" s="102"/>
      <c r="HT666" s="102"/>
      <c r="HU666" s="102"/>
      <c r="HV666" s="102"/>
      <c r="HW666" s="102"/>
      <c r="HX666" s="102"/>
      <c r="HY666" s="102"/>
      <c r="HZ666" s="102"/>
      <c r="IA666" s="102"/>
      <c r="IB666" s="102"/>
      <c r="IC666" s="102"/>
      <c r="ID666" s="102"/>
      <c r="IE666" s="102"/>
      <c r="IF666" s="102"/>
      <c r="IG666" s="102"/>
      <c r="IH666" s="102"/>
      <c r="II666" s="102"/>
      <c r="IJ666" s="102"/>
      <c r="IK666" s="102"/>
      <c r="IL666" s="102"/>
      <c r="IM666" s="102"/>
      <c r="IN666" s="102"/>
      <c r="IO666" s="102"/>
      <c r="IP666" s="102"/>
      <c r="IQ666" s="102"/>
      <c r="IR666" s="102"/>
      <c r="IS666" s="102"/>
      <c r="IT666" s="102"/>
      <c r="IU666" s="102"/>
      <c r="IV666" s="102"/>
      <c r="IW666" s="102"/>
      <c r="IX666" s="102"/>
      <c r="IY666" s="102"/>
      <c r="IZ666" s="102"/>
      <c r="JA666" s="102"/>
      <c r="JB666" s="102"/>
      <c r="JC666" s="102"/>
      <c r="JD666" s="102"/>
      <c r="JE666" s="102"/>
      <c r="JF666" s="102"/>
      <c r="JG666" s="102"/>
      <c r="JH666" s="102"/>
      <c r="JI666" s="102"/>
      <c r="JJ666" s="102"/>
      <c r="JK666" s="102"/>
      <c r="JL666" s="102"/>
      <c r="JM666"/>
    </row>
    <row r="668" spans="1:273" s="854" customFormat="1">
      <c r="A668" s="815" t="s">
        <v>567</v>
      </c>
      <c r="B668" s="103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290"/>
      <c r="AO668" s="290"/>
      <c r="AP668" s="290"/>
      <c r="AQ668" s="290"/>
      <c r="AR668" s="626"/>
      <c r="AS668" s="626"/>
      <c r="AT668" s="626"/>
      <c r="AU668" s="626"/>
      <c r="AV668" s="626"/>
      <c r="AW668" s="626"/>
      <c r="AX668" s="626"/>
      <c r="AY668" s="293"/>
      <c r="AZ668" s="626"/>
      <c r="BA668" s="850"/>
      <c r="BB668" s="853"/>
      <c r="BC668" s="853"/>
      <c r="BD668" s="850"/>
      <c r="BE668" s="850"/>
      <c r="BF668" s="853"/>
      <c r="BG668" s="853"/>
      <c r="BH668" s="850"/>
      <c r="BI668" s="850"/>
      <c r="BJ668" s="853"/>
      <c r="BK668" s="853"/>
      <c r="BL668" s="850"/>
      <c r="BM668" s="850"/>
      <c r="BN668" s="853"/>
      <c r="BO668" s="853"/>
      <c r="BP668" s="850"/>
      <c r="BQ668" s="850"/>
      <c r="BR668" s="853"/>
      <c r="BS668" s="853"/>
      <c r="BT668" s="850"/>
      <c r="BU668" s="850"/>
      <c r="BV668" s="853"/>
      <c r="BW668" s="853"/>
      <c r="BX668" s="850"/>
      <c r="BY668" s="850"/>
      <c r="BZ668" s="853"/>
      <c r="CA668" s="853"/>
      <c r="CB668" s="850"/>
      <c r="CC668" s="850"/>
      <c r="CD668" s="853"/>
      <c r="CE668" s="862"/>
      <c r="CF668" s="850"/>
      <c r="CG668" s="850"/>
      <c r="CH668" s="853"/>
      <c r="CI668" s="862"/>
      <c r="CJ668" s="850"/>
      <c r="CK668" s="850"/>
      <c r="CL668" s="853"/>
      <c r="CM668" s="862"/>
      <c r="CN668" s="850"/>
      <c r="CO668" s="850"/>
      <c r="CP668" s="853"/>
      <c r="CQ668" s="862"/>
      <c r="CR668" s="850"/>
      <c r="CS668" s="850"/>
      <c r="CT668" s="853"/>
      <c r="CU668" s="853"/>
      <c r="CV668" s="850"/>
      <c r="CW668" s="850"/>
      <c r="CX668" s="853"/>
      <c r="CY668" s="853"/>
      <c r="CZ668" s="850"/>
      <c r="DA668" s="850"/>
      <c r="DB668" s="853"/>
      <c r="DC668" s="853"/>
      <c r="DD668" s="850"/>
      <c r="DE668" s="850"/>
      <c r="DF668" s="853"/>
      <c r="DG668" s="853"/>
      <c r="DH668" s="850"/>
      <c r="DI668" s="850"/>
      <c r="DJ668" s="853"/>
      <c r="DK668" s="853"/>
      <c r="DL668" s="850"/>
      <c r="DM668" s="850"/>
      <c r="DN668" s="853"/>
      <c r="DO668" s="853"/>
      <c r="DP668" s="850"/>
      <c r="DQ668" s="850"/>
      <c r="DR668" s="853"/>
      <c r="DS668" s="853"/>
      <c r="DT668" s="853"/>
      <c r="DU668" s="850"/>
      <c r="DV668" s="850"/>
      <c r="DW668" s="850"/>
      <c r="DX668" s="853"/>
      <c r="DY668" s="853"/>
      <c r="DZ668" s="850"/>
      <c r="EA668" s="850"/>
      <c r="EB668" s="853"/>
      <c r="EC668" s="853"/>
      <c r="ED668" s="850"/>
      <c r="EE668" s="850"/>
      <c r="EF668" s="853"/>
      <c r="EG668" s="853"/>
      <c r="EH668" s="853"/>
      <c r="EI668" s="853"/>
      <c r="EJ668" s="853"/>
      <c r="EK668" s="853"/>
      <c r="EL668" s="853"/>
      <c r="EM668" s="853"/>
      <c r="EN668" s="853"/>
      <c r="EO668" s="853"/>
      <c r="EP668" s="853"/>
      <c r="EQ668" s="855"/>
      <c r="ER668" s="855"/>
      <c r="ES668" s="855"/>
      <c r="ET668" s="855"/>
      <c r="EU668" s="855"/>
      <c r="EV668" s="855"/>
      <c r="EW668" s="855"/>
      <c r="EX668" s="855"/>
      <c r="EY668" s="855"/>
      <c r="EZ668" s="855"/>
      <c r="FA668" s="855"/>
      <c r="FB668" s="855"/>
      <c r="FC668" s="855"/>
      <c r="FD668" s="855"/>
      <c r="FE668" s="855"/>
      <c r="FF668" s="855"/>
      <c r="FG668" s="855"/>
      <c r="FH668" s="855"/>
      <c r="FI668" s="855"/>
      <c r="FJ668" s="855"/>
      <c r="FK668" s="855"/>
      <c r="FL668" s="855"/>
      <c r="FM668" s="855"/>
      <c r="FN668" s="855"/>
      <c r="FO668" s="855"/>
      <c r="FP668" s="855"/>
      <c r="FQ668" s="855"/>
      <c r="FR668" s="855"/>
      <c r="FS668" s="855"/>
      <c r="FT668" s="855"/>
      <c r="FU668" s="855"/>
      <c r="FV668" s="855"/>
      <c r="FW668" s="855"/>
      <c r="FX668" s="855"/>
      <c r="FY668" s="855"/>
      <c r="FZ668" s="855"/>
      <c r="GA668" s="855"/>
      <c r="GB668" s="855"/>
      <c r="GC668" s="855"/>
      <c r="GD668" s="855"/>
      <c r="GE668" s="855"/>
      <c r="GF668" s="855"/>
      <c r="GG668" s="855"/>
      <c r="GH668" s="855"/>
      <c r="GI668" s="855"/>
      <c r="GJ668" s="855"/>
      <c r="GK668" s="855"/>
      <c r="GL668" s="855"/>
      <c r="GM668" s="855"/>
      <c r="GN668" s="855"/>
      <c r="GO668" s="855"/>
      <c r="GP668" s="855"/>
      <c r="GQ668" s="855"/>
      <c r="GR668" s="855"/>
      <c r="GS668" s="855"/>
      <c r="GT668" s="855"/>
      <c r="GU668" s="855"/>
      <c r="GV668" s="855"/>
      <c r="GW668" s="855"/>
      <c r="GX668" s="855"/>
      <c r="GY668" s="855"/>
      <c r="GZ668" s="855"/>
      <c r="HA668" s="855"/>
      <c r="HB668" s="855"/>
      <c r="HC668" s="855"/>
      <c r="HD668" s="855"/>
      <c r="HE668" s="855"/>
      <c r="HF668" s="855"/>
      <c r="HG668" s="855"/>
      <c r="HH668" s="855"/>
      <c r="HI668" s="855"/>
      <c r="HJ668" s="855"/>
      <c r="HK668" s="855"/>
      <c r="HL668" s="855"/>
      <c r="HM668" s="855"/>
      <c r="HN668" s="855"/>
      <c r="HO668" s="855"/>
      <c r="HP668" s="855"/>
      <c r="HQ668" s="855"/>
      <c r="HR668" s="855"/>
      <c r="HS668" s="855"/>
      <c r="HT668" s="855"/>
      <c r="HU668" s="855"/>
      <c r="HV668" s="855"/>
      <c r="HW668" s="855"/>
      <c r="HX668" s="855"/>
      <c r="HY668" s="855"/>
      <c r="HZ668" s="855"/>
      <c r="IA668" s="855"/>
      <c r="IB668" s="855"/>
      <c r="IC668" s="855"/>
      <c r="ID668" s="855"/>
      <c r="IE668" s="855"/>
      <c r="IF668" s="855"/>
      <c r="IG668" s="855"/>
      <c r="IH668" s="855"/>
      <c r="II668" s="855"/>
      <c r="IJ668" s="855"/>
      <c r="IK668" s="855"/>
      <c r="IL668" s="855"/>
      <c r="IM668" s="855"/>
      <c r="IN668" s="855"/>
      <c r="IO668" s="855"/>
      <c r="IP668" s="855"/>
      <c r="IQ668" s="855"/>
      <c r="IR668" s="855"/>
      <c r="IS668" s="855"/>
      <c r="IT668" s="855"/>
      <c r="IU668" s="855"/>
      <c r="IV668" s="855"/>
      <c r="IW668" s="855"/>
      <c r="IX668" s="855"/>
      <c r="IY668" s="855"/>
      <c r="IZ668" s="855"/>
      <c r="JA668" s="855"/>
      <c r="JB668" s="855"/>
      <c r="JC668" s="855"/>
      <c r="JD668" s="855"/>
      <c r="JE668" s="855"/>
      <c r="JF668" s="855"/>
      <c r="JG668" s="855"/>
      <c r="JH668" s="855"/>
      <c r="JI668" s="855"/>
      <c r="JJ668" s="855"/>
      <c r="JK668" s="855"/>
      <c r="JL668" s="855"/>
      <c r="JM668"/>
    </row>
    <row r="669" spans="1:273" s="858" customFormat="1">
      <c r="A669" s="302" t="s">
        <v>685</v>
      </c>
      <c r="B669" s="304"/>
      <c r="C669" s="302"/>
      <c r="D669" s="302"/>
      <c r="E669" s="302"/>
      <c r="F669" s="302"/>
      <c r="G669" s="302"/>
      <c r="H669" s="302"/>
      <c r="I669" s="302"/>
      <c r="J669" s="302"/>
      <c r="K669" s="302"/>
      <c r="L669" s="302"/>
      <c r="M669" s="302"/>
      <c r="N669" s="302"/>
      <c r="O669" s="302"/>
      <c r="P669" s="302"/>
      <c r="Q669" s="302"/>
      <c r="R669" s="302"/>
      <c r="S669" s="302"/>
      <c r="T669" s="302"/>
      <c r="U669" s="302"/>
      <c r="V669" s="302"/>
      <c r="W669" s="302"/>
      <c r="X669" s="302"/>
      <c r="Y669" s="302"/>
      <c r="Z669" s="302"/>
      <c r="AA669" s="302"/>
      <c r="AB669" s="302"/>
      <c r="AC669" s="302"/>
      <c r="AD669" s="302"/>
      <c r="AE669" s="302"/>
      <c r="AF669" s="302"/>
      <c r="AG669" s="302"/>
      <c r="AH669" s="302"/>
      <c r="AI669" s="302"/>
      <c r="AJ669" s="302"/>
      <c r="AK669" s="302"/>
      <c r="AL669" s="302"/>
      <c r="AM669" s="302"/>
      <c r="AN669" s="298"/>
      <c r="AO669" s="298"/>
      <c r="AP669" s="298"/>
      <c r="AQ669" s="298"/>
      <c r="AR669" s="303">
        <f>DIVISIONS!AR42</f>
        <v>0</v>
      </c>
      <c r="AS669" s="303">
        <f>DIVISIONS!AS42</f>
        <v>0</v>
      </c>
      <c r="AT669" s="627"/>
      <c r="AU669" s="627"/>
      <c r="AV669" s="303">
        <f>DIVISIONS!AV42</f>
        <v>0</v>
      </c>
      <c r="AW669" s="303">
        <f>DIVISIONS!AW42</f>
        <v>0</v>
      </c>
      <c r="AX669" s="627"/>
      <c r="AY669" s="303"/>
      <c r="AZ669" s="303">
        <f>DIVISIONS!AZ42</f>
        <v>0</v>
      </c>
      <c r="BA669" s="303">
        <f>DIVISIONS!BA42</f>
        <v>0</v>
      </c>
      <c r="BB669" s="857"/>
      <c r="BC669" s="857"/>
      <c r="BD669" s="303">
        <f>DIVISIONS!BD42</f>
        <v>0</v>
      </c>
      <c r="BE669" s="303">
        <f>DIVISIONS!BE42</f>
        <v>0</v>
      </c>
      <c r="BF669" s="857"/>
      <c r="BG669" s="859"/>
      <c r="BH669" s="303">
        <f>DIVISIONS!BH42</f>
        <v>0</v>
      </c>
      <c r="BI669" s="303">
        <f>DIVISIONS!BI42</f>
        <v>0</v>
      </c>
      <c r="BJ669" s="857"/>
      <c r="BK669" s="859"/>
      <c r="BL669" s="303">
        <f>DIVISIONS!BL42</f>
        <v>0</v>
      </c>
      <c r="BM669" s="303">
        <f>DIVISIONS!BM42</f>
        <v>0</v>
      </c>
      <c r="BN669" s="857"/>
      <c r="BO669" s="859"/>
      <c r="BP669" s="303">
        <f>DIVISIONS!BP42</f>
        <v>0</v>
      </c>
      <c r="BQ669" s="303">
        <f>DIVISIONS!BQ42</f>
        <v>0</v>
      </c>
      <c r="BR669" s="857"/>
      <c r="BS669" s="859"/>
      <c r="BT669" s="303">
        <f>DIVISIONS!BT42</f>
        <v>0</v>
      </c>
      <c r="BU669" s="303">
        <f>DIVISIONS!BU42</f>
        <v>0</v>
      </c>
      <c r="BV669" s="857"/>
      <c r="BW669" s="857"/>
      <c r="BX669" s="303">
        <f>DIVISIONS!BX42</f>
        <v>0</v>
      </c>
      <c r="BY669" s="303">
        <f>DIVISIONS!BY42</f>
        <v>0</v>
      </c>
      <c r="BZ669" s="857"/>
      <c r="CA669" s="857"/>
      <c r="CB669" s="303">
        <f>DIVISIONS!CB42</f>
        <v>0</v>
      </c>
      <c r="CC669" s="303">
        <f>DIVISIONS!CC42</f>
        <v>0</v>
      </c>
      <c r="CD669" s="857"/>
      <c r="CE669" s="931"/>
      <c r="CF669" s="303">
        <f>DIVISIONS!CF42</f>
        <v>0</v>
      </c>
      <c r="CG669" s="303">
        <f>DIVISIONS!CG42</f>
        <v>0</v>
      </c>
      <c r="CH669" s="857"/>
      <c r="CI669" s="931"/>
      <c r="CJ669" s="303">
        <f>DIVISIONS!CJ42</f>
        <v>0</v>
      </c>
      <c r="CK669" s="303">
        <f>DIVISIONS!CK42</f>
        <v>0</v>
      </c>
      <c r="CL669" s="857"/>
      <c r="CM669" s="931"/>
      <c r="CN669" s="303">
        <f>DIVISIONS!CN42</f>
        <v>0</v>
      </c>
      <c r="CO669" s="303">
        <f>DIVISIONS!CO42</f>
        <v>0</v>
      </c>
      <c r="CP669" s="857"/>
      <c r="CQ669" s="931"/>
      <c r="CR669" s="303">
        <f>DIVISIONS!CR42</f>
        <v>0</v>
      </c>
      <c r="CS669" s="303">
        <f>DIVISIONS!CS42</f>
        <v>0</v>
      </c>
      <c r="CT669" s="857"/>
      <c r="CU669" s="857"/>
      <c r="CV669" s="303">
        <f>DIVISIONS!CV42</f>
        <v>0</v>
      </c>
      <c r="CW669" s="303">
        <f>DIVISIONS!CW42</f>
        <v>0</v>
      </c>
      <c r="CX669" s="857"/>
      <c r="CY669" s="857"/>
      <c r="CZ669" s="303">
        <f>DIVISIONS!CZ42</f>
        <v>0</v>
      </c>
      <c r="DA669" s="303">
        <f>DIVISIONS!DA42</f>
        <v>0</v>
      </c>
      <c r="DB669" s="857"/>
      <c r="DC669" s="857"/>
      <c r="DD669" s="303">
        <f>DIVISIONS!DD42</f>
        <v>0</v>
      </c>
      <c r="DE669" s="303">
        <f>DIVISIONS!DE42</f>
        <v>0</v>
      </c>
      <c r="DF669" s="857"/>
      <c r="DG669" s="857"/>
      <c r="DH669" s="303">
        <f>DIVISIONS!DH42</f>
        <v>0</v>
      </c>
      <c r="DI669" s="859">
        <f>DH669*1.03</f>
        <v>0</v>
      </c>
      <c r="DJ669" s="857"/>
      <c r="DK669" s="857"/>
      <c r="DL669" s="859">
        <f>DI669*1.03</f>
        <v>0</v>
      </c>
      <c r="DM669" s="859">
        <f>DL669*1.03</f>
        <v>0</v>
      </c>
      <c r="DN669" s="857"/>
      <c r="DO669" s="857"/>
      <c r="DP669" s="859">
        <f>DM669*1.03</f>
        <v>0</v>
      </c>
      <c r="DQ669" s="859">
        <f>DP669*1.03</f>
        <v>0</v>
      </c>
      <c r="DR669" s="857"/>
      <c r="DS669" s="857"/>
      <c r="DT669" s="857"/>
      <c r="DU669" s="859"/>
      <c r="DV669" s="859"/>
      <c r="DW669" s="859"/>
      <c r="DX669" s="857"/>
      <c r="DY669" s="857"/>
      <c r="DZ669" s="859"/>
      <c r="EA669" s="859"/>
      <c r="EB669" s="857"/>
      <c r="EC669" s="857"/>
      <c r="ED669" s="859"/>
      <c r="EE669" s="859"/>
      <c r="EF669" s="857"/>
      <c r="EG669" s="857"/>
      <c r="EH669" s="857"/>
      <c r="EI669" s="857"/>
      <c r="EJ669" s="857"/>
      <c r="EK669" s="857"/>
      <c r="EL669" s="857"/>
      <c r="EM669" s="857"/>
      <c r="EN669" s="857"/>
      <c r="EO669" s="857"/>
      <c r="EP669" s="857"/>
      <c r="EQ669" s="860"/>
      <c r="ER669" s="860"/>
      <c r="ES669" s="860"/>
      <c r="ET669" s="860"/>
      <c r="EU669" s="860"/>
      <c r="EV669" s="860"/>
      <c r="EW669" s="860"/>
      <c r="EX669" s="860"/>
      <c r="EY669" s="860"/>
      <c r="EZ669" s="860"/>
      <c r="FA669" s="860"/>
      <c r="FB669" s="860"/>
      <c r="FC669" s="860"/>
      <c r="FD669" s="860"/>
      <c r="FE669" s="860"/>
      <c r="FF669" s="860"/>
      <c r="FG669" s="860"/>
      <c r="FH669" s="860"/>
      <c r="FI669" s="860"/>
      <c r="FJ669" s="860"/>
      <c r="FK669" s="860"/>
      <c r="FL669" s="855"/>
      <c r="FM669" s="855"/>
      <c r="FN669" s="855"/>
      <c r="FO669" s="855"/>
      <c r="FP669" s="855"/>
      <c r="FQ669" s="855"/>
      <c r="FR669" s="855"/>
      <c r="FS669" s="855"/>
      <c r="FT669" s="855"/>
      <c r="FU669" s="855"/>
      <c r="FV669" s="855"/>
      <c r="FW669" s="855"/>
      <c r="FX669" s="855"/>
      <c r="FY669" s="855"/>
      <c r="FZ669" s="855"/>
      <c r="GA669" s="855"/>
      <c r="GB669" s="855"/>
      <c r="GC669" s="855"/>
      <c r="GD669" s="855"/>
      <c r="GE669" s="855"/>
      <c r="GF669" s="855"/>
      <c r="GG669" s="855"/>
      <c r="GH669" s="855"/>
      <c r="GI669" s="855"/>
      <c r="GJ669" s="855"/>
      <c r="GK669" s="855"/>
      <c r="GL669" s="855"/>
      <c r="GM669" s="855"/>
      <c r="GN669" s="855"/>
      <c r="GO669" s="855"/>
      <c r="GP669" s="855"/>
      <c r="GQ669" s="855"/>
      <c r="GR669" s="855"/>
      <c r="GS669" s="855"/>
      <c r="GT669" s="855"/>
      <c r="GU669" s="855"/>
      <c r="GV669" s="855"/>
      <c r="GW669" s="855"/>
      <c r="GX669" s="855"/>
      <c r="GY669" s="855"/>
      <c r="GZ669" s="855"/>
      <c r="HA669" s="855"/>
      <c r="HB669" s="855"/>
      <c r="HC669" s="855"/>
      <c r="HD669" s="855"/>
      <c r="HE669" s="855"/>
      <c r="HF669" s="855"/>
      <c r="HG669" s="855"/>
      <c r="HH669" s="855"/>
      <c r="HI669" s="855"/>
      <c r="HJ669" s="855"/>
      <c r="HK669" s="855"/>
      <c r="HL669" s="855"/>
      <c r="HM669" s="855"/>
      <c r="HN669" s="855"/>
      <c r="HO669" s="855"/>
      <c r="HP669" s="855"/>
      <c r="HQ669" s="855"/>
      <c r="HR669" s="855"/>
      <c r="HS669" s="855"/>
      <c r="HT669" s="855"/>
      <c r="HU669" s="855"/>
      <c r="HV669" s="855"/>
      <c r="HW669" s="855"/>
      <c r="HX669" s="855"/>
      <c r="HY669" s="855"/>
      <c r="HZ669" s="855"/>
      <c r="IA669" s="855"/>
      <c r="IB669" s="855"/>
      <c r="IC669" s="855"/>
      <c r="ID669" s="855"/>
      <c r="IE669" s="855"/>
      <c r="IF669" s="855"/>
      <c r="IG669" s="855"/>
      <c r="IH669" s="855"/>
      <c r="II669" s="855"/>
      <c r="IJ669" s="855"/>
      <c r="IK669" s="855"/>
      <c r="IL669" s="855"/>
      <c r="IM669" s="855"/>
      <c r="IN669" s="855"/>
      <c r="IO669" s="855"/>
      <c r="IP669" s="855"/>
      <c r="IQ669" s="855"/>
      <c r="IR669" s="855"/>
      <c r="IS669" s="855"/>
      <c r="IT669" s="855"/>
      <c r="IU669" s="855"/>
      <c r="IV669" s="855"/>
      <c r="IW669" s="855"/>
      <c r="IX669" s="855"/>
      <c r="IY669" s="855"/>
      <c r="IZ669" s="855"/>
      <c r="JA669" s="855"/>
      <c r="JB669" s="855"/>
      <c r="JC669" s="855"/>
      <c r="JD669" s="855"/>
      <c r="JE669" s="855"/>
      <c r="JF669" s="855"/>
      <c r="JG669" s="855"/>
      <c r="JH669" s="855"/>
      <c r="JI669" s="855"/>
      <c r="JJ669" s="855"/>
      <c r="JK669" s="855"/>
      <c r="JL669" s="855"/>
      <c r="JM669"/>
    </row>
    <row r="670" spans="1:273" s="858" customFormat="1">
      <c r="A670" s="302" t="s">
        <v>686</v>
      </c>
      <c r="B670" s="304"/>
      <c r="C670" s="302"/>
      <c r="D670" s="302"/>
      <c r="E670" s="302"/>
      <c r="F670" s="302"/>
      <c r="G670" s="302"/>
      <c r="H670" s="302"/>
      <c r="I670" s="302"/>
      <c r="J670" s="302"/>
      <c r="K670" s="302"/>
      <c r="L670" s="302"/>
      <c r="M670" s="302"/>
      <c r="N670" s="302"/>
      <c r="O670" s="302"/>
      <c r="P670" s="302"/>
      <c r="Q670" s="302"/>
      <c r="R670" s="302"/>
      <c r="S670" s="302"/>
      <c r="T670" s="302"/>
      <c r="U670" s="302"/>
      <c r="V670" s="302"/>
      <c r="W670" s="302"/>
      <c r="X670" s="302"/>
      <c r="Y670" s="302"/>
      <c r="Z670" s="302"/>
      <c r="AA670" s="302"/>
      <c r="AB670" s="302"/>
      <c r="AC670" s="302"/>
      <c r="AD670" s="302"/>
      <c r="AE670" s="302"/>
      <c r="AF670" s="302"/>
      <c r="AG670" s="302"/>
      <c r="AH670" s="302"/>
      <c r="AI670" s="302"/>
      <c r="AJ670" s="302"/>
      <c r="AK670" s="302"/>
      <c r="AL670" s="302"/>
      <c r="AM670" s="302"/>
      <c r="AN670" s="298"/>
      <c r="AO670" s="298"/>
      <c r="AP670" s="298"/>
      <c r="AQ670" s="298"/>
      <c r="AR670" s="303">
        <f>DIVISIONS!AR119</f>
        <v>165</v>
      </c>
      <c r="AS670" s="303">
        <f>DIVISIONS!AS119</f>
        <v>91</v>
      </c>
      <c r="AT670" s="627"/>
      <c r="AU670" s="627"/>
      <c r="AV670" s="303">
        <f>DIVISIONS!AV119</f>
        <v>10</v>
      </c>
      <c r="AW670" s="303">
        <f>DIVISIONS!AW119</f>
        <v>20</v>
      </c>
      <c r="AX670" s="627"/>
      <c r="AY670" s="303"/>
      <c r="AZ670" s="303">
        <f>DIVISIONS!AZ119</f>
        <v>15</v>
      </c>
      <c r="BA670" s="303">
        <f>DIVISIONS!BA119</f>
        <v>14</v>
      </c>
      <c r="BB670" s="857"/>
      <c r="BC670" s="857"/>
      <c r="BD670" s="303">
        <f>DIVISIONS!BD119</f>
        <v>9</v>
      </c>
      <c r="BE670" s="303">
        <f>DIVISIONS!BE119</f>
        <v>8</v>
      </c>
      <c r="BF670" s="857"/>
      <c r="BG670" s="859"/>
      <c r="BH670" s="303">
        <f>DIVISIONS!BH119</f>
        <v>7</v>
      </c>
      <c r="BI670" s="303">
        <f>DIVISIONS!BI119</f>
        <v>3</v>
      </c>
      <c r="BJ670" s="857"/>
      <c r="BK670" s="859"/>
      <c r="BL670" s="303">
        <f>DIVISIONS!BL119</f>
        <v>0</v>
      </c>
      <c r="BM670" s="303">
        <f>DIVISIONS!BM119</f>
        <v>7</v>
      </c>
      <c r="BN670" s="857"/>
      <c r="BO670" s="859"/>
      <c r="BP670" s="303">
        <f>DIVISIONS!BP119</f>
        <v>1</v>
      </c>
      <c r="BQ670" s="303">
        <f>DIVISIONS!BQ119</f>
        <v>4</v>
      </c>
      <c r="BR670" s="857"/>
      <c r="BS670" s="859"/>
      <c r="BT670" s="303">
        <f>DIVISIONS!BT119</f>
        <v>0</v>
      </c>
      <c r="BU670" s="303">
        <f>DIVISIONS!BU119</f>
        <v>15</v>
      </c>
      <c r="BV670" s="857"/>
      <c r="BW670" s="857"/>
      <c r="BX670" s="303">
        <f>DIVISIONS!BX119</f>
        <v>10</v>
      </c>
      <c r="BY670" s="303">
        <f>DIVISIONS!BY119</f>
        <v>-4</v>
      </c>
      <c r="BZ670" s="857"/>
      <c r="CA670" s="857"/>
      <c r="CB670" s="303">
        <f>DIVISIONS!CB119</f>
        <v>1</v>
      </c>
      <c r="CC670" s="303">
        <f>DIVISIONS!CC119</f>
        <v>21</v>
      </c>
      <c r="CD670" s="857"/>
      <c r="CE670" s="931"/>
      <c r="CF670" s="303">
        <f>DIVISIONS!CF119</f>
        <v>15</v>
      </c>
      <c r="CG670" s="303">
        <f>DIVISIONS!CG119</f>
        <v>26</v>
      </c>
      <c r="CH670" s="857"/>
      <c r="CI670" s="931"/>
      <c r="CJ670" s="303">
        <f>DIVISIONS!CJ119</f>
        <v>38</v>
      </c>
      <c r="CK670" s="303">
        <f>DIVISIONS!CK119</f>
        <v>23</v>
      </c>
      <c r="CL670" s="857"/>
      <c r="CM670" s="931"/>
      <c r="CN670" s="303">
        <f>DIVISIONS!CN119</f>
        <v>0</v>
      </c>
      <c r="CO670" s="303">
        <f>DIVISIONS!CO119</f>
        <v>31</v>
      </c>
      <c r="CP670" s="857"/>
      <c r="CQ670" s="931"/>
      <c r="CR670" s="303">
        <f>DIVISIONS!CR119</f>
        <v>14</v>
      </c>
      <c r="CS670" s="303">
        <f>DIVISIONS!CS119</f>
        <v>15</v>
      </c>
      <c r="CT670" s="857"/>
      <c r="CU670" s="857"/>
      <c r="CV670" s="303">
        <f>DIVISIONS!CV119</f>
        <v>12</v>
      </c>
      <c r="CW670" s="303">
        <f>DIVISIONS!CW119</f>
        <v>-23</v>
      </c>
      <c r="CX670" s="857"/>
      <c r="CY670" s="857"/>
      <c r="CZ670" s="303">
        <f>DIVISIONS!CZ119</f>
        <v>13</v>
      </c>
      <c r="DA670" s="303">
        <f>DIVISIONS!DA119</f>
        <v>8</v>
      </c>
      <c r="DB670" s="857"/>
      <c r="DC670" s="857"/>
      <c r="DD670" s="303">
        <f>DIVISIONS!DD119</f>
        <v>18</v>
      </c>
      <c r="DE670" s="303">
        <f>DIVISIONS!DE119</f>
        <v>33</v>
      </c>
      <c r="DF670" s="857"/>
      <c r="DG670" s="857"/>
      <c r="DH670" s="303">
        <f>DIVISIONS!DH119</f>
        <v>-3</v>
      </c>
      <c r="DI670" s="859">
        <f>DH670*1.03</f>
        <v>-3.09</v>
      </c>
      <c r="DJ670" s="857"/>
      <c r="DK670" s="857"/>
      <c r="DL670" s="859">
        <f>DI670*1.03</f>
        <v>-3.1827000000000001</v>
      </c>
      <c r="DM670" s="859">
        <f>DL670*1.03</f>
        <v>-3.278181</v>
      </c>
      <c r="DN670" s="857"/>
      <c r="DO670" s="857"/>
      <c r="DP670" s="859">
        <f>DM670*1.03</f>
        <v>-3.3765264300000002</v>
      </c>
      <c r="DQ670" s="859">
        <f>DP670*1.03</f>
        <v>-3.4778222229000004</v>
      </c>
      <c r="DR670" s="857"/>
      <c r="DS670" s="857"/>
      <c r="DT670" s="857"/>
      <c r="DU670" s="859"/>
      <c r="DV670" s="859"/>
      <c r="DW670" s="859"/>
      <c r="DX670" s="857"/>
      <c r="DY670" s="857"/>
      <c r="DZ670" s="859"/>
      <c r="EA670" s="859"/>
      <c r="EB670" s="857"/>
      <c r="EC670" s="857"/>
      <c r="ED670" s="859"/>
      <c r="EE670" s="859"/>
      <c r="EF670" s="857"/>
      <c r="EG670" s="857"/>
      <c r="EH670" s="857"/>
      <c r="EI670" s="857"/>
      <c r="EJ670" s="857"/>
      <c r="EK670" s="857"/>
      <c r="EL670" s="857"/>
      <c r="EM670" s="857"/>
      <c r="EN670" s="857"/>
      <c r="EO670" s="857"/>
      <c r="EP670" s="857"/>
      <c r="EQ670" s="860"/>
      <c r="ER670" s="860"/>
      <c r="ES670" s="860"/>
      <c r="ET670" s="860"/>
      <c r="EU670" s="860"/>
      <c r="EV670" s="860"/>
      <c r="EW670" s="860"/>
      <c r="EX670" s="860"/>
      <c r="EY670" s="860"/>
      <c r="EZ670" s="860"/>
      <c r="FA670" s="860"/>
      <c r="FB670" s="860"/>
      <c r="FC670" s="860"/>
      <c r="FD670" s="860"/>
      <c r="FE670" s="860"/>
      <c r="FF670" s="860"/>
      <c r="FG670" s="860"/>
      <c r="FH670" s="860"/>
      <c r="FI670" s="860"/>
      <c r="FJ670" s="860"/>
      <c r="FK670" s="860"/>
      <c r="FL670" s="855"/>
      <c r="FM670" s="855"/>
      <c r="FN670" s="855"/>
      <c r="FO670" s="855"/>
      <c r="FP670" s="855"/>
      <c r="FQ670" s="855"/>
      <c r="FR670" s="855"/>
      <c r="FS670" s="855"/>
      <c r="FT670" s="855"/>
      <c r="FU670" s="855"/>
      <c r="FV670" s="855"/>
      <c r="FW670" s="855"/>
      <c r="FX670" s="855"/>
      <c r="FY670" s="855"/>
      <c r="FZ670" s="855"/>
      <c r="GA670" s="855"/>
      <c r="GB670" s="855"/>
      <c r="GC670" s="855"/>
      <c r="GD670" s="855"/>
      <c r="GE670" s="855"/>
      <c r="GF670" s="855"/>
      <c r="GG670" s="855"/>
      <c r="GH670" s="855"/>
      <c r="GI670" s="855"/>
      <c r="GJ670" s="855"/>
      <c r="GK670" s="855"/>
      <c r="GL670" s="855"/>
      <c r="GM670" s="855"/>
      <c r="GN670" s="855"/>
      <c r="GO670" s="855"/>
      <c r="GP670" s="855"/>
      <c r="GQ670" s="855"/>
      <c r="GR670" s="855"/>
      <c r="GS670" s="855"/>
      <c r="GT670" s="855"/>
      <c r="GU670" s="855"/>
      <c r="GV670" s="855"/>
      <c r="GW670" s="855"/>
      <c r="GX670" s="855"/>
      <c r="GY670" s="855"/>
      <c r="GZ670" s="855"/>
      <c r="HA670" s="855"/>
      <c r="HB670" s="855"/>
      <c r="HC670" s="855"/>
      <c r="HD670" s="855"/>
      <c r="HE670" s="855"/>
      <c r="HF670" s="855"/>
      <c r="HG670" s="855"/>
      <c r="HH670" s="855"/>
      <c r="HI670" s="855"/>
      <c r="HJ670" s="855"/>
      <c r="HK670" s="855"/>
      <c r="HL670" s="855"/>
      <c r="HM670" s="855"/>
      <c r="HN670" s="855"/>
      <c r="HO670" s="855"/>
      <c r="HP670" s="855"/>
      <c r="HQ670" s="855"/>
      <c r="HR670" s="855"/>
      <c r="HS670" s="855"/>
      <c r="HT670" s="855"/>
      <c r="HU670" s="855"/>
      <c r="HV670" s="855"/>
      <c r="HW670" s="855"/>
      <c r="HX670" s="855"/>
      <c r="HY670" s="855"/>
      <c r="HZ670" s="855"/>
      <c r="IA670" s="855"/>
      <c r="IB670" s="855"/>
      <c r="IC670" s="855"/>
      <c r="ID670" s="855"/>
      <c r="IE670" s="855"/>
      <c r="IF670" s="855"/>
      <c r="IG670" s="855"/>
      <c r="IH670" s="855"/>
      <c r="II670" s="855"/>
      <c r="IJ670" s="855"/>
      <c r="IK670" s="855"/>
      <c r="IL670" s="855"/>
      <c r="IM670" s="855"/>
      <c r="IN670" s="855"/>
      <c r="IO670" s="855"/>
      <c r="IP670" s="855"/>
      <c r="IQ670" s="855"/>
      <c r="IR670" s="855"/>
      <c r="IS670" s="855"/>
      <c r="IT670" s="855"/>
      <c r="IU670" s="855"/>
      <c r="IV670" s="855"/>
      <c r="IW670" s="855"/>
      <c r="IX670" s="855"/>
      <c r="IY670" s="855"/>
      <c r="IZ670" s="855"/>
      <c r="JA670" s="855"/>
      <c r="JB670" s="855"/>
      <c r="JC670" s="855"/>
      <c r="JD670" s="855"/>
      <c r="JE670" s="855"/>
      <c r="JF670" s="855"/>
      <c r="JG670" s="855"/>
      <c r="JH670" s="855"/>
      <c r="JI670" s="855"/>
      <c r="JJ670" s="855"/>
      <c r="JK670" s="855"/>
      <c r="JL670" s="855"/>
      <c r="JM670"/>
    </row>
    <row r="671" spans="1:273" s="858" customFormat="1">
      <c r="A671" s="302" t="s">
        <v>616</v>
      </c>
      <c r="B671" s="304"/>
      <c r="C671" s="302"/>
      <c r="D671" s="302"/>
      <c r="E671" s="302"/>
      <c r="F671" s="302"/>
      <c r="G671" s="302"/>
      <c r="H671" s="302"/>
      <c r="I671" s="302"/>
      <c r="J671" s="302"/>
      <c r="K671" s="302"/>
      <c r="L671" s="302"/>
      <c r="M671" s="302"/>
      <c r="N671" s="302"/>
      <c r="O671" s="302"/>
      <c r="P671" s="302"/>
      <c r="Q671" s="302"/>
      <c r="R671" s="302"/>
      <c r="S671" s="302"/>
      <c r="T671" s="302"/>
      <c r="U671" s="302"/>
      <c r="V671" s="302"/>
      <c r="W671" s="302"/>
      <c r="X671" s="302"/>
      <c r="Y671" s="302"/>
      <c r="Z671" s="302"/>
      <c r="AA671" s="302"/>
      <c r="AB671" s="302"/>
      <c r="AC671" s="302"/>
      <c r="AD671" s="302"/>
      <c r="AE671" s="302"/>
      <c r="AF671" s="302"/>
      <c r="AG671" s="302"/>
      <c r="AH671" s="302"/>
      <c r="AI671" s="302"/>
      <c r="AJ671" s="302"/>
      <c r="AK671" s="302"/>
      <c r="AL671" s="302"/>
      <c r="AM671" s="302"/>
      <c r="AN671" s="303"/>
      <c r="AO671" s="303"/>
      <c r="AP671" s="303"/>
      <c r="AQ671" s="303"/>
      <c r="AR671" s="303">
        <f>DIVISIONS!AR347</f>
        <v>1</v>
      </c>
      <c r="AS671" s="303">
        <f>DIVISIONS!AS347</f>
        <v>3</v>
      </c>
      <c r="AT671" s="627"/>
      <c r="AU671" s="627"/>
      <c r="AV671" s="303">
        <f>DIVISIONS!AV347</f>
        <v>43</v>
      </c>
      <c r="AW671" s="303">
        <f>DIVISIONS!AW347</f>
        <v>18</v>
      </c>
      <c r="AX671" s="627"/>
      <c r="AY671" s="303"/>
      <c r="AZ671" s="303">
        <f>DIVISIONS!AZ347</f>
        <v>4</v>
      </c>
      <c r="BA671" s="303">
        <f>DIVISIONS!BA347</f>
        <v>12</v>
      </c>
      <c r="BB671" s="857"/>
      <c r="BC671" s="857"/>
      <c r="BD671" s="303">
        <f>DIVISIONS!BD347</f>
        <v>17</v>
      </c>
      <c r="BE671" s="303">
        <f>DIVISIONS!BE347</f>
        <v>4</v>
      </c>
      <c r="BF671" s="857"/>
      <c r="BG671" s="859"/>
      <c r="BH671" s="303">
        <f>DIVISIONS!BH347</f>
        <v>9</v>
      </c>
      <c r="BI671" s="303">
        <f>DIVISIONS!BI347</f>
        <v>7</v>
      </c>
      <c r="BJ671" s="857"/>
      <c r="BK671" s="859"/>
      <c r="BL671" s="303">
        <f>DIVISIONS!BL347</f>
        <v>6</v>
      </c>
      <c r="BM671" s="303">
        <f>DIVISIONS!BM347</f>
        <v>10</v>
      </c>
      <c r="BN671" s="857"/>
      <c r="BO671" s="859"/>
      <c r="BP671" s="303">
        <f>DIVISIONS!BP347</f>
        <v>-3</v>
      </c>
      <c r="BQ671" s="303">
        <f>DIVISIONS!BQ347</f>
        <v>5</v>
      </c>
      <c r="BR671" s="857"/>
      <c r="BS671" s="859"/>
      <c r="BT671" s="303">
        <f>DIVISIONS!BT347</f>
        <v>0</v>
      </c>
      <c r="BU671" s="303">
        <f>DIVISIONS!BU347</f>
        <v>0</v>
      </c>
      <c r="BV671" s="857"/>
      <c r="BW671" s="857"/>
      <c r="BX671" s="303">
        <f>DIVISIONS!BX347</f>
        <v>14</v>
      </c>
      <c r="BY671" s="303">
        <f>DIVISIONS!BY347</f>
        <v>30</v>
      </c>
      <c r="BZ671" s="857"/>
      <c r="CA671" s="857"/>
      <c r="CB671" s="303">
        <f>DIVISIONS!CB347</f>
        <v>0</v>
      </c>
      <c r="CC671" s="303">
        <f>DIVISIONS!CC347</f>
        <v>33</v>
      </c>
      <c r="CD671" s="857"/>
      <c r="CE671" s="931"/>
      <c r="CF671" s="303">
        <f>DIVISIONS!CF347</f>
        <v>0</v>
      </c>
      <c r="CG671" s="303">
        <f>DIVISIONS!CG347</f>
        <v>107</v>
      </c>
      <c r="CH671" s="857"/>
      <c r="CI671" s="931"/>
      <c r="CJ671" s="303">
        <f>DIVISIONS!CJ347</f>
        <v>0</v>
      </c>
      <c r="CK671" s="303">
        <f>DIVISIONS!CK347</f>
        <v>89</v>
      </c>
      <c r="CL671" s="857"/>
      <c r="CM671" s="931"/>
      <c r="CN671" s="303">
        <f>DIVISIONS!CN347</f>
        <v>2</v>
      </c>
      <c r="CO671" s="303">
        <f>DIVISIONS!CO347</f>
        <v>29</v>
      </c>
      <c r="CP671" s="857"/>
      <c r="CQ671" s="931"/>
      <c r="CR671" s="303">
        <f>DIVISIONS!CR347</f>
        <v>3</v>
      </c>
      <c r="CS671" s="303">
        <f>DIVISIONS!CS347</f>
        <v>15</v>
      </c>
      <c r="CT671" s="857"/>
      <c r="CU671" s="857"/>
      <c r="CV671" s="303">
        <f>DIVISIONS!CV347</f>
        <v>63</v>
      </c>
      <c r="CW671" s="303">
        <f>DIVISIONS!CW347</f>
        <v>29</v>
      </c>
      <c r="CX671" s="857"/>
      <c r="CY671" s="857"/>
      <c r="CZ671" s="303">
        <f>DIVISIONS!CZ347</f>
        <v>0</v>
      </c>
      <c r="DA671" s="303">
        <f>DIVISIONS!DA347</f>
        <v>-2</v>
      </c>
      <c r="DB671" s="857"/>
      <c r="DC671" s="857"/>
      <c r="DD671" s="303">
        <f>DIVISIONS!DD347</f>
        <v>9</v>
      </c>
      <c r="DE671" s="303">
        <f>DIVISIONS!DE347</f>
        <v>-16</v>
      </c>
      <c r="DF671" s="857"/>
      <c r="DG671" s="857"/>
      <c r="DH671" s="303">
        <f>DIVISIONS!DH347</f>
        <v>40</v>
      </c>
      <c r="DI671" s="859">
        <f>DH671*1.03</f>
        <v>41.2</v>
      </c>
      <c r="DJ671" s="857"/>
      <c r="DK671" s="857"/>
      <c r="DL671" s="859">
        <f>DI671*1.03</f>
        <v>42.436000000000007</v>
      </c>
      <c r="DM671" s="859">
        <f>DL671*1.03</f>
        <v>43.709080000000007</v>
      </c>
      <c r="DN671" s="857"/>
      <c r="DO671" s="857"/>
      <c r="DP671" s="859">
        <f>DM671*1.03</f>
        <v>45.020352400000007</v>
      </c>
      <c r="DQ671" s="859">
        <f>DP671*1.03</f>
        <v>46.370962972000008</v>
      </c>
      <c r="DR671" s="857"/>
      <c r="DS671" s="857"/>
      <c r="DT671" s="857"/>
      <c r="DU671" s="859"/>
      <c r="DV671" s="859"/>
      <c r="DW671" s="859"/>
      <c r="DX671" s="857"/>
      <c r="DY671" s="857"/>
      <c r="DZ671" s="859"/>
      <c r="EA671" s="859"/>
      <c r="EB671" s="857"/>
      <c r="EC671" s="857"/>
      <c r="ED671" s="859"/>
      <c r="EE671" s="859"/>
      <c r="EF671" s="857"/>
      <c r="EG671" s="857"/>
      <c r="EH671" s="857"/>
      <c r="EI671" s="857"/>
      <c r="EJ671" s="857"/>
      <c r="EK671" s="857"/>
      <c r="EL671" s="857"/>
      <c r="EM671" s="857"/>
      <c r="EN671" s="857"/>
      <c r="EO671" s="857"/>
      <c r="EP671" s="857"/>
      <c r="EQ671" s="860"/>
      <c r="ER671" s="860"/>
      <c r="ES671" s="860"/>
      <c r="ET671" s="860"/>
      <c r="EU671" s="860"/>
      <c r="EV671" s="860"/>
      <c r="EW671" s="860"/>
      <c r="EX671" s="860"/>
      <c r="EY671" s="860"/>
      <c r="EZ671" s="860"/>
      <c r="FA671" s="860"/>
      <c r="FB671" s="860"/>
      <c r="FC671" s="860"/>
      <c r="FD671" s="860"/>
      <c r="FE671" s="860"/>
      <c r="FF671" s="860"/>
      <c r="FG671" s="860"/>
      <c r="FH671" s="860"/>
      <c r="FI671" s="860"/>
      <c r="FJ671" s="860"/>
      <c r="FK671" s="860"/>
      <c r="FL671" s="855"/>
      <c r="FM671" s="855"/>
      <c r="FN671" s="855"/>
      <c r="FO671" s="855"/>
      <c r="FP671" s="855"/>
      <c r="FQ671" s="855"/>
      <c r="FR671" s="855"/>
      <c r="FS671" s="855"/>
      <c r="FT671" s="855"/>
      <c r="FU671" s="855"/>
      <c r="FV671" s="855"/>
      <c r="FW671" s="855"/>
      <c r="FX671" s="855"/>
      <c r="FY671" s="855"/>
      <c r="FZ671" s="855"/>
      <c r="GA671" s="855"/>
      <c r="GB671" s="855"/>
      <c r="GC671" s="855"/>
      <c r="GD671" s="855"/>
      <c r="GE671" s="855"/>
      <c r="GF671" s="855"/>
      <c r="GG671" s="855"/>
      <c r="GH671" s="855"/>
      <c r="GI671" s="855"/>
      <c r="GJ671" s="855"/>
      <c r="GK671" s="855"/>
      <c r="GL671" s="855"/>
      <c r="GM671" s="855"/>
      <c r="GN671" s="855"/>
      <c r="GO671" s="855"/>
      <c r="GP671" s="855"/>
      <c r="GQ671" s="855"/>
      <c r="GR671" s="855"/>
      <c r="GS671" s="855"/>
      <c r="GT671" s="855"/>
      <c r="GU671" s="855"/>
      <c r="GV671" s="855"/>
      <c r="GW671" s="855"/>
      <c r="GX671" s="855"/>
      <c r="GY671" s="855"/>
      <c r="GZ671" s="855"/>
      <c r="HA671" s="855"/>
      <c r="HB671" s="855"/>
      <c r="HC671" s="855"/>
      <c r="HD671" s="855"/>
      <c r="HE671" s="855"/>
      <c r="HF671" s="855"/>
      <c r="HG671" s="855"/>
      <c r="HH671" s="855"/>
      <c r="HI671" s="855"/>
      <c r="HJ671" s="855"/>
      <c r="HK671" s="855"/>
      <c r="HL671" s="855"/>
      <c r="HM671" s="855"/>
      <c r="HN671" s="855"/>
      <c r="HO671" s="855"/>
      <c r="HP671" s="855"/>
      <c r="HQ671" s="855"/>
      <c r="HR671" s="855"/>
      <c r="HS671" s="855"/>
      <c r="HT671" s="855"/>
      <c r="HU671" s="855"/>
      <c r="HV671" s="855"/>
      <c r="HW671" s="855"/>
      <c r="HX671" s="855"/>
      <c r="HY671" s="855"/>
      <c r="HZ671" s="855"/>
      <c r="IA671" s="855"/>
      <c r="IB671" s="855"/>
      <c r="IC671" s="855"/>
      <c r="ID671" s="855"/>
      <c r="IE671" s="855"/>
      <c r="IF671" s="855"/>
      <c r="IG671" s="855"/>
      <c r="IH671" s="855"/>
      <c r="II671" s="855"/>
      <c r="IJ671" s="855"/>
      <c r="IK671" s="855"/>
      <c r="IL671" s="855"/>
      <c r="IM671" s="855"/>
      <c r="IN671" s="855"/>
      <c r="IO671" s="855"/>
      <c r="IP671" s="855"/>
      <c r="IQ671" s="855"/>
      <c r="IR671" s="855"/>
      <c r="IS671" s="855"/>
      <c r="IT671" s="855"/>
      <c r="IU671" s="855"/>
      <c r="IV671" s="855"/>
      <c r="IW671" s="855"/>
      <c r="IX671" s="855"/>
      <c r="IY671" s="855"/>
      <c r="IZ671" s="855"/>
      <c r="JA671" s="855"/>
      <c r="JB671" s="855"/>
      <c r="JC671" s="855"/>
      <c r="JD671" s="855"/>
      <c r="JE671" s="855"/>
      <c r="JF671" s="855"/>
      <c r="JG671" s="855"/>
      <c r="JH671" s="855"/>
      <c r="JI671" s="855"/>
      <c r="JJ671" s="855"/>
      <c r="JK671" s="855"/>
      <c r="JL671" s="855"/>
      <c r="JM671"/>
    </row>
    <row r="672" spans="1:273" s="858" customFormat="1">
      <c r="A672" s="302" t="s">
        <v>687</v>
      </c>
      <c r="B672" s="304"/>
      <c r="C672" s="302"/>
      <c r="D672" s="302"/>
      <c r="E672" s="302"/>
      <c r="F672" s="302"/>
      <c r="G672" s="302"/>
      <c r="H672" s="302"/>
      <c r="I672" s="302"/>
      <c r="J672" s="302"/>
      <c r="K672" s="302"/>
      <c r="L672" s="302"/>
      <c r="M672" s="302"/>
      <c r="N672" s="302"/>
      <c r="O672" s="302"/>
      <c r="P672" s="302"/>
      <c r="Q672" s="302"/>
      <c r="R672" s="302"/>
      <c r="S672" s="302"/>
      <c r="T672" s="302"/>
      <c r="U672" s="302"/>
      <c r="V672" s="302"/>
      <c r="W672" s="302"/>
      <c r="X672" s="302"/>
      <c r="Y672" s="302"/>
      <c r="Z672" s="302"/>
      <c r="AA672" s="302"/>
      <c r="AB672" s="302"/>
      <c r="AC672" s="302"/>
      <c r="AD672" s="302"/>
      <c r="AE672" s="302"/>
      <c r="AF672" s="302"/>
      <c r="AG672" s="302"/>
      <c r="AH672" s="302"/>
      <c r="AI672" s="302"/>
      <c r="AJ672" s="302"/>
      <c r="AK672" s="302"/>
      <c r="AL672" s="302"/>
      <c r="AM672" s="302"/>
      <c r="AN672" s="303"/>
      <c r="AO672" s="303"/>
      <c r="AP672" s="303"/>
      <c r="AQ672" s="303"/>
      <c r="AR672" s="303">
        <f>DIVISIONS!AR235</f>
        <v>46</v>
      </c>
      <c r="AS672" s="303">
        <f>DIVISIONS!AS235</f>
        <v>141</v>
      </c>
      <c r="AT672" s="627"/>
      <c r="AU672" s="627"/>
      <c r="AV672" s="303">
        <f>DIVISIONS!AV235</f>
        <v>39</v>
      </c>
      <c r="AW672" s="303">
        <f>DIVISIONS!AW235</f>
        <v>63</v>
      </c>
      <c r="AX672" s="627"/>
      <c r="AY672" s="303"/>
      <c r="AZ672" s="303">
        <f>DIVISIONS!AZ235</f>
        <v>21</v>
      </c>
      <c r="BA672" s="303">
        <f>DIVISIONS!BA235</f>
        <v>28</v>
      </c>
      <c r="BB672" s="857"/>
      <c r="BC672" s="857"/>
      <c r="BD672" s="303">
        <f>DIVISIONS!BD235</f>
        <v>7</v>
      </c>
      <c r="BE672" s="303">
        <f>DIVISIONS!BE235</f>
        <v>11</v>
      </c>
      <c r="BF672" s="857"/>
      <c r="BG672" s="859"/>
      <c r="BH672" s="303">
        <f>DIVISIONS!BH235</f>
        <v>9</v>
      </c>
      <c r="BI672" s="303">
        <f>DIVISIONS!BI235</f>
        <v>14</v>
      </c>
      <c r="BJ672" s="857"/>
      <c r="BK672" s="859"/>
      <c r="BL672" s="303">
        <f>DIVISIONS!BL235</f>
        <v>5</v>
      </c>
      <c r="BM672" s="303">
        <f>DIVISIONS!BM235</f>
        <v>-11</v>
      </c>
      <c r="BN672" s="857"/>
      <c r="BO672" s="859"/>
      <c r="BP672" s="303">
        <f>DIVISIONS!BP235</f>
        <v>-6</v>
      </c>
      <c r="BQ672" s="303">
        <f>DIVISIONS!BQ235</f>
        <v>-14</v>
      </c>
      <c r="BR672" s="857"/>
      <c r="BS672" s="859"/>
      <c r="BT672" s="303">
        <f>DIVISIONS!BT235</f>
        <v>-4</v>
      </c>
      <c r="BU672" s="303">
        <f>DIVISIONS!BU235</f>
        <v>1</v>
      </c>
      <c r="BV672" s="857"/>
      <c r="BW672" s="857"/>
      <c r="BX672" s="303">
        <f>DIVISIONS!BX235</f>
        <v>8</v>
      </c>
      <c r="BY672" s="303">
        <f>DIVISIONS!BY235</f>
        <v>-9</v>
      </c>
      <c r="BZ672" s="857"/>
      <c r="CA672" s="857"/>
      <c r="CB672" s="303">
        <f>DIVISIONS!CB235</f>
        <v>7</v>
      </c>
      <c r="CC672" s="303">
        <f>DIVISIONS!CC235</f>
        <v>5</v>
      </c>
      <c r="CD672" s="857"/>
      <c r="CE672" s="931"/>
      <c r="CF672" s="303">
        <f>DIVISIONS!CF235</f>
        <v>5</v>
      </c>
      <c r="CG672" s="303">
        <f>DIVISIONS!CG235</f>
        <v>-9</v>
      </c>
      <c r="CH672" s="857"/>
      <c r="CI672" s="931"/>
      <c r="CJ672" s="303">
        <f>DIVISIONS!CJ235</f>
        <v>2</v>
      </c>
      <c r="CK672" s="303">
        <f>DIVISIONS!CK235</f>
        <v>13</v>
      </c>
      <c r="CL672" s="857"/>
      <c r="CM672" s="931"/>
      <c r="CN672" s="303">
        <f>DIVISIONS!CN235</f>
        <v>1</v>
      </c>
      <c r="CO672" s="303">
        <f>DIVISIONS!CO235</f>
        <v>-6</v>
      </c>
      <c r="CP672" s="857"/>
      <c r="CQ672" s="931"/>
      <c r="CR672" s="303">
        <f>DIVISIONS!CR235</f>
        <v>34</v>
      </c>
      <c r="CS672" s="303">
        <f>DIVISIONS!CS235</f>
        <v>-29</v>
      </c>
      <c r="CT672" s="857"/>
      <c r="CU672" s="857"/>
      <c r="CV672" s="303">
        <f>DIVISIONS!CV235</f>
        <v>-1</v>
      </c>
      <c r="CW672" s="303">
        <f>DIVISIONS!CW235</f>
        <v>30</v>
      </c>
      <c r="CX672" s="857"/>
      <c r="CY672" s="857"/>
      <c r="CZ672" s="303">
        <f>DIVISIONS!CZ235</f>
        <v>-1</v>
      </c>
      <c r="DA672" s="303">
        <f>DIVISIONS!DA235</f>
        <v>20</v>
      </c>
      <c r="DB672" s="857"/>
      <c r="DC672" s="857"/>
      <c r="DD672" s="303">
        <f>DIVISIONS!DD235</f>
        <v>5</v>
      </c>
      <c r="DE672" s="303">
        <f>DIVISIONS!DE235</f>
        <v>6</v>
      </c>
      <c r="DF672" s="857"/>
      <c r="DG672" s="857"/>
      <c r="DH672" s="303">
        <f>DIVISIONS!DH235</f>
        <v>2</v>
      </c>
      <c r="DI672" s="859">
        <f>DH672*1.03</f>
        <v>2.06</v>
      </c>
      <c r="DJ672" s="857"/>
      <c r="DK672" s="857"/>
      <c r="DL672" s="859">
        <f>DI672*1.03</f>
        <v>2.1217999999999999</v>
      </c>
      <c r="DM672" s="859">
        <f>DL672*1.03</f>
        <v>2.185454</v>
      </c>
      <c r="DN672" s="857"/>
      <c r="DO672" s="857"/>
      <c r="DP672" s="859">
        <f>DM672*1.03</f>
        <v>2.2510176200000003</v>
      </c>
      <c r="DQ672" s="859">
        <f>DP672*1.03</f>
        <v>2.3185481486000001</v>
      </c>
      <c r="DR672" s="857"/>
      <c r="DS672" s="857"/>
      <c r="DT672" s="857"/>
      <c r="DU672" s="859"/>
      <c r="DV672" s="859"/>
      <c r="DW672" s="859"/>
      <c r="DX672" s="857"/>
      <c r="DY672" s="857"/>
      <c r="DZ672" s="859"/>
      <c r="EA672" s="859"/>
      <c r="EB672" s="857"/>
      <c r="EC672" s="857"/>
      <c r="ED672" s="859"/>
      <c r="EE672" s="859"/>
      <c r="EF672" s="857"/>
      <c r="EG672" s="857"/>
      <c r="EH672" s="857"/>
      <c r="EI672" s="857"/>
      <c r="EJ672" s="857"/>
      <c r="EK672" s="857"/>
      <c r="EL672" s="857"/>
      <c r="EM672" s="857"/>
      <c r="EN672" s="857"/>
      <c r="EO672" s="857"/>
      <c r="EP672" s="857"/>
      <c r="EQ672" s="860"/>
      <c r="ER672" s="860"/>
      <c r="ES672" s="860"/>
      <c r="ET672" s="860"/>
      <c r="EU672" s="860"/>
      <c r="EV672" s="860"/>
      <c r="EW672" s="860"/>
      <c r="EX672" s="860"/>
      <c r="EY672" s="860"/>
      <c r="EZ672" s="860"/>
      <c r="FA672" s="860"/>
      <c r="FB672" s="860"/>
      <c r="FC672" s="860"/>
      <c r="FD672" s="860"/>
      <c r="FE672" s="860"/>
      <c r="FF672" s="860"/>
      <c r="FG672" s="860"/>
      <c r="FH672" s="860"/>
      <c r="FI672" s="860"/>
      <c r="FJ672" s="860"/>
      <c r="FK672" s="860"/>
      <c r="FL672" s="855"/>
      <c r="FM672" s="855"/>
      <c r="FN672" s="855"/>
      <c r="FO672" s="855"/>
      <c r="FP672" s="855"/>
      <c r="FQ672" s="855"/>
      <c r="FR672" s="855"/>
      <c r="FS672" s="855"/>
      <c r="FT672" s="855"/>
      <c r="FU672" s="855"/>
      <c r="FV672" s="855"/>
      <c r="FW672" s="855"/>
      <c r="FX672" s="855"/>
      <c r="FY672" s="855"/>
      <c r="FZ672" s="855"/>
      <c r="GA672" s="855"/>
      <c r="GB672" s="855"/>
      <c r="GC672" s="855"/>
      <c r="GD672" s="855"/>
      <c r="GE672" s="855"/>
      <c r="GF672" s="855"/>
      <c r="GG672" s="855"/>
      <c r="GH672" s="855"/>
      <c r="GI672" s="855"/>
      <c r="GJ672" s="855"/>
      <c r="GK672" s="855"/>
      <c r="GL672" s="855"/>
      <c r="GM672" s="855"/>
      <c r="GN672" s="855"/>
      <c r="GO672" s="855"/>
      <c r="GP672" s="855"/>
      <c r="GQ672" s="855"/>
      <c r="GR672" s="855"/>
      <c r="GS672" s="855"/>
      <c r="GT672" s="855"/>
      <c r="GU672" s="855"/>
      <c r="GV672" s="855"/>
      <c r="GW672" s="855"/>
      <c r="GX672" s="855"/>
      <c r="GY672" s="855"/>
      <c r="GZ672" s="855"/>
      <c r="HA672" s="855"/>
      <c r="HB672" s="855"/>
      <c r="HC672" s="855"/>
      <c r="HD672" s="855"/>
      <c r="HE672" s="855"/>
      <c r="HF672" s="855"/>
      <c r="HG672" s="855"/>
      <c r="HH672" s="855"/>
      <c r="HI672" s="855"/>
      <c r="HJ672" s="855"/>
      <c r="HK672" s="855"/>
      <c r="HL672" s="855"/>
      <c r="HM672" s="855"/>
      <c r="HN672" s="855"/>
      <c r="HO672" s="855"/>
      <c r="HP672" s="855"/>
      <c r="HQ672" s="855"/>
      <c r="HR672" s="855"/>
      <c r="HS672" s="855"/>
      <c r="HT672" s="855"/>
      <c r="HU672" s="855"/>
      <c r="HV672" s="855"/>
      <c r="HW672" s="855"/>
      <c r="HX672" s="855"/>
      <c r="HY672" s="855"/>
      <c r="HZ672" s="855"/>
      <c r="IA672" s="855"/>
      <c r="IB672" s="855"/>
      <c r="IC672" s="855"/>
      <c r="ID672" s="855"/>
      <c r="IE672" s="855"/>
      <c r="IF672" s="855"/>
      <c r="IG672" s="855"/>
      <c r="IH672" s="855"/>
      <c r="II672" s="855"/>
      <c r="IJ672" s="855"/>
      <c r="IK672" s="855"/>
      <c r="IL672" s="855"/>
      <c r="IM672" s="855"/>
      <c r="IN672" s="855"/>
      <c r="IO672" s="855"/>
      <c r="IP672" s="855"/>
      <c r="IQ672" s="855"/>
      <c r="IR672" s="855"/>
      <c r="IS672" s="855"/>
      <c r="IT672" s="855"/>
      <c r="IU672" s="855"/>
      <c r="IV672" s="855"/>
      <c r="IW672" s="855"/>
      <c r="IX672" s="855"/>
      <c r="IY672" s="855"/>
      <c r="IZ672" s="855"/>
      <c r="JA672" s="855"/>
      <c r="JB672" s="855"/>
      <c r="JC672" s="855"/>
      <c r="JD672" s="855"/>
      <c r="JE672" s="855"/>
      <c r="JF672" s="855"/>
      <c r="JG672" s="855"/>
      <c r="JH672" s="855"/>
      <c r="JI672" s="855"/>
      <c r="JJ672" s="855"/>
      <c r="JK672" s="855"/>
      <c r="JL672" s="855"/>
      <c r="JM672"/>
    </row>
    <row r="673" spans="1:273" s="854" customFormat="1">
      <c r="A673" s="102" t="s">
        <v>690</v>
      </c>
      <c r="B673" s="103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  <c r="AA673" s="102"/>
      <c r="AB673" s="102"/>
      <c r="AC673" s="102"/>
      <c r="AD673" s="102"/>
      <c r="AE673" s="102"/>
      <c r="AF673" s="102"/>
      <c r="AG673" s="102"/>
      <c r="AH673" s="102"/>
      <c r="AI673" s="102"/>
      <c r="AJ673" s="102"/>
      <c r="AK673" s="102"/>
      <c r="AL673" s="102"/>
      <c r="AM673" s="102"/>
      <c r="AN673" s="290"/>
      <c r="AO673" s="290"/>
      <c r="AP673" s="290"/>
      <c r="AQ673" s="290"/>
      <c r="AR673" s="293">
        <f>DIVISIONS!AR474</f>
        <v>9</v>
      </c>
      <c r="AS673" s="293">
        <f>DIVISIONS!AS474</f>
        <v>8</v>
      </c>
      <c r="AT673" s="626"/>
      <c r="AU673" s="626"/>
      <c r="AV673" s="293">
        <f>DIVISIONS!AV474</f>
        <v>18</v>
      </c>
      <c r="AW673" s="293">
        <f>DIVISIONS!AW474</f>
        <v>14</v>
      </c>
      <c r="AX673" s="626"/>
      <c r="AY673" s="293"/>
      <c r="AZ673" s="293">
        <f>DIVISIONS!AZ474</f>
        <v>12</v>
      </c>
      <c r="BA673" s="293">
        <f>DIVISIONS!BA474</f>
        <v>8</v>
      </c>
      <c r="BB673" s="853"/>
      <c r="BC673" s="853"/>
      <c r="BD673" s="293">
        <f>DIVISIONS!BD474</f>
        <v>5</v>
      </c>
      <c r="BE673" s="293">
        <f>DIVISIONS!BE474</f>
        <v>21</v>
      </c>
      <c r="BF673" s="853"/>
      <c r="BG673" s="850"/>
      <c r="BH673" s="293">
        <f>DIVISIONS!BH474</f>
        <v>4</v>
      </c>
      <c r="BI673" s="293">
        <f>DIVISIONS!BI474</f>
        <v>4</v>
      </c>
      <c r="BJ673" s="853"/>
      <c r="BK673" s="850"/>
      <c r="BL673" s="293">
        <f>DIVISIONS!BL474</f>
        <v>8</v>
      </c>
      <c r="BM673" s="293">
        <f>DIVISIONS!BM474</f>
        <v>7</v>
      </c>
      <c r="BN673" s="853"/>
      <c r="BO673" s="850"/>
      <c r="BP673" s="293">
        <f>DIVISIONS!BP474</f>
        <v>4</v>
      </c>
      <c r="BQ673" s="293">
        <f>DIVISIONS!BQ474</f>
        <v>-7</v>
      </c>
      <c r="BR673" s="853"/>
      <c r="BS673" s="850"/>
      <c r="BT673" s="293">
        <f>DIVISIONS!BT474</f>
        <v>2</v>
      </c>
      <c r="BU673" s="293">
        <f>DIVISIONS!BU474</f>
        <v>58</v>
      </c>
      <c r="BV673" s="853"/>
      <c r="BW673" s="853"/>
      <c r="BX673" s="293">
        <f>DIVISIONS!BX474</f>
        <v>3</v>
      </c>
      <c r="BY673" s="293">
        <f>DIVISIONS!BY474</f>
        <v>37</v>
      </c>
      <c r="BZ673" s="853"/>
      <c r="CA673" s="853"/>
      <c r="CB673" s="293">
        <f>DIVISIONS!CB474</f>
        <v>1</v>
      </c>
      <c r="CC673" s="293">
        <f>DIVISIONS!CC474</f>
        <v>10</v>
      </c>
      <c r="CD673" s="853"/>
      <c r="CE673" s="862"/>
      <c r="CF673" s="293"/>
      <c r="CG673" s="293"/>
      <c r="CH673" s="853"/>
      <c r="CI673" s="862"/>
      <c r="CJ673" s="293"/>
      <c r="CK673" s="293"/>
      <c r="CL673" s="853"/>
      <c r="CM673" s="862"/>
      <c r="CN673" s="293"/>
      <c r="CO673" s="293"/>
      <c r="CP673" s="853"/>
      <c r="CQ673" s="862"/>
      <c r="CR673" s="293"/>
      <c r="CS673" s="293"/>
      <c r="CT673" s="853"/>
      <c r="CU673" s="853"/>
      <c r="CV673" s="293"/>
      <c r="CW673" s="293"/>
      <c r="CX673" s="853"/>
      <c r="CY673" s="853"/>
      <c r="CZ673" s="293"/>
      <c r="DA673" s="293"/>
      <c r="DB673" s="853"/>
      <c r="DC673" s="853"/>
      <c r="DD673" s="293"/>
      <c r="DE673" s="293"/>
      <c r="DF673" s="853"/>
      <c r="DG673" s="853"/>
      <c r="DH673" s="293"/>
      <c r="DI673" s="991"/>
      <c r="DJ673" s="853"/>
      <c r="DK673" s="853"/>
      <c r="DL673" s="991"/>
      <c r="DM673" s="991"/>
      <c r="DN673" s="853"/>
      <c r="DO673" s="853"/>
      <c r="DP673" s="991"/>
      <c r="DQ673" s="991"/>
      <c r="DR673" s="853"/>
      <c r="DS673" s="853"/>
      <c r="DT673" s="853"/>
      <c r="DU673" s="991"/>
      <c r="DV673" s="991"/>
      <c r="DW673" s="991"/>
      <c r="DX673" s="853"/>
      <c r="DY673" s="853"/>
      <c r="DZ673" s="991"/>
      <c r="EA673" s="991"/>
      <c r="EB673" s="853"/>
      <c r="EC673" s="853"/>
      <c r="ED673" s="991"/>
      <c r="EE673" s="991"/>
      <c r="EF673" s="853"/>
      <c r="EG673" s="853"/>
      <c r="EH673" s="853"/>
      <c r="EI673" s="853"/>
      <c r="EJ673" s="853"/>
      <c r="EK673" s="853"/>
      <c r="EL673" s="853"/>
      <c r="EM673" s="853"/>
      <c r="EN673" s="853"/>
      <c r="EO673" s="853"/>
      <c r="EP673" s="853"/>
      <c r="EQ673" s="855"/>
      <c r="ER673" s="855"/>
      <c r="ES673" s="855"/>
      <c r="ET673" s="855"/>
      <c r="EU673" s="855"/>
      <c r="EV673" s="855"/>
      <c r="EW673" s="855"/>
      <c r="EX673" s="855"/>
      <c r="EY673" s="855"/>
      <c r="EZ673" s="855"/>
      <c r="FA673" s="855"/>
      <c r="FB673" s="855"/>
      <c r="FC673" s="855"/>
      <c r="FD673" s="855"/>
      <c r="FE673" s="855"/>
      <c r="FF673" s="855"/>
      <c r="FG673" s="855"/>
      <c r="FH673" s="855"/>
      <c r="FI673" s="855"/>
      <c r="FJ673" s="855"/>
      <c r="FK673" s="855"/>
      <c r="FL673" s="855"/>
      <c r="FM673" s="855"/>
      <c r="FN673" s="855"/>
      <c r="FO673" s="855"/>
      <c r="FP673" s="855"/>
      <c r="FQ673" s="855"/>
      <c r="FR673" s="855"/>
      <c r="FS673" s="855"/>
      <c r="FT673" s="855"/>
      <c r="FU673" s="855"/>
      <c r="FV673" s="855"/>
      <c r="FW673" s="855"/>
      <c r="FX673" s="855"/>
      <c r="FY673" s="855"/>
      <c r="FZ673" s="855"/>
      <c r="GA673" s="855"/>
      <c r="GB673" s="855"/>
      <c r="GC673" s="855"/>
      <c r="GD673" s="855"/>
      <c r="GE673" s="855"/>
      <c r="GF673" s="855"/>
      <c r="GG673" s="855"/>
      <c r="GH673" s="855"/>
      <c r="GI673" s="855"/>
      <c r="GJ673" s="855"/>
      <c r="GK673" s="855"/>
      <c r="GL673" s="855"/>
      <c r="GM673" s="855"/>
      <c r="GN673" s="855"/>
      <c r="GO673" s="855"/>
      <c r="GP673" s="855"/>
      <c r="GQ673" s="855"/>
      <c r="GR673" s="855"/>
      <c r="GS673" s="855"/>
      <c r="GT673" s="855"/>
      <c r="GU673" s="855"/>
      <c r="GV673" s="855"/>
      <c r="GW673" s="855"/>
      <c r="GX673" s="855"/>
      <c r="GY673" s="855"/>
      <c r="GZ673" s="855"/>
      <c r="HA673" s="855"/>
      <c r="HB673" s="855"/>
      <c r="HC673" s="855"/>
      <c r="HD673" s="855"/>
      <c r="HE673" s="855"/>
      <c r="HF673" s="855"/>
      <c r="HG673" s="855"/>
      <c r="HH673" s="855"/>
      <c r="HI673" s="855"/>
      <c r="HJ673" s="855"/>
      <c r="HK673" s="855"/>
      <c r="HL673" s="855"/>
      <c r="HM673" s="855"/>
      <c r="HN673" s="855"/>
      <c r="HO673" s="855"/>
      <c r="HP673" s="855"/>
      <c r="HQ673" s="855"/>
      <c r="HR673" s="855"/>
      <c r="HS673" s="855"/>
      <c r="HT673" s="855"/>
      <c r="HU673" s="855"/>
      <c r="HV673" s="855"/>
      <c r="HW673" s="855"/>
      <c r="HX673" s="855"/>
      <c r="HY673" s="855"/>
      <c r="HZ673" s="855"/>
      <c r="IA673" s="855"/>
      <c r="IB673" s="855"/>
      <c r="IC673" s="855"/>
      <c r="ID673" s="855"/>
      <c r="IE673" s="855"/>
      <c r="IF673" s="855"/>
      <c r="IG673" s="855"/>
      <c r="IH673" s="855"/>
      <c r="II673" s="855"/>
      <c r="IJ673" s="855"/>
      <c r="IK673" s="855"/>
      <c r="IL673" s="855"/>
      <c r="IM673" s="855"/>
      <c r="IN673" s="855"/>
      <c r="IO673" s="855"/>
      <c r="IP673" s="855"/>
      <c r="IQ673" s="855"/>
      <c r="IR673" s="855"/>
      <c r="IS673" s="855"/>
      <c r="IT673" s="855"/>
      <c r="IU673" s="855"/>
      <c r="IV673" s="855"/>
      <c r="IW673" s="855"/>
      <c r="IX673" s="855"/>
      <c r="IY673" s="855"/>
      <c r="IZ673" s="855"/>
      <c r="JA673" s="855"/>
      <c r="JB673" s="855"/>
      <c r="JC673" s="855"/>
      <c r="JD673" s="855"/>
      <c r="JE673" s="855"/>
      <c r="JF673" s="855"/>
      <c r="JG673" s="855"/>
      <c r="JH673" s="855"/>
      <c r="JI673" s="855"/>
      <c r="JJ673" s="855"/>
      <c r="JK673" s="855"/>
      <c r="JL673" s="855"/>
      <c r="JM673"/>
    </row>
    <row r="674" spans="1:273" s="858" customFormat="1">
      <c r="A674" s="302" t="s">
        <v>689</v>
      </c>
      <c r="B674" s="304"/>
      <c r="C674" s="302"/>
      <c r="D674" s="302"/>
      <c r="E674" s="302"/>
      <c r="F674" s="302"/>
      <c r="G674" s="302"/>
      <c r="H674" s="302"/>
      <c r="I674" s="302"/>
      <c r="J674" s="302"/>
      <c r="K674" s="302"/>
      <c r="L674" s="302"/>
      <c r="M674" s="302"/>
      <c r="N674" s="302"/>
      <c r="O674" s="302"/>
      <c r="P674" s="302"/>
      <c r="Q674" s="302"/>
      <c r="R674" s="302"/>
      <c r="S674" s="302"/>
      <c r="T674" s="302"/>
      <c r="U674" s="302"/>
      <c r="V674" s="302"/>
      <c r="W674" s="302"/>
      <c r="X674" s="302"/>
      <c r="Y674" s="302"/>
      <c r="Z674" s="302"/>
      <c r="AA674" s="302"/>
      <c r="AB674" s="302"/>
      <c r="AC674" s="302"/>
      <c r="AD674" s="302"/>
      <c r="AE674" s="302"/>
      <c r="AF674" s="302"/>
      <c r="AG674" s="302"/>
      <c r="AH674" s="302"/>
      <c r="AI674" s="302"/>
      <c r="AJ674" s="302"/>
      <c r="AK674" s="302"/>
      <c r="AL674" s="302"/>
      <c r="AM674" s="302"/>
      <c r="AN674" s="303"/>
      <c r="AO674" s="303"/>
      <c r="AP674" s="303"/>
      <c r="AQ674" s="303"/>
      <c r="AR674" s="303">
        <f>DIVISIONS!AR549</f>
        <v>-28</v>
      </c>
      <c r="AS674" s="303">
        <f>DIVISIONS!AS549</f>
        <v>6</v>
      </c>
      <c r="AT674" s="627"/>
      <c r="AU674" s="627"/>
      <c r="AV674" s="303">
        <f>DIVISIONS!AV549</f>
        <v>4</v>
      </c>
      <c r="AW674" s="303">
        <f>DIVISIONS!AW549</f>
        <v>7</v>
      </c>
      <c r="AX674" s="627"/>
      <c r="AY674" s="303"/>
      <c r="AZ674" s="303">
        <f>DIVISIONS!AZ549</f>
        <v>2</v>
      </c>
      <c r="BA674" s="303">
        <f>DIVISIONS!BA549</f>
        <v>8</v>
      </c>
      <c r="BB674" s="857"/>
      <c r="BC674" s="857"/>
      <c r="BD674" s="303">
        <f>DIVISIONS!BD549</f>
        <v>1</v>
      </c>
      <c r="BE674" s="303">
        <f>DIVISIONS!BE549</f>
        <v>0</v>
      </c>
      <c r="BF674" s="857"/>
      <c r="BG674" s="859"/>
      <c r="BH674" s="303">
        <f>DIVISIONS!BH549</f>
        <v>1</v>
      </c>
      <c r="BI674" s="303">
        <f>DIVISIONS!BI549</f>
        <v>8</v>
      </c>
      <c r="BJ674" s="857"/>
      <c r="BK674" s="859"/>
      <c r="BL674" s="303">
        <f>DIVISIONS!BL549</f>
        <v>2</v>
      </c>
      <c r="BM674" s="303">
        <f>DIVISIONS!BM549</f>
        <v>3</v>
      </c>
      <c r="BN674" s="857"/>
      <c r="BO674" s="859"/>
      <c r="BP674" s="303">
        <f>DIVISIONS!BP549</f>
        <v>0</v>
      </c>
      <c r="BQ674" s="303">
        <f>DIVISIONS!BQ549</f>
        <v>3</v>
      </c>
      <c r="BR674" s="857"/>
      <c r="BS674" s="859"/>
      <c r="BT674" s="303">
        <f>DIVISIONS!BT549</f>
        <v>0</v>
      </c>
      <c r="BU674" s="303">
        <f>DIVISIONS!BU549</f>
        <v>4</v>
      </c>
      <c r="BV674" s="857"/>
      <c r="BW674" s="857"/>
      <c r="BX674" s="303">
        <f>DIVISIONS!BX549</f>
        <v>1</v>
      </c>
      <c r="BY674" s="303">
        <f>DIVISIONS!BY549</f>
        <v>4</v>
      </c>
      <c r="BZ674" s="857"/>
      <c r="CA674" s="857"/>
      <c r="CB674" s="303">
        <f>DIVISIONS!CB549</f>
        <v>3</v>
      </c>
      <c r="CC674" s="303">
        <f>DIVISIONS!CC549</f>
        <v>0</v>
      </c>
      <c r="CD674" s="857"/>
      <c r="CE674" s="931"/>
      <c r="CF674" s="303">
        <f>DIVISIONS!CF549</f>
        <v>2</v>
      </c>
      <c r="CG674" s="303">
        <f>DIVISIONS!CG549</f>
        <v>0</v>
      </c>
      <c r="CH674" s="857"/>
      <c r="CI674" s="931"/>
      <c r="CJ674" s="303">
        <f>DIVISIONS!CJ549</f>
        <v>2</v>
      </c>
      <c r="CK674" s="303">
        <f>DIVISIONS!CK549</f>
        <v>0</v>
      </c>
      <c r="CL674" s="857"/>
      <c r="CM674" s="931"/>
      <c r="CN674" s="303">
        <f>DIVISIONS!CN549</f>
        <v>1</v>
      </c>
      <c r="CO674" s="303">
        <f>DIVISIONS!CO549</f>
        <v>0</v>
      </c>
      <c r="CP674" s="857"/>
      <c r="CQ674" s="931"/>
      <c r="CR674" s="303">
        <f>DIVISIONS!CR549</f>
        <v>0</v>
      </c>
      <c r="CS674" s="303">
        <f>DIVISIONS!CS549</f>
        <v>1</v>
      </c>
      <c r="CT674" s="857"/>
      <c r="CU674" s="857"/>
      <c r="CV674" s="303">
        <f>DIVISIONS!CV549</f>
        <v>1</v>
      </c>
      <c r="CW674" s="303">
        <f>DIVISIONS!CW549</f>
        <v>-11</v>
      </c>
      <c r="CX674" s="857"/>
      <c r="CY674" s="857"/>
      <c r="CZ674" s="303">
        <f>DIVISIONS!CZ549</f>
        <v>1</v>
      </c>
      <c r="DA674" s="303">
        <f>DIVISIONS!DA549</f>
        <v>0</v>
      </c>
      <c r="DB674" s="857"/>
      <c r="DC674" s="857"/>
      <c r="DD674" s="303">
        <f>DIVISIONS!DD549</f>
        <v>-4</v>
      </c>
      <c r="DE674" s="303">
        <f>DIVISIONS!DE549</f>
        <v>1</v>
      </c>
      <c r="DF674" s="857"/>
      <c r="DG674" s="857"/>
      <c r="DH674" s="303">
        <f>DIVISIONS!DH549</f>
        <v>1</v>
      </c>
      <c r="DI674" s="859">
        <f>DH674*1.03</f>
        <v>1.03</v>
      </c>
      <c r="DJ674" s="857"/>
      <c r="DK674" s="857"/>
      <c r="DL674" s="859">
        <f>DI674*1.03</f>
        <v>1.0609</v>
      </c>
      <c r="DM674" s="859">
        <f>DL674*1.03</f>
        <v>1.092727</v>
      </c>
      <c r="DN674" s="857"/>
      <c r="DO674" s="857"/>
      <c r="DP674" s="859">
        <f>DM674*1.03</f>
        <v>1.1255088100000001</v>
      </c>
      <c r="DQ674" s="859">
        <f>DP674*1.03</f>
        <v>1.1592740743000001</v>
      </c>
      <c r="DR674" s="857"/>
      <c r="DS674" s="857"/>
      <c r="DT674" s="857"/>
      <c r="DU674" s="859"/>
      <c r="DV674" s="859"/>
      <c r="DW674" s="859"/>
      <c r="DX674" s="857"/>
      <c r="DY674" s="857"/>
      <c r="DZ674" s="859"/>
      <c r="EA674" s="859"/>
      <c r="EB674" s="857"/>
      <c r="EC674" s="857"/>
      <c r="ED674" s="859"/>
      <c r="EE674" s="859"/>
      <c r="EF674" s="857"/>
      <c r="EG674" s="857"/>
      <c r="EH674" s="857"/>
      <c r="EI674" s="857"/>
      <c r="EJ674" s="857"/>
      <c r="EK674" s="857"/>
      <c r="EL674" s="857"/>
      <c r="EM674" s="857"/>
      <c r="EN674" s="857"/>
      <c r="EO674" s="857"/>
      <c r="EP674" s="857"/>
      <c r="EQ674" s="860"/>
      <c r="ER674" s="860"/>
      <c r="ES674" s="860"/>
      <c r="ET674" s="860"/>
      <c r="EU674" s="860"/>
      <c r="EV674" s="860"/>
      <c r="EW674" s="860"/>
      <c r="EX674" s="860"/>
      <c r="EY674" s="860"/>
      <c r="EZ674" s="860"/>
      <c r="FA674" s="860"/>
      <c r="FB674" s="860"/>
      <c r="FC674" s="860"/>
      <c r="FD674" s="860"/>
      <c r="FE674" s="860"/>
      <c r="FF674" s="860"/>
      <c r="FG674" s="860"/>
      <c r="FH674" s="860"/>
      <c r="FI674" s="860"/>
      <c r="FJ674" s="860"/>
      <c r="FK674" s="860"/>
      <c r="FL674" s="855"/>
      <c r="FM674" s="855"/>
      <c r="FN674" s="855"/>
      <c r="FO674" s="855"/>
      <c r="FP674" s="855"/>
      <c r="FQ674" s="855"/>
      <c r="FR674" s="855"/>
      <c r="FS674" s="855"/>
      <c r="FT674" s="855"/>
      <c r="FU674" s="855"/>
      <c r="FV674" s="855"/>
      <c r="FW674" s="855"/>
      <c r="FX674" s="855"/>
      <c r="FY674" s="855"/>
      <c r="FZ674" s="855"/>
      <c r="GA674" s="855"/>
      <c r="GB674" s="855"/>
      <c r="GC674" s="855"/>
      <c r="GD674" s="855"/>
      <c r="GE674" s="855"/>
      <c r="GF674" s="855"/>
      <c r="GG674" s="855"/>
      <c r="GH674" s="855"/>
      <c r="GI674" s="855"/>
      <c r="GJ674" s="855"/>
      <c r="GK674" s="855"/>
      <c r="GL674" s="855"/>
      <c r="GM674" s="855"/>
      <c r="GN674" s="855"/>
      <c r="GO674" s="855"/>
      <c r="GP674" s="855"/>
      <c r="GQ674" s="855"/>
      <c r="GR674" s="855"/>
      <c r="GS674" s="855"/>
      <c r="GT674" s="855"/>
      <c r="GU674" s="855"/>
      <c r="GV674" s="855"/>
      <c r="GW674" s="855"/>
      <c r="GX674" s="855"/>
      <c r="GY674" s="855"/>
      <c r="GZ674" s="855"/>
      <c r="HA674" s="855"/>
      <c r="HB674" s="855"/>
      <c r="HC674" s="855"/>
      <c r="HD674" s="855"/>
      <c r="HE674" s="855"/>
      <c r="HF674" s="855"/>
      <c r="HG674" s="855"/>
      <c r="HH674" s="855"/>
      <c r="HI674" s="855"/>
      <c r="HJ674" s="855"/>
      <c r="HK674" s="855"/>
      <c r="HL674" s="855"/>
      <c r="HM674" s="855"/>
      <c r="HN674" s="855"/>
      <c r="HO674" s="855"/>
      <c r="HP674" s="855"/>
      <c r="HQ674" s="855"/>
      <c r="HR674" s="855"/>
      <c r="HS674" s="855"/>
      <c r="HT674" s="855"/>
      <c r="HU674" s="855"/>
      <c r="HV674" s="855"/>
      <c r="HW674" s="855"/>
      <c r="HX674" s="855"/>
      <c r="HY674" s="855"/>
      <c r="HZ674" s="855"/>
      <c r="IA674" s="855"/>
      <c r="IB674" s="855"/>
      <c r="IC674" s="855"/>
      <c r="ID674" s="855"/>
      <c r="IE674" s="855"/>
      <c r="IF674" s="855"/>
      <c r="IG674" s="855"/>
      <c r="IH674" s="855"/>
      <c r="II674" s="855"/>
      <c r="IJ674" s="855"/>
      <c r="IK674" s="855"/>
      <c r="IL674" s="855"/>
      <c r="IM674" s="855"/>
      <c r="IN674" s="855"/>
      <c r="IO674" s="855"/>
      <c r="IP674" s="855"/>
      <c r="IQ674" s="855"/>
      <c r="IR674" s="855"/>
      <c r="IS674" s="855"/>
      <c r="IT674" s="855"/>
      <c r="IU674" s="855"/>
      <c r="IV674" s="855"/>
      <c r="IW674" s="855"/>
      <c r="IX674" s="855"/>
      <c r="IY674" s="855"/>
      <c r="IZ674" s="855"/>
      <c r="JA674" s="855"/>
      <c r="JB674" s="855"/>
      <c r="JC674" s="855"/>
      <c r="JD674" s="855"/>
      <c r="JE674" s="855"/>
      <c r="JF674" s="855"/>
      <c r="JG674" s="855"/>
      <c r="JH674" s="855"/>
      <c r="JI674" s="855"/>
      <c r="JJ674" s="855"/>
      <c r="JK674" s="855"/>
      <c r="JL674" s="855"/>
      <c r="JM674"/>
    </row>
    <row r="675" spans="1:273" s="858" customFormat="1">
      <c r="A675" s="302" t="s">
        <v>688</v>
      </c>
      <c r="B675" s="304"/>
      <c r="C675" s="302"/>
      <c r="D675" s="302"/>
      <c r="E675" s="302"/>
      <c r="F675" s="302"/>
      <c r="G675" s="302"/>
      <c r="H675" s="302"/>
      <c r="I675" s="302"/>
      <c r="J675" s="302"/>
      <c r="K675" s="302"/>
      <c r="L675" s="302"/>
      <c r="M675" s="302"/>
      <c r="N675" s="302"/>
      <c r="O675" s="302"/>
      <c r="P675" s="302"/>
      <c r="Q675" s="302"/>
      <c r="R675" s="302"/>
      <c r="S675" s="302"/>
      <c r="T675" s="302"/>
      <c r="U675" s="302"/>
      <c r="V675" s="302"/>
      <c r="W675" s="302"/>
      <c r="X675" s="302"/>
      <c r="Y675" s="302"/>
      <c r="Z675" s="302"/>
      <c r="AA675" s="302"/>
      <c r="AB675" s="302"/>
      <c r="AC675" s="302"/>
      <c r="AD675" s="302"/>
      <c r="AE675" s="302"/>
      <c r="AF675" s="302"/>
      <c r="AG675" s="302"/>
      <c r="AH675" s="302"/>
      <c r="AI675" s="302"/>
      <c r="AJ675" s="302"/>
      <c r="AK675" s="302"/>
      <c r="AL675" s="302"/>
      <c r="AM675" s="302"/>
      <c r="AN675" s="303"/>
      <c r="AO675" s="303"/>
      <c r="AP675" s="303"/>
      <c r="AQ675" s="303"/>
      <c r="AR675" s="303">
        <f>DIVISIONS!AR671</f>
        <v>-11</v>
      </c>
      <c r="AS675" s="303">
        <f>DIVISIONS!AS671</f>
        <v>-1</v>
      </c>
      <c r="AT675" s="627"/>
      <c r="AU675" s="627"/>
      <c r="AV675" s="303">
        <f>DIVISIONS!AV671</f>
        <v>0</v>
      </c>
      <c r="AW675" s="303">
        <f>DIVISIONS!AW671</f>
        <v>5</v>
      </c>
      <c r="AX675" s="627"/>
      <c r="AY675" s="303"/>
      <c r="AZ675" s="303">
        <f>DIVISIONS!AZ671</f>
        <v>1</v>
      </c>
      <c r="BA675" s="303">
        <f>DIVISIONS!BA671</f>
        <v>-3</v>
      </c>
      <c r="BB675" s="857"/>
      <c r="BC675" s="857"/>
      <c r="BD675" s="303">
        <f>DIVISIONS!BD671</f>
        <v>0</v>
      </c>
      <c r="BE675" s="303">
        <f>DIVISIONS!BE671</f>
        <v>-2</v>
      </c>
      <c r="BF675" s="857"/>
      <c r="BG675" s="859"/>
      <c r="BH675" s="303">
        <f>DIVISIONS!BH671</f>
        <v>0</v>
      </c>
      <c r="BI675" s="303">
        <f>DIVISIONS!BI671</f>
        <v>0</v>
      </c>
      <c r="BJ675" s="857"/>
      <c r="BK675" s="859"/>
      <c r="BL675" s="303">
        <f>DIVISIONS!BL671</f>
        <v>0</v>
      </c>
      <c r="BM675" s="303">
        <f>DIVISIONS!BM671</f>
        <v>0</v>
      </c>
      <c r="BN675" s="857"/>
      <c r="BO675" s="859"/>
      <c r="BP675" s="303">
        <f>DIVISIONS!BP671</f>
        <v>0</v>
      </c>
      <c r="BQ675" s="303">
        <f>DIVISIONS!BQ671</f>
        <v>0</v>
      </c>
      <c r="BR675" s="857"/>
      <c r="BS675" s="859"/>
      <c r="BT675" s="303">
        <f>DIVISIONS!BT671</f>
        <v>0</v>
      </c>
      <c r="BU675" s="303">
        <f>DIVISIONS!BU671</f>
        <v>0</v>
      </c>
      <c r="BV675" s="857"/>
      <c r="BW675" s="857"/>
      <c r="BX675" s="303">
        <f>DIVISIONS!BX671</f>
        <v>0</v>
      </c>
      <c r="BY675" s="303">
        <f>DIVISIONS!BY671</f>
        <v>0</v>
      </c>
      <c r="BZ675" s="857"/>
      <c r="CA675" s="857"/>
      <c r="CB675" s="303">
        <f>DIVISIONS!CB671</f>
        <v>0</v>
      </c>
      <c r="CC675" s="303">
        <f>DIVISIONS!CC671</f>
        <v>0</v>
      </c>
      <c r="CD675" s="857"/>
      <c r="CE675" s="931"/>
      <c r="CF675" s="303">
        <f>DIVISIONS!CF671</f>
        <v>0</v>
      </c>
      <c r="CG675" s="303">
        <f>DIVISIONS!CG671</f>
        <v>0</v>
      </c>
      <c r="CH675" s="857"/>
      <c r="CI675" s="931"/>
      <c r="CJ675" s="303">
        <f>DIVISIONS!CJ671</f>
        <v>0</v>
      </c>
      <c r="CK675" s="303">
        <f>DIVISIONS!CK671</f>
        <v>0</v>
      </c>
      <c r="CL675" s="857"/>
      <c r="CM675" s="931"/>
      <c r="CN675" s="303">
        <f>DIVISIONS!CN671</f>
        <v>0</v>
      </c>
      <c r="CO675" s="303">
        <f>DIVISIONS!CO671</f>
        <v>0</v>
      </c>
      <c r="CP675" s="857"/>
      <c r="CQ675" s="931"/>
      <c r="CR675" s="303">
        <f>DIVISIONS!CR671</f>
        <v>0</v>
      </c>
      <c r="CS675" s="303">
        <f>DIVISIONS!CS671</f>
        <v>0</v>
      </c>
      <c r="CT675" s="857"/>
      <c r="CU675" s="857"/>
      <c r="CV675" s="303">
        <f>DIVISIONS!CV671</f>
        <v>0</v>
      </c>
      <c r="CW675" s="303">
        <f>DIVISIONS!CW671</f>
        <v>0</v>
      </c>
      <c r="CX675" s="857"/>
      <c r="CY675" s="857"/>
      <c r="CZ675" s="303">
        <f>DIVISIONS!CZ671</f>
        <v>0</v>
      </c>
      <c r="DA675" s="303">
        <f>DIVISIONS!DA671</f>
        <v>0</v>
      </c>
      <c r="DB675" s="857"/>
      <c r="DC675" s="857"/>
      <c r="DD675" s="303">
        <f>DIVISIONS!DD671</f>
        <v>0</v>
      </c>
      <c r="DE675" s="303">
        <f>DIVISIONS!DE671</f>
        <v>0</v>
      </c>
      <c r="DF675" s="857"/>
      <c r="DG675" s="857"/>
      <c r="DH675" s="303">
        <f>DIVISIONS!DH671</f>
        <v>0</v>
      </c>
      <c r="DI675" s="859">
        <f>DH675*1.03</f>
        <v>0</v>
      </c>
      <c r="DJ675" s="857"/>
      <c r="DK675" s="857"/>
      <c r="DL675" s="859">
        <f>DI675*1.03</f>
        <v>0</v>
      </c>
      <c r="DM675" s="859">
        <f>DL675*1.03</f>
        <v>0</v>
      </c>
      <c r="DN675" s="857"/>
      <c r="DO675" s="857"/>
      <c r="DP675" s="859">
        <f>DM675*1.03</f>
        <v>0</v>
      </c>
      <c r="DQ675" s="859">
        <f>DP675*1.03</f>
        <v>0</v>
      </c>
      <c r="DR675" s="857"/>
      <c r="DS675" s="857"/>
      <c r="DT675" s="857"/>
      <c r="DU675" s="859"/>
      <c r="DV675" s="859"/>
      <c r="DW675" s="859"/>
      <c r="DX675" s="857"/>
      <c r="DY675" s="857"/>
      <c r="DZ675" s="859"/>
      <c r="EA675" s="859"/>
      <c r="EB675" s="857"/>
      <c r="EC675" s="857"/>
      <c r="ED675" s="859"/>
      <c r="EE675" s="859"/>
      <c r="EF675" s="857"/>
      <c r="EG675" s="857"/>
      <c r="EH675" s="857"/>
      <c r="EI675" s="857"/>
      <c r="EJ675" s="857"/>
      <c r="EK675" s="857"/>
      <c r="EL675" s="857"/>
      <c r="EM675" s="857"/>
      <c r="EN675" s="857"/>
      <c r="EO675" s="857"/>
      <c r="EP675" s="857"/>
      <c r="EQ675" s="860"/>
      <c r="ER675" s="860"/>
      <c r="ES675" s="860"/>
      <c r="ET675" s="860"/>
      <c r="EU675" s="860"/>
      <c r="EV675" s="860"/>
      <c r="EW675" s="860"/>
      <c r="EX675" s="860"/>
      <c r="EY675" s="860"/>
      <c r="EZ675" s="860"/>
      <c r="FA675" s="860"/>
      <c r="FB675" s="860"/>
      <c r="FC675" s="860"/>
      <c r="FD675" s="860"/>
      <c r="FE675" s="860"/>
      <c r="FF675" s="860"/>
      <c r="FG675" s="860"/>
      <c r="FH675" s="860"/>
      <c r="FI675" s="860"/>
      <c r="FJ675" s="860"/>
      <c r="FK675" s="860"/>
      <c r="FL675" s="855"/>
      <c r="FM675" s="855"/>
      <c r="FN675" s="855"/>
      <c r="FO675" s="855"/>
      <c r="FP675" s="855"/>
      <c r="FQ675" s="855"/>
      <c r="FR675" s="855"/>
      <c r="FS675" s="855"/>
      <c r="FT675" s="855"/>
      <c r="FU675" s="855"/>
      <c r="FV675" s="855"/>
      <c r="FW675" s="855"/>
      <c r="FX675" s="855"/>
      <c r="FY675" s="855"/>
      <c r="FZ675" s="855"/>
      <c r="GA675" s="855"/>
      <c r="GB675" s="855"/>
      <c r="GC675" s="855"/>
      <c r="GD675" s="855"/>
      <c r="GE675" s="855"/>
      <c r="GF675" s="855"/>
      <c r="GG675" s="855"/>
      <c r="GH675" s="855"/>
      <c r="GI675" s="855"/>
      <c r="GJ675" s="855"/>
      <c r="GK675" s="855"/>
      <c r="GL675" s="855"/>
      <c r="GM675" s="855"/>
      <c r="GN675" s="855"/>
      <c r="GO675" s="855"/>
      <c r="GP675" s="855"/>
      <c r="GQ675" s="855"/>
      <c r="GR675" s="855"/>
      <c r="GS675" s="855"/>
      <c r="GT675" s="855"/>
      <c r="GU675" s="855"/>
      <c r="GV675" s="855"/>
      <c r="GW675" s="855"/>
      <c r="GX675" s="855"/>
      <c r="GY675" s="855"/>
      <c r="GZ675" s="855"/>
      <c r="HA675" s="855"/>
      <c r="HB675" s="855"/>
      <c r="HC675" s="855"/>
      <c r="HD675" s="855"/>
      <c r="HE675" s="855"/>
      <c r="HF675" s="855"/>
      <c r="HG675" s="855"/>
      <c r="HH675" s="855"/>
      <c r="HI675" s="855"/>
      <c r="HJ675" s="855"/>
      <c r="HK675" s="855"/>
      <c r="HL675" s="855"/>
      <c r="HM675" s="855"/>
      <c r="HN675" s="855"/>
      <c r="HO675" s="855"/>
      <c r="HP675" s="855"/>
      <c r="HQ675" s="855"/>
      <c r="HR675" s="855"/>
      <c r="HS675" s="855"/>
      <c r="HT675" s="855"/>
      <c r="HU675" s="855"/>
      <c r="HV675" s="855"/>
      <c r="HW675" s="855"/>
      <c r="HX675" s="855"/>
      <c r="HY675" s="855"/>
      <c r="HZ675" s="855"/>
      <c r="IA675" s="855"/>
      <c r="IB675" s="855"/>
      <c r="IC675" s="855"/>
      <c r="ID675" s="855"/>
      <c r="IE675" s="855"/>
      <c r="IF675" s="855"/>
      <c r="IG675" s="855"/>
      <c r="IH675" s="855"/>
      <c r="II675" s="855"/>
      <c r="IJ675" s="855"/>
      <c r="IK675" s="855"/>
      <c r="IL675" s="855"/>
      <c r="IM675" s="855"/>
      <c r="IN675" s="855"/>
      <c r="IO675" s="855"/>
      <c r="IP675" s="855"/>
      <c r="IQ675" s="855"/>
      <c r="IR675" s="855"/>
      <c r="IS675" s="855"/>
      <c r="IT675" s="855"/>
      <c r="IU675" s="855"/>
      <c r="IV675" s="855"/>
      <c r="IW675" s="855"/>
      <c r="IX675" s="855"/>
      <c r="IY675" s="855"/>
      <c r="IZ675" s="855"/>
      <c r="JA675" s="855"/>
      <c r="JB675" s="855"/>
      <c r="JC675" s="855"/>
      <c r="JD675" s="855"/>
      <c r="JE675" s="855"/>
      <c r="JF675" s="855"/>
      <c r="JG675" s="855"/>
      <c r="JH675" s="855"/>
      <c r="JI675" s="855"/>
      <c r="JJ675" s="855"/>
      <c r="JK675" s="855"/>
      <c r="JL675" s="855"/>
      <c r="JM675"/>
    </row>
    <row r="676" spans="1:273" s="854" customFormat="1">
      <c r="A676" s="302" t="s">
        <v>691</v>
      </c>
      <c r="B676" s="304"/>
      <c r="C676" s="302"/>
      <c r="D676" s="302"/>
      <c r="E676" s="302"/>
      <c r="F676" s="302"/>
      <c r="G676" s="302"/>
      <c r="H676" s="302"/>
      <c r="I676" s="302"/>
      <c r="J676" s="302"/>
      <c r="K676" s="302"/>
      <c r="L676" s="302"/>
      <c r="M676" s="302"/>
      <c r="N676" s="302"/>
      <c r="O676" s="302"/>
      <c r="P676" s="302"/>
      <c r="Q676" s="302"/>
      <c r="R676" s="302"/>
      <c r="S676" s="302"/>
      <c r="T676" s="302"/>
      <c r="U676" s="302"/>
      <c r="V676" s="302"/>
      <c r="W676" s="302"/>
      <c r="X676" s="302"/>
      <c r="Y676" s="302"/>
      <c r="Z676" s="302"/>
      <c r="AA676" s="302"/>
      <c r="AB676" s="302"/>
      <c r="AC676" s="302"/>
      <c r="AD676" s="302"/>
      <c r="AE676" s="302"/>
      <c r="AF676" s="302"/>
      <c r="AG676" s="302"/>
      <c r="AH676" s="302"/>
      <c r="AI676" s="302"/>
      <c r="AJ676" s="302"/>
      <c r="AK676" s="302"/>
      <c r="AL676" s="302"/>
      <c r="AM676" s="302"/>
      <c r="AN676" s="303"/>
      <c r="AO676" s="303"/>
      <c r="AP676" s="303"/>
      <c r="AQ676" s="303"/>
      <c r="AR676" s="303">
        <f>DIVISIONS!AR715</f>
        <v>-182</v>
      </c>
      <c r="AS676" s="303">
        <f>DIVISIONS!AS715</f>
        <v>-248</v>
      </c>
      <c r="AT676" s="627"/>
      <c r="AU676" s="627"/>
      <c r="AV676" s="303">
        <f>DIVISIONS!AV715</f>
        <v>-114</v>
      </c>
      <c r="AW676" s="303">
        <f>DIVISIONS!AW715</f>
        <v>-127</v>
      </c>
      <c r="AX676" s="627"/>
      <c r="AY676" s="303"/>
      <c r="AZ676" s="303">
        <f>DIVISIONS!AZ715</f>
        <v>-55</v>
      </c>
      <c r="BA676" s="303">
        <f>DIVISIONS!BA715</f>
        <v>-67</v>
      </c>
      <c r="BB676" s="857"/>
      <c r="BC676" s="857"/>
      <c r="BD676" s="303">
        <f>DIVISIONS!BD715</f>
        <v>-39</v>
      </c>
      <c r="BE676" s="303">
        <f>DIVISIONS!BE715</f>
        <v>-44</v>
      </c>
      <c r="BF676" s="857"/>
      <c r="BG676" s="859"/>
      <c r="BH676" s="303">
        <f>DIVISIONS!BH715</f>
        <v>-30</v>
      </c>
      <c r="BI676" s="303">
        <f>DIVISIONS!BI715</f>
        <v>-36</v>
      </c>
      <c r="BJ676" s="857"/>
      <c r="BK676" s="859"/>
      <c r="BL676" s="303">
        <f>DIVISIONS!BL715</f>
        <v>-21</v>
      </c>
      <c r="BM676" s="303">
        <f>DIVISIONS!BM715</f>
        <v>-16</v>
      </c>
      <c r="BN676" s="857"/>
      <c r="BO676" s="859"/>
      <c r="BP676" s="303">
        <f>DIVISIONS!BP715</f>
        <v>4</v>
      </c>
      <c r="BQ676" s="303">
        <f>DIVISIONS!BQ715</f>
        <v>9</v>
      </c>
      <c r="BR676" s="857"/>
      <c r="BS676" s="859"/>
      <c r="BT676" s="303">
        <f>DIVISIONS!BT715</f>
        <v>2</v>
      </c>
      <c r="BU676" s="303">
        <f>DIVISIONS!BU715</f>
        <v>-78</v>
      </c>
      <c r="BV676" s="857"/>
      <c r="BW676" s="857"/>
      <c r="BX676" s="303">
        <f>DIVISIONS!BX715</f>
        <v>-36</v>
      </c>
      <c r="BY676" s="303">
        <f>DIVISIONS!BY715</f>
        <v>-58</v>
      </c>
      <c r="BZ676" s="857"/>
      <c r="CA676" s="857"/>
      <c r="CB676" s="303">
        <f>DIVISIONS!CB715</f>
        <v>-12</v>
      </c>
      <c r="CC676" s="303">
        <f>DIVISIONS!CC715</f>
        <v>-69</v>
      </c>
      <c r="CD676" s="857"/>
      <c r="CE676" s="931"/>
      <c r="CF676" s="303">
        <f>DIVISIONS!CF715</f>
        <v>-22</v>
      </c>
      <c r="CG676" s="303">
        <f>DIVISIONS!CG715</f>
        <v>-124</v>
      </c>
      <c r="CH676" s="857"/>
      <c r="CI676" s="931"/>
      <c r="CJ676" s="303">
        <f>DIVISIONS!CJ715</f>
        <v>-42</v>
      </c>
      <c r="CK676" s="303">
        <f>DIVISIONS!CK715</f>
        <v>-125</v>
      </c>
      <c r="CL676" s="857"/>
      <c r="CM676" s="931"/>
      <c r="CN676" s="303">
        <f>DIVISIONS!CN715</f>
        <v>-4</v>
      </c>
      <c r="CO676" s="303">
        <f>DIVISIONS!CO715</f>
        <v>-54</v>
      </c>
      <c r="CP676" s="857"/>
      <c r="CQ676" s="931"/>
      <c r="CR676" s="303">
        <f>DIVISIONS!CR715</f>
        <v>-51</v>
      </c>
      <c r="CS676" s="303">
        <f>DIVISIONS!CS715</f>
        <v>-2</v>
      </c>
      <c r="CT676" s="857"/>
      <c r="CU676" s="857"/>
      <c r="CV676" s="303">
        <f>DIVISIONS!CV715</f>
        <v>-75</v>
      </c>
      <c r="CW676" s="303">
        <f>DIVISIONS!CW715</f>
        <v>-25</v>
      </c>
      <c r="CX676" s="857"/>
      <c r="CY676" s="857"/>
      <c r="CZ676" s="303">
        <f>DIVISIONS!CZ715</f>
        <v>-13</v>
      </c>
      <c r="DA676" s="303">
        <f>DIVISIONS!DA715</f>
        <v>-26</v>
      </c>
      <c r="DB676" s="857"/>
      <c r="DC676" s="857"/>
      <c r="DD676" s="303">
        <f>DIVISIONS!DD715</f>
        <v>-28</v>
      </c>
      <c r="DE676" s="303">
        <f>DIVISIONS!DE715</f>
        <v>-24</v>
      </c>
      <c r="DF676" s="857"/>
      <c r="DG676" s="857"/>
      <c r="DH676" s="303">
        <f>DIVISIONS!DH715</f>
        <v>-40</v>
      </c>
      <c r="DI676" s="303">
        <f t="shared" ref="DI676" si="702">+DI677-SUM(DI669:DI675)</f>
        <v>-41.2</v>
      </c>
      <c r="DJ676" s="857"/>
      <c r="DK676" s="857"/>
      <c r="DL676" s="303">
        <f t="shared" ref="DL676:DM676" si="703">+DL677-SUM(DL669:DL675)</f>
        <v>-42.436000000000007</v>
      </c>
      <c r="DM676" s="303">
        <f t="shared" si="703"/>
        <v>-43.709080000000014</v>
      </c>
      <c r="DN676" s="857"/>
      <c r="DO676" s="853"/>
      <c r="DP676" s="303">
        <f t="shared" ref="DP676:DQ676" si="704">+DP677-SUM(DP669:DP675)</f>
        <v>-45.020352400000007</v>
      </c>
      <c r="DQ676" s="303">
        <f t="shared" si="704"/>
        <v>-46.370962972000008</v>
      </c>
      <c r="DR676" s="857"/>
      <c r="DS676" s="853"/>
      <c r="DT676" s="853"/>
      <c r="DU676" s="850"/>
      <c r="DV676" s="850"/>
      <c r="DW676" s="850"/>
      <c r="DX676" s="853"/>
      <c r="DY676" s="853"/>
      <c r="DZ676" s="850"/>
      <c r="EA676" s="850"/>
      <c r="EB676" s="853"/>
      <c r="EC676" s="853"/>
      <c r="ED676" s="850"/>
      <c r="EE676" s="850"/>
      <c r="EF676" s="853"/>
      <c r="EG676" s="853"/>
      <c r="EH676" s="853"/>
      <c r="EI676" s="853"/>
      <c r="EJ676" s="853"/>
      <c r="EK676" s="853"/>
      <c r="EL676" s="853"/>
      <c r="EM676" s="853"/>
      <c r="EN676" s="853"/>
      <c r="EO676" s="853"/>
      <c r="EP676" s="853"/>
      <c r="EQ676" s="855"/>
      <c r="ER676" s="855"/>
      <c r="ES676" s="855"/>
      <c r="ET676" s="855"/>
      <c r="EU676" s="855"/>
      <c r="EV676" s="855"/>
      <c r="EW676" s="855"/>
      <c r="EX676" s="855"/>
      <c r="EY676" s="855"/>
      <c r="EZ676" s="855"/>
      <c r="FA676" s="855"/>
      <c r="FB676" s="855"/>
      <c r="FC676" s="855"/>
      <c r="FD676" s="855"/>
      <c r="FE676" s="855"/>
      <c r="FF676" s="855"/>
      <c r="FG676" s="855"/>
      <c r="FH676" s="855"/>
      <c r="FI676" s="855"/>
      <c r="FJ676" s="855"/>
      <c r="FK676" s="855"/>
      <c r="FL676" s="855"/>
      <c r="FM676" s="855"/>
      <c r="FN676" s="855"/>
      <c r="FO676" s="855"/>
      <c r="FP676" s="855"/>
      <c r="FQ676" s="855"/>
      <c r="FR676" s="855"/>
      <c r="FS676" s="855"/>
      <c r="FT676" s="855"/>
      <c r="FU676" s="855"/>
      <c r="FV676" s="855"/>
      <c r="FW676" s="855"/>
      <c r="FX676" s="855"/>
      <c r="FY676" s="855"/>
      <c r="FZ676" s="855"/>
      <c r="GA676" s="855"/>
      <c r="GB676" s="855"/>
      <c r="GC676" s="855"/>
      <c r="GD676" s="855"/>
      <c r="GE676" s="855"/>
      <c r="GF676" s="855"/>
      <c r="GG676" s="855"/>
      <c r="GH676" s="855"/>
      <c r="GI676" s="855"/>
      <c r="GJ676" s="855"/>
      <c r="GK676" s="855"/>
      <c r="GL676" s="855"/>
      <c r="GM676" s="855"/>
      <c r="GN676" s="855"/>
      <c r="GO676" s="855"/>
      <c r="GP676" s="855"/>
      <c r="GQ676" s="855"/>
      <c r="GR676" s="855"/>
      <c r="GS676" s="855"/>
      <c r="GT676" s="855"/>
      <c r="GU676" s="855"/>
      <c r="GV676" s="855"/>
      <c r="GW676" s="855"/>
      <c r="GX676" s="855"/>
      <c r="GY676" s="855"/>
      <c r="GZ676" s="855"/>
      <c r="HA676" s="855"/>
      <c r="HB676" s="855"/>
      <c r="HC676" s="855"/>
      <c r="HD676" s="855"/>
      <c r="HE676" s="855"/>
      <c r="HF676" s="855"/>
      <c r="HG676" s="855"/>
      <c r="HH676" s="855"/>
      <c r="HI676" s="855"/>
      <c r="HJ676" s="855"/>
      <c r="HK676" s="855"/>
      <c r="HL676" s="855"/>
      <c r="HM676" s="855"/>
      <c r="HN676" s="855"/>
      <c r="HO676" s="855"/>
      <c r="HP676" s="855"/>
      <c r="HQ676" s="855"/>
      <c r="HR676" s="855"/>
      <c r="HS676" s="855"/>
      <c r="HT676" s="855"/>
      <c r="HU676" s="855"/>
      <c r="HV676" s="855"/>
      <c r="HW676" s="855"/>
      <c r="HX676" s="855"/>
      <c r="HY676" s="855"/>
      <c r="HZ676" s="855"/>
      <c r="IA676" s="855"/>
      <c r="IB676" s="855"/>
      <c r="IC676" s="855"/>
      <c r="ID676" s="855"/>
      <c r="IE676" s="855"/>
      <c r="IF676" s="855"/>
      <c r="IG676" s="855"/>
      <c r="IH676" s="855"/>
      <c r="II676" s="855"/>
      <c r="IJ676" s="855"/>
      <c r="IK676" s="855"/>
      <c r="IL676" s="855"/>
      <c r="IM676" s="855"/>
      <c r="IN676" s="855"/>
      <c r="IO676" s="855"/>
      <c r="IP676" s="855"/>
      <c r="IQ676" s="855"/>
      <c r="IR676" s="855"/>
      <c r="IS676" s="855"/>
      <c r="IT676" s="855"/>
      <c r="IU676" s="855"/>
      <c r="IV676" s="855"/>
      <c r="IW676" s="855"/>
      <c r="IX676" s="855"/>
      <c r="IY676" s="855"/>
      <c r="IZ676" s="855"/>
      <c r="JA676" s="855"/>
      <c r="JB676" s="855"/>
      <c r="JC676" s="855"/>
      <c r="JD676" s="855"/>
      <c r="JE676" s="855"/>
      <c r="JF676" s="855"/>
      <c r="JG676" s="855"/>
      <c r="JH676" s="855"/>
      <c r="JI676" s="855"/>
      <c r="JJ676" s="855"/>
      <c r="JK676" s="855"/>
      <c r="JL676" s="855"/>
      <c r="JM676"/>
    </row>
    <row r="677" spans="1:273" s="855" customFormat="1">
      <c r="A677" s="289" t="s">
        <v>613</v>
      </c>
      <c r="B677" s="290"/>
      <c r="C677" s="289"/>
      <c r="D677" s="289"/>
      <c r="E677" s="289"/>
      <c r="F677" s="289"/>
      <c r="G677" s="289"/>
      <c r="H677" s="289"/>
      <c r="I677" s="289"/>
      <c r="J677" s="289"/>
      <c r="K677" s="289"/>
      <c r="L677" s="289"/>
      <c r="M677" s="289"/>
      <c r="N677" s="289"/>
      <c r="O677" s="289"/>
      <c r="P677" s="289"/>
      <c r="Q677" s="289"/>
      <c r="R677" s="289"/>
      <c r="S677" s="289"/>
      <c r="T677" s="289"/>
      <c r="U677" s="289"/>
      <c r="V677" s="289"/>
      <c r="W677" s="289"/>
      <c r="X677" s="289"/>
      <c r="Y677" s="289"/>
      <c r="Z677" s="289"/>
      <c r="AA677" s="289"/>
      <c r="AB677" s="289"/>
      <c r="AC677" s="289"/>
      <c r="AD677" s="289"/>
      <c r="AE677" s="289"/>
      <c r="AF677" s="289"/>
      <c r="AG677" s="289"/>
      <c r="AH677" s="289"/>
      <c r="AI677" s="289"/>
      <c r="AJ677" s="289"/>
      <c r="AK677" s="289"/>
      <c r="AL677" s="289"/>
      <c r="AM677" s="289"/>
      <c r="AN677" s="290"/>
      <c r="AO677" s="290"/>
      <c r="AP677" s="290"/>
      <c r="AQ677" s="290"/>
      <c r="AR677" s="295">
        <f>SUM(AR669:AR676)</f>
        <v>0</v>
      </c>
      <c r="AS677" s="295">
        <f>SUM(AS669:AS676)</f>
        <v>0</v>
      </c>
      <c r="AT677" s="290"/>
      <c r="AU677" s="290"/>
      <c r="AV677" s="295">
        <f>SUM(AV669:AV676)</f>
        <v>0</v>
      </c>
      <c r="AW677" s="295">
        <f>SUM(AW669:AW676)</f>
        <v>0</v>
      </c>
      <c r="AX677" s="853"/>
      <c r="AY677" s="853"/>
      <c r="AZ677" s="295">
        <f>SUM(AZ669:AZ676)</f>
        <v>0</v>
      </c>
      <c r="BA677" s="295">
        <f>SUM(BA669:BA676)</f>
        <v>0</v>
      </c>
      <c r="BB677" s="853"/>
      <c r="BC677" s="853"/>
      <c r="BD677" s="295">
        <f>SUM(BD669:BD676)</f>
        <v>0</v>
      </c>
      <c r="BE677" s="295">
        <f>SUM(BE669:BE676)</f>
        <v>-2</v>
      </c>
      <c r="BF677" s="853"/>
      <c r="BG677" s="853"/>
      <c r="BH677" s="295">
        <f>SUM(BH669:BH676)</f>
        <v>0</v>
      </c>
      <c r="BI677" s="295">
        <f>SUM(BI669:BI676)</f>
        <v>0</v>
      </c>
      <c r="BJ677" s="853"/>
      <c r="BK677" s="853"/>
      <c r="BL677" s="295">
        <f>SUM(BL669:BL676)</f>
        <v>0</v>
      </c>
      <c r="BM677" s="295">
        <f>SUM(BM669:BM676)</f>
        <v>0</v>
      </c>
      <c r="BN677" s="853"/>
      <c r="BO677" s="853"/>
      <c r="BP677" s="295">
        <f>SUM(BP669:BP676)</f>
        <v>0</v>
      </c>
      <c r="BQ677" s="295">
        <f>SUM(BQ669:BQ676)</f>
        <v>0</v>
      </c>
      <c r="BR677" s="853"/>
      <c r="BS677" s="853"/>
      <c r="BT677" s="295">
        <f>SUM(BT669:BT676)</f>
        <v>0</v>
      </c>
      <c r="BU677" s="295">
        <f>SUM(BU669:BU676)</f>
        <v>0</v>
      </c>
      <c r="BV677" s="853"/>
      <c r="BW677" s="853"/>
      <c r="BX677" s="295">
        <f>SUM(BX669:BX676)</f>
        <v>0</v>
      </c>
      <c r="BY677" s="295">
        <f>SUM(BY669:BY676)</f>
        <v>0</v>
      </c>
      <c r="BZ677" s="853"/>
      <c r="CA677" s="853"/>
      <c r="CB677" s="295">
        <f>SUM(CB669:CB676)</f>
        <v>0</v>
      </c>
      <c r="CC677" s="295">
        <f>SUM(CC669:CC676)</f>
        <v>0</v>
      </c>
      <c r="CD677" s="853"/>
      <c r="CE677" s="862"/>
      <c r="CF677" s="295">
        <f>SUM(CF669:CF676)</f>
        <v>0</v>
      </c>
      <c r="CG677" s="295">
        <f>SUM(CG669:CG676)</f>
        <v>0</v>
      </c>
      <c r="CH677" s="853"/>
      <c r="CI677" s="862"/>
      <c r="CJ677" s="295">
        <f>SUM(CJ669:CJ676)</f>
        <v>0</v>
      </c>
      <c r="CK677" s="295">
        <f>SUM(CK669:CK676)</f>
        <v>0</v>
      </c>
      <c r="CL677" s="853"/>
      <c r="CM677" s="862"/>
      <c r="CN677" s="295">
        <f>SUM(CN669:CN676)</f>
        <v>0</v>
      </c>
      <c r="CO677" s="295">
        <f>SUM(CO669:CO676)</f>
        <v>0</v>
      </c>
      <c r="CP677" s="853"/>
      <c r="CQ677" s="1622"/>
      <c r="CR677" s="295">
        <f>SUM(CR669:CR676)</f>
        <v>0</v>
      </c>
      <c r="CS677" s="295">
        <f>SUM(CS669:CS676)</f>
        <v>0</v>
      </c>
      <c r="CT677" s="853"/>
      <c r="CU677" s="853"/>
      <c r="CV677" s="295">
        <f>SUM(CV669:CV676)</f>
        <v>0</v>
      </c>
      <c r="CW677" s="295">
        <f>SUM(CW669:CW676)</f>
        <v>0</v>
      </c>
      <c r="CX677" s="853"/>
      <c r="CY677" s="853"/>
      <c r="CZ677" s="295">
        <f>SUM(CZ669:CZ676)</f>
        <v>0</v>
      </c>
      <c r="DA677" s="295">
        <f>SUM(DA669:DA676)</f>
        <v>0</v>
      </c>
      <c r="DB677" s="853"/>
      <c r="DC677" s="853"/>
      <c r="DD677" s="295">
        <f>SUM(DD669:DD676)</f>
        <v>0</v>
      </c>
      <c r="DE677" s="295">
        <f>SUM(DE669:DE676)</f>
        <v>0</v>
      </c>
      <c r="DF677" s="853"/>
      <c r="DG677" s="853"/>
      <c r="DH677" s="295">
        <f>SUM(DH669:DH676)</f>
        <v>0</v>
      </c>
      <c r="DI677" s="655">
        <v>0</v>
      </c>
      <c r="DJ677" s="853"/>
      <c r="DK677" s="853"/>
      <c r="DL677" s="655">
        <v>0</v>
      </c>
      <c r="DM677" s="655">
        <v>0</v>
      </c>
      <c r="DN677" s="853"/>
      <c r="DO677" s="853"/>
      <c r="DP677" s="655">
        <v>0</v>
      </c>
      <c r="DQ677" s="655">
        <v>0</v>
      </c>
      <c r="DR677" s="853"/>
      <c r="DS677" s="853"/>
      <c r="DT677" s="853"/>
      <c r="DU677" s="295"/>
      <c r="DV677" s="295"/>
      <c r="DW677" s="295"/>
      <c r="DX677" s="853"/>
      <c r="DY677" s="853"/>
      <c r="DZ677" s="295"/>
      <c r="EA677" s="295"/>
      <c r="EB677" s="853"/>
      <c r="EC677" s="853"/>
      <c r="ED677" s="295"/>
      <c r="EE677" s="295"/>
      <c r="EF677" s="853"/>
      <c r="EG677" s="853"/>
      <c r="EH677" s="853"/>
      <c r="EI677" s="853"/>
      <c r="EJ677" s="853"/>
      <c r="EK677" s="853"/>
      <c r="EL677" s="853"/>
      <c r="EM677" s="853"/>
      <c r="EN677" s="853"/>
      <c r="EO677" s="853"/>
      <c r="EP677" s="853"/>
      <c r="JM677"/>
    </row>
    <row r="678" spans="1:273" s="855" customFormat="1">
      <c r="A678" s="289"/>
      <c r="B678" s="290"/>
      <c r="C678" s="289"/>
      <c r="D678" s="289"/>
      <c r="E678" s="289"/>
      <c r="F678" s="289"/>
      <c r="G678" s="289"/>
      <c r="H678" s="289"/>
      <c r="I678" s="289"/>
      <c r="J678" s="289"/>
      <c r="K678" s="289"/>
      <c r="L678" s="289"/>
      <c r="M678" s="289"/>
      <c r="N678" s="289"/>
      <c r="O678" s="289"/>
      <c r="P678" s="289"/>
      <c r="Q678" s="289"/>
      <c r="R678" s="289"/>
      <c r="S678" s="289"/>
      <c r="T678" s="289"/>
      <c r="U678" s="289"/>
      <c r="V678" s="289"/>
      <c r="W678" s="289"/>
      <c r="X678" s="289"/>
      <c r="Y678" s="289"/>
      <c r="Z678" s="289"/>
      <c r="AA678" s="289"/>
      <c r="AB678" s="289"/>
      <c r="AC678" s="289"/>
      <c r="AD678" s="289"/>
      <c r="AE678" s="289"/>
      <c r="AF678" s="289"/>
      <c r="AG678" s="289"/>
      <c r="AH678" s="289"/>
      <c r="AI678" s="289"/>
      <c r="AJ678" s="289"/>
      <c r="AK678" s="289"/>
      <c r="AL678" s="289"/>
      <c r="AM678" s="289"/>
      <c r="AN678" s="290"/>
      <c r="AO678" s="290"/>
      <c r="AP678" s="290"/>
      <c r="AQ678" s="290"/>
      <c r="AR678" s="295"/>
      <c r="AS678" s="295"/>
      <c r="AT678" s="290"/>
      <c r="AU678" s="290"/>
      <c r="AV678" s="295"/>
      <c r="AW678" s="295"/>
      <c r="AX678" s="853"/>
      <c r="AY678" s="853"/>
      <c r="AZ678" s="295"/>
      <c r="BA678" s="295"/>
      <c r="BB678" s="853"/>
      <c r="BC678" s="853"/>
      <c r="BD678" s="295"/>
      <c r="BE678" s="295"/>
      <c r="BF678" s="853"/>
      <c r="BG678" s="853"/>
      <c r="BH678" s="295"/>
      <c r="BI678" s="295"/>
      <c r="BJ678" s="853"/>
      <c r="BK678" s="853"/>
      <c r="BL678" s="295"/>
      <c r="BM678" s="295"/>
      <c r="BN678" s="853"/>
      <c r="BO678" s="853"/>
      <c r="BP678" s="295"/>
      <c r="BQ678" s="295"/>
      <c r="BR678" s="853"/>
      <c r="BS678" s="853"/>
      <c r="BT678" s="295"/>
      <c r="BU678" s="295"/>
      <c r="BV678" s="853"/>
      <c r="BW678" s="853"/>
      <c r="BX678" s="295"/>
      <c r="BY678" s="295"/>
      <c r="BZ678" s="853"/>
      <c r="CA678" s="853"/>
      <c r="CB678" s="295"/>
      <c r="CC678" s="295"/>
      <c r="CD678" s="853"/>
      <c r="CE678" s="862"/>
      <c r="CF678" s="295"/>
      <c r="CG678" s="295"/>
      <c r="CH678" s="853"/>
      <c r="CI678" s="862"/>
      <c r="CJ678" s="295"/>
      <c r="CK678" s="295"/>
      <c r="CL678" s="853"/>
      <c r="CM678" s="862"/>
      <c r="CN678" s="295"/>
      <c r="CO678" s="295"/>
      <c r="CP678" s="853"/>
      <c r="CQ678" s="1622"/>
      <c r="CR678" s="295"/>
      <c r="CS678" s="295"/>
      <c r="CT678" s="853"/>
      <c r="CU678" s="853"/>
      <c r="CV678" s="655"/>
      <c r="CW678" s="655"/>
      <c r="CX678" s="853"/>
      <c r="CY678" s="853"/>
      <c r="CZ678" s="655"/>
      <c r="DA678" s="655"/>
      <c r="DB678" s="853"/>
      <c r="DC678" s="853"/>
      <c r="DD678" s="655"/>
      <c r="DE678" s="655"/>
      <c r="DF678" s="853"/>
      <c r="DG678" s="853"/>
      <c r="DH678" s="655"/>
      <c r="DI678" s="655"/>
      <c r="DJ678" s="853"/>
      <c r="DK678" s="853"/>
      <c r="DL678" s="655"/>
      <c r="DM678" s="655"/>
      <c r="DN678" s="853"/>
      <c r="DO678" s="853"/>
      <c r="DP678" s="655"/>
      <c r="DQ678" s="655"/>
      <c r="DR678" s="853"/>
      <c r="DS678" s="853"/>
      <c r="DT678" s="853"/>
      <c r="DU678" s="295"/>
      <c r="DV678" s="295"/>
      <c r="DW678" s="295"/>
      <c r="DX678" s="853"/>
      <c r="DY678" s="853"/>
      <c r="DZ678" s="295"/>
      <c r="EA678" s="295"/>
      <c r="EB678" s="853"/>
      <c r="EC678" s="853"/>
      <c r="ED678" s="295"/>
      <c r="EE678" s="295"/>
      <c r="EF678" s="853"/>
      <c r="EG678" s="853"/>
      <c r="EH678" s="853"/>
      <c r="EI678" s="853"/>
      <c r="EJ678" s="853"/>
      <c r="EK678" s="853"/>
      <c r="EL678" s="853"/>
      <c r="EM678" s="853"/>
      <c r="EN678" s="853"/>
      <c r="EO678" s="853"/>
      <c r="EP678" s="853"/>
      <c r="JM678"/>
    </row>
    <row r="679" spans="1:273" s="855" customFormat="1">
      <c r="A679" s="289"/>
      <c r="B679" s="290"/>
      <c r="C679" s="289"/>
      <c r="D679" s="289"/>
      <c r="E679" s="289"/>
      <c r="F679" s="289"/>
      <c r="G679" s="289"/>
      <c r="H679" s="289"/>
      <c r="I679" s="289"/>
      <c r="J679" s="289"/>
      <c r="K679" s="289"/>
      <c r="L679" s="289"/>
      <c r="M679" s="289"/>
      <c r="N679" s="289"/>
      <c r="O679" s="289"/>
      <c r="P679" s="289"/>
      <c r="Q679" s="289"/>
      <c r="R679" s="289"/>
      <c r="S679" s="289"/>
      <c r="T679" s="289"/>
      <c r="U679" s="289"/>
      <c r="V679" s="289"/>
      <c r="W679" s="289"/>
      <c r="X679" s="289"/>
      <c r="Y679" s="289"/>
      <c r="Z679" s="289"/>
      <c r="AA679" s="289"/>
      <c r="AB679" s="289"/>
      <c r="AC679" s="289"/>
      <c r="AD679" s="289"/>
      <c r="AE679" s="289"/>
      <c r="AF679" s="289"/>
      <c r="AG679" s="289"/>
      <c r="AH679" s="289"/>
      <c r="AI679" s="289"/>
      <c r="AJ679" s="289"/>
      <c r="AK679" s="289"/>
      <c r="AL679" s="289"/>
      <c r="AM679" s="289"/>
      <c r="AN679" s="290"/>
      <c r="AO679" s="290"/>
      <c r="AP679" s="290"/>
      <c r="AQ679" s="290"/>
      <c r="AR679" s="295"/>
      <c r="AS679" s="295"/>
      <c r="AT679" s="290"/>
      <c r="AU679" s="290"/>
      <c r="AV679" s="295"/>
      <c r="AW679" s="295"/>
      <c r="AX679" s="853"/>
      <c r="AY679" s="853"/>
      <c r="AZ679" s="295"/>
      <c r="BA679" s="295"/>
      <c r="BB679" s="853"/>
      <c r="BC679" s="853"/>
      <c r="BD679" s="295"/>
      <c r="BE679" s="295"/>
      <c r="BF679" s="853"/>
      <c r="BG679" s="853"/>
      <c r="BH679" s="295"/>
      <c r="BI679" s="295"/>
      <c r="BJ679" s="853"/>
      <c r="BK679" s="853"/>
      <c r="BL679" s="295"/>
      <c r="BM679" s="295"/>
      <c r="BN679" s="853"/>
      <c r="BO679" s="853"/>
      <c r="BP679" s="295"/>
      <c r="BQ679" s="295"/>
      <c r="BR679" s="853"/>
      <c r="BS679" s="853"/>
      <c r="BT679" s="295"/>
      <c r="BU679" s="295"/>
      <c r="BV679" s="853"/>
      <c r="BW679" s="853"/>
      <c r="BX679" s="295"/>
      <c r="BY679" s="295"/>
      <c r="BZ679" s="853"/>
      <c r="CA679" s="853"/>
      <c r="CB679" s="295"/>
      <c r="CC679" s="295"/>
      <c r="CD679" s="853"/>
      <c r="CE679" s="862"/>
      <c r="CF679" s="295"/>
      <c r="CG679" s="295"/>
      <c r="CH679" s="853"/>
      <c r="CI679" s="862"/>
      <c r="CJ679" s="295"/>
      <c r="CK679" s="295"/>
      <c r="CL679" s="853"/>
      <c r="CM679" s="862"/>
      <c r="CN679" s="295"/>
      <c r="CO679" s="295"/>
      <c r="CP679" s="853"/>
      <c r="CQ679" s="1622"/>
      <c r="CR679" s="295"/>
      <c r="CS679" s="295"/>
      <c r="CT679" s="853"/>
      <c r="CU679" s="853"/>
      <c r="CV679" s="655"/>
      <c r="CW679" s="655"/>
      <c r="CX679" s="853"/>
      <c r="CY679" s="853"/>
      <c r="CZ679" s="655"/>
      <c r="DA679" s="655"/>
      <c r="DB679" s="853"/>
      <c r="DC679" s="853"/>
      <c r="DD679" s="655"/>
      <c r="DE679" s="655"/>
      <c r="DF679" s="853"/>
      <c r="DG679" s="853"/>
      <c r="DH679" s="655"/>
      <c r="DI679" s="655"/>
      <c r="DJ679" s="853"/>
      <c r="DK679" s="853"/>
      <c r="DL679" s="655"/>
      <c r="DM679" s="655"/>
      <c r="DN679" s="853"/>
      <c r="DO679" s="853"/>
      <c r="DP679" s="655"/>
      <c r="DQ679" s="655"/>
      <c r="DR679" s="853"/>
      <c r="DS679" s="853"/>
      <c r="DT679" s="853"/>
      <c r="DU679" s="295"/>
      <c r="DV679" s="295"/>
      <c r="DW679" s="295"/>
      <c r="DX679" s="853"/>
      <c r="DY679" s="853"/>
      <c r="DZ679" s="295"/>
      <c r="EA679" s="295"/>
      <c r="EB679" s="853"/>
      <c r="EC679" s="853"/>
      <c r="ED679" s="295"/>
      <c r="EE679" s="295"/>
      <c r="EF679" s="853"/>
      <c r="EG679" s="853"/>
      <c r="EH679" s="853"/>
      <c r="EI679" s="853"/>
      <c r="EJ679" s="853"/>
      <c r="EK679" s="853"/>
      <c r="EL679" s="853"/>
      <c r="EM679" s="853"/>
      <c r="EN679" s="853"/>
      <c r="EO679" s="853"/>
      <c r="EP679" s="853"/>
      <c r="JM679"/>
    </row>
    <row r="680" spans="1:273" s="854" customFormat="1">
      <c r="A680" s="102"/>
      <c r="B680" s="103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290"/>
      <c r="AO680" s="290"/>
      <c r="AP680" s="290"/>
      <c r="AQ680" s="290"/>
      <c r="AR680" s="290"/>
      <c r="AS680" s="290"/>
      <c r="AT680" s="290"/>
      <c r="AU680" s="290"/>
      <c r="AV680" s="818"/>
      <c r="AW680" s="818"/>
      <c r="AX680" s="853"/>
      <c r="AY680" s="853"/>
      <c r="AZ680" s="818"/>
      <c r="BA680" s="850"/>
      <c r="BB680" s="853"/>
      <c r="BC680" s="853"/>
      <c r="BD680" s="850"/>
      <c r="BE680" s="850"/>
      <c r="BF680" s="853"/>
      <c r="BG680" s="853"/>
      <c r="BH680" s="850"/>
      <c r="BI680" s="850"/>
      <c r="BJ680" s="853"/>
      <c r="BK680" s="853"/>
      <c r="BL680" s="850"/>
      <c r="BM680" s="850"/>
      <c r="BN680" s="853"/>
      <c r="BO680" s="853"/>
      <c r="BP680" s="850"/>
      <c r="BQ680" s="850"/>
      <c r="BR680" s="853"/>
      <c r="BS680" s="853"/>
      <c r="BT680" s="850"/>
      <c r="BU680" s="850"/>
      <c r="BV680" s="853"/>
      <c r="BW680" s="853"/>
      <c r="BX680" s="850"/>
      <c r="BY680" s="850"/>
      <c r="BZ680" s="853"/>
      <c r="CA680" s="853"/>
      <c r="CB680" s="850"/>
      <c r="CC680" s="850"/>
      <c r="CD680" s="853"/>
      <c r="CE680" s="862"/>
      <c r="CF680" s="850"/>
      <c r="CG680" s="850"/>
      <c r="CH680" s="853"/>
      <c r="CI680" s="862"/>
      <c r="CJ680" s="850"/>
      <c r="CK680" s="850"/>
      <c r="CL680" s="853"/>
      <c r="CM680" s="862"/>
      <c r="CN680" s="850"/>
      <c r="CO680" s="850"/>
      <c r="CP680" s="853"/>
      <c r="CQ680" s="862"/>
      <c r="CR680" s="850"/>
      <c r="CS680" s="850"/>
      <c r="CT680" s="853"/>
      <c r="CU680" s="853"/>
      <c r="CV680" s="850"/>
      <c r="CW680" s="850"/>
      <c r="CX680" s="853"/>
      <c r="CY680" s="853"/>
      <c r="CZ680" s="850"/>
      <c r="DA680" s="850"/>
      <c r="DB680" s="853"/>
      <c r="DC680" s="853"/>
      <c r="DD680" s="850"/>
      <c r="DE680" s="850"/>
      <c r="DF680" s="853"/>
      <c r="DG680" s="853"/>
      <c r="DH680" s="850"/>
      <c r="DI680" s="850"/>
      <c r="DJ680" s="853"/>
      <c r="DK680" s="853"/>
      <c r="DL680" s="850"/>
      <c r="DM680" s="850"/>
      <c r="DN680" s="853"/>
      <c r="DO680" s="853"/>
      <c r="DP680" s="850"/>
      <c r="DQ680" s="850"/>
      <c r="DR680" s="853"/>
      <c r="DS680" s="853"/>
      <c r="DT680" s="853"/>
      <c r="DU680" s="850"/>
      <c r="DV680" s="850"/>
      <c r="DW680" s="850"/>
      <c r="DX680" s="853"/>
      <c r="DY680" s="853"/>
      <c r="DZ680" s="850"/>
      <c r="EA680" s="850"/>
      <c r="EB680" s="853"/>
      <c r="EC680" s="853"/>
      <c r="ED680" s="850"/>
      <c r="EE680" s="850"/>
      <c r="EF680" s="853"/>
      <c r="EG680" s="853"/>
      <c r="EH680" s="853"/>
      <c r="EI680" s="853"/>
      <c r="EJ680" s="853"/>
      <c r="EK680" s="853"/>
      <c r="EL680" s="853"/>
      <c r="EM680" s="853"/>
      <c r="EN680" s="853"/>
      <c r="EO680" s="853"/>
      <c r="EP680" s="853"/>
      <c r="EQ680" s="855"/>
      <c r="ER680" s="855"/>
      <c r="ES680" s="855"/>
      <c r="ET680" s="855"/>
      <c r="EU680" s="855"/>
      <c r="EV680" s="855"/>
      <c r="EW680" s="855"/>
      <c r="EX680" s="855"/>
      <c r="EY680" s="855"/>
      <c r="EZ680" s="855"/>
      <c r="FA680" s="855"/>
      <c r="FB680" s="855"/>
      <c r="FC680" s="855"/>
      <c r="FD680" s="855"/>
      <c r="FE680" s="855"/>
      <c r="FF680" s="855"/>
      <c r="FG680" s="855"/>
      <c r="FH680" s="855"/>
      <c r="FI680" s="855"/>
      <c r="FJ680" s="855"/>
      <c r="FK680" s="855"/>
      <c r="FL680" s="855"/>
      <c r="FM680" s="855"/>
      <c r="FN680" s="855"/>
      <c r="FO680" s="855"/>
      <c r="FP680" s="855"/>
      <c r="FQ680" s="855"/>
      <c r="FR680" s="855"/>
      <c r="FS680" s="855"/>
      <c r="FT680" s="855"/>
      <c r="FU680" s="855"/>
      <c r="FV680" s="855"/>
      <c r="FW680" s="855"/>
      <c r="FX680" s="855"/>
      <c r="FY680" s="855"/>
      <c r="FZ680" s="855"/>
      <c r="GA680" s="855"/>
      <c r="GB680" s="855"/>
      <c r="GC680" s="855"/>
      <c r="GD680" s="855"/>
      <c r="GE680" s="855"/>
      <c r="GF680" s="855"/>
      <c r="GG680" s="855"/>
      <c r="GH680" s="855"/>
      <c r="GI680" s="855"/>
      <c r="GJ680" s="855"/>
      <c r="GK680" s="855"/>
      <c r="GL680" s="855"/>
      <c r="GM680" s="855"/>
      <c r="GN680" s="855"/>
      <c r="GO680" s="855"/>
      <c r="GP680" s="855"/>
      <c r="GQ680" s="855"/>
      <c r="GR680" s="855"/>
      <c r="GS680" s="855"/>
      <c r="GT680" s="855"/>
      <c r="GU680" s="855"/>
      <c r="GV680" s="855"/>
      <c r="GW680" s="855"/>
      <c r="GX680" s="855"/>
      <c r="GY680" s="855"/>
      <c r="GZ680" s="855"/>
      <c r="HA680" s="855"/>
      <c r="HB680" s="855"/>
      <c r="HC680" s="855"/>
      <c r="HD680" s="855"/>
      <c r="HE680" s="855"/>
      <c r="HF680" s="855"/>
      <c r="HG680" s="855"/>
      <c r="HH680" s="855"/>
      <c r="HI680" s="855"/>
      <c r="HJ680" s="855"/>
      <c r="HK680" s="855"/>
      <c r="HL680" s="855"/>
      <c r="HM680" s="855"/>
      <c r="HN680" s="855"/>
      <c r="HO680" s="855"/>
      <c r="HP680" s="855"/>
      <c r="HQ680" s="855"/>
      <c r="HR680" s="855"/>
      <c r="HS680" s="855"/>
      <c r="HT680" s="855"/>
      <c r="HU680" s="855"/>
      <c r="HV680" s="855"/>
      <c r="HW680" s="855"/>
      <c r="HX680" s="855"/>
      <c r="HY680" s="855"/>
      <c r="HZ680" s="855"/>
      <c r="IA680" s="855"/>
      <c r="IB680" s="855"/>
      <c r="IC680" s="855"/>
      <c r="ID680" s="855"/>
      <c r="IE680" s="855"/>
      <c r="IF680" s="855"/>
      <c r="IG680" s="855"/>
      <c r="IH680" s="855"/>
      <c r="II680" s="855"/>
      <c r="IJ680" s="855"/>
      <c r="IK680" s="855"/>
      <c r="IL680" s="855"/>
      <c r="IM680" s="855"/>
      <c r="IN680" s="855"/>
      <c r="IO680" s="855"/>
      <c r="IP680" s="855"/>
      <c r="IQ680" s="855"/>
      <c r="IR680" s="855"/>
      <c r="IS680" s="855"/>
      <c r="IT680" s="855"/>
      <c r="IU680" s="855"/>
      <c r="IV680" s="855"/>
      <c r="IW680" s="855"/>
      <c r="IX680" s="855"/>
      <c r="IY680" s="855"/>
      <c r="IZ680" s="855"/>
      <c r="JA680" s="855"/>
      <c r="JB680" s="855"/>
      <c r="JC680" s="855"/>
      <c r="JD680" s="855"/>
      <c r="JE680" s="855"/>
      <c r="JF680" s="855"/>
      <c r="JG680" s="855"/>
      <c r="JH680" s="855"/>
      <c r="JI680" s="855"/>
      <c r="JJ680" s="855"/>
      <c r="JK680" s="855"/>
      <c r="JL680" s="855"/>
      <c r="JM680"/>
    </row>
    <row r="681" spans="1:273" s="1562" customFormat="1" ht="31.2" customHeight="1">
      <c r="A681" s="1665" t="s">
        <v>604</v>
      </c>
      <c r="B681" s="1561"/>
      <c r="AN681" s="1561"/>
      <c r="AO681" s="1561"/>
      <c r="AP681" s="1561"/>
      <c r="AQ681" s="1561"/>
      <c r="AR681" s="1561"/>
      <c r="AS681" s="1561"/>
      <c r="AT681" s="1561"/>
      <c r="AU681" s="1561"/>
      <c r="AV681" s="1561"/>
      <c r="AW681" s="1561"/>
      <c r="AX681" s="1561"/>
      <c r="AY681" s="1561"/>
      <c r="AZ681" s="1561"/>
      <c r="BA681" s="1561"/>
      <c r="BB681" s="1561"/>
      <c r="BC681" s="1561"/>
      <c r="BD681" s="1561"/>
      <c r="BE681" s="1561"/>
      <c r="BF681" s="1561"/>
      <c r="BG681" s="1561"/>
      <c r="BH681" s="1561"/>
      <c r="BI681" s="1561"/>
      <c r="BJ681" s="1561"/>
      <c r="BK681" s="1561"/>
      <c r="BL681" s="1561"/>
      <c r="BM681" s="1561"/>
      <c r="BN681" s="1561"/>
      <c r="BO681" s="1561"/>
      <c r="BP681" s="1561"/>
      <c r="BQ681" s="1561"/>
      <c r="BR681" s="1561"/>
      <c r="BS681" s="1561"/>
      <c r="BT681" s="1561"/>
      <c r="BU681" s="1561"/>
      <c r="BV681" s="1561"/>
      <c r="BW681" s="1561"/>
      <c r="BX681" s="1561"/>
      <c r="BY681" s="1561"/>
      <c r="BZ681" s="1561"/>
      <c r="CA681" s="1561"/>
      <c r="CB681" s="1561"/>
      <c r="CC681" s="1561"/>
      <c r="CD681" s="1561"/>
      <c r="CE681" s="1623"/>
      <c r="CF681" s="1561"/>
      <c r="CG681" s="1561"/>
      <c r="CH681" s="1561"/>
      <c r="CI681" s="1623"/>
      <c r="CJ681" s="1561"/>
      <c r="CK681" s="1561"/>
      <c r="CL681" s="1561"/>
      <c r="CM681" s="1623"/>
      <c r="CN681" s="1561"/>
      <c r="CO681" s="1561"/>
      <c r="CP681" s="1561"/>
      <c r="CQ681" s="1623"/>
      <c r="CR681" s="1561"/>
      <c r="CS681" s="1561"/>
      <c r="CT681" s="1561"/>
      <c r="CU681" s="1561"/>
      <c r="CV681" s="1561"/>
      <c r="CW681" s="1561"/>
      <c r="CX681" s="1561"/>
      <c r="CY681" s="1561"/>
      <c r="CZ681" s="1561"/>
      <c r="DA681" s="1561"/>
      <c r="DB681" s="1561"/>
      <c r="DC681" s="1561"/>
      <c r="DD681" s="1561"/>
      <c r="DE681" s="1561"/>
      <c r="DF681" s="1561"/>
      <c r="DG681" s="1561"/>
      <c r="DH681" s="1561"/>
      <c r="DI681" s="1561"/>
      <c r="DJ681" s="1561"/>
      <c r="DK681" s="1561"/>
      <c r="DL681" s="1561"/>
      <c r="DM681" s="1561"/>
      <c r="DN681" s="1561"/>
      <c r="DO681" s="1561"/>
      <c r="DP681" s="1561"/>
      <c r="DQ681" s="1561"/>
      <c r="DR681" s="1561"/>
      <c r="DS681" s="1561"/>
      <c r="DT681" s="1561"/>
      <c r="DU681" s="1561"/>
      <c r="DV681" s="1561"/>
      <c r="DW681" s="1561"/>
      <c r="DX681" s="1561"/>
      <c r="DY681" s="1561"/>
      <c r="DZ681" s="1561"/>
      <c r="EA681" s="1561"/>
      <c r="EB681" s="1561"/>
      <c r="EC681" s="1561"/>
      <c r="ED681" s="1561"/>
      <c r="EE681" s="1561"/>
      <c r="EF681" s="1561"/>
      <c r="EG681" s="1561"/>
      <c r="EH681" s="1561"/>
      <c r="EI681" s="1561"/>
      <c r="EJ681" s="1561"/>
      <c r="EK681" s="1561"/>
      <c r="EL681" s="1561"/>
      <c r="EM681" s="1561"/>
      <c r="EN681" s="1561"/>
      <c r="EO681" s="1561"/>
      <c r="EP681" s="1561"/>
      <c r="JM681"/>
    </row>
    <row r="683" spans="1:273">
      <c r="A683" s="815" t="s">
        <v>695</v>
      </c>
    </row>
    <row r="684" spans="1:273">
      <c r="A684" s="102" t="s">
        <v>685</v>
      </c>
      <c r="AR684" s="293"/>
      <c r="AS684" s="293"/>
      <c r="AT684" s="626"/>
      <c r="AU684" s="626"/>
      <c r="AV684" s="293"/>
      <c r="AW684" s="293"/>
      <c r="AX684" s="626"/>
      <c r="AY684" s="293"/>
      <c r="AZ684" s="293"/>
      <c r="BA684" s="293"/>
      <c r="BB684" s="293"/>
      <c r="BD684" s="293"/>
      <c r="BE684" s="293"/>
      <c r="BF684" s="293"/>
      <c r="BH684" s="293"/>
      <c r="BI684" s="293"/>
      <c r="BJ684" s="293"/>
      <c r="BL684" s="293"/>
      <c r="BM684" s="293"/>
      <c r="BN684" s="293"/>
      <c r="BP684" s="293"/>
      <c r="BQ684" s="293"/>
      <c r="BR684" s="293"/>
      <c r="BT684" s="293"/>
      <c r="BU684" s="293"/>
      <c r="BV684" s="293"/>
      <c r="BX684" s="293"/>
      <c r="BY684" s="293"/>
      <c r="BZ684" s="293"/>
      <c r="CB684" s="293"/>
      <c r="CC684" s="293"/>
      <c r="CD684" s="293"/>
      <c r="CF684" s="293"/>
      <c r="CG684" s="293"/>
      <c r="CH684" s="293"/>
      <c r="CJ684" s="293"/>
      <c r="CK684" s="293"/>
      <c r="CL684" s="293"/>
      <c r="CM684" s="581" t="s">
        <v>1263</v>
      </c>
      <c r="CN684" s="293"/>
      <c r="CO684" s="293"/>
      <c r="CP684" s="293"/>
      <c r="CQ684" s="581" t="s">
        <v>1263</v>
      </c>
      <c r="CR684" s="293"/>
      <c r="CS684" s="293"/>
      <c r="CT684" s="293"/>
      <c r="CU684" s="290" t="s">
        <v>1263</v>
      </c>
      <c r="CV684" s="293"/>
      <c r="CW684" s="293"/>
      <c r="CX684" s="293"/>
      <c r="CY684" s="290" t="s">
        <v>1263</v>
      </c>
      <c r="CZ684" s="293"/>
      <c r="DA684" s="293"/>
      <c r="DB684" s="293"/>
      <c r="DC684" s="290" t="s">
        <v>1263</v>
      </c>
      <c r="DD684" s="293"/>
      <c r="DE684" s="293"/>
      <c r="DF684" s="293"/>
      <c r="DG684" s="290" t="s">
        <v>1263</v>
      </c>
      <c r="DH684" s="293"/>
      <c r="DI684" s="293"/>
      <c r="DJ684" s="293"/>
      <c r="DK684" s="290" t="s">
        <v>1263</v>
      </c>
      <c r="DL684" s="293"/>
      <c r="DM684" s="293"/>
      <c r="DN684" s="293"/>
      <c r="DO684" s="293"/>
      <c r="DP684" s="293"/>
      <c r="DQ684" s="293"/>
      <c r="DR684" s="293"/>
      <c r="DS684" s="293"/>
      <c r="DU684" s="293"/>
      <c r="DV684" s="293"/>
      <c r="DW684" s="293"/>
      <c r="DX684" s="293"/>
      <c r="DZ684" s="293"/>
      <c r="EA684" s="293"/>
      <c r="EB684" s="293"/>
      <c r="ED684" s="293"/>
      <c r="EE684" s="293"/>
      <c r="EF684" s="293"/>
    </row>
    <row r="685" spans="1:273">
      <c r="A685" s="102" t="s">
        <v>686</v>
      </c>
      <c r="AR685" s="293">
        <f>DIVISIONS!AR122</f>
        <v>-191.77072984333205</v>
      </c>
      <c r="AS685" s="293">
        <f>DIVISIONS!AS122</f>
        <v>-257.14711501719523</v>
      </c>
      <c r="AT685" s="626"/>
      <c r="AU685" s="626"/>
      <c r="AV685" s="293">
        <f>DIVISIONS!AV122</f>
        <v>-168</v>
      </c>
      <c r="AW685" s="293">
        <f>DIVISIONS!AW122</f>
        <v>-218</v>
      </c>
      <c r="AX685" s="293">
        <f>DIVISIONS!AX122</f>
        <v>-386</v>
      </c>
      <c r="AY685" s="293"/>
      <c r="AZ685" s="293">
        <f>DIVISIONS!AZ122</f>
        <v>-179</v>
      </c>
      <c r="BA685" s="293">
        <f>DIVISIONS!BA122</f>
        <v>-201</v>
      </c>
      <c r="BB685" s="293">
        <f t="shared" ref="BB685:BB693" si="705">AZ685+BA685</f>
        <v>-380</v>
      </c>
      <c r="BD685" s="293">
        <f>DIVISIONS!BD122</f>
        <v>-152</v>
      </c>
      <c r="BE685" s="293">
        <f>DIVISIONS!BE122</f>
        <v>-155</v>
      </c>
      <c r="BF685" s="293">
        <f t="shared" ref="BF685:BF693" si="706">BD685+BE685</f>
        <v>-307</v>
      </c>
      <c r="BH685" s="293">
        <f>DIVISIONS!BH122</f>
        <v>-125</v>
      </c>
      <c r="BI685" s="293">
        <f>DIVISIONS!BI122</f>
        <v>-122</v>
      </c>
      <c r="BJ685" s="293">
        <f>BH685+BI685</f>
        <v>-247</v>
      </c>
      <c r="BL685" s="293">
        <f>DIVISIONS!BL122</f>
        <v>-132</v>
      </c>
      <c r="BM685" s="293">
        <f>DIVISIONS!BM122</f>
        <v>-142</v>
      </c>
      <c r="BN685" s="293">
        <f>BL685+BM685</f>
        <v>-274</v>
      </c>
      <c r="BP685" s="293">
        <f>DIVISIONS!BP122</f>
        <v>-140</v>
      </c>
      <c r="BQ685" s="293">
        <f>DIVISIONS!BQ122</f>
        <v>-168</v>
      </c>
      <c r="BR685" s="293">
        <f>BP685+BQ685</f>
        <v>-308</v>
      </c>
      <c r="BT685" s="293">
        <f>DIVISIONS!BT122</f>
        <v>-163</v>
      </c>
      <c r="BU685" s="293">
        <f>DIVISIONS!BU122</f>
        <v>-173</v>
      </c>
      <c r="BV685" s="293">
        <f>BT685+BU685</f>
        <v>-336</v>
      </c>
      <c r="BX685" s="293">
        <f>DIVISIONS!BX122</f>
        <v>-178</v>
      </c>
      <c r="BY685" s="293">
        <f>DIVISIONS!BY122</f>
        <v>-151</v>
      </c>
      <c r="BZ685" s="293">
        <f t="shared" ref="BZ685:BZ693" si="707">BX685+BY685</f>
        <v>-329</v>
      </c>
      <c r="CB685" s="293">
        <f>DIVISIONS!CB122</f>
        <v>-160</v>
      </c>
      <c r="CC685" s="293">
        <f>DIVISIONS!CC122</f>
        <v>-163</v>
      </c>
      <c r="CD685" s="293">
        <f t="shared" ref="CD685:CD693" si="708">CB685+CC685</f>
        <v>-323</v>
      </c>
      <c r="CF685" s="293">
        <f>DIVISIONS!CF122</f>
        <v>-216</v>
      </c>
      <c r="CG685" s="293">
        <f>DIVISIONS!CG122</f>
        <v>-261</v>
      </c>
      <c r="CH685" s="293">
        <f t="shared" ref="CH685:CH693" si="709">CF685+CG685</f>
        <v>-477</v>
      </c>
      <c r="CJ685" s="293">
        <f>DIVISIONS!CJ122</f>
        <v>-385</v>
      </c>
      <c r="CK685" s="293">
        <f>DIVISIONS!CK122</f>
        <v>-348</v>
      </c>
      <c r="CL685" s="293">
        <f t="shared" ref="CL685:CL693" si="710">CJ685+CK685</f>
        <v>-733</v>
      </c>
      <c r="CM685" s="811">
        <f>+CL685/CH685-1</f>
        <v>0.5366876310272537</v>
      </c>
      <c r="CN685" s="293">
        <f>DIVISIONS!CN122</f>
        <v>-361</v>
      </c>
      <c r="CO685" s="293">
        <f>DIVISIONS!CO122</f>
        <v>-303</v>
      </c>
      <c r="CP685" s="293">
        <f t="shared" ref="CP685:CP693" si="711">CN685+CO685</f>
        <v>-664</v>
      </c>
      <c r="CQ685" s="811">
        <f>+CP685/CL685-1</f>
        <v>-9.4133697135061367E-2</v>
      </c>
      <c r="CR685" s="293">
        <f>DIVISIONS!CR122</f>
        <v>-254</v>
      </c>
      <c r="CS685" s="293">
        <f>DIVISIONS!CS122</f>
        <v>-263</v>
      </c>
      <c r="CT685" s="293">
        <f t="shared" ref="CT685:CT693" si="712">CR685+CS685</f>
        <v>-517</v>
      </c>
      <c r="CU685" s="376">
        <f>+CT685/CP685-1</f>
        <v>-0.22138554216867468</v>
      </c>
      <c r="CV685" s="293">
        <f>DIVISIONS!CV122</f>
        <v>-286</v>
      </c>
      <c r="CW685" s="293">
        <f>DIVISIONS!CW122</f>
        <v>-298</v>
      </c>
      <c r="CX685" s="293">
        <f t="shared" ref="CX685:CX693" si="713">CV685+CW685</f>
        <v>-584</v>
      </c>
      <c r="CY685" s="376">
        <f>+CX685/CT685-1</f>
        <v>0.12959381044487417</v>
      </c>
      <c r="CZ685" s="293">
        <f>DIVISIONS!CZ122</f>
        <v>-320</v>
      </c>
      <c r="DA685" s="293">
        <f>DIVISIONS!DA122</f>
        <v>-302</v>
      </c>
      <c r="DB685" s="293">
        <f t="shared" ref="DB685:DB693" si="714">CZ685+DA685</f>
        <v>-622</v>
      </c>
      <c r="DC685" s="376">
        <f>+DB685/CX685-1</f>
        <v>6.5068493150684859E-2</v>
      </c>
      <c r="DD685" s="293">
        <f>DIVISIONS!DD122</f>
        <v>-311</v>
      </c>
      <c r="DE685" s="293">
        <f>DIVISIONS!DE122</f>
        <v>-307</v>
      </c>
      <c r="DF685" s="293">
        <f t="shared" ref="DF685:DF693" si="715">DD685+DE685</f>
        <v>-618</v>
      </c>
      <c r="DG685" s="376">
        <f>+DF685/DB685-1</f>
        <v>-6.4308681672026191E-3</v>
      </c>
      <c r="DH685" s="293">
        <f>DIVISIONS!DH122</f>
        <v>-293</v>
      </c>
      <c r="DI685" s="293">
        <f>DIVISIONS!DI122</f>
        <v>-317.74499999999995</v>
      </c>
      <c r="DJ685" s="293">
        <f>DIVISIONS!DJ122</f>
        <v>-610.74499999999989</v>
      </c>
      <c r="DK685" s="376">
        <f>+DJ685/DF685-1</f>
        <v>-1.1739482200647466E-2</v>
      </c>
      <c r="DL685" s="293">
        <f>DIVISIONS!DL122</f>
        <v>-303.255</v>
      </c>
      <c r="DM685" s="293">
        <f>DIVISIONS!DM122</f>
        <v>-328.86607499999991</v>
      </c>
      <c r="DN685" s="293">
        <f>DIVISIONS!DN122</f>
        <v>-632.12107499999991</v>
      </c>
      <c r="DO685" s="293"/>
      <c r="DP685" s="293">
        <f>DIVISIONS!DP122</f>
        <v>-313.86892499999999</v>
      </c>
      <c r="DQ685" s="293">
        <f>DIVISIONS!DQ122</f>
        <v>-340.37638762499989</v>
      </c>
      <c r="DR685" s="293">
        <f>DIVISIONS!DR122</f>
        <v>-654.24531262499988</v>
      </c>
      <c r="DS685" s="293"/>
      <c r="DU685" s="293"/>
      <c r="DV685" s="293"/>
      <c r="DW685" s="293"/>
      <c r="DX685" s="293"/>
      <c r="DZ685" s="293"/>
      <c r="EA685" s="293"/>
      <c r="EB685" s="293"/>
      <c r="ED685" s="293"/>
      <c r="EE685" s="293"/>
      <c r="EF685" s="293"/>
    </row>
    <row r="686" spans="1:273">
      <c r="A686" s="102" t="s">
        <v>616</v>
      </c>
      <c r="AR686" s="293">
        <f>DIVISIONS!AR350</f>
        <v>-116</v>
      </c>
      <c r="AS686" s="293">
        <f>DIVISIONS!AS350</f>
        <v>-158</v>
      </c>
      <c r="AT686" s="626"/>
      <c r="AU686" s="626"/>
      <c r="AV686" s="293">
        <f>DIVISIONS!AV350</f>
        <v>-114</v>
      </c>
      <c r="AW686" s="293">
        <f>DIVISIONS!AW350</f>
        <v>-134</v>
      </c>
      <c r="AX686" s="293">
        <f>DIVISIONS!AX350</f>
        <v>-248</v>
      </c>
      <c r="AY686" s="293"/>
      <c r="AZ686" s="293">
        <f>DIVISIONS!AZ350</f>
        <v>-153</v>
      </c>
      <c r="BA686" s="293">
        <f>DIVISIONS!BA350</f>
        <v>-158</v>
      </c>
      <c r="BB686" s="293">
        <f t="shared" si="705"/>
        <v>-311</v>
      </c>
      <c r="BD686" s="293">
        <f>DIVISIONS!BD350</f>
        <v>-129.66669999999999</v>
      </c>
      <c r="BE686" s="293">
        <f>DIVISIONS!BE350</f>
        <v>-135</v>
      </c>
      <c r="BF686" s="293">
        <f t="shared" si="706"/>
        <v>-264.66669999999999</v>
      </c>
      <c r="BH686" s="293">
        <f>DIVISIONS!BH350</f>
        <v>-130</v>
      </c>
      <c r="BI686" s="293">
        <f>DIVISIONS!BI350</f>
        <v>-137</v>
      </c>
      <c r="BJ686" s="293">
        <f>BH686+BI686</f>
        <v>-267</v>
      </c>
      <c r="BL686" s="293">
        <f>DIVISIONS!BL350</f>
        <v>-143</v>
      </c>
      <c r="BM686" s="293">
        <f>DIVISIONS!BM350</f>
        <v>-163</v>
      </c>
      <c r="BN686" s="293">
        <f>BL686+BM686</f>
        <v>-306</v>
      </c>
      <c r="BP686" s="293">
        <f>DIVISIONS!BP350</f>
        <v>-147</v>
      </c>
      <c r="BQ686" s="293">
        <f>DIVISIONS!BQ350</f>
        <v>-190</v>
      </c>
      <c r="BR686" s="293">
        <f>BP686+BQ686</f>
        <v>-337</v>
      </c>
      <c r="BT686" s="293">
        <f>DIVISIONS!BT350</f>
        <v>-175</v>
      </c>
      <c r="BU686" s="293">
        <f>DIVISIONS!BU350</f>
        <v>-180</v>
      </c>
      <c r="BV686" s="293">
        <f>BT686+BU686</f>
        <v>-355</v>
      </c>
      <c r="BX686" s="293">
        <f>DIVISIONS!BX350</f>
        <v>-182</v>
      </c>
      <c r="BY686" s="293">
        <f>DIVISIONS!BY350</f>
        <v>-190</v>
      </c>
      <c r="BZ686" s="293">
        <f t="shared" si="707"/>
        <v>-372</v>
      </c>
      <c r="CB686" s="293">
        <f>DIVISIONS!CB350</f>
        <v>-184</v>
      </c>
      <c r="CC686" s="293">
        <f>DIVISIONS!CC350</f>
        <v>-197</v>
      </c>
      <c r="CD686" s="293">
        <f t="shared" si="708"/>
        <v>-381</v>
      </c>
      <c r="CF686" s="293">
        <f>DIVISIONS!CF350</f>
        <v>-236</v>
      </c>
      <c r="CG686" s="293">
        <f>DIVISIONS!CG350</f>
        <v>-283</v>
      </c>
      <c r="CH686" s="293">
        <f t="shared" si="709"/>
        <v>-519</v>
      </c>
      <c r="CJ686" s="293">
        <f>DIVISIONS!CJ350</f>
        <v>-243</v>
      </c>
      <c r="CK686" s="293">
        <f>DIVISIONS!CK350</f>
        <v>-262</v>
      </c>
      <c r="CL686" s="293">
        <f t="shared" si="710"/>
        <v>-505</v>
      </c>
      <c r="CM686" s="811">
        <f t="shared" ref="CM686:CM692" si="716">+CL686/CH686-1</f>
        <v>-2.6974951830443183E-2</v>
      </c>
      <c r="CN686" s="293">
        <f>DIVISIONS!CN350</f>
        <v>-257</v>
      </c>
      <c r="CO686" s="293">
        <f>DIVISIONS!CO350</f>
        <v>-230</v>
      </c>
      <c r="CP686" s="293">
        <f t="shared" si="711"/>
        <v>-487</v>
      </c>
      <c r="CQ686" s="811">
        <f t="shared" ref="CQ686:CQ692" si="717">+CP686/CL686-1</f>
        <v>-3.5643564356435675E-2</v>
      </c>
      <c r="CR686" s="293">
        <f>DIVISIONS!CR350</f>
        <v>-406</v>
      </c>
      <c r="CS686" s="293">
        <f>DIVISIONS!CS350</f>
        <v>-422</v>
      </c>
      <c r="CT686" s="293">
        <f t="shared" si="712"/>
        <v>-828</v>
      </c>
      <c r="CU686" s="376">
        <f t="shared" ref="CU686:CU692" si="718">+CT686/CP686-1</f>
        <v>0.70020533880903502</v>
      </c>
      <c r="CV686" s="293">
        <f>DIVISIONS!CV350</f>
        <v>-381</v>
      </c>
      <c r="CW686" s="293">
        <f>DIVISIONS!CW350</f>
        <v>-457</v>
      </c>
      <c r="CX686" s="293">
        <f t="shared" si="713"/>
        <v>-838</v>
      </c>
      <c r="CY686" s="376">
        <f t="shared" ref="CY686:CY692" si="719">+CX686/CT686-1</f>
        <v>1.2077294685990392E-2</v>
      </c>
      <c r="CZ686" s="293">
        <f>DIVISIONS!CZ350</f>
        <v>-415</v>
      </c>
      <c r="DA686" s="293">
        <f>DIVISIONS!DA350</f>
        <v>-420</v>
      </c>
      <c r="DB686" s="293">
        <f t="shared" si="714"/>
        <v>-835</v>
      </c>
      <c r="DC686" s="376">
        <f t="shared" ref="DC686:DC687" si="720">+DB686/CX686-1</f>
        <v>-3.5799522673031214E-3</v>
      </c>
      <c r="DD686" s="293">
        <f>DIVISIONS!DD350</f>
        <v>-419</v>
      </c>
      <c r="DE686" s="293">
        <f>DIVISIONS!DE350</f>
        <v>-402</v>
      </c>
      <c r="DF686" s="293">
        <f t="shared" si="715"/>
        <v>-821</v>
      </c>
      <c r="DG686" s="376">
        <f t="shared" ref="DG686:DG692" si="721">+DF686/DB686-1</f>
        <v>-1.6766467065868262E-2</v>
      </c>
      <c r="DH686" s="293">
        <f>DIVISIONS!DH350</f>
        <v>-401</v>
      </c>
      <c r="DI686" s="293">
        <f>DIVISIONS!DI350</f>
        <v>-422.1</v>
      </c>
      <c r="DJ686" s="293">
        <f>DIVISIONS!DJ350</f>
        <v>-823.1</v>
      </c>
      <c r="DK686" s="376">
        <f t="shared" ref="DK686:DK687" si="722">+DJ686/DF686-1</f>
        <v>2.5578562728381105E-3</v>
      </c>
      <c r="DL686" s="293">
        <f>DIVISIONS!DL350</f>
        <v>-413.03000000000003</v>
      </c>
      <c r="DM686" s="293">
        <f>DIVISIONS!DM350</f>
        <v>-443.20500000000004</v>
      </c>
      <c r="DN686" s="293">
        <f>DIVISIONS!DN350</f>
        <v>-856.23500000000013</v>
      </c>
      <c r="DO686" s="293"/>
      <c r="DP686" s="293">
        <f>DIVISIONS!DP350</f>
        <v>-437.81180000000006</v>
      </c>
      <c r="DQ686" s="293">
        <f>DIVISIONS!DQ350</f>
        <v>-474.22935000000007</v>
      </c>
      <c r="DR686" s="293">
        <f>DIVISIONS!DR350</f>
        <v>-912.04115000000013</v>
      </c>
      <c r="DS686" s="293"/>
      <c r="DU686" s="293"/>
      <c r="DV686" s="293"/>
      <c r="DW686" s="293"/>
      <c r="DX686" s="293"/>
      <c r="DZ686" s="293"/>
      <c r="EA686" s="293"/>
      <c r="EB686" s="293"/>
      <c r="ED686" s="293"/>
      <c r="EE686" s="293"/>
      <c r="EF686" s="293"/>
    </row>
    <row r="687" spans="1:273">
      <c r="A687" s="102" t="s">
        <v>1024</v>
      </c>
      <c r="AR687" s="293">
        <f>DIVISIONS!AR238</f>
        <v>-214</v>
      </c>
      <c r="AS687" s="293">
        <f>DIVISIONS!AS238</f>
        <v>-300</v>
      </c>
      <c r="AT687" s="626"/>
      <c r="AU687" s="626"/>
      <c r="AV687" s="293">
        <f>DIVISIONS!AV238</f>
        <v>-224</v>
      </c>
      <c r="AW687" s="293">
        <f>DIVISIONS!AW238</f>
        <v>-263</v>
      </c>
      <c r="AX687" s="293">
        <f>DIVISIONS!AX238</f>
        <v>-487</v>
      </c>
      <c r="AY687" s="293"/>
      <c r="AZ687" s="293">
        <f>DIVISIONS!AZ238</f>
        <v>-297</v>
      </c>
      <c r="BA687" s="293">
        <f>DIVISIONS!BA238</f>
        <v>-387</v>
      </c>
      <c r="BB687" s="293">
        <f t="shared" si="705"/>
        <v>-684</v>
      </c>
      <c r="BD687" s="293">
        <f>DIVISIONS!BD238</f>
        <v>-270.66669999999999</v>
      </c>
      <c r="BE687" s="293">
        <f>DIVISIONS!BE238</f>
        <v>-294</v>
      </c>
      <c r="BF687" s="293">
        <f t="shared" si="706"/>
        <v>-564.66669999999999</v>
      </c>
      <c r="BH687" s="293">
        <f>DIVISIONS!BH238</f>
        <v>-232</v>
      </c>
      <c r="BI687" s="293">
        <f>DIVISIONS!BI238</f>
        <v>-230</v>
      </c>
      <c r="BJ687" s="293">
        <f>BH687+BI687</f>
        <v>-462</v>
      </c>
      <c r="BL687" s="293">
        <f>DIVISIONS!BL238</f>
        <v>-239</v>
      </c>
      <c r="BM687" s="293">
        <f>DIVISIONS!BM238</f>
        <v>-265</v>
      </c>
      <c r="BN687" s="293">
        <f>BL687+BM687</f>
        <v>-504</v>
      </c>
      <c r="BP687" s="293">
        <f>DIVISIONS!BP238</f>
        <v>-260</v>
      </c>
      <c r="BQ687" s="293">
        <f>DIVISIONS!BQ238</f>
        <v>-274</v>
      </c>
      <c r="BR687" s="293">
        <f>BP687+BQ687</f>
        <v>-534</v>
      </c>
      <c r="BT687" s="293">
        <f>DIVISIONS!BT238</f>
        <v>-293</v>
      </c>
      <c r="BU687" s="293">
        <f>DIVISIONS!BU238</f>
        <v>-321</v>
      </c>
      <c r="BV687" s="293">
        <f>BT687+BU687</f>
        <v>-614</v>
      </c>
      <c r="BX687" s="293">
        <f>DIVISIONS!BX238</f>
        <v>-290</v>
      </c>
      <c r="BY687" s="293">
        <f>DIVISIONS!BY238</f>
        <v>-275</v>
      </c>
      <c r="BZ687" s="293">
        <f t="shared" si="707"/>
        <v>-565</v>
      </c>
      <c r="CB687" s="293">
        <f>DIVISIONS!CB238</f>
        <v>-278</v>
      </c>
      <c r="CC687" s="293">
        <f>DIVISIONS!CC238</f>
        <v>-320</v>
      </c>
      <c r="CD687" s="293">
        <f t="shared" si="708"/>
        <v>-598</v>
      </c>
      <c r="CF687" s="293">
        <f>DIVISIONS!CF238</f>
        <v>-361</v>
      </c>
      <c r="CG687" s="293">
        <f>DIVISIONS!CG238</f>
        <v>-420</v>
      </c>
      <c r="CH687" s="293">
        <f t="shared" si="709"/>
        <v>-781</v>
      </c>
      <c r="CJ687" s="293">
        <f>DIVISIONS!CJ238</f>
        <v>-276</v>
      </c>
      <c r="CK687" s="293">
        <f>DIVISIONS!CK238</f>
        <v>-308</v>
      </c>
      <c r="CL687" s="293">
        <f t="shared" si="710"/>
        <v>-584</v>
      </c>
      <c r="CM687" s="811">
        <f t="shared" si="716"/>
        <v>-0.25224071702944939</v>
      </c>
      <c r="CN687" s="293">
        <f>DIVISIONS!CN238</f>
        <v>-298</v>
      </c>
      <c r="CO687" s="293">
        <f>DIVISIONS!CO238</f>
        <v>-284</v>
      </c>
      <c r="CP687" s="293">
        <f t="shared" si="711"/>
        <v>-582</v>
      </c>
      <c r="CQ687" s="811">
        <f t="shared" si="717"/>
        <v>-3.424657534246589E-3</v>
      </c>
      <c r="CR687" s="293">
        <f>DIVISIONS!CR238</f>
        <v>-286</v>
      </c>
      <c r="CS687" s="293">
        <f>DIVISIONS!CS238</f>
        <v>-305</v>
      </c>
      <c r="CT687" s="293">
        <f t="shared" si="712"/>
        <v>-591</v>
      </c>
      <c r="CU687" s="376">
        <f t="shared" si="718"/>
        <v>1.5463917525773141E-2</v>
      </c>
      <c r="CV687" s="293">
        <f>DIVISIONS!CV238</f>
        <v>-336</v>
      </c>
      <c r="CW687" s="293">
        <f>DIVISIONS!CW238</f>
        <v>-388</v>
      </c>
      <c r="CX687" s="293">
        <f t="shared" si="713"/>
        <v>-724</v>
      </c>
      <c r="CY687" s="376">
        <f t="shared" si="719"/>
        <v>0.22504230118443314</v>
      </c>
      <c r="CZ687" s="293">
        <f>DIVISIONS!CZ238</f>
        <v>-401</v>
      </c>
      <c r="DA687" s="293">
        <f>DIVISIONS!DA238</f>
        <v>-410</v>
      </c>
      <c r="DB687" s="293">
        <f t="shared" si="714"/>
        <v>-811</v>
      </c>
      <c r="DC687" s="376">
        <f t="shared" si="720"/>
        <v>0.12016574585635365</v>
      </c>
      <c r="DD687" s="293">
        <f>DIVISIONS!DD238</f>
        <v>-403</v>
      </c>
      <c r="DE687" s="293">
        <f>DIVISIONS!DE238</f>
        <v>-401</v>
      </c>
      <c r="DF687" s="293">
        <f t="shared" si="715"/>
        <v>-804</v>
      </c>
      <c r="DG687" s="376">
        <f t="shared" si="721"/>
        <v>-8.6313193588162251E-3</v>
      </c>
      <c r="DH687" s="293">
        <f>DIVISIONS!DH238</f>
        <v>-438</v>
      </c>
      <c r="DI687" s="293">
        <f>DIVISIONS!DI238</f>
        <v>-423.05499999999995</v>
      </c>
      <c r="DJ687" s="293">
        <f>DIVISIONS!DJ238</f>
        <v>-861.05499999999995</v>
      </c>
      <c r="DK687" s="376">
        <f t="shared" si="722"/>
        <v>7.0963930348258542E-2</v>
      </c>
      <c r="DL687" s="293">
        <f>DIVISIONS!DL238</f>
        <v>-418.28999999999996</v>
      </c>
      <c r="DM687" s="293">
        <f>DIVISIONS!DM238</f>
        <v>-433.63137499999993</v>
      </c>
      <c r="DN687" s="293">
        <f>DIVISIONS!DN238</f>
        <v>-851.9213749999999</v>
      </c>
      <c r="DO687" s="293"/>
      <c r="DP687" s="293">
        <f>DIVISIONS!DP238</f>
        <v>-432.93014999999991</v>
      </c>
      <c r="DQ687" s="293">
        <f>DIVISIONS!DQ238</f>
        <v>-448.80847312499992</v>
      </c>
      <c r="DR687" s="293">
        <f>DIVISIONS!DR238</f>
        <v>-881.73862312499978</v>
      </c>
      <c r="DS687" s="293"/>
      <c r="DU687" s="293"/>
      <c r="DV687" s="293"/>
      <c r="DW687" s="293"/>
      <c r="DX687" s="293"/>
      <c r="DZ687" s="293"/>
      <c r="EA687" s="293"/>
      <c r="EB687" s="293"/>
      <c r="ED687" s="293"/>
      <c r="EE687" s="293"/>
      <c r="EF687" s="293"/>
    </row>
    <row r="688" spans="1:273">
      <c r="A688" s="102" t="s">
        <v>690</v>
      </c>
      <c r="AR688" s="293">
        <f>DIVISIONS!AR477</f>
        <v>-37</v>
      </c>
      <c r="AS688" s="293">
        <f>DIVISIONS!AS477</f>
        <v>-46</v>
      </c>
      <c r="AT688" s="626"/>
      <c r="AU688" s="626"/>
      <c r="AV688" s="293">
        <f>DIVISIONS!AV477</f>
        <v>-44</v>
      </c>
      <c r="AW688" s="293">
        <f>DIVISIONS!AW477</f>
        <v>-55</v>
      </c>
      <c r="AX688" s="293">
        <f>DIVISIONS!AX477</f>
        <v>-99</v>
      </c>
      <c r="AY688" s="293"/>
      <c r="AZ688" s="293">
        <f>DIVISIONS!AZ477</f>
        <v>-72</v>
      </c>
      <c r="BA688" s="293">
        <f>DIVISIONS!BA477</f>
        <v>-77</v>
      </c>
      <c r="BB688" s="293">
        <f t="shared" si="705"/>
        <v>-149</v>
      </c>
      <c r="BD688" s="293">
        <f>DIVISIONS!BD477</f>
        <v>-69.666669999999996</v>
      </c>
      <c r="BE688" s="293">
        <f>DIVISIONS!BE477</f>
        <v>-95</v>
      </c>
      <c r="BF688" s="293">
        <f t="shared" si="706"/>
        <v>-164.66667000000001</v>
      </c>
      <c r="BH688" s="293">
        <f>DIVISIONS!BH477</f>
        <v>-77</v>
      </c>
      <c r="BI688" s="293">
        <f>DIVISIONS!BI477</f>
        <v>-75</v>
      </c>
      <c r="BJ688" s="293">
        <f>BH688+BI688</f>
        <v>-152</v>
      </c>
      <c r="BL688" s="293">
        <f>DIVISIONS!BL477</f>
        <v>-82</v>
      </c>
      <c r="BM688" s="293">
        <f>DIVISIONS!BM477</f>
        <v>-94</v>
      </c>
      <c r="BN688" s="293">
        <f>BL688+BM688</f>
        <v>-176</v>
      </c>
      <c r="BP688" s="293">
        <f>DIVISIONS!BP477</f>
        <v>-97</v>
      </c>
      <c r="BQ688" s="293">
        <f>DIVISIONS!BQ477</f>
        <v>-116</v>
      </c>
      <c r="BR688" s="293">
        <f>BP688+BQ688</f>
        <v>-213</v>
      </c>
      <c r="BT688" s="293">
        <f>DIVISIONS!BT477</f>
        <v>-108</v>
      </c>
      <c r="BU688" s="293">
        <f>DIVISIONS!BU477</f>
        <v>-131</v>
      </c>
      <c r="BV688" s="293">
        <f>BT688+BU688</f>
        <v>-239</v>
      </c>
      <c r="BX688" s="293">
        <f>DIVISIONS!BX477</f>
        <v>-135</v>
      </c>
      <c r="BY688" s="293">
        <f>DIVISIONS!BY477</f>
        <v>-132</v>
      </c>
      <c r="BZ688" s="293">
        <f t="shared" si="707"/>
        <v>-267</v>
      </c>
      <c r="CB688" s="293">
        <f>DIVISIONS!CB477</f>
        <v>-102</v>
      </c>
      <c r="CC688" s="293">
        <f>DIVISIONS!CC477</f>
        <v>-115</v>
      </c>
      <c r="CD688" s="293">
        <f t="shared" si="708"/>
        <v>-217</v>
      </c>
      <c r="CF688" s="293">
        <f>DIVISIONS!CF477</f>
        <v>0</v>
      </c>
      <c r="CG688" s="293">
        <f>DIVISIONS!CG477</f>
        <v>0</v>
      </c>
      <c r="CH688" s="293">
        <f t="shared" si="709"/>
        <v>0</v>
      </c>
      <c r="CJ688" s="293">
        <f>DIVISIONS!CJ477</f>
        <v>0</v>
      </c>
      <c r="CK688" s="293">
        <f>DIVISIONS!CK477</f>
        <v>0</v>
      </c>
      <c r="CL688" s="293">
        <f t="shared" si="710"/>
        <v>0</v>
      </c>
      <c r="CM688" s="811"/>
      <c r="CN688" s="293">
        <f>DIVISIONS!CN477</f>
        <v>0</v>
      </c>
      <c r="CO688" s="293">
        <f>DIVISIONS!CO477</f>
        <v>0</v>
      </c>
      <c r="CP688" s="293">
        <f t="shared" si="711"/>
        <v>0</v>
      </c>
      <c r="CQ688" s="811"/>
      <c r="CR688" s="293">
        <f>DIVISIONS!CR477</f>
        <v>0</v>
      </c>
      <c r="CS688" s="293">
        <f>DIVISIONS!CS477</f>
        <v>0</v>
      </c>
      <c r="CT688" s="293">
        <f t="shared" si="712"/>
        <v>0</v>
      </c>
      <c r="CU688" s="376"/>
      <c r="CV688" s="293">
        <f>DIVISIONS!CV477</f>
        <v>0</v>
      </c>
      <c r="CW688" s="293">
        <f>DIVISIONS!CW477</f>
        <v>0</v>
      </c>
      <c r="CX688" s="293">
        <f t="shared" si="713"/>
        <v>0</v>
      </c>
      <c r="CY688" s="376"/>
      <c r="CZ688" s="293">
        <f>DIVISIONS!CZ477</f>
        <v>0</v>
      </c>
      <c r="DA688" s="293">
        <f>DIVISIONS!DA477</f>
        <v>0</v>
      </c>
      <c r="DB688" s="293">
        <f t="shared" si="714"/>
        <v>0</v>
      </c>
      <c r="DC688" s="376"/>
      <c r="DD688" s="293">
        <f>DIVISIONS!DD477</f>
        <v>0</v>
      </c>
      <c r="DE688" s="293">
        <f>DIVISIONS!DE477</f>
        <v>0</v>
      </c>
      <c r="DF688" s="293">
        <f t="shared" si="715"/>
        <v>0</v>
      </c>
      <c r="DG688" s="376"/>
      <c r="DH688" s="293">
        <f>DIVISIONS!DH477</f>
        <v>0</v>
      </c>
      <c r="DI688" s="293">
        <f>DIVISIONS!DI477</f>
        <v>0</v>
      </c>
      <c r="DJ688" s="293">
        <f>DIVISIONS!DJ477</f>
        <v>0</v>
      </c>
      <c r="DK688" s="376"/>
      <c r="DL688" s="293">
        <f>DIVISIONS!DL477</f>
        <v>0</v>
      </c>
      <c r="DM688" s="293">
        <f>DIVISIONS!DM477</f>
        <v>0</v>
      </c>
      <c r="DN688" s="293">
        <f>DIVISIONS!DN477</f>
        <v>0</v>
      </c>
      <c r="DO688" s="293"/>
      <c r="DP688" s="293">
        <f>DIVISIONS!DP477</f>
        <v>0</v>
      </c>
      <c r="DQ688" s="293">
        <f>DIVISIONS!DQ477</f>
        <v>0</v>
      </c>
      <c r="DR688" s="293">
        <f>DIVISIONS!DR477</f>
        <v>0</v>
      </c>
      <c r="DS688" s="293"/>
      <c r="DU688" s="293"/>
      <c r="DV688" s="293"/>
      <c r="DW688" s="293"/>
      <c r="DX688" s="293"/>
      <c r="DZ688" s="293"/>
      <c r="EA688" s="293"/>
      <c r="EB688" s="293"/>
      <c r="ED688" s="293"/>
      <c r="EE688" s="293"/>
      <c r="EF688" s="293"/>
    </row>
    <row r="689" spans="1:273">
      <c r="A689" s="102" t="s">
        <v>689</v>
      </c>
      <c r="AR689" s="293">
        <f>DIVISIONS!AR552</f>
        <v>-214</v>
      </c>
      <c r="AS689" s="293">
        <f>DIVISIONS!AS552</f>
        <v>-180</v>
      </c>
      <c r="AT689" s="626"/>
      <c r="AU689" s="626"/>
      <c r="AV689" s="293">
        <f>DIVISIONS!AV552</f>
        <v>-182</v>
      </c>
      <c r="AW689" s="293">
        <f>DIVISIONS!AW552</f>
        <v>-226</v>
      </c>
      <c r="AX689" s="293">
        <f>DIVISIONS!AX552</f>
        <v>-408</v>
      </c>
      <c r="AY689" s="293"/>
      <c r="AZ689" s="293">
        <f>DIVISIONS!AZ552</f>
        <v>-253.333</v>
      </c>
      <c r="BA689" s="293">
        <f>DIVISIONS!BA552</f>
        <v>-253.33330000000001</v>
      </c>
      <c r="BB689" s="293">
        <f t="shared" si="705"/>
        <v>-506.66629999999998</v>
      </c>
      <c r="BD689" s="293">
        <f>DIVISIONS!BD552</f>
        <v>-237.66669999999999</v>
      </c>
      <c r="BE689" s="293">
        <f>DIVISIONS!BE552</f>
        <v>-216.16650000000001</v>
      </c>
      <c r="BF689" s="293">
        <f t="shared" si="706"/>
        <v>-453.83320000000003</v>
      </c>
      <c r="BH689" s="293">
        <f>DIVISIONS!BH552</f>
        <v>-221</v>
      </c>
      <c r="BI689" s="293">
        <f>DIVISIONS!BI552</f>
        <v>-212</v>
      </c>
      <c r="BJ689" s="293">
        <f>BH689+BI689</f>
        <v>-433</v>
      </c>
      <c r="BL689" s="293">
        <f>DIVISIONS!BL552</f>
        <v>-218</v>
      </c>
      <c r="BM689" s="293">
        <f>DIVISIONS!BM552</f>
        <v>-186</v>
      </c>
      <c r="BN689" s="293">
        <f>BL689+BM689</f>
        <v>-404</v>
      </c>
      <c r="BP689" s="293">
        <f>DIVISIONS!BP552</f>
        <v>-190</v>
      </c>
      <c r="BQ689" s="293">
        <f>DIVISIONS!BQ552</f>
        <v>-182</v>
      </c>
      <c r="BR689" s="293">
        <f>BP689+BQ689</f>
        <v>-372</v>
      </c>
      <c r="BT689" s="293">
        <f>DIVISIONS!BT552</f>
        <v>-177</v>
      </c>
      <c r="BU689" s="293">
        <f>DIVISIONS!BU552</f>
        <v>-168</v>
      </c>
      <c r="BV689" s="293">
        <f>BT689+BU689</f>
        <v>-345</v>
      </c>
      <c r="BX689" s="293">
        <f>DIVISIONS!BX552</f>
        <v>-171</v>
      </c>
      <c r="BY689" s="293">
        <f>DIVISIONS!BY552</f>
        <v>-155</v>
      </c>
      <c r="BZ689" s="293">
        <f t="shared" si="707"/>
        <v>-326</v>
      </c>
      <c r="CB689" s="293">
        <f>DIVISIONS!CB552</f>
        <v>-205</v>
      </c>
      <c r="CC689" s="293">
        <f>DIVISIONS!CC552</f>
        <v>-218</v>
      </c>
      <c r="CD689" s="293">
        <f t="shared" si="708"/>
        <v>-423</v>
      </c>
      <c r="CF689" s="293">
        <f>DIVISIONS!CF552</f>
        <v>-219</v>
      </c>
      <c r="CG689" s="293">
        <f>DIVISIONS!CG552</f>
        <v>-202</v>
      </c>
      <c r="CH689" s="293">
        <f t="shared" si="709"/>
        <v>-421</v>
      </c>
      <c r="CJ689" s="293">
        <f>DIVISIONS!CJ552</f>
        <v>-183</v>
      </c>
      <c r="CK689" s="293">
        <f>DIVISIONS!CK552</f>
        <v>-172</v>
      </c>
      <c r="CL689" s="293">
        <f t="shared" si="710"/>
        <v>-355</v>
      </c>
      <c r="CM689" s="811">
        <f t="shared" si="716"/>
        <v>-0.15676959619952491</v>
      </c>
      <c r="CN689" s="293">
        <f>DIVISIONS!CN552</f>
        <v>-197</v>
      </c>
      <c r="CO689" s="293">
        <f>DIVISIONS!CO552</f>
        <v>-193</v>
      </c>
      <c r="CP689" s="293">
        <f t="shared" si="711"/>
        <v>-390</v>
      </c>
      <c r="CQ689" s="811">
        <f t="shared" si="717"/>
        <v>9.8591549295774739E-2</v>
      </c>
      <c r="CR689" s="293">
        <f>DIVISIONS!CR552</f>
        <v>-219</v>
      </c>
      <c r="CS689" s="293">
        <f>DIVISIONS!CS552</f>
        <v>-227</v>
      </c>
      <c r="CT689" s="293">
        <f t="shared" si="712"/>
        <v>-446</v>
      </c>
      <c r="CU689" s="376">
        <f t="shared" si="718"/>
        <v>0.14358974358974352</v>
      </c>
      <c r="CV689" s="293">
        <f>DIVISIONS!CV552</f>
        <v>-262</v>
      </c>
      <c r="CW689" s="293">
        <f>DIVISIONS!CW552</f>
        <v>-268</v>
      </c>
      <c r="CX689" s="293">
        <f t="shared" si="713"/>
        <v>-530</v>
      </c>
      <c r="CY689" s="376">
        <f t="shared" si="719"/>
        <v>0.18834080717488799</v>
      </c>
      <c r="CZ689" s="293">
        <f>DIVISIONS!CZ552</f>
        <v>-321</v>
      </c>
      <c r="DA689" s="293">
        <f>DIVISIONS!DA552</f>
        <v>-314</v>
      </c>
      <c r="DB689" s="293">
        <f t="shared" si="714"/>
        <v>-635</v>
      </c>
      <c r="DC689" s="376">
        <f t="shared" ref="DC689" si="723">+DB689/CX689-1</f>
        <v>0.19811320754716988</v>
      </c>
      <c r="DD689" s="293">
        <f>DIVISIONS!DD552</f>
        <v>-294</v>
      </c>
      <c r="DE689" s="293">
        <f>DIVISIONS!DE552</f>
        <v>-256</v>
      </c>
      <c r="DF689" s="293">
        <f t="shared" si="715"/>
        <v>-550</v>
      </c>
      <c r="DG689" s="376">
        <f t="shared" si="721"/>
        <v>-0.13385826771653542</v>
      </c>
      <c r="DH689" s="293">
        <f>DIVISIONS!DH552</f>
        <v>-234</v>
      </c>
      <c r="DI689" s="293">
        <f>DIVISIONS!DI552</f>
        <v>-250.88</v>
      </c>
      <c r="DJ689" s="293">
        <f>DIVISIONS!DJ552</f>
        <v>-484.88</v>
      </c>
      <c r="DK689" s="376">
        <f t="shared" ref="DK689" si="724">+DJ689/DF689-1</f>
        <v>-0.11840000000000006</v>
      </c>
      <c r="DL689" s="293">
        <f>DIVISIONS!DL552</f>
        <v>-241.02</v>
      </c>
      <c r="DM689" s="293">
        <f>DIVISIONS!DM552</f>
        <v>-258.40640000000002</v>
      </c>
      <c r="DN689" s="293">
        <f>DIVISIONS!DN552</f>
        <v>-499.42640000000006</v>
      </c>
      <c r="DO689" s="293"/>
      <c r="DP689" s="293">
        <f>DIVISIONS!DP552</f>
        <v>-248.25060000000002</v>
      </c>
      <c r="DQ689" s="293">
        <f>DIVISIONS!DQ552</f>
        <v>-266.158592</v>
      </c>
      <c r="DR689" s="293">
        <f>DIVISIONS!DR552</f>
        <v>-514.40919200000008</v>
      </c>
      <c r="DS689" s="293"/>
      <c r="DU689" s="293"/>
      <c r="DV689" s="293"/>
      <c r="DW689" s="293"/>
      <c r="DX689" s="293"/>
      <c r="DZ689" s="293"/>
      <c r="EA689" s="293"/>
      <c r="EB689" s="293"/>
      <c r="ED689" s="293"/>
      <c r="EE689" s="293"/>
      <c r="EF689" s="293"/>
    </row>
    <row r="690" spans="1:273" s="302" customFormat="1">
      <c r="A690" s="302" t="s">
        <v>688</v>
      </c>
      <c r="B690" s="304"/>
      <c r="AN690" s="304"/>
      <c r="AO690" s="304"/>
      <c r="AP690" s="304"/>
      <c r="AQ690" s="304"/>
      <c r="AR690" s="303">
        <f>DIVISIONS!AR674</f>
        <v>-12</v>
      </c>
      <c r="AS690" s="303">
        <f>DIVISIONS!AS674</f>
        <v>-12</v>
      </c>
      <c r="AT690" s="627"/>
      <c r="AU690" s="627"/>
      <c r="AV690" s="303">
        <f>DIVISIONS!AV674</f>
        <v>-6</v>
      </c>
      <c r="AW690" s="303">
        <f>DIVISIONS!AW674</f>
        <v>-5</v>
      </c>
      <c r="AX690" s="303">
        <f>DIVISIONS!AX674</f>
        <v>-11</v>
      </c>
      <c r="AY690" s="303"/>
      <c r="AZ690" s="303">
        <f>DIVISIONS!AZ674</f>
        <v>-5</v>
      </c>
      <c r="BA690" s="303">
        <f>DIVISIONS!BA674</f>
        <v>-6</v>
      </c>
      <c r="BB690" s="303"/>
      <c r="BC690" s="304"/>
      <c r="BD690" s="303"/>
      <c r="BE690" s="303"/>
      <c r="BF690" s="303"/>
      <c r="BG690" s="304"/>
      <c r="BH690" s="303"/>
      <c r="BI690" s="303"/>
      <c r="BJ690" s="303"/>
      <c r="BK690" s="304"/>
      <c r="BL690" s="303"/>
      <c r="BM690" s="303"/>
      <c r="BN690" s="303"/>
      <c r="BO690" s="304"/>
      <c r="BP690" s="303"/>
      <c r="BQ690" s="303"/>
      <c r="BR690" s="303"/>
      <c r="BS690" s="304"/>
      <c r="BT690" s="303"/>
      <c r="BU690" s="303"/>
      <c r="BV690" s="303"/>
      <c r="BW690" s="304"/>
      <c r="BX690" s="303">
        <f>BX694-SUM(BX685:BX689,BX691)</f>
        <v>0</v>
      </c>
      <c r="BY690" s="303">
        <f>BY694-SUM(BY685:BY689,BY691)</f>
        <v>0</v>
      </c>
      <c r="BZ690" s="303">
        <f t="shared" si="707"/>
        <v>0</v>
      </c>
      <c r="CA690" s="304"/>
      <c r="CB690" s="303">
        <f>CB694-SUM(CB685:CB689,CB691)</f>
        <v>0</v>
      </c>
      <c r="CC690" s="303">
        <f>CC694-SUM(CC685:CC689,CC691)</f>
        <v>0</v>
      </c>
      <c r="CD690" s="303">
        <f t="shared" si="708"/>
        <v>0</v>
      </c>
      <c r="CE690" s="300"/>
      <c r="CF690" s="303">
        <f>CF694-SUM(CF685:CF689,CF691)</f>
        <v>0</v>
      </c>
      <c r="CG690" s="303">
        <f>CG694-SUM(CG685:CG689,CG691)</f>
        <v>0</v>
      </c>
      <c r="CH690" s="303">
        <f t="shared" si="709"/>
        <v>0</v>
      </c>
      <c r="CI690" s="300"/>
      <c r="CJ690" s="303">
        <f>CJ694-SUM(CJ685:CJ689,CJ691)</f>
        <v>0</v>
      </c>
      <c r="CK690" s="303">
        <f>CK694-SUM(CK685:CK689,CK691)</f>
        <v>0</v>
      </c>
      <c r="CL690" s="303">
        <f t="shared" si="710"/>
        <v>0</v>
      </c>
      <c r="CM690" s="811"/>
      <c r="CN690" s="303">
        <f>CN694-SUM(CN685:CN689,CN691)</f>
        <v>0</v>
      </c>
      <c r="CO690" s="303">
        <f>CO694-SUM(CO685:CO689,CO691)</f>
        <v>0</v>
      </c>
      <c r="CP690" s="303">
        <f t="shared" si="711"/>
        <v>0</v>
      </c>
      <c r="CQ690" s="811"/>
      <c r="CR690" s="303">
        <f>CR694-SUM(CR685:CR689,CR691)</f>
        <v>0</v>
      </c>
      <c r="CS690" s="303">
        <f>CS694-SUM(CS685:CS689,CS691)</f>
        <v>0</v>
      </c>
      <c r="CT690" s="303">
        <f t="shared" si="712"/>
        <v>0</v>
      </c>
      <c r="CU690" s="376"/>
      <c r="CV690" s="303">
        <f>CV694-SUM(CV685:CV689,CV691)</f>
        <v>0</v>
      </c>
      <c r="CW690" s="303">
        <f>CW694-SUM(CW685:CW689,CW691)</f>
        <v>-1</v>
      </c>
      <c r="CX690" s="303">
        <f t="shared" si="713"/>
        <v>-1</v>
      </c>
      <c r="CY690" s="376"/>
      <c r="CZ690" s="303">
        <f>CZ694-SUM(CZ685:CZ689,CZ691)</f>
        <v>0</v>
      </c>
      <c r="DA690" s="303">
        <f>DA694-SUM(DA685:DA689,DA691)</f>
        <v>1</v>
      </c>
      <c r="DB690" s="303">
        <f t="shared" si="714"/>
        <v>1</v>
      </c>
      <c r="DC690" s="376"/>
      <c r="DD690" s="303">
        <f>DD694-SUM(DD685:DD689,DD691)</f>
        <v>-91</v>
      </c>
      <c r="DE690" s="303">
        <f>DE694-SUM(DE685:DE689,DE691)</f>
        <v>-84</v>
      </c>
      <c r="DF690" s="303">
        <f t="shared" si="715"/>
        <v>-175</v>
      </c>
      <c r="DG690" s="376"/>
      <c r="DH690" s="303">
        <f>DH694-SUM(DH685:DH689,DH691)</f>
        <v>-142</v>
      </c>
      <c r="DI690" s="303"/>
      <c r="DJ690" s="303"/>
      <c r="DK690" s="376"/>
      <c r="DL690" s="303"/>
      <c r="DM690" s="303"/>
      <c r="DN690" s="303"/>
      <c r="DO690" s="303"/>
      <c r="DP690" s="303"/>
      <c r="DQ690" s="303"/>
      <c r="DR690" s="303"/>
      <c r="DS690" s="303"/>
      <c r="DT690" s="304"/>
      <c r="DU690" s="303"/>
      <c r="DV690" s="303"/>
      <c r="DW690" s="303"/>
      <c r="DX690" s="303"/>
      <c r="DY690" s="304"/>
      <c r="DZ690" s="303"/>
      <c r="EA690" s="303"/>
      <c r="EB690" s="303"/>
      <c r="EC690" s="304"/>
      <c r="ED690" s="303"/>
      <c r="EE690" s="303"/>
      <c r="EF690" s="303"/>
      <c r="EG690" s="304"/>
      <c r="EH690" s="304"/>
      <c r="EI690" s="304"/>
      <c r="EJ690" s="304"/>
      <c r="EK690" s="304"/>
      <c r="EL690" s="304"/>
      <c r="EM690" s="304"/>
      <c r="EN690" s="304"/>
      <c r="EO690" s="304"/>
      <c r="EP690" s="304"/>
      <c r="FL690" s="102"/>
      <c r="FM690" s="102"/>
      <c r="FN690" s="102"/>
      <c r="FO690" s="102"/>
      <c r="FP690" s="102"/>
      <c r="FQ690" s="102"/>
      <c r="FR690" s="102"/>
      <c r="FS690" s="102"/>
      <c r="FT690" s="102"/>
      <c r="FU690" s="102"/>
      <c r="FV690" s="102"/>
      <c r="FW690" s="102"/>
      <c r="FX690" s="102"/>
      <c r="FY690" s="102"/>
      <c r="FZ690" s="102"/>
      <c r="GA690" s="102"/>
      <c r="GB690" s="102"/>
      <c r="GC690" s="102"/>
      <c r="GD690" s="102"/>
      <c r="GE690" s="102"/>
      <c r="GF690" s="102"/>
      <c r="GG690" s="102"/>
      <c r="GH690" s="102"/>
      <c r="GI690" s="102"/>
      <c r="GJ690" s="102"/>
      <c r="GK690" s="102"/>
      <c r="GL690" s="102"/>
      <c r="GM690" s="102"/>
      <c r="GN690" s="102"/>
      <c r="GO690" s="102"/>
      <c r="GP690" s="102"/>
      <c r="GQ690" s="102"/>
      <c r="GR690" s="102"/>
      <c r="GS690" s="102"/>
      <c r="GT690" s="102"/>
      <c r="GU690" s="102"/>
      <c r="GV690" s="102"/>
      <c r="GW690" s="102"/>
      <c r="GX690" s="102"/>
      <c r="GY690" s="102"/>
      <c r="GZ690" s="102"/>
      <c r="HA690" s="102"/>
      <c r="HB690" s="102"/>
      <c r="HC690" s="102"/>
      <c r="HD690" s="102"/>
      <c r="HE690" s="102"/>
      <c r="HF690" s="102"/>
      <c r="HG690" s="102"/>
      <c r="HH690" s="102"/>
      <c r="HI690" s="102"/>
      <c r="HJ690" s="102"/>
      <c r="HK690" s="102"/>
      <c r="HL690" s="102"/>
      <c r="HM690" s="102"/>
      <c r="HN690" s="102"/>
      <c r="HO690" s="102"/>
      <c r="HP690" s="102"/>
      <c r="HQ690" s="102"/>
      <c r="HR690" s="102"/>
      <c r="HS690" s="102"/>
      <c r="HT690" s="102"/>
      <c r="HU690" s="102"/>
      <c r="HV690" s="102"/>
      <c r="HW690" s="102"/>
      <c r="HX690" s="102"/>
      <c r="HY690" s="102"/>
      <c r="HZ690" s="102"/>
      <c r="IA690" s="102"/>
      <c r="IB690" s="102"/>
      <c r="IC690" s="102"/>
      <c r="ID690" s="102"/>
      <c r="IE690" s="102"/>
      <c r="IF690" s="102"/>
      <c r="IG690" s="102"/>
      <c r="IH690" s="102"/>
      <c r="II690" s="102"/>
      <c r="IJ690" s="102"/>
      <c r="IK690" s="102"/>
      <c r="IL690" s="102"/>
      <c r="IM690" s="102"/>
      <c r="IN690" s="102"/>
      <c r="IO690" s="102"/>
      <c r="IP690" s="102"/>
      <c r="IQ690" s="102"/>
      <c r="IR690" s="102"/>
      <c r="IS690" s="102"/>
      <c r="IT690" s="102"/>
      <c r="IU690" s="102"/>
      <c r="IV690" s="102"/>
      <c r="IW690" s="102"/>
      <c r="IX690" s="102"/>
      <c r="IY690" s="102"/>
      <c r="IZ690" s="102"/>
      <c r="JA690" s="102"/>
      <c r="JB690" s="102"/>
      <c r="JC690" s="102"/>
      <c r="JD690" s="102"/>
      <c r="JE690" s="102"/>
      <c r="JF690" s="102"/>
      <c r="JG690" s="102"/>
      <c r="JH690" s="102"/>
      <c r="JI690" s="102"/>
      <c r="JJ690" s="102"/>
      <c r="JK690" s="102"/>
      <c r="JL690" s="102"/>
      <c r="JM690"/>
    </row>
    <row r="691" spans="1:273">
      <c r="A691" s="102" t="s">
        <v>691</v>
      </c>
      <c r="AR691" s="293">
        <f>DIVISIONS!AR718</f>
        <v>-480</v>
      </c>
      <c r="AS691" s="293">
        <f>DIVISIONS!AS718</f>
        <v>-143</v>
      </c>
      <c r="AT691" s="626"/>
      <c r="AU691" s="626"/>
      <c r="AV691" s="293">
        <f>DIVISIONS!AV718</f>
        <v>-771</v>
      </c>
      <c r="AW691" s="293">
        <f>DIVISIONS!AW718</f>
        <v>-692</v>
      </c>
      <c r="AX691" s="293">
        <f>DIVISIONS!AX718</f>
        <v>-1463</v>
      </c>
      <c r="AY691" s="626"/>
      <c r="AZ691" s="293">
        <f>DIVISIONS!AZ718</f>
        <v>-936.33330000000001</v>
      </c>
      <c r="BA691" s="293">
        <f>DIVISIONS!BA718</f>
        <v>-911.33333000000005</v>
      </c>
      <c r="BB691" s="293">
        <f t="shared" si="705"/>
        <v>-1847.6666300000002</v>
      </c>
      <c r="BD691" s="293">
        <f>DIVISIONS!BD718</f>
        <v>-792.66666999999995</v>
      </c>
      <c r="BE691" s="293">
        <f>DIVISIONS!BE718</f>
        <v>-1012.333</v>
      </c>
      <c r="BF691" s="293">
        <f t="shared" si="706"/>
        <v>-1804.9996699999999</v>
      </c>
      <c r="BH691" s="293">
        <f>DIVISIONS!BH718</f>
        <v>-753</v>
      </c>
      <c r="BI691" s="293">
        <f>DIVISIONS!BI718</f>
        <v>-959</v>
      </c>
      <c r="BJ691" s="293">
        <f>BH691+BI691</f>
        <v>-1712</v>
      </c>
      <c r="BL691" s="293">
        <f>DIVISIONS!BL718</f>
        <v>-916</v>
      </c>
      <c r="BM691" s="293">
        <f>DIVISIONS!BM718</f>
        <v>-1156</v>
      </c>
      <c r="BN691" s="293">
        <f>BL691+BM691</f>
        <v>-2072</v>
      </c>
      <c r="BP691" s="293">
        <f>DIVISIONS!BP718</f>
        <v>-1110</v>
      </c>
      <c r="BQ691" s="293">
        <f>DIVISIONS!BQ718</f>
        <v>-1269</v>
      </c>
      <c r="BR691" s="293">
        <f>BP691+BQ691</f>
        <v>-2379</v>
      </c>
      <c r="BT691" s="293">
        <f>DIVISIONS!BT718</f>
        <v>-1347</v>
      </c>
      <c r="BU691" s="293">
        <f>DIVISIONS!BU718</f>
        <v>-1008</v>
      </c>
      <c r="BV691" s="293">
        <f>BT691+BU691</f>
        <v>-2355</v>
      </c>
      <c r="BX691" s="293">
        <f>DIVISIONS!BX718</f>
        <v>-1334</v>
      </c>
      <c r="BY691" s="293">
        <f>DIVISIONS!BY718</f>
        <v>-1186</v>
      </c>
      <c r="BZ691" s="293">
        <f t="shared" si="707"/>
        <v>-2520</v>
      </c>
      <c r="CB691" s="293">
        <f>DIVISIONS!CB718</f>
        <v>-1332</v>
      </c>
      <c r="CC691" s="293">
        <f>DIVISIONS!CC718</f>
        <v>-1219</v>
      </c>
      <c r="CD691" s="293">
        <f t="shared" si="708"/>
        <v>-2551</v>
      </c>
      <c r="CF691" s="293">
        <f>DIVISIONS!CF718</f>
        <v>-1422</v>
      </c>
      <c r="CG691" s="293">
        <f>DIVISIONS!CG718</f>
        <v>-1597</v>
      </c>
      <c r="CH691" s="293">
        <f t="shared" si="709"/>
        <v>-3019</v>
      </c>
      <c r="CJ691" s="293">
        <f>DIVISIONS!CJ718</f>
        <v>-1689</v>
      </c>
      <c r="CK691" s="293">
        <f>DIVISIONS!CK718</f>
        <v>-1457</v>
      </c>
      <c r="CL691" s="293">
        <f t="shared" si="710"/>
        <v>-3146</v>
      </c>
      <c r="CM691" s="811">
        <f t="shared" si="716"/>
        <v>4.2066909572706201E-2</v>
      </c>
      <c r="CN691" s="293">
        <f>DIVISIONS!CN718</f>
        <v>-1502</v>
      </c>
      <c r="CO691" s="293">
        <f>DIVISIONS!CO718</f>
        <v>-1892</v>
      </c>
      <c r="CP691" s="293">
        <f t="shared" si="711"/>
        <v>-3394</v>
      </c>
      <c r="CQ691" s="811">
        <f t="shared" si="717"/>
        <v>7.8830260648442563E-2</v>
      </c>
      <c r="CR691" s="293">
        <f>DIVISIONS!CR718</f>
        <v>-1999</v>
      </c>
      <c r="CS691" s="293">
        <f>DIVISIONS!CS718</f>
        <v>-2344</v>
      </c>
      <c r="CT691" s="293">
        <f t="shared" si="712"/>
        <v>-4343</v>
      </c>
      <c r="CU691" s="376">
        <f t="shared" si="718"/>
        <v>0.27961107837360055</v>
      </c>
      <c r="CV691" s="293">
        <f>DIVISIONS!CV718</f>
        <v>-2348</v>
      </c>
      <c r="CW691" s="293">
        <f>DIVISIONS!CW718</f>
        <v>-2678</v>
      </c>
      <c r="CX691" s="293">
        <f t="shared" si="713"/>
        <v>-5026</v>
      </c>
      <c r="CY691" s="376">
        <f t="shared" si="719"/>
        <v>0.15726456366566888</v>
      </c>
      <c r="CZ691" s="293">
        <f>DIVISIONS!CZ718</f>
        <v>-2277</v>
      </c>
      <c r="DA691" s="293">
        <f>DIVISIONS!DA718</f>
        <v>-2544</v>
      </c>
      <c r="DB691" s="293">
        <f t="shared" si="714"/>
        <v>-4821</v>
      </c>
      <c r="DC691" s="376">
        <f t="shared" ref="DC691:DC692" si="725">+DB691/CX691-1</f>
        <v>-4.0787902904894535E-2</v>
      </c>
      <c r="DD691" s="293">
        <f>DIVISIONS!DD718</f>
        <v>-2238</v>
      </c>
      <c r="DE691" s="293">
        <f>DIVISIONS!DE718</f>
        <v>-2454</v>
      </c>
      <c r="DF691" s="293">
        <f t="shared" si="715"/>
        <v>-4692</v>
      </c>
      <c r="DG691" s="376">
        <f t="shared" si="721"/>
        <v>-2.6757934038581177E-2</v>
      </c>
      <c r="DH691" s="293">
        <f>DIVISIONS!DH718</f>
        <v>-2448</v>
      </c>
      <c r="DI691" s="293">
        <f>DI692-SUM(DI684:DI690)</f>
        <v>-2699.5052697586584</v>
      </c>
      <c r="DJ691" s="293">
        <f>DH691+DI691</f>
        <v>-5147.505269758658</v>
      </c>
      <c r="DK691" s="376">
        <f t="shared" ref="DK691:DK692" si="726">+DJ691/DF691-1</f>
        <v>9.708125953935598E-2</v>
      </c>
      <c r="DL691" s="293">
        <f>DL692-SUM(DL684:DL690)</f>
        <v>-2691.4251175485379</v>
      </c>
      <c r="DM691" s="293">
        <f>DM692-SUM(DM684:DM690)</f>
        <v>-2732.7595206362666</v>
      </c>
      <c r="DN691" s="293">
        <f>DL691+DM691</f>
        <v>-5424.1846381848045</v>
      </c>
      <c r="DO691" s="293"/>
      <c r="DP691" s="293">
        <f>DP692-SUM(DP684:DP690)</f>
        <v>-2835.5751396201604</v>
      </c>
      <c r="DQ691" s="293">
        <f>DQ692-SUM(DQ684:DQ690)</f>
        <v>-2895.073399255497</v>
      </c>
      <c r="DR691" s="293">
        <f>DP691+DQ691</f>
        <v>-5730.6485388756573</v>
      </c>
      <c r="DS691" s="293"/>
      <c r="DU691" s="293"/>
      <c r="DV691" s="293"/>
      <c r="DW691" s="293"/>
      <c r="DX691" s="293"/>
      <c r="DZ691" s="293"/>
      <c r="EA691" s="293"/>
      <c r="EB691" s="293"/>
      <c r="ED691" s="293"/>
      <c r="EE691" s="293"/>
      <c r="EF691" s="293"/>
    </row>
    <row r="692" spans="1:273" s="289" customFormat="1">
      <c r="A692" s="289" t="s">
        <v>696</v>
      </c>
      <c r="B692" s="290"/>
      <c r="AN692" s="924">
        <f>AN21</f>
        <v>-2420</v>
      </c>
      <c r="AO692" s="924">
        <f>AO21</f>
        <v>-1757</v>
      </c>
      <c r="AP692" s="924">
        <f>AP21</f>
        <v>-4177</v>
      </c>
      <c r="AQ692" s="290"/>
      <c r="AR692" s="295">
        <f>AR21</f>
        <v>-1264.770729843332</v>
      </c>
      <c r="AS692" s="295">
        <f>SUM(AS684:AS691)</f>
        <v>-1096.1471150171951</v>
      </c>
      <c r="AT692" s="290"/>
      <c r="AU692" s="290"/>
      <c r="AV692" s="295">
        <f>SUM(AV684:AV691)</f>
        <v>-1509</v>
      </c>
      <c r="AW692" s="295">
        <f>SUM(AW684:AW691)</f>
        <v>-1593</v>
      </c>
      <c r="AX692" s="295">
        <f>SUM(AX684:AX691)</f>
        <v>-3102</v>
      </c>
      <c r="AY692" s="290"/>
      <c r="AZ692" s="295">
        <f>SUM(AZ684:AZ691)</f>
        <v>-1895.6662999999999</v>
      </c>
      <c r="BA692" s="295">
        <f>SUM(BA684:BA691)</f>
        <v>-1993.6666300000002</v>
      </c>
      <c r="BB692" s="295">
        <f t="shared" si="705"/>
        <v>-3889.33293</v>
      </c>
      <c r="BC692" s="290"/>
      <c r="BD692" s="295">
        <f>SUM(BD684:BD691)</f>
        <v>-1652.3334399999999</v>
      </c>
      <c r="BE692" s="295">
        <f>SUM(BE684:BE691)</f>
        <v>-1907.4994999999999</v>
      </c>
      <c r="BF692" s="295">
        <f t="shared" si="706"/>
        <v>-3559.8329399999998</v>
      </c>
      <c r="BG692" s="290"/>
      <c r="BH692" s="295">
        <f>SUM(BH684:BH691)</f>
        <v>-1538</v>
      </c>
      <c r="BI692" s="295">
        <f>SUM(BI684:BI691)</f>
        <v>-1735</v>
      </c>
      <c r="BJ692" s="295">
        <f>BH692+BI692</f>
        <v>-3273</v>
      </c>
      <c r="BK692" s="290"/>
      <c r="BL692" s="295">
        <f>SUM(BL684:BL691)</f>
        <v>-1730</v>
      </c>
      <c r="BM692" s="295">
        <f>SUM(BM684:BM691)</f>
        <v>-2006</v>
      </c>
      <c r="BN692" s="295">
        <f>BL692+BM692</f>
        <v>-3736</v>
      </c>
      <c r="BO692" s="290"/>
      <c r="BP692" s="295">
        <f>SUM(BP684:BP691)</f>
        <v>-1944</v>
      </c>
      <c r="BQ692" s="295">
        <f>SUM(BQ684:BQ691)</f>
        <v>-2199</v>
      </c>
      <c r="BR692" s="295">
        <f>BP692+BQ692</f>
        <v>-4143</v>
      </c>
      <c r="BS692" s="290"/>
      <c r="BT692" s="295">
        <f>SUM(BT684:BT691)</f>
        <v>-2263</v>
      </c>
      <c r="BU692" s="295">
        <f>SUM(BU684:BU691)</f>
        <v>-1981</v>
      </c>
      <c r="BV692" s="295">
        <f>BT692+BU692</f>
        <v>-4244</v>
      </c>
      <c r="BW692" s="290"/>
      <c r="BX692" s="295">
        <f>SUM(BX684:BX691)</f>
        <v>-2290</v>
      </c>
      <c r="BY692" s="295">
        <f>SUM(BY684:BY691)</f>
        <v>-2089</v>
      </c>
      <c r="BZ692" s="295">
        <f t="shared" si="707"/>
        <v>-4379</v>
      </c>
      <c r="CA692" s="290"/>
      <c r="CB692" s="295">
        <f>SUM(CB684:CB691)</f>
        <v>-2261</v>
      </c>
      <c r="CC692" s="295">
        <f>SUM(CC684:CC691)</f>
        <v>-2232</v>
      </c>
      <c r="CD692" s="295">
        <f t="shared" si="708"/>
        <v>-4493</v>
      </c>
      <c r="CE692" s="581"/>
      <c r="CF692" s="295">
        <f>SUM(CF684:CF691)</f>
        <v>-2454</v>
      </c>
      <c r="CG692" s="295">
        <f>SUM(CG684:CG691)</f>
        <v>-2763</v>
      </c>
      <c r="CH692" s="295">
        <f t="shared" si="709"/>
        <v>-5217</v>
      </c>
      <c r="CI692" s="581"/>
      <c r="CJ692" s="295">
        <f>SUM(CJ684:CJ691)</f>
        <v>-2776</v>
      </c>
      <c r="CK692" s="295">
        <f>SUM(CK684:CK691)</f>
        <v>-2547</v>
      </c>
      <c r="CL692" s="295">
        <f t="shared" si="710"/>
        <v>-5323</v>
      </c>
      <c r="CM692" s="811">
        <f t="shared" si="716"/>
        <v>2.0318190530956404E-2</v>
      </c>
      <c r="CN692" s="295">
        <f>SUM(CN684:CN691)</f>
        <v>-2615</v>
      </c>
      <c r="CO692" s="295">
        <f>SUM(CO684:CO691)</f>
        <v>-2902</v>
      </c>
      <c r="CP692" s="295">
        <f t="shared" si="711"/>
        <v>-5517</v>
      </c>
      <c r="CQ692" s="811">
        <f t="shared" si="717"/>
        <v>3.6445613375915897E-2</v>
      </c>
      <c r="CR692" s="295">
        <f>SUM(CR684:CR691)</f>
        <v>-3164</v>
      </c>
      <c r="CS692" s="295">
        <f>SUM(CS684:CS691)</f>
        <v>-3561</v>
      </c>
      <c r="CT692" s="295">
        <f t="shared" si="712"/>
        <v>-6725</v>
      </c>
      <c r="CU692" s="376">
        <f t="shared" si="718"/>
        <v>0.21895957948160238</v>
      </c>
      <c r="CV692" s="295">
        <f>SUM(CV684:CV691)</f>
        <v>-3613</v>
      </c>
      <c r="CW692" s="295">
        <f>SUM(CW684:CW691)</f>
        <v>-4090</v>
      </c>
      <c r="CX692" s="295">
        <f t="shared" si="713"/>
        <v>-7703</v>
      </c>
      <c r="CY692" s="376">
        <f t="shared" si="719"/>
        <v>0.14542750929368031</v>
      </c>
      <c r="CZ692" s="295">
        <f>SUM(CZ684:CZ691)</f>
        <v>-3734</v>
      </c>
      <c r="DA692" s="295">
        <f>SUM(DA684:DA691)</f>
        <v>-3989</v>
      </c>
      <c r="DB692" s="295">
        <f t="shared" si="714"/>
        <v>-7723</v>
      </c>
      <c r="DC692" s="376">
        <f t="shared" si="725"/>
        <v>2.5963910164870097E-3</v>
      </c>
      <c r="DD692" s="295">
        <f>SUM(DD684:DD691)</f>
        <v>-3756</v>
      </c>
      <c r="DE692" s="295">
        <f>SUM(DE684:DE691)</f>
        <v>-3904</v>
      </c>
      <c r="DF692" s="295">
        <f t="shared" si="715"/>
        <v>-7660</v>
      </c>
      <c r="DG692" s="376">
        <f t="shared" si="721"/>
        <v>-8.1574517674478653E-3</v>
      </c>
      <c r="DH692" s="295">
        <f>SUM(DH684:DH691)</f>
        <v>-3956</v>
      </c>
      <c r="DI692" s="295">
        <f>DI697</f>
        <v>-4113.2852697586586</v>
      </c>
      <c r="DJ692" s="295">
        <f>DH692+DI692</f>
        <v>-8069.2852697586586</v>
      </c>
      <c r="DK692" s="376">
        <f t="shared" si="726"/>
        <v>5.3431497357527169E-2</v>
      </c>
      <c r="DL692" s="295">
        <f>DL697</f>
        <v>-4067.0201175485377</v>
      </c>
      <c r="DM692" s="295">
        <f>DM697</f>
        <v>-4196.8683706362663</v>
      </c>
      <c r="DN692" s="295">
        <f>DL692+DM692</f>
        <v>-8263.8884881848044</v>
      </c>
      <c r="DO692" s="295"/>
      <c r="DP692" s="295">
        <f>DP697</f>
        <v>-4268.4366146201601</v>
      </c>
      <c r="DQ692" s="295">
        <f>DQ697</f>
        <v>-4424.6462020054969</v>
      </c>
      <c r="DR692" s="295">
        <f>DP692+DQ692</f>
        <v>-8693.0828166256579</v>
      </c>
      <c r="DS692" s="295"/>
      <c r="DT692" s="290"/>
      <c r="DU692" s="295"/>
      <c r="DV692" s="295"/>
      <c r="DW692" s="295"/>
      <c r="DX692" s="295"/>
      <c r="DY692" s="290"/>
      <c r="DZ692" s="295"/>
      <c r="EA692" s="295"/>
      <c r="EB692" s="295"/>
      <c r="EC692" s="290"/>
      <c r="ED692" s="295"/>
      <c r="EE692" s="295"/>
      <c r="EF692" s="295"/>
      <c r="EG692" s="290"/>
      <c r="EH692" s="290"/>
      <c r="EI692" s="290"/>
      <c r="EJ692" s="290"/>
      <c r="EK692" s="290"/>
      <c r="EL692" s="290"/>
      <c r="EM692" s="290"/>
      <c r="EN692" s="290"/>
      <c r="EO692" s="290"/>
      <c r="EP692" s="290"/>
      <c r="JM692"/>
    </row>
    <row r="693" spans="1:273" s="289" customFormat="1">
      <c r="A693" s="102" t="s">
        <v>749</v>
      </c>
      <c r="B693" s="290"/>
      <c r="AN693" s="290"/>
      <c r="AO693" s="290"/>
      <c r="AP693" s="290"/>
      <c r="AQ693" s="290"/>
      <c r="AR693" s="293">
        <f>AR692-AR691</f>
        <v>-784.77072984333199</v>
      </c>
      <c r="AS693" s="293">
        <f>AS692-AS691</f>
        <v>-953.14711501719512</v>
      </c>
      <c r="AT693" s="290"/>
      <c r="AU693" s="290"/>
      <c r="AV693" s="293">
        <f>AV692-AV691</f>
        <v>-738</v>
      </c>
      <c r="AW693" s="293">
        <f>AW692-AW691</f>
        <v>-901</v>
      </c>
      <c r="AX693" s="293">
        <f>AX692-AX691</f>
        <v>-1639</v>
      </c>
      <c r="AY693" s="290"/>
      <c r="AZ693" s="293">
        <f>AZ692-AZ691</f>
        <v>-959.33299999999986</v>
      </c>
      <c r="BA693" s="293">
        <f>BA692-BA691</f>
        <v>-1082.3333000000002</v>
      </c>
      <c r="BB693" s="293">
        <f t="shared" si="705"/>
        <v>-2041.6663000000001</v>
      </c>
      <c r="BC693" s="290"/>
      <c r="BD693" s="293">
        <f>BD692-BD691</f>
        <v>-859.66676999999993</v>
      </c>
      <c r="BE693" s="293">
        <f>BE692-BE691</f>
        <v>-895.16649999999993</v>
      </c>
      <c r="BF693" s="293">
        <f t="shared" si="706"/>
        <v>-1754.8332699999999</v>
      </c>
      <c r="BG693" s="290"/>
      <c r="BH693" s="293">
        <f>BH692-BH691</f>
        <v>-785</v>
      </c>
      <c r="BI693" s="293">
        <f>BI692-BI691</f>
        <v>-776</v>
      </c>
      <c r="BJ693" s="293">
        <f>BH693+BI693</f>
        <v>-1561</v>
      </c>
      <c r="BK693" s="290"/>
      <c r="BL693" s="293">
        <f>BL692-BL691</f>
        <v>-814</v>
      </c>
      <c r="BM693" s="293">
        <f>BM692-BM691</f>
        <v>-850</v>
      </c>
      <c r="BN693" s="293">
        <f>BL693+BM693</f>
        <v>-1664</v>
      </c>
      <c r="BO693" s="290"/>
      <c r="BP693" s="293">
        <f>BP692-BP691</f>
        <v>-834</v>
      </c>
      <c r="BQ693" s="293">
        <f>BQ692-BQ691</f>
        <v>-930</v>
      </c>
      <c r="BR693" s="293">
        <f>BP693+BQ693</f>
        <v>-1764</v>
      </c>
      <c r="BS693" s="290"/>
      <c r="BT693" s="293">
        <f>BT692-BT691</f>
        <v>-916</v>
      </c>
      <c r="BU693" s="293">
        <f>BU692-BU691</f>
        <v>-973</v>
      </c>
      <c r="BV693" s="293">
        <f>BT693+BU693</f>
        <v>-1889</v>
      </c>
      <c r="BW693" s="290"/>
      <c r="BX693" s="293">
        <f>BX692-BX691</f>
        <v>-956</v>
      </c>
      <c r="BY693" s="293">
        <f>BY692-BY691</f>
        <v>-903</v>
      </c>
      <c r="BZ693" s="293">
        <f t="shared" si="707"/>
        <v>-1859</v>
      </c>
      <c r="CA693" s="290"/>
      <c r="CB693" s="293">
        <f>CB692-CB691</f>
        <v>-929</v>
      </c>
      <c r="CC693" s="293">
        <f>CC692-CC691</f>
        <v>-1013</v>
      </c>
      <c r="CD693" s="293">
        <f t="shared" si="708"/>
        <v>-1942</v>
      </c>
      <c r="CE693" s="581"/>
      <c r="CF693" s="293">
        <f>CF692-CF691</f>
        <v>-1032</v>
      </c>
      <c r="CG693" s="293">
        <f>CG692-CG691</f>
        <v>-1166</v>
      </c>
      <c r="CH693" s="293">
        <f t="shared" si="709"/>
        <v>-2198</v>
      </c>
      <c r="CI693" s="581"/>
      <c r="CJ693" s="293">
        <f>CJ692-CJ691</f>
        <v>-1087</v>
      </c>
      <c r="CK693" s="293">
        <f>CK692-CK691</f>
        <v>-1090</v>
      </c>
      <c r="CL693" s="293">
        <f t="shared" si="710"/>
        <v>-2177</v>
      </c>
      <c r="CM693" s="581"/>
      <c r="CN693" s="293">
        <f>CN692-CN691</f>
        <v>-1113</v>
      </c>
      <c r="CO693" s="293">
        <f>CO692-CO691</f>
        <v>-1010</v>
      </c>
      <c r="CP693" s="293">
        <f t="shared" si="711"/>
        <v>-2123</v>
      </c>
      <c r="CQ693" s="581"/>
      <c r="CR693" s="293">
        <f>CR692-CR691</f>
        <v>-1165</v>
      </c>
      <c r="CS693" s="293">
        <f>CS692-CS691</f>
        <v>-1217</v>
      </c>
      <c r="CT693" s="293">
        <f t="shared" si="712"/>
        <v>-2382</v>
      </c>
      <c r="CU693" s="290"/>
      <c r="CV693" s="293">
        <f>CV692-CV691</f>
        <v>-1265</v>
      </c>
      <c r="CW693" s="293">
        <f>CW692-CW691</f>
        <v>-1412</v>
      </c>
      <c r="CX693" s="293">
        <f t="shared" si="713"/>
        <v>-2677</v>
      </c>
      <c r="CY693" s="290"/>
      <c r="CZ693" s="293">
        <f>CZ692-CZ691</f>
        <v>-1457</v>
      </c>
      <c r="DA693" s="293">
        <f>DA692-DA691</f>
        <v>-1445</v>
      </c>
      <c r="DB693" s="293">
        <f t="shared" si="714"/>
        <v>-2902</v>
      </c>
      <c r="DC693" s="290"/>
      <c r="DD693" s="293">
        <f>DD692-DD691</f>
        <v>-1518</v>
      </c>
      <c r="DE693" s="293">
        <f>DE692-DE691</f>
        <v>-1450</v>
      </c>
      <c r="DF693" s="293">
        <f t="shared" si="715"/>
        <v>-2968</v>
      </c>
      <c r="DG693" s="290"/>
      <c r="DH693" s="293">
        <f>DH692-DH691</f>
        <v>-1508</v>
      </c>
      <c r="DI693" s="293">
        <f>DI692-DI691</f>
        <v>-1413.7800000000002</v>
      </c>
      <c r="DJ693" s="293">
        <f>DH693+DI693</f>
        <v>-2921.78</v>
      </c>
      <c r="DK693" s="290"/>
      <c r="DL693" s="293">
        <f>DL692-DL691</f>
        <v>-1375.5949999999998</v>
      </c>
      <c r="DM693" s="293">
        <f>DM692-DM691</f>
        <v>-1464.1088499999996</v>
      </c>
      <c r="DN693" s="293">
        <f>DL693+DM693</f>
        <v>-2839.7038499999994</v>
      </c>
      <c r="DO693" s="293"/>
      <c r="DP693" s="293">
        <f>DP692-DP691</f>
        <v>-1432.8614749999997</v>
      </c>
      <c r="DQ693" s="293">
        <f>DQ692-DQ691</f>
        <v>-1529.5728027499999</v>
      </c>
      <c r="DR693" s="293">
        <f>DP693+DQ693</f>
        <v>-2962.4342777499996</v>
      </c>
      <c r="DS693" s="293"/>
      <c r="DT693" s="290"/>
      <c r="DU693" s="293"/>
      <c r="DV693" s="293"/>
      <c r="DW693" s="293"/>
      <c r="DX693" s="293"/>
      <c r="DY693" s="290"/>
      <c r="DZ693" s="293"/>
      <c r="EA693" s="293"/>
      <c r="EB693" s="293"/>
      <c r="EC693" s="290"/>
      <c r="ED693" s="293"/>
      <c r="EE693" s="293"/>
      <c r="EF693" s="293"/>
      <c r="EG693" s="290"/>
      <c r="EH693" s="290"/>
      <c r="EI693" s="290"/>
      <c r="EJ693" s="290"/>
      <c r="EK693" s="290"/>
      <c r="EL693" s="290"/>
      <c r="EM693" s="290"/>
      <c r="EN693" s="290"/>
      <c r="EO693" s="290"/>
      <c r="EP693" s="290"/>
      <c r="JM693"/>
    </row>
    <row r="694" spans="1:273" s="953" customFormat="1" ht="23.25" customHeight="1">
      <c r="A694" s="993" t="s">
        <v>1168</v>
      </c>
      <c r="B694" s="994"/>
      <c r="C694" s="995"/>
      <c r="D694" s="995"/>
      <c r="E694" s="995"/>
      <c r="F694" s="995"/>
      <c r="G694" s="995"/>
      <c r="H694" s="995"/>
      <c r="I694" s="995"/>
      <c r="J694" s="995"/>
      <c r="K694" s="995"/>
      <c r="L694" s="995"/>
      <c r="M694" s="995"/>
      <c r="N694" s="995"/>
      <c r="O694" s="995"/>
      <c r="P694" s="995"/>
      <c r="Q694" s="995"/>
      <c r="R694" s="995"/>
      <c r="S694" s="995"/>
      <c r="T694" s="995"/>
      <c r="U694" s="995"/>
      <c r="V694" s="995"/>
      <c r="W694" s="995"/>
      <c r="X694" s="995"/>
      <c r="Y694" s="995"/>
      <c r="Z694" s="995"/>
      <c r="AA694" s="995"/>
      <c r="AB694" s="995"/>
      <c r="AC694" s="995"/>
      <c r="AD694" s="995"/>
      <c r="AE694" s="995"/>
      <c r="AF694" s="995"/>
      <c r="AG694" s="995"/>
      <c r="AH694" s="995"/>
      <c r="AI694" s="995"/>
      <c r="AJ694" s="995"/>
      <c r="AK694" s="995"/>
      <c r="AL694" s="995"/>
      <c r="AM694" s="995"/>
      <c r="AN694" s="994"/>
      <c r="AO694" s="994"/>
      <c r="AP694" s="994"/>
      <c r="AQ694" s="994"/>
      <c r="AR694" s="996"/>
      <c r="AS694" s="996"/>
      <c r="AT694" s="994"/>
      <c r="AU694" s="994"/>
      <c r="AV694" s="996"/>
      <c r="AW694" s="996"/>
      <c r="AX694" s="994"/>
      <c r="AY694" s="994"/>
      <c r="AZ694" s="996">
        <f>AZ692-SUM(AZ684:AZ691)</f>
        <v>0</v>
      </c>
      <c r="BA694" s="996">
        <f>BA692-SUM(BA684:BA691)</f>
        <v>0</v>
      </c>
      <c r="BB694" s="994"/>
      <c r="BC694" s="994"/>
      <c r="BD694" s="996">
        <f>BD692-SUM(BD684:BD691)</f>
        <v>0</v>
      </c>
      <c r="BE694" s="996">
        <f>BE692-SUM(BE684:BE691)</f>
        <v>0</v>
      </c>
      <c r="BF694" s="994"/>
      <c r="BG694" s="994"/>
      <c r="BH694" s="996">
        <f>BH692-SUM(BH684:BH691)</f>
        <v>0</v>
      </c>
      <c r="BI694" s="996">
        <f>BI692-SUM(BI684:BI691)</f>
        <v>0</v>
      </c>
      <c r="BJ694" s="994"/>
      <c r="BK694" s="994"/>
      <c r="BL694" s="996">
        <f>BL692-SUM(BL684:BL691)</f>
        <v>0</v>
      </c>
      <c r="BM694" s="996">
        <f>BM692-SUM(BM684:BM691)</f>
        <v>0</v>
      </c>
      <c r="BN694" s="994"/>
      <c r="BO694" s="994"/>
      <c r="BP694" s="996">
        <f>BP692-SUM(BP684:BP691)</f>
        <v>0</v>
      </c>
      <c r="BQ694" s="996">
        <f>BQ692-SUM(BQ684:BQ691)</f>
        <v>0</v>
      </c>
      <c r="BR694" s="994"/>
      <c r="BS694" s="994"/>
      <c r="BT694" s="996">
        <f>BT692-SUM(BT684:BT691)</f>
        <v>0</v>
      </c>
      <c r="BU694" s="996">
        <f>BU692-SUM(BU684:BU691)</f>
        <v>0</v>
      </c>
      <c r="BV694" s="994"/>
      <c r="BW694" s="994"/>
      <c r="BX694" s="997">
        <v>-2290</v>
      </c>
      <c r="BY694" s="997">
        <v>-2089</v>
      </c>
      <c r="BZ694" s="994"/>
      <c r="CA694" s="994"/>
      <c r="CB694" s="997">
        <v>-2261</v>
      </c>
      <c r="CC694" s="997">
        <v>-2232</v>
      </c>
      <c r="CD694" s="994"/>
      <c r="CE694" s="1624"/>
      <c r="CF694" s="997">
        <v>-2454</v>
      </c>
      <c r="CG694" s="997">
        <v>-2763</v>
      </c>
      <c r="CH694" s="994"/>
      <c r="CI694" s="1624"/>
      <c r="CJ694" s="997">
        <v>-2776</v>
      </c>
      <c r="CK694" s="997">
        <v>-2547</v>
      </c>
      <c r="CL694" s="994"/>
      <c r="CM694" s="1624"/>
      <c r="CN694" s="1327">
        <v>-2615</v>
      </c>
      <c r="CO694" s="1327">
        <v>-2902</v>
      </c>
      <c r="CP694" s="994"/>
      <c r="CQ694" s="1624"/>
      <c r="CR694" s="1327">
        <v>-3164</v>
      </c>
      <c r="CS694" s="1389">
        <v>-3561</v>
      </c>
      <c r="CT694" s="994"/>
      <c r="CU694" s="994"/>
      <c r="CV694" s="1389">
        <v>-3613</v>
      </c>
      <c r="CW694" s="655">
        <v>-4090</v>
      </c>
      <c r="CX694" s="994"/>
      <c r="CY694" s="994"/>
      <c r="CZ694" s="1389">
        <v>-3734</v>
      </c>
      <c r="DA694" s="1389">
        <v>-3989</v>
      </c>
      <c r="DB694" s="952"/>
      <c r="DC694" s="952"/>
      <c r="DD694" s="1389">
        <v>-3756</v>
      </c>
      <c r="DE694" s="2175">
        <v>-3904</v>
      </c>
      <c r="DF694" s="952"/>
      <c r="DG694" s="952"/>
      <c r="DH694" s="2256">
        <v>-3956</v>
      </c>
      <c r="DI694" s="954"/>
      <c r="DJ694" s="952"/>
      <c r="DK694" s="952"/>
      <c r="DL694" s="954"/>
      <c r="DM694" s="954"/>
      <c r="DN694" s="952"/>
      <c r="DO694" s="952"/>
      <c r="DP694" s="954"/>
      <c r="DQ694" s="954"/>
      <c r="DR694" s="952"/>
      <c r="DS694" s="952"/>
      <c r="DT694" s="952"/>
      <c r="DU694" s="954"/>
      <c r="DV694" s="954"/>
      <c r="DW694" s="954"/>
      <c r="DX694" s="952"/>
      <c r="DY694" s="952"/>
      <c r="DZ694" s="954"/>
      <c r="EA694" s="954"/>
      <c r="EB694" s="952"/>
      <c r="EC694" s="952"/>
      <c r="ED694" s="954"/>
      <c r="EE694" s="954"/>
      <c r="EF694" s="952"/>
      <c r="EG694" s="952"/>
      <c r="EH694" s="952"/>
      <c r="EI694" s="952"/>
      <c r="EJ694" s="952"/>
      <c r="EK694" s="952"/>
      <c r="EL694" s="952"/>
      <c r="EM694" s="952"/>
      <c r="EN694" s="952"/>
      <c r="EO694" s="952"/>
      <c r="EP694" s="952"/>
      <c r="JM694"/>
    </row>
    <row r="695" spans="1:273" s="289" customFormat="1">
      <c r="A695" s="102"/>
      <c r="B695" s="290"/>
      <c r="AN695" s="290"/>
      <c r="AO695" s="290"/>
      <c r="AP695" s="290"/>
      <c r="AQ695" s="290"/>
      <c r="AR695" s="293"/>
      <c r="AS695" s="293"/>
      <c r="AT695" s="290"/>
      <c r="AU695" s="290"/>
      <c r="AV695" s="293"/>
      <c r="AW695" s="293"/>
      <c r="AX695" s="290"/>
      <c r="AY695" s="290"/>
      <c r="AZ695" s="293"/>
      <c r="BA695" s="293"/>
      <c r="BB695" s="290"/>
      <c r="BC695" s="290"/>
      <c r="BD695" s="293"/>
      <c r="BE695" s="293"/>
      <c r="BF695" s="290"/>
      <c r="BG695" s="290"/>
      <c r="BH695" s="293"/>
      <c r="BI695" s="293"/>
      <c r="BJ695" s="290"/>
      <c r="BK695" s="290"/>
      <c r="BL695" s="293"/>
      <c r="BM695" s="293"/>
      <c r="BN695" s="290"/>
      <c r="BO695" s="290"/>
      <c r="BP695" s="293"/>
      <c r="BQ695" s="293"/>
      <c r="BR695" s="290"/>
      <c r="BS695" s="290"/>
      <c r="BT695" s="293"/>
      <c r="BU695" s="293"/>
      <c r="BV695" s="290"/>
      <c r="BW695" s="290"/>
      <c r="BX695" s="293"/>
      <c r="BY695" s="293"/>
      <c r="BZ695" s="290"/>
      <c r="CA695" s="290"/>
      <c r="CB695" s="293"/>
      <c r="CC695" s="293"/>
      <c r="CD695" s="290"/>
      <c r="CE695" s="581"/>
      <c r="CF695" s="293"/>
      <c r="CG695" s="293"/>
      <c r="CH695" s="290"/>
      <c r="CI695" s="581"/>
      <c r="CJ695" s="293"/>
      <c r="CK695" s="293"/>
      <c r="CL695" s="290"/>
      <c r="CM695" s="581"/>
      <c r="CN695" s="293"/>
      <c r="CO695" s="293"/>
      <c r="CP695" s="290"/>
      <c r="CQ695" s="581"/>
      <c r="CR695" s="293"/>
      <c r="CS695" s="293"/>
      <c r="CT695" s="290"/>
      <c r="CU695" s="290"/>
      <c r="CV695" s="293"/>
      <c r="CW695" s="293"/>
      <c r="CX695" s="290"/>
      <c r="CY695" s="290"/>
      <c r="CZ695" s="293"/>
      <c r="DA695" s="293"/>
      <c r="DB695" s="290"/>
      <c r="DC695" s="290"/>
      <c r="DD695" s="293"/>
      <c r="DE695" s="293"/>
      <c r="DF695" s="290"/>
      <c r="DG695" s="290"/>
      <c r="DH695" s="293"/>
      <c r="DI695" s="293"/>
      <c r="DJ695" s="290"/>
      <c r="DK695" s="290"/>
      <c r="DL695" s="293"/>
      <c r="DM695" s="293"/>
      <c r="DN695" s="290"/>
      <c r="DO695" s="290"/>
      <c r="DP695" s="293"/>
      <c r="DQ695" s="293"/>
      <c r="DR695" s="290"/>
      <c r="DS695" s="290"/>
      <c r="DT695" s="290"/>
      <c r="DU695" s="293"/>
      <c r="DV695" s="293"/>
      <c r="DW695" s="293"/>
      <c r="DX695" s="290"/>
      <c r="DY695" s="290"/>
      <c r="DZ695" s="293"/>
      <c r="EA695" s="293"/>
      <c r="EB695" s="290"/>
      <c r="EC695" s="290"/>
      <c r="ED695" s="293"/>
      <c r="EE695" s="293"/>
      <c r="EF695" s="290"/>
      <c r="EG695" s="290"/>
      <c r="EH695" s="290"/>
      <c r="EI695" s="290"/>
      <c r="EJ695" s="290"/>
      <c r="EK695" s="290"/>
      <c r="EL695" s="290"/>
      <c r="EM695" s="290"/>
      <c r="EN695" s="290"/>
      <c r="EO695" s="290"/>
      <c r="EP695" s="290"/>
      <c r="JM695"/>
    </row>
    <row r="696" spans="1:273" s="289" customFormat="1">
      <c r="A696" s="815" t="s">
        <v>750</v>
      </c>
      <c r="B696" s="290"/>
      <c r="AN696" s="290"/>
      <c r="AO696" s="290"/>
      <c r="AP696" s="290"/>
      <c r="AQ696" s="290"/>
      <c r="AR696" s="293"/>
      <c r="AS696" s="293"/>
      <c r="AT696" s="290"/>
      <c r="AU696" s="290"/>
      <c r="AV696" s="293"/>
      <c r="AW696" s="293"/>
      <c r="AX696" s="290"/>
      <c r="AY696" s="290"/>
      <c r="AZ696" s="293"/>
      <c r="BA696" s="295"/>
      <c r="BB696" s="290"/>
      <c r="BC696" s="290"/>
      <c r="BD696" s="295"/>
      <c r="BE696" s="295"/>
      <c r="BF696" s="290"/>
      <c r="BG696" s="290"/>
      <c r="BH696" s="295"/>
      <c r="BI696" s="295"/>
      <c r="BJ696" s="290"/>
      <c r="BK696" s="290"/>
      <c r="BL696" s="295"/>
      <c r="BM696" s="295"/>
      <c r="BN696" s="290"/>
      <c r="BO696" s="290"/>
      <c r="BP696" s="295"/>
      <c r="BQ696" s="295"/>
      <c r="BR696" s="290"/>
      <c r="BS696" s="290"/>
      <c r="BT696" s="295"/>
      <c r="BU696" s="295"/>
      <c r="BV696" s="290"/>
      <c r="BW696" s="290"/>
      <c r="BX696" s="295"/>
      <c r="BY696" s="295"/>
      <c r="BZ696" s="290"/>
      <c r="CA696" s="290"/>
      <c r="CB696" s="295"/>
      <c r="CC696" s="295"/>
      <c r="CD696" s="290"/>
      <c r="CE696" s="581"/>
      <c r="CF696" s="295"/>
      <c r="CG696" s="295"/>
      <c r="CH696" s="290"/>
      <c r="CI696" s="581"/>
      <c r="CJ696" s="295"/>
      <c r="CK696" s="295"/>
      <c r="CL696" s="290"/>
      <c r="CM696" s="581"/>
      <c r="CN696" s="295"/>
      <c r="CO696" s="295"/>
      <c r="CP696" s="290"/>
      <c r="CQ696" s="581"/>
      <c r="CR696" s="295"/>
      <c r="CS696" s="295"/>
      <c r="CT696" s="290"/>
      <c r="CU696" s="290"/>
      <c r="CV696" s="295"/>
      <c r="CW696" s="295"/>
      <c r="CX696" s="290"/>
      <c r="CY696" s="290"/>
      <c r="CZ696" s="295"/>
      <c r="DA696" s="295"/>
      <c r="DB696" s="290"/>
      <c r="DC696" s="290"/>
      <c r="DD696" s="295"/>
      <c r="DE696" s="295"/>
      <c r="DF696" s="290"/>
      <c r="DG696" s="290"/>
      <c r="DH696" s="295"/>
      <c r="DI696" s="295"/>
      <c r="DJ696" s="290"/>
      <c r="DK696" s="290"/>
      <c r="DL696" s="295"/>
      <c r="DM696" s="295"/>
      <c r="DN696" s="290"/>
      <c r="DO696" s="290"/>
      <c r="DP696" s="295"/>
      <c r="DQ696" s="295"/>
      <c r="DR696" s="290"/>
      <c r="DS696" s="290"/>
      <c r="DT696" s="290"/>
      <c r="DU696" s="295"/>
      <c r="DV696" s="295"/>
      <c r="DW696" s="295"/>
      <c r="DX696" s="290"/>
      <c r="DY696" s="290"/>
      <c r="DZ696" s="295"/>
      <c r="EA696" s="295"/>
      <c r="EB696" s="290"/>
      <c r="EC696" s="290"/>
      <c r="ED696" s="295"/>
      <c r="EE696" s="295"/>
      <c r="EF696" s="290"/>
      <c r="EG696" s="290"/>
      <c r="EH696" s="290"/>
      <c r="EI696" s="290"/>
      <c r="EJ696" s="290"/>
      <c r="EK696" s="290"/>
      <c r="EL696" s="290"/>
      <c r="EM696" s="290"/>
      <c r="EN696" s="290"/>
      <c r="EO696" s="290"/>
      <c r="EP696" s="290"/>
      <c r="JM696"/>
    </row>
    <row r="697" spans="1:273" s="289" customFormat="1">
      <c r="A697" s="289" t="s">
        <v>695</v>
      </c>
      <c r="B697" s="290"/>
      <c r="AN697" s="290"/>
      <c r="AO697" s="290"/>
      <c r="AP697" s="295">
        <f>AP692</f>
        <v>-4177</v>
      </c>
      <c r="AQ697" s="290"/>
      <c r="AR697" s="295">
        <f>AR692</f>
        <v>-1264.770729843332</v>
      </c>
      <c r="AS697" s="295">
        <f>AS692</f>
        <v>-1096.1471150171951</v>
      </c>
      <c r="AT697" s="295">
        <f>+AR697+AS697</f>
        <v>-2360.9178448605271</v>
      </c>
      <c r="AU697" s="290"/>
      <c r="AV697" s="295">
        <f>AV692</f>
        <v>-1509</v>
      </c>
      <c r="AW697" s="295">
        <f>AW692</f>
        <v>-1593</v>
      </c>
      <c r="AX697" s="295">
        <f>+AV697+AW697</f>
        <v>-3102</v>
      </c>
      <c r="AY697" s="290"/>
      <c r="AZ697" s="295">
        <f>AZ692</f>
        <v>-1895.6662999999999</v>
      </c>
      <c r="BA697" s="295">
        <f>BA692</f>
        <v>-1993.6666300000002</v>
      </c>
      <c r="BB697" s="295">
        <f>+AZ697+BA697</f>
        <v>-3889.33293</v>
      </c>
      <c r="BC697" s="290"/>
      <c r="BD697" s="295">
        <f>BD692</f>
        <v>-1652.3334399999999</v>
      </c>
      <c r="BE697" s="295">
        <f>BE692</f>
        <v>-1907.4994999999999</v>
      </c>
      <c r="BF697" s="295">
        <f>+BD697+BE697</f>
        <v>-3559.8329399999998</v>
      </c>
      <c r="BG697" s="290"/>
      <c r="BH697" s="295">
        <f>BH692</f>
        <v>-1538</v>
      </c>
      <c r="BI697" s="295">
        <f>BI692</f>
        <v>-1735</v>
      </c>
      <c r="BJ697" s="295">
        <f>+BH697+BI697</f>
        <v>-3273</v>
      </c>
      <c r="BK697" s="290"/>
      <c r="BL697" s="295">
        <f>BL692</f>
        <v>-1730</v>
      </c>
      <c r="BM697" s="295">
        <f>BM692</f>
        <v>-2006</v>
      </c>
      <c r="BN697" s="295">
        <f>+BL697+BM697</f>
        <v>-3736</v>
      </c>
      <c r="BO697" s="290"/>
      <c r="BP697" s="295">
        <f>BP692</f>
        <v>-1944</v>
      </c>
      <c r="BQ697" s="295">
        <f>BQ692</f>
        <v>-2199</v>
      </c>
      <c r="BR697" s="295">
        <f>+BP697+BQ697</f>
        <v>-4143</v>
      </c>
      <c r="BS697" s="290"/>
      <c r="BT697" s="295">
        <f>BT692</f>
        <v>-2263</v>
      </c>
      <c r="BU697" s="295">
        <f>BU692</f>
        <v>-1981</v>
      </c>
      <c r="BV697" s="295">
        <f>+BT697+BU697</f>
        <v>-4244</v>
      </c>
      <c r="BW697" s="290"/>
      <c r="BX697" s="295">
        <f>BX692</f>
        <v>-2290</v>
      </c>
      <c r="BY697" s="295">
        <f>BY692</f>
        <v>-2089</v>
      </c>
      <c r="BZ697" s="295">
        <f>+BX697+BY697</f>
        <v>-4379</v>
      </c>
      <c r="CA697" s="295"/>
      <c r="CB697" s="295">
        <f>CB692</f>
        <v>-2261</v>
      </c>
      <c r="CC697" s="295">
        <f>CC692</f>
        <v>-2232</v>
      </c>
      <c r="CD697" s="295">
        <f>+CB697+CC697</f>
        <v>-4493</v>
      </c>
      <c r="CE697" s="791"/>
      <c r="CF697" s="295">
        <f>CF692</f>
        <v>-2454</v>
      </c>
      <c r="CG697" s="295">
        <f>CG692</f>
        <v>-2763</v>
      </c>
      <c r="CH697" s="295">
        <f>+CF697+CG697</f>
        <v>-5217</v>
      </c>
      <c r="CI697" s="791"/>
      <c r="CJ697" s="295">
        <f>CJ692</f>
        <v>-2776</v>
      </c>
      <c r="CK697" s="295">
        <f>CK692</f>
        <v>-2547</v>
      </c>
      <c r="CL697" s="295">
        <f>+CJ697+CK697</f>
        <v>-5323</v>
      </c>
      <c r="CM697" s="791"/>
      <c r="CN697" s="295">
        <f>CN692</f>
        <v>-2615</v>
      </c>
      <c r="CO697" s="295">
        <f>CO692</f>
        <v>-2902</v>
      </c>
      <c r="CP697" s="295">
        <f>+CN697+CO697</f>
        <v>-5517</v>
      </c>
      <c r="CQ697" s="791"/>
      <c r="CR697" s="295">
        <f>CR692</f>
        <v>-3164</v>
      </c>
      <c r="CS697" s="295">
        <f>CS692</f>
        <v>-3561</v>
      </c>
      <c r="CT697" s="295">
        <f>+CR697+CS697</f>
        <v>-6725</v>
      </c>
      <c r="CU697" s="295"/>
      <c r="CV697" s="295">
        <f>CV692</f>
        <v>-3613</v>
      </c>
      <c r="CW697" s="295">
        <f>CW692</f>
        <v>-4090</v>
      </c>
      <c r="CX697" s="295">
        <f>+CV697+CW697</f>
        <v>-7703</v>
      </c>
      <c r="CY697" s="295"/>
      <c r="CZ697" s="295">
        <f>CZ692</f>
        <v>-3734</v>
      </c>
      <c r="DA697" s="295">
        <f>DA692</f>
        <v>-3989</v>
      </c>
      <c r="DB697" s="295">
        <f>+CZ697+DA697</f>
        <v>-7723</v>
      </c>
      <c r="DC697" s="295"/>
      <c r="DD697" s="295">
        <f>DD692</f>
        <v>-3756</v>
      </c>
      <c r="DE697" s="295">
        <f>DE692</f>
        <v>-3904</v>
      </c>
      <c r="DF697" s="295">
        <f>+DD697+DE697</f>
        <v>-7660</v>
      </c>
      <c r="DG697" s="295"/>
      <c r="DH697" s="295">
        <f>DH692</f>
        <v>-3956</v>
      </c>
      <c r="DI697" s="295">
        <f>+DI698+DI699</f>
        <v>-4113.2852697586586</v>
      </c>
      <c r="DJ697" s="295">
        <f>+DH697+DI697</f>
        <v>-8069.2852697586586</v>
      </c>
      <c r="DK697" s="295"/>
      <c r="DL697" s="295">
        <f>+DL698+DL699</f>
        <v>-4067.0201175485377</v>
      </c>
      <c r="DM697" s="295">
        <f>+DM698+DM699</f>
        <v>-4196.8683706362663</v>
      </c>
      <c r="DN697" s="295">
        <f>+DL697+DM697</f>
        <v>-8263.8884881848044</v>
      </c>
      <c r="DO697" s="295"/>
      <c r="DP697" s="295">
        <f>+DP698+DP699</f>
        <v>-4268.4366146201601</v>
      </c>
      <c r="DQ697" s="295">
        <f>+DQ698+DQ699</f>
        <v>-4424.6462020054969</v>
      </c>
      <c r="DR697" s="295">
        <f>+DP697+DQ697</f>
        <v>-8693.0828166256579</v>
      </c>
      <c r="DS697" s="295"/>
      <c r="DT697" s="290"/>
      <c r="DU697" s="295"/>
      <c r="DV697" s="295"/>
      <c r="DW697" s="295"/>
      <c r="DX697" s="295"/>
      <c r="DY697" s="290"/>
      <c r="DZ697" s="295"/>
      <c r="EA697" s="295"/>
      <c r="EB697" s="295"/>
      <c r="EC697" s="290"/>
      <c r="ED697" s="295"/>
      <c r="EE697" s="295"/>
      <c r="EF697" s="295"/>
      <c r="EG697" s="290"/>
      <c r="EH697" s="295"/>
      <c r="EI697" s="295"/>
      <c r="EJ697" s="295"/>
      <c r="EK697" s="290"/>
      <c r="EL697" s="290"/>
      <c r="EM697" s="290"/>
      <c r="EN697" s="290"/>
      <c r="EO697" s="290"/>
      <c r="EP697" s="290"/>
      <c r="JM697"/>
    </row>
    <row r="698" spans="1:273" s="302" customFormat="1">
      <c r="A698" s="302" t="s">
        <v>1063</v>
      </c>
      <c r="B698" s="304"/>
      <c r="AN698" s="304"/>
      <c r="AO698" s="304"/>
      <c r="AP698" s="634">
        <v>-299</v>
      </c>
      <c r="AQ698" s="304"/>
      <c r="AR698" s="627">
        <v>-75</v>
      </c>
      <c r="AS698" s="627">
        <v>-37</v>
      </c>
      <c r="AT698" s="303">
        <f>+AR698+AS698</f>
        <v>-112</v>
      </c>
      <c r="AU698" s="634"/>
      <c r="AV698" s="627">
        <v>-107</v>
      </c>
      <c r="AW698" s="627">
        <v>-146</v>
      </c>
      <c r="AX698" s="303">
        <f>+AV698+AW698</f>
        <v>-253</v>
      </c>
      <c r="AY698" s="634"/>
      <c r="AZ698" s="627">
        <v>-142</v>
      </c>
      <c r="BA698" s="627">
        <v>-136</v>
      </c>
      <c r="BB698" s="303">
        <f>+AZ698+BA698</f>
        <v>-278</v>
      </c>
      <c r="BC698" s="304"/>
      <c r="BD698" s="627">
        <v>-121</v>
      </c>
      <c r="BE698" s="627">
        <v>-104</v>
      </c>
      <c r="BF698" s="303">
        <f>+BD698+BE698</f>
        <v>-225</v>
      </c>
      <c r="BG698" s="304"/>
      <c r="BH698" s="627">
        <v>-96</v>
      </c>
      <c r="BI698" s="627">
        <v>-105</v>
      </c>
      <c r="BJ698" s="303">
        <f>+BH698+BI698</f>
        <v>-201</v>
      </c>
      <c r="BK698" s="304"/>
      <c r="BL698" s="627">
        <v>-108</v>
      </c>
      <c r="BM698" s="627">
        <v>-123</v>
      </c>
      <c r="BN698" s="303">
        <f>+BL698+BM698</f>
        <v>-231</v>
      </c>
      <c r="BO698" s="304"/>
      <c r="BP698" s="627">
        <v>-123</v>
      </c>
      <c r="BQ698" s="627">
        <v>-129</v>
      </c>
      <c r="BR698" s="303">
        <f>+BP698+BQ698</f>
        <v>-252</v>
      </c>
      <c r="BS698" s="304"/>
      <c r="BT698" s="627">
        <v>-145</v>
      </c>
      <c r="BU698" s="627">
        <v>-142</v>
      </c>
      <c r="BV698" s="303">
        <f>+BT698+BU698</f>
        <v>-287</v>
      </c>
      <c r="BW698" s="304"/>
      <c r="BX698" s="627">
        <v>-149</v>
      </c>
      <c r="BY698" s="627">
        <v>-109</v>
      </c>
      <c r="BZ698" s="303">
        <f>+BX698+BY698</f>
        <v>-258</v>
      </c>
      <c r="CA698" s="304"/>
      <c r="CB698" s="629">
        <v>-131</v>
      </c>
      <c r="CC698" s="629">
        <v>-141</v>
      </c>
      <c r="CD698" s="303">
        <f>+CB698+CC698</f>
        <v>-272</v>
      </c>
      <c r="CE698" s="300"/>
      <c r="CF698" s="629">
        <v>-157</v>
      </c>
      <c r="CG698" s="629">
        <v>-169</v>
      </c>
      <c r="CH698" s="303">
        <f>+CF698+CG698</f>
        <v>-326</v>
      </c>
      <c r="CI698" s="300"/>
      <c r="CJ698" s="629">
        <v>-174</v>
      </c>
      <c r="CK698" s="629">
        <v>-148</v>
      </c>
      <c r="CL698" s="303">
        <f>+CJ698+CK698</f>
        <v>-322</v>
      </c>
      <c r="CM698" s="300"/>
      <c r="CN698" s="1326">
        <v>-184</v>
      </c>
      <c r="CO698" s="1326">
        <v>-143</v>
      </c>
      <c r="CP698" s="303">
        <f>+CN698+CO698</f>
        <v>-327</v>
      </c>
      <c r="CQ698" s="300"/>
      <c r="CR698" s="1326">
        <v>-163</v>
      </c>
      <c r="CS698" s="1388">
        <v>-198</v>
      </c>
      <c r="CT698" s="303">
        <f>+CR698+CS698</f>
        <v>-361</v>
      </c>
      <c r="CU698" s="304"/>
      <c r="CV698" s="1326">
        <v>-179</v>
      </c>
      <c r="CW698" s="629">
        <v>-246</v>
      </c>
      <c r="CX698" s="303">
        <f>+CV698+CW698</f>
        <v>-425</v>
      </c>
      <c r="CY698" s="304"/>
      <c r="CZ698" s="1388">
        <v>-228</v>
      </c>
      <c r="DA698" s="1388">
        <v>-222</v>
      </c>
      <c r="DB698" s="303">
        <f>+CZ698+DA698</f>
        <v>-450</v>
      </c>
      <c r="DC698" s="304"/>
      <c r="DD698" s="1388">
        <v>-215</v>
      </c>
      <c r="DE698" s="2176">
        <v>-190</v>
      </c>
      <c r="DF698" s="303">
        <f>+DD698+DE698</f>
        <v>-405</v>
      </c>
      <c r="DG698" s="304"/>
      <c r="DH698" s="1388">
        <v>-222</v>
      </c>
      <c r="DI698" s="303">
        <f>DI1079</f>
        <v>-227.45464918032792</v>
      </c>
      <c r="DJ698" s="303">
        <f>+DH698+DI698</f>
        <v>-449.45464918032792</v>
      </c>
      <c r="DK698" s="304"/>
      <c r="DL698" s="303">
        <f>DL1079</f>
        <v>-235.61127288000006</v>
      </c>
      <c r="DM698" s="303">
        <f>DM1079</f>
        <v>-241.4003577290581</v>
      </c>
      <c r="DN698" s="303">
        <f>+DL698+DM698</f>
        <v>-477.01163060905816</v>
      </c>
      <c r="DO698" s="303"/>
      <c r="DP698" s="303">
        <f>DP1079</f>
        <v>-249.37386459987258</v>
      </c>
      <c r="DQ698" s="303">
        <f>DQ1079</f>
        <v>-256.90495531078881</v>
      </c>
      <c r="DR698" s="303">
        <f>+DP698+DQ698</f>
        <v>-506.27881991066135</v>
      </c>
      <c r="DS698" s="303"/>
      <c r="DT698" s="304"/>
      <c r="DU698" s="303"/>
      <c r="DV698" s="303"/>
      <c r="DW698" s="303"/>
      <c r="DX698" s="303"/>
      <c r="DY698" s="304"/>
      <c r="DZ698" s="303"/>
      <c r="EA698" s="303"/>
      <c r="EB698" s="303"/>
      <c r="EC698" s="304"/>
      <c r="ED698" s="303"/>
      <c r="EE698" s="303"/>
      <c r="EF698" s="303"/>
      <c r="EG698" s="304"/>
      <c r="EH698" s="303"/>
      <c r="EI698" s="303"/>
      <c r="EJ698" s="303"/>
      <c r="EK698" s="304"/>
      <c r="EL698" s="304"/>
      <c r="EM698" s="304"/>
      <c r="EN698" s="304"/>
      <c r="EO698" s="304"/>
      <c r="EP698" s="304"/>
      <c r="FL698" s="102"/>
      <c r="FM698" s="102"/>
      <c r="FN698" s="102"/>
      <c r="FO698" s="102"/>
      <c r="FP698" s="102"/>
      <c r="FQ698" s="102"/>
      <c r="FR698" s="102"/>
      <c r="FS698" s="102"/>
      <c r="FT698" s="102"/>
      <c r="FU698" s="102"/>
      <c r="FV698" s="102"/>
      <c r="FW698" s="102"/>
      <c r="FX698" s="102"/>
      <c r="FY698" s="102"/>
      <c r="FZ698" s="102"/>
      <c r="GA698" s="102"/>
      <c r="GB698" s="102"/>
      <c r="GC698" s="102"/>
      <c r="GD698" s="102"/>
      <c r="GE698" s="102"/>
      <c r="GF698" s="102"/>
      <c r="GG698" s="102"/>
      <c r="GH698" s="102"/>
      <c r="GI698" s="102"/>
      <c r="GJ698" s="102"/>
      <c r="GK698" s="102"/>
      <c r="GL698" s="102"/>
      <c r="GM698" s="102"/>
      <c r="GN698" s="102"/>
      <c r="GO698" s="102"/>
      <c r="GP698" s="102"/>
      <c r="GQ698" s="102"/>
      <c r="GR698" s="102"/>
      <c r="GS698" s="102"/>
      <c r="GT698" s="102"/>
      <c r="GU698" s="102"/>
      <c r="GV698" s="102"/>
      <c r="GW698" s="102"/>
      <c r="GX698" s="102"/>
      <c r="GY698" s="102"/>
      <c r="GZ698" s="102"/>
      <c r="HA698" s="102"/>
      <c r="HB698" s="102"/>
      <c r="HC698" s="102"/>
      <c r="HD698" s="102"/>
      <c r="HE698" s="102"/>
      <c r="HF698" s="102"/>
      <c r="HG698" s="102"/>
      <c r="HH698" s="102"/>
      <c r="HI698" s="102"/>
      <c r="HJ698" s="102"/>
      <c r="HK698" s="102"/>
      <c r="HL698" s="102"/>
      <c r="HM698" s="102"/>
      <c r="HN698" s="102"/>
      <c r="HO698" s="102"/>
      <c r="HP698" s="102"/>
      <c r="HQ698" s="102"/>
      <c r="HR698" s="102"/>
      <c r="HS698" s="102"/>
      <c r="HT698" s="102"/>
      <c r="HU698" s="102"/>
      <c r="HV698" s="102"/>
      <c r="HW698" s="102"/>
      <c r="HX698" s="102"/>
      <c r="HY698" s="102"/>
      <c r="HZ698" s="102"/>
      <c r="IA698" s="102"/>
      <c r="IB698" s="102"/>
      <c r="IC698" s="102"/>
      <c r="ID698" s="102"/>
      <c r="IE698" s="102"/>
      <c r="IF698" s="102"/>
      <c r="IG698" s="102"/>
      <c r="IH698" s="102"/>
      <c r="II698" s="102"/>
      <c r="IJ698" s="102"/>
      <c r="IK698" s="102"/>
      <c r="IL698" s="102"/>
      <c r="IM698" s="102"/>
      <c r="IN698" s="102"/>
      <c r="IO698" s="102"/>
      <c r="IP698" s="102"/>
      <c r="IQ698" s="102"/>
      <c r="IR698" s="102"/>
      <c r="IS698" s="102"/>
      <c r="IT698" s="102"/>
      <c r="IU698" s="102"/>
      <c r="IV698" s="102"/>
      <c r="IW698" s="102"/>
      <c r="IX698" s="102"/>
      <c r="IY698" s="102"/>
      <c r="IZ698" s="102"/>
      <c r="JA698" s="102"/>
      <c r="JB698" s="102"/>
      <c r="JC698" s="102"/>
      <c r="JD698" s="102"/>
      <c r="JE698" s="102"/>
      <c r="JF698" s="102"/>
      <c r="JG698" s="102"/>
      <c r="JH698" s="102"/>
      <c r="JI698" s="102"/>
      <c r="JJ698" s="102"/>
      <c r="JK698" s="102"/>
      <c r="JL698" s="102"/>
      <c r="JM698"/>
    </row>
    <row r="699" spans="1:273" s="289" customFormat="1">
      <c r="A699" s="289" t="s">
        <v>751</v>
      </c>
      <c r="B699" s="290"/>
      <c r="AN699" s="295">
        <f>AN697-AN698</f>
        <v>0</v>
      </c>
      <c r="AO699" s="295">
        <f>AO697-AO698</f>
        <v>0</v>
      </c>
      <c r="AP699" s="295">
        <f>AP697-AP698</f>
        <v>-3878</v>
      </c>
      <c r="AQ699" s="290"/>
      <c r="AR699" s="295">
        <f>AR697-AR698</f>
        <v>-1189.770729843332</v>
      </c>
      <c r="AS699" s="295">
        <f>AS697-AS698</f>
        <v>-1059.1471150171951</v>
      </c>
      <c r="AT699" s="295">
        <f>+AR699+AS699</f>
        <v>-2248.9178448605271</v>
      </c>
      <c r="AU699" s="674"/>
      <c r="AV699" s="295">
        <f>AV697-AV698</f>
        <v>-1402</v>
      </c>
      <c r="AW699" s="295">
        <f>AW697-AW698</f>
        <v>-1447</v>
      </c>
      <c r="AX699" s="293">
        <f>+AV699+AW699</f>
        <v>-2849</v>
      </c>
      <c r="AY699" s="674"/>
      <c r="AZ699" s="295">
        <f>AZ697-AZ698</f>
        <v>-1753.6662999999999</v>
      </c>
      <c r="BA699" s="295">
        <f>BA697-BA698</f>
        <v>-1857.6666300000002</v>
      </c>
      <c r="BB699" s="293">
        <f>+AZ699+BA699</f>
        <v>-3611.33293</v>
      </c>
      <c r="BC699" s="290"/>
      <c r="BD699" s="295">
        <f>BD697-BD698</f>
        <v>-1531.3334399999999</v>
      </c>
      <c r="BE699" s="295">
        <f>BE697-BE698</f>
        <v>-1803.4994999999999</v>
      </c>
      <c r="BF699" s="293">
        <f>+BD699+BE699</f>
        <v>-3334.8329399999998</v>
      </c>
      <c r="BG699" s="290"/>
      <c r="BH699" s="295">
        <f>BH697-BH698</f>
        <v>-1442</v>
      </c>
      <c r="BI699" s="295">
        <f>BI697-BI698</f>
        <v>-1630</v>
      </c>
      <c r="BJ699" s="295">
        <f>+BH699+BI699</f>
        <v>-3072</v>
      </c>
      <c r="BK699" s="290"/>
      <c r="BL699" s="295">
        <f>BL697-BL698</f>
        <v>-1622</v>
      </c>
      <c r="BM699" s="295">
        <f>BM697-BM698</f>
        <v>-1883</v>
      </c>
      <c r="BN699" s="295">
        <f>+BL699+BM699</f>
        <v>-3505</v>
      </c>
      <c r="BO699" s="290"/>
      <c r="BP699" s="295">
        <f>BP697-BP698</f>
        <v>-1821</v>
      </c>
      <c r="BQ699" s="295">
        <f>BQ697-BQ698</f>
        <v>-2070</v>
      </c>
      <c r="BR699" s="295">
        <f>+BP699+BQ699</f>
        <v>-3891</v>
      </c>
      <c r="BS699" s="290"/>
      <c r="BT699" s="295">
        <f>BT697-BT698</f>
        <v>-2118</v>
      </c>
      <c r="BU699" s="295">
        <f>BU697-BU698</f>
        <v>-1839</v>
      </c>
      <c r="BV699" s="295">
        <f>+BT699+BU699</f>
        <v>-3957</v>
      </c>
      <c r="BW699" s="290"/>
      <c r="BX699" s="295">
        <f>BX697-BX698</f>
        <v>-2141</v>
      </c>
      <c r="BY699" s="295">
        <f>BY697-BY698</f>
        <v>-1980</v>
      </c>
      <c r="BZ699" s="295">
        <f>+BX699+BY699</f>
        <v>-4121</v>
      </c>
      <c r="CA699" s="290"/>
      <c r="CB699" s="295">
        <f>CB697-CB698</f>
        <v>-2130</v>
      </c>
      <c r="CC699" s="295">
        <f>CC697-CC698</f>
        <v>-2091</v>
      </c>
      <c r="CD699" s="295">
        <f>+CB699+CC699</f>
        <v>-4221</v>
      </c>
      <c r="CE699" s="581"/>
      <c r="CF699" s="295">
        <f>CF697-CF698</f>
        <v>-2297</v>
      </c>
      <c r="CG699" s="295">
        <f>CG697-CG698</f>
        <v>-2594</v>
      </c>
      <c r="CH699" s="295">
        <f>+CF699+CG699</f>
        <v>-4891</v>
      </c>
      <c r="CI699" s="581"/>
      <c r="CJ699" s="295">
        <f>CJ697-CJ698</f>
        <v>-2602</v>
      </c>
      <c r="CK699" s="295">
        <f>CK697-CK698</f>
        <v>-2399</v>
      </c>
      <c r="CL699" s="295">
        <f>+CJ699+CK699</f>
        <v>-5001</v>
      </c>
      <c r="CM699" s="581"/>
      <c r="CN699" s="295">
        <f>CN697-CN698</f>
        <v>-2431</v>
      </c>
      <c r="CO699" s="295">
        <f>CO697-CO698</f>
        <v>-2759</v>
      </c>
      <c r="CP699" s="295">
        <f>+CN699+CO699</f>
        <v>-5190</v>
      </c>
      <c r="CQ699" s="581"/>
      <c r="CR699" s="295">
        <f>CR697-CR698</f>
        <v>-3001</v>
      </c>
      <c r="CS699" s="295">
        <f>CS697-CS698</f>
        <v>-3363</v>
      </c>
      <c r="CT699" s="295">
        <f>+CR699+CS699</f>
        <v>-6364</v>
      </c>
      <c r="CU699" s="290"/>
      <c r="CV699" s="295">
        <f>CV697-CV698</f>
        <v>-3434</v>
      </c>
      <c r="CW699" s="295">
        <f>CW697-CW698</f>
        <v>-3844</v>
      </c>
      <c r="CX699" s="295">
        <f>+CV699+CW699</f>
        <v>-7278</v>
      </c>
      <c r="CY699" s="290"/>
      <c r="CZ699" s="295">
        <f>CZ697-CZ698</f>
        <v>-3506</v>
      </c>
      <c r="DA699" s="295">
        <f>DA697-DA698</f>
        <v>-3767</v>
      </c>
      <c r="DB699" s="295">
        <f>+CZ699+DA699</f>
        <v>-7273</v>
      </c>
      <c r="DC699" s="290"/>
      <c r="DD699" s="295">
        <f>DD697-DD698</f>
        <v>-3541</v>
      </c>
      <c r="DE699" s="295">
        <f>DE697-DE698</f>
        <v>-3714</v>
      </c>
      <c r="DF699" s="295">
        <f>+DD699+DE699</f>
        <v>-7255</v>
      </c>
      <c r="DG699" s="290"/>
      <c r="DH699" s="295">
        <f>DH697-DH698</f>
        <v>-3734</v>
      </c>
      <c r="DI699" s="295">
        <f>DI705</f>
        <v>-3885.8306205783306</v>
      </c>
      <c r="DJ699" s="295">
        <f>+DH699+DI699</f>
        <v>-7619.8306205783301</v>
      </c>
      <c r="DK699" s="290"/>
      <c r="DL699" s="295">
        <f>DL705</f>
        <v>-3831.4088446685378</v>
      </c>
      <c r="DM699" s="295">
        <f>DM705</f>
        <v>-3955.468012907208</v>
      </c>
      <c r="DN699" s="295">
        <f>+DL699+DM699</f>
        <v>-7786.8768575757458</v>
      </c>
      <c r="DO699" s="293"/>
      <c r="DP699" s="295">
        <f>DP705</f>
        <v>-4019.0627500202877</v>
      </c>
      <c r="DQ699" s="295">
        <f>DQ705</f>
        <v>-4167.741246694708</v>
      </c>
      <c r="DR699" s="295">
        <f>+DP699+DQ699</f>
        <v>-8186.8039967149962</v>
      </c>
      <c r="DS699" s="293"/>
      <c r="DT699" s="290"/>
      <c r="DU699" s="295"/>
      <c r="DV699" s="295"/>
      <c r="DW699" s="295"/>
      <c r="DX699" s="293"/>
      <c r="DY699" s="290"/>
      <c r="DZ699" s="295"/>
      <c r="EA699" s="295"/>
      <c r="EB699" s="293"/>
      <c r="EC699" s="290"/>
      <c r="ED699" s="295"/>
      <c r="EE699" s="295"/>
      <c r="EF699" s="293"/>
      <c r="EG699" s="290"/>
      <c r="EH699" s="295"/>
      <c r="EI699" s="295"/>
      <c r="EJ699" s="293"/>
      <c r="EK699" s="290"/>
      <c r="EL699" s="290"/>
      <c r="EM699" s="290"/>
      <c r="EN699" s="290"/>
      <c r="EO699" s="290"/>
      <c r="EP699" s="290"/>
      <c r="JM699"/>
    </row>
    <row r="700" spans="1:273" s="328" customFormat="1">
      <c r="A700" s="323" t="s">
        <v>748</v>
      </c>
      <c r="B700" s="581"/>
      <c r="AN700" s="791"/>
      <c r="AO700" s="791"/>
      <c r="AP700" s="581"/>
      <c r="AQ700" s="581"/>
      <c r="AR700" s="331"/>
      <c r="AS700" s="331"/>
      <c r="AT700" s="412"/>
      <c r="AU700" s="412"/>
      <c r="AV700" s="331">
        <f>AV1096</f>
        <v>-526.25383858837142</v>
      </c>
      <c r="AW700" s="331">
        <f>AW1096</f>
        <v>-385.48711583283648</v>
      </c>
      <c r="AX700" s="331">
        <f>AX1096</f>
        <v>-911.7409544212079</v>
      </c>
      <c r="AY700" s="115"/>
      <c r="AZ700" s="331">
        <f>AZ1096</f>
        <v>-583.74110756718528</v>
      </c>
      <c r="BA700" s="331">
        <f>BA1096</f>
        <v>-474.17806464289339</v>
      </c>
      <c r="BB700" s="331">
        <f>BB1096</f>
        <v>-1057.9191722100788</v>
      </c>
      <c r="BC700" s="581"/>
      <c r="BD700" s="331">
        <f>BD1096</f>
        <v>-412.61358417218622</v>
      </c>
      <c r="BE700" s="331">
        <f>BE1096</f>
        <v>-610.27570460710672</v>
      </c>
      <c r="BF700" s="331">
        <f>BF1096</f>
        <v>-1022.889288779293</v>
      </c>
      <c r="BG700" s="581"/>
      <c r="BH700" s="331">
        <f>BH1096</f>
        <v>-419.18114468332374</v>
      </c>
      <c r="BI700" s="331">
        <f>BI1096</f>
        <v>-621.08756802009202</v>
      </c>
      <c r="BJ700" s="331">
        <f>BJ1096</f>
        <v>-1040.2687127034158</v>
      </c>
      <c r="BK700" s="581"/>
      <c r="BL700" s="331">
        <f>BL1096</f>
        <v>-547.96234549471546</v>
      </c>
      <c r="BM700" s="331">
        <f>BM1096</f>
        <v>-748.13186280450873</v>
      </c>
      <c r="BN700" s="331">
        <f>BN1096</f>
        <v>-1296.0942082992242</v>
      </c>
      <c r="BO700" s="581"/>
      <c r="BP700" s="331">
        <f>BP1096</f>
        <v>-691.40214237620125</v>
      </c>
      <c r="BQ700" s="331">
        <f>BQ1096</f>
        <v>-802.68225492580882</v>
      </c>
      <c r="BR700" s="331">
        <f>BR1096</f>
        <v>-1494.0843973020101</v>
      </c>
      <c r="BS700" s="581"/>
      <c r="BT700" s="331">
        <f>BT1096</f>
        <v>-877.0838531880247</v>
      </c>
      <c r="BU700" s="331">
        <f>BU1096</f>
        <v>-500.17347321094047</v>
      </c>
      <c r="BV700" s="331">
        <f>BV1096</f>
        <v>-1377.2573263989652</v>
      </c>
      <c r="BW700" s="581"/>
      <c r="BX700" s="331">
        <f>BX1096</f>
        <v>-842.3033540525571</v>
      </c>
      <c r="BY700" s="331">
        <f>BY1096</f>
        <v>-723.06983695652184</v>
      </c>
      <c r="BZ700" s="331">
        <f>BZ1096</f>
        <v>-1565.3731910090787</v>
      </c>
      <c r="CA700" s="581"/>
      <c r="CB700" s="331">
        <f>CB1096</f>
        <v>-856.19464723251872</v>
      </c>
      <c r="CC700" s="331">
        <f>CC1096</f>
        <v>-711.39359763456434</v>
      </c>
      <c r="CD700" s="331">
        <f>CD1096</f>
        <v>-1567.5882448670829</v>
      </c>
      <c r="CE700" s="581"/>
      <c r="CF700" s="331">
        <f>CF1096</f>
        <v>-911.18610855565771</v>
      </c>
      <c r="CG700" s="331">
        <f>CG1096</f>
        <v>-1000.7171186345518</v>
      </c>
      <c r="CH700" s="331">
        <f>CH1096</f>
        <v>-1911.9032271902095</v>
      </c>
      <c r="CI700" s="581"/>
      <c r="CJ700" s="331">
        <f>CJ1096</f>
        <v>-1098.1388264669163</v>
      </c>
      <c r="CK700" s="331">
        <f>CK1096</f>
        <v>-840.9005556510283</v>
      </c>
      <c r="CL700" s="331">
        <f>CL1096</f>
        <v>-1939.0393821179446</v>
      </c>
      <c r="CM700" s="581"/>
      <c r="CN700" s="331">
        <f>CN1096</f>
        <v>-863.53415254237291</v>
      </c>
      <c r="CO700" s="331">
        <f>CO1096</f>
        <v>-1297.0074639429822</v>
      </c>
      <c r="CP700" s="331">
        <f>CP1096</f>
        <v>-2160.541616485355</v>
      </c>
      <c r="CQ700" s="581"/>
      <c r="CR700" s="331">
        <f>CR1096</f>
        <v>-1315.6325472213123</v>
      </c>
      <c r="CS700" s="331">
        <f>CS1096</f>
        <v>-1630.7989031553777</v>
      </c>
      <c r="CT700" s="331">
        <f>CT1096</f>
        <v>-2946.43145037669</v>
      </c>
      <c r="CU700" s="581"/>
      <c r="CV700" s="331">
        <f>CV1096</f>
        <v>-1560.5956506364921</v>
      </c>
      <c r="CW700" s="331">
        <f>CW1096</f>
        <v>-1735.4800078612489</v>
      </c>
      <c r="CX700" s="331">
        <f>CX1096</f>
        <v>-3296.0756584977407</v>
      </c>
      <c r="CY700" s="581"/>
      <c r="CZ700" s="331">
        <f>CZ1096</f>
        <v>-1268.6059167936028</v>
      </c>
      <c r="DA700" s="331">
        <f>DA1096</f>
        <v>-1530.6407711395304</v>
      </c>
      <c r="DB700" s="331">
        <f>DB1096</f>
        <v>-2799.2466879331332</v>
      </c>
      <c r="DC700" s="581"/>
      <c r="DD700" s="331">
        <f>DD1096</f>
        <v>-1219.7303362428088</v>
      </c>
      <c r="DE700" s="331">
        <f>DE1096</f>
        <v>-1437.8175229405363</v>
      </c>
      <c r="DF700" s="331">
        <f>DF1096</f>
        <v>-2657.5478591833453</v>
      </c>
      <c r="DG700" s="581"/>
      <c r="DH700" s="331">
        <f>DH1096</f>
        <v>-1502.3774336283184</v>
      </c>
      <c r="DI700" s="331">
        <f>DI1096</f>
        <v>-1817.0599006042398</v>
      </c>
      <c r="DJ700" s="331">
        <f>DJ1096</f>
        <v>-3319.4373342325575</v>
      </c>
      <c r="DK700" s="581"/>
      <c r="DL700" s="331">
        <f>DL1096</f>
        <v>-1832.8138501788108</v>
      </c>
      <c r="DM700" s="331">
        <f>DM1096</f>
        <v>-1818.9001686716742</v>
      </c>
      <c r="DN700" s="331">
        <f>DN1096</f>
        <v>-3651.7140188504854</v>
      </c>
      <c r="DO700" s="791"/>
      <c r="DP700" s="331">
        <f>DP1096</f>
        <v>-1941.2196010968262</v>
      </c>
      <c r="DQ700" s="331">
        <f>DQ1096</f>
        <v>-1940.353119882976</v>
      </c>
      <c r="DR700" s="331">
        <f>DR1096</f>
        <v>-3881.5727209798024</v>
      </c>
      <c r="DS700" s="791"/>
      <c r="DT700" s="581"/>
      <c r="DU700" s="331"/>
      <c r="DV700" s="331"/>
      <c r="DW700" s="331"/>
      <c r="DX700" s="791"/>
      <c r="DY700" s="581"/>
      <c r="DZ700" s="331"/>
      <c r="EA700" s="331"/>
      <c r="EB700" s="791"/>
      <c r="EC700" s="581"/>
      <c r="ED700" s="331"/>
      <c r="EE700" s="331"/>
      <c r="EF700" s="791"/>
      <c r="EG700" s="581"/>
      <c r="EH700" s="331"/>
      <c r="EI700" s="331"/>
      <c r="EJ700" s="791"/>
      <c r="EK700" s="581"/>
      <c r="EL700" s="581"/>
      <c r="EM700" s="581"/>
      <c r="EN700" s="581"/>
      <c r="EO700" s="581"/>
      <c r="EP700" s="581"/>
      <c r="JM700"/>
    </row>
    <row r="701" spans="1:273" s="323" customFormat="1">
      <c r="A701" s="323" t="s">
        <v>752</v>
      </c>
      <c r="B701" s="115"/>
      <c r="AN701" s="331"/>
      <c r="AO701" s="331"/>
      <c r="AP701" s="115"/>
      <c r="AQ701" s="115"/>
      <c r="AR701" s="331"/>
      <c r="AS701" s="331"/>
      <c r="AT701" s="768"/>
      <c r="AU701" s="768"/>
      <c r="AV701" s="331">
        <f>+AV699-AV700</f>
        <v>-875.74616141162858</v>
      </c>
      <c r="AW701" s="331">
        <f>+AW699-AW700</f>
        <v>-1061.5128841671635</v>
      </c>
      <c r="AX701" s="331">
        <f>+AX699-AX700</f>
        <v>-1937.2590455787922</v>
      </c>
      <c r="AY701" s="768"/>
      <c r="AZ701" s="331">
        <f>+AZ699-AZ700</f>
        <v>-1169.9251924328146</v>
      </c>
      <c r="BA701" s="331">
        <f>+BA699-BA700</f>
        <v>-1383.4885653571068</v>
      </c>
      <c r="BB701" s="331">
        <f>+BB699-BB700</f>
        <v>-2553.413757789921</v>
      </c>
      <c r="BC701" s="115"/>
      <c r="BD701" s="331">
        <f>+BD699-BD700</f>
        <v>-1118.7198558278137</v>
      </c>
      <c r="BE701" s="331">
        <f>+BE699-BE700</f>
        <v>-1193.2237953928932</v>
      </c>
      <c r="BF701" s="331">
        <f>+BF699-BF700</f>
        <v>-2311.9436512207067</v>
      </c>
      <c r="BG701" s="115"/>
      <c r="BH701" s="331">
        <f>+BH699-BH700</f>
        <v>-1022.8188553166763</v>
      </c>
      <c r="BI701" s="331">
        <f>+BI699-BI700</f>
        <v>-1008.912431979908</v>
      </c>
      <c r="BJ701" s="331">
        <f>+BJ699-BJ700</f>
        <v>-2031.7312872965842</v>
      </c>
      <c r="BK701" s="115"/>
      <c r="BL701" s="331">
        <f>+BL699-BL700</f>
        <v>-1074.0376545052845</v>
      </c>
      <c r="BM701" s="331">
        <f>+BM699-BM700</f>
        <v>-1134.8681371954913</v>
      </c>
      <c r="BN701" s="331">
        <f>+BN699-BN700</f>
        <v>-2208.9057917007758</v>
      </c>
      <c r="BO701" s="115"/>
      <c r="BP701" s="331">
        <f>+BP699-BP700</f>
        <v>-1129.5978576237987</v>
      </c>
      <c r="BQ701" s="331">
        <f>+BQ699-BQ700</f>
        <v>-1267.3177450741912</v>
      </c>
      <c r="BR701" s="331">
        <f>+BR699-BR700</f>
        <v>-2396.9156026979899</v>
      </c>
      <c r="BS701" s="115"/>
      <c r="BT701" s="331">
        <f>+BT699-BT700</f>
        <v>-1240.9161468119753</v>
      </c>
      <c r="BU701" s="331">
        <f>+BU699-BU700</f>
        <v>-1338.8265267890595</v>
      </c>
      <c r="BV701" s="331">
        <f>+BV699-BV700</f>
        <v>-2579.7426736010348</v>
      </c>
      <c r="BW701" s="115"/>
      <c r="BX701" s="331">
        <f>+BX699-BX700</f>
        <v>-1298.6966459474429</v>
      </c>
      <c r="BY701" s="331">
        <f>+BY699-BY700</f>
        <v>-1256.9301630434782</v>
      </c>
      <c r="BZ701" s="331">
        <f>+BZ699-BZ700</f>
        <v>-2555.6268089909213</v>
      </c>
      <c r="CA701" s="115"/>
      <c r="CB701" s="331">
        <f>+CB699-CB700</f>
        <v>-1273.8053527674813</v>
      </c>
      <c r="CC701" s="331">
        <f>+CC699-CC700</f>
        <v>-1379.6064023654358</v>
      </c>
      <c r="CD701" s="331">
        <f>+CD699-CD700</f>
        <v>-2653.4117551329173</v>
      </c>
      <c r="CE701" s="115"/>
      <c r="CF701" s="331">
        <f>+CF699-CF700</f>
        <v>-1385.8138914443423</v>
      </c>
      <c r="CG701" s="331">
        <f>+CG699-CG700</f>
        <v>-1593.2828813654482</v>
      </c>
      <c r="CH701" s="331">
        <f>+CH699-CH700</f>
        <v>-2979.0967728097903</v>
      </c>
      <c r="CI701" s="115"/>
      <c r="CJ701" s="331">
        <f>+CJ699-CJ700</f>
        <v>-1503.8611735330837</v>
      </c>
      <c r="CK701" s="331">
        <f>+CK699-CK700</f>
        <v>-1558.0994443489717</v>
      </c>
      <c r="CL701" s="331">
        <f>+CL699-CL700</f>
        <v>-3061.9606178820554</v>
      </c>
      <c r="CM701" s="115"/>
      <c r="CN701" s="331">
        <f>+CN699-CN700</f>
        <v>-1567.4658474576272</v>
      </c>
      <c r="CO701" s="331">
        <f>+CO699-CO700</f>
        <v>-1461.9925360570178</v>
      </c>
      <c r="CP701" s="331">
        <f>+CP699-CP700</f>
        <v>-3029.458383514645</v>
      </c>
      <c r="CQ701" s="768"/>
      <c r="CR701" s="331">
        <f>+CR699-CR700</f>
        <v>-1685.3674527786877</v>
      </c>
      <c r="CS701" s="331">
        <f>+CS699-CS700</f>
        <v>-1732.2010968446223</v>
      </c>
      <c r="CT701" s="331">
        <f>+CT699-CT700</f>
        <v>-3417.56854962331</v>
      </c>
      <c r="CU701" s="115"/>
      <c r="CV701" s="331">
        <f>+CV699-CV700</f>
        <v>-1873.4043493635079</v>
      </c>
      <c r="CW701" s="331">
        <f>+CW699-CW700</f>
        <v>-2108.5199921387511</v>
      </c>
      <c r="CX701" s="331">
        <f>+CX699-CX700</f>
        <v>-3981.9243415022593</v>
      </c>
      <c r="CY701" s="115"/>
      <c r="CZ701" s="331">
        <f>+CZ699-CZ700</f>
        <v>-2237.3940832063972</v>
      </c>
      <c r="DA701" s="331">
        <f>+DA699-DA700</f>
        <v>-2236.3592288604696</v>
      </c>
      <c r="DB701" s="331">
        <f>+DB699-DB700</f>
        <v>-4473.7533120668668</v>
      </c>
      <c r="DC701" s="115"/>
      <c r="DD701" s="331">
        <f>+DD699-DD700</f>
        <v>-2321.2696637571912</v>
      </c>
      <c r="DE701" s="331">
        <f>+DE699-DE700</f>
        <v>-2276.182477059464</v>
      </c>
      <c r="DF701" s="331">
        <f>+DF699-DF700</f>
        <v>-4597.4521408166547</v>
      </c>
      <c r="DG701" s="115"/>
      <c r="DH701" s="331">
        <f>+DH699-DH700</f>
        <v>-2231.6225663716814</v>
      </c>
      <c r="DI701" s="331">
        <f>+DI699-DI700</f>
        <v>-2068.7707199740908</v>
      </c>
      <c r="DJ701" s="331">
        <f>+DJ699-DJ700</f>
        <v>-4300.3932863457721</v>
      </c>
      <c r="DK701" s="115"/>
      <c r="DL701" s="331">
        <f>+DL699-DL700</f>
        <v>-1998.594994489727</v>
      </c>
      <c r="DM701" s="331">
        <f>+DM699-DM700</f>
        <v>-2136.5678442355338</v>
      </c>
      <c r="DN701" s="331">
        <f>+DN699-DN700</f>
        <v>-4135.1628387252604</v>
      </c>
      <c r="DO701" s="331"/>
      <c r="DP701" s="331">
        <f>+DP699-DP700</f>
        <v>-2077.8431489234617</v>
      </c>
      <c r="DQ701" s="331">
        <f>+DQ699-DQ700</f>
        <v>-2227.388126811732</v>
      </c>
      <c r="DR701" s="331">
        <f>+DR699-DR700</f>
        <v>-4305.2312757351938</v>
      </c>
      <c r="DS701" s="331"/>
      <c r="DT701" s="115"/>
      <c r="DU701" s="331"/>
      <c r="DV701" s="331"/>
      <c r="DW701" s="331"/>
      <c r="DX701" s="331"/>
      <c r="DY701" s="115"/>
      <c r="DZ701" s="331"/>
      <c r="EA701" s="331"/>
      <c r="EB701" s="331"/>
      <c r="EC701" s="115"/>
      <c r="ED701" s="331"/>
      <c r="EE701" s="331"/>
      <c r="EF701" s="331"/>
      <c r="EG701" s="115"/>
      <c r="EH701" s="331"/>
      <c r="EI701" s="331"/>
      <c r="EJ701" s="331"/>
      <c r="EK701" s="115"/>
      <c r="EL701" s="115"/>
      <c r="EM701" s="115"/>
      <c r="EN701" s="115"/>
      <c r="EO701" s="115"/>
      <c r="EP701" s="115"/>
      <c r="JM701"/>
    </row>
    <row r="702" spans="1:273" s="323" customFormat="1">
      <c r="A702" s="323" t="s">
        <v>755</v>
      </c>
      <c r="B702" s="115"/>
      <c r="AN702" s="331"/>
      <c r="AO702" s="331"/>
      <c r="AP702" s="115"/>
      <c r="AQ702" s="115"/>
      <c r="AR702" s="331"/>
      <c r="AS702" s="331"/>
      <c r="AT702" s="768"/>
      <c r="AU702" s="768"/>
      <c r="AV702" s="817">
        <f>AV700/AV699</f>
        <v>0.37535937131838187</v>
      </c>
      <c r="AW702" s="817">
        <f>AW700/AW699</f>
        <v>0.26640436477735763</v>
      </c>
      <c r="AX702" s="817">
        <f>AX700/AX699</f>
        <v>0.32002139502323901</v>
      </c>
      <c r="AY702" s="768"/>
      <c r="AZ702" s="817">
        <f>AZ700/AZ699</f>
        <v>0.33286897716354891</v>
      </c>
      <c r="BA702" s="817">
        <f>BA700/BA699</f>
        <v>0.25525466032777544</v>
      </c>
      <c r="BB702" s="817">
        <f>BB700/BB699</f>
        <v>0.29294423768624367</v>
      </c>
      <c r="BC702" s="115"/>
      <c r="BD702" s="817">
        <f>BD700/BD699</f>
        <v>0.26944724995503672</v>
      </c>
      <c r="BE702" s="817">
        <f>BE700/BE699</f>
        <v>0.33838418286620359</v>
      </c>
      <c r="BF702" s="817">
        <f>BF700/BF699</f>
        <v>0.30672879487009419</v>
      </c>
      <c r="BG702" s="115"/>
      <c r="BH702" s="817">
        <f>BH700/BH699</f>
        <v>0.29069427509245749</v>
      </c>
      <c r="BI702" s="817">
        <f>BI700/BI699</f>
        <v>0.38103531780373745</v>
      </c>
      <c r="BJ702" s="817">
        <f>BJ700/BJ699</f>
        <v>0.33862913824980984</v>
      </c>
      <c r="BK702" s="115"/>
      <c r="BL702" s="817">
        <f>BL700/BL699</f>
        <v>0.33783128575506505</v>
      </c>
      <c r="BM702" s="817">
        <f>BM700/BM699</f>
        <v>0.39730847732581454</v>
      </c>
      <c r="BN702" s="817">
        <f>BN700/BN699</f>
        <v>0.36978436756040634</v>
      </c>
      <c r="BO702" s="115"/>
      <c r="BP702" s="817">
        <f>BP700/BP699</f>
        <v>0.37968267016815005</v>
      </c>
      <c r="BQ702" s="817">
        <f>BQ700/BQ699</f>
        <v>0.38776920527816849</v>
      </c>
      <c r="BR702" s="817">
        <f>BR700/BR699</f>
        <v>0.38398468190748136</v>
      </c>
      <c r="BS702" s="115"/>
      <c r="BT702" s="817">
        <f>BT700/BT699</f>
        <v>0.41410946798301451</v>
      </c>
      <c r="BU702" s="817">
        <f>BU700/BU699</f>
        <v>0.27198122523705298</v>
      </c>
      <c r="BV702" s="817">
        <f>BV700/BV699</f>
        <v>0.34805593287818176</v>
      </c>
      <c r="BW702" s="115"/>
      <c r="BX702" s="817">
        <f>BX700/BX699</f>
        <v>0.39341585896896641</v>
      </c>
      <c r="BY702" s="817">
        <f>BY700/BY699</f>
        <v>0.36518678634167767</v>
      </c>
      <c r="BZ702" s="817">
        <f>BZ700/BZ699</f>
        <v>0.37985275200414431</v>
      </c>
      <c r="CA702" s="115"/>
      <c r="CB702" s="817">
        <f>CB700/CB699</f>
        <v>0.40196931794953933</v>
      </c>
      <c r="CC702" s="817">
        <f>CC700/CC699</f>
        <v>0.34021692856746261</v>
      </c>
      <c r="CD702" s="817">
        <f>CD700/CD699</f>
        <v>0.37137840437504926</v>
      </c>
      <c r="CE702" s="115"/>
      <c r="CF702" s="817">
        <f>CF700/CF699</f>
        <v>0.39668528887925891</v>
      </c>
      <c r="CG702" s="817">
        <f>CG700/CG699</f>
        <v>0.38578146439265681</v>
      </c>
      <c r="CH702" s="817">
        <f>CH700/CH699</f>
        <v>0.39090231592521152</v>
      </c>
      <c r="CI702" s="115"/>
      <c r="CJ702" s="817">
        <f>CJ700/CJ699</f>
        <v>0.42203644368444132</v>
      </c>
      <c r="CK702" s="817">
        <f>CK700/CK699</f>
        <v>0.35052128205545158</v>
      </c>
      <c r="CL702" s="817">
        <f>CL700/CL699</f>
        <v>0.38773033035751742</v>
      </c>
      <c r="CM702" s="115"/>
      <c r="CN702" s="817">
        <f>CN700/CN699</f>
        <v>0.35521766867230475</v>
      </c>
      <c r="CO702" s="817">
        <f>CO700/CO699</f>
        <v>0.47010056685138901</v>
      </c>
      <c r="CP702" s="817">
        <f>CP700/CP699</f>
        <v>0.41628932880257324</v>
      </c>
      <c r="CQ702" s="658"/>
      <c r="CR702" s="817">
        <f>CR700/CR699</f>
        <v>0.43839804972386281</v>
      </c>
      <c r="CS702" s="817">
        <f>CS700/CS699</f>
        <v>0.48492384869324345</v>
      </c>
      <c r="CT702" s="817">
        <f>CT700/CT699</f>
        <v>0.46298420024775144</v>
      </c>
      <c r="CU702" s="115"/>
      <c r="CV702" s="817">
        <f>CV700/CV699</f>
        <v>0.45445417898558305</v>
      </c>
      <c r="CW702" s="817">
        <f>CW700/CW699</f>
        <v>0.45147762951645393</v>
      </c>
      <c r="CX702" s="817">
        <f>CX700/CX699</f>
        <v>0.45288206354736749</v>
      </c>
      <c r="CY702" s="115"/>
      <c r="CZ702" s="817">
        <f>CZ700/CZ699</f>
        <v>0.36183853873177491</v>
      </c>
      <c r="DA702" s="817">
        <f>DA700/DA699</f>
        <v>0.40632884819207071</v>
      </c>
      <c r="DB702" s="817">
        <f>DB700/DB699</f>
        <v>0.38488198651631145</v>
      </c>
      <c r="DC702" s="115"/>
      <c r="DD702" s="817">
        <f>DD700/DD699</f>
        <v>0.34445928727557434</v>
      </c>
      <c r="DE702" s="817">
        <f>DE700/DE699</f>
        <v>0.38713449729147448</v>
      </c>
      <c r="DF702" s="817">
        <f>DF700/DF699</f>
        <v>0.36630570078336944</v>
      </c>
      <c r="DG702" s="115"/>
      <c r="DH702" s="817">
        <f>DH700/DH699</f>
        <v>0.40235067852927647</v>
      </c>
      <c r="DI702" s="817">
        <f>DI700/DI699</f>
        <v>0.46761170983150202</v>
      </c>
      <c r="DJ702" s="817">
        <f>DJ700/DJ699</f>
        <v>0.43563138073804308</v>
      </c>
      <c r="DK702" s="115"/>
      <c r="DL702" s="817">
        <f>DL700/DL699</f>
        <v>0.47836551109109599</v>
      </c>
      <c r="DM702" s="817">
        <f>DM700/DM699</f>
        <v>0.45984448938440803</v>
      </c>
      <c r="DN702" s="817">
        <f>DN700/DN699</f>
        <v>0.46895746338890448</v>
      </c>
      <c r="DO702" s="115"/>
      <c r="DP702" s="817">
        <f>DP700/DP699</f>
        <v>0.48300305863276882</v>
      </c>
      <c r="DQ702" s="817">
        <f>DQ700/DQ699</f>
        <v>0.46556468001025814</v>
      </c>
      <c r="DR702" s="817">
        <f>DR700/DR699</f>
        <v>0.47412552230849869</v>
      </c>
      <c r="DS702" s="115"/>
      <c r="DT702" s="115"/>
      <c r="DU702" s="817"/>
      <c r="DV702" s="817"/>
      <c r="DW702" s="817"/>
      <c r="DX702" s="115"/>
      <c r="DY702" s="115"/>
      <c r="DZ702" s="817"/>
      <c r="EA702" s="817"/>
      <c r="EB702" s="115"/>
      <c r="EC702" s="115"/>
      <c r="ED702" s="817"/>
      <c r="EE702" s="817"/>
      <c r="EF702" s="115"/>
      <c r="EG702" s="115"/>
      <c r="EH702" s="817"/>
      <c r="EI702" s="817"/>
      <c r="EJ702" s="115"/>
      <c r="EK702" s="115"/>
      <c r="EL702" s="115"/>
      <c r="EM702" s="115"/>
      <c r="EN702" s="115"/>
      <c r="EO702" s="115"/>
      <c r="EP702" s="115"/>
      <c r="JM702"/>
    </row>
    <row r="703" spans="1:273">
      <c r="AN703" s="293"/>
      <c r="AO703" s="293"/>
      <c r="AR703" s="293"/>
      <c r="AS703" s="293"/>
      <c r="AT703" s="730"/>
      <c r="AU703" s="730"/>
      <c r="AV703" s="685"/>
      <c r="AW703" s="685"/>
      <c r="AY703" s="730"/>
      <c r="AZ703" s="685"/>
      <c r="BA703" s="685"/>
      <c r="BD703" s="685"/>
      <c r="BE703" s="685"/>
      <c r="BH703" s="685"/>
      <c r="BI703" s="685"/>
      <c r="BL703" s="685"/>
      <c r="BM703" s="685"/>
      <c r="BP703" s="685"/>
      <c r="BQ703" s="685"/>
      <c r="BT703" s="685"/>
      <c r="BU703" s="685"/>
      <c r="BX703" s="685"/>
      <c r="BY703" s="685"/>
      <c r="CB703" s="685"/>
      <c r="CC703" s="685"/>
      <c r="CF703" s="685"/>
      <c r="CG703" s="685"/>
      <c r="CJ703" s="685"/>
      <c r="CK703" s="685"/>
      <c r="CN703" s="685"/>
      <c r="CO703" s="685"/>
      <c r="CQ703" s="1625"/>
      <c r="CR703" s="685"/>
      <c r="CS703" s="685"/>
      <c r="CV703" s="685"/>
      <c r="CW703" s="685"/>
      <c r="CZ703" s="685"/>
      <c r="DA703" s="685"/>
      <c r="DD703" s="685"/>
      <c r="DE703" s="685"/>
      <c r="DH703" s="685"/>
      <c r="DI703" s="685"/>
      <c r="DL703" s="685"/>
      <c r="DM703" s="685"/>
      <c r="DP703" s="685"/>
      <c r="DQ703" s="685"/>
      <c r="DU703" s="685"/>
      <c r="DV703" s="685"/>
      <c r="DW703" s="685"/>
      <c r="DZ703" s="685"/>
      <c r="EA703" s="685"/>
      <c r="ED703" s="685"/>
      <c r="EE703" s="685"/>
      <c r="EH703" s="685"/>
      <c r="EI703" s="685"/>
    </row>
    <row r="704" spans="1:273" s="289" customFormat="1">
      <c r="A704" s="102" t="s">
        <v>753</v>
      </c>
      <c r="B704" s="290"/>
      <c r="AN704" s="293">
        <f>AN20</f>
        <v>4710</v>
      </c>
      <c r="AO704" s="293">
        <f>AO20</f>
        <v>3538</v>
      </c>
      <c r="AP704" s="293">
        <f>+AN704+AO704</f>
        <v>8248</v>
      </c>
      <c r="AQ704" s="290"/>
      <c r="AR704" s="293">
        <f>AR20</f>
        <v>2970</v>
      </c>
      <c r="AS704" s="293">
        <f>AS20</f>
        <v>2556</v>
      </c>
      <c r="AT704" s="293">
        <f>+AR704+AS704</f>
        <v>5526</v>
      </c>
      <c r="AU704" s="290"/>
      <c r="AV704" s="293">
        <f>AV20</f>
        <v>3105</v>
      </c>
      <c r="AW704" s="293">
        <f>AW20</f>
        <v>3533</v>
      </c>
      <c r="AX704" s="293">
        <f>+AV704+AW704</f>
        <v>6638</v>
      </c>
      <c r="AY704" s="290"/>
      <c r="AZ704" s="293">
        <f>AZ20</f>
        <v>3661</v>
      </c>
      <c r="BA704" s="293">
        <f>BA20</f>
        <v>3983</v>
      </c>
      <c r="BB704" s="293">
        <f>+AZ704+BA704</f>
        <v>7644</v>
      </c>
      <c r="BC704" s="290"/>
      <c r="BD704" s="293">
        <f>BD20</f>
        <v>3242.663</v>
      </c>
      <c r="BE704" s="293">
        <f>BE20</f>
        <v>3720</v>
      </c>
      <c r="BF704" s="293">
        <f>+BD704+BE704</f>
        <v>6962.6630000000005</v>
      </c>
      <c r="BG704" s="290"/>
      <c r="BH704" s="293">
        <f>BH20</f>
        <v>3054</v>
      </c>
      <c r="BI704" s="293">
        <f>BI20</f>
        <v>3603</v>
      </c>
      <c r="BJ704" s="293">
        <f>+BH704+BI704</f>
        <v>6657</v>
      </c>
      <c r="BK704" s="290"/>
      <c r="BL704" s="293">
        <f>BL20</f>
        <v>3679</v>
      </c>
      <c r="BM704" s="293">
        <f>BM20</f>
        <v>4455</v>
      </c>
      <c r="BN704" s="293">
        <f>+BL704+BM704</f>
        <v>8134</v>
      </c>
      <c r="BO704" s="290"/>
      <c r="BP704" s="293">
        <f>BP20</f>
        <v>4284</v>
      </c>
      <c r="BQ704" s="293">
        <f>BQ20</f>
        <v>4978</v>
      </c>
      <c r="BR704" s="293">
        <f>+BP704+BQ704</f>
        <v>9262</v>
      </c>
      <c r="BS704" s="290"/>
      <c r="BT704" s="293">
        <f>BT20</f>
        <v>5318</v>
      </c>
      <c r="BU704" s="293">
        <f>BU20</f>
        <v>4840</v>
      </c>
      <c r="BV704" s="293">
        <f>+BT704+BU704</f>
        <v>10158</v>
      </c>
      <c r="BW704" s="290"/>
      <c r="BX704" s="293">
        <f>BX20</f>
        <v>5218</v>
      </c>
      <c r="BY704" s="293">
        <f>BY20</f>
        <v>5146</v>
      </c>
      <c r="BZ704" s="293">
        <f>+BX704+BY704</f>
        <v>10364</v>
      </c>
      <c r="CA704" s="290"/>
      <c r="CB704" s="293">
        <f>CB20</f>
        <v>5397</v>
      </c>
      <c r="CC704" s="293">
        <f>CC20</f>
        <v>5523</v>
      </c>
      <c r="CD704" s="293">
        <f>+CB704+CC704</f>
        <v>10920</v>
      </c>
      <c r="CE704" s="672">
        <f>+CD704/BZ704-1</f>
        <v>5.3647240447703526E-2</v>
      </c>
      <c r="CF704" s="293">
        <f>CF20</f>
        <v>5830</v>
      </c>
      <c r="CG704" s="293">
        <f>CG20</f>
        <v>6924</v>
      </c>
      <c r="CH704" s="293">
        <f>+CF704+CG704</f>
        <v>12754</v>
      </c>
      <c r="CI704" s="672"/>
      <c r="CJ704" s="293">
        <f>CJ20</f>
        <v>6320</v>
      </c>
      <c r="CK704" s="293">
        <f>CK20</f>
        <v>6005</v>
      </c>
      <c r="CL704" s="293">
        <f>+CJ704+CK704</f>
        <v>12325</v>
      </c>
      <c r="CM704" s="672"/>
      <c r="CN704" s="293">
        <f>CN20</f>
        <v>5519</v>
      </c>
      <c r="CO704" s="293">
        <f>CO20</f>
        <v>7255</v>
      </c>
      <c r="CP704" s="293">
        <f>+CN704+CO704</f>
        <v>12774</v>
      </c>
      <c r="CQ704" s="1626"/>
      <c r="CR704" s="293">
        <f>CR20</f>
        <v>7804</v>
      </c>
      <c r="CS704" s="293">
        <f>CS20</f>
        <v>9520</v>
      </c>
      <c r="CT704" s="293">
        <f>+CR704+CS704</f>
        <v>17324</v>
      </c>
      <c r="CU704" s="290"/>
      <c r="CV704" s="293">
        <f>CV20</f>
        <v>8702</v>
      </c>
      <c r="CW704" s="293">
        <f>CW20</f>
        <v>10420</v>
      </c>
      <c r="CX704" s="293">
        <f>+CV704+CW704</f>
        <v>19122</v>
      </c>
      <c r="CY704" s="290"/>
      <c r="CZ704" s="293">
        <f>CZ20</f>
        <v>7910</v>
      </c>
      <c r="DA704" s="293">
        <f>DA20</f>
        <v>8977</v>
      </c>
      <c r="DB704" s="293">
        <f>+CZ704+DA704</f>
        <v>16887</v>
      </c>
      <c r="DC704" s="290"/>
      <c r="DD704" s="293">
        <f>DD20</f>
        <v>8216</v>
      </c>
      <c r="DE704" s="293">
        <f ca="1">DE20</f>
        <v>8992</v>
      </c>
      <c r="DF704" s="293">
        <f ca="1">+DD704+DE704</f>
        <v>17208</v>
      </c>
      <c r="DG704" s="290"/>
      <c r="DH704" s="293">
        <f>DH20</f>
        <v>8691</v>
      </c>
      <c r="DI704" s="293">
        <f>DI20</f>
        <v>9966.2236998674798</v>
      </c>
      <c r="DJ704" s="293">
        <f>+DH704+DI704</f>
        <v>18657.223699867478</v>
      </c>
      <c r="DK704" s="290"/>
      <c r="DL704" s="293">
        <f>DL20</f>
        <v>8910.2531271361349</v>
      </c>
      <c r="DM704" s="293">
        <f>DM20</f>
        <v>10013.843070651159</v>
      </c>
      <c r="DN704" s="293">
        <f>+DL704+DM704</f>
        <v>18924.096197787294</v>
      </c>
      <c r="DO704" s="293"/>
      <c r="DP704" s="293">
        <f>DP20</f>
        <v>9412.3249414995025</v>
      </c>
      <c r="DQ704" s="293">
        <f>DQ20</f>
        <v>10551.243662518247</v>
      </c>
      <c r="DR704" s="293">
        <f>+DP704+DQ704</f>
        <v>19963.56860401775</v>
      </c>
      <c r="DS704" s="293"/>
      <c r="DT704" s="290"/>
      <c r="DU704" s="293"/>
      <c r="DV704" s="293"/>
      <c r="DW704" s="293"/>
      <c r="DX704" s="293"/>
      <c r="DY704" s="290"/>
      <c r="DZ704" s="293"/>
      <c r="EA704" s="293"/>
      <c r="EB704" s="293"/>
      <c r="EC704" s="290"/>
      <c r="ED704" s="293"/>
      <c r="EE704" s="293"/>
      <c r="EF704" s="293"/>
      <c r="EG704" s="290"/>
      <c r="EH704" s="290"/>
      <c r="EI704" s="290"/>
      <c r="EJ704" s="290"/>
      <c r="EK704" s="290"/>
      <c r="EL704" s="290"/>
      <c r="EM704" s="290"/>
      <c r="EN704" s="290"/>
      <c r="EO704" s="290"/>
      <c r="EP704" s="290"/>
      <c r="JM704"/>
    </row>
    <row r="705" spans="1:273">
      <c r="A705" s="102" t="s">
        <v>751</v>
      </c>
      <c r="AN705" s="293"/>
      <c r="AO705" s="293"/>
      <c r="AP705" s="293">
        <f>AP699</f>
        <v>-3878</v>
      </c>
      <c r="AR705" s="293">
        <f>AR699</f>
        <v>-1189.770729843332</v>
      </c>
      <c r="AS705" s="293">
        <f>AS699</f>
        <v>-1059.1471150171951</v>
      </c>
      <c r="AT705" s="293">
        <f>+AR705+AS705</f>
        <v>-2248.9178448605271</v>
      </c>
      <c r="AU705" s="730"/>
      <c r="AV705" s="293">
        <f>AV699</f>
        <v>-1402</v>
      </c>
      <c r="AW705" s="293">
        <f>AW699</f>
        <v>-1447</v>
      </c>
      <c r="AX705" s="293">
        <f>+AV705+AW705</f>
        <v>-2849</v>
      </c>
      <c r="AY705" s="730"/>
      <c r="AZ705" s="293">
        <f>AZ699</f>
        <v>-1753.6662999999999</v>
      </c>
      <c r="BA705" s="293">
        <f>BA699</f>
        <v>-1857.6666300000002</v>
      </c>
      <c r="BB705" s="293">
        <f>+AZ705+BA705</f>
        <v>-3611.33293</v>
      </c>
      <c r="BD705" s="293">
        <f>BD699</f>
        <v>-1531.3334399999999</v>
      </c>
      <c r="BE705" s="293">
        <f>BE699</f>
        <v>-1803.4994999999999</v>
      </c>
      <c r="BF705" s="293">
        <f>+BD705+BE705</f>
        <v>-3334.8329399999998</v>
      </c>
      <c r="BH705" s="293">
        <f>BH699</f>
        <v>-1442</v>
      </c>
      <c r="BI705" s="293">
        <f>BI699</f>
        <v>-1630</v>
      </c>
      <c r="BJ705" s="293">
        <f>+BH705+BI705</f>
        <v>-3072</v>
      </c>
      <c r="BL705" s="293">
        <f>BL699</f>
        <v>-1622</v>
      </c>
      <c r="BM705" s="293">
        <f>BM699</f>
        <v>-1883</v>
      </c>
      <c r="BN705" s="293">
        <f>+BL705+BM705</f>
        <v>-3505</v>
      </c>
      <c r="BP705" s="293">
        <f>BP699</f>
        <v>-1821</v>
      </c>
      <c r="BQ705" s="293">
        <f>BQ699</f>
        <v>-2070</v>
      </c>
      <c r="BR705" s="293">
        <f>+BP705+BQ705</f>
        <v>-3891</v>
      </c>
      <c r="BT705" s="293">
        <f>BT699</f>
        <v>-2118</v>
      </c>
      <c r="BU705" s="293">
        <f>BU699</f>
        <v>-1839</v>
      </c>
      <c r="BV705" s="293">
        <f>+BT705+BU705</f>
        <v>-3957</v>
      </c>
      <c r="BX705" s="293">
        <f>BX699</f>
        <v>-2141</v>
      </c>
      <c r="BY705" s="293">
        <f>BY699</f>
        <v>-1980</v>
      </c>
      <c r="BZ705" s="293">
        <f>+BX705+BY705</f>
        <v>-4121</v>
      </c>
      <c r="CB705" s="293">
        <f>CB699</f>
        <v>-2130</v>
      </c>
      <c r="CC705" s="293">
        <f>CC699</f>
        <v>-2091</v>
      </c>
      <c r="CD705" s="293">
        <f>+CB705+CC705</f>
        <v>-4221</v>
      </c>
      <c r="CF705" s="293">
        <f>CF699</f>
        <v>-2297</v>
      </c>
      <c r="CG705" s="293">
        <f>CG699</f>
        <v>-2594</v>
      </c>
      <c r="CH705" s="293">
        <f>+CF705+CG705</f>
        <v>-4891</v>
      </c>
      <c r="CJ705" s="293">
        <f>CJ699</f>
        <v>-2602</v>
      </c>
      <c r="CK705" s="293">
        <f>CK699</f>
        <v>-2399</v>
      </c>
      <c r="CL705" s="293">
        <f>+CJ705+CK705</f>
        <v>-5001</v>
      </c>
      <c r="CN705" s="293">
        <f>CN699</f>
        <v>-2431</v>
      </c>
      <c r="CO705" s="293">
        <f>CO699</f>
        <v>-2759</v>
      </c>
      <c r="CP705" s="293">
        <f>+CN705+CO705</f>
        <v>-5190</v>
      </c>
      <c r="CQ705" s="1625"/>
      <c r="CR705" s="293">
        <f>CR699</f>
        <v>-3001</v>
      </c>
      <c r="CS705" s="293">
        <f>CS699</f>
        <v>-3363</v>
      </c>
      <c r="CT705" s="293">
        <f>+CR705+CS705</f>
        <v>-6364</v>
      </c>
      <c r="CV705" s="293">
        <f>CV699</f>
        <v>-3434</v>
      </c>
      <c r="CW705" s="293">
        <f>CW699</f>
        <v>-3844</v>
      </c>
      <c r="CX705" s="293">
        <f>+CV705+CW705</f>
        <v>-7278</v>
      </c>
      <c r="CZ705" s="293">
        <f>CZ699</f>
        <v>-3506</v>
      </c>
      <c r="DA705" s="293">
        <f>DA699</f>
        <v>-3767</v>
      </c>
      <c r="DB705" s="293">
        <f>+CZ705+DA705</f>
        <v>-7273</v>
      </c>
      <c r="DD705" s="293">
        <f>DD699</f>
        <v>-3541</v>
      </c>
      <c r="DE705" s="293">
        <f>DE699</f>
        <v>-3714</v>
      </c>
      <c r="DF705" s="293">
        <f>+DD705+DE705</f>
        <v>-7255</v>
      </c>
      <c r="DH705" s="293">
        <f>DH699</f>
        <v>-3734</v>
      </c>
      <c r="DI705" s="293">
        <f>-DI704*DI706</f>
        <v>-3885.8306205783306</v>
      </c>
      <c r="DJ705" s="293">
        <f>+DH705+DI705</f>
        <v>-7619.8306205783301</v>
      </c>
      <c r="DL705" s="293">
        <f>-DL704*DL706</f>
        <v>-3831.4088446685378</v>
      </c>
      <c r="DM705" s="293">
        <f>-DM704*DM706</f>
        <v>-3955.468012907208</v>
      </c>
      <c r="DN705" s="293">
        <f>+DL705+DM705</f>
        <v>-7786.8768575757458</v>
      </c>
      <c r="DP705" s="293">
        <f>-DP704*DP706</f>
        <v>-4019.0627500202877</v>
      </c>
      <c r="DQ705" s="293">
        <f>-DQ704*DQ706</f>
        <v>-4167.741246694708</v>
      </c>
      <c r="DR705" s="293">
        <f>+DP705+DQ705</f>
        <v>-8186.8039967149962</v>
      </c>
      <c r="DU705" s="685"/>
      <c r="DV705" s="685"/>
      <c r="DW705" s="685"/>
      <c r="DZ705" s="685"/>
      <c r="EA705" s="685"/>
      <c r="ED705" s="685"/>
      <c r="EE705" s="685"/>
      <c r="EH705" s="685"/>
      <c r="EI705" s="685"/>
    </row>
    <row r="706" spans="1:273">
      <c r="A706" s="305" t="s">
        <v>1316</v>
      </c>
      <c r="B706" s="317"/>
      <c r="C706" s="308"/>
      <c r="D706" s="308"/>
      <c r="E706" s="308"/>
      <c r="F706" s="308"/>
      <c r="G706" s="308"/>
      <c r="H706" s="308"/>
      <c r="I706" s="308"/>
      <c r="J706" s="308"/>
      <c r="K706" s="308"/>
      <c r="L706" s="308"/>
      <c r="M706" s="308"/>
      <c r="N706" s="308"/>
      <c r="O706" s="308"/>
      <c r="P706" s="308"/>
      <c r="Q706" s="308"/>
      <c r="R706" s="308"/>
      <c r="S706" s="308"/>
      <c r="T706" s="308"/>
      <c r="U706" s="308"/>
      <c r="V706" s="308"/>
      <c r="W706" s="308"/>
      <c r="X706" s="308"/>
      <c r="Y706" s="308"/>
      <c r="Z706" s="308"/>
      <c r="AA706" s="308"/>
      <c r="AB706" s="308"/>
      <c r="AC706" s="308"/>
      <c r="AD706" s="308"/>
      <c r="AE706" s="308"/>
      <c r="AF706" s="308"/>
      <c r="AG706" s="308"/>
      <c r="AH706" s="308"/>
      <c r="AI706" s="308"/>
      <c r="AJ706" s="308"/>
      <c r="AK706" s="308"/>
      <c r="AL706" s="308"/>
      <c r="AM706" s="308"/>
      <c r="AN706" s="1071"/>
      <c r="AO706" s="1071"/>
      <c r="AP706" s="1584">
        <f>-AP705/AP704</f>
        <v>0.47017458777885546</v>
      </c>
      <c r="AQ706" s="317"/>
      <c r="AR706" s="1584">
        <f>-AR705/AR704</f>
        <v>0.40059620533445522</v>
      </c>
      <c r="AS706" s="1584">
        <f>-AS705/AS704</f>
        <v>0.4143768055622829</v>
      </c>
      <c r="AT706" s="1584">
        <f>-AT705/AT704</f>
        <v>0.40697029403918333</v>
      </c>
      <c r="AU706" s="1087"/>
      <c r="AV706" s="1584">
        <f>-AV705/AV704</f>
        <v>0.45152979066022542</v>
      </c>
      <c r="AW706" s="1584">
        <f>-AW705/AW704</f>
        <v>0.40956694027738466</v>
      </c>
      <c r="AX706" s="1584">
        <f>-AX705/AX704</f>
        <v>0.42919554082554984</v>
      </c>
      <c r="AY706" s="1087"/>
      <c r="AZ706" s="1584">
        <f>-AZ705/AZ704</f>
        <v>0.47901291996722201</v>
      </c>
      <c r="BA706" s="1584">
        <f>-BA705/BA704</f>
        <v>0.46639885262365055</v>
      </c>
      <c r="BB706" s="1584">
        <f>-BB705/BB704</f>
        <v>0.47244020538984827</v>
      </c>
      <c r="BC706" s="317"/>
      <c r="BD706" s="1584">
        <f>-BD705/BD704</f>
        <v>0.4722456326790665</v>
      </c>
      <c r="BE706" s="1584">
        <f>-BE705/BE704</f>
        <v>0.48481169354838705</v>
      </c>
      <c r="BF706" s="1584">
        <f>-BF705/BF704</f>
        <v>0.47895940676720955</v>
      </c>
      <c r="BG706" s="317"/>
      <c r="BH706" s="1584">
        <f>-BH705/BH704</f>
        <v>0.47216764898493779</v>
      </c>
      <c r="BI706" s="1584">
        <f>-BI705/BI704</f>
        <v>0.4524007771301693</v>
      </c>
      <c r="BJ706" s="1584">
        <f>-BJ705/BJ704</f>
        <v>0.46146913023884634</v>
      </c>
      <c r="BK706" s="317"/>
      <c r="BL706" s="1584">
        <f>-BL705/BL704</f>
        <v>0.44088067409622178</v>
      </c>
      <c r="BM706" s="1584">
        <f>-BM705/BM704</f>
        <v>0.42267115600448935</v>
      </c>
      <c r="BN706" s="1584">
        <f>-BN705/BN704</f>
        <v>0.43090730268010818</v>
      </c>
      <c r="BO706" s="317"/>
      <c r="BP706" s="1584">
        <f>-BP705/BP704</f>
        <v>0.42507002801120447</v>
      </c>
      <c r="BQ706" s="1584">
        <f>-BQ705/BQ704</f>
        <v>0.41582965046203296</v>
      </c>
      <c r="BR706" s="1584">
        <f>-BR705/BR704</f>
        <v>0.42010364931980132</v>
      </c>
      <c r="BS706" s="317"/>
      <c r="BT706" s="1584">
        <f>-BT705/BT704</f>
        <v>0.39827002632568637</v>
      </c>
      <c r="BU706" s="1584">
        <f>-BU705/BU704</f>
        <v>0.37995867768595043</v>
      </c>
      <c r="BV706" s="1584">
        <f>-BV705/BV704</f>
        <v>0.38954518606024807</v>
      </c>
      <c r="BW706" s="317"/>
      <c r="BX706" s="1584">
        <f>-BX705/BX704</f>
        <v>0.41031046377922575</v>
      </c>
      <c r="BY706" s="1584">
        <f>-BY705/BY704</f>
        <v>0.38476486591527398</v>
      </c>
      <c r="BZ706" s="1584">
        <f>-BZ705/BZ704</f>
        <v>0.39762639907371672</v>
      </c>
      <c r="CA706" s="317"/>
      <c r="CB706" s="1584">
        <f>-CB705/CB704</f>
        <v>0.39466370205669815</v>
      </c>
      <c r="CC706" s="1584">
        <f>-CC705/CC704</f>
        <v>0.37859858772406302</v>
      </c>
      <c r="CD706" s="1584">
        <f>-CD705/CD704</f>
        <v>0.38653846153846155</v>
      </c>
      <c r="CE706" s="1082"/>
      <c r="CF706" s="1584">
        <f>-CF705/CF704</f>
        <v>0.39399656946826755</v>
      </c>
      <c r="CG706" s="1584">
        <f>-CG705/CG704</f>
        <v>0.37463893703061812</v>
      </c>
      <c r="CH706" s="1584">
        <f>-CH705/CH704</f>
        <v>0.3834875333228791</v>
      </c>
      <c r="CI706" s="1082"/>
      <c r="CJ706" s="1584">
        <f>-CJ705/CJ704</f>
        <v>0.41170886075949364</v>
      </c>
      <c r="CK706" s="1584">
        <f>-CK705/CK704</f>
        <v>0.39950041631973354</v>
      </c>
      <c r="CL706" s="1584">
        <f>-CL705/CL704</f>
        <v>0.40576064908722109</v>
      </c>
      <c r="CM706" s="1082"/>
      <c r="CN706" s="1584">
        <f>-CN705/CN704</f>
        <v>0.44047834752672588</v>
      </c>
      <c r="CO706" s="1584">
        <f>-CO705/CO704</f>
        <v>0.380289455547898</v>
      </c>
      <c r="CP706" s="1584">
        <f>-CP705/CP704</f>
        <v>0.40629403475810238</v>
      </c>
      <c r="CQ706" s="1082"/>
      <c r="CR706" s="1584">
        <f>-CR705/CR704</f>
        <v>0.38454638646847772</v>
      </c>
      <c r="CS706" s="1584">
        <f>-CS705/CS704</f>
        <v>0.35325630252100843</v>
      </c>
      <c r="CT706" s="1584">
        <f>-CT705/CT704</f>
        <v>0.36735165088894017</v>
      </c>
      <c r="CU706" s="317"/>
      <c r="CV706" s="1584">
        <f>-CV705/CV704</f>
        <v>0.39462192599402435</v>
      </c>
      <c r="CW706" s="1584">
        <f>-CW705/CW704</f>
        <v>0.36890595009596927</v>
      </c>
      <c r="CX706" s="1584">
        <f>-CX705/CX704</f>
        <v>0.38060872293693127</v>
      </c>
      <c r="CY706" s="317"/>
      <c r="CZ706" s="1584">
        <f>-CZ705/CZ704</f>
        <v>0.44323640960809102</v>
      </c>
      <c r="DA706" s="1584">
        <f>-DA705/DA704</f>
        <v>0.41962793806394116</v>
      </c>
      <c r="DB706" s="1584">
        <f>-DB705/DB704</f>
        <v>0.43068632676022978</v>
      </c>
      <c r="DC706" s="317"/>
      <c r="DD706" s="1584">
        <f>-DD705/DD704</f>
        <v>0.43098831548198635</v>
      </c>
      <c r="DE706" s="1584">
        <f ca="1">-DE705/DE704</f>
        <v>0.41303380782918148</v>
      </c>
      <c r="DF706" s="1584">
        <f ca="1">-DF705/DF704</f>
        <v>0.42160622966062294</v>
      </c>
      <c r="DH706" s="1584">
        <f>-DH705/DH704</f>
        <v>0.42963985732366816</v>
      </c>
      <c r="DI706" s="898">
        <v>0.38990000000000002</v>
      </c>
      <c r="DJ706" s="1585">
        <f>-DJ705/DJ704</f>
        <v>0.40841181641791935</v>
      </c>
      <c r="DL706" s="898">
        <v>0.43</v>
      </c>
      <c r="DM706" s="898">
        <v>0.39500000000000002</v>
      </c>
      <c r="DN706" s="1585">
        <f>-DN705/DN704</f>
        <v>0.41147945857970375</v>
      </c>
      <c r="DO706" s="1584"/>
      <c r="DP706" s="898">
        <v>0.42699999999999999</v>
      </c>
      <c r="DQ706" s="898">
        <v>0.39500000000000002</v>
      </c>
      <c r="DR706" s="1585">
        <f>-DR705/DR704</f>
        <v>0.41008720229845924</v>
      </c>
      <c r="DS706" s="1584"/>
      <c r="DT706" s="317"/>
      <c r="DU706" s="1584"/>
      <c r="DV706" s="1584"/>
      <c r="DW706" s="1584"/>
      <c r="DX706" s="1584"/>
      <c r="DY706" s="317"/>
      <c r="DZ706" s="1584"/>
      <c r="EA706" s="1584"/>
      <c r="EB706" s="1584"/>
      <c r="EC706" s="317"/>
      <c r="ED706" s="1584"/>
      <c r="EE706" s="1584"/>
      <c r="EF706" s="1584"/>
      <c r="EG706" s="317"/>
      <c r="EH706" s="376"/>
      <c r="EI706" s="376"/>
      <c r="EJ706" s="376"/>
    </row>
    <row r="707" spans="1:273" s="1163" customFormat="1" ht="18.600000000000001" customHeight="1">
      <c r="A707" s="1564" t="s">
        <v>1316</v>
      </c>
      <c r="B707" s="1565"/>
      <c r="C707" s="1566"/>
      <c r="D707" s="1566"/>
      <c r="E707" s="1566"/>
      <c r="F707" s="1566"/>
      <c r="G707" s="1566"/>
      <c r="H707" s="1566"/>
      <c r="I707" s="1566"/>
      <c r="J707" s="1566"/>
      <c r="K707" s="1566"/>
      <c r="L707" s="1566"/>
      <c r="M707" s="1566"/>
      <c r="N707" s="1566"/>
      <c r="O707" s="1566"/>
      <c r="P707" s="1566"/>
      <c r="Q707" s="1566"/>
      <c r="R707" s="1566"/>
      <c r="S707" s="1566"/>
      <c r="T707" s="1566"/>
      <c r="U707" s="1566"/>
      <c r="V707" s="1566"/>
      <c r="W707" s="1566"/>
      <c r="X707" s="1566"/>
      <c r="Y707" s="1566"/>
      <c r="Z707" s="1566"/>
      <c r="AA707" s="1566"/>
      <c r="AB707" s="1566"/>
      <c r="AC707" s="1566"/>
      <c r="AD707" s="1566"/>
      <c r="AE707" s="1566"/>
      <c r="AF707" s="1566"/>
      <c r="AG707" s="1566"/>
      <c r="AH707" s="1566"/>
      <c r="AI707" s="1566"/>
      <c r="AJ707" s="1566"/>
      <c r="AK707" s="1566"/>
      <c r="AL707" s="1566"/>
      <c r="AM707" s="1566"/>
      <c r="AN707" s="1567"/>
      <c r="AO707" s="1567"/>
      <c r="AP707" s="1565"/>
      <c r="AQ707" s="1565"/>
      <c r="AR707" s="1568"/>
      <c r="AS707" s="1568"/>
      <c r="AT707" s="1569"/>
      <c r="AU707" s="1569"/>
      <c r="AV707" s="1568">
        <f>-AV699/AV704</f>
        <v>0.45152979066022542</v>
      </c>
      <c r="AW707" s="1568">
        <f>-AW699/AW704</f>
        <v>0.40956694027738466</v>
      </c>
      <c r="AX707" s="1568">
        <f>-AX699/AX704</f>
        <v>0.42919554082554984</v>
      </c>
      <c r="AY707" s="1569"/>
      <c r="AZ707" s="1568">
        <f>-AZ699/AZ704</f>
        <v>0.47901291996722201</v>
      </c>
      <c r="BA707" s="1568">
        <f>-BA699/BA704</f>
        <v>0.46639885262365055</v>
      </c>
      <c r="BB707" s="1568">
        <f>-BB699/BB704</f>
        <v>0.47244020538984827</v>
      </c>
      <c r="BC707" s="1565"/>
      <c r="BD707" s="1568">
        <f>-BD699/BD704</f>
        <v>0.4722456326790665</v>
      </c>
      <c r="BE707" s="1568">
        <f>-BE699/BE704</f>
        <v>0.48481169354838705</v>
      </c>
      <c r="BF707" s="1568">
        <f>-BF699/BF704</f>
        <v>0.47895940676720955</v>
      </c>
      <c r="BG707" s="1565"/>
      <c r="BH707" s="1568">
        <f>-BH699/BH704</f>
        <v>0.47216764898493779</v>
      </c>
      <c r="BI707" s="1568">
        <f>-BI699/BI704</f>
        <v>0.4524007771301693</v>
      </c>
      <c r="BJ707" s="1568">
        <f>-BJ699/BJ704</f>
        <v>0.46146913023884634</v>
      </c>
      <c r="BK707" s="1565"/>
      <c r="BL707" s="1568">
        <f>-BL699/BL704</f>
        <v>0.44088067409622178</v>
      </c>
      <c r="BM707" s="1568">
        <f>-BM699/BM704</f>
        <v>0.42267115600448935</v>
      </c>
      <c r="BN707" s="1568">
        <f>-BN699/BN704</f>
        <v>0.43090730268010818</v>
      </c>
      <c r="BO707" s="1565"/>
      <c r="BP707" s="1568">
        <f>-BP699/BP704</f>
        <v>0.42507002801120447</v>
      </c>
      <c r="BQ707" s="1568">
        <f>-BQ699/BQ704</f>
        <v>0.41582965046203296</v>
      </c>
      <c r="BR707" s="1568">
        <f>-BR699/BR704</f>
        <v>0.42010364931980132</v>
      </c>
      <c r="BS707" s="1565"/>
      <c r="BT707" s="1568">
        <f>-BT699/BT704</f>
        <v>0.39827002632568637</v>
      </c>
      <c r="BU707" s="1568">
        <f>-BU699/BU704</f>
        <v>0.37995867768595043</v>
      </c>
      <c r="BV707" s="1568">
        <f>-BV699/BV704</f>
        <v>0.38954518606024807</v>
      </c>
      <c r="BW707" s="1565"/>
      <c r="BX707" s="1568">
        <f>-BX699/BX704</f>
        <v>0.41031046377922575</v>
      </c>
      <c r="BY707" s="1568">
        <f>-BY699/BY704</f>
        <v>0.38476486591527398</v>
      </c>
      <c r="BZ707" s="1568">
        <f>-BZ699/BZ704</f>
        <v>0.39762639907371672</v>
      </c>
      <c r="CA707" s="1565"/>
      <c r="CB707" s="1568">
        <f>-CB699/CB704</f>
        <v>0.39466370205669815</v>
      </c>
      <c r="CC707" s="1568">
        <f>-CC699/CC704</f>
        <v>0.37859858772406302</v>
      </c>
      <c r="CD707" s="1568">
        <f>-CD699/CD704</f>
        <v>0.38653846153846155</v>
      </c>
      <c r="CE707" s="1627"/>
      <c r="CF707" s="1568">
        <f>-CF699/CF704</f>
        <v>0.39399656946826755</v>
      </c>
      <c r="CG707" s="1568">
        <f>-CG699/CG704</f>
        <v>0.37463893703061812</v>
      </c>
      <c r="CH707" s="1568">
        <f>-CH699/CH704</f>
        <v>0.3834875333228791</v>
      </c>
      <c r="CI707" s="1627"/>
      <c r="CJ707" s="1568">
        <f>-CJ699/CJ704</f>
        <v>0.41170886075949364</v>
      </c>
      <c r="CK707" s="1568">
        <f>-CK699/CK704</f>
        <v>0.39950041631973354</v>
      </c>
      <c r="CL707" s="1568">
        <f>-CL699/CL704</f>
        <v>0.40576064908722109</v>
      </c>
      <c r="CM707" s="1627"/>
      <c r="CN707" s="1568">
        <f>-CN699/CN704</f>
        <v>0.44047834752672588</v>
      </c>
      <c r="CO707" s="1568">
        <f>-CO699/CO704</f>
        <v>0.380289455547898</v>
      </c>
      <c r="CP707" s="1568">
        <f>-CP699/CP704</f>
        <v>0.40629403475810238</v>
      </c>
      <c r="CQ707" s="1627"/>
      <c r="CR707" s="1568">
        <f>-CR699/CR704</f>
        <v>0.38454638646847772</v>
      </c>
      <c r="CS707" s="1568">
        <f>-CS699/CS704</f>
        <v>0.35325630252100843</v>
      </c>
      <c r="CT707" s="1568">
        <f>-CT699/CT704</f>
        <v>0.36735165088894017</v>
      </c>
      <c r="CU707" s="1565"/>
      <c r="CV707" s="1568">
        <f>-CV699/CV704</f>
        <v>0.39462192599402435</v>
      </c>
      <c r="CW707" s="1568">
        <f>-CW699/CW704</f>
        <v>0.36890595009596927</v>
      </c>
      <c r="CX707" s="1568">
        <f>-CX699/CX704</f>
        <v>0.38060872293693127</v>
      </c>
      <c r="CY707" s="1565"/>
      <c r="CZ707" s="1568">
        <f>-CZ699/CZ704</f>
        <v>0.44323640960809102</v>
      </c>
      <c r="DA707" s="1568">
        <f>-DA699/DA704</f>
        <v>0.41962793806394116</v>
      </c>
      <c r="DB707" s="1568">
        <f>-DB699/DB704</f>
        <v>0.43068632676022978</v>
      </c>
      <c r="DC707" s="1565"/>
      <c r="DD707" s="1568">
        <f>-DD699/DD704</f>
        <v>0.43098831548198635</v>
      </c>
      <c r="DE707" s="1568">
        <f ca="1">-DE699/DE704</f>
        <v>0.41303380782918148</v>
      </c>
      <c r="DF707" s="1568">
        <f ca="1">-DF699/DF704</f>
        <v>0.42160622966062294</v>
      </c>
      <c r="DG707" s="1164"/>
      <c r="DH707" s="1568">
        <f>-DH699/DH704</f>
        <v>0.42963985732366816</v>
      </c>
      <c r="DI707" s="1568">
        <f>-DI699/DI704</f>
        <v>0.38990000000000002</v>
      </c>
      <c r="DJ707" s="1568">
        <f>-DJ699/DJ704</f>
        <v>0.40841181641791935</v>
      </c>
      <c r="DK707" s="1164"/>
      <c r="DL707" s="1568">
        <f>-DL699/DL704</f>
        <v>0.43</v>
      </c>
      <c r="DM707" s="1568">
        <f>-DM699/DM704</f>
        <v>0.39500000000000002</v>
      </c>
      <c r="DN707" s="1568">
        <f>-DN699/DN704</f>
        <v>0.41147945857970375</v>
      </c>
      <c r="DO707" s="1568"/>
      <c r="DP707" s="1568">
        <f>-DP699/DP704</f>
        <v>0.42699999999999999</v>
      </c>
      <c r="DQ707" s="1568">
        <f>-DQ699/DQ704</f>
        <v>0.39500000000000002</v>
      </c>
      <c r="DR707" s="1568">
        <f>-DR699/DR704</f>
        <v>0.41008720229845924</v>
      </c>
      <c r="DS707" s="1568"/>
      <c r="DT707" s="1565"/>
      <c r="DU707" s="1568"/>
      <c r="DV707" s="1568"/>
      <c r="DW707" s="1568"/>
      <c r="DX707" s="1568"/>
      <c r="DY707" s="1565"/>
      <c r="DZ707" s="1568"/>
      <c r="EA707" s="1568"/>
      <c r="EB707" s="1568"/>
      <c r="EC707" s="1565"/>
      <c r="ED707" s="1568"/>
      <c r="EE707" s="1568"/>
      <c r="EF707" s="1568"/>
      <c r="EG707" s="1565"/>
      <c r="EH707" s="1570"/>
      <c r="EI707" s="1570"/>
      <c r="EJ707" s="1570"/>
      <c r="EK707" s="1164"/>
      <c r="EL707" s="1164"/>
      <c r="EM707" s="1164"/>
      <c r="EN707" s="1164"/>
      <c r="EO707" s="1164"/>
      <c r="EP707" s="1164"/>
      <c r="JM707"/>
    </row>
    <row r="708" spans="1:273" s="1182" customFormat="1" ht="18.600000000000001" customHeight="1">
      <c r="A708" s="1656" t="s">
        <v>1317</v>
      </c>
      <c r="B708" s="1361"/>
      <c r="AN708" s="1362"/>
      <c r="AO708" s="1362"/>
      <c r="AP708" s="1361"/>
      <c r="AQ708" s="1361"/>
      <c r="AR708" s="1654"/>
      <c r="AS708" s="1654"/>
      <c r="AT708" s="1655"/>
      <c r="AU708" s="1655"/>
      <c r="AV708" s="1654"/>
      <c r="AW708" s="1654"/>
      <c r="AX708" s="1654"/>
      <c r="AY708" s="1655"/>
      <c r="AZ708" s="1654"/>
      <c r="BA708" s="1654"/>
      <c r="BB708" s="1654"/>
      <c r="BC708" s="1361"/>
      <c r="BD708" s="1654"/>
      <c r="BE708" s="1654"/>
      <c r="BF708" s="1654"/>
      <c r="BG708" s="1361"/>
      <c r="BH708" s="1654"/>
      <c r="BI708" s="1654"/>
      <c r="BJ708" s="1654"/>
      <c r="BK708" s="1361"/>
      <c r="BL708" s="1654"/>
      <c r="BM708" s="1654"/>
      <c r="BN708" s="1654"/>
      <c r="BO708" s="1361"/>
      <c r="BP708" s="1654"/>
      <c r="BQ708" s="1654"/>
      <c r="BR708" s="1654"/>
      <c r="BS708" s="1361"/>
      <c r="BT708" s="1654">
        <f>-BT697/BT704</f>
        <v>0.4255359157578037</v>
      </c>
      <c r="BU708" s="1654">
        <f>-BU697/BU704</f>
        <v>0.40929752066115704</v>
      </c>
      <c r="BV708" s="1654">
        <f>-BV697/BV704</f>
        <v>0.41779877928726128</v>
      </c>
      <c r="BW708" s="1361"/>
      <c r="BX708" s="1654">
        <f t="shared" ref="BX708:CT708" si="727">-BX697/BX704</f>
        <v>0.43886546569566887</v>
      </c>
      <c r="BY708" s="1654">
        <f t="shared" si="727"/>
        <v>0.40594636610959967</v>
      </c>
      <c r="BZ708" s="1654">
        <f t="shared" si="727"/>
        <v>0.42252026244693169</v>
      </c>
      <c r="CA708" s="1361"/>
      <c r="CB708" s="1654">
        <f t="shared" si="727"/>
        <v>0.41893644617380027</v>
      </c>
      <c r="CC708" s="1654">
        <f t="shared" si="727"/>
        <v>0.40412819120043453</v>
      </c>
      <c r="CD708" s="1654">
        <f t="shared" si="727"/>
        <v>0.41144688644688643</v>
      </c>
      <c r="CE708" s="1361"/>
      <c r="CF708" s="1654">
        <f t="shared" si="727"/>
        <v>0.42092624356775299</v>
      </c>
      <c r="CG708" s="1654">
        <f t="shared" si="727"/>
        <v>0.39904679376083191</v>
      </c>
      <c r="CH708" s="1654">
        <f t="shared" si="727"/>
        <v>0.40904814175944804</v>
      </c>
      <c r="CI708" s="1361"/>
      <c r="CJ708" s="1654">
        <f t="shared" si="727"/>
        <v>0.43924050632911393</v>
      </c>
      <c r="CK708" s="1654">
        <f t="shared" si="727"/>
        <v>0.42414654454621148</v>
      </c>
      <c r="CL708" s="1654">
        <f t="shared" si="727"/>
        <v>0.43188640973630832</v>
      </c>
      <c r="CM708" s="1361"/>
      <c r="CN708" s="1654">
        <f t="shared" si="727"/>
        <v>0.47381772060155825</v>
      </c>
      <c r="CO708" s="1654">
        <f t="shared" si="727"/>
        <v>0.4</v>
      </c>
      <c r="CP708" s="1654">
        <f t="shared" si="727"/>
        <v>0.43189290746829495</v>
      </c>
      <c r="CQ708" s="1361"/>
      <c r="CR708" s="1654">
        <f t="shared" si="727"/>
        <v>0.4054331112250128</v>
      </c>
      <c r="CS708" s="1654">
        <f t="shared" si="727"/>
        <v>0.3740546218487395</v>
      </c>
      <c r="CT708" s="1654">
        <f t="shared" si="727"/>
        <v>0.38818979450473334</v>
      </c>
      <c r="CU708" s="1361"/>
      <c r="CV708" s="1654">
        <f t="shared" ref="CV708:CX708" si="728">-CV697/CV704</f>
        <v>0.41519190990576876</v>
      </c>
      <c r="CW708" s="1654">
        <f t="shared" si="728"/>
        <v>0.3925143953934741</v>
      </c>
      <c r="CX708" s="1654">
        <f t="shared" si="728"/>
        <v>0.40283443154481746</v>
      </c>
      <c r="CY708" s="1361"/>
      <c r="CZ708" s="1654">
        <f t="shared" ref="CZ708:DB708" si="729">-CZ697/CZ704</f>
        <v>0.47206068268015172</v>
      </c>
      <c r="DA708" s="1654">
        <f t="shared" si="729"/>
        <v>0.44435780327503621</v>
      </c>
      <c r="DB708" s="1654">
        <f t="shared" si="729"/>
        <v>0.45733404393912475</v>
      </c>
      <c r="DC708" s="1361"/>
      <c r="DD708" s="1654">
        <f t="shared" ref="DD708:DF708" si="730">-DD697/DD704</f>
        <v>0.45715676728334959</v>
      </c>
      <c r="DE708" s="1654">
        <f t="shared" ca="1" si="730"/>
        <v>0.43416370106761565</v>
      </c>
      <c r="DF708" s="1654">
        <f t="shared" ca="1" si="730"/>
        <v>0.44514179451417946</v>
      </c>
      <c r="DG708" s="1361"/>
      <c r="DH708" s="1654">
        <f t="shared" ref="DH708" si="731">-DH697/DH704</f>
        <v>0.4551835231849039</v>
      </c>
      <c r="DI708" s="1654">
        <f t="shared" ref="DI708:DJ708" si="732">-DI697/DI704</f>
        <v>0.41272255105144318</v>
      </c>
      <c r="DJ708" s="1654">
        <f t="shared" si="732"/>
        <v>0.4325019305962427</v>
      </c>
      <c r="DK708" s="1361"/>
      <c r="DL708" s="1654">
        <f t="shared" ref="DL708:DN708" si="733">-DL697/DL704</f>
        <v>0.45644271374989859</v>
      </c>
      <c r="DM708" s="1654">
        <f t="shared" si="733"/>
        <v>0.41910666474658076</v>
      </c>
      <c r="DN708" s="1654">
        <f t="shared" si="733"/>
        <v>0.43668603254886551</v>
      </c>
      <c r="DO708" s="1654"/>
      <c r="DP708" s="1654">
        <f t="shared" ref="DP708:DR708" si="734">-DP697/DP704</f>
        <v>0.45349439603390318</v>
      </c>
      <c r="DQ708" s="1654">
        <f t="shared" si="734"/>
        <v>0.41934831035353742</v>
      </c>
      <c r="DR708" s="1654">
        <f t="shared" si="734"/>
        <v>0.43544733855229367</v>
      </c>
      <c r="DS708" s="1654"/>
      <c r="DT708" s="1361"/>
      <c r="DU708" s="1654"/>
      <c r="DV708" s="1654"/>
      <c r="DW708" s="1654"/>
      <c r="DX708" s="1654"/>
      <c r="DY708" s="1361"/>
      <c r="DZ708" s="1654"/>
      <c r="EA708" s="1654"/>
      <c r="EB708" s="1654"/>
      <c r="EC708" s="1361"/>
      <c r="ED708" s="1654"/>
      <c r="EE708" s="1654"/>
      <c r="EF708" s="1654"/>
      <c r="EG708" s="1361"/>
      <c r="EH708" s="1654"/>
      <c r="EI708" s="1654"/>
      <c r="EJ708" s="1654"/>
      <c r="EK708" s="1361"/>
      <c r="EL708" s="1361"/>
      <c r="EM708" s="1361"/>
      <c r="EN708" s="1361"/>
      <c r="EO708" s="1361"/>
      <c r="EP708" s="1361"/>
      <c r="JM708"/>
    </row>
    <row r="709" spans="1:273">
      <c r="AN709" s="293"/>
      <c r="AO709" s="293"/>
      <c r="AR709" s="293"/>
      <c r="AS709" s="293"/>
      <c r="AT709" s="730"/>
      <c r="AU709" s="730"/>
      <c r="AV709" s="685"/>
      <c r="AW709" s="685"/>
      <c r="AX709" s="730"/>
      <c r="AY709" s="730"/>
      <c r="AZ709" s="685"/>
      <c r="BA709" s="685"/>
      <c r="BD709" s="685"/>
      <c r="BE709" s="685"/>
      <c r="BH709" s="685"/>
      <c r="BI709" s="685"/>
      <c r="BL709" s="685"/>
      <c r="BM709" s="685"/>
      <c r="BP709" s="685"/>
      <c r="BQ709" s="685"/>
      <c r="BT709" s="685"/>
      <c r="BU709" s="685"/>
      <c r="BX709" s="685"/>
      <c r="BY709" s="685"/>
      <c r="DU709" s="685"/>
      <c r="DV709" s="685"/>
      <c r="DW709" s="685"/>
      <c r="DZ709" s="685"/>
      <c r="EA709" s="685"/>
      <c r="ED709" s="685"/>
      <c r="EE709" s="685"/>
    </row>
    <row r="710" spans="1:273">
      <c r="A710" s="815" t="s">
        <v>693</v>
      </c>
      <c r="AR710" s="293"/>
      <c r="AS710" s="293"/>
      <c r="AV710" s="293"/>
      <c r="AW710" s="293"/>
      <c r="AZ710" s="293"/>
      <c r="BA710" s="293"/>
      <c r="BD710" s="293"/>
      <c r="BE710" s="293"/>
      <c r="BH710" s="293"/>
      <c r="BI710" s="293"/>
      <c r="BL710" s="293"/>
      <c r="BM710" s="293"/>
      <c r="BP710" s="293"/>
      <c r="BQ710" s="293"/>
      <c r="BT710" s="293"/>
      <c r="BU710" s="293"/>
    </row>
    <row r="711" spans="1:273">
      <c r="A711" s="102" t="s">
        <v>685</v>
      </c>
      <c r="AR711" s="626"/>
      <c r="AS711" s="626"/>
      <c r="AT711" s="626"/>
      <c r="AU711" s="626"/>
      <c r="AV711" s="626"/>
      <c r="AW711" s="626"/>
      <c r="AX711" s="626"/>
      <c r="AY711" s="626"/>
      <c r="AZ711" s="626"/>
      <c r="BA711" s="626"/>
      <c r="BB711" s="293"/>
      <c r="BC711" s="293"/>
      <c r="BD711" s="626"/>
      <c r="BE711" s="626"/>
      <c r="BF711" s="293"/>
      <c r="BG711" s="293"/>
      <c r="BH711" s="626"/>
      <c r="BI711" s="626"/>
      <c r="BL711" s="626"/>
      <c r="BM711" s="626"/>
      <c r="BP711" s="626"/>
      <c r="BQ711" s="626"/>
      <c r="BT711" s="626"/>
      <c r="BU711" s="626"/>
      <c r="BX711" s="626"/>
      <c r="BY711" s="626"/>
      <c r="CB711" s="626"/>
      <c r="CC711" s="626"/>
      <c r="CF711" s="626"/>
      <c r="CG711" s="626"/>
      <c r="CJ711" s="626"/>
      <c r="CK711" s="626"/>
      <c r="CN711" s="626"/>
      <c r="CO711" s="626"/>
      <c r="CR711" s="293"/>
      <c r="CS711" s="293"/>
      <c r="CV711" s="293"/>
      <c r="CW711" s="293"/>
      <c r="CZ711" s="293"/>
      <c r="DA711" s="293"/>
      <c r="DD711" s="293"/>
      <c r="DE711" s="293"/>
      <c r="DH711" s="293"/>
      <c r="DI711" s="293"/>
      <c r="DL711" s="293"/>
      <c r="DM711" s="293"/>
      <c r="DP711" s="293"/>
      <c r="DQ711" s="293"/>
      <c r="DU711" s="293"/>
      <c r="DV711" s="293"/>
      <c r="DW711" s="293"/>
      <c r="DZ711" s="293"/>
      <c r="EA711" s="293"/>
      <c r="ED711" s="293"/>
      <c r="EE711" s="293"/>
      <c r="EQ711" s="103"/>
      <c r="ER711" s="103"/>
      <c r="ES711" s="103"/>
      <c r="ET711" s="103"/>
      <c r="EU711" s="103"/>
      <c r="EV711" s="103"/>
    </row>
    <row r="712" spans="1:273">
      <c r="A712" s="102" t="s">
        <v>686</v>
      </c>
      <c r="AR712" s="626">
        <v>2333</v>
      </c>
      <c r="AS712" s="626">
        <v>1901</v>
      </c>
      <c r="AT712" s="626"/>
      <c r="AU712" s="626"/>
      <c r="AV712" s="626">
        <v>1687</v>
      </c>
      <c r="AW712" s="626">
        <v>1632</v>
      </c>
      <c r="AX712" s="492">
        <f>+AW712</f>
        <v>1632</v>
      </c>
      <c r="AY712" s="626"/>
      <c r="AZ712" s="626">
        <v>1471</v>
      </c>
      <c r="BA712" s="626">
        <v>1397</v>
      </c>
      <c r="BB712" s="492">
        <f>+BA712</f>
        <v>1397</v>
      </c>
      <c r="BC712" s="293"/>
      <c r="BD712" s="626">
        <v>1341</v>
      </c>
      <c r="BE712" s="626">
        <v>1215</v>
      </c>
      <c r="BF712" s="492">
        <f>+BE712</f>
        <v>1215</v>
      </c>
      <c r="BG712" s="293"/>
      <c r="BH712" s="626">
        <v>1114</v>
      </c>
      <c r="BI712" s="626">
        <v>1105</v>
      </c>
      <c r="BJ712" s="492">
        <f>+BI712</f>
        <v>1105</v>
      </c>
      <c r="BL712" s="626">
        <v>1117</v>
      </c>
      <c r="BM712" s="626">
        <v>1141</v>
      </c>
      <c r="BN712" s="492">
        <f>+BM712</f>
        <v>1141</v>
      </c>
      <c r="BP712" s="626">
        <v>1139</v>
      </c>
      <c r="BQ712" s="626">
        <v>1202</v>
      </c>
      <c r="BR712" s="492">
        <f>+BQ712</f>
        <v>1202</v>
      </c>
      <c r="BT712" s="626">
        <v>1157</v>
      </c>
      <c r="BU712" s="626">
        <v>1213</v>
      </c>
      <c r="BV712" s="492">
        <f>+BU712</f>
        <v>1213</v>
      </c>
      <c r="BX712" s="626">
        <v>1149</v>
      </c>
      <c r="BY712" s="626">
        <v>1136</v>
      </c>
      <c r="BZ712" s="492">
        <f>+BY712</f>
        <v>1136</v>
      </c>
      <c r="CB712" s="626">
        <v>1097</v>
      </c>
      <c r="CC712" s="626">
        <v>1114</v>
      </c>
      <c r="CD712" s="492">
        <f>+CC712</f>
        <v>1114</v>
      </c>
      <c r="CF712" s="626">
        <v>1282</v>
      </c>
      <c r="CG712" s="626">
        <v>1369</v>
      </c>
      <c r="CH712" s="492">
        <f>+CG712</f>
        <v>1369</v>
      </c>
      <c r="CJ712" s="626">
        <f>1459+671</f>
        <v>2130</v>
      </c>
      <c r="CK712" s="626">
        <f>1547+500</f>
        <v>2047</v>
      </c>
      <c r="CL712" s="492">
        <f>+CK712</f>
        <v>2047</v>
      </c>
      <c r="CN712" s="626">
        <v>1992</v>
      </c>
      <c r="CO712" s="626">
        <v>1821</v>
      </c>
      <c r="CP712" s="492">
        <f>+CO712</f>
        <v>1821</v>
      </c>
      <c r="CR712" s="626">
        <v>1831</v>
      </c>
      <c r="CS712" s="626">
        <v>1843</v>
      </c>
      <c r="CT712" s="492">
        <f>+CS712</f>
        <v>1843</v>
      </c>
      <c r="CV712" s="1388">
        <v>1625</v>
      </c>
      <c r="CW712" s="626">
        <v>1630</v>
      </c>
      <c r="CX712" s="492">
        <f>+CW712</f>
        <v>1630</v>
      </c>
      <c r="CZ712" s="1388">
        <v>1638</v>
      </c>
      <c r="DA712" s="1388">
        <v>1599</v>
      </c>
      <c r="DB712" s="492">
        <f>+DA712</f>
        <v>1599</v>
      </c>
      <c r="DD712" s="1388">
        <v>1568</v>
      </c>
      <c r="DE712" s="2176">
        <v>1512</v>
      </c>
      <c r="DF712" s="492">
        <f>+DE712</f>
        <v>1512</v>
      </c>
      <c r="DH712" s="1388">
        <v>1452</v>
      </c>
      <c r="DI712" s="293">
        <f t="shared" ref="DI712:DI718" si="735">DH712*(1+DI727)</f>
        <v>1481.04</v>
      </c>
      <c r="DJ712" s="492">
        <f>+DI712</f>
        <v>1481.04</v>
      </c>
      <c r="DL712" s="293">
        <f t="shared" ref="DL712:DL718" si="736">DI712*(1+DL727)</f>
        <v>1510.6607999999999</v>
      </c>
      <c r="DM712" s="293">
        <f t="shared" ref="DM712:DM718" si="737">DL712*(1+DM727)</f>
        <v>1540.874016</v>
      </c>
      <c r="DN712" s="492">
        <f>+DM712</f>
        <v>1540.874016</v>
      </c>
      <c r="DP712" s="293">
        <f t="shared" ref="DP712:DP718" si="738">DM712*(1+DP727)</f>
        <v>1571.6914963199999</v>
      </c>
      <c r="DQ712" s="293">
        <f t="shared" ref="DQ712:DQ718" si="739">DP712*(1+DQ727)</f>
        <v>1603.1253262463999</v>
      </c>
      <c r="DR712" s="492">
        <f>+DQ712</f>
        <v>1603.1253262463999</v>
      </c>
      <c r="DU712" s="293"/>
      <c r="DV712" s="293"/>
      <c r="DW712" s="293"/>
      <c r="DZ712" s="293"/>
      <c r="EA712" s="293"/>
      <c r="ED712" s="293"/>
      <c r="EE712" s="293"/>
      <c r="EQ712" s="103"/>
      <c r="ER712" s="103"/>
      <c r="ES712" s="103"/>
      <c r="ET712" s="103"/>
      <c r="EU712" s="103"/>
      <c r="EV712" s="103"/>
    </row>
    <row r="713" spans="1:273">
      <c r="A713" s="102" t="s">
        <v>616</v>
      </c>
      <c r="AR713" s="626">
        <v>1288</v>
      </c>
      <c r="AS713" s="626">
        <v>1299</v>
      </c>
      <c r="AT713" s="626"/>
      <c r="AU713" s="626"/>
      <c r="AV713" s="626">
        <v>1277</v>
      </c>
      <c r="AW713" s="626">
        <v>1610</v>
      </c>
      <c r="AX713" s="492">
        <f t="shared" ref="AX713:AX719" si="740">+AW713</f>
        <v>1610</v>
      </c>
      <c r="AY713" s="626"/>
      <c r="AZ713" s="626">
        <v>1525</v>
      </c>
      <c r="BA713" s="626">
        <v>1457</v>
      </c>
      <c r="BB713" s="492">
        <f t="shared" ref="BB713:BB719" si="741">+BA713</f>
        <v>1457</v>
      </c>
      <c r="BC713" s="293"/>
      <c r="BD713" s="626">
        <v>1420</v>
      </c>
      <c r="BE713" s="626">
        <v>1418</v>
      </c>
      <c r="BF713" s="492">
        <f t="shared" ref="BF713:BF719" si="742">+BE713</f>
        <v>1418</v>
      </c>
      <c r="BG713" s="293"/>
      <c r="BH713" s="626">
        <v>1425</v>
      </c>
      <c r="BI713" s="626">
        <v>1472</v>
      </c>
      <c r="BJ713" s="492">
        <f t="shared" ref="BJ713:BJ719" si="743">+BI713</f>
        <v>1472</v>
      </c>
      <c r="BL713" s="626">
        <v>1445</v>
      </c>
      <c r="BM713" s="626">
        <v>1510</v>
      </c>
      <c r="BN713" s="492">
        <f t="shared" ref="BN713:BN719" si="744">+BM713</f>
        <v>1510</v>
      </c>
      <c r="BP713" s="626">
        <v>1492</v>
      </c>
      <c r="BQ713" s="626">
        <v>1488</v>
      </c>
      <c r="BR713" s="492">
        <f t="shared" ref="BR713:BR719" si="745">+BQ713</f>
        <v>1488</v>
      </c>
      <c r="BT713" s="626">
        <v>1480</v>
      </c>
      <c r="BU713" s="626">
        <v>1498</v>
      </c>
      <c r="BV713" s="492">
        <f t="shared" ref="BV713:BV719" si="746">+BU713</f>
        <v>1498</v>
      </c>
      <c r="BX713" s="626">
        <v>1517</v>
      </c>
      <c r="BY713" s="626">
        <v>1559</v>
      </c>
      <c r="BZ713" s="492">
        <f t="shared" ref="BZ713:BZ719" si="747">+BY713</f>
        <v>1559</v>
      </c>
      <c r="CB713" s="626">
        <v>1535</v>
      </c>
      <c r="CC713" s="626">
        <v>1559</v>
      </c>
      <c r="CD713" s="492">
        <f t="shared" ref="CD713:CD719" si="748">+CC713</f>
        <v>1559</v>
      </c>
      <c r="CF713" s="626">
        <v>1886</v>
      </c>
      <c r="CG713" s="626">
        <v>1900</v>
      </c>
      <c r="CH713" s="492">
        <f t="shared" ref="CH713:CH719" si="749">+CG713</f>
        <v>1900</v>
      </c>
      <c r="CJ713" s="626">
        <v>1789</v>
      </c>
      <c r="CK713" s="626">
        <v>1899</v>
      </c>
      <c r="CL713" s="492">
        <f t="shared" ref="CL713:CL719" si="750">+CK713</f>
        <v>1899</v>
      </c>
      <c r="CN713" s="626">
        <v>1904</v>
      </c>
      <c r="CO713" s="626">
        <v>1921</v>
      </c>
      <c r="CP713" s="492">
        <f t="shared" ref="CP713:CP719" si="751">+CO713</f>
        <v>1921</v>
      </c>
      <c r="CR713" s="626">
        <v>2354</v>
      </c>
      <c r="CS713" s="626">
        <v>2399</v>
      </c>
      <c r="CT713" s="492">
        <f t="shared" ref="CT713:CT719" si="752">+CS713</f>
        <v>2399</v>
      </c>
      <c r="CV713" s="1388">
        <v>2607</v>
      </c>
      <c r="CW713" s="626">
        <v>2509</v>
      </c>
      <c r="CX713" s="492">
        <f t="shared" ref="CX713:CX719" si="753">+CW713</f>
        <v>2509</v>
      </c>
      <c r="CZ713" s="1388">
        <v>2548</v>
      </c>
      <c r="DA713" s="1388">
        <v>2473</v>
      </c>
      <c r="DB713" s="492">
        <f t="shared" ref="DB713:DB719" si="754">+DA713</f>
        <v>2473</v>
      </c>
      <c r="DD713" s="1388">
        <v>2449</v>
      </c>
      <c r="DE713" s="2176">
        <v>2221</v>
      </c>
      <c r="DF713" s="492">
        <f t="shared" ref="DF713:DF719" si="755">+DE713</f>
        <v>2221</v>
      </c>
      <c r="DH713" s="1388">
        <v>2279</v>
      </c>
      <c r="DI713" s="293">
        <f t="shared" si="735"/>
        <v>2324.58</v>
      </c>
      <c r="DJ713" s="492">
        <f t="shared" ref="DJ713:DJ719" si="756">+DI713</f>
        <v>2324.58</v>
      </c>
      <c r="DL713" s="293">
        <f t="shared" si="736"/>
        <v>2371.0715999999998</v>
      </c>
      <c r="DM713" s="293">
        <f t="shared" si="737"/>
        <v>2418.4930319999999</v>
      </c>
      <c r="DN713" s="492">
        <f t="shared" ref="DN713:DN719" si="757">+DM713</f>
        <v>2418.4930319999999</v>
      </c>
      <c r="DP713" s="293">
        <f t="shared" si="738"/>
        <v>2466.8628926399997</v>
      </c>
      <c r="DQ713" s="293">
        <f t="shared" si="739"/>
        <v>2516.2001504927998</v>
      </c>
      <c r="DR713" s="492">
        <f t="shared" ref="DR713:DR719" si="758">+DQ713</f>
        <v>2516.2001504927998</v>
      </c>
      <c r="DU713" s="293"/>
      <c r="DV713" s="293"/>
      <c r="DW713" s="293"/>
      <c r="DZ713" s="293"/>
      <c r="EA713" s="293"/>
      <c r="ED713" s="293"/>
      <c r="EE713" s="293"/>
      <c r="EQ713" s="103"/>
      <c r="ER713" s="103"/>
      <c r="ES713" s="103"/>
      <c r="ET713" s="103"/>
      <c r="EU713" s="103"/>
      <c r="EV713" s="103"/>
    </row>
    <row r="714" spans="1:273">
      <c r="A714" s="102" t="s">
        <v>1024</v>
      </c>
      <c r="AR714" s="626">
        <v>2454</v>
      </c>
      <c r="AS714" s="626">
        <v>2220</v>
      </c>
      <c r="AT714" s="626"/>
      <c r="AU714" s="626"/>
      <c r="AV714" s="626">
        <v>2308</v>
      </c>
      <c r="AW714" s="626">
        <v>2557</v>
      </c>
      <c r="AX714" s="492">
        <f t="shared" si="740"/>
        <v>2557</v>
      </c>
      <c r="AY714" s="626"/>
      <c r="AZ714" s="626">
        <v>2687</v>
      </c>
      <c r="BA714" s="626">
        <v>2748</v>
      </c>
      <c r="BB714" s="492">
        <f t="shared" si="741"/>
        <v>2748</v>
      </c>
      <c r="BC714" s="293"/>
      <c r="BD714" s="626">
        <v>2261</v>
      </c>
      <c r="BE714" s="626">
        <v>2136</v>
      </c>
      <c r="BF714" s="492">
        <f t="shared" si="742"/>
        <v>2136</v>
      </c>
      <c r="BG714" s="293"/>
      <c r="BH714" s="626">
        <v>1986</v>
      </c>
      <c r="BI714" s="626">
        <v>1966</v>
      </c>
      <c r="BJ714" s="492">
        <f t="shared" si="743"/>
        <v>1966</v>
      </c>
      <c r="BL714" s="626">
        <v>1970</v>
      </c>
      <c r="BM714" s="626">
        <v>1994</v>
      </c>
      <c r="BN714" s="492">
        <f t="shared" si="744"/>
        <v>1994</v>
      </c>
      <c r="BP714" s="626">
        <v>1972</v>
      </c>
      <c r="BQ714" s="626">
        <v>1982</v>
      </c>
      <c r="BR714" s="492">
        <f t="shared" si="745"/>
        <v>1982</v>
      </c>
      <c r="BT714" s="626">
        <v>1966</v>
      </c>
      <c r="BU714" s="626">
        <v>2012</v>
      </c>
      <c r="BV714" s="492">
        <f t="shared" si="746"/>
        <v>2012</v>
      </c>
      <c r="BX714" s="924">
        <f>943+979</f>
        <v>1922</v>
      </c>
      <c r="BY714" s="924">
        <v>1888</v>
      </c>
      <c r="BZ714" s="492">
        <f t="shared" si="747"/>
        <v>1888</v>
      </c>
      <c r="CB714" s="1069">
        <v>1986</v>
      </c>
      <c r="CC714" s="626">
        <v>2053</v>
      </c>
      <c r="CD714" s="492">
        <f t="shared" si="748"/>
        <v>2053</v>
      </c>
      <c r="CF714" s="1069">
        <v>2786</v>
      </c>
      <c r="CG714" s="626">
        <v>2866</v>
      </c>
      <c r="CH714" s="492">
        <f t="shared" si="749"/>
        <v>2866</v>
      </c>
      <c r="CJ714" s="1069">
        <f>2816-671</f>
        <v>2145</v>
      </c>
      <c r="CK714" s="626">
        <f>2636-500</f>
        <v>2136</v>
      </c>
      <c r="CL714" s="492">
        <f t="shared" si="750"/>
        <v>2136</v>
      </c>
      <c r="CN714" s="626">
        <v>2167</v>
      </c>
      <c r="CO714" s="626">
        <v>2133</v>
      </c>
      <c r="CP714" s="492">
        <f t="shared" si="751"/>
        <v>2133</v>
      </c>
      <c r="CR714" s="626">
        <v>2120</v>
      </c>
      <c r="CS714" s="626">
        <v>2179</v>
      </c>
      <c r="CT714" s="492">
        <f t="shared" si="752"/>
        <v>2179</v>
      </c>
      <c r="CV714" s="1388">
        <v>2272</v>
      </c>
      <c r="CW714" s="626">
        <v>2378</v>
      </c>
      <c r="CX714" s="492">
        <f t="shared" si="753"/>
        <v>2378</v>
      </c>
      <c r="CZ714" s="1388">
        <v>2469</v>
      </c>
      <c r="DA714" s="1388">
        <v>2523</v>
      </c>
      <c r="DB714" s="492">
        <f t="shared" si="754"/>
        <v>2523</v>
      </c>
      <c r="DD714" s="1388">
        <v>2544</v>
      </c>
      <c r="DE714" s="2176">
        <v>2538</v>
      </c>
      <c r="DF714" s="492">
        <f t="shared" si="755"/>
        <v>2538</v>
      </c>
      <c r="DH714" s="1388">
        <v>2615</v>
      </c>
      <c r="DI714" s="293">
        <f t="shared" si="735"/>
        <v>2667.3</v>
      </c>
      <c r="DJ714" s="492">
        <f t="shared" si="756"/>
        <v>2667.3</v>
      </c>
      <c r="DL714" s="293">
        <f t="shared" si="736"/>
        <v>2720.6460000000002</v>
      </c>
      <c r="DM714" s="293">
        <f t="shared" si="737"/>
        <v>2775.0589200000004</v>
      </c>
      <c r="DN714" s="492">
        <f t="shared" si="757"/>
        <v>2775.0589200000004</v>
      </c>
      <c r="DP714" s="293">
        <f t="shared" si="738"/>
        <v>2830.5600984000002</v>
      </c>
      <c r="DQ714" s="293">
        <f t="shared" si="739"/>
        <v>2887.1713003680002</v>
      </c>
      <c r="DR714" s="492">
        <f t="shared" si="758"/>
        <v>2887.1713003680002</v>
      </c>
      <c r="DU714" s="293"/>
      <c r="DV714" s="293"/>
      <c r="DW714" s="293"/>
      <c r="DZ714" s="293"/>
      <c r="EA714" s="293"/>
      <c r="ED714" s="293"/>
      <c r="EE714" s="293"/>
      <c r="EQ714" s="103"/>
      <c r="ER714" s="103"/>
      <c r="ES714" s="103"/>
      <c r="ET714" s="103"/>
      <c r="EU714" s="103"/>
      <c r="EV714" s="103"/>
    </row>
    <row r="715" spans="1:273">
      <c r="A715" s="102" t="s">
        <v>690</v>
      </c>
      <c r="AR715" s="626">
        <v>586</v>
      </c>
      <c r="AS715" s="626">
        <v>579</v>
      </c>
      <c r="AT715" s="626"/>
      <c r="AU715" s="626"/>
      <c r="AV715" s="626">
        <v>614</v>
      </c>
      <c r="AW715" s="626">
        <v>717</v>
      </c>
      <c r="AX715" s="492">
        <f t="shared" si="740"/>
        <v>717</v>
      </c>
      <c r="AY715" s="626"/>
      <c r="AZ715" s="626">
        <v>844</v>
      </c>
      <c r="BA715" s="626">
        <v>888</v>
      </c>
      <c r="BB715" s="492">
        <f t="shared" si="741"/>
        <v>888</v>
      </c>
      <c r="BC715" s="293"/>
      <c r="BD715" s="626">
        <v>948</v>
      </c>
      <c r="BE715" s="626">
        <v>953</v>
      </c>
      <c r="BF715" s="492">
        <f t="shared" si="742"/>
        <v>953</v>
      </c>
      <c r="BG715" s="293"/>
      <c r="BH715" s="626">
        <v>928</v>
      </c>
      <c r="BI715" s="626">
        <v>957</v>
      </c>
      <c r="BJ715" s="492">
        <f t="shared" si="743"/>
        <v>957</v>
      </c>
      <c r="BL715" s="626">
        <v>976</v>
      </c>
      <c r="BM715" s="626">
        <v>1039</v>
      </c>
      <c r="BN715" s="492">
        <f t="shared" si="744"/>
        <v>1039</v>
      </c>
      <c r="BP715" s="626">
        <v>1063</v>
      </c>
      <c r="BQ715" s="626">
        <v>1033</v>
      </c>
      <c r="BR715" s="492">
        <f t="shared" si="745"/>
        <v>1033</v>
      </c>
      <c r="BT715" s="626">
        <v>903</v>
      </c>
      <c r="BU715" s="626">
        <v>1353</v>
      </c>
      <c r="BV715" s="492">
        <f t="shared" si="746"/>
        <v>1353</v>
      </c>
      <c r="BX715" s="626">
        <v>1347</v>
      </c>
      <c r="BY715" s="626">
        <v>1258</v>
      </c>
      <c r="BZ715" s="492">
        <f t="shared" si="747"/>
        <v>1258</v>
      </c>
      <c r="CB715" s="626">
        <v>648</v>
      </c>
      <c r="CC715" s="626">
        <v>662</v>
      </c>
      <c r="CD715" s="492">
        <f t="shared" si="748"/>
        <v>662</v>
      </c>
      <c r="CF715" s="626">
        <v>0</v>
      </c>
      <c r="CG715" s="626">
        <v>0</v>
      </c>
      <c r="CH715" s="492">
        <f t="shared" si="749"/>
        <v>0</v>
      </c>
      <c r="CJ715" s="626">
        <v>0</v>
      </c>
      <c r="CK715" s="626">
        <v>0</v>
      </c>
      <c r="CL715" s="492">
        <f t="shared" si="750"/>
        <v>0</v>
      </c>
      <c r="CN715" s="626">
        <v>0</v>
      </c>
      <c r="CO715" s="626">
        <v>0</v>
      </c>
      <c r="CP715" s="492">
        <f t="shared" si="751"/>
        <v>0</v>
      </c>
      <c r="CR715" s="626">
        <v>0</v>
      </c>
      <c r="CS715" s="626">
        <v>0</v>
      </c>
      <c r="CT715" s="492">
        <f t="shared" si="752"/>
        <v>0</v>
      </c>
      <c r="CV715" s="1388">
        <v>0</v>
      </c>
      <c r="CW715" s="626">
        <v>0</v>
      </c>
      <c r="CX715" s="492">
        <f t="shared" si="753"/>
        <v>0</v>
      </c>
      <c r="CZ715" s="1388">
        <v>0</v>
      </c>
      <c r="DA715" s="1388">
        <v>0</v>
      </c>
      <c r="DB715" s="492">
        <f t="shared" si="754"/>
        <v>0</v>
      </c>
      <c r="DD715" s="1388">
        <v>0</v>
      </c>
      <c r="DE715" s="626">
        <v>0</v>
      </c>
      <c r="DF715" s="492">
        <f t="shared" si="755"/>
        <v>0</v>
      </c>
      <c r="DH715" s="1388">
        <v>0</v>
      </c>
      <c r="DI715" s="293">
        <f t="shared" si="735"/>
        <v>0</v>
      </c>
      <c r="DJ715" s="492">
        <f t="shared" si="756"/>
        <v>0</v>
      </c>
      <c r="DL715" s="293">
        <f t="shared" si="736"/>
        <v>0</v>
      </c>
      <c r="DM715" s="293">
        <f t="shared" si="737"/>
        <v>0</v>
      </c>
      <c r="DN715" s="492">
        <f t="shared" si="757"/>
        <v>0</v>
      </c>
      <c r="DP715" s="293">
        <f t="shared" si="738"/>
        <v>0</v>
      </c>
      <c r="DQ715" s="293">
        <f t="shared" si="739"/>
        <v>0</v>
      </c>
      <c r="DR715" s="492">
        <f t="shared" si="758"/>
        <v>0</v>
      </c>
      <c r="DU715" s="293"/>
      <c r="DV715" s="293"/>
      <c r="DW715" s="293"/>
      <c r="DZ715" s="293"/>
      <c r="EA715" s="293"/>
      <c r="ED715" s="293"/>
      <c r="EE715" s="293"/>
      <c r="EQ715" s="103"/>
      <c r="ER715" s="103"/>
      <c r="ES715" s="103"/>
      <c r="ET715" s="103"/>
      <c r="EU715" s="103"/>
      <c r="EV715" s="103"/>
    </row>
    <row r="716" spans="1:273">
      <c r="A716" s="102" t="s">
        <v>689</v>
      </c>
      <c r="AR716" s="626">
        <v>2779</v>
      </c>
      <c r="AS716" s="626">
        <v>2598</v>
      </c>
      <c r="AT716" s="626"/>
      <c r="AU716" s="626"/>
      <c r="AV716" s="626">
        <v>2628</v>
      </c>
      <c r="AW716" s="626">
        <v>3268</v>
      </c>
      <c r="AX716" s="492">
        <f t="shared" si="740"/>
        <v>3268</v>
      </c>
      <c r="AY716" s="626"/>
      <c r="AZ716" s="626">
        <v>3349</v>
      </c>
      <c r="BA716" s="626">
        <v>3228</v>
      </c>
      <c r="BB716" s="492">
        <f t="shared" si="741"/>
        <v>3228</v>
      </c>
      <c r="BC716" s="293"/>
      <c r="BD716" s="626">
        <v>3037</v>
      </c>
      <c r="BE716" s="626">
        <v>3113</v>
      </c>
      <c r="BF716" s="492">
        <f t="shared" si="742"/>
        <v>3113</v>
      </c>
      <c r="BG716" s="293"/>
      <c r="BH716" s="626">
        <v>2922</v>
      </c>
      <c r="BI716" s="626">
        <v>2848</v>
      </c>
      <c r="BJ716" s="492">
        <f t="shared" si="743"/>
        <v>2848</v>
      </c>
      <c r="BL716" s="626">
        <v>2891</v>
      </c>
      <c r="BM716" s="626">
        <v>2419</v>
      </c>
      <c r="BN716" s="492">
        <f t="shared" si="744"/>
        <v>2419</v>
      </c>
      <c r="BP716" s="626">
        <v>2568</v>
      </c>
      <c r="BQ716" s="626">
        <v>2505</v>
      </c>
      <c r="BR716" s="492">
        <f t="shared" si="745"/>
        <v>2505</v>
      </c>
      <c r="BT716" s="626">
        <v>2250</v>
      </c>
      <c r="BU716" s="626">
        <v>2182</v>
      </c>
      <c r="BV716" s="492">
        <f t="shared" si="746"/>
        <v>2182</v>
      </c>
      <c r="BX716" s="626">
        <v>2056</v>
      </c>
      <c r="BY716" s="626">
        <v>1992</v>
      </c>
      <c r="BZ716" s="492">
        <f t="shared" si="747"/>
        <v>1992</v>
      </c>
      <c r="CB716" s="626">
        <v>2818</v>
      </c>
      <c r="CC716" s="626">
        <v>3100</v>
      </c>
      <c r="CD716" s="492">
        <f t="shared" si="748"/>
        <v>3100</v>
      </c>
      <c r="CF716" s="626">
        <v>2950</v>
      </c>
      <c r="CG716" s="626">
        <v>2772</v>
      </c>
      <c r="CH716" s="492">
        <f t="shared" si="749"/>
        <v>2772</v>
      </c>
      <c r="CJ716" s="626">
        <v>2651</v>
      </c>
      <c r="CK716" s="626">
        <v>2660</v>
      </c>
      <c r="CL716" s="492">
        <f t="shared" si="750"/>
        <v>2660</v>
      </c>
      <c r="CN716" s="626">
        <v>2895</v>
      </c>
      <c r="CO716" s="626">
        <v>2986</v>
      </c>
      <c r="CP716" s="492">
        <f t="shared" si="751"/>
        <v>2986</v>
      </c>
      <c r="CR716" s="626">
        <v>3152</v>
      </c>
      <c r="CS716" s="626">
        <v>3359</v>
      </c>
      <c r="CT716" s="492">
        <f t="shared" si="752"/>
        <v>3359</v>
      </c>
      <c r="CV716" s="1388">
        <v>3512</v>
      </c>
      <c r="CW716" s="626">
        <v>3820</v>
      </c>
      <c r="CX716" s="492">
        <f t="shared" si="753"/>
        <v>3820</v>
      </c>
      <c r="CZ716" s="1388">
        <v>4016</v>
      </c>
      <c r="DA716" s="1388">
        <v>3690</v>
      </c>
      <c r="DB716" s="492">
        <f t="shared" si="754"/>
        <v>3690</v>
      </c>
      <c r="DD716" s="1388">
        <v>3318</v>
      </c>
      <c r="DE716" s="2176">
        <v>3139</v>
      </c>
      <c r="DF716" s="492">
        <f t="shared" si="755"/>
        <v>3139</v>
      </c>
      <c r="DH716" s="1388">
        <v>4132</v>
      </c>
      <c r="DI716" s="293">
        <f t="shared" si="735"/>
        <v>4214.6400000000003</v>
      </c>
      <c r="DJ716" s="492">
        <f t="shared" si="756"/>
        <v>4214.6400000000003</v>
      </c>
      <c r="DL716" s="293">
        <f t="shared" si="736"/>
        <v>4298.9328000000005</v>
      </c>
      <c r="DM716" s="293">
        <f t="shared" si="737"/>
        <v>4384.9114560000007</v>
      </c>
      <c r="DN716" s="492">
        <f t="shared" si="757"/>
        <v>4384.9114560000007</v>
      </c>
      <c r="DP716" s="293">
        <f t="shared" si="738"/>
        <v>4472.6096851200009</v>
      </c>
      <c r="DQ716" s="293">
        <f t="shared" si="739"/>
        <v>4562.061878822401</v>
      </c>
      <c r="DR716" s="492">
        <f t="shared" si="758"/>
        <v>4562.061878822401</v>
      </c>
      <c r="DU716" s="293"/>
      <c r="DV716" s="293"/>
      <c r="DW716" s="293"/>
      <c r="DZ716" s="293"/>
      <c r="EA716" s="293"/>
      <c r="ED716" s="293"/>
      <c r="EE716" s="293"/>
      <c r="EQ716" s="103"/>
      <c r="ER716" s="103"/>
      <c r="ES716" s="103"/>
      <c r="ET716" s="103"/>
      <c r="EU716" s="103"/>
      <c r="EV716" s="103"/>
    </row>
    <row r="717" spans="1:273">
      <c r="A717" s="102" t="s">
        <v>688</v>
      </c>
      <c r="AR717" s="626">
        <v>174</v>
      </c>
      <c r="AS717" s="626">
        <v>96</v>
      </c>
      <c r="AT717" s="626"/>
      <c r="AU717" s="626"/>
      <c r="AV717" s="626">
        <v>78</v>
      </c>
      <c r="AW717" s="626">
        <v>73</v>
      </c>
      <c r="AX717" s="492">
        <f t="shared" si="740"/>
        <v>73</v>
      </c>
      <c r="AY717" s="626"/>
      <c r="AZ717" s="626">
        <v>63</v>
      </c>
      <c r="BA717" s="626">
        <v>57</v>
      </c>
      <c r="BB717" s="492">
        <f t="shared" si="741"/>
        <v>57</v>
      </c>
      <c r="BC717" s="293"/>
      <c r="BD717" s="626">
        <v>0</v>
      </c>
      <c r="BE717" s="626">
        <v>0</v>
      </c>
      <c r="BF717" s="492">
        <f t="shared" si="742"/>
        <v>0</v>
      </c>
      <c r="BG717" s="293"/>
      <c r="BH717" s="626">
        <v>0</v>
      </c>
      <c r="BI717" s="626">
        <v>0</v>
      </c>
      <c r="BJ717" s="492">
        <f t="shared" si="743"/>
        <v>0</v>
      </c>
      <c r="BL717" s="626">
        <v>0</v>
      </c>
      <c r="BM717" s="626">
        <v>0</v>
      </c>
      <c r="BN717" s="492">
        <f t="shared" si="744"/>
        <v>0</v>
      </c>
      <c r="BP717" s="626">
        <v>0</v>
      </c>
      <c r="BQ717" s="626">
        <v>0</v>
      </c>
      <c r="BR717" s="492">
        <f t="shared" si="745"/>
        <v>0</v>
      </c>
      <c r="BT717" s="626">
        <v>0</v>
      </c>
      <c r="BU717" s="626">
        <v>0</v>
      </c>
      <c r="BV717" s="492">
        <f t="shared" si="746"/>
        <v>0</v>
      </c>
      <c r="BX717" s="626">
        <v>0</v>
      </c>
      <c r="BY717" s="626">
        <v>0</v>
      </c>
      <c r="BZ717" s="492">
        <f t="shared" si="747"/>
        <v>0</v>
      </c>
      <c r="CB717" s="626">
        <v>0</v>
      </c>
      <c r="CC717" s="626">
        <v>0</v>
      </c>
      <c r="CD717" s="492">
        <f t="shared" si="748"/>
        <v>0</v>
      </c>
      <c r="CF717" s="626">
        <v>0</v>
      </c>
      <c r="CG717" s="626">
        <v>0</v>
      </c>
      <c r="CH717" s="492">
        <f t="shared" si="749"/>
        <v>0</v>
      </c>
      <c r="CJ717" s="626">
        <v>0</v>
      </c>
      <c r="CK717" s="626">
        <v>0</v>
      </c>
      <c r="CL717" s="492">
        <f t="shared" si="750"/>
        <v>0</v>
      </c>
      <c r="CN717" s="626">
        <v>0</v>
      </c>
      <c r="CO717" s="626">
        <v>0</v>
      </c>
      <c r="CP717" s="492">
        <f t="shared" si="751"/>
        <v>0</v>
      </c>
      <c r="CR717" s="626">
        <v>0</v>
      </c>
      <c r="CS717" s="626">
        <v>0</v>
      </c>
      <c r="CT717" s="492">
        <f t="shared" si="752"/>
        <v>0</v>
      </c>
      <c r="CV717" s="1388">
        <v>0</v>
      </c>
      <c r="CW717" s="626">
        <v>0</v>
      </c>
      <c r="CX717" s="492">
        <f t="shared" si="753"/>
        <v>0</v>
      </c>
      <c r="CZ717" s="1388">
        <v>0</v>
      </c>
      <c r="DA717" s="1388">
        <v>0</v>
      </c>
      <c r="DB717" s="492">
        <f t="shared" si="754"/>
        <v>0</v>
      </c>
      <c r="DD717" s="1388">
        <v>0</v>
      </c>
      <c r="DE717" s="626">
        <v>0</v>
      </c>
      <c r="DF717" s="492">
        <f t="shared" si="755"/>
        <v>0</v>
      </c>
      <c r="DH717" s="1388">
        <v>0</v>
      </c>
      <c r="DI717" s="293">
        <f t="shared" si="735"/>
        <v>0</v>
      </c>
      <c r="DJ717" s="492">
        <f t="shared" si="756"/>
        <v>0</v>
      </c>
      <c r="DL717" s="293">
        <f t="shared" si="736"/>
        <v>0</v>
      </c>
      <c r="DM717" s="293">
        <f t="shared" si="737"/>
        <v>0</v>
      </c>
      <c r="DN717" s="492">
        <f t="shared" si="757"/>
        <v>0</v>
      </c>
      <c r="DP717" s="293">
        <f t="shared" si="738"/>
        <v>0</v>
      </c>
      <c r="DQ717" s="293">
        <f t="shared" si="739"/>
        <v>0</v>
      </c>
      <c r="DR717" s="492">
        <f t="shared" si="758"/>
        <v>0</v>
      </c>
      <c r="DU717" s="293"/>
      <c r="DV717" s="293"/>
      <c r="DW717" s="293"/>
      <c r="DZ717" s="293"/>
      <c r="EA717" s="293"/>
      <c r="ED717" s="293"/>
      <c r="EE717" s="293"/>
      <c r="EQ717" s="103"/>
      <c r="ER717" s="103"/>
      <c r="ES717" s="103"/>
      <c r="ET717" s="103"/>
      <c r="EU717" s="103"/>
      <c r="EV717" s="103"/>
    </row>
    <row r="718" spans="1:273">
      <c r="A718" s="102" t="s">
        <v>691</v>
      </c>
      <c r="AR718" s="626">
        <v>4284</v>
      </c>
      <c r="AS718" s="626">
        <v>4023</v>
      </c>
      <c r="AT718" s="626"/>
      <c r="AU718" s="626"/>
      <c r="AV718" s="626">
        <v>4166</v>
      </c>
      <c r="AW718" s="626">
        <v>4800</v>
      </c>
      <c r="AX718" s="492">
        <f t="shared" si="740"/>
        <v>4800</v>
      </c>
      <c r="AY718" s="626"/>
      <c r="AZ718" s="626">
        <v>5594</v>
      </c>
      <c r="BA718" s="626">
        <v>5781</v>
      </c>
      <c r="BB718" s="492">
        <f t="shared" si="741"/>
        <v>5781</v>
      </c>
      <c r="BC718" s="293"/>
      <c r="BD718" s="626">
        <v>6081</v>
      </c>
      <c r="BE718" s="626">
        <v>5367</v>
      </c>
      <c r="BF718" s="492">
        <f t="shared" si="742"/>
        <v>5367</v>
      </c>
      <c r="BG718" s="293"/>
      <c r="BH718" s="626">
        <v>5088</v>
      </c>
      <c r="BI718" s="626">
        <v>5315</v>
      </c>
      <c r="BJ718" s="492">
        <f t="shared" si="743"/>
        <v>5315</v>
      </c>
      <c r="BL718" s="626">
        <v>5502</v>
      </c>
      <c r="BM718" s="626">
        <v>5810</v>
      </c>
      <c r="BN718" s="492">
        <f t="shared" si="744"/>
        <v>5810</v>
      </c>
      <c r="BP718" s="626">
        <v>5904</v>
      </c>
      <c r="BQ718" s="626">
        <v>5875</v>
      </c>
      <c r="BR718" s="492">
        <f t="shared" si="745"/>
        <v>5875</v>
      </c>
      <c r="BT718" s="626">
        <v>5826</v>
      </c>
      <c r="BU718" s="626">
        <v>6114</v>
      </c>
      <c r="BV718" s="492">
        <f t="shared" si="746"/>
        <v>6114</v>
      </c>
      <c r="BX718" s="626">
        <v>5825</v>
      </c>
      <c r="BY718" s="626">
        <v>5764</v>
      </c>
      <c r="BZ718" s="492">
        <f t="shared" si="747"/>
        <v>5764</v>
      </c>
      <c r="CB718" s="626">
        <v>5882</v>
      </c>
      <c r="CC718" s="626">
        <v>5981</v>
      </c>
      <c r="CD718" s="492">
        <f t="shared" si="748"/>
        <v>5981</v>
      </c>
      <c r="CF718" s="626">
        <v>6317</v>
      </c>
      <c r="CG718" s="626">
        <v>6695</v>
      </c>
      <c r="CH718" s="492">
        <f t="shared" si="749"/>
        <v>6695</v>
      </c>
      <c r="CJ718" s="626">
        <v>6989</v>
      </c>
      <c r="CK718" s="626">
        <v>7107</v>
      </c>
      <c r="CL718" s="492">
        <f t="shared" si="750"/>
        <v>7107</v>
      </c>
      <c r="CN718" s="626">
        <v>7398</v>
      </c>
      <c r="CO718" s="626">
        <v>7598</v>
      </c>
      <c r="CP718" s="492">
        <f t="shared" si="751"/>
        <v>7598</v>
      </c>
      <c r="CR718" s="626">
        <v>7752</v>
      </c>
      <c r="CS718" s="626">
        <v>8353</v>
      </c>
      <c r="CT718" s="492">
        <f t="shared" si="752"/>
        <v>8353</v>
      </c>
      <c r="CV718" s="1388">
        <v>9250</v>
      </c>
      <c r="CW718" s="626">
        <v>10172</v>
      </c>
      <c r="CX718" s="492">
        <f t="shared" si="753"/>
        <v>10172</v>
      </c>
      <c r="CZ718" s="1388">
        <v>10599</v>
      </c>
      <c r="DA718" s="1388">
        <v>10381</v>
      </c>
      <c r="DB718" s="492">
        <f t="shared" si="754"/>
        <v>10381</v>
      </c>
      <c r="DD718" s="1388">
        <v>10174</v>
      </c>
      <c r="DE718" s="2176">
        <v>10325</v>
      </c>
      <c r="DF718" s="492">
        <f t="shared" si="755"/>
        <v>10325</v>
      </c>
      <c r="DH718" s="1388">
        <v>9343</v>
      </c>
      <c r="DI718" s="293">
        <f t="shared" si="735"/>
        <v>9529.86</v>
      </c>
      <c r="DJ718" s="492">
        <f t="shared" si="756"/>
        <v>9529.86</v>
      </c>
      <c r="DL718" s="293">
        <f t="shared" si="736"/>
        <v>9720.4572000000007</v>
      </c>
      <c r="DM718" s="293">
        <f t="shared" si="737"/>
        <v>9914.866344</v>
      </c>
      <c r="DN718" s="492">
        <f t="shared" si="757"/>
        <v>9914.866344</v>
      </c>
      <c r="DP718" s="293">
        <f t="shared" si="738"/>
        <v>10113.16367088</v>
      </c>
      <c r="DQ718" s="293">
        <f t="shared" si="739"/>
        <v>10315.4269442976</v>
      </c>
      <c r="DR718" s="492">
        <f t="shared" si="758"/>
        <v>10315.4269442976</v>
      </c>
      <c r="DU718" s="293"/>
      <c r="DV718" s="293"/>
      <c r="DW718" s="293"/>
      <c r="DZ718" s="293"/>
      <c r="EA718" s="293"/>
      <c r="ED718" s="293"/>
      <c r="EE718" s="293"/>
      <c r="EQ718" s="103"/>
      <c r="ER718" s="103"/>
      <c r="ES718" s="103"/>
      <c r="ET718" s="103"/>
      <c r="EU718" s="103"/>
      <c r="EV718" s="103"/>
    </row>
    <row r="719" spans="1:273" s="289" customFormat="1">
      <c r="A719" s="289" t="s">
        <v>694</v>
      </c>
      <c r="B719" s="290"/>
      <c r="AN719" s="290"/>
      <c r="AO719" s="290"/>
      <c r="AP719" s="290"/>
      <c r="AQ719" s="290"/>
      <c r="AR719" s="295">
        <f>SUM(AR711:AR718)</f>
        <v>13898</v>
      </c>
      <c r="AS719" s="295">
        <f>SUM(AS711:AS718)</f>
        <v>12716</v>
      </c>
      <c r="AT719" s="295"/>
      <c r="AU719" s="295"/>
      <c r="AV719" s="295">
        <f>SUM(AV711:AV718)</f>
        <v>12758</v>
      </c>
      <c r="AW719" s="295">
        <f>SUM(AW711:AW718)</f>
        <v>14657</v>
      </c>
      <c r="AX719" s="492">
        <f t="shared" si="740"/>
        <v>14657</v>
      </c>
      <c r="AY719" s="295"/>
      <c r="AZ719" s="295">
        <f>SUM(AZ711:AZ718)</f>
        <v>15533</v>
      </c>
      <c r="BA719" s="295">
        <f>SUM(BA711:BA718)</f>
        <v>15556</v>
      </c>
      <c r="BB719" s="492">
        <f t="shared" si="741"/>
        <v>15556</v>
      </c>
      <c r="BC719" s="295"/>
      <c r="BD719" s="295">
        <f>SUM(BD711:BD718)</f>
        <v>15088</v>
      </c>
      <c r="BE719" s="295">
        <f>SUM(BE711:BE718)</f>
        <v>14202</v>
      </c>
      <c r="BF719" s="492">
        <f t="shared" si="742"/>
        <v>14202</v>
      </c>
      <c r="BG719" s="379"/>
      <c r="BH719" s="295">
        <f>SUM(BH711:BH718)</f>
        <v>13463</v>
      </c>
      <c r="BI719" s="295">
        <f>SUM(BI711:BI718)</f>
        <v>13663</v>
      </c>
      <c r="BJ719" s="492">
        <f t="shared" si="743"/>
        <v>13663</v>
      </c>
      <c r="BK719" s="290"/>
      <c r="BL719" s="295">
        <f>SUM(BL711:BL718)</f>
        <v>13901</v>
      </c>
      <c r="BM719" s="295">
        <f>SUM(BM711:BM718)</f>
        <v>13913</v>
      </c>
      <c r="BN719" s="492">
        <f t="shared" si="744"/>
        <v>13913</v>
      </c>
      <c r="BO719" s="290"/>
      <c r="BP719" s="295">
        <f>SUM(BP711:BP718)</f>
        <v>14138</v>
      </c>
      <c r="BQ719" s="295">
        <f>SUM(BQ711:BQ718)</f>
        <v>14085</v>
      </c>
      <c r="BR719" s="492">
        <f t="shared" si="745"/>
        <v>14085</v>
      </c>
      <c r="BS719" s="290"/>
      <c r="BT719" s="295">
        <f>SUM(BT711:BT718)</f>
        <v>13582</v>
      </c>
      <c r="BU719" s="295">
        <f>SUM(BU711:BU718)</f>
        <v>14372</v>
      </c>
      <c r="BV719" s="492">
        <f t="shared" si="746"/>
        <v>14372</v>
      </c>
      <c r="BW719" s="290"/>
      <c r="BX719" s="295">
        <f>SUM(BX711:BX718)</f>
        <v>13816</v>
      </c>
      <c r="BY719" s="295">
        <f>SUM(BY711:BY718)</f>
        <v>13597</v>
      </c>
      <c r="BZ719" s="492">
        <f t="shared" si="747"/>
        <v>13597</v>
      </c>
      <c r="CA719" s="290"/>
      <c r="CB719" s="295">
        <f>SUM(CB711:CB718)</f>
        <v>13966</v>
      </c>
      <c r="CC719" s="295">
        <f>SUM(CC711:CC718)</f>
        <v>14469</v>
      </c>
      <c r="CD719" s="492">
        <f t="shared" si="748"/>
        <v>14469</v>
      </c>
      <c r="CE719" s="581"/>
      <c r="CF719" s="295">
        <f>SUM(CF711:CF718)</f>
        <v>15221</v>
      </c>
      <c r="CG719" s="295">
        <f>SUM(CG711:CG718)</f>
        <v>15602</v>
      </c>
      <c r="CH719" s="492">
        <f t="shared" si="749"/>
        <v>15602</v>
      </c>
      <c r="CI719" s="581"/>
      <c r="CJ719" s="295">
        <f>SUM(CJ711:CJ718)</f>
        <v>15704</v>
      </c>
      <c r="CK719" s="295">
        <f>SUM(CK711:CK718)</f>
        <v>15849</v>
      </c>
      <c r="CL719" s="492">
        <f t="shared" si="750"/>
        <v>15849</v>
      </c>
      <c r="CM719" s="811">
        <f>+CL719/CH719-1</f>
        <v>1.5831303679015418E-2</v>
      </c>
      <c r="CN719" s="295">
        <f>SUM(CN711:CN718)</f>
        <v>16356</v>
      </c>
      <c r="CO719" s="295">
        <f>SUM(CO711:CO718)</f>
        <v>16459</v>
      </c>
      <c r="CP719" s="492">
        <f t="shared" si="751"/>
        <v>16459</v>
      </c>
      <c r="CQ719" s="811">
        <f>+CP719/CL719-1</f>
        <v>3.8488232696069158E-2</v>
      </c>
      <c r="CR719" s="295">
        <f>SUM(CR711:CR718)</f>
        <v>17209</v>
      </c>
      <c r="CS719" s="295">
        <f>SUM(CS711:CS718)</f>
        <v>18133</v>
      </c>
      <c r="CT719" s="492">
        <f t="shared" si="752"/>
        <v>18133</v>
      </c>
      <c r="CU719" s="811">
        <f>+CT719/CP719-1</f>
        <v>0.10170727261680534</v>
      </c>
      <c r="CV719" s="295">
        <f>SUM(CV711:CV718)</f>
        <v>19266</v>
      </c>
      <c r="CW719" s="295">
        <f>SUM(CW711:CW718)</f>
        <v>20509</v>
      </c>
      <c r="CX719" s="492">
        <f t="shared" si="753"/>
        <v>20509</v>
      </c>
      <c r="CY719" s="811">
        <f>+CX719/CT719-1</f>
        <v>0.13103182043787576</v>
      </c>
      <c r="CZ719" s="295">
        <f>SUM(CZ711:CZ718)</f>
        <v>21270</v>
      </c>
      <c r="DA719" s="295">
        <f>SUM(DA711:DA718)</f>
        <v>20666</v>
      </c>
      <c r="DB719" s="492">
        <f t="shared" si="754"/>
        <v>20666</v>
      </c>
      <c r="DC719" s="811">
        <f>+DB719/CX719-1</f>
        <v>7.6551757764884432E-3</v>
      </c>
      <c r="DD719" s="295">
        <f>SUM(DD711:DD718)</f>
        <v>20053</v>
      </c>
      <c r="DE719" s="295">
        <f>SUM(DE711:DE718)</f>
        <v>19735</v>
      </c>
      <c r="DF719" s="820">
        <f t="shared" si="755"/>
        <v>19735</v>
      </c>
      <c r="DG719" s="811">
        <f>+DF719/DB719-1</f>
        <v>-4.5049840317429646E-2</v>
      </c>
      <c r="DH719" s="295">
        <f>SUM(DH711:DH718)</f>
        <v>19821</v>
      </c>
      <c r="DI719" s="295">
        <f>SUM(DI711:DI718)</f>
        <v>20217.420000000002</v>
      </c>
      <c r="DJ719" s="492">
        <f t="shared" si="756"/>
        <v>20217.420000000002</v>
      </c>
      <c r="DK719" s="290"/>
      <c r="DL719" s="295">
        <f>SUM(DL711:DL718)</f>
        <v>20621.768400000001</v>
      </c>
      <c r="DM719" s="295">
        <f>SUM(DM711:DM718)</f>
        <v>21034.203767999999</v>
      </c>
      <c r="DN719" s="492">
        <f t="shared" si="757"/>
        <v>21034.203767999999</v>
      </c>
      <c r="DO719" s="290"/>
      <c r="DP719" s="295">
        <f>SUM(DP711:DP718)</f>
        <v>21454.88784336</v>
      </c>
      <c r="DQ719" s="295">
        <f>SUM(DQ711:DQ718)</f>
        <v>21883.985600227203</v>
      </c>
      <c r="DR719" s="492">
        <f t="shared" si="758"/>
        <v>21883.985600227203</v>
      </c>
      <c r="DS719" s="290"/>
      <c r="DT719" s="290"/>
      <c r="DU719" s="295"/>
      <c r="DV719" s="295"/>
      <c r="DW719" s="295"/>
      <c r="DX719" s="290"/>
      <c r="DY719" s="290"/>
      <c r="DZ719" s="295"/>
      <c r="EA719" s="295"/>
      <c r="EB719" s="290"/>
      <c r="EC719" s="290"/>
      <c r="ED719" s="295"/>
      <c r="EE719" s="295"/>
      <c r="EF719" s="290"/>
      <c r="EG719" s="290"/>
      <c r="EH719" s="290"/>
      <c r="EI719" s="290"/>
      <c r="EJ719" s="290"/>
      <c r="EK719" s="290"/>
      <c r="EL719" s="290"/>
      <c r="EM719" s="290"/>
      <c r="EN719" s="290"/>
      <c r="EO719" s="290"/>
      <c r="EP719" s="290"/>
      <c r="EQ719" s="290"/>
      <c r="ER719" s="290"/>
      <c r="ES719" s="290"/>
      <c r="ET719" s="290"/>
      <c r="EU719" s="290"/>
      <c r="EV719" s="290"/>
      <c r="JM719"/>
    </row>
    <row r="720" spans="1:273" s="289" customFormat="1">
      <c r="A720" s="102" t="s">
        <v>749</v>
      </c>
      <c r="B720" s="290"/>
      <c r="AN720" s="290"/>
      <c r="AO720" s="290"/>
      <c r="AP720" s="290"/>
      <c r="AQ720" s="290"/>
      <c r="AR720" s="293">
        <f>AR719-AR718</f>
        <v>9614</v>
      </c>
      <c r="AS720" s="293">
        <f>AS719-AS718</f>
        <v>8693</v>
      </c>
      <c r="AT720" s="290"/>
      <c r="AU720" s="290"/>
      <c r="AV720" s="293">
        <f>AV719-AV718</f>
        <v>8592</v>
      </c>
      <c r="AW720" s="293">
        <f>AW719-AW718</f>
        <v>9857</v>
      </c>
      <c r="AX720" s="290"/>
      <c r="AY720" s="290"/>
      <c r="AZ720" s="293">
        <f>AZ719-AZ718</f>
        <v>9939</v>
      </c>
      <c r="BA720" s="293">
        <f>BA719-BA718</f>
        <v>9775</v>
      </c>
      <c r="BB720" s="295"/>
      <c r="BC720" s="295"/>
      <c r="BD720" s="293">
        <f>BD719-BD718</f>
        <v>9007</v>
      </c>
      <c r="BE720" s="293">
        <f>BE719-BE718</f>
        <v>8835</v>
      </c>
      <c r="BF720" s="295"/>
      <c r="BG720" s="295"/>
      <c r="BH720" s="293">
        <f>BH719-BH718</f>
        <v>8375</v>
      </c>
      <c r="BI720" s="293">
        <f>BI719-BI718</f>
        <v>8348</v>
      </c>
      <c r="BJ720" s="290"/>
      <c r="BK720" s="290"/>
      <c r="BL720" s="293">
        <f>BL719-BL718</f>
        <v>8399</v>
      </c>
      <c r="BM720" s="293">
        <f>BM719-BM718</f>
        <v>8103</v>
      </c>
      <c r="BN720" s="290"/>
      <c r="BO720" s="290"/>
      <c r="BP720" s="293">
        <f>BP719-BP718</f>
        <v>8234</v>
      </c>
      <c r="BQ720" s="293">
        <f>BQ719-BQ718</f>
        <v>8210</v>
      </c>
      <c r="BR720" s="290"/>
      <c r="BS720" s="290"/>
      <c r="BT720" s="293">
        <f>BT719-BT718</f>
        <v>7756</v>
      </c>
      <c r="BU720" s="293">
        <f>BU719-BU718</f>
        <v>8258</v>
      </c>
      <c r="BV720" s="290"/>
      <c r="BW720" s="290"/>
      <c r="BX720" s="293">
        <f>BX719-BX718</f>
        <v>7991</v>
      </c>
      <c r="BY720" s="293">
        <f>BY719-BY718</f>
        <v>7833</v>
      </c>
      <c r="BZ720" s="290"/>
      <c r="CA720" s="290"/>
      <c r="CB720" s="293">
        <f>CB719-CB718</f>
        <v>8084</v>
      </c>
      <c r="CC720" s="293">
        <f>CC719-CC718</f>
        <v>8488</v>
      </c>
      <c r="CD720" s="290"/>
      <c r="CE720" s="581"/>
      <c r="CF720" s="293">
        <f>CF719-CF718</f>
        <v>8904</v>
      </c>
      <c r="CG720" s="293">
        <f>CG719-CG718</f>
        <v>8907</v>
      </c>
      <c r="CH720" s="290"/>
      <c r="CI720" s="581"/>
      <c r="CJ720" s="293">
        <f>CJ719-CJ718</f>
        <v>8715</v>
      </c>
      <c r="CK720" s="293">
        <f>CK719-CK718</f>
        <v>8742</v>
      </c>
      <c r="CL720" s="290"/>
      <c r="CM720" s="581"/>
      <c r="CN720" s="293">
        <f>CN719-CN718</f>
        <v>8958</v>
      </c>
      <c r="CO720" s="293">
        <f>CO719-CO718</f>
        <v>8861</v>
      </c>
      <c r="CP720" s="290"/>
      <c r="CQ720" s="581"/>
      <c r="CR720" s="293">
        <f>CR719-CR718</f>
        <v>9457</v>
      </c>
      <c r="CS720" s="293">
        <f>CS719-CS718</f>
        <v>9780</v>
      </c>
      <c r="CT720" s="290"/>
      <c r="CU720" s="290"/>
      <c r="CV720" s="293">
        <f>CV719-CV718</f>
        <v>10016</v>
      </c>
      <c r="CW720" s="293">
        <f>CW719-CW718</f>
        <v>10337</v>
      </c>
      <c r="CX720" s="290"/>
      <c r="CY720" s="290"/>
      <c r="CZ720" s="293">
        <f>CZ719-CZ718</f>
        <v>10671</v>
      </c>
      <c r="DA720" s="293">
        <f>DA719-DA718</f>
        <v>10285</v>
      </c>
      <c r="DB720" s="290"/>
      <c r="DC720" s="290"/>
      <c r="DD720" s="293">
        <f>DD719-DD718</f>
        <v>9879</v>
      </c>
      <c r="DE720" s="293">
        <f>DE719-DE718</f>
        <v>9410</v>
      </c>
      <c r="DF720" s="290"/>
      <c r="DG720" s="290"/>
      <c r="DH720" s="293">
        <f>DH719-DH718</f>
        <v>10478</v>
      </c>
      <c r="DI720" s="293">
        <f>DI719-DI718</f>
        <v>10687.560000000001</v>
      </c>
      <c r="DJ720" s="290"/>
      <c r="DK720" s="290"/>
      <c r="DL720" s="293">
        <f>DL719-DL718</f>
        <v>10901.3112</v>
      </c>
      <c r="DM720" s="293">
        <f>DM719-DM718</f>
        <v>11119.337423999999</v>
      </c>
      <c r="DN720" s="290"/>
      <c r="DO720" s="290"/>
      <c r="DP720" s="293">
        <f>DP719-DP718</f>
        <v>11341.724172480001</v>
      </c>
      <c r="DQ720" s="293">
        <f>DQ719-DQ718</f>
        <v>11568.558655929603</v>
      </c>
      <c r="DR720" s="290"/>
      <c r="DS720" s="290"/>
      <c r="DT720" s="290"/>
      <c r="DU720" s="293"/>
      <c r="DV720" s="293"/>
      <c r="DW720" s="293"/>
      <c r="DX720" s="290"/>
      <c r="DY720" s="290"/>
      <c r="DZ720" s="293"/>
      <c r="EA720" s="293"/>
      <c r="EB720" s="290"/>
      <c r="EC720" s="290"/>
      <c r="ED720" s="293"/>
      <c r="EE720" s="293"/>
      <c r="EF720" s="290"/>
      <c r="EG720" s="290"/>
      <c r="EH720" s="290"/>
      <c r="EI720" s="290"/>
      <c r="EJ720" s="290"/>
      <c r="EK720" s="290"/>
      <c r="EL720" s="290"/>
      <c r="EM720" s="290"/>
      <c r="EN720" s="290"/>
      <c r="EO720" s="290"/>
      <c r="EP720" s="290"/>
      <c r="EQ720" s="290"/>
      <c r="ER720" s="290"/>
      <c r="ES720" s="290"/>
      <c r="ET720" s="290"/>
      <c r="EU720" s="290"/>
      <c r="EV720" s="290"/>
      <c r="JM720"/>
    </row>
    <row r="721" spans="1:273" s="289" customFormat="1">
      <c r="A721" s="102" t="s">
        <v>53</v>
      </c>
      <c r="B721" s="290"/>
      <c r="AN721" s="290"/>
      <c r="AO721" s="290"/>
      <c r="AP721" s="290"/>
      <c r="AQ721" s="290"/>
      <c r="AR721" s="293"/>
      <c r="AS721" s="293"/>
      <c r="AT721" s="290"/>
      <c r="AU721" s="290"/>
      <c r="AV721" s="293">
        <f>AVERAGE(AV719,AS719)</f>
        <v>12737</v>
      </c>
      <c r="AW721" s="293">
        <f>AVERAGE(AW719,AV719)</f>
        <v>13707.5</v>
      </c>
      <c r="AX721" s="293">
        <f>AVERAGE(AV721:AW721)</f>
        <v>13222.25</v>
      </c>
      <c r="AY721" s="290"/>
      <c r="AZ721" s="293">
        <f>AVERAGE(AZ719,AW719)</f>
        <v>15095</v>
      </c>
      <c r="BA721" s="293">
        <f>AVERAGE(BA719,AZ719)</f>
        <v>15544.5</v>
      </c>
      <c r="BB721" s="293">
        <f>AVERAGE(AZ721:BA721)</f>
        <v>15319.75</v>
      </c>
      <c r="BC721" s="295"/>
      <c r="BD721" s="293">
        <f>AVERAGE(BD719,BA719)</f>
        <v>15322</v>
      </c>
      <c r="BE721" s="293">
        <f>AVERAGE(BE719,BD719)</f>
        <v>14645</v>
      </c>
      <c r="BF721" s="293">
        <f>AVERAGE(BD721:BE721)</f>
        <v>14983.5</v>
      </c>
      <c r="BG721" s="295"/>
      <c r="BH721" s="293">
        <f>AVERAGE(BH719,BE719)</f>
        <v>13832.5</v>
      </c>
      <c r="BI721" s="293">
        <f>AVERAGE(BI719,BH719)</f>
        <v>13563</v>
      </c>
      <c r="BJ721" s="293">
        <f>AVERAGE(BH721:BI721)</f>
        <v>13697.75</v>
      </c>
      <c r="BK721" s="290"/>
      <c r="BL721" s="293">
        <f>AVERAGE(BL719,BI719)</f>
        <v>13782</v>
      </c>
      <c r="BM721" s="293">
        <f>AVERAGE(BM719,BL719)</f>
        <v>13907</v>
      </c>
      <c r="BN721" s="293">
        <f>AVERAGE(BL721:BM721)</f>
        <v>13844.5</v>
      </c>
      <c r="BO721" s="290"/>
      <c r="BP721" s="293">
        <f>AVERAGE(BP719,BM719)</f>
        <v>14025.5</v>
      </c>
      <c r="BQ721" s="293">
        <f>AVERAGE(BQ719,BP719)</f>
        <v>14111.5</v>
      </c>
      <c r="BR721" s="293">
        <f>AVERAGE(BP721:BQ721)</f>
        <v>14068.5</v>
      </c>
      <c r="BS721" s="290"/>
      <c r="BT721" s="293">
        <f>AVERAGE(BT719,BQ719)</f>
        <v>13833.5</v>
      </c>
      <c r="BU721" s="293">
        <f>AVERAGE(BU719,BT719)</f>
        <v>13977</v>
      </c>
      <c r="BV721" s="293">
        <f>AVERAGE(BT721:BU721)</f>
        <v>13905.25</v>
      </c>
      <c r="BW721" s="290"/>
      <c r="BX721" s="293">
        <f>AVERAGE(BX719,BU719)</f>
        <v>14094</v>
      </c>
      <c r="BY721" s="293">
        <f>AVERAGE(BY719,BX719)</f>
        <v>13706.5</v>
      </c>
      <c r="BZ721" s="293">
        <f>AVERAGE(BX721:BY721)</f>
        <v>13900.25</v>
      </c>
      <c r="CA721" s="290"/>
      <c r="CB721" s="293">
        <f>AVERAGE(CB719,BY719)</f>
        <v>13781.5</v>
      </c>
      <c r="CC721" s="293">
        <f>AVERAGE(CC719,CB719)</f>
        <v>14217.5</v>
      </c>
      <c r="CD721" s="293">
        <f>AVERAGE(CB721:CC721)</f>
        <v>13999.5</v>
      </c>
      <c r="CE721" s="581"/>
      <c r="CF721" s="293">
        <f>AVERAGE(CF719,CC719)</f>
        <v>14845</v>
      </c>
      <c r="CG721" s="293">
        <f>AVERAGE(CG719,CF719)</f>
        <v>15411.5</v>
      </c>
      <c r="CH721" s="293">
        <f>AVERAGE(CF721:CG721)</f>
        <v>15128.25</v>
      </c>
      <c r="CI721" s="581"/>
      <c r="CJ721" s="293">
        <f>AVERAGE(CJ719,CG719)</f>
        <v>15653</v>
      </c>
      <c r="CK721" s="293">
        <f>AVERAGE(CK719,CJ719)</f>
        <v>15776.5</v>
      </c>
      <c r="CL721" s="293">
        <f>AVERAGE(CJ721:CK721)</f>
        <v>15714.75</v>
      </c>
      <c r="CM721" s="581"/>
      <c r="CN721" s="293">
        <f>AVERAGE(CN719,CK719)</f>
        <v>16102.5</v>
      </c>
      <c r="CO721" s="293">
        <f>AVERAGE(CO719,CN719)</f>
        <v>16407.5</v>
      </c>
      <c r="CP721" s="293">
        <f>AVERAGE(CN721:CO721)</f>
        <v>16255</v>
      </c>
      <c r="CQ721" s="581"/>
      <c r="CR721" s="293">
        <f>AVERAGE(CR719,CO719)</f>
        <v>16834</v>
      </c>
      <c r="CS721" s="293">
        <f>AVERAGE(CS719,CR719)</f>
        <v>17671</v>
      </c>
      <c r="CT721" s="293">
        <f>AVERAGE(CR721:CS721)</f>
        <v>17252.5</v>
      </c>
      <c r="CU721" s="290"/>
      <c r="CV721" s="293">
        <f>AVERAGE(CV719,CS719)</f>
        <v>18699.5</v>
      </c>
      <c r="CW721" s="293">
        <f>AVERAGE(CW719,CV719)</f>
        <v>19887.5</v>
      </c>
      <c r="CX721" s="293">
        <f>AVERAGE(CV721:CW721)</f>
        <v>19293.5</v>
      </c>
      <c r="CY721" s="290"/>
      <c r="CZ721" s="293">
        <f>AVERAGE(CZ719,CW719)</f>
        <v>20889.5</v>
      </c>
      <c r="DA721" s="293">
        <f>AVERAGE(DA719,CZ719)</f>
        <v>20968</v>
      </c>
      <c r="DB721" s="293">
        <f>AVERAGE(CZ721:DA721)</f>
        <v>20928.75</v>
      </c>
      <c r="DC721" s="290"/>
      <c r="DD721" s="293">
        <f>AVERAGE(DD719,DA719)</f>
        <v>20359.5</v>
      </c>
      <c r="DE721" s="293">
        <f>AVERAGE(DE719,DD719)</f>
        <v>19894</v>
      </c>
      <c r="DF721" s="293">
        <f>AVERAGE(DD721:DE721)</f>
        <v>20126.75</v>
      </c>
      <c r="DG721" s="290"/>
      <c r="DH721" s="293">
        <f>AVERAGE(DH719,DE719)</f>
        <v>19778</v>
      </c>
      <c r="DI721" s="293">
        <f>AVERAGE(DI719,DH719)</f>
        <v>20019.21</v>
      </c>
      <c r="DJ721" s="293">
        <f>AVERAGE(DH721:DI721)</f>
        <v>19898.605</v>
      </c>
      <c r="DK721" s="290"/>
      <c r="DL721" s="293">
        <f>AVERAGE(DL719,DI719)</f>
        <v>20419.5942</v>
      </c>
      <c r="DM721" s="293">
        <f>AVERAGE(DM719,DL719)</f>
        <v>20827.986084</v>
      </c>
      <c r="DN721" s="293">
        <f>AVERAGE(DL721:DM721)</f>
        <v>20623.790141999998</v>
      </c>
      <c r="DO721" s="293"/>
      <c r="DP721" s="293">
        <f>AVERAGE(DP719,DM719)</f>
        <v>21244.545805679998</v>
      </c>
      <c r="DQ721" s="293">
        <f>AVERAGE(DQ719,DP719)</f>
        <v>21669.436721793601</v>
      </c>
      <c r="DR721" s="293">
        <f>AVERAGE(DP721:DQ721)</f>
        <v>21456.9912637368</v>
      </c>
      <c r="DS721" s="293"/>
      <c r="DT721" s="290"/>
      <c r="DU721" s="293"/>
      <c r="DV721" s="293"/>
      <c r="DW721" s="293"/>
      <c r="DX721" s="293"/>
      <c r="DY721" s="290"/>
      <c r="DZ721" s="293"/>
      <c r="EA721" s="293"/>
      <c r="EB721" s="293"/>
      <c r="EC721" s="290"/>
      <c r="ED721" s="293"/>
      <c r="EE721" s="293"/>
      <c r="EF721" s="293"/>
      <c r="EG721" s="290"/>
      <c r="EH721" s="290"/>
      <c r="EI721" s="290"/>
      <c r="EJ721" s="290"/>
      <c r="EK721" s="290"/>
      <c r="EL721" s="290"/>
      <c r="EM721" s="290"/>
      <c r="EN721" s="290"/>
      <c r="EO721" s="290"/>
      <c r="EP721" s="290"/>
      <c r="EQ721" s="290"/>
      <c r="ER721" s="290"/>
      <c r="ES721" s="290"/>
      <c r="ET721" s="290"/>
      <c r="EU721" s="290"/>
      <c r="EV721" s="290"/>
      <c r="JM721"/>
    </row>
    <row r="722" spans="1:273" s="289" customFormat="1">
      <c r="A722" s="102" t="s">
        <v>194</v>
      </c>
      <c r="B722" s="290"/>
      <c r="AN722" s="290"/>
      <c r="AO722" s="290"/>
      <c r="AP722" s="290"/>
      <c r="AQ722" s="290"/>
      <c r="AR722" s="293"/>
      <c r="AS722" s="293"/>
      <c r="AT722" s="290"/>
      <c r="AU722" s="290"/>
      <c r="AV722" s="293">
        <f>AVERAGE(AV720,AS720)</f>
        <v>8642.5</v>
      </c>
      <c r="AW722" s="293">
        <f>AVERAGE(AW720,AV720)</f>
        <v>9224.5</v>
      </c>
      <c r="AX722" s="293">
        <f>AVERAGE(AV722:AW722)</f>
        <v>8933.5</v>
      </c>
      <c r="AY722" s="290"/>
      <c r="AZ722" s="293">
        <f>AVERAGE(AZ720,AW720)</f>
        <v>9898</v>
      </c>
      <c r="BA722" s="293">
        <f>AVERAGE(BA720,AZ720)</f>
        <v>9857</v>
      </c>
      <c r="BB722" s="293">
        <f>AVERAGE(AZ722:BA722)</f>
        <v>9877.5</v>
      </c>
      <c r="BC722" s="295"/>
      <c r="BD722" s="293">
        <f>AVERAGE(BD720,BA720)</f>
        <v>9391</v>
      </c>
      <c r="BE722" s="293">
        <f>AVERAGE(BE720,BD720)</f>
        <v>8921</v>
      </c>
      <c r="BF722" s="293">
        <f>AVERAGE(BD722:BE722)</f>
        <v>9156</v>
      </c>
      <c r="BG722" s="295"/>
      <c r="BH722" s="293">
        <f>AVERAGE(BH720,BE720)</f>
        <v>8605</v>
      </c>
      <c r="BI722" s="293">
        <f>AVERAGE(BI720,BH720)</f>
        <v>8361.5</v>
      </c>
      <c r="BJ722" s="293">
        <f>AVERAGE(BH722:BI722)</f>
        <v>8483.25</v>
      </c>
      <c r="BK722" s="290"/>
      <c r="BL722" s="293">
        <f>AVERAGE(BL720,BI720)</f>
        <v>8373.5</v>
      </c>
      <c r="BM722" s="293">
        <f>AVERAGE(BM720,BL720)</f>
        <v>8251</v>
      </c>
      <c r="BN722" s="293">
        <f>AVERAGE(BL722:BM722)</f>
        <v>8312.25</v>
      </c>
      <c r="BO722" s="290"/>
      <c r="BP722" s="293">
        <f>AVERAGE(BP720,BM720)</f>
        <v>8168.5</v>
      </c>
      <c r="BQ722" s="293">
        <f>AVERAGE(BQ720,BP720)</f>
        <v>8222</v>
      </c>
      <c r="BR722" s="293">
        <f>AVERAGE(BP722:BQ722)</f>
        <v>8195.25</v>
      </c>
      <c r="BS722" s="290"/>
      <c r="BT722" s="293">
        <f>AVERAGE(BT720,BQ720)</f>
        <v>7983</v>
      </c>
      <c r="BU722" s="293">
        <f>AVERAGE(BU720,BT720)</f>
        <v>8007</v>
      </c>
      <c r="BV722" s="293">
        <f>AVERAGE(BT722:BU722)</f>
        <v>7995</v>
      </c>
      <c r="BW722" s="290"/>
      <c r="BX722" s="293">
        <f>AVERAGE(BX720,BU720)</f>
        <v>8124.5</v>
      </c>
      <c r="BY722" s="293">
        <f>AVERAGE(BY720,BX720)</f>
        <v>7912</v>
      </c>
      <c r="BZ722" s="293">
        <f>AVERAGE(BX722:BY722)</f>
        <v>8018.25</v>
      </c>
      <c r="CA722" s="290"/>
      <c r="CB722" s="293">
        <f>AVERAGE(CB720,BY720)</f>
        <v>7958.5</v>
      </c>
      <c r="CC722" s="293">
        <f>AVERAGE(CC720,CB720)</f>
        <v>8286</v>
      </c>
      <c r="CD722" s="293">
        <f>AVERAGE(CB722:CC722)</f>
        <v>8122.25</v>
      </c>
      <c r="CE722" s="581"/>
      <c r="CF722" s="293">
        <f>AVERAGE(CF720,CC720)</f>
        <v>8696</v>
      </c>
      <c r="CG722" s="293">
        <f>AVERAGE(CG720,CF720)</f>
        <v>8905.5</v>
      </c>
      <c r="CH722" s="293">
        <f>AVERAGE(CF722:CG722)</f>
        <v>8800.75</v>
      </c>
      <c r="CI722" s="581"/>
      <c r="CJ722" s="293">
        <f>AVERAGE(CJ720,CG720)</f>
        <v>8811</v>
      </c>
      <c r="CK722" s="293">
        <f>AVERAGE(CK720,CJ720)</f>
        <v>8728.5</v>
      </c>
      <c r="CL722" s="293">
        <f>AVERAGE(CJ722:CK722)</f>
        <v>8769.75</v>
      </c>
      <c r="CM722" s="581"/>
      <c r="CN722" s="293">
        <f>AVERAGE(CN720,CK720)</f>
        <v>8850</v>
      </c>
      <c r="CO722" s="293">
        <f>AVERAGE(CO720,CN720)</f>
        <v>8909.5</v>
      </c>
      <c r="CP722" s="293">
        <f>AVERAGE(CN722:CO722)</f>
        <v>8879.75</v>
      </c>
      <c r="CQ722" s="581"/>
      <c r="CR722" s="293">
        <f>AVERAGE(CR720,CO720)</f>
        <v>9159</v>
      </c>
      <c r="CS722" s="293">
        <f>AVERAGE(CS720,CR720)</f>
        <v>9618.5</v>
      </c>
      <c r="CT722" s="293">
        <f>AVERAGE(CR722:CS722)</f>
        <v>9388.75</v>
      </c>
      <c r="CU722" s="290"/>
      <c r="CV722" s="293">
        <f>AVERAGE(CV720,CS720)</f>
        <v>9898</v>
      </c>
      <c r="CW722" s="293">
        <f>AVERAGE(CW720,CV720)</f>
        <v>10176.5</v>
      </c>
      <c r="CX722" s="293">
        <f>AVERAGE(CV722:CW722)</f>
        <v>10037.25</v>
      </c>
      <c r="CY722" s="290"/>
      <c r="CZ722" s="293">
        <f>AVERAGE(CZ720,CW720)</f>
        <v>10504</v>
      </c>
      <c r="DA722" s="293">
        <f>AVERAGE(DA720,CZ720)</f>
        <v>10478</v>
      </c>
      <c r="DB722" s="293">
        <f>AVERAGE(CZ722:DA722)</f>
        <v>10491</v>
      </c>
      <c r="DC722" s="290"/>
      <c r="DD722" s="293">
        <f>AVERAGE(DD720,DA720)</f>
        <v>10082</v>
      </c>
      <c r="DE722" s="293">
        <f>AVERAGE(DE720,DD720)</f>
        <v>9644.5</v>
      </c>
      <c r="DF722" s="293">
        <f>AVERAGE(DD722:DE722)</f>
        <v>9863.25</v>
      </c>
      <c r="DG722" s="290"/>
      <c r="DH722" s="293">
        <f>AVERAGE(DH720,DE720)</f>
        <v>9944</v>
      </c>
      <c r="DI722" s="293">
        <f>AVERAGE(DI720,DH720)</f>
        <v>10582.78</v>
      </c>
      <c r="DJ722" s="293">
        <f>AVERAGE(DH722:DI722)</f>
        <v>10263.39</v>
      </c>
      <c r="DK722" s="290"/>
      <c r="DL722" s="293">
        <f>AVERAGE(DL720,DI720)</f>
        <v>10794.435600000001</v>
      </c>
      <c r="DM722" s="293">
        <f>AVERAGE(DM720,DL720)</f>
        <v>11010.324312000001</v>
      </c>
      <c r="DN722" s="293">
        <f>AVERAGE(DL722:DM722)</f>
        <v>10902.379956000001</v>
      </c>
      <c r="DO722" s="293"/>
      <c r="DP722" s="293">
        <f>AVERAGE(DP720,DM720)</f>
        <v>11230.530798240001</v>
      </c>
      <c r="DQ722" s="293">
        <f>AVERAGE(DQ720,DP720)</f>
        <v>11455.141414204802</v>
      </c>
      <c r="DR722" s="293">
        <f>AVERAGE(DP722:DQ722)</f>
        <v>11342.836106222401</v>
      </c>
      <c r="DS722" s="293"/>
      <c r="DT722" s="290"/>
      <c r="DU722" s="293"/>
      <c r="DV722" s="293"/>
      <c r="DW722" s="293"/>
      <c r="DX722" s="293"/>
      <c r="DY722" s="290"/>
      <c r="DZ722" s="293"/>
      <c r="EA722" s="293"/>
      <c r="EB722" s="293"/>
      <c r="EC722" s="290"/>
      <c r="ED722" s="293"/>
      <c r="EE722" s="293"/>
      <c r="EF722" s="293"/>
      <c r="EG722" s="290"/>
      <c r="EH722" s="290"/>
      <c r="EI722" s="290"/>
      <c r="EJ722" s="290"/>
      <c r="EK722" s="290"/>
      <c r="EL722" s="290"/>
      <c r="EM722" s="290"/>
      <c r="EN722" s="290"/>
      <c r="EO722" s="290"/>
      <c r="EP722" s="290"/>
      <c r="EQ722" s="290"/>
      <c r="ER722" s="290"/>
      <c r="ES722" s="290"/>
      <c r="ET722" s="290"/>
      <c r="EU722" s="290"/>
      <c r="EV722" s="290"/>
      <c r="JM722"/>
    </row>
    <row r="723" spans="1:273" s="289" customFormat="1">
      <c r="A723" s="102" t="s">
        <v>200</v>
      </c>
      <c r="B723" s="290"/>
      <c r="AN723" s="290"/>
      <c r="AO723" s="290"/>
      <c r="AP723" s="290"/>
      <c r="AQ723" s="290"/>
      <c r="AR723" s="293"/>
      <c r="AS723" s="293"/>
      <c r="AT723" s="290"/>
      <c r="AU723" s="290"/>
      <c r="AV723" s="293">
        <f>+AV721-AV722</f>
        <v>4094.5</v>
      </c>
      <c r="AW723" s="293">
        <f>+AW721-AW722</f>
        <v>4483</v>
      </c>
      <c r="AX723" s="293">
        <f>+AX721-AX722</f>
        <v>4288.75</v>
      </c>
      <c r="AY723" s="290"/>
      <c r="AZ723" s="293">
        <f>+AZ721-AZ722</f>
        <v>5197</v>
      </c>
      <c r="BA723" s="293">
        <f>+BA721-BA722</f>
        <v>5687.5</v>
      </c>
      <c r="BB723" s="293">
        <f>+BB721-BB722</f>
        <v>5442.25</v>
      </c>
      <c r="BC723" s="295"/>
      <c r="BD723" s="293">
        <f>+BD721-BD722</f>
        <v>5931</v>
      </c>
      <c r="BE723" s="293">
        <f>+BE721-BE722</f>
        <v>5724</v>
      </c>
      <c r="BF723" s="293">
        <f>+BF721-BF722</f>
        <v>5827.5</v>
      </c>
      <c r="BG723" s="295"/>
      <c r="BH723" s="293">
        <f>+BH721-BH722</f>
        <v>5227.5</v>
      </c>
      <c r="BI723" s="293">
        <f>+BI721-BI722</f>
        <v>5201.5</v>
      </c>
      <c r="BJ723" s="293">
        <f>+BJ721-BJ722</f>
        <v>5214.5</v>
      </c>
      <c r="BK723" s="290"/>
      <c r="BL723" s="293">
        <f>+BL721-BL722</f>
        <v>5408.5</v>
      </c>
      <c r="BM723" s="293">
        <f>+BM721-BM722</f>
        <v>5656</v>
      </c>
      <c r="BN723" s="293">
        <f>+BN721-BN722</f>
        <v>5532.25</v>
      </c>
      <c r="BO723" s="290"/>
      <c r="BP723" s="293">
        <f>+BP721-BP722</f>
        <v>5857</v>
      </c>
      <c r="BQ723" s="293">
        <f>+BQ721-BQ722</f>
        <v>5889.5</v>
      </c>
      <c r="BR723" s="293">
        <f>+BR721-BR722</f>
        <v>5873.25</v>
      </c>
      <c r="BS723" s="290"/>
      <c r="BT723" s="293">
        <f>+BT721-BT722</f>
        <v>5850.5</v>
      </c>
      <c r="BU723" s="293">
        <f>+BU721-BU722</f>
        <v>5970</v>
      </c>
      <c r="BV723" s="293">
        <f>+BV721-BV722</f>
        <v>5910.25</v>
      </c>
      <c r="BW723" s="290"/>
      <c r="BX723" s="293">
        <f>+BX721-BX722</f>
        <v>5969.5</v>
      </c>
      <c r="BY723" s="293">
        <f>+BY721-BY722</f>
        <v>5794.5</v>
      </c>
      <c r="BZ723" s="293">
        <f>+BZ721-BZ722</f>
        <v>5882</v>
      </c>
      <c r="CA723" s="290"/>
      <c r="CB723" s="293">
        <f>+CB721-CB722</f>
        <v>5823</v>
      </c>
      <c r="CC723" s="293">
        <f>+CC721-CC722</f>
        <v>5931.5</v>
      </c>
      <c r="CD723" s="293">
        <f>+CD721-CD722</f>
        <v>5877.25</v>
      </c>
      <c r="CE723" s="581"/>
      <c r="CF723" s="293">
        <f>+CF721-CF722</f>
        <v>6149</v>
      </c>
      <c r="CG723" s="293">
        <f>+CG721-CG722</f>
        <v>6506</v>
      </c>
      <c r="CH723" s="293">
        <f>+CH721-CH722</f>
        <v>6327.5</v>
      </c>
      <c r="CI723" s="581"/>
      <c r="CJ723" s="293">
        <f>+CJ721-CJ722</f>
        <v>6842</v>
      </c>
      <c r="CK723" s="293">
        <f>+CK721-CK722</f>
        <v>7048</v>
      </c>
      <c r="CL723" s="293">
        <f>+CL721-CL722</f>
        <v>6945</v>
      </c>
      <c r="CM723" s="581"/>
      <c r="CN723" s="293">
        <f>+CN721-CN722</f>
        <v>7252.5</v>
      </c>
      <c r="CO723" s="293">
        <f>+CO721-CO722</f>
        <v>7498</v>
      </c>
      <c r="CP723" s="293">
        <f>+CP721-CP722</f>
        <v>7375.25</v>
      </c>
      <c r="CQ723" s="581"/>
      <c r="CR723" s="293">
        <f>+CR721-CR722</f>
        <v>7675</v>
      </c>
      <c r="CS723" s="293">
        <f>+CS721-CS722</f>
        <v>8052.5</v>
      </c>
      <c r="CT723" s="293">
        <f>+CT721-CT722</f>
        <v>7863.75</v>
      </c>
      <c r="CU723" s="290"/>
      <c r="CV723" s="293">
        <f>+CV721-CV722</f>
        <v>8801.5</v>
      </c>
      <c r="CW723" s="293">
        <f>+CW721-CW722</f>
        <v>9711</v>
      </c>
      <c r="CX723" s="293">
        <f>+CX721-CX722</f>
        <v>9256.25</v>
      </c>
      <c r="CY723" s="290"/>
      <c r="CZ723" s="293">
        <f>+CZ721-CZ722</f>
        <v>10385.5</v>
      </c>
      <c r="DA723" s="293">
        <f>+DA721-DA722</f>
        <v>10490</v>
      </c>
      <c r="DB723" s="293">
        <f>+DB721-DB722</f>
        <v>10437.75</v>
      </c>
      <c r="DC723" s="290"/>
      <c r="DD723" s="293">
        <f>+DD721-DD722</f>
        <v>10277.5</v>
      </c>
      <c r="DE723" s="293">
        <f>+DE721-DE722</f>
        <v>10249.5</v>
      </c>
      <c r="DF723" s="293">
        <f>+DF721-DF722</f>
        <v>10263.5</v>
      </c>
      <c r="DG723" s="290"/>
      <c r="DH723" s="293">
        <f>+DH721-DH722</f>
        <v>9834</v>
      </c>
      <c r="DI723" s="293">
        <f>+DI721-DI722</f>
        <v>9436.4299999999985</v>
      </c>
      <c r="DJ723" s="293">
        <f>+DJ721-DJ722</f>
        <v>9635.2150000000001</v>
      </c>
      <c r="DK723" s="290"/>
      <c r="DL723" s="293">
        <f>+DL721-DL722</f>
        <v>9625.1585999999988</v>
      </c>
      <c r="DM723" s="293">
        <f>+DM721-DM722</f>
        <v>9817.6617719999995</v>
      </c>
      <c r="DN723" s="293">
        <f>+DN721-DN722</f>
        <v>9721.4101859999973</v>
      </c>
      <c r="DO723" s="293"/>
      <c r="DP723" s="293">
        <f>+DP721-DP722</f>
        <v>10014.015007439997</v>
      </c>
      <c r="DQ723" s="293">
        <f>+DQ721-DQ722</f>
        <v>10214.2953075888</v>
      </c>
      <c r="DR723" s="293">
        <f>+DR721-DR722</f>
        <v>10114.155157514399</v>
      </c>
      <c r="DS723" s="293"/>
      <c r="DT723" s="290"/>
      <c r="DU723" s="293"/>
      <c r="DV723" s="293"/>
      <c r="DW723" s="293"/>
      <c r="DX723" s="293"/>
      <c r="DY723" s="290"/>
      <c r="DZ723" s="293"/>
      <c r="EA723" s="293"/>
      <c r="EB723" s="293"/>
      <c r="EC723" s="290"/>
      <c r="ED723" s="293"/>
      <c r="EE723" s="293"/>
      <c r="EF723" s="293"/>
      <c r="EG723" s="290"/>
      <c r="EH723" s="290"/>
      <c r="EI723" s="290"/>
      <c r="EJ723" s="290"/>
      <c r="EK723" s="290"/>
      <c r="EL723" s="290"/>
      <c r="EM723" s="290"/>
      <c r="EN723" s="290"/>
      <c r="EO723" s="290"/>
      <c r="EP723" s="290"/>
      <c r="EQ723" s="290"/>
      <c r="ER723" s="290"/>
      <c r="ES723" s="290"/>
      <c r="ET723" s="290"/>
      <c r="EU723" s="290"/>
      <c r="EV723" s="290"/>
      <c r="JM723"/>
    </row>
    <row r="725" spans="1:273" s="323" customFormat="1">
      <c r="A725" s="894" t="s">
        <v>1091</v>
      </c>
      <c r="B725" s="115"/>
      <c r="AN725" s="115"/>
      <c r="AO725" s="115"/>
      <c r="AP725" s="115"/>
      <c r="AQ725" s="115"/>
      <c r="AR725" s="115"/>
      <c r="AS725" s="115"/>
      <c r="AT725" s="115"/>
      <c r="AU725" s="115"/>
      <c r="AV725" s="115"/>
      <c r="AW725" s="115"/>
      <c r="AX725" s="115"/>
      <c r="AY725" s="115"/>
      <c r="AZ725" s="115"/>
      <c r="BA725" s="115"/>
      <c r="BB725" s="115"/>
      <c r="BC725" s="115"/>
      <c r="BD725" s="115"/>
      <c r="BE725" s="115"/>
      <c r="BF725" s="115"/>
      <c r="BG725" s="115"/>
      <c r="BH725" s="115"/>
      <c r="BI725" s="115"/>
      <c r="BJ725" s="115"/>
      <c r="BK725" s="115"/>
      <c r="BL725" s="115"/>
      <c r="BM725" s="115"/>
      <c r="BN725" s="115"/>
      <c r="BO725" s="115"/>
      <c r="BP725" s="115"/>
      <c r="BQ725" s="115"/>
      <c r="BR725" s="115"/>
      <c r="BS725" s="115"/>
      <c r="BT725" s="115"/>
      <c r="BU725" s="115"/>
      <c r="BV725" s="115"/>
      <c r="BW725" s="115"/>
      <c r="BX725" s="115"/>
      <c r="BY725" s="115"/>
      <c r="BZ725" s="115"/>
      <c r="CA725" s="115"/>
      <c r="CB725" s="115"/>
      <c r="CC725" s="115"/>
      <c r="CD725" s="115"/>
      <c r="CE725" s="115"/>
      <c r="CF725" s="115"/>
      <c r="CG725" s="115"/>
      <c r="CH725" s="115"/>
      <c r="CI725" s="115"/>
      <c r="CJ725" s="115"/>
      <c r="CK725" s="115"/>
      <c r="CL725" s="115"/>
      <c r="CM725" s="115"/>
      <c r="CN725" s="115"/>
      <c r="CO725" s="115"/>
      <c r="CP725" s="115"/>
      <c r="CQ725" s="115"/>
      <c r="CR725" s="115"/>
      <c r="CS725" s="115"/>
      <c r="CT725" s="115"/>
      <c r="CU725" s="115"/>
      <c r="CV725" s="115"/>
      <c r="CW725" s="115"/>
      <c r="CX725" s="115"/>
      <c r="CY725" s="115"/>
      <c r="CZ725" s="115"/>
      <c r="DA725" s="115"/>
      <c r="DB725" s="115"/>
      <c r="DC725" s="115"/>
      <c r="DD725" s="115"/>
      <c r="DE725" s="115"/>
      <c r="DF725" s="115"/>
      <c r="DG725" s="115"/>
      <c r="DH725" s="115"/>
      <c r="DI725" s="115"/>
      <c r="DJ725" s="115"/>
      <c r="DK725" s="115"/>
      <c r="DL725" s="115"/>
      <c r="DM725" s="115"/>
      <c r="DN725" s="115"/>
      <c r="DO725" s="115"/>
      <c r="DP725" s="115"/>
      <c r="DQ725" s="115"/>
      <c r="DR725" s="115"/>
      <c r="DS725" s="115"/>
      <c r="DT725" s="115"/>
      <c r="DU725" s="115"/>
      <c r="DV725" s="115"/>
      <c r="DW725" s="115"/>
      <c r="DX725" s="115"/>
      <c r="DY725" s="115"/>
      <c r="DZ725" s="115"/>
      <c r="EA725" s="115"/>
      <c r="EB725" s="115"/>
      <c r="EC725" s="115"/>
      <c r="ED725" s="115"/>
      <c r="EE725" s="115"/>
      <c r="EF725" s="115"/>
      <c r="EG725" s="115"/>
      <c r="EH725" s="115"/>
      <c r="EI725" s="115"/>
      <c r="EJ725" s="115"/>
      <c r="EK725" s="115"/>
      <c r="EL725" s="115"/>
      <c r="EM725" s="115"/>
      <c r="EN725" s="115"/>
      <c r="EO725" s="115"/>
      <c r="EP725" s="115"/>
      <c r="JM725"/>
    </row>
    <row r="726" spans="1:273" s="323" customFormat="1">
      <c r="A726" s="998" t="s">
        <v>685</v>
      </c>
      <c r="B726" s="999"/>
      <c r="C726" s="998"/>
      <c r="D726" s="998"/>
      <c r="E726" s="998"/>
      <c r="F726" s="998"/>
      <c r="G726" s="998"/>
      <c r="H726" s="998"/>
      <c r="I726" s="998"/>
      <c r="J726" s="998"/>
      <c r="K726" s="998"/>
      <c r="L726" s="998"/>
      <c r="M726" s="998"/>
      <c r="N726" s="998"/>
      <c r="O726" s="998"/>
      <c r="P726" s="998"/>
      <c r="Q726" s="998"/>
      <c r="R726" s="998"/>
      <c r="S726" s="998"/>
      <c r="T726" s="998"/>
      <c r="U726" s="998"/>
      <c r="V726" s="998"/>
      <c r="W726" s="998"/>
      <c r="X726" s="998"/>
      <c r="Y726" s="998"/>
      <c r="Z726" s="998"/>
      <c r="AA726" s="998"/>
      <c r="AB726" s="998"/>
      <c r="AC726" s="998"/>
      <c r="AD726" s="998"/>
      <c r="AE726" s="998"/>
      <c r="AF726" s="998"/>
      <c r="AG726" s="998"/>
      <c r="AH726" s="998"/>
      <c r="AI726" s="998"/>
      <c r="AJ726" s="998"/>
      <c r="AK726" s="998"/>
      <c r="AL726" s="998"/>
      <c r="AM726" s="998"/>
      <c r="AN726" s="1000"/>
      <c r="AO726" s="1000"/>
      <c r="AP726" s="999"/>
      <c r="AQ726" s="999"/>
      <c r="AR726" s="1001"/>
      <c r="AS726" s="1002"/>
      <c r="AT726" s="1001"/>
      <c r="AU726" s="1001"/>
      <c r="AV726" s="1002"/>
      <c r="AW726" s="1002"/>
      <c r="AX726" s="1001"/>
      <c r="AY726" s="1001"/>
      <c r="AZ726" s="1002"/>
      <c r="BA726" s="1002"/>
      <c r="BB726" s="999"/>
      <c r="BC726" s="999"/>
      <c r="BD726" s="1002"/>
      <c r="BE726" s="1002"/>
      <c r="BF726" s="1003"/>
      <c r="BG726" s="1003"/>
      <c r="BH726" s="1002"/>
      <c r="BI726" s="1002"/>
      <c r="BJ726" s="1003"/>
      <c r="BK726" s="1003"/>
      <c r="BL726" s="1002"/>
      <c r="BM726" s="1002"/>
      <c r="BN726" s="1003"/>
      <c r="BO726" s="1003"/>
      <c r="BP726" s="1002"/>
      <c r="BQ726" s="1002"/>
      <c r="BR726" s="1003"/>
      <c r="BS726" s="1003"/>
      <c r="BT726" s="1002"/>
      <c r="BU726" s="1002"/>
      <c r="BV726" s="1003"/>
      <c r="BW726" s="1003"/>
      <c r="BX726" s="1002"/>
      <c r="BY726" s="1002"/>
      <c r="BZ726" s="1003"/>
      <c r="CA726" s="1003"/>
      <c r="CB726" s="1002"/>
      <c r="CC726" s="1002"/>
      <c r="CD726" s="1003"/>
      <c r="CE726" s="1003"/>
      <c r="CF726" s="1002"/>
      <c r="CG726" s="1002"/>
      <c r="CH726" s="1003"/>
      <c r="CI726" s="1003"/>
      <c r="CJ726" s="1002"/>
      <c r="CK726" s="1002"/>
      <c r="CL726" s="1003"/>
      <c r="CM726" s="1003"/>
      <c r="CN726" s="1002"/>
      <c r="CO726" s="1002"/>
      <c r="CP726" s="1003"/>
      <c r="CQ726" s="1003"/>
      <c r="CR726" s="1004"/>
      <c r="CS726" s="1004"/>
      <c r="CT726" s="1003"/>
      <c r="CU726" s="1003"/>
      <c r="CV726" s="1004"/>
      <c r="CW726" s="1004"/>
      <c r="CX726" s="1003"/>
      <c r="CY726" s="1003"/>
      <c r="CZ726" s="1004"/>
      <c r="DA726" s="1004"/>
      <c r="DB726" s="1003"/>
      <c r="DC726" s="1003"/>
      <c r="DD726" s="1004"/>
      <c r="DE726" s="1004"/>
      <c r="DF726" s="1003"/>
      <c r="DG726" s="787"/>
      <c r="DH726" s="1004"/>
      <c r="DI726" s="1004"/>
      <c r="DJ726" s="1003"/>
      <c r="DK726" s="787"/>
      <c r="DL726" s="1004"/>
      <c r="DM726" s="1004"/>
      <c r="DN726" s="1003"/>
      <c r="DO726" s="787"/>
      <c r="DP726" s="1004"/>
      <c r="DQ726" s="1004"/>
      <c r="DR726" s="1003"/>
      <c r="DS726" s="787"/>
      <c r="DT726" s="787"/>
      <c r="DU726" s="869"/>
      <c r="DV726" s="869"/>
      <c r="DW726" s="869"/>
      <c r="DX726" s="115"/>
      <c r="DY726" s="115"/>
      <c r="DZ726" s="869"/>
      <c r="EA726" s="869"/>
      <c r="EB726" s="115"/>
      <c r="EC726" s="115"/>
      <c r="ED726" s="869"/>
      <c r="EE726" s="869"/>
      <c r="EF726" s="115"/>
      <c r="EG726" s="115"/>
      <c r="EH726" s="115"/>
      <c r="EI726" s="115"/>
      <c r="EJ726" s="115"/>
      <c r="EK726" s="115"/>
      <c r="EL726" s="115"/>
      <c r="EM726" s="115"/>
      <c r="EN726" s="115"/>
      <c r="EO726" s="115"/>
      <c r="EP726" s="115"/>
      <c r="JM726"/>
    </row>
    <row r="727" spans="1:273" s="323" customFormat="1">
      <c r="A727" s="323" t="s">
        <v>686</v>
      </c>
      <c r="B727" s="115"/>
      <c r="AN727" s="115"/>
      <c r="AO727" s="331"/>
      <c r="AP727" s="115"/>
      <c r="AQ727" s="115"/>
      <c r="AR727" s="331"/>
      <c r="AS727" s="817">
        <f t="shared" ref="AS727:AS735" si="759">AS712/AR712-1</f>
        <v>-0.18516930990141445</v>
      </c>
      <c r="AT727" s="768"/>
      <c r="AU727" s="768"/>
      <c r="AV727" s="817">
        <f t="shared" ref="AV727:AV734" si="760">AV712/AS712-1</f>
        <v>-0.11257233035244607</v>
      </c>
      <c r="AW727" s="817">
        <f t="shared" ref="AW727:AW735" si="761">AW712/AV712-1</f>
        <v>-3.2602252519264963E-2</v>
      </c>
      <c r="AX727" s="768"/>
      <c r="AY727" s="768"/>
      <c r="AZ727" s="817">
        <f t="shared" ref="AZ727:AZ735" si="762">AZ712/AW712-1</f>
        <v>-9.8651960784313708E-2</v>
      </c>
      <c r="BA727" s="817">
        <f t="shared" ref="BA727:BA735" si="763">BA712/AZ712-1</f>
        <v>-5.0305914343983682E-2</v>
      </c>
      <c r="BB727" s="115"/>
      <c r="BC727" s="115"/>
      <c r="BD727" s="817">
        <f t="shared" ref="BD727:BD735" si="764">BD712/BA712-1</f>
        <v>-4.0085898353614868E-2</v>
      </c>
      <c r="BE727" s="817">
        <f t="shared" ref="BE727:BE735" si="765">BE712/BD712-1</f>
        <v>-9.3959731543624136E-2</v>
      </c>
      <c r="BF727" s="787"/>
      <c r="BG727" s="787"/>
      <c r="BH727" s="817">
        <f t="shared" ref="BH727:BH735" si="766">BH712/BE712-1</f>
        <v>-8.3127572016460927E-2</v>
      </c>
      <c r="BI727" s="817">
        <f t="shared" ref="BI727:BI735" si="767">BI712/BH712-1</f>
        <v>-8.0789946140036317E-3</v>
      </c>
      <c r="BJ727" s="787"/>
      <c r="BK727" s="787"/>
      <c r="BL727" s="817">
        <f t="shared" ref="BL727:BL735" si="768">BL712/BI712-1</f>
        <v>1.0859728506787292E-2</v>
      </c>
      <c r="BM727" s="817">
        <f>BM712/BL712-1</f>
        <v>2.14861235452104E-2</v>
      </c>
      <c r="BN727" s="787"/>
      <c r="BO727" s="787"/>
      <c r="BP727" s="817">
        <f t="shared" ref="BP727:BP735" si="769">BP712/BM712-1</f>
        <v>-1.7528483786152238E-3</v>
      </c>
      <c r="BQ727" s="817">
        <f>BQ712/BP712-1</f>
        <v>5.531167690956984E-2</v>
      </c>
      <c r="BR727" s="787"/>
      <c r="BS727" s="787"/>
      <c r="BT727" s="817">
        <f t="shared" ref="BT727:BT735" si="770">BT712/BQ712-1</f>
        <v>-3.7437603993344393E-2</v>
      </c>
      <c r="BU727" s="817">
        <f>BU712/BT712-1</f>
        <v>4.8401037165082039E-2</v>
      </c>
      <c r="BV727" s="787"/>
      <c r="BW727" s="787"/>
      <c r="BX727" s="817">
        <f t="shared" ref="BX727:BX735" si="771">BX712/BU712-1</f>
        <v>-5.276174773289366E-2</v>
      </c>
      <c r="BY727" s="817">
        <f>BY712/BX712-1</f>
        <v>-1.1314186248912117E-2</v>
      </c>
      <c r="BZ727" s="787"/>
      <c r="CA727" s="787"/>
      <c r="CB727" s="817">
        <f t="shared" ref="CB727:CB735" si="772">CB712/BY712-1</f>
        <v>-3.4330985915492995E-2</v>
      </c>
      <c r="CC727" s="817">
        <f>CC712/CB712-1</f>
        <v>1.5496809480401108E-2</v>
      </c>
      <c r="CD727" s="787"/>
      <c r="CE727" s="787"/>
      <c r="CF727" s="817">
        <f t="shared" ref="CF727:CF735" si="773">CF712/CC712-1</f>
        <v>0.15080789946140039</v>
      </c>
      <c r="CG727" s="817">
        <f>CG712/CF712-1</f>
        <v>6.7862714508580391E-2</v>
      </c>
      <c r="CH727" s="787"/>
      <c r="CI727" s="787"/>
      <c r="CJ727" s="817">
        <f t="shared" ref="CJ727:CJ735" si="774">CJ712/CG712-1</f>
        <v>0.55588020452885312</v>
      </c>
      <c r="CK727" s="817">
        <f>CK712/CJ712-1</f>
        <v>-3.8967136150234727E-2</v>
      </c>
      <c r="CL727" s="787"/>
      <c r="CM727" s="787"/>
      <c r="CN727" s="817">
        <f t="shared" ref="CN727:CN735" si="775">CN712/CK712-1</f>
        <v>-2.6868588177821229E-2</v>
      </c>
      <c r="CO727" s="817">
        <f>CO712/CN712-1</f>
        <v>-8.5843373493975861E-2</v>
      </c>
      <c r="CP727" s="787"/>
      <c r="CQ727" s="787"/>
      <c r="CR727" s="817">
        <f t="shared" ref="CR727:CR735" si="776">CR712/CO712-1</f>
        <v>5.4914881933003645E-3</v>
      </c>
      <c r="CS727" s="817">
        <f>CS712/CR712-1</f>
        <v>6.5537957400327862E-3</v>
      </c>
      <c r="CT727" s="787"/>
      <c r="CU727" s="787"/>
      <c r="CV727" s="817">
        <f t="shared" ref="CV727:CV735" si="777">CV712/CS712-1</f>
        <v>-0.11828540423223011</v>
      </c>
      <c r="CW727" s="817">
        <f>CW712/CV712-1</f>
        <v>3.0769230769229772E-3</v>
      </c>
      <c r="CX727" s="787"/>
      <c r="CY727" s="115"/>
      <c r="CZ727" s="817">
        <f t="shared" ref="CZ727:CZ735" si="778">CZ712/CW712-1</f>
        <v>4.9079754601226711E-3</v>
      </c>
      <c r="DA727" s="817">
        <f>DA712/CZ712-1</f>
        <v>-2.3809523809523836E-2</v>
      </c>
      <c r="DB727" s="787"/>
      <c r="DC727" s="115"/>
      <c r="DD727" s="817">
        <f t="shared" ref="DD727:DD735" si="779">DD712/DA712-1</f>
        <v>-1.9387116948092586E-2</v>
      </c>
      <c r="DE727" s="817">
        <f>DE712/DD712-1</f>
        <v>-3.5714285714285698E-2</v>
      </c>
      <c r="DF727" s="787"/>
      <c r="DG727" s="787"/>
      <c r="DH727" s="817">
        <f t="shared" ref="DH727:DH735" si="780">DH712/DE712-1</f>
        <v>-3.9682539682539653E-2</v>
      </c>
      <c r="DI727" s="871">
        <v>0.02</v>
      </c>
      <c r="DJ727" s="1005"/>
      <c r="DK727" s="787"/>
      <c r="DL727" s="871">
        <v>0.02</v>
      </c>
      <c r="DM727" s="871">
        <v>0.02</v>
      </c>
      <c r="DN727" s="1005"/>
      <c r="DO727" s="787"/>
      <c r="DP727" s="871">
        <v>0.02</v>
      </c>
      <c r="DQ727" s="871">
        <v>0.02</v>
      </c>
      <c r="DR727" s="1005"/>
      <c r="DS727" s="787"/>
      <c r="DT727" s="787"/>
      <c r="DU727" s="869"/>
      <c r="DV727" s="869"/>
      <c r="DW727" s="869"/>
      <c r="DX727" s="115"/>
      <c r="DY727" s="115"/>
      <c r="DZ727" s="869"/>
      <c r="EA727" s="869"/>
      <c r="EB727" s="115"/>
      <c r="EC727" s="115"/>
      <c r="ED727" s="869"/>
      <c r="EE727" s="869"/>
      <c r="EF727" s="115"/>
      <c r="EG727" s="115"/>
      <c r="EH727" s="115"/>
      <c r="EI727" s="115"/>
      <c r="EJ727" s="115"/>
      <c r="EK727" s="115"/>
      <c r="EL727" s="115"/>
      <c r="EM727" s="115"/>
      <c r="EN727" s="115"/>
      <c r="EO727" s="115"/>
      <c r="EP727" s="115"/>
      <c r="JM727"/>
    </row>
    <row r="728" spans="1:273" s="323" customFormat="1">
      <c r="A728" s="323" t="s">
        <v>616</v>
      </c>
      <c r="B728" s="115"/>
      <c r="AN728" s="658"/>
      <c r="AO728" s="658"/>
      <c r="AP728" s="115"/>
      <c r="AQ728" s="115"/>
      <c r="AR728" s="768"/>
      <c r="AS728" s="817">
        <f t="shared" si="759"/>
        <v>8.5403726708075389E-3</v>
      </c>
      <c r="AT728" s="768"/>
      <c r="AU728" s="768"/>
      <c r="AV728" s="817">
        <f t="shared" si="760"/>
        <v>-1.6936104695919885E-2</v>
      </c>
      <c r="AW728" s="817">
        <f t="shared" si="761"/>
        <v>0.26076742364917771</v>
      </c>
      <c r="AX728" s="768"/>
      <c r="AY728" s="768"/>
      <c r="AZ728" s="817">
        <f t="shared" si="762"/>
        <v>-5.2795031055900665E-2</v>
      </c>
      <c r="BA728" s="817">
        <f t="shared" si="763"/>
        <v>-4.4590163934426275E-2</v>
      </c>
      <c r="BB728" s="115"/>
      <c r="BC728" s="115"/>
      <c r="BD728" s="817">
        <f t="shared" si="764"/>
        <v>-2.5394646533973941E-2</v>
      </c>
      <c r="BE728" s="817">
        <f t="shared" si="765"/>
        <v>-1.4084507042253502E-3</v>
      </c>
      <c r="BF728" s="787"/>
      <c r="BG728" s="787"/>
      <c r="BH728" s="817">
        <f t="shared" si="766"/>
        <v>4.9365303244006675E-3</v>
      </c>
      <c r="BI728" s="817">
        <f t="shared" si="767"/>
        <v>3.2982456140350891E-2</v>
      </c>
      <c r="BJ728" s="787"/>
      <c r="BK728" s="787"/>
      <c r="BL728" s="817">
        <f t="shared" si="768"/>
        <v>-1.8342391304347783E-2</v>
      </c>
      <c r="BM728" s="817">
        <f>BM713/BL713-1</f>
        <v>4.4982698961937739E-2</v>
      </c>
      <c r="BN728" s="787"/>
      <c r="BO728" s="787"/>
      <c r="BP728" s="817">
        <f t="shared" si="769"/>
        <v>-1.192052980132452E-2</v>
      </c>
      <c r="BQ728" s="817">
        <f>BQ713/BP713-1</f>
        <v>-2.6809651474530849E-3</v>
      </c>
      <c r="BR728" s="787"/>
      <c r="BS728" s="787"/>
      <c r="BT728" s="817">
        <f t="shared" si="770"/>
        <v>-5.3763440860215006E-3</v>
      </c>
      <c r="BU728" s="817">
        <f>BU713/BT713-1</f>
        <v>1.2162162162162149E-2</v>
      </c>
      <c r="BV728" s="787"/>
      <c r="BW728" s="787"/>
      <c r="BX728" s="817">
        <f t="shared" si="771"/>
        <v>1.2683578104138782E-2</v>
      </c>
      <c r="BY728" s="817">
        <f>BY713/BX713-1</f>
        <v>2.768622280817401E-2</v>
      </c>
      <c r="BZ728" s="787"/>
      <c r="CA728" s="787"/>
      <c r="CB728" s="817">
        <f t="shared" si="772"/>
        <v>-1.5394483643361156E-2</v>
      </c>
      <c r="CC728" s="817">
        <f>CC713/CB713-1</f>
        <v>1.5635179153094425E-2</v>
      </c>
      <c r="CD728" s="787"/>
      <c r="CE728" s="787"/>
      <c r="CF728" s="817">
        <f t="shared" si="773"/>
        <v>0.2097498396407953</v>
      </c>
      <c r="CG728" s="817">
        <f>CG713/CF713-1</f>
        <v>7.4231177094379319E-3</v>
      </c>
      <c r="CH728" s="787"/>
      <c r="CI728" s="787"/>
      <c r="CJ728" s="817">
        <f t="shared" si="774"/>
        <v>-5.8421052631578929E-2</v>
      </c>
      <c r="CK728" s="817">
        <f>CK713/CJ713-1</f>
        <v>6.1486864169927324E-2</v>
      </c>
      <c r="CL728" s="787"/>
      <c r="CM728" s="787"/>
      <c r="CN728" s="817">
        <f t="shared" si="775"/>
        <v>2.63296471827279E-3</v>
      </c>
      <c r="CO728" s="817">
        <f>CO713/CN713-1</f>
        <v>8.9285714285713969E-3</v>
      </c>
      <c r="CP728" s="787"/>
      <c r="CQ728" s="787"/>
      <c r="CR728" s="817">
        <f t="shared" si="776"/>
        <v>0.22540343571056742</v>
      </c>
      <c r="CS728" s="817">
        <f>CS713/CR713-1</f>
        <v>1.9116397621070425E-2</v>
      </c>
      <c r="CT728" s="787"/>
      <c r="CU728" s="787"/>
      <c r="CV728" s="817">
        <f t="shared" si="777"/>
        <v>8.6702792830345876E-2</v>
      </c>
      <c r="CW728" s="817">
        <f>CW713/CV713-1</f>
        <v>-3.7591100882240158E-2</v>
      </c>
      <c r="CX728" s="787"/>
      <c r="CY728" s="115"/>
      <c r="CZ728" s="817">
        <f t="shared" si="778"/>
        <v>1.5544041450777257E-2</v>
      </c>
      <c r="DA728" s="817">
        <f>DA713/CZ713-1</f>
        <v>-2.9434850863422346E-2</v>
      </c>
      <c r="DB728" s="787"/>
      <c r="DC728" s="115"/>
      <c r="DD728" s="817">
        <f t="shared" si="779"/>
        <v>-9.7048119692680901E-3</v>
      </c>
      <c r="DE728" s="817">
        <f>DE713/DD713-1</f>
        <v>-9.3099224173131878E-2</v>
      </c>
      <c r="DF728" s="787"/>
      <c r="DG728" s="787"/>
      <c r="DH728" s="817">
        <f t="shared" si="780"/>
        <v>2.611436289959479E-2</v>
      </c>
      <c r="DI728" s="871">
        <v>0.02</v>
      </c>
      <c r="DJ728" s="1005"/>
      <c r="DK728" s="787"/>
      <c r="DL728" s="871">
        <v>0.02</v>
      </c>
      <c r="DM728" s="871">
        <v>0.02</v>
      </c>
      <c r="DN728" s="1005"/>
      <c r="DO728" s="787"/>
      <c r="DP728" s="871">
        <v>0.02</v>
      </c>
      <c r="DQ728" s="871">
        <v>0.02</v>
      </c>
      <c r="DR728" s="1005"/>
      <c r="DS728" s="787"/>
      <c r="DT728" s="787"/>
      <c r="DU728" s="869"/>
      <c r="DV728" s="869"/>
      <c r="DW728" s="869"/>
      <c r="DX728" s="115"/>
      <c r="DY728" s="115"/>
      <c r="DZ728" s="869"/>
      <c r="EA728" s="869"/>
      <c r="EB728" s="115"/>
      <c r="EC728" s="115"/>
      <c r="ED728" s="869"/>
      <c r="EE728" s="869"/>
      <c r="EF728" s="115"/>
      <c r="EG728" s="115"/>
      <c r="EH728" s="115"/>
      <c r="EI728" s="115"/>
      <c r="EJ728" s="115"/>
      <c r="EK728" s="115"/>
      <c r="EL728" s="115"/>
      <c r="EM728" s="115"/>
      <c r="EN728" s="115"/>
      <c r="EO728" s="115"/>
      <c r="EP728" s="115"/>
      <c r="JM728"/>
    </row>
    <row r="729" spans="1:273" s="323" customFormat="1">
      <c r="A729" s="323" t="s">
        <v>1024</v>
      </c>
      <c r="B729" s="115"/>
      <c r="AN729" s="115"/>
      <c r="AO729" s="115"/>
      <c r="AP729" s="115"/>
      <c r="AQ729" s="115"/>
      <c r="AR729" s="658"/>
      <c r="AS729" s="817">
        <f t="shared" si="759"/>
        <v>-9.5354523227383914E-2</v>
      </c>
      <c r="AT729" s="768"/>
      <c r="AU729" s="768"/>
      <c r="AV729" s="817">
        <f t="shared" si="760"/>
        <v>3.9639639639639679E-2</v>
      </c>
      <c r="AW729" s="817">
        <f t="shared" si="761"/>
        <v>0.10788561525129992</v>
      </c>
      <c r="AX729" s="768"/>
      <c r="AY729" s="768"/>
      <c r="AZ729" s="817">
        <f t="shared" si="762"/>
        <v>5.0840829096597595E-2</v>
      </c>
      <c r="BA729" s="817">
        <f t="shared" si="763"/>
        <v>2.2701898027539968E-2</v>
      </c>
      <c r="BB729" s="115"/>
      <c r="BC729" s="115"/>
      <c r="BD729" s="817">
        <f t="shared" si="764"/>
        <v>-0.17721979621542938</v>
      </c>
      <c r="BE729" s="817">
        <f t="shared" si="765"/>
        <v>-5.5285272003538277E-2</v>
      </c>
      <c r="BF729" s="787"/>
      <c r="BG729" s="787"/>
      <c r="BH729" s="817">
        <f t="shared" si="766"/>
        <v>-7.02247191011236E-2</v>
      </c>
      <c r="BI729" s="817">
        <f t="shared" si="767"/>
        <v>-1.0070493454179208E-2</v>
      </c>
      <c r="BJ729" s="787"/>
      <c r="BK729" s="787"/>
      <c r="BL729" s="817">
        <f t="shared" si="768"/>
        <v>2.0345879959309254E-3</v>
      </c>
      <c r="BM729" s="817">
        <f>BM714/BL714-1</f>
        <v>1.2182741116751217E-2</v>
      </c>
      <c r="BN729" s="787"/>
      <c r="BO729" s="787"/>
      <c r="BP729" s="817">
        <f t="shared" si="769"/>
        <v>-1.1033099297893645E-2</v>
      </c>
      <c r="BQ729" s="817">
        <f>BQ714/BP714-1</f>
        <v>5.0709939148072536E-3</v>
      </c>
      <c r="BR729" s="787"/>
      <c r="BS729" s="787"/>
      <c r="BT729" s="817">
        <f t="shared" si="770"/>
        <v>-8.0726538849646978E-3</v>
      </c>
      <c r="BU729" s="817">
        <f>BU714/BT714-1</f>
        <v>2.3397761953204421E-2</v>
      </c>
      <c r="BV729" s="787"/>
      <c r="BW729" s="787"/>
      <c r="BX729" s="817">
        <f t="shared" si="771"/>
        <v>-4.4731610337972127E-2</v>
      </c>
      <c r="BY729" s="817">
        <f>BY714/BX714-1</f>
        <v>-1.7689906347554629E-2</v>
      </c>
      <c r="BZ729" s="787"/>
      <c r="CA729" s="787"/>
      <c r="CB729" s="817">
        <f t="shared" si="772"/>
        <v>5.1906779661016866E-2</v>
      </c>
      <c r="CC729" s="817">
        <f>CC714/CB714-1</f>
        <v>3.3736153071500574E-2</v>
      </c>
      <c r="CD729" s="787"/>
      <c r="CE729" s="787"/>
      <c r="CF729" s="817">
        <f t="shared" si="773"/>
        <v>0.35703848027277152</v>
      </c>
      <c r="CG729" s="817">
        <f>CG714/CF714-1</f>
        <v>2.871500358937551E-2</v>
      </c>
      <c r="CH729" s="787"/>
      <c r="CI729" s="787"/>
      <c r="CJ729" s="817">
        <f t="shared" si="774"/>
        <v>-0.2515701325889742</v>
      </c>
      <c r="CK729" s="817">
        <f>CK714/CJ714-1</f>
        <v>-4.1958041958042314E-3</v>
      </c>
      <c r="CL729" s="787"/>
      <c r="CM729" s="787"/>
      <c r="CN729" s="817">
        <f t="shared" si="775"/>
        <v>1.4513108614232273E-2</v>
      </c>
      <c r="CO729" s="817">
        <f>CO714/CN714-1</f>
        <v>-1.5689893862482651E-2</v>
      </c>
      <c r="CP729" s="787"/>
      <c r="CQ729" s="787"/>
      <c r="CR729" s="817">
        <f t="shared" si="776"/>
        <v>-6.0947022972339671E-3</v>
      </c>
      <c r="CS729" s="817">
        <f>CS714/CR714-1</f>
        <v>2.783018867924536E-2</v>
      </c>
      <c r="CT729" s="787"/>
      <c r="CU729" s="787"/>
      <c r="CV729" s="817">
        <f t="shared" si="777"/>
        <v>4.2680128499311687E-2</v>
      </c>
      <c r="CW729" s="817">
        <f>CW714/CV714-1</f>
        <v>4.6654929577464754E-2</v>
      </c>
      <c r="CX729" s="787"/>
      <c r="CY729" s="115"/>
      <c r="CZ729" s="817">
        <f t="shared" si="778"/>
        <v>3.8267451640033645E-2</v>
      </c>
      <c r="DA729" s="817">
        <f>DA714/CZ714-1</f>
        <v>2.1871202916160293E-2</v>
      </c>
      <c r="DB729" s="787"/>
      <c r="DC729" s="115"/>
      <c r="DD729" s="817">
        <f t="shared" si="779"/>
        <v>8.3234244946492897E-3</v>
      </c>
      <c r="DE729" s="817">
        <f>DE714/DD714-1</f>
        <v>-2.3584905660377631E-3</v>
      </c>
      <c r="DF729" s="787"/>
      <c r="DG729" s="787"/>
      <c r="DH729" s="817">
        <f t="shared" si="780"/>
        <v>3.0338849487785646E-2</v>
      </c>
      <c r="DI729" s="871">
        <v>0.02</v>
      </c>
      <c r="DJ729" s="1005"/>
      <c r="DK729" s="787"/>
      <c r="DL729" s="871">
        <v>0.02</v>
      </c>
      <c r="DM729" s="871">
        <v>0.02</v>
      </c>
      <c r="DN729" s="1005"/>
      <c r="DO729" s="787"/>
      <c r="DP729" s="871">
        <v>0.02</v>
      </c>
      <c r="DQ729" s="871">
        <v>0.02</v>
      </c>
      <c r="DR729" s="1005"/>
      <c r="DS729" s="787"/>
      <c r="DT729" s="787"/>
      <c r="DU729" s="869"/>
      <c r="DV729" s="869"/>
      <c r="DW729" s="869"/>
      <c r="DX729" s="115"/>
      <c r="DY729" s="115"/>
      <c r="DZ729" s="869"/>
      <c r="EA729" s="869"/>
      <c r="EB729" s="115"/>
      <c r="EC729" s="115"/>
      <c r="ED729" s="869"/>
      <c r="EE729" s="869"/>
      <c r="EF729" s="115"/>
      <c r="EG729" s="115"/>
      <c r="EH729" s="115"/>
      <c r="EI729" s="115"/>
      <c r="EJ729" s="115"/>
      <c r="EK729" s="115"/>
      <c r="EL729" s="115"/>
      <c r="EM729" s="115"/>
      <c r="EN729" s="115"/>
      <c r="EO729" s="115"/>
      <c r="EP729" s="115"/>
      <c r="JM729"/>
    </row>
    <row r="730" spans="1:273" s="323" customFormat="1">
      <c r="A730" s="323" t="s">
        <v>690</v>
      </c>
      <c r="B730" s="115"/>
      <c r="AN730" s="658"/>
      <c r="AO730" s="658"/>
      <c r="AP730" s="658"/>
      <c r="AQ730" s="658"/>
      <c r="AR730" s="658"/>
      <c r="AS730" s="817">
        <f t="shared" si="759"/>
        <v>-1.1945392491467532E-2</v>
      </c>
      <c r="AT730" s="768"/>
      <c r="AU730" s="768"/>
      <c r="AV730" s="817">
        <f t="shared" si="760"/>
        <v>6.0449050086355705E-2</v>
      </c>
      <c r="AW730" s="817">
        <f t="shared" si="761"/>
        <v>0.16775244299674275</v>
      </c>
      <c r="AX730" s="768"/>
      <c r="AY730" s="768"/>
      <c r="AZ730" s="817">
        <f t="shared" si="762"/>
        <v>0.17712691771269173</v>
      </c>
      <c r="BA730" s="817">
        <f t="shared" si="763"/>
        <v>5.2132701421800931E-2</v>
      </c>
      <c r="BB730" s="115"/>
      <c r="BC730" s="115"/>
      <c r="BD730" s="817">
        <f t="shared" si="764"/>
        <v>6.7567567567567544E-2</v>
      </c>
      <c r="BE730" s="817">
        <f t="shared" si="765"/>
        <v>5.2742616033756295E-3</v>
      </c>
      <c r="BF730" s="787"/>
      <c r="BG730" s="787"/>
      <c r="BH730" s="817">
        <f t="shared" si="766"/>
        <v>-2.6232948583420734E-2</v>
      </c>
      <c r="BI730" s="817">
        <f t="shared" si="767"/>
        <v>3.125E-2</v>
      </c>
      <c r="BJ730" s="787"/>
      <c r="BK730" s="787"/>
      <c r="BL730" s="817">
        <f t="shared" si="768"/>
        <v>1.9853709508881989E-2</v>
      </c>
      <c r="BM730" s="817">
        <f>BM715/BL715-1</f>
        <v>6.4549180327868827E-2</v>
      </c>
      <c r="BN730" s="787"/>
      <c r="BO730" s="787"/>
      <c r="BP730" s="817">
        <f t="shared" si="769"/>
        <v>2.3099133782483072E-2</v>
      </c>
      <c r="BQ730" s="817">
        <f>BQ715/BP715-1</f>
        <v>-2.8222013170272842E-2</v>
      </c>
      <c r="BR730" s="787"/>
      <c r="BS730" s="787"/>
      <c r="BT730" s="817">
        <f t="shared" si="770"/>
        <v>-0.12584704743465636</v>
      </c>
      <c r="BU730" s="817">
        <f>BU715/BT715-1</f>
        <v>0.49833887043189362</v>
      </c>
      <c r="BV730" s="787"/>
      <c r="BW730" s="787"/>
      <c r="BX730" s="817">
        <f t="shared" si="771"/>
        <v>-4.4345898004434225E-3</v>
      </c>
      <c r="BY730" s="817">
        <f>BY715/BX715-1</f>
        <v>-6.6072754268745371E-2</v>
      </c>
      <c r="BZ730" s="787"/>
      <c r="CA730" s="787"/>
      <c r="CB730" s="817">
        <f t="shared" si="772"/>
        <v>-0.48489666136724963</v>
      </c>
      <c r="CC730" s="817">
        <f>CC715/CB715-1</f>
        <v>2.1604938271605034E-2</v>
      </c>
      <c r="CD730" s="787"/>
      <c r="CE730" s="787"/>
      <c r="CF730" s="817"/>
      <c r="CG730" s="817"/>
      <c r="CH730" s="787"/>
      <c r="CI730" s="787"/>
      <c r="CJ730" s="817"/>
      <c r="CK730" s="817"/>
      <c r="CL730" s="787"/>
      <c r="CM730" s="787"/>
      <c r="CN730" s="817"/>
      <c r="CO730" s="817"/>
      <c r="CP730" s="787"/>
      <c r="CQ730" s="787"/>
      <c r="CR730" s="817"/>
      <c r="CS730" s="817"/>
      <c r="CT730" s="787"/>
      <c r="CU730" s="787"/>
      <c r="CV730" s="817"/>
      <c r="CW730" s="817"/>
      <c r="CX730" s="787"/>
      <c r="CY730" s="115"/>
      <c r="CZ730" s="817"/>
      <c r="DA730" s="817"/>
      <c r="DB730" s="787"/>
      <c r="DC730" s="115"/>
      <c r="DD730" s="817"/>
      <c r="DE730" s="817"/>
      <c r="DF730" s="787"/>
      <c r="DG730" s="787"/>
      <c r="DH730" s="817"/>
      <c r="DI730" s="871"/>
      <c r="DJ730" s="1005"/>
      <c r="DK730" s="787"/>
      <c r="DL730" s="871"/>
      <c r="DM730" s="871"/>
      <c r="DN730" s="1005"/>
      <c r="DO730" s="787"/>
      <c r="DP730" s="871"/>
      <c r="DQ730" s="871"/>
      <c r="DR730" s="1005"/>
      <c r="DS730" s="787"/>
      <c r="DT730" s="787"/>
      <c r="DU730" s="869"/>
      <c r="DV730" s="869"/>
      <c r="DW730" s="869"/>
      <c r="DX730" s="115"/>
      <c r="DY730" s="115"/>
      <c r="DZ730" s="869"/>
      <c r="EA730" s="869"/>
      <c r="EB730" s="115"/>
      <c r="EC730" s="115"/>
      <c r="ED730" s="869"/>
      <c r="EE730" s="869"/>
      <c r="EF730" s="115"/>
      <c r="EG730" s="115"/>
      <c r="EH730" s="115"/>
      <c r="EI730" s="115"/>
      <c r="EJ730" s="115"/>
      <c r="EK730" s="115"/>
      <c r="EL730" s="115"/>
      <c r="EM730" s="115"/>
      <c r="EN730" s="115"/>
      <c r="EO730" s="115"/>
      <c r="EP730" s="115"/>
      <c r="JM730"/>
    </row>
    <row r="731" spans="1:273" s="323" customFormat="1">
      <c r="A731" s="323" t="s">
        <v>689</v>
      </c>
      <c r="B731" s="115"/>
      <c r="AN731" s="115"/>
      <c r="AO731" s="115"/>
      <c r="AP731" s="115"/>
      <c r="AQ731" s="115"/>
      <c r="AR731" s="658"/>
      <c r="AS731" s="817">
        <f t="shared" si="759"/>
        <v>-6.5131342209427845E-2</v>
      </c>
      <c r="AT731" s="768"/>
      <c r="AU731" s="768"/>
      <c r="AV731" s="817">
        <f t="shared" si="760"/>
        <v>1.1547344110854452E-2</v>
      </c>
      <c r="AW731" s="817">
        <f t="shared" si="761"/>
        <v>0.24353120243531201</v>
      </c>
      <c r="AX731" s="768"/>
      <c r="AY731" s="768"/>
      <c r="AZ731" s="817">
        <f t="shared" si="762"/>
        <v>2.4785801713586242E-2</v>
      </c>
      <c r="BA731" s="817">
        <f t="shared" si="763"/>
        <v>-3.6130188115855444E-2</v>
      </c>
      <c r="BB731" s="115"/>
      <c r="BC731" s="115"/>
      <c r="BD731" s="817">
        <f t="shared" si="764"/>
        <v>-5.9169764560099147E-2</v>
      </c>
      <c r="BE731" s="817">
        <f t="shared" si="765"/>
        <v>2.5024695423114807E-2</v>
      </c>
      <c r="BF731" s="787"/>
      <c r="BG731" s="787"/>
      <c r="BH731" s="817">
        <f t="shared" si="766"/>
        <v>-6.1355605525216794E-2</v>
      </c>
      <c r="BI731" s="817">
        <f t="shared" si="767"/>
        <v>-2.5325119780971961E-2</v>
      </c>
      <c r="BJ731" s="787"/>
      <c r="BK731" s="787"/>
      <c r="BL731" s="817">
        <f t="shared" si="768"/>
        <v>1.5098314606741603E-2</v>
      </c>
      <c r="BM731" s="817">
        <f>BM716/BL716-1</f>
        <v>-0.16326530612244894</v>
      </c>
      <c r="BN731" s="787"/>
      <c r="BO731" s="787"/>
      <c r="BP731" s="817">
        <f t="shared" si="769"/>
        <v>6.1595700702769651E-2</v>
      </c>
      <c r="BQ731" s="817">
        <f>BQ716/BP716-1</f>
        <v>-2.4532710280373848E-2</v>
      </c>
      <c r="BR731" s="787"/>
      <c r="BS731" s="787"/>
      <c r="BT731" s="817">
        <f t="shared" si="770"/>
        <v>-0.10179640718562877</v>
      </c>
      <c r="BU731" s="817">
        <f>BU716/BT716-1</f>
        <v>-3.0222222222222261E-2</v>
      </c>
      <c r="BV731" s="787"/>
      <c r="BW731" s="787"/>
      <c r="BX731" s="817">
        <f t="shared" si="771"/>
        <v>-5.7745187901008244E-2</v>
      </c>
      <c r="BY731" s="817">
        <f>BY716/BX716-1</f>
        <v>-3.1128404669260701E-2</v>
      </c>
      <c r="BZ731" s="787"/>
      <c r="CA731" s="787"/>
      <c r="CB731" s="817">
        <f t="shared" si="772"/>
        <v>0.41465863453815266</v>
      </c>
      <c r="CC731" s="817">
        <f>CC716/CB716-1</f>
        <v>0.10007097232079487</v>
      </c>
      <c r="CD731" s="787"/>
      <c r="CE731" s="787"/>
      <c r="CF731" s="817">
        <f t="shared" si="773"/>
        <v>-4.8387096774193505E-2</v>
      </c>
      <c r="CG731" s="817">
        <f>CG716/CF716-1</f>
        <v>-6.0338983050847506E-2</v>
      </c>
      <c r="CH731" s="787"/>
      <c r="CI731" s="787"/>
      <c r="CJ731" s="817">
        <f t="shared" si="774"/>
        <v>-4.3650793650793607E-2</v>
      </c>
      <c r="CK731" s="817">
        <f>CK716/CJ716-1</f>
        <v>3.3949453036590249E-3</v>
      </c>
      <c r="CL731" s="787"/>
      <c r="CM731" s="787"/>
      <c r="CN731" s="817">
        <f t="shared" si="775"/>
        <v>8.8345864661654172E-2</v>
      </c>
      <c r="CO731" s="817">
        <f>CO716/CN716-1</f>
        <v>3.1433506044904913E-2</v>
      </c>
      <c r="CP731" s="787"/>
      <c r="CQ731" s="787"/>
      <c r="CR731" s="817">
        <f t="shared" si="776"/>
        <v>5.5592766242464897E-2</v>
      </c>
      <c r="CS731" s="817">
        <f>CS716/CR716-1</f>
        <v>6.5672588832487389E-2</v>
      </c>
      <c r="CT731" s="787"/>
      <c r="CU731" s="787"/>
      <c r="CV731" s="817">
        <f t="shared" si="777"/>
        <v>4.55492706162548E-2</v>
      </c>
      <c r="CW731" s="817">
        <f>CW716/CV716-1</f>
        <v>8.7699316628701673E-2</v>
      </c>
      <c r="CX731" s="787"/>
      <c r="CY731" s="115"/>
      <c r="CZ731" s="817">
        <f t="shared" si="778"/>
        <v>5.1308900523560297E-2</v>
      </c>
      <c r="DA731" s="817">
        <f>DA716/CZ716-1</f>
        <v>-8.1175298804780915E-2</v>
      </c>
      <c r="DB731" s="787"/>
      <c r="DC731" s="115"/>
      <c r="DD731" s="817">
        <f t="shared" si="779"/>
        <v>-0.10081300813008132</v>
      </c>
      <c r="DE731" s="817">
        <f>DE716/DD716-1</f>
        <v>-5.3948161543098228E-2</v>
      </c>
      <c r="DF731" s="787"/>
      <c r="DG731" s="787"/>
      <c r="DH731" s="817">
        <f t="shared" si="780"/>
        <v>0.31634278432621854</v>
      </c>
      <c r="DI731" s="871">
        <v>0.02</v>
      </c>
      <c r="DJ731" s="1005"/>
      <c r="DK731" s="787"/>
      <c r="DL731" s="871">
        <v>0.02</v>
      </c>
      <c r="DM731" s="871">
        <v>0.02</v>
      </c>
      <c r="DN731" s="1005"/>
      <c r="DO731" s="787"/>
      <c r="DP731" s="871">
        <v>0.02</v>
      </c>
      <c r="DQ731" s="871">
        <v>0.02</v>
      </c>
      <c r="DR731" s="1005"/>
      <c r="DS731" s="787"/>
      <c r="DT731" s="787"/>
      <c r="DU731" s="869"/>
      <c r="DV731" s="869"/>
      <c r="DW731" s="869"/>
      <c r="DX731" s="115"/>
      <c r="DY731" s="115"/>
      <c r="DZ731" s="869"/>
      <c r="EA731" s="869"/>
      <c r="EB731" s="115"/>
      <c r="EC731" s="115"/>
      <c r="ED731" s="869"/>
      <c r="EE731" s="869"/>
      <c r="EF731" s="115"/>
      <c r="EG731" s="115"/>
      <c r="EH731" s="115"/>
      <c r="EI731" s="115"/>
      <c r="EJ731" s="115"/>
      <c r="EK731" s="115"/>
      <c r="EL731" s="115"/>
      <c r="EM731" s="115"/>
      <c r="EN731" s="115"/>
      <c r="EO731" s="115"/>
      <c r="EP731" s="115"/>
      <c r="JM731"/>
    </row>
    <row r="732" spans="1:273" s="323" customFormat="1">
      <c r="A732" s="323" t="s">
        <v>688</v>
      </c>
      <c r="B732" s="115"/>
      <c r="AN732" s="581"/>
      <c r="AO732" s="581"/>
      <c r="AP732" s="581"/>
      <c r="AQ732" s="581"/>
      <c r="AR732" s="581"/>
      <c r="AS732" s="817">
        <f t="shared" si="759"/>
        <v>-0.44827586206896552</v>
      </c>
      <c r="AT732" s="768"/>
      <c r="AU732" s="768"/>
      <c r="AV732" s="817">
        <f t="shared" si="760"/>
        <v>-0.1875</v>
      </c>
      <c r="AW732" s="817">
        <f t="shared" si="761"/>
        <v>-6.4102564102564097E-2</v>
      </c>
      <c r="AX732" s="768"/>
      <c r="AY732" s="768"/>
      <c r="AZ732" s="817">
        <f t="shared" si="762"/>
        <v>-0.13698630136986301</v>
      </c>
      <c r="BA732" s="817">
        <f t="shared" si="763"/>
        <v>-9.5238095238095233E-2</v>
      </c>
      <c r="BB732" s="581"/>
      <c r="BC732" s="581"/>
      <c r="BD732" s="817">
        <f t="shared" si="764"/>
        <v>-1</v>
      </c>
      <c r="BE732" s="817"/>
      <c r="BF732" s="1006"/>
      <c r="BG732" s="1006"/>
      <c r="BH732" s="817"/>
      <c r="BI732" s="817"/>
      <c r="BJ732" s="1006"/>
      <c r="BK732" s="1006"/>
      <c r="BL732" s="817"/>
      <c r="BM732" s="817"/>
      <c r="BN732" s="1006"/>
      <c r="BO732" s="1006"/>
      <c r="BP732" s="817"/>
      <c r="BQ732" s="817"/>
      <c r="BR732" s="1006"/>
      <c r="BS732" s="1006"/>
      <c r="BT732" s="817"/>
      <c r="BU732" s="817"/>
      <c r="BV732" s="1006"/>
      <c r="BW732" s="1006"/>
      <c r="BX732" s="817"/>
      <c r="BY732" s="817"/>
      <c r="BZ732" s="1006"/>
      <c r="CA732" s="1006"/>
      <c r="CB732" s="817"/>
      <c r="CC732" s="817"/>
      <c r="CD732" s="1006"/>
      <c r="CE732" s="1006"/>
      <c r="CF732" s="817"/>
      <c r="CG732" s="817"/>
      <c r="CH732" s="1006"/>
      <c r="CI732" s="1006"/>
      <c r="CJ732" s="817"/>
      <c r="CK732" s="817"/>
      <c r="CL732" s="1006"/>
      <c r="CM732" s="1006"/>
      <c r="CN732" s="817"/>
      <c r="CO732" s="817"/>
      <c r="CP732" s="1006"/>
      <c r="CQ732" s="1006"/>
      <c r="CR732" s="817"/>
      <c r="CS732" s="817"/>
      <c r="CT732" s="1006"/>
      <c r="CU732" s="1006"/>
      <c r="CV732" s="817"/>
      <c r="CW732" s="817"/>
      <c r="CX732" s="1006"/>
      <c r="CY732" s="115"/>
      <c r="CZ732" s="817"/>
      <c r="DA732" s="817"/>
      <c r="DB732" s="1006"/>
      <c r="DC732" s="115"/>
      <c r="DD732" s="817"/>
      <c r="DE732" s="817"/>
      <c r="DF732" s="1006"/>
      <c r="DG732" s="1006"/>
      <c r="DH732" s="817"/>
      <c r="DI732" s="869"/>
      <c r="DJ732" s="1006"/>
      <c r="DK732" s="1006"/>
      <c r="DL732" s="869"/>
      <c r="DM732" s="869"/>
      <c r="DN732" s="1006"/>
      <c r="DO732" s="1006"/>
      <c r="DP732" s="869"/>
      <c r="DQ732" s="869"/>
      <c r="DR732" s="1006"/>
      <c r="DS732" s="1006"/>
      <c r="DT732" s="1006"/>
      <c r="DU732" s="869"/>
      <c r="DV732" s="869"/>
      <c r="DW732" s="869"/>
      <c r="DX732" s="581"/>
      <c r="DY732" s="581"/>
      <c r="DZ732" s="869"/>
      <c r="EA732" s="869"/>
      <c r="EB732" s="581"/>
      <c r="EC732" s="581"/>
      <c r="ED732" s="869"/>
      <c r="EE732" s="869"/>
      <c r="EF732" s="581"/>
      <c r="EG732" s="581"/>
      <c r="EH732" s="581"/>
      <c r="EI732" s="581"/>
      <c r="EJ732" s="581"/>
      <c r="EK732" s="581"/>
      <c r="EL732" s="581"/>
      <c r="EM732" s="581"/>
      <c r="EN732" s="581"/>
      <c r="EO732" s="581"/>
      <c r="EP732" s="581"/>
      <c r="EQ732" s="328"/>
      <c r="ER732" s="328"/>
      <c r="ES732" s="328"/>
      <c r="ET732" s="328"/>
      <c r="EU732" s="328"/>
      <c r="EV732" s="328"/>
      <c r="EW732" s="328"/>
      <c r="EX732" s="328"/>
      <c r="EY732" s="328"/>
      <c r="EZ732" s="328"/>
      <c r="FA732" s="328"/>
      <c r="FB732" s="328"/>
      <c r="FC732" s="328"/>
      <c r="FD732" s="328"/>
      <c r="FE732" s="328"/>
      <c r="FF732" s="328"/>
      <c r="FG732" s="328"/>
      <c r="FH732" s="328"/>
      <c r="FI732" s="328"/>
      <c r="FJ732" s="328"/>
      <c r="FK732" s="328"/>
      <c r="FL732" s="328"/>
      <c r="FM732" s="328"/>
      <c r="FN732" s="328"/>
      <c r="FO732" s="328"/>
      <c r="FP732" s="328"/>
      <c r="FQ732" s="328"/>
      <c r="FR732" s="328"/>
      <c r="FS732" s="328"/>
      <c r="FT732" s="328"/>
      <c r="FU732" s="328"/>
      <c r="FV732" s="328"/>
      <c r="FW732" s="328"/>
      <c r="FX732" s="328"/>
      <c r="FY732" s="328"/>
      <c r="FZ732" s="328"/>
      <c r="GA732" s="328"/>
      <c r="GB732" s="328"/>
      <c r="GC732" s="328"/>
      <c r="GD732" s="328"/>
      <c r="GE732" s="328"/>
      <c r="GF732" s="328"/>
      <c r="GG732" s="328"/>
      <c r="GH732" s="328"/>
      <c r="GI732" s="328"/>
      <c r="GJ732" s="328"/>
      <c r="GK732" s="328"/>
      <c r="GL732" s="328"/>
      <c r="GM732" s="328"/>
      <c r="GN732" s="328"/>
      <c r="GO732" s="328"/>
      <c r="GP732" s="328"/>
      <c r="GQ732" s="328"/>
      <c r="GR732" s="328"/>
      <c r="GS732" s="328"/>
      <c r="GT732" s="328"/>
      <c r="GU732" s="328"/>
      <c r="GV732" s="328"/>
      <c r="GW732" s="328"/>
      <c r="GX732" s="328"/>
      <c r="GY732" s="328"/>
      <c r="GZ732" s="328"/>
      <c r="HA732" s="328"/>
      <c r="HB732" s="328"/>
      <c r="HC732" s="328"/>
      <c r="HD732" s="328"/>
      <c r="HE732" s="328"/>
      <c r="HF732" s="328"/>
      <c r="HG732" s="328"/>
      <c r="HH732" s="328"/>
      <c r="HI732" s="328"/>
      <c r="HJ732" s="328"/>
      <c r="HK732" s="328"/>
      <c r="HL732" s="328"/>
      <c r="HM732" s="328"/>
      <c r="HN732" s="328"/>
      <c r="HO732" s="328"/>
      <c r="HP732" s="328"/>
      <c r="HQ732" s="328"/>
      <c r="HR732" s="328"/>
      <c r="HS732" s="328"/>
      <c r="HT732" s="328"/>
      <c r="HU732" s="328"/>
      <c r="HV732" s="328"/>
      <c r="HW732" s="328"/>
      <c r="HX732" s="328"/>
      <c r="HY732" s="328"/>
      <c r="HZ732" s="328"/>
      <c r="IA732" s="328"/>
      <c r="IB732" s="328"/>
      <c r="IC732" s="328"/>
      <c r="ID732" s="328"/>
      <c r="IE732" s="328"/>
      <c r="IF732" s="328"/>
      <c r="IG732" s="328"/>
      <c r="IH732" s="328"/>
      <c r="II732" s="328"/>
      <c r="IJ732" s="328"/>
      <c r="IK732" s="328"/>
      <c r="IL732" s="328"/>
      <c r="IM732" s="328"/>
      <c r="IN732" s="328"/>
      <c r="IO732" s="328"/>
      <c r="IP732" s="328"/>
      <c r="IQ732" s="328"/>
      <c r="IR732" s="328"/>
      <c r="IS732" s="328"/>
      <c r="IT732" s="328"/>
      <c r="IU732" s="328"/>
      <c r="IV732" s="328"/>
      <c r="IW732" s="328"/>
      <c r="IX732" s="328"/>
      <c r="IY732" s="328"/>
      <c r="IZ732" s="328"/>
      <c r="JA732" s="328"/>
      <c r="JB732" s="328"/>
      <c r="JC732" s="328"/>
      <c r="JD732" s="328"/>
      <c r="JE732" s="328"/>
      <c r="JF732" s="328"/>
      <c r="JG732" s="328"/>
      <c r="JH732" s="328"/>
      <c r="JI732" s="328"/>
      <c r="JJ732" s="328"/>
      <c r="JK732" s="328"/>
      <c r="JL732" s="328"/>
      <c r="JM732"/>
    </row>
    <row r="733" spans="1:273" s="323" customFormat="1">
      <c r="A733" s="323" t="s">
        <v>691</v>
      </c>
      <c r="B733" s="115"/>
      <c r="AN733" s="115"/>
      <c r="AO733" s="115"/>
      <c r="AP733" s="115"/>
      <c r="AQ733" s="115"/>
      <c r="AR733" s="115"/>
      <c r="AS733" s="817">
        <f t="shared" si="759"/>
        <v>-6.0924369747899165E-2</v>
      </c>
      <c r="AT733" s="768"/>
      <c r="AU733" s="768"/>
      <c r="AV733" s="817">
        <f t="shared" si="760"/>
        <v>3.5545612726820774E-2</v>
      </c>
      <c r="AW733" s="817">
        <f t="shared" si="761"/>
        <v>0.15218434949591941</v>
      </c>
      <c r="AX733" s="768"/>
      <c r="AY733" s="768"/>
      <c r="AZ733" s="817">
        <f t="shared" si="762"/>
        <v>0.16541666666666677</v>
      </c>
      <c r="BA733" s="817">
        <f t="shared" si="763"/>
        <v>3.34286735788345E-2</v>
      </c>
      <c r="BB733" s="115"/>
      <c r="BC733" s="115"/>
      <c r="BD733" s="817">
        <f t="shared" si="764"/>
        <v>5.1894135962636145E-2</v>
      </c>
      <c r="BE733" s="817">
        <f t="shared" si="765"/>
        <v>-0.1174148988653182</v>
      </c>
      <c r="BF733" s="787"/>
      <c r="BG733" s="787"/>
      <c r="BH733" s="817">
        <f t="shared" si="766"/>
        <v>-5.1984348798211344E-2</v>
      </c>
      <c r="BI733" s="817">
        <f t="shared" si="767"/>
        <v>4.4614779874213806E-2</v>
      </c>
      <c r="BJ733" s="787"/>
      <c r="BK733" s="787"/>
      <c r="BL733" s="817">
        <f t="shared" si="768"/>
        <v>3.5183443085606836E-2</v>
      </c>
      <c r="BM733" s="817">
        <f>BM718/BL718-1</f>
        <v>5.5979643765903253E-2</v>
      </c>
      <c r="BN733" s="787"/>
      <c r="BO733" s="787"/>
      <c r="BP733" s="817">
        <f t="shared" si="769"/>
        <v>1.6179001721170483E-2</v>
      </c>
      <c r="BQ733" s="817">
        <f>BQ718/BP718-1</f>
        <v>-4.9119241192412399E-3</v>
      </c>
      <c r="BR733" s="787"/>
      <c r="BS733" s="787"/>
      <c r="BT733" s="817">
        <f t="shared" si="770"/>
        <v>-8.3404255319149412E-3</v>
      </c>
      <c r="BU733" s="817">
        <f>BU718/BT718-1</f>
        <v>4.9433573635427441E-2</v>
      </c>
      <c r="BV733" s="787"/>
      <c r="BW733" s="787"/>
      <c r="BX733" s="817">
        <f t="shared" si="771"/>
        <v>-4.7268563951586517E-2</v>
      </c>
      <c r="BY733" s="817">
        <f>BY718/BX718-1</f>
        <v>-1.04721030042918E-2</v>
      </c>
      <c r="BZ733" s="787"/>
      <c r="CA733" s="787"/>
      <c r="CB733" s="817">
        <f t="shared" si="772"/>
        <v>2.0471894517696043E-2</v>
      </c>
      <c r="CC733" s="817">
        <f>CC718/CB718-1</f>
        <v>1.6831009860591717E-2</v>
      </c>
      <c r="CD733" s="787"/>
      <c r="CE733" s="787"/>
      <c r="CF733" s="817">
        <f t="shared" si="773"/>
        <v>5.6177896672797267E-2</v>
      </c>
      <c r="CG733" s="817">
        <f>CG718/CF718-1</f>
        <v>5.9838530948234991E-2</v>
      </c>
      <c r="CH733" s="787"/>
      <c r="CI733" s="787"/>
      <c r="CJ733" s="817">
        <f t="shared" si="774"/>
        <v>4.3913368185212853E-2</v>
      </c>
      <c r="CK733" s="817">
        <f>CK718/CJ718-1</f>
        <v>1.6883674345399946E-2</v>
      </c>
      <c r="CL733" s="787"/>
      <c r="CM733" s="787"/>
      <c r="CN733" s="817">
        <f t="shared" si="775"/>
        <v>4.094554664415373E-2</v>
      </c>
      <c r="CO733" s="817">
        <f>CO718/CN718-1</f>
        <v>2.7034333603676686E-2</v>
      </c>
      <c r="CP733" s="787"/>
      <c r="CQ733" s="787"/>
      <c r="CR733" s="817">
        <f t="shared" si="776"/>
        <v>2.0268491708344216E-2</v>
      </c>
      <c r="CS733" s="817">
        <f>CS718/CR718-1</f>
        <v>7.7528379772961786E-2</v>
      </c>
      <c r="CT733" s="787"/>
      <c r="CU733" s="787"/>
      <c r="CV733" s="817">
        <f t="shared" si="777"/>
        <v>0.10738656770022748</v>
      </c>
      <c r="CW733" s="817">
        <f>CW718/CV718-1</f>
        <v>9.967567567567559E-2</v>
      </c>
      <c r="CX733" s="787"/>
      <c r="CY733" s="115"/>
      <c r="CZ733" s="817">
        <f t="shared" si="778"/>
        <v>4.19779787652379E-2</v>
      </c>
      <c r="DA733" s="817">
        <f>DA718/CZ718-1</f>
        <v>-2.0567978111142526E-2</v>
      </c>
      <c r="DB733" s="787"/>
      <c r="DC733" s="115"/>
      <c r="DD733" s="817">
        <f t="shared" si="779"/>
        <v>-1.9940275503323335E-2</v>
      </c>
      <c r="DE733" s="817">
        <f>DE718/DD718-1</f>
        <v>1.4841753489286402E-2</v>
      </c>
      <c r="DF733" s="787"/>
      <c r="DG733" s="787"/>
      <c r="DH733" s="817">
        <f t="shared" si="780"/>
        <v>-9.5108958837772373E-2</v>
      </c>
      <c r="DI733" s="871">
        <v>0.02</v>
      </c>
      <c r="DJ733" s="1005"/>
      <c r="DK733" s="787"/>
      <c r="DL733" s="871">
        <v>0.02</v>
      </c>
      <c r="DM733" s="871">
        <v>0.02</v>
      </c>
      <c r="DN733" s="1005"/>
      <c r="DO733" s="787"/>
      <c r="DP733" s="871">
        <v>0.02</v>
      </c>
      <c r="DQ733" s="871">
        <v>0.02</v>
      </c>
      <c r="DR733" s="1005"/>
      <c r="DS733" s="787"/>
      <c r="DT733" s="787"/>
      <c r="DU733" s="869"/>
      <c r="DV733" s="869"/>
      <c r="DW733" s="869"/>
      <c r="DX733" s="115"/>
      <c r="DY733" s="115"/>
      <c r="DZ733" s="869"/>
      <c r="EA733" s="869"/>
      <c r="EB733" s="115"/>
      <c r="EC733" s="115"/>
      <c r="ED733" s="869"/>
      <c r="EE733" s="869"/>
      <c r="EF733" s="115"/>
      <c r="EG733" s="115"/>
      <c r="EH733" s="115"/>
      <c r="EI733" s="115"/>
      <c r="EJ733" s="115"/>
      <c r="EK733" s="115"/>
      <c r="EL733" s="115"/>
      <c r="EM733" s="115"/>
      <c r="EN733" s="115"/>
      <c r="EO733" s="115"/>
      <c r="EP733" s="115"/>
      <c r="JM733"/>
    </row>
    <row r="734" spans="1:273" s="328" customFormat="1">
      <c r="A734" s="328" t="s">
        <v>696</v>
      </c>
      <c r="B734" s="581"/>
      <c r="AN734" s="581"/>
      <c r="AO734" s="581"/>
      <c r="AP734" s="581"/>
      <c r="AQ734" s="581"/>
      <c r="AR734" s="1007"/>
      <c r="AS734" s="811">
        <f t="shared" si="759"/>
        <v>-8.50482083753058E-2</v>
      </c>
      <c r="AT734" s="412"/>
      <c r="AU734" s="412"/>
      <c r="AV734" s="811">
        <f t="shared" si="760"/>
        <v>3.3029254482541681E-3</v>
      </c>
      <c r="AW734" s="811">
        <f t="shared" si="761"/>
        <v>0.14884778178397862</v>
      </c>
      <c r="AX734" s="412"/>
      <c r="AY734" s="412"/>
      <c r="AZ734" s="811">
        <f t="shared" si="762"/>
        <v>5.9766664392440383E-2</v>
      </c>
      <c r="BA734" s="811">
        <f t="shared" si="763"/>
        <v>1.4807184703533594E-3</v>
      </c>
      <c r="BB734" s="1006"/>
      <c r="BC734" s="1006"/>
      <c r="BD734" s="811">
        <f t="shared" si="764"/>
        <v>-3.0084854718436582E-2</v>
      </c>
      <c r="BE734" s="811">
        <f t="shared" si="765"/>
        <v>-5.8722163308589592E-2</v>
      </c>
      <c r="BF734" s="1006"/>
      <c r="BG734" s="1006"/>
      <c r="BH734" s="811">
        <f t="shared" si="766"/>
        <v>-5.2034924658498793E-2</v>
      </c>
      <c r="BI734" s="811">
        <f t="shared" si="767"/>
        <v>1.4855529971031789E-2</v>
      </c>
      <c r="BJ734" s="1006"/>
      <c r="BK734" s="1006"/>
      <c r="BL734" s="811">
        <f t="shared" si="768"/>
        <v>1.7419307619117363E-2</v>
      </c>
      <c r="BM734" s="811">
        <f>BM719/BL719-1</f>
        <v>8.6324724839936806E-4</v>
      </c>
      <c r="BN734" s="1006"/>
      <c r="BO734" s="1006"/>
      <c r="BP734" s="811">
        <f t="shared" si="769"/>
        <v>1.6171925537267207E-2</v>
      </c>
      <c r="BQ734" s="811">
        <f>BQ719/BP719-1</f>
        <v>-3.7487622011600497E-3</v>
      </c>
      <c r="BR734" s="1006"/>
      <c r="BS734" s="1006"/>
      <c r="BT734" s="811">
        <f t="shared" si="770"/>
        <v>-3.5711750088746941E-2</v>
      </c>
      <c r="BU734" s="811">
        <f>BU719/BT719-1</f>
        <v>5.8165218671771379E-2</v>
      </c>
      <c r="BV734" s="1006"/>
      <c r="BW734" s="1006"/>
      <c r="BX734" s="811">
        <f t="shared" si="771"/>
        <v>-3.8686334539382083E-2</v>
      </c>
      <c r="BY734" s="811">
        <f>BY719/BX719-1</f>
        <v>-1.5851187029531033E-2</v>
      </c>
      <c r="BZ734" s="1006"/>
      <c r="CA734" s="1006"/>
      <c r="CB734" s="811">
        <f t="shared" si="772"/>
        <v>2.7138339339560114E-2</v>
      </c>
      <c r="CC734" s="811">
        <f>CC719/CB719-1</f>
        <v>3.6016038951739882E-2</v>
      </c>
      <c r="CD734" s="1006"/>
      <c r="CE734" s="1006"/>
      <c r="CF734" s="811">
        <f t="shared" si="773"/>
        <v>5.1973184048655696E-2</v>
      </c>
      <c r="CG734" s="811">
        <f>CG719/CF719-1</f>
        <v>2.5031206885224311E-2</v>
      </c>
      <c r="CH734" s="1006"/>
      <c r="CI734" s="1006"/>
      <c r="CJ734" s="811">
        <f t="shared" si="774"/>
        <v>6.5376233816176743E-3</v>
      </c>
      <c r="CK734" s="811">
        <f>CK719/CJ719-1</f>
        <v>9.2333163525215589E-3</v>
      </c>
      <c r="CL734" s="1006"/>
      <c r="CM734" s="1006"/>
      <c r="CN734" s="811">
        <f t="shared" si="775"/>
        <v>3.1989399962142784E-2</v>
      </c>
      <c r="CO734" s="811">
        <f>CO719/CN719-1</f>
        <v>6.2973832232819937E-3</v>
      </c>
      <c r="CP734" s="1006"/>
      <c r="CQ734" s="1006"/>
      <c r="CR734" s="811">
        <f t="shared" si="776"/>
        <v>4.5567774469894795E-2</v>
      </c>
      <c r="CS734" s="811">
        <f>CS719/CR719-1</f>
        <v>5.3692835144401263E-2</v>
      </c>
      <c r="CT734" s="1006"/>
      <c r="CU734" s="1006"/>
      <c r="CV734" s="811">
        <f t="shared" si="777"/>
        <v>6.2482766227320408E-2</v>
      </c>
      <c r="CW734" s="811">
        <f>CW719/CV719-1</f>
        <v>6.4517803384200212E-2</v>
      </c>
      <c r="CX734" s="1006"/>
      <c r="CY734" s="115"/>
      <c r="CZ734" s="811">
        <f t="shared" si="778"/>
        <v>3.7105660929348083E-2</v>
      </c>
      <c r="DA734" s="811">
        <f>DA719/CZ719-1</f>
        <v>-2.8396803008932769E-2</v>
      </c>
      <c r="DB734" s="1006"/>
      <c r="DC734" s="115"/>
      <c r="DD734" s="811">
        <f t="shared" si="779"/>
        <v>-2.9662247169263578E-2</v>
      </c>
      <c r="DE734" s="811">
        <f>DE719/DD719-1</f>
        <v>-1.585797636263897E-2</v>
      </c>
      <c r="DF734" s="1006"/>
      <c r="DG734" s="1006"/>
      <c r="DH734" s="811">
        <f t="shared" si="780"/>
        <v>4.3577400557386348E-3</v>
      </c>
      <c r="DI734" s="811">
        <f>DI719/DH719-1</f>
        <v>2.0000000000000018E-2</v>
      </c>
      <c r="DJ734" s="1006"/>
      <c r="DK734" s="1006"/>
      <c r="DL734" s="811">
        <f>DL719/DI719-1</f>
        <v>2.0000000000000018E-2</v>
      </c>
      <c r="DM734" s="811">
        <f>DM719/DL719-1</f>
        <v>2.0000000000000018E-2</v>
      </c>
      <c r="DN734" s="1006"/>
      <c r="DO734" s="1006"/>
      <c r="DP734" s="811">
        <f>DP719/DM719-1</f>
        <v>2.0000000000000018E-2</v>
      </c>
      <c r="DQ734" s="811">
        <f>DQ719/DP719-1</f>
        <v>2.0000000000000018E-2</v>
      </c>
      <c r="DR734" s="1006"/>
      <c r="DS734" s="1006"/>
      <c r="DT734" s="1006"/>
      <c r="DU734" s="811"/>
      <c r="DV734" s="811"/>
      <c r="DW734" s="811"/>
      <c r="DX734" s="1006"/>
      <c r="DY734" s="581"/>
      <c r="DZ734" s="811"/>
      <c r="EA734" s="811"/>
      <c r="EB734" s="1006"/>
      <c r="EC734" s="581"/>
      <c r="ED734" s="811"/>
      <c r="EE734" s="811"/>
      <c r="EF734" s="1006"/>
      <c r="EG734" s="581"/>
      <c r="EH734" s="581"/>
      <c r="EI734" s="581"/>
      <c r="EJ734" s="581"/>
      <c r="EK734" s="581"/>
      <c r="EL734" s="581"/>
      <c r="EM734" s="581"/>
      <c r="EN734" s="581"/>
      <c r="EO734" s="581"/>
      <c r="EP734" s="581"/>
      <c r="JM734"/>
    </row>
    <row r="735" spans="1:273" s="328" customFormat="1">
      <c r="A735" s="323" t="s">
        <v>749</v>
      </c>
      <c r="B735" s="581"/>
      <c r="AN735" s="581"/>
      <c r="AO735" s="581"/>
      <c r="AP735" s="581"/>
      <c r="AQ735" s="581"/>
      <c r="AR735" s="1007"/>
      <c r="AS735" s="817">
        <f t="shared" si="759"/>
        <v>-9.5797794882463094E-2</v>
      </c>
      <c r="AT735" s="768"/>
      <c r="AU735" s="768"/>
      <c r="AV735" s="817">
        <f>AV720/AS720-1</f>
        <v>-1.161854365581505E-2</v>
      </c>
      <c r="AW735" s="817">
        <f t="shared" si="761"/>
        <v>0.14722998137802601</v>
      </c>
      <c r="AX735" s="768"/>
      <c r="AY735" s="768"/>
      <c r="AZ735" s="817">
        <f t="shared" si="762"/>
        <v>8.3189611443643674E-3</v>
      </c>
      <c r="BA735" s="817">
        <f t="shared" si="763"/>
        <v>-1.6500653989334979E-2</v>
      </c>
      <c r="BB735" s="581"/>
      <c r="BC735" s="581"/>
      <c r="BD735" s="817">
        <f t="shared" si="764"/>
        <v>-7.8567774936061374E-2</v>
      </c>
      <c r="BE735" s="817">
        <f t="shared" si="765"/>
        <v>-1.9096258465637783E-2</v>
      </c>
      <c r="BF735" s="581"/>
      <c r="BG735" s="581"/>
      <c r="BH735" s="817">
        <f t="shared" si="766"/>
        <v>-5.2065647990945152E-2</v>
      </c>
      <c r="BI735" s="817">
        <f t="shared" si="767"/>
        <v>-3.2238805970149498E-3</v>
      </c>
      <c r="BJ735" s="581"/>
      <c r="BK735" s="581"/>
      <c r="BL735" s="817">
        <f t="shared" si="768"/>
        <v>6.1092477240056731E-3</v>
      </c>
      <c r="BM735" s="817">
        <f>BM720/BL720-1</f>
        <v>-3.524229074889873E-2</v>
      </c>
      <c r="BN735" s="581"/>
      <c r="BO735" s="581"/>
      <c r="BP735" s="817">
        <f t="shared" si="769"/>
        <v>1.6166851783290248E-2</v>
      </c>
      <c r="BQ735" s="817">
        <f>BQ720/BP720-1</f>
        <v>-2.9147437454457581E-3</v>
      </c>
      <c r="BR735" s="581"/>
      <c r="BS735" s="581"/>
      <c r="BT735" s="817">
        <f t="shared" si="770"/>
        <v>-5.5298416565164432E-2</v>
      </c>
      <c r="BU735" s="817">
        <f>BU720/BT720-1</f>
        <v>6.4724084579680152E-2</v>
      </c>
      <c r="BV735" s="581"/>
      <c r="BW735" s="581"/>
      <c r="BX735" s="817">
        <f t="shared" si="771"/>
        <v>-3.2332283845967535E-2</v>
      </c>
      <c r="BY735" s="817">
        <f>BY720/BX720-1</f>
        <v>-1.9772243774246023E-2</v>
      </c>
      <c r="BZ735" s="581"/>
      <c r="CA735" s="581"/>
      <c r="CB735" s="817">
        <f t="shared" si="772"/>
        <v>3.2043916762415359E-2</v>
      </c>
      <c r="CC735" s="817">
        <f>CC720/CB720-1</f>
        <v>4.9975259772389924E-2</v>
      </c>
      <c r="CD735" s="581"/>
      <c r="CE735" s="581"/>
      <c r="CF735" s="817">
        <f t="shared" si="773"/>
        <v>4.9010367577756897E-2</v>
      </c>
      <c r="CG735" s="817">
        <f>CG720/CF720-1</f>
        <v>3.369272237196963E-4</v>
      </c>
      <c r="CH735" s="581"/>
      <c r="CI735" s="581"/>
      <c r="CJ735" s="817">
        <f t="shared" si="774"/>
        <v>-2.1556079488043167E-2</v>
      </c>
      <c r="CK735" s="817">
        <f>CK720/CJ720-1</f>
        <v>3.0981067125646078E-3</v>
      </c>
      <c r="CL735" s="581"/>
      <c r="CM735" s="581"/>
      <c r="CN735" s="817">
        <f t="shared" si="775"/>
        <v>2.4708304735758357E-2</v>
      </c>
      <c r="CO735" s="817">
        <f>CO720/CN720-1</f>
        <v>-1.0828309890600574E-2</v>
      </c>
      <c r="CP735" s="581"/>
      <c r="CQ735" s="581"/>
      <c r="CR735" s="817">
        <f t="shared" si="776"/>
        <v>6.7261031486288259E-2</v>
      </c>
      <c r="CS735" s="817">
        <f>CS720/CR720-1</f>
        <v>3.4154594480279243E-2</v>
      </c>
      <c r="CT735" s="581"/>
      <c r="CU735" s="581"/>
      <c r="CV735" s="817">
        <f t="shared" si="777"/>
        <v>2.4130879345603207E-2</v>
      </c>
      <c r="CW735" s="817">
        <f>CW720/CV720-1</f>
        <v>3.2048722044728528E-2</v>
      </c>
      <c r="CX735" s="581"/>
      <c r="CY735" s="581"/>
      <c r="CZ735" s="817">
        <f t="shared" si="778"/>
        <v>3.2311115410660785E-2</v>
      </c>
      <c r="DA735" s="817">
        <f>DA720/CZ720-1</f>
        <v>-3.6172804798050739E-2</v>
      </c>
      <c r="DB735" s="581"/>
      <c r="DC735" s="581"/>
      <c r="DD735" s="817">
        <f t="shared" si="779"/>
        <v>-3.9474963539134711E-2</v>
      </c>
      <c r="DE735" s="817">
        <f>DE720/DD720-1</f>
        <v>-4.7474440732867662E-2</v>
      </c>
      <c r="DF735" s="581"/>
      <c r="DG735" s="581"/>
      <c r="DH735" s="817">
        <f t="shared" si="780"/>
        <v>0.11349628055260363</v>
      </c>
      <c r="DI735" s="817">
        <f>DI720/DH720-1</f>
        <v>2.0000000000000018E-2</v>
      </c>
      <c r="DJ735" s="581"/>
      <c r="DK735" s="581"/>
      <c r="DL735" s="817">
        <f>DL720/DI720-1</f>
        <v>1.9999999999999796E-2</v>
      </c>
      <c r="DM735" s="817">
        <f>DM720/DL720-1</f>
        <v>2.0000000000000018E-2</v>
      </c>
      <c r="DN735" s="581"/>
      <c r="DO735" s="581"/>
      <c r="DP735" s="817">
        <f>DP720/DM720-1</f>
        <v>2.0000000000000018E-2</v>
      </c>
      <c r="DQ735" s="817">
        <f>DQ720/DP720-1</f>
        <v>2.000000000000024E-2</v>
      </c>
      <c r="DR735" s="581"/>
      <c r="DS735" s="581"/>
      <c r="DT735" s="581"/>
      <c r="DU735" s="817"/>
      <c r="DV735" s="817"/>
      <c r="DW735" s="817"/>
      <c r="DX735" s="581"/>
      <c r="DY735" s="581"/>
      <c r="DZ735" s="817"/>
      <c r="EA735" s="817"/>
      <c r="EB735" s="581"/>
      <c r="EC735" s="581"/>
      <c r="ED735" s="817"/>
      <c r="EE735" s="817"/>
      <c r="EF735" s="581"/>
      <c r="EG735" s="581"/>
      <c r="EH735" s="581"/>
      <c r="EI735" s="581"/>
      <c r="EJ735" s="581"/>
      <c r="EK735" s="581"/>
      <c r="EL735" s="581"/>
      <c r="EM735" s="581"/>
      <c r="EN735" s="581"/>
      <c r="EO735" s="581"/>
      <c r="EP735" s="581"/>
      <c r="JM735"/>
    </row>
    <row r="736" spans="1:273" s="328" customFormat="1">
      <c r="A736" s="323"/>
      <c r="B736" s="581"/>
      <c r="AN736" s="581"/>
      <c r="AO736" s="581"/>
      <c r="AP736" s="581"/>
      <c r="AQ736" s="581"/>
      <c r="AR736" s="1007"/>
      <c r="AS736" s="817"/>
      <c r="AT736" s="768"/>
      <c r="AU736" s="768"/>
      <c r="AV736" s="817"/>
      <c r="AW736" s="817"/>
      <c r="AX736" s="768"/>
      <c r="AY736" s="768"/>
      <c r="AZ736" s="817"/>
      <c r="BA736" s="817"/>
      <c r="BB736" s="581"/>
      <c r="BC736" s="581"/>
      <c r="BD736" s="817"/>
      <c r="BE736" s="817"/>
      <c r="BF736" s="581"/>
      <c r="BG736" s="581"/>
      <c r="BH736" s="817"/>
      <c r="BI736" s="817"/>
      <c r="BJ736" s="581"/>
      <c r="BK736" s="581"/>
      <c r="BL736" s="817"/>
      <c r="BM736" s="817"/>
      <c r="BN736" s="581"/>
      <c r="BO736" s="581"/>
      <c r="BP736" s="817"/>
      <c r="BQ736" s="817"/>
      <c r="BR736" s="581"/>
      <c r="BS736" s="581"/>
      <c r="BT736" s="817"/>
      <c r="BU736" s="817"/>
      <c r="BV736" s="581"/>
      <c r="BW736" s="581"/>
      <c r="BX736" s="817"/>
      <c r="BY736" s="817"/>
      <c r="BZ736" s="581"/>
      <c r="CA736" s="581"/>
      <c r="CB736" s="817"/>
      <c r="CC736" s="817"/>
      <c r="CD736" s="581"/>
      <c r="CE736" s="581"/>
      <c r="CF736" s="817"/>
      <c r="CG736" s="817"/>
      <c r="CH736" s="581"/>
      <c r="CI736" s="581"/>
      <c r="CJ736" s="817"/>
      <c r="CK736" s="817"/>
      <c r="CL736" s="581"/>
      <c r="CM736" s="581"/>
      <c r="CN736" s="817"/>
      <c r="CO736" s="817"/>
      <c r="CP736" s="581"/>
      <c r="CQ736" s="581"/>
      <c r="CR736" s="817"/>
      <c r="CS736" s="817"/>
      <c r="CT736" s="581"/>
      <c r="CU736" s="581"/>
      <c r="CV736" s="817"/>
      <c r="CW736" s="817"/>
      <c r="CX736" s="581"/>
      <c r="CY736" s="581"/>
      <c r="CZ736" s="817"/>
      <c r="DA736" s="817"/>
      <c r="DB736" s="581"/>
      <c r="DC736" s="581"/>
      <c r="DD736" s="817"/>
      <c r="DE736" s="817"/>
      <c r="DF736" s="581"/>
      <c r="DG736" s="581"/>
      <c r="DH736" s="817"/>
      <c r="DI736" s="817"/>
      <c r="DJ736" s="581"/>
      <c r="DK736" s="581"/>
      <c r="DL736" s="817"/>
      <c r="DM736" s="817"/>
      <c r="DN736" s="581"/>
      <c r="DO736" s="581"/>
      <c r="DP736" s="817"/>
      <c r="DQ736" s="817"/>
      <c r="DR736" s="581"/>
      <c r="DS736" s="581"/>
      <c r="DT736" s="581"/>
      <c r="DU736" s="817"/>
      <c r="DV736" s="817"/>
      <c r="DW736" s="817"/>
      <c r="DX736" s="581"/>
      <c r="DY736" s="581"/>
      <c r="DZ736" s="817"/>
      <c r="EA736" s="817"/>
      <c r="EB736" s="581"/>
      <c r="EC736" s="581"/>
      <c r="ED736" s="817"/>
      <c r="EE736" s="817"/>
      <c r="EF736" s="581"/>
      <c r="EG736" s="581"/>
      <c r="EH736" s="581"/>
      <c r="EI736" s="581"/>
      <c r="EJ736" s="581"/>
      <c r="EK736" s="581"/>
      <c r="EL736" s="581"/>
      <c r="EM736" s="581"/>
      <c r="EN736" s="581"/>
      <c r="EO736" s="581"/>
      <c r="EP736" s="581"/>
      <c r="JM736"/>
    </row>
    <row r="737" spans="1:273" s="328" customFormat="1">
      <c r="A737" s="815" t="s">
        <v>1293</v>
      </c>
      <c r="B737" s="581"/>
      <c r="AN737" s="581"/>
      <c r="AO737" s="581"/>
      <c r="AP737" s="581"/>
      <c r="AQ737" s="581"/>
      <c r="AR737" s="1007"/>
      <c r="AS737" s="817"/>
      <c r="AT737" s="768"/>
      <c r="AU737" s="768"/>
      <c r="AV737" s="817"/>
      <c r="AW737" s="817"/>
      <c r="AX737" s="768"/>
      <c r="AY737" s="768"/>
      <c r="AZ737" s="817"/>
      <c r="BA737" s="817"/>
      <c r="BB737" s="581"/>
      <c r="BC737" s="581"/>
      <c r="BD737" s="817"/>
      <c r="BE737" s="817"/>
      <c r="BF737" s="581"/>
      <c r="BG737" s="581"/>
      <c r="BH737" s="817"/>
      <c r="BI737" s="817"/>
      <c r="BJ737" s="581"/>
      <c r="BK737" s="581"/>
      <c r="BL737" s="817"/>
      <c r="BM737" s="817"/>
      <c r="BN737" s="581"/>
      <c r="BO737" s="581"/>
      <c r="BP737" s="817"/>
      <c r="BQ737" s="817"/>
      <c r="BR737" s="581"/>
      <c r="BS737" s="581"/>
      <c r="BT737" s="817"/>
      <c r="BU737" s="817"/>
      <c r="BV737" s="581"/>
      <c r="BW737" s="581"/>
      <c r="BX737" s="817"/>
      <c r="BY737" s="817"/>
      <c r="BZ737" s="581"/>
      <c r="CA737" s="581"/>
      <c r="CB737" s="817"/>
      <c r="CC737" s="817"/>
      <c r="CD737" s="581"/>
      <c r="CE737" s="581"/>
      <c r="CF737" s="817"/>
      <c r="CG737" s="817"/>
      <c r="CH737" s="581"/>
      <c r="CI737" s="581"/>
      <c r="CJ737" s="817"/>
      <c r="CK737" s="817"/>
      <c r="CL737" s="581"/>
      <c r="CM737" s="581"/>
      <c r="CN737" s="817"/>
      <c r="CO737" s="817"/>
      <c r="CP737" s="581"/>
      <c r="CQ737" s="581"/>
      <c r="CR737" s="817"/>
      <c r="CS737" s="817"/>
      <c r="CT737" s="581"/>
      <c r="CU737" s="581"/>
      <c r="CV737" s="817"/>
      <c r="CW737" s="817"/>
      <c r="CX737" s="581"/>
      <c r="CY737" s="581"/>
      <c r="CZ737" s="817"/>
      <c r="DA737" s="817"/>
      <c r="DB737" s="581"/>
      <c r="DC737" s="581"/>
      <c r="DD737" s="817"/>
      <c r="DE737" s="817"/>
      <c r="DF737" s="581"/>
      <c r="DG737" s="581"/>
      <c r="DH737" s="817"/>
      <c r="DI737" s="817"/>
      <c r="DJ737" s="581"/>
      <c r="DK737" s="581"/>
      <c r="DL737" s="817"/>
      <c r="DM737" s="817"/>
      <c r="DN737" s="581"/>
      <c r="DO737" s="581"/>
      <c r="DP737" s="817"/>
      <c r="DQ737" s="817"/>
      <c r="DR737" s="581"/>
      <c r="DS737" s="581"/>
      <c r="DT737" s="581"/>
      <c r="DU737" s="817"/>
      <c r="DV737" s="817"/>
      <c r="DW737" s="817"/>
      <c r="DX737" s="581"/>
      <c r="DY737" s="581"/>
      <c r="DZ737" s="817"/>
      <c r="EA737" s="817"/>
      <c r="EB737" s="581"/>
      <c r="EC737" s="581"/>
      <c r="ED737" s="817"/>
      <c r="EE737" s="817"/>
      <c r="EF737" s="581"/>
      <c r="EG737" s="581"/>
      <c r="EH737" s="581"/>
      <c r="EI737" s="581"/>
      <c r="EJ737" s="581"/>
      <c r="EK737" s="581"/>
      <c r="EL737" s="581"/>
      <c r="EM737" s="581"/>
      <c r="EN737" s="581"/>
      <c r="EO737" s="581"/>
      <c r="EP737" s="581"/>
      <c r="JM737"/>
    </row>
    <row r="738" spans="1:273" s="328" customFormat="1">
      <c r="A738" s="102" t="s">
        <v>685</v>
      </c>
      <c r="B738" s="581"/>
      <c r="AN738" s="581"/>
      <c r="AO738" s="581"/>
      <c r="AP738" s="581"/>
      <c r="AQ738" s="581"/>
      <c r="AR738" s="1007"/>
      <c r="AS738" s="817"/>
      <c r="AT738" s="768"/>
      <c r="AU738" s="768"/>
      <c r="AV738" s="817"/>
      <c r="AW738" s="817"/>
      <c r="AX738" s="768"/>
      <c r="AY738" s="768"/>
      <c r="AZ738" s="817"/>
      <c r="BA738" s="817"/>
      <c r="BB738" s="581"/>
      <c r="BC738" s="581"/>
      <c r="BD738" s="817"/>
      <c r="BE738" s="817"/>
      <c r="BF738" s="581"/>
      <c r="BG738" s="581"/>
      <c r="BK738" s="581"/>
      <c r="BL738" s="817"/>
      <c r="BM738" s="817"/>
      <c r="BN738" s="581"/>
      <c r="BO738" s="581"/>
      <c r="BP738" s="817"/>
      <c r="BQ738" s="817"/>
      <c r="BR738" s="581"/>
      <c r="BS738" s="581"/>
      <c r="BT738" s="817"/>
      <c r="BU738" s="817"/>
      <c r="BV738" s="581"/>
      <c r="BW738" s="581"/>
      <c r="BX738" s="817"/>
      <c r="BY738" s="817"/>
      <c r="BZ738" s="581"/>
      <c r="CA738" s="581"/>
      <c r="CB738" s="817"/>
      <c r="CC738" s="817"/>
      <c r="CD738" s="581"/>
      <c r="CE738" s="581"/>
      <c r="CF738" s="817"/>
      <c r="CG738" s="817"/>
      <c r="CH738" s="581"/>
      <c r="CI738" s="581"/>
      <c r="CJ738" s="817"/>
      <c r="CK738" s="817"/>
      <c r="CL738" s="581"/>
      <c r="CM738" s="581"/>
      <c r="CN738" s="817"/>
      <c r="CO738" s="817"/>
      <c r="CP738" s="581"/>
      <c r="CQ738" s="581"/>
      <c r="CR738" s="817"/>
      <c r="CS738" s="817"/>
      <c r="CT738" s="581"/>
      <c r="CU738" s="581"/>
      <c r="CV738" s="817"/>
      <c r="CW738" s="817"/>
      <c r="CX738" s="581"/>
      <c r="CY738" s="581"/>
      <c r="CZ738" s="817"/>
      <c r="DA738" s="817"/>
      <c r="DB738" s="581"/>
      <c r="DC738" s="581"/>
      <c r="DD738" s="817"/>
      <c r="DE738" s="817"/>
      <c r="DF738" s="581"/>
      <c r="DG738" s="581"/>
      <c r="DH738" s="817"/>
      <c r="DI738" s="817"/>
      <c r="DJ738" s="581"/>
      <c r="DK738" s="581"/>
      <c r="DL738" s="817"/>
      <c r="DM738" s="817"/>
      <c r="DN738" s="581"/>
      <c r="DO738" s="581"/>
      <c r="DP738" s="817"/>
      <c r="DQ738" s="817"/>
      <c r="DR738" s="581"/>
      <c r="DS738" s="581"/>
      <c r="DT738" s="581"/>
      <c r="DU738" s="817"/>
      <c r="DV738" s="817"/>
      <c r="DW738" s="817"/>
      <c r="DX738" s="581"/>
      <c r="DY738" s="581"/>
      <c r="DZ738" s="817"/>
      <c r="EA738" s="817"/>
      <c r="EB738" s="581"/>
      <c r="EC738" s="581"/>
      <c r="ED738" s="817"/>
      <c r="EE738" s="817"/>
      <c r="EF738" s="581"/>
      <c r="EG738" s="581"/>
      <c r="EH738" s="581"/>
      <c r="EI738" s="581"/>
      <c r="EJ738" s="581"/>
      <c r="EK738" s="581"/>
      <c r="EL738" s="581"/>
      <c r="EM738" s="581"/>
      <c r="EN738" s="581"/>
      <c r="EO738" s="581"/>
      <c r="EP738" s="581"/>
      <c r="JM738"/>
    </row>
    <row r="739" spans="1:273" s="328" customFormat="1">
      <c r="A739" s="102" t="s">
        <v>686</v>
      </c>
      <c r="B739" s="581"/>
      <c r="AN739" s="581"/>
      <c r="AO739" s="581"/>
      <c r="AP739" s="581"/>
      <c r="AQ739" s="581"/>
      <c r="AR739" s="293">
        <f t="shared" ref="AR739:AR747" si="781">+AVERAGE(AR712,AO712)</f>
        <v>2333</v>
      </c>
      <c r="AS739" s="293">
        <f t="shared" ref="AS739" si="782">+AVERAGE(AR712:AS712)</f>
        <v>2117</v>
      </c>
      <c r="AT739" s="293">
        <f t="shared" ref="AT739:AT747" si="783">+AVERAGE(AR739:AS739)</f>
        <v>2225</v>
      </c>
      <c r="AU739" s="581"/>
      <c r="AV739" s="293">
        <f t="shared" ref="AV739:AV747" si="784">+AVERAGE(AV712,AS712)</f>
        <v>1794</v>
      </c>
      <c r="AW739" s="293">
        <f t="shared" ref="AW739" si="785">+AVERAGE(AV712:AW712)</f>
        <v>1659.5</v>
      </c>
      <c r="AX739" s="293">
        <f t="shared" ref="AX739:AX747" si="786">+AVERAGE(AV739:AW739)</f>
        <v>1726.75</v>
      </c>
      <c r="AY739" s="581"/>
      <c r="AZ739" s="293">
        <f t="shared" ref="AZ739:AZ747" si="787">+AVERAGE(AZ712,AW712)</f>
        <v>1551.5</v>
      </c>
      <c r="BA739" s="293">
        <f t="shared" ref="BA739" si="788">+AVERAGE(AZ712:BA712)</f>
        <v>1434</v>
      </c>
      <c r="BB739" s="293">
        <f t="shared" ref="BB739:BB747" si="789">+AVERAGE(AZ739:BA739)</f>
        <v>1492.75</v>
      </c>
      <c r="BC739" s="581"/>
      <c r="BD739" s="293">
        <f t="shared" ref="BD739:BD747" si="790">+AVERAGE(BD712,BA712)</f>
        <v>1369</v>
      </c>
      <c r="BE739" s="293">
        <f t="shared" ref="BE739" si="791">+AVERAGE(BD712:BE712)</f>
        <v>1278</v>
      </c>
      <c r="BF739" s="293">
        <f t="shared" ref="BF739:BF747" si="792">+AVERAGE(BD739:BE739)</f>
        <v>1323.5</v>
      </c>
      <c r="BG739" s="581"/>
      <c r="BH739" s="293">
        <f t="shared" ref="BH739:BH747" si="793">+AVERAGE(BH712,BE712)</f>
        <v>1164.5</v>
      </c>
      <c r="BI739" s="293">
        <f t="shared" ref="BI739:BI747" si="794">+AVERAGE(BH712:BI712)</f>
        <v>1109.5</v>
      </c>
      <c r="BJ739" s="293">
        <f>+AVERAGE(BH739:BI739)</f>
        <v>1137</v>
      </c>
      <c r="BK739" s="581"/>
      <c r="BL739" s="293">
        <f t="shared" ref="BL739:BL747" si="795">+AVERAGE(BL712,BI712)</f>
        <v>1111</v>
      </c>
      <c r="BM739" s="293">
        <f t="shared" ref="BM739" si="796">+AVERAGE(BL712:BM712)</f>
        <v>1129</v>
      </c>
      <c r="BN739" s="293">
        <f t="shared" ref="BN739:BN747" si="797">+AVERAGE(BL739:BM739)</f>
        <v>1120</v>
      </c>
      <c r="BO739" s="581"/>
      <c r="BP739" s="293">
        <f t="shared" ref="BP739:BP747" si="798">+AVERAGE(BP712,BM712)</f>
        <v>1140</v>
      </c>
      <c r="BQ739" s="293">
        <f t="shared" ref="BQ739" si="799">+AVERAGE(BP712:BQ712)</f>
        <v>1170.5</v>
      </c>
      <c r="BR739" s="293">
        <f t="shared" ref="BR739:BR747" si="800">+AVERAGE(BP739:BQ739)</f>
        <v>1155.25</v>
      </c>
      <c r="BS739" s="581"/>
      <c r="BT739" s="293">
        <f t="shared" ref="BT739:BT747" si="801">+AVERAGE(BT712,BQ712)</f>
        <v>1179.5</v>
      </c>
      <c r="BU739" s="293">
        <f t="shared" ref="BU739" si="802">+AVERAGE(BT712:BU712)</f>
        <v>1185</v>
      </c>
      <c r="BV739" s="293">
        <f t="shared" ref="BV739:BV747" si="803">+AVERAGE(BT739:BU739)</f>
        <v>1182.25</v>
      </c>
      <c r="BW739" s="581"/>
      <c r="BX739" s="293">
        <f t="shared" ref="BX739:BX747" si="804">+AVERAGE(BX712,BU712)</f>
        <v>1181</v>
      </c>
      <c r="BY739" s="293">
        <f t="shared" ref="BY739" si="805">+AVERAGE(BX712:BY712)</f>
        <v>1142.5</v>
      </c>
      <c r="BZ739" s="293">
        <f t="shared" ref="BZ739:BZ747" si="806">+AVERAGE(BX739:BY739)</f>
        <v>1161.75</v>
      </c>
      <c r="CA739" s="581"/>
      <c r="CB739" s="293">
        <f t="shared" ref="CB739:CB747" si="807">+AVERAGE(CB712,BY712)</f>
        <v>1116.5</v>
      </c>
      <c r="CC739" s="293">
        <f t="shared" ref="CC739" si="808">+AVERAGE(CB712:CC712)</f>
        <v>1105.5</v>
      </c>
      <c r="CD739" s="293">
        <f t="shared" ref="CD739:CD747" si="809">+AVERAGE(CB739:CC739)</f>
        <v>1111</v>
      </c>
      <c r="CE739" s="581"/>
      <c r="CF739" s="293">
        <f t="shared" ref="CF739:CF746" si="810">+AVERAGE(CF712,CC712)</f>
        <v>1198</v>
      </c>
      <c r="CG739" s="293">
        <f t="shared" ref="CG739" si="811">+AVERAGE(CF712:CG712)</f>
        <v>1325.5</v>
      </c>
      <c r="CH739" s="293">
        <f t="shared" ref="CH739:CH747" si="812">+AVERAGE(CF739:CG739)</f>
        <v>1261.75</v>
      </c>
      <c r="CI739" s="581"/>
      <c r="CJ739" s="293">
        <f t="shared" ref="CJ739:CJ747" si="813">+AVERAGE(CJ712,CG712)</f>
        <v>1749.5</v>
      </c>
      <c r="CK739" s="293">
        <f t="shared" ref="CK739" si="814">+AVERAGE(CJ712:CK712)</f>
        <v>2088.5</v>
      </c>
      <c r="CL739" s="293">
        <f t="shared" ref="CL739:CL747" si="815">+AVERAGE(CJ739:CK739)</f>
        <v>1919</v>
      </c>
      <c r="CM739" s="581"/>
      <c r="CN739" s="293">
        <f t="shared" ref="CN739:CN747" si="816">+AVERAGE(CN712,CK712)</f>
        <v>2019.5</v>
      </c>
      <c r="CO739" s="293">
        <f t="shared" ref="CO739" si="817">+AVERAGE(CN712:CO712)</f>
        <v>1906.5</v>
      </c>
      <c r="CP739" s="293">
        <f t="shared" ref="CP739:CP747" si="818">+AVERAGE(CN739:CO739)</f>
        <v>1963</v>
      </c>
      <c r="CQ739" s="581"/>
      <c r="CR739" s="293">
        <f t="shared" ref="CR739:CR747" si="819">+AVERAGE(CR712,CO712)</f>
        <v>1826</v>
      </c>
      <c r="CS739" s="293">
        <f t="shared" ref="CS739" si="820">+AVERAGE(CR712:CS712)</f>
        <v>1837</v>
      </c>
      <c r="CT739" s="293">
        <f t="shared" ref="CT739:CT747" si="821">+AVERAGE(CR739:CS739)</f>
        <v>1831.5</v>
      </c>
      <c r="CU739" s="581"/>
      <c r="CV739" s="293">
        <f t="shared" ref="CV739:CV747" si="822">+AVERAGE(CV712,CS712)</f>
        <v>1734</v>
      </c>
      <c r="CW739" s="293">
        <f t="shared" ref="CW739:CW747" si="823">+AVERAGE(CV712:CW712)</f>
        <v>1627.5</v>
      </c>
      <c r="CX739" s="293">
        <f t="shared" ref="CX739:CX747" si="824">+AVERAGE(CV739:CW739)</f>
        <v>1680.75</v>
      </c>
      <c r="CY739" s="581"/>
      <c r="CZ739" s="293">
        <f t="shared" ref="CZ739:CZ747" si="825">+AVERAGE(CZ712,CW712)</f>
        <v>1634</v>
      </c>
      <c r="DA739" s="293">
        <f t="shared" ref="DA739:DA747" si="826">+AVERAGE(CZ712:DA712)</f>
        <v>1618.5</v>
      </c>
      <c r="DB739" s="293">
        <f t="shared" ref="DB739:DB747" si="827">+AVERAGE(CZ739:DA739)</f>
        <v>1626.25</v>
      </c>
      <c r="DC739" s="581"/>
      <c r="DD739" s="293">
        <f t="shared" ref="DD739:DD747" si="828">+AVERAGE(DD712,DA712)</f>
        <v>1583.5</v>
      </c>
      <c r="DE739" s="293">
        <f t="shared" ref="DE739:DE747" si="829">+AVERAGE(DD712:DE712)</f>
        <v>1540</v>
      </c>
      <c r="DF739" s="293">
        <f t="shared" ref="DF739:DF747" si="830">+AVERAGE(DD739:DE739)</f>
        <v>1561.75</v>
      </c>
      <c r="DG739" s="581"/>
      <c r="DH739" s="293">
        <f t="shared" ref="DH739:DH747" si="831">+AVERAGE(DH712,DE712)</f>
        <v>1482</v>
      </c>
      <c r="DI739" s="293">
        <f t="shared" ref="DI739:DI747" si="832">+AVERAGE(DH712:DI712)</f>
        <v>1466.52</v>
      </c>
      <c r="DJ739" s="293">
        <f t="shared" ref="DJ739:DJ747" si="833">+AVERAGE(DH739:DI739)</f>
        <v>1474.26</v>
      </c>
      <c r="DK739" s="581"/>
      <c r="DL739" s="293">
        <f t="shared" ref="DL739:DL747" si="834">+AVERAGE(DL712,DI712)</f>
        <v>1495.8503999999998</v>
      </c>
      <c r="DM739" s="293">
        <f t="shared" ref="DM739:DM747" si="835">+AVERAGE(DL712:DM712)</f>
        <v>1525.7674079999999</v>
      </c>
      <c r="DN739" s="293">
        <f t="shared" ref="DN739:DN747" si="836">+AVERAGE(DL739:DM739)</f>
        <v>1510.808904</v>
      </c>
      <c r="DO739" s="581"/>
      <c r="DP739" s="293">
        <f t="shared" ref="DP739:DP747" si="837">+AVERAGE(DP712,DM712)</f>
        <v>1556.28275616</v>
      </c>
      <c r="DQ739" s="293">
        <f t="shared" ref="DQ739:DQ747" si="838">+AVERAGE(DP712:DQ712)</f>
        <v>1587.4084112831999</v>
      </c>
      <c r="DR739" s="293">
        <f t="shared" ref="DR739:DR747" si="839">+AVERAGE(DP739:DQ739)</f>
        <v>1571.8455837216</v>
      </c>
      <c r="DS739" s="581"/>
      <c r="DT739" s="581"/>
      <c r="DU739" s="817"/>
      <c r="DV739" s="817"/>
      <c r="DW739" s="817"/>
      <c r="DX739" s="581"/>
      <c r="DY739" s="581"/>
      <c r="DZ739" s="817"/>
      <c r="EA739" s="817"/>
      <c r="EB739" s="581"/>
      <c r="EC739" s="581"/>
      <c r="ED739" s="817"/>
      <c r="EE739" s="817"/>
      <c r="EF739" s="581"/>
      <c r="EG739" s="581"/>
      <c r="EH739" s="581"/>
      <c r="EI739" s="581"/>
      <c r="EJ739" s="581"/>
      <c r="EK739" s="581"/>
      <c r="EL739" s="581"/>
      <c r="EM739" s="581"/>
      <c r="EN739" s="581"/>
      <c r="EO739" s="581"/>
      <c r="EP739" s="581"/>
      <c r="JM739"/>
    </row>
    <row r="740" spans="1:273" s="328" customFormat="1">
      <c r="A740" s="102" t="s">
        <v>616</v>
      </c>
      <c r="B740" s="581"/>
      <c r="AN740" s="581"/>
      <c r="AO740" s="581"/>
      <c r="AP740" s="581"/>
      <c r="AQ740" s="581"/>
      <c r="AR740" s="293">
        <f t="shared" si="781"/>
        <v>1288</v>
      </c>
      <c r="AS740" s="293">
        <f t="shared" ref="AS740" si="840">+AVERAGE(AR713:AS713)</f>
        <v>1293.5</v>
      </c>
      <c r="AT740" s="293">
        <f t="shared" si="783"/>
        <v>1290.75</v>
      </c>
      <c r="AU740" s="581"/>
      <c r="AV740" s="293">
        <f t="shared" si="784"/>
        <v>1288</v>
      </c>
      <c r="AW740" s="293">
        <f t="shared" ref="AW740" si="841">+AVERAGE(AV713:AW713)</f>
        <v>1443.5</v>
      </c>
      <c r="AX740" s="293">
        <f t="shared" si="786"/>
        <v>1365.75</v>
      </c>
      <c r="AY740" s="581"/>
      <c r="AZ740" s="293">
        <f t="shared" si="787"/>
        <v>1567.5</v>
      </c>
      <c r="BA740" s="293">
        <f t="shared" ref="BA740" si="842">+AVERAGE(AZ713:BA713)</f>
        <v>1491</v>
      </c>
      <c r="BB740" s="293">
        <f t="shared" si="789"/>
        <v>1529.25</v>
      </c>
      <c r="BC740" s="581"/>
      <c r="BD740" s="293">
        <f t="shared" si="790"/>
        <v>1438.5</v>
      </c>
      <c r="BE740" s="293">
        <f t="shared" ref="BE740" si="843">+AVERAGE(BD713:BE713)</f>
        <v>1419</v>
      </c>
      <c r="BF740" s="293">
        <f t="shared" si="792"/>
        <v>1428.75</v>
      </c>
      <c r="BG740" s="581"/>
      <c r="BH740" s="293">
        <f t="shared" si="793"/>
        <v>1421.5</v>
      </c>
      <c r="BI740" s="293">
        <f t="shared" si="794"/>
        <v>1448.5</v>
      </c>
      <c r="BJ740" s="293">
        <f t="shared" ref="BJ740:BJ747" si="844">+AVERAGE(BH740:BI740)</f>
        <v>1435</v>
      </c>
      <c r="BK740" s="581"/>
      <c r="BL740" s="293">
        <f t="shared" si="795"/>
        <v>1458.5</v>
      </c>
      <c r="BM740" s="293">
        <f t="shared" ref="BM740" si="845">+AVERAGE(BL713:BM713)</f>
        <v>1477.5</v>
      </c>
      <c r="BN740" s="293">
        <f t="shared" si="797"/>
        <v>1468</v>
      </c>
      <c r="BO740" s="581"/>
      <c r="BP740" s="293">
        <f t="shared" si="798"/>
        <v>1501</v>
      </c>
      <c r="BQ740" s="293">
        <f t="shared" ref="BQ740" si="846">+AVERAGE(BP713:BQ713)</f>
        <v>1490</v>
      </c>
      <c r="BR740" s="293">
        <f t="shared" si="800"/>
        <v>1495.5</v>
      </c>
      <c r="BS740" s="581"/>
      <c r="BT740" s="293">
        <f t="shared" si="801"/>
        <v>1484</v>
      </c>
      <c r="BU740" s="293">
        <f t="shared" ref="BU740" si="847">+AVERAGE(BT713:BU713)</f>
        <v>1489</v>
      </c>
      <c r="BV740" s="293">
        <f t="shared" si="803"/>
        <v>1486.5</v>
      </c>
      <c r="BW740" s="581"/>
      <c r="BX740" s="293">
        <f t="shared" si="804"/>
        <v>1507.5</v>
      </c>
      <c r="BY740" s="293">
        <f t="shared" ref="BY740" si="848">+AVERAGE(BX713:BY713)</f>
        <v>1538</v>
      </c>
      <c r="BZ740" s="293">
        <f t="shared" si="806"/>
        <v>1522.75</v>
      </c>
      <c r="CA740" s="581"/>
      <c r="CB740" s="293">
        <f t="shared" si="807"/>
        <v>1547</v>
      </c>
      <c r="CC740" s="293">
        <f t="shared" ref="CC740" si="849">+AVERAGE(CB713:CC713)</f>
        <v>1547</v>
      </c>
      <c r="CD740" s="293">
        <f t="shared" si="809"/>
        <v>1547</v>
      </c>
      <c r="CE740" s="581"/>
      <c r="CF740" s="293">
        <f t="shared" si="810"/>
        <v>1722.5</v>
      </c>
      <c r="CG740" s="293">
        <f t="shared" ref="CG740" si="850">+AVERAGE(CF713:CG713)</f>
        <v>1893</v>
      </c>
      <c r="CH740" s="293">
        <f t="shared" si="812"/>
        <v>1807.75</v>
      </c>
      <c r="CI740" s="581"/>
      <c r="CJ740" s="293">
        <f t="shared" si="813"/>
        <v>1844.5</v>
      </c>
      <c r="CK740" s="293">
        <f t="shared" ref="CK740" si="851">+AVERAGE(CJ713:CK713)</f>
        <v>1844</v>
      </c>
      <c r="CL740" s="293">
        <f t="shared" si="815"/>
        <v>1844.25</v>
      </c>
      <c r="CM740" s="581"/>
      <c r="CN740" s="293">
        <f t="shared" si="816"/>
        <v>1901.5</v>
      </c>
      <c r="CO740" s="293">
        <f t="shared" ref="CO740" si="852">+AVERAGE(CN713:CO713)</f>
        <v>1912.5</v>
      </c>
      <c r="CP740" s="293">
        <f t="shared" si="818"/>
        <v>1907</v>
      </c>
      <c r="CQ740" s="581"/>
      <c r="CR740" s="293">
        <f t="shared" si="819"/>
        <v>2137.5</v>
      </c>
      <c r="CS740" s="293">
        <f t="shared" ref="CS740" si="853">+AVERAGE(CR713:CS713)</f>
        <v>2376.5</v>
      </c>
      <c r="CT740" s="293">
        <f t="shared" si="821"/>
        <v>2257</v>
      </c>
      <c r="CU740" s="581"/>
      <c r="CV740" s="293">
        <f t="shared" si="822"/>
        <v>2503</v>
      </c>
      <c r="CW740" s="293">
        <f t="shared" si="823"/>
        <v>2558</v>
      </c>
      <c r="CX740" s="293">
        <f t="shared" si="824"/>
        <v>2530.5</v>
      </c>
      <c r="CY740" s="581"/>
      <c r="CZ740" s="293">
        <f t="shared" si="825"/>
        <v>2528.5</v>
      </c>
      <c r="DA740" s="293">
        <f t="shared" si="826"/>
        <v>2510.5</v>
      </c>
      <c r="DB740" s="293">
        <f t="shared" si="827"/>
        <v>2519.5</v>
      </c>
      <c r="DC740" s="581"/>
      <c r="DD740" s="293">
        <f t="shared" si="828"/>
        <v>2461</v>
      </c>
      <c r="DE740" s="293">
        <f t="shared" si="829"/>
        <v>2335</v>
      </c>
      <c r="DF740" s="293">
        <f t="shared" si="830"/>
        <v>2398</v>
      </c>
      <c r="DG740" s="581"/>
      <c r="DH740" s="293">
        <f t="shared" si="831"/>
        <v>2250</v>
      </c>
      <c r="DI740" s="293">
        <f t="shared" si="832"/>
        <v>2301.79</v>
      </c>
      <c r="DJ740" s="293">
        <f t="shared" si="833"/>
        <v>2275.895</v>
      </c>
      <c r="DK740" s="581"/>
      <c r="DL740" s="293">
        <f t="shared" si="834"/>
        <v>2347.8257999999996</v>
      </c>
      <c r="DM740" s="293">
        <f t="shared" si="835"/>
        <v>2394.7823159999998</v>
      </c>
      <c r="DN740" s="293">
        <f t="shared" si="836"/>
        <v>2371.3040579999997</v>
      </c>
      <c r="DO740" s="581"/>
      <c r="DP740" s="293">
        <f t="shared" si="837"/>
        <v>2442.67796232</v>
      </c>
      <c r="DQ740" s="293">
        <f t="shared" si="838"/>
        <v>2491.5315215663995</v>
      </c>
      <c r="DR740" s="293">
        <f t="shared" si="839"/>
        <v>2467.1047419431998</v>
      </c>
      <c r="DS740" s="581"/>
      <c r="DT740" s="581"/>
      <c r="DU740" s="817"/>
      <c r="DV740" s="817"/>
      <c r="DW740" s="817"/>
      <c r="DX740" s="581"/>
      <c r="DY740" s="581"/>
      <c r="DZ740" s="817"/>
      <c r="EA740" s="817"/>
      <c r="EB740" s="581"/>
      <c r="EC740" s="581"/>
      <c r="ED740" s="817"/>
      <c r="EE740" s="817"/>
      <c r="EF740" s="581"/>
      <c r="EG740" s="581"/>
      <c r="EH740" s="581"/>
      <c r="EI740" s="581"/>
      <c r="EJ740" s="581"/>
      <c r="EK740" s="581"/>
      <c r="EL740" s="581"/>
      <c r="EM740" s="581"/>
      <c r="EN740" s="581"/>
      <c r="EO740" s="581"/>
      <c r="EP740" s="581"/>
      <c r="JM740"/>
    </row>
    <row r="741" spans="1:273" s="328" customFormat="1">
      <c r="A741" s="102" t="s">
        <v>1024</v>
      </c>
      <c r="B741" s="581"/>
      <c r="AN741" s="581"/>
      <c r="AO741" s="581"/>
      <c r="AP741" s="581"/>
      <c r="AQ741" s="581"/>
      <c r="AR741" s="293">
        <f t="shared" si="781"/>
        <v>2454</v>
      </c>
      <c r="AS741" s="293">
        <f t="shared" ref="AS741" si="854">+AVERAGE(AR714:AS714)</f>
        <v>2337</v>
      </c>
      <c r="AT741" s="293">
        <f t="shared" si="783"/>
        <v>2395.5</v>
      </c>
      <c r="AU741" s="581"/>
      <c r="AV741" s="293">
        <f t="shared" si="784"/>
        <v>2264</v>
      </c>
      <c r="AW741" s="293">
        <f t="shared" ref="AW741" si="855">+AVERAGE(AV714:AW714)</f>
        <v>2432.5</v>
      </c>
      <c r="AX741" s="293">
        <f t="shared" si="786"/>
        <v>2348.25</v>
      </c>
      <c r="AY741" s="581"/>
      <c r="AZ741" s="293">
        <f t="shared" si="787"/>
        <v>2622</v>
      </c>
      <c r="BA741" s="293">
        <f t="shared" ref="BA741" si="856">+AVERAGE(AZ714:BA714)</f>
        <v>2717.5</v>
      </c>
      <c r="BB741" s="293">
        <f t="shared" si="789"/>
        <v>2669.75</v>
      </c>
      <c r="BC741" s="581"/>
      <c r="BD741" s="293">
        <f t="shared" si="790"/>
        <v>2504.5</v>
      </c>
      <c r="BE741" s="293">
        <f t="shared" ref="BE741" si="857">+AVERAGE(BD714:BE714)</f>
        <v>2198.5</v>
      </c>
      <c r="BF741" s="293">
        <f t="shared" si="792"/>
        <v>2351.5</v>
      </c>
      <c r="BG741" s="581"/>
      <c r="BH741" s="293">
        <f t="shared" si="793"/>
        <v>2061</v>
      </c>
      <c r="BI741" s="293">
        <f t="shared" si="794"/>
        <v>1976</v>
      </c>
      <c r="BJ741" s="293">
        <f t="shared" si="844"/>
        <v>2018.5</v>
      </c>
      <c r="BK741" s="581"/>
      <c r="BL741" s="293">
        <f t="shared" si="795"/>
        <v>1968</v>
      </c>
      <c r="BM741" s="293">
        <f t="shared" ref="BM741" si="858">+AVERAGE(BL714:BM714)</f>
        <v>1982</v>
      </c>
      <c r="BN741" s="293">
        <f t="shared" si="797"/>
        <v>1975</v>
      </c>
      <c r="BO741" s="581"/>
      <c r="BP741" s="293">
        <f t="shared" si="798"/>
        <v>1983</v>
      </c>
      <c r="BQ741" s="293">
        <f t="shared" ref="BQ741" si="859">+AVERAGE(BP714:BQ714)</f>
        <v>1977</v>
      </c>
      <c r="BR741" s="293">
        <f t="shared" si="800"/>
        <v>1980</v>
      </c>
      <c r="BS741" s="581"/>
      <c r="BT741" s="293">
        <f t="shared" si="801"/>
        <v>1974</v>
      </c>
      <c r="BU741" s="293">
        <f t="shared" ref="BU741" si="860">+AVERAGE(BT714:BU714)</f>
        <v>1989</v>
      </c>
      <c r="BV741" s="293">
        <f t="shared" si="803"/>
        <v>1981.5</v>
      </c>
      <c r="BW741" s="581"/>
      <c r="BX741" s="293">
        <f t="shared" si="804"/>
        <v>1967</v>
      </c>
      <c r="BY741" s="293">
        <f t="shared" ref="BY741" si="861">+AVERAGE(BX714:BY714)</f>
        <v>1905</v>
      </c>
      <c r="BZ741" s="293">
        <f t="shared" si="806"/>
        <v>1936</v>
      </c>
      <c r="CA741" s="581"/>
      <c r="CB741" s="293">
        <f t="shared" si="807"/>
        <v>1937</v>
      </c>
      <c r="CC741" s="293">
        <f t="shared" ref="CC741" si="862">+AVERAGE(CB714:CC714)</f>
        <v>2019.5</v>
      </c>
      <c r="CD741" s="293">
        <f t="shared" si="809"/>
        <v>1978.25</v>
      </c>
      <c r="CE741" s="581"/>
      <c r="CF741" s="293">
        <f t="shared" si="810"/>
        <v>2419.5</v>
      </c>
      <c r="CG741" s="293">
        <f t="shared" ref="CG741" si="863">+AVERAGE(CF714:CG714)</f>
        <v>2826</v>
      </c>
      <c r="CH741" s="293">
        <f t="shared" si="812"/>
        <v>2622.75</v>
      </c>
      <c r="CI741" s="581"/>
      <c r="CJ741" s="293">
        <f t="shared" si="813"/>
        <v>2505.5</v>
      </c>
      <c r="CK741" s="293">
        <f t="shared" ref="CK741" si="864">+AVERAGE(CJ714:CK714)</f>
        <v>2140.5</v>
      </c>
      <c r="CL741" s="293">
        <f t="shared" si="815"/>
        <v>2323</v>
      </c>
      <c r="CM741" s="581"/>
      <c r="CN741" s="293">
        <f t="shared" si="816"/>
        <v>2151.5</v>
      </c>
      <c r="CO741" s="293">
        <f t="shared" ref="CO741" si="865">+AVERAGE(CN714:CO714)</f>
        <v>2150</v>
      </c>
      <c r="CP741" s="293">
        <f t="shared" si="818"/>
        <v>2150.75</v>
      </c>
      <c r="CQ741" s="581"/>
      <c r="CR741" s="293">
        <f t="shared" si="819"/>
        <v>2126.5</v>
      </c>
      <c r="CS741" s="293">
        <f t="shared" ref="CS741" si="866">+AVERAGE(CR714:CS714)</f>
        <v>2149.5</v>
      </c>
      <c r="CT741" s="293">
        <f t="shared" si="821"/>
        <v>2138</v>
      </c>
      <c r="CU741" s="581"/>
      <c r="CV741" s="293">
        <f t="shared" si="822"/>
        <v>2225.5</v>
      </c>
      <c r="CW741" s="293">
        <f t="shared" si="823"/>
        <v>2325</v>
      </c>
      <c r="CX741" s="293">
        <f t="shared" si="824"/>
        <v>2275.25</v>
      </c>
      <c r="CY741" s="581"/>
      <c r="CZ741" s="293">
        <f t="shared" si="825"/>
        <v>2423.5</v>
      </c>
      <c r="DA741" s="293">
        <f t="shared" si="826"/>
        <v>2496</v>
      </c>
      <c r="DB741" s="293">
        <f t="shared" si="827"/>
        <v>2459.75</v>
      </c>
      <c r="DC741" s="581"/>
      <c r="DD741" s="293">
        <f t="shared" si="828"/>
        <v>2533.5</v>
      </c>
      <c r="DE741" s="293">
        <f t="shared" si="829"/>
        <v>2541</v>
      </c>
      <c r="DF741" s="293">
        <f t="shared" si="830"/>
        <v>2537.25</v>
      </c>
      <c r="DG741" s="581"/>
      <c r="DH741" s="293">
        <f t="shared" si="831"/>
        <v>2576.5</v>
      </c>
      <c r="DI741" s="293">
        <f t="shared" si="832"/>
        <v>2641.15</v>
      </c>
      <c r="DJ741" s="293">
        <f t="shared" si="833"/>
        <v>2608.8249999999998</v>
      </c>
      <c r="DK741" s="581"/>
      <c r="DL741" s="293">
        <f t="shared" si="834"/>
        <v>2693.973</v>
      </c>
      <c r="DM741" s="293">
        <f t="shared" si="835"/>
        <v>2747.8524600000001</v>
      </c>
      <c r="DN741" s="293">
        <f t="shared" si="836"/>
        <v>2720.91273</v>
      </c>
      <c r="DO741" s="581"/>
      <c r="DP741" s="293">
        <f t="shared" si="837"/>
        <v>2802.8095092000003</v>
      </c>
      <c r="DQ741" s="293">
        <f t="shared" si="838"/>
        <v>2858.8656993840004</v>
      </c>
      <c r="DR741" s="293">
        <f t="shared" si="839"/>
        <v>2830.8376042920004</v>
      </c>
      <c r="DS741" s="581"/>
      <c r="DT741" s="581"/>
      <c r="DU741" s="817"/>
      <c r="DV741" s="817"/>
      <c r="DW741" s="817"/>
      <c r="DX741" s="581"/>
      <c r="DY741" s="581"/>
      <c r="DZ741" s="817"/>
      <c r="EA741" s="817"/>
      <c r="EB741" s="581"/>
      <c r="EC741" s="581"/>
      <c r="ED741" s="817"/>
      <c r="EE741" s="817"/>
      <c r="EF741" s="581"/>
      <c r="EG741" s="581"/>
      <c r="EH741" s="581"/>
      <c r="EI741" s="581"/>
      <c r="EJ741" s="581"/>
      <c r="EK741" s="581"/>
      <c r="EL741" s="581"/>
      <c r="EM741" s="581"/>
      <c r="EN741" s="581"/>
      <c r="EO741" s="581"/>
      <c r="EP741" s="581"/>
      <c r="JM741"/>
    </row>
    <row r="742" spans="1:273" s="328" customFormat="1">
      <c r="A742" s="102" t="s">
        <v>690</v>
      </c>
      <c r="B742" s="581"/>
      <c r="AN742" s="581"/>
      <c r="AO742" s="581"/>
      <c r="AP742" s="581"/>
      <c r="AQ742" s="581"/>
      <c r="AR742" s="293">
        <f t="shared" si="781"/>
        <v>586</v>
      </c>
      <c r="AS742" s="293">
        <f t="shared" ref="AS742" si="867">+AVERAGE(AR715:AS715)</f>
        <v>582.5</v>
      </c>
      <c r="AT742" s="293">
        <f t="shared" si="783"/>
        <v>584.25</v>
      </c>
      <c r="AU742" s="581"/>
      <c r="AV742" s="293">
        <f t="shared" si="784"/>
        <v>596.5</v>
      </c>
      <c r="AW742" s="293">
        <f t="shared" ref="AW742" si="868">+AVERAGE(AV715:AW715)</f>
        <v>665.5</v>
      </c>
      <c r="AX742" s="293">
        <f t="shared" si="786"/>
        <v>631</v>
      </c>
      <c r="AY742" s="581"/>
      <c r="AZ742" s="293">
        <f t="shared" si="787"/>
        <v>780.5</v>
      </c>
      <c r="BA742" s="293">
        <f t="shared" ref="BA742" si="869">+AVERAGE(AZ715:BA715)</f>
        <v>866</v>
      </c>
      <c r="BB742" s="293">
        <f t="shared" si="789"/>
        <v>823.25</v>
      </c>
      <c r="BC742" s="581"/>
      <c r="BD742" s="293">
        <f t="shared" si="790"/>
        <v>918</v>
      </c>
      <c r="BE742" s="293">
        <f t="shared" ref="BE742" si="870">+AVERAGE(BD715:BE715)</f>
        <v>950.5</v>
      </c>
      <c r="BF742" s="293">
        <f t="shared" si="792"/>
        <v>934.25</v>
      </c>
      <c r="BG742" s="581"/>
      <c r="BH742" s="293">
        <f t="shared" si="793"/>
        <v>940.5</v>
      </c>
      <c r="BI742" s="293">
        <f t="shared" si="794"/>
        <v>942.5</v>
      </c>
      <c r="BJ742" s="293">
        <f t="shared" si="844"/>
        <v>941.5</v>
      </c>
      <c r="BK742" s="581"/>
      <c r="BL742" s="293">
        <f t="shared" si="795"/>
        <v>966.5</v>
      </c>
      <c r="BM742" s="293">
        <f t="shared" ref="BM742" si="871">+AVERAGE(BL715:BM715)</f>
        <v>1007.5</v>
      </c>
      <c r="BN742" s="293">
        <f t="shared" si="797"/>
        <v>987</v>
      </c>
      <c r="BO742" s="581"/>
      <c r="BP742" s="293">
        <f t="shared" si="798"/>
        <v>1051</v>
      </c>
      <c r="BQ742" s="293">
        <f t="shared" ref="BQ742" si="872">+AVERAGE(BP715:BQ715)</f>
        <v>1048</v>
      </c>
      <c r="BR742" s="293">
        <f t="shared" si="800"/>
        <v>1049.5</v>
      </c>
      <c r="BS742" s="581"/>
      <c r="BT742" s="293">
        <f t="shared" si="801"/>
        <v>968</v>
      </c>
      <c r="BU742" s="293">
        <f t="shared" ref="BU742" si="873">+AVERAGE(BT715:BU715)</f>
        <v>1128</v>
      </c>
      <c r="BV742" s="293">
        <f t="shared" si="803"/>
        <v>1048</v>
      </c>
      <c r="BW742" s="581"/>
      <c r="BX742" s="293">
        <f t="shared" si="804"/>
        <v>1350</v>
      </c>
      <c r="BY742" s="293">
        <f t="shared" ref="BY742" si="874">+AVERAGE(BX715:BY715)</f>
        <v>1302.5</v>
      </c>
      <c r="BZ742" s="293">
        <f t="shared" si="806"/>
        <v>1326.25</v>
      </c>
      <c r="CA742" s="581"/>
      <c r="CB742" s="293">
        <f t="shared" si="807"/>
        <v>953</v>
      </c>
      <c r="CC742" s="293">
        <f t="shared" ref="CC742" si="875">+AVERAGE(CB715:CC715)</f>
        <v>655</v>
      </c>
      <c r="CD742" s="293">
        <f t="shared" si="809"/>
        <v>804</v>
      </c>
      <c r="CE742" s="581"/>
      <c r="CF742" s="293">
        <f t="shared" si="810"/>
        <v>331</v>
      </c>
      <c r="CG742" s="293">
        <f t="shared" ref="CG742" si="876">+AVERAGE(CF715:CG715)</f>
        <v>0</v>
      </c>
      <c r="CH742" s="293">
        <f t="shared" si="812"/>
        <v>165.5</v>
      </c>
      <c r="CI742" s="581"/>
      <c r="CJ742" s="293">
        <f t="shared" si="813"/>
        <v>0</v>
      </c>
      <c r="CK742" s="293">
        <f t="shared" ref="CK742" si="877">+AVERAGE(CJ715:CK715)</f>
        <v>0</v>
      </c>
      <c r="CL742" s="293">
        <f t="shared" si="815"/>
        <v>0</v>
      </c>
      <c r="CM742" s="581"/>
      <c r="CN742" s="293">
        <f t="shared" si="816"/>
        <v>0</v>
      </c>
      <c r="CO742" s="293">
        <f t="shared" ref="CO742" si="878">+AVERAGE(CN715:CO715)</f>
        <v>0</v>
      </c>
      <c r="CP742" s="293">
        <f t="shared" si="818"/>
        <v>0</v>
      </c>
      <c r="CQ742" s="581"/>
      <c r="CR742" s="293">
        <f t="shared" si="819"/>
        <v>0</v>
      </c>
      <c r="CS742" s="293">
        <f t="shared" ref="CS742" si="879">+AVERAGE(CR715:CS715)</f>
        <v>0</v>
      </c>
      <c r="CT742" s="293">
        <f t="shared" si="821"/>
        <v>0</v>
      </c>
      <c r="CU742" s="581"/>
      <c r="CV742" s="293">
        <f t="shared" si="822"/>
        <v>0</v>
      </c>
      <c r="CW742" s="293">
        <f t="shared" si="823"/>
        <v>0</v>
      </c>
      <c r="CX742" s="293">
        <f t="shared" si="824"/>
        <v>0</v>
      </c>
      <c r="CY742" s="581"/>
      <c r="CZ742" s="293">
        <f t="shared" si="825"/>
        <v>0</v>
      </c>
      <c r="DA742" s="293">
        <f t="shared" si="826"/>
        <v>0</v>
      </c>
      <c r="DB742" s="293">
        <f t="shared" si="827"/>
        <v>0</v>
      </c>
      <c r="DC742" s="581"/>
      <c r="DD742" s="293">
        <f t="shared" si="828"/>
        <v>0</v>
      </c>
      <c r="DE742" s="293">
        <f t="shared" si="829"/>
        <v>0</v>
      </c>
      <c r="DF742" s="293">
        <f t="shared" si="830"/>
        <v>0</v>
      </c>
      <c r="DG742" s="581"/>
      <c r="DH742" s="293">
        <f t="shared" si="831"/>
        <v>0</v>
      </c>
      <c r="DI742" s="293">
        <f t="shared" si="832"/>
        <v>0</v>
      </c>
      <c r="DJ742" s="293">
        <f t="shared" si="833"/>
        <v>0</v>
      </c>
      <c r="DK742" s="581"/>
      <c r="DL742" s="293">
        <f t="shared" si="834"/>
        <v>0</v>
      </c>
      <c r="DM742" s="293">
        <f t="shared" si="835"/>
        <v>0</v>
      </c>
      <c r="DN742" s="293">
        <f t="shared" si="836"/>
        <v>0</v>
      </c>
      <c r="DO742" s="581"/>
      <c r="DP742" s="293">
        <f t="shared" si="837"/>
        <v>0</v>
      </c>
      <c r="DQ742" s="293">
        <f t="shared" si="838"/>
        <v>0</v>
      </c>
      <c r="DR742" s="293">
        <f t="shared" si="839"/>
        <v>0</v>
      </c>
      <c r="DS742" s="581"/>
      <c r="DT742" s="581"/>
      <c r="DU742" s="817"/>
      <c r="DV742" s="817"/>
      <c r="DW742" s="817"/>
      <c r="DX742" s="581"/>
      <c r="DY742" s="581"/>
      <c r="DZ742" s="817"/>
      <c r="EA742" s="817"/>
      <c r="EB742" s="581"/>
      <c r="EC742" s="581"/>
      <c r="ED742" s="817"/>
      <c r="EE742" s="817"/>
      <c r="EF742" s="581"/>
      <c r="EG742" s="581"/>
      <c r="EH742" s="581"/>
      <c r="EI742" s="581"/>
      <c r="EJ742" s="581"/>
      <c r="EK742" s="581"/>
      <c r="EL742" s="581"/>
      <c r="EM742" s="581"/>
      <c r="EN742" s="581"/>
      <c r="EO742" s="581"/>
      <c r="EP742" s="581"/>
      <c r="JM742"/>
    </row>
    <row r="743" spans="1:273" s="328" customFormat="1">
      <c r="A743" s="102" t="s">
        <v>689</v>
      </c>
      <c r="B743" s="581"/>
      <c r="AN743" s="581"/>
      <c r="AO743" s="581"/>
      <c r="AP743" s="581"/>
      <c r="AQ743" s="581"/>
      <c r="AR743" s="293">
        <f t="shared" si="781"/>
        <v>2779</v>
      </c>
      <c r="AS743" s="293">
        <f t="shared" ref="AS743" si="880">+AVERAGE(AR716:AS716)</f>
        <v>2688.5</v>
      </c>
      <c r="AT743" s="293">
        <f t="shared" si="783"/>
        <v>2733.75</v>
      </c>
      <c r="AU743" s="581"/>
      <c r="AV743" s="293">
        <f t="shared" si="784"/>
        <v>2613</v>
      </c>
      <c r="AW743" s="293">
        <f t="shared" ref="AW743" si="881">+AVERAGE(AV716:AW716)</f>
        <v>2948</v>
      </c>
      <c r="AX743" s="293">
        <f t="shared" si="786"/>
        <v>2780.5</v>
      </c>
      <c r="AY743" s="581"/>
      <c r="AZ743" s="293">
        <f t="shared" si="787"/>
        <v>3308.5</v>
      </c>
      <c r="BA743" s="293">
        <f t="shared" ref="BA743" si="882">+AVERAGE(AZ716:BA716)</f>
        <v>3288.5</v>
      </c>
      <c r="BB743" s="293">
        <f t="shared" si="789"/>
        <v>3298.5</v>
      </c>
      <c r="BC743" s="581"/>
      <c r="BD743" s="293">
        <f t="shared" si="790"/>
        <v>3132.5</v>
      </c>
      <c r="BE743" s="293">
        <f t="shared" ref="BE743" si="883">+AVERAGE(BD716:BE716)</f>
        <v>3075</v>
      </c>
      <c r="BF743" s="293">
        <f t="shared" si="792"/>
        <v>3103.75</v>
      </c>
      <c r="BG743" s="581"/>
      <c r="BH743" s="293">
        <f t="shared" si="793"/>
        <v>3017.5</v>
      </c>
      <c r="BI743" s="293">
        <f t="shared" si="794"/>
        <v>2885</v>
      </c>
      <c r="BJ743" s="293">
        <f t="shared" si="844"/>
        <v>2951.25</v>
      </c>
      <c r="BK743" s="581"/>
      <c r="BL743" s="293">
        <f t="shared" si="795"/>
        <v>2869.5</v>
      </c>
      <c r="BM743" s="293">
        <f t="shared" ref="BM743" si="884">+AVERAGE(BL716:BM716)</f>
        <v>2655</v>
      </c>
      <c r="BN743" s="293">
        <f t="shared" si="797"/>
        <v>2762.25</v>
      </c>
      <c r="BO743" s="581"/>
      <c r="BP743" s="293">
        <f t="shared" si="798"/>
        <v>2493.5</v>
      </c>
      <c r="BQ743" s="293">
        <f t="shared" ref="BQ743" si="885">+AVERAGE(BP716:BQ716)</f>
        <v>2536.5</v>
      </c>
      <c r="BR743" s="293">
        <f t="shared" si="800"/>
        <v>2515</v>
      </c>
      <c r="BS743" s="581"/>
      <c r="BT743" s="293">
        <f t="shared" si="801"/>
        <v>2377.5</v>
      </c>
      <c r="BU743" s="293">
        <f t="shared" ref="BU743" si="886">+AVERAGE(BT716:BU716)</f>
        <v>2216</v>
      </c>
      <c r="BV743" s="293">
        <f t="shared" si="803"/>
        <v>2296.75</v>
      </c>
      <c r="BW743" s="581"/>
      <c r="BX743" s="293">
        <f t="shared" si="804"/>
        <v>2119</v>
      </c>
      <c r="BY743" s="293">
        <f t="shared" ref="BY743" si="887">+AVERAGE(BX716:BY716)</f>
        <v>2024</v>
      </c>
      <c r="BZ743" s="293">
        <f t="shared" si="806"/>
        <v>2071.5</v>
      </c>
      <c r="CA743" s="581"/>
      <c r="CB743" s="293">
        <f t="shared" si="807"/>
        <v>2405</v>
      </c>
      <c r="CC743" s="293">
        <f t="shared" ref="CC743" si="888">+AVERAGE(CB716:CC716)</f>
        <v>2959</v>
      </c>
      <c r="CD743" s="293">
        <f t="shared" si="809"/>
        <v>2682</v>
      </c>
      <c r="CE743" s="581"/>
      <c r="CF743" s="293">
        <f t="shared" si="810"/>
        <v>3025</v>
      </c>
      <c r="CG743" s="293">
        <f t="shared" ref="CG743" si="889">+AVERAGE(CF716:CG716)</f>
        <v>2861</v>
      </c>
      <c r="CH743" s="293">
        <f t="shared" si="812"/>
        <v>2943</v>
      </c>
      <c r="CI743" s="581"/>
      <c r="CJ743" s="293">
        <f t="shared" si="813"/>
        <v>2711.5</v>
      </c>
      <c r="CK743" s="293">
        <f t="shared" ref="CK743" si="890">+AVERAGE(CJ716:CK716)</f>
        <v>2655.5</v>
      </c>
      <c r="CL743" s="293">
        <f t="shared" si="815"/>
        <v>2683.5</v>
      </c>
      <c r="CM743" s="581"/>
      <c r="CN743" s="293">
        <f t="shared" si="816"/>
        <v>2777.5</v>
      </c>
      <c r="CO743" s="293">
        <f t="shared" ref="CO743" si="891">+AVERAGE(CN716:CO716)</f>
        <v>2940.5</v>
      </c>
      <c r="CP743" s="293">
        <f t="shared" si="818"/>
        <v>2859</v>
      </c>
      <c r="CQ743" s="581"/>
      <c r="CR743" s="293">
        <f t="shared" si="819"/>
        <v>3069</v>
      </c>
      <c r="CS743" s="293">
        <f t="shared" ref="CS743" si="892">+AVERAGE(CR716:CS716)</f>
        <v>3255.5</v>
      </c>
      <c r="CT743" s="293">
        <f t="shared" si="821"/>
        <v>3162.25</v>
      </c>
      <c r="CU743" s="581"/>
      <c r="CV743" s="293">
        <f t="shared" si="822"/>
        <v>3435.5</v>
      </c>
      <c r="CW743" s="293">
        <f t="shared" si="823"/>
        <v>3666</v>
      </c>
      <c r="CX743" s="293">
        <f t="shared" si="824"/>
        <v>3550.75</v>
      </c>
      <c r="CY743" s="581"/>
      <c r="CZ743" s="293">
        <f t="shared" si="825"/>
        <v>3918</v>
      </c>
      <c r="DA743" s="293">
        <f t="shared" si="826"/>
        <v>3853</v>
      </c>
      <c r="DB743" s="293">
        <f t="shared" si="827"/>
        <v>3885.5</v>
      </c>
      <c r="DC743" s="581"/>
      <c r="DD743" s="293">
        <f t="shared" si="828"/>
        <v>3504</v>
      </c>
      <c r="DE743" s="293">
        <f t="shared" si="829"/>
        <v>3228.5</v>
      </c>
      <c r="DF743" s="293">
        <f t="shared" si="830"/>
        <v>3366.25</v>
      </c>
      <c r="DG743" s="581"/>
      <c r="DH743" s="293">
        <f t="shared" si="831"/>
        <v>3635.5</v>
      </c>
      <c r="DI743" s="293">
        <f t="shared" si="832"/>
        <v>4173.32</v>
      </c>
      <c r="DJ743" s="293">
        <f t="shared" si="833"/>
        <v>3904.41</v>
      </c>
      <c r="DK743" s="581"/>
      <c r="DL743" s="293">
        <f t="shared" si="834"/>
        <v>4256.7864000000009</v>
      </c>
      <c r="DM743" s="293">
        <f t="shared" si="835"/>
        <v>4341.9221280000002</v>
      </c>
      <c r="DN743" s="293">
        <f t="shared" si="836"/>
        <v>4299.3542640000005</v>
      </c>
      <c r="DO743" s="581"/>
      <c r="DP743" s="293">
        <f t="shared" si="837"/>
        <v>4428.7605705600008</v>
      </c>
      <c r="DQ743" s="293">
        <f t="shared" si="838"/>
        <v>4517.335781971201</v>
      </c>
      <c r="DR743" s="293">
        <f t="shared" si="839"/>
        <v>4473.0481762656009</v>
      </c>
      <c r="DS743" s="581"/>
      <c r="DT743" s="581"/>
      <c r="DU743" s="817"/>
      <c r="DV743" s="817"/>
      <c r="DW743" s="817"/>
      <c r="DX743" s="581"/>
      <c r="DY743" s="581"/>
      <c r="DZ743" s="817"/>
      <c r="EA743" s="817"/>
      <c r="EB743" s="581"/>
      <c r="EC743" s="581"/>
      <c r="ED743" s="817"/>
      <c r="EE743" s="817"/>
      <c r="EF743" s="581"/>
      <c r="EG743" s="581"/>
      <c r="EH743" s="581"/>
      <c r="EI743" s="581"/>
      <c r="EJ743" s="581"/>
      <c r="EK743" s="581"/>
      <c r="EL743" s="581"/>
      <c r="EM743" s="581"/>
      <c r="EN743" s="581"/>
      <c r="EO743" s="581"/>
      <c r="EP743" s="581"/>
      <c r="JM743"/>
    </row>
    <row r="744" spans="1:273" s="328" customFormat="1">
      <c r="A744" s="102" t="s">
        <v>688</v>
      </c>
      <c r="B744" s="581"/>
      <c r="AN744" s="581"/>
      <c r="AO744" s="581"/>
      <c r="AP744" s="581"/>
      <c r="AQ744" s="581"/>
      <c r="AR744" s="293">
        <f t="shared" si="781"/>
        <v>174</v>
      </c>
      <c r="AS744" s="293">
        <f t="shared" ref="AS744" si="893">+AVERAGE(AR717:AS717)</f>
        <v>135</v>
      </c>
      <c r="AT744" s="293">
        <f t="shared" si="783"/>
        <v>154.5</v>
      </c>
      <c r="AU744" s="581"/>
      <c r="AV744" s="293">
        <f t="shared" si="784"/>
        <v>87</v>
      </c>
      <c r="AW744" s="293">
        <f t="shared" ref="AW744" si="894">+AVERAGE(AV717:AW717)</f>
        <v>75.5</v>
      </c>
      <c r="AX744" s="293">
        <f t="shared" si="786"/>
        <v>81.25</v>
      </c>
      <c r="AY744" s="581"/>
      <c r="AZ744" s="293">
        <f t="shared" si="787"/>
        <v>68</v>
      </c>
      <c r="BA744" s="293">
        <f t="shared" ref="BA744" si="895">+AVERAGE(AZ717:BA717)</f>
        <v>60</v>
      </c>
      <c r="BB744" s="293">
        <f t="shared" si="789"/>
        <v>64</v>
      </c>
      <c r="BC744" s="581"/>
      <c r="BD744" s="293">
        <f t="shared" si="790"/>
        <v>28.5</v>
      </c>
      <c r="BE744" s="293">
        <f t="shared" ref="BE744" si="896">+AVERAGE(BD717:BE717)</f>
        <v>0</v>
      </c>
      <c r="BF744" s="293">
        <f t="shared" si="792"/>
        <v>14.25</v>
      </c>
      <c r="BG744" s="581"/>
      <c r="BH744" s="293">
        <f t="shared" si="793"/>
        <v>0</v>
      </c>
      <c r="BI744" s="293">
        <f t="shared" si="794"/>
        <v>0</v>
      </c>
      <c r="BJ744" s="293">
        <f t="shared" si="844"/>
        <v>0</v>
      </c>
      <c r="BK744" s="581"/>
      <c r="BL744" s="293">
        <f t="shared" si="795"/>
        <v>0</v>
      </c>
      <c r="BM744" s="293">
        <f t="shared" ref="BM744" si="897">+AVERAGE(BL717:BM717)</f>
        <v>0</v>
      </c>
      <c r="BN744" s="293">
        <f t="shared" si="797"/>
        <v>0</v>
      </c>
      <c r="BO744" s="581"/>
      <c r="BP744" s="293">
        <f t="shared" si="798"/>
        <v>0</v>
      </c>
      <c r="BQ744" s="293">
        <f t="shared" ref="BQ744" si="898">+AVERAGE(BP717:BQ717)</f>
        <v>0</v>
      </c>
      <c r="BR744" s="293">
        <f t="shared" si="800"/>
        <v>0</v>
      </c>
      <c r="BS744" s="581"/>
      <c r="BT744" s="293">
        <f t="shared" si="801"/>
        <v>0</v>
      </c>
      <c r="BU744" s="293">
        <f t="shared" ref="BU744" si="899">+AVERAGE(BT717:BU717)</f>
        <v>0</v>
      </c>
      <c r="BV744" s="293">
        <f t="shared" si="803"/>
        <v>0</v>
      </c>
      <c r="BW744" s="581"/>
      <c r="BX744" s="293">
        <f t="shared" si="804"/>
        <v>0</v>
      </c>
      <c r="BY744" s="293">
        <f t="shared" ref="BY744" si="900">+AVERAGE(BX717:BY717)</f>
        <v>0</v>
      </c>
      <c r="BZ744" s="293">
        <f t="shared" si="806"/>
        <v>0</v>
      </c>
      <c r="CA744" s="581"/>
      <c r="CB744" s="293">
        <f t="shared" si="807"/>
        <v>0</v>
      </c>
      <c r="CC744" s="293">
        <f t="shared" ref="CC744" si="901">+AVERAGE(CB717:CC717)</f>
        <v>0</v>
      </c>
      <c r="CD744" s="293">
        <f t="shared" si="809"/>
        <v>0</v>
      </c>
      <c r="CE744" s="581"/>
      <c r="CF744" s="293">
        <f t="shared" si="810"/>
        <v>0</v>
      </c>
      <c r="CG744" s="293">
        <f t="shared" ref="CG744" si="902">+AVERAGE(CF717:CG717)</f>
        <v>0</v>
      </c>
      <c r="CH744" s="293">
        <f t="shared" si="812"/>
        <v>0</v>
      </c>
      <c r="CI744" s="581"/>
      <c r="CJ744" s="293">
        <f t="shared" si="813"/>
        <v>0</v>
      </c>
      <c r="CK744" s="293">
        <f t="shared" ref="CK744" si="903">+AVERAGE(CJ717:CK717)</f>
        <v>0</v>
      </c>
      <c r="CL744" s="293">
        <f t="shared" si="815"/>
        <v>0</v>
      </c>
      <c r="CM744" s="581"/>
      <c r="CN744" s="293">
        <f t="shared" si="816"/>
        <v>0</v>
      </c>
      <c r="CO744" s="293">
        <f t="shared" ref="CO744" si="904">+AVERAGE(CN717:CO717)</f>
        <v>0</v>
      </c>
      <c r="CP744" s="293">
        <f t="shared" si="818"/>
        <v>0</v>
      </c>
      <c r="CQ744" s="581"/>
      <c r="CR744" s="293">
        <f t="shared" si="819"/>
        <v>0</v>
      </c>
      <c r="CS744" s="293">
        <f t="shared" ref="CS744" si="905">+AVERAGE(CR717:CS717)</f>
        <v>0</v>
      </c>
      <c r="CT744" s="293">
        <f t="shared" si="821"/>
        <v>0</v>
      </c>
      <c r="CU744" s="581"/>
      <c r="CV744" s="293">
        <f t="shared" si="822"/>
        <v>0</v>
      </c>
      <c r="CW744" s="293">
        <f t="shared" si="823"/>
        <v>0</v>
      </c>
      <c r="CX744" s="293">
        <f t="shared" si="824"/>
        <v>0</v>
      </c>
      <c r="CY744" s="581"/>
      <c r="CZ744" s="293">
        <f t="shared" si="825"/>
        <v>0</v>
      </c>
      <c r="DA744" s="293">
        <f t="shared" si="826"/>
        <v>0</v>
      </c>
      <c r="DB744" s="293">
        <f t="shared" si="827"/>
        <v>0</v>
      </c>
      <c r="DC744" s="581"/>
      <c r="DD744" s="293">
        <f t="shared" si="828"/>
        <v>0</v>
      </c>
      <c r="DE744" s="293">
        <f t="shared" si="829"/>
        <v>0</v>
      </c>
      <c r="DF744" s="293">
        <f t="shared" si="830"/>
        <v>0</v>
      </c>
      <c r="DG744" s="581"/>
      <c r="DH744" s="293">
        <f t="shared" si="831"/>
        <v>0</v>
      </c>
      <c r="DI744" s="293">
        <f t="shared" si="832"/>
        <v>0</v>
      </c>
      <c r="DJ744" s="293">
        <f t="shared" si="833"/>
        <v>0</v>
      </c>
      <c r="DK744" s="581"/>
      <c r="DL744" s="293">
        <f t="shared" si="834"/>
        <v>0</v>
      </c>
      <c r="DM744" s="293">
        <f t="shared" si="835"/>
        <v>0</v>
      </c>
      <c r="DN744" s="293">
        <f t="shared" si="836"/>
        <v>0</v>
      </c>
      <c r="DO744" s="581"/>
      <c r="DP744" s="293">
        <f t="shared" si="837"/>
        <v>0</v>
      </c>
      <c r="DQ744" s="293">
        <f t="shared" si="838"/>
        <v>0</v>
      </c>
      <c r="DR744" s="293">
        <f t="shared" si="839"/>
        <v>0</v>
      </c>
      <c r="DS744" s="581"/>
      <c r="DT744" s="581"/>
      <c r="DU744" s="817"/>
      <c r="DV744" s="817"/>
      <c r="DW744" s="817"/>
      <c r="DX744" s="581"/>
      <c r="DY744" s="581"/>
      <c r="DZ744" s="817"/>
      <c r="EA744" s="817"/>
      <c r="EB744" s="581"/>
      <c r="EC744" s="581"/>
      <c r="ED744" s="817"/>
      <c r="EE744" s="817"/>
      <c r="EF744" s="581"/>
      <c r="EG744" s="581"/>
      <c r="EH744" s="581"/>
      <c r="EI744" s="581"/>
      <c r="EJ744" s="581"/>
      <c r="EK744" s="581"/>
      <c r="EL744" s="581"/>
      <c r="EM744" s="581"/>
      <c r="EN744" s="581"/>
      <c r="EO744" s="581"/>
      <c r="EP744" s="581"/>
      <c r="JM744"/>
    </row>
    <row r="745" spans="1:273" s="328" customFormat="1">
      <c r="A745" s="102" t="s">
        <v>691</v>
      </c>
      <c r="B745" s="581"/>
      <c r="AN745" s="581"/>
      <c r="AO745" s="581"/>
      <c r="AP745" s="581"/>
      <c r="AQ745" s="581"/>
      <c r="AR745" s="293">
        <f t="shared" si="781"/>
        <v>4284</v>
      </c>
      <c r="AS745" s="293">
        <f t="shared" ref="AS745" si="906">+AVERAGE(AR718:AS718)</f>
        <v>4153.5</v>
      </c>
      <c r="AT745" s="293">
        <f t="shared" si="783"/>
        <v>4218.75</v>
      </c>
      <c r="AU745" s="581"/>
      <c r="AV745" s="293">
        <f t="shared" si="784"/>
        <v>4094.5</v>
      </c>
      <c r="AW745" s="293">
        <f t="shared" ref="AW745" si="907">+AVERAGE(AV718:AW718)</f>
        <v>4483</v>
      </c>
      <c r="AX745" s="293">
        <f t="shared" si="786"/>
        <v>4288.75</v>
      </c>
      <c r="AY745" s="581"/>
      <c r="AZ745" s="293">
        <f t="shared" si="787"/>
        <v>5197</v>
      </c>
      <c r="BA745" s="293">
        <f t="shared" ref="BA745" si="908">+AVERAGE(AZ718:BA718)</f>
        <v>5687.5</v>
      </c>
      <c r="BB745" s="293">
        <f t="shared" si="789"/>
        <v>5442.25</v>
      </c>
      <c r="BC745" s="581"/>
      <c r="BD745" s="293">
        <f t="shared" si="790"/>
        <v>5931</v>
      </c>
      <c r="BE745" s="293">
        <f t="shared" ref="BE745" si="909">+AVERAGE(BD718:BE718)</f>
        <v>5724</v>
      </c>
      <c r="BF745" s="293">
        <f t="shared" si="792"/>
        <v>5827.5</v>
      </c>
      <c r="BG745" s="581"/>
      <c r="BH745" s="293">
        <f t="shared" si="793"/>
        <v>5227.5</v>
      </c>
      <c r="BI745" s="293">
        <f t="shared" si="794"/>
        <v>5201.5</v>
      </c>
      <c r="BJ745" s="293">
        <f t="shared" si="844"/>
        <v>5214.5</v>
      </c>
      <c r="BK745" s="581"/>
      <c r="BL745" s="293">
        <f t="shared" si="795"/>
        <v>5408.5</v>
      </c>
      <c r="BM745" s="293">
        <f t="shared" ref="BM745" si="910">+AVERAGE(BL718:BM718)</f>
        <v>5656</v>
      </c>
      <c r="BN745" s="293">
        <f t="shared" si="797"/>
        <v>5532.25</v>
      </c>
      <c r="BO745" s="581"/>
      <c r="BP745" s="293">
        <f t="shared" si="798"/>
        <v>5857</v>
      </c>
      <c r="BQ745" s="293">
        <f t="shared" ref="BQ745" si="911">+AVERAGE(BP718:BQ718)</f>
        <v>5889.5</v>
      </c>
      <c r="BR745" s="293">
        <f t="shared" si="800"/>
        <v>5873.25</v>
      </c>
      <c r="BS745" s="581"/>
      <c r="BT745" s="293">
        <f t="shared" si="801"/>
        <v>5850.5</v>
      </c>
      <c r="BU745" s="293">
        <f t="shared" ref="BU745" si="912">+AVERAGE(BT718:BU718)</f>
        <v>5970</v>
      </c>
      <c r="BV745" s="293">
        <f t="shared" si="803"/>
        <v>5910.25</v>
      </c>
      <c r="BW745" s="581"/>
      <c r="BX745" s="293">
        <f t="shared" si="804"/>
        <v>5969.5</v>
      </c>
      <c r="BY745" s="293">
        <f t="shared" ref="BY745" si="913">+AVERAGE(BX718:BY718)</f>
        <v>5794.5</v>
      </c>
      <c r="BZ745" s="293">
        <f t="shared" si="806"/>
        <v>5882</v>
      </c>
      <c r="CA745" s="581"/>
      <c r="CB745" s="293">
        <f t="shared" si="807"/>
        <v>5823</v>
      </c>
      <c r="CC745" s="293">
        <f t="shared" ref="CC745" si="914">+AVERAGE(CB718:CC718)</f>
        <v>5931.5</v>
      </c>
      <c r="CD745" s="293">
        <f t="shared" si="809"/>
        <v>5877.25</v>
      </c>
      <c r="CE745" s="581"/>
      <c r="CF745" s="293">
        <f t="shared" si="810"/>
        <v>6149</v>
      </c>
      <c r="CG745" s="293">
        <f t="shared" ref="CG745" si="915">+AVERAGE(CF718:CG718)</f>
        <v>6506</v>
      </c>
      <c r="CH745" s="293">
        <f t="shared" si="812"/>
        <v>6327.5</v>
      </c>
      <c r="CI745" s="581"/>
      <c r="CJ745" s="293">
        <f t="shared" si="813"/>
        <v>6842</v>
      </c>
      <c r="CK745" s="293">
        <f t="shared" ref="CK745" si="916">+AVERAGE(CJ718:CK718)</f>
        <v>7048</v>
      </c>
      <c r="CL745" s="293">
        <f t="shared" si="815"/>
        <v>6945</v>
      </c>
      <c r="CM745" s="581"/>
      <c r="CN745" s="293">
        <f t="shared" si="816"/>
        <v>7252.5</v>
      </c>
      <c r="CO745" s="293">
        <f t="shared" ref="CO745" si="917">+AVERAGE(CN718:CO718)</f>
        <v>7498</v>
      </c>
      <c r="CP745" s="293">
        <f t="shared" si="818"/>
        <v>7375.25</v>
      </c>
      <c r="CQ745" s="581"/>
      <c r="CR745" s="293">
        <f t="shared" si="819"/>
        <v>7675</v>
      </c>
      <c r="CS745" s="293">
        <f t="shared" ref="CS745" si="918">+AVERAGE(CR718:CS718)</f>
        <v>8052.5</v>
      </c>
      <c r="CT745" s="293">
        <f t="shared" si="821"/>
        <v>7863.75</v>
      </c>
      <c r="CU745" s="581"/>
      <c r="CV745" s="293">
        <f t="shared" si="822"/>
        <v>8801.5</v>
      </c>
      <c r="CW745" s="293">
        <f t="shared" si="823"/>
        <v>9711</v>
      </c>
      <c r="CX745" s="293">
        <f t="shared" si="824"/>
        <v>9256.25</v>
      </c>
      <c r="CY745" s="581"/>
      <c r="CZ745" s="293">
        <f t="shared" si="825"/>
        <v>10385.5</v>
      </c>
      <c r="DA745" s="293">
        <f t="shared" si="826"/>
        <v>10490</v>
      </c>
      <c r="DB745" s="293">
        <f t="shared" si="827"/>
        <v>10437.75</v>
      </c>
      <c r="DC745" s="581"/>
      <c r="DD745" s="293">
        <f t="shared" si="828"/>
        <v>10277.5</v>
      </c>
      <c r="DE745" s="293">
        <f t="shared" si="829"/>
        <v>10249.5</v>
      </c>
      <c r="DF745" s="293">
        <f t="shared" si="830"/>
        <v>10263.5</v>
      </c>
      <c r="DG745" s="581"/>
      <c r="DH745" s="293">
        <f t="shared" si="831"/>
        <v>9834</v>
      </c>
      <c r="DI745" s="293">
        <f t="shared" si="832"/>
        <v>9436.43</v>
      </c>
      <c r="DJ745" s="293">
        <f t="shared" si="833"/>
        <v>9635.2150000000001</v>
      </c>
      <c r="DK745" s="581"/>
      <c r="DL745" s="293">
        <f t="shared" si="834"/>
        <v>9625.1586000000007</v>
      </c>
      <c r="DM745" s="293">
        <f t="shared" si="835"/>
        <v>9817.6617719999995</v>
      </c>
      <c r="DN745" s="293">
        <f t="shared" si="836"/>
        <v>9721.410186000001</v>
      </c>
      <c r="DO745" s="581"/>
      <c r="DP745" s="293">
        <f t="shared" si="837"/>
        <v>10014.015007440001</v>
      </c>
      <c r="DQ745" s="293">
        <f t="shared" si="838"/>
        <v>10214.2953075888</v>
      </c>
      <c r="DR745" s="293">
        <f t="shared" si="839"/>
        <v>10114.1551575144</v>
      </c>
      <c r="DS745" s="581"/>
      <c r="DT745" s="581"/>
      <c r="DU745" s="817"/>
      <c r="DV745" s="817"/>
      <c r="DW745" s="817"/>
      <c r="DX745" s="581"/>
      <c r="DY745" s="581"/>
      <c r="DZ745" s="817"/>
      <c r="EA745" s="817"/>
      <c r="EB745" s="581"/>
      <c r="EC745" s="581"/>
      <c r="ED745" s="817"/>
      <c r="EE745" s="817"/>
      <c r="EF745" s="581"/>
      <c r="EG745" s="581"/>
      <c r="EH745" s="581"/>
      <c r="EI745" s="581"/>
      <c r="EJ745" s="581"/>
      <c r="EK745" s="581"/>
      <c r="EL745" s="581"/>
      <c r="EM745" s="581"/>
      <c r="EN745" s="581"/>
      <c r="EO745" s="581"/>
      <c r="EP745" s="581"/>
      <c r="JM745"/>
    </row>
    <row r="746" spans="1:273" s="328" customFormat="1">
      <c r="A746" s="289" t="s">
        <v>694</v>
      </c>
      <c r="B746" s="581"/>
      <c r="AN746" s="581"/>
      <c r="AO746" s="581"/>
      <c r="AP746" s="581"/>
      <c r="AQ746" s="581"/>
      <c r="AR746" s="295">
        <f t="shared" si="781"/>
        <v>13898</v>
      </c>
      <c r="AS746" s="295">
        <f t="shared" ref="AS746" si="919">+AVERAGE(AR719:AS719)</f>
        <v>13307</v>
      </c>
      <c r="AT746" s="295">
        <f t="shared" si="783"/>
        <v>13602.5</v>
      </c>
      <c r="AU746" s="581"/>
      <c r="AV746" s="295">
        <f t="shared" si="784"/>
        <v>12737</v>
      </c>
      <c r="AW746" s="295">
        <f t="shared" ref="AW746" si="920">+AVERAGE(AV719:AW719)</f>
        <v>13707.5</v>
      </c>
      <c r="AX746" s="295">
        <f t="shared" si="786"/>
        <v>13222.25</v>
      </c>
      <c r="AY746" s="581"/>
      <c r="AZ746" s="295">
        <f t="shared" si="787"/>
        <v>15095</v>
      </c>
      <c r="BA746" s="295">
        <f t="shared" ref="BA746" si="921">+AVERAGE(AZ719:BA719)</f>
        <v>15544.5</v>
      </c>
      <c r="BB746" s="295">
        <f t="shared" si="789"/>
        <v>15319.75</v>
      </c>
      <c r="BC746" s="581"/>
      <c r="BD746" s="295">
        <f t="shared" si="790"/>
        <v>15322</v>
      </c>
      <c r="BE746" s="295">
        <f t="shared" ref="BE746" si="922">+AVERAGE(BD719:BE719)</f>
        <v>14645</v>
      </c>
      <c r="BF746" s="295">
        <f t="shared" si="792"/>
        <v>14983.5</v>
      </c>
      <c r="BG746" s="581"/>
      <c r="BH746" s="295">
        <f t="shared" si="793"/>
        <v>13832.5</v>
      </c>
      <c r="BI746" s="295">
        <f t="shared" si="794"/>
        <v>13563</v>
      </c>
      <c r="BJ746" s="295">
        <f t="shared" si="844"/>
        <v>13697.75</v>
      </c>
      <c r="BK746" s="581"/>
      <c r="BL746" s="295">
        <f t="shared" si="795"/>
        <v>13782</v>
      </c>
      <c r="BM746" s="295">
        <f t="shared" ref="BM746" si="923">+AVERAGE(BL719:BM719)</f>
        <v>13907</v>
      </c>
      <c r="BN746" s="295">
        <f t="shared" si="797"/>
        <v>13844.5</v>
      </c>
      <c r="BO746" s="581"/>
      <c r="BP746" s="295">
        <f t="shared" si="798"/>
        <v>14025.5</v>
      </c>
      <c r="BQ746" s="295">
        <f t="shared" ref="BQ746" si="924">+AVERAGE(BP719:BQ719)</f>
        <v>14111.5</v>
      </c>
      <c r="BR746" s="295">
        <f t="shared" si="800"/>
        <v>14068.5</v>
      </c>
      <c r="BS746" s="581"/>
      <c r="BT746" s="295">
        <f t="shared" si="801"/>
        <v>13833.5</v>
      </c>
      <c r="BU746" s="295">
        <f t="shared" ref="BU746" si="925">+AVERAGE(BT719:BU719)</f>
        <v>13977</v>
      </c>
      <c r="BV746" s="295">
        <f t="shared" si="803"/>
        <v>13905.25</v>
      </c>
      <c r="BW746" s="581"/>
      <c r="BX746" s="295">
        <f t="shared" si="804"/>
        <v>14094</v>
      </c>
      <c r="BY746" s="295">
        <f t="shared" ref="BY746" si="926">+AVERAGE(BX719:BY719)</f>
        <v>13706.5</v>
      </c>
      <c r="BZ746" s="295">
        <f t="shared" si="806"/>
        <v>13900.25</v>
      </c>
      <c r="CA746" s="581"/>
      <c r="CB746" s="295">
        <f t="shared" si="807"/>
        <v>13781.5</v>
      </c>
      <c r="CC746" s="295">
        <f t="shared" ref="CC746" si="927">+AVERAGE(CB719:CC719)</f>
        <v>14217.5</v>
      </c>
      <c r="CD746" s="295">
        <f t="shared" si="809"/>
        <v>13999.5</v>
      </c>
      <c r="CE746" s="581"/>
      <c r="CF746" s="295">
        <f t="shared" si="810"/>
        <v>14845</v>
      </c>
      <c r="CG746" s="295">
        <f t="shared" ref="CG746" si="928">+AVERAGE(CF719:CG719)</f>
        <v>15411.5</v>
      </c>
      <c r="CH746" s="295">
        <f t="shared" si="812"/>
        <v>15128.25</v>
      </c>
      <c r="CI746" s="581"/>
      <c r="CJ746" s="295">
        <f t="shared" si="813"/>
        <v>15653</v>
      </c>
      <c r="CK746" s="295">
        <f t="shared" ref="CK746" si="929">+AVERAGE(CJ719:CK719)</f>
        <v>15776.5</v>
      </c>
      <c r="CL746" s="295">
        <f t="shared" si="815"/>
        <v>15714.75</v>
      </c>
      <c r="CM746" s="581"/>
      <c r="CN746" s="295">
        <f t="shared" si="816"/>
        <v>16102.5</v>
      </c>
      <c r="CO746" s="295">
        <f t="shared" ref="CO746" si="930">+AVERAGE(CN719:CO719)</f>
        <v>16407.5</v>
      </c>
      <c r="CP746" s="295">
        <f t="shared" si="818"/>
        <v>16255</v>
      </c>
      <c r="CQ746" s="581"/>
      <c r="CR746" s="295">
        <f t="shared" si="819"/>
        <v>16834</v>
      </c>
      <c r="CS746" s="295">
        <f t="shared" ref="CS746" si="931">+AVERAGE(CR719:CS719)</f>
        <v>17671</v>
      </c>
      <c r="CT746" s="295">
        <f t="shared" si="821"/>
        <v>17252.5</v>
      </c>
      <c r="CU746" s="581"/>
      <c r="CV746" s="295">
        <f t="shared" si="822"/>
        <v>18699.5</v>
      </c>
      <c r="CW746" s="295">
        <f t="shared" si="823"/>
        <v>19887.5</v>
      </c>
      <c r="CX746" s="295">
        <f t="shared" si="824"/>
        <v>19293.5</v>
      </c>
      <c r="CY746" s="581"/>
      <c r="CZ746" s="295">
        <f t="shared" si="825"/>
        <v>20889.5</v>
      </c>
      <c r="DA746" s="295">
        <f t="shared" si="826"/>
        <v>20968</v>
      </c>
      <c r="DB746" s="295">
        <f t="shared" si="827"/>
        <v>20928.75</v>
      </c>
      <c r="DC746" s="581"/>
      <c r="DD746" s="295">
        <f t="shared" si="828"/>
        <v>20359.5</v>
      </c>
      <c r="DE746" s="295">
        <f t="shared" si="829"/>
        <v>19894</v>
      </c>
      <c r="DF746" s="295">
        <f t="shared" si="830"/>
        <v>20126.75</v>
      </c>
      <c r="DG746" s="581"/>
      <c r="DH746" s="295">
        <f t="shared" si="831"/>
        <v>19778</v>
      </c>
      <c r="DI746" s="295">
        <f t="shared" si="832"/>
        <v>20019.21</v>
      </c>
      <c r="DJ746" s="295">
        <f t="shared" si="833"/>
        <v>19898.605</v>
      </c>
      <c r="DK746" s="581"/>
      <c r="DL746" s="295">
        <f t="shared" si="834"/>
        <v>20419.5942</v>
      </c>
      <c r="DM746" s="295">
        <f t="shared" si="835"/>
        <v>20827.986084</v>
      </c>
      <c r="DN746" s="295">
        <f t="shared" si="836"/>
        <v>20623.790141999998</v>
      </c>
      <c r="DO746" s="581"/>
      <c r="DP746" s="295">
        <f t="shared" si="837"/>
        <v>21244.545805679998</v>
      </c>
      <c r="DQ746" s="295">
        <f t="shared" si="838"/>
        <v>21669.436721793601</v>
      </c>
      <c r="DR746" s="295">
        <f t="shared" si="839"/>
        <v>21456.9912637368</v>
      </c>
      <c r="DS746" s="581"/>
      <c r="DT746" s="581"/>
      <c r="DU746" s="817"/>
      <c r="DV746" s="817"/>
      <c r="DW746" s="817"/>
      <c r="DX746" s="581"/>
      <c r="DY746" s="581"/>
      <c r="DZ746" s="817"/>
      <c r="EA746" s="817"/>
      <c r="EB746" s="581"/>
      <c r="EC746" s="581"/>
      <c r="ED746" s="817"/>
      <c r="EE746" s="817"/>
      <c r="EF746" s="581"/>
      <c r="EG746" s="581"/>
      <c r="EH746" s="581"/>
      <c r="EI746" s="581"/>
      <c r="EJ746" s="581"/>
      <c r="EK746" s="581"/>
      <c r="EL746" s="581"/>
      <c r="EM746" s="581"/>
      <c r="EN746" s="581"/>
      <c r="EO746" s="581"/>
      <c r="EP746" s="581"/>
      <c r="JM746"/>
    </row>
    <row r="747" spans="1:273" s="328" customFormat="1">
      <c r="A747" s="328" t="s">
        <v>749</v>
      </c>
      <c r="B747" s="581"/>
      <c r="AN747" s="791"/>
      <c r="AO747" s="791"/>
      <c r="AP747" s="581"/>
      <c r="AQ747" s="581"/>
      <c r="AR747" s="791">
        <f t="shared" si="781"/>
        <v>9614</v>
      </c>
      <c r="AS747" s="791">
        <f t="shared" ref="AS747" si="932">+AVERAGE(AR720:AS720)</f>
        <v>9153.5</v>
      </c>
      <c r="AT747" s="791">
        <f t="shared" si="783"/>
        <v>9383.75</v>
      </c>
      <c r="AU747" s="581"/>
      <c r="AV747" s="791">
        <f t="shared" si="784"/>
        <v>8642.5</v>
      </c>
      <c r="AW747" s="791">
        <f t="shared" ref="AW747" si="933">+AVERAGE(AV720:AW720)</f>
        <v>9224.5</v>
      </c>
      <c r="AX747" s="791">
        <f t="shared" si="786"/>
        <v>8933.5</v>
      </c>
      <c r="AY747" s="581"/>
      <c r="AZ747" s="791">
        <f t="shared" si="787"/>
        <v>9898</v>
      </c>
      <c r="BA747" s="791">
        <f t="shared" ref="BA747" si="934">+AVERAGE(AZ720:BA720)</f>
        <v>9857</v>
      </c>
      <c r="BB747" s="791">
        <f t="shared" si="789"/>
        <v>9877.5</v>
      </c>
      <c r="BC747" s="581"/>
      <c r="BD747" s="791">
        <f t="shared" si="790"/>
        <v>9391</v>
      </c>
      <c r="BE747" s="791">
        <f t="shared" ref="BE747" si="935">+AVERAGE(BD720:BE720)</f>
        <v>8921</v>
      </c>
      <c r="BF747" s="791">
        <f t="shared" si="792"/>
        <v>9156</v>
      </c>
      <c r="BG747" s="581"/>
      <c r="BH747" s="791">
        <f t="shared" si="793"/>
        <v>8605</v>
      </c>
      <c r="BI747" s="791">
        <f t="shared" si="794"/>
        <v>8361.5</v>
      </c>
      <c r="BJ747" s="791">
        <f t="shared" si="844"/>
        <v>8483.25</v>
      </c>
      <c r="BK747" s="581"/>
      <c r="BL747" s="791">
        <f t="shared" si="795"/>
        <v>8373.5</v>
      </c>
      <c r="BM747" s="791">
        <f t="shared" ref="BM747" si="936">+AVERAGE(BL720:BM720)</f>
        <v>8251</v>
      </c>
      <c r="BN747" s="791">
        <f t="shared" si="797"/>
        <v>8312.25</v>
      </c>
      <c r="BO747" s="581"/>
      <c r="BP747" s="791">
        <f t="shared" si="798"/>
        <v>8168.5</v>
      </c>
      <c r="BQ747" s="791">
        <f t="shared" ref="BQ747" si="937">+AVERAGE(BP720:BQ720)</f>
        <v>8222</v>
      </c>
      <c r="BR747" s="791">
        <f t="shared" si="800"/>
        <v>8195.25</v>
      </c>
      <c r="BS747" s="581"/>
      <c r="BT747" s="791">
        <f t="shared" si="801"/>
        <v>7983</v>
      </c>
      <c r="BU747" s="791">
        <f t="shared" ref="BU747" si="938">+AVERAGE(BT720:BU720)</f>
        <v>8007</v>
      </c>
      <c r="BV747" s="791">
        <f t="shared" si="803"/>
        <v>7995</v>
      </c>
      <c r="BW747" s="581"/>
      <c r="BX747" s="791">
        <f t="shared" si="804"/>
        <v>8124.5</v>
      </c>
      <c r="BY747" s="791">
        <f t="shared" ref="BY747" si="939">+AVERAGE(BX720:BY720)</f>
        <v>7912</v>
      </c>
      <c r="BZ747" s="791">
        <f t="shared" si="806"/>
        <v>8018.25</v>
      </c>
      <c r="CA747" s="581"/>
      <c r="CB747" s="791">
        <f t="shared" si="807"/>
        <v>7958.5</v>
      </c>
      <c r="CC747" s="791">
        <f t="shared" ref="CC747" si="940">+AVERAGE(CB720:CC720)</f>
        <v>8286</v>
      </c>
      <c r="CD747" s="791">
        <f t="shared" si="809"/>
        <v>8122.25</v>
      </c>
      <c r="CE747" s="581"/>
      <c r="CF747" s="791">
        <f t="shared" ref="CF747" si="941">+AVERAGE(CF720,CC720)</f>
        <v>8696</v>
      </c>
      <c r="CG747" s="791">
        <f t="shared" ref="CG747" si="942">+AVERAGE(CF720:CG720)</f>
        <v>8905.5</v>
      </c>
      <c r="CH747" s="791">
        <f t="shared" si="812"/>
        <v>8800.75</v>
      </c>
      <c r="CI747" s="581"/>
      <c r="CJ747" s="791">
        <f t="shared" si="813"/>
        <v>8811</v>
      </c>
      <c r="CK747" s="791">
        <f t="shared" ref="CK747" si="943">+AVERAGE(CJ720:CK720)</f>
        <v>8728.5</v>
      </c>
      <c r="CL747" s="791">
        <f t="shared" si="815"/>
        <v>8769.75</v>
      </c>
      <c r="CM747" s="581"/>
      <c r="CN747" s="791">
        <f t="shared" si="816"/>
        <v>8850</v>
      </c>
      <c r="CO747" s="791">
        <f t="shared" ref="CO747" si="944">+AVERAGE(CN720:CO720)</f>
        <v>8909.5</v>
      </c>
      <c r="CP747" s="791">
        <f t="shared" si="818"/>
        <v>8879.75</v>
      </c>
      <c r="CQ747" s="581"/>
      <c r="CR747" s="791">
        <f t="shared" si="819"/>
        <v>9159</v>
      </c>
      <c r="CS747" s="791">
        <f t="shared" ref="CS747" si="945">+AVERAGE(CR720:CS720)</f>
        <v>9618.5</v>
      </c>
      <c r="CT747" s="791">
        <f t="shared" si="821"/>
        <v>9388.75</v>
      </c>
      <c r="CU747" s="581"/>
      <c r="CV747" s="791">
        <f t="shared" si="822"/>
        <v>9898</v>
      </c>
      <c r="CW747" s="791">
        <f t="shared" si="823"/>
        <v>10176.5</v>
      </c>
      <c r="CX747" s="791">
        <f t="shared" si="824"/>
        <v>10037.25</v>
      </c>
      <c r="CY747" s="581"/>
      <c r="CZ747" s="791">
        <f t="shared" si="825"/>
        <v>10504</v>
      </c>
      <c r="DA747" s="791">
        <f t="shared" si="826"/>
        <v>10478</v>
      </c>
      <c r="DB747" s="791">
        <f t="shared" si="827"/>
        <v>10491</v>
      </c>
      <c r="DC747" s="581"/>
      <c r="DD747" s="791">
        <f t="shared" si="828"/>
        <v>10082</v>
      </c>
      <c r="DE747" s="791">
        <f t="shared" si="829"/>
        <v>9644.5</v>
      </c>
      <c r="DF747" s="791">
        <f t="shared" si="830"/>
        <v>9863.25</v>
      </c>
      <c r="DG747" s="581"/>
      <c r="DH747" s="791">
        <f t="shared" si="831"/>
        <v>9944</v>
      </c>
      <c r="DI747" s="791">
        <f t="shared" si="832"/>
        <v>10582.78</v>
      </c>
      <c r="DJ747" s="791">
        <f t="shared" si="833"/>
        <v>10263.39</v>
      </c>
      <c r="DK747" s="581"/>
      <c r="DL747" s="791">
        <f t="shared" si="834"/>
        <v>10794.435600000001</v>
      </c>
      <c r="DM747" s="791">
        <f t="shared" si="835"/>
        <v>11010.324312000001</v>
      </c>
      <c r="DN747" s="791">
        <f t="shared" si="836"/>
        <v>10902.379956000001</v>
      </c>
      <c r="DO747" s="581"/>
      <c r="DP747" s="791">
        <f t="shared" si="837"/>
        <v>11230.530798240001</v>
      </c>
      <c r="DQ747" s="791">
        <f t="shared" si="838"/>
        <v>11455.141414204802</v>
      </c>
      <c r="DR747" s="791">
        <f t="shared" si="839"/>
        <v>11342.836106222401</v>
      </c>
      <c r="DS747" s="581"/>
      <c r="DT747" s="581"/>
      <c r="DU747" s="811"/>
      <c r="DV747" s="811"/>
      <c r="DW747" s="811"/>
      <c r="DX747" s="581"/>
      <c r="DY747" s="581"/>
      <c r="DZ747" s="811"/>
      <c r="EA747" s="811"/>
      <c r="EB747" s="581"/>
      <c r="EC747" s="581"/>
      <c r="ED747" s="811"/>
      <c r="EE747" s="811"/>
      <c r="EF747" s="581"/>
      <c r="EG747" s="581"/>
      <c r="EH747" s="581"/>
      <c r="EI747" s="581"/>
      <c r="EJ747" s="581"/>
      <c r="EK747" s="581"/>
      <c r="EL747" s="581"/>
      <c r="EM747" s="581"/>
      <c r="EN747" s="581"/>
      <c r="EO747" s="581"/>
      <c r="EP747" s="581"/>
      <c r="JM747"/>
    </row>
    <row r="748" spans="1:273">
      <c r="AN748" s="293"/>
      <c r="AO748" s="293"/>
      <c r="AR748" s="293"/>
      <c r="AS748" s="293"/>
      <c r="AT748" s="730"/>
      <c r="AU748" s="730"/>
      <c r="AV748" s="685"/>
      <c r="AW748" s="685"/>
      <c r="AX748" s="730"/>
      <c r="AY748" s="730"/>
      <c r="AZ748" s="685"/>
      <c r="BA748" s="685"/>
      <c r="BD748" s="685"/>
      <c r="BE748" s="685"/>
      <c r="BH748" s="295"/>
      <c r="BI748" s="295"/>
      <c r="BJ748" s="295"/>
      <c r="BL748" s="685"/>
      <c r="BM748" s="685"/>
      <c r="BP748" s="685"/>
      <c r="BQ748" s="685"/>
      <c r="BT748" s="685"/>
      <c r="BU748" s="685"/>
      <c r="BX748" s="685"/>
      <c r="BY748" s="685"/>
      <c r="CB748" s="685"/>
      <c r="CC748" s="685"/>
      <c r="CF748" s="685"/>
      <c r="CG748" s="685"/>
      <c r="CJ748" s="685"/>
      <c r="CK748" s="685"/>
      <c r="CN748" s="685"/>
      <c r="CO748" s="685"/>
      <c r="CR748" s="685"/>
      <c r="CS748" s="685"/>
      <c r="CV748" s="685"/>
      <c r="CW748" s="685"/>
      <c r="CZ748" s="685"/>
      <c r="DA748" s="685"/>
      <c r="DD748" s="685"/>
      <c r="DE748" s="685"/>
      <c r="DH748" s="685"/>
      <c r="DI748" s="685"/>
      <c r="DL748" s="685"/>
      <c r="DM748" s="685"/>
      <c r="DP748" s="685"/>
      <c r="DQ748" s="685"/>
      <c r="DU748" s="685"/>
      <c r="DV748" s="685"/>
      <c r="DW748" s="685"/>
      <c r="DZ748" s="685"/>
      <c r="EA748" s="685"/>
      <c r="ED748" s="685"/>
      <c r="EE748" s="685"/>
    </row>
    <row r="749" spans="1:273">
      <c r="A749" s="815" t="s">
        <v>1323</v>
      </c>
      <c r="AR749" s="685"/>
      <c r="AS749" s="685"/>
      <c r="AT749" s="730"/>
      <c r="AU749" s="730"/>
      <c r="AV749" s="293"/>
      <c r="AW749" s="293"/>
      <c r="AX749" s="730"/>
      <c r="AY749" s="730"/>
      <c r="AZ749" s="685"/>
      <c r="BA749" s="876"/>
      <c r="BD749" s="685"/>
      <c r="BE749" s="876"/>
      <c r="BH749" s="685"/>
      <c r="BI749" s="876"/>
      <c r="BL749" s="876"/>
      <c r="BM749" s="876"/>
      <c r="BP749" s="876"/>
      <c r="BQ749" s="876"/>
      <c r="BT749" s="876"/>
      <c r="BU749" s="876"/>
      <c r="BX749" s="876"/>
      <c r="BY749" s="876"/>
      <c r="CB749" s="876"/>
      <c r="CC749" s="876"/>
      <c r="CF749" s="876"/>
      <c r="CG749" s="876"/>
      <c r="CJ749" s="876"/>
      <c r="CK749" s="876"/>
      <c r="CN749" s="876"/>
      <c r="CO749" s="876"/>
      <c r="CR749" s="876"/>
      <c r="CS749" s="876"/>
      <c r="CV749" s="876"/>
      <c r="CW749" s="876"/>
      <c r="CZ749" s="876"/>
      <c r="DA749" s="876"/>
      <c r="DD749" s="876"/>
      <c r="DE749" s="876"/>
      <c r="DH749" s="876"/>
      <c r="DI749" s="876"/>
      <c r="DL749" s="876"/>
      <c r="DM749" s="876"/>
      <c r="DP749" s="876"/>
      <c r="DQ749" s="876"/>
      <c r="DU749" s="876"/>
      <c r="DV749" s="876"/>
      <c r="DW749" s="876"/>
      <c r="DZ749" s="876"/>
      <c r="EA749" s="876"/>
      <c r="ED749" s="876"/>
      <c r="EE749" s="876"/>
    </row>
    <row r="750" spans="1:273" s="1008" customFormat="1">
      <c r="A750" s="1008" t="s">
        <v>685</v>
      </c>
      <c r="B750" s="1009"/>
      <c r="AN750" s="1009"/>
      <c r="AO750" s="1009"/>
      <c r="AP750" s="1009"/>
      <c r="AQ750" s="1009"/>
      <c r="AR750" s="1010"/>
      <c r="AS750" s="1010"/>
      <c r="AT750" s="1011"/>
      <c r="AU750" s="1011"/>
      <c r="AV750" s="1010"/>
      <c r="AW750" s="1010"/>
      <c r="AX750" s="1011"/>
      <c r="AY750" s="1011"/>
      <c r="AZ750" s="1010"/>
      <c r="BA750" s="1010"/>
      <c r="BB750" s="1010"/>
      <c r="BC750" s="1009"/>
      <c r="BD750" s="1010"/>
      <c r="BE750" s="1010"/>
      <c r="BF750" s="1010"/>
      <c r="BG750" s="1009"/>
      <c r="BH750" s="1010"/>
      <c r="BI750" s="1010"/>
      <c r="BJ750" s="1010"/>
      <c r="BK750" s="1009"/>
      <c r="BL750" s="1010"/>
      <c r="BM750" s="1010"/>
      <c r="BN750" s="1010"/>
      <c r="BO750" s="1009"/>
      <c r="BP750" s="1010"/>
      <c r="BQ750" s="1010"/>
      <c r="BR750" s="1010"/>
      <c r="BS750" s="1009"/>
      <c r="BT750" s="1010"/>
      <c r="BU750" s="1010"/>
      <c r="BV750" s="1010"/>
      <c r="BW750" s="1009"/>
      <c r="BX750" s="1010"/>
      <c r="BY750" s="1010"/>
      <c r="BZ750" s="1010"/>
      <c r="CA750" s="1009"/>
      <c r="CB750" s="1010"/>
      <c r="CC750" s="1010"/>
      <c r="CD750" s="1010"/>
      <c r="CE750" s="999"/>
      <c r="CF750" s="1010"/>
      <c r="CG750" s="1010"/>
      <c r="CH750" s="1010"/>
      <c r="CI750" s="999"/>
      <c r="CJ750" s="1010"/>
      <c r="CK750" s="1010"/>
      <c r="CL750" s="1010"/>
      <c r="CM750" s="999"/>
      <c r="CN750" s="1010"/>
      <c r="CO750" s="1010"/>
      <c r="CP750" s="1010"/>
      <c r="CQ750" s="999"/>
      <c r="CR750" s="1010"/>
      <c r="CS750" s="1010"/>
      <c r="CT750" s="1010"/>
      <c r="CU750" s="1009"/>
      <c r="CV750" s="1010"/>
      <c r="CW750" s="1010"/>
      <c r="CX750" s="1010"/>
      <c r="CY750" s="1009"/>
      <c r="CZ750" s="1010"/>
      <c r="DA750" s="1010"/>
      <c r="DB750" s="1010"/>
      <c r="DC750" s="1009"/>
      <c r="DD750" s="1010"/>
      <c r="DE750" s="1010"/>
      <c r="DF750" s="1010"/>
      <c r="DG750" s="1009"/>
      <c r="DH750" s="1010"/>
      <c r="DI750" s="1010"/>
      <c r="DJ750" s="1010"/>
      <c r="DK750" s="1009"/>
      <c r="DL750" s="1010"/>
      <c r="DM750" s="1010"/>
      <c r="DN750" s="1010"/>
      <c r="DO750" s="1010"/>
      <c r="DP750" s="1010"/>
      <c r="DQ750" s="1010"/>
      <c r="DR750" s="1010"/>
      <c r="DS750" s="1010"/>
      <c r="DT750" s="1009"/>
      <c r="DU750" s="1010"/>
      <c r="DV750" s="1010"/>
      <c r="DW750" s="1010"/>
      <c r="DX750" s="1010"/>
      <c r="DY750" s="1009"/>
      <c r="DZ750" s="1010"/>
      <c r="EA750" s="1010"/>
      <c r="EB750" s="1010"/>
      <c r="EC750" s="1009"/>
      <c r="ED750" s="1010"/>
      <c r="EE750" s="1010"/>
      <c r="EF750" s="1010"/>
      <c r="EG750" s="1009"/>
      <c r="EH750" s="1009"/>
      <c r="EI750" s="1009"/>
      <c r="EJ750" s="1009"/>
      <c r="EK750" s="1009"/>
      <c r="EL750" s="1009"/>
      <c r="EM750" s="1009"/>
      <c r="EN750" s="1009"/>
      <c r="EO750" s="1009"/>
      <c r="EP750" s="1009"/>
      <c r="JM750"/>
    </row>
    <row r="751" spans="1:273">
      <c r="A751" s="102" t="s">
        <v>686</v>
      </c>
      <c r="AR751" s="293">
        <f t="shared" ref="AR751:AS758" si="946">AR685</f>
        <v>-191.77072984333205</v>
      </c>
      <c r="AS751" s="293">
        <f t="shared" si="946"/>
        <v>-257.14711501719523</v>
      </c>
      <c r="AT751" s="730"/>
      <c r="AU751" s="730"/>
      <c r="AV751" s="293">
        <f t="shared" ref="AV751:AX758" si="947">AV685</f>
        <v>-168</v>
      </c>
      <c r="AW751" s="293">
        <f t="shared" si="947"/>
        <v>-218</v>
      </c>
      <c r="AX751" s="293">
        <f t="shared" si="947"/>
        <v>-386</v>
      </c>
      <c r="AY751" s="730"/>
      <c r="AZ751" s="293">
        <f t="shared" ref="AZ751:BA758" si="948">AZ685</f>
        <v>-179</v>
      </c>
      <c r="BA751" s="293">
        <f t="shared" si="948"/>
        <v>-201</v>
      </c>
      <c r="BB751" s="293">
        <f>AZ751+BA751</f>
        <v>-380</v>
      </c>
      <c r="BD751" s="293">
        <f t="shared" ref="BD751:BE755" si="949">BD685</f>
        <v>-152</v>
      </c>
      <c r="BE751" s="293">
        <f t="shared" si="949"/>
        <v>-155</v>
      </c>
      <c r="BF751" s="293">
        <f>BD751+BE751</f>
        <v>-307</v>
      </c>
      <c r="BH751" s="293">
        <f t="shared" ref="BH751:BI755" si="950">BH685</f>
        <v>-125</v>
      </c>
      <c r="BI751" s="293">
        <f t="shared" si="950"/>
        <v>-122</v>
      </c>
      <c r="BJ751" s="293">
        <f>BH751+BI751</f>
        <v>-247</v>
      </c>
      <c r="BL751" s="293">
        <f t="shared" ref="BL751:BM755" si="951">BL685</f>
        <v>-132</v>
      </c>
      <c r="BM751" s="293">
        <f t="shared" si="951"/>
        <v>-142</v>
      </c>
      <c r="BN751" s="293">
        <f>BL751+BM751</f>
        <v>-274</v>
      </c>
      <c r="BP751" s="293">
        <f t="shared" ref="BP751:BQ755" si="952">BP685</f>
        <v>-140</v>
      </c>
      <c r="BQ751" s="293">
        <f t="shared" si="952"/>
        <v>-168</v>
      </c>
      <c r="BR751" s="293">
        <f>BP751+BQ751</f>
        <v>-308</v>
      </c>
      <c r="BT751" s="293">
        <f t="shared" ref="BT751:BU755" si="953">BT685</f>
        <v>-163</v>
      </c>
      <c r="BU751" s="293">
        <f t="shared" si="953"/>
        <v>-173</v>
      </c>
      <c r="BV751" s="293">
        <f>BT751+BU751</f>
        <v>-336</v>
      </c>
      <c r="BX751" s="293">
        <f t="shared" ref="BX751:BY755" si="954">BX685</f>
        <v>-178</v>
      </c>
      <c r="BY751" s="293">
        <f t="shared" si="954"/>
        <v>-151</v>
      </c>
      <c r="BZ751" s="293">
        <f>BX751+BY751</f>
        <v>-329</v>
      </c>
      <c r="CB751" s="293">
        <f>CB685</f>
        <v>-160</v>
      </c>
      <c r="CC751" s="293">
        <f t="shared" ref="CC751" si="955">CC685</f>
        <v>-163</v>
      </c>
      <c r="CD751" s="293">
        <f>CB751+CC751</f>
        <v>-323</v>
      </c>
      <c r="CF751" s="293">
        <f t="shared" ref="CF751:CG755" si="956">CF685</f>
        <v>-216</v>
      </c>
      <c r="CG751" s="293">
        <f t="shared" si="956"/>
        <v>-261</v>
      </c>
      <c r="CH751" s="293">
        <f>CF751+CG751</f>
        <v>-477</v>
      </c>
      <c r="CJ751" s="293">
        <f t="shared" ref="CJ751:CK755" si="957">CJ685</f>
        <v>-385</v>
      </c>
      <c r="CK751" s="293">
        <f t="shared" si="957"/>
        <v>-348</v>
      </c>
      <c r="CL751" s="293">
        <f>CJ751+CK751</f>
        <v>-733</v>
      </c>
      <c r="CN751" s="293">
        <f t="shared" ref="CN751:CO755" si="958">CN685</f>
        <v>-361</v>
      </c>
      <c r="CO751" s="293">
        <f t="shared" si="958"/>
        <v>-303</v>
      </c>
      <c r="CP751" s="293">
        <f>CN751+CO751</f>
        <v>-664</v>
      </c>
      <c r="CR751" s="293">
        <f t="shared" ref="CR751:CS755" si="959">CR685</f>
        <v>-254</v>
      </c>
      <c r="CS751" s="293">
        <f t="shared" si="959"/>
        <v>-263</v>
      </c>
      <c r="CT751" s="293">
        <f>CR751+CS751</f>
        <v>-517</v>
      </c>
      <c r="CV751" s="293">
        <f t="shared" ref="CV751:CW751" si="960">CV685</f>
        <v>-286</v>
      </c>
      <c r="CW751" s="293">
        <f t="shared" si="960"/>
        <v>-298</v>
      </c>
      <c r="CX751" s="293">
        <f>CV751+CW751</f>
        <v>-584</v>
      </c>
      <c r="CZ751" s="293">
        <f t="shared" ref="CZ751:DA751" si="961">CZ685</f>
        <v>-320</v>
      </c>
      <c r="DA751" s="293">
        <f t="shared" si="961"/>
        <v>-302</v>
      </c>
      <c r="DB751" s="293">
        <f>CZ751+DA751</f>
        <v>-622</v>
      </c>
      <c r="DD751" s="293">
        <f t="shared" ref="DD751:DE751" si="962">DD685</f>
        <v>-311</v>
      </c>
      <c r="DE751" s="293">
        <f t="shared" si="962"/>
        <v>-307</v>
      </c>
      <c r="DF751" s="293">
        <f>DD751+DE751</f>
        <v>-618</v>
      </c>
      <c r="DH751" s="293">
        <f t="shared" ref="DH751" si="963">DH685</f>
        <v>-293</v>
      </c>
      <c r="DI751" s="293">
        <f t="shared" ref="DI751:DJ751" si="964">DI685</f>
        <v>-317.74499999999995</v>
      </c>
      <c r="DJ751" s="293">
        <f t="shared" si="964"/>
        <v>-610.74499999999989</v>
      </c>
      <c r="DL751" s="293">
        <f t="shared" ref="DL751:DN751" si="965">DL685</f>
        <v>-303.255</v>
      </c>
      <c r="DM751" s="293">
        <f t="shared" si="965"/>
        <v>-328.86607499999991</v>
      </c>
      <c r="DN751" s="293">
        <f t="shared" si="965"/>
        <v>-632.12107499999991</v>
      </c>
      <c r="DO751" s="293"/>
      <c r="DP751" s="293">
        <f t="shared" ref="DP751:DR751" si="966">DP685</f>
        <v>-313.86892499999999</v>
      </c>
      <c r="DQ751" s="293">
        <f t="shared" si="966"/>
        <v>-340.37638762499989</v>
      </c>
      <c r="DR751" s="293">
        <f t="shared" si="966"/>
        <v>-654.24531262499988</v>
      </c>
      <c r="DS751" s="293"/>
      <c r="DU751" s="293"/>
      <c r="DV751" s="293"/>
      <c r="DW751" s="293"/>
      <c r="DX751" s="293"/>
      <c r="DZ751" s="293"/>
      <c r="EA751" s="293"/>
      <c r="EB751" s="293"/>
      <c r="ED751" s="293"/>
      <c r="EE751" s="293"/>
      <c r="EF751" s="293"/>
    </row>
    <row r="752" spans="1:273">
      <c r="A752" s="102" t="s">
        <v>1306</v>
      </c>
      <c r="AR752" s="293">
        <f t="shared" si="946"/>
        <v>-116</v>
      </c>
      <c r="AS752" s="293">
        <f t="shared" si="946"/>
        <v>-158</v>
      </c>
      <c r="AT752" s="730"/>
      <c r="AU752" s="730"/>
      <c r="AV752" s="293">
        <f t="shared" si="947"/>
        <v>-114</v>
      </c>
      <c r="AW752" s="293">
        <f t="shared" si="947"/>
        <v>-134</v>
      </c>
      <c r="AX752" s="293">
        <f t="shared" si="947"/>
        <v>-248</v>
      </c>
      <c r="AY752" s="730"/>
      <c r="AZ752" s="293">
        <f t="shared" si="948"/>
        <v>-153</v>
      </c>
      <c r="BA752" s="293">
        <f t="shared" si="948"/>
        <v>-158</v>
      </c>
      <c r="BB752" s="293">
        <f>AZ752+BA752</f>
        <v>-311</v>
      </c>
      <c r="BD752" s="293">
        <f t="shared" si="949"/>
        <v>-129.66669999999999</v>
      </c>
      <c r="BE752" s="293">
        <f t="shared" si="949"/>
        <v>-135</v>
      </c>
      <c r="BF752" s="293">
        <f>BD752+BE752</f>
        <v>-264.66669999999999</v>
      </c>
      <c r="BH752" s="293">
        <f t="shared" si="950"/>
        <v>-130</v>
      </c>
      <c r="BI752" s="293">
        <f t="shared" si="950"/>
        <v>-137</v>
      </c>
      <c r="BJ752" s="293">
        <f>BH752+BI752</f>
        <v>-267</v>
      </c>
      <c r="BL752" s="293">
        <f t="shared" si="951"/>
        <v>-143</v>
      </c>
      <c r="BM752" s="293">
        <f t="shared" si="951"/>
        <v>-163</v>
      </c>
      <c r="BN752" s="293">
        <f>BL752+BM752</f>
        <v>-306</v>
      </c>
      <c r="BP752" s="293">
        <f t="shared" si="952"/>
        <v>-147</v>
      </c>
      <c r="BQ752" s="293">
        <f t="shared" si="952"/>
        <v>-190</v>
      </c>
      <c r="BR752" s="293">
        <f>BP752+BQ752</f>
        <v>-337</v>
      </c>
      <c r="BT752" s="293">
        <f t="shared" si="953"/>
        <v>-175</v>
      </c>
      <c r="BU752" s="293">
        <f t="shared" si="953"/>
        <v>-180</v>
      </c>
      <c r="BV752" s="293">
        <f>BT752+BU752</f>
        <v>-355</v>
      </c>
      <c r="BX752" s="293">
        <f t="shared" si="954"/>
        <v>-182</v>
      </c>
      <c r="BY752" s="293">
        <f t="shared" si="954"/>
        <v>-190</v>
      </c>
      <c r="BZ752" s="293">
        <f>BX752+BY752</f>
        <v>-372</v>
      </c>
      <c r="CB752" s="293">
        <f>CB686</f>
        <v>-184</v>
      </c>
      <c r="CC752" s="293">
        <f t="shared" ref="CC752" si="967">CC686</f>
        <v>-197</v>
      </c>
      <c r="CD752" s="293">
        <f>CB752+CC752</f>
        <v>-381</v>
      </c>
      <c r="CF752" s="293">
        <f t="shared" si="956"/>
        <v>-236</v>
      </c>
      <c r="CG752" s="293">
        <f t="shared" si="956"/>
        <v>-283</v>
      </c>
      <c r="CH752" s="293">
        <f>CF752+CG752</f>
        <v>-519</v>
      </c>
      <c r="CJ752" s="293">
        <f t="shared" si="957"/>
        <v>-243</v>
      </c>
      <c r="CK752" s="293">
        <f t="shared" si="957"/>
        <v>-262</v>
      </c>
      <c r="CL752" s="293">
        <f>CJ752+CK752</f>
        <v>-505</v>
      </c>
      <c r="CN752" s="293">
        <f t="shared" si="958"/>
        <v>-257</v>
      </c>
      <c r="CO752" s="293">
        <f t="shared" si="958"/>
        <v>-230</v>
      </c>
      <c r="CP752" s="293">
        <f>CN752+CO752</f>
        <v>-487</v>
      </c>
      <c r="CR752" s="293">
        <f t="shared" si="959"/>
        <v>-406</v>
      </c>
      <c r="CS752" s="293">
        <f t="shared" si="959"/>
        <v>-422</v>
      </c>
      <c r="CT752" s="293">
        <f>CR752+CS752</f>
        <v>-828</v>
      </c>
      <c r="CV752" s="293">
        <f t="shared" ref="CV752:CW752" si="968">CV686</f>
        <v>-381</v>
      </c>
      <c r="CW752" s="293">
        <f t="shared" si="968"/>
        <v>-457</v>
      </c>
      <c r="CX752" s="293">
        <f>CV752+CW752</f>
        <v>-838</v>
      </c>
      <c r="CZ752" s="293">
        <f t="shared" ref="CZ752:DA752" si="969">CZ686</f>
        <v>-415</v>
      </c>
      <c r="DA752" s="293">
        <f t="shared" si="969"/>
        <v>-420</v>
      </c>
      <c r="DB752" s="293">
        <f>CZ752+DA752</f>
        <v>-835</v>
      </c>
      <c r="DD752" s="293">
        <f t="shared" ref="DD752:DE752" si="970">DD686</f>
        <v>-419</v>
      </c>
      <c r="DE752" s="293">
        <f t="shared" si="970"/>
        <v>-402</v>
      </c>
      <c r="DF752" s="293">
        <f>DD752+DE752</f>
        <v>-821</v>
      </c>
      <c r="DH752" s="293">
        <f t="shared" ref="DH752" si="971">DH686</f>
        <v>-401</v>
      </c>
      <c r="DI752" s="293">
        <f t="shared" ref="DI752:DJ752" si="972">DI686</f>
        <v>-422.1</v>
      </c>
      <c r="DJ752" s="293">
        <f t="shared" si="972"/>
        <v>-823.1</v>
      </c>
      <c r="DL752" s="293">
        <f t="shared" ref="DL752:DN752" si="973">DL686</f>
        <v>-413.03000000000003</v>
      </c>
      <c r="DM752" s="293">
        <f t="shared" si="973"/>
        <v>-443.20500000000004</v>
      </c>
      <c r="DN752" s="293">
        <f t="shared" si="973"/>
        <v>-856.23500000000013</v>
      </c>
      <c r="DO752" s="293"/>
      <c r="DP752" s="293">
        <f t="shared" ref="DP752:DR752" si="974">DP686</f>
        <v>-437.81180000000006</v>
      </c>
      <c r="DQ752" s="293">
        <f t="shared" si="974"/>
        <v>-474.22935000000007</v>
      </c>
      <c r="DR752" s="293">
        <f t="shared" si="974"/>
        <v>-912.04115000000013</v>
      </c>
      <c r="DS752" s="293"/>
      <c r="DU752" s="293"/>
      <c r="DV752" s="293"/>
      <c r="DW752" s="293"/>
      <c r="DX752" s="293"/>
      <c r="DZ752" s="293"/>
      <c r="EA752" s="293"/>
      <c r="EB752" s="293"/>
      <c r="ED752" s="293"/>
      <c r="EE752" s="293"/>
      <c r="EF752" s="293"/>
    </row>
    <row r="753" spans="1:273">
      <c r="A753" s="102" t="s">
        <v>1024</v>
      </c>
      <c r="AR753" s="293">
        <f t="shared" si="946"/>
        <v>-214</v>
      </c>
      <c r="AS753" s="293">
        <f t="shared" si="946"/>
        <v>-300</v>
      </c>
      <c r="AT753" s="730"/>
      <c r="AU753" s="730"/>
      <c r="AV753" s="293">
        <f t="shared" si="947"/>
        <v>-224</v>
      </c>
      <c r="AW753" s="293">
        <f t="shared" si="947"/>
        <v>-263</v>
      </c>
      <c r="AX753" s="293">
        <f t="shared" si="947"/>
        <v>-487</v>
      </c>
      <c r="AY753" s="730"/>
      <c r="AZ753" s="293">
        <f t="shared" si="948"/>
        <v>-297</v>
      </c>
      <c r="BA753" s="293">
        <f t="shared" si="948"/>
        <v>-387</v>
      </c>
      <c r="BB753" s="293">
        <f>AZ753+BA753</f>
        <v>-684</v>
      </c>
      <c r="BD753" s="293">
        <f t="shared" si="949"/>
        <v>-270.66669999999999</v>
      </c>
      <c r="BE753" s="293">
        <f t="shared" si="949"/>
        <v>-294</v>
      </c>
      <c r="BF753" s="293">
        <f>BD753+BE753</f>
        <v>-564.66669999999999</v>
      </c>
      <c r="BH753" s="293">
        <f t="shared" si="950"/>
        <v>-232</v>
      </c>
      <c r="BI753" s="293">
        <f t="shared" si="950"/>
        <v>-230</v>
      </c>
      <c r="BJ753" s="293">
        <f>BH753+BI753</f>
        <v>-462</v>
      </c>
      <c r="BL753" s="293">
        <f t="shared" si="951"/>
        <v>-239</v>
      </c>
      <c r="BM753" s="293">
        <f t="shared" si="951"/>
        <v>-265</v>
      </c>
      <c r="BN753" s="293">
        <f>BL753+BM753</f>
        <v>-504</v>
      </c>
      <c r="BP753" s="293">
        <f t="shared" si="952"/>
        <v>-260</v>
      </c>
      <c r="BQ753" s="293">
        <f t="shared" si="952"/>
        <v>-274</v>
      </c>
      <c r="BR753" s="293">
        <f>BP753+BQ753</f>
        <v>-534</v>
      </c>
      <c r="BT753" s="293">
        <f t="shared" si="953"/>
        <v>-293</v>
      </c>
      <c r="BU753" s="293">
        <f t="shared" si="953"/>
        <v>-321</v>
      </c>
      <c r="BV753" s="293">
        <f>BT753+BU753</f>
        <v>-614</v>
      </c>
      <c r="BX753" s="293">
        <f t="shared" si="954"/>
        <v>-290</v>
      </c>
      <c r="BY753" s="293">
        <f t="shared" si="954"/>
        <v>-275</v>
      </c>
      <c r="BZ753" s="293">
        <f>BX753+BY753</f>
        <v>-565</v>
      </c>
      <c r="CB753" s="293">
        <f>CB687</f>
        <v>-278</v>
      </c>
      <c r="CC753" s="293">
        <f t="shared" ref="CC753" si="975">CC687</f>
        <v>-320</v>
      </c>
      <c r="CD753" s="293">
        <f>CB753+CC753</f>
        <v>-598</v>
      </c>
      <c r="CF753" s="293">
        <f t="shared" si="956"/>
        <v>-361</v>
      </c>
      <c r="CG753" s="293">
        <f t="shared" si="956"/>
        <v>-420</v>
      </c>
      <c r="CH753" s="293">
        <f>CF753+CG753</f>
        <v>-781</v>
      </c>
      <c r="CJ753" s="293">
        <f t="shared" si="957"/>
        <v>-276</v>
      </c>
      <c r="CK753" s="293">
        <f t="shared" si="957"/>
        <v>-308</v>
      </c>
      <c r="CL753" s="293">
        <f>CJ753+CK753</f>
        <v>-584</v>
      </c>
      <c r="CN753" s="293">
        <f t="shared" si="958"/>
        <v>-298</v>
      </c>
      <c r="CO753" s="293">
        <f t="shared" si="958"/>
        <v>-284</v>
      </c>
      <c r="CP753" s="293">
        <f>CN753+CO753</f>
        <v>-582</v>
      </c>
      <c r="CR753" s="293">
        <f t="shared" si="959"/>
        <v>-286</v>
      </c>
      <c r="CS753" s="293">
        <f t="shared" si="959"/>
        <v>-305</v>
      </c>
      <c r="CT753" s="293">
        <f>CR753+CS753</f>
        <v>-591</v>
      </c>
      <c r="CV753" s="293">
        <f t="shared" ref="CV753:CW753" si="976">CV687</f>
        <v>-336</v>
      </c>
      <c r="CW753" s="293">
        <f t="shared" si="976"/>
        <v>-388</v>
      </c>
      <c r="CX753" s="293">
        <f>CV753+CW753</f>
        <v>-724</v>
      </c>
      <c r="CZ753" s="293">
        <f t="shared" ref="CZ753:DA753" si="977">CZ687</f>
        <v>-401</v>
      </c>
      <c r="DA753" s="293">
        <f t="shared" si="977"/>
        <v>-410</v>
      </c>
      <c r="DB753" s="293">
        <f>CZ753+DA753</f>
        <v>-811</v>
      </c>
      <c r="DD753" s="293">
        <f t="shared" ref="DD753:DE753" si="978">DD687</f>
        <v>-403</v>
      </c>
      <c r="DE753" s="293">
        <f t="shared" si="978"/>
        <v>-401</v>
      </c>
      <c r="DF753" s="293">
        <f>DD753+DE753</f>
        <v>-804</v>
      </c>
      <c r="DH753" s="293">
        <f t="shared" ref="DH753" si="979">DH687</f>
        <v>-438</v>
      </c>
      <c r="DI753" s="293">
        <f t="shared" ref="DI753:DJ753" si="980">DI687</f>
        <v>-423.05499999999995</v>
      </c>
      <c r="DJ753" s="293">
        <f t="shared" si="980"/>
        <v>-861.05499999999995</v>
      </c>
      <c r="DL753" s="293">
        <f t="shared" ref="DL753:DN753" si="981">DL687</f>
        <v>-418.28999999999996</v>
      </c>
      <c r="DM753" s="293">
        <f t="shared" si="981"/>
        <v>-433.63137499999993</v>
      </c>
      <c r="DN753" s="293">
        <f t="shared" si="981"/>
        <v>-851.9213749999999</v>
      </c>
      <c r="DO753" s="293"/>
      <c r="DP753" s="293">
        <f t="shared" ref="DP753:DR753" si="982">DP687</f>
        <v>-432.93014999999991</v>
      </c>
      <c r="DQ753" s="293">
        <f t="shared" si="982"/>
        <v>-448.80847312499992</v>
      </c>
      <c r="DR753" s="293">
        <f t="shared" si="982"/>
        <v>-881.73862312499978</v>
      </c>
      <c r="DS753" s="293"/>
      <c r="DU753" s="293"/>
      <c r="DV753" s="293"/>
      <c r="DW753" s="293"/>
      <c r="DX753" s="293"/>
      <c r="DZ753" s="293"/>
      <c r="EA753" s="293"/>
      <c r="EB753" s="293"/>
      <c r="ED753" s="293"/>
      <c r="EE753" s="293"/>
      <c r="EF753" s="293"/>
    </row>
    <row r="754" spans="1:273">
      <c r="A754" s="102" t="s">
        <v>690</v>
      </c>
      <c r="AR754" s="293">
        <f t="shared" si="946"/>
        <v>-37</v>
      </c>
      <c r="AS754" s="293">
        <f t="shared" si="946"/>
        <v>-46</v>
      </c>
      <c r="AT754" s="730"/>
      <c r="AU754" s="730"/>
      <c r="AV754" s="293">
        <f t="shared" si="947"/>
        <v>-44</v>
      </c>
      <c r="AW754" s="293">
        <f t="shared" si="947"/>
        <v>-55</v>
      </c>
      <c r="AX754" s="293">
        <f t="shared" si="947"/>
        <v>-99</v>
      </c>
      <c r="AY754" s="730"/>
      <c r="AZ754" s="293">
        <f t="shared" si="948"/>
        <v>-72</v>
      </c>
      <c r="BA754" s="293">
        <f t="shared" si="948"/>
        <v>-77</v>
      </c>
      <c r="BB754" s="293">
        <f>AZ754+BA754</f>
        <v>-149</v>
      </c>
      <c r="BD754" s="293">
        <f t="shared" si="949"/>
        <v>-69.666669999999996</v>
      </c>
      <c r="BE754" s="293">
        <f t="shared" si="949"/>
        <v>-95</v>
      </c>
      <c r="BF754" s="293">
        <f>BD754+BE754</f>
        <v>-164.66667000000001</v>
      </c>
      <c r="BH754" s="293">
        <f t="shared" si="950"/>
        <v>-77</v>
      </c>
      <c r="BI754" s="293">
        <f t="shared" si="950"/>
        <v>-75</v>
      </c>
      <c r="BJ754" s="293">
        <f>BH754+BI754</f>
        <v>-152</v>
      </c>
      <c r="BL754" s="293">
        <f t="shared" si="951"/>
        <v>-82</v>
      </c>
      <c r="BM754" s="293">
        <f t="shared" si="951"/>
        <v>-94</v>
      </c>
      <c r="BN754" s="293">
        <f>BL754+BM754</f>
        <v>-176</v>
      </c>
      <c r="BP754" s="293">
        <f t="shared" si="952"/>
        <v>-97</v>
      </c>
      <c r="BQ754" s="293">
        <f t="shared" si="952"/>
        <v>-116</v>
      </c>
      <c r="BR754" s="293">
        <f>BP754+BQ754</f>
        <v>-213</v>
      </c>
      <c r="BT754" s="293">
        <f t="shared" si="953"/>
        <v>-108</v>
      </c>
      <c r="BU754" s="293">
        <f t="shared" si="953"/>
        <v>-131</v>
      </c>
      <c r="BV754" s="293">
        <f>BT754+BU754</f>
        <v>-239</v>
      </c>
      <c r="BX754" s="293">
        <f t="shared" si="954"/>
        <v>-135</v>
      </c>
      <c r="BY754" s="293">
        <f t="shared" si="954"/>
        <v>-132</v>
      </c>
      <c r="BZ754" s="293">
        <f>BX754+BY754</f>
        <v>-267</v>
      </c>
      <c r="CB754" s="293">
        <f>CB688</f>
        <v>-102</v>
      </c>
      <c r="CC754" s="293">
        <f t="shared" ref="CC754" si="983">CC688</f>
        <v>-115</v>
      </c>
      <c r="CD754" s="293">
        <f>CB754+CC754</f>
        <v>-217</v>
      </c>
      <c r="CF754" s="293">
        <f t="shared" si="956"/>
        <v>0</v>
      </c>
      <c r="CG754" s="293">
        <f t="shared" si="956"/>
        <v>0</v>
      </c>
      <c r="CH754" s="293">
        <f>CF754+CG754</f>
        <v>0</v>
      </c>
      <c r="CJ754" s="293">
        <f t="shared" si="957"/>
        <v>0</v>
      </c>
      <c r="CK754" s="293">
        <f t="shared" si="957"/>
        <v>0</v>
      </c>
      <c r="CL754" s="293">
        <f>CJ754+CK754</f>
        <v>0</v>
      </c>
      <c r="CN754" s="293">
        <f t="shared" si="958"/>
        <v>0</v>
      </c>
      <c r="CO754" s="293">
        <f t="shared" si="958"/>
        <v>0</v>
      </c>
      <c r="CP754" s="293">
        <f>CN754+CO754</f>
        <v>0</v>
      </c>
      <c r="CR754" s="293">
        <f t="shared" si="959"/>
        <v>0</v>
      </c>
      <c r="CS754" s="293">
        <f t="shared" si="959"/>
        <v>0</v>
      </c>
      <c r="CT754" s="293">
        <f>CR754+CS754</f>
        <v>0</v>
      </c>
      <c r="CV754" s="293">
        <f t="shared" ref="CV754:CW754" si="984">CV688</f>
        <v>0</v>
      </c>
      <c r="CW754" s="293">
        <f t="shared" si="984"/>
        <v>0</v>
      </c>
      <c r="CX754" s="293">
        <f>CV754+CW754</f>
        <v>0</v>
      </c>
      <c r="CZ754" s="293">
        <f t="shared" ref="CZ754:DA754" si="985">CZ688</f>
        <v>0</v>
      </c>
      <c r="DA754" s="293">
        <f t="shared" si="985"/>
        <v>0</v>
      </c>
      <c r="DB754" s="293">
        <f>CZ754+DA754</f>
        <v>0</v>
      </c>
      <c r="DD754" s="293">
        <f t="shared" ref="DD754:DE754" si="986">DD688</f>
        <v>0</v>
      </c>
      <c r="DE754" s="293">
        <f t="shared" si="986"/>
        <v>0</v>
      </c>
      <c r="DF754" s="293">
        <f>DD754+DE754</f>
        <v>0</v>
      </c>
      <c r="DH754" s="293">
        <f t="shared" ref="DH754" si="987">DH688</f>
        <v>0</v>
      </c>
      <c r="DI754" s="293">
        <f t="shared" ref="DI754:DJ754" si="988">DI688</f>
        <v>0</v>
      </c>
      <c r="DJ754" s="293">
        <f t="shared" si="988"/>
        <v>0</v>
      </c>
      <c r="DL754" s="293">
        <f t="shared" ref="DL754:DN754" si="989">DL688</f>
        <v>0</v>
      </c>
      <c r="DM754" s="293">
        <f t="shared" si="989"/>
        <v>0</v>
      </c>
      <c r="DN754" s="293">
        <f t="shared" si="989"/>
        <v>0</v>
      </c>
      <c r="DO754" s="293"/>
      <c r="DP754" s="293">
        <f t="shared" ref="DP754:DR754" si="990">DP688</f>
        <v>0</v>
      </c>
      <c r="DQ754" s="293">
        <f t="shared" si="990"/>
        <v>0</v>
      </c>
      <c r="DR754" s="293">
        <f t="shared" si="990"/>
        <v>0</v>
      </c>
      <c r="DS754" s="293"/>
      <c r="DU754" s="293"/>
      <c r="DV754" s="293"/>
      <c r="DW754" s="293"/>
      <c r="DX754" s="293"/>
      <c r="DZ754" s="293"/>
      <c r="EA754" s="293"/>
      <c r="EB754" s="293"/>
      <c r="ED754" s="293"/>
      <c r="EE754" s="293"/>
      <c r="EF754" s="293"/>
    </row>
    <row r="755" spans="1:273">
      <c r="A755" s="102" t="s">
        <v>689</v>
      </c>
      <c r="AR755" s="293">
        <f t="shared" si="946"/>
        <v>-214</v>
      </c>
      <c r="AS755" s="293">
        <f t="shared" si="946"/>
        <v>-180</v>
      </c>
      <c r="AT755" s="730"/>
      <c r="AU755" s="730"/>
      <c r="AV755" s="293">
        <f t="shared" si="947"/>
        <v>-182</v>
      </c>
      <c r="AW755" s="293">
        <f t="shared" si="947"/>
        <v>-226</v>
      </c>
      <c r="AX755" s="293">
        <f t="shared" si="947"/>
        <v>-408</v>
      </c>
      <c r="AY755" s="730"/>
      <c r="AZ755" s="293">
        <f t="shared" si="948"/>
        <v>-253.333</v>
      </c>
      <c r="BA755" s="293">
        <f t="shared" si="948"/>
        <v>-253.33330000000001</v>
      </c>
      <c r="BB755" s="293">
        <f>AZ755+BA755</f>
        <v>-506.66629999999998</v>
      </c>
      <c r="BD755" s="293">
        <f t="shared" si="949"/>
        <v>-237.66669999999999</v>
      </c>
      <c r="BE755" s="293">
        <f t="shared" si="949"/>
        <v>-216.16650000000001</v>
      </c>
      <c r="BF755" s="293">
        <f>BD755+BE755</f>
        <v>-453.83320000000003</v>
      </c>
      <c r="BH755" s="293">
        <f t="shared" si="950"/>
        <v>-221</v>
      </c>
      <c r="BI755" s="293">
        <f t="shared" si="950"/>
        <v>-212</v>
      </c>
      <c r="BJ755" s="293">
        <f>BH755+BI755</f>
        <v>-433</v>
      </c>
      <c r="BL755" s="293">
        <f t="shared" si="951"/>
        <v>-218</v>
      </c>
      <c r="BM755" s="293">
        <f t="shared" si="951"/>
        <v>-186</v>
      </c>
      <c r="BN755" s="293">
        <f>BL755+BM755</f>
        <v>-404</v>
      </c>
      <c r="BP755" s="293">
        <f t="shared" si="952"/>
        <v>-190</v>
      </c>
      <c r="BQ755" s="293">
        <f t="shared" si="952"/>
        <v>-182</v>
      </c>
      <c r="BR755" s="293">
        <f>BP755+BQ755</f>
        <v>-372</v>
      </c>
      <c r="BT755" s="293">
        <f t="shared" si="953"/>
        <v>-177</v>
      </c>
      <c r="BU755" s="293">
        <f t="shared" si="953"/>
        <v>-168</v>
      </c>
      <c r="BV755" s="293">
        <f>BT755+BU755</f>
        <v>-345</v>
      </c>
      <c r="BX755" s="293">
        <f t="shared" si="954"/>
        <v>-171</v>
      </c>
      <c r="BY755" s="293">
        <f t="shared" si="954"/>
        <v>-155</v>
      </c>
      <c r="BZ755" s="293">
        <f>BX755+BY755</f>
        <v>-326</v>
      </c>
      <c r="CB755" s="293">
        <f>CB689</f>
        <v>-205</v>
      </c>
      <c r="CC755" s="293">
        <f t="shared" ref="CC755" si="991">CC689</f>
        <v>-218</v>
      </c>
      <c r="CD755" s="293">
        <f>CB755+CC755</f>
        <v>-423</v>
      </c>
      <c r="CF755" s="293">
        <f t="shared" si="956"/>
        <v>-219</v>
      </c>
      <c r="CG755" s="293">
        <f t="shared" si="956"/>
        <v>-202</v>
      </c>
      <c r="CH755" s="293">
        <f>CF755+CG755</f>
        <v>-421</v>
      </c>
      <c r="CJ755" s="293">
        <f t="shared" si="957"/>
        <v>-183</v>
      </c>
      <c r="CK755" s="293">
        <f t="shared" si="957"/>
        <v>-172</v>
      </c>
      <c r="CL755" s="293">
        <f>CJ755+CK755</f>
        <v>-355</v>
      </c>
      <c r="CN755" s="293">
        <f t="shared" si="958"/>
        <v>-197</v>
      </c>
      <c r="CO755" s="293">
        <f t="shared" si="958"/>
        <v>-193</v>
      </c>
      <c r="CP755" s="293">
        <f>CN755+CO755</f>
        <v>-390</v>
      </c>
      <c r="CR755" s="293">
        <f t="shared" si="959"/>
        <v>-219</v>
      </c>
      <c r="CS755" s="293">
        <f t="shared" si="959"/>
        <v>-227</v>
      </c>
      <c r="CT755" s="293">
        <f>CR755+CS755</f>
        <v>-446</v>
      </c>
      <c r="CV755" s="293">
        <f t="shared" ref="CV755:CW755" si="992">CV689</f>
        <v>-262</v>
      </c>
      <c r="CW755" s="293">
        <f t="shared" si="992"/>
        <v>-268</v>
      </c>
      <c r="CX755" s="293">
        <f>CV755+CW755</f>
        <v>-530</v>
      </c>
      <c r="CZ755" s="293">
        <f t="shared" ref="CZ755:DA755" si="993">CZ689</f>
        <v>-321</v>
      </c>
      <c r="DA755" s="293">
        <f t="shared" si="993"/>
        <v>-314</v>
      </c>
      <c r="DB755" s="293">
        <f>CZ755+DA755</f>
        <v>-635</v>
      </c>
      <c r="DD755" s="293">
        <f t="shared" ref="DD755:DE755" si="994">DD689</f>
        <v>-294</v>
      </c>
      <c r="DE755" s="293">
        <f t="shared" si="994"/>
        <v>-256</v>
      </c>
      <c r="DF755" s="293">
        <f>DD755+DE755</f>
        <v>-550</v>
      </c>
      <c r="DH755" s="293">
        <f t="shared" ref="DH755" si="995">DH689</f>
        <v>-234</v>
      </c>
      <c r="DI755" s="293">
        <f t="shared" ref="DI755:DJ755" si="996">DI689</f>
        <v>-250.88</v>
      </c>
      <c r="DJ755" s="293">
        <f t="shared" si="996"/>
        <v>-484.88</v>
      </c>
      <c r="DL755" s="293">
        <f t="shared" ref="DL755:DN755" si="997">DL689</f>
        <v>-241.02</v>
      </c>
      <c r="DM755" s="293">
        <f t="shared" si="997"/>
        <v>-258.40640000000002</v>
      </c>
      <c r="DN755" s="293">
        <f t="shared" si="997"/>
        <v>-499.42640000000006</v>
      </c>
      <c r="DO755" s="293"/>
      <c r="DP755" s="293">
        <f t="shared" ref="DP755:DR755" si="998">DP689</f>
        <v>-248.25060000000002</v>
      </c>
      <c r="DQ755" s="293">
        <f t="shared" si="998"/>
        <v>-266.158592</v>
      </c>
      <c r="DR755" s="293">
        <f t="shared" si="998"/>
        <v>-514.40919200000008</v>
      </c>
      <c r="DS755" s="293"/>
      <c r="DU755" s="293"/>
      <c r="DV755" s="293"/>
      <c r="DW755" s="293"/>
      <c r="DX755" s="293"/>
      <c r="DZ755" s="293"/>
      <c r="EA755" s="293"/>
      <c r="EB755" s="293"/>
      <c r="ED755" s="293"/>
      <c r="EE755" s="293"/>
      <c r="EF755" s="293"/>
    </row>
    <row r="756" spans="1:273">
      <c r="A756" s="102" t="s">
        <v>688</v>
      </c>
      <c r="AR756" s="293">
        <f t="shared" si="946"/>
        <v>-12</v>
      </c>
      <c r="AS756" s="293">
        <f t="shared" si="946"/>
        <v>-12</v>
      </c>
      <c r="AT756" s="730"/>
      <c r="AU756" s="730"/>
      <c r="AV756" s="293">
        <f t="shared" si="947"/>
        <v>-6</v>
      </c>
      <c r="AW756" s="293">
        <f t="shared" si="947"/>
        <v>-5</v>
      </c>
      <c r="AX756" s="293">
        <f t="shared" si="947"/>
        <v>-11</v>
      </c>
      <c r="AY756" s="730"/>
      <c r="AZ756" s="293">
        <f t="shared" si="948"/>
        <v>-5</v>
      </c>
      <c r="BA756" s="293">
        <f t="shared" si="948"/>
        <v>-6</v>
      </c>
      <c r="BD756" s="293"/>
      <c r="BE756" s="293"/>
      <c r="BH756" s="293"/>
      <c r="BI756" s="293"/>
      <c r="BL756" s="293"/>
      <c r="BM756" s="293"/>
      <c r="BP756" s="293"/>
      <c r="BQ756" s="293"/>
      <c r="BT756" s="293"/>
      <c r="BU756" s="293"/>
      <c r="BX756" s="293"/>
      <c r="BY756" s="293"/>
      <c r="CB756" s="293"/>
      <c r="CC756" s="293"/>
      <c r="CF756" s="293"/>
      <c r="CG756" s="293"/>
      <c r="CJ756" s="293"/>
      <c r="CK756" s="293"/>
      <c r="CN756" s="293"/>
      <c r="CO756" s="293"/>
      <c r="CR756" s="293"/>
      <c r="CS756" s="293"/>
      <c r="CV756" s="293"/>
      <c r="CW756" s="293"/>
      <c r="CZ756" s="293"/>
      <c r="DA756" s="293"/>
      <c r="DD756" s="293"/>
      <c r="DE756" s="293"/>
      <c r="DH756" s="293"/>
      <c r="DI756" s="293"/>
      <c r="DJ756" s="293"/>
      <c r="DL756" s="293"/>
      <c r="DM756" s="293"/>
      <c r="DN756" s="293"/>
      <c r="DO756" s="293"/>
      <c r="DP756" s="293"/>
      <c r="DQ756" s="293"/>
      <c r="DR756" s="293"/>
      <c r="DS756" s="293"/>
      <c r="DU756" s="293"/>
      <c r="DV756" s="293"/>
      <c r="DW756" s="293"/>
      <c r="DZ756" s="293"/>
      <c r="EA756" s="293"/>
      <c r="ED756" s="293"/>
      <c r="EE756" s="293"/>
    </row>
    <row r="757" spans="1:273" s="477" customFormat="1">
      <c r="A757" s="477" t="s">
        <v>1299</v>
      </c>
      <c r="B757" s="478"/>
      <c r="AN757" s="478"/>
      <c r="AO757" s="478"/>
      <c r="AP757" s="478"/>
      <c r="AQ757" s="478"/>
      <c r="AR757" s="1070">
        <f t="shared" si="946"/>
        <v>-480</v>
      </c>
      <c r="AS757" s="1070">
        <f t="shared" si="946"/>
        <v>-143</v>
      </c>
      <c r="AT757" s="1581"/>
      <c r="AU757" s="1581"/>
      <c r="AV757" s="1070">
        <f t="shared" si="947"/>
        <v>-771</v>
      </c>
      <c r="AW757" s="1070">
        <f t="shared" si="947"/>
        <v>-692</v>
      </c>
      <c r="AX757" s="1070">
        <f t="shared" si="947"/>
        <v>-1463</v>
      </c>
      <c r="AY757" s="1581"/>
      <c r="AZ757" s="1070">
        <f t="shared" si="948"/>
        <v>-936.33330000000001</v>
      </c>
      <c r="BA757" s="1070">
        <f t="shared" si="948"/>
        <v>-911.33333000000005</v>
      </c>
      <c r="BB757" s="1070">
        <f>AZ757+BA757</f>
        <v>-1847.6666300000002</v>
      </c>
      <c r="BC757" s="478"/>
      <c r="BD757" s="1070">
        <f>BD691</f>
        <v>-792.66666999999995</v>
      </c>
      <c r="BE757" s="1070">
        <f>BE691</f>
        <v>-1012.333</v>
      </c>
      <c r="BF757" s="1070">
        <f>BD757+BE757</f>
        <v>-1804.9996699999999</v>
      </c>
      <c r="BG757" s="478"/>
      <c r="BH757" s="1070">
        <f>BH691</f>
        <v>-753</v>
      </c>
      <c r="BI757" s="1070">
        <f>BI691</f>
        <v>-959</v>
      </c>
      <c r="BJ757" s="1070">
        <f>BH757+BI757</f>
        <v>-1712</v>
      </c>
      <c r="BK757" s="478"/>
      <c r="BL757" s="1070">
        <f>BL691</f>
        <v>-916</v>
      </c>
      <c r="BM757" s="1070">
        <f>BM691</f>
        <v>-1156</v>
      </c>
      <c r="BN757" s="1070">
        <f>BL757+BM757</f>
        <v>-2072</v>
      </c>
      <c r="BO757" s="478"/>
      <c r="BP757" s="1070">
        <f>BP691</f>
        <v>-1110</v>
      </c>
      <c r="BQ757" s="1070">
        <f>BQ691</f>
        <v>-1269</v>
      </c>
      <c r="BR757" s="1070">
        <f>BP757+BQ757</f>
        <v>-2379</v>
      </c>
      <c r="BS757" s="478"/>
      <c r="BT757" s="1070">
        <f>BT691</f>
        <v>-1347</v>
      </c>
      <c r="BU757" s="1070">
        <f>BU691</f>
        <v>-1008</v>
      </c>
      <c r="BV757" s="1070">
        <f>BT757+BU757</f>
        <v>-2355</v>
      </c>
      <c r="BW757" s="478"/>
      <c r="BX757" s="1070">
        <f>BX691</f>
        <v>-1334</v>
      </c>
      <c r="BY757" s="1070">
        <f>BY691</f>
        <v>-1186</v>
      </c>
      <c r="BZ757" s="1070">
        <f>BX757+BY757</f>
        <v>-2520</v>
      </c>
      <c r="CA757" s="478"/>
      <c r="CB757" s="1070">
        <f>CB691</f>
        <v>-1332</v>
      </c>
      <c r="CC757" s="1070">
        <f>CC691</f>
        <v>-1219</v>
      </c>
      <c r="CD757" s="1070">
        <f>CB757+CC757</f>
        <v>-2551</v>
      </c>
      <c r="CE757" s="470"/>
      <c r="CF757" s="1070">
        <f>CF691</f>
        <v>-1422</v>
      </c>
      <c r="CG757" s="1070">
        <f>CG691</f>
        <v>-1597</v>
      </c>
      <c r="CH757" s="1070">
        <f>CF757+CG757</f>
        <v>-3019</v>
      </c>
      <c r="CI757" s="470"/>
      <c r="CJ757" s="1070">
        <f>CJ691</f>
        <v>-1689</v>
      </c>
      <c r="CK757" s="1070">
        <f>CK691</f>
        <v>-1457</v>
      </c>
      <c r="CL757" s="1070">
        <f>CJ757+CK757</f>
        <v>-3146</v>
      </c>
      <c r="CM757" s="470"/>
      <c r="CN757" s="1070">
        <f>CN691</f>
        <v>-1502</v>
      </c>
      <c r="CO757" s="1070">
        <f>CO691</f>
        <v>-1892</v>
      </c>
      <c r="CP757" s="1070">
        <f>CN757+CO757</f>
        <v>-3394</v>
      </c>
      <c r="CQ757" s="470"/>
      <c r="CR757" s="1070">
        <f>CR691</f>
        <v>-1999</v>
      </c>
      <c r="CS757" s="1070">
        <f>CS691</f>
        <v>-2344</v>
      </c>
      <c r="CT757" s="1070">
        <f>CR757+CS757</f>
        <v>-4343</v>
      </c>
      <c r="CU757" s="478"/>
      <c r="CV757" s="1070">
        <f>CV691</f>
        <v>-2348</v>
      </c>
      <c r="CW757" s="1070">
        <f>CW691</f>
        <v>-2678</v>
      </c>
      <c r="CX757" s="1070">
        <f>CV757+CW757</f>
        <v>-5026</v>
      </c>
      <c r="CY757" s="478"/>
      <c r="CZ757" s="1070">
        <f>CZ691</f>
        <v>-2277</v>
      </c>
      <c r="DA757" s="1070">
        <f>DA691</f>
        <v>-2544</v>
      </c>
      <c r="DB757" s="1070">
        <f>CZ757+DA757</f>
        <v>-4821</v>
      </c>
      <c r="DC757" s="478"/>
      <c r="DD757" s="1070">
        <f>DD691</f>
        <v>-2238</v>
      </c>
      <c r="DE757" s="1070">
        <f>DE691</f>
        <v>-2454</v>
      </c>
      <c r="DF757" s="1070">
        <f>DD757+DE757</f>
        <v>-4692</v>
      </c>
      <c r="DG757" s="478"/>
      <c r="DH757" s="1070">
        <f>DH691</f>
        <v>-2448</v>
      </c>
      <c r="DI757" s="1070">
        <f t="shared" ref="DI757:DJ757" si="999">DI691</f>
        <v>-2699.5052697586584</v>
      </c>
      <c r="DJ757" s="1070">
        <f t="shared" si="999"/>
        <v>-5147.505269758658</v>
      </c>
      <c r="DK757" s="478"/>
      <c r="DL757" s="1070">
        <f t="shared" ref="DL757:DN757" si="1000">DL691</f>
        <v>-2691.4251175485379</v>
      </c>
      <c r="DM757" s="1070">
        <f t="shared" si="1000"/>
        <v>-2732.7595206362666</v>
      </c>
      <c r="DN757" s="1070">
        <f t="shared" si="1000"/>
        <v>-5424.1846381848045</v>
      </c>
      <c r="DO757" s="1070"/>
      <c r="DP757" s="1070">
        <f t="shared" ref="DP757:DR757" si="1001">DP691</f>
        <v>-2835.5751396201604</v>
      </c>
      <c r="DQ757" s="1070">
        <f t="shared" si="1001"/>
        <v>-2895.073399255497</v>
      </c>
      <c r="DR757" s="1070">
        <f t="shared" si="1001"/>
        <v>-5730.6485388756573</v>
      </c>
      <c r="DS757" s="1070"/>
      <c r="DT757" s="478"/>
      <c r="DU757" s="1070"/>
      <c r="DV757" s="1070"/>
      <c r="DW757" s="1070"/>
      <c r="DX757" s="1070"/>
      <c r="DY757" s="478"/>
      <c r="DZ757" s="1070"/>
      <c r="EA757" s="1070"/>
      <c r="EB757" s="1070"/>
      <c r="EC757" s="478"/>
      <c r="ED757" s="1070"/>
      <c r="EE757" s="1070"/>
      <c r="EF757" s="1070"/>
      <c r="EG757" s="478"/>
      <c r="EH757" s="478"/>
      <c r="EI757" s="478"/>
      <c r="EJ757" s="478"/>
      <c r="EK757" s="478"/>
      <c r="EL757" s="478"/>
      <c r="EM757" s="478"/>
      <c r="EN757" s="478"/>
      <c r="EO757" s="478"/>
      <c r="EP757" s="478"/>
      <c r="JM757"/>
    </row>
    <row r="758" spans="1:273">
      <c r="A758" s="289" t="s">
        <v>696</v>
      </c>
      <c r="AR758" s="295">
        <f t="shared" si="946"/>
        <v>-1264.770729843332</v>
      </c>
      <c r="AS758" s="295">
        <f t="shared" si="946"/>
        <v>-1096.1471150171951</v>
      </c>
      <c r="AT758" s="730"/>
      <c r="AU758" s="730"/>
      <c r="AV758" s="295">
        <f t="shared" si="947"/>
        <v>-1509</v>
      </c>
      <c r="AW758" s="295">
        <f t="shared" si="947"/>
        <v>-1593</v>
      </c>
      <c r="AX758" s="295">
        <f t="shared" si="947"/>
        <v>-3102</v>
      </c>
      <c r="AY758" s="730"/>
      <c r="AZ758" s="295">
        <f t="shared" si="948"/>
        <v>-1895.6662999999999</v>
      </c>
      <c r="BA758" s="295">
        <f t="shared" si="948"/>
        <v>-1993.6666300000002</v>
      </c>
      <c r="BB758" s="295">
        <f>+BA758+AZ758</f>
        <v>-3889.33293</v>
      </c>
      <c r="BD758" s="295">
        <f>BD692</f>
        <v>-1652.3334399999999</v>
      </c>
      <c r="BE758" s="295">
        <f>BE692</f>
        <v>-1907.4994999999999</v>
      </c>
      <c r="BF758" s="295">
        <f>+BE758+BD758</f>
        <v>-3559.8329399999998</v>
      </c>
      <c r="BH758" s="295">
        <f>BH692</f>
        <v>-1538</v>
      </c>
      <c r="BI758" s="295">
        <f>BI692</f>
        <v>-1735</v>
      </c>
      <c r="BJ758" s="295">
        <f>+BI758+BH758</f>
        <v>-3273</v>
      </c>
      <c r="BL758" s="295">
        <f>BL692</f>
        <v>-1730</v>
      </c>
      <c r="BM758" s="295">
        <f>BM692</f>
        <v>-2006</v>
      </c>
      <c r="BN758" s="295">
        <f>+BM758+BL758</f>
        <v>-3736</v>
      </c>
      <c r="BP758" s="295">
        <f>BP692</f>
        <v>-1944</v>
      </c>
      <c r="BQ758" s="295">
        <f>BQ692</f>
        <v>-2199</v>
      </c>
      <c r="BR758" s="295">
        <f>+BQ758+BP758</f>
        <v>-4143</v>
      </c>
      <c r="BT758" s="295">
        <f>BT692</f>
        <v>-2263</v>
      </c>
      <c r="BU758" s="295">
        <f>BU692</f>
        <v>-1981</v>
      </c>
      <c r="BV758" s="295">
        <f>+BU758+BT758</f>
        <v>-4244</v>
      </c>
      <c r="BX758" s="295">
        <f>BX692</f>
        <v>-2290</v>
      </c>
      <c r="BY758" s="295">
        <f>BY692</f>
        <v>-2089</v>
      </c>
      <c r="BZ758" s="295">
        <f>+BY758+BX758</f>
        <v>-4379</v>
      </c>
      <c r="CB758" s="295">
        <f>CB692</f>
        <v>-2261</v>
      </c>
      <c r="CC758" s="295">
        <f>CC692</f>
        <v>-2232</v>
      </c>
      <c r="CD758" s="295">
        <f>+CC758+CB758</f>
        <v>-4493</v>
      </c>
      <c r="CF758" s="295">
        <f>CF692</f>
        <v>-2454</v>
      </c>
      <c r="CG758" s="295">
        <f>CG692</f>
        <v>-2763</v>
      </c>
      <c r="CH758" s="295">
        <f>+CG758+CF758</f>
        <v>-5217</v>
      </c>
      <c r="CJ758" s="295">
        <f>CJ692</f>
        <v>-2776</v>
      </c>
      <c r="CK758" s="295">
        <f>CK692</f>
        <v>-2547</v>
      </c>
      <c r="CL758" s="295">
        <f>+CK758+CJ758</f>
        <v>-5323</v>
      </c>
      <c r="CN758" s="295">
        <f>CN692</f>
        <v>-2615</v>
      </c>
      <c r="CO758" s="295">
        <f>CO692</f>
        <v>-2902</v>
      </c>
      <c r="CP758" s="295">
        <f>+CO758+CN758</f>
        <v>-5517</v>
      </c>
      <c r="CR758" s="295">
        <f>CR692</f>
        <v>-3164</v>
      </c>
      <c r="CS758" s="295">
        <f>CS692</f>
        <v>-3561</v>
      </c>
      <c r="CT758" s="295">
        <f>+CS758+CR758</f>
        <v>-6725</v>
      </c>
      <c r="CV758" s="295">
        <f>CV692</f>
        <v>-3613</v>
      </c>
      <c r="CW758" s="295">
        <f>CW692</f>
        <v>-4090</v>
      </c>
      <c r="CX758" s="295">
        <f>+CW758+CV758</f>
        <v>-7703</v>
      </c>
      <c r="CZ758" s="295">
        <f>CZ692</f>
        <v>-3734</v>
      </c>
      <c r="DA758" s="295">
        <f>DA692</f>
        <v>-3989</v>
      </c>
      <c r="DB758" s="295">
        <f>+DA758+CZ758</f>
        <v>-7723</v>
      </c>
      <c r="DD758" s="295">
        <f>DD692</f>
        <v>-3756</v>
      </c>
      <c r="DE758" s="295">
        <f>DE692</f>
        <v>-3904</v>
      </c>
      <c r="DF758" s="295">
        <f>+DE758+DD758</f>
        <v>-7660</v>
      </c>
      <c r="DH758" s="295">
        <f>DH692</f>
        <v>-3956</v>
      </c>
      <c r="DI758" s="295">
        <f t="shared" ref="DI758:DJ758" si="1002">DI692</f>
        <v>-4113.2852697586586</v>
      </c>
      <c r="DJ758" s="295">
        <f t="shared" si="1002"/>
        <v>-8069.2852697586586</v>
      </c>
      <c r="DL758" s="295">
        <f t="shared" ref="DL758:DN758" si="1003">DL692</f>
        <v>-4067.0201175485377</v>
      </c>
      <c r="DM758" s="295">
        <f t="shared" si="1003"/>
        <v>-4196.8683706362663</v>
      </c>
      <c r="DN758" s="295">
        <f t="shared" si="1003"/>
        <v>-8263.8884881848044</v>
      </c>
      <c r="DO758" s="295"/>
      <c r="DP758" s="295">
        <f t="shared" ref="DP758:DR758" si="1004">DP692</f>
        <v>-4268.4366146201601</v>
      </c>
      <c r="DQ758" s="295">
        <f t="shared" si="1004"/>
        <v>-4424.6462020054969</v>
      </c>
      <c r="DR758" s="295">
        <f t="shared" si="1004"/>
        <v>-8693.0828166256579</v>
      </c>
      <c r="DS758" s="295"/>
      <c r="DU758" s="295"/>
      <c r="DV758" s="295"/>
      <c r="DW758" s="295"/>
      <c r="DX758" s="295"/>
      <c r="DZ758" s="295"/>
      <c r="EA758" s="295"/>
      <c r="EB758" s="295"/>
      <c r="ED758" s="295"/>
      <c r="EE758" s="295"/>
      <c r="EF758" s="295"/>
    </row>
    <row r="759" spans="1:273" s="328" customFormat="1">
      <c r="A759" s="328" t="s">
        <v>193</v>
      </c>
      <c r="B759" s="581"/>
      <c r="AN759" s="581"/>
      <c r="AO759" s="581"/>
      <c r="AP759" s="581"/>
      <c r="AQ759" s="581"/>
      <c r="AR759" s="791">
        <f>SUM(AR750:AR756)</f>
        <v>-784.77072984333199</v>
      </c>
      <c r="AS759" s="791">
        <f>SUM(AS750:AS756)</f>
        <v>-953.14711501719523</v>
      </c>
      <c r="AT759" s="412"/>
      <c r="AU759" s="412"/>
      <c r="AV759" s="791">
        <f>SUM(AV750:AV756)</f>
        <v>-738</v>
      </c>
      <c r="AW759" s="791">
        <f>SUM(AW750:AW756)</f>
        <v>-901</v>
      </c>
      <c r="AX759" s="791">
        <f>SUM(AX750:AX756)</f>
        <v>-1639</v>
      </c>
      <c r="AY759" s="412"/>
      <c r="AZ759" s="791">
        <f>SUM(AZ750:AZ756)</f>
        <v>-959.33299999999997</v>
      </c>
      <c r="BA759" s="791">
        <f>SUM(BA750:BA756)</f>
        <v>-1082.3333</v>
      </c>
      <c r="BB759" s="791">
        <f>AZ759+BA759</f>
        <v>-2041.6662999999999</v>
      </c>
      <c r="BC759" s="581"/>
      <c r="BD759" s="791">
        <f>SUM(BD750:BD756)</f>
        <v>-859.66676999999993</v>
      </c>
      <c r="BE759" s="791">
        <f>SUM(BE750:BE756)</f>
        <v>-895.16650000000004</v>
      </c>
      <c r="BF759" s="791">
        <f>BD759+BE759</f>
        <v>-1754.8332700000001</v>
      </c>
      <c r="BG759" s="581"/>
      <c r="BH759" s="791">
        <f>SUM(BH750:BH756)</f>
        <v>-785</v>
      </c>
      <c r="BI759" s="791">
        <f>SUM(BI750:BI756)</f>
        <v>-776</v>
      </c>
      <c r="BJ759" s="791">
        <f>BH759+BI759</f>
        <v>-1561</v>
      </c>
      <c r="BK759" s="581"/>
      <c r="BL759" s="791">
        <f>SUM(BL750:BL756)</f>
        <v>-814</v>
      </c>
      <c r="BM759" s="791">
        <f>SUM(BM750:BM756)</f>
        <v>-850</v>
      </c>
      <c r="BN759" s="791">
        <f>BL759+BM759</f>
        <v>-1664</v>
      </c>
      <c r="BO759" s="581"/>
      <c r="BP759" s="791">
        <f>SUM(BP750:BP756)</f>
        <v>-834</v>
      </c>
      <c r="BQ759" s="791">
        <f>SUM(BQ750:BQ756)</f>
        <v>-930</v>
      </c>
      <c r="BR759" s="791">
        <f>BP759+BQ759</f>
        <v>-1764</v>
      </c>
      <c r="BS759" s="581"/>
      <c r="BT759" s="791">
        <f>SUM(BT750:BT756)</f>
        <v>-916</v>
      </c>
      <c r="BU759" s="791">
        <f>SUM(BU750:BU756)</f>
        <v>-973</v>
      </c>
      <c r="BV759" s="791">
        <f>BT759+BU759</f>
        <v>-1889</v>
      </c>
      <c r="BW759" s="581"/>
      <c r="BX759" s="791">
        <f>SUM(BX750:BX756)</f>
        <v>-956</v>
      </c>
      <c r="BY759" s="791">
        <f>SUM(BY750:BY756)</f>
        <v>-903</v>
      </c>
      <c r="BZ759" s="791">
        <f>BX759+BY759</f>
        <v>-1859</v>
      </c>
      <c r="CA759" s="581"/>
      <c r="CB759" s="791">
        <f>SUM(CB750:CB756)</f>
        <v>-929</v>
      </c>
      <c r="CC759" s="791">
        <f>SUM(CC750:CC756)</f>
        <v>-1013</v>
      </c>
      <c r="CD759" s="791">
        <f>CB759+CC759</f>
        <v>-1942</v>
      </c>
      <c r="CE759" s="581"/>
      <c r="CF759" s="791">
        <f>SUM(CF750:CF756)</f>
        <v>-1032</v>
      </c>
      <c r="CG759" s="791">
        <f>SUM(CG750:CG756)</f>
        <v>-1166</v>
      </c>
      <c r="CH759" s="791">
        <f>CF759+CG759</f>
        <v>-2198</v>
      </c>
      <c r="CI759" s="581"/>
      <c r="CJ759" s="791">
        <f>SUM(CJ750:CJ756)</f>
        <v>-1087</v>
      </c>
      <c r="CK759" s="791">
        <f>SUM(CK750:CK756)</f>
        <v>-1090</v>
      </c>
      <c r="CL759" s="791">
        <f>CJ759+CK759</f>
        <v>-2177</v>
      </c>
      <c r="CM759" s="581"/>
      <c r="CN759" s="791">
        <f>SUM(CN750:CN756)</f>
        <v>-1113</v>
      </c>
      <c r="CO759" s="791">
        <f>SUM(CO750:CO756)</f>
        <v>-1010</v>
      </c>
      <c r="CP759" s="791">
        <f>CN759+CO759</f>
        <v>-2123</v>
      </c>
      <c r="CQ759" s="581"/>
      <c r="CR759" s="791">
        <f>SUM(CR750:CR756)</f>
        <v>-1165</v>
      </c>
      <c r="CS759" s="791">
        <f>SUM(CS750:CS756)</f>
        <v>-1217</v>
      </c>
      <c r="CT759" s="791">
        <f>CR759+CS759</f>
        <v>-2382</v>
      </c>
      <c r="CU759" s="581"/>
      <c r="CV759" s="791">
        <f>SUM(CV750:CV756)</f>
        <v>-1265</v>
      </c>
      <c r="CW759" s="791">
        <f>SUM(CW750:CW756)</f>
        <v>-1411</v>
      </c>
      <c r="CX759" s="791">
        <f>CV759+CW759</f>
        <v>-2676</v>
      </c>
      <c r="CY759" s="581"/>
      <c r="CZ759" s="791">
        <f>SUM(CZ750:CZ756)</f>
        <v>-1457</v>
      </c>
      <c r="DA759" s="791">
        <f>SUM(DA750:DA756)</f>
        <v>-1446</v>
      </c>
      <c r="DB759" s="791">
        <f>CZ759+DA759</f>
        <v>-2903</v>
      </c>
      <c r="DC759" s="581"/>
      <c r="DD759" s="791">
        <f>SUM(DD750:DD756)</f>
        <v>-1427</v>
      </c>
      <c r="DE759" s="791">
        <f>SUM(DE750:DE756)</f>
        <v>-1366</v>
      </c>
      <c r="DF759" s="791">
        <f>DD759+DE759</f>
        <v>-2793</v>
      </c>
      <c r="DG759" s="581"/>
      <c r="DH759" s="791">
        <f>SUM(DH750:DH756)</f>
        <v>-1366</v>
      </c>
      <c r="DI759" s="791">
        <f>SUM(DI750:DI756)</f>
        <v>-1413.7800000000002</v>
      </c>
      <c r="DJ759" s="791">
        <f>SUM(DJ750:DJ756)</f>
        <v>-2779.7799999999997</v>
      </c>
      <c r="DK759" s="581"/>
      <c r="DL759" s="791">
        <f>SUM(DL750:DL756)</f>
        <v>-1375.595</v>
      </c>
      <c r="DM759" s="791">
        <f>SUM(DM750:DM756)</f>
        <v>-1464.1088499999998</v>
      </c>
      <c r="DN759" s="791">
        <f>SUM(DN750:DN756)</f>
        <v>-2839.7038499999999</v>
      </c>
      <c r="DO759" s="791"/>
      <c r="DP759" s="791">
        <f>SUM(DP750:DP756)</f>
        <v>-1432.8614749999999</v>
      </c>
      <c r="DQ759" s="791">
        <f>SUM(DQ750:DQ756)</f>
        <v>-1529.5728027499999</v>
      </c>
      <c r="DR759" s="791">
        <f>SUM(DR750:DR756)</f>
        <v>-2962.4342777499996</v>
      </c>
      <c r="DS759" s="791"/>
      <c r="DT759" s="581"/>
      <c r="DU759" s="791"/>
      <c r="DV759" s="791"/>
      <c r="DW759" s="791"/>
      <c r="DX759" s="791"/>
      <c r="DY759" s="581"/>
      <c r="DZ759" s="791"/>
      <c r="EA759" s="791"/>
      <c r="EB759" s="791"/>
      <c r="EC759" s="581"/>
      <c r="ED759" s="791"/>
      <c r="EE759" s="791"/>
      <c r="EF759" s="791"/>
      <c r="EG759" s="581"/>
      <c r="EH759" s="581"/>
      <c r="EI759" s="581"/>
      <c r="EJ759" s="581"/>
      <c r="EK759" s="581"/>
      <c r="EL759" s="581"/>
      <c r="EM759" s="581"/>
      <c r="EN759" s="581"/>
      <c r="EO759" s="581"/>
      <c r="EP759" s="581"/>
      <c r="JM759"/>
    </row>
    <row r="760" spans="1:273">
      <c r="AR760" s="293"/>
      <c r="AS760" s="293"/>
      <c r="AT760" s="730"/>
      <c r="AU760" s="730"/>
      <c r="AV760" s="293"/>
      <c r="AW760" s="293"/>
      <c r="AX760" s="730"/>
      <c r="AY760" s="730"/>
      <c r="AZ760" s="293"/>
      <c r="BA760" s="293"/>
      <c r="BB760" s="293"/>
      <c r="BD760" s="293"/>
      <c r="BE760" s="293"/>
      <c r="BF760" s="293"/>
      <c r="BH760" s="293"/>
      <c r="BI760" s="293"/>
      <c r="BJ760" s="293"/>
      <c r="BL760" s="293"/>
      <c r="BM760" s="293"/>
      <c r="BN760" s="293"/>
      <c r="BP760" s="293"/>
      <c r="BQ760" s="293"/>
      <c r="BR760" s="293"/>
      <c r="BT760" s="293"/>
      <c r="BU760" s="293"/>
      <c r="BV760" s="293"/>
      <c r="BX760" s="293"/>
      <c r="BY760" s="293"/>
      <c r="BZ760" s="293"/>
      <c r="CB760" s="293"/>
      <c r="CC760" s="293"/>
      <c r="CD760" s="293"/>
      <c r="CF760" s="293"/>
      <c r="CG760" s="293"/>
      <c r="CH760" s="293"/>
      <c r="CJ760" s="293"/>
      <c r="CK760" s="293"/>
      <c r="CL760" s="293"/>
      <c r="CN760" s="293"/>
      <c r="CO760" s="293"/>
      <c r="CP760" s="293"/>
      <c r="CR760" s="293"/>
      <c r="CS760" s="293"/>
      <c r="CT760" s="293"/>
      <c r="CV760" s="293"/>
      <c r="CW760" s="293"/>
      <c r="CX760" s="293"/>
      <c r="CZ760" s="293"/>
      <c r="DA760" s="293"/>
      <c r="DB760" s="293"/>
      <c r="DD760" s="293"/>
      <c r="DE760" s="293"/>
      <c r="DF760" s="293"/>
      <c r="DH760" s="293"/>
      <c r="DI760" s="293"/>
      <c r="DJ760" s="293"/>
      <c r="DL760" s="293"/>
      <c r="DM760" s="293"/>
      <c r="DN760" s="293"/>
      <c r="DO760" s="293"/>
      <c r="DP760" s="293"/>
      <c r="DQ760" s="293"/>
      <c r="DR760" s="293"/>
      <c r="DS760" s="293"/>
      <c r="DU760" s="293"/>
      <c r="DV760" s="293"/>
      <c r="DW760" s="293"/>
      <c r="DX760" s="293"/>
      <c r="DZ760" s="293"/>
      <c r="EA760" s="293"/>
      <c r="EB760" s="293"/>
      <c r="ED760" s="293"/>
      <c r="EE760" s="293"/>
      <c r="EF760" s="293"/>
    </row>
    <row r="761" spans="1:273">
      <c r="A761" s="815" t="s">
        <v>1307</v>
      </c>
      <c r="AR761" s="685"/>
      <c r="AS761" s="685"/>
      <c r="AT761" s="730"/>
      <c r="AU761" s="730"/>
      <c r="AV761" s="293"/>
      <c r="AW761" s="293"/>
      <c r="AX761" s="730"/>
      <c r="AY761" s="730"/>
      <c r="AZ761" s="685"/>
      <c r="BA761" s="876"/>
      <c r="BD761" s="685"/>
      <c r="BE761" s="876"/>
      <c r="BH761" s="685"/>
      <c r="BI761" s="876"/>
      <c r="BL761" s="685"/>
      <c r="BM761" s="876"/>
      <c r="BP761" s="685"/>
      <c r="BQ761" s="876"/>
      <c r="BT761" s="685"/>
      <c r="BU761" s="876"/>
      <c r="BX761" s="685"/>
      <c r="BY761" s="685"/>
      <c r="CB761" s="685"/>
      <c r="CC761" s="685"/>
      <c r="CF761" s="685"/>
      <c r="CG761" s="685"/>
      <c r="CJ761" s="685"/>
      <c r="CK761" s="685"/>
      <c r="CN761" s="685"/>
      <c r="CO761" s="685"/>
      <c r="CR761" s="876"/>
      <c r="CS761" s="685"/>
      <c r="CV761" s="876"/>
      <c r="CW761" s="685"/>
      <c r="CZ761" s="876"/>
      <c r="DA761" s="876"/>
      <c r="DD761" s="876"/>
      <c r="DE761" s="876"/>
      <c r="DH761" s="876"/>
      <c r="DI761" s="876"/>
      <c r="DL761" s="876"/>
      <c r="DM761" s="876"/>
      <c r="DP761" s="876"/>
      <c r="DQ761" s="876"/>
      <c r="DU761" s="876"/>
      <c r="DV761" s="876"/>
      <c r="DW761" s="876"/>
      <c r="DZ761" s="876"/>
      <c r="EA761" s="876"/>
      <c r="ED761" s="876"/>
      <c r="EE761" s="876"/>
    </row>
    <row r="762" spans="1:273" s="1008" customFormat="1">
      <c r="A762" s="1008" t="s">
        <v>685</v>
      </c>
      <c r="B762" s="1009" t="s">
        <v>197</v>
      </c>
      <c r="AN762" s="1009"/>
      <c r="AO762" s="1009"/>
      <c r="AP762" s="1009"/>
      <c r="AQ762" s="1009"/>
      <c r="AR762" s="1012"/>
      <c r="AS762" s="1012"/>
      <c r="AT762" s="1011"/>
      <c r="AU762" s="1011"/>
      <c r="AV762" s="1013"/>
      <c r="AW762" s="1013"/>
      <c r="AX762" s="1013"/>
      <c r="AY762" s="1011"/>
      <c r="AZ762" s="1013"/>
      <c r="BA762" s="1013"/>
      <c r="BB762" s="1013"/>
      <c r="BC762" s="1009"/>
      <c r="BD762" s="1013"/>
      <c r="BE762" s="1013"/>
      <c r="BF762" s="1013"/>
      <c r="BG762" s="1009"/>
      <c r="BH762" s="1010"/>
      <c r="BI762" s="1010"/>
      <c r="BJ762" s="1009"/>
      <c r="BK762" s="1009"/>
      <c r="BL762" s="1010"/>
      <c r="BM762" s="1010"/>
      <c r="BN762" s="1009"/>
      <c r="BO762" s="1009"/>
      <c r="BP762" s="1010"/>
      <c r="BQ762" s="1010"/>
      <c r="BR762" s="1009"/>
      <c r="BS762" s="1009"/>
      <c r="BT762" s="1010"/>
      <c r="BU762" s="1010"/>
      <c r="BV762" s="1009"/>
      <c r="BW762" s="1009"/>
      <c r="BX762" s="1010"/>
      <c r="BY762" s="1010"/>
      <c r="BZ762" s="1009"/>
      <c r="CA762" s="1009"/>
      <c r="CB762" s="1010"/>
      <c r="CC762" s="1010"/>
      <c r="CD762" s="1009"/>
      <c r="CE762" s="999"/>
      <c r="CF762" s="1010"/>
      <c r="CG762" s="1010"/>
      <c r="CH762" s="1009"/>
      <c r="CI762" s="999"/>
      <c r="CJ762" s="1010"/>
      <c r="CK762" s="1010"/>
      <c r="CL762" s="1009"/>
      <c r="CM762" s="999"/>
      <c r="CN762" s="1010"/>
      <c r="CO762" s="1010"/>
      <c r="CP762" s="1009"/>
      <c r="CQ762" s="999"/>
      <c r="CR762" s="1010"/>
      <c r="CS762" s="1010"/>
      <c r="CT762" s="1009"/>
      <c r="CU762" s="1009"/>
      <c r="CV762" s="1010"/>
      <c r="CW762" s="1010"/>
      <c r="CX762" s="1009"/>
      <c r="CY762" s="1009"/>
      <c r="CZ762" s="1010"/>
      <c r="DA762" s="1010"/>
      <c r="DB762" s="1009"/>
      <c r="DC762" s="1009"/>
      <c r="DD762" s="1010"/>
      <c r="DE762" s="1010"/>
      <c r="DF762" s="1009"/>
      <c r="DG762" s="1009"/>
      <c r="DH762" s="1010"/>
      <c r="DI762" s="1010"/>
      <c r="DJ762" s="1009"/>
      <c r="DK762" s="1009"/>
      <c r="DL762" s="1010"/>
      <c r="DM762" s="1010"/>
      <c r="DN762" s="1009"/>
      <c r="DO762" s="1009"/>
      <c r="DP762" s="1010"/>
      <c r="DQ762" s="1010"/>
      <c r="DR762" s="1009"/>
      <c r="DS762" s="1009"/>
      <c r="DT762" s="1009"/>
      <c r="DU762" s="1010"/>
      <c r="DV762" s="1010"/>
      <c r="DW762" s="1010"/>
      <c r="DX762" s="1009"/>
      <c r="DY762" s="1009"/>
      <c r="DZ762" s="1010"/>
      <c r="EA762" s="1010"/>
      <c r="EB762" s="1009"/>
      <c r="EC762" s="1009"/>
      <c r="ED762" s="1010"/>
      <c r="EE762" s="1010"/>
      <c r="EF762" s="1009"/>
      <c r="EG762" s="1009"/>
      <c r="EH762" s="1009"/>
      <c r="EI762" s="1009"/>
      <c r="EJ762" s="1009"/>
      <c r="EK762" s="1009"/>
      <c r="EL762" s="1009"/>
      <c r="EM762" s="1009"/>
      <c r="EN762" s="1009"/>
      <c r="EO762" s="1009"/>
      <c r="EP762" s="1009"/>
      <c r="JM762"/>
    </row>
    <row r="763" spans="1:273">
      <c r="A763" s="102" t="s">
        <v>686</v>
      </c>
      <c r="B763" s="103" t="s">
        <v>197</v>
      </c>
      <c r="AR763" s="685"/>
      <c r="AS763" s="685"/>
      <c r="AT763" s="730"/>
      <c r="AU763" s="730"/>
      <c r="AV763" s="711">
        <f t="shared" ref="AV763:AX771" si="1005">-AV751/AV739*(AV$2/AV$1)*1000</f>
        <v>186.77924593819102</v>
      </c>
      <c r="AW763" s="711">
        <f t="shared" si="1005"/>
        <v>263.45152286700943</v>
      </c>
      <c r="AX763" s="711">
        <f t="shared" si="1005"/>
        <v>223.54133487766035</v>
      </c>
      <c r="AY763" s="730"/>
      <c r="AZ763" s="711">
        <f t="shared" ref="AZ763:BB771" si="1006">-AZ751/AZ739*(AZ$2/AZ$1)*1000</f>
        <v>230.11399157170302</v>
      </c>
      <c r="BA763" s="711">
        <f t="shared" si="1006"/>
        <v>281.10487838521317</v>
      </c>
      <c r="BB763" s="711">
        <f t="shared" si="1006"/>
        <v>254.56372466923466</v>
      </c>
      <c r="BD763" s="711">
        <f t="shared" ref="BD763:BF767" si="1007">-BD751/BD739*(BD$2/BD$1)*1000</f>
        <v>222.0598977355734</v>
      </c>
      <c r="BE763" s="711">
        <f t="shared" si="1007"/>
        <v>242.56651017214398</v>
      </c>
      <c r="BF763" s="711">
        <f t="shared" si="1007"/>
        <v>231.9607102380053</v>
      </c>
      <c r="BH763" s="711">
        <f t="shared" ref="BH763:BJ767" si="1008">-BH751/BH739*(BH$2/BH$1)*1000</f>
        <v>214.09784447463321</v>
      </c>
      <c r="BI763" s="711">
        <f t="shared" si="1008"/>
        <v>220.52305513323989</v>
      </c>
      <c r="BJ763" s="711">
        <f t="shared" si="1008"/>
        <v>217.23834652594547</v>
      </c>
      <c r="BL763" s="711">
        <f t="shared" ref="BL763:BN767" si="1009">-BL751/BL739*(BL$2/BL$1)*1000</f>
        <v>236.97451712384353</v>
      </c>
      <c r="BM763" s="711">
        <f t="shared" si="1009"/>
        <v>252.24111583721859</v>
      </c>
      <c r="BN763" s="711">
        <f t="shared" si="1009"/>
        <v>244.64285714285714</v>
      </c>
      <c r="BP763" s="711">
        <f t="shared" ref="BP763:BR767" si="1010">-BP751/BP739*(BP$2/BP$1)*1000</f>
        <v>244.94295848911895</v>
      </c>
      <c r="BQ763" s="711">
        <f t="shared" si="1010"/>
        <v>287.84543094666975</v>
      </c>
      <c r="BR763" s="711">
        <f t="shared" si="1010"/>
        <v>266.60895909976193</v>
      </c>
      <c r="BT763" s="711">
        <f t="shared" ref="BT763:BV767" si="1011">-BT751/BT739*(BT$2/BT$1)*1000</f>
        <v>276.3883001271725</v>
      </c>
      <c r="BU763" s="711">
        <f t="shared" si="1011"/>
        <v>291.98312236286921</v>
      </c>
      <c r="BV763" s="711">
        <f t="shared" si="1011"/>
        <v>284.20384859378305</v>
      </c>
      <c r="BX763" s="711">
        <f t="shared" ref="BX763:BZ767" si="1012">-BX751/BX739*(BX$2/BX$1)*1000</f>
        <v>300.61585300962872</v>
      </c>
      <c r="BY763" s="711">
        <f t="shared" si="1012"/>
        <v>265.05879241109005</v>
      </c>
      <c r="BZ763" s="711">
        <f t="shared" si="1012"/>
        <v>283.19345814503981</v>
      </c>
      <c r="CA763" s="817">
        <f t="shared" ref="CA763:CA769" si="1013">+BZ763/BV763-1</f>
        <v>-3.5551610357936747E-3</v>
      </c>
      <c r="CB763" s="711">
        <f t="shared" ref="CB763:CD767" si="1014">-CB751/CB739*(CB$2/CB$1)*1000</f>
        <v>285.82685450972616</v>
      </c>
      <c r="CC763" s="711">
        <f t="shared" si="1014"/>
        <v>295.69932555007176</v>
      </c>
      <c r="CD763" s="711">
        <f t="shared" si="1014"/>
        <v>290.72907290729074</v>
      </c>
      <c r="CE763" s="817">
        <f t="shared" ref="CE763:CE769" si="1015">+CD763/BZ763-1</f>
        <v>2.660942386031917E-2</v>
      </c>
      <c r="CF763" s="711">
        <f t="shared" ref="CF763:CH765" si="1016">-CF751/CF739*(CF$2/CF$1)*1000</f>
        <v>359.61575303100796</v>
      </c>
      <c r="CG763" s="711">
        <f t="shared" si="1016"/>
        <v>394.89556087066461</v>
      </c>
      <c r="CH763" s="711">
        <f t="shared" si="1016"/>
        <v>378.04636417673862</v>
      </c>
      <c r="CI763" s="817">
        <f t="shared" ref="CI763:CI769" si="1017">+CH763/CD763-1</f>
        <v>0.30033904210636719</v>
      </c>
      <c r="CJ763" s="711">
        <f t="shared" ref="CJ763:CL765" si="1018">-CJ751/CJ739*(CJ$2/CJ$1)*1000</f>
        <v>440.12575021434697</v>
      </c>
      <c r="CK763" s="711">
        <f t="shared" si="1018"/>
        <v>333.25353124251853</v>
      </c>
      <c r="CL763" s="711">
        <f t="shared" si="1018"/>
        <v>381.96977592496091</v>
      </c>
      <c r="CM763" s="817">
        <f t="shared" ref="CM763:CM769" si="1019">+CL763/CH763-1</f>
        <v>1.0378123214506152E-2</v>
      </c>
      <c r="CN763" s="711">
        <f t="shared" ref="CN763:CP765" si="1020">-CN751/CN739*(CN$2/CN$1)*1000</f>
        <v>356.537421344081</v>
      </c>
      <c r="CO763" s="711">
        <f t="shared" si="1020"/>
        <v>318.73319442162875</v>
      </c>
      <c r="CP763" s="711">
        <f t="shared" si="1020"/>
        <v>338.25776872134486</v>
      </c>
      <c r="CQ763" s="817">
        <f t="shared" ref="CQ763:CQ769" si="1021">+CP763/CL763-1</f>
        <v>-0.11443839266540135</v>
      </c>
      <c r="CR763" s="711">
        <f t="shared" ref="CR763:CT765" si="1022">-CR751/CR739*(CR$2/CR$1)*1000</f>
        <v>277.44360452241153</v>
      </c>
      <c r="CS763" s="711">
        <f t="shared" si="1022"/>
        <v>287.12305658413447</v>
      </c>
      <c r="CT763" s="711">
        <f t="shared" si="1022"/>
        <v>282.28228228228232</v>
      </c>
      <c r="CU763" s="817">
        <f t="shared" ref="CU763:CU769" si="1023">+CT763/CP763-1</f>
        <v>-0.16548174680704786</v>
      </c>
      <c r="CV763" s="711">
        <f t="shared" ref="CV763:CX763" si="1024">-CV751/CV739*(CV$2/CV$1)*1000</f>
        <v>328.97183302765018</v>
      </c>
      <c r="CW763" s="711">
        <f t="shared" si="1024"/>
        <v>367.21189716581426</v>
      </c>
      <c r="CX763" s="711">
        <f t="shared" si="1024"/>
        <v>347.46392979324708</v>
      </c>
      <c r="CZ763" s="711">
        <f t="shared" ref="CZ763:DB763" si="1025">-CZ751/CZ739*(CZ$2/CZ$1)*1000</f>
        <v>391.67686658506733</v>
      </c>
      <c r="DA763" s="711">
        <f t="shared" si="1025"/>
        <v>373.18504788384303</v>
      </c>
      <c r="DB763" s="711">
        <f t="shared" si="1025"/>
        <v>382.47501921598769</v>
      </c>
      <c r="DD763" s="711">
        <f t="shared" ref="DD763:DF763" si="1026">-DD751/DD739*(DD$2/DD$1)*1000</f>
        <v>391.72753170071832</v>
      </c>
      <c r="DE763" s="711">
        <f t="shared" si="1026"/>
        <v>399.79663193948909</v>
      </c>
      <c r="DF763" s="711">
        <f t="shared" si="1026"/>
        <v>395.70994077157036</v>
      </c>
      <c r="DH763" s="711">
        <f t="shared" ref="DH763" si="1027">-DH751/DH739*(DH$2/DH$1)*1000</f>
        <v>394.33124635885633</v>
      </c>
      <c r="DI763" s="711">
        <f t="shared" ref="DI763:DJ763" si="1028">-DI751/DI739*(DI$2/DI$1)*1000</f>
        <v>434.52244200444011</v>
      </c>
      <c r="DJ763" s="711">
        <f t="shared" si="1028"/>
        <v>414.27224505853775</v>
      </c>
      <c r="DL763" s="711">
        <f t="shared" ref="DL763:DN763" si="1029">-DL751/DL739*(DL$2/DL$1)*1000</f>
        <v>404.35385039336762</v>
      </c>
      <c r="DM763" s="711">
        <f t="shared" si="1029"/>
        <v>432.26713521202953</v>
      </c>
      <c r="DN763" s="711">
        <f t="shared" si="1029"/>
        <v>418.39909291400357</v>
      </c>
      <c r="DP763" s="711">
        <f t="shared" ref="DP763:DR763" si="1030">-DP751/DP739*(DP$2/DP$1)*1000</f>
        <v>403.35719683028015</v>
      </c>
      <c r="DQ763" s="711">
        <f t="shared" si="1030"/>
        <v>428.84538749527314</v>
      </c>
      <c r="DR763" s="711">
        <f t="shared" si="1030"/>
        <v>416.2274713244845</v>
      </c>
      <c r="DU763" s="293"/>
      <c r="DV763" s="293"/>
      <c r="DW763" s="293"/>
      <c r="DZ763" s="293"/>
      <c r="EA763" s="293"/>
      <c r="ED763" s="293"/>
      <c r="EE763" s="293"/>
    </row>
    <row r="764" spans="1:273">
      <c r="A764" s="102" t="s">
        <v>1306</v>
      </c>
      <c r="B764" s="103" t="s">
        <v>197</v>
      </c>
      <c r="AR764" s="685"/>
      <c r="AS764" s="685"/>
      <c r="AT764" s="730"/>
      <c r="AU764" s="730"/>
      <c r="AV764" s="711">
        <f t="shared" si="1005"/>
        <v>176.53497607168313</v>
      </c>
      <c r="AW764" s="711">
        <f t="shared" si="1005"/>
        <v>186.1699090656486</v>
      </c>
      <c r="AX764" s="711">
        <f t="shared" si="1005"/>
        <v>181.58520959179938</v>
      </c>
      <c r="AY764" s="730"/>
      <c r="AZ764" s="711">
        <f t="shared" si="1006"/>
        <v>194.68193583810495</v>
      </c>
      <c r="BA764" s="711">
        <f t="shared" si="1006"/>
        <v>212.52054451249623</v>
      </c>
      <c r="BB764" s="711">
        <f t="shared" si="1006"/>
        <v>203.36766388752656</v>
      </c>
      <c r="BD764" s="711">
        <f t="shared" si="1007"/>
        <v>180.28043100451856</v>
      </c>
      <c r="BE764" s="711">
        <f t="shared" si="1007"/>
        <v>190.27484143763212</v>
      </c>
      <c r="BF764" s="711">
        <f t="shared" si="1007"/>
        <v>185.24353455818022</v>
      </c>
      <c r="BH764" s="711">
        <f t="shared" si="1008"/>
        <v>182.4056401592253</v>
      </c>
      <c r="BI764" s="711">
        <f t="shared" si="1008"/>
        <v>189.68087487245236</v>
      </c>
      <c r="BJ764" s="711">
        <f t="shared" si="1008"/>
        <v>186.06271777003482</v>
      </c>
      <c r="BL764" s="711">
        <f t="shared" si="1009"/>
        <v>195.55610506340255</v>
      </c>
      <c r="BM764" s="711">
        <f t="shared" si="1009"/>
        <v>221.2491400308659</v>
      </c>
      <c r="BN764" s="711">
        <f t="shared" si="1009"/>
        <v>208.44686648501363</v>
      </c>
      <c r="BP764" s="711">
        <f t="shared" si="1010"/>
        <v>195.3342580356265</v>
      </c>
      <c r="BQ764" s="711">
        <f t="shared" si="1010"/>
        <v>255.73419868721885</v>
      </c>
      <c r="BR764" s="711">
        <f t="shared" si="1010"/>
        <v>225.34269475091941</v>
      </c>
      <c r="BT764" s="711">
        <f t="shared" si="1011"/>
        <v>235.84905660377359</v>
      </c>
      <c r="BU764" s="711">
        <f t="shared" si="1011"/>
        <v>241.77300201477502</v>
      </c>
      <c r="BV764" s="711">
        <f t="shared" si="1011"/>
        <v>238.81601076353851</v>
      </c>
      <c r="BX764" s="711">
        <f t="shared" si="1012"/>
        <v>240.79964476343238</v>
      </c>
      <c r="BY764" s="711">
        <f t="shared" si="1012"/>
        <v>247.75289729776077</v>
      </c>
      <c r="BZ764" s="711">
        <f t="shared" si="1012"/>
        <v>244.2948612707273</v>
      </c>
      <c r="CA764" s="817">
        <f t="shared" si="1013"/>
        <v>2.2941721912496105E-2</v>
      </c>
      <c r="CB764" s="711">
        <f t="shared" si="1014"/>
        <v>237.22982257215622</v>
      </c>
      <c r="CC764" s="711">
        <f t="shared" si="1014"/>
        <v>255.38617813989501</v>
      </c>
      <c r="CD764" s="711">
        <f>-CD752/CD740*(CD$2/CD$1)*1000</f>
        <v>246.28312863606982</v>
      </c>
      <c r="CE764" s="817">
        <f t="shared" si="1015"/>
        <v>8.1388014262777642E-3</v>
      </c>
      <c r="CF764" s="711">
        <f t="shared" si="1016"/>
        <v>273.27162990633445</v>
      </c>
      <c r="CG764" s="711">
        <f t="shared" si="1016"/>
        <v>299.81772057841789</v>
      </c>
      <c r="CH764" s="711">
        <f t="shared" si="1016"/>
        <v>287.09722030147969</v>
      </c>
      <c r="CI764" s="817">
        <f t="shared" si="1017"/>
        <v>0.16572020946558808</v>
      </c>
      <c r="CJ764" s="711">
        <f t="shared" si="1018"/>
        <v>263.48603957712118</v>
      </c>
      <c r="CK764" s="711">
        <f t="shared" si="1018"/>
        <v>284.16485900216918</v>
      </c>
      <c r="CL764" s="711">
        <f t="shared" si="1018"/>
        <v>273.82404771587363</v>
      </c>
      <c r="CM764" s="817">
        <f t="shared" si="1019"/>
        <v>-4.6232327055162559E-2</v>
      </c>
      <c r="CN764" s="711">
        <f t="shared" si="1020"/>
        <v>269.5743509941102</v>
      </c>
      <c r="CO764" s="711">
        <f t="shared" si="1020"/>
        <v>241.18365294835883</v>
      </c>
      <c r="CP764" s="711">
        <f t="shared" si="1020"/>
        <v>255.37493445201886</v>
      </c>
      <c r="CQ764" s="817">
        <f t="shared" si="1021"/>
        <v>-6.7375796310622071E-2</v>
      </c>
      <c r="CR764" s="711">
        <f t="shared" si="1022"/>
        <v>378.84510912983734</v>
      </c>
      <c r="CS764" s="711">
        <f t="shared" si="1022"/>
        <v>356.11979016144801</v>
      </c>
      <c r="CT764" s="711">
        <f t="shared" si="1022"/>
        <v>366.85866194062913</v>
      </c>
      <c r="CU764" s="817">
        <f t="shared" si="1023"/>
        <v>0.43654921626443488</v>
      </c>
      <c r="CV764" s="711">
        <f t="shared" ref="CV764:CX764" si="1031">-CV752/CV740*(CV$2/CV$1)*1000</f>
        <v>303.60288964717745</v>
      </c>
      <c r="CW764" s="711">
        <f t="shared" si="1031"/>
        <v>358.29202072360789</v>
      </c>
      <c r="CX764" s="711">
        <f t="shared" si="1031"/>
        <v>331.15984983204902</v>
      </c>
      <c r="CZ764" s="711">
        <f t="shared" ref="CZ764:DB764" si="1032">-CZ752/CZ740*(CZ$2/CZ$1)*1000</f>
        <v>328.2578603915365</v>
      </c>
      <c r="DA764" s="711">
        <f t="shared" si="1032"/>
        <v>334.5947022505477</v>
      </c>
      <c r="DB764" s="711">
        <f t="shared" si="1032"/>
        <v>331.41496328636634</v>
      </c>
      <c r="DD764" s="711">
        <f t="shared" ref="DD764:DF764" si="1033">-DD752/DD740*(DD$2/DD$1)*1000</f>
        <v>339.58162637694483</v>
      </c>
      <c r="DE764" s="711">
        <f t="shared" si="1033"/>
        <v>345.27143092453582</v>
      </c>
      <c r="DF764" s="711">
        <f t="shared" si="1033"/>
        <v>342.36864053377815</v>
      </c>
      <c r="DH764" s="711">
        <f t="shared" ref="DH764" si="1034">-DH752/DH740*(DH$2/DH$1)*1000</f>
        <v>355.47055251973285</v>
      </c>
      <c r="DI764" s="711">
        <f t="shared" ref="DI764:DJ764" si="1035">-DI752/DI740*(DI$2/DI$1)*1000</f>
        <v>367.7656218722085</v>
      </c>
      <c r="DJ764" s="711">
        <f t="shared" si="1035"/>
        <v>361.6599184057261</v>
      </c>
      <c r="DL764" s="711">
        <f t="shared" ref="DL764:DN764" si="1036">-DL752/DL740*(DL$2/DL$1)*1000</f>
        <v>350.87910076824312</v>
      </c>
      <c r="DM764" s="711">
        <f t="shared" si="1036"/>
        <v>371.15907628394751</v>
      </c>
      <c r="DN764" s="711">
        <f t="shared" si="1036"/>
        <v>361.08191065221894</v>
      </c>
      <c r="DP764" s="711">
        <f t="shared" ref="DP764:DR764" si="1037">-DP752/DP740*(DP$2/DP$1)*1000</f>
        <v>358.46870259080436</v>
      </c>
      <c r="DQ764" s="711">
        <f t="shared" si="1037"/>
        <v>380.67296832901962</v>
      </c>
      <c r="DR764" s="711">
        <f t="shared" si="1037"/>
        <v>369.68075756752694</v>
      </c>
      <c r="DU764" s="293"/>
      <c r="DV764" s="293"/>
      <c r="DW764" s="293"/>
      <c r="DZ764" s="293"/>
      <c r="EA764" s="293"/>
      <c r="ED764" s="293"/>
      <c r="EE764" s="293"/>
    </row>
    <row r="765" spans="1:273">
      <c r="A765" s="102" t="s">
        <v>1024</v>
      </c>
      <c r="B765" s="103" t="s">
        <v>197</v>
      </c>
      <c r="AR765" s="685"/>
      <c r="AS765" s="685"/>
      <c r="AT765" s="730"/>
      <c r="AU765" s="730"/>
      <c r="AV765" s="711">
        <f t="shared" si="1005"/>
        <v>197.33920330572127</v>
      </c>
      <c r="AW765" s="711">
        <f t="shared" si="1005"/>
        <v>216.83249946353749</v>
      </c>
      <c r="AX765" s="711">
        <f t="shared" si="1005"/>
        <v>207.38848078356222</v>
      </c>
      <c r="AY765" s="730"/>
      <c r="AZ765" s="711">
        <f t="shared" si="1006"/>
        <v>225.92564804741718</v>
      </c>
      <c r="BA765" s="711">
        <f t="shared" si="1006"/>
        <v>285.6030813712506</v>
      </c>
      <c r="BB765" s="711">
        <f t="shared" si="1006"/>
        <v>256.20376439741551</v>
      </c>
      <c r="BD765" s="711">
        <f t="shared" si="1007"/>
        <v>216.14430025953283</v>
      </c>
      <c r="BE765" s="711">
        <f t="shared" si="1007"/>
        <v>267.45508301114398</v>
      </c>
      <c r="BF765" s="711">
        <f t="shared" si="1007"/>
        <v>240.13042738677439</v>
      </c>
      <c r="BH765" s="711">
        <f t="shared" si="1008"/>
        <v>224.5183117113821</v>
      </c>
      <c r="BI765" s="711">
        <f t="shared" si="1008"/>
        <v>233.4330649107977</v>
      </c>
      <c r="BJ765" s="711">
        <f t="shared" si="1008"/>
        <v>228.88283378746593</v>
      </c>
      <c r="BL765" s="711">
        <f t="shared" si="1009"/>
        <v>242.22255542227552</v>
      </c>
      <c r="BM765" s="711">
        <f t="shared" si="1009"/>
        <v>268.14129362060748</v>
      </c>
      <c r="BN765" s="711">
        <f t="shared" si="1009"/>
        <v>255.18987341772154</v>
      </c>
      <c r="BP765" s="711">
        <f t="shared" si="1010"/>
        <v>261.51247351118383</v>
      </c>
      <c r="BQ765" s="711">
        <f t="shared" si="1010"/>
        <v>277.94916262291071</v>
      </c>
      <c r="BR765" s="711">
        <f t="shared" si="1010"/>
        <v>269.69696969696969</v>
      </c>
      <c r="BT765" s="711">
        <f t="shared" si="1011"/>
        <v>296.8591691995947</v>
      </c>
      <c r="BU765" s="711">
        <f t="shared" si="1011"/>
        <v>322.77526395173459</v>
      </c>
      <c r="BV765" s="711">
        <f t="shared" si="1011"/>
        <v>309.86626293212208</v>
      </c>
      <c r="BX765" s="711">
        <f t="shared" si="1012"/>
        <v>294.05963423815359</v>
      </c>
      <c r="BY765" s="711">
        <f t="shared" si="1012"/>
        <v>289.50708084566355</v>
      </c>
      <c r="BZ765" s="711">
        <f t="shared" si="1012"/>
        <v>291.8388429752066</v>
      </c>
      <c r="CA765" s="817">
        <f t="shared" si="1013"/>
        <v>-5.8178066196462597E-2</v>
      </c>
      <c r="CB765" s="711">
        <f t="shared" si="1014"/>
        <v>286.25754998293229</v>
      </c>
      <c r="CC765" s="711">
        <f t="shared" si="1014"/>
        <v>317.78075848390279</v>
      </c>
      <c r="CD765" s="711">
        <f t="shared" si="1014"/>
        <v>302.28737520535827</v>
      </c>
      <c r="CE765" s="817">
        <f t="shared" si="1015"/>
        <v>3.5802404243493235E-2</v>
      </c>
      <c r="CF765" s="711">
        <f t="shared" si="1016"/>
        <v>297.59343765421431</v>
      </c>
      <c r="CG765" s="711">
        <f t="shared" si="1016"/>
        <v>298.05650824759107</v>
      </c>
      <c r="CH765" s="711">
        <f t="shared" si="1016"/>
        <v>297.77904870841678</v>
      </c>
      <c r="CI765" s="817">
        <f t="shared" si="1017"/>
        <v>-1.4914041626378771E-2</v>
      </c>
      <c r="CJ765" s="711">
        <f t="shared" si="1018"/>
        <v>220.31530632608263</v>
      </c>
      <c r="CK765" s="711">
        <f t="shared" si="1018"/>
        <v>287.78322821770615</v>
      </c>
      <c r="CL765" s="711">
        <f t="shared" si="1018"/>
        <v>251.39905294877312</v>
      </c>
      <c r="CM765" s="817">
        <f t="shared" si="1019"/>
        <v>-0.15575305234136416</v>
      </c>
      <c r="CN765" s="711">
        <f t="shared" si="1020"/>
        <v>276.25916091073839</v>
      </c>
      <c r="CO765" s="711">
        <f t="shared" si="1020"/>
        <v>264.91183235369283</v>
      </c>
      <c r="CP765" s="711">
        <f t="shared" si="1020"/>
        <v>270.60327792630477</v>
      </c>
      <c r="CQ765" s="817">
        <f t="shared" si="1021"/>
        <v>7.6389408600695319E-2</v>
      </c>
      <c r="CR765" s="711">
        <f t="shared" si="1022"/>
        <v>268.25166163646617</v>
      </c>
      <c r="CS765" s="711">
        <f t="shared" si="1022"/>
        <v>284.56656160773395</v>
      </c>
      <c r="CT765" s="711">
        <f t="shared" si="1022"/>
        <v>276.42656688493923</v>
      </c>
      <c r="CU765" s="817">
        <f t="shared" si="1023"/>
        <v>2.1519654171448632E-2</v>
      </c>
      <c r="CV765" s="711">
        <f t="shared" ref="CV765:CX765" si="1038">-CV753/CV741*(CV$2/CV$1)*1000</f>
        <v>301.12960432542326</v>
      </c>
      <c r="CW765" s="711">
        <f t="shared" si="1038"/>
        <v>334.68037339005082</v>
      </c>
      <c r="CX765" s="711">
        <f t="shared" si="1038"/>
        <v>318.20679046258653</v>
      </c>
      <c r="CZ765" s="711">
        <f t="shared" ref="CZ765:DB765" si="1039">-CZ753/CZ741*(CZ$2/CZ$1)*1000</f>
        <v>330.92634619352179</v>
      </c>
      <c r="DA765" s="711">
        <f t="shared" si="1039"/>
        <v>328.52564102564105</v>
      </c>
      <c r="DB765" s="711">
        <f t="shared" si="1039"/>
        <v>329.70830368939937</v>
      </c>
      <c r="DD765" s="711">
        <f t="shared" ref="DD765:DF765" si="1040">-DD753/DD741*(DD$2/DD$1)*1000</f>
        <v>317.2677379939413</v>
      </c>
      <c r="DE765" s="711">
        <f t="shared" si="1040"/>
        <v>316.49086843892036</v>
      </c>
      <c r="DF765" s="711">
        <f t="shared" si="1040"/>
        <v>316.87851019804907</v>
      </c>
      <c r="DH765" s="711">
        <f t="shared" ref="DH765" si="1041">-DH753/DH741*(DH$2/DH$1)*1000</f>
        <v>339.0671676215988</v>
      </c>
      <c r="DI765" s="711">
        <f t="shared" ref="DI765:DJ765" si="1042">-DI753/DI741*(DI$2/DI$1)*1000</f>
        <v>321.236763539359</v>
      </c>
      <c r="DJ765" s="711">
        <f t="shared" si="1042"/>
        <v>330.05471812022654</v>
      </c>
      <c r="DL765" s="711">
        <f t="shared" ref="DL765:DN765" si="1043">-DL753/DL741*(DL$2/DL$1)*1000</f>
        <v>309.68916997129594</v>
      </c>
      <c r="DM765" s="711">
        <f t="shared" si="1043"/>
        <v>316.48181721245953</v>
      </c>
      <c r="DN765" s="711">
        <f t="shared" si="1043"/>
        <v>313.10132280501324</v>
      </c>
      <c r="DP765" s="711">
        <f t="shared" ref="DP765:DR765" si="1044">-DP753/DP741*(DP$2/DP$1)*1000</f>
        <v>308.92584642583876</v>
      </c>
      <c r="DQ765" s="711">
        <f t="shared" si="1044"/>
        <v>313.97660493230211</v>
      </c>
      <c r="DR765" s="711">
        <f t="shared" si="1044"/>
        <v>311.47622943405293</v>
      </c>
      <c r="DU765" s="293"/>
      <c r="DV765" s="293"/>
      <c r="DW765" s="293"/>
      <c r="DZ765" s="293"/>
      <c r="EA765" s="293"/>
      <c r="ED765" s="293"/>
      <c r="EE765" s="293"/>
    </row>
    <row r="766" spans="1:273">
      <c r="A766" s="102" t="s">
        <v>690</v>
      </c>
      <c r="B766" s="103" t="s">
        <v>197</v>
      </c>
      <c r="AR766" s="685"/>
      <c r="AS766" s="685"/>
      <c r="AT766" s="730"/>
      <c r="AU766" s="730"/>
      <c r="AV766" s="711">
        <f t="shared" si="1005"/>
        <v>147.12416234958937</v>
      </c>
      <c r="AW766" s="711">
        <f t="shared" si="1005"/>
        <v>165.74334756152939</v>
      </c>
      <c r="AX766" s="711">
        <f t="shared" si="1005"/>
        <v>156.89381933438986</v>
      </c>
      <c r="AY766" s="730"/>
      <c r="AZ766" s="711">
        <f t="shared" si="1006"/>
        <v>183.99302674830133</v>
      </c>
      <c r="BA766" s="711">
        <f t="shared" si="1006"/>
        <v>178.31764078877239</v>
      </c>
      <c r="BB766" s="711">
        <f t="shared" si="1006"/>
        <v>180.98997874278774</v>
      </c>
      <c r="BD766" s="711">
        <f t="shared" si="1007"/>
        <v>151.77923747276685</v>
      </c>
      <c r="BE766" s="711">
        <f t="shared" si="1007"/>
        <v>199.89479221462389</v>
      </c>
      <c r="BF766" s="711">
        <f t="shared" si="1007"/>
        <v>176.25546695210062</v>
      </c>
      <c r="BH766" s="711">
        <f t="shared" si="1008"/>
        <v>163.29530565941263</v>
      </c>
      <c r="BI766" s="711">
        <f t="shared" si="1008"/>
        <v>159.58842218789169</v>
      </c>
      <c r="BJ766" s="711">
        <f t="shared" si="1008"/>
        <v>161.4445034519384</v>
      </c>
      <c r="BL766" s="711">
        <f t="shared" si="1009"/>
        <v>169.22080969302229</v>
      </c>
      <c r="BM766" s="711">
        <f t="shared" si="1009"/>
        <v>187.11313500395389</v>
      </c>
      <c r="BN766" s="711">
        <f t="shared" si="1009"/>
        <v>178.31813576494426</v>
      </c>
      <c r="BP766" s="711">
        <f t="shared" si="1010"/>
        <v>184.08177483843127</v>
      </c>
      <c r="BQ766" s="711">
        <f t="shared" si="1010"/>
        <v>221.98221625702541</v>
      </c>
      <c r="BR766" s="711">
        <f t="shared" si="1010"/>
        <v>202.95378751786566</v>
      </c>
      <c r="BT766" s="711">
        <f t="shared" si="1011"/>
        <v>223.14049586776861</v>
      </c>
      <c r="BU766" s="711">
        <f t="shared" si="1011"/>
        <v>232.26950354609929</v>
      </c>
      <c r="BV766" s="711">
        <f t="shared" si="1011"/>
        <v>228.05343511450383</v>
      </c>
      <c r="BX766" s="711">
        <f t="shared" si="1012"/>
        <v>199.45355191256832</v>
      </c>
      <c r="BY766" s="711">
        <f t="shared" si="1012"/>
        <v>203.24397291767733</v>
      </c>
      <c r="BZ766" s="711">
        <f t="shared" si="1012"/>
        <v>201.31950989632421</v>
      </c>
      <c r="CA766" s="817"/>
      <c r="CB766" s="711">
        <f t="shared" si="1014"/>
        <v>213.47599470180447</v>
      </c>
      <c r="CC766" s="711">
        <f t="shared" si="1014"/>
        <v>352.10972233872997</v>
      </c>
      <c r="CD766" s="711">
        <f t="shared" si="1014"/>
        <v>269.90049751243782</v>
      </c>
      <c r="CE766" s="817"/>
      <c r="CF766" s="711"/>
      <c r="CG766" s="711"/>
      <c r="CH766" s="711"/>
      <c r="CI766" s="817"/>
      <c r="CJ766" s="711"/>
      <c r="CK766" s="711"/>
      <c r="CL766" s="711"/>
      <c r="CM766" s="817"/>
      <c r="CN766" s="711"/>
      <c r="CO766" s="711"/>
      <c r="CP766" s="711"/>
      <c r="CQ766" s="817"/>
      <c r="CR766" s="711"/>
      <c r="CS766" s="711"/>
      <c r="CT766" s="711"/>
      <c r="CU766" s="817"/>
      <c r="CV766" s="711"/>
      <c r="CW766" s="711"/>
      <c r="CX766" s="711"/>
      <c r="CZ766" s="711"/>
      <c r="DA766" s="711"/>
      <c r="DB766" s="711"/>
      <c r="DD766" s="711"/>
      <c r="DE766" s="711"/>
      <c r="DF766" s="711"/>
      <c r="DH766" s="711"/>
      <c r="DI766" s="711"/>
      <c r="DJ766" s="711"/>
      <c r="DL766" s="711"/>
      <c r="DM766" s="711"/>
      <c r="DN766" s="711"/>
      <c r="DP766" s="711"/>
      <c r="DQ766" s="711"/>
      <c r="DR766" s="711"/>
      <c r="DU766" s="293"/>
      <c r="DV766" s="293"/>
      <c r="DW766" s="293"/>
      <c r="DZ766" s="293"/>
      <c r="EA766" s="293"/>
      <c r="ED766" s="293"/>
      <c r="EE766" s="293"/>
    </row>
    <row r="767" spans="1:273">
      <c r="A767" s="102" t="s">
        <v>689</v>
      </c>
      <c r="B767" s="103" t="s">
        <v>197</v>
      </c>
      <c r="AR767" s="685"/>
      <c r="AS767" s="685"/>
      <c r="AT767" s="730"/>
      <c r="AU767" s="730"/>
      <c r="AV767" s="711">
        <f t="shared" si="1005"/>
        <v>138.92287197890329</v>
      </c>
      <c r="AW767" s="711">
        <f t="shared" si="1005"/>
        <v>153.74550822312017</v>
      </c>
      <c r="AX767" s="711">
        <f t="shared" si="1005"/>
        <v>146.73619852544505</v>
      </c>
      <c r="AY767" s="730"/>
      <c r="AZ767" s="711">
        <f t="shared" si="1006"/>
        <v>152.72228099340083</v>
      </c>
      <c r="BA767" s="711">
        <f t="shared" si="1006"/>
        <v>154.49552720352477</v>
      </c>
      <c r="BB767" s="711">
        <f t="shared" si="1006"/>
        <v>153.60506290738212</v>
      </c>
      <c r="BD767" s="711">
        <f t="shared" si="1007"/>
        <v>151.74250598563447</v>
      </c>
      <c r="BE767" s="711">
        <f t="shared" si="1007"/>
        <v>140.59609756097564</v>
      </c>
      <c r="BF767" s="711">
        <f t="shared" si="1007"/>
        <v>146.22092629883207</v>
      </c>
      <c r="BH767" s="711">
        <f t="shared" si="1008"/>
        <v>146.07865773878243</v>
      </c>
      <c r="BI767" s="711">
        <f t="shared" si="1008"/>
        <v>147.37082674690993</v>
      </c>
      <c r="BJ767" s="711">
        <f t="shared" si="1008"/>
        <v>146.71749258788648</v>
      </c>
      <c r="BL767" s="711">
        <f t="shared" si="1009"/>
        <v>151.52770279470252</v>
      </c>
      <c r="BM767" s="711">
        <f t="shared" si="1009"/>
        <v>140.49792015893712</v>
      </c>
      <c r="BN767" s="711">
        <f t="shared" si="1009"/>
        <v>146.25757987148157</v>
      </c>
      <c r="BP767" s="711">
        <f t="shared" si="1010"/>
        <v>151.97984705589724</v>
      </c>
      <c r="BQ767" s="711">
        <f t="shared" si="1010"/>
        <v>143.89907352651289</v>
      </c>
      <c r="BR767" s="711">
        <f t="shared" si="1010"/>
        <v>147.91252485089461</v>
      </c>
      <c r="BT767" s="711">
        <f t="shared" si="1011"/>
        <v>148.89589905362777</v>
      </c>
      <c r="BU767" s="711">
        <f t="shared" si="1011"/>
        <v>151.62454873646209</v>
      </c>
      <c r="BV767" s="711">
        <f t="shared" si="1011"/>
        <v>150.2122564493306</v>
      </c>
      <c r="BX767" s="711">
        <f t="shared" si="1012"/>
        <v>160.95591022675404</v>
      </c>
      <c r="BY767" s="711">
        <f t="shared" si="1012"/>
        <v>153.582830213265</v>
      </c>
      <c r="BZ767" s="711">
        <f t="shared" si="1012"/>
        <v>157.37388365918417</v>
      </c>
      <c r="CA767" s="817">
        <f t="shared" si="1013"/>
        <v>4.7676716794873064E-2</v>
      </c>
      <c r="CB767" s="711">
        <f t="shared" si="1014"/>
        <v>170.01238312713724</v>
      </c>
      <c r="CC767" s="711">
        <f t="shared" si="1014"/>
        <v>147.7518763764117</v>
      </c>
      <c r="CD767" s="711">
        <f t="shared" si="1014"/>
        <v>157.71812080536913</v>
      </c>
      <c r="CE767" s="817">
        <f t="shared" si="1015"/>
        <v>2.1873841973072405E-3</v>
      </c>
      <c r="CF767" s="711">
        <f>-CF755/CF743*(CF$2/CF$1)*1000</f>
        <v>144.3977780788511</v>
      </c>
      <c r="CG767" s="711">
        <f>-CG755/CG743*(CG$2/CG$1)*1000</f>
        <v>141.5973051764733</v>
      </c>
      <c r="CH767" s="711">
        <f>-CH755/CH743*(CH$2/CH$1)*1000</f>
        <v>143.05130818892286</v>
      </c>
      <c r="CI767" s="817">
        <f t="shared" si="1017"/>
        <v>-9.2993833185127328E-2</v>
      </c>
      <c r="CJ767" s="711">
        <f>-CJ755/CJ743*(CJ$2/CJ$1)*1000</f>
        <v>134.98063802323438</v>
      </c>
      <c r="CK767" s="711">
        <f>-CK755/CK743*(CK$2/CK$1)*1000</f>
        <v>129.54245904726042</v>
      </c>
      <c r="CL767" s="711">
        <f>-CL755/CL743*(CL$2/CL$1)*1000</f>
        <v>132.28991988075276</v>
      </c>
      <c r="CM767" s="817">
        <f t="shared" si="1019"/>
        <v>-7.5227472187516908E-2</v>
      </c>
      <c r="CN767" s="711">
        <f>-CN755/CN743*(CN$2/CN$1)*1000</f>
        <v>141.46660567696114</v>
      </c>
      <c r="CO767" s="711">
        <f>-CO755/CO743*(CO$2/CO$1)*1000</f>
        <v>131.63082454019371</v>
      </c>
      <c r="CP767" s="711">
        <f>-CP755/CP743*(CP$2/CP$1)*1000</f>
        <v>136.41133263378805</v>
      </c>
      <c r="CQ767" s="817">
        <f t="shared" si="1021"/>
        <v>3.1154397528930122E-2</v>
      </c>
      <c r="CR767" s="711">
        <f>-CR755/CR743*(CR$2/CR$1)*1000</f>
        <v>142.32755903829411</v>
      </c>
      <c r="CS767" s="711">
        <f>-CS755/CS743*(CS$2/CS$1)*1000</f>
        <v>139.83942643134782</v>
      </c>
      <c r="CT767" s="711">
        <f>-CT755/CT743*(CT$2/CT$1)*1000</f>
        <v>141.03881729781008</v>
      </c>
      <c r="CU767" s="817">
        <f t="shared" si="1023"/>
        <v>3.392302219086929E-2</v>
      </c>
      <c r="CV767" s="711">
        <f>-CV755/CV743*(CV$2/CV$1)*1000</f>
        <v>152.10837025496403</v>
      </c>
      <c r="CW767" s="711">
        <f>-CW755/CW743*(CW$2/CW$1)*1000</f>
        <v>146.61007296031846</v>
      </c>
      <c r="CX767" s="711">
        <f>-CX755/CX743*(CX$2/CX$1)*1000</f>
        <v>149.2642399493065</v>
      </c>
      <c r="CZ767" s="711">
        <f>-CZ755/CZ743*(CZ$2/CZ$1)*1000</f>
        <v>163.8591117917305</v>
      </c>
      <c r="DA767" s="711">
        <f>-DA755/DA743*(DA$2/DA$1)*1000</f>
        <v>162.98987801712948</v>
      </c>
      <c r="DB767" s="711">
        <f>-DB755/DB743*(DB$2/DB$1)*1000</f>
        <v>163.42813022776991</v>
      </c>
      <c r="DD767" s="711">
        <f>-DD755/DD743*(DD$2/DD$1)*1000</f>
        <v>167.34972677595627</v>
      </c>
      <c r="DE767" s="711">
        <f>-DE755/DE743*(DE$2/DE$1)*1000</f>
        <v>159.02325953433279</v>
      </c>
      <c r="DF767" s="711">
        <f>-DF755/DF743*(DF$2/DF$1)*1000</f>
        <v>163.38655774229485</v>
      </c>
      <c r="DH767" s="711">
        <f>-DH755/DH743*(DH$2/DH$1)*1000</f>
        <v>128.378850632763</v>
      </c>
      <c r="DI767" s="711">
        <f>-DI755/DI743*(DI$2/DI$1)*1000</f>
        <v>120.56071941247293</v>
      </c>
      <c r="DJ767" s="711">
        <f>-DJ755/DJ743*(DJ$2/DJ$1)*1000</f>
        <v>124.18777741067153</v>
      </c>
      <c r="DL767" s="711">
        <f>-DL755/DL743*(DL$2/DL$1)*1000</f>
        <v>112.93095439782275</v>
      </c>
      <c r="DM767" s="711">
        <f>-DM755/DM743*(DM$2/DM$1)*1000</f>
        <v>119.35557573514718</v>
      </c>
      <c r="DN767" s="711">
        <f>-DN755/DN743*(DN$2/DN$1)*1000</f>
        <v>116.16311876922363</v>
      </c>
      <c r="DP767" s="711">
        <f>-DP755/DP743*(DP$2/DP$1)*1000</f>
        <v>112.10838610252964</v>
      </c>
      <c r="DQ767" s="711">
        <f>-DQ755/DQ743*(DQ$2/DQ$1)*1000</f>
        <v>117.8387460424109</v>
      </c>
      <c r="DR767" s="711">
        <f>-DR755/DR743*(DR$2/DR$1)*1000</f>
        <v>115.00193419098454</v>
      </c>
      <c r="DU767" s="293"/>
      <c r="DV767" s="293"/>
      <c r="DW767" s="293"/>
      <c r="DZ767" s="293"/>
      <c r="EA767" s="293"/>
      <c r="ED767" s="293"/>
      <c r="EE767" s="293"/>
    </row>
    <row r="768" spans="1:273">
      <c r="A768" s="102" t="s">
        <v>688</v>
      </c>
      <c r="B768" s="103" t="s">
        <v>197</v>
      </c>
      <c r="AR768" s="685"/>
      <c r="AS768" s="685"/>
      <c r="AT768" s="730"/>
      <c r="AU768" s="730"/>
      <c r="AV768" s="711">
        <f t="shared" si="1005"/>
        <v>137.55417373280574</v>
      </c>
      <c r="AW768" s="711">
        <f t="shared" si="1005"/>
        <v>132.8142056618878</v>
      </c>
      <c r="AX768" s="711">
        <f t="shared" si="1005"/>
        <v>135.38461538461539</v>
      </c>
      <c r="AY768" s="730"/>
      <c r="AZ768" s="711">
        <f t="shared" si="1006"/>
        <v>146.65702346512376</v>
      </c>
      <c r="BA768" s="711">
        <f t="shared" si="1006"/>
        <v>200.54945054945057</v>
      </c>
      <c r="BB768" s="711">
        <f t="shared" si="1006"/>
        <v>0</v>
      </c>
      <c r="BD768" s="711"/>
      <c r="BE768" s="711"/>
      <c r="BF768" s="711"/>
      <c r="BH768" s="711"/>
      <c r="BI768" s="711"/>
      <c r="BJ768" s="711"/>
      <c r="BL768" s="711"/>
      <c r="BM768" s="711"/>
      <c r="BN768" s="711"/>
      <c r="BP768" s="711"/>
      <c r="BQ768" s="711"/>
      <c r="BR768" s="711"/>
      <c r="BT768" s="711"/>
      <c r="BU768" s="711"/>
      <c r="BV768" s="711"/>
      <c r="BX768" s="711"/>
      <c r="BY768" s="711"/>
      <c r="BZ768" s="711"/>
      <c r="CA768" s="817"/>
      <c r="CB768" s="711"/>
      <c r="CC768" s="711"/>
      <c r="CD768" s="711"/>
      <c r="CE768" s="817"/>
      <c r="CF768" s="711"/>
      <c r="CG768" s="711"/>
      <c r="CH768" s="711"/>
      <c r="CI768" s="817"/>
      <c r="CJ768" s="711"/>
      <c r="CK768" s="711"/>
      <c r="CL768" s="711"/>
      <c r="CM768" s="817"/>
      <c r="CN768" s="711"/>
      <c r="CO768" s="711"/>
      <c r="CP768" s="711"/>
      <c r="CQ768" s="817"/>
      <c r="CR768" s="711"/>
      <c r="CS768" s="711"/>
      <c r="CT768" s="711"/>
      <c r="CU768" s="817"/>
      <c r="CV768" s="711"/>
      <c r="CW768" s="711"/>
      <c r="CX768" s="711"/>
      <c r="CZ768" s="711"/>
      <c r="DA768" s="711"/>
      <c r="DB768" s="711"/>
      <c r="DD768" s="711"/>
      <c r="DE768" s="711"/>
      <c r="DF768" s="711"/>
      <c r="DH768" s="711"/>
      <c r="DI768" s="711"/>
      <c r="DJ768" s="711"/>
      <c r="DL768" s="711"/>
      <c r="DM768" s="711"/>
      <c r="DN768" s="711"/>
      <c r="DP768" s="711"/>
      <c r="DQ768" s="711"/>
      <c r="DR768" s="711"/>
      <c r="DU768" s="293"/>
      <c r="DV768" s="293"/>
      <c r="DW768" s="293"/>
      <c r="DZ768" s="293"/>
      <c r="EA768" s="293"/>
      <c r="ED768" s="293"/>
      <c r="EE768" s="293"/>
    </row>
    <row r="769" spans="1:273" s="477" customFormat="1">
      <c r="A769" s="477" t="s">
        <v>1298</v>
      </c>
      <c r="B769" s="478" t="s">
        <v>197</v>
      </c>
      <c r="AN769" s="478"/>
      <c r="AO769" s="478"/>
      <c r="AP769" s="478"/>
      <c r="AQ769" s="478"/>
      <c r="AR769" s="1563"/>
      <c r="AS769" s="1563"/>
      <c r="AT769" s="1581"/>
      <c r="AU769" s="1581"/>
      <c r="AV769" s="1582">
        <f t="shared" si="1005"/>
        <v>375.57379051066101</v>
      </c>
      <c r="AW769" s="1582">
        <f t="shared" si="1005"/>
        <v>309.56997497260716</v>
      </c>
      <c r="AX769" s="1582">
        <f t="shared" si="1005"/>
        <v>341.12503643252694</v>
      </c>
      <c r="AY769" s="1581"/>
      <c r="AZ769" s="1582">
        <f t="shared" si="1006"/>
        <v>359.35155370216739</v>
      </c>
      <c r="BA769" s="1582">
        <f t="shared" si="1006"/>
        <v>321.34927226180417</v>
      </c>
      <c r="BB769" s="1582">
        <f t="shared" si="1006"/>
        <v>339.50418117506547</v>
      </c>
      <c r="BC769" s="478"/>
      <c r="BD769" s="1582">
        <f t="shared" ref="BD769:BF771" si="1045">-BD757/BD745*(BD$2/BD$1)*1000</f>
        <v>267.2961288147024</v>
      </c>
      <c r="BE769" s="1582">
        <f t="shared" si="1045"/>
        <v>353.71523410202656</v>
      </c>
      <c r="BF769" s="1582">
        <f t="shared" si="1045"/>
        <v>309.73825311025308</v>
      </c>
      <c r="BG769" s="478"/>
      <c r="BH769" s="1582">
        <f t="shared" ref="BH769:BJ771" si="1046">-BH757/BH745*(BH$2/BH$1)*1000</f>
        <v>287.30468596874977</v>
      </c>
      <c r="BI769" s="1582">
        <f t="shared" si="1046"/>
        <v>369.7528079917775</v>
      </c>
      <c r="BJ769" s="1582">
        <f t="shared" si="1046"/>
        <v>328.31527471473777</v>
      </c>
      <c r="BK769" s="478"/>
      <c r="BL769" s="1582">
        <f t="shared" ref="BL769:BN771" si="1047">-BL757/BL745*(BL$2/BL$1)*1000</f>
        <v>337.80059822855242</v>
      </c>
      <c r="BM769" s="1582">
        <f t="shared" si="1047"/>
        <v>409.89244136344558</v>
      </c>
      <c r="BN769" s="1582">
        <f t="shared" si="1047"/>
        <v>374.53115820868544</v>
      </c>
      <c r="BO769" s="478"/>
      <c r="BP769" s="1582">
        <f t="shared" ref="BP769:BR771" si="1048">-BP757/BP745*(BP$2/BP$1)*1000</f>
        <v>377.99802394220734</v>
      </c>
      <c r="BQ769" s="1582">
        <f t="shared" si="1048"/>
        <v>432.12030350157528</v>
      </c>
      <c r="BR769" s="1582">
        <f t="shared" si="1048"/>
        <v>405.0568254373643</v>
      </c>
      <c r="BS769" s="478"/>
      <c r="BT769" s="1582">
        <f t="shared" ref="BT769:BV771" si="1049">-BT757/BT745*(BT$2/BT$1)*1000</f>
        <v>460.47346380651226</v>
      </c>
      <c r="BU769" s="1582">
        <f t="shared" si="1049"/>
        <v>337.68844221105525</v>
      </c>
      <c r="BV769" s="1582">
        <f t="shared" si="1049"/>
        <v>398.4603020176811</v>
      </c>
      <c r="BW769" s="478"/>
      <c r="BX769" s="1582">
        <f t="shared" ref="BX769:BZ771" si="1050">-BX757/BX745*(BX$2/BX$1)*1000</f>
        <v>445.71746084490513</v>
      </c>
      <c r="BY769" s="1582">
        <f t="shared" si="1050"/>
        <v>410.47829554171773</v>
      </c>
      <c r="BZ769" s="1582">
        <f t="shared" si="1050"/>
        <v>428.42570554233254</v>
      </c>
      <c r="CA769" s="1583">
        <f t="shared" si="1013"/>
        <v>7.5202983516590827E-2</v>
      </c>
      <c r="CB769" s="1582">
        <f t="shared" ref="CB769:CD771" si="1051">-CB757/CB745*(CB$2/CB$1)*1000</f>
        <v>456.246146569708</v>
      </c>
      <c r="CC769" s="1582">
        <f t="shared" si="1051"/>
        <v>412.1550707574479</v>
      </c>
      <c r="CD769" s="1582">
        <f t="shared" si="1051"/>
        <v>434.046535369433</v>
      </c>
      <c r="CE769" s="1583">
        <f t="shared" si="1015"/>
        <v>1.3119730572620947E-2</v>
      </c>
      <c r="CF769" s="1582">
        <f t="shared" ref="CF769:CH771" si="1052">-CF757/CF745*(CF$2/CF$1)*1000</f>
        <v>461.25052987424317</v>
      </c>
      <c r="CG769" s="1582">
        <f t="shared" si="1052"/>
        <v>492.28016066319168</v>
      </c>
      <c r="CH769" s="1582">
        <f t="shared" si="1052"/>
        <v>477.12366653496639</v>
      </c>
      <c r="CI769" s="1583">
        <f t="shared" si="1017"/>
        <v>9.924542106727996E-2</v>
      </c>
      <c r="CJ769" s="1582">
        <f t="shared" ref="CJ769:CL771" si="1053">-CJ757/CJ745*(CJ$2/CJ$1)*1000</f>
        <v>493.71528792750655</v>
      </c>
      <c r="CK769" s="1582">
        <f t="shared" si="1053"/>
        <v>413.4506242905789</v>
      </c>
      <c r="CL769" s="1582">
        <f t="shared" si="1053"/>
        <v>452.98776097912167</v>
      </c>
      <c r="CM769" s="1583">
        <f t="shared" si="1019"/>
        <v>-5.0586267772311122E-2</v>
      </c>
      <c r="CN769" s="1582">
        <f t="shared" ref="CN769:CP771" si="1054">-CN757/CN745*(CN$2/CN$1)*1000</f>
        <v>413.07029985891432</v>
      </c>
      <c r="CO769" s="1582">
        <f t="shared" si="1054"/>
        <v>506.05436174921368</v>
      </c>
      <c r="CP769" s="1582">
        <f t="shared" si="1054"/>
        <v>460.18779024439851</v>
      </c>
      <c r="CQ769" s="1583">
        <f t="shared" si="1021"/>
        <v>1.5894533772202069E-2</v>
      </c>
      <c r="CR769" s="1582">
        <f t="shared" ref="CR769:CT771" si="1055">-CR757/CR745*(CR$2/CR$1)*1000</f>
        <v>519.48879514426596</v>
      </c>
      <c r="CS769" s="1582">
        <f t="shared" si="1055"/>
        <v>583.77884146279052</v>
      </c>
      <c r="CT769" s="1582">
        <f t="shared" si="1055"/>
        <v>552.2810364012081</v>
      </c>
      <c r="CU769" s="1583">
        <f t="shared" si="1023"/>
        <v>0.20012101170241903</v>
      </c>
      <c r="CV769" s="1582">
        <f t="shared" ref="CV769:CX769" si="1056">-CV757/CV745*(CV$2/CV$1)*1000</f>
        <v>532.08764402739348</v>
      </c>
      <c r="CW769" s="1582">
        <f t="shared" si="1056"/>
        <v>553.05470968121574</v>
      </c>
      <c r="CX769" s="1582">
        <f t="shared" si="1056"/>
        <v>542.98446995273468</v>
      </c>
      <c r="CY769" s="478"/>
      <c r="CZ769" s="1582">
        <f t="shared" ref="CZ769:DB769" si="1057">-CZ757/CZ745*(CZ$2/CZ$1)*1000</f>
        <v>438.49597997207644</v>
      </c>
      <c r="DA769" s="1582">
        <f t="shared" si="1057"/>
        <v>485.03336510962822</v>
      </c>
      <c r="DB769" s="1582">
        <f t="shared" si="1057"/>
        <v>461.88115254724437</v>
      </c>
      <c r="DC769" s="478"/>
      <c r="DD769" s="1582">
        <f t="shared" ref="DD769:DF769" si="1058">-DD757/DD745*(DD$2/DD$1)*1000</f>
        <v>434.32454310905166</v>
      </c>
      <c r="DE769" s="1582">
        <f t="shared" si="1058"/>
        <v>480.16815615235049</v>
      </c>
      <c r="DF769" s="1582">
        <f t="shared" si="1058"/>
        <v>457.15399230282065</v>
      </c>
      <c r="DG769" s="478"/>
      <c r="DH769" s="1582">
        <f t="shared" ref="DH769" si="1059">-DH757/DH745*(DH$2/DH$1)*1000</f>
        <v>496.5042658958381</v>
      </c>
      <c r="DI769" s="1582">
        <f t="shared" ref="DI769:DJ769" si="1060">-DI757/DI745*(DI$2/DI$1)*1000</f>
        <v>573.71728355473977</v>
      </c>
      <c r="DJ769" s="1582">
        <f t="shared" si="1060"/>
        <v>534.23875541528218</v>
      </c>
      <c r="DK769" s="478"/>
      <c r="DL769" s="1582">
        <f t="shared" ref="DL769:DN769" si="1061">-DL757/DL745*(DL$2/DL$1)*1000</f>
        <v>557.71995216967912</v>
      </c>
      <c r="DM769" s="1582">
        <f t="shared" si="1061"/>
        <v>558.23212601439695</v>
      </c>
      <c r="DN769" s="1582">
        <f t="shared" si="1061"/>
        <v>557.96273733992655</v>
      </c>
      <c r="DO769" s="478"/>
      <c r="DP769" s="1582">
        <f t="shared" ref="DP769:DR769" si="1062">-DP757/DP745*(DP$2/DP$1)*1000</f>
        <v>566.32132816127091</v>
      </c>
      <c r="DQ769" s="1582">
        <f t="shared" si="1062"/>
        <v>566.8669863313188</v>
      </c>
      <c r="DR769" s="1582">
        <f t="shared" si="1062"/>
        <v>566.59685852436439</v>
      </c>
      <c r="DS769" s="478"/>
      <c r="DT769" s="478"/>
      <c r="DU769" s="1070"/>
      <c r="DV769" s="1070"/>
      <c r="DW769" s="1070"/>
      <c r="DX769" s="478"/>
      <c r="DY769" s="478"/>
      <c r="DZ769" s="1070"/>
      <c r="EA769" s="1070"/>
      <c r="EB769" s="478"/>
      <c r="EC769" s="478"/>
      <c r="ED769" s="1070"/>
      <c r="EE769" s="1070"/>
      <c r="EF769" s="478"/>
      <c r="EG769" s="478"/>
      <c r="EH769" s="478"/>
      <c r="EI769" s="478"/>
      <c r="EJ769" s="478"/>
      <c r="EK769" s="478"/>
      <c r="EL769" s="478"/>
      <c r="EM769" s="478"/>
      <c r="EN769" s="478"/>
      <c r="EO769" s="478"/>
      <c r="EP769" s="478"/>
      <c r="JM769"/>
    </row>
    <row r="770" spans="1:273">
      <c r="A770" s="289" t="s">
        <v>696</v>
      </c>
      <c r="B770" s="103" t="s">
        <v>197</v>
      </c>
      <c r="AR770" s="685"/>
      <c r="AS770" s="685"/>
      <c r="AT770" s="730"/>
      <c r="AU770" s="730"/>
      <c r="AV770" s="715">
        <f t="shared" si="1005"/>
        <v>236.30007838271615</v>
      </c>
      <c r="AW770" s="715">
        <f t="shared" si="1005"/>
        <v>233.06604028836381</v>
      </c>
      <c r="AX770" s="715">
        <f t="shared" si="1005"/>
        <v>234.60454915010683</v>
      </c>
      <c r="AY770" s="730"/>
      <c r="AZ770" s="715">
        <f t="shared" si="1006"/>
        <v>250.47855367734766</v>
      </c>
      <c r="BA770" s="715">
        <f t="shared" si="1006"/>
        <v>257.21557285552751</v>
      </c>
      <c r="BB770" s="715">
        <f t="shared" si="1006"/>
        <v>253.87704956020823</v>
      </c>
      <c r="BD770" s="715">
        <f t="shared" si="1045"/>
        <v>215.68116956010962</v>
      </c>
      <c r="BE770" s="715">
        <f t="shared" si="1045"/>
        <v>260.49839535677705</v>
      </c>
      <c r="BF770" s="715">
        <f t="shared" si="1045"/>
        <v>237.58353789168083</v>
      </c>
      <c r="BH770" s="715">
        <f t="shared" si="1046"/>
        <v>221.76726032281226</v>
      </c>
      <c r="BI770" s="715">
        <f t="shared" si="1046"/>
        <v>256.54596822480028</v>
      </c>
      <c r="BJ770" s="715">
        <f t="shared" si="1046"/>
        <v>238.94435217462723</v>
      </c>
      <c r="BL770" s="715">
        <f t="shared" si="1047"/>
        <v>250.36616224694757</v>
      </c>
      <c r="BM770" s="715">
        <f t="shared" si="1047"/>
        <v>289.28036082706393</v>
      </c>
      <c r="BN770" s="715">
        <f t="shared" si="1047"/>
        <v>269.85445483766119</v>
      </c>
      <c r="BP770" s="715">
        <f t="shared" si="1048"/>
        <v>276.45196600337442</v>
      </c>
      <c r="BQ770" s="715">
        <f t="shared" si="1048"/>
        <v>312.51691298461662</v>
      </c>
      <c r="BR770" s="715">
        <f t="shared" si="1048"/>
        <v>294.48768525429148</v>
      </c>
      <c r="BT770" s="715">
        <f t="shared" si="1049"/>
        <v>327.17678100263851</v>
      </c>
      <c r="BU770" s="715">
        <f t="shared" si="1049"/>
        <v>283.46569363955069</v>
      </c>
      <c r="BV770" s="715">
        <f t="shared" si="1049"/>
        <v>305.20846442890274</v>
      </c>
      <c r="BX770" s="715">
        <f t="shared" si="1050"/>
        <v>324.07310478202174</v>
      </c>
      <c r="BY770" s="715">
        <f t="shared" si="1050"/>
        <v>305.65629606230783</v>
      </c>
      <c r="BZ770" s="715">
        <f t="shared" si="1050"/>
        <v>315.03030521033793</v>
      </c>
      <c r="CA770" s="811">
        <f>+BZ770/BV770-1</f>
        <v>3.2180761434036587E-2</v>
      </c>
      <c r="CB770" s="715">
        <f t="shared" si="1051"/>
        <v>327.22452626660152</v>
      </c>
      <c r="CC770" s="715">
        <f t="shared" si="1051"/>
        <v>314.84183128283712</v>
      </c>
      <c r="CD770" s="715">
        <f t="shared" si="1051"/>
        <v>320.94003357262756</v>
      </c>
      <c r="CE770" s="811">
        <f>+CD770/BZ770-1</f>
        <v>1.8759237649672578E-2</v>
      </c>
      <c r="CF770" s="715">
        <f t="shared" si="1052"/>
        <v>329.71304573488896</v>
      </c>
      <c r="CG770" s="715">
        <f t="shared" si="1052"/>
        <v>359.54847475465198</v>
      </c>
      <c r="CH770" s="715">
        <f t="shared" si="1052"/>
        <v>344.85151950820489</v>
      </c>
      <c r="CI770" s="811">
        <f>+CH770/CD770-1</f>
        <v>7.4504528679081972E-2</v>
      </c>
      <c r="CJ770" s="715">
        <f t="shared" si="1053"/>
        <v>354.69239123490701</v>
      </c>
      <c r="CK770" s="715">
        <f t="shared" si="1053"/>
        <v>322.88530409152855</v>
      </c>
      <c r="CL770" s="715">
        <f t="shared" si="1053"/>
        <v>338.72635581221465</v>
      </c>
      <c r="CM770" s="811">
        <f>+CL770/CH770-1</f>
        <v>-1.77617419367192E-2</v>
      </c>
      <c r="CN770" s="715">
        <f t="shared" si="1054"/>
        <v>323.90687051784892</v>
      </c>
      <c r="CO770" s="715">
        <f t="shared" si="1054"/>
        <v>354.71248239799201</v>
      </c>
      <c r="CP770" s="715">
        <f t="shared" si="1054"/>
        <v>339.40326053521989</v>
      </c>
      <c r="CQ770" s="811">
        <f>+CP770/CL770-1</f>
        <v>1.9983822085001268E-3</v>
      </c>
      <c r="CR770" s="715">
        <f t="shared" si="1055"/>
        <v>374.87883940321143</v>
      </c>
      <c r="CS770" s="715">
        <f t="shared" si="1055"/>
        <v>404.14045238333625</v>
      </c>
      <c r="CT770" s="715">
        <f t="shared" si="1055"/>
        <v>389.79857991595424</v>
      </c>
      <c r="CU770" s="811">
        <f>+CT770/CP770-1</f>
        <v>0.14848213096498775</v>
      </c>
      <c r="CV770" s="715">
        <f t="shared" ref="CV770:CX770" si="1063">-CV758/CV746*(CV$2/CV$1)*1000</f>
        <v>385.37163189395932</v>
      </c>
      <c r="CW770" s="715">
        <f t="shared" si="1063"/>
        <v>412.44362174594733</v>
      </c>
      <c r="CX770" s="715">
        <f t="shared" si="1063"/>
        <v>399.25363464379194</v>
      </c>
      <c r="CZ770" s="715">
        <f t="shared" ref="CZ770:DB770" si="1064">-CZ758/CZ746*(CZ$2/CZ$1)*1000</f>
        <v>357.50017951602479</v>
      </c>
      <c r="DA770" s="715">
        <f t="shared" si="1064"/>
        <v>380.48454788248756</v>
      </c>
      <c r="DB770" s="715">
        <f t="shared" si="1064"/>
        <v>369.01391626351312</v>
      </c>
      <c r="DD770" s="715">
        <f t="shared" ref="DD770:DF770" si="1065">-DD758/DD746*(DD$2/DD$1)*1000</f>
        <v>367.9596949746342</v>
      </c>
      <c r="DE770" s="715">
        <f t="shared" si="1065"/>
        <v>393.55838692322055</v>
      </c>
      <c r="DF770" s="715">
        <f t="shared" si="1065"/>
        <v>380.58802340169177</v>
      </c>
      <c r="DH770" s="715">
        <f t="shared" ref="DH770" si="1066">-DH758/DH746*(DH$2/DH$1)*1000</f>
        <v>398.94744229250688</v>
      </c>
      <c r="DI770" s="715">
        <f t="shared" ref="DI770:DJ770" si="1067">-DI758/DI746*(DI$2/DI$1)*1000</f>
        <v>412.06276411668966</v>
      </c>
      <c r="DJ770" s="715">
        <f t="shared" si="1067"/>
        <v>405.52014926466751</v>
      </c>
      <c r="DL770" s="715">
        <f t="shared" ref="DL770:DN770" si="1068">-DL758/DL746*(DL$2/DL$1)*1000</f>
        <v>397.25647836083192</v>
      </c>
      <c r="DM770" s="715">
        <f t="shared" si="1068"/>
        <v>404.10995204478598</v>
      </c>
      <c r="DN770" s="715">
        <f t="shared" si="1068"/>
        <v>400.69688603723409</v>
      </c>
      <c r="DP770" s="715">
        <f t="shared" ref="DP770:DR770" si="1069">-DP758/DP746*(DP$2/DP$1)*1000</f>
        <v>401.83834982049274</v>
      </c>
      <c r="DQ770" s="715">
        <f t="shared" si="1069"/>
        <v>408.37666975953255</v>
      </c>
      <c r="DR770" s="715">
        <f t="shared" si="1069"/>
        <v>405.13987771050296</v>
      </c>
      <c r="DU770" s="295"/>
      <c r="DV770" s="295"/>
      <c r="DW770" s="295"/>
      <c r="DZ770" s="295"/>
      <c r="EA770" s="295"/>
      <c r="ED770" s="295"/>
      <c r="EE770" s="295"/>
    </row>
    <row r="771" spans="1:273" s="328" customFormat="1">
      <c r="A771" s="328" t="s">
        <v>749</v>
      </c>
      <c r="B771" s="581" t="s">
        <v>197</v>
      </c>
      <c r="AN771" s="581"/>
      <c r="AO771" s="581"/>
      <c r="AP771" s="581"/>
      <c r="AQ771" s="581"/>
      <c r="AR771" s="811"/>
      <c r="AS771" s="811"/>
      <c r="AT771" s="412"/>
      <c r="AU771" s="412"/>
      <c r="AV771" s="1560">
        <f t="shared" si="1005"/>
        <v>170.31729396757351</v>
      </c>
      <c r="AW771" s="1560">
        <f t="shared" si="1005"/>
        <v>195.88601544263096</v>
      </c>
      <c r="AX771" s="1560">
        <f t="shared" si="1005"/>
        <v>183.4667263670454</v>
      </c>
      <c r="AY771" s="412"/>
      <c r="AZ771" s="1560">
        <f t="shared" si="1006"/>
        <v>193.31417894214979</v>
      </c>
      <c r="BA771" s="1560">
        <f t="shared" si="1006"/>
        <v>220.21035672757799</v>
      </c>
      <c r="BB771" s="1560">
        <f t="shared" si="1006"/>
        <v>206.69868893950897</v>
      </c>
      <c r="BC771" s="581"/>
      <c r="BD771" s="1560">
        <f t="shared" si="1045"/>
        <v>183.08311574912148</v>
      </c>
      <c r="BE771" s="1560">
        <f t="shared" si="1045"/>
        <v>200.68747898217688</v>
      </c>
      <c r="BF771" s="1560">
        <f t="shared" si="1045"/>
        <v>191.65937854958497</v>
      </c>
      <c r="BG771" s="581"/>
      <c r="BH771" s="1560">
        <f t="shared" si="1046"/>
        <v>181.95355985051262</v>
      </c>
      <c r="BI771" s="1560">
        <f t="shared" si="1046"/>
        <v>186.12255411872704</v>
      </c>
      <c r="BJ771" s="1560">
        <f t="shared" si="1046"/>
        <v>184.00966610673976</v>
      </c>
      <c r="BK771" s="581"/>
      <c r="BL771" s="1560">
        <f t="shared" si="1047"/>
        <v>193.89167165083967</v>
      </c>
      <c r="BM771" s="1560">
        <f t="shared" si="1047"/>
        <v>206.60166400076713</v>
      </c>
      <c r="BN771" s="1560">
        <f t="shared" si="1047"/>
        <v>200.18647177358716</v>
      </c>
      <c r="BO771" s="581"/>
      <c r="BP771" s="1560">
        <f t="shared" si="1048"/>
        <v>203.64113643273791</v>
      </c>
      <c r="BQ771" s="1560">
        <f t="shared" si="1048"/>
        <v>226.8438202517502</v>
      </c>
      <c r="BR771" s="1560">
        <f t="shared" si="1048"/>
        <v>215.24663677130047</v>
      </c>
      <c r="BS771" s="581"/>
      <c r="BT771" s="1560">
        <f t="shared" si="1049"/>
        <v>229.48766128022046</v>
      </c>
      <c r="BU771" s="1560">
        <f t="shared" si="1049"/>
        <v>243.03734232546523</v>
      </c>
      <c r="BV771" s="1560">
        <f t="shared" si="1049"/>
        <v>236.27267041901186</v>
      </c>
      <c r="BW771" s="581"/>
      <c r="BX771" s="1560">
        <f t="shared" si="1050"/>
        <v>234.69456043869201</v>
      </c>
      <c r="BY771" s="1560">
        <f t="shared" si="1050"/>
        <v>228.88795986622071</v>
      </c>
      <c r="BZ771" s="1560">
        <f t="shared" si="1050"/>
        <v>231.84610108190691</v>
      </c>
      <c r="CA771" s="581"/>
      <c r="CB771" s="1560">
        <f t="shared" si="1051"/>
        <v>232.82320754762324</v>
      </c>
      <c r="CC771" s="1560">
        <f t="shared" si="1051"/>
        <v>245.18053754114578</v>
      </c>
      <c r="CD771" s="1560">
        <f t="shared" si="1051"/>
        <v>239.09630952014527</v>
      </c>
      <c r="CE771" s="581"/>
      <c r="CF771" s="1560">
        <f t="shared" si="1052"/>
        <v>236.70200732954288</v>
      </c>
      <c r="CG771" s="1560">
        <f t="shared" si="1052"/>
        <v>262.58004529859005</v>
      </c>
      <c r="CH771" s="1560">
        <f t="shared" si="1052"/>
        <v>249.75144163849671</v>
      </c>
      <c r="CI771" s="581"/>
      <c r="CJ771" s="1560">
        <f t="shared" si="1053"/>
        <v>246.73703325388718</v>
      </c>
      <c r="CK771" s="1560">
        <f t="shared" si="1053"/>
        <v>249.75654465257492</v>
      </c>
      <c r="CL771" s="1560">
        <f t="shared" si="1053"/>
        <v>248.23968756235925</v>
      </c>
      <c r="CM771" s="581"/>
      <c r="CN771" s="1560">
        <f t="shared" si="1054"/>
        <v>250.83819579512823</v>
      </c>
      <c r="CO771" s="1560">
        <f t="shared" si="1054"/>
        <v>227.34715197816379</v>
      </c>
      <c r="CP771" s="1560">
        <f t="shared" si="1054"/>
        <v>239.08330752554971</v>
      </c>
      <c r="CQ771" s="581"/>
      <c r="CR771" s="1560">
        <f t="shared" si="1055"/>
        <v>253.69951739069995</v>
      </c>
      <c r="CS771" s="1560">
        <f t="shared" si="1055"/>
        <v>253.74921382614883</v>
      </c>
      <c r="CT771" s="1560">
        <f t="shared" si="1055"/>
        <v>253.70789508720543</v>
      </c>
      <c r="CU771" s="581"/>
      <c r="CV771" s="1560">
        <f t="shared" ref="CV771:CX771" si="1070">-CV759/CV747*(CV$2/CV$1)*1000</f>
        <v>254.90881306263779</v>
      </c>
      <c r="CW771" s="1560">
        <f t="shared" si="1070"/>
        <v>278.06738537343364</v>
      </c>
      <c r="CX771" s="1560">
        <f t="shared" si="1070"/>
        <v>266.60688933721889</v>
      </c>
      <c r="CY771" s="581"/>
      <c r="CZ771" s="1560">
        <f t="shared" ref="CZ771:DB771" si="1071">-CZ759/CZ747*(CZ$2/CZ$1)*1000</f>
        <v>277.41812642802745</v>
      </c>
      <c r="DA771" s="1560">
        <f t="shared" si="1071"/>
        <v>276.0068715403703</v>
      </c>
      <c r="DB771" s="1560">
        <f t="shared" si="1071"/>
        <v>276.71337336764844</v>
      </c>
      <c r="DC771" s="581"/>
      <c r="DD771" s="1560">
        <f t="shared" ref="DD771:DF771" si="1072">-DD759/DD747*(DD$2/DD$1)*1000</f>
        <v>282.30531499626562</v>
      </c>
      <c r="DE771" s="1560">
        <f t="shared" si="1072"/>
        <v>284.04847265337702</v>
      </c>
      <c r="DF771" s="1560">
        <f t="shared" si="1072"/>
        <v>283.17238232834006</v>
      </c>
      <c r="DG771" s="581"/>
      <c r="DH771" s="1560">
        <f t="shared" ref="DH771" si="1073">-DH759/DH747*(DH$2/DH$1)*1000</f>
        <v>273.98788406332289</v>
      </c>
      <c r="DI771" s="1560">
        <f t="shared" ref="DI771:DJ771" si="1074">-DI759/DI747*(DI$2/DI$1)*1000</f>
        <v>267.9190176851472</v>
      </c>
      <c r="DJ771" s="1560">
        <f t="shared" si="1074"/>
        <v>270.84423372784232</v>
      </c>
      <c r="DK771" s="581"/>
      <c r="DL771" s="1560">
        <f t="shared" ref="DL771:DN771" si="1075">-DL759/DL747*(DL$2/DL$1)*1000</f>
        <v>254.17476087695533</v>
      </c>
      <c r="DM771" s="1560">
        <f t="shared" si="1075"/>
        <v>266.6826308577202</v>
      </c>
      <c r="DN771" s="1560">
        <f t="shared" si="1075"/>
        <v>260.46641755841586</v>
      </c>
      <c r="DO771" s="581"/>
      <c r="DP771" s="1560">
        <f t="shared" ref="DP771:DR771" si="1076">-DP759/DP747*(DP$2/DP$1)*1000</f>
        <v>255.17252937404379</v>
      </c>
      <c r="DQ771" s="1560">
        <f t="shared" si="1076"/>
        <v>267.05437278203703</v>
      </c>
      <c r="DR771" s="1560">
        <f t="shared" si="1076"/>
        <v>261.17227208501066</v>
      </c>
      <c r="DS771" s="581"/>
      <c r="DT771" s="581"/>
      <c r="DU771" s="791"/>
      <c r="DV771" s="791"/>
      <c r="DW771" s="791"/>
      <c r="DX771" s="581"/>
      <c r="DY771" s="581"/>
      <c r="DZ771" s="791"/>
      <c r="EA771" s="791"/>
      <c r="EB771" s="581"/>
      <c r="EC771" s="581"/>
      <c r="ED771" s="791"/>
      <c r="EE771" s="791"/>
      <c r="EF771" s="581"/>
      <c r="EG771" s="581"/>
      <c r="EH771" s="581"/>
      <c r="EI771" s="581"/>
      <c r="EJ771" s="581"/>
      <c r="EK771" s="581"/>
      <c r="EL771" s="581"/>
      <c r="EM771" s="581"/>
      <c r="EN771" s="581"/>
      <c r="EO771" s="581"/>
      <c r="EP771" s="581"/>
      <c r="JM771"/>
    </row>
    <row r="772" spans="1:273">
      <c r="AR772" s="685"/>
      <c r="AS772" s="685"/>
      <c r="AT772" s="730"/>
      <c r="AU772" s="730"/>
      <c r="AV772" s="685"/>
      <c r="AW772" s="685"/>
      <c r="AX772" s="730"/>
      <c r="AY772" s="730"/>
      <c r="AZ772" s="685"/>
      <c r="BA772" s="876"/>
      <c r="BD772" s="711"/>
      <c r="BE772" s="885"/>
      <c r="BF772" s="711"/>
      <c r="BH772" s="685"/>
      <c r="BI772" s="876"/>
      <c r="BL772" s="876"/>
      <c r="BM772" s="876"/>
      <c r="BP772" s="876"/>
      <c r="BQ772" s="876"/>
      <c r="BT772" s="876"/>
      <c r="BU772" s="876"/>
      <c r="BX772" s="876"/>
      <c r="BY772" s="876"/>
      <c r="CB772" s="876"/>
      <c r="CC772" s="876"/>
      <c r="CF772" s="876"/>
      <c r="CG772" s="876"/>
      <c r="CJ772" s="876"/>
      <c r="CK772" s="876"/>
      <c r="CN772" s="876"/>
      <c r="CO772" s="876"/>
      <c r="CR772" s="876"/>
      <c r="CS772" s="876"/>
      <c r="CV772" s="876"/>
      <c r="CW772" s="876"/>
      <c r="CZ772" s="876"/>
      <c r="DA772" s="876"/>
      <c r="DD772" s="876"/>
      <c r="DE772" s="876"/>
      <c r="DH772" s="876"/>
      <c r="DI772" s="876"/>
      <c r="DL772" s="876"/>
      <c r="DM772" s="876"/>
      <c r="DP772" s="876"/>
      <c r="DQ772" s="876"/>
      <c r="DU772" s="876"/>
      <c r="DV772" s="876"/>
      <c r="DW772" s="876"/>
      <c r="DZ772" s="876"/>
      <c r="EA772" s="876"/>
      <c r="ED772" s="876"/>
      <c r="EE772" s="876"/>
    </row>
    <row r="773" spans="1:273">
      <c r="A773" s="815" t="s">
        <v>1311</v>
      </c>
      <c r="AR773" s="685"/>
      <c r="AS773" s="685"/>
      <c r="AT773" s="730"/>
      <c r="AU773" s="730"/>
      <c r="AV773" s="685"/>
      <c r="AW773" s="685"/>
      <c r="AX773" s="730"/>
      <c r="AY773" s="730"/>
      <c r="AZ773" s="685"/>
      <c r="BA773" s="876"/>
      <c r="BD773" s="711"/>
      <c r="BE773" s="885"/>
      <c r="BF773" s="711"/>
      <c r="BH773" s="685"/>
      <c r="BI773" s="876"/>
      <c r="BL773" s="876"/>
      <c r="BM773" s="876"/>
      <c r="BP773" s="876"/>
      <c r="BQ773" s="876"/>
      <c r="BT773" s="876"/>
      <c r="BU773" s="876"/>
      <c r="BX773" s="876"/>
      <c r="BY773" s="876"/>
      <c r="CB773" s="876"/>
      <c r="CC773" s="876"/>
      <c r="CF773" s="876"/>
      <c r="CG773" s="876"/>
      <c r="CJ773" s="876"/>
      <c r="CK773" s="876"/>
      <c r="CN773" s="876"/>
      <c r="CO773" s="876"/>
      <c r="CR773" s="876"/>
      <c r="CS773" s="876"/>
      <c r="CV773" s="876"/>
      <c r="CW773" s="876"/>
      <c r="CZ773" s="876"/>
      <c r="DA773" s="876"/>
      <c r="DD773" s="876"/>
      <c r="DE773" s="876"/>
      <c r="DH773" s="876"/>
      <c r="DI773" s="876"/>
      <c r="DL773" s="876"/>
      <c r="DM773" s="876"/>
      <c r="DP773" s="876"/>
      <c r="DQ773" s="876"/>
      <c r="DU773" s="876"/>
      <c r="DV773" s="876"/>
      <c r="DW773" s="876"/>
      <c r="DZ773" s="876"/>
      <c r="EA773" s="876"/>
      <c r="ED773" s="876"/>
      <c r="EE773" s="876"/>
    </row>
    <row r="774" spans="1:273">
      <c r="A774" s="102" t="s">
        <v>1302</v>
      </c>
      <c r="B774" s="103" t="s">
        <v>1251</v>
      </c>
      <c r="AR774" s="685"/>
      <c r="AS774" s="685"/>
      <c r="AT774" s="730"/>
      <c r="AU774" s="730"/>
      <c r="AV774" s="685"/>
      <c r="AW774" s="685"/>
      <c r="AX774" s="730"/>
      <c r="AY774" s="730"/>
      <c r="AZ774" s="685"/>
      <c r="BA774" s="876"/>
      <c r="BD774" s="711"/>
      <c r="BE774" s="885"/>
      <c r="BF774" s="711"/>
      <c r="BH774" s="685"/>
      <c r="BI774" s="876"/>
      <c r="BL774" s="876"/>
      <c r="BM774" s="876"/>
      <c r="BP774" s="876"/>
      <c r="BQ774" s="876"/>
      <c r="BT774" s="876"/>
      <c r="BU774" s="876"/>
      <c r="BX774" s="876"/>
      <c r="BY774" s="876"/>
      <c r="CB774" s="876"/>
      <c r="CC774" s="876"/>
      <c r="CF774" s="876"/>
      <c r="CG774" s="876"/>
      <c r="CJ774" s="876"/>
      <c r="CK774" s="876"/>
      <c r="CN774" s="876"/>
      <c r="CO774" s="876"/>
      <c r="CP774" s="1588">
        <v>4.7902440000000004</v>
      </c>
      <c r="CQ774" s="1628"/>
      <c r="CR774" s="309">
        <f>+CT774/2</f>
        <v>2.9104435</v>
      </c>
      <c r="CS774" s="309">
        <f>+CT774/2</f>
        <v>2.9104435</v>
      </c>
      <c r="CT774" s="1588">
        <v>5.8208869999999999</v>
      </c>
      <c r="CV774" s="309">
        <f>+CX774/2</f>
        <v>3.6105404999999999</v>
      </c>
      <c r="CW774" s="309">
        <f>+CX774/2</f>
        <v>3.6105404999999999</v>
      </c>
      <c r="CX774" s="1588">
        <f>6.4+0.821081</f>
        <v>7.2210809999999999</v>
      </c>
      <c r="CZ774" s="309">
        <f>+DB774/2</f>
        <v>4.3261120000000002</v>
      </c>
      <c r="DA774" s="309">
        <f>+DB774/2</f>
        <v>4.3261120000000002</v>
      </c>
      <c r="DB774" s="2017">
        <f>7.125+1.527224</f>
        <v>8.6522240000000004</v>
      </c>
      <c r="DD774" s="309">
        <f>+DF774/2</f>
        <v>4.1384094999999999</v>
      </c>
      <c r="DE774" s="309">
        <f>+DF774/2</f>
        <v>4.1384094999999999</v>
      </c>
      <c r="DF774" s="2180">
        <f>6.75+1.526819</f>
        <v>8.2768189999999997</v>
      </c>
      <c r="DH774" s="309"/>
      <c r="DI774" s="876"/>
      <c r="DL774" s="876"/>
      <c r="DM774" s="876"/>
      <c r="DP774" s="876"/>
      <c r="DQ774" s="876"/>
      <c r="DU774" s="876"/>
      <c r="DV774" s="876"/>
      <c r="DW774" s="876"/>
      <c r="DZ774" s="876"/>
      <c r="EA774" s="876"/>
      <c r="ED774" s="876"/>
      <c r="EE774" s="876"/>
    </row>
    <row r="775" spans="1:273">
      <c r="A775" s="102" t="s">
        <v>1303</v>
      </c>
      <c r="B775" s="103" t="s">
        <v>1251</v>
      </c>
      <c r="AR775" s="685"/>
      <c r="AS775" s="685"/>
      <c r="AT775" s="730"/>
      <c r="AU775" s="730"/>
      <c r="AV775" s="685"/>
      <c r="AW775" s="685"/>
      <c r="AX775" s="730"/>
      <c r="AY775" s="730"/>
      <c r="AZ775" s="685"/>
      <c r="BA775" s="876"/>
      <c r="BD775" s="711"/>
      <c r="BE775" s="885"/>
      <c r="BF775" s="711"/>
      <c r="BH775" s="685"/>
      <c r="BI775" s="876"/>
      <c r="BL775" s="876"/>
      <c r="BM775" s="876"/>
      <c r="BP775" s="876"/>
      <c r="BQ775" s="876"/>
      <c r="BT775" s="876"/>
      <c r="BU775" s="876"/>
      <c r="BX775" s="876"/>
      <c r="BY775" s="876"/>
      <c r="CB775" s="876"/>
      <c r="CC775" s="876"/>
      <c r="CF775" s="876"/>
      <c r="CG775" s="876"/>
      <c r="CJ775" s="876"/>
      <c r="CK775" s="876"/>
      <c r="CN775" s="876"/>
      <c r="CO775" s="876"/>
      <c r="CP775" s="1588">
        <v>3.211319</v>
      </c>
      <c r="CQ775" s="1628"/>
      <c r="CR775" s="309">
        <f t="shared" ref="CR775:CR776" si="1077">+CT775/2</f>
        <v>1.8357969999999999</v>
      </c>
      <c r="CS775" s="309">
        <f t="shared" ref="CS775:CS777" si="1078">+CT775/2</f>
        <v>1.8357969999999999</v>
      </c>
      <c r="CT775" s="1588">
        <v>3.6715939999999998</v>
      </c>
      <c r="CV775" s="309">
        <f t="shared" ref="CV775:CV777" si="1079">+CX775/2</f>
        <v>1.9858705000000003</v>
      </c>
      <c r="CW775" s="309">
        <f t="shared" ref="CW775:CW777" si="1080">+CX775/2</f>
        <v>1.9858705000000003</v>
      </c>
      <c r="CX775" s="1588">
        <f>8.771741-4.8</f>
        <v>3.9717410000000006</v>
      </c>
      <c r="CZ775" s="309">
        <f t="shared" ref="CZ775:CZ777" si="1081">+DB775/2</f>
        <v>2.260281</v>
      </c>
      <c r="DA775" s="309">
        <f t="shared" ref="DA775:DA777" si="1082">+DB775/2</f>
        <v>2.260281</v>
      </c>
      <c r="DB775" s="2017">
        <f>1.120562+3.4</f>
        <v>4.520562</v>
      </c>
      <c r="DD775" s="309">
        <f t="shared" ref="DD775:DD777" si="1083">+DF775/2</f>
        <v>2.341329</v>
      </c>
      <c r="DE775" s="309">
        <f t="shared" ref="DE775:DE777" si="1084">+DF775/2</f>
        <v>2.341329</v>
      </c>
      <c r="DF775" s="2180">
        <f>1.120158+3.5625</f>
        <v>4.682658</v>
      </c>
      <c r="DH775" s="309"/>
      <c r="DI775" s="876"/>
      <c r="DL775" s="876"/>
      <c r="DM775" s="876"/>
      <c r="DP775" s="876"/>
      <c r="DQ775" s="876"/>
      <c r="DU775" s="876"/>
      <c r="DV775" s="876"/>
      <c r="DW775" s="876"/>
      <c r="DZ775" s="876"/>
      <c r="EA775" s="876"/>
      <c r="ED775" s="876"/>
      <c r="EE775" s="876"/>
    </row>
    <row r="776" spans="1:273">
      <c r="A776" s="102" t="s">
        <v>1304</v>
      </c>
      <c r="B776" s="103" t="s">
        <v>1251</v>
      </c>
      <c r="AR776" s="685"/>
      <c r="AS776" s="685"/>
      <c r="AT776" s="730"/>
      <c r="AU776" s="730"/>
      <c r="AV776" s="685"/>
      <c r="AW776" s="685"/>
      <c r="AX776" s="730"/>
      <c r="AY776" s="730"/>
      <c r="AZ776" s="685"/>
      <c r="BA776" s="876"/>
      <c r="BD776" s="711"/>
      <c r="BE776" s="885"/>
      <c r="BF776" s="711"/>
      <c r="BH776" s="685"/>
      <c r="BI776" s="876"/>
      <c r="BL776" s="876"/>
      <c r="BM776" s="876"/>
      <c r="BP776" s="876"/>
      <c r="BQ776" s="876"/>
      <c r="BT776" s="876"/>
      <c r="BU776" s="876"/>
      <c r="BX776" s="876"/>
      <c r="BY776" s="876"/>
      <c r="CB776" s="876"/>
      <c r="CC776" s="876"/>
      <c r="CF776" s="876"/>
      <c r="CG776" s="876"/>
      <c r="CJ776" s="876"/>
      <c r="CK776" s="876"/>
      <c r="CN776" s="876"/>
      <c r="CO776" s="876"/>
      <c r="CP776" s="1588">
        <v>0</v>
      </c>
      <c r="CQ776" s="1628"/>
      <c r="CR776" s="309">
        <f t="shared" si="1077"/>
        <v>0.211369</v>
      </c>
      <c r="CS776" s="309">
        <f t="shared" si="1078"/>
        <v>0.211369</v>
      </c>
      <c r="CT776" s="1588">
        <v>0.422738</v>
      </c>
      <c r="CV776" s="309">
        <f t="shared" si="1079"/>
        <v>1.2858704999999997</v>
      </c>
      <c r="CW776" s="309">
        <f t="shared" si="1080"/>
        <v>1.2858704999999997</v>
      </c>
      <c r="CX776" s="1588">
        <f>5.271741-2.7</f>
        <v>2.5717409999999994</v>
      </c>
      <c r="CZ776" s="309">
        <f t="shared" si="1081"/>
        <v>1.9602809999999999</v>
      </c>
      <c r="DA776" s="309">
        <f t="shared" si="1082"/>
        <v>1.9602809999999999</v>
      </c>
      <c r="DB776" s="2017">
        <f>1.120562+2.8</f>
        <v>3.9205619999999999</v>
      </c>
      <c r="DD776" s="309">
        <f t="shared" si="1083"/>
        <v>2.157829</v>
      </c>
      <c r="DE776" s="309">
        <f t="shared" si="1084"/>
        <v>2.157829</v>
      </c>
      <c r="DF776" s="2180">
        <f>1.120158+3.1955</f>
        <v>4.315658</v>
      </c>
      <c r="DH776" s="309"/>
      <c r="DI776" s="876"/>
      <c r="DL776" s="876"/>
      <c r="DM776" s="876"/>
      <c r="DP776" s="876"/>
      <c r="DQ776" s="876"/>
      <c r="DU776" s="876"/>
      <c r="DV776" s="876"/>
      <c r="DW776" s="876"/>
      <c r="DZ776" s="876"/>
      <c r="EA776" s="876"/>
      <c r="ED776" s="876"/>
      <c r="EE776" s="876"/>
    </row>
    <row r="777" spans="1:273" s="289" customFormat="1">
      <c r="A777" s="289" t="s">
        <v>1312</v>
      </c>
      <c r="B777" s="290" t="s">
        <v>1251</v>
      </c>
      <c r="AN777" s="290"/>
      <c r="AO777" s="290"/>
      <c r="AP777" s="290"/>
      <c r="AQ777" s="290"/>
      <c r="AR777" s="376"/>
      <c r="AS777" s="376"/>
      <c r="AT777" s="674"/>
      <c r="AU777" s="674"/>
      <c r="AV777" s="376"/>
      <c r="AW777" s="376"/>
      <c r="AX777" s="674"/>
      <c r="AY777" s="674"/>
      <c r="AZ777" s="376"/>
      <c r="BA777" s="1014"/>
      <c r="BB777" s="290"/>
      <c r="BC777" s="290"/>
      <c r="BD777" s="715"/>
      <c r="BE777" s="1352"/>
      <c r="BF777" s="715"/>
      <c r="BG777" s="290"/>
      <c r="BH777" s="376"/>
      <c r="BI777" s="1014"/>
      <c r="BJ777" s="290"/>
      <c r="BK777" s="290"/>
      <c r="BL777" s="1014"/>
      <c r="BM777" s="1014"/>
      <c r="BN777" s="290"/>
      <c r="BO777" s="290"/>
      <c r="BP777" s="1014"/>
      <c r="BQ777" s="1014"/>
      <c r="BR777" s="290"/>
      <c r="BS777" s="290"/>
      <c r="BT777" s="1014"/>
      <c r="BU777" s="1014"/>
      <c r="BV777" s="290"/>
      <c r="BW777" s="290"/>
      <c r="BX777" s="1014"/>
      <c r="BY777" s="1014"/>
      <c r="BZ777" s="290"/>
      <c r="CA777" s="290"/>
      <c r="CB777" s="1014"/>
      <c r="CC777" s="1014"/>
      <c r="CD777" s="290"/>
      <c r="CE777" s="581"/>
      <c r="CF777" s="1014"/>
      <c r="CG777" s="1014"/>
      <c r="CH777" s="290"/>
      <c r="CI777" s="581"/>
      <c r="CJ777" s="1014"/>
      <c r="CK777" s="1014"/>
      <c r="CL777" s="290"/>
      <c r="CM777" s="581"/>
      <c r="CN777" s="1014"/>
      <c r="CO777" s="1014"/>
      <c r="CP777" s="310">
        <f>SUM(CP774:CP776)</f>
        <v>8.0015630000000009</v>
      </c>
      <c r="CQ777" s="1615"/>
      <c r="CR777" s="310">
        <f t="shared" ref="CR777" si="1085">+CT777/2</f>
        <v>4.9576095000000002</v>
      </c>
      <c r="CS777" s="310">
        <f t="shared" si="1078"/>
        <v>4.9576095000000002</v>
      </c>
      <c r="CT777" s="310">
        <f>SUM(CT774:CT776)</f>
        <v>9.9152190000000004</v>
      </c>
      <c r="CU777" s="290"/>
      <c r="CV777" s="310">
        <f t="shared" si="1079"/>
        <v>6.8822814999999995</v>
      </c>
      <c r="CW777" s="310">
        <f t="shared" si="1080"/>
        <v>6.8822814999999995</v>
      </c>
      <c r="CX777" s="310">
        <f>SUM(CX774:CX776)</f>
        <v>13.764562999999999</v>
      </c>
      <c r="CY777" s="290"/>
      <c r="CZ777" s="310">
        <f t="shared" si="1081"/>
        <v>8.5466739999999994</v>
      </c>
      <c r="DA777" s="310">
        <f t="shared" si="1082"/>
        <v>8.5466739999999994</v>
      </c>
      <c r="DB777" s="310">
        <f>SUM(DB774:DB776)</f>
        <v>17.093347999999999</v>
      </c>
      <c r="DC777" s="290"/>
      <c r="DD777" s="310">
        <f t="shared" si="1083"/>
        <v>8.6375674999999994</v>
      </c>
      <c r="DE777" s="310">
        <f t="shared" si="1084"/>
        <v>8.6375674999999994</v>
      </c>
      <c r="DF777" s="310">
        <f>SUM(DF774:DF776)</f>
        <v>17.275134999999999</v>
      </c>
      <c r="DG777" s="290"/>
      <c r="DH777" s="310"/>
      <c r="DI777" s="1014"/>
      <c r="DJ777" s="290"/>
      <c r="DK777" s="290"/>
      <c r="DL777" s="1014"/>
      <c r="DM777" s="1014"/>
      <c r="DN777" s="290"/>
      <c r="DO777" s="290"/>
      <c r="DP777" s="1014"/>
      <c r="DQ777" s="1014"/>
      <c r="DR777" s="290"/>
      <c r="DS777" s="290"/>
      <c r="DT777" s="290"/>
      <c r="DU777" s="1014"/>
      <c r="DV777" s="1014"/>
      <c r="DW777" s="1014"/>
      <c r="DX777" s="290"/>
      <c r="DY777" s="290"/>
      <c r="DZ777" s="1014"/>
      <c r="EA777" s="1014"/>
      <c r="EB777" s="290"/>
      <c r="EC777" s="290"/>
      <c r="ED777" s="1014"/>
      <c r="EE777" s="1014"/>
      <c r="EF777" s="290"/>
      <c r="EG777" s="290"/>
      <c r="EH777" s="290"/>
      <c r="EI777" s="290"/>
      <c r="EJ777" s="290"/>
      <c r="EK777" s="290"/>
      <c r="EL777" s="290"/>
      <c r="EM777" s="290"/>
      <c r="EN777" s="290"/>
      <c r="EO777" s="290"/>
      <c r="EP777" s="290"/>
      <c r="JM777"/>
    </row>
    <row r="778" spans="1:273">
      <c r="A778" s="102" t="s">
        <v>1305</v>
      </c>
      <c r="AR778" s="685"/>
      <c r="AS778" s="685"/>
      <c r="AT778" s="730"/>
      <c r="AU778" s="730"/>
      <c r="AV778" s="685"/>
      <c r="AW778" s="685"/>
      <c r="AX778" s="730"/>
      <c r="AY778" s="730"/>
      <c r="AZ778" s="685"/>
      <c r="BA778" s="876"/>
      <c r="BD778" s="711"/>
      <c r="BE778" s="885"/>
      <c r="BF778" s="711"/>
      <c r="BH778" s="685"/>
      <c r="BI778" s="876"/>
      <c r="BL778" s="876"/>
      <c r="BM778" s="876"/>
      <c r="BP778" s="876"/>
      <c r="BQ778" s="876"/>
      <c r="BT778" s="876"/>
      <c r="BU778" s="876"/>
      <c r="BX778" s="876"/>
      <c r="BY778" s="876"/>
      <c r="CB778" s="876"/>
      <c r="CC778" s="876"/>
      <c r="CF778" s="876"/>
      <c r="CG778" s="876"/>
      <c r="CJ778" s="876"/>
      <c r="CK778" s="876"/>
      <c r="CN778" s="876"/>
      <c r="CO778" s="876"/>
      <c r="CP778" s="309">
        <f>+CP757+CP777</f>
        <v>-3385.9984370000002</v>
      </c>
      <c r="CQ778" s="1628"/>
      <c r="CR778" s="309">
        <f>+CR757+CR777</f>
        <v>-1994.0423905</v>
      </c>
      <c r="CS778" s="309">
        <f>+CS757+CS777</f>
        <v>-2339.0423904999998</v>
      </c>
      <c r="CT778" s="309">
        <f>+CT757+CT777</f>
        <v>-4333.0847809999996</v>
      </c>
      <c r="CV778" s="309">
        <f>+CV757+CV777</f>
        <v>-2341.1177185000001</v>
      </c>
      <c r="CW778" s="309">
        <f>+CW757+CW777</f>
        <v>-2671.1177185000001</v>
      </c>
      <c r="CX778" s="309">
        <f>+CX757+CX777</f>
        <v>-5012.2354370000003</v>
      </c>
      <c r="CZ778" s="309">
        <f>+CZ757+CZ777</f>
        <v>-2268.4533259999998</v>
      </c>
      <c r="DA778" s="309">
        <f>+DA757+DA777</f>
        <v>-2535.4533259999998</v>
      </c>
      <c r="DB778" s="309">
        <f>+DB757+DB777</f>
        <v>-4803.9066519999997</v>
      </c>
      <c r="DD778" s="309">
        <f>+DD757+DD777</f>
        <v>-2229.3624325000001</v>
      </c>
      <c r="DE778" s="309">
        <f>+DE757+DE777</f>
        <v>-2445.3624325000001</v>
      </c>
      <c r="DF778" s="309">
        <f>+DF757+DF777</f>
        <v>-4674.7248650000001</v>
      </c>
      <c r="DH778" s="309"/>
      <c r="DI778" s="876"/>
      <c r="DL778" s="876"/>
      <c r="DM778" s="876"/>
      <c r="DP778" s="876"/>
      <c r="DQ778" s="876"/>
      <c r="DU778" s="876"/>
      <c r="DV778" s="876"/>
      <c r="DW778" s="876"/>
      <c r="DZ778" s="876"/>
      <c r="EA778" s="876"/>
      <c r="ED778" s="876"/>
      <c r="EE778" s="876"/>
    </row>
    <row r="779" spans="1:273">
      <c r="AR779" s="685"/>
      <c r="AS779" s="685"/>
      <c r="AT779" s="730"/>
      <c r="AU779" s="730"/>
      <c r="AV779" s="685"/>
      <c r="AW779" s="685"/>
      <c r="AX779" s="730"/>
      <c r="AY779" s="730"/>
      <c r="AZ779" s="685"/>
      <c r="BA779" s="876"/>
      <c r="BD779" s="711"/>
      <c r="BE779" s="885"/>
      <c r="BF779" s="711"/>
      <c r="BH779" s="685"/>
      <c r="BI779" s="876"/>
      <c r="BL779" s="876"/>
      <c r="BM779" s="876"/>
      <c r="BP779" s="876"/>
      <c r="BQ779" s="876"/>
      <c r="BT779" s="876"/>
      <c r="BU779" s="876"/>
      <c r="BX779" s="876"/>
      <c r="BY779" s="876"/>
      <c r="CB779" s="876"/>
      <c r="CC779" s="876"/>
      <c r="CF779" s="876"/>
      <c r="CG779" s="876"/>
      <c r="CJ779" s="876"/>
      <c r="CK779" s="876"/>
      <c r="CN779" s="876"/>
      <c r="CO779" s="876"/>
      <c r="CR779" s="876"/>
      <c r="CS779" s="876"/>
      <c r="CV779" s="876"/>
      <c r="CW779" s="876"/>
      <c r="CZ779" s="876"/>
      <c r="DA779" s="876"/>
      <c r="DD779" s="876"/>
      <c r="DE779" s="876"/>
      <c r="DH779" s="876"/>
      <c r="DI779" s="876"/>
      <c r="DL779" s="876"/>
      <c r="DM779" s="876"/>
      <c r="DP779" s="876"/>
      <c r="DQ779" s="876"/>
      <c r="DU779" s="876"/>
      <c r="DV779" s="876"/>
      <c r="DW779" s="876"/>
      <c r="DZ779" s="876"/>
      <c r="EA779" s="876"/>
      <c r="ED779" s="876"/>
      <c r="EE779" s="876"/>
    </row>
    <row r="780" spans="1:273">
      <c r="A780" s="815" t="s">
        <v>1297</v>
      </c>
      <c r="AR780" s="685"/>
      <c r="AS780" s="685"/>
      <c r="AT780" s="730"/>
      <c r="AU780" s="730"/>
      <c r="AV780" s="685"/>
      <c r="AW780" s="685"/>
      <c r="AX780" s="730"/>
      <c r="AY780" s="730"/>
      <c r="AZ780" s="685"/>
      <c r="BA780" s="876"/>
      <c r="BD780" s="711"/>
      <c r="BE780" s="885"/>
      <c r="BF780" s="711"/>
      <c r="BH780" s="685"/>
      <c r="BI780" s="876"/>
      <c r="BL780" s="876"/>
      <c r="BM780" s="876"/>
      <c r="BP780" s="876"/>
      <c r="BQ780" s="876"/>
      <c r="BT780" s="876"/>
      <c r="BU780" s="876"/>
      <c r="BX780" s="876"/>
      <c r="BY780" s="876"/>
      <c r="CB780" s="876"/>
      <c r="CC780" s="876"/>
      <c r="CF780" s="876"/>
      <c r="CG780" s="876"/>
      <c r="CJ780" s="876"/>
      <c r="CK780" s="876"/>
      <c r="CN780" s="876"/>
      <c r="CO780" s="876"/>
      <c r="CR780" s="876"/>
      <c r="CS780" s="876"/>
      <c r="CV780" s="876"/>
      <c r="CW780" s="876"/>
      <c r="CZ780" s="876"/>
      <c r="DA780" s="876"/>
      <c r="DD780" s="876"/>
      <c r="DE780" s="876"/>
      <c r="DH780" s="876"/>
      <c r="DI780" s="876"/>
      <c r="DL780" s="876"/>
      <c r="DM780" s="876"/>
      <c r="DP780" s="876"/>
      <c r="DQ780" s="876"/>
      <c r="DU780" s="876"/>
      <c r="DV780" s="876"/>
      <c r="DW780" s="876"/>
      <c r="DZ780" s="876"/>
      <c r="EA780" s="876"/>
      <c r="ED780" s="876"/>
      <c r="EE780" s="876"/>
    </row>
    <row r="781" spans="1:273">
      <c r="A781" s="102" t="s">
        <v>686</v>
      </c>
      <c r="B781" s="103" t="s">
        <v>197</v>
      </c>
      <c r="AR781" s="685"/>
      <c r="AS781" s="685"/>
      <c r="AT781" s="730"/>
      <c r="AU781" s="730"/>
      <c r="AV781" s="685"/>
      <c r="AW781" s="685"/>
      <c r="AX781" s="730"/>
      <c r="AY781" s="730"/>
      <c r="AZ781" s="685"/>
      <c r="BA781" s="876"/>
      <c r="BD781" s="711"/>
      <c r="BE781" s="885"/>
      <c r="BF781" s="711"/>
      <c r="BH781" s="685"/>
      <c r="BI781" s="876"/>
      <c r="BL781" s="876"/>
      <c r="BM781" s="876"/>
      <c r="BP781" s="876"/>
      <c r="BQ781" s="876"/>
      <c r="BT781" s="876"/>
      <c r="BU781" s="876"/>
      <c r="BX781" s="711">
        <f t="shared" ref="BX781:BZ785" si="1086">-BX751/BX739*(BX$2/BX$1)*1000</f>
        <v>300.61585300962872</v>
      </c>
      <c r="BY781" s="711">
        <f t="shared" si="1086"/>
        <v>265.05879241109005</v>
      </c>
      <c r="BZ781" s="715">
        <f t="shared" si="1086"/>
        <v>283.19345814503981</v>
      </c>
      <c r="CB781" s="711">
        <f t="shared" ref="CB781:CD785" si="1087">-CB751/CB739*(CB$2/CB$1)*1000</f>
        <v>285.82685450972616</v>
      </c>
      <c r="CC781" s="711">
        <f t="shared" si="1087"/>
        <v>295.69932555007176</v>
      </c>
      <c r="CD781" s="715">
        <f t="shared" si="1087"/>
        <v>290.72907290729074</v>
      </c>
      <c r="CE781" s="581"/>
      <c r="CF781" s="715">
        <f t="shared" ref="CF781:CH783" si="1088">-CF751/CF739*(CF$2/CF$1)*1000</f>
        <v>359.61575303100796</v>
      </c>
      <c r="CG781" s="715">
        <f t="shared" si="1088"/>
        <v>394.89556087066461</v>
      </c>
      <c r="CH781" s="715">
        <f t="shared" si="1088"/>
        <v>378.04636417673862</v>
      </c>
      <c r="CI781" s="581"/>
      <c r="CJ781" s="715">
        <f t="shared" ref="CJ781:CL783" si="1089">-CJ751/CJ739*(CJ$2/CJ$1)*1000</f>
        <v>440.12575021434697</v>
      </c>
      <c r="CK781" s="715">
        <f t="shared" si="1089"/>
        <v>333.25353124251853</v>
      </c>
      <c r="CL781" s="715">
        <f t="shared" si="1089"/>
        <v>381.96977592496091</v>
      </c>
      <c r="CM781" s="581"/>
      <c r="CN781" s="715">
        <f t="shared" ref="CN781:CP783" si="1090">-CN751/CN739*(CN$2/CN$1)*1000</f>
        <v>356.537421344081</v>
      </c>
      <c r="CO781" s="715">
        <f t="shared" si="1090"/>
        <v>318.73319442162875</v>
      </c>
      <c r="CP781" s="715">
        <f t="shared" si="1090"/>
        <v>338.25776872134486</v>
      </c>
      <c r="CQ781" s="581"/>
      <c r="CR781" s="715">
        <f t="shared" ref="CR781:CT783" si="1091">-CR751/CR739*(CR$2/CR$1)*1000</f>
        <v>277.44360452241153</v>
      </c>
      <c r="CS781" s="715">
        <f t="shared" si="1091"/>
        <v>287.12305658413447</v>
      </c>
      <c r="CT781" s="715">
        <f t="shared" si="1091"/>
        <v>282.28228228228232</v>
      </c>
      <c r="CV781" s="715">
        <f t="shared" ref="CV781:CX781" si="1092">-CV751/CV739*(CV$2/CV$1)*1000</f>
        <v>328.97183302765018</v>
      </c>
      <c r="CW781" s="715">
        <f t="shared" si="1092"/>
        <v>367.21189716581426</v>
      </c>
      <c r="CX781" s="715">
        <f t="shared" si="1092"/>
        <v>347.46392979324708</v>
      </c>
      <c r="CZ781" s="715">
        <f t="shared" ref="CZ781:DB781" si="1093">-CZ751/CZ739*(CZ$2/CZ$1)*1000</f>
        <v>391.67686658506733</v>
      </c>
      <c r="DA781" s="715">
        <f t="shared" si="1093"/>
        <v>373.18504788384303</v>
      </c>
      <c r="DB781" s="715">
        <f t="shared" si="1093"/>
        <v>382.47501921598769</v>
      </c>
      <c r="DD781" s="715">
        <f t="shared" ref="DD781:DF781" si="1094">-DD751/DD739*(DD$2/DD$1)*1000</f>
        <v>391.72753170071832</v>
      </c>
      <c r="DE781" s="715">
        <f t="shared" si="1094"/>
        <v>399.79663193948909</v>
      </c>
      <c r="DF781" s="715">
        <f t="shared" si="1094"/>
        <v>395.70994077157036</v>
      </c>
      <c r="DH781" s="715">
        <f t="shared" ref="DH781" si="1095">-DH751/DH739*(DH$2/DH$1)*1000</f>
        <v>394.33124635885633</v>
      </c>
      <c r="DI781" s="711">
        <f t="shared" ref="DI781:DJ781" si="1096">-DI751/DI739*(DI$2/DI$1)*1000</f>
        <v>434.52244200444011</v>
      </c>
      <c r="DJ781" s="711">
        <f t="shared" si="1096"/>
        <v>414.27224505853775</v>
      </c>
      <c r="DL781" s="711">
        <f t="shared" ref="DL781:DN781" si="1097">-DL751/DL739*(DL$2/DL$1)*1000</f>
        <v>404.35385039336762</v>
      </c>
      <c r="DM781" s="711">
        <f t="shared" si="1097"/>
        <v>432.26713521202953</v>
      </c>
      <c r="DN781" s="711">
        <f t="shared" si="1097"/>
        <v>418.39909291400357</v>
      </c>
      <c r="DP781" s="711">
        <f t="shared" ref="DP781:DR781" si="1098">-DP751/DP739*(DP$2/DP$1)*1000</f>
        <v>403.35719683028015</v>
      </c>
      <c r="DQ781" s="711">
        <f t="shared" si="1098"/>
        <v>428.84538749527314</v>
      </c>
      <c r="DR781" s="711">
        <f t="shared" si="1098"/>
        <v>416.2274713244845</v>
      </c>
      <c r="DU781" s="876"/>
      <c r="DV781" s="876"/>
      <c r="DW781" s="876"/>
      <c r="DZ781" s="876"/>
      <c r="EA781" s="876"/>
      <c r="ED781" s="876"/>
      <c r="EE781" s="876"/>
    </row>
    <row r="782" spans="1:273">
      <c r="A782" s="102" t="s">
        <v>1306</v>
      </c>
      <c r="B782" s="103" t="s">
        <v>197</v>
      </c>
      <c r="AR782" s="685"/>
      <c r="AS782" s="685"/>
      <c r="AT782" s="730"/>
      <c r="AU782" s="730"/>
      <c r="AV782" s="685"/>
      <c r="AW782" s="685"/>
      <c r="AX782" s="730"/>
      <c r="AY782" s="730"/>
      <c r="AZ782" s="685"/>
      <c r="BA782" s="876"/>
      <c r="BD782" s="711"/>
      <c r="BE782" s="885"/>
      <c r="BF782" s="711"/>
      <c r="BH782" s="685"/>
      <c r="BI782" s="876"/>
      <c r="BL782" s="876"/>
      <c r="BM782" s="876"/>
      <c r="BP782" s="876"/>
      <c r="BQ782" s="876"/>
      <c r="BT782" s="876"/>
      <c r="BU782" s="876"/>
      <c r="BX782" s="711">
        <f t="shared" si="1086"/>
        <v>240.79964476343238</v>
      </c>
      <c r="BY782" s="711">
        <f t="shared" si="1086"/>
        <v>247.75289729776077</v>
      </c>
      <c r="BZ782" s="715">
        <f t="shared" si="1086"/>
        <v>244.2948612707273</v>
      </c>
      <c r="CB782" s="711">
        <f t="shared" si="1087"/>
        <v>237.22982257215622</v>
      </c>
      <c r="CC782" s="711">
        <f t="shared" si="1087"/>
        <v>255.38617813989501</v>
      </c>
      <c r="CD782" s="715">
        <f t="shared" si="1087"/>
        <v>246.28312863606982</v>
      </c>
      <c r="CE782" s="581"/>
      <c r="CF782" s="715">
        <f t="shared" si="1088"/>
        <v>273.27162990633445</v>
      </c>
      <c r="CG782" s="715">
        <f t="shared" si="1088"/>
        <v>299.81772057841789</v>
      </c>
      <c r="CH782" s="715">
        <f t="shared" si="1088"/>
        <v>287.09722030147969</v>
      </c>
      <c r="CI782" s="581"/>
      <c r="CJ782" s="715">
        <f t="shared" si="1089"/>
        <v>263.48603957712118</v>
      </c>
      <c r="CK782" s="715">
        <f t="shared" si="1089"/>
        <v>284.16485900216918</v>
      </c>
      <c r="CL782" s="715">
        <f t="shared" si="1089"/>
        <v>273.82404771587363</v>
      </c>
      <c r="CM782" s="581"/>
      <c r="CN782" s="715">
        <f t="shared" si="1090"/>
        <v>269.5743509941102</v>
      </c>
      <c r="CO782" s="715">
        <f t="shared" si="1090"/>
        <v>241.18365294835883</v>
      </c>
      <c r="CP782" s="715">
        <f t="shared" si="1090"/>
        <v>255.37493445201886</v>
      </c>
      <c r="CQ782" s="581"/>
      <c r="CR782" s="715">
        <f t="shared" si="1091"/>
        <v>378.84510912983734</v>
      </c>
      <c r="CS782" s="715">
        <f t="shared" si="1091"/>
        <v>356.11979016144801</v>
      </c>
      <c r="CT782" s="715">
        <f t="shared" si="1091"/>
        <v>366.85866194062913</v>
      </c>
      <c r="CV782" s="715">
        <f t="shared" ref="CV782:CX782" si="1099">-CV752/CV740*(CV$2/CV$1)*1000</f>
        <v>303.60288964717745</v>
      </c>
      <c r="CW782" s="715">
        <f t="shared" si="1099"/>
        <v>358.29202072360789</v>
      </c>
      <c r="CX782" s="715">
        <f t="shared" si="1099"/>
        <v>331.15984983204902</v>
      </c>
      <c r="CZ782" s="715">
        <f t="shared" ref="CZ782:DB782" si="1100">-CZ752/CZ740*(CZ$2/CZ$1)*1000</f>
        <v>328.2578603915365</v>
      </c>
      <c r="DA782" s="715">
        <f t="shared" si="1100"/>
        <v>334.5947022505477</v>
      </c>
      <c r="DB782" s="715">
        <f t="shared" si="1100"/>
        <v>331.41496328636634</v>
      </c>
      <c r="DD782" s="715">
        <f t="shared" ref="DD782:DF782" si="1101">-DD752/DD740*(DD$2/DD$1)*1000</f>
        <v>339.58162637694483</v>
      </c>
      <c r="DE782" s="715">
        <f t="shared" si="1101"/>
        <v>345.27143092453582</v>
      </c>
      <c r="DF782" s="715">
        <f t="shared" si="1101"/>
        <v>342.36864053377815</v>
      </c>
      <c r="DH782" s="715">
        <f t="shared" ref="DH782" si="1102">-DH752/DH740*(DH$2/DH$1)*1000</f>
        <v>355.47055251973285</v>
      </c>
      <c r="DI782" s="711">
        <f t="shared" ref="DI782:DJ782" si="1103">-DI752/DI740*(DI$2/DI$1)*1000</f>
        <v>367.7656218722085</v>
      </c>
      <c r="DJ782" s="711">
        <f t="shared" si="1103"/>
        <v>361.6599184057261</v>
      </c>
      <c r="DL782" s="711">
        <f t="shared" ref="DL782:DN782" si="1104">-DL752/DL740*(DL$2/DL$1)*1000</f>
        <v>350.87910076824312</v>
      </c>
      <c r="DM782" s="711">
        <f t="shared" si="1104"/>
        <v>371.15907628394751</v>
      </c>
      <c r="DN782" s="711">
        <f t="shared" si="1104"/>
        <v>361.08191065221894</v>
      </c>
      <c r="DP782" s="711">
        <f t="shared" ref="DP782:DR782" si="1105">-DP752/DP740*(DP$2/DP$1)*1000</f>
        <v>358.46870259080436</v>
      </c>
      <c r="DQ782" s="711">
        <f t="shared" si="1105"/>
        <v>380.67296832901962</v>
      </c>
      <c r="DR782" s="711">
        <f t="shared" si="1105"/>
        <v>369.68075756752694</v>
      </c>
      <c r="DU782" s="876"/>
      <c r="DV782" s="876"/>
      <c r="DW782" s="876"/>
      <c r="DZ782" s="876"/>
      <c r="EA782" s="876"/>
      <c r="ED782" s="876"/>
      <c r="EE782" s="876"/>
    </row>
    <row r="783" spans="1:273">
      <c r="A783" s="102" t="s">
        <v>1024</v>
      </c>
      <c r="B783" s="103" t="s">
        <v>197</v>
      </c>
      <c r="AR783" s="685"/>
      <c r="AS783" s="685"/>
      <c r="AT783" s="730"/>
      <c r="AU783" s="730"/>
      <c r="AV783" s="685"/>
      <c r="AW783" s="685"/>
      <c r="AX783" s="730"/>
      <c r="AY783" s="730"/>
      <c r="AZ783" s="685"/>
      <c r="BA783" s="876"/>
      <c r="BD783" s="711"/>
      <c r="BE783" s="885"/>
      <c r="BF783" s="711"/>
      <c r="BH783" s="685"/>
      <c r="BI783" s="876"/>
      <c r="BL783" s="876"/>
      <c r="BM783" s="876"/>
      <c r="BP783" s="876"/>
      <c r="BQ783" s="876"/>
      <c r="BT783" s="876"/>
      <c r="BU783" s="876"/>
      <c r="BX783" s="711">
        <f t="shared" si="1086"/>
        <v>294.05963423815359</v>
      </c>
      <c r="BY783" s="711">
        <f t="shared" si="1086"/>
        <v>289.50708084566355</v>
      </c>
      <c r="BZ783" s="715">
        <f t="shared" si="1086"/>
        <v>291.8388429752066</v>
      </c>
      <c r="CB783" s="711">
        <f t="shared" si="1087"/>
        <v>286.25754998293229</v>
      </c>
      <c r="CC783" s="711">
        <f t="shared" si="1087"/>
        <v>317.78075848390279</v>
      </c>
      <c r="CD783" s="715">
        <f t="shared" si="1087"/>
        <v>302.28737520535827</v>
      </c>
      <c r="CE783" s="581"/>
      <c r="CF783" s="715">
        <f t="shared" si="1088"/>
        <v>297.59343765421431</v>
      </c>
      <c r="CG783" s="715">
        <f t="shared" si="1088"/>
        <v>298.05650824759107</v>
      </c>
      <c r="CH783" s="715">
        <f t="shared" si="1088"/>
        <v>297.77904870841678</v>
      </c>
      <c r="CI783" s="581"/>
      <c r="CJ783" s="715">
        <f t="shared" si="1089"/>
        <v>220.31530632608263</v>
      </c>
      <c r="CK783" s="715">
        <f t="shared" si="1089"/>
        <v>287.78322821770615</v>
      </c>
      <c r="CL783" s="715">
        <f t="shared" si="1089"/>
        <v>251.39905294877312</v>
      </c>
      <c r="CM783" s="581"/>
      <c r="CN783" s="715">
        <f t="shared" si="1090"/>
        <v>276.25916091073839</v>
      </c>
      <c r="CO783" s="715">
        <f t="shared" si="1090"/>
        <v>264.91183235369283</v>
      </c>
      <c r="CP783" s="715">
        <f t="shared" si="1090"/>
        <v>270.60327792630477</v>
      </c>
      <c r="CQ783" s="581"/>
      <c r="CR783" s="715">
        <f t="shared" si="1091"/>
        <v>268.25166163646617</v>
      </c>
      <c r="CS783" s="715">
        <f t="shared" si="1091"/>
        <v>284.56656160773395</v>
      </c>
      <c r="CT783" s="715">
        <f t="shared" si="1091"/>
        <v>276.42656688493923</v>
      </c>
      <c r="CV783" s="715">
        <f t="shared" ref="CV783:CX783" si="1106">-CV753/CV741*(CV$2/CV$1)*1000</f>
        <v>301.12960432542326</v>
      </c>
      <c r="CW783" s="715">
        <f t="shared" si="1106"/>
        <v>334.68037339005082</v>
      </c>
      <c r="CX783" s="715">
        <f t="shared" si="1106"/>
        <v>318.20679046258653</v>
      </c>
      <c r="CZ783" s="715">
        <f t="shared" ref="CZ783:DB783" si="1107">-CZ753/CZ741*(CZ$2/CZ$1)*1000</f>
        <v>330.92634619352179</v>
      </c>
      <c r="DA783" s="715">
        <f t="shared" si="1107"/>
        <v>328.52564102564105</v>
      </c>
      <c r="DB783" s="715">
        <f t="shared" si="1107"/>
        <v>329.70830368939937</v>
      </c>
      <c r="DD783" s="715">
        <f t="shared" ref="DD783:DF783" si="1108">-DD753/DD741*(DD$2/DD$1)*1000</f>
        <v>317.2677379939413</v>
      </c>
      <c r="DE783" s="715">
        <f t="shared" si="1108"/>
        <v>316.49086843892036</v>
      </c>
      <c r="DF783" s="715">
        <f t="shared" si="1108"/>
        <v>316.87851019804907</v>
      </c>
      <c r="DH783" s="715">
        <f t="shared" ref="DH783" si="1109">-DH753/DH741*(DH$2/DH$1)*1000</f>
        <v>339.0671676215988</v>
      </c>
      <c r="DI783" s="711">
        <f t="shared" ref="DI783:DJ783" si="1110">-DI753/DI741*(DI$2/DI$1)*1000</f>
        <v>321.236763539359</v>
      </c>
      <c r="DJ783" s="711">
        <f t="shared" si="1110"/>
        <v>330.05471812022654</v>
      </c>
      <c r="DL783" s="711">
        <f t="shared" ref="DL783:DN783" si="1111">-DL753/DL741*(DL$2/DL$1)*1000</f>
        <v>309.68916997129594</v>
      </c>
      <c r="DM783" s="711">
        <f t="shared" si="1111"/>
        <v>316.48181721245953</v>
      </c>
      <c r="DN783" s="711">
        <f t="shared" si="1111"/>
        <v>313.10132280501324</v>
      </c>
      <c r="DP783" s="711">
        <f t="shared" ref="DP783:DR783" si="1112">-DP753/DP741*(DP$2/DP$1)*1000</f>
        <v>308.92584642583876</v>
      </c>
      <c r="DQ783" s="711">
        <f t="shared" si="1112"/>
        <v>313.97660493230211</v>
      </c>
      <c r="DR783" s="711">
        <f t="shared" si="1112"/>
        <v>311.47622943405293</v>
      </c>
      <c r="DU783" s="876"/>
      <c r="DV783" s="876"/>
      <c r="DW783" s="876"/>
      <c r="DZ783" s="876"/>
      <c r="EA783" s="876"/>
      <c r="ED783" s="876"/>
      <c r="EE783" s="876"/>
    </row>
    <row r="784" spans="1:273">
      <c r="A784" s="102" t="s">
        <v>690</v>
      </c>
      <c r="B784" s="103" t="s">
        <v>197</v>
      </c>
      <c r="AR784" s="685"/>
      <c r="AS784" s="685"/>
      <c r="AT784" s="730"/>
      <c r="AU784" s="730"/>
      <c r="AV784" s="685"/>
      <c r="AW784" s="685"/>
      <c r="AX784" s="730"/>
      <c r="AY784" s="730"/>
      <c r="AZ784" s="685"/>
      <c r="BA784" s="876"/>
      <c r="BD784" s="711"/>
      <c r="BE784" s="885"/>
      <c r="BF784" s="711"/>
      <c r="BH784" s="685"/>
      <c r="BI784" s="876"/>
      <c r="BL784" s="876"/>
      <c r="BM784" s="876"/>
      <c r="BP784" s="876"/>
      <c r="BQ784" s="876"/>
      <c r="BT784" s="876"/>
      <c r="BU784" s="876"/>
      <c r="BX784" s="711">
        <f t="shared" si="1086"/>
        <v>199.45355191256832</v>
      </c>
      <c r="BY784" s="711">
        <f t="shared" si="1086"/>
        <v>203.24397291767733</v>
      </c>
      <c r="BZ784" s="715">
        <f t="shared" si="1086"/>
        <v>201.31950989632421</v>
      </c>
      <c r="CB784" s="711">
        <f t="shared" si="1087"/>
        <v>213.47599470180447</v>
      </c>
      <c r="CC784" s="711">
        <f t="shared" si="1087"/>
        <v>352.10972233872997</v>
      </c>
      <c r="CD784" s="715">
        <f t="shared" si="1087"/>
        <v>269.90049751243782</v>
      </c>
      <c r="CE784" s="581"/>
      <c r="CF784" s="715"/>
      <c r="CG784" s="715"/>
      <c r="CH784" s="715"/>
      <c r="CI784" s="581"/>
      <c r="CJ784" s="715"/>
      <c r="CK784" s="715"/>
      <c r="CL784" s="715"/>
      <c r="CM784" s="581"/>
      <c r="CN784" s="715"/>
      <c r="CO784" s="715"/>
      <c r="CP784" s="715"/>
      <c r="CQ784" s="581"/>
      <c r="CR784" s="715"/>
      <c r="CS784" s="715"/>
      <c r="CT784" s="715"/>
      <c r="CV784" s="715"/>
      <c r="CW784" s="715"/>
      <c r="CX784" s="715"/>
      <c r="CZ784" s="715"/>
      <c r="DA784" s="715"/>
      <c r="DB784" s="715"/>
      <c r="DD784" s="715"/>
      <c r="DE784" s="715"/>
      <c r="DF784" s="715"/>
      <c r="DH784" s="715"/>
      <c r="DI784" s="711"/>
      <c r="DJ784" s="711"/>
      <c r="DL784" s="711"/>
      <c r="DM784" s="711"/>
      <c r="DN784" s="711"/>
      <c r="DP784" s="711"/>
      <c r="DQ784" s="711"/>
      <c r="DR784" s="711"/>
      <c r="DU784" s="876"/>
      <c r="DV784" s="876"/>
      <c r="DW784" s="876"/>
      <c r="DZ784" s="876"/>
      <c r="EA784" s="876"/>
      <c r="ED784" s="876"/>
      <c r="EE784" s="876"/>
    </row>
    <row r="785" spans="1:273">
      <c r="A785" s="102" t="s">
        <v>689</v>
      </c>
      <c r="B785" s="103" t="s">
        <v>197</v>
      </c>
      <c r="AR785" s="685"/>
      <c r="AS785" s="685"/>
      <c r="AT785" s="730"/>
      <c r="AU785" s="730"/>
      <c r="AV785" s="685"/>
      <c r="AW785" s="685"/>
      <c r="AX785" s="730"/>
      <c r="AY785" s="730"/>
      <c r="AZ785" s="685"/>
      <c r="BA785" s="876"/>
      <c r="BD785" s="711"/>
      <c r="BE785" s="885"/>
      <c r="BF785" s="711"/>
      <c r="BH785" s="685"/>
      <c r="BI785" s="876"/>
      <c r="BL785" s="876"/>
      <c r="BM785" s="876"/>
      <c r="BP785" s="876"/>
      <c r="BQ785" s="876"/>
      <c r="BT785" s="876"/>
      <c r="BU785" s="876"/>
      <c r="BX785" s="711">
        <f t="shared" si="1086"/>
        <v>160.95591022675404</v>
      </c>
      <c r="BY785" s="711">
        <f t="shared" si="1086"/>
        <v>153.582830213265</v>
      </c>
      <c r="BZ785" s="715">
        <f t="shared" si="1086"/>
        <v>157.37388365918417</v>
      </c>
      <c r="CB785" s="711">
        <f t="shared" si="1087"/>
        <v>170.01238312713724</v>
      </c>
      <c r="CC785" s="711">
        <f t="shared" si="1087"/>
        <v>147.7518763764117</v>
      </c>
      <c r="CD785" s="715">
        <f t="shared" si="1087"/>
        <v>157.71812080536913</v>
      </c>
      <c r="CE785" s="581"/>
      <c r="CF785" s="715">
        <f>-CF755/CF743*(CF$2/CF$1)*1000</f>
        <v>144.3977780788511</v>
      </c>
      <c r="CG785" s="715">
        <f>-CG755/CG743*(CG$2/CG$1)*1000</f>
        <v>141.5973051764733</v>
      </c>
      <c r="CH785" s="715">
        <f>-CH755/CH743*(CH$2/CH$1)*1000</f>
        <v>143.05130818892286</v>
      </c>
      <c r="CI785" s="581"/>
      <c r="CJ785" s="715">
        <f>-CJ755/CJ743*(CJ$2/CJ$1)*1000</f>
        <v>134.98063802323438</v>
      </c>
      <c r="CK785" s="715">
        <f>-CK755/CK743*(CK$2/CK$1)*1000</f>
        <v>129.54245904726042</v>
      </c>
      <c r="CL785" s="715">
        <f>-CL755/CL743*(CL$2/CL$1)*1000</f>
        <v>132.28991988075276</v>
      </c>
      <c r="CM785" s="581"/>
      <c r="CN785" s="715">
        <f>-CN755/CN743*(CN$2/CN$1)*1000</f>
        <v>141.46660567696114</v>
      </c>
      <c r="CO785" s="715">
        <f>-CO755/CO743*(CO$2/CO$1)*1000</f>
        <v>131.63082454019371</v>
      </c>
      <c r="CP785" s="715">
        <f>-CP755/CP743*(CP$2/CP$1)*1000</f>
        <v>136.41133263378805</v>
      </c>
      <c r="CQ785" s="581"/>
      <c r="CR785" s="715">
        <f>-CR755/CR743*(CR$2/CR$1)*1000</f>
        <v>142.32755903829411</v>
      </c>
      <c r="CS785" s="715">
        <f>-CS755/CS743*(CS$2/CS$1)*1000</f>
        <v>139.83942643134782</v>
      </c>
      <c r="CT785" s="715">
        <f>-CT755/CT743*(CT$2/CT$1)*1000</f>
        <v>141.03881729781008</v>
      </c>
      <c r="CV785" s="715">
        <f>-CV755/CV743*(CV$2/CV$1)*1000</f>
        <v>152.10837025496403</v>
      </c>
      <c r="CW785" s="715">
        <f>-CW755/CW743*(CW$2/CW$1)*1000</f>
        <v>146.61007296031846</v>
      </c>
      <c r="CX785" s="715">
        <f>-CX755/CX743*(CX$2/CX$1)*1000</f>
        <v>149.2642399493065</v>
      </c>
      <c r="CZ785" s="715">
        <f>-CZ755/CZ743*(CZ$2/CZ$1)*1000</f>
        <v>163.8591117917305</v>
      </c>
      <c r="DA785" s="715">
        <f>-DA755/DA743*(DA$2/DA$1)*1000</f>
        <v>162.98987801712948</v>
      </c>
      <c r="DB785" s="715">
        <f>-DB755/DB743*(DB$2/DB$1)*1000</f>
        <v>163.42813022776991</v>
      </c>
      <c r="DD785" s="715">
        <f>-DD755/DD743*(DD$2/DD$1)*1000</f>
        <v>167.34972677595627</v>
      </c>
      <c r="DE785" s="715">
        <f>-DE755/DE743*(DE$2/DE$1)*1000</f>
        <v>159.02325953433279</v>
      </c>
      <c r="DF785" s="715">
        <f>-DF755/DF743*(DF$2/DF$1)*1000</f>
        <v>163.38655774229485</v>
      </c>
      <c r="DH785" s="715">
        <f>-DH755/DH743*(DH$2/DH$1)*1000</f>
        <v>128.378850632763</v>
      </c>
      <c r="DI785" s="711">
        <f>-DI755/DI743*(DI$2/DI$1)*1000</f>
        <v>120.56071941247293</v>
      </c>
      <c r="DJ785" s="711">
        <f>-DJ755/DJ743*(DJ$2/DJ$1)*1000</f>
        <v>124.18777741067153</v>
      </c>
      <c r="DL785" s="711">
        <f>-DL755/DL743*(DL$2/DL$1)*1000</f>
        <v>112.93095439782275</v>
      </c>
      <c r="DM785" s="711">
        <f>-DM755/DM743*(DM$2/DM$1)*1000</f>
        <v>119.35557573514718</v>
      </c>
      <c r="DN785" s="711">
        <f>-DN755/DN743*(DN$2/DN$1)*1000</f>
        <v>116.16311876922363</v>
      </c>
      <c r="DP785" s="711">
        <f>-DP755/DP743*(DP$2/DP$1)*1000</f>
        <v>112.10838610252964</v>
      </c>
      <c r="DQ785" s="711">
        <f>-DQ755/DQ743*(DQ$2/DQ$1)*1000</f>
        <v>117.8387460424109</v>
      </c>
      <c r="DR785" s="711">
        <f>-DR755/DR743*(DR$2/DR$1)*1000</f>
        <v>115.00193419098454</v>
      </c>
      <c r="DU785" s="876"/>
      <c r="DV785" s="876"/>
      <c r="DW785" s="876"/>
      <c r="DZ785" s="876"/>
      <c r="EA785" s="876"/>
      <c r="ED785" s="876"/>
      <c r="EE785" s="876"/>
    </row>
    <row r="786" spans="1:273">
      <c r="A786" s="102" t="s">
        <v>688</v>
      </c>
      <c r="B786" s="103" t="s">
        <v>197</v>
      </c>
      <c r="AR786" s="685"/>
      <c r="AS786" s="685"/>
      <c r="AT786" s="730"/>
      <c r="AU786" s="730"/>
      <c r="AV786" s="685"/>
      <c r="AW786" s="685"/>
      <c r="AX786" s="730"/>
      <c r="AY786" s="730"/>
      <c r="AZ786" s="685"/>
      <c r="BA786" s="876"/>
      <c r="BD786" s="711"/>
      <c r="BE786" s="885"/>
      <c r="BF786" s="711"/>
      <c r="BH786" s="685"/>
      <c r="BI786" s="876"/>
      <c r="BL786" s="876"/>
      <c r="BM786" s="876"/>
      <c r="BP786" s="876"/>
      <c r="BQ786" s="876"/>
      <c r="BT786" s="876"/>
      <c r="BU786" s="876"/>
      <c r="BX786" s="711"/>
      <c r="BY786" s="711"/>
      <c r="BZ786" s="711"/>
      <c r="CB786" s="711"/>
      <c r="CC786" s="711"/>
      <c r="CD786" s="711"/>
      <c r="CF786" s="711"/>
      <c r="CG786" s="711"/>
      <c r="CH786" s="711"/>
      <c r="CJ786" s="711"/>
      <c r="CK786" s="711"/>
      <c r="CL786" s="711"/>
      <c r="CN786" s="711"/>
      <c r="CO786" s="711"/>
      <c r="CP786" s="711"/>
      <c r="CR786" s="711"/>
      <c r="CS786" s="711"/>
      <c r="CT786" s="711"/>
      <c r="CV786" s="711"/>
      <c r="CW786" s="711"/>
      <c r="CX786" s="711"/>
      <c r="CZ786" s="711"/>
      <c r="DA786" s="711"/>
      <c r="DB786" s="711"/>
      <c r="DD786" s="711"/>
      <c r="DE786" s="711"/>
      <c r="DF786" s="711"/>
      <c r="DH786" s="711"/>
      <c r="DI786" s="711"/>
      <c r="DJ786" s="711"/>
      <c r="DL786" s="711"/>
      <c r="DM786" s="711"/>
      <c r="DN786" s="711"/>
      <c r="DP786" s="711"/>
      <c r="DQ786" s="711"/>
      <c r="DR786" s="711"/>
      <c r="DU786" s="876"/>
      <c r="DV786" s="876"/>
      <c r="DW786" s="876"/>
      <c r="DZ786" s="876"/>
      <c r="EA786" s="876"/>
      <c r="ED786" s="876"/>
      <c r="EE786" s="876"/>
    </row>
    <row r="787" spans="1:273">
      <c r="A787" s="1032" t="s">
        <v>1318</v>
      </c>
      <c r="B787" s="103" t="s">
        <v>197</v>
      </c>
      <c r="AR787" s="685"/>
      <c r="AS787" s="685"/>
      <c r="AT787" s="730"/>
      <c r="AU787" s="730"/>
      <c r="AV787" s="685"/>
      <c r="AW787" s="685"/>
      <c r="AX787" s="730"/>
      <c r="AY787" s="730"/>
      <c r="AZ787" s="685"/>
      <c r="BA787" s="876"/>
      <c r="BD787" s="711"/>
      <c r="BE787" s="885"/>
      <c r="BF787" s="711"/>
      <c r="BH787" s="685"/>
      <c r="BI787" s="876"/>
      <c r="BL787" s="876"/>
      <c r="BM787" s="876"/>
      <c r="BP787" s="876"/>
      <c r="BQ787" s="876"/>
      <c r="BT787" s="876"/>
      <c r="BU787" s="876"/>
      <c r="BX787" s="1587">
        <f t="shared" ref="BX787:BZ787" si="1113">+BX785</f>
        <v>160.95591022675404</v>
      </c>
      <c r="BY787" s="1587">
        <f t="shared" si="1113"/>
        <v>153.582830213265</v>
      </c>
      <c r="BZ787" s="1587">
        <f t="shared" si="1113"/>
        <v>157.37388365918417</v>
      </c>
      <c r="CB787" s="1587">
        <f t="shared" ref="CB787:CD787" si="1114">+CB785</f>
        <v>170.01238312713724</v>
      </c>
      <c r="CC787" s="1587">
        <f t="shared" si="1114"/>
        <v>147.7518763764117</v>
      </c>
      <c r="CD787" s="1587">
        <f t="shared" si="1114"/>
        <v>157.71812080536913</v>
      </c>
      <c r="CF787" s="1587">
        <f t="shared" ref="CF787:CH787" si="1115">+CF785</f>
        <v>144.3977780788511</v>
      </c>
      <c r="CG787" s="1587">
        <f t="shared" si="1115"/>
        <v>141.5973051764733</v>
      </c>
      <c r="CH787" s="1587">
        <f t="shared" si="1115"/>
        <v>143.05130818892286</v>
      </c>
      <c r="CJ787" s="1587">
        <f t="shared" ref="CJ787:CL787" si="1116">+CJ785</f>
        <v>134.98063802323438</v>
      </c>
      <c r="CK787" s="1587">
        <f t="shared" si="1116"/>
        <v>129.54245904726042</v>
      </c>
      <c r="CL787" s="1587">
        <f t="shared" si="1116"/>
        <v>132.28991988075276</v>
      </c>
      <c r="CN787" s="1587">
        <f>+CN785</f>
        <v>141.46660567696114</v>
      </c>
      <c r="CO787" s="1587">
        <f t="shared" ref="CO787:CP787" si="1117">+CO785</f>
        <v>131.63082454019371</v>
      </c>
      <c r="CP787" s="1587">
        <f t="shared" si="1117"/>
        <v>136.41133263378805</v>
      </c>
      <c r="CR787" s="1587">
        <f>+CR785</f>
        <v>142.32755903829411</v>
      </c>
      <c r="CS787" s="1587">
        <f t="shared" ref="CS787:CT787" si="1118">+CS785</f>
        <v>139.83942643134782</v>
      </c>
      <c r="CT787" s="1587">
        <f t="shared" si="1118"/>
        <v>141.03881729781008</v>
      </c>
      <c r="CV787" s="1587">
        <f>+CV785</f>
        <v>152.10837025496403</v>
      </c>
      <c r="CW787" s="1587">
        <f t="shared" ref="CW787:CX787" si="1119">+CW785</f>
        <v>146.61007296031846</v>
      </c>
      <c r="CX787" s="1587">
        <f t="shared" si="1119"/>
        <v>149.2642399493065</v>
      </c>
      <c r="CZ787" s="1587">
        <f>+CZ785</f>
        <v>163.8591117917305</v>
      </c>
      <c r="DA787" s="1587">
        <f t="shared" ref="DA787:DB787" si="1120">+DA785</f>
        <v>162.98987801712948</v>
      </c>
      <c r="DB787" s="1587">
        <f t="shared" si="1120"/>
        <v>163.42813022776991</v>
      </c>
      <c r="DD787" s="1587">
        <f>+DD785</f>
        <v>167.34972677595627</v>
      </c>
      <c r="DE787" s="1587">
        <f t="shared" ref="DE787:DF787" si="1121">+DE785</f>
        <v>159.02325953433279</v>
      </c>
      <c r="DF787" s="1587">
        <f t="shared" si="1121"/>
        <v>163.38655774229485</v>
      </c>
      <c r="DH787" s="1587">
        <f>+DH785</f>
        <v>128.378850632763</v>
      </c>
      <c r="DI787" s="1587">
        <f t="shared" ref="DI787:DJ787" si="1122">+DI785</f>
        <v>120.56071941247293</v>
      </c>
      <c r="DJ787" s="1587">
        <f t="shared" si="1122"/>
        <v>124.18777741067153</v>
      </c>
      <c r="DL787" s="1587">
        <f t="shared" ref="DL787:DN787" si="1123">+DL785</f>
        <v>112.93095439782275</v>
      </c>
      <c r="DM787" s="1587">
        <f t="shared" si="1123"/>
        <v>119.35557573514718</v>
      </c>
      <c r="DN787" s="1587">
        <f t="shared" si="1123"/>
        <v>116.16311876922363</v>
      </c>
      <c r="DP787" s="1587">
        <f t="shared" ref="DP787:DR787" si="1124">+DP785</f>
        <v>112.10838610252964</v>
      </c>
      <c r="DQ787" s="1587">
        <f t="shared" si="1124"/>
        <v>117.8387460424109</v>
      </c>
      <c r="DR787" s="1587">
        <f t="shared" si="1124"/>
        <v>115.00193419098454</v>
      </c>
      <c r="DU787" s="876"/>
      <c r="DV787" s="876"/>
      <c r="DW787" s="876"/>
      <c r="DZ787" s="876"/>
      <c r="EA787" s="876"/>
      <c r="ED787" s="876"/>
      <c r="EE787" s="876"/>
    </row>
    <row r="788" spans="1:273">
      <c r="A788" s="289" t="s">
        <v>696</v>
      </c>
      <c r="B788" s="103" t="s">
        <v>197</v>
      </c>
      <c r="AR788" s="685"/>
      <c r="AS788" s="685"/>
      <c r="AT788" s="730"/>
      <c r="AU788" s="730"/>
      <c r="AV788" s="685"/>
      <c r="AW788" s="685"/>
      <c r="AX788" s="730"/>
      <c r="AY788" s="730"/>
      <c r="AZ788" s="685"/>
      <c r="BA788" s="876"/>
      <c r="BD788" s="711"/>
      <c r="BE788" s="885"/>
      <c r="BF788" s="711"/>
      <c r="BH788" s="685"/>
      <c r="BI788" s="876"/>
      <c r="BL788" s="876"/>
      <c r="BM788" s="876"/>
      <c r="BP788" s="876"/>
      <c r="BQ788" s="876"/>
      <c r="BT788" s="876"/>
      <c r="BU788" s="876"/>
      <c r="BX788" s="1062">
        <f>BX798/BX746*(BX$2/BX$1)*1000</f>
        <v>203.46262681870024</v>
      </c>
      <c r="BY788" s="1062">
        <f>BY798/BY746*(BY$2/BY$1)*1000</f>
        <v>197.05229257157572</v>
      </c>
      <c r="BZ788" s="1062">
        <f>BZ798/BZ746*(BZ$2/BZ$1)*1000</f>
        <v>200.33259716072169</v>
      </c>
      <c r="CB788" s="1062">
        <f>CB798/CB746*(CB$2/CB$1)*1000</f>
        <v>206.28419288300108</v>
      </c>
      <c r="CC788" s="1062">
        <f>CC798/CC746*(CC$2/CC$1)*1000</f>
        <v>204.53358106506911</v>
      </c>
      <c r="CD788" s="1062">
        <f>CD798/CD746*(CD$2/CD$1)*1000</f>
        <v>204.93223511577955</v>
      </c>
      <c r="CF788" s="1062">
        <f>CF798/CF746*(CF$2/CF$1)*1000</f>
        <v>198.46834578272552</v>
      </c>
      <c r="CG788" s="1062">
        <f>CG798/CG746*(CG$2/CG$1)*1000</f>
        <v>211.50690464164606</v>
      </c>
      <c r="CH788" s="1062">
        <f>CH798/CH746*(CH$2/CH$1)*1000</f>
        <v>205.12333895628441</v>
      </c>
      <c r="CJ788" s="1062">
        <f>CJ798/CJ746*(CJ$2/CJ$1)*1000</f>
        <v>197.88778670893564</v>
      </c>
      <c r="CK788" s="1062">
        <f>CK798/CK746*(CK$2/CK$1)*1000</f>
        <v>196.05205535860878</v>
      </c>
      <c r="CL788" s="1062">
        <f>CL798/CL746*(CL$2/CL$1)*1000</f>
        <v>196.9966746891823</v>
      </c>
      <c r="CN788" s="1062">
        <f>CN798/CN746*(CN$2/CN$1)*1000</f>
        <v>201.57767989188298</v>
      </c>
      <c r="CO788" s="1062">
        <f>CO798/CO746*(CO$2/CO$1)*1000</f>
        <v>183.60611750430127</v>
      </c>
      <c r="CP788" s="1062">
        <f>CP798/CP746*(CP$2/CP$1)*1000</f>
        <v>192.49878074483823</v>
      </c>
      <c r="CR788" s="1062">
        <f>CR798/CR746*(CR$2/CR$1)*1000</f>
        <v>202.92253150768255</v>
      </c>
      <c r="CS788" s="1062">
        <f>CS798/CS746*(CS$2/CS$1)*1000</f>
        <v>201.84164985146518</v>
      </c>
      <c r="CT788" s="1062">
        <f>CT798/CT746*(CT$2/CT$1)*1000</f>
        <v>202.3529343298452</v>
      </c>
      <c r="CV788" s="1062">
        <f>CV798/CV746*(CV$2/CV$1)*1000</f>
        <v>206.52259432033236</v>
      </c>
      <c r="CW788" s="1062">
        <f>CW798/CW746*(CW$2/CW$1)*1000</f>
        <v>213.87721763773223</v>
      </c>
      <c r="CX788" s="1062">
        <f>CX798/CX746*(CX$2/CX$1)*1000</f>
        <v>210.31057719080354</v>
      </c>
      <c r="CZ788" s="1062">
        <f>CZ798/CZ746*(CZ$2/CZ$1)*1000</f>
        <v>220.96071258349971</v>
      </c>
      <c r="DA788" s="1062">
        <f>DA798/DA746*(DA$2/DA$1)*1000</f>
        <v>219.46603492940139</v>
      </c>
      <c r="DB788" s="1062">
        <f>DB798/DB746*(DB$2/DB$1)*1000</f>
        <v>220.21487027581227</v>
      </c>
      <c r="DD788" s="1062">
        <f>DD798/DD746*(DD$2/DD$1)*1000</f>
        <v>224.27559629324099</v>
      </c>
      <c r="DE788" s="1062">
        <f>DE798/DE746*(DE$2/DE$1)*1000</f>
        <v>219.63478401038694</v>
      </c>
      <c r="DF788" s="1062">
        <f>DF798/DF746*(DF$2/DF$1)*1000</f>
        <v>222.0884114617632</v>
      </c>
      <c r="DH788" s="1062">
        <f>DH798/DH746*(DH$2/DH$1)*1000</f>
        <v>201.58828679584764</v>
      </c>
      <c r="DI788" s="1062">
        <f>DI798/DI746*(DI$2/DI$1)*1000</f>
        <v>198.4589207797643</v>
      </c>
      <c r="DJ788" s="1062">
        <f>DJ798/DJ746*(DJ$2/DJ$1)*1000</f>
        <v>199.83088943792609</v>
      </c>
      <c r="DL788" s="1062">
        <f>DL798/DL746*(DL$2/DL$1)*1000</f>
        <v>187.59684432710745</v>
      </c>
      <c r="DM788" s="1062">
        <f>DM798/DM746*(DM$2/DM$1)*1000</f>
        <v>197.23726099695639</v>
      </c>
      <c r="DN788" s="1062">
        <f>DN798/DN746*(DN$2/DN$1)*1000</f>
        <v>192.44635194177584</v>
      </c>
      <c r="DP788" s="1062">
        <f>DP798/DP746*(DP$2/DP$1)*1000</f>
        <v>187.73656294521797</v>
      </c>
      <c r="DQ788" s="1062">
        <f>DQ798/DQ746*(DQ$2/DQ$1)*1000</f>
        <v>196.71878927826188</v>
      </c>
      <c r="DR788" s="1062">
        <f>DR798/DR746*(DR$2/DR$1)*1000</f>
        <v>192.27214257873521</v>
      </c>
      <c r="DU788" s="876"/>
      <c r="DV788" s="876"/>
      <c r="DW788" s="876"/>
      <c r="DZ788" s="876"/>
      <c r="EA788" s="876"/>
      <c r="ED788" s="876"/>
      <c r="EE788" s="876"/>
    </row>
    <row r="789" spans="1:273">
      <c r="AR789" s="685"/>
      <c r="AS789" s="685"/>
      <c r="AT789" s="730"/>
      <c r="AU789" s="730"/>
      <c r="AV789" s="685"/>
      <c r="AW789" s="685"/>
      <c r="AX789" s="730"/>
      <c r="AY789" s="730"/>
      <c r="AZ789" s="685"/>
      <c r="BA789" s="876"/>
      <c r="BD789" s="711"/>
      <c r="BE789" s="885"/>
      <c r="BF789" s="711"/>
      <c r="BH789" s="685"/>
      <c r="BI789" s="876"/>
      <c r="BL789" s="876"/>
      <c r="BM789" s="876"/>
      <c r="BP789" s="876"/>
      <c r="BQ789" s="876"/>
      <c r="BT789" s="876"/>
      <c r="BU789" s="876"/>
      <c r="BX789" s="876"/>
      <c r="BY789" s="876"/>
      <c r="CB789" s="876"/>
      <c r="CC789" s="876"/>
      <c r="CF789" s="876"/>
      <c r="CG789" s="876"/>
      <c r="CJ789" s="876"/>
      <c r="CK789" s="876"/>
      <c r="CN789" s="876"/>
      <c r="CO789" s="876"/>
      <c r="CR789" s="876"/>
      <c r="CS789" s="876"/>
      <c r="CV789" s="876"/>
      <c r="CW789" s="876"/>
      <c r="CZ789" s="876"/>
      <c r="DA789" s="876"/>
      <c r="DD789" s="876"/>
      <c r="DE789" s="876"/>
      <c r="DH789" s="876"/>
      <c r="DI789" s="876"/>
      <c r="DL789" s="876"/>
      <c r="DM789" s="876"/>
      <c r="DP789" s="876"/>
      <c r="DQ789" s="876"/>
      <c r="DU789" s="876"/>
      <c r="DV789" s="876"/>
      <c r="DW789" s="876"/>
      <c r="DZ789" s="876"/>
      <c r="EA789" s="876"/>
      <c r="ED789" s="876"/>
      <c r="EE789" s="876"/>
    </row>
    <row r="790" spans="1:273">
      <c r="A790" s="815" t="s">
        <v>1296</v>
      </c>
      <c r="AR790" s="685"/>
      <c r="AS790" s="685"/>
      <c r="AT790" s="730"/>
      <c r="AU790" s="730"/>
      <c r="AV790" s="685"/>
      <c r="AW790" s="685"/>
      <c r="AX790" s="730"/>
      <c r="AY790" s="730"/>
      <c r="AZ790" s="685"/>
      <c r="BA790" s="876"/>
      <c r="BD790" s="711"/>
      <c r="BE790" s="885"/>
      <c r="BF790" s="711"/>
      <c r="BH790" s="685"/>
      <c r="BI790" s="876"/>
      <c r="BL790" s="876"/>
      <c r="BM790" s="876"/>
      <c r="BP790" s="876"/>
      <c r="BQ790" s="876"/>
      <c r="BT790" s="876"/>
      <c r="BU790" s="876"/>
      <c r="BX790" s="876"/>
      <c r="BY790" s="876"/>
      <c r="CB790" s="876"/>
      <c r="CC790" s="876"/>
      <c r="CF790" s="876"/>
      <c r="CG790" s="876"/>
      <c r="CJ790" s="876"/>
      <c r="CK790" s="876"/>
      <c r="CN790" s="876"/>
      <c r="CO790" s="876"/>
      <c r="CR790" s="876"/>
      <c r="CS790" s="876"/>
      <c r="CV790" s="876"/>
      <c r="CW790" s="876"/>
      <c r="CZ790" s="876"/>
      <c r="DA790" s="876"/>
      <c r="DD790" s="876"/>
      <c r="DE790" s="876"/>
      <c r="DH790" s="876"/>
      <c r="DI790" s="876"/>
      <c r="DL790" s="876"/>
      <c r="DM790" s="876"/>
      <c r="DP790" s="876"/>
      <c r="DQ790" s="876"/>
      <c r="DU790" s="876"/>
      <c r="DV790" s="876"/>
      <c r="DW790" s="876"/>
      <c r="DZ790" s="876"/>
      <c r="EA790" s="876"/>
      <c r="ED790" s="876"/>
      <c r="EE790" s="876"/>
    </row>
    <row r="791" spans="1:273">
      <c r="A791" s="102" t="s">
        <v>686</v>
      </c>
      <c r="AR791" s="685"/>
      <c r="AS791" s="685"/>
      <c r="AT791" s="730"/>
      <c r="AU791" s="730"/>
      <c r="AV791" s="685"/>
      <c r="AW791" s="685"/>
      <c r="AX791" s="730"/>
      <c r="AY791" s="730"/>
      <c r="AZ791" s="685"/>
      <c r="BA791" s="876"/>
      <c r="BD791" s="711"/>
      <c r="BE791" s="885"/>
      <c r="BF791" s="711"/>
      <c r="BH791" s="685"/>
      <c r="BI791" s="876"/>
      <c r="BL791" s="876"/>
      <c r="BM791" s="876"/>
      <c r="BP791" s="876"/>
      <c r="BQ791" s="876"/>
      <c r="BT791" s="876"/>
      <c r="BU791" s="876"/>
      <c r="BX791" s="148">
        <f t="shared" ref="BX791:BY795" si="1125">+(BX781/1000)*BX739/(BX$2/BX$1)</f>
        <v>177.99999999999997</v>
      </c>
      <c r="BY791" s="148">
        <f t="shared" si="1125"/>
        <v>151.00000000000003</v>
      </c>
      <c r="BZ791" s="148">
        <f t="shared" ref="BZ791" si="1126">+BX791+BY791</f>
        <v>329</v>
      </c>
      <c r="CA791" s="148"/>
      <c r="CB791" s="148">
        <f t="shared" ref="CB791:CC795" si="1127">+(CB781/1000)*CB739/(CB$2/CB$1)</f>
        <v>160</v>
      </c>
      <c r="CC791" s="148">
        <f t="shared" si="1127"/>
        <v>162.99999999999997</v>
      </c>
      <c r="CD791" s="148">
        <f t="shared" ref="CD791" si="1128">+CB791+CC791</f>
        <v>323</v>
      </c>
      <c r="CE791" s="1691"/>
      <c r="CF791" s="148">
        <f t="shared" ref="CF791:CG793" si="1129">+(CF781/1000)*CF739/(CF$2/CF$1)</f>
        <v>216</v>
      </c>
      <c r="CG791" s="148">
        <f t="shared" si="1129"/>
        <v>261</v>
      </c>
      <c r="CH791" s="148">
        <f t="shared" ref="CH791" si="1130">+CF791+CG791</f>
        <v>477</v>
      </c>
      <c r="CI791" s="1691"/>
      <c r="CJ791" s="148">
        <f t="shared" ref="CJ791:CK793" si="1131">+(CJ781/1000)*CJ739/(CJ$2/CJ$1)</f>
        <v>385</v>
      </c>
      <c r="CK791" s="148">
        <f t="shared" si="1131"/>
        <v>348</v>
      </c>
      <c r="CL791" s="148">
        <f t="shared" ref="CL791" si="1132">+CJ791+CK791</f>
        <v>733</v>
      </c>
      <c r="CM791" s="1691"/>
      <c r="CN791" s="148">
        <f t="shared" ref="CN791:CO793" si="1133">+(CN781/1000)*CN739/(CN$2/CN$1)</f>
        <v>361</v>
      </c>
      <c r="CO791" s="148">
        <f t="shared" si="1133"/>
        <v>303</v>
      </c>
      <c r="CP791" s="148">
        <f t="shared" ref="CP791" si="1134">+CN791+CO791</f>
        <v>664</v>
      </c>
      <c r="CQ791" s="1691"/>
      <c r="CR791" s="148">
        <f t="shared" ref="CR791:CS793" si="1135">+(CR781/1000)*CR739/(CR$2/CR$1)</f>
        <v>253.99999999999997</v>
      </c>
      <c r="CS791" s="148">
        <f t="shared" si="1135"/>
        <v>263</v>
      </c>
      <c r="CT791" s="148">
        <f>+CR791+CS791</f>
        <v>517</v>
      </c>
      <c r="CV791" s="148">
        <f t="shared" ref="CV791:CW791" si="1136">+(CV781/1000)*CV739/(CV$2/CV$1)</f>
        <v>286.00000000000006</v>
      </c>
      <c r="CW791" s="148">
        <f t="shared" si="1136"/>
        <v>298</v>
      </c>
      <c r="CX791" s="148">
        <f>+CV791+CW791</f>
        <v>584</v>
      </c>
      <c r="CZ791" s="148">
        <f t="shared" ref="CZ791:DA791" si="1137">+(CZ781/1000)*CZ739/(CZ$2/CZ$1)</f>
        <v>320</v>
      </c>
      <c r="DA791" s="148">
        <f t="shared" si="1137"/>
        <v>302</v>
      </c>
      <c r="DB791" s="148">
        <f>+CZ791+DA791</f>
        <v>622</v>
      </c>
      <c r="DD791" s="148">
        <f t="shared" ref="DD791:DE791" si="1138">+(DD781/1000)*DD739/(DD$2/DD$1)</f>
        <v>311.00000000000006</v>
      </c>
      <c r="DE791" s="148">
        <f t="shared" si="1138"/>
        <v>307</v>
      </c>
      <c r="DF791" s="148">
        <f>+DD791+DE791</f>
        <v>618</v>
      </c>
      <c r="DH791" s="148">
        <f t="shared" ref="DH791" si="1139">+(DH781/1000)*DH739/(DH$2/DH$1)</f>
        <v>293</v>
      </c>
      <c r="DI791" s="711">
        <f t="shared" ref="DI791" si="1140">+(DI781/1000)*DI739/(DI$2/DI$1)</f>
        <v>317.74499999999995</v>
      </c>
      <c r="DJ791" s="711">
        <f t="shared" ref="DJ791" si="1141">+DH791+DI791</f>
        <v>610.74499999999989</v>
      </c>
      <c r="DL791" s="711">
        <f t="shared" ref="DL791:DM791" si="1142">+(DL781/1000)*DL739/(DL$2/DL$1)</f>
        <v>303.25500000000005</v>
      </c>
      <c r="DM791" s="711">
        <f t="shared" si="1142"/>
        <v>328.86607499999991</v>
      </c>
      <c r="DN791" s="711">
        <f t="shared" ref="DN791" si="1143">+DL791+DM791</f>
        <v>632.12107500000002</v>
      </c>
      <c r="DP791" s="711">
        <f t="shared" ref="DP791:DQ791" si="1144">+(DP781/1000)*DP739/(DP$2/DP$1)</f>
        <v>313.86892499999999</v>
      </c>
      <c r="DQ791" s="711">
        <f t="shared" si="1144"/>
        <v>340.37638762499989</v>
      </c>
      <c r="DR791" s="711">
        <f t="shared" ref="DR791" si="1145">+DP791+DQ791</f>
        <v>654.24531262499988</v>
      </c>
      <c r="DU791" s="876"/>
      <c r="DV791" s="876"/>
      <c r="DW791" s="876"/>
      <c r="DZ791" s="876"/>
      <c r="EA791" s="876"/>
      <c r="ED791" s="876"/>
      <c r="EE791" s="876"/>
    </row>
    <row r="792" spans="1:273">
      <c r="A792" s="102" t="s">
        <v>1306</v>
      </c>
      <c r="AR792" s="685"/>
      <c r="AS792" s="685"/>
      <c r="AT792" s="730"/>
      <c r="AU792" s="730"/>
      <c r="AV792" s="685"/>
      <c r="AW792" s="685"/>
      <c r="AX792" s="730"/>
      <c r="AY792" s="730"/>
      <c r="AZ792" s="685"/>
      <c r="BA792" s="876"/>
      <c r="BD792" s="711"/>
      <c r="BE792" s="885"/>
      <c r="BF792" s="711"/>
      <c r="BH792" s="685"/>
      <c r="BI792" s="876"/>
      <c r="BL792" s="876"/>
      <c r="BM792" s="876"/>
      <c r="BP792" s="876"/>
      <c r="BQ792" s="876"/>
      <c r="BT792" s="876"/>
      <c r="BU792" s="876"/>
      <c r="BX792" s="148">
        <f t="shared" si="1125"/>
        <v>182</v>
      </c>
      <c r="BY792" s="148">
        <f t="shared" si="1125"/>
        <v>190</v>
      </c>
      <c r="BZ792" s="148">
        <f>+(BZ782/1000)*BZ740</f>
        <v>372</v>
      </c>
      <c r="CA792" s="148"/>
      <c r="CB792" s="148">
        <f t="shared" si="1127"/>
        <v>184</v>
      </c>
      <c r="CC792" s="148">
        <f t="shared" si="1127"/>
        <v>197</v>
      </c>
      <c r="CD792" s="148">
        <f>+(CD782/1000)*CD740</f>
        <v>381</v>
      </c>
      <c r="CE792" s="1691"/>
      <c r="CF792" s="148">
        <f t="shared" si="1129"/>
        <v>235.99999999999994</v>
      </c>
      <c r="CG792" s="148">
        <f t="shared" si="1129"/>
        <v>283</v>
      </c>
      <c r="CH792" s="148">
        <f>+(CH782/1000)*CH740</f>
        <v>519</v>
      </c>
      <c r="CI792" s="1691"/>
      <c r="CJ792" s="148">
        <f t="shared" si="1131"/>
        <v>243.00000000000003</v>
      </c>
      <c r="CK792" s="148">
        <f t="shared" si="1131"/>
        <v>262</v>
      </c>
      <c r="CL792" s="148">
        <f>+(CL782/1000)*CL740</f>
        <v>505</v>
      </c>
      <c r="CM792" s="1691"/>
      <c r="CN792" s="148">
        <f t="shared" si="1133"/>
        <v>257</v>
      </c>
      <c r="CO792" s="148">
        <f t="shared" si="1133"/>
        <v>230.00000000000003</v>
      </c>
      <c r="CP792" s="148">
        <f>+(CP782/1000)*CP740</f>
        <v>487</v>
      </c>
      <c r="CQ792" s="1691"/>
      <c r="CR792" s="148">
        <f t="shared" si="1135"/>
        <v>406</v>
      </c>
      <c r="CS792" s="148">
        <f t="shared" si="1135"/>
        <v>421.99999999999994</v>
      </c>
      <c r="CT792" s="148">
        <f>+(CT782/1000)*CT740</f>
        <v>828</v>
      </c>
      <c r="CV792" s="148">
        <f t="shared" ref="CV792:CW792" si="1146">+(CV782/1000)*CV740/(CV$2/CV$1)</f>
        <v>381</v>
      </c>
      <c r="CW792" s="148">
        <f t="shared" si="1146"/>
        <v>457</v>
      </c>
      <c r="CX792" s="148">
        <f>+(CX782/1000)*CX740</f>
        <v>838.00000000000011</v>
      </c>
      <c r="CZ792" s="148">
        <f t="shared" ref="CZ792:DA792" si="1147">+(CZ782/1000)*CZ740/(CZ$2/CZ$1)</f>
        <v>415</v>
      </c>
      <c r="DA792" s="148">
        <f t="shared" si="1147"/>
        <v>420</v>
      </c>
      <c r="DB792" s="148">
        <f>+(DB782/1000)*DB740</f>
        <v>835</v>
      </c>
      <c r="DD792" s="148">
        <f t="shared" ref="DD792:DE792" si="1148">+(DD782/1000)*DD740/(DD$2/DD$1)</f>
        <v>419</v>
      </c>
      <c r="DE792" s="148">
        <f t="shared" si="1148"/>
        <v>401.99999999999994</v>
      </c>
      <c r="DF792" s="148">
        <f>+(DF782/1000)*DF740</f>
        <v>821</v>
      </c>
      <c r="DH792" s="148">
        <f t="shared" ref="DH792" si="1149">+(DH782/1000)*DH740/(DH$2/DH$1)</f>
        <v>401</v>
      </c>
      <c r="DI792" s="711">
        <f t="shared" ref="DI792" si="1150">+(DI782/1000)*DI740/(DI$2/DI$1)</f>
        <v>422.1</v>
      </c>
      <c r="DJ792" s="711">
        <f>+(DJ782/1000)*DJ740</f>
        <v>823.1</v>
      </c>
      <c r="DL792" s="711">
        <f t="shared" ref="DL792:DM792" si="1151">+(DL782/1000)*DL740/(DL$2/DL$1)</f>
        <v>413.03000000000003</v>
      </c>
      <c r="DM792" s="711">
        <f t="shared" si="1151"/>
        <v>443.20500000000004</v>
      </c>
      <c r="DN792" s="711">
        <f>+(DN782/1000)*DN740</f>
        <v>856.23500000000013</v>
      </c>
      <c r="DP792" s="711">
        <f t="shared" ref="DP792:DQ792" si="1152">+(DP782/1000)*DP740/(DP$2/DP$1)</f>
        <v>437.81180000000006</v>
      </c>
      <c r="DQ792" s="711">
        <f t="shared" si="1152"/>
        <v>474.22935000000007</v>
      </c>
      <c r="DR792" s="711">
        <f>+(DR782/1000)*DR740</f>
        <v>912.04115000000013</v>
      </c>
      <c r="DU792" s="876"/>
      <c r="DV792" s="876"/>
      <c r="DW792" s="876"/>
      <c r="DZ792" s="876"/>
      <c r="EA792" s="876"/>
      <c r="ED792" s="876"/>
      <c r="EE792" s="876"/>
    </row>
    <row r="793" spans="1:273">
      <c r="A793" s="102" t="s">
        <v>1024</v>
      </c>
      <c r="AR793" s="685"/>
      <c r="AS793" s="685"/>
      <c r="AT793" s="730"/>
      <c r="AU793" s="730"/>
      <c r="AV793" s="685"/>
      <c r="AW793" s="685"/>
      <c r="AX793" s="730"/>
      <c r="AY793" s="730"/>
      <c r="AZ793" s="685"/>
      <c r="BA793" s="876"/>
      <c r="BD793" s="711"/>
      <c r="BE793" s="885"/>
      <c r="BF793" s="711"/>
      <c r="BH793" s="685"/>
      <c r="BI793" s="876"/>
      <c r="BL793" s="876"/>
      <c r="BM793" s="876"/>
      <c r="BP793" s="876"/>
      <c r="BQ793" s="876"/>
      <c r="BT793" s="876"/>
      <c r="BU793" s="876"/>
      <c r="BX793" s="148">
        <f t="shared" si="1125"/>
        <v>290</v>
      </c>
      <c r="BY793" s="148">
        <f t="shared" si="1125"/>
        <v>275.00000000000006</v>
      </c>
      <c r="BZ793" s="148">
        <f>+(BZ783/1000)*BZ741</f>
        <v>565</v>
      </c>
      <c r="CA793" s="148"/>
      <c r="CB793" s="148">
        <f t="shared" si="1127"/>
        <v>278</v>
      </c>
      <c r="CC793" s="148">
        <f t="shared" si="1127"/>
        <v>320</v>
      </c>
      <c r="CD793" s="148">
        <f>+(CD783/1000)*CD741</f>
        <v>598</v>
      </c>
      <c r="CE793" s="1691"/>
      <c r="CF793" s="148">
        <f t="shared" si="1129"/>
        <v>360.99999999999994</v>
      </c>
      <c r="CG793" s="148">
        <f t="shared" si="1129"/>
        <v>420.00000000000006</v>
      </c>
      <c r="CH793" s="148">
        <f>+(CH783/1000)*CH741</f>
        <v>781.00000000000011</v>
      </c>
      <c r="CI793" s="1691"/>
      <c r="CJ793" s="148">
        <f t="shared" si="1131"/>
        <v>276</v>
      </c>
      <c r="CK793" s="148">
        <f t="shared" si="1131"/>
        <v>308</v>
      </c>
      <c r="CL793" s="148">
        <f>+(CL783/1000)*CL741</f>
        <v>584</v>
      </c>
      <c r="CM793" s="1691"/>
      <c r="CN793" s="148">
        <f t="shared" si="1133"/>
        <v>298</v>
      </c>
      <c r="CO793" s="148">
        <f t="shared" si="1133"/>
        <v>284</v>
      </c>
      <c r="CP793" s="148">
        <f>+(CP783/1000)*CP741</f>
        <v>582</v>
      </c>
      <c r="CQ793" s="1691"/>
      <c r="CR793" s="148">
        <f t="shared" si="1135"/>
        <v>286</v>
      </c>
      <c r="CS793" s="148">
        <f t="shared" si="1135"/>
        <v>305</v>
      </c>
      <c r="CT793" s="148">
        <f>+(CT783/1000)*CT741</f>
        <v>591</v>
      </c>
      <c r="CV793" s="148">
        <f t="shared" ref="CV793:CW793" si="1153">+(CV783/1000)*CV741/(CV$2/CV$1)</f>
        <v>335.99999999999994</v>
      </c>
      <c r="CW793" s="148">
        <f t="shared" si="1153"/>
        <v>388</v>
      </c>
      <c r="CX793" s="148">
        <f>+(CX783/1000)*CX741</f>
        <v>724</v>
      </c>
      <c r="CZ793" s="148">
        <f t="shared" ref="CZ793:DA793" si="1154">+(CZ783/1000)*CZ741/(CZ$2/CZ$1)</f>
        <v>401.00000000000006</v>
      </c>
      <c r="DA793" s="148">
        <f t="shared" si="1154"/>
        <v>410</v>
      </c>
      <c r="DB793" s="148">
        <f>+(DB783/1000)*DB741</f>
        <v>811</v>
      </c>
      <c r="DD793" s="148">
        <f t="shared" ref="DD793:DE793" si="1155">+(DD783/1000)*DD741/(DD$2/DD$1)</f>
        <v>403</v>
      </c>
      <c r="DE793" s="148">
        <f t="shared" si="1155"/>
        <v>401</v>
      </c>
      <c r="DF793" s="148">
        <f>+(DF783/1000)*DF741</f>
        <v>804</v>
      </c>
      <c r="DH793" s="148">
        <f t="shared" ref="DH793" si="1156">+(DH783/1000)*DH741/(DH$2/DH$1)</f>
        <v>438.00000000000006</v>
      </c>
      <c r="DI793" s="711">
        <f t="shared" ref="DI793" si="1157">+(DI783/1000)*DI741/(DI$2/DI$1)</f>
        <v>423.05499999999995</v>
      </c>
      <c r="DJ793" s="711">
        <f>+(DJ783/1000)*DJ741</f>
        <v>861.05499999999984</v>
      </c>
      <c r="DL793" s="711">
        <f t="shared" ref="DL793:DM793" si="1158">+(DL783/1000)*DL741/(DL$2/DL$1)</f>
        <v>418.28999999999996</v>
      </c>
      <c r="DM793" s="711">
        <f t="shared" si="1158"/>
        <v>433.63137499999993</v>
      </c>
      <c r="DN793" s="711">
        <f>+(DN783/1000)*DN741</f>
        <v>851.92137499999978</v>
      </c>
      <c r="DP793" s="711">
        <f t="shared" ref="DP793:DQ793" si="1159">+(DP783/1000)*DP741/(DP$2/DP$1)</f>
        <v>432.93014999999991</v>
      </c>
      <c r="DQ793" s="711">
        <f t="shared" si="1159"/>
        <v>448.80847312499992</v>
      </c>
      <c r="DR793" s="711">
        <f>+(DR783/1000)*DR741</f>
        <v>881.73862312499978</v>
      </c>
      <c r="DU793" s="876"/>
      <c r="DV793" s="876"/>
      <c r="DW793" s="876"/>
      <c r="DZ793" s="876"/>
      <c r="EA793" s="876"/>
      <c r="ED793" s="876"/>
      <c r="EE793" s="876"/>
    </row>
    <row r="794" spans="1:273">
      <c r="A794" s="102" t="s">
        <v>690</v>
      </c>
      <c r="AR794" s="685"/>
      <c r="AS794" s="685"/>
      <c r="AT794" s="730"/>
      <c r="AU794" s="730"/>
      <c r="AV794" s="685"/>
      <c r="AW794" s="685"/>
      <c r="AX794" s="730"/>
      <c r="AY794" s="730"/>
      <c r="AZ794" s="685"/>
      <c r="BA794" s="876"/>
      <c r="BD794" s="711"/>
      <c r="BE794" s="885"/>
      <c r="BF794" s="711"/>
      <c r="BH794" s="685"/>
      <c r="BI794" s="876"/>
      <c r="BL794" s="876"/>
      <c r="BM794" s="876"/>
      <c r="BP794" s="876"/>
      <c r="BQ794" s="876"/>
      <c r="BT794" s="876"/>
      <c r="BU794" s="876"/>
      <c r="BX794" s="148">
        <f t="shared" si="1125"/>
        <v>135</v>
      </c>
      <c r="BY794" s="148">
        <f t="shared" si="1125"/>
        <v>131.99999999999997</v>
      </c>
      <c r="BZ794" s="148">
        <f>+(BZ784/1000)*BZ742</f>
        <v>267</v>
      </c>
      <c r="CA794" s="148"/>
      <c r="CB794" s="148">
        <f t="shared" si="1127"/>
        <v>102</v>
      </c>
      <c r="CC794" s="148">
        <f t="shared" si="1127"/>
        <v>115</v>
      </c>
      <c r="CD794" s="148">
        <f>+(CD784/1000)*CD742</f>
        <v>217.00000000000003</v>
      </c>
      <c r="CE794" s="1691"/>
      <c r="CF794" s="148"/>
      <c r="CG794" s="148"/>
      <c r="CH794" s="148"/>
      <c r="CI794" s="1691"/>
      <c r="CJ794" s="148"/>
      <c r="CK794" s="148"/>
      <c r="CL794" s="148"/>
      <c r="CM794" s="1691"/>
      <c r="CN794" s="148"/>
      <c r="CO794" s="148"/>
      <c r="CP794" s="148"/>
      <c r="CQ794" s="1691"/>
      <c r="CR794" s="148"/>
      <c r="CS794" s="148"/>
      <c r="CT794" s="148"/>
      <c r="CV794" s="148"/>
      <c r="CW794" s="148"/>
      <c r="CX794" s="148"/>
      <c r="CZ794" s="148"/>
      <c r="DA794" s="148"/>
      <c r="DB794" s="148"/>
      <c r="DD794" s="148"/>
      <c r="DE794" s="148"/>
      <c r="DF794" s="148"/>
      <c r="DH794" s="148"/>
      <c r="DI794" s="711"/>
      <c r="DJ794" s="711"/>
      <c r="DL794" s="711"/>
      <c r="DM794" s="711"/>
      <c r="DN794" s="711"/>
      <c r="DP794" s="711"/>
      <c r="DQ794" s="711"/>
      <c r="DR794" s="711"/>
      <c r="DU794" s="876"/>
      <c r="DV794" s="876"/>
      <c r="DW794" s="876"/>
      <c r="DZ794" s="876"/>
      <c r="EA794" s="876"/>
      <c r="ED794" s="876"/>
      <c r="EE794" s="876"/>
    </row>
    <row r="795" spans="1:273">
      <c r="A795" s="102" t="s">
        <v>689</v>
      </c>
      <c r="AR795" s="685"/>
      <c r="AS795" s="685"/>
      <c r="AT795" s="730"/>
      <c r="AU795" s="730"/>
      <c r="AV795" s="685"/>
      <c r="AW795" s="685"/>
      <c r="AX795" s="730"/>
      <c r="AY795" s="730"/>
      <c r="AZ795" s="685"/>
      <c r="BA795" s="876"/>
      <c r="BD795" s="711"/>
      <c r="BE795" s="885"/>
      <c r="BF795" s="711"/>
      <c r="BH795" s="685"/>
      <c r="BI795" s="876"/>
      <c r="BL795" s="876"/>
      <c r="BM795" s="876"/>
      <c r="BP795" s="876"/>
      <c r="BQ795" s="876"/>
      <c r="BT795" s="876"/>
      <c r="BU795" s="876"/>
      <c r="BX795" s="148">
        <f t="shared" si="1125"/>
        <v>171</v>
      </c>
      <c r="BY795" s="148">
        <f t="shared" si="1125"/>
        <v>155</v>
      </c>
      <c r="BZ795" s="148">
        <f>+(BZ785/1000)*BZ743</f>
        <v>326</v>
      </c>
      <c r="CA795" s="148"/>
      <c r="CB795" s="148">
        <f t="shared" si="1127"/>
        <v>205</v>
      </c>
      <c r="CC795" s="148">
        <f t="shared" si="1127"/>
        <v>218.00000000000003</v>
      </c>
      <c r="CD795" s="148">
        <f>+(CD785/1000)*CD743</f>
        <v>423</v>
      </c>
      <c r="CE795" s="1691"/>
      <c r="CF795" s="148">
        <f>+(CF785/1000)*CF743/(CF$2/CF$1)</f>
        <v>219</v>
      </c>
      <c r="CG795" s="148">
        <f>+(CG785/1000)*CG743/(CG$2/CG$1)</f>
        <v>202</v>
      </c>
      <c r="CH795" s="148">
        <f>+(CH785/1000)*CH743</f>
        <v>421</v>
      </c>
      <c r="CI795" s="1691"/>
      <c r="CJ795" s="148">
        <f>+(CJ785/1000)*CJ743/(CJ$2/CJ$1)</f>
        <v>183</v>
      </c>
      <c r="CK795" s="148">
        <f>+(CK785/1000)*CK743/(CK$2/CK$1)</f>
        <v>172.00000000000003</v>
      </c>
      <c r="CL795" s="148">
        <f>+(CL785/1000)*CL743</f>
        <v>355</v>
      </c>
      <c r="CM795" s="1691"/>
      <c r="CN795" s="148">
        <f>+(CN785/1000)*CN743/(CN$2/CN$1)</f>
        <v>197.00000000000003</v>
      </c>
      <c r="CO795" s="148">
        <f>+(CO785/1000)*CO743/(CO$2/CO$1)</f>
        <v>193.00000000000003</v>
      </c>
      <c r="CP795" s="148">
        <f>+(CP785/1000)*CP743</f>
        <v>390</v>
      </c>
      <c r="CQ795" s="1691"/>
      <c r="CR795" s="148">
        <f>+(CR785/1000)*CR743/(CR$2/CR$1)</f>
        <v>219.00000000000003</v>
      </c>
      <c r="CS795" s="148">
        <f>+(CS785/1000)*CS743/(CS$2/CS$1)</f>
        <v>227.00000000000003</v>
      </c>
      <c r="CT795" s="148">
        <f>+(CT785/1000)*CT743</f>
        <v>445.99999999999994</v>
      </c>
      <c r="CV795" s="148">
        <f>+(CV785/1000)*CV743/(CV$2/CV$1)</f>
        <v>262</v>
      </c>
      <c r="CW795" s="148">
        <f>+(CW785/1000)*CW743/(CW$2/CW$1)</f>
        <v>268.00000000000006</v>
      </c>
      <c r="CX795" s="148">
        <f>+(CX785/1000)*CX743</f>
        <v>530</v>
      </c>
      <c r="CZ795" s="148">
        <f>+(CZ785/1000)*CZ743/(CZ$2/CZ$1)</f>
        <v>321</v>
      </c>
      <c r="DA795" s="148">
        <f>+(DA785/1000)*DA743/(DA$2/DA$1)</f>
        <v>314</v>
      </c>
      <c r="DB795" s="148">
        <f>+(DB785/1000)*DB743</f>
        <v>635</v>
      </c>
      <c r="DD795" s="148">
        <f>+(DD785/1000)*DD743/(DD$2/DD$1)</f>
        <v>294</v>
      </c>
      <c r="DE795" s="148">
        <f>+(DE785/1000)*DE743/(DE$2/DE$1)</f>
        <v>256</v>
      </c>
      <c r="DF795" s="148">
        <f>+(DF785/1000)*DF743</f>
        <v>550</v>
      </c>
      <c r="DH795" s="148">
        <f>+(DH785/1000)*DH743/(DH$2/DH$1)</f>
        <v>234.00000000000003</v>
      </c>
      <c r="DI795" s="711">
        <f>+(DI785/1000)*DI743/(DI$2/DI$1)</f>
        <v>250.88</v>
      </c>
      <c r="DJ795" s="711">
        <f>+(DJ785/1000)*DJ743</f>
        <v>484.88</v>
      </c>
      <c r="DL795" s="711">
        <f>+(DL785/1000)*DL743/(DL$2/DL$1)</f>
        <v>241.02</v>
      </c>
      <c r="DM795" s="711">
        <f>+(DM785/1000)*DM743/(DM$2/DM$1)</f>
        <v>258.40640000000002</v>
      </c>
      <c r="DN795" s="711">
        <f>+(DN785/1000)*DN743</f>
        <v>499.42640000000006</v>
      </c>
      <c r="DP795" s="711">
        <f>+(DP785/1000)*DP743/(DP$2/DP$1)</f>
        <v>248.25060000000002</v>
      </c>
      <c r="DQ795" s="711">
        <f>+(DQ785/1000)*DQ743/(DQ$2/DQ$1)</f>
        <v>266.158592</v>
      </c>
      <c r="DR795" s="711">
        <f>+(DR785/1000)*DR743</f>
        <v>514.40919200000008</v>
      </c>
      <c r="DU795" s="876"/>
      <c r="DV795" s="876"/>
      <c r="DW795" s="876"/>
      <c r="DZ795" s="876"/>
      <c r="EA795" s="876"/>
      <c r="ED795" s="876"/>
      <c r="EE795" s="876"/>
    </row>
    <row r="796" spans="1:273">
      <c r="A796" s="102" t="s">
        <v>688</v>
      </c>
      <c r="AR796" s="685"/>
      <c r="AS796" s="685"/>
      <c r="AT796" s="730"/>
      <c r="AU796" s="730"/>
      <c r="AV796" s="685"/>
      <c r="AW796" s="685"/>
      <c r="AX796" s="730"/>
      <c r="AY796" s="730"/>
      <c r="AZ796" s="685"/>
      <c r="BA796" s="876"/>
      <c r="BD796" s="711"/>
      <c r="BE796" s="885"/>
      <c r="BF796" s="711"/>
      <c r="BH796" s="685"/>
      <c r="BI796" s="876"/>
      <c r="BL796" s="876"/>
      <c r="BM796" s="876"/>
      <c r="BP796" s="876"/>
      <c r="BQ796" s="876"/>
      <c r="BT796" s="876"/>
      <c r="BU796" s="876"/>
      <c r="BX796" s="148"/>
      <c r="BY796" s="148"/>
      <c r="BZ796" s="148"/>
      <c r="CA796" s="148"/>
      <c r="CB796" s="148"/>
      <c r="CC796" s="148"/>
      <c r="CD796" s="148"/>
      <c r="CE796" s="1691"/>
      <c r="CF796" s="148"/>
      <c r="CG796" s="148"/>
      <c r="CH796" s="148"/>
      <c r="CI796" s="1691"/>
      <c r="CJ796" s="148"/>
      <c r="CK796" s="148"/>
      <c r="CL796" s="148"/>
      <c r="CM796" s="1691"/>
      <c r="CN796" s="148"/>
      <c r="CO796" s="148"/>
      <c r="CP796" s="148"/>
      <c r="CQ796" s="1691"/>
      <c r="CR796" s="148"/>
      <c r="CS796" s="148"/>
      <c r="CT796" s="148"/>
      <c r="CV796" s="148"/>
      <c r="CW796" s="148"/>
      <c r="CX796" s="148"/>
      <c r="CZ796" s="148"/>
      <c r="DA796" s="148"/>
      <c r="DB796" s="148"/>
      <c r="DD796" s="148"/>
      <c r="DE796" s="148"/>
      <c r="DF796" s="148"/>
      <c r="DH796" s="148"/>
      <c r="DI796" s="711"/>
      <c r="DJ796" s="711"/>
      <c r="DL796" s="711"/>
      <c r="DM796" s="711"/>
      <c r="DN796" s="711"/>
      <c r="DP796" s="711"/>
      <c r="DQ796" s="711"/>
      <c r="DR796" s="711"/>
      <c r="DU796" s="876"/>
      <c r="DV796" s="876"/>
      <c r="DW796" s="876"/>
      <c r="DZ796" s="876"/>
      <c r="EA796" s="876"/>
      <c r="ED796" s="876"/>
      <c r="EE796" s="876"/>
    </row>
    <row r="797" spans="1:273">
      <c r="A797" s="102" t="s">
        <v>691</v>
      </c>
      <c r="AR797" s="685"/>
      <c r="AS797" s="685"/>
      <c r="AT797" s="730"/>
      <c r="AU797" s="730"/>
      <c r="AV797" s="685"/>
      <c r="AW797" s="685"/>
      <c r="AX797" s="730"/>
      <c r="AY797" s="730"/>
      <c r="AZ797" s="685"/>
      <c r="BA797" s="876"/>
      <c r="BD797" s="711"/>
      <c r="BE797" s="885"/>
      <c r="BF797" s="711"/>
      <c r="BH797" s="685"/>
      <c r="BI797" s="876"/>
      <c r="BL797" s="876"/>
      <c r="BM797" s="876"/>
      <c r="BP797" s="876"/>
      <c r="BQ797" s="876"/>
      <c r="BT797" s="876"/>
      <c r="BU797" s="876"/>
      <c r="BX797" s="148">
        <f>+(BX787/1000)*BX745/(BX$2/BX$1)</f>
        <v>481.72935346861732</v>
      </c>
      <c r="BY797" s="148">
        <f>+(BY787/1000)*BY745/(BY$2/BY$1)</f>
        <v>443.74876482213438</v>
      </c>
      <c r="BZ797" s="148">
        <f>+(BZ787/1000)*BZ745</f>
        <v>925.67318368332133</v>
      </c>
      <c r="CA797" s="148"/>
      <c r="CB797" s="148">
        <f>+(CB787/1000)*CB745/(CB$2/CB$1)</f>
        <v>496.34719334719341</v>
      </c>
      <c r="CC797" s="148">
        <f>+(CC787/1000)*CC745/(CC$2/CC$1)</f>
        <v>436.99459276782704</v>
      </c>
      <c r="CD797" s="148">
        <f>+(CD787/1000)*CD745</f>
        <v>926.94882550335569</v>
      </c>
      <c r="CE797" s="1691"/>
      <c r="CF797" s="148">
        <f>+(CF787/1000)*CF745/(CF$2/CF$1)</f>
        <v>445.16727272727269</v>
      </c>
      <c r="CG797" s="148">
        <f>+(CG787/1000)*CG745/(CG$2/CG$1)</f>
        <v>459.35407200279616</v>
      </c>
      <c r="CH797" s="148">
        <f>+(CH787/1000)*CH745</f>
        <v>905.15715256540943</v>
      </c>
      <c r="CI797" s="1691"/>
      <c r="CJ797" s="148">
        <f>+(CJ787/1000)*CJ745/(CJ$2/CJ$1)</f>
        <v>461.7687626774848</v>
      </c>
      <c r="CK797" s="148">
        <f>+(CK787/1000)*CK745/(CK$2/CK$1)</f>
        <v>456.50762568254572</v>
      </c>
      <c r="CL797" s="148">
        <f>+(CL787/1000)*CL745</f>
        <v>918.7534935718279</v>
      </c>
      <c r="CM797" s="1691"/>
      <c r="CN797" s="148">
        <f>+(CN787/1000)*CN745/(CN$2/CN$1)</f>
        <v>514.39873987398744</v>
      </c>
      <c r="CO797" s="148">
        <f>+(CO787/1000)*CO745/(CO$2/CO$1)</f>
        <v>492.13195034858023</v>
      </c>
      <c r="CP797" s="148">
        <f>+(CP787/1000)*CP745</f>
        <v>1006.0676810073453</v>
      </c>
      <c r="CQ797" s="1691"/>
      <c r="CR797" s="148">
        <f>+(CR787/1000)*CR745/(CR$2/CR$1)</f>
        <v>547.67839687194532</v>
      </c>
      <c r="CS797" s="148">
        <f>+(CS787/1000)*CS745/(CS$2/CS$1)</f>
        <v>561.48594685916146</v>
      </c>
      <c r="CT797" s="148">
        <f>+(CT787/1000)*CT745</f>
        <v>1109.0939995256542</v>
      </c>
      <c r="CV797" s="148">
        <f>+(CV787/1000)*CV745/(CV$2/CV$1)</f>
        <v>671.22485809925774</v>
      </c>
      <c r="CW797" s="148">
        <f>+(CW787/1000)*CW745/(CW$2/CW$1)</f>
        <v>709.91489361702133</v>
      </c>
      <c r="CX797" s="148">
        <f>+(CX787/1000)*CX745</f>
        <v>1381.6271210307682</v>
      </c>
      <c r="CZ797" s="148">
        <f>+(CZ787/1000)*CZ745/(CZ$2/CZ$1)</f>
        <v>850.87940275650851</v>
      </c>
      <c r="DA797" s="148">
        <f>+(DA787/1000)*DA745/(DA$2/DA$1)</f>
        <v>854.88191019984424</v>
      </c>
      <c r="DB797" s="148">
        <f>+(DB787/1000)*DB745</f>
        <v>1705.8219662849056</v>
      </c>
      <c r="DD797" s="148">
        <f>+(DD787/1000)*DD745/(DD$2/DD$1)</f>
        <v>862.3244863013698</v>
      </c>
      <c r="DE797" s="148">
        <f>+(DE787/1000)*DE745/(DE$2/DE$1)</f>
        <v>812.72169738268553</v>
      </c>
      <c r="DF797" s="148">
        <f>+(DF787/1000)*DF745</f>
        <v>1676.9179353880431</v>
      </c>
      <c r="DH797" s="148">
        <f>+(DH787/1000)*DH745/(DH$2/DH$1)</f>
        <v>632.96822995461423</v>
      </c>
      <c r="DI797" s="711">
        <f>+(DI787/1000)*DI745/(DI$2/DI$1)</f>
        <v>567.27295256534376</v>
      </c>
      <c r="DJ797" s="711">
        <f>+(DJ787/1000)*DJ745</f>
        <v>1196.5759357239635</v>
      </c>
      <c r="DL797" s="711">
        <f>+(DL787/1000)*DL745/(DL$2/DL$1)</f>
        <v>544.97818489835436</v>
      </c>
      <c r="DM797" s="711">
        <f>+(DM787/1000)*DM745/(DM$2/DM$1)</f>
        <v>584.2911411423039</v>
      </c>
      <c r="DN797" s="711">
        <f>+(DN787/1000)*DN745</f>
        <v>1129.2693260406584</v>
      </c>
      <c r="DP797" s="711">
        <f>+(DP787/1000)*DP745/(DP$2/DP$1)</f>
        <v>561.32753044530489</v>
      </c>
      <c r="DQ797" s="711">
        <f>+(DQ787/1000)*DQ745/(DQ$2/DQ$1)</f>
        <v>601.81987537657301</v>
      </c>
      <c r="DR797" s="711">
        <f>+(DR787/1000)*DR745</f>
        <v>1163.147405821878</v>
      </c>
      <c r="DU797" s="876"/>
      <c r="DV797" s="876"/>
      <c r="DW797" s="876"/>
      <c r="DZ797" s="876"/>
      <c r="EA797" s="876"/>
      <c r="ED797" s="876"/>
      <c r="EE797" s="876"/>
    </row>
    <row r="798" spans="1:273">
      <c r="A798" s="289" t="s">
        <v>696</v>
      </c>
      <c r="AR798" s="685"/>
      <c r="AS798" s="685"/>
      <c r="AT798" s="730"/>
      <c r="AU798" s="730"/>
      <c r="AV798" s="685"/>
      <c r="AW798" s="685"/>
      <c r="AX798" s="730"/>
      <c r="AY798" s="730"/>
      <c r="AZ798" s="685"/>
      <c r="BA798" s="876"/>
      <c r="BD798" s="711"/>
      <c r="BE798" s="885"/>
      <c r="BF798" s="711"/>
      <c r="BH798" s="685"/>
      <c r="BI798" s="876"/>
      <c r="BL798" s="876"/>
      <c r="BM798" s="876"/>
      <c r="BP798" s="876"/>
      <c r="BQ798" s="876"/>
      <c r="BT798" s="876"/>
      <c r="BU798" s="876"/>
      <c r="BX798" s="147">
        <f t="shared" ref="BX798" si="1160">SUM(BX791:BX797)</f>
        <v>1437.7293534686173</v>
      </c>
      <c r="BY798" s="147">
        <f t="shared" ref="BY798" si="1161">SUM(BY791:BY797)</f>
        <v>1346.7487648221345</v>
      </c>
      <c r="BZ798" s="147">
        <f t="shared" ref="BZ798" si="1162">SUM(BZ791:BZ797)</f>
        <v>2784.6731836833214</v>
      </c>
      <c r="CA798" s="148"/>
      <c r="CB798" s="147">
        <f t="shared" ref="CB798" si="1163">SUM(CB791:CB797)</f>
        <v>1425.3471933471933</v>
      </c>
      <c r="CC798" s="147">
        <f t="shared" ref="CC798" si="1164">SUM(CC791:CC797)</f>
        <v>1449.994592767827</v>
      </c>
      <c r="CD798" s="147">
        <f t="shared" ref="CD798" si="1165">SUM(CD791:CD797)</f>
        <v>2868.9488255033557</v>
      </c>
      <c r="CE798" s="1691"/>
      <c r="CF798" s="147">
        <f t="shared" ref="CF798" si="1166">SUM(CF791:CF797)</f>
        <v>1477.1672727272726</v>
      </c>
      <c r="CG798" s="147">
        <f t="shared" ref="CG798" si="1167">SUM(CG791:CG797)</f>
        <v>1625.3540720027961</v>
      </c>
      <c r="CH798" s="147">
        <f t="shared" ref="CH798" si="1168">SUM(CH791:CH797)</f>
        <v>3103.1571525654094</v>
      </c>
      <c r="CI798" s="1691"/>
      <c r="CJ798" s="147">
        <f t="shared" ref="CJ798" si="1169">SUM(CJ791:CJ797)</f>
        <v>1548.7687626774848</v>
      </c>
      <c r="CK798" s="147">
        <f t="shared" ref="CK798" si="1170">SUM(CK791:CK797)</f>
        <v>1546.5076256825457</v>
      </c>
      <c r="CL798" s="147">
        <f t="shared" ref="CL798" si="1171">SUM(CL791:CL797)</f>
        <v>3095.7534935718277</v>
      </c>
      <c r="CM798" s="1691"/>
      <c r="CN798" s="147">
        <f t="shared" ref="CN798" si="1172">SUM(CN791:CN797)</f>
        <v>1627.3987398739873</v>
      </c>
      <c r="CO798" s="147">
        <f t="shared" ref="CO798" si="1173">SUM(CO791:CO797)</f>
        <v>1502.1319503485802</v>
      </c>
      <c r="CP798" s="147">
        <f t="shared" ref="CP798" si="1174">SUM(CP791:CP797)</f>
        <v>3129.0676810073455</v>
      </c>
      <c r="CQ798" s="1691"/>
      <c r="CR798" s="147">
        <f>SUM(CR791:CR797)</f>
        <v>1712.6783968719453</v>
      </c>
      <c r="CS798" s="147">
        <f t="shared" ref="CS798" si="1175">SUM(CS791:CS797)</f>
        <v>1778.4859468591615</v>
      </c>
      <c r="CT798" s="147">
        <f t="shared" ref="CT798" si="1176">SUM(CT791:CT797)</f>
        <v>3491.093999525654</v>
      </c>
      <c r="CV798" s="147">
        <f>SUM(CV791:CV797)</f>
        <v>1936.2248580992577</v>
      </c>
      <c r="CW798" s="147">
        <f t="shared" ref="CW798:CX798" si="1177">SUM(CW791:CW797)</f>
        <v>2120.9148936170213</v>
      </c>
      <c r="CX798" s="147">
        <f t="shared" si="1177"/>
        <v>4057.6271210307682</v>
      </c>
      <c r="CZ798" s="147">
        <f>SUM(CZ791:CZ797)</f>
        <v>2307.8794027565086</v>
      </c>
      <c r="DA798" s="147">
        <f t="shared" ref="DA798:DB798" si="1178">SUM(DA791:DA797)</f>
        <v>2300.8819101998442</v>
      </c>
      <c r="DB798" s="147">
        <f t="shared" si="1178"/>
        <v>4608.821966284906</v>
      </c>
      <c r="DD798" s="147">
        <f>SUM(DD791:DD797)</f>
        <v>2289.3244863013697</v>
      </c>
      <c r="DE798" s="147">
        <f t="shared" ref="DE798:DF798" si="1179">SUM(DE791:DE797)</f>
        <v>2178.7216973826853</v>
      </c>
      <c r="DF798" s="147">
        <f t="shared" si="1179"/>
        <v>4469.9179353880427</v>
      </c>
      <c r="DH798" s="147">
        <f>SUM(DH791:DH797)</f>
        <v>1998.9682299546143</v>
      </c>
      <c r="DI798" s="715">
        <f t="shared" ref="DI798:DJ798" si="1180">SUM(DI791:DI797)</f>
        <v>1981.052952565344</v>
      </c>
      <c r="DJ798" s="715">
        <f t="shared" si="1180"/>
        <v>3976.3559357239633</v>
      </c>
      <c r="DL798" s="715">
        <f t="shared" ref="DL798:DN798" si="1181">SUM(DL791:DL797)</f>
        <v>1920.5731848983544</v>
      </c>
      <c r="DM798" s="715">
        <f t="shared" si="1181"/>
        <v>2048.3999911423039</v>
      </c>
      <c r="DN798" s="715">
        <f t="shared" si="1181"/>
        <v>3968.9731760406585</v>
      </c>
      <c r="DP798" s="715">
        <f t="shared" ref="DP798:DR798" si="1182">SUM(DP791:DP797)</f>
        <v>1994.1890054453047</v>
      </c>
      <c r="DQ798" s="715">
        <f t="shared" si="1182"/>
        <v>2131.3926781265727</v>
      </c>
      <c r="DR798" s="715">
        <f t="shared" si="1182"/>
        <v>4125.5816835718779</v>
      </c>
      <c r="DU798" s="876"/>
      <c r="DV798" s="876"/>
      <c r="DW798" s="876"/>
      <c r="DZ798" s="876"/>
      <c r="EA798" s="876"/>
      <c r="ED798" s="876"/>
      <c r="EE798" s="876"/>
    </row>
    <row r="799" spans="1:273" s="323" customFormat="1">
      <c r="A799" s="323" t="s">
        <v>1308</v>
      </c>
      <c r="B799" s="115"/>
      <c r="AN799" s="115"/>
      <c r="AO799" s="115"/>
      <c r="AP799" s="115"/>
      <c r="AQ799" s="115"/>
      <c r="AR799" s="817"/>
      <c r="AS799" s="817"/>
      <c r="AT799" s="768"/>
      <c r="AU799" s="768"/>
      <c r="AV799" s="817"/>
      <c r="AW799" s="817"/>
      <c r="AX799" s="768"/>
      <c r="AY799" s="768"/>
      <c r="AZ799" s="817"/>
      <c r="BA799" s="869"/>
      <c r="BB799" s="115"/>
      <c r="BC799" s="115"/>
      <c r="BD799" s="712"/>
      <c r="BE799" s="770"/>
      <c r="BF799" s="712"/>
      <c r="BG799" s="115"/>
      <c r="BH799" s="817"/>
      <c r="BI799" s="869"/>
      <c r="BJ799" s="115"/>
      <c r="BK799" s="115"/>
      <c r="BL799" s="869"/>
      <c r="BM799" s="869"/>
      <c r="BN799" s="115"/>
      <c r="BO799" s="115"/>
      <c r="BP799" s="869"/>
      <c r="BQ799" s="869"/>
      <c r="BR799" s="115"/>
      <c r="BS799" s="115"/>
      <c r="BT799" s="869"/>
      <c r="BU799" s="869"/>
      <c r="BV799" s="115"/>
      <c r="BW799" s="115"/>
      <c r="BX799" s="817">
        <f>-BX798/BX758</f>
        <v>0.6278294119950294</v>
      </c>
      <c r="BY799" s="817">
        <f>-BY798/BY758</f>
        <v>0.64468586157115104</v>
      </c>
      <c r="BZ799" s="817">
        <f>-BZ798/BZ758</f>
        <v>0.63591531940701562</v>
      </c>
      <c r="CA799" s="115"/>
      <c r="CB799" s="817">
        <f>-CB798/CB758</f>
        <v>0.63040565826943529</v>
      </c>
      <c r="CC799" s="817">
        <f>-CC798/CC758</f>
        <v>0.64963915446587228</v>
      </c>
      <c r="CD799" s="817">
        <f>-CD798/CD758</f>
        <v>0.6385374639446596</v>
      </c>
      <c r="CE799" s="115"/>
      <c r="CF799" s="817">
        <f>-CF798/CF758</f>
        <v>0.60194265392309398</v>
      </c>
      <c r="CG799" s="817">
        <f>-CG798/CG758</f>
        <v>0.58825699312442858</v>
      </c>
      <c r="CH799" s="817">
        <f>-CH798/CH758</f>
        <v>0.59481639880494719</v>
      </c>
      <c r="CI799" s="115"/>
      <c r="CJ799" s="817">
        <f>-CJ798/CJ758</f>
        <v>0.55791381940831586</v>
      </c>
      <c r="CK799" s="817">
        <f>-CK798/CK758</f>
        <v>0.60718791742542033</v>
      </c>
      <c r="CL799" s="817">
        <f>-CL798/CL758</f>
        <v>0.58158059244257521</v>
      </c>
      <c r="CM799" s="115"/>
      <c r="CN799" s="817">
        <f>-CN798/CN758</f>
        <v>0.62233221410095119</v>
      </c>
      <c r="CO799" s="817">
        <f>-CO798/CO758</f>
        <v>0.51761955559909723</v>
      </c>
      <c r="CP799" s="817">
        <f>-CP798/CP758</f>
        <v>0.56716833079705375</v>
      </c>
      <c r="CQ799" s="115"/>
      <c r="CR799" s="817">
        <f>-CR798/CR758</f>
        <v>0.54130164250061485</v>
      </c>
      <c r="CS799" s="817">
        <f>-CS798/CS758</f>
        <v>0.49943441360830143</v>
      </c>
      <c r="CT799" s="817">
        <f>-CT798/CT758</f>
        <v>0.51912178431608236</v>
      </c>
      <c r="CU799" s="115"/>
      <c r="CV799" s="817">
        <f>-CV798/CV758</f>
        <v>0.53590502576785437</v>
      </c>
      <c r="CW799" s="817">
        <f>-CW798/CW758</f>
        <v>0.51856109868386835</v>
      </c>
      <c r="CX799" s="817">
        <f>-CX798/CX758</f>
        <v>0.5267593302649316</v>
      </c>
      <c r="CY799" s="115"/>
      <c r="CZ799" s="817">
        <f>-CZ798/CZ758</f>
        <v>0.61807161295032365</v>
      </c>
      <c r="DA799" s="817">
        <f>-DA798/DA758</f>
        <v>0.57680669596386169</v>
      </c>
      <c r="DB799" s="817">
        <f>-DB798/DB758</f>
        <v>0.59676576023370531</v>
      </c>
      <c r="DC799" s="115"/>
      <c r="DD799" s="817">
        <f>-DD798/DD758</f>
        <v>0.60951131158183436</v>
      </c>
      <c r="DE799" s="817">
        <f>-DE798/DE758</f>
        <v>0.55807420527220419</v>
      </c>
      <c r="DF799" s="817">
        <f>-DF798/DF758</f>
        <v>0.58354020044230326</v>
      </c>
      <c r="DG799" s="115"/>
      <c r="DH799" s="817">
        <f>-DH798/DH758</f>
        <v>0.50530036146476598</v>
      </c>
      <c r="DI799" s="817">
        <f>-DI798/DI758</f>
        <v>0.48162303916294613</v>
      </c>
      <c r="DJ799" s="817">
        <f>-DJ798/DJ758</f>
        <v>0.49277672096018121</v>
      </c>
      <c r="DK799" s="115"/>
      <c r="DL799" s="817">
        <f>-DL798/DL758</f>
        <v>0.47223105108612323</v>
      </c>
      <c r="DM799" s="817">
        <f>-DM798/DM758</f>
        <v>0.48807820742582786</v>
      </c>
      <c r="DN799" s="817">
        <f>-DN798/DN758</f>
        <v>0.48027913030472885</v>
      </c>
      <c r="DO799" s="115"/>
      <c r="DP799" s="817">
        <f>-DP798/DP758</f>
        <v>0.46719424123925141</v>
      </c>
      <c r="DQ799" s="817">
        <f>-DQ798/DQ758</f>
        <v>0.48170917646715039</v>
      </c>
      <c r="DR799" s="817">
        <f>-DR798/DR758</f>
        <v>0.47458212127941973</v>
      </c>
      <c r="DS799" s="115"/>
      <c r="DT799" s="115"/>
      <c r="DU799" s="869"/>
      <c r="DV799" s="869"/>
      <c r="DW799" s="869"/>
      <c r="DX799" s="115"/>
      <c r="DY799" s="115"/>
      <c r="DZ799" s="869"/>
      <c r="EA799" s="869"/>
      <c r="EB799" s="115"/>
      <c r="EC799" s="115"/>
      <c r="ED799" s="869"/>
      <c r="EE799" s="869"/>
      <c r="EF799" s="115"/>
      <c r="EG799" s="115"/>
      <c r="EH799" s="115"/>
      <c r="EI799" s="115"/>
      <c r="EJ799" s="115"/>
      <c r="EK799" s="115"/>
      <c r="EL799" s="115"/>
      <c r="EM799" s="115"/>
      <c r="EN799" s="115"/>
      <c r="EO799" s="115"/>
      <c r="EP799" s="115"/>
      <c r="JM799"/>
    </row>
    <row r="800" spans="1:273">
      <c r="AR800" s="685"/>
      <c r="AS800" s="685"/>
      <c r="AT800" s="730"/>
      <c r="AU800" s="730"/>
      <c r="AV800" s="685"/>
      <c r="AW800" s="685"/>
      <c r="AX800" s="730"/>
      <c r="AY800" s="730"/>
      <c r="AZ800" s="685"/>
      <c r="BA800" s="876"/>
      <c r="BD800" s="711"/>
      <c r="BE800" s="885"/>
      <c r="BF800" s="711"/>
      <c r="BH800" s="685"/>
      <c r="BI800" s="876"/>
      <c r="BL800" s="876"/>
      <c r="BM800" s="876"/>
      <c r="BP800" s="876"/>
      <c r="BQ800" s="876"/>
      <c r="BT800" s="876"/>
      <c r="BU800" s="876"/>
      <c r="BX800" s="876"/>
      <c r="BY800" s="876"/>
      <c r="CB800" s="876"/>
      <c r="CC800" s="876"/>
      <c r="CF800" s="876"/>
      <c r="CG800" s="876"/>
      <c r="CJ800" s="876"/>
      <c r="CK800" s="876"/>
      <c r="CN800" s="876"/>
      <c r="CO800" s="876"/>
      <c r="CR800" s="876"/>
      <c r="CS800" s="876"/>
      <c r="CV800" s="876"/>
      <c r="CW800" s="876"/>
      <c r="CZ800" s="876"/>
      <c r="DA800" s="876"/>
      <c r="DD800" s="876"/>
      <c r="DE800" s="876"/>
      <c r="DH800" s="876"/>
      <c r="DI800" s="876"/>
      <c r="DL800" s="876"/>
      <c r="DM800" s="876"/>
      <c r="DP800" s="876"/>
      <c r="DQ800" s="876"/>
      <c r="DU800" s="876"/>
      <c r="DV800" s="876"/>
      <c r="DW800" s="876"/>
      <c r="DZ800" s="876"/>
      <c r="EA800" s="876"/>
      <c r="ED800" s="876"/>
      <c r="EE800" s="876"/>
    </row>
    <row r="801" spans="1:273">
      <c r="A801" s="815" t="s">
        <v>1309</v>
      </c>
      <c r="AR801" s="685"/>
      <c r="AS801" s="685"/>
      <c r="AT801" s="730"/>
      <c r="AU801" s="730"/>
      <c r="AV801" s="685"/>
      <c r="AW801" s="685"/>
      <c r="AX801" s="730"/>
      <c r="AY801" s="730"/>
      <c r="AZ801" s="685"/>
      <c r="BA801" s="876"/>
      <c r="BD801" s="711"/>
      <c r="BE801" s="885"/>
      <c r="BF801" s="711"/>
      <c r="BH801" s="685"/>
      <c r="BI801" s="876"/>
      <c r="BL801" s="876"/>
      <c r="BM801" s="876"/>
      <c r="BP801" s="876"/>
      <c r="BQ801" s="876"/>
      <c r="BT801" s="876"/>
      <c r="BU801" s="876"/>
      <c r="BX801" s="876"/>
      <c r="BY801" s="876"/>
      <c r="CB801" s="876"/>
      <c r="CC801" s="876"/>
      <c r="CF801" s="876"/>
      <c r="CG801" s="876"/>
      <c r="CJ801" s="876"/>
      <c r="CK801" s="876"/>
      <c r="CN801" s="876"/>
      <c r="CO801" s="876"/>
      <c r="CR801" s="876"/>
      <c r="CS801" s="876"/>
      <c r="CV801" s="876"/>
      <c r="CW801" s="876"/>
      <c r="CZ801" s="876"/>
      <c r="DA801" s="876"/>
      <c r="DD801" s="876"/>
      <c r="DE801" s="876"/>
      <c r="DH801" s="876"/>
      <c r="DI801" s="876"/>
      <c r="DL801" s="876"/>
      <c r="DM801" s="876"/>
      <c r="DP801" s="876"/>
      <c r="DQ801" s="876"/>
      <c r="DU801" s="876"/>
      <c r="DV801" s="876"/>
      <c r="DW801" s="876"/>
      <c r="DZ801" s="876"/>
      <c r="EA801" s="876"/>
      <c r="ED801" s="876"/>
      <c r="EE801" s="876"/>
    </row>
    <row r="802" spans="1:273">
      <c r="A802" s="102" t="s">
        <v>686</v>
      </c>
      <c r="AR802" s="685"/>
      <c r="AS802" s="685"/>
      <c r="AT802" s="730"/>
      <c r="AU802" s="730"/>
      <c r="AV802" s="685"/>
      <c r="AW802" s="685"/>
      <c r="AX802" s="730"/>
      <c r="AY802" s="730"/>
      <c r="AZ802" s="685"/>
      <c r="BA802" s="876"/>
      <c r="BD802" s="711"/>
      <c r="BE802" s="885"/>
      <c r="BF802" s="711"/>
      <c r="BH802" s="685"/>
      <c r="BI802" s="876"/>
      <c r="BL802" s="876"/>
      <c r="BM802" s="876"/>
      <c r="BP802" s="876"/>
      <c r="BQ802" s="876"/>
      <c r="BT802" s="876"/>
      <c r="BU802" s="876"/>
      <c r="BX802" s="320">
        <f t="shared" ref="BX802:BZ804" si="1183">+BX791/BX814</f>
        <v>0.31282952548330401</v>
      </c>
      <c r="BY802" s="320">
        <f t="shared" si="1183"/>
        <v>0.23704866562009425</v>
      </c>
      <c r="BZ802" s="320">
        <f t="shared" si="1183"/>
        <v>0.2728026533996683</v>
      </c>
      <c r="CB802" s="320">
        <f t="shared" ref="CB802:CD804" si="1184">+CB791/CB814</f>
        <v>0.28268551236749118</v>
      </c>
      <c r="CC802" s="320">
        <f t="shared" si="1184"/>
        <v>0.18232662192393734</v>
      </c>
      <c r="CD802" s="320">
        <f t="shared" si="1184"/>
        <v>0.22123287671232877</v>
      </c>
      <c r="CF802" s="320">
        <f t="shared" ref="CF802:CH804" si="1185">+CF791/CF814</f>
        <v>0.21114369501466276</v>
      </c>
      <c r="CG802" s="320">
        <f t="shared" si="1185"/>
        <v>0.14411927112092768</v>
      </c>
      <c r="CH802" s="320">
        <f t="shared" si="1185"/>
        <v>0.16831333803810869</v>
      </c>
      <c r="CJ802" s="320">
        <f t="shared" ref="CJ802:CL804" si="1186">+CJ791/CJ814</f>
        <v>0.33980582524271846</v>
      </c>
      <c r="CK802" s="320">
        <f t="shared" si="1186"/>
        <v>0.2525399129172714</v>
      </c>
      <c r="CL802" s="320">
        <f t="shared" si="1186"/>
        <v>0.29191557148546393</v>
      </c>
      <c r="CN802" s="320">
        <f t="shared" ref="CN802:CP804" si="1187">+CN791/CN814</f>
        <v>0.58794788273615639</v>
      </c>
      <c r="CO802" s="320">
        <f t="shared" si="1187"/>
        <v>0.1854345165238678</v>
      </c>
      <c r="CP802" s="320">
        <f t="shared" si="1187"/>
        <v>0.29537366548042704</v>
      </c>
      <c r="CR802" s="320">
        <f t="shared" ref="CR802:CT804" si="1188">+CR791/CR814</f>
        <v>0.18540145985401457</v>
      </c>
      <c r="CS802" s="320">
        <f t="shared" si="1188"/>
        <v>0.15748502994011976</v>
      </c>
      <c r="CT802" s="320">
        <f t="shared" si="1188"/>
        <v>0.1700657894736842</v>
      </c>
      <c r="CV802" s="320">
        <f t="shared" ref="CV802:CX802" si="1189">+CV791/CV814</f>
        <v>0.22222222222222227</v>
      </c>
      <c r="CW802" s="320">
        <f t="shared" si="1189"/>
        <v>0.31702127659574469</v>
      </c>
      <c r="CX802" s="320">
        <f t="shared" si="1189"/>
        <v>0.26223619218679839</v>
      </c>
      <c r="CZ802" s="320">
        <f t="shared" ref="CZ802:DB802" si="1190">+CZ791/CZ814</f>
        <v>0.26229508196721313</v>
      </c>
      <c r="DA802" s="320">
        <f t="shared" si="1190"/>
        <v>0.21695402298850575</v>
      </c>
      <c r="DB802" s="320">
        <f t="shared" si="1190"/>
        <v>0.23813169984686064</v>
      </c>
      <c r="DD802" s="320">
        <f t="shared" ref="DD802:DF802" si="1191">+DD791/DD814</f>
        <v>0.2716157205240175</v>
      </c>
      <c r="DE802" s="320">
        <f t="shared" si="1191"/>
        <v>0.2056262558606832</v>
      </c>
      <c r="DF802" s="320">
        <f t="shared" si="1191"/>
        <v>0.23426838514025777</v>
      </c>
      <c r="DH802" s="320">
        <f t="shared" ref="DH802" si="1192">+DH791/DH814</f>
        <v>0.19585561497326204</v>
      </c>
      <c r="DI802" s="320">
        <f t="shared" ref="DI802:DJ802" si="1193">+DI791/DI814</f>
        <v>0.19033713115048695</v>
      </c>
      <c r="DJ802" s="320">
        <f t="shared" si="1193"/>
        <v>0.19294523880229225</v>
      </c>
      <c r="DL802" s="320">
        <f t="shared" ref="DL802:DN802" si="1194">+DL791/DL814</f>
        <v>0.17920580370217426</v>
      </c>
      <c r="DM802" s="320">
        <f t="shared" si="1194"/>
        <v>0.16652144185084178</v>
      </c>
      <c r="DN802" s="320">
        <f t="shared" si="1194"/>
        <v>0.17237470135844721</v>
      </c>
      <c r="DP802" s="320">
        <f t="shared" ref="DP802:DR802" si="1195">+DP791/DP814</f>
        <v>0.17199881927712393</v>
      </c>
      <c r="DQ802" s="320">
        <f t="shared" si="1195"/>
        <v>0.16090589056246196</v>
      </c>
      <c r="DR802" s="320">
        <f t="shared" si="1195"/>
        <v>0.16604336876968714</v>
      </c>
      <c r="DU802" s="876"/>
      <c r="DV802" s="876"/>
      <c r="DW802" s="876"/>
      <c r="DZ802" s="876"/>
      <c r="EA802" s="876"/>
      <c r="ED802" s="876"/>
      <c r="EE802" s="876"/>
    </row>
    <row r="803" spans="1:273">
      <c r="A803" s="102" t="s">
        <v>1306</v>
      </c>
      <c r="AR803" s="685"/>
      <c r="AS803" s="685"/>
      <c r="AT803" s="730"/>
      <c r="AU803" s="730"/>
      <c r="AV803" s="685"/>
      <c r="AW803" s="685"/>
      <c r="AX803" s="730"/>
      <c r="AY803" s="730"/>
      <c r="AZ803" s="685"/>
      <c r="BA803" s="876"/>
      <c r="BD803" s="711"/>
      <c r="BE803" s="885"/>
      <c r="BF803" s="711"/>
      <c r="BH803" s="685"/>
      <c r="BI803" s="876"/>
      <c r="BL803" s="876"/>
      <c r="BM803" s="876"/>
      <c r="BP803" s="876"/>
      <c r="BQ803" s="876"/>
      <c r="BT803" s="876"/>
      <c r="BU803" s="876"/>
      <c r="BX803" s="320">
        <f t="shared" si="1183"/>
        <v>0.13255644573925709</v>
      </c>
      <c r="BY803" s="320">
        <f t="shared" si="1183"/>
        <v>0.1553556827473426</v>
      </c>
      <c r="BZ803" s="320">
        <f t="shared" si="1183"/>
        <v>0.14329738058551617</v>
      </c>
      <c r="CB803" s="320">
        <f t="shared" si="1184"/>
        <v>0.11337030191004313</v>
      </c>
      <c r="CC803" s="320">
        <f t="shared" si="1184"/>
        <v>0.20979765708200213</v>
      </c>
      <c r="CD803" s="320">
        <f t="shared" si="1184"/>
        <v>0.14871194379391101</v>
      </c>
      <c r="CF803" s="320">
        <f t="shared" si="1185"/>
        <v>0.1538461538461538</v>
      </c>
      <c r="CG803" s="320">
        <f t="shared" si="1185"/>
        <v>0.15783602900167318</v>
      </c>
      <c r="CH803" s="320">
        <f t="shared" si="1185"/>
        <v>0.15599639314697927</v>
      </c>
      <c r="CJ803" s="320">
        <f t="shared" si="1186"/>
        <v>0.12932410856838744</v>
      </c>
      <c r="CK803" s="320">
        <f t="shared" si="1186"/>
        <v>0.14139233675121424</v>
      </c>
      <c r="CL803" s="320">
        <f t="shared" si="1186"/>
        <v>0.13531618435155413</v>
      </c>
      <c r="CN803" s="320">
        <f t="shared" si="1187"/>
        <v>0.1436556735606484</v>
      </c>
      <c r="CO803" s="320">
        <f t="shared" si="1187"/>
        <v>0.13031161473087821</v>
      </c>
      <c r="CP803" s="320">
        <f t="shared" si="1187"/>
        <v>0.13702870005627463</v>
      </c>
      <c r="CR803" s="320">
        <f t="shared" si="1188"/>
        <v>0.17101937657961247</v>
      </c>
      <c r="CS803" s="320">
        <f t="shared" si="1188"/>
        <v>0.12854096862625647</v>
      </c>
      <c r="CT803" s="320">
        <f t="shared" si="1188"/>
        <v>0.14636733250839667</v>
      </c>
      <c r="CV803" s="320">
        <f t="shared" ref="CV803:CX803" si="1196">+CV792/CV815</f>
        <v>0.14625719769673703</v>
      </c>
      <c r="CW803" s="320">
        <f t="shared" si="1196"/>
        <v>0.1947996589940324</v>
      </c>
      <c r="CX803" s="320">
        <f t="shared" si="1196"/>
        <v>0.1692587356089679</v>
      </c>
      <c r="CZ803" s="320">
        <f t="shared" ref="CZ803:DB803" si="1197">+CZ792/CZ815</f>
        <v>0.24512699350265801</v>
      </c>
      <c r="DA803" s="320">
        <f t="shared" si="1197"/>
        <v>0.20378457059679767</v>
      </c>
      <c r="DB803" s="320">
        <f t="shared" si="1197"/>
        <v>0.22242940863079383</v>
      </c>
      <c r="DD803" s="320">
        <f t="shared" ref="DD803:DF803" si="1198">+DD792/DD815</f>
        <v>0.20519098922624879</v>
      </c>
      <c r="DE803" s="320">
        <f t="shared" si="1198"/>
        <v>0.15777080062794346</v>
      </c>
      <c r="DF803" s="320">
        <f t="shared" si="1198"/>
        <v>0.17886710239651415</v>
      </c>
      <c r="DH803" s="320">
        <f t="shared" ref="DH803" si="1199">+DH792/DH815</f>
        <v>0.1679932970255551</v>
      </c>
      <c r="DI803" s="320">
        <f t="shared" ref="DI803:DJ803" si="1200">+DI792/DI815</f>
        <v>0.16048788517984305</v>
      </c>
      <c r="DJ803" s="320">
        <f t="shared" si="1200"/>
        <v>0.16405875280899312</v>
      </c>
      <c r="DL803" s="320">
        <f t="shared" ref="DL803:DN803" si="1201">+DL792/DL815</f>
        <v>0.20074413030688007</v>
      </c>
      <c r="DM803" s="320">
        <f t="shared" si="1201"/>
        <v>0.21179646112027478</v>
      </c>
      <c r="DN803" s="320">
        <f t="shared" si="1201"/>
        <v>0.20631703926188863</v>
      </c>
      <c r="DP803" s="320">
        <f t="shared" ref="DP803:DR803" si="1202">+DP792/DP815</f>
        <v>0.20573809589634576</v>
      </c>
      <c r="DQ803" s="320">
        <f t="shared" si="1202"/>
        <v>0.21717891795514013</v>
      </c>
      <c r="DR803" s="320">
        <f t="shared" si="1202"/>
        <v>0.21153225148884813</v>
      </c>
      <c r="DU803" s="876"/>
      <c r="DV803" s="876"/>
      <c r="DW803" s="876"/>
      <c r="DZ803" s="876"/>
      <c r="EA803" s="876"/>
      <c r="ED803" s="876"/>
      <c r="EE803" s="876"/>
    </row>
    <row r="804" spans="1:273">
      <c r="A804" s="102" t="s">
        <v>1024</v>
      </c>
      <c r="AR804" s="685"/>
      <c r="AS804" s="685"/>
      <c r="AT804" s="730"/>
      <c r="AU804" s="730"/>
      <c r="AV804" s="685"/>
      <c r="AW804" s="685"/>
      <c r="AX804" s="730"/>
      <c r="AY804" s="730"/>
      <c r="AZ804" s="685"/>
      <c r="BA804" s="876"/>
      <c r="BD804" s="711"/>
      <c r="BE804" s="885"/>
      <c r="BF804" s="711"/>
      <c r="BH804" s="685"/>
      <c r="BI804" s="876"/>
      <c r="BL804" s="876"/>
      <c r="BM804" s="876"/>
      <c r="BP804" s="876"/>
      <c r="BQ804" s="876"/>
      <c r="BT804" s="876"/>
      <c r="BU804" s="876"/>
      <c r="BX804" s="320">
        <f t="shared" si="1183"/>
        <v>0.19528619528619529</v>
      </c>
      <c r="BY804" s="320">
        <f t="shared" si="1183"/>
        <v>0.18796992481203012</v>
      </c>
      <c r="BZ804" s="320">
        <f t="shared" si="1183"/>
        <v>0.19165535956580732</v>
      </c>
      <c r="CB804" s="320">
        <f t="shared" si="1184"/>
        <v>0.21044663133989402</v>
      </c>
      <c r="CC804" s="320">
        <f t="shared" si="1184"/>
        <v>0.20176544766708701</v>
      </c>
      <c r="CD804" s="320">
        <f t="shared" si="1184"/>
        <v>0.20571035431716547</v>
      </c>
      <c r="CF804" s="320">
        <f t="shared" si="1185"/>
        <v>0.16782891678289166</v>
      </c>
      <c r="CG804" s="320">
        <f t="shared" si="1185"/>
        <v>0.18396846254927729</v>
      </c>
      <c r="CH804" s="320">
        <f t="shared" si="1185"/>
        <v>0.17613892647722149</v>
      </c>
      <c r="CJ804" s="320">
        <f t="shared" si="1186"/>
        <v>0.1278962001853568</v>
      </c>
      <c r="CK804" s="320">
        <f t="shared" si="1186"/>
        <v>0.18311533888228299</v>
      </c>
      <c r="CL804" s="320">
        <f t="shared" si="1186"/>
        <v>0.15208333333333332</v>
      </c>
      <c r="CN804" s="320">
        <f t="shared" si="1187"/>
        <v>0.13990610328638498</v>
      </c>
      <c r="CO804" s="320">
        <f t="shared" si="1187"/>
        <v>0.11145996860282574</v>
      </c>
      <c r="CP804" s="320">
        <f t="shared" si="1187"/>
        <v>0.12441214194100043</v>
      </c>
      <c r="CR804" s="320">
        <f t="shared" si="1188"/>
        <v>0.10328638497652583</v>
      </c>
      <c r="CS804" s="320">
        <f t="shared" si="1188"/>
        <v>8.9442815249266866E-2</v>
      </c>
      <c r="CT804" s="320">
        <f t="shared" si="1188"/>
        <v>9.5646544748341153E-2</v>
      </c>
      <c r="CV804" s="320">
        <f t="shared" ref="CV804:CX804" si="1203">+CV793/CV816</f>
        <v>0.1037357209015128</v>
      </c>
      <c r="CW804" s="320">
        <f t="shared" si="1203"/>
        <v>7.0828769623950349E-2</v>
      </c>
      <c r="CX804" s="320">
        <f t="shared" si="1203"/>
        <v>8.3056097281174718E-2</v>
      </c>
      <c r="CZ804" s="320">
        <f t="shared" ref="CZ804:DB804" si="1204">+CZ793/CZ816</f>
        <v>0.13690679412768866</v>
      </c>
      <c r="DA804" s="320">
        <f t="shared" si="1204"/>
        <v>0.12083701738874153</v>
      </c>
      <c r="DB804" s="320">
        <f t="shared" si="1204"/>
        <v>0.12828218918063905</v>
      </c>
      <c r="DD804" s="320">
        <f t="shared" ref="DD804:DF804" si="1205">+DD793/DD816</f>
        <v>0.13925362819626813</v>
      </c>
      <c r="DE804" s="320">
        <f t="shared" si="1205"/>
        <v>0.12836107554417414</v>
      </c>
      <c r="DF804" s="320">
        <f t="shared" si="1205"/>
        <v>0.13359920239282153</v>
      </c>
      <c r="DH804" s="320">
        <f t="shared" ref="DH804" si="1206">+DH793/DH816</f>
        <v>0.1519250780437045</v>
      </c>
      <c r="DI804" s="320">
        <f t="shared" ref="DI804:DJ804" si="1207">+DI793/DI816</f>
        <v>0.11764632270946246</v>
      </c>
      <c r="DJ804" s="320">
        <f t="shared" si="1207"/>
        <v>0.13289957230988161</v>
      </c>
      <c r="DL804" s="320">
        <f t="shared" ref="DL804:DN804" si="1208">+DL793/DL816</f>
        <v>0.14128064935395235</v>
      </c>
      <c r="DM804" s="320">
        <f t="shared" si="1208"/>
        <v>0.11792327033832811</v>
      </c>
      <c r="DN804" s="320">
        <f t="shared" si="1208"/>
        <v>0.12834130619343673</v>
      </c>
      <c r="DP804" s="320">
        <f t="shared" ref="DP804:DR804" si="1209">+DP793/DP816</f>
        <v>0.14281323206431737</v>
      </c>
      <c r="DQ804" s="320">
        <f t="shared" si="1209"/>
        <v>0.11897219937262872</v>
      </c>
      <c r="DR804" s="320">
        <f t="shared" si="1209"/>
        <v>0.12959456832196406</v>
      </c>
      <c r="DU804" s="876"/>
      <c r="DV804" s="876"/>
      <c r="DW804" s="876"/>
      <c r="DZ804" s="876"/>
      <c r="EA804" s="876"/>
      <c r="ED804" s="876"/>
      <c r="EE804" s="876"/>
    </row>
    <row r="805" spans="1:273">
      <c r="A805" s="102" t="s">
        <v>690</v>
      </c>
      <c r="AR805" s="685"/>
      <c r="AS805" s="685"/>
      <c r="AT805" s="730"/>
      <c r="AU805" s="730"/>
      <c r="AV805" s="685"/>
      <c r="AW805" s="685"/>
      <c r="AX805" s="730"/>
      <c r="AY805" s="730"/>
      <c r="AZ805" s="685"/>
      <c r="BA805" s="876"/>
      <c r="BD805" s="711"/>
      <c r="BE805" s="885"/>
      <c r="BF805" s="711"/>
      <c r="BH805" s="685"/>
      <c r="BI805" s="876"/>
      <c r="BL805" s="876"/>
      <c r="BM805" s="876"/>
      <c r="BP805" s="876"/>
      <c r="BQ805" s="876"/>
      <c r="BT805" s="876"/>
      <c r="BU805" s="876"/>
      <c r="BX805" s="711"/>
      <c r="BY805" s="711"/>
      <c r="BZ805" s="711"/>
      <c r="CB805" s="711"/>
      <c r="CC805" s="711"/>
      <c r="CD805" s="711"/>
      <c r="CF805" s="711"/>
      <c r="CG805" s="711"/>
      <c r="CH805" s="711"/>
      <c r="CJ805" s="711"/>
      <c r="CK805" s="711"/>
      <c r="CL805" s="711"/>
      <c r="CN805" s="711"/>
      <c r="CO805" s="711"/>
      <c r="CP805" s="711"/>
      <c r="CR805" s="711"/>
      <c r="CS805" s="711"/>
      <c r="CT805" s="711"/>
      <c r="CV805" s="711"/>
      <c r="CW805" s="711"/>
      <c r="CX805" s="711"/>
      <c r="CZ805" s="711"/>
      <c r="DA805" s="711"/>
      <c r="DB805" s="711"/>
      <c r="DD805" s="711"/>
      <c r="DE805" s="711"/>
      <c r="DF805" s="711"/>
      <c r="DH805" s="711"/>
      <c r="DI805" s="711"/>
      <c r="DJ805" s="711"/>
      <c r="DL805" s="711"/>
      <c r="DM805" s="711"/>
      <c r="DN805" s="711"/>
      <c r="DP805" s="711"/>
      <c r="DQ805" s="711"/>
      <c r="DR805" s="711"/>
      <c r="DU805" s="876"/>
      <c r="DV805" s="876"/>
      <c r="DW805" s="876"/>
      <c r="DZ805" s="876"/>
      <c r="EA805" s="876"/>
      <c r="ED805" s="876"/>
      <c r="EE805" s="876"/>
    </row>
    <row r="806" spans="1:273">
      <c r="A806" s="102" t="s">
        <v>689</v>
      </c>
      <c r="AR806" s="685"/>
      <c r="AS806" s="685"/>
      <c r="AT806" s="730"/>
      <c r="AU806" s="730"/>
      <c r="AV806" s="685"/>
      <c r="AW806" s="685"/>
      <c r="AX806" s="730"/>
      <c r="AY806" s="730"/>
      <c r="AZ806" s="685"/>
      <c r="BA806" s="876"/>
      <c r="BD806" s="711"/>
      <c r="BE806" s="885"/>
      <c r="BF806" s="711"/>
      <c r="BH806" s="685"/>
      <c r="BI806" s="876"/>
      <c r="BL806" s="876"/>
      <c r="BM806" s="876"/>
      <c r="BP806" s="876"/>
      <c r="BQ806" s="876"/>
      <c r="BT806" s="876"/>
      <c r="BU806" s="876"/>
      <c r="BX806" s="320">
        <f>+BX795/BX818</f>
        <v>0.19453924914675769</v>
      </c>
      <c r="BY806" s="320">
        <f>+BY795/BY818</f>
        <v>0.20156046814044212</v>
      </c>
      <c r="BZ806" s="320">
        <f>+BZ795/BZ818</f>
        <v>0.19781553398058252</v>
      </c>
      <c r="CB806" s="320">
        <f>+CB795/CB818</f>
        <v>0.20216962524654833</v>
      </c>
      <c r="CC806" s="320">
        <f>+CC795/CC818</f>
        <v>0.21541501976284588</v>
      </c>
      <c r="CD806" s="320">
        <f>+CD795/CD818</f>
        <v>0.2087857847976308</v>
      </c>
      <c r="CF806" s="320">
        <f>+CF795/CF818</f>
        <v>0.20837297811607994</v>
      </c>
      <c r="CG806" s="320">
        <f>+CG795/CG818</f>
        <v>0.19201520912547529</v>
      </c>
      <c r="CH806" s="320">
        <f>+CH795/CH818</f>
        <v>0.20019020446980504</v>
      </c>
      <c r="CJ806" s="320">
        <f>+CJ795/CJ818</f>
        <v>0.1792360430950049</v>
      </c>
      <c r="CK806" s="320">
        <f>+CK795/CK818</f>
        <v>0.1692913385826772</v>
      </c>
      <c r="CL806" s="320">
        <f>+CL795/CL818</f>
        <v>0.17427589592538045</v>
      </c>
      <c r="CN806" s="320">
        <f>+CN795/CN818</f>
        <v>0.20000000000000004</v>
      </c>
      <c r="CO806" s="320">
        <f>+CO795/CO818</f>
        <v>0.17657822506861851</v>
      </c>
      <c r="CP806" s="320">
        <f>+CP795/CP818</f>
        <v>0.18768046198267566</v>
      </c>
      <c r="CR806" s="320">
        <f>+CR795/CR818</f>
        <v>0.18830610490111782</v>
      </c>
      <c r="CS806" s="320">
        <f>+CS795/CS818</f>
        <v>0.17488443759630201</v>
      </c>
      <c r="CT806" s="320">
        <f>+CT795/CT818</f>
        <v>0.18122714343762697</v>
      </c>
      <c r="CV806" s="320">
        <f>+CV795/CV818</f>
        <v>0.18411806043569923</v>
      </c>
      <c r="CW806" s="320">
        <f>+CW795/CW818</f>
        <v>0.1743656473649968</v>
      </c>
      <c r="CX806" s="320">
        <f>+CX795/CX818</f>
        <v>0.17905405405405406</v>
      </c>
      <c r="CZ806" s="320">
        <f>+CZ795/CZ818</f>
        <v>0.199502796768179</v>
      </c>
      <c r="DA806" s="320">
        <f>+DA795/DA818</f>
        <v>0.19625000000000001</v>
      </c>
      <c r="DB806" s="320">
        <f>+DB795/DB818</f>
        <v>0.19788095980056092</v>
      </c>
      <c r="DD806" s="320">
        <f>+DD795/DD818</f>
        <v>0.1853720050441362</v>
      </c>
      <c r="DE806" s="320">
        <f>+DE795/DE818</f>
        <v>0.15505754088431253</v>
      </c>
      <c r="DF806" s="320">
        <f>+DF795/DF818</f>
        <v>0.16991041087426628</v>
      </c>
      <c r="DH806" s="320">
        <f>+DH795/DH818</f>
        <v>0.13310580204778158</v>
      </c>
      <c r="DI806" s="320">
        <f>+DI795/DI818</f>
        <v>0.14187106456448681</v>
      </c>
      <c r="DJ806" s="320">
        <f>+DJ795/DJ818</f>
        <v>0.13750131664646098</v>
      </c>
      <c r="DL806" s="320">
        <f>+DL795/DL818</f>
        <v>0.12504622381743535</v>
      </c>
      <c r="DM806" s="320">
        <f>+DM795/DM818</f>
        <v>0.12989304194895043</v>
      </c>
      <c r="DN806" s="320">
        <f>+DN795/DN818</f>
        <v>0.12750795072228688</v>
      </c>
      <c r="DP806" s="320">
        <f>+DP795/DP818</f>
        <v>0.1190152584121336</v>
      </c>
      <c r="DQ806" s="320">
        <f>+DQ795/DQ818</f>
        <v>0.12436545861940276</v>
      </c>
      <c r="DR806" s="320">
        <f>+DR795/DR818</f>
        <v>0.12172470605131104</v>
      </c>
      <c r="DU806" s="876"/>
      <c r="DV806" s="876"/>
      <c r="DW806" s="876"/>
      <c r="DZ806" s="876"/>
      <c r="EA806" s="876"/>
      <c r="ED806" s="876"/>
      <c r="EE806" s="876"/>
    </row>
    <row r="807" spans="1:273">
      <c r="A807" s="102" t="s">
        <v>688</v>
      </c>
      <c r="AR807" s="685"/>
      <c r="AS807" s="685"/>
      <c r="AT807" s="730"/>
      <c r="AU807" s="730"/>
      <c r="AV807" s="685"/>
      <c r="AW807" s="685"/>
      <c r="AX807" s="730"/>
      <c r="AY807" s="730"/>
      <c r="AZ807" s="685"/>
      <c r="BA807" s="876"/>
      <c r="BD807" s="711"/>
      <c r="BE807" s="885"/>
      <c r="BF807" s="711"/>
      <c r="BH807" s="685"/>
      <c r="BI807" s="876"/>
      <c r="BL807" s="876"/>
      <c r="BM807" s="876"/>
      <c r="BP807" s="876"/>
      <c r="BQ807" s="876"/>
      <c r="BT807" s="876"/>
      <c r="BU807" s="876"/>
      <c r="BX807" s="711"/>
      <c r="BY807" s="711"/>
      <c r="BZ807" s="711"/>
      <c r="CB807" s="711"/>
      <c r="CC807" s="711"/>
      <c r="CD807" s="711"/>
      <c r="CF807" s="711"/>
      <c r="CG807" s="711"/>
      <c r="CH807" s="711"/>
      <c r="CJ807" s="711"/>
      <c r="CK807" s="711"/>
      <c r="CL807" s="711"/>
      <c r="CN807" s="711"/>
      <c r="CO807" s="711"/>
      <c r="CP807" s="711"/>
      <c r="CR807" s="711"/>
      <c r="CS807" s="711"/>
      <c r="CT807" s="711"/>
      <c r="CV807" s="711"/>
      <c r="CW807" s="711"/>
      <c r="CX807" s="711"/>
      <c r="CZ807" s="711"/>
      <c r="DA807" s="711"/>
      <c r="DB807" s="711"/>
      <c r="DD807" s="711"/>
      <c r="DE807" s="711"/>
      <c r="DF807" s="711"/>
      <c r="DH807" s="711"/>
      <c r="DI807" s="711"/>
      <c r="DJ807" s="711"/>
      <c r="DL807" s="711"/>
      <c r="DM807" s="711"/>
      <c r="DN807" s="711"/>
      <c r="DP807" s="711"/>
      <c r="DQ807" s="711"/>
      <c r="DR807" s="711"/>
      <c r="DU807" s="876"/>
      <c r="DV807" s="876"/>
      <c r="DW807" s="876"/>
      <c r="DZ807" s="876"/>
      <c r="EA807" s="876"/>
      <c r="ED807" s="876"/>
      <c r="EE807" s="876"/>
    </row>
    <row r="808" spans="1:273" s="1600" customFormat="1">
      <c r="A808" s="1600" t="s">
        <v>691</v>
      </c>
      <c r="B808" s="1601"/>
      <c r="AN808" s="1601"/>
      <c r="AO808" s="1601"/>
      <c r="AP808" s="1601"/>
      <c r="AQ808" s="1601"/>
      <c r="AR808" s="1602"/>
      <c r="AS808" s="1602"/>
      <c r="AT808" s="1601"/>
      <c r="AU808" s="1601"/>
      <c r="AV808" s="1602"/>
      <c r="AW808" s="1602"/>
      <c r="AX808" s="1601"/>
      <c r="AY808" s="1601"/>
      <c r="AZ808" s="1602"/>
      <c r="BA808" s="1602"/>
      <c r="BB808" s="1601"/>
      <c r="BC808" s="1601"/>
      <c r="BD808" s="1603"/>
      <c r="BE808" s="1603"/>
      <c r="BF808" s="1603"/>
      <c r="BG808" s="1601"/>
      <c r="BH808" s="1602"/>
      <c r="BI808" s="1602"/>
      <c r="BJ808" s="1601"/>
      <c r="BK808" s="1601"/>
      <c r="BL808" s="1602"/>
      <c r="BM808" s="1602"/>
      <c r="BN808" s="1601"/>
      <c r="BO808" s="1601"/>
      <c r="BP808" s="1602"/>
      <c r="BQ808" s="1602"/>
      <c r="BR808" s="1601"/>
      <c r="BS808" s="1601"/>
      <c r="BT808" s="1602"/>
      <c r="BU808" s="1602"/>
      <c r="BV808" s="1601"/>
      <c r="BW808" s="1601"/>
      <c r="BX808" s="1604">
        <f t="shared" ref="BX808:BZ809" si="1210">+BX797/BX820</f>
        <v>6.2562253697223031</v>
      </c>
      <c r="BY808" s="1604">
        <f t="shared" si="1210"/>
        <v>7.6508407727954202</v>
      </c>
      <c r="BZ808" s="1604">
        <f t="shared" si="1210"/>
        <v>6.856838397654232</v>
      </c>
      <c r="CA808" s="1601"/>
      <c r="CB808" s="1604">
        <f t="shared" ref="CB808:CD809" si="1211">+CB797/CB820</f>
        <v>45.122472122472125</v>
      </c>
      <c r="CC808" s="1604">
        <f t="shared" si="1211"/>
        <v>2.3749706128686254</v>
      </c>
      <c r="CD808" s="1604">
        <f t="shared" si="1211"/>
        <v>4.7535837205300293</v>
      </c>
      <c r="CE808" s="1629"/>
      <c r="CF808" s="1604">
        <f t="shared" ref="CF808:CH809" si="1212">+CF797/CF820</f>
        <v>6.2699615877080657</v>
      </c>
      <c r="CG808" s="1604">
        <f t="shared" si="1212"/>
        <v>-30.62360480018641</v>
      </c>
      <c r="CH808" s="1604">
        <f t="shared" si="1212"/>
        <v>16.163520581525169</v>
      </c>
      <c r="CI808" s="1629"/>
      <c r="CJ808" s="1604">
        <f t="shared" ref="CJ808:CL809" si="1213">+CJ797/CJ820</f>
        <v>3.5796028114533707</v>
      </c>
      <c r="CK808" s="1604">
        <f t="shared" si="1213"/>
        <v>6.006679285296654</v>
      </c>
      <c r="CL808" s="1604">
        <f t="shared" si="1213"/>
        <v>4.4817243588869653</v>
      </c>
      <c r="CM808" s="1629"/>
      <c r="CN808" s="1604">
        <f t="shared" ref="CN808:CP809" si="1214">+CN797/CN820</f>
        <v>514.39873987398744</v>
      </c>
      <c r="CO808" s="1604">
        <f t="shared" si="1214"/>
        <v>2.288985815574792</v>
      </c>
      <c r="CP808" s="1604">
        <f t="shared" si="1214"/>
        <v>4.6577207454043767</v>
      </c>
      <c r="CQ808" s="1629"/>
      <c r="CR808" s="1604">
        <f t="shared" ref="CR808:CT809" si="1215">+CR797/CR820</f>
        <v>4.2787374755620728</v>
      </c>
      <c r="CS808" s="1604">
        <f t="shared" si="1215"/>
        <v>-3.9821698358805779</v>
      </c>
      <c r="CT808" s="1604">
        <f t="shared" si="1215"/>
        <v>-85.314923040434934</v>
      </c>
      <c r="CU808" s="1601"/>
      <c r="CV808" s="1604">
        <f t="shared" ref="CV808:CX808" si="1216">+CV797/CV820</f>
        <v>9.588926544275111</v>
      </c>
      <c r="CW808" s="1604">
        <f t="shared" si="1216"/>
        <v>3.6036289016092455</v>
      </c>
      <c r="CX808" s="1604">
        <f t="shared" si="1216"/>
        <v>5.1746334121002553</v>
      </c>
      <c r="CY808" s="1601"/>
      <c r="CZ808" s="1604">
        <f t="shared" ref="CZ808:DB808" si="1217">+CZ797/CZ820</f>
        <v>1.8537677619967505</v>
      </c>
      <c r="DA808" s="1604">
        <f t="shared" si="1217"/>
        <v>1.6099471001880306</v>
      </c>
      <c r="DB808" s="1604">
        <f t="shared" si="1217"/>
        <v>1.7230524911968743</v>
      </c>
      <c r="DC808" s="1601"/>
      <c r="DD808" s="1604">
        <f t="shared" ref="DD808:DF808" si="1218">+DD797/DD820</f>
        <v>1.5707185542830051</v>
      </c>
      <c r="DE808" s="1604">
        <f t="shared" si="1218"/>
        <v>4.6177369169470772</v>
      </c>
      <c r="DF808" s="1604">
        <f t="shared" si="1218"/>
        <v>2.3129902557076458</v>
      </c>
      <c r="DG808" s="1601"/>
      <c r="DH808" s="1604">
        <f t="shared" ref="DH808" si="1219">+DH797/DH820</f>
        <v>3.7902289218839176</v>
      </c>
      <c r="DI808" s="1604">
        <f t="shared" ref="DI808:DJ808" si="1220">+DI797/DI820</f>
        <v>1.8760118067894949</v>
      </c>
      <c r="DJ808" s="1604">
        <f t="shared" si="1220"/>
        <v>2.549256077185603</v>
      </c>
      <c r="DK808" s="1601"/>
      <c r="DL808" s="1604">
        <f t="shared" ref="DL808:DN808" si="1221">+DL797/DL820</f>
        <v>2.0007128876705429</v>
      </c>
      <c r="DM808" s="1604">
        <f t="shared" si="1221"/>
        <v>2.0888766726185621</v>
      </c>
      <c r="DN808" s="1604">
        <f t="shared" si="1221"/>
        <v>2.045379508425893</v>
      </c>
      <c r="DO808" s="1601"/>
      <c r="DP808" s="1604">
        <f t="shared" ref="DP808:DR808" si="1222">+DP797/DP820</f>
        <v>1.6404801797860584</v>
      </c>
      <c r="DQ808" s="1604">
        <f t="shared" si="1222"/>
        <v>1.7712777772507482</v>
      </c>
      <c r="DR808" s="1604">
        <f t="shared" si="1222"/>
        <v>1.7056481681225732</v>
      </c>
      <c r="DS808" s="1601"/>
      <c r="DT808" s="1601"/>
      <c r="DU808" s="1602"/>
      <c r="DV808" s="1602"/>
      <c r="DW808" s="1602"/>
      <c r="DX808" s="1601"/>
      <c r="DY808" s="1601"/>
      <c r="DZ808" s="1602"/>
      <c r="EA808" s="1602"/>
      <c r="EB808" s="1601"/>
      <c r="EC808" s="1601"/>
      <c r="ED808" s="1602"/>
      <c r="EE808" s="1602"/>
      <c r="EF808" s="1601"/>
      <c r="EG808" s="1601"/>
      <c r="EH808" s="1601"/>
      <c r="EI808" s="1601"/>
      <c r="EJ808" s="1601"/>
      <c r="EK808" s="1601"/>
      <c r="EL808" s="1601"/>
      <c r="EM808" s="1601"/>
      <c r="EN808" s="1601"/>
      <c r="EO808" s="1601"/>
      <c r="EP808" s="1601"/>
      <c r="JM808"/>
    </row>
    <row r="809" spans="1:273">
      <c r="A809" s="289" t="s">
        <v>696</v>
      </c>
      <c r="AR809" s="685"/>
      <c r="AS809" s="685"/>
      <c r="AT809" s="730"/>
      <c r="AU809" s="730"/>
      <c r="AV809" s="685"/>
      <c r="AW809" s="685"/>
      <c r="AX809" s="730"/>
      <c r="AY809" s="730"/>
      <c r="AZ809" s="685"/>
      <c r="BA809" s="876"/>
      <c r="BD809" s="711"/>
      <c r="BE809" s="885"/>
      <c r="BF809" s="711"/>
      <c r="BH809" s="685"/>
      <c r="BI809" s="876"/>
      <c r="BL809" s="876"/>
      <c r="BM809" s="876"/>
      <c r="BP809" s="876"/>
      <c r="BQ809" s="876"/>
      <c r="BT809" s="876"/>
      <c r="BU809" s="876"/>
      <c r="BX809" s="320">
        <f t="shared" si="1210"/>
        <v>0.27553264727263649</v>
      </c>
      <c r="BY809" s="320">
        <f t="shared" si="1210"/>
        <v>0.26170788278704515</v>
      </c>
      <c r="BZ809" s="320">
        <f t="shared" si="1210"/>
        <v>0.26868710764987663</v>
      </c>
      <c r="CB809" s="320">
        <f t="shared" si="1211"/>
        <v>0.2640999061232524</v>
      </c>
      <c r="CC809" s="320">
        <f t="shared" si="1211"/>
        <v>0.2625374964272727</v>
      </c>
      <c r="CD809" s="320">
        <f t="shared" si="1211"/>
        <v>0.26272425141972122</v>
      </c>
      <c r="CF809" s="320">
        <f t="shared" si="1212"/>
        <v>0.25337346015905188</v>
      </c>
      <c r="CG809" s="320">
        <f t="shared" si="1212"/>
        <v>0.23474206701369094</v>
      </c>
      <c r="CH809" s="320">
        <f t="shared" si="1212"/>
        <v>0.24330854261921039</v>
      </c>
      <c r="CJ809" s="320">
        <f t="shared" si="1213"/>
        <v>0.24505834852491848</v>
      </c>
      <c r="CK809" s="320">
        <f t="shared" si="1213"/>
        <v>0.25753665706620243</v>
      </c>
      <c r="CL809" s="320">
        <f t="shared" si="1213"/>
        <v>0.25117675404233897</v>
      </c>
      <c r="CN809" s="320">
        <f t="shared" si="1214"/>
        <v>0.29487203114223359</v>
      </c>
      <c r="CO809" s="320">
        <f t="shared" si="1214"/>
        <v>0.20704782223963888</v>
      </c>
      <c r="CP809" s="320">
        <f t="shared" si="1214"/>
        <v>0.24495597941187924</v>
      </c>
      <c r="CR809" s="320">
        <f t="shared" si="1215"/>
        <v>0.2194616090302339</v>
      </c>
      <c r="CS809" s="320">
        <f t="shared" si="1215"/>
        <v>0.18681575072050016</v>
      </c>
      <c r="CT809" s="320">
        <f t="shared" si="1215"/>
        <v>0.20151777877659052</v>
      </c>
      <c r="CV809" s="320">
        <f t="shared" ref="CV809:CX809" si="1223">+CV798/CV821</f>
        <v>0.22451586944564678</v>
      </c>
      <c r="CW809" s="320">
        <f t="shared" si="1223"/>
        <v>0.20203037660668902</v>
      </c>
      <c r="CX809" s="320">
        <f t="shared" si="1223"/>
        <v>0.21219679536820249</v>
      </c>
      <c r="CZ809" s="320">
        <f t="shared" ref="CZ809:DB809" si="1224">+CZ798/CZ821</f>
        <v>0.29176730755455227</v>
      </c>
      <c r="DA809" s="320">
        <f t="shared" si="1224"/>
        <v>0.25630855633283328</v>
      </c>
      <c r="DB809" s="320">
        <f t="shared" si="1224"/>
        <v>0.27292129841208657</v>
      </c>
      <c r="DD809" s="320">
        <f t="shared" ref="DD809:DF809" si="1225">+DD798/DD821</f>
        <v>0.27864222082538581</v>
      </c>
      <c r="DE809" s="320">
        <f t="shared" si="1225"/>
        <v>0.24229556243134845</v>
      </c>
      <c r="DF809" s="320">
        <f t="shared" si="1225"/>
        <v>0.25975813199605086</v>
      </c>
      <c r="DH809" s="320">
        <f t="shared" ref="DH809" si="1226">+DH798/DH821</f>
        <v>0.23000439879813767</v>
      </c>
      <c r="DI809" s="320">
        <f t="shared" ref="DI809:DJ809" si="1227">+DI798/DI821</f>
        <v>0.19877668936848025</v>
      </c>
      <c r="DJ809" s="320">
        <f t="shared" si="1227"/>
        <v>0.21312688316816436</v>
      </c>
      <c r="DL809" s="320">
        <f t="shared" ref="DL809:DN809" si="1228">+DL798/DL821</f>
        <v>0.21554642247471703</v>
      </c>
      <c r="DM809" s="320">
        <f t="shared" si="1228"/>
        <v>0.20455682964972854</v>
      </c>
      <c r="DN809" s="320">
        <f t="shared" si="1228"/>
        <v>0.20973118792879164</v>
      </c>
      <c r="DP809" s="320">
        <f t="shared" ref="DP809:DR809" si="1229">+DP798/DP821</f>
        <v>0.21186997026131202</v>
      </c>
      <c r="DQ809" s="320">
        <f t="shared" si="1229"/>
        <v>0.20200392923329352</v>
      </c>
      <c r="DR809" s="320">
        <f t="shared" si="1229"/>
        <v>0.2066555216356252</v>
      </c>
      <c r="DU809" s="876"/>
      <c r="DV809" s="876"/>
      <c r="DW809" s="876"/>
      <c r="DZ809" s="876"/>
      <c r="EA809" s="876"/>
      <c r="ED809" s="876"/>
      <c r="EE809" s="876"/>
    </row>
    <row r="810" spans="1:273">
      <c r="AR810" s="685"/>
      <c r="AS810" s="685"/>
      <c r="AT810" s="730"/>
      <c r="AU810" s="730"/>
      <c r="AV810" s="685"/>
      <c r="AW810" s="685"/>
      <c r="AX810" s="730"/>
      <c r="AY810" s="730"/>
      <c r="AZ810" s="685"/>
      <c r="BA810" s="876"/>
      <c r="BD810" s="711"/>
      <c r="BE810" s="885"/>
      <c r="BF810" s="711"/>
      <c r="BH810" s="685"/>
      <c r="BI810" s="876"/>
      <c r="BL810" s="876"/>
      <c r="BM810" s="876"/>
      <c r="BP810" s="876"/>
      <c r="BQ810" s="876"/>
      <c r="BT810" s="876"/>
      <c r="BU810" s="876"/>
      <c r="BX810" s="876"/>
      <c r="BY810" s="876"/>
      <c r="CB810" s="876"/>
      <c r="CC810" s="876"/>
      <c r="CF810" s="876"/>
      <c r="CG810" s="876"/>
      <c r="CJ810" s="876"/>
      <c r="CK810" s="876"/>
      <c r="CN810" s="876"/>
      <c r="CO810" s="876"/>
      <c r="CR810" s="876"/>
      <c r="CS810" s="876"/>
      <c r="CV810" s="876"/>
      <c r="CW810" s="876"/>
      <c r="CZ810" s="876"/>
      <c r="DA810" s="876"/>
      <c r="DD810" s="876"/>
      <c r="DE810" s="876"/>
      <c r="DH810" s="876"/>
      <c r="DI810" s="876"/>
      <c r="DL810" s="876"/>
      <c r="DM810" s="876"/>
      <c r="DP810" s="876"/>
      <c r="DQ810" s="876"/>
      <c r="DU810" s="876"/>
      <c r="DV810" s="876"/>
      <c r="DW810" s="876"/>
      <c r="DZ810" s="876"/>
      <c r="EA810" s="876"/>
      <c r="ED810" s="876"/>
      <c r="EE810" s="876"/>
    </row>
    <row r="811" spans="1:273" s="1700" customFormat="1">
      <c r="A811" s="1708" t="s">
        <v>1340</v>
      </c>
      <c r="B811" s="1701"/>
      <c r="AN811" s="1701"/>
      <c r="AO811" s="1701"/>
      <c r="AP811" s="1701"/>
      <c r="AQ811" s="1701"/>
      <c r="AR811" s="1702"/>
      <c r="AS811" s="1702"/>
      <c r="AT811" s="1703"/>
      <c r="AU811" s="1703"/>
      <c r="AV811" s="1702"/>
      <c r="AW811" s="1702"/>
      <c r="AX811" s="1703"/>
      <c r="AY811" s="1703"/>
      <c r="AZ811" s="1702"/>
      <c r="BA811" s="1704"/>
      <c r="BB811" s="1701"/>
      <c r="BC811" s="1701"/>
      <c r="BD811" s="1705"/>
      <c r="BE811" s="1706"/>
      <c r="BF811" s="1705"/>
      <c r="BG811" s="1701"/>
      <c r="BH811" s="1702"/>
      <c r="BI811" s="1704"/>
      <c r="BJ811" s="1701"/>
      <c r="BK811" s="1701"/>
      <c r="BL811" s="1704"/>
      <c r="BM811" s="1704"/>
      <c r="BN811" s="1701"/>
      <c r="BO811" s="1701"/>
      <c r="BP811" s="1704"/>
      <c r="BQ811" s="1704"/>
      <c r="BR811" s="1701"/>
      <c r="BS811" s="1701"/>
      <c r="BT811" s="1704"/>
      <c r="BU811" s="1704"/>
      <c r="BV811" s="1701"/>
      <c r="BW811" s="1701"/>
      <c r="BX811" s="1704"/>
      <c r="BY811" s="1704"/>
      <c r="BZ811" s="1701"/>
      <c r="CA811" s="1701"/>
      <c r="CB811" s="1704"/>
      <c r="CC811" s="1704"/>
      <c r="CD811" s="1701"/>
      <c r="CE811" s="1707"/>
      <c r="CF811" s="1704"/>
      <c r="CG811" s="1704"/>
      <c r="CH811" s="1701"/>
      <c r="CI811" s="1707"/>
      <c r="CJ811" s="1704"/>
      <c r="CK811" s="1704"/>
      <c r="CL811" s="1701"/>
      <c r="CM811" s="1707"/>
      <c r="CN811" s="1704"/>
      <c r="CO811" s="1704"/>
      <c r="CP811" s="1701"/>
      <c r="CQ811" s="1707"/>
      <c r="CR811" s="1704"/>
      <c r="CS811" s="1704"/>
      <c r="CT811" s="1701"/>
      <c r="CU811" s="1701"/>
      <c r="CV811" s="1704"/>
      <c r="CW811" s="1704"/>
      <c r="CX811" s="1701"/>
      <c r="CY811" s="1701"/>
      <c r="CZ811" s="1704"/>
      <c r="DA811" s="1704"/>
      <c r="DB811" s="1701"/>
      <c r="DC811" s="1701"/>
      <c r="DD811" s="1704"/>
      <c r="DE811" s="1704"/>
      <c r="DF811" s="1701"/>
      <c r="DG811" s="1701"/>
      <c r="DH811" s="1704"/>
      <c r="DI811" s="1704"/>
      <c r="DJ811" s="1701"/>
      <c r="DK811" s="1701"/>
      <c r="DL811" s="1704"/>
      <c r="DM811" s="1704"/>
      <c r="DN811" s="1701"/>
      <c r="DO811" s="1701"/>
      <c r="DP811" s="1704"/>
      <c r="DQ811" s="1704"/>
      <c r="DR811" s="1701"/>
      <c r="DS811" s="1701"/>
      <c r="DT811" s="1701"/>
      <c r="DU811" s="1704"/>
      <c r="DV811" s="1704"/>
      <c r="DW811" s="1704"/>
      <c r="DX811" s="1701"/>
      <c r="DY811" s="1701"/>
      <c r="DZ811" s="1704"/>
      <c r="EA811" s="1704"/>
      <c r="EB811" s="1701"/>
      <c r="EC811" s="1701"/>
      <c r="ED811" s="1704"/>
      <c r="EE811" s="1704"/>
      <c r="EF811" s="1701"/>
      <c r="EG811" s="1701"/>
      <c r="EH811" s="1701"/>
      <c r="EI811" s="1701"/>
      <c r="EJ811" s="1701"/>
      <c r="EK811" s="1701"/>
      <c r="EL811" s="1701"/>
      <c r="EM811" s="1701"/>
      <c r="EN811" s="1701"/>
      <c r="EO811" s="1701"/>
      <c r="EP811" s="1701"/>
      <c r="JM811"/>
    </row>
    <row r="812" spans="1:273">
      <c r="B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  <c r="AX812" s="102"/>
      <c r="AY812" s="102"/>
      <c r="AZ812" s="102"/>
      <c r="BA812" s="102"/>
      <c r="BB812" s="102"/>
      <c r="BC812" s="102"/>
      <c r="BD812" s="102"/>
      <c r="BE812" s="102"/>
      <c r="BF812" s="102"/>
      <c r="BG812" s="102"/>
      <c r="BH812" s="102"/>
      <c r="BI812" s="102"/>
      <c r="BJ812" s="102"/>
      <c r="BK812" s="102"/>
      <c r="BL812" s="102"/>
      <c r="BM812" s="102"/>
      <c r="BN812" s="102"/>
      <c r="BO812" s="102"/>
      <c r="BP812" s="102"/>
      <c r="BQ812" s="102"/>
      <c r="BR812" s="102"/>
      <c r="BS812" s="102"/>
      <c r="BT812" s="102"/>
      <c r="BU812" s="102"/>
      <c r="BV812" s="102"/>
      <c r="BW812" s="102"/>
      <c r="BX812" s="102"/>
      <c r="BY812" s="102"/>
      <c r="BZ812" s="102"/>
      <c r="CA812" s="102"/>
      <c r="CB812" s="102"/>
      <c r="CC812" s="102"/>
      <c r="CD812" s="102"/>
      <c r="CE812" s="102"/>
      <c r="CF812" s="102"/>
      <c r="CG812" s="102"/>
      <c r="CH812" s="102"/>
      <c r="CI812" s="102"/>
      <c r="CJ812" s="102"/>
      <c r="CK812" s="102"/>
      <c r="CL812" s="102"/>
      <c r="CM812" s="102"/>
      <c r="CN812" s="102"/>
      <c r="CO812" s="102"/>
      <c r="CP812" s="102"/>
      <c r="CQ812" s="102"/>
      <c r="CR812" s="102"/>
      <c r="CS812" s="102"/>
      <c r="CT812" s="102"/>
      <c r="CU812" s="102"/>
      <c r="CV812" s="102"/>
      <c r="CW812" s="102"/>
      <c r="CX812" s="102"/>
      <c r="CY812" s="102"/>
      <c r="CZ812" s="102"/>
      <c r="DA812" s="102"/>
      <c r="DB812" s="102"/>
      <c r="DC812" s="102"/>
      <c r="DD812" s="102"/>
      <c r="DE812" s="102"/>
      <c r="DF812" s="102"/>
      <c r="DG812" s="102"/>
      <c r="DH812" s="102"/>
      <c r="DI812" s="102"/>
      <c r="DJ812" s="102"/>
      <c r="DK812" s="102"/>
      <c r="DL812" s="102"/>
      <c r="DM812" s="102"/>
      <c r="DN812" s="102"/>
      <c r="DO812" s="102"/>
      <c r="DP812" s="102"/>
      <c r="DQ812" s="102"/>
      <c r="DR812" s="102"/>
      <c r="DS812" s="102"/>
      <c r="DT812" s="102"/>
      <c r="DU812" s="102"/>
      <c r="DV812" s="102"/>
      <c r="DW812" s="102"/>
      <c r="DX812" s="102"/>
      <c r="DY812" s="102"/>
      <c r="DZ812" s="102"/>
      <c r="EA812" s="102"/>
      <c r="EB812" s="102"/>
      <c r="EC812" s="102"/>
      <c r="ED812" s="102"/>
      <c r="EE812" s="102"/>
      <c r="EF812" s="102"/>
      <c r="EG812" s="102"/>
      <c r="EH812" s="102"/>
      <c r="EI812" s="102"/>
      <c r="EJ812" s="102"/>
      <c r="EK812" s="102"/>
      <c r="EL812" s="102"/>
      <c r="EM812" s="102"/>
      <c r="EN812" s="102"/>
      <c r="EO812" s="102"/>
      <c r="EP812" s="102"/>
    </row>
    <row r="813" spans="1:273">
      <c r="A813" s="1709" t="s">
        <v>1342</v>
      </c>
      <c r="AR813" s="685"/>
      <c r="AS813" s="685"/>
      <c r="AT813" s="730"/>
      <c r="AU813" s="730"/>
      <c r="AV813" s="685"/>
      <c r="AW813" s="685"/>
      <c r="AX813" s="730"/>
      <c r="AY813" s="730"/>
      <c r="AZ813" s="685"/>
      <c r="BA813" s="876"/>
      <c r="BD813" s="711"/>
      <c r="BE813" s="885"/>
      <c r="BF813" s="711"/>
      <c r="BH813" s="685"/>
      <c r="BI813" s="876"/>
      <c r="BL813" s="876"/>
      <c r="BM813" s="876"/>
      <c r="BP813" s="876"/>
      <c r="BQ813" s="876"/>
      <c r="BT813" s="876"/>
      <c r="BU813" s="876"/>
      <c r="BX813" s="876"/>
      <c r="BY813" s="876"/>
      <c r="CB813" s="876"/>
      <c r="CC813" s="876"/>
      <c r="CF813" s="876"/>
      <c r="CG813" s="876"/>
      <c r="CJ813" s="876"/>
      <c r="CK813" s="876"/>
      <c r="CN813" s="876"/>
      <c r="CO813" s="876"/>
      <c r="CR813" s="876"/>
      <c r="CS813" s="876"/>
      <c r="CV813" s="876"/>
      <c r="CW813" s="876"/>
      <c r="CZ813" s="876"/>
      <c r="DA813" s="876"/>
      <c r="DD813" s="876"/>
      <c r="DE813" s="876"/>
      <c r="DH813" s="876"/>
      <c r="DI813" s="876"/>
      <c r="DL813" s="876"/>
      <c r="DM813" s="876"/>
      <c r="DP813" s="876"/>
      <c r="DQ813" s="876"/>
      <c r="DU813" s="876"/>
      <c r="DV813" s="876"/>
      <c r="DW813" s="876"/>
      <c r="DZ813" s="876"/>
      <c r="EA813" s="876"/>
      <c r="ED813" s="876"/>
      <c r="EE813" s="876"/>
    </row>
    <row r="814" spans="1:273">
      <c r="A814" s="102" t="s">
        <v>686</v>
      </c>
      <c r="AR814" s="685"/>
      <c r="AS814" s="685"/>
      <c r="AT814" s="730"/>
      <c r="AU814" s="730"/>
      <c r="AV814" s="685"/>
      <c r="AW814" s="685"/>
      <c r="AX814" s="730"/>
      <c r="AY814" s="730"/>
      <c r="AZ814" s="685"/>
      <c r="BA814" s="876"/>
      <c r="BD814" s="711"/>
      <c r="BE814" s="885"/>
      <c r="BF814" s="711"/>
      <c r="BH814" s="685"/>
      <c r="BI814" s="876"/>
      <c r="BL814" s="876"/>
      <c r="BM814" s="876"/>
      <c r="BP814" s="876"/>
      <c r="BQ814" s="876"/>
      <c r="BT814" s="876"/>
      <c r="BU814" s="876"/>
      <c r="BX814" s="148">
        <f>DIVISIONS!BX120</f>
        <v>569</v>
      </c>
      <c r="BY814" s="148">
        <f>DIVISIONS!BY120</f>
        <v>637</v>
      </c>
      <c r="BZ814" s="147">
        <f>DIVISIONS!BZ120</f>
        <v>1206</v>
      </c>
      <c r="CA814" s="147"/>
      <c r="CB814" s="148">
        <f>DIVISIONS!CB120</f>
        <v>566</v>
      </c>
      <c r="CC814" s="148">
        <f>DIVISIONS!CC120</f>
        <v>894</v>
      </c>
      <c r="CD814" s="147">
        <f>DIVISIONS!CD120</f>
        <v>1460</v>
      </c>
      <c r="CE814" s="1690"/>
      <c r="CF814" s="147">
        <f>DIVISIONS!CF120</f>
        <v>1023</v>
      </c>
      <c r="CG814" s="147">
        <f>DIVISIONS!CG120</f>
        <v>1811</v>
      </c>
      <c r="CH814" s="147">
        <f>DIVISIONS!CH120</f>
        <v>2834</v>
      </c>
      <c r="CI814" s="1690"/>
      <c r="CJ814" s="147">
        <f>DIVISIONS!CJ120</f>
        <v>1133</v>
      </c>
      <c r="CK814" s="147">
        <f>DIVISIONS!CK120</f>
        <v>1378</v>
      </c>
      <c r="CL814" s="147">
        <f>DIVISIONS!CL120</f>
        <v>2511</v>
      </c>
      <c r="CM814" s="1690"/>
      <c r="CN814" s="147">
        <f>DIVISIONS!CN120</f>
        <v>614</v>
      </c>
      <c r="CO814" s="147">
        <f>DIVISIONS!CO120</f>
        <v>1634</v>
      </c>
      <c r="CP814" s="147">
        <f>DIVISIONS!CP120</f>
        <v>2248</v>
      </c>
      <c r="CQ814" s="1690"/>
      <c r="CR814" s="147">
        <f>DIVISIONS!CR120</f>
        <v>1370</v>
      </c>
      <c r="CS814" s="147">
        <f>DIVISIONS!CS120</f>
        <v>1670</v>
      </c>
      <c r="CT814" s="147">
        <f>DIVISIONS!CT120</f>
        <v>3040</v>
      </c>
      <c r="CV814" s="147">
        <f>DIVISIONS!CV120</f>
        <v>1287</v>
      </c>
      <c r="CW814" s="147">
        <f>DIVISIONS!CW120</f>
        <v>940</v>
      </c>
      <c r="CX814" s="147">
        <f>DIVISIONS!CX120</f>
        <v>2227</v>
      </c>
      <c r="CY814" s="293"/>
      <c r="CZ814" s="147">
        <f>DIVISIONS!CZ120</f>
        <v>1220</v>
      </c>
      <c r="DA814" s="147">
        <f>DIVISIONS!DA120</f>
        <v>1392</v>
      </c>
      <c r="DB814" s="147">
        <f>DIVISIONS!DB120</f>
        <v>2612</v>
      </c>
      <c r="DC814" s="293"/>
      <c r="DD814" s="147">
        <f>DIVISIONS!DD120</f>
        <v>1145</v>
      </c>
      <c r="DE814" s="147">
        <f>DIVISIONS!DE120</f>
        <v>1493</v>
      </c>
      <c r="DF814" s="147">
        <f>DIVISIONS!DF120</f>
        <v>2638</v>
      </c>
      <c r="DH814" s="147">
        <f>DIVISIONS!DH120</f>
        <v>1496</v>
      </c>
      <c r="DI814" s="293">
        <f>DIVISIONS!DI120</f>
        <v>1669.3800000000003</v>
      </c>
      <c r="DJ814" s="293">
        <f>DIVISIONS!DJ120</f>
        <v>3165.38</v>
      </c>
      <c r="DL814" s="293">
        <f>DIVISIONS!DL120</f>
        <v>1692.2164000000002</v>
      </c>
      <c r="DM814" s="293">
        <f>DIVISIONS!DM120</f>
        <v>1974.9172919999999</v>
      </c>
      <c r="DN814" s="293">
        <f>DIVISIONS!DN120</f>
        <v>3667.1336920000003</v>
      </c>
      <c r="DP814" s="293">
        <f>DIVISIONS!DP120</f>
        <v>1824.8318582600002</v>
      </c>
      <c r="DQ814" s="293">
        <f>DIVISIONS!DQ120</f>
        <v>2115.3755554577997</v>
      </c>
      <c r="DR814" s="293">
        <f>DIVISIONS!DR120</f>
        <v>3940.2074137177997</v>
      </c>
      <c r="DU814" s="876"/>
      <c r="DV814" s="876"/>
      <c r="DW814" s="876"/>
      <c r="DZ814" s="876"/>
      <c r="EA814" s="876"/>
      <c r="ED814" s="876"/>
      <c r="EE814" s="876"/>
    </row>
    <row r="815" spans="1:273">
      <c r="A815" s="102" t="s">
        <v>1306</v>
      </c>
      <c r="AR815" s="685"/>
      <c r="AS815" s="685"/>
      <c r="AT815" s="730"/>
      <c r="AU815" s="730"/>
      <c r="AV815" s="685"/>
      <c r="AW815" s="685"/>
      <c r="AX815" s="730"/>
      <c r="AY815" s="730"/>
      <c r="AZ815" s="685"/>
      <c r="BA815" s="876"/>
      <c r="BD815" s="711"/>
      <c r="BE815" s="885"/>
      <c r="BF815" s="711"/>
      <c r="BH815" s="685"/>
      <c r="BI815" s="876"/>
      <c r="BL815" s="876"/>
      <c r="BM815" s="876"/>
      <c r="BP815" s="876"/>
      <c r="BQ815" s="876"/>
      <c r="BT815" s="876"/>
      <c r="BU815" s="876"/>
      <c r="BX815" s="148">
        <f>+DIVISIONS!BX348</f>
        <v>1373</v>
      </c>
      <c r="BY815" s="148">
        <f>+DIVISIONS!BY348</f>
        <v>1223</v>
      </c>
      <c r="BZ815" s="147">
        <f>+DIVISIONS!BZ348</f>
        <v>2596</v>
      </c>
      <c r="CA815" s="147"/>
      <c r="CB815" s="148">
        <f>+DIVISIONS!CB348</f>
        <v>1623</v>
      </c>
      <c r="CC815" s="148">
        <f>+DIVISIONS!CC348</f>
        <v>939</v>
      </c>
      <c r="CD815" s="147">
        <f>+DIVISIONS!CD348</f>
        <v>2562</v>
      </c>
      <c r="CE815" s="1690"/>
      <c r="CF815" s="147">
        <f>+DIVISIONS!CF348</f>
        <v>1534</v>
      </c>
      <c r="CG815" s="147">
        <f>+DIVISIONS!CG348</f>
        <v>1793</v>
      </c>
      <c r="CH815" s="147">
        <f>+DIVISIONS!CH348</f>
        <v>3327</v>
      </c>
      <c r="CI815" s="1690"/>
      <c r="CJ815" s="147">
        <f>+DIVISIONS!CJ348</f>
        <v>1879</v>
      </c>
      <c r="CK815" s="147">
        <f>+DIVISIONS!CK348</f>
        <v>1853</v>
      </c>
      <c r="CL815" s="147">
        <f>+DIVISIONS!CL348</f>
        <v>3732</v>
      </c>
      <c r="CM815" s="1690"/>
      <c r="CN815" s="147">
        <f>+DIVISIONS!CN348</f>
        <v>1789</v>
      </c>
      <c r="CO815" s="147">
        <f>+DIVISIONS!CO348</f>
        <v>1765</v>
      </c>
      <c r="CP815" s="147">
        <f>+DIVISIONS!CP348</f>
        <v>3554</v>
      </c>
      <c r="CQ815" s="1690"/>
      <c r="CR815" s="147">
        <f>+DIVISIONS!CR348</f>
        <v>2374</v>
      </c>
      <c r="CS815" s="147">
        <f>+DIVISIONS!CS348</f>
        <v>3283</v>
      </c>
      <c r="CT815" s="147">
        <f>+DIVISIONS!CT348</f>
        <v>5657</v>
      </c>
      <c r="CV815" s="147">
        <f>+DIVISIONS!CV348</f>
        <v>2605</v>
      </c>
      <c r="CW815" s="147">
        <f>+DIVISIONS!CW348</f>
        <v>2346</v>
      </c>
      <c r="CX815" s="147">
        <f>+DIVISIONS!CX348</f>
        <v>4951</v>
      </c>
      <c r="CY815" s="293"/>
      <c r="CZ815" s="147">
        <f>+DIVISIONS!CZ348</f>
        <v>1693</v>
      </c>
      <c r="DA815" s="147">
        <f>+DIVISIONS!DA348</f>
        <v>2061</v>
      </c>
      <c r="DB815" s="147">
        <f>+DIVISIONS!DB348</f>
        <v>3754</v>
      </c>
      <c r="DC815" s="293"/>
      <c r="DD815" s="147">
        <f>+DIVISIONS!DD348</f>
        <v>2042</v>
      </c>
      <c r="DE815" s="147">
        <f>+DIVISIONS!DE348</f>
        <v>2548</v>
      </c>
      <c r="DF815" s="147">
        <f>+DIVISIONS!DF348</f>
        <v>4590</v>
      </c>
      <c r="DH815" s="147">
        <f>+DIVISIONS!DH348</f>
        <v>2387</v>
      </c>
      <c r="DI815" s="293">
        <f>+DIVISIONS!DI348</f>
        <v>2630.1050669774477</v>
      </c>
      <c r="DJ815" s="293">
        <f>+DIVISIONS!DJ348</f>
        <v>5017.1050669774477</v>
      </c>
      <c r="DL815" s="293">
        <f>+DIVISIONS!DL348</f>
        <v>2057.494778893888</v>
      </c>
      <c r="DM815" s="293">
        <f>+DIVISIONS!DM348</f>
        <v>2092.5987037541349</v>
      </c>
      <c r="DN815" s="293">
        <f>+DIVISIONS!DN348</f>
        <v>4150.0934826480225</v>
      </c>
      <c r="DP815" s="293">
        <f>+DIVISIONS!DP348</f>
        <v>2128.0055018132221</v>
      </c>
      <c r="DQ815" s="293">
        <f>+DIVISIONS!DQ348</f>
        <v>2183.5883264597328</v>
      </c>
      <c r="DR815" s="293">
        <f>+DIVISIONS!DR348</f>
        <v>4311.5938282729549</v>
      </c>
      <c r="DU815" s="876"/>
      <c r="DV815" s="876"/>
      <c r="DW815" s="876"/>
      <c r="DZ815" s="876"/>
      <c r="EA815" s="876"/>
      <c r="ED815" s="876"/>
      <c r="EE815" s="876"/>
    </row>
    <row r="816" spans="1:273">
      <c r="A816" s="102" t="s">
        <v>1024</v>
      </c>
      <c r="AR816" s="685"/>
      <c r="AS816" s="685"/>
      <c r="AT816" s="730"/>
      <c r="AU816" s="730"/>
      <c r="AV816" s="685"/>
      <c r="AW816" s="685"/>
      <c r="AX816" s="730"/>
      <c r="AY816" s="730"/>
      <c r="AZ816" s="685"/>
      <c r="BA816" s="876"/>
      <c r="BD816" s="711"/>
      <c r="BE816" s="885"/>
      <c r="BF816" s="711"/>
      <c r="BH816" s="685"/>
      <c r="BI816" s="876"/>
      <c r="BL816" s="876"/>
      <c r="BM816" s="876"/>
      <c r="BP816" s="876"/>
      <c r="BQ816" s="876"/>
      <c r="BT816" s="876"/>
      <c r="BU816" s="876"/>
      <c r="BX816" s="148">
        <f>+DIVISIONS!BX236</f>
        <v>1485</v>
      </c>
      <c r="BY816" s="148">
        <f>+DIVISIONS!BY236</f>
        <v>1463</v>
      </c>
      <c r="BZ816" s="147">
        <f>+DIVISIONS!BZ236</f>
        <v>2948</v>
      </c>
      <c r="CA816" s="147"/>
      <c r="CB816" s="148">
        <f>+DIVISIONS!CB236</f>
        <v>1321</v>
      </c>
      <c r="CC816" s="148">
        <f>+DIVISIONS!CC236</f>
        <v>1586</v>
      </c>
      <c r="CD816" s="147">
        <f>+DIVISIONS!CD236</f>
        <v>2907</v>
      </c>
      <c r="CE816" s="1690"/>
      <c r="CF816" s="147">
        <f>+DIVISIONS!CF236</f>
        <v>2151</v>
      </c>
      <c r="CG816" s="147">
        <f>+DIVISIONS!CG236</f>
        <v>2283</v>
      </c>
      <c r="CH816" s="147">
        <f>+DIVISIONS!CH236</f>
        <v>4434</v>
      </c>
      <c r="CI816" s="1690"/>
      <c r="CJ816" s="147">
        <f>+DIVISIONS!CJ236</f>
        <v>2158</v>
      </c>
      <c r="CK816" s="147">
        <f>+DIVISIONS!CK236</f>
        <v>1682</v>
      </c>
      <c r="CL816" s="147">
        <f>+DIVISIONS!CL236</f>
        <v>3840</v>
      </c>
      <c r="CM816" s="1690"/>
      <c r="CN816" s="147">
        <f>+DIVISIONS!CN236</f>
        <v>2130</v>
      </c>
      <c r="CO816" s="147">
        <f>+DIVISIONS!CO236</f>
        <v>2548</v>
      </c>
      <c r="CP816" s="147">
        <f>+DIVISIONS!CP236</f>
        <v>4678</v>
      </c>
      <c r="CQ816" s="1690"/>
      <c r="CR816" s="147">
        <f>+DIVISIONS!CR236</f>
        <v>2769</v>
      </c>
      <c r="CS816" s="147">
        <f>+DIVISIONS!CS236</f>
        <v>3410</v>
      </c>
      <c r="CT816" s="147">
        <f>+DIVISIONS!CT236</f>
        <v>6179</v>
      </c>
      <c r="CV816" s="147">
        <f>+DIVISIONS!CV236</f>
        <v>3239</v>
      </c>
      <c r="CW816" s="147">
        <f>+DIVISIONS!CW236</f>
        <v>5478</v>
      </c>
      <c r="CX816" s="147">
        <f>+DIVISIONS!CX236</f>
        <v>8717</v>
      </c>
      <c r="CY816" s="293"/>
      <c r="CZ816" s="147">
        <f>+DIVISIONS!CZ236</f>
        <v>2929</v>
      </c>
      <c r="DA816" s="147">
        <f>+DIVISIONS!DA236</f>
        <v>3393</v>
      </c>
      <c r="DB816" s="147">
        <f>+DIVISIONS!DB236</f>
        <v>6322</v>
      </c>
      <c r="DC816" s="293"/>
      <c r="DD816" s="147">
        <f>+DIVISIONS!DD236</f>
        <v>2894</v>
      </c>
      <c r="DE816" s="147">
        <f>+DIVISIONS!DE236</f>
        <v>3124</v>
      </c>
      <c r="DF816" s="147">
        <f>+DIVISIONS!DF236</f>
        <v>6018</v>
      </c>
      <c r="DH816" s="147">
        <f>+DIVISIONS!DH236</f>
        <v>2883</v>
      </c>
      <c r="DI816" s="293">
        <f>+DIVISIONS!DI236</f>
        <v>3595.9900000000002</v>
      </c>
      <c r="DJ816" s="293">
        <f>+DIVISIONS!DJ236</f>
        <v>6478.99</v>
      </c>
      <c r="DL816" s="293">
        <f>+DIVISIONS!DL236</f>
        <v>2960.7026999999998</v>
      </c>
      <c r="DM816" s="293">
        <f>+DIVISIONS!DM236</f>
        <v>3677.2332870000005</v>
      </c>
      <c r="DN816" s="293">
        <f>+DIVISIONS!DN236</f>
        <v>6637.9359870000008</v>
      </c>
      <c r="DP816" s="293">
        <f>+DIVISIONS!DP236</f>
        <v>3031.4428414099998</v>
      </c>
      <c r="DQ816" s="293">
        <f>+DIVISIONS!DQ236</f>
        <v>3772.3810729874999</v>
      </c>
      <c r="DR816" s="293">
        <f>+DIVISIONS!DR236</f>
        <v>6803.8239143974997</v>
      </c>
      <c r="DU816" s="876"/>
      <c r="DV816" s="876"/>
      <c r="DW816" s="876"/>
      <c r="DZ816" s="876"/>
      <c r="EA816" s="876"/>
      <c r="ED816" s="876"/>
      <c r="EE816" s="876"/>
    </row>
    <row r="817" spans="1:273">
      <c r="A817" s="102" t="s">
        <v>690</v>
      </c>
      <c r="AR817" s="685"/>
      <c r="AS817" s="685"/>
      <c r="AT817" s="730"/>
      <c r="AU817" s="730"/>
      <c r="AV817" s="685"/>
      <c r="AW817" s="685"/>
      <c r="AX817" s="730"/>
      <c r="AY817" s="730"/>
      <c r="AZ817" s="685"/>
      <c r="BA817" s="876"/>
      <c r="BD817" s="711"/>
      <c r="BE817" s="885"/>
      <c r="BF817" s="711"/>
      <c r="BH817" s="685"/>
      <c r="BI817" s="876"/>
      <c r="BL817" s="876"/>
      <c r="BM817" s="876"/>
      <c r="BP817" s="876"/>
      <c r="BQ817" s="876"/>
      <c r="BT817" s="876"/>
      <c r="BU817" s="876"/>
      <c r="BX817" s="148">
        <f>+DIVISIONS!BX475</f>
        <v>835</v>
      </c>
      <c r="BY817" s="148">
        <f>+DIVISIONS!BY475</f>
        <v>996</v>
      </c>
      <c r="BZ817" s="147">
        <f>+DIVISIONS!BZ475</f>
        <v>1831</v>
      </c>
      <c r="CA817" s="147"/>
      <c r="CB817" s="148">
        <f>+DIVISIONS!CB475</f>
        <v>862</v>
      </c>
      <c r="CC817" s="148">
        <f>+DIVISIONS!CC475</f>
        <v>908</v>
      </c>
      <c r="CD817" s="147">
        <f>+DIVISIONS!CD475</f>
        <v>1770</v>
      </c>
      <c r="CE817" s="1690"/>
      <c r="CF817" s="147"/>
      <c r="CG817" s="147"/>
      <c r="CH817" s="147"/>
      <c r="CI817" s="1690"/>
      <c r="CJ817" s="147"/>
      <c r="CK817" s="147"/>
      <c r="CL817" s="147"/>
      <c r="CM817" s="1690"/>
      <c r="CN817" s="147"/>
      <c r="CO817" s="147"/>
      <c r="CP817" s="147"/>
      <c r="CQ817" s="1690"/>
      <c r="CR817" s="147"/>
      <c r="CS817" s="147"/>
      <c r="CT817" s="147"/>
      <c r="CV817" s="147"/>
      <c r="CW817" s="147"/>
      <c r="CX817" s="147"/>
      <c r="CY817" s="293"/>
      <c r="CZ817" s="147"/>
      <c r="DA817" s="147"/>
      <c r="DB817" s="147"/>
      <c r="DC817" s="293"/>
      <c r="DD817" s="147"/>
      <c r="DE817" s="147"/>
      <c r="DF817" s="147"/>
      <c r="DH817" s="147"/>
      <c r="DI817" s="293"/>
      <c r="DJ817" s="293"/>
      <c r="DL817" s="293"/>
      <c r="DM817" s="293"/>
      <c r="DN817" s="293"/>
      <c r="DP817" s="293"/>
      <c r="DQ817" s="293"/>
      <c r="DR817" s="293"/>
      <c r="DU817" s="876"/>
      <c r="DV817" s="876"/>
      <c r="DW817" s="876"/>
      <c r="DZ817" s="876"/>
      <c r="EA817" s="876"/>
      <c r="ED817" s="876"/>
      <c r="EE817" s="876"/>
    </row>
    <row r="818" spans="1:273">
      <c r="A818" s="102" t="s">
        <v>689</v>
      </c>
      <c r="AR818" s="685"/>
      <c r="AS818" s="685"/>
      <c r="AT818" s="730"/>
      <c r="AU818" s="730"/>
      <c r="AV818" s="685"/>
      <c r="AW818" s="685"/>
      <c r="AX818" s="730"/>
      <c r="AY818" s="730"/>
      <c r="AZ818" s="685"/>
      <c r="BA818" s="876"/>
      <c r="BD818" s="711"/>
      <c r="BE818" s="885"/>
      <c r="BF818" s="711"/>
      <c r="BH818" s="685"/>
      <c r="BI818" s="876"/>
      <c r="BL818" s="876"/>
      <c r="BM818" s="876"/>
      <c r="BP818" s="876"/>
      <c r="BQ818" s="876"/>
      <c r="BT818" s="876"/>
      <c r="BU818" s="876"/>
      <c r="BX818" s="148">
        <f>+DIVISIONS!BX550</f>
        <v>879</v>
      </c>
      <c r="BY818" s="148">
        <f>+DIVISIONS!BY550</f>
        <v>769</v>
      </c>
      <c r="BZ818" s="147">
        <f>+DIVISIONS!BZ550</f>
        <v>1648</v>
      </c>
      <c r="CA818" s="147"/>
      <c r="CB818" s="148">
        <f>+DIVISIONS!CB550</f>
        <v>1014</v>
      </c>
      <c r="CC818" s="148">
        <f>+DIVISIONS!CC550</f>
        <v>1012</v>
      </c>
      <c r="CD818" s="147">
        <f>+DIVISIONS!CD550</f>
        <v>2026</v>
      </c>
      <c r="CE818" s="1690"/>
      <c r="CF818" s="147">
        <f>+DIVISIONS!CF550</f>
        <v>1051</v>
      </c>
      <c r="CG818" s="147">
        <f>+DIVISIONS!CG550</f>
        <v>1052</v>
      </c>
      <c r="CH818" s="147">
        <f>+DIVISIONS!CH550</f>
        <v>2103</v>
      </c>
      <c r="CI818" s="1690"/>
      <c r="CJ818" s="147">
        <f>+DIVISIONS!CJ550</f>
        <v>1021</v>
      </c>
      <c r="CK818" s="147">
        <f>+DIVISIONS!CK550</f>
        <v>1016</v>
      </c>
      <c r="CL818" s="147">
        <f>+DIVISIONS!CL550</f>
        <v>2037</v>
      </c>
      <c r="CM818" s="1690"/>
      <c r="CN818" s="147">
        <f>+DIVISIONS!CN550</f>
        <v>985</v>
      </c>
      <c r="CO818" s="147">
        <f>+DIVISIONS!CO550</f>
        <v>1093</v>
      </c>
      <c r="CP818" s="147">
        <f>+DIVISIONS!CP550</f>
        <v>2078</v>
      </c>
      <c r="CQ818" s="1690"/>
      <c r="CR818" s="147">
        <f>+DIVISIONS!CR550</f>
        <v>1163</v>
      </c>
      <c r="CS818" s="147">
        <f>+DIVISIONS!CS550</f>
        <v>1298</v>
      </c>
      <c r="CT818" s="147">
        <f>+DIVISIONS!CT550</f>
        <v>2461</v>
      </c>
      <c r="CV818" s="147">
        <f>+DIVISIONS!CV550</f>
        <v>1423</v>
      </c>
      <c r="CW818" s="147">
        <f>+DIVISIONS!CW550</f>
        <v>1537</v>
      </c>
      <c r="CX818" s="147">
        <f>+DIVISIONS!CX550</f>
        <v>2960</v>
      </c>
      <c r="CY818" s="293"/>
      <c r="CZ818" s="147">
        <f>+DIVISIONS!CZ550</f>
        <v>1609</v>
      </c>
      <c r="DA818" s="147">
        <f>+DIVISIONS!DA550</f>
        <v>1600</v>
      </c>
      <c r="DB818" s="147">
        <f>+DIVISIONS!DB550</f>
        <v>3209</v>
      </c>
      <c r="DC818" s="293"/>
      <c r="DD818" s="147">
        <f>+DIVISIONS!DD550</f>
        <v>1586</v>
      </c>
      <c r="DE818" s="147">
        <f>+DIVISIONS!DE550</f>
        <v>1651</v>
      </c>
      <c r="DF818" s="147">
        <f>+DIVISIONS!DF550</f>
        <v>3237</v>
      </c>
      <c r="DH818" s="147">
        <f>+DIVISIONS!DH550</f>
        <v>1758</v>
      </c>
      <c r="DI818" s="293">
        <f>+DIVISIONS!DI550</f>
        <v>1768.3662328900316</v>
      </c>
      <c r="DJ818" s="293">
        <f>+DIVISIONS!DJ550</f>
        <v>3526.3662328900318</v>
      </c>
      <c r="DL818" s="293">
        <f>+DIVISIONS!DL550</f>
        <v>1927.447248242248</v>
      </c>
      <c r="DM818" s="293">
        <f>+DIVISIONS!DM550</f>
        <v>1989.378307897023</v>
      </c>
      <c r="DN818" s="293">
        <f>+DIVISIONS!DN550</f>
        <v>3916.8255561392707</v>
      </c>
      <c r="DP818" s="293">
        <f>+DIVISIONS!DP550</f>
        <v>2085.8720412162788</v>
      </c>
      <c r="DQ818" s="293">
        <f>+DIVISIONS!DQ550</f>
        <v>2140.1327583612151</v>
      </c>
      <c r="DR818" s="293">
        <f>+DIVISIONS!DR550</f>
        <v>4226.0047995774939</v>
      </c>
      <c r="DU818" s="876"/>
      <c r="DV818" s="876"/>
      <c r="DW818" s="876"/>
      <c r="DZ818" s="876"/>
      <c r="EA818" s="876"/>
      <c r="ED818" s="876"/>
      <c r="EE818" s="876"/>
    </row>
    <row r="819" spans="1:273">
      <c r="A819" s="102" t="s">
        <v>688</v>
      </c>
      <c r="AR819" s="685"/>
      <c r="AS819" s="685"/>
      <c r="AT819" s="730"/>
      <c r="AU819" s="730"/>
      <c r="AV819" s="685"/>
      <c r="AW819" s="685"/>
      <c r="AX819" s="730"/>
      <c r="AY819" s="730"/>
      <c r="AZ819" s="685"/>
      <c r="BA819" s="876"/>
      <c r="BD819" s="711"/>
      <c r="BE819" s="885"/>
      <c r="BF819" s="711"/>
      <c r="BH819" s="685"/>
      <c r="BI819" s="876"/>
      <c r="BL819" s="876"/>
      <c r="BM819" s="876"/>
      <c r="BP819" s="876"/>
      <c r="BQ819" s="876"/>
      <c r="BT819" s="876"/>
      <c r="BU819" s="876"/>
      <c r="BX819" s="148"/>
      <c r="BY819" s="148"/>
      <c r="BZ819" s="147"/>
      <c r="CA819" s="147"/>
      <c r="CB819" s="148"/>
      <c r="CC819" s="148"/>
      <c r="CD819" s="147"/>
      <c r="CE819" s="1690"/>
      <c r="CF819" s="147"/>
      <c r="CG819" s="147"/>
      <c r="CH819" s="147"/>
      <c r="CI819" s="1690"/>
      <c r="CJ819" s="147"/>
      <c r="CK819" s="147"/>
      <c r="CL819" s="147"/>
      <c r="CM819" s="1690"/>
      <c r="CN819" s="147"/>
      <c r="CO819" s="147"/>
      <c r="CP819" s="147"/>
      <c r="CQ819" s="1690"/>
      <c r="CR819" s="147"/>
      <c r="CS819" s="147"/>
      <c r="CT819" s="147"/>
      <c r="CV819" s="147"/>
      <c r="CW819" s="147"/>
      <c r="CX819" s="147"/>
      <c r="CY819" s="293"/>
      <c r="CZ819" s="147"/>
      <c r="DA819" s="147"/>
      <c r="DB819" s="147"/>
      <c r="DC819" s="293"/>
      <c r="DD819" s="147"/>
      <c r="DE819" s="147"/>
      <c r="DF819" s="147"/>
      <c r="DH819" s="147"/>
      <c r="DI819" s="293"/>
      <c r="DJ819" s="293"/>
      <c r="DL819" s="293"/>
      <c r="DM819" s="293"/>
      <c r="DN819" s="293"/>
      <c r="DP819" s="293"/>
      <c r="DQ819" s="293"/>
      <c r="DR819" s="293"/>
      <c r="DU819" s="876"/>
      <c r="DV819" s="876"/>
      <c r="DW819" s="876"/>
      <c r="DZ819" s="876"/>
      <c r="EA819" s="876"/>
      <c r="ED819" s="876"/>
      <c r="EE819" s="876"/>
    </row>
    <row r="820" spans="1:273">
      <c r="A820" s="102" t="s">
        <v>691</v>
      </c>
      <c r="AR820" s="685"/>
      <c r="AS820" s="685"/>
      <c r="AT820" s="730"/>
      <c r="AU820" s="730"/>
      <c r="AV820" s="685"/>
      <c r="AW820" s="685"/>
      <c r="AX820" s="730"/>
      <c r="AY820" s="730"/>
      <c r="AZ820" s="685"/>
      <c r="BA820" s="876"/>
      <c r="BD820" s="711"/>
      <c r="BE820" s="885"/>
      <c r="BF820" s="711"/>
      <c r="BH820" s="685"/>
      <c r="BI820" s="876"/>
      <c r="BL820" s="876"/>
      <c r="BM820" s="876"/>
      <c r="BP820" s="876"/>
      <c r="BQ820" s="876"/>
      <c r="BT820" s="876"/>
      <c r="BU820" s="876"/>
      <c r="BX820" s="148">
        <f>+DIVISIONS!BX716</f>
        <v>77</v>
      </c>
      <c r="BY820" s="148">
        <f>+DIVISIONS!BY716</f>
        <v>58</v>
      </c>
      <c r="BZ820" s="147">
        <f>+DIVISIONS!BZ716</f>
        <v>135</v>
      </c>
      <c r="CA820" s="147"/>
      <c r="CB820" s="148">
        <f>+DIVISIONS!CB716</f>
        <v>11</v>
      </c>
      <c r="CC820" s="148">
        <f>+DIVISIONS!CC716</f>
        <v>184</v>
      </c>
      <c r="CD820" s="147">
        <f>+DIVISIONS!CD716</f>
        <v>195</v>
      </c>
      <c r="CE820" s="1690"/>
      <c r="CF820" s="147">
        <f>+DIVISIONS!CF716</f>
        <v>71</v>
      </c>
      <c r="CG820" s="147">
        <f>+DIVISIONS!CG716</f>
        <v>-15</v>
      </c>
      <c r="CH820" s="147">
        <f>+DIVISIONS!CH716</f>
        <v>56</v>
      </c>
      <c r="CI820" s="1690"/>
      <c r="CJ820" s="147">
        <f>+DIVISIONS!CJ716</f>
        <v>129</v>
      </c>
      <c r="CK820" s="147">
        <f>+DIVISIONS!CK716</f>
        <v>76</v>
      </c>
      <c r="CL820" s="147">
        <f>+DIVISIONS!CL716</f>
        <v>205</v>
      </c>
      <c r="CM820" s="1690"/>
      <c r="CN820" s="147">
        <f>+DIVISIONS!CN716</f>
        <v>1</v>
      </c>
      <c r="CO820" s="147">
        <f>+DIVISIONS!CO716</f>
        <v>215</v>
      </c>
      <c r="CP820" s="147">
        <f>+DIVISIONS!CP716</f>
        <v>216</v>
      </c>
      <c r="CQ820" s="1690"/>
      <c r="CR820" s="147">
        <f>+DIVISIONS!CR716</f>
        <v>128</v>
      </c>
      <c r="CS820" s="147">
        <f>+DIVISIONS!CS716</f>
        <v>-141</v>
      </c>
      <c r="CT820" s="147">
        <f>+DIVISIONS!CT716</f>
        <v>-13</v>
      </c>
      <c r="CV820" s="147">
        <f>+DIVISIONS!CV716</f>
        <v>70</v>
      </c>
      <c r="CW820" s="147">
        <f>+DIVISIONS!CW716</f>
        <v>197</v>
      </c>
      <c r="CX820" s="147">
        <f>+DIVISIONS!CX716</f>
        <v>267</v>
      </c>
      <c r="CY820" s="293"/>
      <c r="CZ820" s="147">
        <f>+DIVISIONS!CZ716</f>
        <v>459</v>
      </c>
      <c r="DA820" s="147">
        <f>+DIVISIONS!DA716</f>
        <v>531</v>
      </c>
      <c r="DB820" s="147">
        <f>+DIVISIONS!DB716</f>
        <v>990</v>
      </c>
      <c r="DC820" s="293"/>
      <c r="DD820" s="147">
        <f>+DIVISIONS!DD716</f>
        <v>549</v>
      </c>
      <c r="DE820" s="147">
        <f>+DIVISIONS!DE716</f>
        <v>176</v>
      </c>
      <c r="DF820" s="147">
        <f>+DIVISIONS!DF716</f>
        <v>725</v>
      </c>
      <c r="DH820" s="147">
        <f>+DIVISIONS!DH716</f>
        <v>167</v>
      </c>
      <c r="DI820" s="293">
        <f>+DIVISIONS!DI716</f>
        <v>302.38240000000002</v>
      </c>
      <c r="DJ820" s="293">
        <f>+DIVISIONS!DJ716</f>
        <v>469.38240000000002</v>
      </c>
      <c r="DL820" s="293">
        <f>+DIVISIONS!DL716</f>
        <v>272.39199999999994</v>
      </c>
      <c r="DM820" s="293">
        <f>+DIVISIONS!DM716</f>
        <v>279.71547999999996</v>
      </c>
      <c r="DN820" s="293">
        <f>+DIVISIONS!DN716</f>
        <v>552.1074799999999</v>
      </c>
      <c r="DP820" s="293">
        <f>+DIVISIONS!DP716</f>
        <v>342.17269880000003</v>
      </c>
      <c r="DQ820" s="293">
        <f>+DIVISIONS!DQ716</f>
        <v>339.76594925199998</v>
      </c>
      <c r="DR820" s="293">
        <f>+DIVISIONS!DR716</f>
        <v>681.93864805199996</v>
      </c>
      <c r="DU820" s="876"/>
      <c r="DV820" s="876"/>
      <c r="DW820" s="876"/>
      <c r="DZ820" s="876"/>
      <c r="EA820" s="876"/>
      <c r="ED820" s="876"/>
      <c r="EE820" s="876"/>
    </row>
    <row r="821" spans="1:273">
      <c r="A821" s="289" t="s">
        <v>696</v>
      </c>
      <c r="AR821" s="685"/>
      <c r="AS821" s="685"/>
      <c r="AT821" s="730"/>
      <c r="AU821" s="730"/>
      <c r="AV821" s="685"/>
      <c r="AW821" s="685"/>
      <c r="AX821" s="730"/>
      <c r="AY821" s="730"/>
      <c r="AZ821" s="685"/>
      <c r="BA821" s="876"/>
      <c r="BD821" s="711"/>
      <c r="BE821" s="885"/>
      <c r="BF821" s="711"/>
      <c r="BH821" s="685"/>
      <c r="BI821" s="876"/>
      <c r="BL821" s="876"/>
      <c r="BM821" s="876"/>
      <c r="BP821" s="876"/>
      <c r="BQ821" s="876"/>
      <c r="BT821" s="876"/>
      <c r="BU821" s="876"/>
      <c r="BX821" s="147">
        <f t="shared" ref="BX821" si="1230">SUM(BX814:BX820)</f>
        <v>5218</v>
      </c>
      <c r="BY821" s="147">
        <f t="shared" ref="BY821" si="1231">SUM(BY814:BY820)</f>
        <v>5146</v>
      </c>
      <c r="BZ821" s="147">
        <f t="shared" ref="BZ821" si="1232">SUM(BZ814:BZ820)</f>
        <v>10364</v>
      </c>
      <c r="CA821" s="148"/>
      <c r="CB821" s="147">
        <f t="shared" ref="CB821" si="1233">SUM(CB814:CB820)</f>
        <v>5397</v>
      </c>
      <c r="CC821" s="147">
        <f t="shared" ref="CC821" si="1234">SUM(CC814:CC820)</f>
        <v>5523</v>
      </c>
      <c r="CD821" s="147">
        <f t="shared" ref="CD821" si="1235">SUM(CD814:CD820)</f>
        <v>10920</v>
      </c>
      <c r="CE821" s="1691"/>
      <c r="CF821" s="147">
        <f t="shared" ref="CF821" si="1236">SUM(CF814:CF820)</f>
        <v>5830</v>
      </c>
      <c r="CG821" s="147">
        <f t="shared" ref="CG821" si="1237">SUM(CG814:CG820)</f>
        <v>6924</v>
      </c>
      <c r="CH821" s="147">
        <f t="shared" ref="CH821" si="1238">SUM(CH814:CH820)</f>
        <v>12754</v>
      </c>
      <c r="CI821" s="1691"/>
      <c r="CJ821" s="147">
        <f t="shared" ref="CJ821" si="1239">SUM(CJ814:CJ820)</f>
        <v>6320</v>
      </c>
      <c r="CK821" s="147">
        <f t="shared" ref="CK821" si="1240">SUM(CK814:CK820)</f>
        <v>6005</v>
      </c>
      <c r="CL821" s="147">
        <f t="shared" ref="CL821" si="1241">SUM(CL814:CL820)</f>
        <v>12325</v>
      </c>
      <c r="CM821" s="1691"/>
      <c r="CN821" s="147">
        <f t="shared" ref="CN821" si="1242">SUM(CN814:CN820)</f>
        <v>5519</v>
      </c>
      <c r="CO821" s="147">
        <f t="shared" ref="CO821" si="1243">SUM(CO814:CO820)</f>
        <v>7255</v>
      </c>
      <c r="CP821" s="147">
        <f t="shared" ref="CP821" si="1244">SUM(CP814:CP820)</f>
        <v>12774</v>
      </c>
      <c r="CQ821" s="1691"/>
      <c r="CR821" s="147">
        <f>SUM(CR814:CR820)</f>
        <v>7804</v>
      </c>
      <c r="CS821" s="147">
        <f t="shared" ref="CS821" si="1245">SUM(CS814:CS820)</f>
        <v>9520</v>
      </c>
      <c r="CT821" s="147">
        <f t="shared" ref="CT821" si="1246">SUM(CT814:CT820)</f>
        <v>17324</v>
      </c>
      <c r="CV821" s="147">
        <f>SUM(CV814:CV820)</f>
        <v>8624</v>
      </c>
      <c r="CW821" s="147">
        <f t="shared" ref="CW821:CX821" si="1247">SUM(CW814:CW820)</f>
        <v>10498</v>
      </c>
      <c r="CX821" s="147">
        <f t="shared" si="1247"/>
        <v>19122</v>
      </c>
      <c r="CZ821" s="147">
        <f>SUM(CZ814:CZ820)</f>
        <v>7910</v>
      </c>
      <c r="DA821" s="147">
        <f t="shared" ref="DA821:DB821" si="1248">SUM(DA814:DA820)</f>
        <v>8977</v>
      </c>
      <c r="DB821" s="147">
        <f t="shared" si="1248"/>
        <v>16887</v>
      </c>
      <c r="DD821" s="147">
        <f>SUM(DD814:DD820)</f>
        <v>8216</v>
      </c>
      <c r="DE821" s="147">
        <f t="shared" ref="DE821:DF821" si="1249">SUM(DE814:DE820)</f>
        <v>8992</v>
      </c>
      <c r="DF821" s="147">
        <f t="shared" si="1249"/>
        <v>17208</v>
      </c>
      <c r="DH821" s="147">
        <f>SUM(DH814:DH820)</f>
        <v>8691</v>
      </c>
      <c r="DI821" s="715">
        <f t="shared" ref="DI821:DJ821" si="1250">SUM(DI814:DI820)</f>
        <v>9966.2236998674798</v>
      </c>
      <c r="DJ821" s="715">
        <f t="shared" si="1250"/>
        <v>18657.223699867478</v>
      </c>
      <c r="DL821" s="715">
        <f t="shared" ref="DL821:DN821" si="1251">SUM(DL814:DL820)</f>
        <v>8910.2531271361368</v>
      </c>
      <c r="DM821" s="715">
        <f t="shared" si="1251"/>
        <v>10013.843070651159</v>
      </c>
      <c r="DN821" s="715">
        <f t="shared" si="1251"/>
        <v>18924.096197787294</v>
      </c>
      <c r="DP821" s="715">
        <f t="shared" ref="DP821:DR821" si="1252">SUM(DP814:DP820)</f>
        <v>9412.3249414995007</v>
      </c>
      <c r="DQ821" s="715">
        <f t="shared" si="1252"/>
        <v>10551.243662518247</v>
      </c>
      <c r="DR821" s="715">
        <f t="shared" si="1252"/>
        <v>19963.56860401775</v>
      </c>
      <c r="DU821" s="876"/>
      <c r="DV821" s="876"/>
      <c r="DW821" s="876"/>
      <c r="DZ821" s="876"/>
      <c r="EA821" s="876"/>
      <c r="ED821" s="876"/>
      <c r="EE821" s="876"/>
    </row>
    <row r="822" spans="1:273">
      <c r="A822" s="1589" t="s">
        <v>580</v>
      </c>
      <c r="B822" s="1590"/>
      <c r="C822" s="1589"/>
      <c r="D822" s="1589"/>
      <c r="E822" s="1589"/>
      <c r="F822" s="1589"/>
      <c r="G822" s="1589"/>
      <c r="H822" s="1589"/>
      <c r="I822" s="1589"/>
      <c r="J822" s="1589"/>
      <c r="K822" s="1589"/>
      <c r="L822" s="1589"/>
      <c r="M822" s="1589"/>
      <c r="N822" s="1589"/>
      <c r="O822" s="1589"/>
      <c r="P822" s="1589"/>
      <c r="Q822" s="1589"/>
      <c r="R822" s="1589"/>
      <c r="S822" s="1589"/>
      <c r="T822" s="1589"/>
      <c r="U822" s="1589"/>
      <c r="V822" s="1589"/>
      <c r="W822" s="1589"/>
      <c r="X822" s="1589"/>
      <c r="Y822" s="1589"/>
      <c r="Z822" s="1589"/>
      <c r="AA822" s="1589"/>
      <c r="AB822" s="1589"/>
      <c r="AC822" s="1589"/>
      <c r="AD822" s="1589"/>
      <c r="AE822" s="1589"/>
      <c r="AF822" s="1589"/>
      <c r="AG822" s="1589"/>
      <c r="AH822" s="1589"/>
      <c r="AI822" s="1589"/>
      <c r="AJ822" s="1589"/>
      <c r="AK822" s="1589"/>
      <c r="AL822" s="1589"/>
      <c r="AM822" s="1589"/>
      <c r="AN822" s="1590"/>
      <c r="AO822" s="1590"/>
      <c r="AP822" s="1590"/>
      <c r="AQ822" s="1590"/>
      <c r="AR822" s="1591"/>
      <c r="AS822" s="1591"/>
      <c r="AT822" s="1592"/>
      <c r="AU822" s="1592"/>
      <c r="AV822" s="1591"/>
      <c r="AW822" s="1591"/>
      <c r="AX822" s="1592"/>
      <c r="AY822" s="1592"/>
      <c r="AZ822" s="1591"/>
      <c r="BA822" s="1593"/>
      <c r="BB822" s="1590"/>
      <c r="BC822" s="1590"/>
      <c r="BD822" s="1594"/>
      <c r="BE822" s="1595"/>
      <c r="BF822" s="1594"/>
      <c r="BG822" s="1590"/>
      <c r="BH822" s="1591"/>
      <c r="BI822" s="1593"/>
      <c r="BJ822" s="1590"/>
      <c r="BK822" s="1590"/>
      <c r="BL822" s="1593"/>
      <c r="BM822" s="1593"/>
      <c r="BN822" s="1590"/>
      <c r="BO822" s="1590"/>
      <c r="BP822" s="1593"/>
      <c r="BQ822" s="1593"/>
      <c r="BR822" s="1590"/>
      <c r="BS822" s="1590"/>
      <c r="BT822" s="1593"/>
      <c r="BU822" s="1593"/>
      <c r="BV822" s="1590"/>
      <c r="BW822" s="1590"/>
      <c r="BX822" s="1596">
        <f>+BX821-BX20</f>
        <v>0</v>
      </c>
      <c r="BY822" s="1596">
        <f>+BY821-BY20</f>
        <v>0</v>
      </c>
      <c r="BZ822" s="1686">
        <f>+BZ821-BZ20</f>
        <v>0</v>
      </c>
      <c r="CA822" s="1687"/>
      <c r="CB822" s="1686">
        <f>+CB821-CB20</f>
        <v>0</v>
      </c>
      <c r="CC822" s="1686">
        <f>+CC821-CC20</f>
        <v>0</v>
      </c>
      <c r="CD822" s="1686">
        <f>+CD821-CD20</f>
        <v>0</v>
      </c>
      <c r="CE822" s="1688"/>
      <c r="CF822" s="1686">
        <f>+CF821-CF20</f>
        <v>0</v>
      </c>
      <c r="CG822" s="1686">
        <f>+CG821-CG20</f>
        <v>0</v>
      </c>
      <c r="CH822" s="1686">
        <f>+CH821-CH20</f>
        <v>0</v>
      </c>
      <c r="CI822" s="1688"/>
      <c r="CJ822" s="1686">
        <f>+CJ821-CJ20</f>
        <v>0</v>
      </c>
      <c r="CK822" s="1686">
        <f>+CK821-CK20</f>
        <v>0</v>
      </c>
      <c r="CL822" s="1686">
        <f>+CL821-CL20</f>
        <v>0</v>
      </c>
      <c r="CM822" s="1688"/>
      <c r="CN822" s="1686">
        <f>+CN821-CN20</f>
        <v>0</v>
      </c>
      <c r="CO822" s="1686">
        <f>+CO821-CO20</f>
        <v>0</v>
      </c>
      <c r="CP822" s="1686">
        <f>+CP821-CP20</f>
        <v>0</v>
      </c>
      <c r="CQ822" s="1688"/>
      <c r="CR822" s="1686">
        <f>+CR821-CR20</f>
        <v>0</v>
      </c>
      <c r="CS822" s="1686">
        <f>+CS821-CS20</f>
        <v>0</v>
      </c>
      <c r="CT822" s="1686">
        <f>+CT821-CT20</f>
        <v>0</v>
      </c>
      <c r="CU822" s="1687"/>
      <c r="CV822" s="1686">
        <f>+CV821-CV20</f>
        <v>-78</v>
      </c>
      <c r="CW822" s="1686">
        <f>+CW821-CW20</f>
        <v>78</v>
      </c>
      <c r="CX822" s="1686">
        <f>+CX821-CX20</f>
        <v>0</v>
      </c>
      <c r="CY822" s="1687"/>
      <c r="CZ822" s="1686">
        <f>+CZ821-CZ20</f>
        <v>0</v>
      </c>
      <c r="DA822" s="1686">
        <f>+DA821-DA20</f>
        <v>0</v>
      </c>
      <c r="DB822" s="1686">
        <f>+DB821-DB20</f>
        <v>0</v>
      </c>
      <c r="DC822" s="1687"/>
      <c r="DD822" s="1686">
        <f>+DD821-DD20</f>
        <v>0</v>
      </c>
      <c r="DE822" s="1686">
        <f ca="1">+DE821-DE20</f>
        <v>0</v>
      </c>
      <c r="DF822" s="1686">
        <f ca="1">+DF821-DF20</f>
        <v>0</v>
      </c>
      <c r="DG822" s="1687"/>
      <c r="DH822" s="1686">
        <f>+DH821-DH20</f>
        <v>0</v>
      </c>
      <c r="DI822" s="1686">
        <f>+DI821-DI20</f>
        <v>0</v>
      </c>
      <c r="DJ822" s="1686">
        <f>+DJ821-DJ20</f>
        <v>0</v>
      </c>
      <c r="DK822" s="1687"/>
      <c r="DL822" s="1686">
        <f>+DL821-DL20</f>
        <v>0</v>
      </c>
      <c r="DM822" s="1686">
        <f>+DM821-DM20</f>
        <v>0</v>
      </c>
      <c r="DN822" s="1686">
        <f>+DN821-DN20</f>
        <v>0</v>
      </c>
      <c r="DP822" s="1686">
        <f>+DP821-DP20</f>
        <v>0</v>
      </c>
      <c r="DQ822" s="1686">
        <f>+DQ821-DQ20</f>
        <v>0</v>
      </c>
      <c r="DR822" s="1686">
        <f>+DR821-DR20</f>
        <v>0</v>
      </c>
      <c r="DU822" s="876"/>
      <c r="DV822" s="876"/>
      <c r="DW822" s="876"/>
      <c r="DZ822" s="876"/>
      <c r="EA822" s="876"/>
      <c r="ED822" s="876"/>
      <c r="EE822" s="876"/>
    </row>
    <row r="823" spans="1:273">
      <c r="AR823" s="685"/>
      <c r="AS823" s="685"/>
      <c r="AT823" s="730"/>
      <c r="AU823" s="730"/>
      <c r="AV823" s="685"/>
      <c r="AW823" s="685"/>
      <c r="AX823" s="730"/>
      <c r="AY823" s="730"/>
      <c r="AZ823" s="685"/>
      <c r="BA823" s="876"/>
      <c r="BD823" s="711"/>
      <c r="BE823" s="885"/>
      <c r="BF823" s="711"/>
      <c r="BH823" s="685"/>
      <c r="BI823" s="876"/>
      <c r="BL823" s="876"/>
      <c r="BM823" s="876"/>
      <c r="BP823" s="876"/>
      <c r="BQ823" s="876"/>
      <c r="BT823" s="876"/>
      <c r="BU823" s="876"/>
      <c r="BX823" s="1680"/>
      <c r="BY823" s="1680"/>
      <c r="BZ823" s="1680"/>
      <c r="CB823" s="1680"/>
      <c r="CC823" s="1680"/>
      <c r="CD823" s="1680"/>
      <c r="CF823" s="1680"/>
      <c r="CG823" s="1680"/>
      <c r="CH823" s="1680"/>
      <c r="CJ823" s="1680"/>
      <c r="CK823" s="1680"/>
      <c r="CL823" s="1680"/>
      <c r="CN823" s="1680"/>
      <c r="CO823" s="1680"/>
      <c r="CP823" s="1680"/>
      <c r="CR823" s="1680"/>
      <c r="CS823" s="1680"/>
      <c r="CT823" s="1680"/>
      <c r="CV823" s="1680"/>
      <c r="CW823" s="1680"/>
      <c r="CX823" s="1680"/>
      <c r="CZ823" s="1680"/>
      <c r="DA823" s="1680"/>
      <c r="DB823" s="1680"/>
      <c r="DD823" s="1680"/>
      <c r="DE823" s="1680"/>
      <c r="DF823" s="1680"/>
      <c r="DH823" s="1680"/>
      <c r="DI823" s="1680"/>
      <c r="DJ823" s="1680"/>
      <c r="DL823" s="1680"/>
      <c r="DM823" s="1680"/>
      <c r="DN823" s="1680"/>
      <c r="DP823" s="1680"/>
      <c r="DQ823" s="1680"/>
      <c r="DR823" s="1680"/>
      <c r="DU823" s="876"/>
      <c r="DV823" s="876"/>
      <c r="DW823" s="876"/>
      <c r="DZ823" s="876"/>
      <c r="EA823" s="876"/>
      <c r="ED823" s="876"/>
      <c r="EE823" s="876"/>
    </row>
    <row r="824" spans="1:273">
      <c r="A824" s="1709" t="s">
        <v>1329</v>
      </c>
      <c r="AR824" s="685"/>
      <c r="AS824" s="685"/>
      <c r="AT824" s="730"/>
      <c r="AU824" s="730"/>
      <c r="AV824" s="685"/>
      <c r="AW824" s="685"/>
      <c r="AX824" s="730"/>
      <c r="AY824" s="730"/>
      <c r="AZ824" s="685"/>
      <c r="BA824" s="876"/>
      <c r="BD824" s="711"/>
      <c r="BE824" s="885"/>
      <c r="BF824" s="711"/>
      <c r="BH824" s="685"/>
      <c r="BI824" s="876"/>
      <c r="BL824" s="876"/>
      <c r="BM824" s="876"/>
      <c r="BP824" s="876"/>
      <c r="BQ824" s="876"/>
      <c r="BT824" s="876"/>
      <c r="BU824" s="876"/>
      <c r="BX824" s="876"/>
      <c r="BY824" s="876"/>
      <c r="CB824" s="876"/>
      <c r="CC824" s="876"/>
      <c r="CF824" s="876"/>
      <c r="CG824" s="876"/>
      <c r="CJ824" s="876"/>
      <c r="CK824" s="876"/>
      <c r="CN824" s="876"/>
      <c r="CO824" s="876"/>
      <c r="CR824" s="876"/>
      <c r="CS824" s="876"/>
      <c r="CV824" s="876"/>
      <c r="CW824" s="876"/>
      <c r="CZ824" s="876"/>
      <c r="DA824" s="876"/>
      <c r="DD824" s="876"/>
      <c r="DE824" s="876"/>
      <c r="DH824" s="876"/>
      <c r="DI824" s="876"/>
      <c r="DL824" s="876"/>
      <c r="DM824" s="876"/>
      <c r="DP824" s="876"/>
      <c r="DQ824" s="876"/>
      <c r="DU824" s="876"/>
      <c r="DV824" s="876"/>
      <c r="DW824" s="876"/>
      <c r="DZ824" s="876"/>
      <c r="EA824" s="876"/>
      <c r="ED824" s="876"/>
      <c r="EE824" s="876"/>
    </row>
    <row r="825" spans="1:273">
      <c r="A825" s="102" t="s">
        <v>686</v>
      </c>
      <c r="AR825" s="685"/>
      <c r="AS825" s="685"/>
      <c r="AT825" s="730"/>
      <c r="AU825" s="730"/>
      <c r="AV825" s="685"/>
      <c r="AW825" s="685"/>
      <c r="AX825" s="730"/>
      <c r="AY825" s="730"/>
      <c r="AZ825" s="685"/>
      <c r="BA825" s="876"/>
      <c r="BD825" s="711"/>
      <c r="BE825" s="885"/>
      <c r="BF825" s="711"/>
      <c r="BH825" s="685"/>
      <c r="BI825" s="876"/>
      <c r="BL825" s="876"/>
      <c r="BM825" s="876"/>
      <c r="BP825" s="876"/>
      <c r="BQ825" s="876"/>
      <c r="BT825" s="876"/>
      <c r="BU825" s="876"/>
      <c r="BX825" s="293">
        <f>+BX495+BX506+BX517+BX528+BX539+BX605+BX638+BX561+BX572+BX594+BX616+BX627+BX583</f>
        <v>152</v>
      </c>
      <c r="BY825" s="293">
        <f>+BY495+BY506+BY517+BY528+BY539+BY605+BY638+BY561+BY572+BY594+BY616+BY627+BY583</f>
        <v>130</v>
      </c>
      <c r="BZ825" s="293">
        <f>+BZ495+BZ506+BZ517+BZ528+BZ539+BZ605+BZ638+BZ561+BZ572+BZ594+BZ616+BZ627+BZ583</f>
        <v>282</v>
      </c>
      <c r="CB825" s="293">
        <f>+CB495+CB506+CB517+CB528+CB539+CB605+CB638+CB561+CB572+CB594+CB616+CB627+CB583</f>
        <v>152</v>
      </c>
      <c r="CC825" s="293">
        <f>+CC495+CC506+CC517+CC528+CC539+CC605+CC638+CC561+CC572+CC594+CC616+CC627+CC583</f>
        <v>458</v>
      </c>
      <c r="CD825" s="293">
        <f>+CD495+CD506+CD517+CD528+CD539+CD605+CD638+CD561+CD572+CD594+CD616+CD627+CD583</f>
        <v>610</v>
      </c>
      <c r="CE825" s="103"/>
      <c r="CF825" s="1695">
        <f>+CF495+CF506+CF517+CF528+CF539+CF605+CF638+CF561+CF572+CF594+CF616+CF627+CF583+CF386</f>
        <v>510</v>
      </c>
      <c r="CG825" s="1695">
        <f>+CG495+CG506+CG517+CG528+CG539+CG605+CG638+CG561+CG572+CG594+CG616+CG627+CG583+CG386</f>
        <v>1458</v>
      </c>
      <c r="CH825" s="1695">
        <f>+CH495+CH506+CH517+CH528+CH539+CH605+CH638+CH561+CH572+CH594+CH616+CH627+CH583+CH386</f>
        <v>1968</v>
      </c>
      <c r="CI825" s="103"/>
      <c r="CJ825" s="1695">
        <f>+CJ495+CJ506+CJ517+CJ528+CJ539+CJ605+CJ638+CJ561+CJ572+CJ594+CJ616+CJ627+CJ583+CJ386</f>
        <v>514</v>
      </c>
      <c r="CK825" s="1695">
        <f>+CK495+CK506+CK517+CK528+CK539+CK605+CK638+CK561+CK572+CK594+CK616+CK627+CK583+CK386</f>
        <v>601</v>
      </c>
      <c r="CL825" s="1695">
        <f>+CL495+CL506+CL517+CL528+CL539+CL605+CL638+CL561+CL572+CL594+CL616+CL627+CL583+CL386</f>
        <v>1115</v>
      </c>
      <c r="CM825" s="103"/>
      <c r="CN825" s="1695">
        <f>+CN495+CN506+CN517+CN528+CN539+CN605+CN638+CN561+CN572+CN594+CN616+CN627+CN583+CN386</f>
        <v>-40</v>
      </c>
      <c r="CO825" s="1695">
        <f>+CO495+CO506+CO517+CO528+CO539+CO605+CO638+CO561+CO572+CO594+CO616+CO627+CO583+CO386</f>
        <v>836</v>
      </c>
      <c r="CP825" s="1695">
        <f>+CP495+CP506+CP517+CP528+CP539+CP605+CP638+CP561+CP572+CP594+CP616+CP627+CP583+CP386+7</f>
        <v>803</v>
      </c>
      <c r="CQ825" s="103"/>
      <c r="CR825" s="1695">
        <f t="shared" ref="CR825:CT825" si="1253">+CR495+CR506+CR517+CR528+CR539+CR605+CR638+CR561+CR572+CR594+CR616+CR627+CR583+CR386</f>
        <v>290</v>
      </c>
      <c r="CS825" s="1695">
        <f t="shared" si="1253"/>
        <v>495</v>
      </c>
      <c r="CT825" s="1695">
        <f t="shared" si="1253"/>
        <v>785</v>
      </c>
      <c r="CV825" s="1695">
        <f t="shared" ref="CV825:CX825" si="1254">+CV495+CV506+CV517+CV528+CV539+CV605+CV638+CV561+CV572+CV594+CV616+CV627+CV583+CV386</f>
        <v>499</v>
      </c>
      <c r="CW825" s="1695">
        <f t="shared" si="1254"/>
        <v>110</v>
      </c>
      <c r="CX825" s="1695">
        <f t="shared" si="1254"/>
        <v>609</v>
      </c>
      <c r="CY825" s="715"/>
      <c r="CZ825" s="1695">
        <f t="shared" ref="CZ825:DB825" si="1255">+CZ495+CZ506+CZ517+CZ528+CZ539+CZ605+CZ638+CZ561+CZ572+CZ594+CZ616+CZ627+CZ583+CZ386</f>
        <v>293</v>
      </c>
      <c r="DA825" s="1695">
        <f t="shared" si="1255"/>
        <v>552</v>
      </c>
      <c r="DB825" s="1695">
        <f t="shared" si="1255"/>
        <v>844</v>
      </c>
      <c r="DC825" s="715"/>
      <c r="DD825" s="1695">
        <f t="shared" ref="DD825:DF825" si="1256">+DD495+DD506+DD517+DD528+DD539+DD605+DD638+DD561+DD572+DD594+DD616+DD627+DD583+DD386</f>
        <v>219</v>
      </c>
      <c r="DE825" s="1695">
        <f t="shared" si="1256"/>
        <v>232</v>
      </c>
      <c r="DF825" s="1695">
        <f t="shared" si="1256"/>
        <v>451</v>
      </c>
      <c r="DH825" s="1695">
        <f t="shared" ref="DH825" si="1257">+DH495+DH506+DH517+DH528+DH539+DH605+DH638+DH561+DH572+DH594+DH616+DH627+DH583+DH386</f>
        <v>268</v>
      </c>
      <c r="DI825" s="1695">
        <f t="shared" ref="DI825:DJ825" si="1258">+DI495+DI506+DI517+DI528+DI539+DI605+DI638+DI561+DI572+DI594+DI616+DI627+DI583+DI386</f>
        <v>327.57000000000005</v>
      </c>
      <c r="DJ825" s="1695">
        <f t="shared" si="1258"/>
        <v>595.57000000000005</v>
      </c>
      <c r="DL825" s="1695">
        <f t="shared" ref="DL825:DN825" si="1259">+DL495+DL506+DL517+DL528+DL539+DL605+DL638+DL561+DL572+DL594+DL616+DL627+DL583+DL386</f>
        <v>331.13010000000003</v>
      </c>
      <c r="DM825" s="1695">
        <f t="shared" si="1259"/>
        <v>530.78000299999997</v>
      </c>
      <c r="DN825" s="1695">
        <f t="shared" si="1259"/>
        <v>861.91010300000005</v>
      </c>
      <c r="DP825" s="1695">
        <f t="shared" ref="DP825:DR825" si="1260">+DP495+DP506+DP517+DP528+DP539+DP605+DP638+DP561+DP572+DP594+DP616+DP627+DP583+DP386</f>
        <v>368.13140308999999</v>
      </c>
      <c r="DQ825" s="1695">
        <f t="shared" si="1260"/>
        <v>587.75998518269989</v>
      </c>
      <c r="DR825" s="1695">
        <f t="shared" si="1260"/>
        <v>955.89138827270006</v>
      </c>
      <c r="DU825" s="876"/>
      <c r="DV825" s="876"/>
      <c r="DW825" s="876"/>
      <c r="DZ825" s="876"/>
      <c r="EA825" s="876"/>
      <c r="ED825" s="876"/>
      <c r="EE825" s="876"/>
    </row>
    <row r="826" spans="1:273">
      <c r="A826" s="102" t="s">
        <v>1306</v>
      </c>
      <c r="AR826" s="685"/>
      <c r="AS826" s="685"/>
      <c r="AT826" s="730"/>
      <c r="AU826" s="730"/>
      <c r="AV826" s="685"/>
      <c r="AW826" s="685"/>
      <c r="AX826" s="730"/>
      <c r="AY826" s="730"/>
      <c r="AZ826" s="685"/>
      <c r="BA826" s="876"/>
      <c r="BD826" s="711"/>
      <c r="BE826" s="885"/>
      <c r="BF826" s="711"/>
      <c r="BH826" s="685"/>
      <c r="BI826" s="876"/>
      <c r="BL826" s="876"/>
      <c r="BM826" s="876"/>
      <c r="BP826" s="876"/>
      <c r="BQ826" s="876"/>
      <c r="BT826" s="876"/>
      <c r="BU826" s="876"/>
      <c r="BX826" s="1695">
        <f>+BX496+BX507+BX518+BX529+BX540+BX606+BX639+BX562+BX573+BX595+BX617+BX628+BX584+BX384</f>
        <v>439</v>
      </c>
      <c r="BY826" s="1695">
        <f>+BY496+BY507+BY518+BY529+BY540+BY606+BY639+BY562+BY573+BY595+BY617+BY628+BY584+BY384</f>
        <v>293</v>
      </c>
      <c r="BZ826" s="1695">
        <f>+BZ496+BZ507+BZ518+BZ529+BZ540+BZ606+BZ639+BZ562+BZ573+BZ595+BZ617+BZ628+BZ584+BZ384</f>
        <v>732</v>
      </c>
      <c r="CB826" s="1695">
        <f>+CB496+CB507+CB518+CB529+CB540+CB606+CB639+CB562+CB573+CB595+CB617+CB628+CB584+CB384</f>
        <v>774</v>
      </c>
      <c r="CC826" s="1695">
        <f>+CC496+CC507+CC518+CC529+CC540+CC606+CC639+CC562+CC573+CC595+CC617+CC628+CC584+CC384</f>
        <v>-28</v>
      </c>
      <c r="CD826" s="1695">
        <f>+CD496+CD507+CD518+CD529+CD540+CD606+CD639+CD562+CD573+CD595+CD617+CD628+CD584+CD384</f>
        <v>746</v>
      </c>
      <c r="CE826" s="103"/>
      <c r="CF826" s="1695">
        <f>+CF496+CF507+CF518+CF529+CF540+CF606+CF639+CF562+CF573+CF595+CF617+CF628+CF584+CF384</f>
        <v>327</v>
      </c>
      <c r="CG826" s="1695">
        <f>+CG496+CG507+CG518+CG529+CG540+CG606+CG639+CG562+CG573+CG595+CG617+CG628+CG584+CG384</f>
        <v>521</v>
      </c>
      <c r="CH826" s="1695">
        <f>+CH496+CH507+CH518+CH529+CH540+CH606+CH639+CH562+CH573+CH595+CH617+CH628+CH584+CH384</f>
        <v>848</v>
      </c>
      <c r="CI826" s="103"/>
      <c r="CJ826" s="1695">
        <f>+CJ496+CJ507+CJ518+CJ529+CJ540+CJ606+CJ639+CJ562+CJ573+CJ595+CJ617+CJ628+CJ584+CJ384</f>
        <v>649</v>
      </c>
      <c r="CK826" s="1695">
        <f>+CK496+CK507+CK518+CK529+CK540+CK606+CK639+CK562+CK573+CK595+CK617+CK628+CK584+CK384</f>
        <v>406</v>
      </c>
      <c r="CL826" s="1695">
        <f>+CL496+CL507+CL518+CL529+CL540+CL606+CL639+CL562+CL573+CL595+CL617+CL628+CL584+CL384</f>
        <v>1055</v>
      </c>
      <c r="CM826" s="103"/>
      <c r="CN826" s="1695">
        <f>+CN496+CN507+CN518+CN529+CN540+CN606+CN639+CN562+CN573+CN595+CN617+CN628+CN584+CN384</f>
        <v>827</v>
      </c>
      <c r="CO826" s="1695">
        <f>+CO496+CO507+CO518+CO529+CO540+CO606+CO639+CO562+CO573+CO595+CO617+CO628+CO584+CO384</f>
        <v>610</v>
      </c>
      <c r="CP826" s="1695">
        <f>+CP496+CP507+CP518+CP529+CP540+CP606+CP639+CP562+CP573+CP595+CP617+CP628+CP584+CP384</f>
        <v>1437</v>
      </c>
      <c r="CQ826" s="103"/>
      <c r="CR826" s="1693">
        <f>+CR496+CR507+CR518+CR529+CR540+CR606+CR639+CR562+CR573+CR595+CR617+CR628+CR584+CR384+570</f>
        <v>930</v>
      </c>
      <c r="CS826" s="1695">
        <f>+CS496+CS507+CS518+CS529+CS540+CS606+CS639+CS562+CS573+CS595+CS617+CS628+CS584+CS384</f>
        <v>1594</v>
      </c>
      <c r="CT826" s="1695">
        <f>+CT496+CT507+CT518+CT529+CT540+CT606+CT639+CT562+CT573+CT595+CT617+CT628+CT584+CT384</f>
        <v>1954</v>
      </c>
      <c r="CV826" s="1695">
        <f>+CV496+CV507+CV518+CV529+CV540+CV606+CV639+CV562+CV573+CV595+CV617+CV628+CV584+CV384</f>
        <v>1073</v>
      </c>
      <c r="CW826" s="1695">
        <f>+CW496+CW507+CW518+CW529+CW540+CW606+CW639+CW562+CW573+CW595+CW617+CW628+CW584+CW384</f>
        <v>846</v>
      </c>
      <c r="CX826" s="1695">
        <f>+CX496+CX507+CX518+CX529+CX540+CX606+CX639+CX562+CX573+CX595+CX617+CX628+CX584+CX384</f>
        <v>1919</v>
      </c>
      <c r="CY826" s="715"/>
      <c r="CZ826" s="1695">
        <f>+CZ496+CZ507+CZ518+CZ529+CZ540+CZ606+CZ639+CZ562+CZ573+CZ595+CZ617+CZ628+CZ584+CZ384</f>
        <v>310</v>
      </c>
      <c r="DA826" s="1695">
        <f>+DA496+DA507+DA518+DA529+DA540+DA606+DA639+DA562+DA573+DA595+DA617+DA628+DA584+DA384</f>
        <v>639</v>
      </c>
      <c r="DB826" s="1695">
        <f>+DB496+DB507+DB518+DB529+DB540+DB606+DB639+DB562+DB573+DB595+DB617+DB628+DB584+DB384</f>
        <v>949</v>
      </c>
      <c r="DC826" s="715"/>
      <c r="DD826" s="1695">
        <f>+DD496+DD507+DD518+DD529+DD540+DD606+DD639+DD562+DD573+DD595+DD617+DD628+DD584+DD384</f>
        <v>567</v>
      </c>
      <c r="DE826" s="1695">
        <f>+DE496+DE507+DE518+DE529+DE540+DE606+DE639+DE562+DE573+DE595+DE617+DE628+DE584+DE384</f>
        <v>924</v>
      </c>
      <c r="DF826" s="1695">
        <f>+DF496+DF507+DF518+DF529+DF540+DF606+DF639+DF562+DF573+DF595+DF617+DF628+DF584+DF384</f>
        <v>1491</v>
      </c>
      <c r="DH826" s="1695">
        <f>+DH496+DH507+DH518+DH529+DH540+DH606+DH639+DH562+DH573+DH595+DH617+DH628+DH584+DH384</f>
        <v>837</v>
      </c>
      <c r="DI826" s="1695">
        <f t="shared" ref="DI826:DJ826" si="1261">+DI496+DI507+DI518+DI529+DI540+DI606+DI639+DI562+DI573+DI595+DI617+DI628+DI584+DI384</f>
        <v>1289.9232351803339</v>
      </c>
      <c r="DJ826" s="1695">
        <f t="shared" si="1261"/>
        <v>2126.9232351803339</v>
      </c>
      <c r="DL826" s="1695">
        <f>+DL496+DL507+DL518+DL529+DL540+DL606+DL639+DL562+DL573+DL595+DL617+DL628+DL584+DL384</f>
        <v>791.09082731850799</v>
      </c>
      <c r="DM826" s="1695">
        <f t="shared" ref="DM826:DN826" si="1262">+DM496+DM507+DM518+DM529+DM540+DM606+DM639+DM562+DM573+DM595+DM617+DM628+DM584+DM384</f>
        <v>809.51007294519547</v>
      </c>
      <c r="DN826" s="1695">
        <f t="shared" si="1262"/>
        <v>1600.6009002637034</v>
      </c>
      <c r="DP826" s="1695">
        <f>+DP496+DP507+DP518+DP529+DP540+DP606+DP639+DP562+DP573+DP595+DP617+DP628+DP584+DP384</f>
        <v>813.77116128604666</v>
      </c>
      <c r="DQ826" s="1695">
        <f t="shared" ref="DQ826:DR826" si="1263">+DQ496+DQ507+DQ518+DQ529+DQ540+DQ606+DQ639+DQ562+DQ573+DQ595+DQ617+DQ628+DQ584+DQ384</f>
        <v>840.92512499994382</v>
      </c>
      <c r="DR826" s="1695">
        <f t="shared" si="1263"/>
        <v>1654.6962862859905</v>
      </c>
      <c r="DU826" s="876"/>
      <c r="DV826" s="876"/>
      <c r="DW826" s="876"/>
      <c r="DZ826" s="876"/>
      <c r="EA826" s="876"/>
      <c r="ED826" s="876"/>
      <c r="EE826" s="876"/>
    </row>
    <row r="827" spans="1:273">
      <c r="A827" s="1008" t="s">
        <v>1024</v>
      </c>
      <c r="AR827" s="685"/>
      <c r="AS827" s="685"/>
      <c r="AT827" s="730"/>
      <c r="AU827" s="730"/>
      <c r="AV827" s="685"/>
      <c r="AW827" s="685"/>
      <c r="AX827" s="730"/>
      <c r="AY827" s="730"/>
      <c r="AZ827" s="685"/>
      <c r="BA827" s="876"/>
      <c r="BD827" s="711"/>
      <c r="BE827" s="885"/>
      <c r="BF827" s="711"/>
      <c r="BH827" s="685"/>
      <c r="BI827" s="876"/>
      <c r="BL827" s="876"/>
      <c r="BM827" s="876"/>
      <c r="BP827" s="876"/>
      <c r="BQ827" s="876"/>
      <c r="BT827" s="876"/>
      <c r="BU827" s="876"/>
      <c r="BX827" s="293">
        <f t="shared" ref="BX827:BZ831" si="1264">+BX497+BX508+BX519+BX530+BX541+BX607+BX640+BX563+BX574+BX596+BX618+BX629+BX585</f>
        <v>105</v>
      </c>
      <c r="BY827" s="293">
        <f t="shared" si="1264"/>
        <v>-73</v>
      </c>
      <c r="BZ827" s="293">
        <f t="shared" si="1264"/>
        <v>32</v>
      </c>
      <c r="CB827" s="293">
        <f t="shared" ref="CB827:CD831" si="1265">+CB497+CB508+CB519+CB530+CB541+CB607+CB640+CB563+CB574+CB596+CB618+CB629+CB585</f>
        <v>-34</v>
      </c>
      <c r="CC827" s="293">
        <f t="shared" si="1265"/>
        <v>55</v>
      </c>
      <c r="CD827" s="293">
        <f t="shared" si="1265"/>
        <v>21</v>
      </c>
      <c r="CE827" s="103"/>
      <c r="CF827" s="293">
        <f t="shared" ref="CF827:CH831" si="1266">+CF497+CF508+CF519+CF530+CF541+CF607+CF640+CF563+CF574+CF596+CF618+CF629+CF585</f>
        <v>36</v>
      </c>
      <c r="CG827" s="293">
        <f t="shared" si="1266"/>
        <v>-65</v>
      </c>
      <c r="CH827" s="293">
        <f t="shared" si="1266"/>
        <v>-29</v>
      </c>
      <c r="CI827" s="103"/>
      <c r="CJ827" s="293">
        <f t="shared" ref="CJ827:CL831" si="1267">+CJ497+CJ508+CJ519+CJ530+CJ541+CJ607+CJ640+CJ563+CJ574+CJ596+CJ618+CJ629+CJ585</f>
        <v>17</v>
      </c>
      <c r="CK827" s="293">
        <f t="shared" si="1267"/>
        <v>-163</v>
      </c>
      <c r="CL827" s="293">
        <f t="shared" si="1267"/>
        <v>-146</v>
      </c>
      <c r="CM827" s="103"/>
      <c r="CN827" s="293">
        <f t="shared" ref="CN827:CP830" si="1268">+CN497+CN508+CN519+CN530+CN541+CN607+CN640+CN563+CN574+CN596+CN618+CN629+CN585</f>
        <v>-76</v>
      </c>
      <c r="CO827" s="293">
        <f t="shared" si="1268"/>
        <v>-8</v>
      </c>
      <c r="CP827" s="293">
        <f t="shared" si="1268"/>
        <v>-84</v>
      </c>
      <c r="CQ827" s="103"/>
      <c r="CR827" s="293">
        <f t="shared" ref="CR827:CT831" si="1269">+CR497+CR508+CR519+CR530+CR541+CR607+CR640+CR563+CR574+CR596+CR618+CR629+CR585</f>
        <v>462</v>
      </c>
      <c r="CS827" s="293">
        <f t="shared" si="1269"/>
        <v>98</v>
      </c>
      <c r="CT827" s="293">
        <f t="shared" si="1269"/>
        <v>560</v>
      </c>
      <c r="CV827" s="293">
        <f t="shared" ref="CV827:CX831" si="1270">+CV497+CV508+CV519+CV530+CV541+CV607+CV640+CV563+CV574+CV596+CV618+CV629+CV585</f>
        <v>-3</v>
      </c>
      <c r="CW827" s="293">
        <f t="shared" si="1270"/>
        <v>104</v>
      </c>
      <c r="CX827" s="293">
        <f t="shared" si="1270"/>
        <v>101</v>
      </c>
      <c r="CY827" s="715"/>
      <c r="CZ827" s="293">
        <f t="shared" ref="CZ827:DB827" si="1271">+CZ497+CZ508+CZ519+CZ530+CZ541+CZ607+CZ640+CZ563+CZ574+CZ596+CZ618+CZ629+CZ585</f>
        <v>55</v>
      </c>
      <c r="DA827" s="293">
        <f t="shared" si="1271"/>
        <v>33</v>
      </c>
      <c r="DB827" s="293">
        <f t="shared" si="1271"/>
        <v>88</v>
      </c>
      <c r="DC827" s="715"/>
      <c r="DD827" s="293">
        <f t="shared" ref="DD827:DF827" si="1272">+DD497+DD508+DD519+DD530+DD541+DD607+DD640+DD563+DD574+DD596+DD618+DD629+DD585</f>
        <v>113</v>
      </c>
      <c r="DE827" s="293">
        <f t="shared" si="1272"/>
        <v>17</v>
      </c>
      <c r="DF827" s="293">
        <f t="shared" si="1272"/>
        <v>130</v>
      </c>
      <c r="DH827" s="293">
        <f t="shared" ref="DH827" si="1273">+DH497+DH508+DH519+DH530+DH541+DH607+DH640+DH563+DH574+DH596+DH618+DH629+DH585</f>
        <v>4</v>
      </c>
      <c r="DI827" s="293">
        <f t="shared" ref="DI827:DJ827" si="1274">+DI497+DI508+DI519+DI530+DI541+DI607+DI640+DI563+DI574+DI596+DI618+DI629+DI585</f>
        <v>23.470000000000006</v>
      </c>
      <c r="DJ827" s="293">
        <f t="shared" si="1274"/>
        <v>27.469999999999985</v>
      </c>
      <c r="DL827" s="293">
        <f t="shared" ref="DL827:DN827" si="1275">+DL497+DL508+DL519+DL530+DL541+DL607+DL640+DL563+DL574+DL596+DL618+DL629+DL585</f>
        <v>5.1005000000000038</v>
      </c>
      <c r="DM827" s="293">
        <f t="shared" si="1275"/>
        <v>25.377515000000002</v>
      </c>
      <c r="DN827" s="293">
        <f t="shared" si="1275"/>
        <v>30.478014999999999</v>
      </c>
      <c r="DP827" s="293">
        <f t="shared" ref="DP827:DR827" si="1276">+DP497+DP508+DP519+DP530+DP541+DP607+DP640+DP563+DP574+DP596+DP618+DP629+DP585</f>
        <v>6.3022964500000072</v>
      </c>
      <c r="DQ827" s="293">
        <f t="shared" si="1276"/>
        <v>27.420325343500004</v>
      </c>
      <c r="DR827" s="293">
        <f t="shared" si="1276"/>
        <v>33.722621793499997</v>
      </c>
      <c r="DU827" s="876"/>
      <c r="DV827" s="876"/>
      <c r="DW827" s="876"/>
      <c r="DZ827" s="876"/>
      <c r="EA827" s="876"/>
      <c r="ED827" s="876"/>
      <c r="EE827" s="876"/>
    </row>
    <row r="828" spans="1:273">
      <c r="A828" s="1008" t="s">
        <v>690</v>
      </c>
      <c r="AR828" s="685"/>
      <c r="AS828" s="685"/>
      <c r="AT828" s="730"/>
      <c r="AU828" s="730"/>
      <c r="AV828" s="685"/>
      <c r="AW828" s="685"/>
      <c r="AX828" s="730"/>
      <c r="AY828" s="730"/>
      <c r="AZ828" s="685"/>
      <c r="BA828" s="876"/>
      <c r="BD828" s="711"/>
      <c r="BE828" s="885"/>
      <c r="BF828" s="711"/>
      <c r="BH828" s="685"/>
      <c r="BI828" s="876"/>
      <c r="BL828" s="876"/>
      <c r="BM828" s="876"/>
      <c r="BP828" s="876"/>
      <c r="BQ828" s="876"/>
      <c r="BT828" s="876"/>
      <c r="BU828" s="876"/>
      <c r="BX828" s="293">
        <f t="shared" si="1264"/>
        <v>-10</v>
      </c>
      <c r="BY828" s="293">
        <f t="shared" si="1264"/>
        <v>132</v>
      </c>
      <c r="BZ828" s="293">
        <f t="shared" si="1264"/>
        <v>122</v>
      </c>
      <c r="CB828" s="293">
        <f t="shared" si="1265"/>
        <v>149</v>
      </c>
      <c r="CC828" s="293">
        <f t="shared" si="1265"/>
        <v>312</v>
      </c>
      <c r="CD828" s="293">
        <f t="shared" si="1265"/>
        <v>461</v>
      </c>
      <c r="CE828" s="103"/>
      <c r="CF828" s="293">
        <f t="shared" si="1266"/>
        <v>0</v>
      </c>
      <c r="CG828" s="293">
        <f t="shared" si="1266"/>
        <v>0</v>
      </c>
      <c r="CH828" s="293">
        <f t="shared" si="1266"/>
        <v>0</v>
      </c>
      <c r="CI828" s="103"/>
      <c r="CJ828" s="293">
        <f t="shared" si="1267"/>
        <v>0</v>
      </c>
      <c r="CK828" s="293">
        <f t="shared" si="1267"/>
        <v>0</v>
      </c>
      <c r="CL828" s="293">
        <f t="shared" si="1267"/>
        <v>0</v>
      </c>
      <c r="CM828" s="103"/>
      <c r="CN828" s="293">
        <f t="shared" si="1268"/>
        <v>0</v>
      </c>
      <c r="CO828" s="293">
        <f t="shared" si="1268"/>
        <v>0</v>
      </c>
      <c r="CP828" s="293">
        <f t="shared" si="1268"/>
        <v>0</v>
      </c>
      <c r="CQ828" s="103"/>
      <c r="CR828" s="293">
        <f t="shared" si="1269"/>
        <v>0</v>
      </c>
      <c r="CS828" s="293">
        <f t="shared" si="1269"/>
        <v>0</v>
      </c>
      <c r="CT828" s="293">
        <f t="shared" si="1269"/>
        <v>0</v>
      </c>
      <c r="CV828" s="293">
        <f t="shared" si="1270"/>
        <v>0</v>
      </c>
      <c r="CW828" s="293">
        <f t="shared" si="1270"/>
        <v>0</v>
      </c>
      <c r="CX828" s="293">
        <f t="shared" si="1270"/>
        <v>0</v>
      </c>
      <c r="CY828" s="715"/>
      <c r="CZ828" s="293">
        <f t="shared" ref="CZ828:DB828" si="1277">+CZ498+CZ509+CZ520+CZ531+CZ542+CZ608+CZ641+CZ564+CZ575+CZ597+CZ619+CZ630+CZ586</f>
        <v>0</v>
      </c>
      <c r="DA828" s="293">
        <f t="shared" si="1277"/>
        <v>0</v>
      </c>
      <c r="DB828" s="293">
        <f t="shared" si="1277"/>
        <v>0</v>
      </c>
      <c r="DC828" s="715"/>
      <c r="DD828" s="293">
        <f t="shared" ref="DD828:DF828" si="1278">+DD498+DD509+DD520+DD531+DD542+DD608+DD641+DD564+DD575+DD597+DD619+DD630+DD586</f>
        <v>0</v>
      </c>
      <c r="DE828" s="293">
        <f t="shared" si="1278"/>
        <v>0</v>
      </c>
      <c r="DF828" s="293">
        <f t="shared" si="1278"/>
        <v>0</v>
      </c>
      <c r="DH828" s="293">
        <f t="shared" ref="DH828" si="1279">+DH498+DH509+DH520+DH531+DH542+DH608+DH641+DH564+DH575+DH597+DH619+DH630+DH586</f>
        <v>0</v>
      </c>
      <c r="DI828" s="293">
        <f t="shared" ref="DI828:DJ828" si="1280">+DI498+DI509+DI520+DI531+DI542+DI608+DI641+DI564+DI575+DI597+DI619+DI630+DI586</f>
        <v>0</v>
      </c>
      <c r="DJ828" s="293">
        <f t="shared" si="1280"/>
        <v>0</v>
      </c>
      <c r="DL828" s="293">
        <f t="shared" ref="DL828:DN828" si="1281">+DL498+DL509+DL520+DL531+DL542+DL608+DL641+DL564+DL575+DL597+DL619+DL630+DL586</f>
        <v>0</v>
      </c>
      <c r="DM828" s="293">
        <f t="shared" si="1281"/>
        <v>0</v>
      </c>
      <c r="DN828" s="293">
        <f t="shared" si="1281"/>
        <v>0</v>
      </c>
      <c r="DP828" s="293">
        <f t="shared" ref="DP828:DR828" si="1282">+DP498+DP509+DP520+DP531+DP542+DP608+DP641+DP564+DP575+DP597+DP619+DP630+DP586</f>
        <v>0</v>
      </c>
      <c r="DQ828" s="293">
        <f t="shared" si="1282"/>
        <v>0</v>
      </c>
      <c r="DR828" s="293">
        <f t="shared" si="1282"/>
        <v>0</v>
      </c>
      <c r="DU828" s="876"/>
      <c r="DV828" s="876"/>
      <c r="DW828" s="876"/>
      <c r="DZ828" s="876"/>
      <c r="EA828" s="876"/>
      <c r="ED828" s="876"/>
      <c r="EE828" s="876"/>
    </row>
    <row r="829" spans="1:273">
      <c r="A829" s="1008" t="s">
        <v>689</v>
      </c>
      <c r="AR829" s="685"/>
      <c r="AS829" s="685"/>
      <c r="AT829" s="730"/>
      <c r="AU829" s="730"/>
      <c r="AV829" s="685"/>
      <c r="AW829" s="685"/>
      <c r="AX829" s="730"/>
      <c r="AY829" s="730"/>
      <c r="AZ829" s="685"/>
      <c r="BA829" s="876"/>
      <c r="BD829" s="711"/>
      <c r="BE829" s="885"/>
      <c r="BF829" s="711"/>
      <c r="BH829" s="685"/>
      <c r="BI829" s="876"/>
      <c r="BL829" s="876"/>
      <c r="BM829" s="876"/>
      <c r="BP829" s="876"/>
      <c r="BQ829" s="876"/>
      <c r="BT829" s="876"/>
      <c r="BU829" s="876"/>
      <c r="BX829" s="293">
        <f t="shared" si="1264"/>
        <v>123</v>
      </c>
      <c r="BY829" s="293">
        <f t="shared" si="1264"/>
        <v>-7</v>
      </c>
      <c r="BZ829" s="293">
        <f t="shared" si="1264"/>
        <v>116</v>
      </c>
      <c r="CB829" s="293">
        <f t="shared" si="1265"/>
        <v>-25</v>
      </c>
      <c r="CC829" s="293">
        <f t="shared" si="1265"/>
        <v>-31</v>
      </c>
      <c r="CD829" s="293">
        <f t="shared" si="1265"/>
        <v>-56</v>
      </c>
      <c r="CE829" s="103"/>
      <c r="CF829" s="293">
        <f t="shared" si="1266"/>
        <v>-28</v>
      </c>
      <c r="CG829" s="293">
        <f t="shared" si="1266"/>
        <v>-33</v>
      </c>
      <c r="CH829" s="293">
        <f t="shared" si="1266"/>
        <v>-61</v>
      </c>
      <c r="CI829" s="103"/>
      <c r="CJ829" s="293">
        <f t="shared" si="1267"/>
        <v>-42</v>
      </c>
      <c r="CK829" s="293">
        <f t="shared" si="1267"/>
        <v>-98</v>
      </c>
      <c r="CL829" s="293">
        <f t="shared" si="1267"/>
        <v>-140</v>
      </c>
      <c r="CM829" s="103"/>
      <c r="CN829" s="293">
        <f t="shared" si="1268"/>
        <v>-62</v>
      </c>
      <c r="CO829" s="293">
        <f t="shared" si="1268"/>
        <v>-23</v>
      </c>
      <c r="CP829" s="293">
        <f t="shared" si="1268"/>
        <v>-85</v>
      </c>
      <c r="CQ829" s="103"/>
      <c r="CR829" s="293">
        <f t="shared" si="1269"/>
        <v>-30</v>
      </c>
      <c r="CS829" s="293">
        <f t="shared" si="1269"/>
        <v>63</v>
      </c>
      <c r="CT829" s="293">
        <f t="shared" si="1269"/>
        <v>33</v>
      </c>
      <c r="CV829" s="293">
        <f t="shared" si="1270"/>
        <v>-22</v>
      </c>
      <c r="CW829" s="293">
        <f t="shared" si="1270"/>
        <v>-25</v>
      </c>
      <c r="CX829" s="293">
        <f t="shared" si="1270"/>
        <v>-47</v>
      </c>
      <c r="CY829" s="715"/>
      <c r="CZ829" s="293">
        <f t="shared" ref="CZ829:DB829" si="1283">+CZ499+CZ510+CZ521+CZ532+CZ543+CZ609+CZ642+CZ565+CZ576+CZ598+CZ620+CZ631+CZ587</f>
        <v>-23</v>
      </c>
      <c r="DA829" s="293">
        <f t="shared" si="1283"/>
        <v>32</v>
      </c>
      <c r="DB829" s="293">
        <f t="shared" si="1283"/>
        <v>9</v>
      </c>
      <c r="DC829" s="715"/>
      <c r="DD829" s="293">
        <f t="shared" ref="DD829:DF829" si="1284">+DD499+DD510+DD521+DD532+DD543+DD609+DD642+DD565+DD576+DD598+DD620+DD631+DD587</f>
        <v>-39</v>
      </c>
      <c r="DE829" s="293">
        <f t="shared" si="1284"/>
        <v>-48</v>
      </c>
      <c r="DF829" s="293">
        <f t="shared" si="1284"/>
        <v>-87</v>
      </c>
      <c r="DH829" s="293">
        <f t="shared" ref="DH829" si="1285">+DH499+DH510+DH521+DH532+DH543+DH609+DH642+DH565+DH576+DH598+DH620+DH631+DH587</f>
        <v>-28</v>
      </c>
      <c r="DI829" s="293">
        <f t="shared" ref="DI829:DJ829" si="1286">+DI499+DI510+DI521+DI532+DI543+DI609+DI642+DI565+DI576+DI598+DI620+DI631+DI587</f>
        <v>-35</v>
      </c>
      <c r="DJ829" s="293">
        <f t="shared" si="1286"/>
        <v>-63</v>
      </c>
      <c r="DL829" s="293">
        <f t="shared" ref="DL829:DN829" si="1287">+DL499+DL510+DL521+DL532+DL543+DL609+DL642+DL565+DL576+DL598+DL620+DL631+DL587</f>
        <v>-34.119999999999997</v>
      </c>
      <c r="DM829" s="293">
        <f t="shared" si="1287"/>
        <v>-39.243600000000001</v>
      </c>
      <c r="DN829" s="293">
        <f t="shared" si="1287"/>
        <v>-73.363600000000005</v>
      </c>
      <c r="DP829" s="293">
        <f t="shared" ref="DP829:DR829" si="1288">+DP499+DP510+DP521+DP532+DP543+DP609+DP642+DP565+DP576+DP598+DP620+DP631+DP587</f>
        <v>-34.370908</v>
      </c>
      <c r="DQ829" s="293">
        <f t="shared" si="1288"/>
        <v>-39.502035239999998</v>
      </c>
      <c r="DR829" s="293">
        <f t="shared" si="1288"/>
        <v>-73.872943239999998</v>
      </c>
      <c r="DU829" s="876"/>
      <c r="DV829" s="876"/>
      <c r="DW829" s="876"/>
      <c r="DZ829" s="876"/>
      <c r="EA829" s="876"/>
      <c r="ED829" s="876"/>
      <c r="EE829" s="876"/>
    </row>
    <row r="830" spans="1:273">
      <c r="A830" s="1008" t="s">
        <v>688</v>
      </c>
      <c r="AR830" s="685"/>
      <c r="AS830" s="685"/>
      <c r="AT830" s="730"/>
      <c r="AU830" s="730"/>
      <c r="AV830" s="685"/>
      <c r="AW830" s="685"/>
      <c r="AX830" s="730"/>
      <c r="AY830" s="730"/>
      <c r="AZ830" s="685"/>
      <c r="BA830" s="876"/>
      <c r="BD830" s="711"/>
      <c r="BE830" s="885"/>
      <c r="BF830" s="711"/>
      <c r="BH830" s="685"/>
      <c r="BI830" s="876"/>
      <c r="BL830" s="876"/>
      <c r="BM830" s="876"/>
      <c r="BP830" s="876"/>
      <c r="BQ830" s="876"/>
      <c r="BT830" s="876"/>
      <c r="BU830" s="876"/>
      <c r="BX830" s="293">
        <f t="shared" si="1264"/>
        <v>0</v>
      </c>
      <c r="BY830" s="293">
        <f t="shared" si="1264"/>
        <v>0</v>
      </c>
      <c r="BZ830" s="293">
        <f t="shared" si="1264"/>
        <v>0</v>
      </c>
      <c r="CB830" s="293">
        <f t="shared" si="1265"/>
        <v>0</v>
      </c>
      <c r="CC830" s="293">
        <f t="shared" si="1265"/>
        <v>0</v>
      </c>
      <c r="CD830" s="293">
        <f t="shared" si="1265"/>
        <v>0</v>
      </c>
      <c r="CE830" s="103"/>
      <c r="CF830" s="293">
        <f t="shared" si="1266"/>
        <v>0</v>
      </c>
      <c r="CG830" s="293">
        <f t="shared" si="1266"/>
        <v>0</v>
      </c>
      <c r="CH830" s="293">
        <f t="shared" si="1266"/>
        <v>0</v>
      </c>
      <c r="CI830" s="103"/>
      <c r="CJ830" s="293">
        <f t="shared" si="1267"/>
        <v>0</v>
      </c>
      <c r="CK830" s="293">
        <f t="shared" si="1267"/>
        <v>0</v>
      </c>
      <c r="CL830" s="293">
        <f t="shared" si="1267"/>
        <v>0</v>
      </c>
      <c r="CM830" s="103"/>
      <c r="CN830" s="293">
        <f t="shared" si="1268"/>
        <v>0</v>
      </c>
      <c r="CO830" s="293">
        <f t="shared" si="1268"/>
        <v>0</v>
      </c>
      <c r="CP830" s="293">
        <f t="shared" si="1268"/>
        <v>0</v>
      </c>
      <c r="CQ830" s="103"/>
      <c r="CR830" s="293">
        <f t="shared" si="1269"/>
        <v>0</v>
      </c>
      <c r="CS830" s="293">
        <f t="shared" si="1269"/>
        <v>0</v>
      </c>
      <c r="CT830" s="293">
        <f t="shared" si="1269"/>
        <v>0</v>
      </c>
      <c r="CV830" s="293">
        <f t="shared" si="1270"/>
        <v>0</v>
      </c>
      <c r="CW830" s="293">
        <f t="shared" si="1270"/>
        <v>0</v>
      </c>
      <c r="CX830" s="293">
        <f t="shared" si="1270"/>
        <v>0</v>
      </c>
      <c r="CY830" s="715"/>
      <c r="CZ830" s="293">
        <f t="shared" ref="CZ830:DB830" si="1289">+CZ500+CZ511+CZ522+CZ533+CZ544+CZ610+CZ643+CZ566+CZ577+CZ599+CZ621+CZ632+CZ588</f>
        <v>0</v>
      </c>
      <c r="DA830" s="293">
        <f t="shared" si="1289"/>
        <v>0</v>
      </c>
      <c r="DB830" s="293">
        <f t="shared" si="1289"/>
        <v>0</v>
      </c>
      <c r="DC830" s="715"/>
      <c r="DD830" s="293">
        <f t="shared" ref="DD830:DF830" si="1290">+DD500+DD511+DD522+DD533+DD544+DD610+DD643+DD566+DD577+DD599+DD621+DD632+DD588</f>
        <v>0</v>
      </c>
      <c r="DE830" s="293">
        <f t="shared" si="1290"/>
        <v>0</v>
      </c>
      <c r="DF830" s="293">
        <f t="shared" si="1290"/>
        <v>0</v>
      </c>
      <c r="DH830" s="293">
        <f t="shared" ref="DH830" si="1291">+DH500+DH511+DH522+DH533+DH544+DH610+DH643+DH566+DH577+DH599+DH621+DH632+DH588</f>
        <v>0</v>
      </c>
      <c r="DI830" s="293">
        <f t="shared" ref="DI830:DJ830" si="1292">+DI500+DI511+DI522+DI533+DI544+DI610+DI643+DI566+DI577+DI599+DI621+DI632+DI588</f>
        <v>0</v>
      </c>
      <c r="DJ830" s="293">
        <f t="shared" si="1292"/>
        <v>0</v>
      </c>
      <c r="DL830" s="293">
        <f t="shared" ref="DL830:DN830" si="1293">+DL500+DL511+DL522+DL533+DL544+DL610+DL643+DL566+DL577+DL599+DL621+DL632+DL588</f>
        <v>0</v>
      </c>
      <c r="DM830" s="293">
        <f t="shared" si="1293"/>
        <v>0</v>
      </c>
      <c r="DN830" s="293">
        <f t="shared" si="1293"/>
        <v>0</v>
      </c>
      <c r="DP830" s="293">
        <f t="shared" ref="DP830:DR830" si="1294">+DP500+DP511+DP522+DP533+DP544+DP610+DP643+DP566+DP577+DP599+DP621+DP632+DP588</f>
        <v>0</v>
      </c>
      <c r="DQ830" s="293">
        <f t="shared" si="1294"/>
        <v>0</v>
      </c>
      <c r="DR830" s="293">
        <f t="shared" si="1294"/>
        <v>0</v>
      </c>
      <c r="DU830" s="876"/>
      <c r="DV830" s="876"/>
      <c r="DW830" s="876"/>
      <c r="DZ830" s="876"/>
      <c r="EA830" s="876"/>
      <c r="ED830" s="876"/>
      <c r="EE830" s="876"/>
    </row>
    <row r="831" spans="1:273">
      <c r="A831" s="1008" t="s">
        <v>691</v>
      </c>
      <c r="AR831" s="685"/>
      <c r="AS831" s="685"/>
      <c r="AT831" s="730"/>
      <c r="AU831" s="730"/>
      <c r="AV831" s="685"/>
      <c r="AW831" s="685"/>
      <c r="AX831" s="730"/>
      <c r="AY831" s="730"/>
      <c r="AZ831" s="685"/>
      <c r="BA831" s="876"/>
      <c r="BD831" s="711"/>
      <c r="BE831" s="885"/>
      <c r="BF831" s="711"/>
      <c r="BH831" s="685"/>
      <c r="BI831" s="876"/>
      <c r="BL831" s="876"/>
      <c r="BM831" s="876"/>
      <c r="BP831" s="876"/>
      <c r="BQ831" s="876"/>
      <c r="BT831" s="876"/>
      <c r="BU831" s="876"/>
      <c r="BX831" s="293">
        <f t="shared" si="1264"/>
        <v>34</v>
      </c>
      <c r="BY831" s="293">
        <f t="shared" si="1264"/>
        <v>64</v>
      </c>
      <c r="BZ831" s="293">
        <f t="shared" si="1264"/>
        <v>98</v>
      </c>
      <c r="CB831" s="293">
        <f t="shared" si="1265"/>
        <v>-114</v>
      </c>
      <c r="CC831" s="293">
        <f t="shared" si="1265"/>
        <v>58</v>
      </c>
      <c r="CD831" s="293">
        <f t="shared" si="1265"/>
        <v>-56</v>
      </c>
      <c r="CE831" s="103"/>
      <c r="CF831" s="293">
        <f t="shared" si="1266"/>
        <v>-91</v>
      </c>
      <c r="CG831" s="293">
        <f t="shared" si="1266"/>
        <v>7</v>
      </c>
      <c r="CH831" s="293">
        <f t="shared" si="1266"/>
        <v>-84</v>
      </c>
      <c r="CI831" s="103"/>
      <c r="CJ831" s="293">
        <f t="shared" si="1267"/>
        <v>25</v>
      </c>
      <c r="CK831" s="293">
        <f t="shared" si="1267"/>
        <v>-160</v>
      </c>
      <c r="CL831" s="293">
        <f t="shared" si="1267"/>
        <v>-135</v>
      </c>
      <c r="CM831" s="103"/>
      <c r="CN831" s="293">
        <f>+CN501+CN512+CN523+CN534+CN545+CN611+CN644+CN567+CN578+CN600+CN622+CN633+CN589</f>
        <v>-41</v>
      </c>
      <c r="CO831" s="293">
        <f>+CO501+CO512+CO523+CO534+CO545+CO611+CO644+CO567+CO578+CO600+CO622+CO633+CO589+7</f>
        <v>95</v>
      </c>
      <c r="CP831" s="293">
        <f>+CP501+CP512+CP523+CP534+CP545+CP611+CP644+CP567+CP578+CP600+CP622+CP633+CP589</f>
        <v>47</v>
      </c>
      <c r="CQ831" s="103"/>
      <c r="CR831" s="293">
        <f t="shared" si="1269"/>
        <v>-13</v>
      </c>
      <c r="CS831" s="293">
        <f t="shared" si="1269"/>
        <v>15</v>
      </c>
      <c r="CT831" s="293">
        <f t="shared" si="1269"/>
        <v>2</v>
      </c>
      <c r="CV831" s="293">
        <f t="shared" si="1270"/>
        <v>-24</v>
      </c>
      <c r="CW831" s="293">
        <f t="shared" si="1270"/>
        <v>-9</v>
      </c>
      <c r="CX831" s="293">
        <f t="shared" si="1270"/>
        <v>-33</v>
      </c>
      <c r="CY831" s="715"/>
      <c r="CZ831" s="293">
        <f t="shared" ref="CZ831:DB831" si="1295">+CZ501+CZ512+CZ523+CZ534+CZ545+CZ611+CZ644+CZ567+CZ578+CZ600+CZ622+CZ633+CZ589</f>
        <v>35</v>
      </c>
      <c r="DA831" s="293">
        <f t="shared" si="1295"/>
        <v>55</v>
      </c>
      <c r="DB831" s="293">
        <f t="shared" si="1295"/>
        <v>90</v>
      </c>
      <c r="DC831" s="715"/>
      <c r="DD831" s="293">
        <f t="shared" ref="DD831:DF831" si="1296">+DD501+DD512+DD523+DD534+DD545+DD611+DD644+DD567+DD578+DD600+DD622+DD633+DD589</f>
        <v>118</v>
      </c>
      <c r="DE831" s="293">
        <f t="shared" si="1296"/>
        <v>-310</v>
      </c>
      <c r="DF831" s="293">
        <f t="shared" si="1296"/>
        <v>-192</v>
      </c>
      <c r="DH831" s="293">
        <f t="shared" ref="DH831" si="1297">+DH501+DH512+DH523+DH534+DH545+DH611+DH644+DH567+DH578+DH600+DH622+DH633+DH589</f>
        <v>-212</v>
      </c>
      <c r="DI831" s="293">
        <f t="shared" ref="DI831:DJ831" si="1298">+DI501+DI512+DI523+DI534+DI545+DI611+DI644+DI567+DI578+DI600+DI622+DI633+DI589</f>
        <v>-57.817599999999999</v>
      </c>
      <c r="DJ831" s="293">
        <f t="shared" si="1298"/>
        <v>-269.81759999999997</v>
      </c>
      <c r="DL831" s="293">
        <f t="shared" ref="DL831:DN831" si="1299">+DL501+DL512+DL523+DL534+DL545+DL611+DL644+DL567+DL578+DL600+DL622+DL633+DL589</f>
        <v>-100</v>
      </c>
      <c r="DM831" s="293">
        <f t="shared" si="1299"/>
        <v>-95</v>
      </c>
      <c r="DN831" s="293">
        <f t="shared" si="1299"/>
        <v>-195</v>
      </c>
      <c r="DP831" s="293">
        <f t="shared" ref="DP831:DR831" si="1300">+DP501+DP512+DP523+DP534+DP545+DP611+DP644+DP567+DP578+DP600+DP622+DP633+DP589</f>
        <v>-45</v>
      </c>
      <c r="DQ831" s="293">
        <f t="shared" si="1300"/>
        <v>-50</v>
      </c>
      <c r="DR831" s="293">
        <f t="shared" si="1300"/>
        <v>-95</v>
      </c>
      <c r="DU831" s="876"/>
      <c r="DV831" s="876"/>
      <c r="DW831" s="876"/>
      <c r="DZ831" s="876"/>
      <c r="EA831" s="876"/>
      <c r="ED831" s="876"/>
      <c r="EE831" s="876"/>
    </row>
    <row r="832" spans="1:273" s="289" customFormat="1">
      <c r="A832" s="1510" t="s">
        <v>1327</v>
      </c>
      <c r="B832" s="290"/>
      <c r="AN832" s="290"/>
      <c r="AO832" s="290"/>
      <c r="AP832" s="290"/>
      <c r="AQ832" s="290"/>
      <c r="AR832" s="376"/>
      <c r="AS832" s="376"/>
      <c r="AT832" s="674"/>
      <c r="AU832" s="674"/>
      <c r="AV832" s="376"/>
      <c r="AW832" s="376"/>
      <c r="AX832" s="674"/>
      <c r="AY832" s="674"/>
      <c r="AZ832" s="376"/>
      <c r="BA832" s="1014"/>
      <c r="BB832" s="290"/>
      <c r="BC832" s="290"/>
      <c r="BD832" s="715"/>
      <c r="BE832" s="1352"/>
      <c r="BF832" s="715"/>
      <c r="BG832" s="290"/>
      <c r="BH832" s="376"/>
      <c r="BI832" s="1014"/>
      <c r="BJ832" s="290"/>
      <c r="BK832" s="290"/>
      <c r="BL832" s="1014"/>
      <c r="BM832" s="1014"/>
      <c r="BN832" s="290"/>
      <c r="BO832" s="290"/>
      <c r="BP832" s="1014"/>
      <c r="BQ832" s="1014"/>
      <c r="BR832" s="290"/>
      <c r="BS832" s="290"/>
      <c r="BT832" s="1014"/>
      <c r="BU832" s="1014"/>
      <c r="BV832" s="290"/>
      <c r="BW832" s="290"/>
      <c r="BX832" s="715">
        <f>+BX659</f>
        <v>843</v>
      </c>
      <c r="BY832" s="715">
        <f>+BY659</f>
        <v>539</v>
      </c>
      <c r="BZ832" s="715">
        <f>+BZ659</f>
        <v>1382</v>
      </c>
      <c r="CA832" s="290"/>
      <c r="CB832" s="715">
        <f>+CB659</f>
        <v>902</v>
      </c>
      <c r="CC832" s="715">
        <f>+CC659</f>
        <v>824</v>
      </c>
      <c r="CD832" s="715">
        <f>+CD659</f>
        <v>1726</v>
      </c>
      <c r="CE832" s="290"/>
      <c r="CF832" s="715">
        <f>+CF659</f>
        <v>754</v>
      </c>
      <c r="CG832" s="715">
        <f>+CG659</f>
        <v>1888</v>
      </c>
      <c r="CH832" s="715">
        <f>+CH659</f>
        <v>2642</v>
      </c>
      <c r="CI832" s="290"/>
      <c r="CJ832" s="715">
        <f>+CJ659</f>
        <v>1163</v>
      </c>
      <c r="CK832" s="715">
        <f>+CK659</f>
        <v>586</v>
      </c>
      <c r="CL832" s="715">
        <f>+CL659</f>
        <v>1749</v>
      </c>
      <c r="CM832" s="290"/>
      <c r="CN832" s="715">
        <f>+CN659</f>
        <v>608</v>
      </c>
      <c r="CO832" s="715">
        <f>+CO659</f>
        <v>1510</v>
      </c>
      <c r="CP832" s="715">
        <f>+CP659</f>
        <v>2118</v>
      </c>
      <c r="CQ832" s="290"/>
      <c r="CR832" s="715">
        <f>+CR659</f>
        <v>1069</v>
      </c>
      <c r="CS832" s="715">
        <f>+CS659</f>
        <v>2265</v>
      </c>
      <c r="CT832" s="715">
        <f>+CT659</f>
        <v>3334</v>
      </c>
      <c r="CU832" s="290"/>
      <c r="CV832" s="715">
        <f>+CV659</f>
        <v>1523</v>
      </c>
      <c r="CW832" s="715">
        <f>+CW659</f>
        <v>1026</v>
      </c>
      <c r="CX832" s="715">
        <f>+CX659</f>
        <v>2549</v>
      </c>
      <c r="CY832" s="715"/>
      <c r="CZ832" s="715">
        <f>+CZ659</f>
        <v>670</v>
      </c>
      <c r="DA832" s="715">
        <f>+DA659</f>
        <v>1311</v>
      </c>
      <c r="DB832" s="715">
        <f>+DB659</f>
        <v>1980</v>
      </c>
      <c r="DC832" s="715"/>
      <c r="DD832" s="715">
        <f>+DD659</f>
        <v>978</v>
      </c>
      <c r="DE832" s="715">
        <f ca="1">+DE659</f>
        <v>815</v>
      </c>
      <c r="DF832" s="715">
        <f ca="1">+DF659</f>
        <v>1793</v>
      </c>
      <c r="DG832" s="290"/>
      <c r="DH832" s="715">
        <f>+DH659</f>
        <v>869</v>
      </c>
      <c r="DI832" s="715">
        <f t="shared" ref="DI832:DJ832" si="1301">+DI659</f>
        <v>1548.145635180334</v>
      </c>
      <c r="DJ832" s="715">
        <f t="shared" si="1301"/>
        <v>2417.145635180334</v>
      </c>
      <c r="DK832" s="290"/>
      <c r="DL832" s="715">
        <f t="shared" ref="DL832:DN832" si="1302">+DL659</f>
        <v>993.20142731850797</v>
      </c>
      <c r="DM832" s="715">
        <f t="shared" si="1302"/>
        <v>1231.4239909451953</v>
      </c>
      <c r="DN832" s="715">
        <f t="shared" si="1302"/>
        <v>2224.6254182637035</v>
      </c>
      <c r="DO832" s="290"/>
      <c r="DP832" s="715">
        <f t="shared" ref="DP832:DR832" si="1303">+DP659</f>
        <v>1108.8339528260469</v>
      </c>
      <c r="DQ832" s="715">
        <f t="shared" si="1303"/>
        <v>1366.6034002861436</v>
      </c>
      <c r="DR832" s="715">
        <f t="shared" si="1303"/>
        <v>2475.4373531121905</v>
      </c>
      <c r="DS832" s="290"/>
      <c r="DT832" s="290"/>
      <c r="DU832" s="1014"/>
      <c r="DV832" s="1014"/>
      <c r="DW832" s="1014"/>
      <c r="DX832" s="290"/>
      <c r="DY832" s="290"/>
      <c r="DZ832" s="1014"/>
      <c r="EA832" s="1014"/>
      <c r="EB832" s="290"/>
      <c r="EC832" s="290"/>
      <c r="ED832" s="1014"/>
      <c r="EE832" s="1014"/>
      <c r="EF832" s="290"/>
      <c r="EG832" s="290"/>
      <c r="EH832" s="290"/>
      <c r="EI832" s="290"/>
      <c r="EJ832" s="290"/>
      <c r="EK832" s="290"/>
      <c r="EL832" s="290"/>
      <c r="EM832" s="290"/>
      <c r="EN832" s="290"/>
      <c r="EO832" s="290"/>
      <c r="EP832" s="290"/>
      <c r="JM832"/>
    </row>
    <row r="833" spans="1:273" outlineLevel="1">
      <c r="A833" s="1008" t="s">
        <v>580</v>
      </c>
      <c r="B833" s="1590"/>
      <c r="C833" s="1589"/>
      <c r="D833" s="1589"/>
      <c r="E833" s="1589"/>
      <c r="F833" s="1589"/>
      <c r="G833" s="1589"/>
      <c r="H833" s="1589"/>
      <c r="I833" s="1589"/>
      <c r="J833" s="1589"/>
      <c r="K833" s="1589"/>
      <c r="L833" s="1589"/>
      <c r="M833" s="1589"/>
      <c r="N833" s="1589"/>
      <c r="O833" s="1589"/>
      <c r="P833" s="1589"/>
      <c r="Q833" s="1589"/>
      <c r="R833" s="1589"/>
      <c r="S833" s="1589"/>
      <c r="T833" s="1589"/>
      <c r="U833" s="1589"/>
      <c r="V833" s="1589"/>
      <c r="W833" s="1589"/>
      <c r="X833" s="1589"/>
      <c r="Y833" s="1589"/>
      <c r="Z833" s="1589"/>
      <c r="AA833" s="1589"/>
      <c r="AB833" s="1589"/>
      <c r="AC833" s="1589"/>
      <c r="AD833" s="1589"/>
      <c r="AE833" s="1589"/>
      <c r="AF833" s="1589"/>
      <c r="AG833" s="1589"/>
      <c r="AH833" s="1589"/>
      <c r="AI833" s="1589"/>
      <c r="AJ833" s="1589"/>
      <c r="AK833" s="1589"/>
      <c r="AL833" s="1589"/>
      <c r="AM833" s="1589"/>
      <c r="AN833" s="1590"/>
      <c r="AO833" s="1590"/>
      <c r="AP833" s="1590"/>
      <c r="AQ833" s="1590"/>
      <c r="AR833" s="1591"/>
      <c r="AS833" s="1591"/>
      <c r="AT833" s="1592"/>
      <c r="AU833" s="1592"/>
      <c r="AV833" s="1591"/>
      <c r="AW833" s="1591"/>
      <c r="AX833" s="1592"/>
      <c r="AY833" s="1592"/>
      <c r="AZ833" s="1591"/>
      <c r="BA833" s="1593"/>
      <c r="BB833" s="1590"/>
      <c r="BC833" s="1590"/>
      <c r="BD833" s="1594"/>
      <c r="BE833" s="1595"/>
      <c r="BF833" s="1594"/>
      <c r="BG833" s="1590"/>
      <c r="BH833" s="1591"/>
      <c r="BI833" s="1593"/>
      <c r="BJ833" s="1590"/>
      <c r="BK833" s="1590"/>
      <c r="BL833" s="1593"/>
      <c r="BM833" s="1593"/>
      <c r="BN833" s="1590"/>
      <c r="BO833" s="1590"/>
      <c r="BP833" s="1593"/>
      <c r="BQ833" s="1593"/>
      <c r="BR833" s="1590"/>
      <c r="BS833" s="1590"/>
      <c r="BT833" s="1593"/>
      <c r="BU833" s="1593"/>
      <c r="BV833" s="1590"/>
      <c r="BW833" s="1590"/>
      <c r="BX833" s="1596">
        <f t="shared" ref="BX833" si="1304">+BX832-SUM(BX825:BX831)</f>
        <v>0</v>
      </c>
      <c r="BY833" s="1596">
        <f t="shared" ref="BY833:BZ833" si="1305">+BY832-SUM(BY825:BY831)</f>
        <v>0</v>
      </c>
      <c r="BZ833" s="1596">
        <f t="shared" si="1305"/>
        <v>0</v>
      </c>
      <c r="CA833" s="1590"/>
      <c r="CB833" s="1596">
        <f t="shared" ref="CB833:CD833" si="1306">+CB832-SUM(CB825:CB831)</f>
        <v>0</v>
      </c>
      <c r="CC833" s="1596">
        <f t="shared" si="1306"/>
        <v>0</v>
      </c>
      <c r="CD833" s="1596">
        <f t="shared" si="1306"/>
        <v>0</v>
      </c>
      <c r="CE833" s="1590"/>
      <c r="CF833" s="1596">
        <f t="shared" ref="CF833:CH833" si="1307">+CF832-SUM(CF825:CF831)</f>
        <v>0</v>
      </c>
      <c r="CG833" s="1596">
        <f t="shared" si="1307"/>
        <v>0</v>
      </c>
      <c r="CH833" s="1596">
        <f t="shared" si="1307"/>
        <v>0</v>
      </c>
      <c r="CI833" s="1590"/>
      <c r="CJ833" s="1596">
        <f t="shared" ref="CJ833:CL833" si="1308">+CJ832-SUM(CJ825:CJ831)</f>
        <v>0</v>
      </c>
      <c r="CK833" s="1596">
        <f t="shared" si="1308"/>
        <v>0</v>
      </c>
      <c r="CL833" s="1596">
        <f t="shared" si="1308"/>
        <v>0</v>
      </c>
      <c r="CM833" s="1590"/>
      <c r="CN833" s="1596">
        <f t="shared" ref="CN833:CP833" si="1309">+CN832-SUM(CN825:CN831)</f>
        <v>0</v>
      </c>
      <c r="CO833" s="1596">
        <f t="shared" si="1309"/>
        <v>0</v>
      </c>
      <c r="CP833" s="1596">
        <f t="shared" si="1309"/>
        <v>0</v>
      </c>
      <c r="CQ833" s="1590"/>
      <c r="CR833" s="1696">
        <f t="shared" ref="CR833:CT833" si="1310">+CR832-SUM(CR825:CR831)</f>
        <v>-570</v>
      </c>
      <c r="CS833" s="1696">
        <f t="shared" si="1310"/>
        <v>0</v>
      </c>
      <c r="CT833" s="1696">
        <f t="shared" si="1310"/>
        <v>0</v>
      </c>
      <c r="CU833" s="1590"/>
      <c r="CV833" s="1696">
        <f t="shared" ref="CV833:CX833" si="1311">+CV832-SUM(CV825:CV831)</f>
        <v>0</v>
      </c>
      <c r="CW833" s="1696">
        <f t="shared" si="1311"/>
        <v>0</v>
      </c>
      <c r="CX833" s="1696">
        <f t="shared" si="1311"/>
        <v>0</v>
      </c>
      <c r="CY833" s="1590"/>
      <c r="CZ833" s="1696">
        <f t="shared" ref="CZ833:DB833" si="1312">+CZ832-SUM(CZ825:CZ831)</f>
        <v>0</v>
      </c>
      <c r="DA833" s="1696">
        <f t="shared" si="1312"/>
        <v>0</v>
      </c>
      <c r="DB833" s="1696">
        <f t="shared" si="1312"/>
        <v>0</v>
      </c>
      <c r="DC833" s="1590"/>
      <c r="DD833" s="1696">
        <f t="shared" ref="DD833:DF833" si="1313">+DD832-SUM(DD825:DD831)</f>
        <v>0</v>
      </c>
      <c r="DE833" s="1696">
        <f t="shared" ca="1" si="1313"/>
        <v>0</v>
      </c>
      <c r="DF833" s="1696">
        <f t="shared" ca="1" si="1313"/>
        <v>0</v>
      </c>
      <c r="DG833" s="1590"/>
      <c r="DH833" s="1696">
        <f t="shared" ref="DH833" si="1314">+DH832-SUM(DH825:DH831)</f>
        <v>0</v>
      </c>
      <c r="DI833" s="1696">
        <f t="shared" ref="DI833:DJ833" si="1315">+DI832-SUM(DI825:DI831)</f>
        <v>0</v>
      </c>
      <c r="DJ833" s="1696">
        <f t="shared" si="1315"/>
        <v>0</v>
      </c>
      <c r="DK833" s="1590"/>
      <c r="DL833" s="1696">
        <f t="shared" ref="DL833:DN833" si="1316">+DL832-SUM(DL825:DL831)</f>
        <v>0</v>
      </c>
      <c r="DM833" s="1696">
        <f t="shared" si="1316"/>
        <v>0</v>
      </c>
      <c r="DN833" s="1696">
        <f t="shared" si="1316"/>
        <v>0</v>
      </c>
      <c r="DP833" s="1696">
        <f t="shared" ref="DP833:DR833" si="1317">+DP832-SUM(DP825:DP831)</f>
        <v>0</v>
      </c>
      <c r="DQ833" s="1696">
        <f t="shared" si="1317"/>
        <v>0</v>
      </c>
      <c r="DR833" s="1696">
        <f t="shared" si="1317"/>
        <v>0</v>
      </c>
      <c r="DU833" s="876"/>
      <c r="DV833" s="876"/>
      <c r="DW833" s="876"/>
      <c r="DZ833" s="876"/>
      <c r="EA833" s="876"/>
      <c r="ED833" s="876"/>
      <c r="EE833" s="876"/>
    </row>
    <row r="834" spans="1:273" s="289" customFormat="1">
      <c r="A834" s="1510" t="s">
        <v>1325</v>
      </c>
      <c r="B834" s="290"/>
      <c r="AN834" s="290"/>
      <c r="AO834" s="290"/>
      <c r="AP834" s="290"/>
      <c r="AQ834" s="290"/>
      <c r="AR834" s="376"/>
      <c r="AS834" s="376"/>
      <c r="AT834" s="674"/>
      <c r="AU834" s="674"/>
      <c r="AV834" s="376"/>
      <c r="AW834" s="376"/>
      <c r="AX834" s="674"/>
      <c r="AY834" s="674"/>
      <c r="AZ834" s="376"/>
      <c r="BA834" s="1014"/>
      <c r="BB834" s="290"/>
      <c r="BC834" s="290"/>
      <c r="BD834" s="715"/>
      <c r="BE834" s="1352"/>
      <c r="BF834" s="715"/>
      <c r="BG834" s="290"/>
      <c r="BH834" s="376"/>
      <c r="BI834" s="1014"/>
      <c r="BJ834" s="290"/>
      <c r="BK834" s="290"/>
      <c r="BL834" s="1014"/>
      <c r="BM834" s="1014"/>
      <c r="BN834" s="290"/>
      <c r="BO834" s="290"/>
      <c r="BP834" s="1014"/>
      <c r="BQ834" s="1014"/>
      <c r="BR834" s="290"/>
      <c r="BS834" s="290"/>
      <c r="BT834" s="1014"/>
      <c r="BU834" s="1014"/>
      <c r="BV834" s="290"/>
      <c r="BW834" s="290"/>
      <c r="BX834" s="649">
        <f>+BX1054/BX832</f>
        <v>0.19066150240970675</v>
      </c>
      <c r="BY834" s="649">
        <f>+BY1054/BY832</f>
        <v>-2.7424424530861791E-2</v>
      </c>
      <c r="BZ834" s="649">
        <f>+BZ1054/BZ832</f>
        <v>0.10546368763869657</v>
      </c>
      <c r="CA834" s="290"/>
      <c r="CB834" s="649">
        <f>+CB1054/CB832</f>
        <v>9.2766969681603653E-2</v>
      </c>
      <c r="CC834" s="649">
        <f>+CC1054/CC832</f>
        <v>7.597622236914213E-2</v>
      </c>
      <c r="CD834" s="649">
        <f>+CD1054/CD832</f>
        <v>8.8454909905355955E-2</v>
      </c>
      <c r="CE834" s="290"/>
      <c r="CF834" s="649">
        <f>+CF1054/CF832</f>
        <v>0.21748372317337822</v>
      </c>
      <c r="CG834" s="649">
        <f>+CG1054/CG832</f>
        <v>3.0474538134112137E-2</v>
      </c>
      <c r="CH834" s="649">
        <f>+CH1054/CH832</f>
        <v>8.3604408567218125E-2</v>
      </c>
      <c r="CI834" s="290"/>
      <c r="CJ834" s="649">
        <f>+CJ1054/CJ832</f>
        <v>0.19903803725065794</v>
      </c>
      <c r="CK834" s="649">
        <f>+CK1054/CK832</f>
        <v>0.10285388108780588</v>
      </c>
      <c r="CL834" s="649">
        <f>+CL1054/CL832</f>
        <v>0.16653888303497547</v>
      </c>
      <c r="CM834" s="290"/>
      <c r="CN834" s="649">
        <f>+CN1054/CN832</f>
        <v>0.49705799362831032</v>
      </c>
      <c r="CO834" s="649">
        <f>+CO1054/CO832</f>
        <v>-9.0608942705830559E-3</v>
      </c>
      <c r="CP834" s="649">
        <f>+CP1054/CP832</f>
        <v>0.13644585410418067</v>
      </c>
      <c r="CQ834" s="290"/>
      <c r="CR834" s="649">
        <f>+CR1054/CR832</f>
        <v>0.25833639207488757</v>
      </c>
      <c r="CS834" s="649">
        <f>+CS1054/CS832</f>
        <v>1.9622098516926638E-2</v>
      </c>
      <c r="CT834" s="649">
        <f>+CT1054/CT832</f>
        <v>9.6183563429617938E-2</v>
      </c>
      <c r="CU834" s="290"/>
      <c r="CV834" s="649">
        <f>+CV1054/CV832</f>
        <v>7.4297532436469055E-2</v>
      </c>
      <c r="CW834" s="649">
        <f>+CW1054/CW832</f>
        <v>0.12041433370660737</v>
      </c>
      <c r="CX834" s="649">
        <f>+CX1054/CX832</f>
        <v>9.2668842279024097E-2</v>
      </c>
      <c r="CY834" s="290"/>
      <c r="CZ834" s="649">
        <f>+CZ1054/CZ832</f>
        <v>0.28543372722909227</v>
      </c>
      <c r="DA834" s="649">
        <f>+DA1054/DA832</f>
        <v>3.4163302669836637E-2</v>
      </c>
      <c r="DB834" s="649">
        <f>+DB1054/DB832</f>
        <v>0.11917577460358326</v>
      </c>
      <c r="DC834" s="290"/>
      <c r="DD834" s="649">
        <f>+DD1054/DD832</f>
        <v>0.17038396083704477</v>
      </c>
      <c r="DE834" s="649">
        <f ca="1">+DE1054/DE832</f>
        <v>-0.13027202132844828</v>
      </c>
      <c r="DF834" s="649">
        <f ca="1">+DF1054/DF832</f>
        <v>3.2678229008341678E-2</v>
      </c>
      <c r="DG834" s="290"/>
      <c r="DH834" s="649">
        <f>+DH1054/DH832</f>
        <v>0.28386855010976458</v>
      </c>
      <c r="DI834" s="649">
        <f>+DI1054/DI832</f>
        <v>0.1102259220825838</v>
      </c>
      <c r="DJ834" s="649">
        <f>+DJ1054/DJ832</f>
        <v>0.17416939669249631</v>
      </c>
      <c r="DK834" s="290"/>
      <c r="DL834" s="649">
        <f>+DL1054/DL832</f>
        <v>0.61050943182234219</v>
      </c>
      <c r="DM834" s="649">
        <f>+DM1054/DM832</f>
        <v>0.26451276990329176</v>
      </c>
      <c r="DN834" s="649">
        <f>+DN1054/DN832</f>
        <v>0.41898568729612223</v>
      </c>
      <c r="DO834" s="290"/>
      <c r="DP834" s="649">
        <f>+DP1054/DP832</f>
        <v>0.6030800618444998</v>
      </c>
      <c r="DQ834" s="649">
        <f>+DQ1054/DQ832</f>
        <v>0.29120440398236136</v>
      </c>
      <c r="DR834" s="649">
        <f>+DR1054/DR832</f>
        <v>0.43090429097918881</v>
      </c>
      <c r="DS834" s="290"/>
      <c r="DT834" s="290"/>
      <c r="DU834" s="1014"/>
      <c r="DV834" s="1014"/>
      <c r="DW834" s="1014"/>
      <c r="DX834" s="290"/>
      <c r="DY834" s="290"/>
      <c r="DZ834" s="1014"/>
      <c r="EA834" s="1014"/>
      <c r="EB834" s="290"/>
      <c r="EC834" s="290"/>
      <c r="ED834" s="1014"/>
      <c r="EE834" s="1014"/>
      <c r="EF834" s="290"/>
      <c r="EG834" s="290"/>
      <c r="EH834" s="290"/>
      <c r="EI834" s="290"/>
      <c r="EJ834" s="290"/>
      <c r="EK834" s="290"/>
      <c r="EL834" s="290"/>
      <c r="EM834" s="290"/>
      <c r="EN834" s="290"/>
      <c r="EO834" s="290"/>
      <c r="EP834" s="290"/>
      <c r="JM834"/>
    </row>
    <row r="835" spans="1:273">
      <c r="A835" s="1008"/>
      <c r="AR835" s="685"/>
      <c r="AS835" s="685"/>
      <c r="AT835" s="730"/>
      <c r="AU835" s="730"/>
      <c r="AV835" s="685"/>
      <c r="AW835" s="685"/>
      <c r="AX835" s="730"/>
      <c r="AY835" s="730"/>
      <c r="AZ835" s="685"/>
      <c r="BA835" s="876"/>
      <c r="BD835" s="711"/>
      <c r="BE835" s="885"/>
      <c r="BF835" s="711"/>
      <c r="BH835" s="685"/>
      <c r="BI835" s="876"/>
      <c r="BL835" s="876"/>
      <c r="BM835" s="876"/>
      <c r="BP835" s="876"/>
      <c r="BQ835" s="876"/>
      <c r="BT835" s="876"/>
      <c r="BU835" s="876"/>
      <c r="BX835" s="320"/>
      <c r="BY835" s="320"/>
      <c r="BZ835" s="320"/>
      <c r="CB835" s="320"/>
      <c r="CC835" s="320"/>
      <c r="CD835" s="320"/>
      <c r="CE835" s="103"/>
      <c r="CF835" s="320"/>
      <c r="CG835" s="320"/>
      <c r="CH835" s="320"/>
      <c r="CI835" s="103"/>
      <c r="CJ835" s="320"/>
      <c r="CK835" s="320"/>
      <c r="CL835" s="320"/>
      <c r="CM835" s="103"/>
      <c r="CN835" s="320"/>
      <c r="CO835" s="320"/>
      <c r="CP835" s="320"/>
      <c r="CQ835" s="103"/>
      <c r="CR835" s="320"/>
      <c r="CS835" s="320"/>
      <c r="CT835" s="320"/>
      <c r="CV835" s="876"/>
      <c r="CW835" s="876"/>
      <c r="CZ835" s="876"/>
      <c r="DA835" s="876"/>
      <c r="DD835" s="876"/>
      <c r="DE835" s="876"/>
      <c r="DH835" s="876"/>
      <c r="DI835" s="876"/>
      <c r="DL835" s="876"/>
      <c r="DM835" s="876"/>
      <c r="DP835" s="876"/>
      <c r="DQ835" s="876"/>
      <c r="DU835" s="876"/>
      <c r="DV835" s="876"/>
      <c r="DW835" s="876"/>
      <c r="DZ835" s="876"/>
      <c r="EA835" s="876"/>
      <c r="ED835" s="876"/>
      <c r="EE835" s="876"/>
    </row>
    <row r="836" spans="1:273">
      <c r="A836" s="1709" t="s">
        <v>1328</v>
      </c>
      <c r="AR836" s="685"/>
      <c r="AS836" s="685"/>
      <c r="AT836" s="730"/>
      <c r="AU836" s="730"/>
      <c r="AV836" s="685"/>
      <c r="AW836" s="685"/>
      <c r="AX836" s="730"/>
      <c r="AY836" s="730"/>
      <c r="AZ836" s="685"/>
      <c r="BA836" s="876"/>
      <c r="BD836" s="711"/>
      <c r="BE836" s="885"/>
      <c r="BF836" s="711"/>
      <c r="BH836" s="685"/>
      <c r="BI836" s="876"/>
      <c r="BL836" s="876"/>
      <c r="BM836" s="876"/>
      <c r="BP836" s="876"/>
      <c r="BQ836" s="876"/>
      <c r="BT836" s="876"/>
      <c r="BU836" s="876"/>
      <c r="BX836" s="876"/>
      <c r="BY836" s="876"/>
      <c r="CB836" s="876"/>
      <c r="CC836" s="876"/>
      <c r="CF836" s="876"/>
      <c r="CG836" s="876"/>
      <c r="CJ836" s="876"/>
      <c r="CK836" s="876"/>
      <c r="CN836" s="876"/>
      <c r="CO836" s="876"/>
      <c r="CR836" s="876"/>
      <c r="CS836" s="876"/>
      <c r="CV836" s="876"/>
      <c r="CW836" s="876"/>
      <c r="CZ836" s="876"/>
      <c r="DA836" s="876"/>
      <c r="DD836" s="876"/>
      <c r="DE836" s="876"/>
      <c r="DH836" s="876"/>
      <c r="DI836" s="876"/>
      <c r="DL836" s="876"/>
      <c r="DM836" s="876"/>
      <c r="DP836" s="876"/>
      <c r="DQ836" s="876"/>
      <c r="DU836" s="876"/>
      <c r="DV836" s="876"/>
      <c r="DW836" s="876"/>
      <c r="DZ836" s="876"/>
      <c r="EA836" s="876"/>
      <c r="ED836" s="876"/>
      <c r="EE836" s="876"/>
    </row>
    <row r="837" spans="1:273">
      <c r="A837" s="1008" t="s">
        <v>686</v>
      </c>
      <c r="AR837" s="685"/>
      <c r="AS837" s="685"/>
      <c r="AT837" s="730"/>
      <c r="AU837" s="730"/>
      <c r="AV837" s="685"/>
      <c r="AW837" s="685"/>
      <c r="AX837" s="730"/>
      <c r="AY837" s="730"/>
      <c r="AZ837" s="685"/>
      <c r="BA837" s="876"/>
      <c r="BD837" s="711"/>
      <c r="BE837" s="885"/>
      <c r="BF837" s="711"/>
      <c r="BH837" s="685"/>
      <c r="BI837" s="876"/>
      <c r="BL837" s="876"/>
      <c r="BM837" s="876"/>
      <c r="BP837" s="876"/>
      <c r="BQ837" s="876"/>
      <c r="BT837" s="876"/>
      <c r="BU837" s="876"/>
      <c r="BX837" s="293">
        <f t="shared" ref="BX837:BZ843" si="1318">+BX814-BX825</f>
        <v>417</v>
      </c>
      <c r="BY837" s="293">
        <f t="shared" si="1318"/>
        <v>507</v>
      </c>
      <c r="BZ837" s="293">
        <f t="shared" si="1318"/>
        <v>924</v>
      </c>
      <c r="CB837" s="293">
        <f t="shared" ref="CB837:CD843" si="1319">+CB814-CB825</f>
        <v>414</v>
      </c>
      <c r="CC837" s="293">
        <f t="shared" si="1319"/>
        <v>436</v>
      </c>
      <c r="CD837" s="293">
        <f t="shared" si="1319"/>
        <v>850</v>
      </c>
      <c r="CE837" s="103"/>
      <c r="CF837" s="293">
        <f t="shared" ref="CF837:CH843" si="1320">+CF814-CF825</f>
        <v>513</v>
      </c>
      <c r="CG837" s="293">
        <f t="shared" si="1320"/>
        <v>353</v>
      </c>
      <c r="CH837" s="293">
        <f t="shared" si="1320"/>
        <v>866</v>
      </c>
      <c r="CI837" s="103"/>
      <c r="CJ837" s="293">
        <f t="shared" ref="CJ837:CL843" si="1321">+CJ814-CJ825</f>
        <v>619</v>
      </c>
      <c r="CK837" s="293">
        <f t="shared" si="1321"/>
        <v>777</v>
      </c>
      <c r="CL837" s="293">
        <f t="shared" si="1321"/>
        <v>1396</v>
      </c>
      <c r="CM837" s="103"/>
      <c r="CN837" s="293">
        <f t="shared" ref="CN837:CP843" si="1322">+CN814-CN825</f>
        <v>654</v>
      </c>
      <c r="CO837" s="293">
        <f t="shared" si="1322"/>
        <v>798</v>
      </c>
      <c r="CP837" s="293">
        <f t="shared" si="1322"/>
        <v>1445</v>
      </c>
      <c r="CQ837" s="103"/>
      <c r="CR837" s="293">
        <f t="shared" ref="CR837:CT843" si="1323">+CR814-CR825</f>
        <v>1080</v>
      </c>
      <c r="CS837" s="293">
        <f t="shared" si="1323"/>
        <v>1175</v>
      </c>
      <c r="CT837" s="293">
        <f t="shared" si="1323"/>
        <v>2255</v>
      </c>
      <c r="CV837" s="293">
        <f t="shared" ref="CV837:CX843" si="1324">+CV814-CV825</f>
        <v>788</v>
      </c>
      <c r="CW837" s="293">
        <f t="shared" si="1324"/>
        <v>830</v>
      </c>
      <c r="CX837" s="293">
        <f t="shared" si="1324"/>
        <v>1618</v>
      </c>
      <c r="CZ837" s="293">
        <f t="shared" ref="CZ837:DB837" si="1325">+CZ814-CZ825</f>
        <v>927</v>
      </c>
      <c r="DA837" s="293">
        <f t="shared" si="1325"/>
        <v>840</v>
      </c>
      <c r="DB837" s="293">
        <f t="shared" si="1325"/>
        <v>1768</v>
      </c>
      <c r="DD837" s="293">
        <f t="shared" ref="DD837:DF837" si="1326">+DD814-DD825</f>
        <v>926</v>
      </c>
      <c r="DE837" s="293">
        <f t="shared" si="1326"/>
        <v>1261</v>
      </c>
      <c r="DF837" s="293">
        <f t="shared" si="1326"/>
        <v>2187</v>
      </c>
      <c r="DH837" s="293">
        <f t="shared" ref="DH837" si="1327">+DH814-DH825</f>
        <v>1228</v>
      </c>
      <c r="DI837" s="293">
        <f t="shared" ref="DI837:DJ837" si="1328">+DI814-DI825</f>
        <v>1341.8100000000004</v>
      </c>
      <c r="DJ837" s="293">
        <f t="shared" si="1328"/>
        <v>2569.81</v>
      </c>
      <c r="DL837" s="293">
        <f t="shared" ref="DL837:DN837" si="1329">+DL814-DL825</f>
        <v>1361.0863000000002</v>
      </c>
      <c r="DM837" s="293">
        <f t="shared" si="1329"/>
        <v>1444.1372889999998</v>
      </c>
      <c r="DN837" s="293">
        <f t="shared" si="1329"/>
        <v>2805.2235890000002</v>
      </c>
      <c r="DP837" s="293">
        <f t="shared" ref="DP837:DR837" si="1330">+DP814-DP825</f>
        <v>1456.7004551700002</v>
      </c>
      <c r="DQ837" s="293">
        <f t="shared" si="1330"/>
        <v>1527.6155702750998</v>
      </c>
      <c r="DR837" s="293">
        <f t="shared" si="1330"/>
        <v>2984.3160254450995</v>
      </c>
      <c r="DU837" s="876"/>
      <c r="DV837" s="876"/>
      <c r="DW837" s="876"/>
      <c r="DZ837" s="876"/>
      <c r="EA837" s="876"/>
      <c r="ED837" s="876"/>
      <c r="EE837" s="876"/>
    </row>
    <row r="838" spans="1:273">
      <c r="A838" s="1008" t="s">
        <v>1306</v>
      </c>
      <c r="AR838" s="685"/>
      <c r="AS838" s="685"/>
      <c r="AT838" s="730"/>
      <c r="AU838" s="730"/>
      <c r="AV838" s="685"/>
      <c r="AW838" s="685"/>
      <c r="AX838" s="730"/>
      <c r="AY838" s="730"/>
      <c r="AZ838" s="685"/>
      <c r="BA838" s="876"/>
      <c r="BD838" s="711"/>
      <c r="BE838" s="885"/>
      <c r="BF838" s="711"/>
      <c r="BH838" s="685"/>
      <c r="BI838" s="876"/>
      <c r="BL838" s="876"/>
      <c r="BM838" s="876"/>
      <c r="BP838" s="876"/>
      <c r="BQ838" s="876"/>
      <c r="BT838" s="876"/>
      <c r="BU838" s="876"/>
      <c r="BX838" s="293">
        <f t="shared" si="1318"/>
        <v>934</v>
      </c>
      <c r="BY838" s="293">
        <f t="shared" si="1318"/>
        <v>930</v>
      </c>
      <c r="BZ838" s="293">
        <f t="shared" si="1318"/>
        <v>1864</v>
      </c>
      <c r="CB838" s="293">
        <f t="shared" si="1319"/>
        <v>849</v>
      </c>
      <c r="CC838" s="293">
        <f t="shared" si="1319"/>
        <v>967</v>
      </c>
      <c r="CD838" s="293">
        <f t="shared" si="1319"/>
        <v>1816</v>
      </c>
      <c r="CE838" s="103"/>
      <c r="CF838" s="293">
        <f t="shared" si="1320"/>
        <v>1207</v>
      </c>
      <c r="CG838" s="293">
        <f t="shared" si="1320"/>
        <v>1272</v>
      </c>
      <c r="CH838" s="293">
        <f t="shared" si="1320"/>
        <v>2479</v>
      </c>
      <c r="CI838" s="103"/>
      <c r="CJ838" s="293">
        <f t="shared" si="1321"/>
        <v>1230</v>
      </c>
      <c r="CK838" s="293">
        <f t="shared" si="1321"/>
        <v>1447</v>
      </c>
      <c r="CL838" s="293">
        <f t="shared" si="1321"/>
        <v>2677</v>
      </c>
      <c r="CM838" s="103"/>
      <c r="CN838" s="293">
        <f t="shared" si="1322"/>
        <v>962</v>
      </c>
      <c r="CO838" s="293">
        <f t="shared" si="1322"/>
        <v>1155</v>
      </c>
      <c r="CP838" s="293">
        <f t="shared" si="1322"/>
        <v>2117</v>
      </c>
      <c r="CQ838" s="103"/>
      <c r="CR838" s="293">
        <f t="shared" si="1323"/>
        <v>1444</v>
      </c>
      <c r="CS838" s="293">
        <f t="shared" si="1323"/>
        <v>1689</v>
      </c>
      <c r="CT838" s="293">
        <f t="shared" si="1323"/>
        <v>3703</v>
      </c>
      <c r="CV838" s="293">
        <f t="shared" si="1324"/>
        <v>1532</v>
      </c>
      <c r="CW838" s="293">
        <f t="shared" si="1324"/>
        <v>1500</v>
      </c>
      <c r="CX838" s="293">
        <f t="shared" si="1324"/>
        <v>3032</v>
      </c>
      <c r="CZ838" s="293">
        <f t="shared" ref="CZ838:DB838" si="1331">+CZ815-CZ826</f>
        <v>1383</v>
      </c>
      <c r="DA838" s="293">
        <f t="shared" si="1331"/>
        <v>1422</v>
      </c>
      <c r="DB838" s="293">
        <f t="shared" si="1331"/>
        <v>2805</v>
      </c>
      <c r="DD838" s="293">
        <f t="shared" ref="DD838:DF838" si="1332">+DD815-DD826</f>
        <v>1475</v>
      </c>
      <c r="DE838" s="293">
        <f t="shared" si="1332"/>
        <v>1624</v>
      </c>
      <c r="DF838" s="293">
        <f t="shared" si="1332"/>
        <v>3099</v>
      </c>
      <c r="DH838" s="293">
        <f t="shared" ref="DH838" si="1333">+DH815-DH826</f>
        <v>1550</v>
      </c>
      <c r="DI838" s="293">
        <f t="shared" ref="DI838:DJ838" si="1334">+DI815-DI826</f>
        <v>1340.1818317971138</v>
      </c>
      <c r="DJ838" s="293">
        <f t="shared" si="1334"/>
        <v>2890.1818317971138</v>
      </c>
      <c r="DL838" s="293">
        <f t="shared" ref="DL838:DN838" si="1335">+DL815-DL826</f>
        <v>1266.40395157538</v>
      </c>
      <c r="DM838" s="293">
        <f t="shared" si="1335"/>
        <v>1283.0886308089393</v>
      </c>
      <c r="DN838" s="293">
        <f t="shared" si="1335"/>
        <v>2549.4925823843191</v>
      </c>
      <c r="DP838" s="293">
        <f t="shared" ref="DP838:DR838" si="1336">+DP815-DP826</f>
        <v>1314.2343405271754</v>
      </c>
      <c r="DQ838" s="293">
        <f t="shared" si="1336"/>
        <v>1342.663201459789</v>
      </c>
      <c r="DR838" s="293">
        <f t="shared" si="1336"/>
        <v>2656.8975419869644</v>
      </c>
      <c r="DU838" s="876"/>
      <c r="DV838" s="876"/>
      <c r="DW838" s="876"/>
      <c r="DZ838" s="876"/>
      <c r="EA838" s="876"/>
      <c r="ED838" s="876"/>
      <c r="EE838" s="876"/>
    </row>
    <row r="839" spans="1:273">
      <c r="A839" s="1008" t="s">
        <v>1024</v>
      </c>
      <c r="AR839" s="685"/>
      <c r="AS839" s="685"/>
      <c r="AT839" s="730"/>
      <c r="AU839" s="730"/>
      <c r="AV839" s="685"/>
      <c r="AW839" s="685"/>
      <c r="AX839" s="730"/>
      <c r="AY839" s="730"/>
      <c r="AZ839" s="685"/>
      <c r="BA839" s="876"/>
      <c r="BD839" s="711"/>
      <c r="BE839" s="885"/>
      <c r="BF839" s="711"/>
      <c r="BH839" s="685"/>
      <c r="BI839" s="876"/>
      <c r="BL839" s="876"/>
      <c r="BM839" s="876"/>
      <c r="BP839" s="876"/>
      <c r="BQ839" s="876"/>
      <c r="BT839" s="876"/>
      <c r="BU839" s="876"/>
      <c r="BX839" s="293">
        <f t="shared" si="1318"/>
        <v>1380</v>
      </c>
      <c r="BY839" s="293">
        <f t="shared" si="1318"/>
        <v>1536</v>
      </c>
      <c r="BZ839" s="293">
        <f t="shared" si="1318"/>
        <v>2916</v>
      </c>
      <c r="CB839" s="293">
        <f t="shared" si="1319"/>
        <v>1355</v>
      </c>
      <c r="CC839" s="293">
        <f t="shared" si="1319"/>
        <v>1531</v>
      </c>
      <c r="CD839" s="293">
        <f t="shared" si="1319"/>
        <v>2886</v>
      </c>
      <c r="CE839" s="103"/>
      <c r="CF839" s="293">
        <f t="shared" si="1320"/>
        <v>2115</v>
      </c>
      <c r="CG839" s="293">
        <f t="shared" si="1320"/>
        <v>2348</v>
      </c>
      <c r="CH839" s="293">
        <f t="shared" si="1320"/>
        <v>4463</v>
      </c>
      <c r="CI839" s="103"/>
      <c r="CJ839" s="293">
        <f t="shared" si="1321"/>
        <v>2141</v>
      </c>
      <c r="CK839" s="293">
        <f t="shared" si="1321"/>
        <v>1845</v>
      </c>
      <c r="CL839" s="293">
        <f t="shared" si="1321"/>
        <v>3986</v>
      </c>
      <c r="CM839" s="103"/>
      <c r="CN839" s="293">
        <f t="shared" si="1322"/>
        <v>2206</v>
      </c>
      <c r="CO839" s="293">
        <f t="shared" si="1322"/>
        <v>2556</v>
      </c>
      <c r="CP839" s="293">
        <f t="shared" si="1322"/>
        <v>4762</v>
      </c>
      <c r="CQ839" s="103"/>
      <c r="CR839" s="293">
        <f t="shared" si="1323"/>
        <v>2307</v>
      </c>
      <c r="CS839" s="293">
        <f t="shared" si="1323"/>
        <v>3312</v>
      </c>
      <c r="CT839" s="293">
        <f t="shared" si="1323"/>
        <v>5619</v>
      </c>
      <c r="CV839" s="293">
        <f t="shared" si="1324"/>
        <v>3242</v>
      </c>
      <c r="CW839" s="293">
        <f t="shared" si="1324"/>
        <v>5374</v>
      </c>
      <c r="CX839" s="293">
        <f t="shared" si="1324"/>
        <v>8616</v>
      </c>
      <c r="CZ839" s="293">
        <f t="shared" ref="CZ839:DB839" si="1337">+CZ816-CZ827</f>
        <v>2874</v>
      </c>
      <c r="DA839" s="293">
        <f t="shared" si="1337"/>
        <v>3360</v>
      </c>
      <c r="DB839" s="293">
        <f t="shared" si="1337"/>
        <v>6234</v>
      </c>
      <c r="DD839" s="293">
        <f t="shared" ref="DD839:DF839" si="1338">+DD816-DD827</f>
        <v>2781</v>
      </c>
      <c r="DE839" s="293">
        <f t="shared" si="1338"/>
        <v>3107</v>
      </c>
      <c r="DF839" s="293">
        <f t="shared" si="1338"/>
        <v>5888</v>
      </c>
      <c r="DH839" s="293">
        <f t="shared" ref="DH839" si="1339">+DH816-DH827</f>
        <v>2879</v>
      </c>
      <c r="DI839" s="293">
        <f t="shared" ref="DI839:DJ839" si="1340">+DI816-DI827</f>
        <v>3572.5200000000004</v>
      </c>
      <c r="DJ839" s="293">
        <f t="shared" si="1340"/>
        <v>6451.5199999999995</v>
      </c>
      <c r="DL839" s="293">
        <f t="shared" ref="DL839:DN839" si="1341">+DL816-DL827</f>
        <v>2955.6021999999998</v>
      </c>
      <c r="DM839" s="293">
        <f t="shared" si="1341"/>
        <v>3651.8557720000003</v>
      </c>
      <c r="DN839" s="293">
        <f t="shared" si="1341"/>
        <v>6607.4579720000011</v>
      </c>
      <c r="DP839" s="293">
        <f t="shared" ref="DP839:DR839" si="1342">+DP816-DP827</f>
        <v>3025.1405449599997</v>
      </c>
      <c r="DQ839" s="293">
        <f t="shared" si="1342"/>
        <v>3744.9607476440001</v>
      </c>
      <c r="DR839" s="293">
        <f t="shared" si="1342"/>
        <v>6770.1012926039994</v>
      </c>
      <c r="DU839" s="876"/>
      <c r="DV839" s="876"/>
      <c r="DW839" s="876"/>
      <c r="DZ839" s="876"/>
      <c r="EA839" s="876"/>
      <c r="ED839" s="876"/>
      <c r="EE839" s="876"/>
    </row>
    <row r="840" spans="1:273">
      <c r="A840" s="1008" t="s">
        <v>690</v>
      </c>
      <c r="AR840" s="685"/>
      <c r="AS840" s="685"/>
      <c r="AT840" s="730"/>
      <c r="AU840" s="730"/>
      <c r="AV840" s="685"/>
      <c r="AW840" s="685"/>
      <c r="AX840" s="730"/>
      <c r="AY840" s="730"/>
      <c r="AZ840" s="685"/>
      <c r="BA840" s="876"/>
      <c r="BD840" s="711"/>
      <c r="BE840" s="885"/>
      <c r="BF840" s="711"/>
      <c r="BH840" s="685"/>
      <c r="BI840" s="876"/>
      <c r="BL840" s="876"/>
      <c r="BM840" s="876"/>
      <c r="BP840" s="876"/>
      <c r="BQ840" s="876"/>
      <c r="BT840" s="876"/>
      <c r="BU840" s="876"/>
      <c r="BX840" s="293">
        <f t="shared" si="1318"/>
        <v>845</v>
      </c>
      <c r="BY840" s="293">
        <f t="shared" si="1318"/>
        <v>864</v>
      </c>
      <c r="BZ840" s="293">
        <f t="shared" si="1318"/>
        <v>1709</v>
      </c>
      <c r="CB840" s="293">
        <f t="shared" si="1319"/>
        <v>713</v>
      </c>
      <c r="CC840" s="293">
        <f t="shared" si="1319"/>
        <v>596</v>
      </c>
      <c r="CD840" s="293">
        <f t="shared" si="1319"/>
        <v>1309</v>
      </c>
      <c r="CE840" s="103"/>
      <c r="CF840" s="293">
        <f t="shared" si="1320"/>
        <v>0</v>
      </c>
      <c r="CG840" s="293">
        <f t="shared" si="1320"/>
        <v>0</v>
      </c>
      <c r="CH840" s="293">
        <f t="shared" si="1320"/>
        <v>0</v>
      </c>
      <c r="CI840" s="103"/>
      <c r="CJ840" s="293">
        <f t="shared" si="1321"/>
        <v>0</v>
      </c>
      <c r="CK840" s="293">
        <f t="shared" si="1321"/>
        <v>0</v>
      </c>
      <c r="CL840" s="293">
        <f t="shared" si="1321"/>
        <v>0</v>
      </c>
      <c r="CM840" s="103"/>
      <c r="CN840" s="293">
        <f t="shared" si="1322"/>
        <v>0</v>
      </c>
      <c r="CO840" s="293">
        <f t="shared" si="1322"/>
        <v>0</v>
      </c>
      <c r="CP840" s="293">
        <f t="shared" si="1322"/>
        <v>0</v>
      </c>
      <c r="CQ840" s="103"/>
      <c r="CR840" s="293">
        <f t="shared" si="1323"/>
        <v>0</v>
      </c>
      <c r="CS840" s="293">
        <f t="shared" si="1323"/>
        <v>0</v>
      </c>
      <c r="CT840" s="293">
        <f t="shared" si="1323"/>
        <v>0</v>
      </c>
      <c r="CV840" s="293">
        <f t="shared" si="1324"/>
        <v>0</v>
      </c>
      <c r="CW840" s="293">
        <f t="shared" si="1324"/>
        <v>0</v>
      </c>
      <c r="CX840" s="293">
        <f t="shared" si="1324"/>
        <v>0</v>
      </c>
      <c r="CZ840" s="293">
        <f t="shared" ref="CZ840:DB840" si="1343">+CZ817-CZ828</f>
        <v>0</v>
      </c>
      <c r="DA840" s="293">
        <f t="shared" si="1343"/>
        <v>0</v>
      </c>
      <c r="DB840" s="293">
        <f t="shared" si="1343"/>
        <v>0</v>
      </c>
      <c r="DD840" s="293">
        <f t="shared" ref="DD840:DF840" si="1344">+DD817-DD828</f>
        <v>0</v>
      </c>
      <c r="DE840" s="293">
        <f t="shared" si="1344"/>
        <v>0</v>
      </c>
      <c r="DF840" s="293">
        <f t="shared" si="1344"/>
        <v>0</v>
      </c>
      <c r="DH840" s="293">
        <f t="shared" ref="DH840" si="1345">+DH817-DH828</f>
        <v>0</v>
      </c>
      <c r="DI840" s="293">
        <f t="shared" ref="DI840:DJ840" si="1346">+DI817-DI828</f>
        <v>0</v>
      </c>
      <c r="DJ840" s="293">
        <f t="shared" si="1346"/>
        <v>0</v>
      </c>
      <c r="DL840" s="293">
        <f t="shared" ref="DL840:DN840" si="1347">+DL817-DL828</f>
        <v>0</v>
      </c>
      <c r="DM840" s="293">
        <f t="shared" si="1347"/>
        <v>0</v>
      </c>
      <c r="DN840" s="293">
        <f t="shared" si="1347"/>
        <v>0</v>
      </c>
      <c r="DP840" s="293">
        <f t="shared" ref="DP840:DR840" si="1348">+DP817-DP828</f>
        <v>0</v>
      </c>
      <c r="DQ840" s="293">
        <f t="shared" si="1348"/>
        <v>0</v>
      </c>
      <c r="DR840" s="293">
        <f t="shared" si="1348"/>
        <v>0</v>
      </c>
      <c r="DU840" s="876"/>
      <c r="DV840" s="876"/>
      <c r="DW840" s="876"/>
      <c r="DZ840" s="876"/>
      <c r="EA840" s="876"/>
      <c r="ED840" s="876"/>
      <c r="EE840" s="876"/>
    </row>
    <row r="841" spans="1:273">
      <c r="A841" s="1008" t="s">
        <v>689</v>
      </c>
      <c r="AR841" s="685"/>
      <c r="AS841" s="685"/>
      <c r="AT841" s="730"/>
      <c r="AU841" s="730"/>
      <c r="AV841" s="685"/>
      <c r="AW841" s="685"/>
      <c r="AX841" s="730"/>
      <c r="AY841" s="730"/>
      <c r="AZ841" s="685"/>
      <c r="BA841" s="876"/>
      <c r="BD841" s="711"/>
      <c r="BE841" s="885"/>
      <c r="BF841" s="711"/>
      <c r="BH841" s="685"/>
      <c r="BI841" s="876"/>
      <c r="BL841" s="876"/>
      <c r="BM841" s="876"/>
      <c r="BP841" s="876"/>
      <c r="BQ841" s="876"/>
      <c r="BT841" s="876"/>
      <c r="BU841" s="876"/>
      <c r="BX841" s="293">
        <f t="shared" si="1318"/>
        <v>756</v>
      </c>
      <c r="BY841" s="293">
        <f t="shared" si="1318"/>
        <v>776</v>
      </c>
      <c r="BZ841" s="293">
        <f t="shared" si="1318"/>
        <v>1532</v>
      </c>
      <c r="CB841" s="293">
        <f t="shared" si="1319"/>
        <v>1039</v>
      </c>
      <c r="CC841" s="293">
        <f t="shared" si="1319"/>
        <v>1043</v>
      </c>
      <c r="CD841" s="293">
        <f t="shared" si="1319"/>
        <v>2082</v>
      </c>
      <c r="CE841" s="103"/>
      <c r="CF841" s="293">
        <f t="shared" si="1320"/>
        <v>1079</v>
      </c>
      <c r="CG841" s="293">
        <f t="shared" si="1320"/>
        <v>1085</v>
      </c>
      <c r="CH841" s="293">
        <f t="shared" si="1320"/>
        <v>2164</v>
      </c>
      <c r="CI841" s="103"/>
      <c r="CJ841" s="293">
        <f t="shared" si="1321"/>
        <v>1063</v>
      </c>
      <c r="CK841" s="293">
        <f t="shared" si="1321"/>
        <v>1114</v>
      </c>
      <c r="CL841" s="293">
        <f t="shared" si="1321"/>
        <v>2177</v>
      </c>
      <c r="CM841" s="103"/>
      <c r="CN841" s="293">
        <f t="shared" si="1322"/>
        <v>1047</v>
      </c>
      <c r="CO841" s="293">
        <f t="shared" si="1322"/>
        <v>1116</v>
      </c>
      <c r="CP841" s="293">
        <f t="shared" si="1322"/>
        <v>2163</v>
      </c>
      <c r="CQ841" s="103"/>
      <c r="CR841" s="293">
        <f t="shared" si="1323"/>
        <v>1193</v>
      </c>
      <c r="CS841" s="293">
        <f t="shared" si="1323"/>
        <v>1235</v>
      </c>
      <c r="CT841" s="293">
        <f t="shared" si="1323"/>
        <v>2428</v>
      </c>
      <c r="CV841" s="293">
        <f t="shared" si="1324"/>
        <v>1445</v>
      </c>
      <c r="CW841" s="293">
        <f t="shared" si="1324"/>
        <v>1562</v>
      </c>
      <c r="CX841" s="293">
        <f t="shared" si="1324"/>
        <v>3007</v>
      </c>
      <c r="CZ841" s="293">
        <f t="shared" ref="CZ841:DB841" si="1349">+CZ818-CZ829</f>
        <v>1632</v>
      </c>
      <c r="DA841" s="293">
        <f t="shared" si="1349"/>
        <v>1568</v>
      </c>
      <c r="DB841" s="293">
        <f t="shared" si="1349"/>
        <v>3200</v>
      </c>
      <c r="DD841" s="293">
        <f t="shared" ref="DD841:DF841" si="1350">+DD818-DD829</f>
        <v>1625</v>
      </c>
      <c r="DE841" s="293">
        <f t="shared" si="1350"/>
        <v>1699</v>
      </c>
      <c r="DF841" s="293">
        <f t="shared" si="1350"/>
        <v>3324</v>
      </c>
      <c r="DH841" s="293">
        <f t="shared" ref="DH841" si="1351">+DH818-DH829</f>
        <v>1786</v>
      </c>
      <c r="DI841" s="293">
        <f t="shared" ref="DI841:DJ841" si="1352">+DI818-DI829</f>
        <v>1803.3662328900316</v>
      </c>
      <c r="DJ841" s="293">
        <f t="shared" si="1352"/>
        <v>3589.3662328900318</v>
      </c>
      <c r="DL841" s="293">
        <f t="shared" ref="DL841:DN841" si="1353">+DL818-DL829</f>
        <v>1961.5672482422478</v>
      </c>
      <c r="DM841" s="293">
        <f t="shared" si="1353"/>
        <v>2028.621907897023</v>
      </c>
      <c r="DN841" s="293">
        <f t="shared" si="1353"/>
        <v>3990.1891561392708</v>
      </c>
      <c r="DP841" s="293">
        <f t="shared" ref="DP841:DR841" si="1354">+DP818-DP829</f>
        <v>2120.2429492162787</v>
      </c>
      <c r="DQ841" s="293">
        <f t="shared" si="1354"/>
        <v>2179.6347936012153</v>
      </c>
      <c r="DR841" s="293">
        <f t="shared" si="1354"/>
        <v>4299.8777428174935</v>
      </c>
      <c r="DU841" s="876"/>
      <c r="DV841" s="876"/>
      <c r="DW841" s="876"/>
      <c r="DZ841" s="876"/>
      <c r="EA841" s="876"/>
      <c r="ED841" s="876"/>
      <c r="EE841" s="876"/>
    </row>
    <row r="842" spans="1:273">
      <c r="A842" s="1008" t="s">
        <v>688</v>
      </c>
      <c r="AR842" s="685"/>
      <c r="AS842" s="685"/>
      <c r="AT842" s="730"/>
      <c r="AU842" s="730"/>
      <c r="AV842" s="685"/>
      <c r="AW842" s="685"/>
      <c r="AX842" s="730"/>
      <c r="AY842" s="730"/>
      <c r="AZ842" s="685"/>
      <c r="BA842" s="876"/>
      <c r="BD842" s="711"/>
      <c r="BE842" s="885"/>
      <c r="BF842" s="711"/>
      <c r="BH842" s="685"/>
      <c r="BI842" s="876"/>
      <c r="BL842" s="876"/>
      <c r="BM842" s="876"/>
      <c r="BP842" s="876"/>
      <c r="BQ842" s="876"/>
      <c r="BT842" s="876"/>
      <c r="BU842" s="876"/>
      <c r="BX842" s="293">
        <f t="shared" si="1318"/>
        <v>0</v>
      </c>
      <c r="BY842" s="293">
        <f t="shared" si="1318"/>
        <v>0</v>
      </c>
      <c r="BZ842" s="293">
        <f t="shared" si="1318"/>
        <v>0</v>
      </c>
      <c r="CB842" s="293">
        <f t="shared" si="1319"/>
        <v>0</v>
      </c>
      <c r="CC842" s="293">
        <f t="shared" si="1319"/>
        <v>0</v>
      </c>
      <c r="CD842" s="293">
        <f t="shared" si="1319"/>
        <v>0</v>
      </c>
      <c r="CE842" s="103"/>
      <c r="CF842" s="293">
        <f t="shared" si="1320"/>
        <v>0</v>
      </c>
      <c r="CG842" s="293">
        <f t="shared" si="1320"/>
        <v>0</v>
      </c>
      <c r="CH842" s="293">
        <f t="shared" si="1320"/>
        <v>0</v>
      </c>
      <c r="CI842" s="103"/>
      <c r="CJ842" s="293">
        <f t="shared" si="1321"/>
        <v>0</v>
      </c>
      <c r="CK842" s="293">
        <f t="shared" si="1321"/>
        <v>0</v>
      </c>
      <c r="CL842" s="293">
        <f t="shared" si="1321"/>
        <v>0</v>
      </c>
      <c r="CM842" s="103"/>
      <c r="CN842" s="293">
        <f t="shared" si="1322"/>
        <v>0</v>
      </c>
      <c r="CO842" s="293">
        <f t="shared" si="1322"/>
        <v>0</v>
      </c>
      <c r="CP842" s="293">
        <f t="shared" si="1322"/>
        <v>0</v>
      </c>
      <c r="CQ842" s="103"/>
      <c r="CR842" s="293">
        <f t="shared" si="1323"/>
        <v>0</v>
      </c>
      <c r="CS842" s="293">
        <f t="shared" si="1323"/>
        <v>0</v>
      </c>
      <c r="CT842" s="293">
        <f t="shared" si="1323"/>
        <v>0</v>
      </c>
      <c r="CV842" s="293">
        <f t="shared" si="1324"/>
        <v>0</v>
      </c>
      <c r="CW842" s="293">
        <f t="shared" si="1324"/>
        <v>0</v>
      </c>
      <c r="CX842" s="293">
        <f t="shared" si="1324"/>
        <v>0</v>
      </c>
      <c r="CZ842" s="293">
        <f t="shared" ref="CZ842:DB842" si="1355">+CZ819-CZ830</f>
        <v>0</v>
      </c>
      <c r="DA842" s="293">
        <f t="shared" si="1355"/>
        <v>0</v>
      </c>
      <c r="DB842" s="293">
        <f t="shared" si="1355"/>
        <v>0</v>
      </c>
      <c r="DD842" s="293">
        <f t="shared" ref="DD842:DF842" si="1356">+DD819-DD830</f>
        <v>0</v>
      </c>
      <c r="DE842" s="293">
        <f t="shared" si="1356"/>
        <v>0</v>
      </c>
      <c r="DF842" s="293">
        <f t="shared" si="1356"/>
        <v>0</v>
      </c>
      <c r="DH842" s="293">
        <f t="shared" ref="DH842" si="1357">+DH819-DH830</f>
        <v>0</v>
      </c>
      <c r="DI842" s="293">
        <f t="shared" ref="DI842:DJ842" si="1358">+DI819-DI830</f>
        <v>0</v>
      </c>
      <c r="DJ842" s="293">
        <f t="shared" si="1358"/>
        <v>0</v>
      </c>
      <c r="DL842" s="293">
        <f t="shared" ref="DL842:DN842" si="1359">+DL819-DL830</f>
        <v>0</v>
      </c>
      <c r="DM842" s="293">
        <f t="shared" si="1359"/>
        <v>0</v>
      </c>
      <c r="DN842" s="293">
        <f t="shared" si="1359"/>
        <v>0</v>
      </c>
      <c r="DP842" s="293">
        <f t="shared" ref="DP842:DR842" si="1360">+DP819-DP830</f>
        <v>0</v>
      </c>
      <c r="DQ842" s="293">
        <f t="shared" si="1360"/>
        <v>0</v>
      </c>
      <c r="DR842" s="293">
        <f t="shared" si="1360"/>
        <v>0</v>
      </c>
      <c r="DU842" s="876"/>
      <c r="DV842" s="876"/>
      <c r="DW842" s="876"/>
      <c r="DZ842" s="876"/>
      <c r="EA842" s="876"/>
      <c r="ED842" s="876"/>
      <c r="EE842" s="876"/>
    </row>
    <row r="843" spans="1:273">
      <c r="A843" s="1008" t="s">
        <v>691</v>
      </c>
      <c r="AR843" s="685"/>
      <c r="AS843" s="685"/>
      <c r="AT843" s="730"/>
      <c r="AU843" s="730"/>
      <c r="AV843" s="685"/>
      <c r="AW843" s="685"/>
      <c r="AX843" s="730"/>
      <c r="AY843" s="730"/>
      <c r="AZ843" s="685"/>
      <c r="BA843" s="876"/>
      <c r="BD843" s="711"/>
      <c r="BE843" s="885"/>
      <c r="BF843" s="711"/>
      <c r="BH843" s="685"/>
      <c r="BI843" s="876"/>
      <c r="BL843" s="876"/>
      <c r="BM843" s="876"/>
      <c r="BP843" s="876"/>
      <c r="BQ843" s="876"/>
      <c r="BT843" s="876"/>
      <c r="BU843" s="876"/>
      <c r="BX843" s="293">
        <f t="shared" si="1318"/>
        <v>43</v>
      </c>
      <c r="BY843" s="293">
        <f t="shared" si="1318"/>
        <v>-6</v>
      </c>
      <c r="BZ843" s="293">
        <f t="shared" si="1318"/>
        <v>37</v>
      </c>
      <c r="CB843" s="293">
        <f t="shared" si="1319"/>
        <v>125</v>
      </c>
      <c r="CC843" s="293">
        <f t="shared" si="1319"/>
        <v>126</v>
      </c>
      <c r="CD843" s="293">
        <f t="shared" si="1319"/>
        <v>251</v>
      </c>
      <c r="CE843" s="103"/>
      <c r="CF843" s="293">
        <f t="shared" si="1320"/>
        <v>162</v>
      </c>
      <c r="CG843" s="293">
        <f t="shared" si="1320"/>
        <v>-22</v>
      </c>
      <c r="CH843" s="293">
        <f t="shared" si="1320"/>
        <v>140</v>
      </c>
      <c r="CI843" s="103"/>
      <c r="CJ843" s="293">
        <f t="shared" si="1321"/>
        <v>104</v>
      </c>
      <c r="CK843" s="293">
        <f t="shared" si="1321"/>
        <v>236</v>
      </c>
      <c r="CL843" s="293">
        <f t="shared" si="1321"/>
        <v>340</v>
      </c>
      <c r="CM843" s="103"/>
      <c r="CN843" s="293">
        <f t="shared" si="1322"/>
        <v>42</v>
      </c>
      <c r="CO843" s="293">
        <f t="shared" si="1322"/>
        <v>120</v>
      </c>
      <c r="CP843" s="293">
        <f t="shared" si="1322"/>
        <v>169</v>
      </c>
      <c r="CQ843" s="103"/>
      <c r="CR843" s="293">
        <f t="shared" si="1323"/>
        <v>141</v>
      </c>
      <c r="CS843" s="293">
        <f t="shared" si="1323"/>
        <v>-156</v>
      </c>
      <c r="CT843" s="293">
        <f t="shared" si="1323"/>
        <v>-15</v>
      </c>
      <c r="CV843" s="293">
        <f t="shared" si="1324"/>
        <v>94</v>
      </c>
      <c r="CW843" s="293">
        <f t="shared" si="1324"/>
        <v>206</v>
      </c>
      <c r="CX843" s="293">
        <f t="shared" si="1324"/>
        <v>300</v>
      </c>
      <c r="CZ843" s="293">
        <f t="shared" ref="CZ843:DB843" si="1361">+CZ820-CZ831</f>
        <v>424</v>
      </c>
      <c r="DA843" s="293">
        <f t="shared" si="1361"/>
        <v>476</v>
      </c>
      <c r="DB843" s="293">
        <f t="shared" si="1361"/>
        <v>900</v>
      </c>
      <c r="DD843" s="293">
        <f t="shared" ref="DD843:DF843" si="1362">+DD820-DD831</f>
        <v>431</v>
      </c>
      <c r="DE843" s="293">
        <f t="shared" si="1362"/>
        <v>486</v>
      </c>
      <c r="DF843" s="293">
        <f t="shared" si="1362"/>
        <v>917</v>
      </c>
      <c r="DH843" s="293">
        <f t="shared" ref="DH843" si="1363">+DH820-DH831</f>
        <v>379</v>
      </c>
      <c r="DI843" s="293">
        <f t="shared" ref="DI843:DJ843" si="1364">+DI820-DI831</f>
        <v>360.20000000000005</v>
      </c>
      <c r="DJ843" s="293">
        <f t="shared" si="1364"/>
        <v>739.2</v>
      </c>
      <c r="DL843" s="293">
        <f t="shared" ref="DL843:DN843" si="1365">+DL820-DL831</f>
        <v>372.39199999999994</v>
      </c>
      <c r="DM843" s="293">
        <f t="shared" si="1365"/>
        <v>374.71547999999996</v>
      </c>
      <c r="DN843" s="293">
        <f t="shared" si="1365"/>
        <v>747.1074799999999</v>
      </c>
      <c r="DP843" s="293">
        <f t="shared" ref="DP843:DR843" si="1366">+DP820-DP831</f>
        <v>387.17269880000003</v>
      </c>
      <c r="DQ843" s="293">
        <f t="shared" si="1366"/>
        <v>389.76594925199998</v>
      </c>
      <c r="DR843" s="293">
        <f t="shared" si="1366"/>
        <v>776.93864805199996</v>
      </c>
      <c r="DU843" s="876"/>
      <c r="DV843" s="876"/>
      <c r="DW843" s="876"/>
      <c r="DZ843" s="876"/>
      <c r="EA843" s="876"/>
      <c r="ED843" s="876"/>
      <c r="EE843" s="876"/>
    </row>
    <row r="844" spans="1:273" s="289" customFormat="1">
      <c r="A844" s="1510" t="s">
        <v>1326</v>
      </c>
      <c r="B844" s="290"/>
      <c r="AN844" s="290"/>
      <c r="AO844" s="290"/>
      <c r="AP844" s="290"/>
      <c r="AQ844" s="290"/>
      <c r="AR844" s="376"/>
      <c r="AS844" s="376"/>
      <c r="AT844" s="674"/>
      <c r="AU844" s="674"/>
      <c r="AV844" s="376"/>
      <c r="AW844" s="376"/>
      <c r="AX844" s="674"/>
      <c r="AY844" s="674"/>
      <c r="AZ844" s="376"/>
      <c r="BA844" s="1014"/>
      <c r="BB844" s="290"/>
      <c r="BC844" s="290"/>
      <c r="BD844" s="715"/>
      <c r="BE844" s="1352"/>
      <c r="BF844" s="715"/>
      <c r="BG844" s="290"/>
      <c r="BH844" s="376"/>
      <c r="BI844" s="1014"/>
      <c r="BJ844" s="290"/>
      <c r="BK844" s="290"/>
      <c r="BL844" s="1014"/>
      <c r="BM844" s="1014"/>
      <c r="BN844" s="290"/>
      <c r="BO844" s="290"/>
      <c r="BP844" s="1014"/>
      <c r="BQ844" s="1014"/>
      <c r="BR844" s="290"/>
      <c r="BS844" s="290"/>
      <c r="BT844" s="1014"/>
      <c r="BU844" s="1014"/>
      <c r="BV844" s="290"/>
      <c r="BW844" s="290"/>
      <c r="BX844" s="715">
        <f>+BX664</f>
        <v>4375</v>
      </c>
      <c r="BY844" s="715">
        <f>+BY664</f>
        <v>4607</v>
      </c>
      <c r="BZ844" s="715">
        <f>+BZ664</f>
        <v>8982</v>
      </c>
      <c r="CA844" s="290"/>
      <c r="CB844" s="715">
        <f>+CB664</f>
        <v>4495</v>
      </c>
      <c r="CC844" s="715">
        <f>+CC664</f>
        <v>4699</v>
      </c>
      <c r="CD844" s="715">
        <f>+CD664</f>
        <v>9194</v>
      </c>
      <c r="CE844" s="290"/>
      <c r="CF844" s="715">
        <f>+CF664</f>
        <v>5076</v>
      </c>
      <c r="CG844" s="715">
        <f>+CG664</f>
        <v>5036</v>
      </c>
      <c r="CH844" s="715">
        <f>+CH664</f>
        <v>10112</v>
      </c>
      <c r="CI844" s="290"/>
      <c r="CJ844" s="715">
        <f>+CJ664</f>
        <v>5157</v>
      </c>
      <c r="CK844" s="715">
        <f>+CK664</f>
        <v>5419</v>
      </c>
      <c r="CL844" s="715">
        <f>+CL664</f>
        <v>10576</v>
      </c>
      <c r="CM844" s="290"/>
      <c r="CN844" s="715">
        <f>+CN664</f>
        <v>4911</v>
      </c>
      <c r="CO844" s="715">
        <f>+CO664</f>
        <v>5745</v>
      </c>
      <c r="CP844" s="715">
        <f>+CP664</f>
        <v>10656</v>
      </c>
      <c r="CQ844" s="290"/>
      <c r="CR844" s="715">
        <f>+CR664</f>
        <v>6735</v>
      </c>
      <c r="CS844" s="715">
        <f>+CS664</f>
        <v>7255</v>
      </c>
      <c r="CT844" s="715">
        <f>+CT664</f>
        <v>13990</v>
      </c>
      <c r="CU844" s="290"/>
      <c r="CV844" s="715">
        <f t="shared" ref="CV844:CX844" si="1367">+CV664</f>
        <v>7179</v>
      </c>
      <c r="CW844" s="715">
        <f t="shared" si="1367"/>
        <v>9394</v>
      </c>
      <c r="CX844" s="715">
        <f t="shared" si="1367"/>
        <v>16573</v>
      </c>
      <c r="CY844" s="290"/>
      <c r="CZ844" s="715">
        <f t="shared" ref="CZ844:DB844" si="1368">+CZ664</f>
        <v>7240</v>
      </c>
      <c r="DA844" s="715">
        <f t="shared" si="1368"/>
        <v>7666</v>
      </c>
      <c r="DB844" s="715">
        <f t="shared" si="1368"/>
        <v>14907</v>
      </c>
      <c r="DC844" s="290"/>
      <c r="DD844" s="715">
        <f t="shared" ref="DD844:DF844" si="1369">+DD664</f>
        <v>7238</v>
      </c>
      <c r="DE844" s="715">
        <f t="shared" ca="1" si="1369"/>
        <v>8177</v>
      </c>
      <c r="DF844" s="715">
        <f t="shared" ca="1" si="1369"/>
        <v>15415</v>
      </c>
      <c r="DG844" s="290"/>
      <c r="DH844" s="715">
        <f t="shared" ref="DH844" si="1370">+DH664</f>
        <v>7822</v>
      </c>
      <c r="DI844" s="715">
        <f t="shared" ref="DI844:DJ844" si="1371">+DI664</f>
        <v>8418.0780646871463</v>
      </c>
      <c r="DJ844" s="715">
        <f t="shared" si="1371"/>
        <v>16240.078064687144</v>
      </c>
      <c r="DK844" s="290"/>
      <c r="DL844" s="715">
        <f t="shared" ref="DL844:DN844" si="1372">+DL664</f>
        <v>7917.0516998176272</v>
      </c>
      <c r="DM844" s="715">
        <f t="shared" si="1372"/>
        <v>8782.4190797059637</v>
      </c>
      <c r="DN844" s="715">
        <f t="shared" si="1372"/>
        <v>16699.470779523592</v>
      </c>
      <c r="DO844" s="290"/>
      <c r="DP844" s="715">
        <f t="shared" ref="DP844:DR844" si="1373">+DP664</f>
        <v>8303.4909886734549</v>
      </c>
      <c r="DQ844" s="715">
        <f t="shared" si="1373"/>
        <v>9184.6402622321039</v>
      </c>
      <c r="DR844" s="715">
        <f t="shared" si="1373"/>
        <v>17488.131250905561</v>
      </c>
      <c r="DS844" s="290"/>
      <c r="DT844" s="290"/>
      <c r="DU844" s="1014"/>
      <c r="DV844" s="1014"/>
      <c r="DW844" s="1014"/>
      <c r="DX844" s="290"/>
      <c r="DY844" s="290"/>
      <c r="DZ844" s="1014"/>
      <c r="EA844" s="1014"/>
      <c r="EB844" s="290"/>
      <c r="EC844" s="290"/>
      <c r="ED844" s="1014"/>
      <c r="EE844" s="1014"/>
      <c r="EF844" s="290"/>
      <c r="EG844" s="290"/>
      <c r="EH844" s="290"/>
      <c r="EI844" s="290"/>
      <c r="EJ844" s="290"/>
      <c r="EK844" s="290"/>
      <c r="EL844" s="290"/>
      <c r="EM844" s="290"/>
      <c r="EN844" s="290"/>
      <c r="EO844" s="290"/>
      <c r="EP844" s="290"/>
      <c r="JM844"/>
    </row>
    <row r="845" spans="1:273" outlineLevel="1">
      <c r="A845" s="1589" t="s">
        <v>1330</v>
      </c>
      <c r="B845" s="1590"/>
      <c r="C845" s="1589"/>
      <c r="D845" s="1589"/>
      <c r="E845" s="1589"/>
      <c r="F845" s="1589"/>
      <c r="G845" s="1589"/>
      <c r="H845" s="1589"/>
      <c r="I845" s="1589"/>
      <c r="J845" s="1589"/>
      <c r="K845" s="1589"/>
      <c r="L845" s="1589"/>
      <c r="M845" s="1589"/>
      <c r="N845" s="1589"/>
      <c r="O845" s="1589"/>
      <c r="P845" s="1589"/>
      <c r="Q845" s="1589"/>
      <c r="R845" s="1589"/>
      <c r="S845" s="1589"/>
      <c r="T845" s="1589"/>
      <c r="U845" s="1589"/>
      <c r="V845" s="1589"/>
      <c r="W845" s="1589"/>
      <c r="X845" s="1589"/>
      <c r="Y845" s="1589"/>
      <c r="Z845" s="1589"/>
      <c r="AA845" s="1589"/>
      <c r="AB845" s="1589"/>
      <c r="AC845" s="1589"/>
      <c r="AD845" s="1589"/>
      <c r="AE845" s="1589"/>
      <c r="AF845" s="1589"/>
      <c r="AG845" s="1589"/>
      <c r="AH845" s="1589"/>
      <c r="AI845" s="1589"/>
      <c r="AJ845" s="1589"/>
      <c r="AK845" s="1589"/>
      <c r="AL845" s="1589"/>
      <c r="AM845" s="1589"/>
      <c r="AN845" s="1590"/>
      <c r="AO845" s="1590"/>
      <c r="AP845" s="1590"/>
      <c r="AQ845" s="1590"/>
      <c r="AR845" s="1591"/>
      <c r="AS845" s="1591"/>
      <c r="AT845" s="1592"/>
      <c r="AU845" s="1592"/>
      <c r="AV845" s="1591"/>
      <c r="AW845" s="1591"/>
      <c r="AX845" s="1592"/>
      <c r="AY845" s="1592"/>
      <c r="AZ845" s="1591"/>
      <c r="BA845" s="1593"/>
      <c r="BB845" s="1590"/>
      <c r="BC845" s="1590"/>
      <c r="BD845" s="1594"/>
      <c r="BE845" s="1595"/>
      <c r="BF845" s="1594"/>
      <c r="BG845" s="1590"/>
      <c r="BH845" s="1591"/>
      <c r="BI845" s="1593"/>
      <c r="BJ845" s="1590"/>
      <c r="BK845" s="1590"/>
      <c r="BL845" s="1593"/>
      <c r="BM845" s="1593"/>
      <c r="BN845" s="1590"/>
      <c r="BO845" s="1590"/>
      <c r="BP845" s="1593"/>
      <c r="BQ845" s="1593"/>
      <c r="BR845" s="1590"/>
      <c r="BS845" s="1590"/>
      <c r="BT845" s="1593"/>
      <c r="BU845" s="1593"/>
      <c r="BV845" s="1590"/>
      <c r="BW845" s="1590"/>
      <c r="BX845" s="1596">
        <f t="shared" ref="BX845:BZ845" si="1374">+BX844-SUM(BX837:BX843)</f>
        <v>0</v>
      </c>
      <c r="BY845" s="1596">
        <f t="shared" si="1374"/>
        <v>0</v>
      </c>
      <c r="BZ845" s="1596">
        <f t="shared" si="1374"/>
        <v>0</v>
      </c>
      <c r="CA845" s="1590"/>
      <c r="CB845" s="1596">
        <f t="shared" ref="CB845:CD845" si="1375">+CB844-SUM(CB837:CB843)</f>
        <v>0</v>
      </c>
      <c r="CC845" s="1596">
        <f t="shared" si="1375"/>
        <v>0</v>
      </c>
      <c r="CD845" s="1596">
        <f t="shared" si="1375"/>
        <v>0</v>
      </c>
      <c r="CE845" s="1590"/>
      <c r="CF845" s="1596">
        <f t="shared" ref="CF845:CH845" si="1376">+CF844-SUM(CF837:CF843)</f>
        <v>0</v>
      </c>
      <c r="CG845" s="1596">
        <f t="shared" si="1376"/>
        <v>0</v>
      </c>
      <c r="CH845" s="1596">
        <f t="shared" si="1376"/>
        <v>0</v>
      </c>
      <c r="CI845" s="1590"/>
      <c r="CJ845" s="1596">
        <f t="shared" ref="CJ845:CL845" si="1377">+CJ844-SUM(CJ837:CJ843)</f>
        <v>0</v>
      </c>
      <c r="CK845" s="1596">
        <f t="shared" si="1377"/>
        <v>0</v>
      </c>
      <c r="CL845" s="1596">
        <f t="shared" si="1377"/>
        <v>0</v>
      </c>
      <c r="CM845" s="1590"/>
      <c r="CN845" s="1596">
        <f t="shared" ref="CN845:CP845" si="1378">+CN844-SUM(CN837:CN843)</f>
        <v>0</v>
      </c>
      <c r="CO845" s="1596">
        <f t="shared" si="1378"/>
        <v>0</v>
      </c>
      <c r="CP845" s="1596">
        <f t="shared" si="1378"/>
        <v>0</v>
      </c>
      <c r="CQ845" s="1590"/>
      <c r="CR845" s="1697">
        <f t="shared" ref="CR845:CT845" si="1379">+CR844-SUM(CR837:CR843)</f>
        <v>570</v>
      </c>
      <c r="CS845" s="1696">
        <f t="shared" si="1379"/>
        <v>0</v>
      </c>
      <c r="CT845" s="1696">
        <f t="shared" si="1379"/>
        <v>0</v>
      </c>
      <c r="CU845" s="1590"/>
      <c r="CV845" s="1696">
        <f t="shared" ref="CV845:CX845" si="1380">+CV844-SUM(CV837:CV843)</f>
        <v>78</v>
      </c>
      <c r="CW845" s="1696">
        <f t="shared" si="1380"/>
        <v>-78</v>
      </c>
      <c r="CX845" s="1696">
        <f t="shared" si="1380"/>
        <v>0</v>
      </c>
      <c r="CY845" s="1590"/>
      <c r="CZ845" s="1696">
        <f t="shared" ref="CZ845:DB845" si="1381">+CZ844-SUM(CZ837:CZ843)</f>
        <v>0</v>
      </c>
      <c r="DA845" s="1696">
        <f t="shared" si="1381"/>
        <v>0</v>
      </c>
      <c r="DB845" s="1696">
        <f t="shared" si="1381"/>
        <v>0</v>
      </c>
      <c r="DC845" s="1590"/>
      <c r="DD845" s="1696">
        <f t="shared" ref="DD845:DF845" si="1382">+DD844-SUM(DD837:DD843)</f>
        <v>0</v>
      </c>
      <c r="DE845" s="1696">
        <f t="shared" ca="1" si="1382"/>
        <v>0</v>
      </c>
      <c r="DF845" s="1696">
        <f t="shared" ca="1" si="1382"/>
        <v>0</v>
      </c>
      <c r="DG845" s="1590"/>
      <c r="DH845" s="1696">
        <f t="shared" ref="DH845" si="1383">+DH844-SUM(DH837:DH843)</f>
        <v>0</v>
      </c>
      <c r="DI845" s="1696">
        <f t="shared" ref="DI845:DJ845" si="1384">+DI844-SUM(DI837:DI843)</f>
        <v>0</v>
      </c>
      <c r="DJ845" s="1696">
        <f t="shared" si="1384"/>
        <v>0</v>
      </c>
      <c r="DK845" s="1590"/>
      <c r="DL845" s="1696">
        <f t="shared" ref="DL845:DN845" si="1385">+DL844-SUM(DL837:DL843)</f>
        <v>0</v>
      </c>
      <c r="DM845" s="1696">
        <f t="shared" si="1385"/>
        <v>0</v>
      </c>
      <c r="DN845" s="1696">
        <f t="shared" si="1385"/>
        <v>0</v>
      </c>
      <c r="DP845" s="1696">
        <f t="shared" ref="DP845:DR845" si="1386">+DP844-SUM(DP837:DP843)</f>
        <v>0</v>
      </c>
      <c r="DQ845" s="1696">
        <f t="shared" si="1386"/>
        <v>0</v>
      </c>
      <c r="DR845" s="1696">
        <f t="shared" si="1386"/>
        <v>0</v>
      </c>
      <c r="DU845" s="876"/>
      <c r="DV845" s="876"/>
      <c r="DW845" s="876"/>
      <c r="DZ845" s="876"/>
      <c r="EA845" s="876"/>
      <c r="ED845" s="876"/>
      <c r="EE845" s="876"/>
    </row>
    <row r="846" spans="1:273" outlineLevel="1">
      <c r="A846" s="1589" t="s">
        <v>1331</v>
      </c>
      <c r="B846" s="1590"/>
      <c r="C846" s="1589"/>
      <c r="D846" s="1589"/>
      <c r="E846" s="1589"/>
      <c r="F846" s="1589"/>
      <c r="G846" s="1589"/>
      <c r="H846" s="1589"/>
      <c r="I846" s="1589"/>
      <c r="J846" s="1589"/>
      <c r="K846" s="1589"/>
      <c r="L846" s="1589"/>
      <c r="M846" s="1589"/>
      <c r="N846" s="1589"/>
      <c r="O846" s="1589"/>
      <c r="P846" s="1589"/>
      <c r="Q846" s="1589"/>
      <c r="R846" s="1589"/>
      <c r="S846" s="1589"/>
      <c r="T846" s="1589"/>
      <c r="U846" s="1589"/>
      <c r="V846" s="1589"/>
      <c r="W846" s="1589"/>
      <c r="X846" s="1589"/>
      <c r="Y846" s="1589"/>
      <c r="Z846" s="1589"/>
      <c r="AA846" s="1589"/>
      <c r="AB846" s="1589"/>
      <c r="AC846" s="1589"/>
      <c r="AD846" s="1589"/>
      <c r="AE846" s="1589"/>
      <c r="AF846" s="1589"/>
      <c r="AG846" s="1589"/>
      <c r="AH846" s="1589"/>
      <c r="AI846" s="1589"/>
      <c r="AJ846" s="1589"/>
      <c r="AK846" s="1589"/>
      <c r="AL846" s="1589"/>
      <c r="AM846" s="1589"/>
      <c r="AN846" s="1590"/>
      <c r="AO846" s="1590"/>
      <c r="AP846" s="1590"/>
      <c r="AQ846" s="1590"/>
      <c r="AR846" s="1591"/>
      <c r="AS846" s="1591"/>
      <c r="AT846" s="1592"/>
      <c r="AU846" s="1592"/>
      <c r="AV846" s="1591"/>
      <c r="AW846" s="1591"/>
      <c r="AX846" s="1592"/>
      <c r="AY846" s="1592"/>
      <c r="AZ846" s="1591"/>
      <c r="BA846" s="1593"/>
      <c r="BB846" s="1590"/>
      <c r="BC846" s="1590"/>
      <c r="BD846" s="1594"/>
      <c r="BE846" s="1595"/>
      <c r="BF846" s="1594"/>
      <c r="BG846" s="1590"/>
      <c r="BH846" s="1591"/>
      <c r="BI846" s="1593"/>
      <c r="BJ846" s="1590"/>
      <c r="BK846" s="1590"/>
      <c r="BL846" s="1593"/>
      <c r="BM846" s="1593"/>
      <c r="BN846" s="1590"/>
      <c r="BO846" s="1590"/>
      <c r="BP846" s="1593"/>
      <c r="BQ846" s="1593"/>
      <c r="BR846" s="1590"/>
      <c r="BS846" s="1590"/>
      <c r="BT846" s="1593"/>
      <c r="BU846" s="1593"/>
      <c r="BV846" s="1590"/>
      <c r="BW846" s="1590"/>
      <c r="BX846" s="1596">
        <f>+BX821-BX844-BX832</f>
        <v>0</v>
      </c>
      <c r="BY846" s="1596">
        <f>+BY821-BY844-BY832</f>
        <v>0</v>
      </c>
      <c r="BZ846" s="1596">
        <f>+BZ821-BZ844-BZ832</f>
        <v>0</v>
      </c>
      <c r="CA846" s="1590"/>
      <c r="CB846" s="1596">
        <f>+CB821-CB844-CB832</f>
        <v>0</v>
      </c>
      <c r="CC846" s="1596">
        <f>+CC821-CC844-CC832</f>
        <v>0</v>
      </c>
      <c r="CD846" s="1596">
        <f>+CD821-CD844-CD832</f>
        <v>0</v>
      </c>
      <c r="CE846" s="1590"/>
      <c r="CF846" s="1596">
        <f>+CF821-CF844-CF832</f>
        <v>0</v>
      </c>
      <c r="CG846" s="1596">
        <f>+CG821-CG844-CG832</f>
        <v>0</v>
      </c>
      <c r="CH846" s="1596">
        <f>+CH821-CH844-CH832</f>
        <v>0</v>
      </c>
      <c r="CI846" s="1590"/>
      <c r="CJ846" s="1596">
        <f>+CJ821-CJ844-CJ832</f>
        <v>0</v>
      </c>
      <c r="CK846" s="1596">
        <f>+CK821-CK844-CK832</f>
        <v>0</v>
      </c>
      <c r="CL846" s="1596">
        <f>+CL821-CL844-CL832</f>
        <v>0</v>
      </c>
      <c r="CM846" s="1590"/>
      <c r="CN846" s="1596">
        <f>+CN821-CN844-CN832</f>
        <v>0</v>
      </c>
      <c r="CO846" s="1596">
        <f>+CO821-CO844-CO832</f>
        <v>0</v>
      </c>
      <c r="CP846" s="1596">
        <f>+CP821-CP844-CP832</f>
        <v>0</v>
      </c>
      <c r="CQ846" s="1590"/>
      <c r="CR846" s="1596">
        <f>+CR821-CR844-CR832</f>
        <v>0</v>
      </c>
      <c r="CS846" s="1596">
        <f>+CS821-CS844-CS832</f>
        <v>0</v>
      </c>
      <c r="CT846" s="1596">
        <f>+CT821-CT844-CT832</f>
        <v>0</v>
      </c>
      <c r="CU846" s="1590"/>
      <c r="CV846" s="1596">
        <f>+CV821-CV844-CV832</f>
        <v>-78</v>
      </c>
      <c r="CW846" s="1596">
        <f>+CW821-CW844-CW832</f>
        <v>78</v>
      </c>
      <c r="CX846" s="1596">
        <f>+CX821-CX844-CX832</f>
        <v>0</v>
      </c>
      <c r="CY846" s="1590"/>
      <c r="CZ846" s="1596">
        <f>+CZ821-CZ844-CZ832</f>
        <v>0</v>
      </c>
      <c r="DA846" s="1596">
        <f>+DA821-DA844-DA832</f>
        <v>0</v>
      </c>
      <c r="DB846" s="1596">
        <f>+DB821-DB844-DB832</f>
        <v>0</v>
      </c>
      <c r="DC846" s="1590"/>
      <c r="DD846" s="1596">
        <f>+DD821-DD844-DD832</f>
        <v>0</v>
      </c>
      <c r="DE846" s="1596">
        <f ca="1">+DE821-DE844-DE832</f>
        <v>0</v>
      </c>
      <c r="DF846" s="1596">
        <f ca="1">+DF821-DF844-DF832</f>
        <v>0</v>
      </c>
      <c r="DG846" s="1590"/>
      <c r="DH846" s="1596">
        <f>+DH821-DH844-DH832</f>
        <v>0</v>
      </c>
      <c r="DI846" s="1596">
        <f>+DI821-DI844-DI832</f>
        <v>0</v>
      </c>
      <c r="DJ846" s="1596">
        <f>+DJ821-DJ844-DJ832</f>
        <v>0</v>
      </c>
      <c r="DK846" s="1590"/>
      <c r="DL846" s="1596">
        <f>+DL821-DL844-DL832</f>
        <v>1.5916157281026244E-12</v>
      </c>
      <c r="DM846" s="1596">
        <f>+DM821-DM844-DM832</f>
        <v>0</v>
      </c>
      <c r="DN846" s="1596">
        <f>+DN821-DN844-DN832</f>
        <v>0</v>
      </c>
      <c r="DP846" s="1596">
        <f>+DP821-DP844-DP832</f>
        <v>0</v>
      </c>
      <c r="DQ846" s="1596">
        <f>+DQ821-DQ844-DQ832</f>
        <v>0</v>
      </c>
      <c r="DR846" s="1596">
        <f>+DR821-DR844-DR832</f>
        <v>0</v>
      </c>
      <c r="DU846" s="876"/>
      <c r="DV846" s="876"/>
      <c r="DW846" s="876"/>
      <c r="DZ846" s="876"/>
      <c r="EA846" s="876"/>
      <c r="ED846" s="876"/>
      <c r="EE846" s="876"/>
    </row>
    <row r="847" spans="1:273">
      <c r="AR847" s="685"/>
      <c r="AS847" s="685"/>
      <c r="AT847" s="730"/>
      <c r="AU847" s="730"/>
      <c r="AV847" s="685"/>
      <c r="AW847" s="685"/>
      <c r="AX847" s="730"/>
      <c r="AY847" s="730"/>
      <c r="AZ847" s="685"/>
      <c r="BA847" s="876"/>
      <c r="BD847" s="711"/>
      <c r="BE847" s="885"/>
      <c r="BF847" s="711"/>
      <c r="BH847" s="685"/>
      <c r="BI847" s="876"/>
      <c r="BL847" s="876"/>
      <c r="BM847" s="876"/>
      <c r="BP847" s="876"/>
      <c r="BQ847" s="876"/>
      <c r="BT847" s="876"/>
      <c r="BU847" s="876"/>
      <c r="BX847" s="320"/>
      <c r="BY847" s="320"/>
      <c r="BZ847" s="320"/>
      <c r="CB847" s="320"/>
      <c r="CC847" s="320"/>
      <c r="CD847" s="320"/>
      <c r="CE847" s="103"/>
      <c r="CF847" s="320"/>
      <c r="CG847" s="320"/>
      <c r="CH847" s="320"/>
      <c r="CI847" s="103"/>
      <c r="CJ847" s="320"/>
      <c r="CK847" s="320"/>
      <c r="CL847" s="320"/>
      <c r="CM847" s="103"/>
      <c r="CN847" s="320"/>
      <c r="CO847" s="320"/>
      <c r="CP847" s="320"/>
      <c r="CQ847" s="103"/>
      <c r="CR847" s="320"/>
      <c r="CS847" s="320"/>
      <c r="CT847" s="320"/>
      <c r="CV847" s="876"/>
      <c r="CW847" s="876"/>
      <c r="CZ847" s="876"/>
      <c r="DA847" s="876"/>
      <c r="DD847" s="876"/>
      <c r="DE847" s="876"/>
      <c r="DH847" s="876"/>
      <c r="DI847" s="876"/>
      <c r="DL847" s="876"/>
      <c r="DM847" s="876"/>
      <c r="DP847" s="876"/>
      <c r="DQ847" s="876"/>
      <c r="DU847" s="876"/>
      <c r="DV847" s="876"/>
      <c r="DW847" s="876"/>
      <c r="DZ847" s="876"/>
      <c r="EA847" s="876"/>
      <c r="ED847" s="876"/>
      <c r="EE847" s="876"/>
    </row>
    <row r="848" spans="1:273">
      <c r="AR848" s="685"/>
      <c r="AS848" s="685"/>
      <c r="AT848" s="730"/>
      <c r="AU848" s="730"/>
      <c r="AV848" s="685"/>
      <c r="AW848" s="685"/>
      <c r="AX848" s="730"/>
      <c r="AY848" s="730"/>
      <c r="AZ848" s="685"/>
      <c r="BA848" s="876"/>
      <c r="BD848" s="711"/>
      <c r="BE848" s="885"/>
      <c r="BF848" s="711"/>
      <c r="BH848" s="685"/>
      <c r="BI848" s="876"/>
      <c r="BL848" s="876"/>
      <c r="BM848" s="876"/>
      <c r="BP848" s="876"/>
      <c r="BQ848" s="876"/>
      <c r="BT848" s="876"/>
      <c r="BU848" s="876"/>
      <c r="BX848" s="320"/>
      <c r="BY848" s="320"/>
      <c r="BZ848" s="320"/>
      <c r="CB848" s="320"/>
      <c r="CC848" s="320"/>
      <c r="CD848" s="320"/>
      <c r="CE848" s="103"/>
      <c r="CF848" s="320"/>
      <c r="CG848" s="320"/>
      <c r="CH848" s="320"/>
      <c r="CI848" s="103"/>
      <c r="CJ848" s="320"/>
      <c r="CK848" s="320"/>
      <c r="CL848" s="320"/>
      <c r="CM848" s="103"/>
      <c r="CN848" s="320"/>
      <c r="CO848" s="320"/>
      <c r="CP848" s="320"/>
      <c r="CQ848" s="103"/>
      <c r="CR848" s="320"/>
      <c r="CS848" s="320"/>
      <c r="CT848" s="320"/>
      <c r="CV848" s="876"/>
      <c r="CW848" s="876"/>
      <c r="CZ848" s="876"/>
      <c r="DA848" s="876"/>
      <c r="DD848" s="876"/>
      <c r="DE848" s="876"/>
      <c r="DH848" s="876"/>
      <c r="DI848" s="876"/>
      <c r="DL848" s="876"/>
      <c r="DM848" s="876"/>
      <c r="DP848" s="876"/>
      <c r="DQ848" s="876"/>
      <c r="DU848" s="876"/>
      <c r="DV848" s="876"/>
      <c r="DW848" s="876"/>
      <c r="DZ848" s="876"/>
      <c r="EA848" s="876"/>
      <c r="ED848" s="876"/>
      <c r="EE848" s="876"/>
    </row>
    <row r="849" spans="1:135">
      <c r="A849" s="1694" t="s">
        <v>1336</v>
      </c>
      <c r="AR849" s="685"/>
      <c r="AS849" s="685"/>
      <c r="AT849" s="730"/>
      <c r="AU849" s="730"/>
      <c r="AV849" s="685"/>
      <c r="AW849" s="685"/>
      <c r="AX849" s="730"/>
      <c r="AY849" s="730"/>
      <c r="AZ849" s="685"/>
      <c r="BA849" s="876"/>
      <c r="BD849" s="711"/>
      <c r="BE849" s="885"/>
      <c r="BF849" s="711"/>
      <c r="BH849" s="685"/>
      <c r="BI849" s="876"/>
      <c r="BL849" s="876"/>
      <c r="BM849" s="876"/>
      <c r="BP849" s="876"/>
      <c r="BQ849" s="876"/>
      <c r="BT849" s="876"/>
      <c r="BU849" s="876"/>
      <c r="BX849" s="320"/>
      <c r="BY849" s="320"/>
      <c r="BZ849" s="320"/>
      <c r="CB849" s="320"/>
      <c r="CC849" s="320"/>
      <c r="CD849" s="320"/>
      <c r="CE849" s="103"/>
      <c r="CF849" s="320"/>
      <c r="CG849" s="320"/>
      <c r="CH849" s="320"/>
      <c r="CI849" s="103"/>
      <c r="CJ849" s="320"/>
      <c r="CK849" s="320"/>
      <c r="CL849" s="320"/>
      <c r="CM849" s="103"/>
      <c r="CN849" s="320"/>
      <c r="CO849" s="320"/>
      <c r="CP849" s="320"/>
      <c r="CQ849" s="103"/>
      <c r="CR849" s="320"/>
      <c r="CS849" s="320"/>
      <c r="CT849" s="320"/>
      <c r="CV849" s="876"/>
      <c r="CW849" s="876"/>
      <c r="CZ849" s="876"/>
      <c r="DA849" s="876"/>
      <c r="DD849" s="876"/>
      <c r="DE849" s="876"/>
      <c r="DH849" s="876"/>
      <c r="DI849" s="876"/>
      <c r="DL849" s="876"/>
      <c r="DM849" s="876"/>
      <c r="DP849" s="876"/>
      <c r="DQ849" s="876"/>
      <c r="DU849" s="876"/>
      <c r="DV849" s="876"/>
      <c r="DW849" s="876"/>
      <c r="DZ849" s="876"/>
      <c r="EA849" s="876"/>
      <c r="ED849" s="876"/>
      <c r="EE849" s="876"/>
    </row>
    <row r="850" spans="1:135">
      <c r="A850" s="102" t="s">
        <v>686</v>
      </c>
      <c r="AR850" s="685"/>
      <c r="AS850" s="685"/>
      <c r="AT850" s="730"/>
      <c r="AU850" s="730"/>
      <c r="AV850" s="685"/>
      <c r="AW850" s="685"/>
      <c r="AX850" s="730"/>
      <c r="AY850" s="730"/>
      <c r="AZ850" s="685"/>
      <c r="BA850" s="876"/>
      <c r="BD850" s="711"/>
      <c r="BE850" s="885"/>
      <c r="BF850" s="711"/>
      <c r="BH850" s="685"/>
      <c r="BI850" s="876"/>
      <c r="BL850" s="876"/>
      <c r="BM850" s="876"/>
      <c r="BP850" s="876"/>
      <c r="BQ850" s="876"/>
      <c r="BT850" s="876"/>
      <c r="BU850" s="876"/>
      <c r="BX850" s="320">
        <f t="shared" ref="BX850:BZ857" si="1387">+BX837/BX$844</f>
        <v>9.5314285714285713E-2</v>
      </c>
      <c r="BY850" s="320">
        <f t="shared" si="1387"/>
        <v>0.11004992402865205</v>
      </c>
      <c r="BZ850" s="320">
        <f t="shared" si="1387"/>
        <v>0.10287241148964596</v>
      </c>
      <c r="CB850" s="320">
        <f t="shared" ref="CB850:CD857" si="1388">+CB837/CB$844</f>
        <v>9.2102335928809786E-2</v>
      </c>
      <c r="CC850" s="320">
        <f t="shared" si="1388"/>
        <v>9.2785699084911688E-2</v>
      </c>
      <c r="CD850" s="320">
        <f t="shared" si="1388"/>
        <v>9.2451598868827492E-2</v>
      </c>
      <c r="CE850" s="103"/>
      <c r="CF850" s="320">
        <f t="shared" ref="CF850:CH857" si="1389">+CF837/CF$844</f>
        <v>0.10106382978723404</v>
      </c>
      <c r="CG850" s="320">
        <f t="shared" si="1389"/>
        <v>7.0095313741064341E-2</v>
      </c>
      <c r="CH850" s="320">
        <f t="shared" si="1389"/>
        <v>8.5640822784810125E-2</v>
      </c>
      <c r="CI850" s="103"/>
      <c r="CJ850" s="320">
        <f t="shared" ref="CJ850:CL857" si="1390">+CJ837/CJ$844</f>
        <v>0.1200310257901881</v>
      </c>
      <c r="CK850" s="320">
        <f t="shared" si="1390"/>
        <v>0.14338438826351727</v>
      </c>
      <c r="CL850" s="320">
        <f t="shared" si="1390"/>
        <v>0.13199697428139184</v>
      </c>
      <c r="CM850" s="103"/>
      <c r="CN850" s="320">
        <f t="shared" ref="CN850:CP857" si="1391">+CN837/CN$844</f>
        <v>0.13317043372021992</v>
      </c>
      <c r="CO850" s="320">
        <f t="shared" si="1391"/>
        <v>0.13890339425587467</v>
      </c>
      <c r="CP850" s="320">
        <f t="shared" si="1391"/>
        <v>0.13560435435435436</v>
      </c>
      <c r="CQ850" s="103"/>
      <c r="CR850" s="320">
        <f t="shared" ref="CR850:CT857" si="1392">+CR837/CR$844</f>
        <v>0.16035634743875279</v>
      </c>
      <c r="CS850" s="320">
        <f t="shared" si="1392"/>
        <v>0.16195727084769124</v>
      </c>
      <c r="CT850" s="320">
        <f t="shared" si="1392"/>
        <v>0.16118656182987848</v>
      </c>
      <c r="CV850" s="320">
        <f t="shared" ref="CV850:CX850" si="1393">+CV837/CV$844</f>
        <v>0.10976459116868645</v>
      </c>
      <c r="CW850" s="320">
        <f t="shared" si="1393"/>
        <v>8.8354268682137541E-2</v>
      </c>
      <c r="CX850" s="320">
        <f t="shared" si="1393"/>
        <v>9.7628673143064018E-2</v>
      </c>
      <c r="CZ850" s="320">
        <f t="shared" ref="CZ850:DB850" si="1394">+CZ837/CZ$844</f>
        <v>0.12803867403314917</v>
      </c>
      <c r="DA850" s="320">
        <f t="shared" si="1394"/>
        <v>0.10957474563005479</v>
      </c>
      <c r="DB850" s="320">
        <f t="shared" si="1394"/>
        <v>0.1186019990608439</v>
      </c>
      <c r="DD850" s="320">
        <f t="shared" ref="DD850:DF850" si="1395">+DD837/DD$844</f>
        <v>0.1279358938933407</v>
      </c>
      <c r="DE850" s="320">
        <f t="shared" ca="1" si="1395"/>
        <v>0.15421303656597773</v>
      </c>
      <c r="DF850" s="320">
        <f t="shared" ca="1" si="1395"/>
        <v>0.14187479727538113</v>
      </c>
      <c r="DH850" s="320">
        <f t="shared" ref="DH850" si="1396">+DH837/DH$844</f>
        <v>0.15699309639478395</v>
      </c>
      <c r="DI850" s="320">
        <f t="shared" ref="DI850:DJ850" si="1397">+DI837/DI$844</f>
        <v>0.1593962410052642</v>
      </c>
      <c r="DJ850" s="320">
        <f t="shared" si="1397"/>
        <v>0.15823877137560458</v>
      </c>
      <c r="DL850" s="320">
        <f t="shared" ref="DL850:DN850" si="1398">+DL837/DL$844</f>
        <v>0.17191832914661317</v>
      </c>
      <c r="DM850" s="320">
        <f t="shared" si="1398"/>
        <v>0.16443502364138488</v>
      </c>
      <c r="DN850" s="320">
        <f t="shared" si="1398"/>
        <v>0.16798278376819487</v>
      </c>
      <c r="DP850" s="320">
        <f t="shared" ref="DP850:DR850" si="1399">+DP837/DP$844</f>
        <v>0.17543229193083271</v>
      </c>
      <c r="DQ850" s="320">
        <f t="shared" si="1399"/>
        <v>0.16632285279117182</v>
      </c>
      <c r="DR850" s="320">
        <f t="shared" si="1399"/>
        <v>0.17064808026818573</v>
      </c>
      <c r="DU850" s="876"/>
      <c r="DV850" s="876"/>
      <c r="DW850" s="876"/>
      <c r="DZ850" s="876"/>
      <c r="EA850" s="876"/>
      <c r="ED850" s="876"/>
      <c r="EE850" s="876"/>
    </row>
    <row r="851" spans="1:135">
      <c r="A851" s="102" t="s">
        <v>1306</v>
      </c>
      <c r="AR851" s="685"/>
      <c r="AS851" s="685"/>
      <c r="AT851" s="730"/>
      <c r="AU851" s="730"/>
      <c r="AV851" s="685"/>
      <c r="AW851" s="685"/>
      <c r="AX851" s="730"/>
      <c r="AY851" s="730"/>
      <c r="AZ851" s="685"/>
      <c r="BA851" s="876"/>
      <c r="BD851" s="711"/>
      <c r="BE851" s="885"/>
      <c r="BF851" s="711"/>
      <c r="BH851" s="685"/>
      <c r="BI851" s="876"/>
      <c r="BL851" s="876"/>
      <c r="BM851" s="876"/>
      <c r="BP851" s="876"/>
      <c r="BQ851" s="876"/>
      <c r="BT851" s="876"/>
      <c r="BU851" s="876"/>
      <c r="BX851" s="320">
        <f t="shared" si="1387"/>
        <v>0.21348571428571428</v>
      </c>
      <c r="BY851" s="320">
        <f t="shared" si="1387"/>
        <v>0.20186672454959845</v>
      </c>
      <c r="BZ851" s="320">
        <f t="shared" si="1387"/>
        <v>0.20752616343798708</v>
      </c>
      <c r="CB851" s="320">
        <f t="shared" si="1388"/>
        <v>0.18887652947719688</v>
      </c>
      <c r="CC851" s="320">
        <f t="shared" si="1388"/>
        <v>0.20578846563098532</v>
      </c>
      <c r="CD851" s="320">
        <f t="shared" si="1388"/>
        <v>0.19752012181857734</v>
      </c>
      <c r="CE851" s="103"/>
      <c r="CF851" s="320">
        <f t="shared" si="1389"/>
        <v>0.23778565799842397</v>
      </c>
      <c r="CG851" s="320">
        <f t="shared" si="1389"/>
        <v>0.25258141382049243</v>
      </c>
      <c r="CH851" s="320">
        <f t="shared" si="1389"/>
        <v>0.24515427215189872</v>
      </c>
      <c r="CI851" s="103"/>
      <c r="CJ851" s="320">
        <f t="shared" si="1390"/>
        <v>0.23851076207097149</v>
      </c>
      <c r="CK851" s="320">
        <f t="shared" si="1390"/>
        <v>0.26702343605831336</v>
      </c>
      <c r="CL851" s="320">
        <f t="shared" si="1390"/>
        <v>0.25312027231467471</v>
      </c>
      <c r="CM851" s="103"/>
      <c r="CN851" s="320">
        <f t="shared" si="1391"/>
        <v>0.19588678476888619</v>
      </c>
      <c r="CO851" s="320">
        <f t="shared" si="1391"/>
        <v>0.20104438642297651</v>
      </c>
      <c r="CP851" s="320">
        <f t="shared" si="1391"/>
        <v>0.19866741741741742</v>
      </c>
      <c r="CQ851" s="103"/>
      <c r="CR851" s="320">
        <f t="shared" si="1392"/>
        <v>0.21440237564959169</v>
      </c>
      <c r="CS851" s="320">
        <f t="shared" si="1392"/>
        <v>0.23280496209510682</v>
      </c>
      <c r="CT851" s="320">
        <f t="shared" si="1392"/>
        <v>0.26468906361686917</v>
      </c>
      <c r="CV851" s="320">
        <f t="shared" ref="CV851:CX851" si="1400">+CV838/CV$844</f>
        <v>0.21340019501323304</v>
      </c>
      <c r="CW851" s="320">
        <f t="shared" si="1400"/>
        <v>0.1596763891845859</v>
      </c>
      <c r="CX851" s="320">
        <f t="shared" si="1400"/>
        <v>0.18294816870813974</v>
      </c>
      <c r="CZ851" s="320">
        <f t="shared" ref="CZ851:DB851" si="1401">+CZ838/CZ$844</f>
        <v>0.1910220994475138</v>
      </c>
      <c r="DA851" s="320">
        <f t="shared" si="1401"/>
        <v>0.18549439081659275</v>
      </c>
      <c r="DB851" s="320">
        <f t="shared" si="1401"/>
        <v>0.18816663312537735</v>
      </c>
      <c r="DD851" s="320">
        <f t="shared" ref="DD851:DF851" si="1402">+DD838/DD$844</f>
        <v>0.20378557612600165</v>
      </c>
      <c r="DE851" s="320">
        <f t="shared" ca="1" si="1402"/>
        <v>0.19860584566466918</v>
      </c>
      <c r="DF851" s="320">
        <f t="shared" ca="1" si="1402"/>
        <v>0.20103795004865391</v>
      </c>
      <c r="DH851" s="320">
        <f t="shared" ref="DH851" si="1403">+DH838/DH$844</f>
        <v>0.1981590386090514</v>
      </c>
      <c r="DI851" s="320">
        <f t="shared" ref="DI851:DJ851" si="1404">+DI838/DI$844</f>
        <v>0.15920282771182889</v>
      </c>
      <c r="DJ851" s="320">
        <f t="shared" si="1404"/>
        <v>0.1779660060921506</v>
      </c>
      <c r="DL851" s="320">
        <f t="shared" ref="DL851:DN851" si="1405">+DL838/DL$844</f>
        <v>0.15995903520556171</v>
      </c>
      <c r="DM851" s="320">
        <f t="shared" si="1405"/>
        <v>0.1460974042759865</v>
      </c>
      <c r="DN851" s="320">
        <f t="shared" si="1405"/>
        <v>0.15266906454966425</v>
      </c>
      <c r="DP851" s="320">
        <f t="shared" ref="DP851:DR851" si="1406">+DP838/DP$844</f>
        <v>0.15827491621534645</v>
      </c>
      <c r="DQ851" s="320">
        <f t="shared" si="1406"/>
        <v>0.14618571475040953</v>
      </c>
      <c r="DR851" s="320">
        <f t="shared" si="1406"/>
        <v>0.15192575489444513</v>
      </c>
      <c r="DU851" s="876"/>
      <c r="DV851" s="876"/>
      <c r="DW851" s="876"/>
      <c r="DZ851" s="876"/>
      <c r="EA851" s="876"/>
      <c r="ED851" s="876"/>
      <c r="EE851" s="876"/>
    </row>
    <row r="852" spans="1:135">
      <c r="A852" s="102" t="s">
        <v>1024</v>
      </c>
      <c r="AR852" s="685"/>
      <c r="AS852" s="685"/>
      <c r="AT852" s="730"/>
      <c r="AU852" s="730"/>
      <c r="AV852" s="685"/>
      <c r="AW852" s="685"/>
      <c r="AX852" s="730"/>
      <c r="AY852" s="730"/>
      <c r="AZ852" s="685"/>
      <c r="BA852" s="876"/>
      <c r="BD852" s="711"/>
      <c r="BE852" s="885"/>
      <c r="BF852" s="711"/>
      <c r="BH852" s="685"/>
      <c r="BI852" s="876"/>
      <c r="BL852" s="876"/>
      <c r="BM852" s="876"/>
      <c r="BP852" s="876"/>
      <c r="BQ852" s="876"/>
      <c r="BT852" s="876"/>
      <c r="BU852" s="876"/>
      <c r="BX852" s="320">
        <f t="shared" si="1387"/>
        <v>0.31542857142857145</v>
      </c>
      <c r="BY852" s="320">
        <f t="shared" si="1387"/>
        <v>0.33340568699804646</v>
      </c>
      <c r="BZ852" s="320">
        <f t="shared" si="1387"/>
        <v>0.32464929859719438</v>
      </c>
      <c r="CB852" s="320">
        <f t="shared" si="1388"/>
        <v>0.30144605116796441</v>
      </c>
      <c r="CC852" s="320">
        <f t="shared" si="1388"/>
        <v>0.32581400297935731</v>
      </c>
      <c r="CD852" s="320">
        <f t="shared" si="1388"/>
        <v>0.31390036980639546</v>
      </c>
      <c r="CE852" s="103"/>
      <c r="CF852" s="320">
        <f t="shared" si="1389"/>
        <v>0.41666666666666669</v>
      </c>
      <c r="CG852" s="320">
        <f t="shared" si="1389"/>
        <v>0.46624305003971406</v>
      </c>
      <c r="CH852" s="320">
        <f t="shared" si="1389"/>
        <v>0.44135680379746833</v>
      </c>
      <c r="CI852" s="103"/>
      <c r="CJ852" s="320">
        <f t="shared" si="1390"/>
        <v>0.41516385495443087</v>
      </c>
      <c r="CK852" s="320">
        <f t="shared" si="1390"/>
        <v>0.34046872116626686</v>
      </c>
      <c r="CL852" s="320">
        <f t="shared" si="1390"/>
        <v>0.37689107413010592</v>
      </c>
      <c r="CM852" s="103"/>
      <c r="CN852" s="320">
        <f t="shared" si="1391"/>
        <v>0.44919568316025249</v>
      </c>
      <c r="CO852" s="320">
        <f t="shared" si="1391"/>
        <v>0.44490861618798955</v>
      </c>
      <c r="CP852" s="320">
        <f t="shared" si="1391"/>
        <v>0.44688438438438438</v>
      </c>
      <c r="CQ852" s="103"/>
      <c r="CR852" s="320">
        <f t="shared" si="1392"/>
        <v>0.34253897550111356</v>
      </c>
      <c r="CS852" s="320">
        <f t="shared" si="1392"/>
        <v>0.45651274982770501</v>
      </c>
      <c r="CT852" s="320">
        <f t="shared" si="1392"/>
        <v>0.40164403145103644</v>
      </c>
      <c r="CV852" s="320">
        <f t="shared" ref="CV852:CX852" si="1407">+CV839/CV$844</f>
        <v>0.45159492965594095</v>
      </c>
      <c r="CW852" s="320">
        <f t="shared" si="1407"/>
        <v>0.57206727698530979</v>
      </c>
      <c r="CX852" s="320">
        <f t="shared" si="1407"/>
        <v>0.51988173535268212</v>
      </c>
      <c r="CZ852" s="320">
        <f t="shared" ref="CZ852:DB852" si="1408">+CZ839/CZ$844</f>
        <v>0.39696132596685085</v>
      </c>
      <c r="DA852" s="320">
        <f t="shared" si="1408"/>
        <v>0.43829898252021915</v>
      </c>
      <c r="DB852" s="320">
        <f t="shared" si="1408"/>
        <v>0.41819279533105252</v>
      </c>
      <c r="DD852" s="320">
        <f t="shared" ref="DD852:DF852" si="1409">+DD839/DD$844</f>
        <v>0.3842221608179055</v>
      </c>
      <c r="DE852" s="320">
        <f t="shared" ca="1" si="1409"/>
        <v>0.37996820349761529</v>
      </c>
      <c r="DF852" s="320">
        <f t="shared" ca="1" si="1409"/>
        <v>0.38196561790463834</v>
      </c>
      <c r="DH852" s="320">
        <f t="shared" ref="DH852" si="1410">+DH839/DH$844</f>
        <v>0.36806443364868319</v>
      </c>
      <c r="DI852" s="320">
        <f t="shared" ref="DI852:DJ852" si="1411">+DI839/DI$844</f>
        <v>0.42438665602143849</v>
      </c>
      <c r="DJ852" s="320">
        <f t="shared" si="1411"/>
        <v>0.39725917414327921</v>
      </c>
      <c r="DL852" s="320">
        <f t="shared" ref="DL852:DN852" si="1412">+DL839/DL$844</f>
        <v>0.37332106850686392</v>
      </c>
      <c r="DM852" s="320">
        <f t="shared" si="1412"/>
        <v>0.41581433758251773</v>
      </c>
      <c r="DN852" s="320">
        <f t="shared" si="1412"/>
        <v>0.39566870466948417</v>
      </c>
      <c r="DP852" s="320">
        <f t="shared" ref="DP852:DR852" si="1413">+DP839/DP$844</f>
        <v>0.36432153043659637</v>
      </c>
      <c r="DQ852" s="320">
        <f t="shared" si="1413"/>
        <v>0.40774169055303622</v>
      </c>
      <c r="DR852" s="320">
        <f t="shared" si="1413"/>
        <v>0.38712548502021527</v>
      </c>
      <c r="DU852" s="876"/>
      <c r="DV852" s="876"/>
      <c r="DW852" s="876"/>
      <c r="DZ852" s="876"/>
      <c r="EA852" s="876"/>
      <c r="ED852" s="876"/>
      <c r="EE852" s="876"/>
    </row>
    <row r="853" spans="1:135">
      <c r="A853" s="102" t="s">
        <v>690</v>
      </c>
      <c r="AR853" s="685"/>
      <c r="AS853" s="685"/>
      <c r="AT853" s="730"/>
      <c r="AU853" s="730"/>
      <c r="AV853" s="685"/>
      <c r="AW853" s="685"/>
      <c r="AX853" s="730"/>
      <c r="AY853" s="730"/>
      <c r="AZ853" s="685"/>
      <c r="BA853" s="876"/>
      <c r="BD853" s="711"/>
      <c r="BE853" s="885"/>
      <c r="BF853" s="711"/>
      <c r="BH853" s="685"/>
      <c r="BI853" s="876"/>
      <c r="BL853" s="876"/>
      <c r="BM853" s="876"/>
      <c r="BP853" s="876"/>
      <c r="BQ853" s="876"/>
      <c r="BT853" s="876"/>
      <c r="BU853" s="876"/>
      <c r="BX853" s="320">
        <f t="shared" si="1387"/>
        <v>0.19314285714285714</v>
      </c>
      <c r="BY853" s="320">
        <f t="shared" si="1387"/>
        <v>0.18754069893640113</v>
      </c>
      <c r="BZ853" s="320">
        <f t="shared" si="1387"/>
        <v>0.19026942774437763</v>
      </c>
      <c r="CB853" s="320">
        <f t="shared" si="1388"/>
        <v>0.15862068965517243</v>
      </c>
      <c r="CC853" s="320">
        <f t="shared" si="1388"/>
        <v>0.12683549691423707</v>
      </c>
      <c r="CD853" s="320">
        <f t="shared" si="1388"/>
        <v>0.14237546225799436</v>
      </c>
      <c r="CE853" s="103"/>
      <c r="CF853" s="320">
        <f t="shared" si="1389"/>
        <v>0</v>
      </c>
      <c r="CG853" s="320">
        <f t="shared" si="1389"/>
        <v>0</v>
      </c>
      <c r="CH853" s="320">
        <f t="shared" si="1389"/>
        <v>0</v>
      </c>
      <c r="CI853" s="103"/>
      <c r="CJ853" s="320">
        <f t="shared" si="1390"/>
        <v>0</v>
      </c>
      <c r="CK853" s="320">
        <f t="shared" si="1390"/>
        <v>0</v>
      </c>
      <c r="CL853" s="320">
        <f t="shared" si="1390"/>
        <v>0</v>
      </c>
      <c r="CM853" s="103"/>
      <c r="CN853" s="320">
        <f t="shared" si="1391"/>
        <v>0</v>
      </c>
      <c r="CO853" s="320">
        <f t="shared" si="1391"/>
        <v>0</v>
      </c>
      <c r="CP853" s="320">
        <f t="shared" si="1391"/>
        <v>0</v>
      </c>
      <c r="CQ853" s="103"/>
      <c r="CR853" s="320">
        <f t="shared" si="1392"/>
        <v>0</v>
      </c>
      <c r="CS853" s="320">
        <f t="shared" si="1392"/>
        <v>0</v>
      </c>
      <c r="CT853" s="320">
        <f t="shared" si="1392"/>
        <v>0</v>
      </c>
      <c r="CV853" s="320">
        <f t="shared" ref="CV853:CX853" si="1414">+CV840/CV$844</f>
        <v>0</v>
      </c>
      <c r="CW853" s="320">
        <f t="shared" si="1414"/>
        <v>0</v>
      </c>
      <c r="CX853" s="320">
        <f t="shared" si="1414"/>
        <v>0</v>
      </c>
      <c r="CZ853" s="320">
        <f t="shared" ref="CZ853:DB853" si="1415">+CZ840/CZ$844</f>
        <v>0</v>
      </c>
      <c r="DA853" s="320">
        <f t="shared" si="1415"/>
        <v>0</v>
      </c>
      <c r="DB853" s="320">
        <f t="shared" si="1415"/>
        <v>0</v>
      </c>
      <c r="DD853" s="320">
        <f t="shared" ref="DD853:DF853" si="1416">+DD840/DD$844</f>
        <v>0</v>
      </c>
      <c r="DE853" s="320">
        <f t="shared" ca="1" si="1416"/>
        <v>0</v>
      </c>
      <c r="DF853" s="320">
        <f t="shared" ca="1" si="1416"/>
        <v>0</v>
      </c>
      <c r="DH853" s="320">
        <f t="shared" ref="DH853" si="1417">+DH840/DH$844</f>
        <v>0</v>
      </c>
      <c r="DI853" s="320">
        <f t="shared" ref="DI853:DJ853" si="1418">+DI840/DI$844</f>
        <v>0</v>
      </c>
      <c r="DJ853" s="320">
        <f t="shared" si="1418"/>
        <v>0</v>
      </c>
      <c r="DL853" s="320">
        <f t="shared" ref="DL853:DN853" si="1419">+DL840/DL$844</f>
        <v>0</v>
      </c>
      <c r="DM853" s="320">
        <f t="shared" si="1419"/>
        <v>0</v>
      </c>
      <c r="DN853" s="320">
        <f t="shared" si="1419"/>
        <v>0</v>
      </c>
      <c r="DP853" s="320">
        <f t="shared" ref="DP853:DR853" si="1420">+DP840/DP$844</f>
        <v>0</v>
      </c>
      <c r="DQ853" s="320">
        <f t="shared" si="1420"/>
        <v>0</v>
      </c>
      <c r="DR853" s="320">
        <f t="shared" si="1420"/>
        <v>0</v>
      </c>
      <c r="DU853" s="876"/>
      <c r="DV853" s="876"/>
      <c r="DW853" s="876"/>
      <c r="DZ853" s="876"/>
      <c r="EA853" s="876"/>
      <c r="ED853" s="876"/>
      <c r="EE853" s="876"/>
    </row>
    <row r="854" spans="1:135">
      <c r="A854" s="102" t="s">
        <v>689</v>
      </c>
      <c r="AR854" s="685"/>
      <c r="AS854" s="685"/>
      <c r="AT854" s="730"/>
      <c r="AU854" s="730"/>
      <c r="AV854" s="685"/>
      <c r="AW854" s="685"/>
      <c r="AX854" s="730"/>
      <c r="AY854" s="730"/>
      <c r="AZ854" s="685"/>
      <c r="BA854" s="876"/>
      <c r="BD854" s="711"/>
      <c r="BE854" s="885"/>
      <c r="BF854" s="711"/>
      <c r="BH854" s="685"/>
      <c r="BI854" s="876"/>
      <c r="BL854" s="876"/>
      <c r="BM854" s="876"/>
      <c r="BP854" s="876"/>
      <c r="BQ854" s="876"/>
      <c r="BT854" s="876"/>
      <c r="BU854" s="876"/>
      <c r="BX854" s="320">
        <f t="shared" si="1387"/>
        <v>0.17280000000000001</v>
      </c>
      <c r="BY854" s="320">
        <f t="shared" si="1387"/>
        <v>0.16843933145213805</v>
      </c>
      <c r="BZ854" s="320">
        <f t="shared" si="1387"/>
        <v>0.17056334892006234</v>
      </c>
      <c r="CB854" s="320">
        <f t="shared" si="1388"/>
        <v>0.23114571746384871</v>
      </c>
      <c r="CC854" s="320">
        <f t="shared" si="1388"/>
        <v>0.22196211959991488</v>
      </c>
      <c r="CD854" s="320">
        <f t="shared" si="1388"/>
        <v>0.2264520339351751</v>
      </c>
      <c r="CE854" s="103"/>
      <c r="CF854" s="320">
        <f t="shared" si="1389"/>
        <v>0.21256895193065406</v>
      </c>
      <c r="CG854" s="320">
        <f t="shared" si="1389"/>
        <v>0.21544876886417791</v>
      </c>
      <c r="CH854" s="320">
        <f t="shared" si="1389"/>
        <v>0.21400316455696203</v>
      </c>
      <c r="CI854" s="103"/>
      <c r="CJ854" s="320">
        <f t="shared" si="1390"/>
        <v>0.20612759356214855</v>
      </c>
      <c r="CK854" s="320">
        <f t="shared" si="1390"/>
        <v>0.20557298394537737</v>
      </c>
      <c r="CL854" s="320">
        <f t="shared" si="1390"/>
        <v>0.20584341906202724</v>
      </c>
      <c r="CM854" s="103"/>
      <c r="CN854" s="320">
        <f t="shared" si="1391"/>
        <v>0.21319486866218693</v>
      </c>
      <c r="CO854" s="320">
        <f t="shared" si="1391"/>
        <v>0.19425587467362923</v>
      </c>
      <c r="CP854" s="320">
        <f t="shared" si="1391"/>
        <v>0.20298423423423423</v>
      </c>
      <c r="CQ854" s="103"/>
      <c r="CR854" s="320">
        <f t="shared" si="1392"/>
        <v>0.17713437268002968</v>
      </c>
      <c r="CS854" s="320">
        <f t="shared" si="1392"/>
        <v>0.17022742935906271</v>
      </c>
      <c r="CT854" s="320">
        <f t="shared" si="1392"/>
        <v>0.17355253752680486</v>
      </c>
      <c r="CV854" s="320">
        <f t="shared" ref="CV854:CX854" si="1421">+CV841/CV$844</f>
        <v>0.20128151553141105</v>
      </c>
      <c r="CW854" s="320">
        <f t="shared" si="1421"/>
        <v>0.16627634660421545</v>
      </c>
      <c r="CX854" s="320">
        <f t="shared" si="1421"/>
        <v>0.18143969106377844</v>
      </c>
      <c r="CZ854" s="320">
        <f t="shared" ref="CZ854:DB854" si="1422">+CZ841/CZ$844</f>
        <v>0.22541436464088399</v>
      </c>
      <c r="DA854" s="320">
        <f t="shared" si="1422"/>
        <v>0.20453952517610227</v>
      </c>
      <c r="DB854" s="320">
        <f t="shared" si="1422"/>
        <v>0.2146642516938351</v>
      </c>
      <c r="DD854" s="320">
        <f t="shared" ref="DD854:DF854" si="1423">+DD841/DD$844</f>
        <v>0.22450953302017132</v>
      </c>
      <c r="DE854" s="320">
        <f t="shared" ca="1" si="1423"/>
        <v>0.2077779136602666</v>
      </c>
      <c r="DF854" s="320">
        <f t="shared" ca="1" si="1423"/>
        <v>0.2156341226078495</v>
      </c>
      <c r="DH854" s="320">
        <f t="shared" ref="DH854" si="1424">+DH841/DH$844</f>
        <v>0.22833035029404244</v>
      </c>
      <c r="DI854" s="320">
        <f t="shared" ref="DI854:DJ854" si="1425">+DI841/DI$844</f>
        <v>0.21422541095870115</v>
      </c>
      <c r="DJ854" s="320">
        <f t="shared" si="1425"/>
        <v>0.22101902580720006</v>
      </c>
      <c r="DL854" s="320">
        <f t="shared" ref="DL854:DN854" si="1426">+DL841/DL$844</f>
        <v>0.24776486533332015</v>
      </c>
      <c r="DM854" s="320">
        <f t="shared" si="1426"/>
        <v>0.23098668937180136</v>
      </c>
      <c r="DN854" s="320">
        <f t="shared" si="1426"/>
        <v>0.23894105440945623</v>
      </c>
      <c r="DP854" s="320">
        <f t="shared" ref="DP854:DR854" si="1427">+DP841/DP$844</f>
        <v>0.25534355996874558</v>
      </c>
      <c r="DQ854" s="320">
        <f t="shared" si="1427"/>
        <v>0.23731302820471142</v>
      </c>
      <c r="DR854" s="320">
        <f t="shared" si="1427"/>
        <v>0.2458740548733496</v>
      </c>
      <c r="DU854" s="876"/>
      <c r="DV854" s="876"/>
      <c r="DW854" s="876"/>
      <c r="DZ854" s="876"/>
      <c r="EA854" s="876"/>
      <c r="ED854" s="876"/>
      <c r="EE854" s="876"/>
    </row>
    <row r="855" spans="1:135">
      <c r="A855" s="102" t="s">
        <v>688</v>
      </c>
      <c r="AR855" s="685"/>
      <c r="AS855" s="685"/>
      <c r="AT855" s="730"/>
      <c r="AU855" s="730"/>
      <c r="AV855" s="685"/>
      <c r="AW855" s="685"/>
      <c r="AX855" s="730"/>
      <c r="AY855" s="730"/>
      <c r="AZ855" s="685"/>
      <c r="BA855" s="876"/>
      <c r="BD855" s="711"/>
      <c r="BE855" s="885"/>
      <c r="BF855" s="711"/>
      <c r="BH855" s="685"/>
      <c r="BI855" s="876"/>
      <c r="BL855" s="876"/>
      <c r="BM855" s="876"/>
      <c r="BP855" s="876"/>
      <c r="BQ855" s="876"/>
      <c r="BT855" s="876"/>
      <c r="BU855" s="876"/>
      <c r="BX855" s="320">
        <f t="shared" si="1387"/>
        <v>0</v>
      </c>
      <c r="BY855" s="320">
        <f t="shared" si="1387"/>
        <v>0</v>
      </c>
      <c r="BZ855" s="320">
        <f t="shared" si="1387"/>
        <v>0</v>
      </c>
      <c r="CB855" s="320">
        <f t="shared" si="1388"/>
        <v>0</v>
      </c>
      <c r="CC855" s="320">
        <f t="shared" si="1388"/>
        <v>0</v>
      </c>
      <c r="CD855" s="320">
        <f t="shared" si="1388"/>
        <v>0</v>
      </c>
      <c r="CE855" s="103"/>
      <c r="CF855" s="320">
        <f t="shared" si="1389"/>
        <v>0</v>
      </c>
      <c r="CG855" s="320">
        <f t="shared" si="1389"/>
        <v>0</v>
      </c>
      <c r="CH855" s="320">
        <f t="shared" si="1389"/>
        <v>0</v>
      </c>
      <c r="CI855" s="103"/>
      <c r="CJ855" s="320">
        <f t="shared" si="1390"/>
        <v>0</v>
      </c>
      <c r="CK855" s="320">
        <f t="shared" si="1390"/>
        <v>0</v>
      </c>
      <c r="CL855" s="320">
        <f t="shared" si="1390"/>
        <v>0</v>
      </c>
      <c r="CM855" s="103"/>
      <c r="CN855" s="320">
        <f t="shared" si="1391"/>
        <v>0</v>
      </c>
      <c r="CO855" s="320">
        <f t="shared" si="1391"/>
        <v>0</v>
      </c>
      <c r="CP855" s="320">
        <f t="shared" si="1391"/>
        <v>0</v>
      </c>
      <c r="CQ855" s="103"/>
      <c r="CR855" s="320">
        <f t="shared" si="1392"/>
        <v>0</v>
      </c>
      <c r="CS855" s="320">
        <f t="shared" si="1392"/>
        <v>0</v>
      </c>
      <c r="CT855" s="320">
        <f t="shared" si="1392"/>
        <v>0</v>
      </c>
      <c r="CV855" s="320">
        <f t="shared" ref="CV855:CX855" si="1428">+CV842/CV$844</f>
        <v>0</v>
      </c>
      <c r="CW855" s="320">
        <f t="shared" si="1428"/>
        <v>0</v>
      </c>
      <c r="CX855" s="320">
        <f t="shared" si="1428"/>
        <v>0</v>
      </c>
      <c r="CZ855" s="320">
        <f t="shared" ref="CZ855:DB855" si="1429">+CZ842/CZ$844</f>
        <v>0</v>
      </c>
      <c r="DA855" s="320">
        <f t="shared" si="1429"/>
        <v>0</v>
      </c>
      <c r="DB855" s="320">
        <f t="shared" si="1429"/>
        <v>0</v>
      </c>
      <c r="DD855" s="320">
        <f t="shared" ref="DD855:DF855" si="1430">+DD842/DD$844</f>
        <v>0</v>
      </c>
      <c r="DE855" s="320">
        <f t="shared" ca="1" si="1430"/>
        <v>0</v>
      </c>
      <c r="DF855" s="320">
        <f t="shared" ca="1" si="1430"/>
        <v>0</v>
      </c>
      <c r="DH855" s="320">
        <f t="shared" ref="DH855" si="1431">+DH842/DH$844</f>
        <v>0</v>
      </c>
      <c r="DI855" s="320">
        <f t="shared" ref="DI855:DJ855" si="1432">+DI842/DI$844</f>
        <v>0</v>
      </c>
      <c r="DJ855" s="320">
        <f t="shared" si="1432"/>
        <v>0</v>
      </c>
      <c r="DL855" s="320">
        <f t="shared" ref="DL855:DN855" si="1433">+DL842/DL$844</f>
        <v>0</v>
      </c>
      <c r="DM855" s="320">
        <f t="shared" si="1433"/>
        <v>0</v>
      </c>
      <c r="DN855" s="320">
        <f t="shared" si="1433"/>
        <v>0</v>
      </c>
      <c r="DP855" s="320">
        <f t="shared" ref="DP855:DR855" si="1434">+DP842/DP$844</f>
        <v>0</v>
      </c>
      <c r="DQ855" s="320">
        <f t="shared" si="1434"/>
        <v>0</v>
      </c>
      <c r="DR855" s="320">
        <f t="shared" si="1434"/>
        <v>0</v>
      </c>
      <c r="DU855" s="876"/>
      <c r="DV855" s="876"/>
      <c r="DW855" s="876"/>
      <c r="DZ855" s="876"/>
      <c r="EA855" s="876"/>
      <c r="ED855" s="876"/>
      <c r="EE855" s="876"/>
    </row>
    <row r="856" spans="1:135">
      <c r="A856" s="1562" t="s">
        <v>691</v>
      </c>
      <c r="AR856" s="685"/>
      <c r="AS856" s="685"/>
      <c r="AT856" s="730"/>
      <c r="AU856" s="730"/>
      <c r="AV856" s="685"/>
      <c r="AW856" s="685"/>
      <c r="AX856" s="730"/>
      <c r="AY856" s="730"/>
      <c r="AZ856" s="685"/>
      <c r="BA856" s="876"/>
      <c r="BD856" s="711"/>
      <c r="BE856" s="885"/>
      <c r="BF856" s="711"/>
      <c r="BH856" s="685"/>
      <c r="BI856" s="876"/>
      <c r="BL856" s="876"/>
      <c r="BM856" s="876"/>
      <c r="BP856" s="876"/>
      <c r="BQ856" s="876"/>
      <c r="BT856" s="876"/>
      <c r="BU856" s="876"/>
      <c r="BX856" s="320">
        <f t="shared" si="1387"/>
        <v>9.8285714285714278E-3</v>
      </c>
      <c r="BY856" s="320">
        <f t="shared" si="1387"/>
        <v>-1.302365964836119E-3</v>
      </c>
      <c r="BZ856" s="320">
        <f t="shared" si="1387"/>
        <v>4.1193498107325761E-3</v>
      </c>
      <c r="CB856" s="320">
        <f t="shared" si="1388"/>
        <v>2.7808676307007785E-2</v>
      </c>
      <c r="CC856" s="320">
        <f t="shared" si="1388"/>
        <v>2.6814215790593742E-2</v>
      </c>
      <c r="CD856" s="320">
        <f t="shared" si="1388"/>
        <v>2.7300413313030236E-2</v>
      </c>
      <c r="CE856" s="103"/>
      <c r="CF856" s="320">
        <f t="shared" si="1389"/>
        <v>3.1914893617021274E-2</v>
      </c>
      <c r="CG856" s="320">
        <f t="shared" si="1389"/>
        <v>-4.368546465448769E-3</v>
      </c>
      <c r="CH856" s="320">
        <f t="shared" si="1389"/>
        <v>1.3844936708860759E-2</v>
      </c>
      <c r="CI856" s="103"/>
      <c r="CJ856" s="320">
        <f t="shared" si="1390"/>
        <v>2.0166763622261004E-2</v>
      </c>
      <c r="CK856" s="320">
        <f t="shared" si="1390"/>
        <v>4.3550470566525189E-2</v>
      </c>
      <c r="CL856" s="320">
        <f t="shared" si="1390"/>
        <v>3.2148260211800304E-2</v>
      </c>
      <c r="CM856" s="103"/>
      <c r="CN856" s="320">
        <f t="shared" si="1391"/>
        <v>8.5522296884544893E-3</v>
      </c>
      <c r="CO856" s="320">
        <f t="shared" si="1391"/>
        <v>2.0887728459530026E-2</v>
      </c>
      <c r="CP856" s="320">
        <f t="shared" si="1391"/>
        <v>1.585960960960961E-2</v>
      </c>
      <c r="CQ856" s="103"/>
      <c r="CR856" s="320">
        <f t="shared" si="1392"/>
        <v>2.0935412026726059E-2</v>
      </c>
      <c r="CS856" s="320">
        <f t="shared" si="1392"/>
        <v>-2.1502412129565818E-2</v>
      </c>
      <c r="CT856" s="320">
        <f t="shared" si="1392"/>
        <v>-1.0721944245889921E-3</v>
      </c>
      <c r="CV856" s="320">
        <f t="shared" ref="CV856:CX856" si="1435">+CV843/CV$844</f>
        <v>1.3093745647026048E-2</v>
      </c>
      <c r="CW856" s="320">
        <f t="shared" si="1435"/>
        <v>2.1928890781349797E-2</v>
      </c>
      <c r="CX856" s="320">
        <f t="shared" si="1435"/>
        <v>1.8101731732335726E-2</v>
      </c>
      <c r="CZ856" s="320">
        <f t="shared" ref="CZ856:DB856" si="1436">+CZ843/CZ$844</f>
        <v>5.856353591160221E-2</v>
      </c>
      <c r="DA856" s="320">
        <f t="shared" si="1436"/>
        <v>6.2092355857031045E-2</v>
      </c>
      <c r="DB856" s="320">
        <f t="shared" si="1436"/>
        <v>6.0374320788891128E-2</v>
      </c>
      <c r="DD856" s="320">
        <f t="shared" ref="DD856:DF856" si="1437">+DD843/DD$844</f>
        <v>5.9546836142580821E-2</v>
      </c>
      <c r="DE856" s="320">
        <f t="shared" ca="1" si="1437"/>
        <v>5.9435000611471202E-2</v>
      </c>
      <c r="DF856" s="320">
        <f t="shared" ca="1" si="1437"/>
        <v>5.9487512163477134E-2</v>
      </c>
      <c r="DH856" s="320">
        <f t="shared" ref="DH856" si="1438">+DH843/DH$844</f>
        <v>4.8453081053439019E-2</v>
      </c>
      <c r="DI856" s="320">
        <f t="shared" ref="DI856:DJ856" si="1439">+DI843/DI$844</f>
        <v>4.2788864302767272E-2</v>
      </c>
      <c r="DJ856" s="320">
        <f t="shared" si="1439"/>
        <v>4.5517022581765543E-2</v>
      </c>
      <c r="DL856" s="320">
        <f t="shared" ref="DL856:DN856" si="1440">+DL843/DL$844</f>
        <v>4.7036701807641114E-2</v>
      </c>
      <c r="DM856" s="320">
        <f t="shared" si="1440"/>
        <v>4.2666545128309391E-2</v>
      </c>
      <c r="DN856" s="320">
        <f t="shared" si="1440"/>
        <v>4.4738392603200422E-2</v>
      </c>
      <c r="DP856" s="320">
        <f t="shared" ref="DP856:DR856" si="1441">+DP843/DP$844</f>
        <v>4.6627701448478817E-2</v>
      </c>
      <c r="DQ856" s="320">
        <f t="shared" si="1441"/>
        <v>4.2436713700671043E-2</v>
      </c>
      <c r="DR856" s="320">
        <f t="shared" si="1441"/>
        <v>4.442662494380404E-2</v>
      </c>
      <c r="DU856" s="876"/>
      <c r="DV856" s="876"/>
      <c r="DW856" s="876"/>
      <c r="DZ856" s="876"/>
      <c r="EA856" s="876"/>
      <c r="ED856" s="876"/>
      <c r="EE856" s="876"/>
    </row>
    <row r="857" spans="1:135">
      <c r="A857" s="814" t="s">
        <v>1326</v>
      </c>
      <c r="AR857" s="685"/>
      <c r="AS857" s="685"/>
      <c r="AT857" s="730"/>
      <c r="AU857" s="730"/>
      <c r="AV857" s="685"/>
      <c r="AW857" s="685"/>
      <c r="AX857" s="730"/>
      <c r="AY857" s="730"/>
      <c r="AZ857" s="685"/>
      <c r="BA857" s="876"/>
      <c r="BD857" s="711"/>
      <c r="BE857" s="885"/>
      <c r="BF857" s="711"/>
      <c r="BH857" s="685"/>
      <c r="BI857" s="876"/>
      <c r="BL857" s="876"/>
      <c r="BM857" s="876"/>
      <c r="BP857" s="876"/>
      <c r="BQ857" s="876"/>
      <c r="BT857" s="876"/>
      <c r="BU857" s="876"/>
      <c r="BX857" s="649">
        <f t="shared" si="1387"/>
        <v>1</v>
      </c>
      <c r="BY857" s="649">
        <f t="shared" si="1387"/>
        <v>1</v>
      </c>
      <c r="BZ857" s="649">
        <f t="shared" si="1387"/>
        <v>1</v>
      </c>
      <c r="CB857" s="649">
        <f t="shared" si="1388"/>
        <v>1</v>
      </c>
      <c r="CC857" s="649">
        <f t="shared" si="1388"/>
        <v>1</v>
      </c>
      <c r="CD857" s="649">
        <f t="shared" si="1388"/>
        <v>1</v>
      </c>
      <c r="CE857" s="103"/>
      <c r="CF857" s="649">
        <f t="shared" si="1389"/>
        <v>1</v>
      </c>
      <c r="CG857" s="649">
        <f t="shared" si="1389"/>
        <v>1</v>
      </c>
      <c r="CH857" s="649">
        <f t="shared" si="1389"/>
        <v>1</v>
      </c>
      <c r="CI857" s="103"/>
      <c r="CJ857" s="649">
        <f t="shared" si="1390"/>
        <v>1</v>
      </c>
      <c r="CK857" s="649">
        <f t="shared" si="1390"/>
        <v>1</v>
      </c>
      <c r="CL857" s="649">
        <f t="shared" si="1390"/>
        <v>1</v>
      </c>
      <c r="CM857" s="103"/>
      <c r="CN857" s="649">
        <f t="shared" si="1391"/>
        <v>1</v>
      </c>
      <c r="CO857" s="649">
        <f t="shared" si="1391"/>
        <v>1</v>
      </c>
      <c r="CP857" s="649">
        <f t="shared" si="1391"/>
        <v>1</v>
      </c>
      <c r="CQ857" s="103"/>
      <c r="CR857" s="649">
        <f t="shared" si="1392"/>
        <v>1</v>
      </c>
      <c r="CS857" s="649">
        <f t="shared" si="1392"/>
        <v>1</v>
      </c>
      <c r="CT857" s="649">
        <f t="shared" si="1392"/>
        <v>1</v>
      </c>
      <c r="CV857" s="649">
        <f t="shared" ref="CV857:CX857" si="1442">+CV844/CV$844</f>
        <v>1</v>
      </c>
      <c r="CW857" s="649">
        <f t="shared" si="1442"/>
        <v>1</v>
      </c>
      <c r="CX857" s="649">
        <f t="shared" si="1442"/>
        <v>1</v>
      </c>
      <c r="CZ857" s="649">
        <f t="shared" ref="CZ857:DB857" si="1443">+CZ844/CZ$844</f>
        <v>1</v>
      </c>
      <c r="DA857" s="649">
        <f t="shared" si="1443"/>
        <v>1</v>
      </c>
      <c r="DB857" s="649">
        <f t="shared" si="1443"/>
        <v>1</v>
      </c>
      <c r="DD857" s="649">
        <f t="shared" ref="DD857:DF857" si="1444">+DD844/DD$844</f>
        <v>1</v>
      </c>
      <c r="DE857" s="649">
        <f t="shared" ca="1" si="1444"/>
        <v>1</v>
      </c>
      <c r="DF857" s="649">
        <f t="shared" ca="1" si="1444"/>
        <v>1</v>
      </c>
      <c r="DH857" s="649">
        <f t="shared" ref="DH857" si="1445">+DH844/DH$844</f>
        <v>1</v>
      </c>
      <c r="DI857" s="649">
        <f t="shared" ref="DI857:DJ857" si="1446">+DI844/DI$844</f>
        <v>1</v>
      </c>
      <c r="DJ857" s="649">
        <f t="shared" si="1446"/>
        <v>1</v>
      </c>
      <c r="DL857" s="649">
        <f t="shared" ref="DL857:DN857" si="1447">+DL844/DL$844</f>
        <v>1</v>
      </c>
      <c r="DM857" s="649">
        <f t="shared" si="1447"/>
        <v>1</v>
      </c>
      <c r="DN857" s="649">
        <f t="shared" si="1447"/>
        <v>1</v>
      </c>
      <c r="DP857" s="649">
        <f t="shared" ref="DP857:DR857" si="1448">+DP844/DP$844</f>
        <v>1</v>
      </c>
      <c r="DQ857" s="649">
        <f t="shared" si="1448"/>
        <v>1</v>
      </c>
      <c r="DR857" s="649">
        <f t="shared" si="1448"/>
        <v>1</v>
      </c>
      <c r="DU857" s="876"/>
      <c r="DV857" s="876"/>
      <c r="DW857" s="876"/>
      <c r="DZ857" s="876"/>
      <c r="EA857" s="876"/>
      <c r="ED857" s="876"/>
      <c r="EE857" s="876"/>
    </row>
    <row r="858" spans="1:135">
      <c r="AR858" s="685"/>
      <c r="AS858" s="685"/>
      <c r="AT858" s="730"/>
      <c r="AU858" s="730"/>
      <c r="AV858" s="685"/>
      <c r="AW858" s="685"/>
      <c r="AX858" s="730"/>
      <c r="AY858" s="730"/>
      <c r="AZ858" s="685"/>
      <c r="BA858" s="876"/>
      <c r="BD858" s="711"/>
      <c r="BE858" s="885"/>
      <c r="BF858" s="711"/>
      <c r="BH858" s="685"/>
      <c r="BI858" s="876"/>
      <c r="BL858" s="876"/>
      <c r="BM858" s="876"/>
      <c r="BP858" s="876"/>
      <c r="BQ858" s="876"/>
      <c r="BT858" s="876"/>
      <c r="BU858" s="876"/>
      <c r="BX858" s="320"/>
      <c r="BY858" s="320"/>
      <c r="BZ858" s="320"/>
      <c r="CB858" s="320"/>
      <c r="CC858" s="320"/>
      <c r="CD858" s="320"/>
      <c r="CE858" s="103"/>
      <c r="CF858" s="320"/>
      <c r="CG858" s="320"/>
      <c r="CH858" s="320"/>
      <c r="CI858" s="103"/>
      <c r="CJ858" s="320"/>
      <c r="CK858" s="320"/>
      <c r="CL858" s="320"/>
      <c r="CM858" s="103"/>
      <c r="CN858" s="320"/>
      <c r="CO858" s="320"/>
      <c r="CP858" s="320"/>
      <c r="CQ858" s="103"/>
      <c r="CR858" s="320"/>
      <c r="CS858" s="320"/>
      <c r="CT858" s="320"/>
      <c r="CV858" s="876"/>
      <c r="CW858" s="876"/>
      <c r="CZ858" s="876"/>
      <c r="DA858" s="1015" t="s">
        <v>1370</v>
      </c>
      <c r="DD858" s="876"/>
      <c r="DE858" s="876"/>
      <c r="DH858" s="876"/>
      <c r="DI858" s="876"/>
      <c r="DL858" s="876"/>
      <c r="DM858" s="876"/>
      <c r="DP858" s="876"/>
      <c r="DQ858" s="876"/>
      <c r="DU858" s="876"/>
      <c r="DV858" s="876"/>
      <c r="DW858" s="876"/>
      <c r="DZ858" s="876"/>
      <c r="EA858" s="876"/>
      <c r="ED858" s="876"/>
      <c r="EE858" s="876"/>
    </row>
    <row r="859" spans="1:135" ht="15.6">
      <c r="A859" s="2167" t="s">
        <v>1341</v>
      </c>
      <c r="AR859" s="685"/>
      <c r="AS859" s="685"/>
      <c r="AT859" s="730"/>
      <c r="AU859" s="730"/>
      <c r="AV859" s="685"/>
      <c r="AW859" s="685"/>
      <c r="AX859" s="730"/>
      <c r="AY859" s="730"/>
      <c r="AZ859" s="685"/>
      <c r="BA859" s="876"/>
      <c r="BD859" s="711"/>
      <c r="BE859" s="885"/>
      <c r="BF859" s="711"/>
      <c r="BH859" s="685"/>
      <c r="BI859" s="876"/>
      <c r="BL859" s="876"/>
      <c r="BM859" s="876"/>
      <c r="BP859" s="876"/>
      <c r="BQ859" s="876"/>
      <c r="BT859" s="876"/>
      <c r="BU859" s="876"/>
      <c r="BX859" s="876"/>
      <c r="BY859" s="876"/>
      <c r="CB859" s="876"/>
      <c r="CC859" s="876"/>
      <c r="CF859" s="876"/>
      <c r="CG859" s="876"/>
      <c r="CJ859" s="876"/>
      <c r="CK859" s="876"/>
      <c r="CN859" s="876"/>
      <c r="CO859" s="876"/>
      <c r="CR859" s="876"/>
      <c r="CS859" s="876"/>
      <c r="CV859" s="1015" t="s">
        <v>1370</v>
      </c>
      <c r="CW859" s="876"/>
      <c r="CZ859" s="876"/>
      <c r="DA859" s="876"/>
      <c r="DD859" s="1015" t="s">
        <v>1370</v>
      </c>
      <c r="DE859" s="876"/>
      <c r="DH859" s="1015" t="s">
        <v>1370</v>
      </c>
      <c r="DI859" s="876"/>
      <c r="DL859" s="876"/>
      <c r="DM859" s="876"/>
      <c r="DP859" s="876"/>
      <c r="DQ859" s="876"/>
      <c r="DU859" s="876"/>
      <c r="DV859" s="876"/>
      <c r="DW859" s="876"/>
      <c r="DZ859" s="876"/>
      <c r="EA859" s="876"/>
      <c r="ED859" s="876"/>
      <c r="EE859" s="876"/>
    </row>
    <row r="860" spans="1:135">
      <c r="A860" s="102" t="s">
        <v>686</v>
      </c>
      <c r="AR860" s="685"/>
      <c r="AS860" s="685"/>
      <c r="AT860" s="730"/>
      <c r="AU860" s="730"/>
      <c r="AV860" s="685"/>
      <c r="AW860" s="685"/>
      <c r="AX860" s="730"/>
      <c r="AY860" s="730"/>
      <c r="AZ860" s="685"/>
      <c r="BA860" s="876"/>
      <c r="BD860" s="711"/>
      <c r="BE860" s="885"/>
      <c r="BF860" s="711"/>
      <c r="BH860" s="685"/>
      <c r="BI860" s="876"/>
      <c r="BL860" s="876"/>
      <c r="BM860" s="876"/>
      <c r="BP860" s="876"/>
      <c r="BQ860" s="876"/>
      <c r="BT860" s="876"/>
      <c r="BU860" s="876"/>
      <c r="BX860" s="1016">
        <v>0.52</v>
      </c>
      <c r="BY860" s="1016">
        <v>0.52</v>
      </c>
      <c r="BZ860" s="649">
        <f>+BZ922/BZ814</f>
        <v>0.52</v>
      </c>
      <c r="CB860" s="1016">
        <v>0.5</v>
      </c>
      <c r="CC860" s="1016">
        <v>0.5</v>
      </c>
      <c r="CD860" s="649">
        <f>+CD922/CD814</f>
        <v>0.5</v>
      </c>
      <c r="CF860" s="1016">
        <v>0.35</v>
      </c>
      <c r="CG860" s="1016">
        <v>0.35</v>
      </c>
      <c r="CH860" s="649">
        <f>+CH922/CH814</f>
        <v>0.35</v>
      </c>
      <c r="CJ860" s="1016">
        <v>0.5</v>
      </c>
      <c r="CK860" s="1016">
        <v>0.5</v>
      </c>
      <c r="CL860" s="649">
        <f>+CL922/CL814</f>
        <v>0.5</v>
      </c>
      <c r="CN860" s="1016">
        <v>0.6</v>
      </c>
      <c r="CO860" s="1016">
        <v>0.52</v>
      </c>
      <c r="CP860" s="649">
        <f>+CP922/CP814</f>
        <v>0.5418505338078291</v>
      </c>
      <c r="CR860" s="1016">
        <v>0.43</v>
      </c>
      <c r="CS860" s="1016">
        <v>0.43</v>
      </c>
      <c r="CT860" s="649">
        <f>+CT922/CT814</f>
        <v>0.43</v>
      </c>
      <c r="CV860" s="1016">
        <v>0.55000000000000004</v>
      </c>
      <c r="CW860" s="1016">
        <v>0.55000000000000004</v>
      </c>
      <c r="CX860" s="649">
        <f t="shared" ref="CX860" si="1449">+CX922/CX814</f>
        <v>0.54999999999999993</v>
      </c>
      <c r="CZ860" s="1016">
        <v>0.48</v>
      </c>
      <c r="DA860" s="1016">
        <v>0.48</v>
      </c>
      <c r="DB860" s="649">
        <f t="shared" ref="DB860" si="1450">+DB922/DB814</f>
        <v>0.48</v>
      </c>
      <c r="DD860" s="1016">
        <v>0.48</v>
      </c>
      <c r="DE860" s="1016">
        <v>0.48</v>
      </c>
      <c r="DF860" s="649">
        <f t="shared" ref="DF860" si="1451">+DF922/DF814</f>
        <v>0.48</v>
      </c>
      <c r="DH860" s="1016">
        <v>0.48</v>
      </c>
      <c r="DI860" s="1016">
        <v>0.47</v>
      </c>
      <c r="DJ860" s="649">
        <f t="shared" ref="DJ860:DJ862" si="1452">+DJ922/DJ814</f>
        <v>0.47472613082789428</v>
      </c>
      <c r="DL860" s="1016">
        <v>0.43</v>
      </c>
      <c r="DM860" s="1016">
        <v>0.43</v>
      </c>
      <c r="DN860" s="649">
        <f t="shared" ref="DN860:DN862" si="1453">+DN922/DN814</f>
        <v>0.42999999999999994</v>
      </c>
      <c r="DP860" s="1016">
        <v>0.42</v>
      </c>
      <c r="DQ860" s="1016">
        <v>0.42</v>
      </c>
      <c r="DR860" s="649">
        <f t="shared" ref="DR860:DR862" si="1454">+DR922/DR814</f>
        <v>0.42000000000000004</v>
      </c>
      <c r="DU860" s="876"/>
      <c r="DV860" s="876"/>
      <c r="DW860" s="876"/>
      <c r="DZ860" s="876"/>
      <c r="EA860" s="876"/>
      <c r="ED860" s="876"/>
      <c r="EE860" s="876"/>
    </row>
    <row r="861" spans="1:135">
      <c r="A861" s="102" t="s">
        <v>1306</v>
      </c>
      <c r="AR861" s="685"/>
      <c r="AS861" s="685"/>
      <c r="AT861" s="730"/>
      <c r="AU861" s="730"/>
      <c r="AV861" s="685"/>
      <c r="AW861" s="685"/>
      <c r="AX861" s="730"/>
      <c r="AY861" s="730"/>
      <c r="AZ861" s="685"/>
      <c r="BA861" s="876"/>
      <c r="BD861" s="711"/>
      <c r="BE861" s="885"/>
      <c r="BF861" s="711"/>
      <c r="BH861" s="685"/>
      <c r="BI861" s="876"/>
      <c r="BL861" s="876"/>
      <c r="BM861" s="876"/>
      <c r="BP861" s="876"/>
      <c r="BQ861" s="876"/>
      <c r="BT861" s="876"/>
      <c r="BU861" s="876"/>
      <c r="BX861" s="1016">
        <v>0.29499999999999998</v>
      </c>
      <c r="BY861" s="1016">
        <v>0.29499999999999998</v>
      </c>
      <c r="BZ861" s="649">
        <f>+BZ923/BZ815</f>
        <v>0.29499999999999998</v>
      </c>
      <c r="CB861" s="1016">
        <v>0.315</v>
      </c>
      <c r="CC861" s="1016">
        <v>0.315</v>
      </c>
      <c r="CD861" s="649">
        <f>+CD923/CD815</f>
        <v>0.315</v>
      </c>
      <c r="CF861" s="1016">
        <v>0.3</v>
      </c>
      <c r="CG861" s="1016">
        <v>0.3</v>
      </c>
      <c r="CH861" s="649">
        <f>+CH923/CH815</f>
        <v>0.3</v>
      </c>
      <c r="CJ861" s="1016">
        <v>0.28000000000000003</v>
      </c>
      <c r="CK861" s="1016">
        <v>0.28000000000000003</v>
      </c>
      <c r="CL861" s="649">
        <f>+CL923/CL815</f>
        <v>0.28000000000000003</v>
      </c>
      <c r="CN861" s="1016">
        <v>0.31</v>
      </c>
      <c r="CO861" s="1016">
        <v>0.31</v>
      </c>
      <c r="CP861" s="649">
        <f>+CP923/CP815</f>
        <v>0.31</v>
      </c>
      <c r="CR861" s="1016">
        <v>0.31</v>
      </c>
      <c r="CS861" s="1016">
        <v>0.31</v>
      </c>
      <c r="CT861" s="649">
        <f>+CT923/CT815</f>
        <v>0.31</v>
      </c>
      <c r="CV861" s="1016">
        <v>0.31</v>
      </c>
      <c r="CW861" s="1016">
        <v>0.31</v>
      </c>
      <c r="CX861" s="649">
        <f t="shared" ref="CX861" si="1455">+CX923/CX815</f>
        <v>0.31</v>
      </c>
      <c r="CZ861" s="1016">
        <v>0.42</v>
      </c>
      <c r="DA861" s="1016">
        <v>0.42</v>
      </c>
      <c r="DB861" s="649">
        <f t="shared" ref="DB861" si="1456">+DB923/DB815</f>
        <v>0.41999999999999993</v>
      </c>
      <c r="DD861" s="1016">
        <v>0.42</v>
      </c>
      <c r="DE861" s="1016">
        <v>0.42</v>
      </c>
      <c r="DF861" s="649">
        <f t="shared" ref="DF861" si="1457">+DF923/DF815</f>
        <v>0.41999999999999993</v>
      </c>
      <c r="DH861" s="1016">
        <v>0.42</v>
      </c>
      <c r="DI861" s="1016">
        <v>0.42</v>
      </c>
      <c r="DJ861" s="649">
        <f t="shared" si="1452"/>
        <v>0.42</v>
      </c>
      <c r="DL861" s="1016">
        <v>0.43</v>
      </c>
      <c r="DM861" s="1016">
        <v>0.43</v>
      </c>
      <c r="DN861" s="649">
        <f t="shared" si="1453"/>
        <v>0.43000000000000005</v>
      </c>
      <c r="DP861" s="1016">
        <v>0.43</v>
      </c>
      <c r="DQ861" s="1016">
        <v>0.43</v>
      </c>
      <c r="DR861" s="649">
        <f t="shared" si="1454"/>
        <v>0.43000000000000005</v>
      </c>
      <c r="DU861" s="876"/>
      <c r="DV861" s="876"/>
      <c r="DW861" s="876"/>
      <c r="DZ861" s="876"/>
      <c r="EA861" s="876"/>
      <c r="ED861" s="876"/>
      <c r="EE861" s="876"/>
    </row>
    <row r="862" spans="1:135">
      <c r="A862" s="102" t="s">
        <v>1024</v>
      </c>
      <c r="AR862" s="685"/>
      <c r="AS862" s="685"/>
      <c r="AT862" s="730"/>
      <c r="AU862" s="730"/>
      <c r="AV862" s="685"/>
      <c r="AW862" s="685"/>
      <c r="AX862" s="730"/>
      <c r="AY862" s="730"/>
      <c r="AZ862" s="685"/>
      <c r="BA862" s="876"/>
      <c r="BD862" s="711"/>
      <c r="BE862" s="885"/>
      <c r="BF862" s="711"/>
      <c r="BH862" s="685"/>
      <c r="BI862" s="876"/>
      <c r="BL862" s="876"/>
      <c r="BM862" s="876"/>
      <c r="BP862" s="876"/>
      <c r="BQ862" s="876"/>
      <c r="BT862" s="876"/>
      <c r="BU862" s="876"/>
      <c r="BX862" s="1016">
        <v>0.33500000000000002</v>
      </c>
      <c r="BY862" s="1016">
        <v>0.33500000000000002</v>
      </c>
      <c r="BZ862" s="649">
        <f>+BZ924/BZ816</f>
        <v>0.33500000000000002</v>
      </c>
      <c r="CB862" s="1016">
        <v>0.35</v>
      </c>
      <c r="CC862" s="1016">
        <v>0.35</v>
      </c>
      <c r="CD862" s="649">
        <f>+CD924/CD816</f>
        <v>0.34999999999999992</v>
      </c>
      <c r="CF862" s="1016">
        <v>0.36</v>
      </c>
      <c r="CG862" s="1016">
        <v>0.36</v>
      </c>
      <c r="CH862" s="649">
        <f>+CH924/CH816</f>
        <v>0.36</v>
      </c>
      <c r="CJ862" s="1016">
        <v>0.35</v>
      </c>
      <c r="CK862" s="1016">
        <v>0.35</v>
      </c>
      <c r="CL862" s="649">
        <f>+CL924/CL816</f>
        <v>0.35</v>
      </c>
      <c r="CN862" s="1016">
        <v>0.3</v>
      </c>
      <c r="CO862" s="1016">
        <v>0.3</v>
      </c>
      <c r="CP862" s="649">
        <f>+CP924/CP816</f>
        <v>0.30000000000000004</v>
      </c>
      <c r="CR862" s="1016">
        <v>0.27</v>
      </c>
      <c r="CS862" s="1016">
        <v>0.27</v>
      </c>
      <c r="CT862" s="649">
        <f>+CT924/CT816</f>
        <v>0.26999999999999996</v>
      </c>
      <c r="CV862" s="1016">
        <v>0.3</v>
      </c>
      <c r="CW862" s="1016">
        <v>0.3</v>
      </c>
      <c r="CX862" s="649">
        <f t="shared" ref="CX862" si="1458">+CX924/CX816</f>
        <v>0.3</v>
      </c>
      <c r="CZ862" s="1016">
        <v>0.35</v>
      </c>
      <c r="DA862" s="1016">
        <v>0.35</v>
      </c>
      <c r="DB862" s="649">
        <f t="shared" ref="DB862" si="1459">+DB924/DB816</f>
        <v>0.35</v>
      </c>
      <c r="DD862" s="1016">
        <v>0.33</v>
      </c>
      <c r="DE862" s="1016">
        <v>0.33</v>
      </c>
      <c r="DF862" s="649">
        <f t="shared" ref="DF862" si="1460">+DF924/DF816</f>
        <v>0.33</v>
      </c>
      <c r="DH862" s="1016">
        <v>0.33</v>
      </c>
      <c r="DI862" s="1016">
        <v>0.31</v>
      </c>
      <c r="DJ862" s="649">
        <f t="shared" si="1452"/>
        <v>0.31889953526707099</v>
      </c>
      <c r="DL862" s="1016">
        <v>0.31</v>
      </c>
      <c r="DM862" s="1016">
        <v>0.31</v>
      </c>
      <c r="DN862" s="649">
        <f t="shared" si="1453"/>
        <v>0.31</v>
      </c>
      <c r="DP862" s="1016">
        <v>0.31</v>
      </c>
      <c r="DQ862" s="1016">
        <v>0.31</v>
      </c>
      <c r="DR862" s="649">
        <f t="shared" si="1454"/>
        <v>0.31</v>
      </c>
      <c r="DU862" s="876"/>
      <c r="DV862" s="876"/>
      <c r="DW862" s="876"/>
      <c r="DZ862" s="876"/>
      <c r="EA862" s="876"/>
      <c r="ED862" s="876"/>
      <c r="EE862" s="876"/>
    </row>
    <row r="863" spans="1:135">
      <c r="A863" s="102" t="s">
        <v>690</v>
      </c>
      <c r="AR863" s="685"/>
      <c r="AS863" s="685"/>
      <c r="AT863" s="730"/>
      <c r="AU863" s="730"/>
      <c r="AV863" s="685"/>
      <c r="AW863" s="685"/>
      <c r="AX863" s="730"/>
      <c r="AY863" s="730"/>
      <c r="AZ863" s="685"/>
      <c r="BA863" s="876"/>
      <c r="BD863" s="711"/>
      <c r="BE863" s="885"/>
      <c r="BF863" s="711"/>
      <c r="BH863" s="685"/>
      <c r="BI863" s="876"/>
      <c r="BL863" s="876"/>
      <c r="BM863" s="876"/>
      <c r="BP863" s="876"/>
      <c r="BQ863" s="876"/>
      <c r="BT863" s="876"/>
      <c r="BU863" s="876"/>
      <c r="BX863" s="1016">
        <v>0.32</v>
      </c>
      <c r="BY863" s="1016">
        <v>0.32</v>
      </c>
      <c r="BZ863" s="649">
        <f>+BZ925/BZ817</f>
        <v>0.32000000000000006</v>
      </c>
      <c r="CB863" s="1016">
        <v>0.23</v>
      </c>
      <c r="CC863" s="1016">
        <v>0.23</v>
      </c>
      <c r="CD863" s="649">
        <f>+CD925/CD817</f>
        <v>0.23</v>
      </c>
      <c r="CF863" s="876"/>
      <c r="CG863" s="876"/>
      <c r="CH863" s="290"/>
      <c r="CJ863" s="876"/>
      <c r="CK863" s="876"/>
      <c r="CL863" s="290"/>
      <c r="CN863" s="876"/>
      <c r="CO863" s="876"/>
      <c r="CP863" s="290"/>
      <c r="CR863" s="876"/>
      <c r="CS863" s="876"/>
      <c r="CT863" s="290"/>
      <c r="CV863" s="876"/>
      <c r="CW863" s="876"/>
      <c r="CX863" s="290"/>
      <c r="CZ863" s="876"/>
      <c r="DA863" s="876"/>
      <c r="DB863" s="290"/>
      <c r="DD863" s="876"/>
      <c r="DE863" s="876"/>
      <c r="DF863" s="290"/>
      <c r="DH863" s="876"/>
      <c r="DI863" s="876"/>
      <c r="DJ863" s="290"/>
      <c r="DL863" s="876"/>
      <c r="DM863" s="876"/>
      <c r="DN863" s="290"/>
      <c r="DP863" s="876"/>
      <c r="DQ863" s="876"/>
      <c r="DR863" s="290"/>
      <c r="DU863" s="876"/>
      <c r="DV863" s="876"/>
      <c r="DW863" s="876"/>
      <c r="DZ863" s="876"/>
      <c r="EA863" s="876"/>
      <c r="ED863" s="876"/>
      <c r="EE863" s="876"/>
    </row>
    <row r="864" spans="1:135">
      <c r="A864" s="102" t="s">
        <v>689</v>
      </c>
      <c r="AR864" s="685"/>
      <c r="AS864" s="685"/>
      <c r="AT864" s="730"/>
      <c r="AU864" s="730"/>
      <c r="AV864" s="685"/>
      <c r="AW864" s="685"/>
      <c r="AX864" s="730"/>
      <c r="AY864" s="730"/>
      <c r="AZ864" s="685"/>
      <c r="BA864" s="876"/>
      <c r="BD864" s="711"/>
      <c r="BE864" s="885"/>
      <c r="BF864" s="711"/>
      <c r="BH864" s="685"/>
      <c r="BI864" s="876"/>
      <c r="BL864" s="876"/>
      <c r="BM864" s="876"/>
      <c r="BP864" s="876"/>
      <c r="BQ864" s="876"/>
      <c r="BT864" s="876"/>
      <c r="BU864" s="876"/>
      <c r="BX864" s="1016">
        <v>0.20699999999999999</v>
      </c>
      <c r="BY864" s="1016">
        <v>0.20699999999999999</v>
      </c>
      <c r="BZ864" s="649">
        <f>+BZ926/BZ818</f>
        <v>0.20699999999999999</v>
      </c>
      <c r="CB864" s="1016">
        <v>0.223</v>
      </c>
      <c r="CC864" s="1016">
        <v>0.223</v>
      </c>
      <c r="CD864" s="649">
        <f>+CD926/CD818</f>
        <v>0.223</v>
      </c>
      <c r="CF864" s="1016">
        <v>0.24</v>
      </c>
      <c r="CG864" s="1016">
        <v>0.24</v>
      </c>
      <c r="CH864" s="649">
        <f>+CH926/CH818</f>
        <v>0.24</v>
      </c>
      <c r="CJ864" s="1016">
        <v>0.23</v>
      </c>
      <c r="CK864" s="1016">
        <v>0.23</v>
      </c>
      <c r="CL864" s="649">
        <f>+CL926/CL818</f>
        <v>0.22999999999999998</v>
      </c>
      <c r="CN864" s="1016">
        <v>0.24</v>
      </c>
      <c r="CO864" s="1016">
        <v>0.24</v>
      </c>
      <c r="CP864" s="649">
        <f>+CP926/CP818</f>
        <v>0.24</v>
      </c>
      <c r="CR864" s="1016">
        <v>0.23</v>
      </c>
      <c r="CS864" s="1016">
        <v>0.23</v>
      </c>
      <c r="CT864" s="649">
        <f>+CT926/CT818</f>
        <v>0.22999999999999998</v>
      </c>
      <c r="CV864" s="1016">
        <v>0.24</v>
      </c>
      <c r="CW864" s="1016">
        <v>0.24</v>
      </c>
      <c r="CX864" s="649">
        <f t="shared" ref="CX864" si="1461">+CX926/CX818</f>
        <v>0.24</v>
      </c>
      <c r="CZ864" s="1016">
        <v>0.23</v>
      </c>
      <c r="DA864" s="1016">
        <v>0.23</v>
      </c>
      <c r="DB864" s="649">
        <f t="shared" ref="DB864" si="1462">+DB926/DB818</f>
        <v>0.22999999999999998</v>
      </c>
      <c r="DD864" s="1016">
        <v>0.23</v>
      </c>
      <c r="DE864" s="1016">
        <v>0.23</v>
      </c>
      <c r="DF864" s="649">
        <f t="shared" ref="DF864" si="1463">+DF926/DF818</f>
        <v>0.23</v>
      </c>
      <c r="DH864" s="1016">
        <v>0.23</v>
      </c>
      <c r="DI864" s="1016">
        <v>0.21</v>
      </c>
      <c r="DJ864" s="649">
        <f t="shared" ref="DJ864" si="1464">+DJ926/DJ818</f>
        <v>0.21997060364067308</v>
      </c>
      <c r="DL864" s="1016">
        <v>0.2</v>
      </c>
      <c r="DM864" s="1016">
        <v>0.2</v>
      </c>
      <c r="DN864" s="649">
        <f t="shared" ref="DN864" si="1465">+DN926/DN818</f>
        <v>0.2</v>
      </c>
      <c r="DP864" s="1016">
        <v>0.2</v>
      </c>
      <c r="DQ864" s="1016">
        <v>0.2</v>
      </c>
      <c r="DR864" s="649">
        <f t="shared" ref="DR864" si="1466">+DR926/DR818</f>
        <v>0.2</v>
      </c>
      <c r="DU864" s="876"/>
      <c r="DV864" s="876"/>
      <c r="DW864" s="876"/>
      <c r="DZ864" s="876"/>
      <c r="EA864" s="876"/>
      <c r="ED864" s="876"/>
      <c r="EE864" s="876"/>
    </row>
    <row r="865" spans="1:273">
      <c r="A865" s="102" t="s">
        <v>688</v>
      </c>
      <c r="AR865" s="685"/>
      <c r="AS865" s="685"/>
      <c r="AT865" s="730"/>
      <c r="AU865" s="730"/>
      <c r="AV865" s="685"/>
      <c r="AW865" s="685"/>
      <c r="AX865" s="730"/>
      <c r="AY865" s="730"/>
      <c r="AZ865" s="685"/>
      <c r="BA865" s="876"/>
      <c r="BD865" s="711"/>
      <c r="BE865" s="885"/>
      <c r="BF865" s="711"/>
      <c r="BH865" s="685"/>
      <c r="BI865" s="876"/>
      <c r="BL865" s="876"/>
      <c r="BM865" s="876"/>
      <c r="BP865" s="876"/>
      <c r="BQ865" s="876"/>
      <c r="BT865" s="876"/>
      <c r="BU865" s="876"/>
      <c r="BX865" s="876"/>
      <c r="BY865" s="876"/>
      <c r="CB865" s="876"/>
      <c r="CC865" s="876"/>
      <c r="CF865" s="876"/>
      <c r="CG865" s="876"/>
      <c r="CJ865" s="876"/>
      <c r="CK865" s="876"/>
      <c r="CN865" s="876"/>
      <c r="CO865" s="876"/>
      <c r="CR865" s="876"/>
      <c r="CS865" s="876"/>
      <c r="CV865" s="876"/>
      <c r="CW865" s="876"/>
      <c r="CZ865" s="876"/>
      <c r="DA865" s="876"/>
      <c r="DD865" s="876"/>
      <c r="DE865" s="876"/>
      <c r="DH865" s="876"/>
      <c r="DI865" s="876"/>
      <c r="DL865" s="876"/>
      <c r="DM865" s="876"/>
      <c r="DP865" s="876"/>
      <c r="DQ865" s="876"/>
      <c r="DU865" s="876"/>
      <c r="DV865" s="876"/>
      <c r="DW865" s="876"/>
      <c r="DZ865" s="876"/>
      <c r="EA865" s="876"/>
      <c r="ED865" s="876"/>
      <c r="EE865" s="876"/>
    </row>
    <row r="866" spans="1:273" s="1660" customFormat="1" ht="20.399999999999999">
      <c r="A866" s="1658" t="s">
        <v>1313</v>
      </c>
      <c r="B866" s="1659"/>
      <c r="AN866" s="1659"/>
      <c r="AO866" s="1659"/>
      <c r="AP866" s="1659"/>
      <c r="AQ866" s="1659"/>
      <c r="AR866" s="1661"/>
      <c r="AS866" s="1661"/>
      <c r="AT866" s="1659"/>
      <c r="AU866" s="1659"/>
      <c r="AV866" s="1661"/>
      <c r="AW866" s="1661"/>
      <c r="AX866" s="1659"/>
      <c r="AY866" s="1659"/>
      <c r="AZ866" s="1661"/>
      <c r="BA866" s="1661"/>
      <c r="BB866" s="1659"/>
      <c r="BC866" s="1659"/>
      <c r="BD866" s="1662"/>
      <c r="BE866" s="1662"/>
      <c r="BF866" s="1662"/>
      <c r="BG866" s="1659"/>
      <c r="BH866" s="1661"/>
      <c r="BI866" s="1661"/>
      <c r="BJ866" s="1659"/>
      <c r="BK866" s="1659"/>
      <c r="BL866" s="1661"/>
      <c r="BM866" s="1661"/>
      <c r="BN866" s="1659"/>
      <c r="BO866" s="1659"/>
      <c r="BP866" s="1661"/>
      <c r="BQ866" s="1661"/>
      <c r="BR866" s="1659"/>
      <c r="BS866" s="1659"/>
      <c r="BT866" s="1661"/>
      <c r="BU866" s="1661"/>
      <c r="BV866" s="1659"/>
      <c r="BW866" s="1659"/>
      <c r="BX866" s="1663">
        <f>+BX928/BX820</f>
        <v>8.3435974025974033</v>
      </c>
      <c r="BY866" s="1663">
        <f>+BY928/BY820</f>
        <v>7.3959827586206872</v>
      </c>
      <c r="BZ866" s="1663">
        <f>+BZ928/BZ820</f>
        <v>7.9364740740740736</v>
      </c>
      <c r="CA866" s="1659"/>
      <c r="CB866" s="1663">
        <f>+CB928/CB820</f>
        <v>52.72936363636363</v>
      </c>
      <c r="CC866" s="1663">
        <f>+CC928/CC820</f>
        <v>2.7152119565217401</v>
      </c>
      <c r="CD866" s="1663">
        <f>+CD928/CD820</f>
        <v>5.5365230769230775</v>
      </c>
      <c r="CE866" s="1664"/>
      <c r="CF866" s="1663">
        <f>+CF928/CF820</f>
        <v>8.5795774647887306</v>
      </c>
      <c r="CG866" s="1663">
        <f>+CG928/CG820</f>
        <v>-34.459333333333326</v>
      </c>
      <c r="CH866" s="1663">
        <f>+CH928/CH820</f>
        <v>20.107857142857139</v>
      </c>
      <c r="CI866" s="1664"/>
      <c r="CJ866" s="1663">
        <f>+CJ928/CJ820</f>
        <v>5.3740310077519382</v>
      </c>
      <c r="CK866" s="1663">
        <f>+CK928/CK820</f>
        <v>6.7997368421052631</v>
      </c>
      <c r="CL866" s="1663">
        <f>+CL928/CL820</f>
        <v>5.9025853658536587</v>
      </c>
      <c r="CM866" s="1664"/>
      <c r="CN866" s="1663">
        <f>+CN928/CN820</f>
        <v>816.61000000000013</v>
      </c>
      <c r="CO866" s="1663">
        <f>+CO928/CO820</f>
        <v>2.2253488372093013</v>
      </c>
      <c r="CP866" s="1663">
        <f>+CP928/CP820</f>
        <v>5.9956481481481481</v>
      </c>
      <c r="CQ866" s="1664"/>
      <c r="CR866" s="1663">
        <f>+CR928/CR820</f>
        <v>6.4362500000000011</v>
      </c>
      <c r="CS866" s="1663">
        <f>+CS928/CS820</f>
        <v>-4.2973758865248248</v>
      </c>
      <c r="CT866" s="1663">
        <f>+CT928/CT820</f>
        <v>-109.98230769230773</v>
      </c>
      <c r="CU866" s="1659"/>
      <c r="CV866" s="1663">
        <f t="shared" ref="CV866:CX866" si="1467">+CV928/CV820</f>
        <v>11.205428571428573</v>
      </c>
      <c r="CW866" s="1663">
        <f t="shared" si="1467"/>
        <v>4.2307614213197997</v>
      </c>
      <c r="CX866" s="1663">
        <f t="shared" si="1467"/>
        <v>6.0593258426966319</v>
      </c>
      <c r="CY866" s="1659"/>
      <c r="CZ866" s="1663">
        <f t="shared" ref="CZ866:DB866" si="1468">+CZ928/CZ820</f>
        <v>2.2704139433551207</v>
      </c>
      <c r="DA866" s="1663">
        <f t="shared" si="1468"/>
        <v>1.6942937853107345</v>
      </c>
      <c r="DB866" s="1663">
        <f t="shared" si="1468"/>
        <v>1.9614040404040409</v>
      </c>
      <c r="DC866" s="1659"/>
      <c r="DD866" s="1663">
        <f t="shared" ref="DD866" si="1469">+DD928/DD820</f>
        <v>1.8742440801457187</v>
      </c>
      <c r="DE866" s="1663">
        <f t="shared" ref="DE866:DF866" si="1470">+DE928/DE820</f>
        <v>4.0144886363636374</v>
      </c>
      <c r="DF866" s="1663">
        <f t="shared" si="1470"/>
        <v>2.3938068965517236</v>
      </c>
      <c r="DG866" s="1659"/>
      <c r="DH866" s="1663">
        <f t="shared" ref="DH866" si="1471">+DH928/DH820</f>
        <v>5.2673652694610755</v>
      </c>
      <c r="DI866" s="1663">
        <f t="shared" ref="DI866:DJ866" si="1472">+DI928/DI820</f>
        <v>2.4403494803970847</v>
      </c>
      <c r="DJ866" s="1663">
        <f t="shared" si="1472"/>
        <v>3.4461640076858933</v>
      </c>
      <c r="DK866" s="1659"/>
      <c r="DL866" s="1663">
        <f t="shared" ref="DL866:DN866" si="1473">+DL928/DL820</f>
        <v>4.2267651912527393</v>
      </c>
      <c r="DM866" s="1663">
        <f t="shared" si="1473"/>
        <v>3.2533720046977153</v>
      </c>
      <c r="DN866" s="1663">
        <f t="shared" si="1473"/>
        <v>3.7336127666451828</v>
      </c>
      <c r="DO866" s="1659"/>
      <c r="DP866" s="1663">
        <f t="shared" ref="DP866:DR866" si="1474">+DP928/DP820</f>
        <v>3.594802225907213</v>
      </c>
      <c r="DQ866" s="1663">
        <f t="shared" si="1474"/>
        <v>2.9425573876316942</v>
      </c>
      <c r="DR866" s="1663">
        <f t="shared" si="1474"/>
        <v>3.2698307827217548</v>
      </c>
      <c r="DS866" s="1659"/>
      <c r="DT866" s="1659"/>
      <c r="DU866" s="1661"/>
      <c r="DV866" s="1661"/>
      <c r="DW866" s="1661"/>
      <c r="DX866" s="1659"/>
      <c r="DY866" s="1659"/>
      <c r="DZ866" s="1661"/>
      <c r="EA866" s="1661"/>
      <c r="EB866" s="1659"/>
      <c r="EC866" s="1659"/>
      <c r="ED866" s="1661"/>
      <c r="EE866" s="1661"/>
      <c r="EF866" s="1659"/>
      <c r="EG866" s="1659"/>
      <c r="EH866" s="1659"/>
      <c r="EI866" s="1659"/>
      <c r="EJ866" s="1659"/>
      <c r="EK866" s="1659"/>
      <c r="EL866" s="1659"/>
      <c r="EM866" s="1659"/>
      <c r="EN866" s="1659"/>
      <c r="EO866" s="1659"/>
      <c r="EP866" s="1659"/>
      <c r="JM866"/>
    </row>
    <row r="867" spans="1:273">
      <c r="A867" s="289" t="s">
        <v>1319</v>
      </c>
      <c r="AR867" s="685"/>
      <c r="AS867" s="685"/>
      <c r="AT867" s="730"/>
      <c r="AU867" s="730"/>
      <c r="AV867" s="685"/>
      <c r="AW867" s="685"/>
      <c r="AX867" s="730"/>
      <c r="AY867" s="730"/>
      <c r="AZ867" s="685"/>
      <c r="BA867" s="876"/>
      <c r="BD867" s="711"/>
      <c r="BE867" s="885"/>
      <c r="BF867" s="711"/>
      <c r="BH867" s="685"/>
      <c r="BI867" s="876"/>
      <c r="BL867" s="876"/>
      <c r="BM867" s="876"/>
      <c r="BP867" s="876"/>
      <c r="BQ867" s="876"/>
      <c r="BT867" s="876"/>
      <c r="BU867" s="876"/>
      <c r="BV867" s="376"/>
      <c r="BX867" s="376">
        <f>-BX692/BX821</f>
        <v>0.43886546569566887</v>
      </c>
      <c r="BY867" s="376">
        <f>-BY692/BY821</f>
        <v>0.40594636610959967</v>
      </c>
      <c r="BZ867" s="376">
        <f>-BZ692/BZ821</f>
        <v>0.42252026244693169</v>
      </c>
      <c r="CB867" s="376">
        <f>-CB692/CB821</f>
        <v>0.41893644617380027</v>
      </c>
      <c r="CC867" s="376">
        <f>-CC692/CC821</f>
        <v>0.40412819120043453</v>
      </c>
      <c r="CD867" s="376">
        <f>-CD692/CD821</f>
        <v>0.41144688644688643</v>
      </c>
      <c r="CE867" s="817">
        <f>+CD867-BZ867</f>
        <v>-1.1073376000045265E-2</v>
      </c>
      <c r="CF867" s="376">
        <f>-CF692/CF821</f>
        <v>0.42092624356775299</v>
      </c>
      <c r="CG867" s="376">
        <f>-CG692/CG821</f>
        <v>0.39904679376083191</v>
      </c>
      <c r="CH867" s="376">
        <f>-CH692/CH821</f>
        <v>0.40904814175944804</v>
      </c>
      <c r="CI867" s="817">
        <f>+CH867-CD867</f>
        <v>-2.3987446874383922E-3</v>
      </c>
      <c r="CJ867" s="376">
        <f>-CJ692/CJ821</f>
        <v>0.43924050632911393</v>
      </c>
      <c r="CK867" s="376">
        <f>-CK692/CK821</f>
        <v>0.42414654454621148</v>
      </c>
      <c r="CL867" s="376">
        <f>-CL692/CL821</f>
        <v>0.43188640973630832</v>
      </c>
      <c r="CM867" s="817">
        <f>+CL867-CH867</f>
        <v>2.2838267976860283E-2</v>
      </c>
      <c r="CN867" s="376">
        <f>-CN692/CN821</f>
        <v>0.47381772060155825</v>
      </c>
      <c r="CO867" s="376">
        <f>-CO692/CO821</f>
        <v>0.4</v>
      </c>
      <c r="CP867" s="376">
        <f>-CP692/CP821</f>
        <v>0.43189290746829495</v>
      </c>
      <c r="CQ867" s="817">
        <f>+CP867-CL867</f>
        <v>6.4977319866321714E-6</v>
      </c>
      <c r="CR867" s="376">
        <f>-CR692/CR821</f>
        <v>0.4054331112250128</v>
      </c>
      <c r="CS867" s="376">
        <f>-CS692/CS821</f>
        <v>0.3740546218487395</v>
      </c>
      <c r="CT867" s="376">
        <f>-CT692/CT821</f>
        <v>0.38818979450473334</v>
      </c>
      <c r="CU867" s="811">
        <f>+CT867-CP867</f>
        <v>-4.3703112963561608E-2</v>
      </c>
      <c r="CV867" s="376">
        <f>-CV692/CV821</f>
        <v>0.41894712430426717</v>
      </c>
      <c r="CW867" s="376">
        <f>-CW692/CW821</f>
        <v>0.38959801867022292</v>
      </c>
      <c r="CX867" s="376">
        <f>-CX692/CX821</f>
        <v>0.40283443154481746</v>
      </c>
      <c r="CY867" s="811">
        <f>+CX867-CT867</f>
        <v>1.4644637040084119E-2</v>
      </c>
      <c r="CZ867" s="376">
        <f>-CZ692/CZ821</f>
        <v>0.47206068268015172</v>
      </c>
      <c r="DA867" s="376">
        <f>-DA692/DA821</f>
        <v>0.44435780327503621</v>
      </c>
      <c r="DB867" s="376">
        <f>-DB692/DB821</f>
        <v>0.45733404393912475</v>
      </c>
      <c r="DC867" s="811">
        <f>+DB867-CX867</f>
        <v>5.4499612394307284E-2</v>
      </c>
      <c r="DD867" s="376">
        <f>-DD692/DD821</f>
        <v>0.45715676728334959</v>
      </c>
      <c r="DE867" s="376">
        <f>-DE692/DE821</f>
        <v>0.43416370106761565</v>
      </c>
      <c r="DF867" s="376">
        <f>-DF692/DF821</f>
        <v>0.44514179451417946</v>
      </c>
      <c r="DG867" s="811">
        <f>+DF867-DB867</f>
        <v>-1.219224942494529E-2</v>
      </c>
      <c r="DH867" s="376">
        <f>-DH692/DH821</f>
        <v>0.4551835231849039</v>
      </c>
      <c r="DI867" s="376">
        <f>-DI692/DI821</f>
        <v>0.41272255105144318</v>
      </c>
      <c r="DJ867" s="376">
        <f>-DJ692/DJ821</f>
        <v>0.4325019305962427</v>
      </c>
      <c r="DK867" s="811">
        <f>+DJ867-DF867</f>
        <v>-1.2639863917936756E-2</v>
      </c>
      <c r="DL867" s="376">
        <f>-DL692/DL821</f>
        <v>0.45644271374989848</v>
      </c>
      <c r="DM867" s="376">
        <f>-DM692/DM821</f>
        <v>0.41910666474658076</v>
      </c>
      <c r="DN867" s="376">
        <f>-DN692/DN821</f>
        <v>0.43668603254886551</v>
      </c>
      <c r="DP867" s="376">
        <f>-DP692/DP821</f>
        <v>0.45349439603390329</v>
      </c>
      <c r="DQ867" s="376">
        <f>-DQ692/DQ821</f>
        <v>0.41934831035353742</v>
      </c>
      <c r="DR867" s="376">
        <f>-DR692/DR821</f>
        <v>0.43544733855229367</v>
      </c>
      <c r="DU867" s="876"/>
      <c r="DV867" s="876"/>
      <c r="DW867" s="876"/>
      <c r="DZ867" s="876"/>
      <c r="EA867" s="876"/>
      <c r="ED867" s="876"/>
      <c r="EE867" s="876"/>
    </row>
    <row r="868" spans="1:273">
      <c r="AR868" s="685"/>
      <c r="AS868" s="685"/>
      <c r="AT868" s="730"/>
      <c r="AU868" s="730"/>
      <c r="AV868" s="685"/>
      <c r="AW868" s="685"/>
      <c r="AX868" s="730"/>
      <c r="AY868" s="730"/>
      <c r="AZ868" s="685"/>
      <c r="BA868" s="876"/>
      <c r="BD868" s="711"/>
      <c r="BE868" s="885"/>
      <c r="BF868" s="711"/>
      <c r="BH868" s="685"/>
      <c r="BI868" s="876"/>
      <c r="BL868" s="876"/>
      <c r="BM868" s="876"/>
      <c r="BP868" s="876"/>
      <c r="BQ868" s="876"/>
      <c r="BT868" s="876"/>
      <c r="BU868" s="876"/>
      <c r="BX868" s="1657">
        <f t="shared" ref="BX868:CT868" si="1475">+BX867-BX708</f>
        <v>0</v>
      </c>
      <c r="BY868" s="1657">
        <f t="shared" si="1475"/>
        <v>0</v>
      </c>
      <c r="BZ868" s="1657">
        <f t="shared" si="1475"/>
        <v>0</v>
      </c>
      <c r="CA868" s="1657">
        <f t="shared" si="1475"/>
        <v>0</v>
      </c>
      <c r="CB868" s="1657">
        <f t="shared" si="1475"/>
        <v>0</v>
      </c>
      <c r="CC868" s="1657">
        <f t="shared" si="1475"/>
        <v>0</v>
      </c>
      <c r="CD868" s="1657">
        <f t="shared" si="1475"/>
        <v>0</v>
      </c>
      <c r="CE868" s="1657">
        <f t="shared" si="1475"/>
        <v>-1.1073376000045265E-2</v>
      </c>
      <c r="CF868" s="1657">
        <f t="shared" si="1475"/>
        <v>0</v>
      </c>
      <c r="CG868" s="1657">
        <f t="shared" si="1475"/>
        <v>0</v>
      </c>
      <c r="CH868" s="1657">
        <f t="shared" si="1475"/>
        <v>0</v>
      </c>
      <c r="CI868" s="1657">
        <f t="shared" si="1475"/>
        <v>-2.3987446874383922E-3</v>
      </c>
      <c r="CJ868" s="1657">
        <f t="shared" si="1475"/>
        <v>0</v>
      </c>
      <c r="CK868" s="1657">
        <f t="shared" si="1475"/>
        <v>0</v>
      </c>
      <c r="CL868" s="1657">
        <f t="shared" si="1475"/>
        <v>0</v>
      </c>
      <c r="CM868" s="1657">
        <f t="shared" si="1475"/>
        <v>2.2838267976860283E-2</v>
      </c>
      <c r="CN868" s="1657">
        <f t="shared" si="1475"/>
        <v>0</v>
      </c>
      <c r="CO868" s="1657">
        <f t="shared" si="1475"/>
        <v>0</v>
      </c>
      <c r="CP868" s="1657">
        <f t="shared" si="1475"/>
        <v>0</v>
      </c>
      <c r="CQ868" s="1657">
        <f t="shared" si="1475"/>
        <v>6.4977319866321714E-6</v>
      </c>
      <c r="CR868" s="1657">
        <f t="shared" si="1475"/>
        <v>0</v>
      </c>
      <c r="CS868" s="1657">
        <f t="shared" si="1475"/>
        <v>0</v>
      </c>
      <c r="CT868" s="1657">
        <f t="shared" si="1475"/>
        <v>0</v>
      </c>
      <c r="CV868" s="1657">
        <f>+CV867-CV708</f>
        <v>3.7552143984984077E-3</v>
      </c>
      <c r="CW868" s="1657">
        <f>+CW867-CW708</f>
        <v>-2.9163767232511795E-3</v>
      </c>
      <c r="CX868" s="1657">
        <f>+CX867-CX708</f>
        <v>0</v>
      </c>
      <c r="CZ868" s="1657">
        <f>+CZ867-CZ708</f>
        <v>0</v>
      </c>
      <c r="DA868" s="1657">
        <f>+DA867-DA708</f>
        <v>0</v>
      </c>
      <c r="DB868" s="1657">
        <f>+DB867-DB708</f>
        <v>0</v>
      </c>
      <c r="DD868" s="1657">
        <f>+DD867-DD708</f>
        <v>0</v>
      </c>
      <c r="DE868" s="1657">
        <f ca="1">+DE867-DE708</f>
        <v>0</v>
      </c>
      <c r="DF868" s="1657">
        <f ca="1">+DF867-DF708</f>
        <v>0</v>
      </c>
      <c r="DH868" s="1657">
        <f>+DH867-DH708</f>
        <v>0</v>
      </c>
      <c r="DI868" s="1657">
        <f>+DI867-DI708</f>
        <v>0</v>
      </c>
      <c r="DJ868" s="1657">
        <f>+DJ867-DJ708</f>
        <v>0</v>
      </c>
      <c r="DL868" s="1657">
        <f>+DL867-DL708</f>
        <v>0</v>
      </c>
      <c r="DM868" s="1657">
        <f>+DM867-DM708</f>
        <v>0</v>
      </c>
      <c r="DN868" s="1657">
        <f>+DN867-DN708</f>
        <v>0</v>
      </c>
      <c r="DP868" s="1657">
        <f>+DP867-DP708</f>
        <v>0</v>
      </c>
      <c r="DQ868" s="1657">
        <f>+DQ867-DQ708</f>
        <v>0</v>
      </c>
      <c r="DR868" s="1657">
        <f>+DR867-DR708</f>
        <v>0</v>
      </c>
      <c r="DU868" s="876"/>
      <c r="DV868" s="876"/>
      <c r="DW868" s="876"/>
      <c r="DZ868" s="876"/>
      <c r="EA868" s="876"/>
      <c r="ED868" s="876"/>
      <c r="EE868" s="876"/>
    </row>
    <row r="869" spans="1:273">
      <c r="AR869" s="685"/>
      <c r="AS869" s="685"/>
      <c r="AT869" s="730"/>
      <c r="AU869" s="730"/>
      <c r="AV869" s="685"/>
      <c r="AW869" s="685"/>
      <c r="AX869" s="730"/>
      <c r="AY869" s="730"/>
      <c r="AZ869" s="685"/>
      <c r="BA869" s="876"/>
      <c r="BD869" s="711"/>
      <c r="BE869" s="885"/>
      <c r="BF869" s="711"/>
      <c r="BH869" s="685"/>
      <c r="BI869" s="876"/>
      <c r="BL869" s="876"/>
      <c r="BM869" s="876"/>
      <c r="BP869" s="876"/>
      <c r="BQ869" s="876"/>
      <c r="BT869" s="876"/>
      <c r="BU869" s="876"/>
      <c r="BX869" s="876"/>
      <c r="BY869" s="876"/>
      <c r="CB869" s="876"/>
      <c r="CC869" s="876"/>
      <c r="CF869" s="876"/>
      <c r="CG869" s="876"/>
      <c r="CJ869" s="876"/>
      <c r="CK869" s="876"/>
      <c r="CN869" s="876"/>
      <c r="CO869" s="876"/>
      <c r="CR869" s="876"/>
      <c r="CS869" s="876"/>
      <c r="CV869" s="876"/>
      <c r="CW869" s="876"/>
      <c r="CZ869" s="876"/>
      <c r="DA869" s="876"/>
      <c r="DD869" s="876"/>
      <c r="DE869" s="876"/>
      <c r="DH869" s="876"/>
      <c r="DI869" s="876"/>
      <c r="DL869" s="876"/>
      <c r="DM869" s="876"/>
      <c r="DP869" s="876"/>
      <c r="DQ869" s="876"/>
      <c r="DU869" s="876"/>
      <c r="DV869" s="876"/>
      <c r="DW869" s="876"/>
      <c r="DZ869" s="876"/>
      <c r="EA869" s="876"/>
      <c r="ED869" s="876"/>
      <c r="EE869" s="876"/>
    </row>
    <row r="870" spans="1:273">
      <c r="A870" s="1694" t="s">
        <v>1334</v>
      </c>
      <c r="AR870" s="685"/>
      <c r="AS870" s="685"/>
      <c r="AT870" s="730"/>
      <c r="AU870" s="730"/>
      <c r="AV870" s="685"/>
      <c r="AW870" s="685"/>
      <c r="AX870" s="730"/>
      <c r="AY870" s="730"/>
      <c r="AZ870" s="685"/>
      <c r="BA870" s="876"/>
      <c r="BD870" s="711"/>
      <c r="BE870" s="885"/>
      <c r="BF870" s="711"/>
      <c r="BH870" s="685"/>
      <c r="BI870" s="876"/>
      <c r="BL870" s="876"/>
      <c r="BM870" s="876"/>
      <c r="BP870" s="876"/>
      <c r="BQ870" s="876"/>
      <c r="BT870" s="876"/>
      <c r="BU870" s="876"/>
      <c r="BX870" s="876"/>
      <c r="BY870" s="876"/>
      <c r="CB870" s="876"/>
      <c r="CC870" s="876"/>
      <c r="CF870" s="876"/>
      <c r="CG870" s="876"/>
      <c r="CJ870" s="876"/>
      <c r="CK870" s="876"/>
      <c r="CN870" s="876"/>
      <c r="CO870" s="876"/>
      <c r="CR870" s="876"/>
      <c r="CS870" s="876"/>
      <c r="CV870" s="876"/>
      <c r="CW870" s="876"/>
      <c r="CZ870" s="876"/>
      <c r="DA870" s="876"/>
      <c r="DD870" s="876"/>
      <c r="DE870" s="876"/>
      <c r="DH870" s="876"/>
      <c r="DI870" s="876"/>
      <c r="DL870" s="876"/>
      <c r="DM870" s="876"/>
      <c r="DP870" s="876"/>
      <c r="DQ870" s="876"/>
      <c r="DU870" s="876"/>
      <c r="DV870" s="876"/>
      <c r="DW870" s="876"/>
      <c r="DZ870" s="876"/>
      <c r="EA870" s="876"/>
      <c r="ED870" s="876"/>
      <c r="EE870" s="876"/>
    </row>
    <row r="871" spans="1:273">
      <c r="A871" s="102" t="s">
        <v>686</v>
      </c>
      <c r="AR871" s="685"/>
      <c r="AS871" s="685"/>
      <c r="AT871" s="730"/>
      <c r="AU871" s="730"/>
      <c r="AV871" s="685"/>
      <c r="AW871" s="685"/>
      <c r="AX871" s="730"/>
      <c r="AY871" s="730"/>
      <c r="AZ871" s="685"/>
      <c r="BA871" s="876"/>
      <c r="BD871" s="711"/>
      <c r="BE871" s="885"/>
      <c r="BF871" s="711"/>
      <c r="BH871" s="685"/>
      <c r="BI871" s="876"/>
      <c r="BL871" s="876"/>
      <c r="BM871" s="876"/>
      <c r="BP871" s="876"/>
      <c r="BQ871" s="876"/>
      <c r="BT871" s="876"/>
      <c r="BU871" s="876"/>
      <c r="BX871" s="320">
        <f t="shared" ref="BX871:BZ875" si="1476">+BX791/BX837</f>
        <v>0.4268585131894484</v>
      </c>
      <c r="BY871" s="320">
        <f t="shared" si="1476"/>
        <v>0.29783037475345175</v>
      </c>
      <c r="BZ871" s="320">
        <f t="shared" si="1476"/>
        <v>0.35606060606060608</v>
      </c>
      <c r="CB871" s="320">
        <f t="shared" ref="CB871:CD875" si="1477">+CB791/CB837</f>
        <v>0.38647342995169082</v>
      </c>
      <c r="CC871" s="320">
        <f t="shared" si="1477"/>
        <v>0.37385321100917424</v>
      </c>
      <c r="CD871" s="320">
        <f t="shared" si="1477"/>
        <v>0.38</v>
      </c>
      <c r="CE871" s="103"/>
      <c r="CF871" s="320">
        <f t="shared" ref="CF871:CH873" si="1478">+CF791/CF837</f>
        <v>0.42105263157894735</v>
      </c>
      <c r="CG871" s="320">
        <f t="shared" si="1478"/>
        <v>0.73937677053824358</v>
      </c>
      <c r="CH871" s="320">
        <f t="shared" si="1478"/>
        <v>0.55080831408775976</v>
      </c>
      <c r="CI871" s="103"/>
      <c r="CJ871" s="320">
        <f t="shared" ref="CJ871:CL873" si="1479">+CJ791/CJ837</f>
        <v>0.62197092084006467</v>
      </c>
      <c r="CK871" s="320">
        <f t="shared" si="1479"/>
        <v>0.44787644787644787</v>
      </c>
      <c r="CL871" s="320">
        <f t="shared" si="1479"/>
        <v>0.52507163323782235</v>
      </c>
      <c r="CM871" s="103"/>
      <c r="CN871" s="320">
        <f t="shared" ref="CN871:CP873" si="1480">+CN791/CN837</f>
        <v>0.55198776758409784</v>
      </c>
      <c r="CO871" s="320">
        <f t="shared" si="1480"/>
        <v>0.37969924812030076</v>
      </c>
      <c r="CP871" s="320">
        <f t="shared" si="1480"/>
        <v>0.45951557093425605</v>
      </c>
      <c r="CQ871" s="103"/>
      <c r="CR871" s="320">
        <f t="shared" ref="CR871:CT873" si="1481">+CR791/CR837</f>
        <v>0.23518518518518516</v>
      </c>
      <c r="CS871" s="320">
        <f t="shared" si="1481"/>
        <v>0.22382978723404257</v>
      </c>
      <c r="CT871" s="320">
        <f t="shared" si="1481"/>
        <v>0.22926829268292684</v>
      </c>
      <c r="CV871" s="320">
        <f t="shared" ref="CV871:CX871" si="1482">+CV791/CV837</f>
        <v>0.36294416243654831</v>
      </c>
      <c r="CW871" s="320">
        <f t="shared" si="1482"/>
        <v>0.35903614457831323</v>
      </c>
      <c r="CX871" s="320">
        <f t="shared" si="1482"/>
        <v>0.36093943139678614</v>
      </c>
      <c r="CZ871" s="320">
        <f t="shared" ref="CZ871:DB871" si="1483">+CZ791/CZ837</f>
        <v>0.3451995685005394</v>
      </c>
      <c r="DA871" s="320">
        <f t="shared" si="1483"/>
        <v>0.35952380952380952</v>
      </c>
      <c r="DB871" s="320">
        <f t="shared" si="1483"/>
        <v>0.35180995475113125</v>
      </c>
      <c r="DD871" s="320">
        <f t="shared" ref="DD871:DF871" si="1484">+DD791/DD837</f>
        <v>0.33585313174946013</v>
      </c>
      <c r="DE871" s="320">
        <f t="shared" si="1484"/>
        <v>0.24345757335448057</v>
      </c>
      <c r="DF871" s="320">
        <f t="shared" si="1484"/>
        <v>0.28257887517146779</v>
      </c>
      <c r="DH871" s="320">
        <f t="shared" ref="DH871" si="1485">+DH791/DH837</f>
        <v>0.23859934853420195</v>
      </c>
      <c r="DI871" s="320">
        <f t="shared" ref="DI871:DJ871" si="1486">+DI791/DI837</f>
        <v>0.23680327319069008</v>
      </c>
      <c r="DJ871" s="320">
        <f t="shared" si="1486"/>
        <v>0.23766153917993935</v>
      </c>
      <c r="DL871" s="320">
        <f t="shared" ref="DL871:DN871" si="1487">+DL791/DL837</f>
        <v>0.22280365322904214</v>
      </c>
      <c r="DM871" s="320">
        <f t="shared" si="1487"/>
        <v>0.22772493827628043</v>
      </c>
      <c r="DN871" s="320">
        <f t="shared" si="1487"/>
        <v>0.22533714513121469</v>
      </c>
      <c r="DP871" s="320">
        <f t="shared" ref="DP871:DR871" si="1488">+DP791/DP837</f>
        <v>0.21546566000308609</v>
      </c>
      <c r="DQ871" s="320">
        <f t="shared" si="1488"/>
        <v>0.22281547415997036</v>
      </c>
      <c r="DR871" s="320">
        <f t="shared" si="1488"/>
        <v>0.21922789243723664</v>
      </c>
      <c r="DU871" s="876"/>
      <c r="DV871" s="876"/>
      <c r="DW871" s="876"/>
      <c r="DZ871" s="876"/>
      <c r="EA871" s="876"/>
      <c r="ED871" s="876"/>
      <c r="EE871" s="876"/>
    </row>
    <row r="872" spans="1:273">
      <c r="A872" s="102" t="s">
        <v>1306</v>
      </c>
      <c r="AR872" s="685"/>
      <c r="AS872" s="685"/>
      <c r="AT872" s="730"/>
      <c r="AU872" s="730"/>
      <c r="AV872" s="685"/>
      <c r="AW872" s="685"/>
      <c r="AX872" s="730"/>
      <c r="AY872" s="730"/>
      <c r="AZ872" s="685"/>
      <c r="BA872" s="876"/>
      <c r="BD872" s="711"/>
      <c r="BE872" s="885"/>
      <c r="BF872" s="711"/>
      <c r="BH872" s="685"/>
      <c r="BI872" s="876"/>
      <c r="BL872" s="876"/>
      <c r="BM872" s="876"/>
      <c r="BP872" s="876"/>
      <c r="BQ872" s="876"/>
      <c r="BT872" s="876"/>
      <c r="BU872" s="876"/>
      <c r="BX872" s="320">
        <f t="shared" si="1476"/>
        <v>0.19486081370449679</v>
      </c>
      <c r="BY872" s="320">
        <f t="shared" si="1476"/>
        <v>0.20430107526881722</v>
      </c>
      <c r="BZ872" s="320">
        <f t="shared" si="1476"/>
        <v>0.19957081545064378</v>
      </c>
      <c r="CB872" s="320">
        <f t="shared" si="1477"/>
        <v>0.21672555948174324</v>
      </c>
      <c r="CC872" s="320">
        <f t="shared" si="1477"/>
        <v>0.20372285418821096</v>
      </c>
      <c r="CD872" s="320">
        <f t="shared" si="1477"/>
        <v>0.20980176211453744</v>
      </c>
      <c r="CE872" s="103"/>
      <c r="CF872" s="320">
        <f t="shared" si="1478"/>
        <v>0.19552609776304883</v>
      </c>
      <c r="CG872" s="320">
        <f t="shared" si="1478"/>
        <v>0.22248427672955975</v>
      </c>
      <c r="CH872" s="320">
        <f t="shared" si="1478"/>
        <v>0.20935861234368697</v>
      </c>
      <c r="CI872" s="103"/>
      <c r="CJ872" s="320">
        <f t="shared" si="1479"/>
        <v>0.19756097560975613</v>
      </c>
      <c r="CK872" s="320">
        <f t="shared" si="1479"/>
        <v>0.18106427090532135</v>
      </c>
      <c r="CL872" s="320">
        <f t="shared" si="1479"/>
        <v>0.1886440044826298</v>
      </c>
      <c r="CM872" s="103"/>
      <c r="CN872" s="320">
        <f t="shared" si="1480"/>
        <v>0.26715176715176714</v>
      </c>
      <c r="CO872" s="320">
        <f t="shared" si="1480"/>
        <v>0.19913419913419916</v>
      </c>
      <c r="CP872" s="320">
        <f t="shared" si="1480"/>
        <v>0.2300425129900803</v>
      </c>
      <c r="CQ872" s="103"/>
      <c r="CR872" s="320">
        <f t="shared" si="1481"/>
        <v>0.28116343490304707</v>
      </c>
      <c r="CS872" s="320">
        <f t="shared" si="1481"/>
        <v>0.24985198342214324</v>
      </c>
      <c r="CT872" s="320">
        <f t="shared" si="1481"/>
        <v>0.2236024844720497</v>
      </c>
      <c r="CV872" s="320">
        <f t="shared" ref="CV872:CX872" si="1489">+CV792/CV838</f>
        <v>0.24869451697127937</v>
      </c>
      <c r="CW872" s="320">
        <f t="shared" si="1489"/>
        <v>0.30466666666666664</v>
      </c>
      <c r="CX872" s="320">
        <f t="shared" si="1489"/>
        <v>0.27638522427440637</v>
      </c>
      <c r="CZ872" s="320">
        <f t="shared" ref="CZ872:DB872" si="1490">+CZ792/CZ838</f>
        <v>0.30007230657989875</v>
      </c>
      <c r="DA872" s="320">
        <f t="shared" si="1490"/>
        <v>0.29535864978902954</v>
      </c>
      <c r="DB872" s="320">
        <f t="shared" si="1490"/>
        <v>0.29768270944741532</v>
      </c>
      <c r="DD872" s="320">
        <f t="shared" ref="DD872:DF872" si="1491">+DD792/DD838</f>
        <v>0.28406779661016951</v>
      </c>
      <c r="DE872" s="320">
        <f t="shared" si="1491"/>
        <v>0.24753694581280786</v>
      </c>
      <c r="DF872" s="320">
        <f t="shared" si="1491"/>
        <v>0.26492416908680222</v>
      </c>
      <c r="DH872" s="320">
        <f t="shared" ref="DH872" si="1492">+DH792/DH838</f>
        <v>0.25870967741935486</v>
      </c>
      <c r="DI872" s="320">
        <f t="shared" ref="DI872:DJ872" si="1493">+DI792/DI838</f>
        <v>0.31495726175752287</v>
      </c>
      <c r="DJ872" s="320">
        <f t="shared" si="1493"/>
        <v>0.28479177017322704</v>
      </c>
      <c r="DL872" s="320">
        <f t="shared" ref="DL872:DN872" si="1494">+DL792/DL838</f>
        <v>0.32614396021601111</v>
      </c>
      <c r="DM872" s="320">
        <f t="shared" si="1494"/>
        <v>0.34542040928269768</v>
      </c>
      <c r="DN872" s="320">
        <f t="shared" si="1494"/>
        <v>0.33584526031420647</v>
      </c>
      <c r="DP872" s="320">
        <f t="shared" ref="DP872:DR872" si="1495">+DP792/DP838</f>
        <v>0.33313069556863184</v>
      </c>
      <c r="DQ872" s="320">
        <f t="shared" si="1495"/>
        <v>0.35320052674743885</v>
      </c>
      <c r="DR872" s="320">
        <f t="shared" si="1495"/>
        <v>0.34327298497100833</v>
      </c>
      <c r="DU872" s="876"/>
      <c r="DV872" s="876"/>
      <c r="DW872" s="876"/>
      <c r="DZ872" s="876"/>
      <c r="EA872" s="876"/>
      <c r="ED872" s="876"/>
      <c r="EE872" s="876"/>
    </row>
    <row r="873" spans="1:273">
      <c r="A873" s="102" t="s">
        <v>1024</v>
      </c>
      <c r="AR873" s="685"/>
      <c r="AS873" s="685"/>
      <c r="AT873" s="730"/>
      <c r="AU873" s="730"/>
      <c r="AV873" s="685"/>
      <c r="AW873" s="685"/>
      <c r="AX873" s="730"/>
      <c r="AY873" s="730"/>
      <c r="AZ873" s="685"/>
      <c r="BA873" s="876"/>
      <c r="BD873" s="711"/>
      <c r="BE873" s="885"/>
      <c r="BF873" s="711"/>
      <c r="BH873" s="685"/>
      <c r="BI873" s="876"/>
      <c r="BL873" s="876"/>
      <c r="BM873" s="876"/>
      <c r="BP873" s="876"/>
      <c r="BQ873" s="876"/>
      <c r="BT873" s="876"/>
      <c r="BU873" s="876"/>
      <c r="BX873" s="320">
        <f t="shared" si="1476"/>
        <v>0.21014492753623187</v>
      </c>
      <c r="BY873" s="320">
        <f t="shared" si="1476"/>
        <v>0.17903645833333337</v>
      </c>
      <c r="BZ873" s="320">
        <f t="shared" si="1476"/>
        <v>0.19375857338820301</v>
      </c>
      <c r="CB873" s="320">
        <f t="shared" si="1477"/>
        <v>0.2051660516605166</v>
      </c>
      <c r="CC873" s="320">
        <f t="shared" si="1477"/>
        <v>0.20901371652514697</v>
      </c>
      <c r="CD873" s="320">
        <f t="shared" si="1477"/>
        <v>0.2072072072072072</v>
      </c>
      <c r="CE873" s="103"/>
      <c r="CF873" s="320">
        <f t="shared" si="1478"/>
        <v>0.17068557919621746</v>
      </c>
      <c r="CG873" s="320">
        <f t="shared" si="1478"/>
        <v>0.17887563884156732</v>
      </c>
      <c r="CH873" s="320">
        <f t="shared" si="1478"/>
        <v>0.17499439838673542</v>
      </c>
      <c r="CI873" s="103"/>
      <c r="CJ873" s="320">
        <f t="shared" si="1479"/>
        <v>0.12891172349369454</v>
      </c>
      <c r="CK873" s="320">
        <f t="shared" si="1479"/>
        <v>0.16693766937669377</v>
      </c>
      <c r="CL873" s="320">
        <f t="shared" si="1479"/>
        <v>0.14651279478173607</v>
      </c>
      <c r="CM873" s="103"/>
      <c r="CN873" s="320">
        <f t="shared" si="1480"/>
        <v>0.13508612873980055</v>
      </c>
      <c r="CO873" s="320">
        <f t="shared" si="1480"/>
        <v>0.1111111111111111</v>
      </c>
      <c r="CP873" s="320">
        <f t="shared" si="1480"/>
        <v>0.12221755564888702</v>
      </c>
      <c r="CQ873" s="103"/>
      <c r="CR873" s="320">
        <f t="shared" si="1481"/>
        <v>0.12397052449068054</v>
      </c>
      <c r="CS873" s="320">
        <f t="shared" si="1481"/>
        <v>9.2089371980676335E-2</v>
      </c>
      <c r="CT873" s="320">
        <f t="shared" si="1481"/>
        <v>0.10517885744794447</v>
      </c>
      <c r="CV873" s="320">
        <f t="shared" ref="CV873:CX873" si="1496">+CV793/CV839</f>
        <v>0.10363972856261565</v>
      </c>
      <c r="CW873" s="320">
        <f t="shared" si="1496"/>
        <v>7.219947897283216E-2</v>
      </c>
      <c r="CX873" s="320">
        <f t="shared" si="1496"/>
        <v>8.4029712163416898E-2</v>
      </c>
      <c r="CZ873" s="320">
        <f t="shared" ref="CZ873:DB873" si="1497">+CZ793/CZ839</f>
        <v>0.13952679192762701</v>
      </c>
      <c r="DA873" s="320">
        <f t="shared" si="1497"/>
        <v>0.12202380952380952</v>
      </c>
      <c r="DB873" s="320">
        <f t="shared" si="1497"/>
        <v>0.13009303817773502</v>
      </c>
      <c r="DD873" s="320">
        <f t="shared" ref="DD873:DF873" si="1498">+DD793/DD839</f>
        <v>0.14491190219345559</v>
      </c>
      <c r="DE873" s="320">
        <f t="shared" si="1498"/>
        <v>0.12906340521403284</v>
      </c>
      <c r="DF873" s="320">
        <f t="shared" si="1498"/>
        <v>0.13654891304347827</v>
      </c>
      <c r="DH873" s="320">
        <f t="shared" ref="DH873" si="1499">+DH793/DH839</f>
        <v>0.15213615838832931</v>
      </c>
      <c r="DI873" s="320">
        <f t="shared" ref="DI873:DJ873" si="1500">+DI793/DI839</f>
        <v>0.11841921108909115</v>
      </c>
      <c r="DJ873" s="320">
        <f t="shared" si="1500"/>
        <v>0.13346544690243539</v>
      </c>
      <c r="DL873" s="320">
        <f t="shared" ref="DL873:DN873" si="1501">+DL793/DL839</f>
        <v>0.14152445819670861</v>
      </c>
      <c r="DM873" s="320">
        <f t="shared" si="1501"/>
        <v>0.11874274398370185</v>
      </c>
      <c r="DN873" s="320">
        <f t="shared" si="1501"/>
        <v>0.12893330212770662</v>
      </c>
      <c r="DP873" s="320">
        <f t="shared" ref="DP873:DR873" si="1502">+DP793/DP839</f>
        <v>0.14311075586926966</v>
      </c>
      <c r="DQ873" s="320">
        <f t="shared" si="1502"/>
        <v>0.11984330500856404</v>
      </c>
      <c r="DR873" s="320">
        <f t="shared" si="1502"/>
        <v>0.13024009317087407</v>
      </c>
      <c r="DU873" s="876"/>
      <c r="DV873" s="876"/>
      <c r="DW873" s="876"/>
      <c r="DZ873" s="876"/>
      <c r="EA873" s="876"/>
      <c r="ED873" s="876"/>
      <c r="EE873" s="876"/>
    </row>
    <row r="874" spans="1:273">
      <c r="A874" s="102" t="s">
        <v>690</v>
      </c>
      <c r="AR874" s="685"/>
      <c r="AS874" s="685"/>
      <c r="AT874" s="730"/>
      <c r="AU874" s="730"/>
      <c r="AV874" s="685"/>
      <c r="AW874" s="685"/>
      <c r="AX874" s="730"/>
      <c r="AY874" s="730"/>
      <c r="AZ874" s="685"/>
      <c r="BA874" s="876"/>
      <c r="BD874" s="711"/>
      <c r="BE874" s="885"/>
      <c r="BF874" s="711"/>
      <c r="BH874" s="685"/>
      <c r="BI874" s="876"/>
      <c r="BL874" s="876"/>
      <c r="BM874" s="876"/>
      <c r="BP874" s="876"/>
      <c r="BQ874" s="876"/>
      <c r="BT874" s="876"/>
      <c r="BU874" s="876"/>
      <c r="BX874" s="320">
        <f t="shared" si="1476"/>
        <v>0.15976331360946747</v>
      </c>
      <c r="BY874" s="320">
        <f t="shared" si="1476"/>
        <v>0.15277777777777773</v>
      </c>
      <c r="BZ874" s="320">
        <f t="shared" si="1476"/>
        <v>0.15623171445289644</v>
      </c>
      <c r="CB874" s="320">
        <f t="shared" si="1477"/>
        <v>0.14305750350631136</v>
      </c>
      <c r="CC874" s="320">
        <f t="shared" si="1477"/>
        <v>0.19295302013422819</v>
      </c>
      <c r="CD874" s="320">
        <f t="shared" si="1477"/>
        <v>0.16577540106951874</v>
      </c>
      <c r="CE874" s="103"/>
      <c r="CF874" s="320"/>
      <c r="CG874" s="320"/>
      <c r="CH874" s="320"/>
      <c r="CI874" s="103"/>
      <c r="CJ874" s="320"/>
      <c r="CK874" s="320"/>
      <c r="CL874" s="320"/>
      <c r="CM874" s="103"/>
      <c r="CN874" s="320"/>
      <c r="CO874" s="320"/>
      <c r="CP874" s="320"/>
      <c r="CQ874" s="103"/>
      <c r="CR874" s="320"/>
      <c r="CS874" s="320"/>
      <c r="CT874" s="320"/>
      <c r="CV874" s="320"/>
      <c r="CW874" s="320"/>
      <c r="CX874" s="320"/>
      <c r="CZ874" s="320"/>
      <c r="DA874" s="320"/>
      <c r="DB874" s="320"/>
      <c r="DD874" s="320"/>
      <c r="DE874" s="320"/>
      <c r="DF874" s="320"/>
      <c r="DH874" s="320"/>
      <c r="DI874" s="320"/>
      <c r="DJ874" s="320"/>
      <c r="DL874" s="320"/>
      <c r="DM874" s="320"/>
      <c r="DN874" s="320"/>
      <c r="DP874" s="320"/>
      <c r="DQ874" s="320"/>
      <c r="DR874" s="320"/>
      <c r="DU874" s="876"/>
      <c r="DV874" s="876"/>
      <c r="DW874" s="876"/>
      <c r="DZ874" s="876"/>
      <c r="EA874" s="876"/>
      <c r="ED874" s="876"/>
      <c r="EE874" s="876"/>
    </row>
    <row r="875" spans="1:273">
      <c r="A875" s="102" t="s">
        <v>689</v>
      </c>
      <c r="AR875" s="685"/>
      <c r="AS875" s="685"/>
      <c r="AT875" s="730"/>
      <c r="AU875" s="730"/>
      <c r="AV875" s="685"/>
      <c r="AW875" s="685"/>
      <c r="AX875" s="730"/>
      <c r="AY875" s="730"/>
      <c r="AZ875" s="685"/>
      <c r="BA875" s="876"/>
      <c r="BD875" s="711"/>
      <c r="BE875" s="885"/>
      <c r="BF875" s="711"/>
      <c r="BH875" s="685"/>
      <c r="BI875" s="876"/>
      <c r="BL875" s="876"/>
      <c r="BM875" s="876"/>
      <c r="BP875" s="876"/>
      <c r="BQ875" s="876"/>
      <c r="BT875" s="876"/>
      <c r="BU875" s="876"/>
      <c r="BX875" s="320">
        <f t="shared" si="1476"/>
        <v>0.22619047619047619</v>
      </c>
      <c r="BY875" s="320">
        <f t="shared" si="1476"/>
        <v>0.19974226804123713</v>
      </c>
      <c r="BZ875" s="320">
        <f t="shared" si="1476"/>
        <v>0.21279373368146215</v>
      </c>
      <c r="CB875" s="320">
        <f t="shared" si="1477"/>
        <v>0.1973051010587103</v>
      </c>
      <c r="CC875" s="320">
        <f t="shared" si="1477"/>
        <v>0.20901246404602111</v>
      </c>
      <c r="CD875" s="320">
        <f t="shared" si="1477"/>
        <v>0.20317002881844382</v>
      </c>
      <c r="CE875" s="103"/>
      <c r="CF875" s="320">
        <f>+CF795/CF841</f>
        <v>0.20296570898980537</v>
      </c>
      <c r="CG875" s="320">
        <f>+CG795/CG841</f>
        <v>0.18617511520737326</v>
      </c>
      <c r="CH875" s="320">
        <f>+CH795/CH841</f>
        <v>0.19454713493530498</v>
      </c>
      <c r="CI875" s="103"/>
      <c r="CJ875" s="320">
        <f>+CJ795/CJ841</f>
        <v>0.17215428033866415</v>
      </c>
      <c r="CK875" s="320">
        <f>+CK795/CK841</f>
        <v>0.15439856373429087</v>
      </c>
      <c r="CL875" s="320">
        <f>+CL795/CL841</f>
        <v>0.16306844281120808</v>
      </c>
      <c r="CM875" s="103"/>
      <c r="CN875" s="320">
        <f>+CN795/CN841</f>
        <v>0.18815663801337157</v>
      </c>
      <c r="CO875" s="320">
        <f>+CO795/CO841</f>
        <v>0.17293906810035845</v>
      </c>
      <c r="CP875" s="320">
        <f>+CP795/CP841</f>
        <v>0.18030513176144244</v>
      </c>
      <c r="CQ875" s="103"/>
      <c r="CR875" s="320">
        <f>+CR795/CR841</f>
        <v>0.18357082984073766</v>
      </c>
      <c r="CS875" s="320">
        <f>+CS795/CS841</f>
        <v>0.18380566801619436</v>
      </c>
      <c r="CT875" s="320">
        <f>+CT795/CT841</f>
        <v>0.18369028006589783</v>
      </c>
      <c r="CV875" s="320">
        <f t="shared" ref="CV875:CX875" si="1503">+CV795/CV841</f>
        <v>0.18131487889273357</v>
      </c>
      <c r="CW875" s="320">
        <f t="shared" si="1503"/>
        <v>0.17157490396927019</v>
      </c>
      <c r="CX875" s="320">
        <f t="shared" si="1503"/>
        <v>0.17625540405719986</v>
      </c>
      <c r="CZ875" s="320">
        <f t="shared" ref="CZ875:DB875" si="1504">+CZ795/CZ841</f>
        <v>0.19669117647058823</v>
      </c>
      <c r="DA875" s="320">
        <f t="shared" si="1504"/>
        <v>0.20025510204081631</v>
      </c>
      <c r="DB875" s="320">
        <f t="shared" si="1504"/>
        <v>0.19843749999999999</v>
      </c>
      <c r="DD875" s="320">
        <f t="shared" ref="DD875:DF875" si="1505">+DD795/DD841</f>
        <v>0.18092307692307694</v>
      </c>
      <c r="DE875" s="320">
        <f t="shared" si="1505"/>
        <v>0.15067686874632136</v>
      </c>
      <c r="DF875" s="320">
        <f t="shared" si="1505"/>
        <v>0.16546329723225031</v>
      </c>
      <c r="DH875" s="320">
        <f t="shared" ref="DH875" si="1506">+DH795/DH841</f>
        <v>0.13101903695408737</v>
      </c>
      <c r="DI875" s="320">
        <f t="shared" ref="DI875:DJ875" si="1507">+DI795/DI841</f>
        <v>0.13911760984785976</v>
      </c>
      <c r="DJ875" s="320">
        <f t="shared" si="1507"/>
        <v>0.13508791484049584</v>
      </c>
      <c r="DL875" s="320">
        <f t="shared" ref="DL875:DN875" si="1508">+DL795/DL841</f>
        <v>0.12287113797193393</v>
      </c>
      <c r="DM875" s="320">
        <f t="shared" si="1508"/>
        <v>0.12738026686691845</v>
      </c>
      <c r="DN875" s="320">
        <f t="shared" si="1508"/>
        <v>0.12516359010990416</v>
      </c>
      <c r="DP875" s="320">
        <f t="shared" ref="DP875:DR875" si="1509">+DP795/DP841</f>
        <v>0.11708592172975402</v>
      </c>
      <c r="DQ875" s="320">
        <f t="shared" si="1509"/>
        <v>0.12211155409216513</v>
      </c>
      <c r="DR875" s="320">
        <f t="shared" si="1509"/>
        <v>0.11963344605768572</v>
      </c>
      <c r="DU875" s="876"/>
      <c r="DV875" s="876"/>
      <c r="DW875" s="876"/>
      <c r="DZ875" s="876"/>
      <c r="EA875" s="876"/>
      <c r="ED875" s="876"/>
      <c r="EE875" s="876"/>
    </row>
    <row r="876" spans="1:273">
      <c r="A876" s="102" t="s">
        <v>688</v>
      </c>
      <c r="AR876" s="685"/>
      <c r="AS876" s="685"/>
      <c r="AT876" s="730"/>
      <c r="AU876" s="730"/>
      <c r="AV876" s="685"/>
      <c r="AW876" s="685"/>
      <c r="AX876" s="730"/>
      <c r="AY876" s="730"/>
      <c r="AZ876" s="685"/>
      <c r="BA876" s="876"/>
      <c r="BD876" s="711"/>
      <c r="BE876" s="885"/>
      <c r="BF876" s="711"/>
      <c r="BH876" s="685"/>
      <c r="BI876" s="876"/>
      <c r="BL876" s="876"/>
      <c r="BM876" s="876"/>
      <c r="BP876" s="876"/>
      <c r="BQ876" s="876"/>
      <c r="BT876" s="876"/>
      <c r="BU876" s="876"/>
      <c r="BX876" s="320"/>
      <c r="BY876" s="320"/>
      <c r="BZ876" s="320"/>
      <c r="CB876" s="320"/>
      <c r="CC876" s="320"/>
      <c r="CD876" s="320"/>
      <c r="CE876" s="103"/>
      <c r="CF876" s="320"/>
      <c r="CG876" s="320"/>
      <c r="CH876" s="320"/>
      <c r="CI876" s="103"/>
      <c r="CJ876" s="320"/>
      <c r="CK876" s="320"/>
      <c r="CL876" s="320"/>
      <c r="CM876" s="103"/>
      <c r="CN876" s="320"/>
      <c r="CO876" s="320"/>
      <c r="CP876" s="320"/>
      <c r="CQ876" s="103"/>
      <c r="CR876" s="320"/>
      <c r="CS876" s="320"/>
      <c r="CT876" s="320"/>
      <c r="CV876" s="320"/>
      <c r="CW876" s="320"/>
      <c r="CX876" s="320"/>
      <c r="CZ876" s="320"/>
      <c r="DA876" s="320"/>
      <c r="DB876" s="320"/>
      <c r="DD876" s="320"/>
      <c r="DE876" s="320"/>
      <c r="DF876" s="320"/>
      <c r="DH876" s="320"/>
      <c r="DI876" s="320"/>
      <c r="DJ876" s="320"/>
      <c r="DL876" s="320"/>
      <c r="DM876" s="320"/>
      <c r="DN876" s="320"/>
      <c r="DP876" s="320"/>
      <c r="DQ876" s="320"/>
      <c r="DR876" s="320"/>
      <c r="DU876" s="876"/>
      <c r="DV876" s="876"/>
      <c r="DW876" s="876"/>
      <c r="DZ876" s="876"/>
      <c r="EA876" s="876"/>
      <c r="ED876" s="876"/>
      <c r="EE876" s="876"/>
    </row>
    <row r="877" spans="1:273" s="1682" customFormat="1" ht="20.399999999999999">
      <c r="A877" s="1658" t="s">
        <v>1313</v>
      </c>
      <c r="B877" s="1681"/>
      <c r="AN877" s="1681"/>
      <c r="AO877" s="1681"/>
      <c r="AP877" s="1681"/>
      <c r="AQ877" s="1681"/>
      <c r="AR877" s="1683"/>
      <c r="AS877" s="1683"/>
      <c r="AT877" s="1681"/>
      <c r="AU877" s="1681"/>
      <c r="AV877" s="1683"/>
      <c r="AW877" s="1683"/>
      <c r="AX877" s="1681"/>
      <c r="AY877" s="1681"/>
      <c r="AZ877" s="1683"/>
      <c r="BA877" s="1683"/>
      <c r="BB877" s="1681"/>
      <c r="BC877" s="1681"/>
      <c r="BD877" s="1684"/>
      <c r="BE877" s="1684"/>
      <c r="BF877" s="1684"/>
      <c r="BG877" s="1681"/>
      <c r="BH877" s="1683"/>
      <c r="BI877" s="1683"/>
      <c r="BJ877" s="1681"/>
      <c r="BK877" s="1681"/>
      <c r="BL877" s="1683"/>
      <c r="BM877" s="1683"/>
      <c r="BN877" s="1681"/>
      <c r="BO877" s="1681"/>
      <c r="BP877" s="1683"/>
      <c r="BQ877" s="1683"/>
      <c r="BR877" s="1681"/>
      <c r="BS877" s="1681"/>
      <c r="BT877" s="1683"/>
      <c r="BU877" s="1683"/>
      <c r="BV877" s="1681"/>
      <c r="BW877" s="1681"/>
      <c r="BX877" s="1685">
        <f t="shared" ref="BX877:BZ878" si="1510">+BX797/BX843</f>
        <v>11.203008220200402</v>
      </c>
      <c r="BY877" s="1685">
        <f t="shared" si="1510"/>
        <v>-73.958127470355734</v>
      </c>
      <c r="BZ877" s="1685">
        <f t="shared" si="1510"/>
        <v>25.018194153603279</v>
      </c>
      <c r="CA877" s="1681"/>
      <c r="CB877" s="1685">
        <f t="shared" ref="CB877:CD878" si="1511">+CB797/CB843</f>
        <v>3.9707775467775472</v>
      </c>
      <c r="CC877" s="1685">
        <f t="shared" si="1511"/>
        <v>3.4682110537129129</v>
      </c>
      <c r="CD877" s="1685">
        <f t="shared" si="1511"/>
        <v>3.6930232091767161</v>
      </c>
      <c r="CE877" s="1681"/>
      <c r="CF877" s="1685">
        <f t="shared" ref="CF877:CH878" si="1512">+CF797/CF843</f>
        <v>2.7479461279461277</v>
      </c>
      <c r="CG877" s="1685">
        <f t="shared" si="1512"/>
        <v>-20.879730545581644</v>
      </c>
      <c r="CH877" s="1685">
        <f t="shared" si="1512"/>
        <v>6.4654082326100673</v>
      </c>
      <c r="CI877" s="1681"/>
      <c r="CJ877" s="1685">
        <f t="shared" ref="CJ877:CL878" si="1513">+CJ797/CJ843</f>
        <v>4.4400842565142771</v>
      </c>
      <c r="CK877" s="1685">
        <f t="shared" si="1513"/>
        <v>1.9343543461124819</v>
      </c>
      <c r="CL877" s="1685">
        <f t="shared" si="1513"/>
        <v>2.7022161575641999</v>
      </c>
      <c r="CM877" s="1681"/>
      <c r="CN877" s="1685">
        <f t="shared" ref="CN877:CP878" si="1514">+CN797/CN843</f>
        <v>12.247589044618749</v>
      </c>
      <c r="CO877" s="1685">
        <f t="shared" si="1514"/>
        <v>4.1010995862381687</v>
      </c>
      <c r="CP877" s="1685">
        <f t="shared" si="1514"/>
        <v>5.9530632012268949</v>
      </c>
      <c r="CQ877" s="1681"/>
      <c r="CR877" s="1685">
        <f t="shared" ref="CR877:CT878" si="1515">+CR797/CR843</f>
        <v>3.8842439494464207</v>
      </c>
      <c r="CS877" s="1685">
        <f t="shared" si="1515"/>
        <v>-3.59926889012283</v>
      </c>
      <c r="CT877" s="1685">
        <f t="shared" si="1515"/>
        <v>-73.939599968376953</v>
      </c>
      <c r="CU877" s="1681"/>
      <c r="CV877" s="1685">
        <f t="shared" ref="CV877:CX877" si="1516">+CV797/CV843</f>
        <v>7.1406899797793377</v>
      </c>
      <c r="CW877" s="1685">
        <f t="shared" si="1516"/>
        <v>3.4461888039661228</v>
      </c>
      <c r="CX877" s="1685">
        <f t="shared" si="1516"/>
        <v>4.605423736769227</v>
      </c>
      <c r="CY877" s="1681"/>
      <c r="CZ877" s="1685">
        <f t="shared" ref="CZ877:DB877" si="1517">+CZ797/CZ843</f>
        <v>2.0067910442370485</v>
      </c>
      <c r="DA877" s="1685">
        <f t="shared" si="1517"/>
        <v>1.7959703995795047</v>
      </c>
      <c r="DB877" s="1685">
        <f t="shared" si="1517"/>
        <v>1.8953577403165618</v>
      </c>
      <c r="DC877" s="1681"/>
      <c r="DD877" s="1685">
        <f t="shared" ref="DD877:DF877" si="1518">+DD797/DD843</f>
        <v>2.0007528684486537</v>
      </c>
      <c r="DE877" s="1685">
        <f t="shared" si="1518"/>
        <v>1.6722668670425629</v>
      </c>
      <c r="DF877" s="1685">
        <f t="shared" si="1518"/>
        <v>1.8287000385911047</v>
      </c>
      <c r="DG877" s="1681"/>
      <c r="DH877" s="1685">
        <f t="shared" ref="DH877" si="1519">+DH797/DH843</f>
        <v>1.6701008705926497</v>
      </c>
      <c r="DI877" s="1685">
        <f t="shared" ref="DI877:DJ877" si="1520">+DI797/DI843</f>
        <v>1.5748832664223866</v>
      </c>
      <c r="DJ877" s="1685">
        <f t="shared" si="1520"/>
        <v>1.6187445017910762</v>
      </c>
      <c r="DK877" s="1681"/>
      <c r="DL877" s="1685">
        <f t="shared" ref="DL877:DN877" si="1521">+DL797/DL843</f>
        <v>1.4634529874389204</v>
      </c>
      <c r="DM877" s="1685">
        <f t="shared" si="1521"/>
        <v>1.5592927763280662</v>
      </c>
      <c r="DN877" s="1685">
        <f t="shared" si="1521"/>
        <v>1.5115219111989864</v>
      </c>
      <c r="DO877" s="1681"/>
      <c r="DP877" s="1685">
        <f t="shared" ref="DP877:DR877" si="1522">+DP797/DP843</f>
        <v>1.449811756317217</v>
      </c>
      <c r="DQ877" s="1685">
        <f t="shared" si="1522"/>
        <v>1.5440545192096073</v>
      </c>
      <c r="DR877" s="1685">
        <f t="shared" si="1522"/>
        <v>1.4970904185783656</v>
      </c>
      <c r="DS877" s="1681"/>
      <c r="DT877" s="1681"/>
      <c r="DU877" s="1683"/>
      <c r="DV877" s="1683"/>
      <c r="DW877" s="1683"/>
      <c r="DX877" s="1681"/>
      <c r="DY877" s="1681"/>
      <c r="DZ877" s="1683"/>
      <c r="EA877" s="1683"/>
      <c r="EB877" s="1681"/>
      <c r="EC877" s="1681"/>
      <c r="ED877" s="1683"/>
      <c r="EE877" s="1683"/>
      <c r="EF877" s="1681"/>
      <c r="EG877" s="1681"/>
      <c r="EH877" s="1681"/>
      <c r="EI877" s="1681"/>
      <c r="EJ877" s="1681"/>
      <c r="EK877" s="1681"/>
      <c r="EL877" s="1681"/>
      <c r="EM877" s="1681"/>
      <c r="EN877" s="1681"/>
      <c r="EO877" s="1681"/>
      <c r="EP877" s="1681"/>
      <c r="JM877"/>
    </row>
    <row r="878" spans="1:273" s="289" customFormat="1">
      <c r="A878" s="814" t="s">
        <v>1327</v>
      </c>
      <c r="B878" s="290"/>
      <c r="AN878" s="290"/>
      <c r="AO878" s="290"/>
      <c r="AP878" s="290"/>
      <c r="AQ878" s="290"/>
      <c r="AR878" s="376"/>
      <c r="AS878" s="376"/>
      <c r="AT878" s="674"/>
      <c r="AU878" s="674"/>
      <c r="AV878" s="376"/>
      <c r="AW878" s="376"/>
      <c r="AX878" s="674"/>
      <c r="AY878" s="674"/>
      <c r="AZ878" s="376"/>
      <c r="BA878" s="1014"/>
      <c r="BB878" s="290"/>
      <c r="BC878" s="290"/>
      <c r="BD878" s="715"/>
      <c r="BE878" s="1352"/>
      <c r="BF878" s="715"/>
      <c r="BG878" s="290"/>
      <c r="BH878" s="376"/>
      <c r="BI878" s="1014"/>
      <c r="BJ878" s="290"/>
      <c r="BK878" s="290"/>
      <c r="BL878" s="1014"/>
      <c r="BM878" s="1014"/>
      <c r="BN878" s="290"/>
      <c r="BO878" s="290"/>
      <c r="BP878" s="1014"/>
      <c r="BQ878" s="1014"/>
      <c r="BR878" s="290"/>
      <c r="BS878" s="290"/>
      <c r="BT878" s="1014"/>
      <c r="BU878" s="1014"/>
      <c r="BV878" s="290"/>
      <c r="BW878" s="290"/>
      <c r="BX878" s="649">
        <f t="shared" si="1510"/>
        <v>0.32862385222139823</v>
      </c>
      <c r="BY878" s="649">
        <f t="shared" si="1510"/>
        <v>0.29232662574823842</v>
      </c>
      <c r="BZ878" s="649">
        <f t="shared" si="1510"/>
        <v>0.31002818789616138</v>
      </c>
      <c r="CA878" s="290"/>
      <c r="CB878" s="649">
        <f t="shared" si="1511"/>
        <v>0.31709614979915313</v>
      </c>
      <c r="CC878" s="649">
        <f t="shared" si="1511"/>
        <v>0.3085751421084969</v>
      </c>
      <c r="CD878" s="649">
        <f t="shared" si="1511"/>
        <v>0.31204577175368237</v>
      </c>
      <c r="CE878" s="290"/>
      <c r="CF878" s="649">
        <f t="shared" si="1512"/>
        <v>0.291010101010101</v>
      </c>
      <c r="CG878" s="649">
        <f t="shared" si="1512"/>
        <v>0.32274703574320812</v>
      </c>
      <c r="CH878" s="649">
        <f t="shared" si="1512"/>
        <v>0.30687867410654762</v>
      </c>
      <c r="CI878" s="290"/>
      <c r="CJ878" s="649">
        <f t="shared" si="1513"/>
        <v>0.30032359175440854</v>
      </c>
      <c r="CK878" s="649">
        <f t="shared" si="1513"/>
        <v>0.28538616454743415</v>
      </c>
      <c r="CL878" s="649">
        <f t="shared" si="1513"/>
        <v>0.29271496724393226</v>
      </c>
      <c r="CM878" s="290"/>
      <c r="CN878" s="649">
        <f t="shared" si="1514"/>
        <v>0.3313782813834224</v>
      </c>
      <c r="CO878" s="649">
        <f t="shared" si="1514"/>
        <v>0.26146770241054484</v>
      </c>
      <c r="CP878" s="649">
        <f t="shared" si="1514"/>
        <v>0.29364373883327194</v>
      </c>
      <c r="CQ878" s="290"/>
      <c r="CR878" s="649">
        <f t="shared" si="1515"/>
        <v>0.25429523338855908</v>
      </c>
      <c r="CS878" s="649">
        <f t="shared" si="1515"/>
        <v>0.24513934484619732</v>
      </c>
      <c r="CT878" s="649">
        <f t="shared" si="1515"/>
        <v>0.24954210146716613</v>
      </c>
      <c r="CU878" s="290"/>
      <c r="CV878" s="649">
        <f t="shared" ref="CV878:CX878" si="1523">+CV798/CV844</f>
        <v>0.269706763908519</v>
      </c>
      <c r="CW878" s="649">
        <f t="shared" si="1523"/>
        <v>0.2257733546537174</v>
      </c>
      <c r="CX878" s="649">
        <f t="shared" si="1523"/>
        <v>0.24483359204916239</v>
      </c>
      <c r="CY878" s="290"/>
      <c r="CZ878" s="649">
        <f t="shared" ref="CZ878:DB878" si="1524">+CZ798/CZ844</f>
        <v>0.31876787330891004</v>
      </c>
      <c r="DA878" s="649">
        <f t="shared" si="1524"/>
        <v>0.30014113099397915</v>
      </c>
      <c r="DB878" s="649">
        <f t="shared" si="1524"/>
        <v>0.30917166205708096</v>
      </c>
      <c r="DC878" s="290"/>
      <c r="DD878" s="649">
        <f t="shared" ref="DD878:DF878" si="1525">+DD798/DD844</f>
        <v>0.31629241313917789</v>
      </c>
      <c r="DE878" s="649">
        <f t="shared" ca="1" si="1525"/>
        <v>0.26644511402503185</v>
      </c>
      <c r="DF878" s="649">
        <f t="shared" ca="1" si="1525"/>
        <v>0.28997197115718731</v>
      </c>
      <c r="DG878" s="290"/>
      <c r="DH878" s="649">
        <f t="shared" ref="DH878" si="1526">+DH798/DH844</f>
        <v>0.25555717590828614</v>
      </c>
      <c r="DI878" s="649">
        <f t="shared" ref="DI878:DJ878" si="1527">+DI798/DI844</f>
        <v>0.23533316480820363</v>
      </c>
      <c r="DJ878" s="649">
        <f t="shared" si="1527"/>
        <v>0.24484832646034238</v>
      </c>
      <c r="DK878" s="290"/>
      <c r="DL878" s="649">
        <f t="shared" ref="DL878:DN878" si="1528">+DL798/DL844</f>
        <v>0.24258691969165688</v>
      </c>
      <c r="DM878" s="649">
        <f t="shared" si="1528"/>
        <v>0.23323869796599192</v>
      </c>
      <c r="DN878" s="649">
        <f t="shared" si="1528"/>
        <v>0.23767059617885009</v>
      </c>
      <c r="DO878" s="290"/>
      <c r="DP878" s="649">
        <f t="shared" ref="DP878:DR878" si="1529">+DP798/DP844</f>
        <v>0.24016272290359786</v>
      </c>
      <c r="DQ878" s="649">
        <f t="shared" si="1529"/>
        <v>0.23206055079707494</v>
      </c>
      <c r="DR878" s="649">
        <f t="shared" si="1529"/>
        <v>0.23590752061391632</v>
      </c>
      <c r="DS878" s="290"/>
      <c r="DT878" s="290"/>
      <c r="DU878" s="1014"/>
      <c r="DV878" s="1014"/>
      <c r="DW878" s="1014"/>
      <c r="DX878" s="290"/>
      <c r="DY878" s="290"/>
      <c r="DZ878" s="1014"/>
      <c r="EA878" s="1014"/>
      <c r="EB878" s="290"/>
      <c r="EC878" s="290"/>
      <c r="ED878" s="1014"/>
      <c r="EE878" s="1014"/>
      <c r="EF878" s="290"/>
      <c r="EG878" s="290"/>
      <c r="EH878" s="290"/>
      <c r="EI878" s="290"/>
      <c r="EJ878" s="290"/>
      <c r="EK878" s="290"/>
      <c r="EL878" s="290"/>
      <c r="EM878" s="290"/>
      <c r="EN878" s="290"/>
      <c r="EO878" s="290"/>
      <c r="EP878" s="290"/>
      <c r="JM878"/>
    </row>
    <row r="879" spans="1:273">
      <c r="AR879" s="685"/>
      <c r="AS879" s="685"/>
      <c r="AT879" s="730"/>
      <c r="AU879" s="730"/>
      <c r="AV879" s="685"/>
      <c r="AW879" s="685"/>
      <c r="AX879" s="730"/>
      <c r="AY879" s="730"/>
      <c r="AZ879" s="685"/>
      <c r="BA879" s="876"/>
      <c r="BD879" s="711"/>
      <c r="BE879" s="885"/>
      <c r="BF879" s="711"/>
      <c r="BH879" s="685"/>
      <c r="BI879" s="876"/>
      <c r="BL879" s="876"/>
      <c r="BM879" s="876"/>
      <c r="BP879" s="876"/>
      <c r="BQ879" s="876"/>
      <c r="BT879" s="876"/>
      <c r="BU879" s="876"/>
      <c r="BX879" s="876"/>
      <c r="BY879" s="876"/>
      <c r="CB879" s="876"/>
      <c r="CC879" s="876"/>
      <c r="CE879" s="103"/>
      <c r="CF879" s="876"/>
      <c r="CG879" s="876"/>
      <c r="CI879" s="103"/>
      <c r="CJ879" s="876"/>
      <c r="CK879" s="876"/>
      <c r="CM879" s="103"/>
      <c r="CN879" s="876"/>
      <c r="CO879" s="876"/>
      <c r="CQ879" s="103"/>
      <c r="CR879" s="876"/>
      <c r="CS879" s="876"/>
      <c r="CV879" s="876"/>
      <c r="CW879" s="876"/>
      <c r="CZ879" s="876"/>
      <c r="DA879" s="876"/>
      <c r="DD879" s="876"/>
      <c r="DE879" s="876"/>
      <c r="DH879" s="876"/>
      <c r="DI879" s="876"/>
      <c r="DL879" s="876"/>
      <c r="DM879" s="876"/>
      <c r="DP879" s="876"/>
      <c r="DQ879" s="876"/>
      <c r="DU879" s="876"/>
      <c r="DV879" s="876"/>
      <c r="DW879" s="876"/>
      <c r="DZ879" s="876"/>
      <c r="EA879" s="876"/>
      <c r="ED879" s="876"/>
      <c r="EE879" s="876"/>
    </row>
    <row r="880" spans="1:273">
      <c r="A880" s="1694" t="s">
        <v>1333</v>
      </c>
      <c r="AR880" s="685"/>
      <c r="AS880" s="685"/>
      <c r="AT880" s="730"/>
      <c r="AU880" s="730"/>
      <c r="AV880" s="685"/>
      <c r="AW880" s="685"/>
      <c r="AX880" s="730"/>
      <c r="AY880" s="730"/>
      <c r="AZ880" s="685"/>
      <c r="BA880" s="876"/>
      <c r="BD880" s="711"/>
      <c r="BE880" s="885"/>
      <c r="BF880" s="711"/>
      <c r="BH880" s="685"/>
      <c r="BI880" s="876"/>
      <c r="BL880" s="876"/>
      <c r="BM880" s="876"/>
      <c r="BP880" s="876"/>
      <c r="BQ880" s="876"/>
      <c r="BT880" s="876"/>
      <c r="BU880" s="876"/>
      <c r="BX880" s="876"/>
      <c r="BY880" s="876"/>
      <c r="CB880" s="876"/>
      <c r="CC880" s="876"/>
      <c r="CF880" s="876"/>
      <c r="CG880" s="876"/>
      <c r="CJ880" s="876"/>
      <c r="CK880" s="876"/>
      <c r="CN880" s="876"/>
      <c r="CO880" s="876"/>
      <c r="CR880" s="876"/>
      <c r="CS880" s="876"/>
      <c r="CV880" s="876"/>
      <c r="CW880" s="876"/>
      <c r="CZ880" s="876"/>
      <c r="DA880" s="876"/>
      <c r="DD880" s="876"/>
      <c r="DE880" s="876"/>
      <c r="DH880" s="876"/>
      <c r="DI880" s="876"/>
      <c r="DL880" s="876"/>
      <c r="DM880" s="876"/>
      <c r="DP880" s="876"/>
      <c r="DQ880" s="876"/>
      <c r="DU880" s="876"/>
      <c r="DV880" s="876"/>
      <c r="DW880" s="876"/>
      <c r="DZ880" s="876"/>
      <c r="EA880" s="876"/>
      <c r="ED880" s="876"/>
      <c r="EE880" s="876"/>
    </row>
    <row r="881" spans="1:273">
      <c r="A881" s="102" t="s">
        <v>686</v>
      </c>
      <c r="AR881" s="685"/>
      <c r="AS881" s="685"/>
      <c r="AT881" s="730"/>
      <c r="AU881" s="730"/>
      <c r="AV881" s="685"/>
      <c r="AW881" s="685"/>
      <c r="AX881" s="730"/>
      <c r="AY881" s="730"/>
      <c r="AZ881" s="685"/>
      <c r="BA881" s="876"/>
      <c r="BD881" s="711"/>
      <c r="BE881" s="885"/>
      <c r="BF881" s="711"/>
      <c r="BH881" s="685"/>
      <c r="BI881" s="876"/>
      <c r="BL881" s="876"/>
      <c r="BM881" s="876"/>
      <c r="BP881" s="876"/>
      <c r="BQ881" s="876"/>
      <c r="BT881" s="876"/>
      <c r="BU881" s="876"/>
      <c r="BX881" s="320">
        <f t="shared" ref="BX881:BZ885" si="1530">+BX1048/BX825</f>
        <v>0.77552631578947384</v>
      </c>
      <c r="BY881" s="320">
        <f t="shared" si="1530"/>
        <v>1.3864615384615384</v>
      </c>
      <c r="BZ881" s="320">
        <f t="shared" si="1530"/>
        <v>1.0571631205673759</v>
      </c>
      <c r="CB881" s="320">
        <f t="shared" ref="CB881:CD885" si="1531">+CB1048/CB825</f>
        <v>0.80921052631578949</v>
      </c>
      <c r="CC881" s="320">
        <f t="shared" si="1531"/>
        <v>0.62008733624454149</v>
      </c>
      <c r="CD881" s="320">
        <f t="shared" si="1531"/>
        <v>0.66721311475409839</v>
      </c>
      <c r="CE881" s="103"/>
      <c r="CF881" s="320">
        <f t="shared" ref="CF881:CH883" si="1532">+CF1048/CF825</f>
        <v>0.2785294117647058</v>
      </c>
      <c r="CG881" s="320">
        <f t="shared" si="1532"/>
        <v>0.25572702331961583</v>
      </c>
      <c r="CH881" s="320">
        <f t="shared" si="1532"/>
        <v>0.26163617886178853</v>
      </c>
      <c r="CI881" s="103"/>
      <c r="CJ881" s="320">
        <f t="shared" ref="CJ881:CL883" si="1533">+CJ1048/CJ825</f>
        <v>0.35311284046692609</v>
      </c>
      <c r="CK881" s="320">
        <f t="shared" si="1533"/>
        <v>0.56738768718802002</v>
      </c>
      <c r="CL881" s="320">
        <f t="shared" si="1533"/>
        <v>0.46860986547085204</v>
      </c>
      <c r="CM881" s="103"/>
      <c r="CN881" s="320">
        <f t="shared" ref="CN881:CP883" si="1534">+CN1048/CN825</f>
        <v>-0.18499999999999944</v>
      </c>
      <c r="CO881" s="320">
        <f t="shared" si="1534"/>
        <v>0.65392344497607668</v>
      </c>
      <c r="CP881" s="320">
        <f t="shared" si="1534"/>
        <v>0.6900124533001244</v>
      </c>
      <c r="CQ881" s="103"/>
      <c r="CR881" s="320">
        <f t="shared" ref="CR881:CT883" si="1535">+CR1048/CR825</f>
        <v>1.1555172413793104</v>
      </c>
      <c r="CS881" s="320">
        <f t="shared" si="1535"/>
        <v>0.91939393939393943</v>
      </c>
      <c r="CT881" s="320">
        <f t="shared" si="1535"/>
        <v>1.0066242038216562</v>
      </c>
      <c r="CV881" s="320">
        <f t="shared" ref="CV881:CX881" si="1536">+CV1048/CV825</f>
        <v>0.84539078156312619</v>
      </c>
      <c r="CW881" s="320">
        <f t="shared" si="1536"/>
        <v>1.990909090909091</v>
      </c>
      <c r="CX881" s="320">
        <f t="shared" si="1536"/>
        <v>1.0522988505747124</v>
      </c>
      <c r="CZ881" s="320">
        <f t="shared" ref="CZ881:DB881" si="1537">+CZ1048/CZ825</f>
        <v>0.90648464163822529</v>
      </c>
      <c r="DA881" s="320">
        <f t="shared" si="1537"/>
        <v>0.66333333333333333</v>
      </c>
      <c r="DB881" s="320">
        <f t="shared" si="1537"/>
        <v>0.74853080568720376</v>
      </c>
      <c r="DD881" s="320">
        <f t="shared" ref="DD881:DF881" si="1538">+DD1048/DD825</f>
        <v>1.0894977168949771</v>
      </c>
      <c r="DE881" s="320">
        <f t="shared" si="1538"/>
        <v>1.7656896551724137</v>
      </c>
      <c r="DF881" s="320">
        <f t="shared" si="1538"/>
        <v>1.4373392461197338</v>
      </c>
      <c r="DH881" s="320">
        <f t="shared" ref="DH881" si="1539">+DH1048/DH825</f>
        <v>1.5861194029850743</v>
      </c>
      <c r="DI881" s="320">
        <f t="shared" ref="DI881:DJ881" si="1540">+DI1048/DI825</f>
        <v>1.4252330799523769</v>
      </c>
      <c r="DJ881" s="320">
        <f t="shared" si="1540"/>
        <v>1.4976301694175327</v>
      </c>
      <c r="DL881" s="320">
        <f t="shared" ref="DL881:DN881" si="1541">+DL1048/DL825</f>
        <v>1.2816655809906741</v>
      </c>
      <c r="DM881" s="320">
        <f t="shared" si="1541"/>
        <v>0.98034657978627748</v>
      </c>
      <c r="DN881" s="320">
        <f t="shared" si="1541"/>
        <v>1.0961078298904681</v>
      </c>
      <c r="DP881" s="320">
        <f t="shared" ref="DP881:DR881" si="1542">+DP1048/DP825</f>
        <v>1.2293448797644657</v>
      </c>
      <c r="DQ881" s="320">
        <f t="shared" si="1542"/>
        <v>0.93249176446897764</v>
      </c>
      <c r="DR881" s="320">
        <f t="shared" si="1542"/>
        <v>1.0468153740192601</v>
      </c>
      <c r="DU881" s="876"/>
      <c r="DV881" s="876"/>
      <c r="DW881" s="876"/>
      <c r="DZ881" s="876"/>
      <c r="EA881" s="876"/>
      <c r="ED881" s="876"/>
      <c r="EE881" s="876"/>
    </row>
    <row r="882" spans="1:273">
      <c r="A882" s="102" t="s">
        <v>1306</v>
      </c>
      <c r="AR882" s="685"/>
      <c r="AS882" s="685"/>
      <c r="AT882" s="730"/>
      <c r="AU882" s="730"/>
      <c r="AV882" s="685"/>
      <c r="AW882" s="685"/>
      <c r="AX882" s="730"/>
      <c r="AY882" s="730"/>
      <c r="AZ882" s="685"/>
      <c r="BA882" s="876"/>
      <c r="BD882" s="711"/>
      <c r="BE882" s="885"/>
      <c r="BF882" s="711"/>
      <c r="BH882" s="685"/>
      <c r="BI882" s="876"/>
      <c r="BL882" s="876"/>
      <c r="BM882" s="876"/>
      <c r="BP882" s="876"/>
      <c r="BQ882" s="876"/>
      <c r="BT882" s="876"/>
      <c r="BU882" s="876"/>
      <c r="BX882" s="320">
        <f t="shared" si="1530"/>
        <v>0.50805239179954431</v>
      </c>
      <c r="BY882" s="320">
        <f t="shared" si="1530"/>
        <v>0.58288395904436852</v>
      </c>
      <c r="BZ882" s="320">
        <f t="shared" si="1530"/>
        <v>0.53800546448087427</v>
      </c>
      <c r="CB882" s="320">
        <f t="shared" si="1531"/>
        <v>0.42279715762273901</v>
      </c>
      <c r="CC882" s="320">
        <f t="shared" si="1531"/>
        <v>-3.5280357142857151</v>
      </c>
      <c r="CD882" s="320">
        <f t="shared" si="1531"/>
        <v>0.57108579088471845</v>
      </c>
      <c r="CE882" s="103"/>
      <c r="CF882" s="320">
        <f t="shared" si="1532"/>
        <v>0.68562691131498488</v>
      </c>
      <c r="CG882" s="320">
        <f t="shared" si="1532"/>
        <v>0.48925143953934735</v>
      </c>
      <c r="CH882" s="320">
        <f t="shared" si="1532"/>
        <v>0.56497641509433949</v>
      </c>
      <c r="CI882" s="103"/>
      <c r="CJ882" s="320">
        <f t="shared" si="1533"/>
        <v>0.43624036979969183</v>
      </c>
      <c r="CK882" s="320">
        <f t="shared" si="1533"/>
        <v>0.63261083743842372</v>
      </c>
      <c r="CL882" s="320">
        <f t="shared" si="1533"/>
        <v>0.51181042654028441</v>
      </c>
      <c r="CM882" s="103"/>
      <c r="CN882" s="320">
        <f t="shared" si="1534"/>
        <v>0.35984280532043533</v>
      </c>
      <c r="CO882" s="320">
        <f t="shared" si="1534"/>
        <v>0.5199180327868852</v>
      </c>
      <c r="CP882" s="320">
        <f t="shared" si="1534"/>
        <v>0.42779401530967293</v>
      </c>
      <c r="CQ882" s="103"/>
      <c r="CR882" s="320">
        <f t="shared" si="1535"/>
        <v>0.35477419354838702</v>
      </c>
      <c r="CS882" s="320">
        <f t="shared" si="1535"/>
        <v>0.37373274780426602</v>
      </c>
      <c r="CT882" s="320">
        <f t="shared" si="1535"/>
        <v>0.47373080859774824</v>
      </c>
      <c r="CV882" s="320">
        <f t="shared" ref="CV882:CX882" si="1543">+CV1049/CV826</f>
        <v>0.39753028890959924</v>
      </c>
      <c r="CW882" s="320">
        <f t="shared" si="1543"/>
        <v>0.31945626477541372</v>
      </c>
      <c r="CX882" s="320">
        <f t="shared" si="1543"/>
        <v>0.36311099531005725</v>
      </c>
      <c r="CZ882" s="320">
        <f t="shared" ref="CZ882:DB882" si="1544">+CZ1049/CZ826</f>
        <v>0.95503225806451597</v>
      </c>
      <c r="DA882" s="320">
        <f t="shared" si="1544"/>
        <v>0.69737089201877933</v>
      </c>
      <c r="DB882" s="320">
        <f t="shared" si="1544"/>
        <v>0.7815384615384614</v>
      </c>
      <c r="DD882" s="320">
        <f t="shared" ref="DD882:DF882" si="1545">+DD1049/DD826</f>
        <v>0.77361552028218694</v>
      </c>
      <c r="DE882" s="320">
        <f t="shared" si="1545"/>
        <v>0.72311688311688294</v>
      </c>
      <c r="DF882" s="320">
        <f t="shared" si="1545"/>
        <v>0.74232059020791397</v>
      </c>
      <c r="DH882" s="320">
        <f t="shared" ref="DH882" si="1546">+DH1049/DH826</f>
        <v>0.71868578255675031</v>
      </c>
      <c r="DI882" s="320">
        <f t="shared" ref="DI882:DJ882" si="1547">+DI1049/DI826</f>
        <v>0.52913546288288005</v>
      </c>
      <c r="DJ882" s="320">
        <f t="shared" si="1547"/>
        <v>0.603728478250253</v>
      </c>
      <c r="DL882" s="320">
        <f t="shared" ref="DL882:DN882" si="1548">+DL1049/DL826</f>
        <v>0.59625612968264063</v>
      </c>
      <c r="DM882" s="320">
        <f t="shared" si="1548"/>
        <v>0.56406023578312037</v>
      </c>
      <c r="DN882" s="320">
        <f t="shared" si="1548"/>
        <v>0.579972932281688</v>
      </c>
      <c r="DP882" s="320">
        <f t="shared" ref="DP882:DR882" si="1549">+DP1049/DP826</f>
        <v>0.5864432023193008</v>
      </c>
      <c r="DQ882" s="320">
        <f t="shared" si="1549"/>
        <v>0.55262188815884894</v>
      </c>
      <c r="DR882" s="320">
        <f t="shared" si="1549"/>
        <v>0.56925503729242621</v>
      </c>
      <c r="DU882" s="876"/>
      <c r="DV882" s="876"/>
      <c r="DW882" s="876"/>
      <c r="DZ882" s="876"/>
      <c r="EA882" s="876"/>
      <c r="ED882" s="876"/>
      <c r="EE882" s="876"/>
    </row>
    <row r="883" spans="1:273">
      <c r="A883" s="102" t="s">
        <v>1024</v>
      </c>
      <c r="AR883" s="685"/>
      <c r="AS883" s="685"/>
      <c r="AT883" s="730"/>
      <c r="AU883" s="730"/>
      <c r="AV883" s="685"/>
      <c r="AW883" s="685"/>
      <c r="AX883" s="730"/>
      <c r="AY883" s="730"/>
      <c r="AZ883" s="685"/>
      <c r="BA883" s="876"/>
      <c r="BD883" s="711"/>
      <c r="BE883" s="885"/>
      <c r="BF883" s="711"/>
      <c r="BH883" s="685"/>
      <c r="BI883" s="876"/>
      <c r="BL883" s="876"/>
      <c r="BM883" s="876"/>
      <c r="BP883" s="876"/>
      <c r="BQ883" s="876"/>
      <c r="BT883" s="876"/>
      <c r="BU883" s="876"/>
      <c r="BX883" s="320">
        <f t="shared" si="1530"/>
        <v>1.9759523809523811</v>
      </c>
      <c r="BY883" s="320">
        <f t="shared" si="1530"/>
        <v>-2.9466438356164377</v>
      </c>
      <c r="BZ883" s="320">
        <f t="shared" si="1530"/>
        <v>13.205625000000001</v>
      </c>
      <c r="CB883" s="320">
        <f t="shared" si="1531"/>
        <v>-5.4220588235294107</v>
      </c>
      <c r="CC883" s="320">
        <f t="shared" si="1531"/>
        <v>4.2745454545454526</v>
      </c>
      <c r="CD883" s="320">
        <f t="shared" si="1531"/>
        <v>19.973809523809514</v>
      </c>
      <c r="CE883" s="103"/>
      <c r="CF883" s="320">
        <f t="shared" si="1532"/>
        <v>11.482222222222225</v>
      </c>
      <c r="CG883" s="320">
        <f t="shared" si="1532"/>
        <v>-6.1827692307692299</v>
      </c>
      <c r="CH883" s="320">
        <f t="shared" si="1532"/>
        <v>-28.111724137931031</v>
      </c>
      <c r="CI883" s="103"/>
      <c r="CJ883" s="320">
        <f t="shared" si="1533"/>
        <v>28.194117647058821</v>
      </c>
      <c r="CK883" s="320">
        <f t="shared" si="1533"/>
        <v>-1.7220858895705518</v>
      </c>
      <c r="CL883" s="320">
        <f t="shared" si="1533"/>
        <v>-5.2054794520547949</v>
      </c>
      <c r="CM883" s="103"/>
      <c r="CN883" s="320">
        <f t="shared" si="1534"/>
        <v>-4.4868421052631575</v>
      </c>
      <c r="CO883" s="320">
        <f t="shared" si="1534"/>
        <v>-60.05</v>
      </c>
      <c r="CP883" s="320">
        <f t="shared" si="1534"/>
        <v>-9.7785714285714302</v>
      </c>
      <c r="CQ883" s="103"/>
      <c r="CR883" s="320">
        <f t="shared" si="1535"/>
        <v>0.9991991341991342</v>
      </c>
      <c r="CS883" s="320">
        <f t="shared" si="1535"/>
        <v>6.2826530612244902</v>
      </c>
      <c r="CT883" s="320">
        <f t="shared" si="1535"/>
        <v>1.9238035714285713</v>
      </c>
      <c r="CV883" s="320">
        <f t="shared" ref="CV883:CX883" si="1550">+CV1050/CV827</f>
        <v>-211.9</v>
      </c>
      <c r="CW883" s="320">
        <f t="shared" si="1550"/>
        <v>12.071153846153845</v>
      </c>
      <c r="CX883" s="320">
        <f t="shared" si="1550"/>
        <v>18.723762376237623</v>
      </c>
      <c r="CZ883" s="320">
        <f t="shared" ref="CZ883:DB883" si="1551">+CZ1050/CZ827</f>
        <v>11.348181818181816</v>
      </c>
      <c r="DA883" s="320">
        <f t="shared" si="1551"/>
        <v>23.562121212121212</v>
      </c>
      <c r="DB883" s="320">
        <f t="shared" si="1551"/>
        <v>15.928409090909089</v>
      </c>
      <c r="DD883" s="320">
        <f t="shared" ref="DD883:DF883" si="1552">+DD1050/DD827</f>
        <v>4.8851327433628331</v>
      </c>
      <c r="DE883" s="320">
        <f t="shared" si="1552"/>
        <v>37.054117647058831</v>
      </c>
      <c r="DF883" s="320">
        <f t="shared" si="1552"/>
        <v>9.0918461538461539</v>
      </c>
      <c r="DH883" s="320">
        <f t="shared" ref="DH883" si="1553">+DH1050/DH827</f>
        <v>128.34750000000003</v>
      </c>
      <c r="DI883" s="320">
        <f t="shared" ref="DI883:DJ883" si="1554">+DI1050/DI827</f>
        <v>29.471746910950149</v>
      </c>
      <c r="DJ883" s="320">
        <f t="shared" si="1554"/>
        <v>43.869381143065198</v>
      </c>
      <c r="DL883" s="320">
        <f t="shared" ref="DL883:DN883" si="1555">+DL1050/DL827</f>
        <v>97.937033035976782</v>
      </c>
      <c r="DM883" s="320">
        <f t="shared" si="1555"/>
        <v>27.832155511286274</v>
      </c>
      <c r="DN883" s="320">
        <f t="shared" si="1555"/>
        <v>39.564216402216495</v>
      </c>
      <c r="DP883" s="320">
        <f t="shared" ref="DP883:DR883" si="1556">+DP1050/DP827</f>
        <v>80.417850042122254</v>
      </c>
      <c r="DQ883" s="320">
        <f t="shared" si="1556"/>
        <v>26.280857373997229</v>
      </c>
      <c r="DR883" s="320">
        <f t="shared" si="1556"/>
        <v>36.398320327953101</v>
      </c>
      <c r="DU883" s="876"/>
      <c r="DV883" s="876"/>
      <c r="DW883" s="876"/>
      <c r="DZ883" s="876"/>
      <c r="EA883" s="876"/>
      <c r="ED883" s="876"/>
      <c r="EE883" s="876"/>
    </row>
    <row r="884" spans="1:273">
      <c r="A884" s="102" t="s">
        <v>690</v>
      </c>
      <c r="AR884" s="685"/>
      <c r="AS884" s="685"/>
      <c r="AT884" s="730"/>
      <c r="AU884" s="730"/>
      <c r="AV884" s="685"/>
      <c r="AW884" s="685"/>
      <c r="AX884" s="730"/>
      <c r="AY884" s="730"/>
      <c r="AZ884" s="685"/>
      <c r="BA884" s="876"/>
      <c r="BD884" s="711"/>
      <c r="BE884" s="885"/>
      <c r="BF884" s="711"/>
      <c r="BH884" s="685"/>
      <c r="BI884" s="876"/>
      <c r="BL884" s="876"/>
      <c r="BM884" s="876"/>
      <c r="BP884" s="876"/>
      <c r="BQ884" s="876"/>
      <c r="BT884" s="876"/>
      <c r="BU884" s="876"/>
      <c r="BX884" s="320">
        <f t="shared" si="1530"/>
        <v>-13.219999999999999</v>
      </c>
      <c r="BY884" s="320">
        <f t="shared" si="1530"/>
        <v>1.414545454545455</v>
      </c>
      <c r="BZ884" s="320">
        <f t="shared" si="1530"/>
        <v>2.6140983606557384</v>
      </c>
      <c r="CB884" s="320">
        <f t="shared" si="1531"/>
        <v>0.64604026845637597</v>
      </c>
      <c r="CC884" s="320">
        <f t="shared" si="1531"/>
        <v>0.30076923076923079</v>
      </c>
      <c r="CD884" s="320">
        <f t="shared" si="1531"/>
        <v>0.41236442516268978</v>
      </c>
      <c r="CE884" s="103"/>
      <c r="CF884" s="320"/>
      <c r="CG884" s="320"/>
      <c r="CH884" s="320"/>
      <c r="CI884" s="103"/>
      <c r="CJ884" s="320"/>
      <c r="CK884" s="320"/>
      <c r="CL884" s="320"/>
      <c r="CM884" s="103"/>
      <c r="CN884" s="320"/>
      <c r="CO884" s="320"/>
      <c r="CP884" s="320"/>
      <c r="CQ884" s="103"/>
      <c r="CR884" s="320"/>
      <c r="CS884" s="320"/>
      <c r="CT884" s="320"/>
      <c r="CV884" s="320"/>
      <c r="CW884" s="320"/>
      <c r="CX884" s="320"/>
      <c r="CZ884" s="320"/>
      <c r="DA884" s="320"/>
      <c r="DB884" s="320"/>
      <c r="DD884" s="320"/>
      <c r="DE884" s="320"/>
      <c r="DF884" s="320"/>
      <c r="DH884" s="320"/>
      <c r="DI884" s="320"/>
      <c r="DJ884" s="320"/>
      <c r="DL884" s="320"/>
      <c r="DM884" s="320"/>
      <c r="DN884" s="320"/>
      <c r="DP884" s="320"/>
      <c r="DQ884" s="320"/>
      <c r="DR884" s="320"/>
      <c r="DU884" s="876"/>
      <c r="DV884" s="876"/>
      <c r="DW884" s="876"/>
      <c r="DZ884" s="876"/>
      <c r="EA884" s="876"/>
      <c r="ED884" s="876"/>
      <c r="EE884" s="876"/>
    </row>
    <row r="885" spans="1:273">
      <c r="A885" s="102" t="s">
        <v>689</v>
      </c>
      <c r="AR885" s="685"/>
      <c r="AS885" s="685"/>
      <c r="AT885" s="730"/>
      <c r="AU885" s="730"/>
      <c r="AV885" s="685"/>
      <c r="AW885" s="685"/>
      <c r="AX885" s="730"/>
      <c r="AY885" s="730"/>
      <c r="AZ885" s="685"/>
      <c r="BA885" s="876"/>
      <c r="BD885" s="711"/>
      <c r="BE885" s="885"/>
      <c r="BF885" s="711"/>
      <c r="BH885" s="685"/>
      <c r="BI885" s="876"/>
      <c r="BL885" s="876"/>
      <c r="BM885" s="876"/>
      <c r="BP885" s="876"/>
      <c r="BQ885" s="876"/>
      <c r="BT885" s="876"/>
      <c r="BU885" s="876"/>
      <c r="BX885" s="320">
        <f t="shared" si="1530"/>
        <v>8.9048780487804902E-2</v>
      </c>
      <c r="BY885" s="320">
        <f t="shared" si="1530"/>
        <v>-0.59757142857142753</v>
      </c>
      <c r="BZ885" s="320">
        <f t="shared" si="1530"/>
        <v>0.13048275862068937</v>
      </c>
      <c r="CB885" s="320">
        <f t="shared" si="1531"/>
        <v>-0.84488000000000052</v>
      </c>
      <c r="CC885" s="320">
        <f t="shared" si="1531"/>
        <v>-0.24761290322580606</v>
      </c>
      <c r="CD885" s="320">
        <f t="shared" si="1531"/>
        <v>-0.51424999999999998</v>
      </c>
      <c r="CE885" s="103"/>
      <c r="CF885" s="320">
        <f>+CF1052/CF829</f>
        <v>-1.1871428571428564</v>
      </c>
      <c r="CG885" s="320">
        <f>+CG1052/CG829</f>
        <v>-1.5296969696969693</v>
      </c>
      <c r="CH885" s="320">
        <f>+CH1052/CH829</f>
        <v>-1.372459016393442</v>
      </c>
      <c r="CI885" s="103"/>
      <c r="CJ885" s="320">
        <f>+CJ1052/CJ829</f>
        <v>-1.2340476190476193</v>
      </c>
      <c r="CK885" s="320">
        <f>+CK1052/CK829</f>
        <v>-0.62938775510204059</v>
      </c>
      <c r="CL885" s="320">
        <f>+CL1052/CL829</f>
        <v>-0.81078571428571422</v>
      </c>
      <c r="CM885" s="103"/>
      <c r="CN885" s="320">
        <f>+CN1052/CN829</f>
        <v>-0.63548387096774106</v>
      </c>
      <c r="CO885" s="320">
        <f>+CO1052/CO829</f>
        <v>-3.0139130434782593</v>
      </c>
      <c r="CP885" s="320">
        <f>+CP1052/CP829</f>
        <v>-1.2790588235294114</v>
      </c>
      <c r="CQ885" s="103"/>
      <c r="CR885" s="320">
        <f>+CR1052/CR829</f>
        <v>-1.6163333333333327</v>
      </c>
      <c r="CS885" s="320">
        <f>+CS1052/CS829</f>
        <v>1.1355555555555554</v>
      </c>
      <c r="CT885" s="320">
        <f>+CT1052/CT829</f>
        <v>3.6372727272727281</v>
      </c>
      <c r="CV885" s="320">
        <f t="shared" ref="CV885:CX885" si="1557">+CV1052/CV829</f>
        <v>-3.6145454545454538</v>
      </c>
      <c r="CW885" s="320">
        <f t="shared" si="1557"/>
        <v>-4.0351999999999979</v>
      </c>
      <c r="CX885" s="320">
        <f t="shared" si="1557"/>
        <v>-3.8382978723404251</v>
      </c>
      <c r="CZ885" s="320">
        <f t="shared" ref="CZ885:DB885" si="1558">+CZ1052/CZ829</f>
        <v>-2.1334782608695648</v>
      </c>
      <c r="DA885" s="320">
        <f t="shared" si="1558"/>
        <v>1.6875</v>
      </c>
      <c r="DB885" s="320">
        <f t="shared" si="1558"/>
        <v>11.452222222222215</v>
      </c>
      <c r="DD885" s="320">
        <f t="shared" ref="DD885:DF885" si="1559">+DD1052/DD829</f>
        <v>-1.8148717948717956</v>
      </c>
      <c r="DE885" s="320">
        <f t="shared" si="1559"/>
        <v>-2.5777083333333337</v>
      </c>
      <c r="DF885" s="320">
        <f t="shared" si="1559"/>
        <v>-2.2357471264367814</v>
      </c>
      <c r="DH885" s="320">
        <f t="shared" ref="DH885" si="1560">+DH1052/DH829</f>
        <v>-6.0835714285714291</v>
      </c>
      <c r="DI885" s="320">
        <f t="shared" ref="DI885:DJ885" si="1561">+DI1052/DI829</f>
        <v>-3.4421973973401885</v>
      </c>
      <c r="DJ885" s="320">
        <f t="shared" si="1561"/>
        <v>-4.61614141122074</v>
      </c>
      <c r="DL885" s="320">
        <f t="shared" ref="DL885:DN885" si="1562">+DL1052/DL829</f>
        <v>-4.2341573753941866</v>
      </c>
      <c r="DM885" s="320">
        <f t="shared" si="1562"/>
        <v>-3.5539364782895704</v>
      </c>
      <c r="DN885" s="320">
        <f t="shared" si="1562"/>
        <v>-3.8702941407980811</v>
      </c>
      <c r="DP885" s="320">
        <f t="shared" ref="DP885:DR885" si="1563">+DP1052/DP829</f>
        <v>-4.9147321986156367</v>
      </c>
      <c r="DQ885" s="320">
        <f t="shared" si="1563"/>
        <v>-4.0977118948123099</v>
      </c>
      <c r="DR885" s="320">
        <f t="shared" si="1563"/>
        <v>-4.4778474148622376</v>
      </c>
      <c r="DU885" s="876"/>
      <c r="DV885" s="876"/>
      <c r="DW885" s="876"/>
      <c r="DZ885" s="876"/>
      <c r="EA885" s="876"/>
      <c r="ED885" s="876"/>
      <c r="EE885" s="876"/>
    </row>
    <row r="886" spans="1:273">
      <c r="A886" s="102" t="s">
        <v>688</v>
      </c>
      <c r="AR886" s="685"/>
      <c r="AS886" s="685"/>
      <c r="AT886" s="730"/>
      <c r="AU886" s="730"/>
      <c r="AV886" s="685"/>
      <c r="AW886" s="685"/>
      <c r="AX886" s="730"/>
      <c r="AY886" s="730"/>
      <c r="AZ886" s="685"/>
      <c r="BA886" s="876"/>
      <c r="BD886" s="711"/>
      <c r="BE886" s="885"/>
      <c r="BF886" s="711"/>
      <c r="BH886" s="685"/>
      <c r="BI886" s="876"/>
      <c r="BL886" s="876"/>
      <c r="BM886" s="876"/>
      <c r="BP886" s="876"/>
      <c r="BQ886" s="876"/>
      <c r="BT886" s="876"/>
      <c r="BU886" s="876"/>
      <c r="BX886" s="320"/>
      <c r="BY886" s="320"/>
      <c r="BZ886" s="320"/>
      <c r="CB886" s="320"/>
      <c r="CC886" s="320"/>
      <c r="CD886" s="320"/>
      <c r="CE886" s="103"/>
      <c r="CF886" s="320"/>
      <c r="CG886" s="320"/>
      <c r="CH886" s="320"/>
      <c r="CI886" s="103"/>
      <c r="CJ886" s="320"/>
      <c r="CK886" s="320"/>
      <c r="CL886" s="320"/>
      <c r="CM886" s="103"/>
      <c r="CN886" s="320"/>
      <c r="CO886" s="320"/>
      <c r="CP886" s="320"/>
      <c r="CQ886" s="103"/>
      <c r="CR886" s="320"/>
      <c r="CS886" s="320"/>
      <c r="CT886" s="320"/>
      <c r="CV886" s="320"/>
      <c r="CW886" s="320"/>
      <c r="CX886" s="320"/>
      <c r="CZ886" s="320"/>
      <c r="DA886" s="320"/>
      <c r="DB886" s="320"/>
      <c r="DD886" s="320"/>
      <c r="DE886" s="320"/>
      <c r="DF886" s="320"/>
      <c r="DH886" s="320"/>
      <c r="DI886" s="320"/>
      <c r="DJ886" s="320"/>
      <c r="DL886" s="320"/>
      <c r="DM886" s="320"/>
      <c r="DN886" s="320"/>
      <c r="DP886" s="320"/>
      <c r="DQ886" s="320"/>
      <c r="DR886" s="320"/>
      <c r="DU886" s="876"/>
      <c r="DV886" s="876"/>
      <c r="DW886" s="876"/>
      <c r="DZ886" s="876"/>
      <c r="EA886" s="876"/>
      <c r="ED886" s="876"/>
      <c r="EE886" s="876"/>
    </row>
    <row r="887" spans="1:273" s="1682" customFormat="1" ht="20.399999999999999">
      <c r="A887" s="1658" t="s">
        <v>1313</v>
      </c>
      <c r="B887" s="1681"/>
      <c r="AN887" s="1681"/>
      <c r="AO887" s="1681"/>
      <c r="AP887" s="1681"/>
      <c r="AQ887" s="1681"/>
      <c r="AR887" s="1683"/>
      <c r="AS887" s="1683"/>
      <c r="AT887" s="1681"/>
      <c r="AU887" s="1681"/>
      <c r="AV887" s="1683"/>
      <c r="AW887" s="1683"/>
      <c r="AX887" s="1681"/>
      <c r="AY887" s="1681"/>
      <c r="AZ887" s="1683"/>
      <c r="BA887" s="1683"/>
      <c r="BB887" s="1681"/>
      <c r="BC887" s="1681"/>
      <c r="BD887" s="1684"/>
      <c r="BE887" s="1684"/>
      <c r="BF887" s="1684"/>
      <c r="BG887" s="1681"/>
      <c r="BH887" s="1683"/>
      <c r="BI887" s="1683"/>
      <c r="BJ887" s="1681"/>
      <c r="BK887" s="1681"/>
      <c r="BL887" s="1683"/>
      <c r="BM887" s="1683"/>
      <c r="BN887" s="1681"/>
      <c r="BO887" s="1681"/>
      <c r="BP887" s="1683"/>
      <c r="BQ887" s="1683"/>
      <c r="BR887" s="1681"/>
      <c r="BS887" s="1681"/>
      <c r="BT887" s="1683"/>
      <c r="BU887" s="1683"/>
      <c r="BV887" s="1681"/>
      <c r="BW887" s="1681"/>
      <c r="BX887" s="1685">
        <f t="shared" ref="BX887:BZ888" si="1564">+BX1054/BX831</f>
        <v>4.7272837215112586</v>
      </c>
      <c r="BY887" s="1685">
        <f t="shared" si="1564"/>
        <v>-0.23096507534585164</v>
      </c>
      <c r="BZ887" s="1685">
        <f t="shared" si="1564"/>
        <v>1.4872532277212107</v>
      </c>
      <c r="CA887" s="1681"/>
      <c r="CB887" s="1685">
        <f t="shared" ref="CB887:CD888" si="1565">+CB1054/CB831</f>
        <v>-0.73399830397198684</v>
      </c>
      <c r="CC887" s="1685">
        <f t="shared" si="1565"/>
        <v>1.0793863315891916</v>
      </c>
      <c r="CD887" s="1685">
        <f t="shared" si="1565"/>
        <v>-2.7263066874400783</v>
      </c>
      <c r="CE887" s="1681"/>
      <c r="CF887" s="1685">
        <f>+CF1054/CF831</f>
        <v>-1.802007992007991</v>
      </c>
      <c r="CG887" s="1685" t="s">
        <v>1265</v>
      </c>
      <c r="CH887" s="1685">
        <f>+CH1054/CH831</f>
        <v>-2.6295577075546466</v>
      </c>
      <c r="CI887" s="1681"/>
      <c r="CJ887" s="1685">
        <f t="shared" ref="CJ887:CL888" si="1566">+CJ1054/CJ831</f>
        <v>9.2592494929006079</v>
      </c>
      <c r="CK887" s="1685">
        <f t="shared" si="1566"/>
        <v>-0.37670233948408904</v>
      </c>
      <c r="CL887" s="1685">
        <f t="shared" si="1566"/>
        <v>-2.157603751319793</v>
      </c>
      <c r="CM887" s="1681"/>
      <c r="CN887" s="1685">
        <f t="shared" ref="CN887:CP888" si="1567">+CN1054/CN831</f>
        <v>-7.3710063445368945</v>
      </c>
      <c r="CO887" s="1685">
        <f t="shared" si="1567"/>
        <v>-0.14402052998505699</v>
      </c>
      <c r="CP887" s="1685">
        <f t="shared" si="1567"/>
        <v>6.1487727445245666</v>
      </c>
      <c r="CQ887" s="1681"/>
      <c r="CR887" s="1685">
        <f t="shared" ref="CR887:CT888" si="1568">+CR1054/CR831</f>
        <v>-21.243200240619601</v>
      </c>
      <c r="CS887" s="1685">
        <f t="shared" si="1568"/>
        <v>2.962936876055922</v>
      </c>
      <c r="CT887" s="1685">
        <f t="shared" si="1568"/>
        <v>160.33800023717311</v>
      </c>
      <c r="CU887" s="1681"/>
      <c r="CV887" s="1685">
        <f t="shared" ref="CV887:CX887" si="1569">+CV1054/CV831</f>
        <v>-4.7147975791975982</v>
      </c>
      <c r="CW887" s="1685">
        <f t="shared" si="1569"/>
        <v>-13.72723404255324</v>
      </c>
      <c r="CX887" s="1685">
        <f t="shared" si="1569"/>
        <v>-7.1579660293706793</v>
      </c>
      <c r="CY887" s="1681"/>
      <c r="CZ887" s="1685">
        <f t="shared" ref="CZ887:DB887" si="1570">+CZ1054/CZ831</f>
        <v>5.4640170640997665</v>
      </c>
      <c r="DA887" s="1685">
        <f t="shared" si="1570"/>
        <v>0.81432890545737879</v>
      </c>
      <c r="DB887" s="1685">
        <f t="shared" si="1570"/>
        <v>2.6218670412788319</v>
      </c>
      <c r="DC887" s="1681"/>
      <c r="DD887" s="1685">
        <f t="shared" ref="DD887:DF887" si="1571">+DD1054/DD831</f>
        <v>1.4121653703273711</v>
      </c>
      <c r="DE887" s="1685">
        <f t="shared" si="1571"/>
        <v>0.34248934639575918</v>
      </c>
      <c r="DF887" s="1685">
        <f t="shared" si="1571"/>
        <v>-0.30516700318727413</v>
      </c>
      <c r="DG887" s="1681"/>
      <c r="DH887" s="1685">
        <f t="shared" ref="DH887" si="1572">+DH1054/DH831</f>
        <v>-1.1635932549310632</v>
      </c>
      <c r="DI887" s="1685">
        <f t="shared" ref="DI887:DJ887" si="1573">+DI1054/DI831</f>
        <v>-2.9514504260965473</v>
      </c>
      <c r="DJ887" s="1685">
        <f t="shared" si="1573"/>
        <v>-1.5602866417804457</v>
      </c>
      <c r="DK887" s="1681"/>
      <c r="DL887" s="1685">
        <f t="shared" ref="DL887:DN887" si="1574">+DL1054/DL831</f>
        <v>-6.0635883907736163</v>
      </c>
      <c r="DM887" s="1685">
        <f t="shared" si="1574"/>
        <v>-3.4287091660029438</v>
      </c>
      <c r="DN887" s="1685">
        <f t="shared" si="1574"/>
        <v>-4.779929281269955</v>
      </c>
      <c r="DO887" s="1681"/>
      <c r="DP887" s="1685">
        <f t="shared" ref="DP887:DR887" si="1575">+DP1054/DP831</f>
        <v>-14.860347752124747</v>
      </c>
      <c r="DQ887" s="1685">
        <f t="shared" si="1575"/>
        <v>-7.9592185732118965</v>
      </c>
      <c r="DR887" s="1685">
        <f t="shared" si="1575"/>
        <v>-11.22817450006535</v>
      </c>
      <c r="DS887" s="1681"/>
      <c r="DT887" s="1681"/>
      <c r="DU887" s="1683"/>
      <c r="DV887" s="1683"/>
      <c r="DW887" s="1683"/>
      <c r="DX887" s="1681"/>
      <c r="DY887" s="1681"/>
      <c r="DZ887" s="1683"/>
      <c r="EA887" s="1683"/>
      <c r="EB887" s="1681"/>
      <c r="EC887" s="1681"/>
      <c r="ED887" s="1683"/>
      <c r="EE887" s="1683"/>
      <c r="EF887" s="1681"/>
      <c r="EG887" s="1681"/>
      <c r="EH887" s="1681"/>
      <c r="EI887" s="1681"/>
      <c r="EJ887" s="1681"/>
      <c r="EK887" s="1681"/>
      <c r="EL887" s="1681"/>
      <c r="EM887" s="1681"/>
      <c r="EN887" s="1681"/>
      <c r="EO887" s="1681"/>
      <c r="EP887" s="1681"/>
      <c r="JM887"/>
    </row>
    <row r="888" spans="1:273" s="289" customFormat="1">
      <c r="A888" s="814" t="s">
        <v>1327</v>
      </c>
      <c r="B888" s="290"/>
      <c r="AN888" s="290"/>
      <c r="AO888" s="290"/>
      <c r="AP888" s="290"/>
      <c r="AQ888" s="290"/>
      <c r="AR888" s="376"/>
      <c r="AS888" s="376"/>
      <c r="AT888" s="674"/>
      <c r="AU888" s="674"/>
      <c r="AV888" s="376"/>
      <c r="AW888" s="376"/>
      <c r="AX888" s="674"/>
      <c r="AY888" s="674"/>
      <c r="AZ888" s="376"/>
      <c r="BA888" s="1014"/>
      <c r="BB888" s="290"/>
      <c r="BC888" s="290"/>
      <c r="BD888" s="715"/>
      <c r="BE888" s="1352"/>
      <c r="BF888" s="715"/>
      <c r="BG888" s="290"/>
      <c r="BH888" s="376"/>
      <c r="BI888" s="1014"/>
      <c r="BJ888" s="290"/>
      <c r="BK888" s="290"/>
      <c r="BL888" s="1014"/>
      <c r="BM888" s="1014"/>
      <c r="BN888" s="290"/>
      <c r="BO888" s="290"/>
      <c r="BP888" s="1014"/>
      <c r="BQ888" s="1014"/>
      <c r="BR888" s="290"/>
      <c r="BS888" s="290"/>
      <c r="BT888" s="1014"/>
      <c r="BU888" s="1014"/>
      <c r="BV888" s="290"/>
      <c r="BW888" s="290"/>
      <c r="BX888" s="649">
        <f t="shared" si="1564"/>
        <v>1.0109972082222807</v>
      </c>
      <c r="BY888" s="649">
        <f t="shared" si="1564"/>
        <v>1.3770894901259101</v>
      </c>
      <c r="BZ888" s="649">
        <f t="shared" si="1564"/>
        <v>1.1536373489990439</v>
      </c>
      <c r="CA888" s="290"/>
      <c r="CB888" s="649">
        <f t="shared" si="1565"/>
        <v>0.92644435327362162</v>
      </c>
      <c r="CC888" s="649">
        <f t="shared" si="1565"/>
        <v>0.94903568838855945</v>
      </c>
      <c r="CD888" s="649">
        <f t="shared" si="1565"/>
        <v>0.94093347305715203</v>
      </c>
      <c r="CE888" s="290"/>
      <c r="CF888" s="649">
        <f>+CF1055/CF832</f>
        <v>1.2955341210513627</v>
      </c>
      <c r="CG888" s="649">
        <f>+CG1055/CG832</f>
        <v>0.60256669915106142</v>
      </c>
      <c r="CH888" s="649">
        <f>+CH1055/CH832</f>
        <v>0.80009191802974666</v>
      </c>
      <c r="CI888" s="290"/>
      <c r="CJ888" s="649">
        <f t="shared" si="1566"/>
        <v>1.0552289228912426</v>
      </c>
      <c r="CK888" s="649">
        <f t="shared" si="1566"/>
        <v>1.7073248708488982</v>
      </c>
      <c r="CL888" s="649">
        <f t="shared" si="1566"/>
        <v>1.2734399693700242</v>
      </c>
      <c r="CM888" s="290"/>
      <c r="CN888" s="649">
        <f t="shared" si="1567"/>
        <v>1.6243441778388366</v>
      </c>
      <c r="CO888" s="649">
        <f t="shared" si="1567"/>
        <v>0.92706493354398667</v>
      </c>
      <c r="CP888" s="649">
        <f t="shared" si="1567"/>
        <v>1.127446798391244</v>
      </c>
      <c r="CQ888" s="290"/>
      <c r="CR888" s="649">
        <f t="shared" si="1568"/>
        <v>1.3576441563405564</v>
      </c>
      <c r="CS888" s="649">
        <f t="shared" si="1568"/>
        <v>0.78698192191648497</v>
      </c>
      <c r="CT888" s="649">
        <f t="shared" si="1568"/>
        <v>0.96997780458138749</v>
      </c>
      <c r="CU888" s="290"/>
      <c r="CV888" s="649">
        <f t="shared" ref="CV888:CX888" si="1576">+CV1055/CV832</f>
        <v>1.1009685764285897</v>
      </c>
      <c r="CW888" s="649">
        <f t="shared" si="1576"/>
        <v>1.9191862635311687</v>
      </c>
      <c r="CX888" s="649">
        <f t="shared" si="1576"/>
        <v>1.430118822663488</v>
      </c>
      <c r="CY888" s="290"/>
      <c r="CZ888" s="649">
        <f t="shared" ref="CZ888:DB888" si="1577">+CZ1055/CZ832</f>
        <v>2.128538204841032</v>
      </c>
      <c r="DA888" s="649">
        <f t="shared" si="1577"/>
        <v>1.2876568190695314</v>
      </c>
      <c r="DB888" s="649">
        <f t="shared" si="1577"/>
        <v>1.5728171887449969</v>
      </c>
      <c r="DC888" s="290"/>
      <c r="DD888" s="649">
        <f t="shared" ref="DD888:DF888" si="1578">+DD1055/DD832</f>
        <v>1.4996682144157774</v>
      </c>
      <c r="DE888" s="649">
        <f t="shared" ca="1" si="1578"/>
        <v>2.1169058927819813</v>
      </c>
      <c r="DF888" s="649">
        <f t="shared" ca="1" si="1578"/>
        <v>1.7791868737378458</v>
      </c>
      <c r="DG888" s="290"/>
      <c r="DH888" s="649">
        <f t="shared" ref="DH888" si="1579">+DH1055/DH832</f>
        <v>2.2520503682915831</v>
      </c>
      <c r="DI888" s="649">
        <f t="shared" ref="DI888:DJ888" si="1580">+DI1055/DI832</f>
        <v>1.3772814835633627</v>
      </c>
      <c r="DJ888" s="649">
        <f t="shared" si="1580"/>
        <v>1.6932903315647083</v>
      </c>
      <c r="DK888" s="290"/>
      <c r="DL888" s="649">
        <f t="shared" ref="DL888:DN888" si="1581">+DL1055/DL832</f>
        <v>2.1611395972771219</v>
      </c>
      <c r="DM888" s="649">
        <f t="shared" si="1581"/>
        <v>1.7447023895034544</v>
      </c>
      <c r="DN888" s="649">
        <f t="shared" si="1581"/>
        <v>1.9306240398423038</v>
      </c>
      <c r="DO888" s="290"/>
      <c r="DP888" s="649">
        <f t="shared" ref="DP888:DR888" si="1582">+DP1055/DP832</f>
        <v>2.0510263086538418</v>
      </c>
      <c r="DQ888" s="649">
        <f t="shared" si="1582"/>
        <v>1.6780680652475735</v>
      </c>
      <c r="DR888" s="649">
        <f t="shared" si="1582"/>
        <v>1.8451289536014261</v>
      </c>
      <c r="DS888" s="290"/>
      <c r="DT888" s="290"/>
      <c r="DU888" s="1014"/>
      <c r="DV888" s="1014"/>
      <c r="DW888" s="1014"/>
      <c r="DX888" s="290"/>
      <c r="DY888" s="290"/>
      <c r="DZ888" s="1014"/>
      <c r="EA888" s="1014"/>
      <c r="EB888" s="290"/>
      <c r="EC888" s="290"/>
      <c r="ED888" s="1014"/>
      <c r="EE888" s="1014"/>
      <c r="EF888" s="290"/>
      <c r="EG888" s="290"/>
      <c r="EH888" s="290"/>
      <c r="EI888" s="290"/>
      <c r="EJ888" s="290"/>
      <c r="EK888" s="290"/>
      <c r="EL888" s="290"/>
      <c r="EM888" s="290"/>
      <c r="EN888" s="290"/>
      <c r="EO888" s="290"/>
      <c r="EP888" s="290"/>
      <c r="JM888"/>
    </row>
    <row r="889" spans="1:273" s="289" customFormat="1">
      <c r="B889" s="290"/>
      <c r="AN889" s="290"/>
      <c r="AO889" s="290"/>
      <c r="AP889" s="290"/>
      <c r="AQ889" s="290"/>
      <c r="AR889" s="376"/>
      <c r="AS889" s="376"/>
      <c r="AT889" s="674"/>
      <c r="AU889" s="674"/>
      <c r="AV889" s="376"/>
      <c r="AW889" s="376"/>
      <c r="AX889" s="674"/>
      <c r="AY889" s="674"/>
      <c r="AZ889" s="376"/>
      <c r="BA889" s="1014"/>
      <c r="BB889" s="290"/>
      <c r="BC889" s="290"/>
      <c r="BD889" s="715"/>
      <c r="BE889" s="1352"/>
      <c r="BF889" s="715"/>
      <c r="BG889" s="290"/>
      <c r="BH889" s="376"/>
      <c r="BI889" s="1014"/>
      <c r="BJ889" s="290"/>
      <c r="BK889" s="290"/>
      <c r="BL889" s="1014"/>
      <c r="BM889" s="1014"/>
      <c r="BN889" s="290"/>
      <c r="BO889" s="290"/>
      <c r="BP889" s="1014"/>
      <c r="BQ889" s="1014"/>
      <c r="BR889" s="290"/>
      <c r="BS889" s="290"/>
      <c r="BT889" s="1014"/>
      <c r="BU889" s="1014"/>
      <c r="BV889" s="290"/>
      <c r="BW889" s="290"/>
      <c r="BX889" s="649"/>
      <c r="BY889" s="649"/>
      <c r="BZ889" s="649"/>
      <c r="CA889" s="290"/>
      <c r="CB889" s="649"/>
      <c r="CC889" s="649"/>
      <c r="CD889" s="649"/>
      <c r="CE889" s="290"/>
      <c r="CF889" s="649"/>
      <c r="CG889" s="649"/>
      <c r="CH889" s="649"/>
      <c r="CI889" s="290"/>
      <c r="CJ889" s="649"/>
      <c r="CK889" s="649"/>
      <c r="CL889" s="649"/>
      <c r="CM889" s="290"/>
      <c r="CN889" s="649"/>
      <c r="CO889" s="649"/>
      <c r="CP889" s="649"/>
      <c r="CQ889" s="290"/>
      <c r="CR889" s="649"/>
      <c r="CS889" s="649"/>
      <c r="CT889" s="649"/>
      <c r="CU889" s="290"/>
      <c r="CV889" s="649"/>
      <c r="CW889" s="649"/>
      <c r="CX889" s="649"/>
      <c r="CY889" s="290"/>
      <c r="CZ889" s="649"/>
      <c r="DA889" s="649"/>
      <c r="DB889" s="649"/>
      <c r="DC889" s="290"/>
      <c r="DD889" s="649"/>
      <c r="DE889" s="649"/>
      <c r="DF889" s="649"/>
      <c r="DG889" s="290"/>
      <c r="DH889" s="649"/>
      <c r="DI889" s="649"/>
      <c r="DJ889" s="649"/>
      <c r="DK889" s="290"/>
      <c r="DL889" s="649"/>
      <c r="DM889" s="649"/>
      <c r="DN889" s="649"/>
      <c r="DO889" s="290"/>
      <c r="DP889" s="649"/>
      <c r="DQ889" s="649"/>
      <c r="DR889" s="649"/>
      <c r="DS889" s="290"/>
      <c r="DT889" s="290"/>
      <c r="DU889" s="1014"/>
      <c r="DV889" s="1014"/>
      <c r="DW889" s="1014"/>
      <c r="DX889" s="290"/>
      <c r="DY889" s="290"/>
      <c r="DZ889" s="1014"/>
      <c r="EA889" s="1014"/>
      <c r="EB889" s="290"/>
      <c r="EC889" s="290"/>
      <c r="ED889" s="1014"/>
      <c r="EE889" s="1014"/>
      <c r="EF889" s="290"/>
      <c r="EG889" s="290"/>
      <c r="EH889" s="290"/>
      <c r="EI889" s="290"/>
      <c r="EJ889" s="290"/>
      <c r="EK889" s="290"/>
      <c r="EL889" s="290"/>
      <c r="EM889" s="290"/>
      <c r="EN889" s="290"/>
      <c r="EO889" s="290"/>
      <c r="EP889" s="290"/>
      <c r="JM889"/>
    </row>
    <row r="890" spans="1:273">
      <c r="A890" s="1694" t="s">
        <v>1332</v>
      </c>
      <c r="AR890" s="685"/>
      <c r="AS890" s="685"/>
      <c r="AT890" s="730"/>
      <c r="AU890" s="730"/>
      <c r="AV890" s="685"/>
      <c r="AW890" s="685"/>
      <c r="AX890" s="730"/>
      <c r="AY890" s="730"/>
      <c r="AZ890" s="685"/>
      <c r="BA890" s="876"/>
      <c r="BD890" s="711"/>
      <c r="BE890" s="885"/>
      <c r="BF890" s="711"/>
      <c r="BH890" s="685"/>
      <c r="BI890" s="876"/>
      <c r="BL890" s="876"/>
      <c r="BM890" s="876"/>
      <c r="BP890" s="876"/>
      <c r="BQ890" s="876"/>
      <c r="BT890" s="876"/>
      <c r="BU890" s="876"/>
      <c r="BX890" s="876"/>
      <c r="BY890" s="876"/>
      <c r="CB890" s="876"/>
      <c r="CC890" s="876"/>
      <c r="CF890" s="876"/>
      <c r="CG890" s="876"/>
      <c r="CJ890" s="876"/>
      <c r="CK890" s="876"/>
      <c r="CN890" s="876"/>
      <c r="CO890" s="876"/>
      <c r="CR890" s="876"/>
      <c r="CS890" s="876"/>
      <c r="CV890" s="876"/>
      <c r="CW890" s="876"/>
      <c r="CZ890" s="876"/>
      <c r="DA890" s="876"/>
      <c r="DD890" s="876"/>
      <c r="DE890" s="876"/>
      <c r="DH890" s="876"/>
      <c r="DI890" s="876"/>
      <c r="DL890" s="876"/>
      <c r="DM890" s="876"/>
      <c r="DP890" s="876"/>
      <c r="DQ890" s="876"/>
      <c r="DU890" s="876"/>
      <c r="DV890" s="876"/>
      <c r="DW890" s="876"/>
      <c r="DZ890" s="876"/>
      <c r="EA890" s="876"/>
      <c r="ED890" s="876"/>
      <c r="EE890" s="876"/>
    </row>
    <row r="891" spans="1:273">
      <c r="A891" s="102" t="s">
        <v>686</v>
      </c>
      <c r="AR891" s="685"/>
      <c r="AS891" s="685"/>
      <c r="AT891" s="730"/>
      <c r="AU891" s="730"/>
      <c r="AV891" s="685"/>
      <c r="AW891" s="685"/>
      <c r="AX891" s="730"/>
      <c r="AY891" s="730"/>
      <c r="AZ891" s="685"/>
      <c r="BA891" s="876"/>
      <c r="BD891" s="711"/>
      <c r="BE891" s="885"/>
      <c r="BF891" s="711"/>
      <c r="BH891" s="685"/>
      <c r="BI891" s="876"/>
      <c r="BL891" s="876"/>
      <c r="BM891" s="876"/>
      <c r="BP891" s="876"/>
      <c r="BQ891" s="876"/>
      <c r="BT891" s="876"/>
      <c r="BU891" s="876"/>
      <c r="BX891" s="293">
        <f t="shared" ref="BX891:BZ896" si="1583">+BX922+((BX911/SUM(BX$911:BX$915)*BX$928))</f>
        <v>389.26934297495228</v>
      </c>
      <c r="BY891" s="293">
        <f t="shared" si="1583"/>
        <v>393.18322516430737</v>
      </c>
      <c r="BZ891" s="293">
        <f t="shared" si="1583"/>
        <v>782.35672023197083</v>
      </c>
      <c r="CB891" s="293">
        <f t="shared" ref="CB891:CD896" si="1584">+CB922+((CB911/SUM(CB$911:CB$915)*CB$928))</f>
        <v>364.37157498272285</v>
      </c>
      <c r="CC891" s="293">
        <f t="shared" si="1584"/>
        <v>513.65540604634327</v>
      </c>
      <c r="CD891" s="293">
        <f t="shared" si="1584"/>
        <v>877.67583391301673</v>
      </c>
      <c r="CE891" s="103"/>
      <c r="CF891" s="293">
        <f t="shared" ref="CF891:CH896" si="1585">+CF922+((CF911/SUM(CF$911:CF$915)*CF$928))</f>
        <v>441.96923873045068</v>
      </c>
      <c r="CG891" s="293">
        <f t="shared" si="1585"/>
        <v>710.78421986412877</v>
      </c>
      <c r="CH891" s="293">
        <f t="shared" si="1585"/>
        <v>1153.3386239809106</v>
      </c>
      <c r="CI891" s="103"/>
      <c r="CJ891" s="293">
        <f t="shared" ref="CJ891:CL896" si="1586">+CJ922+((CJ911/SUM(CJ$911:CJ$915)*CJ$928))</f>
        <v>704.15076325048244</v>
      </c>
      <c r="CK891" s="293">
        <f t="shared" si="1586"/>
        <v>812.65183364839311</v>
      </c>
      <c r="CL891" s="293">
        <f t="shared" si="1586"/>
        <v>1520.2792206163231</v>
      </c>
      <c r="CM891" s="103"/>
      <c r="CN891" s="293">
        <f t="shared" ref="CN891:CP896" si="1587">+CN922+((CN911/SUM(CN$911:CN$915)*CN$928))</f>
        <v>554.74394293785303</v>
      </c>
      <c r="CO891" s="293">
        <f t="shared" si="1587"/>
        <v>952.0611577529603</v>
      </c>
      <c r="CP891" s="293">
        <f t="shared" si="1587"/>
        <v>1504.3721568737858</v>
      </c>
      <c r="CQ891" s="103"/>
      <c r="CR891" s="293">
        <f t="shared" ref="CR891:CT896" si="1588">+CR922+((CR911/SUM(CR$911:CR$915)*CR$928))</f>
        <v>753.34629763074577</v>
      </c>
      <c r="CS891" s="293">
        <f t="shared" si="1588"/>
        <v>833.82421999272242</v>
      </c>
      <c r="CT891" s="293">
        <f t="shared" si="1588"/>
        <v>1586.1107980295569</v>
      </c>
      <c r="CV891" s="293">
        <f t="shared" ref="CV891:CX891" si="1589">+CV922+((CV911/SUM(CV$911:CV$915)*CV$928))</f>
        <v>845.26310567791484</v>
      </c>
      <c r="CW891" s="293">
        <f t="shared" si="1589"/>
        <v>650.29299366186819</v>
      </c>
      <c r="CX891" s="293">
        <f t="shared" si="1589"/>
        <v>1495.7593207800942</v>
      </c>
      <c r="CZ891" s="293">
        <f t="shared" ref="CZ891:DB891" si="1590">+CZ922+((CZ911/SUM(CZ$911:CZ$915)*CZ$928))</f>
        <v>747.71196496572747</v>
      </c>
      <c r="DA891" s="293">
        <f t="shared" si="1590"/>
        <v>807.12887717121589</v>
      </c>
      <c r="DB891" s="293">
        <f t="shared" si="1590"/>
        <v>1554.7642881994091</v>
      </c>
      <c r="DD891" s="293">
        <f t="shared" ref="DD891:DF891" si="1591">+DD922+((DD911/SUM(DD$911:DD$915)*DD$928))</f>
        <v>711.21060900614953</v>
      </c>
      <c r="DE891" s="293">
        <f t="shared" si="1591"/>
        <v>829.45943076364767</v>
      </c>
      <c r="DF891" s="293">
        <f t="shared" si="1591"/>
        <v>1541.0411803918587</v>
      </c>
      <c r="DH891" s="293">
        <f t="shared" ref="DH891" si="1592">+DH922+((DH911/SUM(DH$911:DH$915)*DH$928))</f>
        <v>849.17828037007234</v>
      </c>
      <c r="DI891" s="293">
        <f t="shared" ref="DI891:DJ891" si="1593">+DI922+((DI911/SUM(DI$911:DI$915)*DI$928))</f>
        <v>886.8664736315344</v>
      </c>
      <c r="DJ891" s="293">
        <f t="shared" si="1593"/>
        <v>1735.0403745989961</v>
      </c>
      <c r="DL891" s="293">
        <f t="shared" ref="DL891:DN891" si="1594">+DL922+((DL911/SUM(DL$911:DL$915)*DL$928))</f>
        <v>887.20080527474147</v>
      </c>
      <c r="DM891" s="293">
        <f t="shared" si="1594"/>
        <v>975.3212192302683</v>
      </c>
      <c r="DN891" s="293">
        <f t="shared" si="1594"/>
        <v>1862.5220245050095</v>
      </c>
      <c r="DP891" s="293">
        <f t="shared" ref="DP891:DR891" si="1595">+DP922+((DP911/SUM(DP$911:DP$915)*DP$928))</f>
        <v>936.88392297067105</v>
      </c>
      <c r="DQ891" s="293">
        <f t="shared" si="1595"/>
        <v>1027.0034221128492</v>
      </c>
      <c r="DR891" s="293">
        <f t="shared" si="1595"/>
        <v>1963.8873450835204</v>
      </c>
      <c r="DU891" s="876"/>
      <c r="DV891" s="876"/>
      <c r="DW891" s="876"/>
      <c r="DZ891" s="876"/>
      <c r="EA891" s="876"/>
      <c r="ED891" s="876"/>
      <c r="EE891" s="876"/>
    </row>
    <row r="892" spans="1:273">
      <c r="A892" s="102" t="s">
        <v>1306</v>
      </c>
      <c r="AR892" s="685"/>
      <c r="AS892" s="685"/>
      <c r="AT892" s="730"/>
      <c r="AU892" s="730"/>
      <c r="AV892" s="685"/>
      <c r="AW892" s="685"/>
      <c r="AX892" s="730"/>
      <c r="AY892" s="730"/>
      <c r="AZ892" s="685"/>
      <c r="BA892" s="876"/>
      <c r="BD892" s="711"/>
      <c r="BE892" s="885"/>
      <c r="BF892" s="711"/>
      <c r="BH892" s="685"/>
      <c r="BI892" s="876"/>
      <c r="BL892" s="876"/>
      <c r="BM892" s="876"/>
      <c r="BP892" s="876"/>
      <c r="BQ892" s="876"/>
      <c r="BT892" s="876"/>
      <c r="BU892" s="876"/>
      <c r="BX892" s="293">
        <f t="shared" si="1583"/>
        <v>524.24281925041532</v>
      </c>
      <c r="BY892" s="293">
        <f t="shared" si="1583"/>
        <v>444.17115343781592</v>
      </c>
      <c r="BZ892" s="293">
        <f t="shared" si="1583"/>
        <v>969.29468537399055</v>
      </c>
      <c r="CB892" s="293">
        <f t="shared" si="1584"/>
        <v>623.99182176289503</v>
      </c>
      <c r="CC892" s="293">
        <f t="shared" si="1584"/>
        <v>389.06036241853735</v>
      </c>
      <c r="CD892" s="293">
        <f t="shared" si="1584"/>
        <v>1012.6596265197451</v>
      </c>
      <c r="CE892" s="103"/>
      <c r="CF892" s="293">
        <f t="shared" si="1585"/>
        <v>580.86017421803126</v>
      </c>
      <c r="CG892" s="293">
        <f t="shared" si="1585"/>
        <v>647.77286171467063</v>
      </c>
      <c r="CH892" s="293">
        <f t="shared" si="1585"/>
        <v>1229.3983336647443</v>
      </c>
      <c r="CI892" s="103"/>
      <c r="CJ892" s="293">
        <f t="shared" si="1586"/>
        <v>671.24536885711041</v>
      </c>
      <c r="CK892" s="293">
        <f t="shared" si="1586"/>
        <v>628.01595463137994</v>
      </c>
      <c r="CL892" s="293">
        <f t="shared" si="1586"/>
        <v>1299.4253869836655</v>
      </c>
      <c r="CM892" s="103"/>
      <c r="CN892" s="293">
        <f t="shared" si="1587"/>
        <v>730.04580960451983</v>
      </c>
      <c r="CO892" s="293">
        <f t="shared" si="1587"/>
        <v>649.85336438632908</v>
      </c>
      <c r="CP892" s="293">
        <f t="shared" si="1587"/>
        <v>1379.8648818941974</v>
      </c>
      <c r="CQ892" s="103"/>
      <c r="CR892" s="293">
        <f t="shared" si="1588"/>
        <v>928.20531280707496</v>
      </c>
      <c r="CS892" s="293">
        <f t="shared" si="1588"/>
        <v>1167.4407288038676</v>
      </c>
      <c r="CT892" s="293">
        <f t="shared" si="1588"/>
        <v>2097.3782561576359</v>
      </c>
      <c r="CV892" s="293">
        <f t="shared" ref="CV892:CX892" si="1596">+CV923+((CV912/SUM(CV$911:CV$915)*CV$928))</f>
        <v>1005.9035199030106</v>
      </c>
      <c r="CW892" s="293">
        <f t="shared" si="1596"/>
        <v>936.76136883997458</v>
      </c>
      <c r="CX892" s="293">
        <f t="shared" si="1596"/>
        <v>1942.6850773369201</v>
      </c>
      <c r="CZ892" s="293">
        <f t="shared" ref="CZ892:DB892" si="1597">+CZ923+((CZ912/SUM(CZ$911:CZ$915)*CZ$928))</f>
        <v>961.91685643564358</v>
      </c>
      <c r="DA892" s="293">
        <f t="shared" si="1597"/>
        <v>1081.17845915251</v>
      </c>
      <c r="DB892" s="293">
        <f t="shared" si="1597"/>
        <v>2043.0168511104757</v>
      </c>
      <c r="DD892" s="293">
        <f t="shared" ref="DD892:DF892" si="1598">+DD923+((DD912/SUM(DD$911:DD$915)*DD$928))</f>
        <v>1108.8074826423328</v>
      </c>
      <c r="DE892" s="293">
        <f t="shared" si="1598"/>
        <v>1241.2206304111151</v>
      </c>
      <c r="DF892" s="293">
        <f t="shared" si="1598"/>
        <v>2349.7454013636475</v>
      </c>
      <c r="DH892" s="293">
        <f t="shared" ref="DH892" si="1599">+DH923+((DH912/SUM(DH$911:DH$915)*DH$928))</f>
        <v>1201.5758507642799</v>
      </c>
      <c r="DI892" s="293">
        <f t="shared" ref="DI892:DJ892" si="1600">+DI923+((DI912/SUM(DI$911:DI$915)*DI$928))</f>
        <v>1265.1439173910424</v>
      </c>
      <c r="DJ892" s="293">
        <f t="shared" si="1600"/>
        <v>2465.878145502621</v>
      </c>
      <c r="DL892" s="293">
        <f t="shared" ref="DL892:DN892" si="1601">+DL923+((DL912/SUM(DL$911:DL$915)*DL$928))</f>
        <v>1135.1424034871372</v>
      </c>
      <c r="DM892" s="293">
        <f t="shared" si="1601"/>
        <v>1097.7495087193342</v>
      </c>
      <c r="DN892" s="293">
        <f t="shared" si="1601"/>
        <v>2232.8919122064713</v>
      </c>
      <c r="DP892" s="293">
        <f t="shared" ref="DP892:DR892" si="1602">+DP923+((DP912/SUM(DP$911:DP$915)*DP$928))</f>
        <v>1182.5808660282064</v>
      </c>
      <c r="DQ892" s="293">
        <f t="shared" si="1602"/>
        <v>1156.3986448557062</v>
      </c>
      <c r="DR892" s="293">
        <f t="shared" si="1602"/>
        <v>2338.979510883913</v>
      </c>
      <c r="DU892" s="876"/>
      <c r="DV892" s="876"/>
      <c r="DW892" s="876"/>
      <c r="DZ892" s="876"/>
      <c r="EA892" s="876"/>
      <c r="ED892" s="876"/>
      <c r="EE892" s="876"/>
    </row>
    <row r="893" spans="1:273">
      <c r="A893" s="102" t="s">
        <v>1024</v>
      </c>
      <c r="AR893" s="685"/>
      <c r="AS893" s="685"/>
      <c r="AT893" s="730"/>
      <c r="AU893" s="730"/>
      <c r="AV893" s="685"/>
      <c r="AW893" s="685"/>
      <c r="AX893" s="730"/>
      <c r="AY893" s="730"/>
      <c r="AZ893" s="685"/>
      <c r="BA893" s="876"/>
      <c r="BD893" s="711"/>
      <c r="BE893" s="885"/>
      <c r="BF893" s="711"/>
      <c r="BH893" s="685"/>
      <c r="BI893" s="876"/>
      <c r="BL893" s="876"/>
      <c r="BM893" s="876"/>
      <c r="BP893" s="876"/>
      <c r="BQ893" s="876"/>
      <c r="BT893" s="876"/>
      <c r="BU893" s="876"/>
      <c r="BX893" s="293">
        <f t="shared" si="1583"/>
        <v>653.01846962890022</v>
      </c>
      <c r="BY893" s="293">
        <f t="shared" si="1583"/>
        <v>593.38888966127399</v>
      </c>
      <c r="BZ893" s="293">
        <f t="shared" si="1583"/>
        <v>1246.2744612602501</v>
      </c>
      <c r="CB893" s="293">
        <f t="shared" si="1584"/>
        <v>603.52039027454919</v>
      </c>
      <c r="CC893" s="293">
        <f t="shared" si="1584"/>
        <v>676.86444370021718</v>
      </c>
      <c r="CD893" s="293">
        <f t="shared" si="1584"/>
        <v>1280.4020417987624</v>
      </c>
      <c r="CE893" s="103"/>
      <c r="CF893" s="293">
        <f t="shared" si="1585"/>
        <v>943.84463948942039</v>
      </c>
      <c r="CG893" s="293">
        <f t="shared" si="1585"/>
        <v>985.9057301667508</v>
      </c>
      <c r="CH893" s="293">
        <f t="shared" si="1585"/>
        <v>1931.8161054455586</v>
      </c>
      <c r="CI893" s="103"/>
      <c r="CJ893" s="293">
        <f t="shared" si="1586"/>
        <v>952.43288786743847</v>
      </c>
      <c r="CK893" s="293">
        <f t="shared" si="1586"/>
        <v>715.43054820415864</v>
      </c>
      <c r="CL893" s="293">
        <f t="shared" si="1586"/>
        <v>1664.5222144302859</v>
      </c>
      <c r="CM893" s="103"/>
      <c r="CN893" s="293">
        <f t="shared" si="1587"/>
        <v>837.52388870056507</v>
      </c>
      <c r="CO893" s="293">
        <f t="shared" si="1587"/>
        <v>879.85737695718046</v>
      </c>
      <c r="CP893" s="293">
        <f t="shared" si="1587"/>
        <v>1717.0744046848167</v>
      </c>
      <c r="CQ893" s="103"/>
      <c r="CR893" s="293">
        <f t="shared" si="1588"/>
        <v>938.90587727917898</v>
      </c>
      <c r="CS893" s="293">
        <f t="shared" si="1588"/>
        <v>1056.1105666164165</v>
      </c>
      <c r="CT893" s="293">
        <f t="shared" si="1588"/>
        <v>1993.9162878444947</v>
      </c>
      <c r="CV893" s="293">
        <f t="shared" ref="CV893:CX893" si="1603">+CV924+((CV913/SUM(CV$911:CV$915)*CV$928))</f>
        <v>1148.0626682158011</v>
      </c>
      <c r="CW893" s="293">
        <f t="shared" si="1603"/>
        <v>1833.8185623740972</v>
      </c>
      <c r="CX893" s="293">
        <f t="shared" si="1603"/>
        <v>2981.8329657027571</v>
      </c>
      <c r="CZ893" s="293">
        <f t="shared" ref="CZ893:DB893" si="1604">+CZ924+((CZ913/SUM(CZ$911:CZ$915)*CZ$928))</f>
        <v>1265.5896249047983</v>
      </c>
      <c r="DA893" s="293">
        <f t="shared" si="1604"/>
        <v>1401.8634491315136</v>
      </c>
      <c r="DB893" s="293">
        <f t="shared" si="1604"/>
        <v>2667.9776620436564</v>
      </c>
      <c r="DD893" s="293">
        <f t="shared" ref="DD893:DF893" si="1605">+DD924+((DD913/SUM(DD$911:DD$915)*DD$928))</f>
        <v>1213.5867684983139</v>
      </c>
      <c r="DE893" s="293">
        <f t="shared" si="1605"/>
        <v>1217.0720607600188</v>
      </c>
      <c r="DF893" s="293">
        <f t="shared" si="1605"/>
        <v>2432.387443540415</v>
      </c>
      <c r="DH893" s="293">
        <f t="shared" ref="DH893" si="1606">+DH924+((DH913/SUM(DH$911:DH$915)*DH$928))</f>
        <v>1179.3081642196298</v>
      </c>
      <c r="DI893" s="293">
        <f t="shared" ref="DI893:DJ893" si="1607">+DI924+((DI913/SUM(DI$911:DI$915)*DI$928))</f>
        <v>1298.9196682826876</v>
      </c>
      <c r="DJ893" s="293">
        <f t="shared" si="1607"/>
        <v>2477.3125820155374</v>
      </c>
      <c r="DL893" s="293">
        <f t="shared" ref="DL893:DN893" si="1608">+DL924+((DL913/SUM(DL$911:DL$915)*DL$928))</f>
        <v>1205.1576268164245</v>
      </c>
      <c r="DM893" s="293">
        <f t="shared" si="1608"/>
        <v>1367.0561201392507</v>
      </c>
      <c r="DN893" s="293">
        <f t="shared" si="1608"/>
        <v>2572.2137469556751</v>
      </c>
      <c r="DP893" s="293">
        <f t="shared" ref="DP893:DR893" si="1609">+DP924+((DP913/SUM(DP$911:DP$915)*DP$928))</f>
        <v>1246.7298074495975</v>
      </c>
      <c r="DQ893" s="293">
        <f t="shared" si="1609"/>
        <v>1418.9539565006426</v>
      </c>
      <c r="DR893" s="293">
        <f t="shared" si="1609"/>
        <v>2665.6837639502401</v>
      </c>
      <c r="DU893" s="876"/>
      <c r="DV893" s="876"/>
      <c r="DW893" s="876"/>
      <c r="DZ893" s="876"/>
      <c r="EA893" s="876"/>
      <c r="ED893" s="876"/>
      <c r="EE893" s="876"/>
    </row>
    <row r="894" spans="1:273">
      <c r="A894" s="102" t="s">
        <v>690</v>
      </c>
      <c r="AR894" s="685"/>
      <c r="AS894" s="685"/>
      <c r="AT894" s="730"/>
      <c r="AU894" s="730"/>
      <c r="AV894" s="685"/>
      <c r="AW894" s="685"/>
      <c r="AX894" s="730"/>
      <c r="AY894" s="730"/>
      <c r="AZ894" s="685"/>
      <c r="BA894" s="876"/>
      <c r="BD894" s="711"/>
      <c r="BE894" s="885"/>
      <c r="BF894" s="711"/>
      <c r="BH894" s="685"/>
      <c r="BI894" s="876"/>
      <c r="BL894" s="876"/>
      <c r="BM894" s="876"/>
      <c r="BP894" s="876"/>
      <c r="BQ894" s="876"/>
      <c r="BT894" s="876"/>
      <c r="BU894" s="876"/>
      <c r="BX894" s="293">
        <f t="shared" si="1583"/>
        <v>373.95327097052126</v>
      </c>
      <c r="BY894" s="293">
        <f t="shared" si="1583"/>
        <v>389.33798755055614</v>
      </c>
      <c r="BZ894" s="293">
        <f t="shared" si="1583"/>
        <v>763.13773204876384</v>
      </c>
      <c r="CB894" s="293">
        <f t="shared" si="1584"/>
        <v>267.71554049129861</v>
      </c>
      <c r="CC894" s="293">
        <f t="shared" si="1584"/>
        <v>248.3328005068791</v>
      </c>
      <c r="CD894" s="293">
        <f t="shared" si="1584"/>
        <v>513.96892031149002</v>
      </c>
      <c r="CE894" s="103"/>
      <c r="CF894" s="293">
        <f t="shared" si="1585"/>
        <v>23.186367295308184</v>
      </c>
      <c r="CG894" s="293">
        <f t="shared" si="1585"/>
        <v>0</v>
      </c>
      <c r="CH894" s="293">
        <f t="shared" si="1585"/>
        <v>21.175424821748141</v>
      </c>
      <c r="CI894" s="103"/>
      <c r="CJ894" s="293">
        <f t="shared" si="1586"/>
        <v>0</v>
      </c>
      <c r="CK894" s="293">
        <f t="shared" si="1586"/>
        <v>0</v>
      </c>
      <c r="CL894" s="293">
        <f t="shared" si="1586"/>
        <v>0</v>
      </c>
      <c r="CM894" s="103"/>
      <c r="CN894" s="293">
        <f t="shared" si="1587"/>
        <v>0</v>
      </c>
      <c r="CO894" s="293">
        <f t="shared" si="1587"/>
        <v>0</v>
      </c>
      <c r="CP894" s="293">
        <f t="shared" si="1587"/>
        <v>0</v>
      </c>
      <c r="CQ894" s="103"/>
      <c r="CR894" s="293">
        <f t="shared" si="1588"/>
        <v>0</v>
      </c>
      <c r="CS894" s="293">
        <f t="shared" si="1588"/>
        <v>0</v>
      </c>
      <c r="CT894" s="293">
        <f t="shared" si="1588"/>
        <v>0</v>
      </c>
      <c r="CV894" s="293">
        <f t="shared" ref="CV894:CX894" si="1610">+CV925+((CV914/SUM(CV$911:CV$915)*CV$928))</f>
        <v>0</v>
      </c>
      <c r="CW894" s="293">
        <f t="shared" si="1610"/>
        <v>0</v>
      </c>
      <c r="CX894" s="293">
        <f t="shared" si="1610"/>
        <v>0</v>
      </c>
      <c r="CZ894" s="293">
        <f t="shared" ref="CZ894:DB894" si="1611">+CZ925+((CZ914/SUM(CZ$911:CZ$915)*CZ$928))</f>
        <v>0</v>
      </c>
      <c r="DA894" s="293">
        <f t="shared" si="1611"/>
        <v>0</v>
      </c>
      <c r="DB894" s="293">
        <f t="shared" si="1611"/>
        <v>0</v>
      </c>
      <c r="DD894" s="293">
        <f t="shared" ref="DD894:DF894" si="1612">+DD925+((DD914/SUM(DD$911:DD$915)*DD$928))</f>
        <v>0</v>
      </c>
      <c r="DE894" s="293">
        <f t="shared" si="1612"/>
        <v>0</v>
      </c>
      <c r="DF894" s="293">
        <f t="shared" si="1612"/>
        <v>0</v>
      </c>
      <c r="DH894" s="293">
        <f t="shared" ref="DH894" si="1613">+DH925+((DH914/SUM(DH$911:DH$915)*DH$928))</f>
        <v>0</v>
      </c>
      <c r="DI894" s="293">
        <f t="shared" ref="DI894:DJ894" si="1614">+DI925+((DI914/SUM(DI$911:DI$915)*DI$928))</f>
        <v>0</v>
      </c>
      <c r="DJ894" s="293">
        <f t="shared" si="1614"/>
        <v>0</v>
      </c>
      <c r="DL894" s="293">
        <f t="shared" ref="DL894:DN894" si="1615">+DL925+((DL914/SUM(DL$911:DL$915)*DL$928))</f>
        <v>0</v>
      </c>
      <c r="DM894" s="293">
        <f t="shared" si="1615"/>
        <v>0</v>
      </c>
      <c r="DN894" s="293">
        <f t="shared" si="1615"/>
        <v>0</v>
      </c>
      <c r="DP894" s="293">
        <f t="shared" ref="DP894:DR894" si="1616">+DP925+((DP914/SUM(DP$911:DP$915)*DP$928))</f>
        <v>0</v>
      </c>
      <c r="DQ894" s="293">
        <f t="shared" si="1616"/>
        <v>0</v>
      </c>
      <c r="DR894" s="293">
        <f t="shared" si="1616"/>
        <v>0</v>
      </c>
      <c r="DU894" s="876"/>
      <c r="DV894" s="876"/>
      <c r="DW894" s="876"/>
      <c r="DZ894" s="876"/>
      <c r="EA894" s="876"/>
      <c r="ED894" s="876"/>
      <c r="EE894" s="876"/>
    </row>
    <row r="895" spans="1:273">
      <c r="A895" s="102" t="s">
        <v>689</v>
      </c>
      <c r="AR895" s="685"/>
      <c r="AS895" s="685"/>
      <c r="AT895" s="730"/>
      <c r="AU895" s="730"/>
      <c r="AV895" s="685"/>
      <c r="AW895" s="685"/>
      <c r="AX895" s="730"/>
      <c r="AY895" s="730"/>
      <c r="AZ895" s="685"/>
      <c r="BA895" s="876"/>
      <c r="BD895" s="711"/>
      <c r="BE895" s="885"/>
      <c r="BF895" s="711"/>
      <c r="BH895" s="685"/>
      <c r="BI895" s="876"/>
      <c r="BL895" s="876"/>
      <c r="BM895" s="876"/>
      <c r="BP895" s="876"/>
      <c r="BQ895" s="876"/>
      <c r="BT895" s="876"/>
      <c r="BU895" s="876"/>
      <c r="BX895" s="293">
        <f t="shared" si="1583"/>
        <v>349.5160971752108</v>
      </c>
      <c r="BY895" s="293">
        <f t="shared" si="1583"/>
        <v>268.91874418604647</v>
      </c>
      <c r="BZ895" s="293">
        <f t="shared" si="1583"/>
        <v>617.93640108502473</v>
      </c>
      <c r="CB895" s="293">
        <f t="shared" si="1584"/>
        <v>401.40067248853421</v>
      </c>
      <c r="CC895" s="293">
        <f t="shared" si="1584"/>
        <v>404.08698732802327</v>
      </c>
      <c r="CD895" s="293">
        <f t="shared" si="1584"/>
        <v>808.29357745698542</v>
      </c>
      <c r="CE895" s="103"/>
      <c r="CF895" s="293">
        <f t="shared" si="1585"/>
        <v>464.13958026678927</v>
      </c>
      <c r="CG895" s="293">
        <f t="shared" si="1585"/>
        <v>418.53718825444946</v>
      </c>
      <c r="CH895" s="293">
        <f t="shared" si="1585"/>
        <v>881.27151208703799</v>
      </c>
      <c r="CI895" s="103"/>
      <c r="CJ895" s="293">
        <f t="shared" si="1586"/>
        <v>448.1709800249688</v>
      </c>
      <c r="CK895" s="293">
        <f t="shared" si="1586"/>
        <v>390.90166351606803</v>
      </c>
      <c r="CL895" s="293">
        <f t="shared" si="1586"/>
        <v>838.77317796972545</v>
      </c>
      <c r="CM895" s="103"/>
      <c r="CN895" s="293">
        <f t="shared" si="1587"/>
        <v>492.68635875706218</v>
      </c>
      <c r="CO895" s="293">
        <f t="shared" si="1587"/>
        <v>420.22810090352982</v>
      </c>
      <c r="CP895" s="293">
        <f t="shared" si="1587"/>
        <v>915.68855654720005</v>
      </c>
      <c r="CQ895" s="103"/>
      <c r="CR895" s="293">
        <f t="shared" si="1588"/>
        <v>543.54251228300041</v>
      </c>
      <c r="CS895" s="293">
        <f t="shared" si="1588"/>
        <v>503.6244845869939</v>
      </c>
      <c r="CT895" s="293">
        <f t="shared" si="1588"/>
        <v>1047.5946579683132</v>
      </c>
      <c r="CV895" s="293">
        <f t="shared" ref="CV895:CX895" si="1617">+CV926+((CV915/SUM(CV$911:CV$915)*CV$928))</f>
        <v>613.77070620327345</v>
      </c>
      <c r="CW895" s="293">
        <f t="shared" si="1617"/>
        <v>669.12707512406053</v>
      </c>
      <c r="CX895" s="293">
        <f t="shared" si="1617"/>
        <v>1282.7226361802288</v>
      </c>
      <c r="CZ895" s="293">
        <f t="shared" ref="CZ895:DB895" si="1618">+CZ926+((CZ915/SUM(CZ$911:CZ$915)*CZ$928))</f>
        <v>758.78155369383103</v>
      </c>
      <c r="DA895" s="293">
        <f t="shared" si="1618"/>
        <v>698.82921454476048</v>
      </c>
      <c r="DB895" s="293">
        <f t="shared" si="1618"/>
        <v>1457.241198646459</v>
      </c>
      <c r="DD895" s="293">
        <f t="shared" ref="DD895:DF895" si="1619">+DD926+((DD915/SUM(DD$911:DD$915)*DD$928))</f>
        <v>722.39513985320355</v>
      </c>
      <c r="DE895" s="293">
        <f t="shared" si="1619"/>
        <v>616.24787806521863</v>
      </c>
      <c r="DF895" s="293">
        <f t="shared" si="1619"/>
        <v>1336.8259747040781</v>
      </c>
      <c r="DH895" s="293">
        <f t="shared" ref="DH895" si="1620">+DH926+((DH915/SUM(DH$911:DH$915)*DH$928))</f>
        <v>725.93770464601766</v>
      </c>
      <c r="DI895" s="293">
        <f t="shared" ref="DI895:DJ895" si="1621">+DI926+((DI915/SUM(DI$911:DI$915)*DI$928))</f>
        <v>662.35521045339397</v>
      </c>
      <c r="DJ895" s="293">
        <f t="shared" si="1621"/>
        <v>1391.0541676415032</v>
      </c>
      <c r="DL895" s="293">
        <f t="shared" ref="DL895:DN895" si="1622">+DL926+((DL915/SUM(DL$911:DL$915)*DL$928))</f>
        <v>839.51928197023426</v>
      </c>
      <c r="DM895" s="293">
        <f t="shared" si="1622"/>
        <v>756.74152254741341</v>
      </c>
      <c r="DN895" s="293">
        <f t="shared" si="1622"/>
        <v>1596.2608045176476</v>
      </c>
      <c r="DP895" s="293">
        <f t="shared" ref="DP895:DR895" si="1623">+DP926+((DP915/SUM(DP$911:DP$915)*DP$928))</f>
        <v>902.24201817168455</v>
      </c>
      <c r="DQ895" s="293">
        <f t="shared" si="1623"/>
        <v>822.29017853629898</v>
      </c>
      <c r="DR895" s="293">
        <f t="shared" si="1623"/>
        <v>1724.5321967079835</v>
      </c>
      <c r="DU895" s="876"/>
      <c r="DV895" s="876"/>
      <c r="DW895" s="876"/>
      <c r="DZ895" s="876"/>
      <c r="EA895" s="876"/>
      <c r="ED895" s="876"/>
      <c r="EE895" s="876"/>
    </row>
    <row r="896" spans="1:273">
      <c r="A896" s="102" t="s">
        <v>688</v>
      </c>
      <c r="AR896" s="685"/>
      <c r="AS896" s="685"/>
      <c r="AT896" s="730"/>
      <c r="AU896" s="730"/>
      <c r="AV896" s="685"/>
      <c r="AW896" s="685"/>
      <c r="AX896" s="730"/>
      <c r="AY896" s="730"/>
      <c r="AZ896" s="685"/>
      <c r="BA896" s="876"/>
      <c r="BD896" s="711"/>
      <c r="BE896" s="885"/>
      <c r="BF896" s="711"/>
      <c r="BH896" s="685"/>
      <c r="BI896" s="876"/>
      <c r="BL896" s="876"/>
      <c r="BM896" s="876"/>
      <c r="BP896" s="876"/>
      <c r="BQ896" s="876"/>
      <c r="BT896" s="876"/>
      <c r="BU896" s="876"/>
      <c r="BX896" s="293">
        <f t="shared" si="1583"/>
        <v>0</v>
      </c>
      <c r="BY896" s="293">
        <f t="shared" si="1583"/>
        <v>0</v>
      </c>
      <c r="BZ896" s="293">
        <f t="shared" si="1583"/>
        <v>0</v>
      </c>
      <c r="CB896" s="293">
        <f t="shared" si="1584"/>
        <v>0</v>
      </c>
      <c r="CC896" s="293">
        <f t="shared" si="1584"/>
        <v>0</v>
      </c>
      <c r="CD896" s="293">
        <f t="shared" si="1584"/>
        <v>0</v>
      </c>
      <c r="CE896" s="103"/>
      <c r="CF896" s="293">
        <f t="shared" si="1585"/>
        <v>0</v>
      </c>
      <c r="CG896" s="293">
        <f t="shared" si="1585"/>
        <v>0</v>
      </c>
      <c r="CH896" s="293">
        <f t="shared" si="1585"/>
        <v>0</v>
      </c>
      <c r="CI896" s="103"/>
      <c r="CJ896" s="293">
        <f t="shared" si="1586"/>
        <v>0</v>
      </c>
      <c r="CK896" s="293">
        <f t="shared" si="1586"/>
        <v>0</v>
      </c>
      <c r="CL896" s="293">
        <f t="shared" si="1586"/>
        <v>0</v>
      </c>
      <c r="CM896" s="103"/>
      <c r="CN896" s="293">
        <f t="shared" si="1587"/>
        <v>0</v>
      </c>
      <c r="CO896" s="293">
        <f t="shared" si="1587"/>
        <v>0</v>
      </c>
      <c r="CP896" s="293">
        <f t="shared" si="1587"/>
        <v>0</v>
      </c>
      <c r="CQ896" s="103"/>
      <c r="CR896" s="293">
        <f t="shared" si="1588"/>
        <v>0</v>
      </c>
      <c r="CS896" s="293">
        <f t="shared" si="1588"/>
        <v>0</v>
      </c>
      <c r="CT896" s="293">
        <f t="shared" si="1588"/>
        <v>0</v>
      </c>
      <c r="CV896" s="293">
        <f t="shared" ref="CV896:CX896" si="1624">+CV927+((CV916/SUM(CV$911:CV$915)*CV$928))</f>
        <v>0</v>
      </c>
      <c r="CW896" s="293">
        <f t="shared" si="1624"/>
        <v>0</v>
      </c>
      <c r="CX896" s="293">
        <f t="shared" si="1624"/>
        <v>0</v>
      </c>
      <c r="CZ896" s="293">
        <f t="shared" ref="CZ896:DB896" si="1625">+CZ927+((CZ916/SUM(CZ$911:CZ$915)*CZ$928))</f>
        <v>0</v>
      </c>
      <c r="DA896" s="293">
        <f t="shared" si="1625"/>
        <v>0</v>
      </c>
      <c r="DB896" s="293">
        <f t="shared" si="1625"/>
        <v>0</v>
      </c>
      <c r="DD896" s="293">
        <f t="shared" ref="DD896:DF896" si="1626">+DD927+((DD916/SUM(DD$911:DD$915)*DD$928))</f>
        <v>0</v>
      </c>
      <c r="DE896" s="293">
        <f t="shared" si="1626"/>
        <v>0</v>
      </c>
      <c r="DF896" s="293">
        <f t="shared" si="1626"/>
        <v>0</v>
      </c>
      <c r="DH896" s="293">
        <f t="shared" ref="DH896" si="1627">+DH927+((DH916/SUM(DH$911:DH$915)*DH$928))</f>
        <v>0</v>
      </c>
      <c r="DI896" s="293">
        <f t="shared" ref="DI896:DJ896" si="1628">+DI927+((DI916/SUM(DI$911:DI$915)*DI$928))</f>
        <v>0</v>
      </c>
      <c r="DJ896" s="293">
        <f t="shared" si="1628"/>
        <v>0</v>
      </c>
      <c r="DL896" s="293">
        <f t="shared" ref="DL896:DN896" si="1629">+DL927+((DL916/SUM(DL$911:DL$915)*DL$928))</f>
        <v>0</v>
      </c>
      <c r="DM896" s="293">
        <f t="shared" si="1629"/>
        <v>0</v>
      </c>
      <c r="DN896" s="293">
        <f t="shared" si="1629"/>
        <v>0</v>
      </c>
      <c r="DP896" s="293">
        <f t="shared" ref="DP896:DR896" si="1630">+DP927+((DP916/SUM(DP$911:DP$915)*DP$928))</f>
        <v>0</v>
      </c>
      <c r="DQ896" s="293">
        <f t="shared" si="1630"/>
        <v>0</v>
      </c>
      <c r="DR896" s="293">
        <f t="shared" si="1630"/>
        <v>0</v>
      </c>
      <c r="DU896" s="876"/>
      <c r="DV896" s="876"/>
      <c r="DW896" s="876"/>
      <c r="DZ896" s="876"/>
      <c r="EA896" s="876"/>
      <c r="ED896" s="876"/>
      <c r="EE896" s="876"/>
    </row>
    <row r="897" spans="1:135">
      <c r="AR897" s="685"/>
      <c r="AS897" s="685"/>
      <c r="AT897" s="730"/>
      <c r="AU897" s="730"/>
      <c r="AV897" s="685"/>
      <c r="AW897" s="685"/>
      <c r="AX897" s="730"/>
      <c r="AY897" s="730"/>
      <c r="AZ897" s="685"/>
      <c r="BA897" s="876"/>
      <c r="BD897" s="711"/>
      <c r="BE897" s="885"/>
      <c r="BF897" s="711"/>
      <c r="BH897" s="685"/>
      <c r="BI897" s="876"/>
      <c r="BL897" s="876"/>
      <c r="BM897" s="876"/>
      <c r="BP897" s="876"/>
      <c r="BQ897" s="876"/>
      <c r="BT897" s="876"/>
      <c r="BU897" s="876"/>
      <c r="BX897" s="293"/>
      <c r="BY897" s="293"/>
      <c r="BZ897" s="293"/>
      <c r="CB897" s="293"/>
      <c r="CC897" s="293"/>
      <c r="CD897" s="293"/>
      <c r="CE897" s="103"/>
      <c r="CF897" s="293"/>
      <c r="CG897" s="293"/>
      <c r="CH897" s="293"/>
      <c r="CI897" s="103"/>
      <c r="CJ897" s="293"/>
      <c r="CK897" s="293"/>
      <c r="CL897" s="293"/>
      <c r="CM897" s="103"/>
      <c r="CN897" s="293"/>
      <c r="CO897" s="293"/>
      <c r="CP897" s="293"/>
      <c r="CQ897" s="103"/>
      <c r="CR897" s="293"/>
      <c r="CS897" s="293"/>
      <c r="CT897" s="293"/>
      <c r="CV897" s="293"/>
      <c r="CW897" s="293"/>
      <c r="CX897" s="293"/>
      <c r="CZ897" s="293"/>
      <c r="DA897" s="293"/>
      <c r="DB897" s="293"/>
      <c r="DD897" s="293"/>
      <c r="DE897" s="293"/>
      <c r="DF897" s="293"/>
      <c r="DH897" s="293"/>
      <c r="DI897" s="293"/>
      <c r="DJ897" s="293"/>
      <c r="DL897" s="293"/>
      <c r="DM897" s="293"/>
      <c r="DN897" s="293"/>
      <c r="DP897" s="293"/>
      <c r="DQ897" s="293"/>
      <c r="DR897" s="293"/>
      <c r="DU897" s="876"/>
      <c r="DV897" s="876"/>
      <c r="DW897" s="876"/>
      <c r="DZ897" s="876"/>
      <c r="EA897" s="876"/>
      <c r="ED897" s="876"/>
      <c r="EE897" s="876"/>
    </row>
    <row r="898" spans="1:135">
      <c r="A898" s="289" t="s">
        <v>696</v>
      </c>
      <c r="AR898" s="685"/>
      <c r="AS898" s="685"/>
      <c r="AT898" s="730"/>
      <c r="AU898" s="730"/>
      <c r="AV898" s="685"/>
      <c r="AW898" s="685"/>
      <c r="AX898" s="730"/>
      <c r="AY898" s="730"/>
      <c r="AZ898" s="685"/>
      <c r="BA898" s="876"/>
      <c r="BD898" s="711"/>
      <c r="BE898" s="885"/>
      <c r="BF898" s="711"/>
      <c r="BH898" s="685"/>
      <c r="BI898" s="876"/>
      <c r="BL898" s="876"/>
      <c r="BM898" s="876"/>
      <c r="BP898" s="876"/>
      <c r="BQ898" s="876"/>
      <c r="BT898" s="876"/>
      <c r="BU898" s="876"/>
      <c r="BX898" s="295">
        <f>+BX929</f>
        <v>2290</v>
      </c>
      <c r="BY898" s="295">
        <f>+BY929</f>
        <v>2089</v>
      </c>
      <c r="BZ898" s="295">
        <f>+BZ929</f>
        <v>4379</v>
      </c>
      <c r="CB898" s="295">
        <f>+CB929</f>
        <v>2261</v>
      </c>
      <c r="CC898" s="295">
        <f>+CC929</f>
        <v>2232</v>
      </c>
      <c r="CD898" s="295">
        <f>+CD929</f>
        <v>4493</v>
      </c>
      <c r="CE898" s="103"/>
      <c r="CF898" s="295">
        <f>+CF929</f>
        <v>2454</v>
      </c>
      <c r="CG898" s="295">
        <f>+CG929</f>
        <v>2763</v>
      </c>
      <c r="CH898" s="295">
        <f>+CH929</f>
        <v>5217</v>
      </c>
      <c r="CI898" s="103"/>
      <c r="CJ898" s="295">
        <f>+CJ929</f>
        <v>2776</v>
      </c>
      <c r="CK898" s="295">
        <f>+CK929</f>
        <v>2547</v>
      </c>
      <c r="CL898" s="295">
        <f>+CL929</f>
        <v>5323</v>
      </c>
      <c r="CM898" s="103"/>
      <c r="CN898" s="295">
        <f>+CN929</f>
        <v>2615</v>
      </c>
      <c r="CO898" s="295">
        <f>+CO929</f>
        <v>2902</v>
      </c>
      <c r="CP898" s="295">
        <f>+CP929</f>
        <v>5517</v>
      </c>
      <c r="CQ898" s="103"/>
      <c r="CR898" s="295">
        <f>+CR929</f>
        <v>3164</v>
      </c>
      <c r="CS898" s="295">
        <f>+CS929</f>
        <v>3561</v>
      </c>
      <c r="CT898" s="295">
        <f>+CT929</f>
        <v>6725</v>
      </c>
      <c r="CV898" s="295">
        <f t="shared" ref="CV898:CX898" si="1631">+CV929</f>
        <v>3613</v>
      </c>
      <c r="CW898" s="295">
        <f t="shared" si="1631"/>
        <v>4090.0000000000005</v>
      </c>
      <c r="CX898" s="295">
        <f t="shared" si="1631"/>
        <v>7702.9999999999991</v>
      </c>
      <c r="CZ898" s="295">
        <f t="shared" ref="CZ898:DB898" si="1632">+CZ929</f>
        <v>3734</v>
      </c>
      <c r="DA898" s="295">
        <f t="shared" si="1632"/>
        <v>3989</v>
      </c>
      <c r="DB898" s="295">
        <f t="shared" si="1632"/>
        <v>7723</v>
      </c>
      <c r="DD898" s="295">
        <f t="shared" ref="DD898:DF898" si="1633">+DD929</f>
        <v>3756</v>
      </c>
      <c r="DE898" s="295">
        <f t="shared" si="1633"/>
        <v>3904</v>
      </c>
      <c r="DF898" s="295">
        <f t="shared" si="1633"/>
        <v>7660</v>
      </c>
      <c r="DH898" s="295">
        <f t="shared" ref="DH898" si="1634">+DH929</f>
        <v>3956</v>
      </c>
      <c r="DI898" s="295">
        <f t="shared" ref="DI898:DJ898" si="1635">+DI929</f>
        <v>4113.2852697586586</v>
      </c>
      <c r="DJ898" s="295">
        <f t="shared" si="1635"/>
        <v>8069.2852697586586</v>
      </c>
      <c r="DL898" s="295">
        <f t="shared" ref="DL898:DN898" si="1636">+DL929</f>
        <v>4067.0201175485372</v>
      </c>
      <c r="DM898" s="295">
        <f t="shared" si="1636"/>
        <v>4196.8683706362663</v>
      </c>
      <c r="DN898" s="295">
        <f t="shared" si="1636"/>
        <v>8263.8884881848044</v>
      </c>
      <c r="DP898" s="295">
        <f t="shared" ref="DP898:DR898" si="1637">+DP929</f>
        <v>4268.4366146201601</v>
      </c>
      <c r="DQ898" s="295">
        <f t="shared" si="1637"/>
        <v>4424.6462020054969</v>
      </c>
      <c r="DR898" s="295">
        <f t="shared" si="1637"/>
        <v>8693.0828166256579</v>
      </c>
      <c r="DU898" s="876"/>
      <c r="DV898" s="876"/>
      <c r="DW898" s="876"/>
      <c r="DZ898" s="876"/>
      <c r="EA898" s="876"/>
      <c r="ED898" s="876"/>
      <c r="EE898" s="876"/>
    </row>
    <row r="899" spans="1:135">
      <c r="A899" s="1589" t="s">
        <v>580</v>
      </c>
      <c r="B899" s="1590"/>
      <c r="C899" s="1589"/>
      <c r="D899" s="1589"/>
      <c r="E899" s="1589"/>
      <c r="F899" s="1589"/>
      <c r="G899" s="1589"/>
      <c r="H899" s="1589"/>
      <c r="I899" s="1589"/>
      <c r="J899" s="1589"/>
      <c r="K899" s="1589"/>
      <c r="L899" s="1589"/>
      <c r="M899" s="1589"/>
      <c r="N899" s="1589"/>
      <c r="O899" s="1589"/>
      <c r="P899" s="1589"/>
      <c r="Q899" s="1589"/>
      <c r="R899" s="1589"/>
      <c r="S899" s="1589"/>
      <c r="T899" s="1589"/>
      <c r="U899" s="1589"/>
      <c r="V899" s="1589"/>
      <c r="W899" s="1589"/>
      <c r="X899" s="1589"/>
      <c r="Y899" s="1589"/>
      <c r="Z899" s="1589"/>
      <c r="AA899" s="1589"/>
      <c r="AB899" s="1589"/>
      <c r="AC899" s="1589"/>
      <c r="AD899" s="1589"/>
      <c r="AE899" s="1589"/>
      <c r="AF899" s="1589"/>
      <c r="AG899" s="1589"/>
      <c r="AH899" s="1589"/>
      <c r="AI899" s="1589"/>
      <c r="AJ899" s="1589"/>
      <c r="AK899" s="1589"/>
      <c r="AL899" s="1589"/>
      <c r="AM899" s="1589"/>
      <c r="AN899" s="1590"/>
      <c r="AO899" s="1590"/>
      <c r="AP899" s="1590"/>
      <c r="AQ899" s="1590"/>
      <c r="AR899" s="1591"/>
      <c r="AS899" s="1591"/>
      <c r="AT899" s="1592"/>
      <c r="AU899" s="1592"/>
      <c r="AV899" s="1591"/>
      <c r="AW899" s="1591"/>
      <c r="AX899" s="1592"/>
      <c r="AY899" s="1592"/>
      <c r="AZ899" s="1591"/>
      <c r="BA899" s="1593"/>
      <c r="BB899" s="1590"/>
      <c r="BC899" s="1590"/>
      <c r="BD899" s="1594"/>
      <c r="BE899" s="1595"/>
      <c r="BF899" s="1594"/>
      <c r="BG899" s="1590"/>
      <c r="BH899" s="1591"/>
      <c r="BI899" s="1593"/>
      <c r="BJ899" s="1590"/>
      <c r="BK899" s="1590"/>
      <c r="BL899" s="1593"/>
      <c r="BM899" s="1593"/>
      <c r="BN899" s="1590"/>
      <c r="BO899" s="1590"/>
      <c r="BP899" s="1593"/>
      <c r="BQ899" s="1593"/>
      <c r="BR899" s="1590"/>
      <c r="BS899" s="1590"/>
      <c r="BT899" s="1593"/>
      <c r="BU899" s="1593"/>
      <c r="BV899" s="1590"/>
      <c r="BW899" s="1590"/>
      <c r="BX899" s="1596">
        <f t="shared" ref="BX899:BZ899" si="1638">+BX898-SUM(BX891:BX897)</f>
        <v>0</v>
      </c>
      <c r="BY899" s="1596">
        <f t="shared" si="1638"/>
        <v>0</v>
      </c>
      <c r="BZ899" s="1596">
        <f t="shared" si="1638"/>
        <v>0</v>
      </c>
      <c r="CA899" s="1590"/>
      <c r="CB899" s="1596">
        <f t="shared" ref="CB899:CD899" si="1639">+CB898-SUM(CB891:CB897)</f>
        <v>0</v>
      </c>
      <c r="CC899" s="1596">
        <f t="shared" si="1639"/>
        <v>0</v>
      </c>
      <c r="CD899" s="1596">
        <f t="shared" si="1639"/>
        <v>0</v>
      </c>
      <c r="CE899" s="1590"/>
      <c r="CF899" s="1596">
        <f t="shared" ref="CF899:CH899" si="1640">+CF898-SUM(CF891:CF897)</f>
        <v>0</v>
      </c>
      <c r="CG899" s="1596">
        <f t="shared" si="1640"/>
        <v>0</v>
      </c>
      <c r="CH899" s="1596">
        <f t="shared" si="1640"/>
        <v>0</v>
      </c>
      <c r="CI899" s="1590"/>
      <c r="CJ899" s="1596">
        <f t="shared" ref="CJ899:CL899" si="1641">+CJ898-SUM(CJ891:CJ897)</f>
        <v>0</v>
      </c>
      <c r="CK899" s="1596">
        <f t="shared" si="1641"/>
        <v>0</v>
      </c>
      <c r="CL899" s="1596">
        <f t="shared" si="1641"/>
        <v>0</v>
      </c>
      <c r="CM899" s="1590"/>
      <c r="CN899" s="1596">
        <f t="shared" ref="CN899:CP899" si="1642">+CN898-SUM(CN891:CN897)</f>
        <v>0</v>
      </c>
      <c r="CO899" s="1596">
        <f t="shared" si="1642"/>
        <v>0</v>
      </c>
      <c r="CP899" s="1596">
        <f t="shared" si="1642"/>
        <v>0</v>
      </c>
      <c r="CQ899" s="1590"/>
      <c r="CR899" s="1596">
        <f t="shared" ref="CR899:DF899" si="1643">+CR898-SUM(CR891:CR897)</f>
        <v>0</v>
      </c>
      <c r="CS899" s="1596">
        <f t="shared" si="1643"/>
        <v>0</v>
      </c>
      <c r="CT899" s="1596">
        <f t="shared" si="1643"/>
        <v>0</v>
      </c>
      <c r="CU899" s="1590"/>
      <c r="CV899" s="1596">
        <f t="shared" si="1643"/>
        <v>0</v>
      </c>
      <c r="CW899" s="1596">
        <f t="shared" si="1643"/>
        <v>0</v>
      </c>
      <c r="CX899" s="1596">
        <f t="shared" si="1643"/>
        <v>0</v>
      </c>
      <c r="CY899" s="1590"/>
      <c r="CZ899" s="1596">
        <f t="shared" si="1643"/>
        <v>0</v>
      </c>
      <c r="DA899" s="1596">
        <f t="shared" si="1643"/>
        <v>0</v>
      </c>
      <c r="DB899" s="1596">
        <f t="shared" si="1643"/>
        <v>0</v>
      </c>
      <c r="DC899" s="1590"/>
      <c r="DD899" s="1596">
        <f t="shared" ref="DD899" si="1644">+DD898-SUM(DD891:DD897)</f>
        <v>0</v>
      </c>
      <c r="DE899" s="1596">
        <f t="shared" si="1643"/>
        <v>0</v>
      </c>
      <c r="DF899" s="1596">
        <f t="shared" si="1643"/>
        <v>0</v>
      </c>
      <c r="DG899" s="1590"/>
      <c r="DH899" s="1596">
        <f t="shared" ref="DH899" si="1645">+DH898-SUM(DH891:DH897)</f>
        <v>0</v>
      </c>
      <c r="DI899" s="1596">
        <f t="shared" ref="DI899:DJ899" si="1646">+DI898-SUM(DI891:DI897)</f>
        <v>0</v>
      </c>
      <c r="DJ899" s="1596">
        <f t="shared" si="1646"/>
        <v>0</v>
      </c>
      <c r="DK899" s="1590"/>
      <c r="DL899" s="1596">
        <f t="shared" ref="DL899:DN899" si="1647">+DL898-SUM(DL891:DL897)</f>
        <v>0</v>
      </c>
      <c r="DM899" s="1596">
        <f t="shared" si="1647"/>
        <v>0</v>
      </c>
      <c r="DN899" s="1596">
        <f t="shared" si="1647"/>
        <v>0</v>
      </c>
      <c r="DP899" s="1596">
        <f t="shared" ref="DP899:DR899" si="1648">+DP898-SUM(DP891:DP897)</f>
        <v>0</v>
      </c>
      <c r="DQ899" s="1596">
        <f t="shared" si="1648"/>
        <v>0</v>
      </c>
      <c r="DR899" s="1596">
        <f t="shared" si="1648"/>
        <v>0</v>
      </c>
      <c r="DU899" s="876"/>
      <c r="DV899" s="876"/>
      <c r="DW899" s="876"/>
      <c r="DZ899" s="876"/>
      <c r="EA899" s="876"/>
      <c r="ED899" s="876"/>
      <c r="EE899" s="876"/>
    </row>
    <row r="900" spans="1:135">
      <c r="AR900" s="685"/>
      <c r="AS900" s="685"/>
      <c r="AT900" s="730"/>
      <c r="AU900" s="730"/>
      <c r="AV900" s="685"/>
      <c r="AW900" s="685"/>
      <c r="AX900" s="730"/>
      <c r="AY900" s="730"/>
      <c r="AZ900" s="685"/>
      <c r="BA900" s="876"/>
      <c r="BD900" s="711"/>
      <c r="BE900" s="885"/>
      <c r="BF900" s="711"/>
      <c r="BH900" s="685"/>
      <c r="BI900" s="876"/>
      <c r="BL900" s="876"/>
      <c r="BM900" s="876"/>
      <c r="BP900" s="876"/>
      <c r="BQ900" s="876"/>
      <c r="BT900" s="876"/>
      <c r="BU900" s="876"/>
      <c r="BX900" s="293"/>
      <c r="BY900" s="293"/>
      <c r="BZ900" s="293"/>
      <c r="CB900" s="293"/>
      <c r="CC900" s="293"/>
      <c r="CD900" s="293"/>
      <c r="CE900" s="103"/>
      <c r="CF900" s="293"/>
      <c r="CG900" s="293"/>
      <c r="CH900" s="293"/>
      <c r="CI900" s="103"/>
      <c r="CJ900" s="293"/>
      <c r="CK900" s="293"/>
      <c r="CL900" s="293"/>
      <c r="CM900" s="103"/>
      <c r="CN900" s="293"/>
      <c r="CO900" s="293"/>
      <c r="CP900" s="293"/>
      <c r="CQ900" s="103"/>
      <c r="CR900" s="293"/>
      <c r="CS900" s="293"/>
      <c r="CT900" s="293"/>
      <c r="CV900" s="626"/>
      <c r="CW900" s="626"/>
      <c r="CX900" s="626"/>
      <c r="CZ900" s="876"/>
      <c r="DA900" s="876"/>
      <c r="DD900" s="876"/>
      <c r="DE900" s="876"/>
      <c r="DH900" s="876"/>
      <c r="DI900" s="876"/>
      <c r="DL900" s="876"/>
      <c r="DM900" s="876"/>
      <c r="DP900" s="876"/>
      <c r="DQ900" s="876"/>
      <c r="DU900" s="876"/>
      <c r="DV900" s="876"/>
      <c r="DW900" s="876"/>
      <c r="DZ900" s="876"/>
      <c r="EA900" s="876"/>
      <c r="ED900" s="876"/>
      <c r="EE900" s="876"/>
    </row>
    <row r="901" spans="1:135">
      <c r="A901" s="1639" t="s">
        <v>1345</v>
      </c>
      <c r="AR901" s="685"/>
      <c r="AS901" s="685"/>
      <c r="AT901" s="730"/>
      <c r="AU901" s="730"/>
      <c r="AV901" s="685"/>
      <c r="AW901" s="685"/>
      <c r="AX901" s="730"/>
      <c r="AY901" s="730"/>
      <c r="AZ901" s="685"/>
      <c r="BA901" s="876"/>
      <c r="BD901" s="711"/>
      <c r="BE901" s="885"/>
      <c r="BF901" s="711"/>
      <c r="BH901" s="685"/>
      <c r="BI901" s="876"/>
      <c r="BL901" s="876"/>
      <c r="BM901" s="876"/>
      <c r="BP901" s="876"/>
      <c r="BQ901" s="876"/>
      <c r="BT901" s="876"/>
      <c r="BU901" s="876"/>
      <c r="BX901" s="876"/>
      <c r="BY901" s="876"/>
      <c r="CB901" s="876"/>
      <c r="CC901" s="876"/>
      <c r="CF901" s="876"/>
      <c r="CG901" s="876"/>
      <c r="CJ901" s="876"/>
      <c r="CK901" s="876"/>
      <c r="CN901" s="876"/>
      <c r="CO901" s="876"/>
      <c r="CR901" s="876"/>
      <c r="CS901" s="876"/>
      <c r="CV901" s="876"/>
      <c r="CW901" s="876"/>
      <c r="CZ901" s="876"/>
      <c r="DA901" s="876"/>
      <c r="DD901" s="876"/>
      <c r="DE901" s="876"/>
      <c r="DH901" s="876"/>
      <c r="DI901" s="876"/>
      <c r="DL901" s="876"/>
      <c r="DM901" s="876"/>
      <c r="DP901" s="876"/>
      <c r="DQ901" s="876"/>
      <c r="DU901" s="876"/>
      <c r="DV901" s="876"/>
      <c r="DW901" s="876"/>
      <c r="DZ901" s="876"/>
      <c r="EA901" s="876"/>
      <c r="ED901" s="876"/>
      <c r="EE901" s="876"/>
    </row>
    <row r="902" spans="1:135">
      <c r="A902" s="102" t="s">
        <v>686</v>
      </c>
      <c r="AR902" s="685"/>
      <c r="AS902" s="685"/>
      <c r="AT902" s="730"/>
      <c r="AU902" s="730"/>
      <c r="AV902" s="685"/>
      <c r="AW902" s="685"/>
      <c r="AX902" s="730"/>
      <c r="AY902" s="730"/>
      <c r="AZ902" s="685"/>
      <c r="BA902" s="876"/>
      <c r="BD902" s="711"/>
      <c r="BE902" s="885"/>
      <c r="BF902" s="711"/>
      <c r="BH902" s="685"/>
      <c r="BI902" s="876"/>
      <c r="BL902" s="876"/>
      <c r="BM902" s="876"/>
      <c r="BP902" s="876"/>
      <c r="BQ902" s="876"/>
      <c r="BT902" s="876"/>
      <c r="BU902" s="876"/>
      <c r="BX902" s="320">
        <f t="shared" ref="BX902:BZ906" si="1649">+BX891/BX814</f>
        <v>0.68412889802276322</v>
      </c>
      <c r="BY902" s="320">
        <f t="shared" si="1649"/>
        <v>0.61724211171790799</v>
      </c>
      <c r="BZ902" s="320">
        <f t="shared" si="1649"/>
        <v>0.64872033186730582</v>
      </c>
      <c r="CB902" s="320">
        <f t="shared" ref="CB902:CD906" si="1650">+CB891/CB814</f>
        <v>0.64376603353837958</v>
      </c>
      <c r="CC902" s="320">
        <f t="shared" si="1650"/>
        <v>0.57455861973863898</v>
      </c>
      <c r="CD902" s="320">
        <f t="shared" si="1650"/>
        <v>0.60114783144727169</v>
      </c>
      <c r="CE902" s="103"/>
      <c r="CF902" s="320">
        <f t="shared" ref="CF902:CH904" si="1651">+CF891/CF814</f>
        <v>0.43203249142761552</v>
      </c>
      <c r="CG902" s="320">
        <f t="shared" si="1651"/>
        <v>0.39248162333745379</v>
      </c>
      <c r="CH902" s="320">
        <f t="shared" si="1651"/>
        <v>0.40696493436164805</v>
      </c>
      <c r="CI902" s="103"/>
      <c r="CJ902" s="320">
        <f t="shared" ref="CJ902:CL904" si="1652">+CJ891/CJ814</f>
        <v>0.62149228883537722</v>
      </c>
      <c r="CK902" s="320">
        <f t="shared" si="1652"/>
        <v>0.58973282557938544</v>
      </c>
      <c r="CL902" s="320">
        <f t="shared" si="1652"/>
        <v>0.60544771828607047</v>
      </c>
      <c r="CM902" s="103"/>
      <c r="CN902" s="320">
        <f t="shared" ref="CN902:CP904" si="1653">+CN891/CN814</f>
        <v>0.90349176374243167</v>
      </c>
      <c r="CO902" s="320">
        <f t="shared" si="1653"/>
        <v>0.58265676729067339</v>
      </c>
      <c r="CP902" s="320">
        <f t="shared" si="1653"/>
        <v>0.66920469611823208</v>
      </c>
      <c r="CQ902" s="103"/>
      <c r="CR902" s="320">
        <f t="shared" ref="CR902:CT904" si="1654">+CR891/CR814</f>
        <v>0.5498878084895954</v>
      </c>
      <c r="CS902" s="320">
        <f t="shared" si="1654"/>
        <v>0.49929594011540263</v>
      </c>
      <c r="CT902" s="320">
        <f t="shared" si="1654"/>
        <v>0.52174697303603845</v>
      </c>
      <c r="CV902" s="320">
        <f t="shared" ref="CV902:CX902" si="1655">+CV891/CV814</f>
        <v>0.65677008988182972</v>
      </c>
      <c r="CW902" s="320">
        <f t="shared" si="1655"/>
        <v>0.69180105708709383</v>
      </c>
      <c r="CX902" s="320">
        <f t="shared" si="1655"/>
        <v>0.67164765189945852</v>
      </c>
      <c r="CZ902" s="320">
        <f t="shared" ref="CZ902:DB902" si="1656">+CZ891/CZ814</f>
        <v>0.61287865980797329</v>
      </c>
      <c r="DA902" s="320">
        <f t="shared" si="1656"/>
        <v>0.57983396348506888</v>
      </c>
      <c r="DB902" s="320">
        <f t="shared" si="1656"/>
        <v>0.59523900773331129</v>
      </c>
      <c r="DD902" s="320">
        <f t="shared" ref="DD902:DF902" si="1657">+DD891/DD814</f>
        <v>0.62114463668659348</v>
      </c>
      <c r="DE902" s="320">
        <f t="shared" si="1657"/>
        <v>0.55556559327772781</v>
      </c>
      <c r="DF902" s="320">
        <f t="shared" si="1657"/>
        <v>0.58417027308258485</v>
      </c>
      <c r="DH902" s="320">
        <f t="shared" ref="DH902" si="1658">+DH891/DH814</f>
        <v>0.56763254035432642</v>
      </c>
      <c r="DI902" s="320">
        <f t="shared" ref="DI902:DJ902" si="1659">+DI891/DI814</f>
        <v>0.53125500103723189</v>
      </c>
      <c r="DJ902" s="320">
        <f t="shared" si="1659"/>
        <v>0.54813020067069229</v>
      </c>
      <c r="DL902" s="320">
        <f t="shared" ref="DL902:DN902" si="1660">+DL891/DL814</f>
        <v>0.52428330399985568</v>
      </c>
      <c r="DM902" s="320">
        <f t="shared" si="1660"/>
        <v>0.49385421008824121</v>
      </c>
      <c r="DN902" s="320">
        <f t="shared" si="1660"/>
        <v>0.50789586116485919</v>
      </c>
      <c r="DP902" s="320">
        <f t="shared" ref="DP902:DR902" si="1661">+DP891/DP814</f>
        <v>0.51340835525745454</v>
      </c>
      <c r="DQ902" s="320">
        <f t="shared" si="1661"/>
        <v>0.48549460612944917</v>
      </c>
      <c r="DR902" s="320">
        <f t="shared" si="1661"/>
        <v>0.49842232625781646</v>
      </c>
      <c r="DU902" s="876"/>
      <c r="DV902" s="876"/>
      <c r="DW902" s="876"/>
      <c r="DZ902" s="876"/>
      <c r="EA902" s="876"/>
      <c r="ED902" s="876"/>
      <c r="EE902" s="876"/>
    </row>
    <row r="903" spans="1:135">
      <c r="A903" s="102" t="s">
        <v>1306</v>
      </c>
      <c r="AR903" s="685"/>
      <c r="AS903" s="685"/>
      <c r="AT903" s="730"/>
      <c r="AU903" s="730"/>
      <c r="AV903" s="685"/>
      <c r="AW903" s="685"/>
      <c r="AX903" s="730"/>
      <c r="AY903" s="730"/>
      <c r="AZ903" s="685"/>
      <c r="BA903" s="876"/>
      <c r="BD903" s="711"/>
      <c r="BE903" s="885"/>
      <c r="BF903" s="711"/>
      <c r="BH903" s="685"/>
      <c r="BI903" s="876"/>
      <c r="BL903" s="876"/>
      <c r="BM903" s="876"/>
      <c r="BP903" s="876"/>
      <c r="BQ903" s="876"/>
      <c r="BT903" s="876"/>
      <c r="BU903" s="876"/>
      <c r="BX903" s="320">
        <f t="shared" si="1649"/>
        <v>0.38182288364924644</v>
      </c>
      <c r="BY903" s="320">
        <f t="shared" si="1649"/>
        <v>0.36318164631056082</v>
      </c>
      <c r="BZ903" s="320">
        <f t="shared" si="1649"/>
        <v>0.37338007911170668</v>
      </c>
      <c r="CB903" s="320">
        <f t="shared" si="1650"/>
        <v>0.38446815881878932</v>
      </c>
      <c r="CC903" s="320">
        <f t="shared" si="1650"/>
        <v>0.41433478425829323</v>
      </c>
      <c r="CD903" s="320">
        <f t="shared" si="1650"/>
        <v>0.39526136866500589</v>
      </c>
      <c r="CE903" s="103"/>
      <c r="CF903" s="320">
        <f t="shared" si="1651"/>
        <v>0.37865721917733458</v>
      </c>
      <c r="CG903" s="320">
        <f t="shared" si="1651"/>
        <v>0.36127878511693845</v>
      </c>
      <c r="CH903" s="320">
        <f t="shared" si="1651"/>
        <v>0.36952159112255617</v>
      </c>
      <c r="CI903" s="103"/>
      <c r="CJ903" s="320">
        <f t="shared" si="1652"/>
        <v>0.35723542781112849</v>
      </c>
      <c r="CK903" s="320">
        <f t="shared" si="1652"/>
        <v>0.33891848603960062</v>
      </c>
      <c r="CL903" s="320">
        <f t="shared" si="1652"/>
        <v>0.34818472320033911</v>
      </c>
      <c r="CM903" s="103"/>
      <c r="CN903" s="320">
        <f t="shared" si="1653"/>
        <v>0.40807479575434313</v>
      </c>
      <c r="CO903" s="320">
        <f t="shared" si="1653"/>
        <v>0.36818887500641873</v>
      </c>
      <c r="CP903" s="320">
        <f t="shared" si="1653"/>
        <v>0.38825686040917201</v>
      </c>
      <c r="CQ903" s="103"/>
      <c r="CR903" s="320">
        <f t="shared" si="1654"/>
        <v>0.39098791609396588</v>
      </c>
      <c r="CS903" s="320">
        <f t="shared" si="1654"/>
        <v>0.35560180591040741</v>
      </c>
      <c r="CT903" s="320">
        <f t="shared" si="1654"/>
        <v>0.37075804422090081</v>
      </c>
      <c r="CV903" s="320">
        <f t="shared" ref="CV903:CX903" si="1662">+CV892/CV815</f>
        <v>0.38614338575931312</v>
      </c>
      <c r="CW903" s="320">
        <f t="shared" si="1662"/>
        <v>0.39930152124466095</v>
      </c>
      <c r="CX903" s="320">
        <f t="shared" si="1662"/>
        <v>0.39238236262107051</v>
      </c>
      <c r="CZ903" s="320">
        <f t="shared" ref="CZ903:DB903" si="1663">+CZ892/CZ815</f>
        <v>0.56817298076529454</v>
      </c>
      <c r="DA903" s="320">
        <f t="shared" si="1663"/>
        <v>0.52458925723071803</v>
      </c>
      <c r="DB903" s="320">
        <f t="shared" si="1663"/>
        <v>0.54422398804221517</v>
      </c>
      <c r="DD903" s="320">
        <f t="shared" ref="DD903:DF903" si="1664">+DD892/DD815</f>
        <v>0.54300072607362038</v>
      </c>
      <c r="DE903" s="320">
        <f t="shared" si="1664"/>
        <v>0.48713525526338897</v>
      </c>
      <c r="DF903" s="320">
        <f t="shared" si="1664"/>
        <v>0.51192710269360509</v>
      </c>
      <c r="DH903" s="320">
        <f t="shared" ref="DH903" si="1665">+DH892/DH815</f>
        <v>0.50338326383086718</v>
      </c>
      <c r="DI903" s="320">
        <f t="shared" ref="DI903:DJ903" si="1666">+DI892/DI815</f>
        <v>0.48102409796311402</v>
      </c>
      <c r="DJ903" s="320">
        <f t="shared" si="1666"/>
        <v>0.49149422078740479</v>
      </c>
      <c r="DL903" s="320">
        <f t="shared" ref="DL903:DN903" si="1667">+DL892/DL815</f>
        <v>0.55171095214024857</v>
      </c>
      <c r="DM903" s="320">
        <f t="shared" si="1667"/>
        <v>0.52458672881234458</v>
      </c>
      <c r="DN903" s="320">
        <f t="shared" si="1667"/>
        <v>0.53803412418116059</v>
      </c>
      <c r="DP903" s="320">
        <f t="shared" ref="DP903:DR903" si="1668">+DP892/DP815</f>
        <v>0.55572265439189783</v>
      </c>
      <c r="DQ903" s="320">
        <f t="shared" si="1668"/>
        <v>0.5295863834968304</v>
      </c>
      <c r="DR903" s="320">
        <f t="shared" si="1668"/>
        <v>0.54248605134051109</v>
      </c>
      <c r="DU903" s="876"/>
      <c r="DV903" s="876"/>
      <c r="DW903" s="876"/>
      <c r="DZ903" s="876"/>
      <c r="EA903" s="876"/>
      <c r="ED903" s="876"/>
      <c r="EE903" s="876"/>
    </row>
    <row r="904" spans="1:135">
      <c r="A904" s="102" t="s">
        <v>1024</v>
      </c>
      <c r="AR904" s="685"/>
      <c r="AS904" s="685"/>
      <c r="AT904" s="730"/>
      <c r="AU904" s="730"/>
      <c r="AV904" s="685"/>
      <c r="AW904" s="685"/>
      <c r="AX904" s="730"/>
      <c r="AY904" s="730"/>
      <c r="AZ904" s="685"/>
      <c r="BA904" s="876"/>
      <c r="BD904" s="711"/>
      <c r="BE904" s="885"/>
      <c r="BF904" s="711"/>
      <c r="BH904" s="685"/>
      <c r="BI904" s="876"/>
      <c r="BL904" s="876"/>
      <c r="BM904" s="876"/>
      <c r="BP904" s="876"/>
      <c r="BQ904" s="876"/>
      <c r="BT904" s="876"/>
      <c r="BU904" s="876"/>
      <c r="BX904" s="320">
        <f t="shared" si="1649"/>
        <v>0.43974307719117861</v>
      </c>
      <c r="BY904" s="320">
        <f t="shared" si="1649"/>
        <v>0.40559732717790431</v>
      </c>
      <c r="BZ904" s="320">
        <f t="shared" si="1649"/>
        <v>0.42275253095666554</v>
      </c>
      <c r="CB904" s="320">
        <f t="shared" si="1650"/>
        <v>0.45686630603675182</v>
      </c>
      <c r="CC904" s="320">
        <f t="shared" si="1650"/>
        <v>0.42677455466596292</v>
      </c>
      <c r="CD904" s="320">
        <f t="shared" si="1650"/>
        <v>0.44045477874054434</v>
      </c>
      <c r="CE904" s="103"/>
      <c r="CF904" s="320">
        <f t="shared" si="1651"/>
        <v>0.43879341677797323</v>
      </c>
      <c r="CG904" s="320">
        <f t="shared" si="1651"/>
        <v>0.43184657475547561</v>
      </c>
      <c r="CH904" s="320">
        <f t="shared" si="1651"/>
        <v>0.43568247754748729</v>
      </c>
      <c r="CI904" s="103"/>
      <c r="CJ904" s="320">
        <f t="shared" si="1652"/>
        <v>0.44134980902105581</v>
      </c>
      <c r="CK904" s="320">
        <f t="shared" si="1652"/>
        <v>0.42534515351020136</v>
      </c>
      <c r="CL904" s="320">
        <f t="shared" si="1652"/>
        <v>0.43346932667455362</v>
      </c>
      <c r="CM904" s="103"/>
      <c r="CN904" s="320">
        <f t="shared" si="1653"/>
        <v>0.39320370361528878</v>
      </c>
      <c r="CO904" s="320">
        <f t="shared" si="1653"/>
        <v>0.34531294229088716</v>
      </c>
      <c r="CP904" s="320">
        <f t="shared" si="1653"/>
        <v>0.36705310061667734</v>
      </c>
      <c r="CQ904" s="103"/>
      <c r="CR904" s="320">
        <f t="shared" si="1654"/>
        <v>0.33907760103979018</v>
      </c>
      <c r="CS904" s="320">
        <f t="shared" si="1654"/>
        <v>0.30970984358252684</v>
      </c>
      <c r="CT904" s="320">
        <f t="shared" si="1654"/>
        <v>0.3226923916239674</v>
      </c>
      <c r="CV904" s="320">
        <f t="shared" ref="CV904:CX904" si="1669">+CV893/CV816</f>
        <v>0.35444972776035849</v>
      </c>
      <c r="CW904" s="320">
        <f t="shared" si="1669"/>
        <v>0.33476059919205864</v>
      </c>
      <c r="CX904" s="320">
        <f t="shared" si="1669"/>
        <v>0.34207100673428442</v>
      </c>
      <c r="CZ904" s="320">
        <f t="shared" ref="CZ904:DB904" si="1670">+CZ893/CZ816</f>
        <v>0.43208932226179525</v>
      </c>
      <c r="DA904" s="320">
        <f t="shared" si="1670"/>
        <v>0.41316340970572163</v>
      </c>
      <c r="DB904" s="320">
        <f t="shared" si="1670"/>
        <v>0.42201481525524459</v>
      </c>
      <c r="DD904" s="320">
        <f t="shared" ref="DD904:DF904" si="1671">+DD893/DD816</f>
        <v>0.41934580805055766</v>
      </c>
      <c r="DE904" s="320">
        <f t="shared" si="1671"/>
        <v>0.38958772751601112</v>
      </c>
      <c r="DF904" s="320">
        <f t="shared" si="1671"/>
        <v>0.40418535120312643</v>
      </c>
      <c r="DH904" s="320">
        <f t="shared" ref="DH904" si="1672">+DH893/DH816</f>
        <v>0.4090559015676829</v>
      </c>
      <c r="DI904" s="320">
        <f t="shared" ref="DI904:DJ904" si="1673">+DI893/DI816</f>
        <v>0.36121337052736174</v>
      </c>
      <c r="DJ904" s="320">
        <f t="shared" si="1673"/>
        <v>0.38236092076319572</v>
      </c>
      <c r="DL904" s="320">
        <f t="shared" ref="DL904:DN904" si="1674">+DL893/DL816</f>
        <v>0.40705121348942752</v>
      </c>
      <c r="DM904" s="320">
        <f t="shared" si="1674"/>
        <v>0.37176214111086137</v>
      </c>
      <c r="DN904" s="320">
        <f t="shared" si="1674"/>
        <v>0.38750204159744855</v>
      </c>
      <c r="DP904" s="320">
        <f t="shared" ref="DP904:DR904" si="1675">+DP893/DP816</f>
        <v>0.41126614377123216</v>
      </c>
      <c r="DQ904" s="320">
        <f t="shared" si="1675"/>
        <v>0.37614279391369015</v>
      </c>
      <c r="DR904" s="320">
        <f t="shared" si="1675"/>
        <v>0.39179199777781065</v>
      </c>
      <c r="DU904" s="876"/>
      <c r="DV904" s="876"/>
      <c r="DW904" s="876"/>
      <c r="DZ904" s="876"/>
      <c r="EA904" s="876"/>
      <c r="ED904" s="876"/>
      <c r="EE904" s="876"/>
    </row>
    <row r="905" spans="1:135">
      <c r="A905" s="102" t="s">
        <v>690</v>
      </c>
      <c r="AR905" s="685"/>
      <c r="AS905" s="685"/>
      <c r="AT905" s="730"/>
      <c r="AU905" s="730"/>
      <c r="AV905" s="685"/>
      <c r="AW905" s="685"/>
      <c r="AX905" s="730"/>
      <c r="AY905" s="730"/>
      <c r="AZ905" s="685"/>
      <c r="BA905" s="876"/>
      <c r="BD905" s="711"/>
      <c r="BE905" s="885"/>
      <c r="BF905" s="711"/>
      <c r="BH905" s="685"/>
      <c r="BI905" s="876"/>
      <c r="BL905" s="876"/>
      <c r="BM905" s="876"/>
      <c r="BP905" s="876"/>
      <c r="BQ905" s="876"/>
      <c r="BT905" s="876"/>
      <c r="BU905" s="876"/>
      <c r="BX905" s="320">
        <f t="shared" si="1649"/>
        <v>0.44784822870721108</v>
      </c>
      <c r="BY905" s="320">
        <f t="shared" si="1649"/>
        <v>0.39090159392626117</v>
      </c>
      <c r="BZ905" s="320">
        <f t="shared" si="1649"/>
        <v>0.41678740144662141</v>
      </c>
      <c r="CB905" s="320">
        <f t="shared" si="1650"/>
        <v>0.31057487295974318</v>
      </c>
      <c r="CC905" s="320">
        <f t="shared" si="1650"/>
        <v>0.27349427368599022</v>
      </c>
      <c r="CD905" s="320">
        <f t="shared" si="1650"/>
        <v>0.29037792107993787</v>
      </c>
      <c r="CE905" s="103"/>
      <c r="CF905" s="320"/>
      <c r="CG905" s="320"/>
      <c r="CH905" s="320"/>
      <c r="CI905" s="103"/>
      <c r="CJ905" s="320"/>
      <c r="CK905" s="320"/>
      <c r="CL905" s="320"/>
      <c r="CM905" s="103"/>
      <c r="CN905" s="320"/>
      <c r="CO905" s="320"/>
      <c r="CP905" s="320"/>
      <c r="CQ905" s="103"/>
      <c r="CR905" s="320"/>
      <c r="CS905" s="320"/>
      <c r="CT905" s="320"/>
      <c r="CV905" s="320"/>
      <c r="CW905" s="320"/>
      <c r="CX905" s="320"/>
      <c r="CZ905" s="320"/>
      <c r="DA905" s="320"/>
      <c r="DB905" s="320"/>
      <c r="DD905" s="320"/>
      <c r="DE905" s="320"/>
      <c r="DF905" s="320"/>
      <c r="DH905" s="320"/>
      <c r="DI905" s="320"/>
      <c r="DJ905" s="320"/>
      <c r="DL905" s="320"/>
      <c r="DM905" s="320"/>
      <c r="DN905" s="320"/>
      <c r="DP905" s="320"/>
      <c r="DQ905" s="320"/>
      <c r="DR905" s="320"/>
      <c r="DU905" s="876"/>
      <c r="DV905" s="876"/>
      <c r="DW905" s="876"/>
      <c r="DZ905" s="876"/>
      <c r="EA905" s="876"/>
      <c r="ED905" s="876"/>
      <c r="EE905" s="876"/>
    </row>
    <row r="906" spans="1:135">
      <c r="A906" s="102" t="s">
        <v>689</v>
      </c>
      <c r="AR906" s="685"/>
      <c r="AS906" s="685"/>
      <c r="AT906" s="730"/>
      <c r="AU906" s="730"/>
      <c r="AV906" s="685"/>
      <c r="AW906" s="685"/>
      <c r="AX906" s="730"/>
      <c r="AY906" s="730"/>
      <c r="AZ906" s="685"/>
      <c r="BA906" s="876"/>
      <c r="BD906" s="711"/>
      <c r="BE906" s="885"/>
      <c r="BF906" s="711"/>
      <c r="BH906" s="685"/>
      <c r="BI906" s="876"/>
      <c r="BL906" s="876"/>
      <c r="BM906" s="876"/>
      <c r="BP906" s="876"/>
      <c r="BQ906" s="876"/>
      <c r="BT906" s="876"/>
      <c r="BU906" s="876"/>
      <c r="BX906" s="320">
        <f t="shared" si="1649"/>
        <v>0.3976292345565538</v>
      </c>
      <c r="BY906" s="320">
        <f t="shared" si="1649"/>
        <v>0.34969927722502792</v>
      </c>
      <c r="BZ906" s="320">
        <f t="shared" si="1649"/>
        <v>0.37496140842537906</v>
      </c>
      <c r="CB906" s="320">
        <f t="shared" si="1650"/>
        <v>0.3958586513693631</v>
      </c>
      <c r="CC906" s="320">
        <f t="shared" si="1650"/>
        <v>0.3992954420237384</v>
      </c>
      <c r="CD906" s="320">
        <f t="shared" si="1650"/>
        <v>0.39896030476652783</v>
      </c>
      <c r="CE906" s="103"/>
      <c r="CF906" s="320">
        <f>+CF895/CF818</f>
        <v>0.44161710777049407</v>
      </c>
      <c r="CG906" s="320">
        <f>+CG895/CG818</f>
        <v>0.39784903826468582</v>
      </c>
      <c r="CH906" s="320">
        <f>+CH895/CH818</f>
        <v>0.41905445177700335</v>
      </c>
      <c r="CI906" s="103"/>
      <c r="CJ906" s="320">
        <f>+CJ895/CJ818</f>
        <v>0.43895296770320158</v>
      </c>
      <c r="CK906" s="320">
        <f>+CK895/CK818</f>
        <v>0.38474573180715355</v>
      </c>
      <c r="CL906" s="320">
        <f>+CL895/CL818</f>
        <v>0.41176886498268311</v>
      </c>
      <c r="CM906" s="103"/>
      <c r="CN906" s="320">
        <f>+CN895/CN818</f>
        <v>0.50018919670767736</v>
      </c>
      <c r="CO906" s="320">
        <f>+CO895/CO818</f>
        <v>0.38447218746892026</v>
      </c>
      <c r="CP906" s="320">
        <f>+CP895/CP818</f>
        <v>0.44065859314109723</v>
      </c>
      <c r="CQ906" s="103"/>
      <c r="CR906" s="320">
        <f>+CR895/CR818</f>
        <v>0.46736243532502186</v>
      </c>
      <c r="CS906" s="320">
        <f>+CS895/CS818</f>
        <v>0.38800037333358545</v>
      </c>
      <c r="CT906" s="320">
        <f>+CT895/CT818</f>
        <v>0.4256784469598997</v>
      </c>
      <c r="CV906" s="320">
        <f t="shared" ref="CV906:CX906" si="1676">+CV895/CV818</f>
        <v>0.43132164877250417</v>
      </c>
      <c r="CW906" s="320">
        <f t="shared" si="1676"/>
        <v>0.43534617769945383</v>
      </c>
      <c r="CX906" s="320">
        <f t="shared" si="1676"/>
        <v>0.43335224195277999</v>
      </c>
      <c r="CZ906" s="320">
        <f t="shared" ref="CZ906:DB906" si="1677">+CZ895/CZ818</f>
        <v>0.47158580092842201</v>
      </c>
      <c r="DA906" s="320">
        <f t="shared" si="1677"/>
        <v>0.43676825909047529</v>
      </c>
      <c r="DB906" s="320">
        <f t="shared" si="1677"/>
        <v>0.45411068826626955</v>
      </c>
      <c r="DD906" s="320">
        <f t="shared" ref="DD906:DF906" si="1678">+DD895/DD818</f>
        <v>0.45548243370315483</v>
      </c>
      <c r="DE906" s="320">
        <f t="shared" si="1678"/>
        <v>0.37325734589050191</v>
      </c>
      <c r="DF906" s="320">
        <f t="shared" si="1678"/>
        <v>0.41298300114429354</v>
      </c>
      <c r="DH906" s="320">
        <f t="shared" ref="DH906" si="1679">+DH895/DH818</f>
        <v>0.41293384792151178</v>
      </c>
      <c r="DI906" s="320">
        <f t="shared" ref="DI906:DJ906" si="1680">+DI895/DI818</f>
        <v>0.37455771216062544</v>
      </c>
      <c r="DJ906" s="320">
        <f t="shared" si="1680"/>
        <v>0.39447240467178174</v>
      </c>
      <c r="DL906" s="320">
        <f t="shared" ref="DL906:DN906" si="1681">+DL895/DL818</f>
        <v>0.435560186010715</v>
      </c>
      <c r="DM906" s="320">
        <f t="shared" si="1681"/>
        <v>0.38039095909684811</v>
      </c>
      <c r="DN906" s="320">
        <f t="shared" si="1681"/>
        <v>0.40753941722414794</v>
      </c>
      <c r="DP906" s="320">
        <f t="shared" ref="DP906:DR906" si="1682">+DP895/DP818</f>
        <v>0.43254907316634067</v>
      </c>
      <c r="DQ906" s="320">
        <f t="shared" si="1682"/>
        <v>0.38422391102781833</v>
      </c>
      <c r="DR906" s="320">
        <f t="shared" si="1682"/>
        <v>0.4080762513285357</v>
      </c>
      <c r="DU906" s="876"/>
      <c r="DV906" s="876"/>
      <c r="DW906" s="876"/>
      <c r="DZ906" s="876"/>
      <c r="EA906" s="876"/>
      <c r="ED906" s="876"/>
      <c r="EE906" s="876"/>
    </row>
    <row r="907" spans="1:135">
      <c r="A907" s="102" t="s">
        <v>688</v>
      </c>
      <c r="AR907" s="685"/>
      <c r="AS907" s="685"/>
      <c r="AT907" s="730"/>
      <c r="AU907" s="730"/>
      <c r="AV907" s="685"/>
      <c r="AW907" s="685"/>
      <c r="AX907" s="730"/>
      <c r="AY907" s="730"/>
      <c r="AZ907" s="685"/>
      <c r="BA907" s="876"/>
      <c r="BD907" s="711"/>
      <c r="BE907" s="885"/>
      <c r="BF907" s="711"/>
      <c r="BH907" s="685"/>
      <c r="BI907" s="876"/>
      <c r="BL907" s="876"/>
      <c r="BM907" s="876"/>
      <c r="BP907" s="876"/>
      <c r="BQ907" s="876"/>
      <c r="BT907" s="876"/>
      <c r="BU907" s="876"/>
      <c r="BX907" s="320"/>
      <c r="BY907" s="320"/>
      <c r="BZ907" s="320"/>
      <c r="CB907" s="320"/>
      <c r="CC907" s="320"/>
      <c r="CD907" s="320"/>
      <c r="CE907" s="103"/>
      <c r="CF907" s="320"/>
      <c r="CG907" s="320"/>
      <c r="CH907" s="320"/>
      <c r="CI907" s="103"/>
      <c r="CJ907" s="320"/>
      <c r="CK907" s="320"/>
      <c r="CL907" s="320"/>
      <c r="CM907" s="103"/>
      <c r="CN907" s="320"/>
      <c r="CO907" s="320"/>
      <c r="CP907" s="320"/>
      <c r="CQ907" s="103"/>
      <c r="CR907" s="320"/>
      <c r="CS907" s="320"/>
      <c r="CT907" s="320"/>
      <c r="CV907" s="320"/>
      <c r="CW907" s="320"/>
      <c r="CX907" s="320"/>
      <c r="CZ907" s="320"/>
      <c r="DA907" s="320"/>
      <c r="DB907" s="320"/>
      <c r="DD907" s="320"/>
      <c r="DE907" s="320"/>
      <c r="DF907" s="320"/>
      <c r="DH907" s="320"/>
      <c r="DI907" s="320"/>
      <c r="DJ907" s="320"/>
      <c r="DL907" s="320"/>
      <c r="DM907" s="320"/>
      <c r="DN907" s="320"/>
      <c r="DP907" s="320"/>
      <c r="DQ907" s="320"/>
      <c r="DR907" s="320"/>
      <c r="DU907" s="876"/>
      <c r="DV907" s="876"/>
      <c r="DW907" s="876"/>
      <c r="DZ907" s="876"/>
      <c r="EA907" s="876"/>
      <c r="ED907" s="876"/>
      <c r="EE907" s="876"/>
    </row>
    <row r="908" spans="1:135">
      <c r="AR908" s="685"/>
      <c r="AS908" s="685"/>
      <c r="AT908" s="730"/>
      <c r="AU908" s="730"/>
      <c r="AV908" s="685"/>
      <c r="AW908" s="685"/>
      <c r="AX908" s="730"/>
      <c r="AY908" s="730"/>
      <c r="AZ908" s="685"/>
      <c r="BA908" s="876"/>
      <c r="BD908" s="711"/>
      <c r="BE908" s="885"/>
      <c r="BF908" s="711"/>
      <c r="BH908" s="685"/>
      <c r="BI908" s="876"/>
      <c r="BL908" s="876"/>
      <c r="BM908" s="876"/>
      <c r="BP908" s="876"/>
      <c r="BQ908" s="876"/>
      <c r="BT908" s="876"/>
      <c r="BU908" s="876"/>
      <c r="BX908" s="293"/>
      <c r="BY908" s="293"/>
      <c r="BZ908" s="293"/>
      <c r="CB908" s="293"/>
      <c r="CC908" s="293"/>
      <c r="CD908" s="293"/>
      <c r="CE908" s="103"/>
      <c r="CF908" s="293"/>
      <c r="CG908" s="293"/>
      <c r="CH908" s="293"/>
      <c r="CI908" s="103"/>
      <c r="CJ908" s="293"/>
      <c r="CK908" s="293"/>
      <c r="CL908" s="293"/>
      <c r="CM908" s="103"/>
      <c r="CN908" s="293"/>
      <c r="CO908" s="293"/>
      <c r="CP908" s="293"/>
      <c r="CQ908" s="103"/>
      <c r="CR908" s="293"/>
      <c r="CS908" s="293"/>
      <c r="CT908" s="293"/>
      <c r="CV908" s="293"/>
      <c r="CW908" s="293"/>
      <c r="CX908" s="293"/>
      <c r="CZ908" s="293"/>
      <c r="DA908" s="293"/>
      <c r="DB908" s="293"/>
      <c r="DD908" s="293"/>
      <c r="DE908" s="293"/>
      <c r="DF908" s="293"/>
      <c r="DH908" s="293"/>
      <c r="DI908" s="293"/>
      <c r="DJ908" s="293"/>
      <c r="DL908" s="293"/>
      <c r="DM908" s="293"/>
      <c r="DN908" s="293"/>
      <c r="DP908" s="293"/>
      <c r="DQ908" s="293"/>
      <c r="DR908" s="293"/>
      <c r="DU908" s="876"/>
      <c r="DV908" s="876"/>
      <c r="DW908" s="876"/>
      <c r="DZ908" s="876"/>
      <c r="EA908" s="876"/>
      <c r="ED908" s="876"/>
      <c r="EE908" s="876"/>
    </row>
    <row r="909" spans="1:135">
      <c r="A909" s="289" t="s">
        <v>696</v>
      </c>
      <c r="AR909" s="685"/>
      <c r="AS909" s="685"/>
      <c r="AT909" s="730"/>
      <c r="AU909" s="730"/>
      <c r="AV909" s="685"/>
      <c r="AW909" s="685"/>
      <c r="AX909" s="730"/>
      <c r="AY909" s="730"/>
      <c r="AZ909" s="685"/>
      <c r="BA909" s="876"/>
      <c r="BD909" s="711"/>
      <c r="BE909" s="885"/>
      <c r="BF909" s="711"/>
      <c r="BH909" s="685"/>
      <c r="BI909" s="876"/>
      <c r="BL909" s="876"/>
      <c r="BM909" s="876"/>
      <c r="BP909" s="876"/>
      <c r="BQ909" s="876"/>
      <c r="BT909" s="876"/>
      <c r="BU909" s="876"/>
      <c r="BX909" s="649">
        <f>+BX898/BX821</f>
        <v>0.43886546569566887</v>
      </c>
      <c r="BY909" s="649">
        <f>+BY898/BY821</f>
        <v>0.40594636610959967</v>
      </c>
      <c r="BZ909" s="649">
        <f>+BZ898/BZ821</f>
        <v>0.42252026244693169</v>
      </c>
      <c r="CB909" s="649">
        <f>+CB898/CB821</f>
        <v>0.41893644617380027</v>
      </c>
      <c r="CC909" s="649">
        <f>+CC898/CC821</f>
        <v>0.40412819120043453</v>
      </c>
      <c r="CD909" s="649">
        <f>+CD898/CD821</f>
        <v>0.41144688644688643</v>
      </c>
      <c r="CE909" s="103"/>
      <c r="CF909" s="649">
        <f>+CF898/CF821</f>
        <v>0.42092624356775299</v>
      </c>
      <c r="CG909" s="649">
        <f>+CG898/CG821</f>
        <v>0.39904679376083191</v>
      </c>
      <c r="CH909" s="649">
        <f>+CH898/CH821</f>
        <v>0.40904814175944804</v>
      </c>
      <c r="CI909" s="103"/>
      <c r="CJ909" s="649">
        <f>+CJ898/CJ821</f>
        <v>0.43924050632911393</v>
      </c>
      <c r="CK909" s="649">
        <f>+CK898/CK821</f>
        <v>0.42414654454621148</v>
      </c>
      <c r="CL909" s="649">
        <f>+CL898/CL821</f>
        <v>0.43188640973630832</v>
      </c>
      <c r="CM909" s="103"/>
      <c r="CN909" s="649">
        <f>+CN898/CN821</f>
        <v>0.47381772060155825</v>
      </c>
      <c r="CO909" s="649">
        <f>+CO898/CO821</f>
        <v>0.4</v>
      </c>
      <c r="CP909" s="649">
        <f>+CP898/CP821</f>
        <v>0.43189290746829495</v>
      </c>
      <c r="CQ909" s="103"/>
      <c r="CR909" s="649">
        <f>+CR898/CR821</f>
        <v>0.4054331112250128</v>
      </c>
      <c r="CS909" s="649">
        <f>+CS898/CS821</f>
        <v>0.3740546218487395</v>
      </c>
      <c r="CT909" s="649">
        <f>+CT898/CT821</f>
        <v>0.38818979450473334</v>
      </c>
      <c r="CV909" s="649">
        <f t="shared" ref="CV909:CX909" si="1683">+CV898/CV821</f>
        <v>0.41894712430426717</v>
      </c>
      <c r="CW909" s="649">
        <f t="shared" si="1683"/>
        <v>0.38959801867022292</v>
      </c>
      <c r="CX909" s="649">
        <f t="shared" si="1683"/>
        <v>0.40283443154481746</v>
      </c>
      <c r="CZ909" s="649">
        <f t="shared" ref="CZ909:DB909" si="1684">+CZ898/CZ821</f>
        <v>0.47206068268015172</v>
      </c>
      <c r="DA909" s="649">
        <f t="shared" si="1684"/>
        <v>0.44435780327503621</v>
      </c>
      <c r="DB909" s="649">
        <f t="shared" si="1684"/>
        <v>0.45733404393912475</v>
      </c>
      <c r="DD909" s="649">
        <f t="shared" ref="DD909:DF909" si="1685">+DD898/DD821</f>
        <v>0.45715676728334959</v>
      </c>
      <c r="DE909" s="649">
        <f t="shared" si="1685"/>
        <v>0.43416370106761565</v>
      </c>
      <c r="DF909" s="649">
        <f t="shared" si="1685"/>
        <v>0.44514179451417946</v>
      </c>
      <c r="DH909" s="649">
        <f t="shared" ref="DH909" si="1686">+DH898/DH821</f>
        <v>0.4551835231849039</v>
      </c>
      <c r="DI909" s="649">
        <f t="shared" ref="DI909:DJ909" si="1687">+DI898/DI821</f>
        <v>0.41272255105144318</v>
      </c>
      <c r="DJ909" s="649">
        <f t="shared" si="1687"/>
        <v>0.4325019305962427</v>
      </c>
      <c r="DL909" s="649">
        <f t="shared" ref="DL909:DN909" si="1688">+DL898/DL821</f>
        <v>0.45644271374989848</v>
      </c>
      <c r="DM909" s="649">
        <f t="shared" si="1688"/>
        <v>0.41910666474658076</v>
      </c>
      <c r="DN909" s="649">
        <f t="shared" si="1688"/>
        <v>0.43668603254886551</v>
      </c>
      <c r="DP909" s="649">
        <f t="shared" ref="DP909:DR909" si="1689">+DP898/DP821</f>
        <v>0.45349439603390329</v>
      </c>
      <c r="DQ909" s="649">
        <f t="shared" si="1689"/>
        <v>0.41934831035353742</v>
      </c>
      <c r="DR909" s="649">
        <f t="shared" si="1689"/>
        <v>0.43544733855229367</v>
      </c>
      <c r="DU909" s="876"/>
      <c r="DV909" s="876"/>
      <c r="DW909" s="876"/>
      <c r="DZ909" s="876"/>
      <c r="EA909" s="876"/>
      <c r="ED909" s="876"/>
      <c r="EE909" s="876"/>
    </row>
    <row r="910" spans="1:135">
      <c r="A910" s="1639" t="s">
        <v>1322</v>
      </c>
      <c r="AR910" s="685"/>
      <c r="AS910" s="685"/>
      <c r="AT910" s="730"/>
      <c r="AU910" s="730"/>
      <c r="AV910" s="685"/>
      <c r="AW910" s="685"/>
      <c r="AX910" s="730"/>
      <c r="AY910" s="730"/>
      <c r="AZ910" s="685"/>
      <c r="BA910" s="876"/>
      <c r="BD910" s="711"/>
      <c r="BE910" s="885"/>
      <c r="BF910" s="711"/>
      <c r="BH910" s="685"/>
      <c r="BI910" s="876"/>
      <c r="BL910" s="876"/>
      <c r="BM910" s="876"/>
      <c r="BP910" s="876"/>
      <c r="BQ910" s="876"/>
      <c r="BT910" s="876"/>
      <c r="BU910" s="876"/>
      <c r="BX910" s="876"/>
      <c r="BY910" s="876"/>
      <c r="CB910" s="876"/>
      <c r="CC910" s="876"/>
      <c r="CF910" s="876"/>
      <c r="CG910" s="876"/>
      <c r="CJ910" s="876"/>
      <c r="CK910" s="876"/>
      <c r="CN910" s="876"/>
      <c r="CO910" s="876"/>
      <c r="CR910" s="876"/>
      <c r="CS910" s="876"/>
      <c r="CV910" s="876"/>
      <c r="CW910" s="876"/>
      <c r="CZ910" s="876"/>
      <c r="DA910" s="876"/>
      <c r="DD910" s="876"/>
      <c r="DE910" s="876"/>
      <c r="DH910" s="876"/>
      <c r="DI910" s="876"/>
      <c r="DL910" s="876"/>
      <c r="DM910" s="876"/>
      <c r="DP910" s="876"/>
      <c r="DQ910" s="876"/>
      <c r="DU910" s="876"/>
      <c r="DV910" s="876"/>
      <c r="DW910" s="876"/>
      <c r="DZ910" s="876"/>
      <c r="EA910" s="876"/>
      <c r="ED910" s="876"/>
      <c r="EE910" s="876"/>
    </row>
    <row r="911" spans="1:135">
      <c r="A911" s="102" t="s">
        <v>686</v>
      </c>
      <c r="AR911" s="685"/>
      <c r="AS911" s="685"/>
      <c r="AT911" s="730"/>
      <c r="AU911" s="730"/>
      <c r="AV911" s="685"/>
      <c r="AW911" s="685"/>
      <c r="AX911" s="730"/>
      <c r="AY911" s="730"/>
      <c r="AZ911" s="685"/>
      <c r="BA911" s="876"/>
      <c r="BD911" s="711"/>
      <c r="BE911" s="885"/>
      <c r="BF911" s="711"/>
      <c r="BH911" s="685"/>
      <c r="BI911" s="876"/>
      <c r="BL911" s="876"/>
      <c r="BM911" s="876"/>
      <c r="BP911" s="876"/>
      <c r="BQ911" s="876"/>
      <c r="BT911" s="876"/>
      <c r="BU911" s="876"/>
      <c r="BX911" s="320">
        <f t="shared" ref="BX911:BZ915" si="1690">BX739/(BX$746)</f>
        <v>8.3794522491840495E-2</v>
      </c>
      <c r="BY911" s="320">
        <f t="shared" si="1690"/>
        <v>8.3354612774960785E-2</v>
      </c>
      <c r="BZ911" s="320">
        <f t="shared" si="1690"/>
        <v>8.3577633495800441E-2</v>
      </c>
      <c r="CB911" s="320">
        <f t="shared" ref="CB911:CD915" si="1691">CB739/(CB$746)</f>
        <v>8.1014403366832341E-2</v>
      </c>
      <c r="CC911" s="320">
        <f t="shared" si="1691"/>
        <v>7.775628626692456E-2</v>
      </c>
      <c r="CD911" s="320">
        <f t="shared" si="1691"/>
        <v>7.9359977142040794E-2</v>
      </c>
      <c r="CE911" s="103"/>
      <c r="CF911" s="320">
        <f t="shared" ref="CF911:CH915" si="1692">CF739/(CF$746)</f>
        <v>8.0700572583361399E-2</v>
      </c>
      <c r="CG911" s="320">
        <f t="shared" si="1692"/>
        <v>8.6007202413781916E-2</v>
      </c>
      <c r="CH911" s="320">
        <f t="shared" si="1692"/>
        <v>8.3403566175863031E-2</v>
      </c>
      <c r="CI911" s="103"/>
      <c r="CJ911" s="320">
        <f t="shared" ref="CJ911:CL915" si="1693">CJ739/(CJ$746)</f>
        <v>0.11176771225963074</v>
      </c>
      <c r="CK911" s="320">
        <f t="shared" si="1693"/>
        <v>0.13238043926092605</v>
      </c>
      <c r="CL911" s="320">
        <f t="shared" si="1693"/>
        <v>0.12211457388758969</v>
      </c>
      <c r="CM911" s="103"/>
      <c r="CN911" s="320">
        <f t="shared" ref="CN911:CP915" si="1694">CN739/(CN$746)</f>
        <v>0.12541530818195931</v>
      </c>
      <c r="CO911" s="320">
        <f t="shared" si="1694"/>
        <v>0.11619686119152826</v>
      </c>
      <c r="CP911" s="320">
        <f t="shared" si="1694"/>
        <v>0.12076284220239926</v>
      </c>
      <c r="CQ911" s="103"/>
      <c r="CR911" s="320">
        <f t="shared" ref="CR911:CT915" si="1695">CR739/(CR$746)</f>
        <v>0.10847095164547939</v>
      </c>
      <c r="CS911" s="320">
        <f t="shared" si="1695"/>
        <v>0.10395563352385263</v>
      </c>
      <c r="CT911" s="320">
        <f t="shared" si="1695"/>
        <v>0.10615852774960151</v>
      </c>
      <c r="CV911" s="320">
        <f t="shared" ref="CV911:CX911" si="1696">CV739/(CV$746)</f>
        <v>9.2729752132409957E-2</v>
      </c>
      <c r="CW911" s="320">
        <f t="shared" si="1696"/>
        <v>8.1835323695788817E-2</v>
      </c>
      <c r="CX911" s="320">
        <f t="shared" si="1696"/>
        <v>8.7114831419908265E-2</v>
      </c>
      <c r="CZ911" s="320">
        <f t="shared" ref="CZ911:DB911" si="1697">CZ739/(CZ$746)</f>
        <v>7.8221115871610139E-2</v>
      </c>
      <c r="DA911" s="320">
        <f t="shared" si="1697"/>
        <v>7.718904998092331E-2</v>
      </c>
      <c r="DB911" s="320">
        <f t="shared" si="1697"/>
        <v>7.7704115152601089E-2</v>
      </c>
      <c r="DD911" s="320">
        <f t="shared" ref="DD911:DF911" si="1698">DD739/(DD$746)</f>
        <v>7.7776959159114908E-2</v>
      </c>
      <c r="DE911" s="320">
        <f t="shared" si="1698"/>
        <v>7.7410274454609435E-2</v>
      </c>
      <c r="DF911" s="320">
        <f t="shared" si="1698"/>
        <v>7.7595737016656938E-2</v>
      </c>
      <c r="DH911" s="320">
        <f t="shared" ref="DH911" si="1699">DH739/(DH$746)</f>
        <v>7.4931742339973711E-2</v>
      </c>
      <c r="DI911" s="320">
        <f t="shared" ref="DI911:DJ911" si="1700">DI739/(DI$746)</f>
        <v>7.3255637959739675E-2</v>
      </c>
      <c r="DJ911" s="320">
        <f t="shared" si="1700"/>
        <v>7.4088610734270061E-2</v>
      </c>
      <c r="DL911" s="320">
        <f t="shared" ref="DL911:DN911" si="1701">DL739/(DL$746)</f>
        <v>7.3255637959739661E-2</v>
      </c>
      <c r="DM911" s="320">
        <f t="shared" si="1701"/>
        <v>7.3255637959739661E-2</v>
      </c>
      <c r="DN911" s="320">
        <f t="shared" si="1701"/>
        <v>7.3255637959739675E-2</v>
      </c>
      <c r="DP911" s="320">
        <f t="shared" ref="DP911:DR911" si="1702">DP739/(DP$746)</f>
        <v>7.3255637959739675E-2</v>
      </c>
      <c r="DQ911" s="320">
        <f t="shared" si="1702"/>
        <v>7.3255637959739661E-2</v>
      </c>
      <c r="DR911" s="320">
        <f t="shared" si="1702"/>
        <v>7.3255637959739675E-2</v>
      </c>
      <c r="DU911" s="876"/>
      <c r="DV911" s="876"/>
      <c r="DW911" s="876"/>
      <c r="DZ911" s="876"/>
      <c r="EA911" s="876"/>
      <c r="ED911" s="876"/>
      <c r="EE911" s="876"/>
    </row>
    <row r="912" spans="1:135">
      <c r="A912" s="102" t="s">
        <v>1306</v>
      </c>
      <c r="AR912" s="685"/>
      <c r="AS912" s="685"/>
      <c r="AT912" s="730"/>
      <c r="AU912" s="730"/>
      <c r="AV912" s="685"/>
      <c r="AW912" s="685"/>
      <c r="AX912" s="730"/>
      <c r="AY912" s="730"/>
      <c r="AZ912" s="685"/>
      <c r="BA912" s="876"/>
      <c r="BD912" s="711"/>
      <c r="BE912" s="885"/>
      <c r="BF912" s="711"/>
      <c r="BH912" s="685"/>
      <c r="BI912" s="876"/>
      <c r="BL912" s="876"/>
      <c r="BM912" s="876"/>
      <c r="BP912" s="876"/>
      <c r="BQ912" s="876"/>
      <c r="BT912" s="876"/>
      <c r="BU912" s="876"/>
      <c r="BX912" s="320">
        <f t="shared" si="1690"/>
        <v>0.10696040868454662</v>
      </c>
      <c r="BY912" s="320">
        <f t="shared" si="1690"/>
        <v>0.11220953562178529</v>
      </c>
      <c r="BZ912" s="320">
        <f t="shared" si="1690"/>
        <v>0.10954838941745652</v>
      </c>
      <c r="CB912" s="320">
        <f t="shared" si="1691"/>
        <v>0.11225193193774263</v>
      </c>
      <c r="CC912" s="320">
        <f t="shared" si="1691"/>
        <v>0.10880956567610339</v>
      </c>
      <c r="CD912" s="320">
        <f t="shared" si="1691"/>
        <v>0.11050394656952034</v>
      </c>
      <c r="CE912" s="103"/>
      <c r="CF912" s="320">
        <f t="shared" si="1692"/>
        <v>0.11603233411923207</v>
      </c>
      <c r="CG912" s="320">
        <f t="shared" si="1692"/>
        <v>0.12283035395646108</v>
      </c>
      <c r="CH912" s="320">
        <f t="shared" si="1692"/>
        <v>0.11949498454877465</v>
      </c>
      <c r="CI912" s="103"/>
      <c r="CJ912" s="320">
        <f t="shared" si="1693"/>
        <v>0.11783683638919057</v>
      </c>
      <c r="CK912" s="320">
        <f t="shared" si="1693"/>
        <v>0.11688270528951289</v>
      </c>
      <c r="CL912" s="320">
        <f t="shared" si="1693"/>
        <v>0.11735789624397461</v>
      </c>
      <c r="CM912" s="103"/>
      <c r="CN912" s="320">
        <f t="shared" si="1694"/>
        <v>0.11808725353206023</v>
      </c>
      <c r="CO912" s="320">
        <f t="shared" si="1694"/>
        <v>0.11656254761541977</v>
      </c>
      <c r="CP912" s="320">
        <f t="shared" si="1694"/>
        <v>0.11731774838511227</v>
      </c>
      <c r="CQ912" s="103"/>
      <c r="CR912" s="320">
        <f t="shared" si="1695"/>
        <v>0.12697516930022573</v>
      </c>
      <c r="CS912" s="320">
        <f t="shared" si="1695"/>
        <v>0.13448588082168525</v>
      </c>
      <c r="CT912" s="320">
        <f t="shared" si="1695"/>
        <v>0.13082162005506448</v>
      </c>
      <c r="CV912" s="320">
        <f t="shared" ref="CV912:CX912" si="1703">CV740/(CV$746)</f>
        <v>0.13385384635952832</v>
      </c>
      <c r="CW912" s="320">
        <f t="shared" si="1703"/>
        <v>0.12862350722815838</v>
      </c>
      <c r="CX912" s="320">
        <f t="shared" si="1703"/>
        <v>0.13115816207531034</v>
      </c>
      <c r="CZ912" s="320">
        <f t="shared" ref="CZ912:DB912" si="1704">CZ740/(CZ$746)</f>
        <v>0.12104167165322291</v>
      </c>
      <c r="DA912" s="320">
        <f t="shared" si="1704"/>
        <v>0.11973006486074017</v>
      </c>
      <c r="DB912" s="320">
        <f t="shared" si="1704"/>
        <v>0.12038463835632801</v>
      </c>
      <c r="DD912" s="320">
        <f t="shared" ref="DD912:DF912" si="1705">DD740/(DD$746)</f>
        <v>0.12087723175912965</v>
      </c>
      <c r="DE912" s="320">
        <f t="shared" si="1705"/>
        <v>0.11737207198150196</v>
      </c>
      <c r="DF912" s="320">
        <f t="shared" si="1705"/>
        <v>0.1191449190753599</v>
      </c>
      <c r="DH912" s="320">
        <f t="shared" ref="DH912" si="1706">DH740/(DH$746)</f>
        <v>0.11376276671048639</v>
      </c>
      <c r="DI912" s="320">
        <f t="shared" ref="DI912:DJ912" si="1707">DI740/(DI$746)</f>
        <v>0.11497906261036275</v>
      </c>
      <c r="DJ912" s="320">
        <f t="shared" si="1707"/>
        <v>0.11437460063155182</v>
      </c>
      <c r="DL912" s="320">
        <f t="shared" ref="DL912:DN912" si="1708">DL740/(DL$746)</f>
        <v>0.11497906261036273</v>
      </c>
      <c r="DM912" s="320">
        <f t="shared" si="1708"/>
        <v>0.11497906261036274</v>
      </c>
      <c r="DN912" s="320">
        <f t="shared" si="1708"/>
        <v>0.11497906261036274</v>
      </c>
      <c r="DP912" s="320">
        <f t="shared" ref="DP912:DR912" si="1709">DP740/(DP$746)</f>
        <v>0.11497906261036275</v>
      </c>
      <c r="DQ912" s="320">
        <f t="shared" si="1709"/>
        <v>0.11497906261036271</v>
      </c>
      <c r="DR912" s="320">
        <f t="shared" si="1709"/>
        <v>0.11497906261036274</v>
      </c>
      <c r="DU912" s="876"/>
      <c r="DV912" s="876"/>
      <c r="DW912" s="876"/>
      <c r="DZ912" s="876"/>
      <c r="EA912" s="876"/>
      <c r="ED912" s="876"/>
      <c r="EE912" s="876"/>
    </row>
    <row r="913" spans="1:273">
      <c r="A913" s="102" t="s">
        <v>1024</v>
      </c>
      <c r="AR913" s="685"/>
      <c r="AS913" s="685"/>
      <c r="AT913" s="730"/>
      <c r="AU913" s="730"/>
      <c r="AV913" s="685"/>
      <c r="AW913" s="685"/>
      <c r="AX913" s="730"/>
      <c r="AY913" s="730"/>
      <c r="AZ913" s="685"/>
      <c r="BA913" s="876"/>
      <c r="BD913" s="711"/>
      <c r="BE913" s="885"/>
      <c r="BF913" s="711"/>
      <c r="BH913" s="685"/>
      <c r="BI913" s="876"/>
      <c r="BL913" s="876"/>
      <c r="BM913" s="876"/>
      <c r="BP913" s="876"/>
      <c r="BQ913" s="876"/>
      <c r="BT913" s="876"/>
      <c r="BU913" s="876"/>
      <c r="BX913" s="320">
        <f t="shared" si="1690"/>
        <v>0.13956293458209168</v>
      </c>
      <c r="BY913" s="320">
        <f t="shared" si="1690"/>
        <v>0.1389851530295845</v>
      </c>
      <c r="BZ913" s="320">
        <f t="shared" si="1690"/>
        <v>0.13927807053829966</v>
      </c>
      <c r="CB913" s="320">
        <f t="shared" si="1691"/>
        <v>0.14055073830860212</v>
      </c>
      <c r="CC913" s="320">
        <f t="shared" si="1691"/>
        <v>0.14204325655002636</v>
      </c>
      <c r="CD913" s="320">
        <f t="shared" si="1691"/>
        <v>0.14130861816493445</v>
      </c>
      <c r="CE913" s="103"/>
      <c r="CF913" s="320">
        <f t="shared" si="1692"/>
        <v>0.16298416975412597</v>
      </c>
      <c r="CG913" s="320">
        <f t="shared" si="1692"/>
        <v>0.18336956169094507</v>
      </c>
      <c r="CH913" s="320">
        <f t="shared" si="1692"/>
        <v>0.17336770611273611</v>
      </c>
      <c r="CI913" s="103"/>
      <c r="CJ913" s="320">
        <f t="shared" si="1693"/>
        <v>0.16006516322749634</v>
      </c>
      <c r="CK913" s="320">
        <f t="shared" si="1693"/>
        <v>0.13567648084175832</v>
      </c>
      <c r="CL913" s="320">
        <f t="shared" si="1693"/>
        <v>0.1478229052323454</v>
      </c>
      <c r="CM913" s="103"/>
      <c r="CN913" s="320">
        <f t="shared" si="1694"/>
        <v>0.13361279304455831</v>
      </c>
      <c r="CO913" s="320">
        <f t="shared" si="1694"/>
        <v>0.13103763522779216</v>
      </c>
      <c r="CP913" s="320">
        <f t="shared" si="1694"/>
        <v>0.13231313442017842</v>
      </c>
      <c r="CQ913" s="103"/>
      <c r="CR913" s="320">
        <f t="shared" si="1695"/>
        <v>0.12632172983248188</v>
      </c>
      <c r="CS913" s="320">
        <f t="shared" si="1695"/>
        <v>0.12163997510044706</v>
      </c>
      <c r="CT913" s="320">
        <f t="shared" si="1695"/>
        <v>0.1239240689755108</v>
      </c>
      <c r="CV913" s="320">
        <f t="shared" ref="CV913:CX913" si="1710">CV741/(CV$746)</f>
        <v>0.11901387737640044</v>
      </c>
      <c r="CW913" s="320">
        <f t="shared" si="1710"/>
        <v>0.1169076052796983</v>
      </c>
      <c r="CX913" s="320">
        <f t="shared" si="1710"/>
        <v>0.11792831782724753</v>
      </c>
      <c r="CZ913" s="320">
        <f t="shared" ref="CZ913:DB913" si="1711">CZ741/(CZ$746)</f>
        <v>0.11601522295890279</v>
      </c>
      <c r="DA913" s="320">
        <f t="shared" si="1711"/>
        <v>0.11903853491033957</v>
      </c>
      <c r="DB913" s="320">
        <f t="shared" si="1711"/>
        <v>0.11752971391029086</v>
      </c>
      <c r="DD913" s="320">
        <f t="shared" ref="DD913:DF913" si="1712">DD741/(DD$746)</f>
        <v>0.12443822294260665</v>
      </c>
      <c r="DE913" s="320">
        <f t="shared" si="1712"/>
        <v>0.12772695285010555</v>
      </c>
      <c r="DF913" s="320">
        <f t="shared" si="1712"/>
        <v>0.12606357211174182</v>
      </c>
      <c r="DH913" s="320">
        <f t="shared" ref="DH913" si="1713">DH741/(DH$746)</f>
        <v>0.13027100819091919</v>
      </c>
      <c r="DI913" s="320">
        <f t="shared" ref="DI913:DJ913" si="1714">DI741/(DI$746)</f>
        <v>0.13193078048534385</v>
      </c>
      <c r="DJ913" s="320">
        <f t="shared" si="1714"/>
        <v>0.13110592425951467</v>
      </c>
      <c r="DL913" s="320">
        <f t="shared" ref="DL913:DN913" si="1715">DL741/(DL$746)</f>
        <v>0.13193078048534382</v>
      </c>
      <c r="DM913" s="320">
        <f t="shared" si="1715"/>
        <v>0.13193078048534382</v>
      </c>
      <c r="DN913" s="320">
        <f t="shared" si="1715"/>
        <v>0.13193078048534385</v>
      </c>
      <c r="DP913" s="320">
        <f t="shared" ref="DP913:DR913" si="1716">DP741/(DP$746)</f>
        <v>0.13193078048534385</v>
      </c>
      <c r="DQ913" s="320">
        <f t="shared" si="1716"/>
        <v>0.13193078048534385</v>
      </c>
      <c r="DR913" s="320">
        <f t="shared" si="1716"/>
        <v>0.13193078048534385</v>
      </c>
      <c r="DU913" s="876"/>
      <c r="DV913" s="876"/>
      <c r="DW913" s="876"/>
      <c r="DZ913" s="876"/>
      <c r="EA913" s="876"/>
      <c r="ED913" s="876"/>
      <c r="EE913" s="876"/>
    </row>
    <row r="914" spans="1:273">
      <c r="A914" s="102" t="s">
        <v>690</v>
      </c>
      <c r="AR914" s="685"/>
      <c r="AS914" s="685"/>
      <c r="AT914" s="730"/>
      <c r="AU914" s="730"/>
      <c r="AV914" s="685"/>
      <c r="AW914" s="685"/>
      <c r="AX914" s="730"/>
      <c r="AY914" s="730"/>
      <c r="AZ914" s="685"/>
      <c r="BA914" s="876"/>
      <c r="BD914" s="711"/>
      <c r="BE914" s="885"/>
      <c r="BF914" s="711"/>
      <c r="BH914" s="685"/>
      <c r="BI914" s="876"/>
      <c r="BL914" s="876"/>
      <c r="BM914" s="876"/>
      <c r="BP914" s="876"/>
      <c r="BQ914" s="876"/>
      <c r="BT914" s="876"/>
      <c r="BU914" s="876"/>
      <c r="BX914" s="320">
        <f t="shared" si="1690"/>
        <v>9.5785440613026823E-2</v>
      </c>
      <c r="BY914" s="320">
        <f t="shared" si="1690"/>
        <v>9.5027906467734291E-2</v>
      </c>
      <c r="BZ914" s="320">
        <f t="shared" si="1690"/>
        <v>9.5411953022427651E-2</v>
      </c>
      <c r="CB914" s="320">
        <f t="shared" si="1691"/>
        <v>6.9150673003664329E-2</v>
      </c>
      <c r="CC914" s="320">
        <f t="shared" si="1691"/>
        <v>4.6069984174432914E-2</v>
      </c>
      <c r="CD914" s="320">
        <f t="shared" si="1691"/>
        <v>5.7430622522232938E-2</v>
      </c>
      <c r="CE914" s="103"/>
      <c r="CF914" s="320">
        <f t="shared" si="1692"/>
        <v>2.2297069720444596E-2</v>
      </c>
      <c r="CG914" s="320">
        <f t="shared" si="1692"/>
        <v>0</v>
      </c>
      <c r="CH914" s="320">
        <f t="shared" si="1692"/>
        <v>1.0939798059921008E-2</v>
      </c>
      <c r="CI914" s="103"/>
      <c r="CJ914" s="320">
        <f t="shared" si="1693"/>
        <v>0</v>
      </c>
      <c r="CK914" s="320">
        <f t="shared" si="1693"/>
        <v>0</v>
      </c>
      <c r="CL914" s="320">
        <f t="shared" si="1693"/>
        <v>0</v>
      </c>
      <c r="CM914" s="103"/>
      <c r="CN914" s="320">
        <f t="shared" si="1694"/>
        <v>0</v>
      </c>
      <c r="CO914" s="320">
        <f t="shared" si="1694"/>
        <v>0</v>
      </c>
      <c r="CP914" s="320">
        <f t="shared" si="1694"/>
        <v>0</v>
      </c>
      <c r="CQ914" s="103"/>
      <c r="CR914" s="320">
        <f t="shared" si="1695"/>
        <v>0</v>
      </c>
      <c r="CS914" s="320">
        <f t="shared" si="1695"/>
        <v>0</v>
      </c>
      <c r="CT914" s="320">
        <f t="shared" si="1695"/>
        <v>0</v>
      </c>
      <c r="CV914" s="320">
        <f t="shared" ref="CV914:CX914" si="1717">CV742/(CV$746)</f>
        <v>0</v>
      </c>
      <c r="CW914" s="320">
        <f t="shared" si="1717"/>
        <v>0</v>
      </c>
      <c r="CX914" s="320">
        <f t="shared" si="1717"/>
        <v>0</v>
      </c>
      <c r="CZ914" s="320">
        <f t="shared" ref="CZ914:DB914" si="1718">CZ742/(CZ$746)</f>
        <v>0</v>
      </c>
      <c r="DA914" s="320">
        <f t="shared" si="1718"/>
        <v>0</v>
      </c>
      <c r="DB914" s="320">
        <f t="shared" si="1718"/>
        <v>0</v>
      </c>
      <c r="DD914" s="320">
        <f t="shared" ref="DD914:DF914" si="1719">DD742/(DD$746)</f>
        <v>0</v>
      </c>
      <c r="DE914" s="320">
        <f t="shared" si="1719"/>
        <v>0</v>
      </c>
      <c r="DF914" s="320">
        <f t="shared" si="1719"/>
        <v>0</v>
      </c>
      <c r="DH914" s="320">
        <f t="shared" ref="DH914" si="1720">DH742/(DH$746)</f>
        <v>0</v>
      </c>
      <c r="DI914" s="320">
        <f t="shared" ref="DI914:DJ914" si="1721">DI742/(DI$746)</f>
        <v>0</v>
      </c>
      <c r="DJ914" s="320">
        <f t="shared" si="1721"/>
        <v>0</v>
      </c>
      <c r="DL914" s="320">
        <f t="shared" ref="DL914:DN914" si="1722">DL742/(DL$746)</f>
        <v>0</v>
      </c>
      <c r="DM914" s="320">
        <f t="shared" si="1722"/>
        <v>0</v>
      </c>
      <c r="DN914" s="320">
        <f t="shared" si="1722"/>
        <v>0</v>
      </c>
      <c r="DP914" s="320">
        <f t="shared" ref="DP914:DR914" si="1723">DP742/(DP$746)</f>
        <v>0</v>
      </c>
      <c r="DQ914" s="320">
        <f t="shared" si="1723"/>
        <v>0</v>
      </c>
      <c r="DR914" s="320">
        <f t="shared" si="1723"/>
        <v>0</v>
      </c>
      <c r="DU914" s="876"/>
      <c r="DV914" s="876"/>
      <c r="DW914" s="876"/>
      <c r="DZ914" s="876"/>
      <c r="EA914" s="876"/>
      <c r="ED914" s="876"/>
      <c r="EE914" s="876"/>
    </row>
    <row r="915" spans="1:273">
      <c r="A915" s="102" t="s">
        <v>689</v>
      </c>
      <c r="AR915" s="685"/>
      <c r="AS915" s="685"/>
      <c r="AT915" s="730"/>
      <c r="AU915" s="730"/>
      <c r="AV915" s="685"/>
      <c r="AW915" s="685"/>
      <c r="AX915" s="730"/>
      <c r="AY915" s="730"/>
      <c r="AZ915" s="685"/>
      <c r="BA915" s="876"/>
      <c r="BD915" s="711"/>
      <c r="BE915" s="885"/>
      <c r="BF915" s="711"/>
      <c r="BH915" s="685"/>
      <c r="BI915" s="876"/>
      <c r="BL915" s="876"/>
      <c r="BM915" s="876"/>
      <c r="BP915" s="876"/>
      <c r="BQ915" s="876"/>
      <c r="BT915" s="876"/>
      <c r="BU915" s="876"/>
      <c r="BX915" s="632">
        <f t="shared" si="1690"/>
        <v>0.15034766567333618</v>
      </c>
      <c r="BY915" s="632">
        <f t="shared" si="1690"/>
        <v>0.14766716521358481</v>
      </c>
      <c r="BZ915" s="632">
        <f t="shared" si="1690"/>
        <v>0.14902609665293789</v>
      </c>
      <c r="CB915" s="632">
        <f t="shared" si="1691"/>
        <v>0.17450930595363348</v>
      </c>
      <c r="CC915" s="632">
        <f t="shared" si="1691"/>
        <v>0.2081237911025145</v>
      </c>
      <c r="CD915" s="632">
        <f t="shared" si="1691"/>
        <v>0.19157827065252331</v>
      </c>
      <c r="CE915" s="103"/>
      <c r="CF915" s="632">
        <f t="shared" si="1692"/>
        <v>0.20377231391040754</v>
      </c>
      <c r="CG915" s="632">
        <f t="shared" si="1692"/>
        <v>0.18564059306362132</v>
      </c>
      <c r="CH915" s="632">
        <f t="shared" si="1692"/>
        <v>0.19453671111992465</v>
      </c>
      <c r="CI915" s="103"/>
      <c r="CJ915" s="632">
        <f t="shared" si="1693"/>
        <v>0.17322557976106817</v>
      </c>
      <c r="CK915" s="632">
        <f t="shared" si="1693"/>
        <v>0.16831996957500078</v>
      </c>
      <c r="CL915" s="632">
        <f t="shared" si="1693"/>
        <v>0.17076313654369302</v>
      </c>
      <c r="CM915" s="103"/>
      <c r="CN915" s="632">
        <f t="shared" si="1694"/>
        <v>0.17248874398385344</v>
      </c>
      <c r="CO915" s="632">
        <f t="shared" si="1694"/>
        <v>0.17921682157549901</v>
      </c>
      <c r="CP915" s="632">
        <f t="shared" si="1694"/>
        <v>0.17588434327899108</v>
      </c>
      <c r="CQ915" s="103"/>
      <c r="CR915" s="632">
        <f t="shared" si="1695"/>
        <v>0.18230961150053462</v>
      </c>
      <c r="CS915" s="632">
        <f t="shared" si="1695"/>
        <v>0.18422839680833003</v>
      </c>
      <c r="CT915" s="632">
        <f t="shared" si="1695"/>
        <v>0.18329227648166932</v>
      </c>
      <c r="CV915" s="632">
        <f t="shared" ref="CV915:CX915" si="1724">CV743/(CV$746)</f>
        <v>0.18372148987940853</v>
      </c>
      <c r="CW915" s="632">
        <f t="shared" si="1724"/>
        <v>0.18433689503456946</v>
      </c>
      <c r="CX915" s="632">
        <f t="shared" si="1724"/>
        <v>0.18403866587192577</v>
      </c>
      <c r="CZ915" s="632">
        <f t="shared" ref="CZ915:DB915" si="1725">CZ743/(CZ$746)</f>
        <v>0.18755834270805907</v>
      </c>
      <c r="DA915" s="632">
        <f t="shared" si="1725"/>
        <v>0.18375619992369324</v>
      </c>
      <c r="DB915" s="632">
        <f t="shared" si="1725"/>
        <v>0.18565370602639908</v>
      </c>
      <c r="DD915" s="632">
        <f t="shared" ref="DD915:DF915" si="1726">DD743/(DD$746)</f>
        <v>0.17210638768142636</v>
      </c>
      <c r="DE915" s="632">
        <f t="shared" si="1726"/>
        <v>0.16228511108877047</v>
      </c>
      <c r="DF915" s="632">
        <f t="shared" si="1726"/>
        <v>0.167252537046468</v>
      </c>
      <c r="DH915" s="632">
        <f t="shared" ref="DH915" si="1727">DH743/(DH$746)</f>
        <v>0.18381535038932148</v>
      </c>
      <c r="DI915" s="632">
        <f t="shared" ref="DI915:DJ915" si="1728">DI743/(DI$746)</f>
        <v>0.20846576862923161</v>
      </c>
      <c r="DJ915" s="632">
        <f t="shared" si="1728"/>
        <v>0.19621526232617814</v>
      </c>
      <c r="DL915" s="632">
        <f t="shared" ref="DL915:DN915" si="1729">DL743/(DL$746)</f>
        <v>0.20846576862923166</v>
      </c>
      <c r="DM915" s="632">
        <f t="shared" si="1729"/>
        <v>0.20846576862923163</v>
      </c>
      <c r="DN915" s="632">
        <f t="shared" si="1729"/>
        <v>0.20846576862923166</v>
      </c>
      <c r="DP915" s="632">
        <f t="shared" ref="DP915:DR915" si="1730">DP743/(DP$746)</f>
        <v>0.20846576862923169</v>
      </c>
      <c r="DQ915" s="632">
        <f t="shared" si="1730"/>
        <v>0.20846576862923166</v>
      </c>
      <c r="DR915" s="632">
        <f t="shared" si="1730"/>
        <v>0.20846576862923166</v>
      </c>
      <c r="DU915" s="876"/>
      <c r="DV915" s="876"/>
      <c r="DW915" s="876"/>
      <c r="DZ915" s="876"/>
      <c r="EA915" s="876"/>
      <c r="ED915" s="876"/>
      <c r="EE915" s="876"/>
    </row>
    <row r="916" spans="1:273">
      <c r="A916" s="102" t="s">
        <v>688</v>
      </c>
      <c r="AR916" s="685"/>
      <c r="AS916" s="685"/>
      <c r="AT916" s="730"/>
      <c r="AU916" s="730"/>
      <c r="AV916" s="685"/>
      <c r="AW916" s="685"/>
      <c r="AX916" s="730"/>
      <c r="AY916" s="730"/>
      <c r="AZ916" s="685"/>
      <c r="BA916" s="876"/>
      <c r="BD916" s="711"/>
      <c r="BE916" s="885"/>
      <c r="BF916" s="711"/>
      <c r="BH916" s="685"/>
      <c r="BI916" s="876"/>
      <c r="BL916" s="876"/>
      <c r="BM916" s="876"/>
      <c r="BP916" s="876"/>
      <c r="BQ916" s="876"/>
      <c r="BT916" s="876"/>
      <c r="BU916" s="876"/>
      <c r="BX916" s="632"/>
      <c r="BY916" s="632"/>
      <c r="BZ916" s="632"/>
      <c r="CB916" s="632"/>
      <c r="CC916" s="632"/>
      <c r="CD916" s="632"/>
      <c r="CE916" s="103"/>
      <c r="CF916" s="632"/>
      <c r="CG916" s="632"/>
      <c r="CH916" s="632"/>
      <c r="CI916" s="103"/>
      <c r="CJ916" s="632"/>
      <c r="CK916" s="632"/>
      <c r="CL916" s="632"/>
      <c r="CM916" s="103"/>
      <c r="CN916" s="632"/>
      <c r="CO916" s="632"/>
      <c r="CP916" s="632"/>
      <c r="CQ916" s="103"/>
      <c r="CR916" s="632"/>
      <c r="CS916" s="632"/>
      <c r="CT916" s="632"/>
      <c r="CV916" s="632"/>
      <c r="CW916" s="632"/>
      <c r="CX916" s="632"/>
      <c r="CZ916" s="632"/>
      <c r="DA916" s="632"/>
      <c r="DB916" s="632"/>
      <c r="DD916" s="632"/>
      <c r="DE916" s="632"/>
      <c r="DF916" s="632"/>
      <c r="DH916" s="632"/>
      <c r="DI916" s="632"/>
      <c r="DJ916" s="632"/>
      <c r="DL916" s="632"/>
      <c r="DM916" s="632"/>
      <c r="DN916" s="632"/>
      <c r="DP916" s="632"/>
      <c r="DQ916" s="632"/>
      <c r="DR916" s="632"/>
      <c r="DU916" s="876"/>
      <c r="DV916" s="876"/>
      <c r="DW916" s="876"/>
      <c r="DZ916" s="876"/>
      <c r="EA916" s="876"/>
      <c r="ED916" s="876"/>
      <c r="EE916" s="876"/>
    </row>
    <row r="917" spans="1:273">
      <c r="A917" s="102" t="s">
        <v>691</v>
      </c>
      <c r="AR917" s="685"/>
      <c r="AS917" s="685"/>
      <c r="AT917" s="730"/>
      <c r="AU917" s="730"/>
      <c r="AV917" s="685"/>
      <c r="AW917" s="685"/>
      <c r="AX917" s="730"/>
      <c r="AY917" s="730"/>
      <c r="AZ917" s="685"/>
      <c r="BA917" s="876"/>
      <c r="BD917" s="711"/>
      <c r="BE917" s="885"/>
      <c r="BF917" s="711"/>
      <c r="BH917" s="685"/>
      <c r="BI917" s="876"/>
      <c r="BL917" s="876"/>
      <c r="BM917" s="876"/>
      <c r="BP917" s="876"/>
      <c r="BQ917" s="876"/>
      <c r="BT917" s="876"/>
      <c r="BU917" s="876"/>
      <c r="BX917" s="632">
        <f>BX745/(BX$746)</f>
        <v>0.4235490279551582</v>
      </c>
      <c r="BY917" s="632">
        <f>BY745/(BY$746)</f>
        <v>0.42275562689235036</v>
      </c>
      <c r="BZ917" s="632">
        <f>BZ745/(BZ$746)</f>
        <v>0.42315785687307783</v>
      </c>
      <c r="CB917" s="632">
        <f>CB745/(CB$746)</f>
        <v>0.42252294742952506</v>
      </c>
      <c r="CC917" s="632">
        <f>CC745/(CC$746)</f>
        <v>0.41719711622999822</v>
      </c>
      <c r="CD917" s="632">
        <f>CD745/(CD$746)</f>
        <v>0.4198185649487482</v>
      </c>
      <c r="CE917" s="103"/>
      <c r="CF917" s="632">
        <f>CF745/(CF$746)</f>
        <v>0.41421353991242843</v>
      </c>
      <c r="CG917" s="632">
        <f>CG745/(CG$746)</f>
        <v>0.42215228887519063</v>
      </c>
      <c r="CH917" s="632">
        <f>CH745/(CH$746)</f>
        <v>0.41825723398278059</v>
      </c>
      <c r="CI917" s="103"/>
      <c r="CJ917" s="632">
        <f>CJ745/(CJ$746)</f>
        <v>0.43710470836261417</v>
      </c>
      <c r="CK917" s="632">
        <f>CK745/(CK$746)</f>
        <v>0.44674040503280193</v>
      </c>
      <c r="CL917" s="632">
        <f>CL745/(CL$746)</f>
        <v>0.44194148809239725</v>
      </c>
      <c r="CM917" s="103"/>
      <c r="CN917" s="632">
        <f>CN745/(CN$746)</f>
        <v>0.45039590125756868</v>
      </c>
      <c r="CO917" s="632">
        <f>CO745/(CO$746)</f>
        <v>0.45698613438976077</v>
      </c>
      <c r="CP917" s="632">
        <f>CP745/(CP$746)</f>
        <v>0.45372193171331898</v>
      </c>
      <c r="CQ917" s="103"/>
      <c r="CR917" s="632">
        <f>CR745/(CR$746)</f>
        <v>0.45592253772127839</v>
      </c>
      <c r="CS917" s="632">
        <f>CS745/(CS$746)</f>
        <v>0.45569011374568502</v>
      </c>
      <c r="CT917" s="632">
        <f>CT745/(CT$746)</f>
        <v>0.4558035067381539</v>
      </c>
      <c r="CV917" s="632">
        <f t="shared" ref="CV917:CX917" si="1731">CV745/(CV$746)</f>
        <v>0.47068103425225272</v>
      </c>
      <c r="CW917" s="632">
        <f t="shared" si="1731"/>
        <v>0.48829666876178501</v>
      </c>
      <c r="CX917" s="632">
        <f t="shared" si="1731"/>
        <v>0.47976002280560809</v>
      </c>
      <c r="CZ917" s="632">
        <f t="shared" ref="CZ917:DB917" si="1732">CZ745/(CZ$746)</f>
        <v>0.49716364680820507</v>
      </c>
      <c r="DA917" s="632">
        <f t="shared" si="1732"/>
        <v>0.50028615032430368</v>
      </c>
      <c r="DB917" s="632">
        <f t="shared" si="1732"/>
        <v>0.49872782655438092</v>
      </c>
      <c r="DD917" s="632">
        <f t="shared" ref="DD917:DF917" si="1733">DD745/(DD$746)</f>
        <v>0.50480119845772242</v>
      </c>
      <c r="DE917" s="632">
        <f t="shared" si="1733"/>
        <v>0.51520558962501262</v>
      </c>
      <c r="DF917" s="632">
        <f t="shared" si="1733"/>
        <v>0.50994323474977332</v>
      </c>
      <c r="DH917" s="632">
        <f t="shared" ref="DH917" si="1734">DH745/(DH$746)</f>
        <v>0.49721913236929921</v>
      </c>
      <c r="DI917" s="632">
        <f t="shared" ref="DI917:DJ917" si="1735">DI745/(DI$746)</f>
        <v>0.47136875031532216</v>
      </c>
      <c r="DJ917" s="632">
        <f t="shared" si="1735"/>
        <v>0.48421560204848535</v>
      </c>
      <c r="DL917" s="632">
        <f t="shared" ref="DL917:DN917" si="1736">DL745/(DL$746)</f>
        <v>0.47136875031532216</v>
      </c>
      <c r="DM917" s="632">
        <f t="shared" si="1736"/>
        <v>0.4713687503153221</v>
      </c>
      <c r="DN917" s="632">
        <f t="shared" si="1736"/>
        <v>0.47136875031532222</v>
      </c>
      <c r="DP917" s="632">
        <f t="shared" ref="DP917:DR917" si="1737">DP745/(DP$746)</f>
        <v>0.47136875031532222</v>
      </c>
      <c r="DQ917" s="632">
        <f t="shared" si="1737"/>
        <v>0.4713687503153221</v>
      </c>
      <c r="DR917" s="632">
        <f t="shared" si="1737"/>
        <v>0.47136875031532216</v>
      </c>
      <c r="DU917" s="876"/>
      <c r="DV917" s="876"/>
      <c r="DW917" s="876"/>
      <c r="DZ917" s="876"/>
      <c r="EA917" s="876"/>
      <c r="ED917" s="876"/>
      <c r="EE917" s="876"/>
    </row>
    <row r="918" spans="1:273">
      <c r="A918" s="289" t="s">
        <v>696</v>
      </c>
      <c r="AR918" s="685"/>
      <c r="AS918" s="685"/>
      <c r="AT918" s="730"/>
      <c r="AU918" s="730"/>
      <c r="AV918" s="685"/>
      <c r="AW918" s="685"/>
      <c r="AX918" s="730"/>
      <c r="AY918" s="730"/>
      <c r="AZ918" s="685"/>
      <c r="BA918" s="876"/>
      <c r="BD918" s="711"/>
      <c r="BE918" s="885"/>
      <c r="BF918" s="711"/>
      <c r="BH918" s="685"/>
      <c r="BI918" s="876"/>
      <c r="BL918" s="876"/>
      <c r="BM918" s="876"/>
      <c r="BP918" s="876"/>
      <c r="BQ918" s="876"/>
      <c r="BT918" s="876"/>
      <c r="BU918" s="876"/>
      <c r="BX918" s="649">
        <f t="shared" ref="BX918:BZ918" si="1738">+SUM(BX911:BX917)</f>
        <v>1</v>
      </c>
      <c r="BY918" s="649">
        <f t="shared" si="1738"/>
        <v>1</v>
      </c>
      <c r="BZ918" s="649">
        <f t="shared" si="1738"/>
        <v>1</v>
      </c>
      <c r="CB918" s="649">
        <f t="shared" ref="CB918:CD918" si="1739">+SUM(CB911:CB917)</f>
        <v>1</v>
      </c>
      <c r="CC918" s="649">
        <f t="shared" si="1739"/>
        <v>0.99999999999999989</v>
      </c>
      <c r="CD918" s="649">
        <f t="shared" si="1739"/>
        <v>1</v>
      </c>
      <c r="CE918" s="103"/>
      <c r="CF918" s="649">
        <f t="shared" ref="CF918:CH918" si="1740">+SUM(CF911:CF917)</f>
        <v>1</v>
      </c>
      <c r="CG918" s="649">
        <f t="shared" si="1740"/>
        <v>1</v>
      </c>
      <c r="CH918" s="649">
        <f t="shared" si="1740"/>
        <v>1</v>
      </c>
      <c r="CI918" s="103"/>
      <c r="CJ918" s="649">
        <f t="shared" ref="CJ918:CL918" si="1741">+SUM(CJ911:CJ917)</f>
        <v>0.99999999999999989</v>
      </c>
      <c r="CK918" s="649">
        <f t="shared" si="1741"/>
        <v>1</v>
      </c>
      <c r="CL918" s="649">
        <f t="shared" si="1741"/>
        <v>1</v>
      </c>
      <c r="CM918" s="103"/>
      <c r="CN918" s="649">
        <f t="shared" ref="CN918:CP918" si="1742">+SUM(CN911:CN917)</f>
        <v>1</v>
      </c>
      <c r="CO918" s="649">
        <f t="shared" si="1742"/>
        <v>1</v>
      </c>
      <c r="CP918" s="649">
        <f t="shared" si="1742"/>
        <v>1</v>
      </c>
      <c r="CQ918" s="103"/>
      <c r="CR918" s="649">
        <f t="shared" ref="CR918" si="1743">+SUM(CR911:CR917)</f>
        <v>1</v>
      </c>
      <c r="CS918" s="649">
        <f t="shared" ref="CS918" si="1744">+SUM(CS911:CS917)</f>
        <v>1</v>
      </c>
      <c r="CT918" s="649">
        <f t="shared" ref="CT918" si="1745">+SUM(CT911:CT917)</f>
        <v>1</v>
      </c>
      <c r="CV918" s="649">
        <f t="shared" ref="CV918:DB918" si="1746">+SUM(CV911:CV917)</f>
        <v>1</v>
      </c>
      <c r="CW918" s="649">
        <f t="shared" si="1746"/>
        <v>0.99999999999999989</v>
      </c>
      <c r="CX918" s="649">
        <f t="shared" si="1746"/>
        <v>1</v>
      </c>
      <c r="CZ918" s="649">
        <f t="shared" si="1746"/>
        <v>1</v>
      </c>
      <c r="DA918" s="649">
        <f t="shared" si="1746"/>
        <v>1</v>
      </c>
      <c r="DB918" s="649">
        <f t="shared" si="1746"/>
        <v>1</v>
      </c>
      <c r="DD918" s="649">
        <f t="shared" ref="DD918:DF918" si="1747">+SUM(DD911:DD917)</f>
        <v>1</v>
      </c>
      <c r="DE918" s="649">
        <f t="shared" si="1747"/>
        <v>1</v>
      </c>
      <c r="DF918" s="649">
        <f t="shared" si="1747"/>
        <v>1</v>
      </c>
      <c r="DH918" s="649">
        <f t="shared" ref="DH918" si="1748">+SUM(DH911:DH917)</f>
        <v>1</v>
      </c>
      <c r="DI918" s="649">
        <f t="shared" ref="DI918:DJ918" si="1749">+SUM(DI911:DI917)</f>
        <v>1</v>
      </c>
      <c r="DJ918" s="649">
        <f t="shared" si="1749"/>
        <v>1</v>
      </c>
      <c r="DL918" s="649">
        <f t="shared" ref="DL918:DN918" si="1750">+SUM(DL911:DL917)</f>
        <v>1</v>
      </c>
      <c r="DM918" s="649">
        <f t="shared" si="1750"/>
        <v>0.99999999999999989</v>
      </c>
      <c r="DN918" s="649">
        <f t="shared" si="1750"/>
        <v>1</v>
      </c>
      <c r="DP918" s="649">
        <f t="shared" ref="DP918:DR918" si="1751">+SUM(DP911:DP917)</f>
        <v>1.0000000000000002</v>
      </c>
      <c r="DQ918" s="649">
        <f t="shared" si="1751"/>
        <v>1</v>
      </c>
      <c r="DR918" s="649">
        <f t="shared" si="1751"/>
        <v>1</v>
      </c>
      <c r="DU918" s="876"/>
      <c r="DV918" s="876"/>
      <c r="DW918" s="876"/>
      <c r="DZ918" s="876"/>
      <c r="EA918" s="876"/>
      <c r="ED918" s="876"/>
      <c r="EE918" s="876"/>
    </row>
    <row r="919" spans="1:273">
      <c r="A919" s="1589" t="s">
        <v>580</v>
      </c>
      <c r="B919" s="1590"/>
      <c r="C919" s="1589"/>
      <c r="D919" s="1589"/>
      <c r="E919" s="1589"/>
      <c r="F919" s="1589"/>
      <c r="G919" s="1589"/>
      <c r="H919" s="1589"/>
      <c r="I919" s="1589"/>
      <c r="J919" s="1589"/>
      <c r="K919" s="1589"/>
      <c r="L919" s="1589"/>
      <c r="M919" s="1589"/>
      <c r="N919" s="1589"/>
      <c r="O919" s="1589"/>
      <c r="P919" s="1589"/>
      <c r="Q919" s="1589"/>
      <c r="R919" s="1589"/>
      <c r="S919" s="1589"/>
      <c r="T919" s="1589"/>
      <c r="U919" s="1589"/>
      <c r="V919" s="1589"/>
      <c r="W919" s="1589"/>
      <c r="X919" s="1589"/>
      <c r="Y919" s="1589"/>
      <c r="Z919" s="1589"/>
      <c r="AA919" s="1589"/>
      <c r="AB919" s="1589"/>
      <c r="AC919" s="1589"/>
      <c r="AD919" s="1589"/>
      <c r="AE919" s="1589"/>
      <c r="AF919" s="1589"/>
      <c r="AG919" s="1589"/>
      <c r="AH919" s="1589"/>
      <c r="AI919" s="1589"/>
      <c r="AJ919" s="1589"/>
      <c r="AK919" s="1589"/>
      <c r="AL919" s="1589"/>
      <c r="AM919" s="1589"/>
      <c r="AN919" s="1590"/>
      <c r="AO919" s="1590"/>
      <c r="AP919" s="1590"/>
      <c r="AQ919" s="1590"/>
      <c r="AR919" s="1591"/>
      <c r="AS919" s="1591"/>
      <c r="AT919" s="1592"/>
      <c r="AU919" s="1592"/>
      <c r="AV919" s="1591"/>
      <c r="AW919" s="1591"/>
      <c r="AX919" s="1592"/>
      <c r="AY919" s="1592"/>
      <c r="AZ919" s="1591"/>
      <c r="BA919" s="1593"/>
      <c r="BB919" s="1590"/>
      <c r="BC919" s="1590"/>
      <c r="BD919" s="1594"/>
      <c r="BE919" s="1595"/>
      <c r="BF919" s="1594"/>
      <c r="BG919" s="1590"/>
      <c r="BH919" s="1591"/>
      <c r="BI919" s="1593"/>
      <c r="BJ919" s="1590"/>
      <c r="BK919" s="1590"/>
      <c r="BL919" s="1593"/>
      <c r="BM919" s="1593"/>
      <c r="BN919" s="1590"/>
      <c r="BO919" s="1590"/>
      <c r="BP919" s="1593"/>
      <c r="BQ919" s="1593"/>
      <c r="BR919" s="1590"/>
      <c r="BS919" s="1590"/>
      <c r="BT919" s="1593"/>
      <c r="BU919" s="1593"/>
      <c r="BV919" s="1590"/>
      <c r="BW919" s="1590"/>
      <c r="BX919" s="1596">
        <f t="shared" ref="BX919:BZ919" si="1752">+BX918-SUM(BX911:BX917)</f>
        <v>0</v>
      </c>
      <c r="BY919" s="1596">
        <f t="shared" si="1752"/>
        <v>0</v>
      </c>
      <c r="BZ919" s="1596">
        <f t="shared" si="1752"/>
        <v>0</v>
      </c>
      <c r="CA919" s="1590"/>
      <c r="CB919" s="1596">
        <f t="shared" ref="CB919:CD919" si="1753">+CB918-SUM(CB911:CB917)</f>
        <v>0</v>
      </c>
      <c r="CC919" s="1596">
        <f t="shared" si="1753"/>
        <v>0</v>
      </c>
      <c r="CD919" s="1596">
        <f t="shared" si="1753"/>
        <v>0</v>
      </c>
      <c r="CE919" s="1590"/>
      <c r="CF919" s="1596">
        <f t="shared" ref="CF919:CH919" si="1754">+CF918-SUM(CF911:CF917)</f>
        <v>0</v>
      </c>
      <c r="CG919" s="1596">
        <f t="shared" si="1754"/>
        <v>0</v>
      </c>
      <c r="CH919" s="1596">
        <f t="shared" si="1754"/>
        <v>0</v>
      </c>
      <c r="CI919" s="1590"/>
      <c r="CJ919" s="1596">
        <f t="shared" ref="CJ919:CL919" si="1755">+CJ918-SUM(CJ911:CJ917)</f>
        <v>0</v>
      </c>
      <c r="CK919" s="1596">
        <f t="shared" si="1755"/>
        <v>0</v>
      </c>
      <c r="CL919" s="1596">
        <f t="shared" si="1755"/>
        <v>0</v>
      </c>
      <c r="CM919" s="1590"/>
      <c r="CN919" s="1596">
        <f t="shared" ref="CN919:CP919" si="1756">+CN918-SUM(CN911:CN917)</f>
        <v>0</v>
      </c>
      <c r="CO919" s="1596">
        <f t="shared" si="1756"/>
        <v>0</v>
      </c>
      <c r="CP919" s="1596">
        <f t="shared" si="1756"/>
        <v>0</v>
      </c>
      <c r="CQ919" s="1590"/>
      <c r="CR919" s="1596">
        <f t="shared" ref="CR919" si="1757">+CR918-SUM(CR911:CR917)</f>
        <v>0</v>
      </c>
      <c r="CS919" s="1596">
        <f t="shared" ref="CS919" si="1758">+CS918-SUM(CS911:CS917)</f>
        <v>0</v>
      </c>
      <c r="CT919" s="1596">
        <f t="shared" ref="CT919" si="1759">+CT918-SUM(CT911:CT917)</f>
        <v>0</v>
      </c>
      <c r="CU919" s="1590"/>
      <c r="CV919" s="1596">
        <f t="shared" ref="CV919:CX919" si="1760">+CV918-SUM(CV911:CV917)</f>
        <v>0</v>
      </c>
      <c r="CW919" s="1596">
        <f t="shared" si="1760"/>
        <v>0</v>
      </c>
      <c r="CX919" s="1596">
        <f t="shared" si="1760"/>
        <v>0</v>
      </c>
      <c r="CY919" s="1590"/>
      <c r="CZ919" s="1596">
        <f t="shared" ref="CZ919:DF919" si="1761">+CZ918-SUM(CZ911:CZ917)</f>
        <v>0</v>
      </c>
      <c r="DA919" s="1596">
        <f t="shared" si="1761"/>
        <v>0</v>
      </c>
      <c r="DB919" s="1596">
        <f t="shared" si="1761"/>
        <v>0</v>
      </c>
      <c r="DC919" s="1590"/>
      <c r="DD919" s="1596">
        <f t="shared" ref="DD919" si="1762">+DD918-SUM(DD911:DD917)</f>
        <v>0</v>
      </c>
      <c r="DE919" s="1596">
        <f t="shared" si="1761"/>
        <v>0</v>
      </c>
      <c r="DF919" s="1596">
        <f t="shared" si="1761"/>
        <v>0</v>
      </c>
      <c r="DG919" s="1590"/>
      <c r="DH919" s="1596">
        <f t="shared" ref="DH919" si="1763">+DH918-SUM(DH911:DH917)</f>
        <v>0</v>
      </c>
      <c r="DI919" s="1596">
        <f t="shared" ref="DI919:DJ919" si="1764">+DI918-SUM(DI911:DI917)</f>
        <v>0</v>
      </c>
      <c r="DJ919" s="1596">
        <f t="shared" si="1764"/>
        <v>0</v>
      </c>
      <c r="DK919" s="1590"/>
      <c r="DL919" s="1596">
        <f t="shared" ref="DL919:DN919" si="1765">+DL918-SUM(DL911:DL917)</f>
        <v>0</v>
      </c>
      <c r="DM919" s="1596">
        <f t="shared" si="1765"/>
        <v>0</v>
      </c>
      <c r="DN919" s="1596">
        <f t="shared" si="1765"/>
        <v>0</v>
      </c>
      <c r="DP919" s="1596">
        <f t="shared" ref="DP919:DR919" si="1766">+DP918-SUM(DP911:DP917)</f>
        <v>0</v>
      </c>
      <c r="DQ919" s="1596">
        <f t="shared" si="1766"/>
        <v>0</v>
      </c>
      <c r="DR919" s="1596">
        <f t="shared" si="1766"/>
        <v>0</v>
      </c>
      <c r="DU919" s="876"/>
      <c r="DV919" s="876"/>
      <c r="DW919" s="876"/>
      <c r="DZ919" s="876"/>
      <c r="EA919" s="876"/>
      <c r="ED919" s="876"/>
      <c r="EE919" s="876"/>
    </row>
    <row r="920" spans="1:273">
      <c r="AR920" s="685"/>
      <c r="AS920" s="685"/>
      <c r="AT920" s="730"/>
      <c r="AU920" s="730"/>
      <c r="AV920" s="685"/>
      <c r="AW920" s="685"/>
      <c r="AX920" s="730"/>
      <c r="AY920" s="730"/>
      <c r="AZ920" s="685"/>
      <c r="BA920" s="876"/>
      <c r="BD920" s="711"/>
      <c r="BE920" s="885"/>
      <c r="BF920" s="711"/>
      <c r="BH920" s="685"/>
      <c r="BI920" s="876"/>
      <c r="BL920" s="876"/>
      <c r="BM920" s="876"/>
      <c r="BP920" s="876"/>
      <c r="BQ920" s="876"/>
      <c r="BT920" s="876"/>
      <c r="BU920" s="876"/>
      <c r="BX920" s="876"/>
      <c r="BY920" s="876"/>
      <c r="CB920" s="876"/>
      <c r="CC920" s="876"/>
      <c r="CF920" s="876"/>
      <c r="CG920" s="876"/>
      <c r="CJ920" s="876"/>
      <c r="CK920" s="876"/>
      <c r="CN920" s="876"/>
      <c r="CO920" s="876"/>
      <c r="CR920" s="876"/>
      <c r="CS920" s="876"/>
      <c r="CV920" s="876"/>
      <c r="CW920" s="876"/>
      <c r="CZ920" s="876"/>
      <c r="DA920" s="876"/>
      <c r="DD920" s="876"/>
      <c r="DE920" s="876"/>
      <c r="DH920" s="876"/>
      <c r="DI920" s="876"/>
      <c r="DL920" s="876"/>
      <c r="DM920" s="876"/>
      <c r="DP920" s="876"/>
      <c r="DQ920" s="876"/>
      <c r="DU920" s="876"/>
      <c r="DV920" s="876"/>
      <c r="DW920" s="876"/>
      <c r="DZ920" s="876"/>
      <c r="EA920" s="876"/>
      <c r="ED920" s="876"/>
      <c r="EE920" s="876"/>
    </row>
    <row r="921" spans="1:273" ht="15.6">
      <c r="A921" s="2113" t="s">
        <v>1352</v>
      </c>
      <c r="AR921" s="685"/>
      <c r="AS921" s="685"/>
      <c r="AT921" s="730"/>
      <c r="AU921" s="730"/>
      <c r="AV921" s="685"/>
      <c r="AW921" s="685"/>
      <c r="AX921" s="730"/>
      <c r="AY921" s="730"/>
      <c r="AZ921" s="685"/>
      <c r="BA921" s="876"/>
      <c r="BD921" s="711"/>
      <c r="BE921" s="885"/>
      <c r="BF921" s="711"/>
      <c r="BH921" s="685"/>
      <c r="BI921" s="876"/>
      <c r="BL921" s="876"/>
      <c r="BM921" s="876"/>
      <c r="BP921" s="876"/>
      <c r="BQ921" s="876"/>
      <c r="BT921" s="876"/>
      <c r="BU921" s="876"/>
      <c r="BX921" s="876"/>
      <c r="BY921" s="876"/>
      <c r="CB921" s="876"/>
      <c r="CC921" s="876"/>
      <c r="CF921" s="876"/>
      <c r="CG921" s="876"/>
      <c r="CJ921" s="876"/>
      <c r="CK921" s="876"/>
      <c r="CN921" s="876"/>
      <c r="CO921" s="876"/>
      <c r="CR921" s="876"/>
      <c r="CS921" s="876"/>
      <c r="CV921" s="876"/>
      <c r="CW921" s="876"/>
      <c r="CZ921" s="876"/>
      <c r="DA921" s="876"/>
      <c r="DD921" s="876"/>
      <c r="DE921" s="876"/>
      <c r="DH921" s="876"/>
      <c r="DI921" s="876"/>
      <c r="DL921" s="876"/>
      <c r="DM921" s="876"/>
      <c r="DP921" s="876"/>
      <c r="DQ921" s="876"/>
      <c r="DU921" s="876"/>
      <c r="DV921" s="876"/>
      <c r="DW921" s="876"/>
      <c r="DZ921" s="876"/>
      <c r="EA921" s="876"/>
      <c r="ED921" s="876"/>
      <c r="EE921" s="876"/>
    </row>
    <row r="922" spans="1:273">
      <c r="A922" s="102" t="s">
        <v>686</v>
      </c>
      <c r="AR922" s="685"/>
      <c r="AS922" s="685"/>
      <c r="AT922" s="730"/>
      <c r="AU922" s="730"/>
      <c r="AV922" s="685"/>
      <c r="AW922" s="685"/>
      <c r="AX922" s="730"/>
      <c r="AY922" s="730"/>
      <c r="AZ922" s="685"/>
      <c r="BA922" s="876"/>
      <c r="BD922" s="711"/>
      <c r="BE922" s="885"/>
      <c r="BF922" s="711"/>
      <c r="BH922" s="685"/>
      <c r="BI922" s="876"/>
      <c r="BL922" s="876"/>
      <c r="BM922" s="876"/>
      <c r="BP922" s="876"/>
      <c r="BQ922" s="876"/>
      <c r="BT922" s="876"/>
      <c r="BU922" s="876"/>
      <c r="BX922" s="711">
        <f t="shared" ref="BX922:BY926" si="1767">+BX814*BX860</f>
        <v>295.88</v>
      </c>
      <c r="BY922" s="711">
        <f t="shared" si="1767"/>
        <v>331.24</v>
      </c>
      <c r="BZ922" s="715">
        <f t="shared" ref="BZ922:BZ924" si="1768">+BX922+BY922</f>
        <v>627.12</v>
      </c>
      <c r="CA922" s="290"/>
      <c r="CB922" s="711">
        <f t="shared" ref="CB922:CC926" si="1769">+CB814*CB860</f>
        <v>283</v>
      </c>
      <c r="CC922" s="711">
        <f t="shared" si="1769"/>
        <v>447</v>
      </c>
      <c r="CD922" s="715">
        <f t="shared" ref="CD922:CD924" si="1770">+CB922+CC922</f>
        <v>730</v>
      </c>
      <c r="CE922" s="811">
        <f t="shared" ref="CE922:CE926" si="1771">+CD922/BZ922-1</f>
        <v>0.16405153718586551</v>
      </c>
      <c r="CF922" s="715">
        <f t="shared" ref="CF922:CG924" si="1772">+CF814*CF860</f>
        <v>358.04999999999995</v>
      </c>
      <c r="CG922" s="715">
        <f t="shared" si="1772"/>
        <v>633.84999999999991</v>
      </c>
      <c r="CH922" s="715">
        <f t="shared" ref="CH922:CH924" si="1773">+CF922+CG922</f>
        <v>991.89999999999986</v>
      </c>
      <c r="CI922" s="811">
        <f t="shared" ref="CI922:CI926" si="1774">+CH922/CD922-1</f>
        <v>0.35876712328767102</v>
      </c>
      <c r="CJ922" s="715">
        <f t="shared" ref="CJ922:CK924" si="1775">+CJ814*CJ860</f>
        <v>566.5</v>
      </c>
      <c r="CK922" s="715">
        <f t="shared" si="1775"/>
        <v>689</v>
      </c>
      <c r="CL922" s="715">
        <f t="shared" ref="CL922:CL924" si="1776">+CJ922+CK922</f>
        <v>1255.5</v>
      </c>
      <c r="CM922" s="811">
        <f t="shared" ref="CM922:CM926" si="1777">+CL922/CH922-1</f>
        <v>0.26575259602782553</v>
      </c>
      <c r="CN922" s="715">
        <f t="shared" ref="CN922:CO924" si="1778">+CN814*CN860</f>
        <v>368.4</v>
      </c>
      <c r="CO922" s="715">
        <f t="shared" si="1778"/>
        <v>849.68000000000006</v>
      </c>
      <c r="CP922" s="715">
        <f t="shared" ref="CP922:CP924" si="1779">+CN922+CO922</f>
        <v>1218.08</v>
      </c>
      <c r="CQ922" s="811">
        <f t="shared" ref="CQ922:CQ926" si="1780">+CP922/CL922-1</f>
        <v>-2.9804858622062946E-2</v>
      </c>
      <c r="CR922" s="293">
        <f t="shared" ref="CR922:CS924" si="1781">+CR814*CR860</f>
        <v>589.1</v>
      </c>
      <c r="CS922" s="293">
        <f>+CS814*CS860</f>
        <v>718.1</v>
      </c>
      <c r="CT922" s="295">
        <f>+CR922+CS922</f>
        <v>1307.2</v>
      </c>
      <c r="CU922" s="294">
        <f t="shared" ref="CU922:CU926" si="1782">+CT922/CP922-1</f>
        <v>7.3164324182319884E-2</v>
      </c>
      <c r="CV922" s="293">
        <f t="shared" ref="CV922" si="1783">+CV814*CV860</f>
        <v>707.85</v>
      </c>
      <c r="CW922" s="293">
        <f>+CW814*CW860</f>
        <v>517</v>
      </c>
      <c r="CX922" s="295">
        <f>+CV922+CW922</f>
        <v>1224.8499999999999</v>
      </c>
      <c r="CY922" s="294">
        <f t="shared" ref="CY922:CY924" si="1784">+CX922/CT922-1</f>
        <v>-6.2997246022031939E-2</v>
      </c>
      <c r="CZ922" s="293">
        <f t="shared" ref="CZ922" si="1785">+CZ814*CZ860</f>
        <v>585.6</v>
      </c>
      <c r="DA922" s="293">
        <f>+DA814*DA860</f>
        <v>668.16</v>
      </c>
      <c r="DB922" s="295">
        <f>+CZ922+DA922</f>
        <v>1253.76</v>
      </c>
      <c r="DC922" s="294">
        <f t="shared" ref="DC922:DC924" si="1786">+DB922/CX922-1</f>
        <v>2.3602890149814426E-2</v>
      </c>
      <c r="DD922" s="293">
        <f t="shared" ref="DD922" si="1787">+DD814*DD860</f>
        <v>549.6</v>
      </c>
      <c r="DE922" s="293">
        <f>+DE814*DE860</f>
        <v>716.64</v>
      </c>
      <c r="DF922" s="295">
        <f>+DD922+DE922</f>
        <v>1266.24</v>
      </c>
      <c r="DG922" s="294">
        <f t="shared" ref="DG922:DG924" si="1788">+DF922/DB922-1</f>
        <v>9.9540581929555838E-3</v>
      </c>
      <c r="DH922" s="293">
        <f t="shared" ref="DH922" si="1789">+DH814*DH860</f>
        <v>718.07999999999993</v>
      </c>
      <c r="DI922" s="293">
        <f>+DI814*DI860</f>
        <v>784.60860000000014</v>
      </c>
      <c r="DJ922" s="295">
        <f>+DH922+DI922</f>
        <v>1502.6886</v>
      </c>
      <c r="DK922" s="294">
        <f t="shared" ref="DK922:DK924" si="1790">+DJ922/DF922-1</f>
        <v>0.18673284685367708</v>
      </c>
      <c r="DL922" s="293">
        <f t="shared" ref="DL922" si="1791">+DL814*DL860</f>
        <v>727.65305200000012</v>
      </c>
      <c r="DM922" s="293">
        <f>+DM814*DM860</f>
        <v>849.21443555999997</v>
      </c>
      <c r="DN922" s="295">
        <f>+DL922+DM922</f>
        <v>1576.86748756</v>
      </c>
      <c r="DO922" s="294"/>
      <c r="DP922" s="293">
        <f t="shared" ref="DP922" si="1792">+DP814*DP860</f>
        <v>766.42938046920005</v>
      </c>
      <c r="DQ922" s="293">
        <f>+DQ814*DQ860</f>
        <v>888.45773329227586</v>
      </c>
      <c r="DR922" s="295">
        <f>+DP922+DQ922</f>
        <v>1654.887113761476</v>
      </c>
      <c r="DS922" s="294"/>
      <c r="DU922" s="876"/>
      <c r="DV922" s="876"/>
      <c r="DW922" s="876"/>
      <c r="DZ922" s="876"/>
      <c r="EA922" s="876"/>
      <c r="ED922" s="876"/>
      <c r="EE922" s="876"/>
    </row>
    <row r="923" spans="1:273">
      <c r="A923" s="102" t="s">
        <v>1306</v>
      </c>
      <c r="AR923" s="685"/>
      <c r="AS923" s="685"/>
      <c r="AT923" s="730"/>
      <c r="AU923" s="730"/>
      <c r="AV923" s="685"/>
      <c r="AW923" s="685"/>
      <c r="AX923" s="730"/>
      <c r="AY923" s="730"/>
      <c r="AZ923" s="685"/>
      <c r="BA923" s="876"/>
      <c r="BD923" s="711"/>
      <c r="BE923" s="885"/>
      <c r="BF923" s="711"/>
      <c r="BH923" s="685"/>
      <c r="BI923" s="876"/>
      <c r="BL923" s="876"/>
      <c r="BM923" s="876"/>
      <c r="BP923" s="876"/>
      <c r="BQ923" s="876"/>
      <c r="BT923" s="876"/>
      <c r="BU923" s="876"/>
      <c r="BX923" s="711">
        <f t="shared" si="1767"/>
        <v>405.03499999999997</v>
      </c>
      <c r="BY923" s="711">
        <f t="shared" si="1767"/>
        <v>360.78499999999997</v>
      </c>
      <c r="BZ923" s="715">
        <f t="shared" si="1768"/>
        <v>765.81999999999994</v>
      </c>
      <c r="CA923" s="290"/>
      <c r="CB923" s="711">
        <f t="shared" si="1769"/>
        <v>511.245</v>
      </c>
      <c r="CC923" s="711">
        <f t="shared" si="1769"/>
        <v>295.78500000000003</v>
      </c>
      <c r="CD923" s="715">
        <f t="shared" si="1770"/>
        <v>807.03</v>
      </c>
      <c r="CE923" s="811">
        <f t="shared" si="1771"/>
        <v>5.3811600637225565E-2</v>
      </c>
      <c r="CF923" s="715">
        <f t="shared" si="1772"/>
        <v>460.2</v>
      </c>
      <c r="CG923" s="715">
        <f t="shared" si="1772"/>
        <v>537.9</v>
      </c>
      <c r="CH923" s="715">
        <f t="shared" si="1773"/>
        <v>998.09999999999991</v>
      </c>
      <c r="CI923" s="811">
        <f t="shared" si="1774"/>
        <v>0.23675699788111948</v>
      </c>
      <c r="CJ923" s="715">
        <f t="shared" si="1775"/>
        <v>526.12</v>
      </c>
      <c r="CK923" s="715">
        <f t="shared" si="1775"/>
        <v>518.84</v>
      </c>
      <c r="CL923" s="715">
        <f t="shared" si="1776"/>
        <v>1044.96</v>
      </c>
      <c r="CM923" s="811">
        <f t="shared" si="1777"/>
        <v>4.6949203486624791E-2</v>
      </c>
      <c r="CN923" s="715">
        <f t="shared" si="1778"/>
        <v>554.59</v>
      </c>
      <c r="CO923" s="715">
        <f t="shared" si="1778"/>
        <v>547.15</v>
      </c>
      <c r="CP923" s="715">
        <f t="shared" si="1779"/>
        <v>1101.74</v>
      </c>
      <c r="CQ923" s="811">
        <f t="shared" si="1780"/>
        <v>5.4337008115143082E-2</v>
      </c>
      <c r="CR923" s="293">
        <f t="shared" si="1781"/>
        <v>735.93999999999994</v>
      </c>
      <c r="CS923" s="293">
        <f t="shared" si="1781"/>
        <v>1017.73</v>
      </c>
      <c r="CT923" s="295">
        <f t="shared" ref="CT923:CT924" si="1793">+CR923+CS923</f>
        <v>1753.67</v>
      </c>
      <c r="CU923" s="294">
        <f t="shared" si="1782"/>
        <v>0.591727630838492</v>
      </c>
      <c r="CV923" s="293">
        <f t="shared" ref="CV923:CW923" si="1794">+CV815*CV861</f>
        <v>807.55</v>
      </c>
      <c r="CW923" s="293">
        <f t="shared" si="1794"/>
        <v>727.26</v>
      </c>
      <c r="CX923" s="295">
        <f t="shared" ref="CX923:CX924" si="1795">+CV923+CW923</f>
        <v>1534.81</v>
      </c>
      <c r="CY923" s="294">
        <f t="shared" si="1784"/>
        <v>-0.12480113134170057</v>
      </c>
      <c r="CZ923" s="293">
        <f t="shared" ref="CZ923:DA923" si="1796">+CZ815*CZ861</f>
        <v>711.06</v>
      </c>
      <c r="DA923" s="293">
        <f t="shared" si="1796"/>
        <v>865.62</v>
      </c>
      <c r="DB923" s="295">
        <f t="shared" ref="DB923:DB924" si="1797">+CZ923+DA923</f>
        <v>1576.6799999999998</v>
      </c>
      <c r="DC923" s="294">
        <f t="shared" si="1786"/>
        <v>2.72802496725979E-2</v>
      </c>
      <c r="DD923" s="293">
        <f t="shared" ref="DD923:DE923" si="1798">+DD815*DD861</f>
        <v>857.64</v>
      </c>
      <c r="DE923" s="293">
        <f t="shared" si="1798"/>
        <v>1070.1599999999999</v>
      </c>
      <c r="DF923" s="295">
        <f t="shared" ref="DF923:DF924" si="1799">+DD923+DE923</f>
        <v>1927.7999999999997</v>
      </c>
      <c r="DG923" s="294">
        <f t="shared" si="1788"/>
        <v>0.22269579115610005</v>
      </c>
      <c r="DH923" s="293">
        <f t="shared" ref="DH923" si="1800">+DH815*DH861</f>
        <v>1002.54</v>
      </c>
      <c r="DI923" s="293">
        <f t="shared" ref="DI923" si="1801">+DI815*DI861</f>
        <v>1104.6441281305281</v>
      </c>
      <c r="DJ923" s="295">
        <f t="shared" ref="DJ923:DJ924" si="1802">+DH923+DI923</f>
        <v>2107.1841281305278</v>
      </c>
      <c r="DK923" s="294">
        <f t="shared" si="1790"/>
        <v>9.3051212849117215E-2</v>
      </c>
      <c r="DL923" s="293">
        <f t="shared" ref="DL923:DM923" si="1803">+DL815*DL861</f>
        <v>884.72275492437177</v>
      </c>
      <c r="DM923" s="293">
        <f t="shared" si="1803"/>
        <v>899.81744261427798</v>
      </c>
      <c r="DN923" s="295">
        <f t="shared" ref="DN923:DN924" si="1804">+DL923+DM923</f>
        <v>1784.5401975386499</v>
      </c>
      <c r="DO923" s="294"/>
      <c r="DP923" s="293">
        <f t="shared" ref="DP923:DQ923" si="1805">+DP815*DP861</f>
        <v>915.0423657796855</v>
      </c>
      <c r="DQ923" s="293">
        <f t="shared" si="1805"/>
        <v>938.9429803776851</v>
      </c>
      <c r="DR923" s="295">
        <f t="shared" ref="DR923:DR924" si="1806">+DP923+DQ923</f>
        <v>1853.9853461573707</v>
      </c>
      <c r="DS923" s="294"/>
      <c r="DU923" s="876"/>
      <c r="DV923" s="876"/>
      <c r="DW923" s="876"/>
      <c r="DZ923" s="876"/>
      <c r="EA923" s="876"/>
      <c r="ED923" s="876"/>
      <c r="EE923" s="876"/>
    </row>
    <row r="924" spans="1:273">
      <c r="A924" s="102" t="s">
        <v>1024</v>
      </c>
      <c r="AR924" s="685"/>
      <c r="AS924" s="685"/>
      <c r="AT924" s="730"/>
      <c r="AU924" s="730"/>
      <c r="AV924" s="685"/>
      <c r="AW924" s="685"/>
      <c r="AX924" s="730"/>
      <c r="AY924" s="730"/>
      <c r="AZ924" s="685"/>
      <c r="BA924" s="876"/>
      <c r="BD924" s="711"/>
      <c r="BE924" s="885"/>
      <c r="BF924" s="711"/>
      <c r="BH924" s="685"/>
      <c r="BI924" s="876"/>
      <c r="BL924" s="876"/>
      <c r="BM924" s="876"/>
      <c r="BP924" s="876"/>
      <c r="BQ924" s="876"/>
      <c r="BT924" s="876"/>
      <c r="BU924" s="876"/>
      <c r="BX924" s="711">
        <f t="shared" si="1767"/>
        <v>497.47500000000002</v>
      </c>
      <c r="BY924" s="711">
        <f t="shared" si="1767"/>
        <v>490.10500000000002</v>
      </c>
      <c r="BZ924" s="715">
        <f t="shared" si="1768"/>
        <v>987.58</v>
      </c>
      <c r="CA924" s="290"/>
      <c r="CB924" s="711">
        <f t="shared" si="1769"/>
        <v>462.34999999999997</v>
      </c>
      <c r="CC924" s="711">
        <f t="shared" si="1769"/>
        <v>555.09999999999991</v>
      </c>
      <c r="CD924" s="715">
        <f t="shared" si="1770"/>
        <v>1017.4499999999998</v>
      </c>
      <c r="CE924" s="811">
        <f t="shared" si="1771"/>
        <v>3.0245650985236461E-2</v>
      </c>
      <c r="CF924" s="715">
        <f t="shared" si="1772"/>
        <v>774.36</v>
      </c>
      <c r="CG924" s="715">
        <f t="shared" si="1772"/>
        <v>821.88</v>
      </c>
      <c r="CH924" s="715">
        <f t="shared" si="1773"/>
        <v>1596.24</v>
      </c>
      <c r="CI924" s="811">
        <f t="shared" si="1774"/>
        <v>0.56886333480760753</v>
      </c>
      <c r="CJ924" s="715">
        <f t="shared" si="1775"/>
        <v>755.3</v>
      </c>
      <c r="CK924" s="715">
        <f t="shared" si="1775"/>
        <v>588.69999999999993</v>
      </c>
      <c r="CL924" s="715">
        <f t="shared" si="1776"/>
        <v>1344</v>
      </c>
      <c r="CM924" s="811">
        <f t="shared" si="1777"/>
        <v>-0.15802135017290631</v>
      </c>
      <c r="CN924" s="715">
        <f t="shared" si="1778"/>
        <v>639</v>
      </c>
      <c r="CO924" s="715">
        <f t="shared" si="1778"/>
        <v>764.4</v>
      </c>
      <c r="CP924" s="715">
        <f t="shared" si="1779"/>
        <v>1403.4</v>
      </c>
      <c r="CQ924" s="811">
        <f t="shared" si="1780"/>
        <v>4.4196428571428692E-2</v>
      </c>
      <c r="CR924" s="293">
        <f t="shared" si="1781"/>
        <v>747.63</v>
      </c>
      <c r="CS924" s="293">
        <f t="shared" si="1781"/>
        <v>920.7</v>
      </c>
      <c r="CT924" s="295">
        <f t="shared" si="1793"/>
        <v>1668.33</v>
      </c>
      <c r="CU924" s="294">
        <f t="shared" si="1782"/>
        <v>0.18877725523728084</v>
      </c>
      <c r="CV924" s="293">
        <f t="shared" ref="CV924:CW924" si="1807">+CV816*CV862</f>
        <v>971.69999999999993</v>
      </c>
      <c r="CW924" s="293">
        <f t="shared" si="1807"/>
        <v>1643.3999999999999</v>
      </c>
      <c r="CX924" s="295">
        <f t="shared" si="1795"/>
        <v>2615.1</v>
      </c>
      <c r="CY924" s="294">
        <f t="shared" si="1784"/>
        <v>0.56749563935192682</v>
      </c>
      <c r="CZ924" s="293">
        <f t="shared" ref="CZ924:DA924" si="1808">+CZ816*CZ862</f>
        <v>1025.1499999999999</v>
      </c>
      <c r="DA924" s="293">
        <f t="shared" si="1808"/>
        <v>1187.55</v>
      </c>
      <c r="DB924" s="295">
        <f t="shared" si="1797"/>
        <v>2212.6999999999998</v>
      </c>
      <c r="DC924" s="294">
        <f t="shared" si="1786"/>
        <v>-0.15387556881190012</v>
      </c>
      <c r="DD924" s="293">
        <f t="shared" ref="DD924:DE924" si="1809">+DD816*DD862</f>
        <v>955.0200000000001</v>
      </c>
      <c r="DE924" s="293">
        <f t="shared" si="1809"/>
        <v>1030.92</v>
      </c>
      <c r="DF924" s="295">
        <f t="shared" si="1799"/>
        <v>1985.94</v>
      </c>
      <c r="DG924" s="294">
        <f t="shared" si="1788"/>
        <v>-0.10248113164911632</v>
      </c>
      <c r="DH924" s="293">
        <f t="shared" ref="DH924" si="1810">+DH816*DH862</f>
        <v>951.3900000000001</v>
      </c>
      <c r="DI924" s="293">
        <f t="shared" ref="DI924" si="1811">+DI816*DI862</f>
        <v>1114.7569000000001</v>
      </c>
      <c r="DJ924" s="295">
        <f t="shared" si="1802"/>
        <v>2066.1469000000002</v>
      </c>
      <c r="DK924" s="294">
        <f t="shared" si="1790"/>
        <v>4.0387373233834012E-2</v>
      </c>
      <c r="DL924" s="293">
        <f t="shared" ref="DL924:DM924" si="1812">+DL816*DL862</f>
        <v>917.81783699999994</v>
      </c>
      <c r="DM924" s="293">
        <f t="shared" si="1812"/>
        <v>1139.9423189700001</v>
      </c>
      <c r="DN924" s="295">
        <f t="shared" si="1804"/>
        <v>2057.7601559700001</v>
      </c>
      <c r="DO924" s="294"/>
      <c r="DP924" s="293">
        <f t="shared" ref="DP924:DQ924" si="1813">+DP816*DP862</f>
        <v>939.74728083709988</v>
      </c>
      <c r="DQ924" s="293">
        <f t="shared" si="1813"/>
        <v>1169.438132626125</v>
      </c>
      <c r="DR924" s="295">
        <f t="shared" si="1806"/>
        <v>2109.1854134632249</v>
      </c>
      <c r="DS924" s="294"/>
      <c r="DU924" s="876"/>
      <c r="DV924" s="876"/>
      <c r="DW924" s="876"/>
      <c r="DZ924" s="876"/>
      <c r="EA924" s="876"/>
      <c r="ED924" s="876"/>
      <c r="EE924" s="876"/>
    </row>
    <row r="925" spans="1:273">
      <c r="A925" s="102" t="s">
        <v>690</v>
      </c>
      <c r="AR925" s="685"/>
      <c r="AS925" s="685"/>
      <c r="AT925" s="730"/>
      <c r="AU925" s="730"/>
      <c r="AV925" s="685"/>
      <c r="AW925" s="685"/>
      <c r="AX925" s="730"/>
      <c r="AY925" s="730"/>
      <c r="AZ925" s="685"/>
      <c r="BA925" s="876"/>
      <c r="BD925" s="711"/>
      <c r="BE925" s="885"/>
      <c r="BF925" s="711"/>
      <c r="BH925" s="685"/>
      <c r="BI925" s="876"/>
      <c r="BL925" s="876"/>
      <c r="BM925" s="876"/>
      <c r="BP925" s="876"/>
      <c r="BQ925" s="876"/>
      <c r="BT925" s="876"/>
      <c r="BU925" s="876"/>
      <c r="BX925" s="711">
        <f t="shared" si="1767"/>
        <v>267.2</v>
      </c>
      <c r="BY925" s="711">
        <f t="shared" si="1767"/>
        <v>318.72000000000003</v>
      </c>
      <c r="BZ925" s="715">
        <f t="shared" ref="BZ925" si="1814">+BX925+BY925</f>
        <v>585.92000000000007</v>
      </c>
      <c r="CA925" s="290"/>
      <c r="CB925" s="711">
        <f t="shared" si="1769"/>
        <v>198.26000000000002</v>
      </c>
      <c r="CC925" s="711">
        <f t="shared" si="1769"/>
        <v>208.84</v>
      </c>
      <c r="CD925" s="715">
        <f t="shared" ref="CD925" si="1815">+CB925+CC925</f>
        <v>407.1</v>
      </c>
      <c r="CE925" s="811">
        <f t="shared" si="1771"/>
        <v>-0.30519524849808854</v>
      </c>
      <c r="CF925" s="715"/>
      <c r="CG925" s="715"/>
      <c r="CH925" s="715"/>
      <c r="CI925" s="811"/>
      <c r="CJ925" s="715"/>
      <c r="CK925" s="715"/>
      <c r="CL925" s="715"/>
      <c r="CM925" s="811"/>
      <c r="CN925" s="715"/>
      <c r="CO925" s="715"/>
      <c r="CP925" s="715"/>
      <c r="CQ925" s="811"/>
      <c r="CR925" s="293"/>
      <c r="CS925" s="293"/>
      <c r="CT925" s="295"/>
      <c r="CU925" s="294"/>
      <c r="CV925" s="293"/>
      <c r="CW925" s="293"/>
      <c r="CX925" s="295"/>
      <c r="CY925" s="294"/>
      <c r="CZ925" s="293"/>
      <c r="DA925" s="293"/>
      <c r="DB925" s="295"/>
      <c r="DC925" s="294"/>
      <c r="DD925" s="293"/>
      <c r="DE925" s="293"/>
      <c r="DF925" s="295"/>
      <c r="DG925" s="294"/>
      <c r="DH925" s="293"/>
      <c r="DI925" s="293"/>
      <c r="DJ925" s="295"/>
      <c r="DK925" s="294"/>
      <c r="DL925" s="293"/>
      <c r="DM925" s="293"/>
      <c r="DN925" s="295"/>
      <c r="DO925" s="294"/>
      <c r="DP925" s="293"/>
      <c r="DQ925" s="293"/>
      <c r="DR925" s="295"/>
      <c r="DS925" s="294"/>
      <c r="DU925" s="876"/>
      <c r="DV925" s="876"/>
      <c r="DW925" s="876"/>
      <c r="DZ925" s="876"/>
      <c r="EA925" s="876"/>
      <c r="ED925" s="876"/>
      <c r="EE925" s="876"/>
    </row>
    <row r="926" spans="1:273">
      <c r="A926" s="102" t="s">
        <v>689</v>
      </c>
      <c r="AR926" s="685"/>
      <c r="AS926" s="685"/>
      <c r="AT926" s="730"/>
      <c r="AU926" s="730"/>
      <c r="AV926" s="685"/>
      <c r="AW926" s="685"/>
      <c r="AX926" s="730"/>
      <c r="AY926" s="730"/>
      <c r="AZ926" s="685"/>
      <c r="BA926" s="876"/>
      <c r="BD926" s="711"/>
      <c r="BE926" s="885"/>
      <c r="BF926" s="711"/>
      <c r="BH926" s="685"/>
      <c r="BI926" s="876"/>
      <c r="BL926" s="876"/>
      <c r="BM926" s="876"/>
      <c r="BP926" s="876"/>
      <c r="BQ926" s="876"/>
      <c r="BT926" s="876"/>
      <c r="BU926" s="876"/>
      <c r="BX926" s="711">
        <f t="shared" si="1767"/>
        <v>181.953</v>
      </c>
      <c r="BY926" s="711">
        <f t="shared" si="1767"/>
        <v>159.18299999999999</v>
      </c>
      <c r="BZ926" s="715">
        <f t="shared" ref="BZ926" si="1816">+BX926+BY926</f>
        <v>341.13599999999997</v>
      </c>
      <c r="CA926" s="290"/>
      <c r="CB926" s="711">
        <f t="shared" si="1769"/>
        <v>226.12200000000001</v>
      </c>
      <c r="CC926" s="711">
        <f t="shared" si="1769"/>
        <v>225.67600000000002</v>
      </c>
      <c r="CD926" s="715">
        <f t="shared" ref="CD926" si="1817">+CB926+CC926</f>
        <v>451.798</v>
      </c>
      <c r="CE926" s="811">
        <f t="shared" si="1771"/>
        <v>0.32439261760705418</v>
      </c>
      <c r="CF926" s="715">
        <f>+CF818*CF864</f>
        <v>252.23999999999998</v>
      </c>
      <c r="CG926" s="715">
        <f>+CG818*CG864</f>
        <v>252.48</v>
      </c>
      <c r="CH926" s="715">
        <f t="shared" ref="CH926" si="1818">+CF926+CG926</f>
        <v>504.71999999999997</v>
      </c>
      <c r="CI926" s="811">
        <f t="shared" si="1774"/>
        <v>0.11713641937325958</v>
      </c>
      <c r="CJ926" s="715">
        <f>+CJ818*CJ864</f>
        <v>234.83</v>
      </c>
      <c r="CK926" s="715">
        <f>+CK818*CK864</f>
        <v>233.68</v>
      </c>
      <c r="CL926" s="715">
        <f t="shared" ref="CL926" si="1819">+CJ926+CK926</f>
        <v>468.51</v>
      </c>
      <c r="CM926" s="811">
        <f t="shared" si="1777"/>
        <v>-7.1742748454588612E-2</v>
      </c>
      <c r="CN926" s="715">
        <f>+CN818*CN864</f>
        <v>236.39999999999998</v>
      </c>
      <c r="CO926" s="715">
        <f>+CO818*CO864</f>
        <v>262.32</v>
      </c>
      <c r="CP926" s="715">
        <f t="shared" ref="CP926" si="1820">+CN926+CO926</f>
        <v>498.71999999999997</v>
      </c>
      <c r="CQ926" s="811">
        <f t="shared" si="1780"/>
        <v>6.4481014279310855E-2</v>
      </c>
      <c r="CR926" s="293">
        <f>+CR818*CR864</f>
        <v>267.49</v>
      </c>
      <c r="CS926" s="293">
        <f>+CS818*CS864</f>
        <v>298.54000000000002</v>
      </c>
      <c r="CT926" s="295">
        <f>+CR926+CS926</f>
        <v>566.03</v>
      </c>
      <c r="CU926" s="294">
        <f t="shared" si="1782"/>
        <v>0.1349655117099775</v>
      </c>
      <c r="CV926" s="293">
        <f>+CV818*CV864</f>
        <v>341.52</v>
      </c>
      <c r="CW926" s="293">
        <f>+CW818*CW864</f>
        <v>368.88</v>
      </c>
      <c r="CX926" s="295">
        <f>+CV926+CW926</f>
        <v>710.4</v>
      </c>
      <c r="CY926" s="294">
        <f t="shared" ref="CY926" si="1821">+CX926/CT926-1</f>
        <v>0.25505715244775007</v>
      </c>
      <c r="CZ926" s="293">
        <f>+CZ818*CZ864</f>
        <v>370.07</v>
      </c>
      <c r="DA926" s="293">
        <f>+DA818*DA864</f>
        <v>368</v>
      </c>
      <c r="DB926" s="295">
        <f>+CZ926+DA926</f>
        <v>738.06999999999994</v>
      </c>
      <c r="DC926" s="294">
        <f t="shared" ref="DC926" si="1822">+DB926/CX926-1</f>
        <v>3.894988738738725E-2</v>
      </c>
      <c r="DD926" s="293">
        <f>+DD818*DD864</f>
        <v>364.78000000000003</v>
      </c>
      <c r="DE926" s="293">
        <f>+DE818*DE864</f>
        <v>379.73</v>
      </c>
      <c r="DF926" s="295">
        <f>+DD926+DE926</f>
        <v>744.51</v>
      </c>
      <c r="DG926" s="294">
        <f t="shared" ref="DG926" si="1823">+DF926/DB926-1</f>
        <v>8.725459644749245E-3</v>
      </c>
      <c r="DH926" s="293">
        <f>+DH818*DH864</f>
        <v>404.34000000000003</v>
      </c>
      <c r="DI926" s="293">
        <f>+DI818*DI864</f>
        <v>371.3569089069066</v>
      </c>
      <c r="DJ926" s="295">
        <f>+DH926+DI926</f>
        <v>775.69690890690663</v>
      </c>
      <c r="DK926" s="294">
        <f t="shared" ref="DK926" si="1824">+DJ926/DF926-1</f>
        <v>4.1889173962615267E-2</v>
      </c>
      <c r="DL926" s="293">
        <f>+DL818*DL864</f>
        <v>385.48944964844964</v>
      </c>
      <c r="DM926" s="293">
        <f>+DM818*DM864</f>
        <v>397.87566157940461</v>
      </c>
      <c r="DN926" s="295">
        <f>+DL926+DM926</f>
        <v>783.36511122785419</v>
      </c>
      <c r="DO926" s="294"/>
      <c r="DP926" s="293">
        <f>+DP818*DP864</f>
        <v>417.17440824325581</v>
      </c>
      <c r="DQ926" s="293">
        <f>+DQ818*DQ864</f>
        <v>428.02655167224304</v>
      </c>
      <c r="DR926" s="295">
        <f>+DP926+DQ926</f>
        <v>845.20095991549886</v>
      </c>
      <c r="DS926" s="294"/>
      <c r="DU926" s="876"/>
      <c r="DV926" s="876"/>
      <c r="DW926" s="876"/>
      <c r="DZ926" s="876"/>
      <c r="EA926" s="876"/>
      <c r="ED926" s="876"/>
      <c r="EE926" s="876"/>
    </row>
    <row r="927" spans="1:273">
      <c r="A927" s="102" t="s">
        <v>688</v>
      </c>
      <c r="AR927" s="685"/>
      <c r="AS927" s="685"/>
      <c r="AT927" s="730"/>
      <c r="AU927" s="730"/>
      <c r="AV927" s="685"/>
      <c r="AW927" s="685"/>
      <c r="AX927" s="730"/>
      <c r="AY927" s="730"/>
      <c r="AZ927" s="685"/>
      <c r="BA927" s="876"/>
      <c r="BD927" s="711"/>
      <c r="BE927" s="885"/>
      <c r="BF927" s="711"/>
      <c r="BH927" s="685"/>
      <c r="BI927" s="876"/>
      <c r="BL927" s="876"/>
      <c r="BM927" s="876"/>
      <c r="BP927" s="876"/>
      <c r="BQ927" s="876"/>
      <c r="BT927" s="876"/>
      <c r="BU927" s="876"/>
      <c r="BX927" s="711"/>
      <c r="BY927" s="711"/>
      <c r="BZ927" s="715"/>
      <c r="CA927" s="290"/>
      <c r="CB927" s="711"/>
      <c r="CC927" s="711"/>
      <c r="CD927" s="715"/>
      <c r="CE927" s="581"/>
      <c r="CF927" s="715"/>
      <c r="CG927" s="715"/>
      <c r="CH927" s="715"/>
      <c r="CI927" s="581"/>
      <c r="CJ927" s="715"/>
      <c r="CK927" s="715"/>
      <c r="CL927" s="715"/>
      <c r="CM927" s="581"/>
      <c r="CN927" s="715"/>
      <c r="CO927" s="715"/>
      <c r="CP927" s="715"/>
      <c r="CQ927" s="581"/>
      <c r="CR927" s="293"/>
      <c r="CS927" s="293"/>
      <c r="CT927" s="295"/>
      <c r="CU927" s="294"/>
      <c r="CV927" s="293"/>
      <c r="CW927" s="293"/>
      <c r="CX927" s="295"/>
      <c r="CY927" s="294"/>
      <c r="CZ927" s="293"/>
      <c r="DA927" s="293"/>
      <c r="DB927" s="295"/>
      <c r="DC927" s="294"/>
      <c r="DD927" s="293"/>
      <c r="DE927" s="293"/>
      <c r="DF927" s="295"/>
      <c r="DG927" s="294"/>
      <c r="DH927" s="293"/>
      <c r="DI927" s="293"/>
      <c r="DJ927" s="295"/>
      <c r="DK927" s="294"/>
      <c r="DL927" s="293"/>
      <c r="DM927" s="293"/>
      <c r="DN927" s="295"/>
      <c r="DO927" s="294"/>
      <c r="DP927" s="293"/>
      <c r="DQ927" s="293"/>
      <c r="DR927" s="295"/>
      <c r="DS927" s="294"/>
      <c r="DU927" s="876"/>
      <c r="DV927" s="876"/>
      <c r="DW927" s="876"/>
      <c r="DZ927" s="876"/>
      <c r="EA927" s="876"/>
      <c r="ED927" s="876"/>
      <c r="EE927" s="876"/>
    </row>
    <row r="928" spans="1:273" s="1339" customFormat="1">
      <c r="A928" s="1339" t="s">
        <v>1310</v>
      </c>
      <c r="B928" s="1598"/>
      <c r="AN928" s="1598"/>
      <c r="AO928" s="1598"/>
      <c r="AP928" s="1598"/>
      <c r="AQ928" s="1598"/>
      <c r="AR928" s="1599"/>
      <c r="AS928" s="1599"/>
      <c r="AT928" s="1598"/>
      <c r="AU928" s="1598"/>
      <c r="AV928" s="1599"/>
      <c r="AW928" s="1599"/>
      <c r="AX928" s="1598"/>
      <c r="AY928" s="1598"/>
      <c r="AZ928" s="1599"/>
      <c r="BA928" s="1599"/>
      <c r="BB928" s="1598"/>
      <c r="BC928" s="1598"/>
      <c r="BD928" s="1586"/>
      <c r="BE928" s="1586"/>
      <c r="BF928" s="1586"/>
      <c r="BG928" s="1598"/>
      <c r="BH928" s="1599"/>
      <c r="BI928" s="1599"/>
      <c r="BJ928" s="1598"/>
      <c r="BK928" s="1598"/>
      <c r="BL928" s="1599"/>
      <c r="BM928" s="1599"/>
      <c r="BN928" s="1598"/>
      <c r="BO928" s="1598"/>
      <c r="BP928" s="1599"/>
      <c r="BQ928" s="1599"/>
      <c r="BR928" s="1598"/>
      <c r="BS928" s="1598"/>
      <c r="BT928" s="1599"/>
      <c r="BU928" s="1599"/>
      <c r="BV928" s="1598"/>
      <c r="BW928" s="1598"/>
      <c r="BX928" s="1586">
        <f t="shared" ref="BX928:BY928" si="1825">+BX929-SUM(BX922:BX926)</f>
        <v>642.45700000000011</v>
      </c>
      <c r="BY928" s="1586">
        <f t="shared" si="1825"/>
        <v>428.96699999999987</v>
      </c>
      <c r="BZ928" s="1587">
        <f t="shared" ref="BZ928" si="1826">+BX928+BY928</f>
        <v>1071.424</v>
      </c>
      <c r="CA928" s="1653"/>
      <c r="CB928" s="1586">
        <f t="shared" ref="CB928:CC928" si="1827">+CB929-SUM(CB922:CB926)</f>
        <v>580.02299999999991</v>
      </c>
      <c r="CC928" s="1586">
        <f t="shared" si="1827"/>
        <v>499.59900000000016</v>
      </c>
      <c r="CD928" s="1587">
        <f t="shared" ref="CD928" si="1828">+CB928+CC928</f>
        <v>1079.6220000000001</v>
      </c>
      <c r="CE928" s="811">
        <f>+CD928/BZ928-1</f>
        <v>7.6514993130638587E-3</v>
      </c>
      <c r="CF928" s="1587">
        <f t="shared" ref="CF928:CG928" si="1829">+CF929-SUM(CF922:CF926)</f>
        <v>609.14999999999986</v>
      </c>
      <c r="CG928" s="1587">
        <f t="shared" si="1829"/>
        <v>516.88999999999987</v>
      </c>
      <c r="CH928" s="1587">
        <f t="shared" ref="CH928" si="1830">+CF928+CG928</f>
        <v>1126.0399999999997</v>
      </c>
      <c r="CI928" s="811">
        <f>+CH928/CD928-1</f>
        <v>4.2994677766847733E-2</v>
      </c>
      <c r="CJ928" s="1587">
        <f t="shared" ref="CJ928:CK928" si="1831">+CJ929-SUM(CJ922:CJ926)</f>
        <v>693.25</v>
      </c>
      <c r="CK928" s="1587">
        <f t="shared" si="1831"/>
        <v>516.78</v>
      </c>
      <c r="CL928" s="1587">
        <f t="shared" ref="CL928" si="1832">+CJ928+CK928</f>
        <v>1210.03</v>
      </c>
      <c r="CM928" s="811">
        <f>+CL928/CH928-1</f>
        <v>7.4588824553301958E-2</v>
      </c>
      <c r="CN928" s="1587">
        <f t="shared" ref="CN928:CO928" si="1833">+CN929-SUM(CN922:CN926)</f>
        <v>816.61000000000013</v>
      </c>
      <c r="CO928" s="1587">
        <f t="shared" si="1833"/>
        <v>478.44999999999982</v>
      </c>
      <c r="CP928" s="1587">
        <f t="shared" ref="CP928" si="1834">+CN928+CO928</f>
        <v>1295.06</v>
      </c>
      <c r="CQ928" s="811">
        <f>+CP928/CL928-1</f>
        <v>7.0270985016900323E-2</v>
      </c>
      <c r="CR928" s="1217">
        <f>+CR929-SUM(CR922:CR926)</f>
        <v>823.84000000000015</v>
      </c>
      <c r="CS928" s="1217">
        <f>+CS929-SUM(CS922:CS926)</f>
        <v>605.93000000000029</v>
      </c>
      <c r="CT928" s="1711">
        <f>+CR928+CS928</f>
        <v>1429.7700000000004</v>
      </c>
      <c r="CU928" s="294">
        <f>+CT928/CP928-1</f>
        <v>0.1040183466403104</v>
      </c>
      <c r="CV928" s="1217">
        <f>+CV929-SUM(CV922:CV926)</f>
        <v>784.38000000000011</v>
      </c>
      <c r="CW928" s="1217">
        <f>+CW929-SUM(CW922:CW926)</f>
        <v>833.46000000000049</v>
      </c>
      <c r="CX928" s="1711">
        <f>+CV928+CW928</f>
        <v>1617.8400000000006</v>
      </c>
      <c r="CY928" s="294">
        <f>+CX928/CT928-1</f>
        <v>0.13153863908181052</v>
      </c>
      <c r="CZ928" s="1217">
        <f>+CZ929-SUM(CZ922:CZ926)</f>
        <v>1042.1200000000003</v>
      </c>
      <c r="DA928" s="1217">
        <f>+DA929-SUM(DA922:DA926)</f>
        <v>899.67000000000007</v>
      </c>
      <c r="DB928" s="1711">
        <f>+CZ928+DA928</f>
        <v>1941.7900000000004</v>
      </c>
      <c r="DC928" s="294">
        <f>+DB928/CX928-1</f>
        <v>0.20023611729219182</v>
      </c>
      <c r="DD928" s="1217">
        <f>+DD929-SUM(DD922:DD926)</f>
        <v>1028.9599999999996</v>
      </c>
      <c r="DE928" s="1217">
        <f>+DE929-SUM(DE922:DE926)</f>
        <v>706.55000000000018</v>
      </c>
      <c r="DF928" s="1711">
        <f>+DD928+DE928</f>
        <v>1735.5099999999998</v>
      </c>
      <c r="DG928" s="294">
        <f>+DF928/DB928-1</f>
        <v>-0.10623187883344776</v>
      </c>
      <c r="DH928" s="1217">
        <f>+DH929-SUM(DH922:DH926)</f>
        <v>879.64999999999964</v>
      </c>
      <c r="DI928" s="1217">
        <f>+DI929-SUM(DI922:DI926)</f>
        <v>737.91873272122348</v>
      </c>
      <c r="DJ928" s="1711">
        <f>+DH928+DI928</f>
        <v>1617.5687327212231</v>
      </c>
      <c r="DK928" s="294">
        <f>+DJ928/DF928-1</f>
        <v>-6.7957699626494006E-2</v>
      </c>
      <c r="DL928" s="1217">
        <f>+DL929-SUM(DL922:DL926)</f>
        <v>1151.337023975716</v>
      </c>
      <c r="DM928" s="1217">
        <f>+DM929-SUM(DM922:DM926)</f>
        <v>910.01851191258356</v>
      </c>
      <c r="DN928" s="1711">
        <f>+DL928+DM928</f>
        <v>2061.3555358882995</v>
      </c>
      <c r="DO928" s="294"/>
      <c r="DP928" s="1217">
        <f>+DP929-SUM(DP922:DP926)</f>
        <v>1230.0431792909185</v>
      </c>
      <c r="DQ928" s="1217">
        <f>+DQ929-SUM(DQ922:DQ926)</f>
        <v>999.78080403716785</v>
      </c>
      <c r="DR928" s="1711">
        <f>+DP928+DQ928</f>
        <v>2229.8239833280863</v>
      </c>
      <c r="DS928" s="294"/>
      <c r="DT928" s="1598"/>
      <c r="DU928" s="1599"/>
      <c r="DV928" s="1599"/>
      <c r="DW928" s="1599"/>
      <c r="DX928" s="1598"/>
      <c r="DY928" s="1598"/>
      <c r="DZ928" s="1599"/>
      <c r="EA928" s="1599"/>
      <c r="EB928" s="1598"/>
      <c r="EC928" s="1598"/>
      <c r="ED928" s="1599"/>
      <c r="EE928" s="1599"/>
      <c r="EF928" s="1598"/>
      <c r="EG928" s="1598"/>
      <c r="EH928" s="1598"/>
      <c r="EI928" s="1598"/>
      <c r="EJ928" s="1598"/>
      <c r="EK928" s="1598"/>
      <c r="EL928" s="1598"/>
      <c r="EM928" s="1598"/>
      <c r="EN928" s="1598"/>
      <c r="EO928" s="1598"/>
      <c r="EP928" s="1598"/>
      <c r="JM928"/>
    </row>
    <row r="929" spans="1:273">
      <c r="A929" s="289" t="s">
        <v>696</v>
      </c>
      <c r="AR929" s="685"/>
      <c r="AS929" s="685"/>
      <c r="AT929" s="730"/>
      <c r="AU929" s="730"/>
      <c r="AV929" s="685"/>
      <c r="AW929" s="685"/>
      <c r="AX929" s="730"/>
      <c r="AY929" s="730"/>
      <c r="AZ929" s="685"/>
      <c r="BA929" s="876"/>
      <c r="BD929" s="711"/>
      <c r="BE929" s="885"/>
      <c r="BF929" s="711"/>
      <c r="BH929" s="685"/>
      <c r="BI929" s="876"/>
      <c r="BL929" s="876"/>
      <c r="BM929" s="876"/>
      <c r="BP929" s="876"/>
      <c r="BQ929" s="876"/>
      <c r="BT929" s="876"/>
      <c r="BU929" s="876"/>
      <c r="BX929" s="715">
        <f>+BX867*BX821</f>
        <v>2290</v>
      </c>
      <c r="BY929" s="715">
        <f>+BY867*BY821</f>
        <v>2089</v>
      </c>
      <c r="BZ929" s="715">
        <f>+BZ867*BZ821</f>
        <v>4379</v>
      </c>
      <c r="CB929" s="715">
        <f>+CB867*CB821</f>
        <v>2261</v>
      </c>
      <c r="CC929" s="715">
        <f>+CC867*CC821</f>
        <v>2232</v>
      </c>
      <c r="CD929" s="715">
        <f>+CD867*CD821</f>
        <v>4493</v>
      </c>
      <c r="CE929" s="817">
        <f>+CD929/BZ929-1</f>
        <v>2.6033340945421424E-2</v>
      </c>
      <c r="CF929" s="715">
        <f>+CF867*CF821</f>
        <v>2454</v>
      </c>
      <c r="CG929" s="715">
        <f>+CG867*CG821</f>
        <v>2763</v>
      </c>
      <c r="CH929" s="715">
        <f>+CH867*CH821</f>
        <v>5217</v>
      </c>
      <c r="CI929" s="817">
        <f>+CH929/CD929-1</f>
        <v>0.16113955041175165</v>
      </c>
      <c r="CJ929" s="715">
        <f>+CJ867*CJ821</f>
        <v>2776</v>
      </c>
      <c r="CK929" s="715">
        <f>+CK867*CK821</f>
        <v>2547</v>
      </c>
      <c r="CL929" s="715">
        <f>+CL867*CL821</f>
        <v>5323</v>
      </c>
      <c r="CM929" s="817">
        <f>+CL929/CH929-1</f>
        <v>2.0318190530956404E-2</v>
      </c>
      <c r="CN929" s="715">
        <f>+CN867*CN821</f>
        <v>2615</v>
      </c>
      <c r="CO929" s="715">
        <f>+CO867*CO821</f>
        <v>2902</v>
      </c>
      <c r="CP929" s="715">
        <f>+CP867*CP821</f>
        <v>5517</v>
      </c>
      <c r="CQ929" s="817">
        <f>+CP929/CL929-1</f>
        <v>3.6445613375915897E-2</v>
      </c>
      <c r="CR929" s="293">
        <f>+CR867*CR821</f>
        <v>3164</v>
      </c>
      <c r="CS929" s="293">
        <f>+CS867*CS821</f>
        <v>3561</v>
      </c>
      <c r="CT929" s="295">
        <f>+CT867*CT821</f>
        <v>6725</v>
      </c>
      <c r="CU929" s="301">
        <f>+CT929/CP929-1</f>
        <v>0.21895957948160238</v>
      </c>
      <c r="CV929" s="293">
        <f>+CV867*CV821</f>
        <v>3613</v>
      </c>
      <c r="CW929" s="293">
        <f>+CW867*CW821</f>
        <v>4090.0000000000005</v>
      </c>
      <c r="CX929" s="295">
        <f>+CX867*CX821</f>
        <v>7702.9999999999991</v>
      </c>
      <c r="CY929" s="301">
        <f>+CX929/CT929-1</f>
        <v>0.14542750929368009</v>
      </c>
      <c r="CZ929" s="293">
        <f>+CZ867*CZ821</f>
        <v>3734</v>
      </c>
      <c r="DA929" s="293">
        <f>+DA867*DA821</f>
        <v>3989</v>
      </c>
      <c r="DB929" s="295">
        <f>+DB867*DB821</f>
        <v>7723</v>
      </c>
      <c r="DC929" s="301">
        <f>+DB929/CX929-1</f>
        <v>2.5963910164872317E-3</v>
      </c>
      <c r="DD929" s="293">
        <f>+DD867*DD821</f>
        <v>3756</v>
      </c>
      <c r="DE929" s="293">
        <f>+DE867*DE821</f>
        <v>3904</v>
      </c>
      <c r="DF929" s="295">
        <f>+DF867*DF821</f>
        <v>7660</v>
      </c>
      <c r="DG929" s="301">
        <f>+DF929/DB929-1</f>
        <v>-8.1574517674478653E-3</v>
      </c>
      <c r="DH929" s="293">
        <f>+DH867*DH821</f>
        <v>3956</v>
      </c>
      <c r="DI929" s="293">
        <f>+DI867*DI821</f>
        <v>4113.2852697586586</v>
      </c>
      <c r="DJ929" s="295">
        <f>+DJ867*DJ821</f>
        <v>8069.2852697586586</v>
      </c>
      <c r="DK929" s="301">
        <f>+DJ929/DF929-1</f>
        <v>5.3431497357527169E-2</v>
      </c>
      <c r="DL929" s="293">
        <f>+DL867*DL821</f>
        <v>4067.0201175485372</v>
      </c>
      <c r="DM929" s="293">
        <f>+DM867*DM821</f>
        <v>4196.8683706362663</v>
      </c>
      <c r="DN929" s="295">
        <f>+DN867*DN821</f>
        <v>8263.8884881848044</v>
      </c>
      <c r="DO929" s="301"/>
      <c r="DP929" s="293">
        <f>+DP867*DP821</f>
        <v>4268.4366146201601</v>
      </c>
      <c r="DQ929" s="293">
        <f>+DQ867*DQ821</f>
        <v>4424.6462020054969</v>
      </c>
      <c r="DR929" s="295">
        <f>+DR867*DR821</f>
        <v>8693.0828166256579</v>
      </c>
      <c r="DS929" s="301"/>
      <c r="DU929" s="876"/>
      <c r="DV929" s="876"/>
      <c r="DW929" s="876"/>
      <c r="DZ929" s="876"/>
      <c r="EA929" s="876"/>
      <c r="ED929" s="876"/>
      <c r="EE929" s="876"/>
    </row>
    <row r="930" spans="1:273" s="1589" customFormat="1">
      <c r="A930" s="1589" t="s">
        <v>580</v>
      </c>
      <c r="B930" s="1590"/>
      <c r="AN930" s="1590"/>
      <c r="AO930" s="1590"/>
      <c r="AP930" s="1590"/>
      <c r="AQ930" s="1590"/>
      <c r="AR930" s="1591"/>
      <c r="AS930" s="1591"/>
      <c r="AT930" s="1592"/>
      <c r="AU930" s="1592"/>
      <c r="AV930" s="1591"/>
      <c r="AW930" s="1591"/>
      <c r="AX930" s="1592"/>
      <c r="AY930" s="1592"/>
      <c r="AZ930" s="1591"/>
      <c r="BA930" s="1593"/>
      <c r="BB930" s="1590"/>
      <c r="BC930" s="1590"/>
      <c r="BD930" s="1594"/>
      <c r="BE930" s="1595"/>
      <c r="BF930" s="1594"/>
      <c r="BG930" s="1590"/>
      <c r="BH930" s="1591"/>
      <c r="BI930" s="1593"/>
      <c r="BJ930" s="1590"/>
      <c r="BK930" s="1590"/>
      <c r="BL930" s="1593"/>
      <c r="BM930" s="1593"/>
      <c r="BN930" s="1590"/>
      <c r="BO930" s="1590"/>
      <c r="BP930" s="1593"/>
      <c r="BQ930" s="1593"/>
      <c r="BR930" s="1590"/>
      <c r="BS930" s="1590"/>
      <c r="BT930" s="1593"/>
      <c r="BU930" s="1593"/>
      <c r="BV930" s="1590"/>
      <c r="BW930" s="1590"/>
      <c r="BX930" s="1597">
        <f>+BX929+BX758</f>
        <v>0</v>
      </c>
      <c r="BY930" s="1597">
        <f>+BY929+BY758</f>
        <v>0</v>
      </c>
      <c r="BZ930" s="1597">
        <f>+BZ929+BZ758</f>
        <v>0</v>
      </c>
      <c r="CA930" s="1590"/>
      <c r="CB930" s="1597">
        <f>+CB929+CB758</f>
        <v>0</v>
      </c>
      <c r="CC930" s="1597">
        <f>+CC929+CC758</f>
        <v>0</v>
      </c>
      <c r="CD930" s="1597">
        <f>+CD929+CD758</f>
        <v>0</v>
      </c>
      <c r="CE930" s="1630"/>
      <c r="CF930" s="1597">
        <f>+CF929+CF758</f>
        <v>0</v>
      </c>
      <c r="CG930" s="1597">
        <f>+CG929+CG758</f>
        <v>0</v>
      </c>
      <c r="CH930" s="1597">
        <f>+CH929+CH758</f>
        <v>0</v>
      </c>
      <c r="CI930" s="1630"/>
      <c r="CJ930" s="1597">
        <f>+CJ929+CJ758</f>
        <v>0</v>
      </c>
      <c r="CK930" s="1597">
        <f>+CK929+CK758</f>
        <v>0</v>
      </c>
      <c r="CL930" s="1597">
        <f>+CL929+CL758</f>
        <v>0</v>
      </c>
      <c r="CM930" s="1630"/>
      <c r="CN930" s="1597">
        <f>+CN929+CN758</f>
        <v>0</v>
      </c>
      <c r="CO930" s="1597">
        <f>+CO929+CO758</f>
        <v>0</v>
      </c>
      <c r="CP930" s="1597">
        <f>+CP929+CP758</f>
        <v>0</v>
      </c>
      <c r="CQ930" s="1630"/>
      <c r="CR930" s="1597">
        <f>+CR929+CR758</f>
        <v>0</v>
      </c>
      <c r="CS930" s="1597">
        <f>+CS929+CS758</f>
        <v>0</v>
      </c>
      <c r="CT930" s="1597">
        <f>+CT929+CT758</f>
        <v>0</v>
      </c>
      <c r="CU930" s="1630"/>
      <c r="CV930" s="1597">
        <f>+CV929+CV758</f>
        <v>0</v>
      </c>
      <c r="CW930" s="1597">
        <f>+CW929+CW758</f>
        <v>0</v>
      </c>
      <c r="CX930" s="1597">
        <f>+CX929+CX758</f>
        <v>0</v>
      </c>
      <c r="CY930" s="1630"/>
      <c r="CZ930" s="1597">
        <f t="shared" ref="CZ930:DB930" si="1835">+CZ929+CZ758</f>
        <v>0</v>
      </c>
      <c r="DA930" s="1597">
        <f t="shared" si="1835"/>
        <v>0</v>
      </c>
      <c r="DB930" s="1597">
        <f t="shared" si="1835"/>
        <v>0</v>
      </c>
      <c r="DC930" s="1630"/>
      <c r="DD930" s="1597">
        <f t="shared" ref="DD930" si="1836">+DD929+DD758</f>
        <v>0</v>
      </c>
      <c r="DE930" s="1597">
        <f t="shared" ref="DE930:DF930" si="1837">+DE929+DE758</f>
        <v>0</v>
      </c>
      <c r="DF930" s="1597">
        <f t="shared" si="1837"/>
        <v>0</v>
      </c>
      <c r="DG930" s="1630"/>
      <c r="DH930" s="1597">
        <f t="shared" ref="DH930" si="1838">+DH929+DH758</f>
        <v>0</v>
      </c>
      <c r="DI930" s="1597">
        <f t="shared" ref="DI930:DJ930" si="1839">+DI929+DI758</f>
        <v>0</v>
      </c>
      <c r="DJ930" s="1597">
        <f t="shared" si="1839"/>
        <v>0</v>
      </c>
      <c r="DK930" s="1630"/>
      <c r="DL930" s="1597">
        <f t="shared" ref="DL930:DN930" si="1840">+DL929+DL758</f>
        <v>0</v>
      </c>
      <c r="DM930" s="1597">
        <f t="shared" si="1840"/>
        <v>0</v>
      </c>
      <c r="DN930" s="1597">
        <f t="shared" si="1840"/>
        <v>0</v>
      </c>
      <c r="DO930" s="1590"/>
      <c r="DP930" s="1597">
        <f t="shared" ref="DP930:DR930" si="1841">+DP929+DP758</f>
        <v>0</v>
      </c>
      <c r="DQ930" s="1597">
        <f t="shared" si="1841"/>
        <v>0</v>
      </c>
      <c r="DR930" s="1597">
        <f t="shared" si="1841"/>
        <v>0</v>
      </c>
      <c r="DS930" s="1590"/>
      <c r="DT930" s="1590"/>
      <c r="DU930" s="1593"/>
      <c r="DV930" s="1593"/>
      <c r="DW930" s="1593"/>
      <c r="DX930" s="1590"/>
      <c r="DY930" s="1590"/>
      <c r="DZ930" s="1593"/>
      <c r="EA930" s="1593"/>
      <c r="EB930" s="1590"/>
      <c r="EC930" s="1590"/>
      <c r="ED930" s="1593"/>
      <c r="EE930" s="1593"/>
      <c r="EF930" s="1590"/>
      <c r="EG930" s="1590"/>
      <c r="EH930" s="1590"/>
      <c r="EI930" s="1590"/>
      <c r="EJ930" s="1590"/>
      <c r="EK930" s="1590"/>
      <c r="EL930" s="1590"/>
      <c r="EM930" s="1590"/>
      <c r="EN930" s="1590"/>
      <c r="EO930" s="1590"/>
      <c r="EP930" s="1590"/>
      <c r="JM930"/>
    </row>
    <row r="931" spans="1:273">
      <c r="AR931" s="685"/>
      <c r="AS931" s="685"/>
      <c r="AT931" s="730"/>
      <c r="AU931" s="730"/>
      <c r="AV931" s="685"/>
      <c r="AW931" s="685"/>
      <c r="AX931" s="730"/>
      <c r="AY931" s="730"/>
      <c r="AZ931" s="685"/>
      <c r="BA931" s="876"/>
      <c r="BD931" s="711"/>
      <c r="BE931" s="885"/>
      <c r="BF931" s="711"/>
      <c r="BH931" s="685"/>
      <c r="BI931" s="876"/>
      <c r="BL931" s="876"/>
      <c r="BM931" s="876"/>
      <c r="BP931" s="876"/>
      <c r="BQ931" s="876"/>
      <c r="BT931" s="876"/>
      <c r="BU931" s="876"/>
      <c r="BX931" s="876"/>
      <c r="CE931" s="103"/>
      <c r="CI931" s="103"/>
      <c r="CN931" s="876"/>
      <c r="CO931" s="876"/>
      <c r="CR931" s="876"/>
      <c r="CS931" s="876"/>
      <c r="CU931" s="115"/>
      <c r="CV931" s="876"/>
      <c r="CW931" s="876"/>
      <c r="CY931" s="115"/>
      <c r="CZ931" s="876"/>
      <c r="DA931" s="876"/>
      <c r="DC931" s="115"/>
      <c r="DD931" s="876"/>
      <c r="DE931" s="876"/>
      <c r="DH931" s="876"/>
      <c r="DI931" s="876"/>
      <c r="DL931" s="876"/>
      <c r="DM931" s="876"/>
      <c r="DP931" s="876"/>
      <c r="DQ931" s="876"/>
      <c r="DU931" s="876"/>
      <c r="DV931" s="876"/>
      <c r="DW931" s="876"/>
      <c r="DZ931" s="876"/>
      <c r="EA931" s="876"/>
      <c r="ED931" s="876"/>
      <c r="EE931" s="876"/>
    </row>
    <row r="932" spans="1:273">
      <c r="A932" s="815" t="s">
        <v>1315</v>
      </c>
      <c r="AR932" s="685"/>
      <c r="AS932" s="685"/>
      <c r="AT932" s="730"/>
      <c r="AU932" s="730"/>
      <c r="AV932" s="685"/>
      <c r="AW932" s="685"/>
      <c r="AX932" s="730"/>
      <c r="AY932" s="730"/>
      <c r="AZ932" s="685"/>
      <c r="BA932" s="876"/>
      <c r="BD932" s="711"/>
      <c r="BE932" s="885"/>
      <c r="BF932" s="711"/>
      <c r="BH932" s="685"/>
      <c r="BI932" s="876"/>
      <c r="BL932" s="876"/>
      <c r="BM932" s="876"/>
      <c r="BP932" s="876"/>
      <c r="BQ932" s="876"/>
      <c r="BT932" s="876"/>
      <c r="BU932" s="876"/>
      <c r="BX932" s="876"/>
      <c r="BY932" s="876"/>
      <c r="CB932" s="876"/>
      <c r="CC932" s="876"/>
      <c r="CF932" s="876"/>
      <c r="CG932" s="876"/>
      <c r="CJ932" s="876"/>
      <c r="CK932" s="876"/>
      <c r="CN932" s="876"/>
      <c r="CO932" s="876"/>
      <c r="CR932" s="876"/>
      <c r="CS932" s="876"/>
      <c r="CU932" s="115"/>
      <c r="CV932" s="876"/>
      <c r="CW932" s="876"/>
      <c r="CY932" s="115"/>
      <c r="CZ932" s="876"/>
      <c r="DA932" s="876"/>
      <c r="DC932" s="115"/>
      <c r="DD932" s="876"/>
      <c r="DE932" s="876"/>
      <c r="DH932" s="876"/>
      <c r="DI932" s="876"/>
      <c r="DL932" s="876"/>
      <c r="DM932" s="876"/>
      <c r="DP932" s="876"/>
      <c r="DQ932" s="876"/>
      <c r="DU932" s="876"/>
      <c r="DV932" s="876"/>
      <c r="DW932" s="876"/>
      <c r="DZ932" s="876"/>
      <c r="EA932" s="876"/>
      <c r="ED932" s="876"/>
      <c r="EE932" s="876"/>
    </row>
    <row r="933" spans="1:273">
      <c r="A933" s="102" t="s">
        <v>686</v>
      </c>
      <c r="B933" s="103" t="s">
        <v>197</v>
      </c>
      <c r="AR933" s="685"/>
      <c r="AS933" s="685"/>
      <c r="AT933" s="730"/>
      <c r="AU933" s="730"/>
      <c r="AV933" s="685"/>
      <c r="AW933" s="685"/>
      <c r="AX933" s="730"/>
      <c r="AY933" s="730"/>
      <c r="AZ933" s="685"/>
      <c r="BA933" s="876"/>
      <c r="BD933" s="711"/>
      <c r="BE933" s="885"/>
      <c r="BF933" s="711"/>
      <c r="BH933" s="685"/>
      <c r="BI933" s="876"/>
      <c r="BL933" s="876"/>
      <c r="BM933" s="876"/>
      <c r="BP933" s="876"/>
      <c r="BQ933" s="876"/>
      <c r="BT933" s="876"/>
      <c r="BU933" s="876"/>
      <c r="BX933" s="150">
        <f t="shared" ref="BX933:BZ935" si="1842">+BX922/BX739*(BX$2/BX$1)*1000</f>
        <v>499.69785723870206</v>
      </c>
      <c r="BY933" s="150">
        <f t="shared" si="1842"/>
        <v>581.44420131291031</v>
      </c>
      <c r="BZ933" s="152">
        <f t="shared" si="1842"/>
        <v>539.80632666236284</v>
      </c>
      <c r="CA933" s="115"/>
      <c r="CB933" s="150">
        <f t="shared" ref="CB933:CD937" si="1843">+CB922/CB739*(CB$2/CB$1)*1000</f>
        <v>505.55624891407825</v>
      </c>
      <c r="CC933" s="150">
        <f t="shared" si="1843"/>
        <v>810.90551239804961</v>
      </c>
      <c r="CD933" s="152">
        <f t="shared" si="1843"/>
        <v>657.06570657065708</v>
      </c>
      <c r="CF933" s="150">
        <f t="shared" ref="CF933:CH935" si="1844">+CF922/CF739*(CF$2/CF$1)*1000</f>
        <v>596.11305728126104</v>
      </c>
      <c r="CG933" s="150">
        <f t="shared" si="1844"/>
        <v>959.02126918724423</v>
      </c>
      <c r="CH933" s="152">
        <f t="shared" si="1844"/>
        <v>786.13037447988893</v>
      </c>
      <c r="CJ933" s="150">
        <f t="shared" ref="CJ933:CL935" si="1845">+CJ922/CJ739*(CJ$2/CJ$1)*1000</f>
        <v>647.61360388682476</v>
      </c>
      <c r="CK933" s="150">
        <f t="shared" si="1845"/>
        <v>659.80368685659562</v>
      </c>
      <c r="CL933" s="152">
        <f t="shared" si="1845"/>
        <v>654.24700364773321</v>
      </c>
      <c r="CN933" s="150">
        <f t="shared" ref="CN933:CP935" si="1846">+CN922/CN739*(CN$2/CN$1)*1000</f>
        <v>363.84594466249155</v>
      </c>
      <c r="CO933" s="150">
        <f t="shared" si="1846"/>
        <v>893.79940804016348</v>
      </c>
      <c r="CP933" s="152">
        <f t="shared" si="1846"/>
        <v>620.51961283749358</v>
      </c>
      <c r="CR933" s="150">
        <f t="shared" ref="CR933:CT935" si="1847">+CR922/CR739*(CR$2/CR$1)*1000</f>
        <v>643.47254891398688</v>
      </c>
      <c r="CS933" s="150">
        <f t="shared" si="1847"/>
        <v>783.96603396603405</v>
      </c>
      <c r="CT933" s="147">
        <f t="shared" si="1847"/>
        <v>713.73191373191378</v>
      </c>
      <c r="CU933" s="768"/>
      <c r="CV933" s="150">
        <f t="shared" ref="CV933:CX935" si="1848">+CV922/CV739*(CV$2/CV$1)*1000</f>
        <v>814.20528674343416</v>
      </c>
      <c r="CW933" s="150">
        <f t="shared" si="1848"/>
        <v>637.0756739420334</v>
      </c>
      <c r="CX933" s="147">
        <f t="shared" si="1848"/>
        <v>728.75204521790863</v>
      </c>
      <c r="CY933" s="115"/>
      <c r="CZ933" s="150">
        <f t="shared" ref="CZ933:DB935" si="1849">+CZ922/CZ739*(CZ$2/CZ$1)*1000</f>
        <v>716.76866585067319</v>
      </c>
      <c r="DA933" s="150">
        <f t="shared" si="1849"/>
        <v>825.65338276181649</v>
      </c>
      <c r="DB933" s="147">
        <f t="shared" si="1849"/>
        <v>770.95157571099151</v>
      </c>
      <c r="DC933" s="115"/>
      <c r="DD933" s="150">
        <f t="shared" ref="DD933:DF933" si="1850">+DD922/DD739*(DD$2/DD$1)*1000</f>
        <v>692.26190168075493</v>
      </c>
      <c r="DE933" s="150">
        <f t="shared" si="1850"/>
        <v>933.25817040102754</v>
      </c>
      <c r="DF933" s="147">
        <f t="shared" si="1850"/>
        <v>810.78277573235152</v>
      </c>
      <c r="DG933" s="115"/>
      <c r="DH933" s="150">
        <f t="shared" ref="DH933" si="1851">+DH922/DH739*(DH$2/DH$1)*1000</f>
        <v>966.42109687838763</v>
      </c>
      <c r="DI933" s="150">
        <f t="shared" ref="DI933:DJ933" si="1852">+DI922/DI739*(DI$2/DI$1)*1000</f>
        <v>1072.9674578346946</v>
      </c>
      <c r="DJ933" s="147">
        <f t="shared" si="1852"/>
        <v>1019.2833014529323</v>
      </c>
      <c r="DK933" s="115"/>
      <c r="DL933" s="150">
        <f t="shared" ref="DL933:DN933" si="1853">+DL922/DL739*(DL$2/DL$1)*1000</f>
        <v>970.23730301787407</v>
      </c>
      <c r="DM933" s="150">
        <f t="shared" si="1853"/>
        <v>1116.2218275029493</v>
      </c>
      <c r="DN933" s="147">
        <f t="shared" si="1853"/>
        <v>1043.7239834800446</v>
      </c>
      <c r="DP933" s="150">
        <f t="shared" ref="DP933:DR933" si="1854">+DP922/DP739*(DP$2/DP$1)*1000</f>
        <v>984.94875360606284</v>
      </c>
      <c r="DQ933" s="150">
        <f t="shared" si="1854"/>
        <v>1119.3814105773583</v>
      </c>
      <c r="DR933" s="147">
        <f t="shared" si="1854"/>
        <v>1052.8305902945388</v>
      </c>
      <c r="DU933" s="876"/>
      <c r="DV933" s="876"/>
      <c r="DW933" s="876"/>
      <c r="DZ933" s="876"/>
      <c r="EA933" s="876"/>
      <c r="ED933" s="876"/>
      <c r="EE933" s="876"/>
    </row>
    <row r="934" spans="1:273">
      <c r="A934" s="102" t="s">
        <v>1306</v>
      </c>
      <c r="B934" s="103" t="s">
        <v>197</v>
      </c>
      <c r="AR934" s="685"/>
      <c r="AS934" s="685"/>
      <c r="AT934" s="730"/>
      <c r="AU934" s="730"/>
      <c r="AV934" s="685"/>
      <c r="AW934" s="685"/>
      <c r="AX934" s="730"/>
      <c r="AY934" s="730"/>
      <c r="AZ934" s="685"/>
      <c r="BA934" s="876"/>
      <c r="BD934" s="711"/>
      <c r="BE934" s="885"/>
      <c r="BF934" s="711"/>
      <c r="BH934" s="685"/>
      <c r="BI934" s="876"/>
      <c r="BL934" s="876"/>
      <c r="BM934" s="876"/>
      <c r="BP934" s="876"/>
      <c r="BQ934" s="876"/>
      <c r="BT934" s="876"/>
      <c r="BU934" s="876"/>
      <c r="BX934" s="150">
        <f t="shared" si="1842"/>
        <v>535.89167097119127</v>
      </c>
      <c r="BY934" s="150">
        <f t="shared" si="1842"/>
        <v>470.4501529030137</v>
      </c>
      <c r="BZ934" s="152">
        <f t="shared" si="1842"/>
        <v>502.91906090953864</v>
      </c>
      <c r="CA934" s="115"/>
      <c r="CB934" s="150">
        <f t="shared" si="1843"/>
        <v>659.14435130924994</v>
      </c>
      <c r="CC934" s="150">
        <f t="shared" si="1843"/>
        <v>383.44873452339516</v>
      </c>
      <c r="CD934" s="152">
        <f t="shared" si="1843"/>
        <v>521.67420814479635</v>
      </c>
      <c r="CF934" s="150">
        <f t="shared" si="1844"/>
        <v>532.87967831735239</v>
      </c>
      <c r="CG934" s="150">
        <f t="shared" si="1844"/>
        <v>569.86555441389044</v>
      </c>
      <c r="CH934" s="152">
        <f t="shared" si="1844"/>
        <v>552.12280459134274</v>
      </c>
      <c r="CJ934" s="150">
        <f t="shared" si="1845"/>
        <v>570.47438330170769</v>
      </c>
      <c r="CK934" s="150">
        <f t="shared" si="1845"/>
        <v>562.73318872017353</v>
      </c>
      <c r="CL934" s="152">
        <f t="shared" si="1845"/>
        <v>566.60431069540459</v>
      </c>
      <c r="CN934" s="150">
        <f t="shared" si="1846"/>
        <v>581.72466660631744</v>
      </c>
      <c r="CO934" s="150">
        <f t="shared" si="1846"/>
        <v>573.75493787258495</v>
      </c>
      <c r="CP934" s="152">
        <f t="shared" si="1846"/>
        <v>577.73466177241744</v>
      </c>
      <c r="CR934" s="150">
        <f t="shared" si="1847"/>
        <v>686.71741283993219</v>
      </c>
      <c r="CS934" s="150">
        <f t="shared" si="1847"/>
        <v>858.84785317775015</v>
      </c>
      <c r="CT934" s="147">
        <f t="shared" si="1847"/>
        <v>776.99158174568015</v>
      </c>
      <c r="CU934" s="1638"/>
      <c r="CV934" s="150">
        <f t="shared" si="1848"/>
        <v>643.50266019574315</v>
      </c>
      <c r="CW934" s="150">
        <f t="shared" si="1848"/>
        <v>570.17823849332842</v>
      </c>
      <c r="CX934" s="147">
        <f t="shared" si="1848"/>
        <v>606.52440229203705</v>
      </c>
      <c r="CY934" s="115"/>
      <c r="CZ934" s="150">
        <f t="shared" si="1849"/>
        <v>562.43622701206243</v>
      </c>
      <c r="DA934" s="150">
        <f t="shared" si="1849"/>
        <v>689.59968133837879</v>
      </c>
      <c r="DB934" s="147">
        <f t="shared" si="1849"/>
        <v>625.79083151418922</v>
      </c>
      <c r="DC934" s="115"/>
      <c r="DD934" s="150">
        <f t="shared" ref="DD934:DF934" si="1855">+DD923/DD740*(DD$2/DD$1)*1000</f>
        <v>695.08063495447004</v>
      </c>
      <c r="DE934" s="150">
        <f t="shared" si="1855"/>
        <v>919.14346895074925</v>
      </c>
      <c r="DF934" s="147">
        <f t="shared" si="1855"/>
        <v>803.91993327773139</v>
      </c>
      <c r="DG934" s="115"/>
      <c r="DH934" s="150">
        <f t="shared" ref="DH934" si="1856">+DH923/DH740*(DH$2/DH$1)*1000</f>
        <v>888.711839708561</v>
      </c>
      <c r="DI934" s="150">
        <f t="shared" ref="DI934:DJ934" si="1857">+DI923/DI740*(DI$2/DI$1)*1000</f>
        <v>962.44997566786833</v>
      </c>
      <c r="DJ934" s="147">
        <f t="shared" si="1857"/>
        <v>925.87053802153787</v>
      </c>
      <c r="DK934" s="115"/>
      <c r="DL934" s="150">
        <f t="shared" ref="DL934:DN934" si="1858">+DL923/DL740*(DL$2/DL$1)*1000</f>
        <v>751.59364858985134</v>
      </c>
      <c r="DM934" s="150">
        <f t="shared" si="1858"/>
        <v>753.54612611522737</v>
      </c>
      <c r="DN934" s="147">
        <f t="shared" si="1858"/>
        <v>752.55646424514748</v>
      </c>
      <c r="DP934" s="150">
        <f t="shared" ref="DP934:DR934" si="1859">+DP923/DP740*(DP$2/DP$1)*1000</f>
        <v>749.21244625353643</v>
      </c>
      <c r="DQ934" s="150">
        <f t="shared" si="1859"/>
        <v>753.70748654015154</v>
      </c>
      <c r="DR934" s="147">
        <f t="shared" si="1859"/>
        <v>751.48221907153027</v>
      </c>
      <c r="DU934" s="876"/>
      <c r="DV934" s="876"/>
      <c r="DW934" s="876"/>
      <c r="DZ934" s="876"/>
      <c r="EA934" s="876"/>
      <c r="ED934" s="876"/>
      <c r="EE934" s="876"/>
    </row>
    <row r="935" spans="1:273">
      <c r="A935" s="102" t="s">
        <v>1024</v>
      </c>
      <c r="B935" s="103" t="s">
        <v>197</v>
      </c>
      <c r="AR935" s="685"/>
      <c r="AS935" s="685"/>
      <c r="AT935" s="730"/>
      <c r="AU935" s="730"/>
      <c r="AV935" s="685"/>
      <c r="AW935" s="685"/>
      <c r="AX935" s="730"/>
      <c r="AY935" s="730"/>
      <c r="AZ935" s="685"/>
      <c r="BA935" s="876"/>
      <c r="BD935" s="711"/>
      <c r="BE935" s="885"/>
      <c r="BF935" s="711"/>
      <c r="BH935" s="685"/>
      <c r="BI935" s="876"/>
      <c r="BL935" s="876"/>
      <c r="BM935" s="876"/>
      <c r="BP935" s="876"/>
      <c r="BQ935" s="876"/>
      <c r="BT935" s="876"/>
      <c r="BU935" s="876"/>
      <c r="BX935" s="150">
        <f t="shared" si="1842"/>
        <v>504.43902256077746</v>
      </c>
      <c r="BY935" s="150">
        <f t="shared" si="1842"/>
        <v>515.95951948314155</v>
      </c>
      <c r="BZ935" s="152">
        <f t="shared" si="1842"/>
        <v>510.11363636363637</v>
      </c>
      <c r="CA935" s="115"/>
      <c r="CB935" s="150">
        <f t="shared" si="1843"/>
        <v>476.08337494463575</v>
      </c>
      <c r="CC935" s="150">
        <f t="shared" si="1843"/>
        <v>551.25030948254516</v>
      </c>
      <c r="CD935" s="152">
        <f t="shared" si="1843"/>
        <v>514.31821053961824</v>
      </c>
      <c r="CF935" s="150">
        <f t="shared" si="1844"/>
        <v>638.35028914658562</v>
      </c>
      <c r="CG935" s="150">
        <f t="shared" si="1844"/>
        <v>583.25400713935744</v>
      </c>
      <c r="CH935" s="152">
        <f t="shared" si="1844"/>
        <v>608.61309694023441</v>
      </c>
      <c r="CJ935" s="150">
        <f t="shared" si="1845"/>
        <v>602.91359010177598</v>
      </c>
      <c r="CK935" s="150">
        <f t="shared" si="1845"/>
        <v>550.05839757066099</v>
      </c>
      <c r="CL935" s="152">
        <f t="shared" si="1845"/>
        <v>578.56220404649162</v>
      </c>
      <c r="CN935" s="150">
        <f t="shared" si="1846"/>
        <v>592.3812208790664</v>
      </c>
      <c r="CO935" s="150">
        <f t="shared" si="1846"/>
        <v>713.02325581395348</v>
      </c>
      <c r="CP935" s="152">
        <f t="shared" si="1846"/>
        <v>652.51656398930618</v>
      </c>
      <c r="CR935" s="150">
        <f t="shared" si="1847"/>
        <v>701.2342300324168</v>
      </c>
      <c r="CS935" s="150">
        <f t="shared" si="1847"/>
        <v>859.01781400734649</v>
      </c>
      <c r="CT935" s="147">
        <f t="shared" si="1847"/>
        <v>780.32273152478945</v>
      </c>
      <c r="CU935" s="768"/>
      <c r="CV935" s="150">
        <f t="shared" si="1848"/>
        <v>870.85606108039815</v>
      </c>
      <c r="CW935" s="150">
        <f t="shared" si="1848"/>
        <v>1417.56114852889</v>
      </c>
      <c r="CX935" s="147">
        <f t="shared" si="1848"/>
        <v>1149.3682012965608</v>
      </c>
      <c r="CY935" s="115"/>
      <c r="CZ935" s="150">
        <f t="shared" si="1849"/>
        <v>846.00783990096954</v>
      </c>
      <c r="DA935" s="150">
        <f t="shared" si="1849"/>
        <v>951.5625</v>
      </c>
      <c r="DB935" s="147">
        <f t="shared" si="1849"/>
        <v>899.56296371582471</v>
      </c>
      <c r="DC935" s="115"/>
      <c r="DD935" s="150">
        <f t="shared" ref="DD935:DF935" si="1860">+DD924/DD741*(DD$2/DD$1)*1000</f>
        <v>751.85368520837187</v>
      </c>
      <c r="DE935" s="150">
        <f t="shared" si="1860"/>
        <v>813.65777080062799</v>
      </c>
      <c r="DF935" s="147">
        <f t="shared" si="1860"/>
        <v>782.713567839196</v>
      </c>
      <c r="DG935" s="115"/>
      <c r="DH935" s="150">
        <f t="shared" ref="DH935" si="1861">+DH924/DH741*(DH$2/DH$1)*1000</f>
        <v>736.49569087560008</v>
      </c>
      <c r="DI935" s="150">
        <f t="shared" ref="DI935:DJ935" si="1862">+DI924/DI741*(DI$2/DI$1)*1000</f>
        <v>846.46416822675269</v>
      </c>
      <c r="DJ935" s="147">
        <f t="shared" si="1862"/>
        <v>791.98370914108853</v>
      </c>
      <c r="DK935" s="115"/>
      <c r="DL935" s="150">
        <f t="shared" ref="DL935:DN935" si="1863">+DL924/DL741*(DL$2/DL$1)*1000</f>
        <v>679.52435899825514</v>
      </c>
      <c r="DM935" s="150">
        <f t="shared" si="1863"/>
        <v>831.97627622081291</v>
      </c>
      <c r="DN935" s="147">
        <f t="shared" si="1863"/>
        <v>756.27569134494081</v>
      </c>
      <c r="DP935" s="150">
        <f t="shared" ref="DP935:DR935" si="1864">+DP924/DP741*(DP$2/DP$1)*1000</f>
        <v>670.57520516642592</v>
      </c>
      <c r="DQ935" s="150">
        <f t="shared" si="1864"/>
        <v>818.11337474027118</v>
      </c>
      <c r="DR935" s="147">
        <f t="shared" si="1864"/>
        <v>745.0746769314369</v>
      </c>
      <c r="DU935" s="876"/>
      <c r="DV935" s="876"/>
      <c r="DW935" s="876"/>
      <c r="DZ935" s="876"/>
      <c r="EA935" s="876"/>
      <c r="ED935" s="876"/>
      <c r="EE935" s="876"/>
    </row>
    <row r="936" spans="1:273">
      <c r="A936" s="102" t="s">
        <v>690</v>
      </c>
      <c r="B936" s="103" t="s">
        <v>197</v>
      </c>
      <c r="AR936" s="685"/>
      <c r="AS936" s="685"/>
      <c r="AT936" s="730"/>
      <c r="AU936" s="730"/>
      <c r="AV936" s="685"/>
      <c r="AW936" s="685"/>
      <c r="AX936" s="730"/>
      <c r="AY936" s="730"/>
      <c r="AZ936" s="685"/>
      <c r="BA936" s="876"/>
      <c r="BD936" s="711"/>
      <c r="BE936" s="885"/>
      <c r="BF936" s="711"/>
      <c r="BH936" s="685"/>
      <c r="BI936" s="876"/>
      <c r="BL936" s="876"/>
      <c r="BM936" s="876"/>
      <c r="BP936" s="876"/>
      <c r="BQ936" s="876"/>
      <c r="BT936" s="876"/>
      <c r="BU936" s="876"/>
      <c r="BX936" s="150"/>
      <c r="BY936" s="150"/>
      <c r="BZ936" s="152">
        <f>+BZ925/BZ742*(BZ$2/BZ$1)*1000</f>
        <v>441.78699340245061</v>
      </c>
      <c r="CA936" s="115"/>
      <c r="CB936" s="150">
        <f t="shared" si="1843"/>
        <v>414.93873244686034</v>
      </c>
      <c r="CC936" s="150">
        <f t="shared" si="1843"/>
        <v>639.43125576713351</v>
      </c>
      <c r="CD936" s="152">
        <f t="shared" si="1843"/>
        <v>506.34328358208955</v>
      </c>
      <c r="CF936" s="150"/>
      <c r="CG936" s="150"/>
      <c r="CH936" s="152"/>
      <c r="CJ936" s="150"/>
      <c r="CK936" s="150"/>
      <c r="CL936" s="152"/>
      <c r="CN936" s="150"/>
      <c r="CO936" s="150"/>
      <c r="CP936" s="152"/>
      <c r="CR936" s="150"/>
      <c r="CS936" s="150"/>
      <c r="CT936" s="147"/>
      <c r="CU936" s="115"/>
      <c r="CV936" s="150"/>
      <c r="CW936" s="150"/>
      <c r="CX936" s="147"/>
      <c r="CY936" s="115"/>
      <c r="CZ936" s="150"/>
      <c r="DA936" s="150"/>
      <c r="DB936" s="147"/>
      <c r="DC936" s="115"/>
      <c r="DD936" s="150"/>
      <c r="DE936" s="150"/>
      <c r="DF936" s="147"/>
      <c r="DG936" s="115"/>
      <c r="DH936" s="150"/>
      <c r="DI936" s="150"/>
      <c r="DJ936" s="147"/>
      <c r="DK936" s="115"/>
      <c r="DL936" s="150"/>
      <c r="DM936" s="150"/>
      <c r="DN936" s="147"/>
      <c r="DP936" s="150"/>
      <c r="DQ936" s="150"/>
      <c r="DR936" s="147"/>
      <c r="DU936" s="876"/>
      <c r="DV936" s="876"/>
      <c r="DW936" s="876"/>
      <c r="DZ936" s="876"/>
      <c r="EA936" s="876"/>
      <c r="ED936" s="876"/>
      <c r="EE936" s="876"/>
    </row>
    <row r="937" spans="1:273">
      <c r="A937" s="102" t="s">
        <v>689</v>
      </c>
      <c r="B937" s="103" t="s">
        <v>197</v>
      </c>
      <c r="AR937" s="685"/>
      <c r="AS937" s="685"/>
      <c r="AT937" s="730"/>
      <c r="AU937" s="730"/>
      <c r="AV937" s="685"/>
      <c r="AW937" s="685"/>
      <c r="AX937" s="730"/>
      <c r="AY937" s="730"/>
      <c r="AZ937" s="685"/>
      <c r="BA937" s="876"/>
      <c r="BD937" s="711"/>
      <c r="BE937" s="885"/>
      <c r="BF937" s="711"/>
      <c r="BH937" s="685"/>
      <c r="BI937" s="876"/>
      <c r="BL937" s="876"/>
      <c r="BM937" s="876"/>
      <c r="BP937" s="876"/>
      <c r="BQ937" s="876"/>
      <c r="BT937" s="876"/>
      <c r="BU937" s="876"/>
      <c r="BX937" s="150">
        <f>+BX926/BX743*(BX$2/BX$1)*1000</f>
        <v>171.26555984496244</v>
      </c>
      <c r="BY937" s="150">
        <f>+BY926/BY743*(BY$2/BY$1)*1000</f>
        <v>157.72758491508489</v>
      </c>
      <c r="BZ937" s="152">
        <f>+BZ926/BZ743*(BZ$2/BZ$1)*1000</f>
        <v>164.68066618392467</v>
      </c>
      <c r="CA937" s="115"/>
      <c r="CB937" s="150">
        <f t="shared" si="1843"/>
        <v>187.52946389011964</v>
      </c>
      <c r="CC937" s="150">
        <f t="shared" si="1843"/>
        <v>152.95436905102332</v>
      </c>
      <c r="CD937" s="152">
        <f t="shared" si="1843"/>
        <v>168.45563012677107</v>
      </c>
      <c r="CF937" s="150">
        <f>+CF926/CF743*(CF$2/CF$1)*1000</f>
        <v>166.31459151876439</v>
      </c>
      <c r="CG937" s="150">
        <f>+CG926/CG743*(CG$2/CG$1)*1000</f>
        <v>176.98261193542564</v>
      </c>
      <c r="CH937" s="152">
        <f>+CH926/CH743*(CH$2/CH$1)*1000</f>
        <v>171.4984709480122</v>
      </c>
      <c r="CJ937" s="150">
        <f>+CJ926/CJ743*(CJ$2/CJ$1)*1000</f>
        <v>173.21040014751983</v>
      </c>
      <c r="CK937" s="150">
        <f>+CK926/CK743*(CK$2/CK$1)*1000</f>
        <v>175.9969873846733</v>
      </c>
      <c r="CL937" s="152">
        <f>+CL926/CL743*(CL$2/CL$1)*1000</f>
        <v>174.5891559530464</v>
      </c>
      <c r="CN937" s="150">
        <f>+CN926/CN743*(CN$2/CN$1)*1000</f>
        <v>169.75992681235337</v>
      </c>
      <c r="CO937" s="150">
        <f>+CO926/CO743*(CO$2/CO$1)*1000</f>
        <v>178.90879737504463</v>
      </c>
      <c r="CP937" s="152">
        <f>+CP926/CP743*(CP$2/CP$1)*1000</f>
        <v>174.43861490031478</v>
      </c>
      <c r="CR937" s="150">
        <f>+CR926/CR743*(CR$2/CR$1)*1000</f>
        <v>173.84109026097394</v>
      </c>
      <c r="CS937" s="150">
        <f>+CS926/CS743*(CS$2/CS$1)*1000</f>
        <v>183.91040690226686</v>
      </c>
      <c r="CT937" s="147">
        <f>+CT926/CT743*(CT$2/CT$1)*1000</f>
        <v>178.99596806071625</v>
      </c>
      <c r="CU937" s="768"/>
      <c r="CV937" s="150">
        <f>+CV926/CV743*(CV$2/CV$1)*1000</f>
        <v>198.27500232624166</v>
      </c>
      <c r="CW937" s="150">
        <f>+CW926/CW743*(CW$2/CW$1)*1000</f>
        <v>201.79673027463534</v>
      </c>
      <c r="CX937" s="147">
        <f>+CX926/CX743*(CX$2/CX$1)*1000</f>
        <v>200.07040766035345</v>
      </c>
      <c r="CY937" s="115"/>
      <c r="CZ937" s="150">
        <f>+CZ926/CZ743*(CZ$2/CZ$1)*1000</f>
        <v>188.90760592138847</v>
      </c>
      <c r="DA937" s="150">
        <f>+DA926/DA743*(DA$2/DA$1)*1000</f>
        <v>191.01998442771867</v>
      </c>
      <c r="DB937" s="147">
        <f>+DB926/DB743*(DB$2/DB$1)*1000</f>
        <v>189.95496075151203</v>
      </c>
      <c r="DC937" s="115"/>
      <c r="DD937" s="150">
        <f>+DD926/DD743*(DD$2/DD$1)*1000</f>
        <v>207.63888888888891</v>
      </c>
      <c r="DE937" s="150">
        <f>+DE926/DE743*(DE$2/DE$1)*1000</f>
        <v>235.88243102723513</v>
      </c>
      <c r="DF937" s="147">
        <f>+DF926/DF743*(DF$2/DF$1)*1000</f>
        <v>221.16895655402897</v>
      </c>
      <c r="DG937" s="115"/>
      <c r="DH937" s="150">
        <f>+DH926/DH743*(DH$2/DH$1)*1000</f>
        <v>221.83207036261277</v>
      </c>
      <c r="DI937" s="150">
        <f>+DI926/DI743*(DI$2/DI$1)*1000</f>
        <v>178.45605905854927</v>
      </c>
      <c r="DJ937" s="147">
        <f>+DJ926/DJ743*(DJ$2/DJ$1)*1000</f>
        <v>198.67199113487229</v>
      </c>
      <c r="DK937" s="115"/>
      <c r="DL937" s="150">
        <f>+DL926/DL743*(DL$2/DL$1)*1000</f>
        <v>180.62273445809828</v>
      </c>
      <c r="DM937" s="150">
        <f>+DM926/DM743*(DM$2/DM$1)*1000</f>
        <v>183.77516446501485</v>
      </c>
      <c r="DN937" s="147">
        <f>+DN926/DN743*(DN$2/DN$1)*1000</f>
        <v>182.20529482467745</v>
      </c>
      <c r="DP937" s="150">
        <f>+DP926/DP743*(DP$2/DP$1)*1000</f>
        <v>188.39329947814522</v>
      </c>
      <c r="DQ937" s="150">
        <f>+DQ926/DQ743*(DQ$2/DQ$1)*1000</f>
        <v>189.50397859752096</v>
      </c>
      <c r="DR937" s="147">
        <f>+DR926/DR743*(DR$2/DR$1)*1000</f>
        <v>188.95413744931517</v>
      </c>
      <c r="DU937" s="876"/>
      <c r="DV937" s="876"/>
      <c r="DW937" s="876"/>
      <c r="DZ937" s="876"/>
      <c r="EA937" s="876"/>
      <c r="ED937" s="876"/>
      <c r="EE937" s="876"/>
    </row>
    <row r="938" spans="1:273">
      <c r="A938" s="102" t="s">
        <v>688</v>
      </c>
      <c r="B938" s="103" t="s">
        <v>197</v>
      </c>
      <c r="AR938" s="685"/>
      <c r="AS938" s="685"/>
      <c r="AT938" s="730"/>
      <c r="AU938" s="730"/>
      <c r="AV938" s="685"/>
      <c r="AW938" s="685"/>
      <c r="AX938" s="730"/>
      <c r="AY938" s="730"/>
      <c r="AZ938" s="685"/>
      <c r="BA938" s="876"/>
      <c r="BD938" s="711"/>
      <c r="BE938" s="885"/>
      <c r="BF938" s="711"/>
      <c r="BH938" s="685"/>
      <c r="BI938" s="876"/>
      <c r="BL938" s="876"/>
      <c r="BM938" s="876"/>
      <c r="BP938" s="876"/>
      <c r="BQ938" s="876"/>
      <c r="BT938" s="876"/>
      <c r="BU938" s="876"/>
      <c r="BX938" s="150"/>
      <c r="BY938" s="150"/>
      <c r="BZ938" s="152"/>
      <c r="CA938" s="115"/>
      <c r="CB938" s="150"/>
      <c r="CC938" s="150"/>
      <c r="CD938" s="152"/>
      <c r="CF938" s="150"/>
      <c r="CG938" s="150"/>
      <c r="CH938" s="150"/>
      <c r="CJ938" s="150"/>
      <c r="CK938" s="150"/>
      <c r="CL938" s="150"/>
      <c r="CN938" s="150"/>
      <c r="CO938" s="150"/>
      <c r="CP938" s="150"/>
      <c r="CR938" s="150"/>
      <c r="CS938" s="150"/>
      <c r="CT938" s="148"/>
      <c r="CU938" s="115"/>
      <c r="CV938" s="150"/>
      <c r="CW938" s="150"/>
      <c r="CX938" s="148"/>
      <c r="CY938" s="115"/>
      <c r="CZ938" s="150"/>
      <c r="DA938" s="150"/>
      <c r="DB938" s="148"/>
      <c r="DC938" s="115"/>
      <c r="DD938" s="150"/>
      <c r="DE938" s="150"/>
      <c r="DF938" s="148"/>
      <c r="DG938" s="115"/>
      <c r="DH938" s="150"/>
      <c r="DI938" s="150"/>
      <c r="DJ938" s="148"/>
      <c r="DK938" s="115"/>
      <c r="DL938" s="150"/>
      <c r="DM938" s="150"/>
      <c r="DN938" s="148"/>
      <c r="DP938" s="150"/>
      <c r="DQ938" s="150"/>
      <c r="DR938" s="148"/>
      <c r="DU938" s="876"/>
      <c r="DV938" s="876"/>
      <c r="DW938" s="876"/>
      <c r="DZ938" s="876"/>
      <c r="EA938" s="876"/>
      <c r="ED938" s="876"/>
      <c r="EE938" s="876"/>
    </row>
    <row r="939" spans="1:273" s="1562" customFormat="1">
      <c r="A939" s="1519" t="s">
        <v>691</v>
      </c>
      <c r="B939" s="1520" t="s">
        <v>197</v>
      </c>
      <c r="AN939" s="1561"/>
      <c r="AO939" s="1561"/>
      <c r="AP939" s="1561"/>
      <c r="AQ939" s="1561"/>
      <c r="AR939" s="1640"/>
      <c r="AS939" s="1640"/>
      <c r="AT939" s="1641"/>
      <c r="AU939" s="1641"/>
      <c r="AV939" s="1640"/>
      <c r="AW939" s="1640"/>
      <c r="AX939" s="1641"/>
      <c r="AY939" s="1641"/>
      <c r="AZ939" s="1640"/>
      <c r="BA939" s="1642"/>
      <c r="BB939" s="1561"/>
      <c r="BC939" s="1561"/>
      <c r="BD939" s="1643"/>
      <c r="BE939" s="1644"/>
      <c r="BF939" s="1643"/>
      <c r="BG939" s="1561"/>
      <c r="BH939" s="1640"/>
      <c r="BI939" s="1642"/>
      <c r="BJ939" s="1561"/>
      <c r="BK939" s="1561"/>
      <c r="BL939" s="1642"/>
      <c r="BM939" s="1642"/>
      <c r="BN939" s="1561"/>
      <c r="BO939" s="1561"/>
      <c r="BP939" s="1642"/>
      <c r="BQ939" s="1642"/>
      <c r="BR939" s="1561"/>
      <c r="BS939" s="1561"/>
      <c r="BT939" s="1642"/>
      <c r="BU939" s="1642"/>
      <c r="BV939" s="1561"/>
      <c r="BW939" s="1561"/>
      <c r="BX939" s="1645">
        <f t="shared" ref="BX939:BZ940" si="1865">+BX928/BX745*(BX$2/BX$1)*1000</f>
        <v>214.65839785759763</v>
      </c>
      <c r="BY939" s="1645">
        <f t="shared" si="1865"/>
        <v>148.46681534877231</v>
      </c>
      <c r="BZ939" s="1645">
        <f t="shared" si="1865"/>
        <v>182.15300918055084</v>
      </c>
      <c r="CA939" s="1623"/>
      <c r="CB939" s="1645">
        <f t="shared" ref="CB939:CD940" si="1866">+CB928/CB745*(CB$2/CB$1)*1000</f>
        <v>198.67361762147277</v>
      </c>
      <c r="CC939" s="1645">
        <f t="shared" si="1866"/>
        <v>168.91900016025451</v>
      </c>
      <c r="CD939" s="1645">
        <f t="shared" si="1866"/>
        <v>183.6950954953422</v>
      </c>
      <c r="CE939" s="1623"/>
      <c r="CF939" s="1645">
        <f t="shared" ref="CF939:CH940" si="1867">+CF928/CF745*(CF$2/CF$1)*1000</f>
        <v>197.58843901047481</v>
      </c>
      <c r="CG939" s="1645">
        <f t="shared" si="1867"/>
        <v>159.33293190056176</v>
      </c>
      <c r="CH939" s="1645">
        <f t="shared" si="1867"/>
        <v>177.95969972342942</v>
      </c>
      <c r="CI939" s="1623"/>
      <c r="CJ939" s="1645">
        <f t="shared" ref="CJ939:CL940" si="1868">+CJ928/CJ745*(CJ$2/CJ$1)*1000</f>
        <v>202.64542531423561</v>
      </c>
      <c r="CK939" s="1645">
        <f t="shared" si="1868"/>
        <v>146.64585698070374</v>
      </c>
      <c r="CL939" s="1645">
        <f t="shared" si="1868"/>
        <v>174.23038156947442</v>
      </c>
      <c r="CM939" s="1623"/>
      <c r="CN939" s="1645">
        <f t="shared" ref="CN939:CP940" si="1869">+CN928/CN745*(CN$2/CN$1)*1000</f>
        <v>224.57878666297472</v>
      </c>
      <c r="CO939" s="1645">
        <f t="shared" si="1869"/>
        <v>127.97130516855773</v>
      </c>
      <c r="CP939" s="1645">
        <f t="shared" si="1869"/>
        <v>175.59540354564251</v>
      </c>
      <c r="CQ939" s="1623"/>
      <c r="CR939" s="2169">
        <f t="shared" ref="CR939:CT940" si="1870">+CR928/CR745*(CR$2/CR$1)*1000</f>
        <v>214.09487193179194</v>
      </c>
      <c r="CS939" s="2169">
        <f t="shared" si="1870"/>
        <v>150.90832483257202</v>
      </c>
      <c r="CT939" s="2169">
        <f t="shared" si="1870"/>
        <v>181.81783500238441</v>
      </c>
      <c r="CU939" s="2170"/>
      <c r="CV939" s="2169">
        <f t="shared" ref="CV939:CX940" si="1871">+CV928/CV745*(CV$2/CV$1)*1000</f>
        <v>177.75081184932154</v>
      </c>
      <c r="CW939" s="2169">
        <f t="shared" si="1871"/>
        <v>172.12433843573797</v>
      </c>
      <c r="CX939" s="2169">
        <f t="shared" si="1871"/>
        <v>174.78352464550986</v>
      </c>
      <c r="CY939" s="2171"/>
      <c r="CZ939" s="2169">
        <f t="shared" ref="CZ939:DB940" si="1872">+CZ928/CZ745*(CZ$2/CZ$1)*1000</f>
        <v>200.68749699099715</v>
      </c>
      <c r="DA939" s="2169">
        <f t="shared" si="1872"/>
        <v>171.52907530981889</v>
      </c>
      <c r="DB939" s="2169">
        <f t="shared" si="1872"/>
        <v>186.03530454360379</v>
      </c>
      <c r="DC939" s="2171"/>
      <c r="DD939" s="2169">
        <f t="shared" ref="DD939:DF939" si="1873">+DD928/DD745*(DD$2/DD$1)*1000</f>
        <v>199.6883743867246</v>
      </c>
      <c r="DE939" s="2169">
        <f t="shared" si="1873"/>
        <v>138.24890412772754</v>
      </c>
      <c r="DF939" s="2169">
        <f t="shared" si="1873"/>
        <v>169.09533784771276</v>
      </c>
      <c r="DG939" s="2171"/>
      <c r="DH939" s="2169">
        <f t="shared" ref="DH939" si="1874">+DH928/DH745*(DH$2/DH$1)*1000</f>
        <v>178.41093851931123</v>
      </c>
      <c r="DI939" s="2169">
        <f t="shared" ref="DI939:DJ939" si="1875">+DI928/DI745*(DI$2/DI$1)*1000</f>
        <v>156.82752523717997</v>
      </c>
      <c r="DJ939" s="2169">
        <f t="shared" si="1875"/>
        <v>167.88091731437473</v>
      </c>
      <c r="DK939" s="2171"/>
      <c r="DL939" s="2169">
        <f t="shared" ref="DL939:DN939" si="1876">+DL928/DL745*(DL$2/DL$1)*1000</f>
        <v>238.58127270796592</v>
      </c>
      <c r="DM939" s="2169">
        <f t="shared" si="1876"/>
        <v>185.89325726661147</v>
      </c>
      <c r="DN939" s="2169">
        <f t="shared" si="1876"/>
        <v>212.04285144318868</v>
      </c>
      <c r="DO939" s="1693"/>
      <c r="DP939" s="2169">
        <f t="shared" ref="DP939:DR939" si="1877">+DP928/DP745*(DP$2/DP$1)*1000</f>
        <v>245.66433710695401</v>
      </c>
      <c r="DQ939" s="2169">
        <f t="shared" si="1877"/>
        <v>195.76109245527138</v>
      </c>
      <c r="DR939" s="2169">
        <f t="shared" si="1877"/>
        <v>220.46566901551031</v>
      </c>
      <c r="DS939" s="1561"/>
      <c r="DT939" s="1561"/>
      <c r="DU939" s="1642"/>
      <c r="DV939" s="1642"/>
      <c r="DW939" s="1642"/>
      <c r="DX939" s="1561"/>
      <c r="DY939" s="1561"/>
      <c r="DZ939" s="1642"/>
      <c r="EA939" s="1642"/>
      <c r="EB939" s="1561"/>
      <c r="EC939" s="1561"/>
      <c r="ED939" s="1642"/>
      <c r="EE939" s="1642"/>
      <c r="EF939" s="1561"/>
      <c r="EG939" s="1561"/>
      <c r="EH939" s="1561"/>
      <c r="EI939" s="1561"/>
      <c r="EJ939" s="1561"/>
      <c r="EK939" s="1561"/>
      <c r="EL939" s="1561"/>
      <c r="EM939" s="1561"/>
      <c r="EN939" s="1561"/>
      <c r="EO939" s="1561"/>
      <c r="EP939" s="1561"/>
      <c r="JM939"/>
    </row>
    <row r="940" spans="1:273" s="289" customFormat="1">
      <c r="A940" s="289" t="s">
        <v>696</v>
      </c>
      <c r="B940" s="290" t="s">
        <v>197</v>
      </c>
      <c r="AN940" s="290"/>
      <c r="AO940" s="290"/>
      <c r="AP940" s="290"/>
      <c r="AQ940" s="290"/>
      <c r="AR940" s="376"/>
      <c r="AS940" s="376"/>
      <c r="AT940" s="674"/>
      <c r="AU940" s="674"/>
      <c r="AV940" s="376"/>
      <c r="AW940" s="376"/>
      <c r="AX940" s="674"/>
      <c r="AY940" s="674"/>
      <c r="AZ940" s="376"/>
      <c r="BA940" s="1014"/>
      <c r="BB940" s="290"/>
      <c r="BC940" s="290"/>
      <c r="BD940" s="715"/>
      <c r="BE940" s="1352"/>
      <c r="BF940" s="715"/>
      <c r="BG940" s="290"/>
      <c r="BH940" s="376"/>
      <c r="BI940" s="1014"/>
      <c r="BJ940" s="290"/>
      <c r="BK940" s="290"/>
      <c r="BL940" s="1014"/>
      <c r="BM940" s="1014"/>
      <c r="BN940" s="290"/>
      <c r="BO940" s="290"/>
      <c r="BP940" s="1014"/>
      <c r="BQ940" s="1014"/>
      <c r="BR940" s="290"/>
      <c r="BS940" s="290"/>
      <c r="BT940" s="1014"/>
      <c r="BU940" s="1014"/>
      <c r="BV940" s="290"/>
      <c r="BW940" s="290"/>
      <c r="BX940" s="152">
        <f t="shared" si="1865"/>
        <v>324.07310478202174</v>
      </c>
      <c r="BY940" s="152">
        <f t="shared" si="1865"/>
        <v>305.65629606230783</v>
      </c>
      <c r="BZ940" s="152">
        <f t="shared" si="1865"/>
        <v>315.03030521033793</v>
      </c>
      <c r="CA940" s="581"/>
      <c r="CB940" s="152">
        <f t="shared" si="1866"/>
        <v>327.22452626660152</v>
      </c>
      <c r="CC940" s="152">
        <f t="shared" si="1866"/>
        <v>314.84183128283712</v>
      </c>
      <c r="CD940" s="152">
        <f t="shared" si="1866"/>
        <v>320.94003357262756</v>
      </c>
      <c r="CE940" s="581"/>
      <c r="CF940" s="152">
        <f t="shared" si="1867"/>
        <v>329.71304573488896</v>
      </c>
      <c r="CG940" s="152">
        <f t="shared" si="1867"/>
        <v>359.54847475465198</v>
      </c>
      <c r="CH940" s="152">
        <f t="shared" si="1867"/>
        <v>344.85151950820489</v>
      </c>
      <c r="CI940" s="581"/>
      <c r="CJ940" s="152">
        <f t="shared" si="1868"/>
        <v>354.69239123490701</v>
      </c>
      <c r="CK940" s="152">
        <f t="shared" si="1868"/>
        <v>322.88530409152855</v>
      </c>
      <c r="CL940" s="152">
        <f t="shared" si="1868"/>
        <v>338.72635581221465</v>
      </c>
      <c r="CM940" s="581"/>
      <c r="CN940" s="152">
        <f t="shared" si="1869"/>
        <v>323.90687051784892</v>
      </c>
      <c r="CO940" s="152">
        <f t="shared" si="1869"/>
        <v>354.71248239799201</v>
      </c>
      <c r="CP940" s="152">
        <f t="shared" si="1869"/>
        <v>339.40326053521989</v>
      </c>
      <c r="CQ940" s="581"/>
      <c r="CR940" s="147">
        <f t="shared" si="1870"/>
        <v>374.87883940321143</v>
      </c>
      <c r="CS940" s="147">
        <f t="shared" si="1870"/>
        <v>404.14045238333625</v>
      </c>
      <c r="CT940" s="147">
        <f t="shared" si="1870"/>
        <v>389.79857991595424</v>
      </c>
      <c r="CU940" s="791"/>
      <c r="CV940" s="147">
        <f t="shared" si="1871"/>
        <v>385.37163189395932</v>
      </c>
      <c r="CW940" s="147">
        <f t="shared" si="1871"/>
        <v>412.44362174594738</v>
      </c>
      <c r="CX940" s="147">
        <f t="shared" si="1871"/>
        <v>399.25363464379188</v>
      </c>
      <c r="CY940" s="791"/>
      <c r="CZ940" s="147">
        <f t="shared" si="1872"/>
        <v>357.50017951602479</v>
      </c>
      <c r="DA940" s="147">
        <f t="shared" si="1872"/>
        <v>380.48454788248756</v>
      </c>
      <c r="DB940" s="147">
        <f t="shared" si="1872"/>
        <v>369.01391626351312</v>
      </c>
      <c r="DC940" s="791"/>
      <c r="DD940" s="147">
        <f t="shared" ref="DD940:DF940" si="1878">+DD929/DD746*(DD$2/DD$1)*1000</f>
        <v>367.9596949746342</v>
      </c>
      <c r="DE940" s="147">
        <f t="shared" si="1878"/>
        <v>393.55838692322055</v>
      </c>
      <c r="DF940" s="147">
        <f t="shared" si="1878"/>
        <v>380.58802340169177</v>
      </c>
      <c r="DG940" s="791"/>
      <c r="DH940" s="147">
        <f t="shared" ref="DH940" si="1879">+DH929/DH746*(DH$2/DH$1)*1000</f>
        <v>398.94744229250688</v>
      </c>
      <c r="DI940" s="147">
        <f t="shared" ref="DI940:DJ940" si="1880">+DI929/DI746*(DI$2/DI$1)*1000</f>
        <v>412.06276411668966</v>
      </c>
      <c r="DJ940" s="147">
        <f t="shared" si="1880"/>
        <v>405.52014926466751</v>
      </c>
      <c r="DK940" s="791"/>
      <c r="DL940" s="147">
        <f t="shared" ref="DL940:DN940" si="1881">+DL929/DL746*(DL$2/DL$1)*1000</f>
        <v>397.25647836083186</v>
      </c>
      <c r="DM940" s="147">
        <f t="shared" si="1881"/>
        <v>404.10995204478598</v>
      </c>
      <c r="DN940" s="147">
        <f t="shared" si="1881"/>
        <v>400.69688603723409</v>
      </c>
      <c r="DO940" s="295"/>
      <c r="DP940" s="147">
        <f t="shared" ref="DP940:DR940" si="1882">+DP929/DP746*(DP$2/DP$1)*1000</f>
        <v>401.83834982049274</v>
      </c>
      <c r="DQ940" s="147">
        <f t="shared" si="1882"/>
        <v>408.37666975953255</v>
      </c>
      <c r="DR940" s="147">
        <f t="shared" si="1882"/>
        <v>405.13987771050296</v>
      </c>
      <c r="DS940" s="290"/>
      <c r="DT940" s="290"/>
      <c r="DU940" s="1014"/>
      <c r="DV940" s="1014"/>
      <c r="DW940" s="1014"/>
      <c r="DX940" s="290"/>
      <c r="DY940" s="290"/>
      <c r="DZ940" s="1014"/>
      <c r="EA940" s="1014"/>
      <c r="EB940" s="290"/>
      <c r="EC940" s="290"/>
      <c r="ED940" s="1014"/>
      <c r="EE940" s="1014"/>
      <c r="EF940" s="290"/>
      <c r="EG940" s="290"/>
      <c r="EH940" s="290"/>
      <c r="EI940" s="290"/>
      <c r="EJ940" s="290"/>
      <c r="EK940" s="290"/>
      <c r="EL940" s="290"/>
      <c r="EM940" s="290"/>
      <c r="EN940" s="290"/>
      <c r="EO940" s="290"/>
      <c r="EP940" s="290"/>
      <c r="JM940"/>
    </row>
    <row r="941" spans="1:273">
      <c r="AR941" s="685"/>
      <c r="AS941" s="685"/>
      <c r="AT941" s="730"/>
      <c r="AU941" s="730"/>
      <c r="AV941" s="685"/>
      <c r="AW941" s="685"/>
      <c r="AX941" s="730"/>
      <c r="AY941" s="730"/>
      <c r="AZ941" s="685"/>
      <c r="BA941" s="876"/>
      <c r="BD941" s="711"/>
      <c r="BE941" s="885"/>
      <c r="BF941" s="711"/>
      <c r="BH941" s="685"/>
      <c r="BI941" s="876"/>
      <c r="BL941" s="876"/>
      <c r="BM941" s="876"/>
      <c r="BP941" s="876"/>
      <c r="BQ941" s="876"/>
      <c r="BT941" s="876"/>
      <c r="BU941" s="876"/>
      <c r="BX941" s="1637">
        <f>+BX940-BX770</f>
        <v>0</v>
      </c>
      <c r="BY941" s="1637">
        <f>+BY940-BY770</f>
        <v>0</v>
      </c>
      <c r="BZ941" s="1637">
        <f>+BZ940-BZ770</f>
        <v>0</v>
      </c>
      <c r="CA941" s="115"/>
      <c r="CB941" s="1637">
        <f>+CB940-CB770</f>
        <v>0</v>
      </c>
      <c r="CC941" s="1637">
        <f>+CC940-CC770</f>
        <v>0</v>
      </c>
      <c r="CD941" s="1637">
        <f>+CD940-CD770</f>
        <v>0</v>
      </c>
      <c r="CF941" s="1637">
        <f>+CF940-CF770</f>
        <v>0</v>
      </c>
      <c r="CG941" s="1637">
        <f>+CG940-CG770</f>
        <v>0</v>
      </c>
      <c r="CH941" s="1637">
        <f>+CH940-CH770</f>
        <v>0</v>
      </c>
      <c r="CJ941" s="1637">
        <f>+CJ940-CJ770</f>
        <v>0</v>
      </c>
      <c r="CK941" s="1637">
        <f>+CK940-CK770</f>
        <v>0</v>
      </c>
      <c r="CL941" s="1637">
        <f>+CL940-CL770</f>
        <v>0</v>
      </c>
      <c r="CN941" s="1637">
        <f>+CN940-CN770</f>
        <v>0</v>
      </c>
      <c r="CO941" s="1637">
        <f>+CO940-CO770</f>
        <v>0</v>
      </c>
      <c r="CP941" s="1637">
        <f>+CP940-CP770</f>
        <v>0</v>
      </c>
      <c r="CR941" s="1637">
        <f>+CR940-CR770</f>
        <v>0</v>
      </c>
      <c r="CS941" s="1637">
        <f>+CS940-CS770</f>
        <v>0</v>
      </c>
      <c r="CT941" s="1637">
        <f>+CT940-CT770</f>
        <v>0</v>
      </c>
      <c r="CU941" s="115"/>
      <c r="CV941" s="1637">
        <f>+CV940-CV770</f>
        <v>0</v>
      </c>
      <c r="CW941" s="1637">
        <f>+CW940-CW770</f>
        <v>0</v>
      </c>
      <c r="CX941" s="1637">
        <f>+CX940-CX770</f>
        <v>0</v>
      </c>
      <c r="CY941" s="115"/>
      <c r="CZ941" s="1637">
        <f>+CZ940-CZ770</f>
        <v>0</v>
      </c>
      <c r="DA941" s="1637">
        <f>+DA940-DA770</f>
        <v>0</v>
      </c>
      <c r="DB941" s="1637">
        <f>+DB940-DB770</f>
        <v>0</v>
      </c>
      <c r="DC941" s="115"/>
      <c r="DD941" s="1637">
        <f>+DD940-DD770</f>
        <v>0</v>
      </c>
      <c r="DE941" s="1637">
        <f>+DE940-DE770</f>
        <v>0</v>
      </c>
      <c r="DF941" s="1637">
        <f>+DF940-DF770</f>
        <v>0</v>
      </c>
      <c r="DG941" s="115"/>
      <c r="DH941" s="1637">
        <f>+DH940-DH770</f>
        <v>0</v>
      </c>
      <c r="DI941" s="1637">
        <f>+DI940-DI770</f>
        <v>0</v>
      </c>
      <c r="DJ941" s="1637">
        <f>+DJ940-DJ770</f>
        <v>0</v>
      </c>
      <c r="DK941" s="115"/>
      <c r="DL941" s="1637">
        <f>+DL940-DL770</f>
        <v>0</v>
      </c>
      <c r="DM941" s="1637">
        <f>+DM940-DM770</f>
        <v>0</v>
      </c>
      <c r="DN941" s="1637">
        <f>+DN940-DN770</f>
        <v>0</v>
      </c>
      <c r="DP941" s="1637">
        <f>+DP940-DP770</f>
        <v>0</v>
      </c>
      <c r="DQ941" s="1637">
        <f>+DQ940-DQ770</f>
        <v>0</v>
      </c>
      <c r="DR941" s="1637">
        <f>+DR940-DR770</f>
        <v>0</v>
      </c>
      <c r="DU941" s="876"/>
      <c r="DV941" s="876"/>
      <c r="DW941" s="876"/>
      <c r="DZ941" s="876"/>
      <c r="EA941" s="876"/>
      <c r="ED941" s="876"/>
      <c r="EE941" s="876"/>
    </row>
    <row r="942" spans="1:273" s="1700" customFormat="1">
      <c r="A942" s="1708" t="s">
        <v>1344</v>
      </c>
      <c r="B942" s="1701"/>
      <c r="AN942" s="1701"/>
      <c r="AO942" s="1701"/>
      <c r="AP942" s="1701"/>
      <c r="AQ942" s="1701"/>
      <c r="AR942" s="1702"/>
      <c r="AS942" s="1702"/>
      <c r="AT942" s="1703"/>
      <c r="AU942" s="1703"/>
      <c r="AV942" s="1702"/>
      <c r="AW942" s="1702"/>
      <c r="AX942" s="1703"/>
      <c r="AY942" s="1703"/>
      <c r="AZ942" s="1702"/>
      <c r="BA942" s="1704"/>
      <c r="BB942" s="1701"/>
      <c r="BC942" s="1701"/>
      <c r="BD942" s="1705"/>
      <c r="BE942" s="1706"/>
      <c r="BF942" s="1705"/>
      <c r="BG942" s="1701"/>
      <c r="BH942" s="1702"/>
      <c r="BI942" s="1704"/>
      <c r="BJ942" s="1701"/>
      <c r="BK942" s="1701"/>
      <c r="BL942" s="1704"/>
      <c r="BM942" s="1704"/>
      <c r="BN942" s="1701"/>
      <c r="BO942" s="1701"/>
      <c r="BP942" s="1704"/>
      <c r="BQ942" s="1704"/>
      <c r="BR942" s="1701"/>
      <c r="BS942" s="1701"/>
      <c r="BT942" s="1704"/>
      <c r="BU942" s="1704"/>
      <c r="BV942" s="1701"/>
      <c r="BW942" s="1701"/>
      <c r="BX942" s="1704"/>
      <c r="BY942" s="1704"/>
      <c r="BZ942" s="1701"/>
      <c r="CA942" s="1701"/>
      <c r="CB942" s="1704"/>
      <c r="CC942" s="1704"/>
      <c r="CD942" s="1701"/>
      <c r="CE942" s="1707"/>
      <c r="CF942" s="1704"/>
      <c r="CG942" s="1704"/>
      <c r="CH942" s="1701"/>
      <c r="CI942" s="1707"/>
      <c r="CJ942" s="1704"/>
      <c r="CK942" s="1704"/>
      <c r="CL942" s="1701"/>
      <c r="CM942" s="1707"/>
      <c r="CN942" s="1704"/>
      <c r="CO942" s="1704"/>
      <c r="CP942" s="1701"/>
      <c r="CQ942" s="1707"/>
      <c r="CR942" s="1704"/>
      <c r="CS942" s="1704"/>
      <c r="CT942" s="1701"/>
      <c r="CU942" s="1701"/>
      <c r="CV942" s="1704"/>
      <c r="CW942" s="1704"/>
      <c r="CX942" s="1701"/>
      <c r="CY942" s="1701"/>
      <c r="CZ942" s="1704"/>
      <c r="DA942" s="1704"/>
      <c r="DB942" s="1701"/>
      <c r="DC942" s="1701"/>
      <c r="DD942" s="1704"/>
      <c r="DE942" s="1704"/>
      <c r="DF942" s="1701"/>
      <c r="DG942" s="1701"/>
      <c r="DH942" s="1704"/>
      <c r="DI942" s="1704"/>
      <c r="DJ942" s="1701"/>
      <c r="DK942" s="1701"/>
      <c r="DL942" s="1704"/>
      <c r="DM942" s="1704"/>
      <c r="DN942" s="1701"/>
      <c r="DO942" s="1701"/>
      <c r="DP942" s="1704"/>
      <c r="DQ942" s="1704"/>
      <c r="DR942" s="1701"/>
      <c r="DS942" s="1701"/>
      <c r="DT942" s="1701"/>
      <c r="DU942" s="1704"/>
      <c r="DV942" s="1704"/>
      <c r="DW942" s="1704"/>
      <c r="DX942" s="1701"/>
      <c r="DY942" s="1701"/>
      <c r="DZ942" s="1704"/>
      <c r="EA942" s="1704"/>
      <c r="EB942" s="1701"/>
      <c r="EC942" s="1701"/>
      <c r="ED942" s="1704"/>
      <c r="EE942" s="1704"/>
      <c r="EF942" s="1701"/>
      <c r="EG942" s="1701"/>
      <c r="EH942" s="1701"/>
      <c r="EI942" s="1701"/>
      <c r="EJ942" s="1701"/>
      <c r="EK942" s="1701"/>
      <c r="EL942" s="1701"/>
      <c r="EM942" s="1701"/>
      <c r="EN942" s="1701"/>
      <c r="EO942" s="1701"/>
      <c r="EP942" s="1701"/>
      <c r="JM942"/>
    </row>
    <row r="943" spans="1:273">
      <c r="A943" s="1709" t="s">
        <v>1343</v>
      </c>
      <c r="AR943" s="685"/>
      <c r="AS943" s="685"/>
      <c r="AT943" s="730"/>
      <c r="AU943" s="730"/>
      <c r="AV943" s="685"/>
      <c r="AW943" s="685"/>
      <c r="AX943" s="730"/>
      <c r="AY943" s="730"/>
      <c r="AZ943" s="685"/>
      <c r="BA943" s="876"/>
      <c r="BD943" s="711"/>
      <c r="BE943" s="885"/>
      <c r="BF943" s="711"/>
      <c r="BH943" s="685"/>
      <c r="BI943" s="876"/>
      <c r="BL943" s="876"/>
      <c r="BM943" s="876"/>
      <c r="BP943" s="876"/>
      <c r="BQ943" s="876"/>
      <c r="BT943" s="876"/>
      <c r="BU943" s="876"/>
      <c r="BY943" s="293"/>
      <c r="BZ943" s="293"/>
      <c r="CA943" s="293"/>
      <c r="CB943" s="293"/>
      <c r="CC943" s="293"/>
      <c r="CD943" s="293"/>
      <c r="CE943" s="293"/>
      <c r="CF943" s="293"/>
      <c r="CG943" s="293"/>
      <c r="CH943" s="293"/>
      <c r="CI943" s="293"/>
      <c r="CJ943" s="293"/>
      <c r="CK943" s="293"/>
      <c r="CL943" s="293"/>
      <c r="CM943" s="293"/>
      <c r="CN943" s="293"/>
      <c r="CO943" s="293"/>
      <c r="CP943" s="293"/>
      <c r="CQ943" s="293"/>
      <c r="CR943" s="293"/>
      <c r="CS943" s="293"/>
      <c r="CT943" s="293"/>
      <c r="CV943" s="876"/>
      <c r="CW943" s="876"/>
      <c r="CZ943" s="876"/>
      <c r="DA943" s="876"/>
      <c r="DD943" s="876"/>
      <c r="DE943" s="876"/>
      <c r="DH943" s="876"/>
      <c r="DI943" s="876"/>
      <c r="DL943" s="876"/>
      <c r="DM943" s="876"/>
      <c r="DP943" s="876"/>
      <c r="DQ943" s="876"/>
      <c r="DU943" s="876"/>
      <c r="DV943" s="876"/>
      <c r="DW943" s="876"/>
      <c r="DZ943" s="876"/>
      <c r="EA943" s="876"/>
      <c r="ED943" s="876"/>
      <c r="EE943" s="876"/>
    </row>
    <row r="944" spans="1:273">
      <c r="A944" s="102" t="s">
        <v>686</v>
      </c>
      <c r="AR944" s="685"/>
      <c r="AS944" s="685"/>
      <c r="AT944" s="730"/>
      <c r="AU944" s="730"/>
      <c r="AV944" s="685"/>
      <c r="AW944" s="685"/>
      <c r="AX944" s="730"/>
      <c r="AY944" s="730"/>
      <c r="AZ944" s="685"/>
      <c r="BA944" s="876"/>
      <c r="BD944" s="711"/>
      <c r="BE944" s="885"/>
      <c r="BF944" s="711"/>
      <c r="BH944" s="685"/>
      <c r="BI944" s="876"/>
      <c r="BL944" s="876"/>
      <c r="BM944" s="876"/>
      <c r="BP944" s="876"/>
      <c r="BQ944" s="876"/>
      <c r="BT944" s="876"/>
      <c r="BU944" s="876"/>
      <c r="BX944" s="1689">
        <f>(+DIVISIONS!BX124)*-1</f>
        <v>193</v>
      </c>
      <c r="BY944" s="1689">
        <f>(+DIVISIONS!BY124)*-1</f>
        <v>192</v>
      </c>
      <c r="BZ944" s="1689">
        <f>(+DIVISIONS!BZ124)*-1</f>
        <v>385</v>
      </c>
      <c r="CA944" s="148"/>
      <c r="CB944" s="1689">
        <f>(+DIVISIONS!CB124)*-1</f>
        <v>202</v>
      </c>
      <c r="CC944" s="1689">
        <f>(+DIVISIONS!CC124)*-1</f>
        <v>210</v>
      </c>
      <c r="CD944" s="1689">
        <f>(+DIVISIONS!CD124)*-1</f>
        <v>412</v>
      </c>
      <c r="CE944" s="148"/>
      <c r="CF944" s="1689">
        <f>(+DIVISIONS!CF124)*-1</f>
        <v>265</v>
      </c>
      <c r="CG944" s="1689">
        <f>(+DIVISIONS!CG124)*-1</f>
        <v>291</v>
      </c>
      <c r="CH944" s="1689">
        <f>(+DIVISIONS!CH124)*-1</f>
        <v>556</v>
      </c>
      <c r="CI944" s="148"/>
      <c r="CJ944" s="1689">
        <f>(+DIVISIONS!CJ124)*-1</f>
        <v>478</v>
      </c>
      <c r="CK944" s="1689">
        <f>(+DIVISIONS!CK124)*-1</f>
        <v>447</v>
      </c>
      <c r="CL944" s="1689">
        <f>(+DIVISIONS!CL124)*-1</f>
        <v>925</v>
      </c>
      <c r="CM944" s="148"/>
      <c r="CN944" s="1689">
        <f>(+DIVISIONS!CN124)*-1</f>
        <v>405</v>
      </c>
      <c r="CO944" s="1689">
        <f>(+DIVISIONS!CO124)*-1</f>
        <v>447</v>
      </c>
      <c r="CP944" s="1689">
        <f>(+DIVISIONS!CP124)*-1</f>
        <v>852</v>
      </c>
      <c r="CQ944" s="148"/>
      <c r="CR944" s="1689">
        <f>(+DIVISIONS!CR124)*-1</f>
        <v>303</v>
      </c>
      <c r="CS944" s="1689">
        <f>(+DIVISIONS!CS124)*-1</f>
        <v>349</v>
      </c>
      <c r="CT944" s="1689">
        <f>(+DIVISIONS!CT124)*-1</f>
        <v>652</v>
      </c>
      <c r="CU944" s="293"/>
      <c r="CV944" s="1689">
        <f>(+DIVISIONS!CV124)*-1</f>
        <v>372</v>
      </c>
      <c r="CW944" s="1689">
        <f>(+DIVISIONS!CW124)*-1</f>
        <v>413</v>
      </c>
      <c r="CX944" s="1689">
        <f>(+DIVISIONS!CX124)*-1</f>
        <v>785</v>
      </c>
      <c r="CZ944" s="1689">
        <f>(+DIVISIONS!CZ124)*-1</f>
        <v>421</v>
      </c>
      <c r="DA944" s="1689">
        <f>(+DIVISIONS!DA124)*-1</f>
        <v>408</v>
      </c>
      <c r="DB944" s="1689">
        <f>(+DIVISIONS!DB124)*-1</f>
        <v>829</v>
      </c>
      <c r="DD944" s="1689">
        <f>(+DIVISIONS!DD124)*-1</f>
        <v>403</v>
      </c>
      <c r="DE944" s="1689">
        <f>(+DIVISIONS!DE124)*-1</f>
        <v>439</v>
      </c>
      <c r="DF944" s="1689">
        <f>(+DIVISIONS!DF124)*-1</f>
        <v>842</v>
      </c>
      <c r="DH944" s="1689">
        <f>(+DIVISIONS!DH124)*-1</f>
        <v>416</v>
      </c>
      <c r="DI944" s="1689">
        <f>(+DIVISIONS!DI124)*-1</f>
        <v>447.78000000000003</v>
      </c>
      <c r="DJ944" s="1689">
        <f>(+DIVISIONS!DJ124)*-1</f>
        <v>863.78</v>
      </c>
      <c r="DL944" s="1689">
        <f>(+DIVISIONS!DL124)*-1</f>
        <v>424.32</v>
      </c>
      <c r="DM944" s="1689">
        <f>(+DIVISIONS!DM124)*-1</f>
        <v>456.73560000000003</v>
      </c>
      <c r="DN944" s="1689">
        <f>(+DIVISIONS!DN124)*-1</f>
        <v>881.05560000000003</v>
      </c>
      <c r="DP944" s="1689">
        <f>(+DIVISIONS!DP124)*-1</f>
        <v>432.8064</v>
      </c>
      <c r="DQ944" s="1689">
        <f>(+DIVISIONS!DQ124)*-1</f>
        <v>465.87031200000007</v>
      </c>
      <c r="DR944" s="1689">
        <f>(+DIVISIONS!DR124)*-1</f>
        <v>898.67671200000007</v>
      </c>
      <c r="DU944" s="876"/>
      <c r="DV944" s="876"/>
      <c r="DW944" s="876"/>
      <c r="DZ944" s="876"/>
      <c r="EA944" s="876"/>
      <c r="ED944" s="876"/>
      <c r="EE944" s="876"/>
    </row>
    <row r="945" spans="1:273">
      <c r="A945" s="102" t="s">
        <v>1306</v>
      </c>
      <c r="AR945" s="685"/>
      <c r="AS945" s="685"/>
      <c r="AT945" s="730"/>
      <c r="AU945" s="730"/>
      <c r="AV945" s="685"/>
      <c r="AW945" s="685"/>
      <c r="AX945" s="730"/>
      <c r="AY945" s="730"/>
      <c r="AZ945" s="685"/>
      <c r="BA945" s="876"/>
      <c r="BD945" s="711"/>
      <c r="BE945" s="885"/>
      <c r="BF945" s="711"/>
      <c r="BH945" s="685"/>
      <c r="BI945" s="876"/>
      <c r="BL945" s="876"/>
      <c r="BM945" s="876"/>
      <c r="BP945" s="876"/>
      <c r="BQ945" s="876"/>
      <c r="BT945" s="876"/>
      <c r="BU945" s="876"/>
      <c r="BX945" s="1689">
        <f>(+DIVISIONS!BX352)*-1</f>
        <v>237</v>
      </c>
      <c r="BY945" s="1689">
        <f>(+DIVISIONS!BY352)*-1</f>
        <v>248</v>
      </c>
      <c r="BZ945" s="1689">
        <f>(+DIVISIONS!BZ352)*-1</f>
        <v>485</v>
      </c>
      <c r="CA945" s="148"/>
      <c r="CB945" s="1689">
        <f>(+DIVISIONS!CB352)*-1</f>
        <v>215</v>
      </c>
      <c r="CC945" s="1689">
        <f>(+DIVISIONS!CC352)*-1</f>
        <v>250</v>
      </c>
      <c r="CD945" s="1689">
        <f>(+DIVISIONS!CD352)*-1</f>
        <v>465</v>
      </c>
      <c r="CE945" s="148"/>
      <c r="CF945" s="1689">
        <f>(+DIVISIONS!CF352)*-1</f>
        <v>319</v>
      </c>
      <c r="CG945" s="1689">
        <f>(+DIVISIONS!CG352)*-1</f>
        <v>367</v>
      </c>
      <c r="CH945" s="1689">
        <f>(+DIVISIONS!CH352)*-1</f>
        <v>686</v>
      </c>
      <c r="CI945" s="148"/>
      <c r="CJ945" s="1689">
        <f>(+DIVISIONS!CJ352)*-1</f>
        <v>385</v>
      </c>
      <c r="CK945" s="1689">
        <f>(+DIVISIONS!CK352)*-1</f>
        <v>397</v>
      </c>
      <c r="CL945" s="1689">
        <f>(+DIVISIONS!CL352)*-1</f>
        <v>782</v>
      </c>
      <c r="CM945" s="148"/>
      <c r="CN945" s="1689">
        <f>(+DIVISIONS!CN352)*-1</f>
        <v>341</v>
      </c>
      <c r="CO945" s="1689">
        <f>(+DIVISIONS!CO352)*-1</f>
        <v>397</v>
      </c>
      <c r="CP945" s="1689">
        <f>(+DIVISIONS!CP352)*-1</f>
        <v>738</v>
      </c>
      <c r="CQ945" s="148"/>
      <c r="CR945" s="1689">
        <f>(+DIVISIONS!CR352)*-1</f>
        <v>669</v>
      </c>
      <c r="CS945" s="1689">
        <f>(+DIVISIONS!CS352)*-1</f>
        <v>702</v>
      </c>
      <c r="CT945" s="1689">
        <f>(+DIVISIONS!CT352)*-1</f>
        <v>1371</v>
      </c>
      <c r="CU945" s="293"/>
      <c r="CV945" s="1689">
        <f>(+DIVISIONS!CV352)*-1</f>
        <v>623</v>
      </c>
      <c r="CW945" s="1689">
        <f>(+DIVISIONS!CW352)*-1</f>
        <v>735</v>
      </c>
      <c r="CX945" s="1689">
        <f>(+DIVISIONS!CX352)*-1</f>
        <v>1358</v>
      </c>
      <c r="CZ945" s="1689">
        <f>(+DIVISIONS!CZ352)*-1</f>
        <v>691</v>
      </c>
      <c r="DA945" s="1689">
        <f>(+DIVISIONS!DA352)*-1</f>
        <v>648</v>
      </c>
      <c r="DB945" s="1689">
        <f>(+DIVISIONS!DB352)*-1</f>
        <v>1339</v>
      </c>
      <c r="DD945" s="1689">
        <f>(+DIVISIONS!DD352)*-1</f>
        <v>605</v>
      </c>
      <c r="DE945" s="1689">
        <f>(+DIVISIONS!DE352)*-1</f>
        <v>667</v>
      </c>
      <c r="DF945" s="1689">
        <f>(+DIVISIONS!DF352)*-1</f>
        <v>1272</v>
      </c>
      <c r="DH945" s="1689">
        <f>(+DIVISIONS!DH352)*-1</f>
        <v>574</v>
      </c>
      <c r="DI945" s="1689">
        <f>(+DIVISIONS!DI352)*-1</f>
        <v>623.64499999999998</v>
      </c>
      <c r="DJ945" s="1689">
        <f>(+DIVISIONS!DJ352)*-1</f>
        <v>1197.645</v>
      </c>
      <c r="DL945" s="1689">
        <f>(+DIVISIONS!DL352)*-1</f>
        <v>505.12</v>
      </c>
      <c r="DM945" s="1689">
        <f>(+DIVISIONS!DM352)*-1</f>
        <v>604.93565000000001</v>
      </c>
      <c r="DN945" s="1689">
        <f>(+DIVISIONS!DN352)*-1</f>
        <v>1110.05565</v>
      </c>
      <c r="DP945" s="1689">
        <f>(+DIVISIONS!DP352)*-1</f>
        <v>520.27359999999999</v>
      </c>
      <c r="DQ945" s="1689">
        <f>(+DIVISIONS!DQ352)*-1</f>
        <v>623.08371950000003</v>
      </c>
      <c r="DR945" s="1689">
        <f>(+DIVISIONS!DR352)*-1</f>
        <v>1143.3573194999999</v>
      </c>
      <c r="DU945" s="876"/>
      <c r="DV945" s="876"/>
      <c r="DW945" s="876"/>
      <c r="DZ945" s="876"/>
      <c r="EA945" s="876"/>
      <c r="ED945" s="876"/>
      <c r="EE945" s="876"/>
    </row>
    <row r="946" spans="1:273">
      <c r="A946" s="102" t="s">
        <v>1024</v>
      </c>
      <c r="AR946" s="685"/>
      <c r="AS946" s="685"/>
      <c r="AT946" s="730"/>
      <c r="AU946" s="730"/>
      <c r="AV946" s="685"/>
      <c r="AW946" s="685"/>
      <c r="AX946" s="730"/>
      <c r="AY946" s="730"/>
      <c r="AZ946" s="685"/>
      <c r="BA946" s="876"/>
      <c r="BD946" s="711"/>
      <c r="BE946" s="885"/>
      <c r="BF946" s="711"/>
      <c r="BH946" s="685"/>
      <c r="BI946" s="876"/>
      <c r="BL946" s="876"/>
      <c r="BM946" s="876"/>
      <c r="BP946" s="876"/>
      <c r="BQ946" s="876"/>
      <c r="BT946" s="876"/>
      <c r="BU946" s="876"/>
      <c r="BX946" s="1689">
        <f>(DIVISIONS!BX240)*-1</f>
        <v>499</v>
      </c>
      <c r="BY946" s="1689">
        <f>(DIVISIONS!BY240)*-1</f>
        <v>489</v>
      </c>
      <c r="BZ946" s="1689">
        <f>(DIVISIONS!BZ240)*-1</f>
        <v>988</v>
      </c>
      <c r="CA946" s="148"/>
      <c r="CB946" s="1689">
        <f>(DIVISIONS!CB240)*-1</f>
        <v>475</v>
      </c>
      <c r="CC946" s="1689">
        <f>(DIVISIONS!CC240)*-1</f>
        <v>526</v>
      </c>
      <c r="CD946" s="1689">
        <f>(DIVISIONS!CD240)*-1</f>
        <v>1001</v>
      </c>
      <c r="CE946" s="148"/>
      <c r="CF946" s="1689">
        <f>(DIVISIONS!CF240)*-1</f>
        <v>605</v>
      </c>
      <c r="CG946" s="1689">
        <f>(DIVISIONS!CG240)*-1</f>
        <v>667</v>
      </c>
      <c r="CH946" s="1689">
        <f>(DIVISIONS!CH240)*-1</f>
        <v>1272</v>
      </c>
      <c r="CI946" s="148"/>
      <c r="CJ946" s="1689">
        <f>(DIVISIONS!CJ240)*-1</f>
        <v>524</v>
      </c>
      <c r="CK946" s="1689">
        <f>(DIVISIONS!CK240)*-1</f>
        <v>576</v>
      </c>
      <c r="CL946" s="1689">
        <f>(DIVISIONS!CL240)*-1</f>
        <v>1100</v>
      </c>
      <c r="CM946" s="148"/>
      <c r="CN946" s="1689">
        <f>(DIVISIONS!CN240)*-1</f>
        <v>534</v>
      </c>
      <c r="CO946" s="1689">
        <f>(DIVISIONS!CO240)*-1</f>
        <v>573</v>
      </c>
      <c r="CP946" s="1689">
        <f>(DIVISIONS!CP240)*-1</f>
        <v>1107</v>
      </c>
      <c r="CQ946" s="148"/>
      <c r="CR946" s="1689">
        <f>(DIVISIONS!CR240)*-1</f>
        <v>559</v>
      </c>
      <c r="CS946" s="1689">
        <f>(DIVISIONS!CS240)*-1</f>
        <v>729</v>
      </c>
      <c r="CT946" s="1689">
        <f>(DIVISIONS!CT240)*-1</f>
        <v>1288</v>
      </c>
      <c r="CU946" s="293"/>
      <c r="CV946" s="1689">
        <f>(DIVISIONS!CV240)*-1</f>
        <v>714</v>
      </c>
      <c r="CW946" s="1689">
        <f>(DIVISIONS!CW240)*-1</f>
        <v>857</v>
      </c>
      <c r="CX946" s="1689">
        <f>(DIVISIONS!CX240)*-1</f>
        <v>1571</v>
      </c>
      <c r="CZ946" s="1689">
        <f>(DIVISIONS!CZ240)*-1</f>
        <v>922</v>
      </c>
      <c r="DA946" s="1689">
        <f>(DIVISIONS!DA240)*-1</f>
        <v>924</v>
      </c>
      <c r="DB946" s="1689">
        <f>(DIVISIONS!DB240)*-1</f>
        <v>1846</v>
      </c>
      <c r="DD946" s="1689">
        <f>(DIVISIONS!DD240)*-1</f>
        <v>931</v>
      </c>
      <c r="DE946" s="1689">
        <f>(DIVISIONS!DE240)*-1</f>
        <v>974</v>
      </c>
      <c r="DF946" s="1689">
        <f>(DIVISIONS!DF240)*-1</f>
        <v>1905</v>
      </c>
      <c r="DH946" s="1689">
        <f>(DIVISIONS!DH240)*-1</f>
        <v>1085</v>
      </c>
      <c r="DI946" s="1689">
        <f>(DIVISIONS!DI240)*-1</f>
        <v>1027.57</v>
      </c>
      <c r="DJ946" s="1689">
        <f>(DIVISIONS!DJ240)*-1</f>
        <v>2112.5699999999997</v>
      </c>
      <c r="DL946" s="1689">
        <f>(DIVISIONS!DL240)*-1</f>
        <v>1036.175</v>
      </c>
      <c r="DM946" s="1689">
        <f>(DIVISIONS!DM240)*-1</f>
        <v>1053.2592499999998</v>
      </c>
      <c r="DN946" s="1689">
        <f>(DIVISIONS!DN240)*-1</f>
        <v>2089.4342499999998</v>
      </c>
      <c r="DP946" s="1689">
        <f>(DIVISIONS!DP240)*-1</f>
        <v>1067.26025</v>
      </c>
      <c r="DQ946" s="1689">
        <f>(DIVISIONS!DQ240)*-1</f>
        <v>1084.8570275</v>
      </c>
      <c r="DR946" s="1689">
        <f>(DIVISIONS!DR240)*-1</f>
        <v>2152.1172775</v>
      </c>
      <c r="DU946" s="876"/>
      <c r="DV946" s="876"/>
      <c r="DW946" s="876"/>
      <c r="DZ946" s="876"/>
      <c r="EA946" s="876"/>
      <c r="ED946" s="876"/>
      <c r="EE946" s="876"/>
    </row>
    <row r="947" spans="1:273">
      <c r="A947" s="102" t="s">
        <v>690</v>
      </c>
      <c r="AR947" s="685"/>
      <c r="AS947" s="685"/>
      <c r="AT947" s="730"/>
      <c r="AU947" s="730"/>
      <c r="AV947" s="685"/>
      <c r="AW947" s="685"/>
      <c r="AX947" s="730"/>
      <c r="AY947" s="730"/>
      <c r="AZ947" s="685"/>
      <c r="BA947" s="876"/>
      <c r="BD947" s="711"/>
      <c r="BE947" s="885"/>
      <c r="BF947" s="711"/>
      <c r="BH947" s="685"/>
      <c r="BI947" s="876"/>
      <c r="BL947" s="876"/>
      <c r="BM947" s="876"/>
      <c r="BP947" s="876"/>
      <c r="BQ947" s="876"/>
      <c r="BT947" s="876"/>
      <c r="BU947" s="876"/>
      <c r="BX947" s="1689">
        <f>(DIVISIONS!BX479)*-1</f>
        <v>176</v>
      </c>
      <c r="BY947" s="1689">
        <f>(DIVISIONS!BY479)*-1</f>
        <v>182</v>
      </c>
      <c r="BZ947" s="1689">
        <f>(DIVISIONS!BZ479)*-1</f>
        <v>358</v>
      </c>
      <c r="CA947" s="148"/>
      <c r="CB947" s="1689">
        <f>(DIVISIONS!CB479)*-1</f>
        <v>154</v>
      </c>
      <c r="CC947" s="1689">
        <f>(DIVISIONS!CC479)*-1</f>
        <v>197</v>
      </c>
      <c r="CD947" s="1689">
        <f>(DIVISIONS!CD479)*-1</f>
        <v>351</v>
      </c>
      <c r="CE947" s="148"/>
      <c r="CF947" s="1689">
        <f>(DIVISIONS!CF479)*-1</f>
        <v>0</v>
      </c>
      <c r="CG947" s="1689">
        <f>(DIVISIONS!CG479)*-1</f>
        <v>0</v>
      </c>
      <c r="CH947" s="1689">
        <f>(DIVISIONS!CH479)*-1</f>
        <v>0</v>
      </c>
      <c r="CI947" s="148"/>
      <c r="CJ947" s="1689">
        <f>(DIVISIONS!CJ479)*-1</f>
        <v>0</v>
      </c>
      <c r="CK947" s="1689">
        <f>(DIVISIONS!CK479)*-1</f>
        <v>0</v>
      </c>
      <c r="CL947" s="1689">
        <f>(DIVISIONS!CL479)*-1</f>
        <v>0</v>
      </c>
      <c r="CM947" s="148"/>
      <c r="CN947" s="1689">
        <f>(DIVISIONS!CN479)*-1</f>
        <v>0</v>
      </c>
      <c r="CO947" s="1689">
        <f>(DIVISIONS!CO479)*-1</f>
        <v>0</v>
      </c>
      <c r="CP947" s="1689">
        <f>(DIVISIONS!CP479)*-1</f>
        <v>0</v>
      </c>
      <c r="CQ947" s="148"/>
      <c r="CR947" s="1689">
        <f>(DIVISIONS!CR479)*-1</f>
        <v>0</v>
      </c>
      <c r="CS947" s="1689">
        <f>(DIVISIONS!CS479)*-1</f>
        <v>0</v>
      </c>
      <c r="CT947" s="1689">
        <f>(DIVISIONS!CT479)*-1</f>
        <v>0</v>
      </c>
      <c r="CU947" s="293"/>
      <c r="CV947" s="1689">
        <f>(DIVISIONS!CV479)*-1</f>
        <v>0</v>
      </c>
      <c r="CW947" s="1689">
        <f>(DIVISIONS!CW479)*-1</f>
        <v>0</v>
      </c>
      <c r="CX947" s="1689">
        <f>(DIVISIONS!CX479)*-1</f>
        <v>0</v>
      </c>
      <c r="CZ947" s="1689">
        <f>(DIVISIONS!CZ479)*-1</f>
        <v>0</v>
      </c>
      <c r="DA947" s="1689">
        <f>(DIVISIONS!DA479)*-1</f>
        <v>0</v>
      </c>
      <c r="DB947" s="1689">
        <f>(DIVISIONS!DB479)*-1</f>
        <v>0</v>
      </c>
      <c r="DD947" s="1689">
        <f>(DIVISIONS!DD479)*-1</f>
        <v>0</v>
      </c>
      <c r="DE947" s="1689">
        <f>(DIVISIONS!DE479)*-1</f>
        <v>0</v>
      </c>
      <c r="DF947" s="1689">
        <f>(DIVISIONS!DF479)*-1</f>
        <v>0</v>
      </c>
      <c r="DH947" s="1689">
        <f>(DIVISIONS!DH479)*-1</f>
        <v>0</v>
      </c>
      <c r="DI947" s="1689">
        <f>(DIVISIONS!DI479)*-1</f>
        <v>0</v>
      </c>
      <c r="DJ947" s="1689">
        <f>(DIVISIONS!DJ479)*-1</f>
        <v>0</v>
      </c>
      <c r="DL947" s="1689">
        <f>(DIVISIONS!DL479)*-1</f>
        <v>0</v>
      </c>
      <c r="DM947" s="1689">
        <f>(DIVISIONS!DM479)*-1</f>
        <v>0</v>
      </c>
      <c r="DN947" s="1689">
        <f>(DIVISIONS!DN479)*-1</f>
        <v>0</v>
      </c>
      <c r="DP947" s="1689">
        <f>(DIVISIONS!DP479)*-1</f>
        <v>0</v>
      </c>
      <c r="DQ947" s="1689">
        <f>(DIVISIONS!DQ479)*-1</f>
        <v>0</v>
      </c>
      <c r="DR947" s="1689">
        <f>(DIVISIONS!DR479)*-1</f>
        <v>0</v>
      </c>
      <c r="DU947" s="876"/>
      <c r="DV947" s="876"/>
      <c r="DW947" s="876"/>
      <c r="DZ947" s="876"/>
      <c r="EA947" s="876"/>
      <c r="ED947" s="876"/>
      <c r="EE947" s="876"/>
    </row>
    <row r="948" spans="1:273">
      <c r="A948" s="102" t="s">
        <v>689</v>
      </c>
      <c r="AR948" s="685"/>
      <c r="AS948" s="685"/>
      <c r="AT948" s="730"/>
      <c r="AU948" s="730"/>
      <c r="AV948" s="685"/>
      <c r="AW948" s="685"/>
      <c r="AX948" s="730"/>
      <c r="AY948" s="730"/>
      <c r="AZ948" s="685"/>
      <c r="BA948" s="876"/>
      <c r="BD948" s="711"/>
      <c r="BE948" s="885"/>
      <c r="BF948" s="711"/>
      <c r="BH948" s="685"/>
      <c r="BI948" s="876"/>
      <c r="BL948" s="876"/>
      <c r="BM948" s="876"/>
      <c r="BP948" s="876"/>
      <c r="BQ948" s="876"/>
      <c r="BT948" s="876"/>
      <c r="BU948" s="876"/>
      <c r="BX948" s="1689">
        <f>(DIVISIONS!BX554)*-1</f>
        <v>342</v>
      </c>
      <c r="BY948" s="1689">
        <f>(DIVISIONS!BY554)*-1</f>
        <v>259</v>
      </c>
      <c r="BZ948" s="1689">
        <f>(DIVISIONS!BZ554)*-1</f>
        <v>601</v>
      </c>
      <c r="CA948" s="148"/>
      <c r="CB948" s="1689">
        <f>(DIVISIONS!CB554)*-1</f>
        <v>328</v>
      </c>
      <c r="CC948" s="1689">
        <f>(DIVISIONS!CC554)*-1</f>
        <v>325</v>
      </c>
      <c r="CD948" s="1689">
        <f>(DIVISIONS!CD554)*-1</f>
        <v>653</v>
      </c>
      <c r="CE948" s="148"/>
      <c r="CF948" s="1689">
        <f>(DIVISIONS!CF554)*-1</f>
        <v>346</v>
      </c>
      <c r="CG948" s="1689">
        <f>(DIVISIONS!CG554)*-1</f>
        <v>364</v>
      </c>
      <c r="CH948" s="1689">
        <f>(DIVISIONS!CH554)*-1</f>
        <v>710</v>
      </c>
      <c r="CI948" s="148"/>
      <c r="CJ948" s="1689">
        <f>(DIVISIONS!CJ554)*-1</f>
        <v>366</v>
      </c>
      <c r="CK948" s="1689">
        <f>(DIVISIONS!CK554)*-1</f>
        <v>374</v>
      </c>
      <c r="CL948" s="1689">
        <f>(DIVISIONS!CL554)*-1</f>
        <v>740</v>
      </c>
      <c r="CM948" s="148"/>
      <c r="CN948" s="1689">
        <f>(DIVISIONS!CN554)*-1</f>
        <v>390</v>
      </c>
      <c r="CO948" s="1689">
        <f>(DIVISIONS!CO554)*-1</f>
        <v>385</v>
      </c>
      <c r="CP948" s="1689">
        <f>(DIVISIONS!CP554)*-1</f>
        <v>775</v>
      </c>
      <c r="CQ948" s="148"/>
      <c r="CR948" s="1689">
        <f>(DIVISIONS!CR554)*-1</f>
        <v>409</v>
      </c>
      <c r="CS948" s="1689">
        <f>(DIVISIONS!CS554)*-1</f>
        <v>499</v>
      </c>
      <c r="CT948" s="1689">
        <f>(DIVISIONS!CT554)*-1</f>
        <v>908</v>
      </c>
      <c r="CU948" s="293"/>
      <c r="CV948" s="1689">
        <f>(DIVISIONS!CV554)*-1</f>
        <v>522</v>
      </c>
      <c r="CW948" s="1689">
        <f>(DIVISIONS!CW554)*-1</f>
        <v>583</v>
      </c>
      <c r="CX948" s="1689">
        <f>(DIVISIONS!CX554)*-1</f>
        <v>1105</v>
      </c>
      <c r="CZ948" s="1689">
        <f>(DIVISIONS!CZ554)*-1</f>
        <v>585</v>
      </c>
      <c r="DA948" s="1689">
        <f>(DIVISIONS!DA554)*-1</f>
        <v>602</v>
      </c>
      <c r="DB948" s="1689">
        <f>(DIVISIONS!DB554)*-1</f>
        <v>1187</v>
      </c>
      <c r="DD948" s="1689">
        <f>(DIVISIONS!DD554)*-1</f>
        <v>558</v>
      </c>
      <c r="DE948" s="1689">
        <f>(DIVISIONS!DE554)*-1</f>
        <v>573</v>
      </c>
      <c r="DF948" s="1689">
        <f>(DIVISIONS!DF554)*-1</f>
        <v>1131</v>
      </c>
      <c r="DH948" s="1689">
        <f>(DIVISIONS!DH554)*-1</f>
        <v>639</v>
      </c>
      <c r="DI948" s="1689">
        <f>(DIVISIONS!DI554)*-1</f>
        <v>601.65</v>
      </c>
      <c r="DJ948" s="1689">
        <f>(DIVISIONS!DJ554)*-1</f>
        <v>1240.6500000000001</v>
      </c>
      <c r="DL948" s="1689">
        <f>(DIVISIONS!DL554)*-1</f>
        <v>658.17000000000007</v>
      </c>
      <c r="DM948" s="1689">
        <f>(DIVISIONS!DM554)*-1</f>
        <v>619.69949999999994</v>
      </c>
      <c r="DN948" s="1689">
        <f>(DIVISIONS!DN554)*-1</f>
        <v>1277.8695</v>
      </c>
      <c r="DP948" s="1689">
        <f>(DIVISIONS!DP554)*-1</f>
        <v>677.91510000000005</v>
      </c>
      <c r="DQ948" s="1689">
        <f>(DIVISIONS!DQ554)*-1</f>
        <v>638.29048499999999</v>
      </c>
      <c r="DR948" s="1689">
        <f>(DIVISIONS!DR554)*-1</f>
        <v>1316.2055850000002</v>
      </c>
      <c r="DU948" s="876"/>
      <c r="DV948" s="876"/>
      <c r="DW948" s="876"/>
      <c r="DZ948" s="876"/>
      <c r="EA948" s="876"/>
      <c r="ED948" s="876"/>
      <c r="EE948" s="876"/>
    </row>
    <row r="949" spans="1:273">
      <c r="A949" s="102" t="s">
        <v>688</v>
      </c>
      <c r="AR949" s="685"/>
      <c r="AS949" s="685"/>
      <c r="AT949" s="730"/>
      <c r="AU949" s="730"/>
      <c r="AV949" s="685"/>
      <c r="AW949" s="685"/>
      <c r="AX949" s="730"/>
      <c r="AY949" s="730"/>
      <c r="AZ949" s="685"/>
      <c r="BA949" s="876"/>
      <c r="BD949" s="711"/>
      <c r="BE949" s="885"/>
      <c r="BF949" s="711"/>
      <c r="BH949" s="685"/>
      <c r="BI949" s="876"/>
      <c r="BL949" s="876"/>
      <c r="BM949" s="876"/>
      <c r="BP949" s="876"/>
      <c r="BQ949" s="876"/>
      <c r="BT949" s="876"/>
      <c r="BU949" s="876"/>
      <c r="BX949" s="1689">
        <v>0</v>
      </c>
      <c r="BY949" s="1689">
        <v>0</v>
      </c>
      <c r="BZ949" s="1689">
        <v>0</v>
      </c>
      <c r="CA949" s="148"/>
      <c r="CB949" s="1689">
        <v>0</v>
      </c>
      <c r="CC949" s="1689">
        <v>0</v>
      </c>
      <c r="CD949" s="1689">
        <v>0</v>
      </c>
      <c r="CE949" s="148"/>
      <c r="CF949" s="1689">
        <v>0</v>
      </c>
      <c r="CG949" s="1689">
        <v>0</v>
      </c>
      <c r="CH949" s="1689">
        <v>0</v>
      </c>
      <c r="CI949" s="148"/>
      <c r="CJ949" s="1689">
        <v>0</v>
      </c>
      <c r="CK949" s="1689">
        <v>0</v>
      </c>
      <c r="CL949" s="1689">
        <v>0</v>
      </c>
      <c r="CM949" s="148"/>
      <c r="CN949" s="1689">
        <v>0</v>
      </c>
      <c r="CO949" s="1689">
        <v>0</v>
      </c>
      <c r="CP949" s="1689">
        <v>0</v>
      </c>
      <c r="CQ949" s="148"/>
      <c r="CR949" s="1689">
        <v>0</v>
      </c>
      <c r="CS949" s="1689">
        <v>0</v>
      </c>
      <c r="CT949" s="1689">
        <v>0</v>
      </c>
      <c r="CU949" s="293"/>
      <c r="CV949" s="1689">
        <v>0</v>
      </c>
      <c r="CW949" s="1689">
        <v>0</v>
      </c>
      <c r="CX949" s="1689">
        <v>0</v>
      </c>
      <c r="CZ949" s="2096">
        <v>0</v>
      </c>
      <c r="DA949" s="2096">
        <v>0</v>
      </c>
      <c r="DB949" s="2096">
        <v>0</v>
      </c>
      <c r="DC949" s="1105"/>
      <c r="DD949" s="2096">
        <v>0</v>
      </c>
      <c r="DE949" s="2096">
        <v>0</v>
      </c>
      <c r="DF949" s="2096">
        <v>0</v>
      </c>
      <c r="DG949" s="1105"/>
      <c r="DH949" s="2096">
        <v>0</v>
      </c>
      <c r="DI949" s="2096">
        <v>0</v>
      </c>
      <c r="DJ949" s="2096">
        <v>0</v>
      </c>
      <c r="DK949" s="1105"/>
      <c r="DL949" s="2096">
        <v>0</v>
      </c>
      <c r="DM949" s="2096">
        <v>0</v>
      </c>
      <c r="DN949" s="2096">
        <v>0</v>
      </c>
      <c r="DO949" s="1105"/>
      <c r="DP949" s="2096">
        <v>0</v>
      </c>
      <c r="DQ949" s="2096">
        <v>0</v>
      </c>
      <c r="DR949" s="2096">
        <v>0</v>
      </c>
      <c r="DS949" s="1105"/>
      <c r="DU949" s="876"/>
      <c r="DV949" s="876"/>
      <c r="DW949" s="876"/>
      <c r="DZ949" s="876"/>
      <c r="EA949" s="876"/>
      <c r="ED949" s="876"/>
      <c r="EE949" s="876"/>
    </row>
    <row r="950" spans="1:273">
      <c r="A950" s="102" t="s">
        <v>691</v>
      </c>
      <c r="AR950" s="685"/>
      <c r="AS950" s="685"/>
      <c r="AT950" s="730"/>
      <c r="AU950" s="730"/>
      <c r="AV950" s="685"/>
      <c r="AW950" s="685"/>
      <c r="AX950" s="730"/>
      <c r="AY950" s="730"/>
      <c r="AZ950" s="685"/>
      <c r="BA950" s="876"/>
      <c r="BD950" s="711"/>
      <c r="BE950" s="885"/>
      <c r="BF950" s="711"/>
      <c r="BH950" s="685"/>
      <c r="BI950" s="876"/>
      <c r="BL950" s="876"/>
      <c r="BM950" s="876"/>
      <c r="BP950" s="876"/>
      <c r="BQ950" s="876"/>
      <c r="BT950" s="876"/>
      <c r="BU950" s="876"/>
      <c r="BX950" s="1689">
        <f>(DIVISIONS!BX720)*-1</f>
        <v>-422</v>
      </c>
      <c r="BY950" s="1689">
        <f>(DIVISIONS!BY720)*-1</f>
        <v>-366</v>
      </c>
      <c r="BZ950" s="1689">
        <f>(DIVISIONS!BZ720)*-1</f>
        <v>-788</v>
      </c>
      <c r="CA950" s="148"/>
      <c r="CB950" s="1689">
        <f>(DIVISIONS!CB720)*-1</f>
        <v>-364</v>
      </c>
      <c r="CC950" s="1689">
        <f>(DIVISIONS!CC720)*-1</f>
        <v>-385</v>
      </c>
      <c r="CD950" s="1689">
        <f>(DIVISIONS!CD720)*-1</f>
        <v>-749</v>
      </c>
      <c r="CE950" s="148"/>
      <c r="CF950" s="1689">
        <f>(DIVISIONS!CF720)*-1</f>
        <v>-443</v>
      </c>
      <c r="CG950" s="1689">
        <f>(DIVISIONS!CG720)*-1</f>
        <v>-251</v>
      </c>
      <c r="CH950" s="1689">
        <f>(DIVISIONS!CH720)*-1</f>
        <v>-694</v>
      </c>
      <c r="CI950" s="148"/>
      <c r="CJ950" s="1689">
        <f>(DIVISIONS!CJ720)*-1</f>
        <v>-531</v>
      </c>
      <c r="CK950" s="1689">
        <f>(DIVISIONS!CK720)*-1</f>
        <v>-432</v>
      </c>
      <c r="CL950" s="1689">
        <f>(DIVISIONS!CL720)*-1</f>
        <v>-963</v>
      </c>
      <c r="CM950" s="148"/>
      <c r="CN950" s="1689">
        <f>(DIVISIONS!CN720)*-1</f>
        <v>-489</v>
      </c>
      <c r="CO950" s="1689">
        <f>(DIVISIONS!CO720)*-1</f>
        <v>-510</v>
      </c>
      <c r="CP950" s="1689">
        <f>(DIVISIONS!CP720)*-1</f>
        <v>-999</v>
      </c>
      <c r="CQ950" s="148"/>
      <c r="CR950" s="1689">
        <f>(DIVISIONS!CR720)*-1</f>
        <v>-533</v>
      </c>
      <c r="CS950" s="1689">
        <f>(DIVISIONS!CS720)*-1</f>
        <v>-654</v>
      </c>
      <c r="CT950" s="1689">
        <f>(DIVISIONS!CT720)*-1</f>
        <v>-1187</v>
      </c>
      <c r="CU950" s="293"/>
      <c r="CV950" s="1689">
        <f>(DIVISIONS!CV720)*-1</f>
        <v>-746</v>
      </c>
      <c r="CW950" s="1689">
        <f>(DIVISIONS!CW720)*-1</f>
        <v>-670</v>
      </c>
      <c r="CX950" s="1689">
        <f>(DIVISIONS!CX720)*-1</f>
        <v>-1416</v>
      </c>
      <c r="CZ950" s="1689">
        <f>(DIVISIONS!CZ720)*-1</f>
        <v>-962</v>
      </c>
      <c r="DA950" s="1689">
        <f>(DIVISIONS!DA720)*-1</f>
        <v>-971</v>
      </c>
      <c r="DB950" s="1689">
        <f>(DIVISIONS!DB720)*-1</f>
        <v>-1933</v>
      </c>
      <c r="DD950" s="1689">
        <f>(DIVISIONS!DD720)*-1</f>
        <v>-821</v>
      </c>
      <c r="DE950" s="1689">
        <f>(DIVISIONS!DE720)*-1</f>
        <v>-877</v>
      </c>
      <c r="DF950" s="1689">
        <f>(DIVISIONS!DF720)*-1</f>
        <v>-1698</v>
      </c>
      <c r="DH950" s="1689">
        <f>(DIVISIONS!DH720)*-1</f>
        <v>-916</v>
      </c>
      <c r="DI950" s="1689">
        <f>(DIVISIONS!DI720)*-1</f>
        <v>-982.24000000000012</v>
      </c>
      <c r="DJ950" s="1689">
        <f>(DIVISIONS!DJ720)*-1</f>
        <v>-1898.2400000000002</v>
      </c>
      <c r="DL950" s="1689">
        <f>(DIVISIONS!DL720)*-1</f>
        <v>-1007.6000000000001</v>
      </c>
      <c r="DM950" s="1689">
        <f>(DIVISIONS!DM720)*-1</f>
        <v>-1070.6416000000002</v>
      </c>
      <c r="DN950" s="1689">
        <f>(DIVISIONS!DN720)*-1</f>
        <v>-2078.2416000000003</v>
      </c>
      <c r="DP950" s="1689">
        <f>(DIVISIONS!DP720)*-1</f>
        <v>-1040.8508000000002</v>
      </c>
      <c r="DQ950" s="1689">
        <f>(DIVISIONS!DQ720)*-1</f>
        <v>-1105.9727728</v>
      </c>
      <c r="DR950" s="1689">
        <f>(DIVISIONS!DR720)*-1</f>
        <v>-2146.8235728</v>
      </c>
      <c r="DU950" s="876"/>
      <c r="DV950" s="876"/>
      <c r="DW950" s="876"/>
      <c r="DZ950" s="876"/>
      <c r="EA950" s="876"/>
      <c r="ED950" s="876"/>
      <c r="EE950" s="876"/>
    </row>
    <row r="951" spans="1:273">
      <c r="A951" s="289" t="s">
        <v>696</v>
      </c>
      <c r="AR951" s="685"/>
      <c r="AS951" s="685"/>
      <c r="AT951" s="730"/>
      <c r="AU951" s="730"/>
      <c r="AV951" s="685"/>
      <c r="AW951" s="685"/>
      <c r="AX951" s="730"/>
      <c r="AY951" s="730"/>
      <c r="AZ951" s="685"/>
      <c r="BA951" s="876"/>
      <c r="BD951" s="711"/>
      <c r="BE951" s="885"/>
      <c r="BF951" s="711"/>
      <c r="BH951" s="685"/>
      <c r="BI951" s="876"/>
      <c r="BL951" s="876"/>
      <c r="BM951" s="876"/>
      <c r="BP951" s="876"/>
      <c r="BQ951" s="876"/>
      <c r="BT951" s="876"/>
      <c r="BU951" s="876"/>
      <c r="BX951" s="295">
        <f>-+BX23</f>
        <v>1025</v>
      </c>
      <c r="BY951" s="295">
        <f>-+BY23</f>
        <v>1004</v>
      </c>
      <c r="BZ951" s="295">
        <f>-+BZ23</f>
        <v>2029</v>
      </c>
      <c r="CB951" s="295">
        <f>-+CB23</f>
        <v>1010</v>
      </c>
      <c r="CC951" s="295">
        <f>-+CC23</f>
        <v>1123</v>
      </c>
      <c r="CD951" s="295">
        <f>-+CD23</f>
        <v>2133</v>
      </c>
      <c r="CE951" s="103"/>
      <c r="CF951" s="295">
        <f>-+CF23</f>
        <v>1092</v>
      </c>
      <c r="CG951" s="295">
        <f>-+CG23</f>
        <v>1438</v>
      </c>
      <c r="CH951" s="295">
        <f>-+CH23</f>
        <v>2530</v>
      </c>
      <c r="CI951" s="103"/>
      <c r="CJ951" s="295">
        <f>-+CJ23</f>
        <v>1222</v>
      </c>
      <c r="CK951" s="295">
        <f>-+CK23</f>
        <v>1362</v>
      </c>
      <c r="CL951" s="295">
        <f>-+CL23</f>
        <v>2584</v>
      </c>
      <c r="CM951" s="103"/>
      <c r="CN951" s="295">
        <f>-+CN23</f>
        <v>1180</v>
      </c>
      <c r="CO951" s="295">
        <f>-+CO23</f>
        <v>1291</v>
      </c>
      <c r="CP951" s="295">
        <f>-+CP23</f>
        <v>2471</v>
      </c>
      <c r="CQ951" s="103"/>
      <c r="CR951" s="295">
        <f>-+CR23</f>
        <v>1407</v>
      </c>
      <c r="CS951" s="1711">
        <f>-+CS23+1</f>
        <v>1625</v>
      </c>
      <c r="CT951" s="1711">
        <f>-+CT23+1</f>
        <v>3032</v>
      </c>
      <c r="CV951" s="295">
        <f>-+CV23</f>
        <v>1483</v>
      </c>
      <c r="CW951" s="295">
        <f>-+CW23</f>
        <v>1916</v>
      </c>
      <c r="CX951" s="295">
        <f>-+CX23</f>
        <v>3399</v>
      </c>
      <c r="CZ951" s="295">
        <f>-+CZ23</f>
        <v>1656</v>
      </c>
      <c r="DA951" s="295">
        <f>-+DA23</f>
        <v>1611</v>
      </c>
      <c r="DB951" s="295">
        <f>-+DB23</f>
        <v>3267</v>
      </c>
      <c r="DD951" s="295">
        <f>-+DD23</f>
        <v>1583</v>
      </c>
      <c r="DE951" s="295">
        <f>-+DE23</f>
        <v>1691</v>
      </c>
      <c r="DF951" s="295">
        <f>-+DF23</f>
        <v>3274</v>
      </c>
      <c r="DH951" s="295">
        <f>-+DH23</f>
        <v>1655</v>
      </c>
      <c r="DI951" s="295">
        <f>-+DI23</f>
        <v>1718.4049999999997</v>
      </c>
      <c r="DJ951" s="295">
        <f>-+DJ23</f>
        <v>3373.4049999999997</v>
      </c>
      <c r="DL951" s="295">
        <f>-+DL23</f>
        <v>1616.1849999999997</v>
      </c>
      <c r="DM951" s="295">
        <f>-+DM23</f>
        <v>1663.9884</v>
      </c>
      <c r="DN951" s="295">
        <f>-+DN23</f>
        <v>3280.1733999999997</v>
      </c>
      <c r="DP951" s="295">
        <f>-+DP23</f>
        <v>1657.4045499999997</v>
      </c>
      <c r="DQ951" s="295">
        <f>-+DQ23</f>
        <v>1706.1287712000001</v>
      </c>
      <c r="DR951" s="295">
        <f>-+DR23</f>
        <v>3363.5333211999996</v>
      </c>
      <c r="DU951" s="876"/>
      <c r="DV951" s="876"/>
      <c r="DW951" s="876"/>
      <c r="DZ951" s="876"/>
      <c r="EA951" s="876"/>
      <c r="ED951" s="876"/>
      <c r="EE951" s="876"/>
    </row>
    <row r="952" spans="1:273" s="1589" customFormat="1">
      <c r="A952" s="1589" t="s">
        <v>580</v>
      </c>
      <c r="B952" s="1590"/>
      <c r="AN952" s="1590"/>
      <c r="AO952" s="1590"/>
      <c r="AP952" s="1590"/>
      <c r="AQ952" s="1590"/>
      <c r="AR952" s="1591"/>
      <c r="AS952" s="1591"/>
      <c r="AT952" s="1592"/>
      <c r="AU952" s="1592"/>
      <c r="AV952" s="1591"/>
      <c r="AW952" s="1591"/>
      <c r="AX952" s="1592"/>
      <c r="AY952" s="1592"/>
      <c r="AZ952" s="1591"/>
      <c r="BA952" s="1593"/>
      <c r="BB952" s="1590"/>
      <c r="BC952" s="1590"/>
      <c r="BD952" s="1594"/>
      <c r="BE952" s="1595"/>
      <c r="BF952" s="1594"/>
      <c r="BG952" s="1590"/>
      <c r="BH952" s="1591"/>
      <c r="BI952" s="1593"/>
      <c r="BJ952" s="1590"/>
      <c r="BK952" s="1590"/>
      <c r="BL952" s="1593"/>
      <c r="BM952" s="1593"/>
      <c r="BN952" s="1590"/>
      <c r="BO952" s="1590"/>
      <c r="BP952" s="1593"/>
      <c r="BQ952" s="1593"/>
      <c r="BR952" s="1590"/>
      <c r="BS952" s="1590"/>
      <c r="BT952" s="1593"/>
      <c r="BU952" s="1593"/>
      <c r="BV952" s="1590"/>
      <c r="BW952" s="1590"/>
      <c r="BX952" s="1686">
        <f t="shared" ref="BX952:BZ952" si="1883">+BX951-SUM(BX944:BX950)</f>
        <v>0</v>
      </c>
      <c r="BY952" s="1686">
        <f t="shared" si="1883"/>
        <v>0</v>
      </c>
      <c r="BZ952" s="1686">
        <f t="shared" si="1883"/>
        <v>0</v>
      </c>
      <c r="CA952" s="1686"/>
      <c r="CB952" s="1686">
        <f t="shared" ref="CB952:CD952" si="1884">+CB951-SUM(CB944:CB950)</f>
        <v>0</v>
      </c>
      <c r="CC952" s="1686">
        <f t="shared" si="1884"/>
        <v>0</v>
      </c>
      <c r="CD952" s="1686">
        <f t="shared" si="1884"/>
        <v>0</v>
      </c>
      <c r="CE952" s="1686"/>
      <c r="CF952" s="1686">
        <f t="shared" ref="CF952:CH952" si="1885">+CF951-SUM(CF944:CF950)</f>
        <v>0</v>
      </c>
      <c r="CG952" s="1686">
        <f t="shared" si="1885"/>
        <v>0</v>
      </c>
      <c r="CH952" s="1686">
        <f t="shared" si="1885"/>
        <v>0</v>
      </c>
      <c r="CI952" s="1686"/>
      <c r="CJ952" s="1686">
        <f t="shared" ref="CJ952:CL952" si="1886">+CJ951-SUM(CJ944:CJ950)</f>
        <v>0</v>
      </c>
      <c r="CK952" s="1686">
        <f t="shared" si="1886"/>
        <v>0</v>
      </c>
      <c r="CL952" s="1686">
        <f t="shared" si="1886"/>
        <v>0</v>
      </c>
      <c r="CM952" s="1686"/>
      <c r="CN952" s="1686">
        <f t="shared" ref="CN952:CP952" si="1887">+CN951-SUM(CN944:CN950)</f>
        <v>-1</v>
      </c>
      <c r="CO952" s="1686">
        <f t="shared" si="1887"/>
        <v>-1</v>
      </c>
      <c r="CP952" s="1686">
        <f t="shared" si="1887"/>
        <v>-2</v>
      </c>
      <c r="CQ952" s="1686"/>
      <c r="CR952" s="1686">
        <f t="shared" ref="CR952:CX952" si="1888">+CR951-SUM(CR944:CR950)</f>
        <v>0</v>
      </c>
      <c r="CS952" s="1686">
        <f t="shared" si="1888"/>
        <v>0</v>
      </c>
      <c r="CT952" s="1686">
        <f t="shared" si="1888"/>
        <v>0</v>
      </c>
      <c r="CU952" s="1686"/>
      <c r="CV952" s="1686">
        <f t="shared" si="1888"/>
        <v>-2</v>
      </c>
      <c r="CW952" s="1686">
        <f t="shared" si="1888"/>
        <v>-2</v>
      </c>
      <c r="CX952" s="1686">
        <f t="shared" si="1888"/>
        <v>-4</v>
      </c>
      <c r="CY952" s="1686"/>
      <c r="CZ952" s="1686">
        <f t="shared" ref="CZ952:DB952" si="1889">+CZ951-SUM(CZ944:CZ950)</f>
        <v>-1</v>
      </c>
      <c r="DA952" s="1686">
        <f t="shared" si="1889"/>
        <v>0</v>
      </c>
      <c r="DB952" s="1686">
        <f t="shared" si="1889"/>
        <v>-1</v>
      </c>
      <c r="DC952" s="1686"/>
      <c r="DD952" s="1686">
        <f t="shared" ref="DD952:DF952" si="1890">+DD951-SUM(DD944:DD950)</f>
        <v>-93</v>
      </c>
      <c r="DE952" s="1686">
        <f t="shared" si="1890"/>
        <v>-85</v>
      </c>
      <c r="DF952" s="1686">
        <f t="shared" si="1890"/>
        <v>-178</v>
      </c>
      <c r="DG952" s="1686"/>
      <c r="DH952" s="1686">
        <f t="shared" ref="DH952" si="1891">+DH951-SUM(DH944:DH950)</f>
        <v>-143</v>
      </c>
      <c r="DI952" s="1686">
        <f t="shared" ref="DI952:DJ952" si="1892">+DI951-SUM(DI944:DI950)</f>
        <v>0</v>
      </c>
      <c r="DJ952" s="1686">
        <f t="shared" si="1892"/>
        <v>-143.00000000000045</v>
      </c>
      <c r="DK952" s="1686"/>
      <c r="DL952" s="1686">
        <f t="shared" ref="DL952:DN952" si="1893">+DL951-SUM(DL944:DL950)</f>
        <v>0</v>
      </c>
      <c r="DM952" s="1686">
        <f t="shared" si="1893"/>
        <v>0</v>
      </c>
      <c r="DN952" s="1686">
        <f t="shared" si="1893"/>
        <v>0</v>
      </c>
      <c r="DO952" s="1590"/>
      <c r="DP952" s="1686">
        <f t="shared" ref="DP952:DR952" si="1894">+DP951-SUM(DP944:DP950)</f>
        <v>0</v>
      </c>
      <c r="DQ952" s="1686">
        <f t="shared" si="1894"/>
        <v>0</v>
      </c>
      <c r="DR952" s="1686">
        <f t="shared" si="1894"/>
        <v>0</v>
      </c>
      <c r="DS952" s="1590"/>
      <c r="DT952" s="1590"/>
      <c r="DU952" s="1593"/>
      <c r="DV952" s="1593"/>
      <c r="DW952" s="1593"/>
      <c r="DX952" s="1590"/>
      <c r="DY952" s="1590"/>
      <c r="DZ952" s="1593"/>
      <c r="EA952" s="1593"/>
      <c r="EB952" s="1590"/>
      <c r="EC952" s="1590"/>
      <c r="ED952" s="1593"/>
      <c r="EE952" s="1593"/>
      <c r="EF952" s="1590"/>
      <c r="EG952" s="1590"/>
      <c r="EH952" s="1590"/>
      <c r="EI952" s="1590"/>
      <c r="EJ952" s="1590"/>
      <c r="EK952" s="1590"/>
      <c r="EL952" s="1590"/>
      <c r="EM952" s="1590"/>
      <c r="EN952" s="1590"/>
      <c r="EO952" s="1590"/>
      <c r="EP952" s="1590"/>
      <c r="JM952"/>
    </row>
    <row r="953" spans="1:273">
      <c r="AR953" s="685"/>
      <c r="AS953" s="685"/>
      <c r="AT953" s="730"/>
      <c r="AU953" s="730"/>
      <c r="AV953" s="685"/>
      <c r="AW953" s="685"/>
      <c r="AX953" s="730"/>
      <c r="AY953" s="730"/>
      <c r="AZ953" s="685"/>
      <c r="BA953" s="876"/>
      <c r="BD953" s="711"/>
      <c r="BE953" s="885"/>
      <c r="BF953" s="711"/>
      <c r="BH953" s="685"/>
      <c r="BI953" s="876"/>
      <c r="BL953" s="876"/>
      <c r="BM953" s="876"/>
      <c r="BP953" s="876"/>
      <c r="BQ953" s="876"/>
      <c r="BT953" s="876"/>
      <c r="BU953" s="876"/>
      <c r="BX953" s="876"/>
      <c r="BY953" s="876"/>
      <c r="CB953" s="876"/>
      <c r="CC953" s="876"/>
      <c r="CE953" s="103"/>
      <c r="CF953" s="876"/>
      <c r="CG953" s="876"/>
      <c r="CI953" s="103"/>
      <c r="CJ953" s="876"/>
      <c r="CK953" s="876"/>
      <c r="CM953" s="103"/>
      <c r="CN953" s="876"/>
      <c r="CO953" s="876"/>
      <c r="CQ953" s="103"/>
      <c r="CR953" s="876"/>
      <c r="CS953" s="876"/>
      <c r="CV953" s="876"/>
      <c r="CW953" s="876"/>
      <c r="CZ953" s="876"/>
      <c r="DA953" s="876"/>
      <c r="DD953" s="876"/>
      <c r="DE953" s="876"/>
      <c r="DH953" s="876"/>
      <c r="DI953" s="876"/>
      <c r="DL953" s="876"/>
      <c r="DM953" s="876"/>
      <c r="DP953" s="876"/>
      <c r="DQ953" s="876"/>
      <c r="DU953" s="876"/>
      <c r="DV953" s="876"/>
      <c r="DW953" s="876"/>
      <c r="DZ953" s="876"/>
      <c r="EA953" s="876"/>
      <c r="ED953" s="876"/>
      <c r="EE953" s="876"/>
    </row>
    <row r="954" spans="1:273">
      <c r="A954" s="1709" t="s">
        <v>1321</v>
      </c>
      <c r="B954" s="674"/>
      <c r="AR954" s="685"/>
      <c r="AS954" s="685"/>
      <c r="AT954" s="730"/>
      <c r="AU954" s="730"/>
      <c r="AV954" s="685"/>
      <c r="AW954" s="685"/>
      <c r="AX954" s="730"/>
      <c r="AY954" s="730"/>
      <c r="AZ954" s="685"/>
      <c r="BA954" s="876"/>
      <c r="BD954" s="711"/>
      <c r="BE954" s="885"/>
      <c r="BF954" s="711"/>
      <c r="BH954" s="685"/>
      <c r="BI954" s="876"/>
      <c r="BL954" s="876"/>
      <c r="BM954" s="876"/>
      <c r="BP954" s="876"/>
      <c r="BQ954" s="876"/>
      <c r="BT954" s="876"/>
      <c r="BU954" s="876"/>
      <c r="BX954" s="876"/>
      <c r="BY954" s="876"/>
      <c r="CB954" s="876"/>
      <c r="CC954" s="876"/>
      <c r="CE954" s="103"/>
      <c r="CF954" s="876"/>
      <c r="CG954" s="876"/>
      <c r="CI954" s="103"/>
      <c r="CJ954" s="876"/>
      <c r="CK954" s="876"/>
      <c r="CM954" s="103"/>
      <c r="CN954" s="876"/>
      <c r="CO954" s="876"/>
      <c r="CQ954" s="103"/>
      <c r="CR954" s="876"/>
      <c r="CS954" s="876"/>
      <c r="CV954" s="876"/>
      <c r="CW954" s="876"/>
      <c r="CZ954" s="876"/>
      <c r="DA954" s="876"/>
      <c r="DD954" s="876"/>
      <c r="DE954" s="876"/>
      <c r="DH954" s="876"/>
      <c r="DI954" s="876"/>
      <c r="DL954" s="876"/>
      <c r="DM954" s="876"/>
      <c r="DP954" s="876"/>
      <c r="DQ954" s="876"/>
      <c r="DU954" s="876"/>
      <c r="DV954" s="876"/>
      <c r="DW954" s="876"/>
      <c r="DZ954" s="876"/>
      <c r="EA954" s="876"/>
      <c r="ED954" s="876"/>
      <c r="EE954" s="876"/>
    </row>
    <row r="955" spans="1:273">
      <c r="A955" s="102" t="s">
        <v>686</v>
      </c>
      <c r="AR955" s="685"/>
      <c r="AS955" s="685"/>
      <c r="AT955" s="730"/>
      <c r="AU955" s="730"/>
      <c r="AV955" s="685"/>
      <c r="AW955" s="685"/>
      <c r="AX955" s="730"/>
      <c r="AY955" s="730"/>
      <c r="AZ955" s="685"/>
      <c r="BA955" s="876"/>
      <c r="BD955" s="711"/>
      <c r="BE955" s="885"/>
      <c r="BF955" s="711"/>
      <c r="BH955" s="685"/>
      <c r="BI955" s="876"/>
      <c r="BL955" s="876"/>
      <c r="BM955" s="876"/>
      <c r="BP955" s="876"/>
      <c r="BQ955" s="876"/>
      <c r="BT955" s="876"/>
      <c r="BU955" s="876"/>
      <c r="BX955" s="103">
        <f>(+DIVISIONS!BX123)*-1</f>
        <v>4</v>
      </c>
      <c r="BY955" s="103">
        <f>(+DIVISIONS!BY123)*-1</f>
        <v>4</v>
      </c>
      <c r="BZ955" s="103">
        <f>(+DIVISIONS!BZ123)*-1</f>
        <v>8</v>
      </c>
      <c r="CA955" s="293"/>
      <c r="CB955" s="103">
        <f>(+DIVISIONS!CB123)*-1</f>
        <v>3</v>
      </c>
      <c r="CC955" s="103">
        <f>(+DIVISIONS!CC123)*-1</f>
        <v>1</v>
      </c>
      <c r="CD955" s="103">
        <f>(+DIVISIONS!CD123)*-1</f>
        <v>4</v>
      </c>
      <c r="CE955" s="293"/>
      <c r="CF955" s="103">
        <f>(+DIVISIONS!CF123)*-1</f>
        <v>23</v>
      </c>
      <c r="CG955" s="103">
        <f>(+DIVISIONS!CG123)*-1</f>
        <v>17</v>
      </c>
      <c r="CH955" s="103">
        <f>(+DIVISIONS!CH123)*-1</f>
        <v>40</v>
      </c>
      <c r="CI955" s="293"/>
      <c r="CJ955" s="103">
        <f>(+DIVISIONS!CJ123)*-1</f>
        <v>50</v>
      </c>
      <c r="CK955" s="103">
        <f>(+DIVISIONS!CK123)*-1</f>
        <v>57</v>
      </c>
      <c r="CL955" s="103">
        <f>(+DIVISIONS!CL123)*-1</f>
        <v>107</v>
      </c>
      <c r="CM955" s="293"/>
      <c r="CN955" s="103">
        <f>(+DIVISIONS!CN123)*-1</f>
        <v>50</v>
      </c>
      <c r="CO955" s="103">
        <f>(+DIVISIONS!CO123)*-1</f>
        <v>48</v>
      </c>
      <c r="CP955" s="103">
        <f>(+DIVISIONS!CP123)*-1</f>
        <v>98</v>
      </c>
      <c r="CQ955" s="293"/>
      <c r="CR955" s="103">
        <f>(+DIVISIONS!CR123)*-1</f>
        <v>43</v>
      </c>
      <c r="CS955" s="103">
        <f>(+DIVISIONS!CS123)*-1</f>
        <v>58</v>
      </c>
      <c r="CT955" s="103">
        <f>(+DIVISIONS!CT123)*-1</f>
        <v>101</v>
      </c>
      <c r="CU955" s="293"/>
      <c r="CV955" s="103">
        <f>(+DIVISIONS!CV123)*-1</f>
        <v>53</v>
      </c>
      <c r="CW955" s="103">
        <f>(+DIVISIONS!CW123)*-1</f>
        <v>34</v>
      </c>
      <c r="CX955" s="103">
        <f>(+DIVISIONS!CX123)*-1</f>
        <v>87</v>
      </c>
      <c r="CZ955" s="103">
        <f>(+DIVISIONS!CZ123)*-1</f>
        <v>47</v>
      </c>
      <c r="DA955" s="103">
        <f>(+DIVISIONS!DA123)*-1</f>
        <v>40</v>
      </c>
      <c r="DB955" s="103">
        <f>(+DIVISIONS!DB123)*-1</f>
        <v>87</v>
      </c>
      <c r="DD955" s="103">
        <f>(+DIVISIONS!DD123)*-1</f>
        <v>57</v>
      </c>
      <c r="DE955" s="103">
        <f>(+DIVISIONS!DE123)*-1</f>
        <v>67</v>
      </c>
      <c r="DF955" s="103">
        <f>(+DIVISIONS!DF123)*-1</f>
        <v>124</v>
      </c>
      <c r="DH955" s="103">
        <f>(+DIVISIONS!DH123)*-1</f>
        <v>65</v>
      </c>
      <c r="DI955" s="103">
        <f>(+DIVISIONS!DI123)*-1</f>
        <v>51.953999999999994</v>
      </c>
      <c r="DJ955" s="103">
        <f>(+DIVISIONS!DJ123)*-1</f>
        <v>116.95399999999999</v>
      </c>
      <c r="DL955" s="103">
        <f>(+DIVISIONS!DL123)*-1</f>
        <v>54.148740000000004</v>
      </c>
      <c r="DM955" s="103">
        <f>(+DIVISIONS!DM123)*-1</f>
        <v>56.441128199999994</v>
      </c>
      <c r="DN955" s="103">
        <f>(+DIVISIONS!DN123)*-1</f>
        <v>110.5898682</v>
      </c>
      <c r="DP955" s="103">
        <f>(+DIVISIONS!DP123)*-1</f>
        <v>57.783700895999992</v>
      </c>
      <c r="DQ955" s="103">
        <f>(+DIVISIONS!DQ123)*-1</f>
        <v>59.159537549880007</v>
      </c>
      <c r="DR955" s="103">
        <f>(+DIVISIONS!DR123)*-1</f>
        <v>116.94323844588</v>
      </c>
      <c r="DU955" s="876"/>
      <c r="DV955" s="876"/>
      <c r="DW955" s="876"/>
      <c r="DZ955" s="876"/>
      <c r="EA955" s="876"/>
      <c r="ED955" s="876"/>
      <c r="EE955" s="876"/>
    </row>
    <row r="956" spans="1:273">
      <c r="A956" s="102" t="s">
        <v>1306</v>
      </c>
      <c r="AR956" s="685"/>
      <c r="AS956" s="685"/>
      <c r="AT956" s="730"/>
      <c r="AU956" s="730"/>
      <c r="AV956" s="685"/>
      <c r="AW956" s="685"/>
      <c r="AX956" s="730"/>
      <c r="AY956" s="730"/>
      <c r="AZ956" s="685"/>
      <c r="BA956" s="876"/>
      <c r="BD956" s="711"/>
      <c r="BE956" s="885"/>
      <c r="BF956" s="711"/>
      <c r="BH956" s="685"/>
      <c r="BI956" s="876"/>
      <c r="BL956" s="876"/>
      <c r="BM956" s="876"/>
      <c r="BP956" s="876"/>
      <c r="BQ956" s="876"/>
      <c r="BT956" s="876"/>
      <c r="BU956" s="876"/>
      <c r="BX956" s="103">
        <f>(+DIVISIONS!BX351)*-1</f>
        <v>97</v>
      </c>
      <c r="BY956" s="103">
        <f>(+DIVISIONS!BY351)*-1</f>
        <v>103</v>
      </c>
      <c r="BZ956" s="103">
        <f>(+DIVISIONS!BZ351)*-1</f>
        <v>200</v>
      </c>
      <c r="CA956" s="293"/>
      <c r="CB956" s="103">
        <f>(+DIVISIONS!CB351)*-1</f>
        <v>83</v>
      </c>
      <c r="CC956" s="103">
        <f>(+DIVISIONS!CC351)*-1</f>
        <v>74</v>
      </c>
      <c r="CD956" s="103">
        <f>(+DIVISIONS!CD351)*-1</f>
        <v>157</v>
      </c>
      <c r="CE956" s="293"/>
      <c r="CF956" s="103">
        <f>(+DIVISIONS!CF351)*-1</f>
        <v>128</v>
      </c>
      <c r="CG956" s="103">
        <f>(+DIVISIONS!CG351)*-1</f>
        <v>120</v>
      </c>
      <c r="CH956" s="103">
        <f>(+DIVISIONS!CH351)*-1</f>
        <v>248</v>
      </c>
      <c r="CI956" s="293"/>
      <c r="CJ956" s="103">
        <f>(+DIVISIONS!CJ351)*-1</f>
        <v>127</v>
      </c>
      <c r="CK956" s="103">
        <f>(+DIVISIONS!CK351)*-1</f>
        <v>140</v>
      </c>
      <c r="CL956" s="103">
        <f>(+DIVISIONS!CL351)*-1</f>
        <v>267</v>
      </c>
      <c r="CM956" s="293"/>
      <c r="CN956" s="103">
        <f>(+DIVISIONS!CN351)*-1</f>
        <v>123</v>
      </c>
      <c r="CO956" s="103">
        <f>(+DIVISIONS!CO351)*-1</f>
        <v>126</v>
      </c>
      <c r="CP956" s="103">
        <f>(+DIVISIONS!CP351)*-1</f>
        <v>249</v>
      </c>
      <c r="CQ956" s="293"/>
      <c r="CR956" s="103">
        <f>(+DIVISIONS!CR351)*-1</f>
        <v>207</v>
      </c>
      <c r="CS956" s="103">
        <f>(+DIVISIONS!CS351)*-1</f>
        <v>225</v>
      </c>
      <c r="CT956" s="103">
        <f>(+DIVISIONS!CT351)*-1</f>
        <v>432</v>
      </c>
      <c r="CU956" s="293"/>
      <c r="CV956" s="148">
        <f>(+DIVISIONS!CV351)*-1</f>
        <v>193</v>
      </c>
      <c r="CW956" s="148">
        <f>(+DIVISIONS!CW351)*-1</f>
        <v>206</v>
      </c>
      <c r="CX956" s="148">
        <f>(+DIVISIONS!CX351)*-1</f>
        <v>399</v>
      </c>
      <c r="CZ956" s="148">
        <f>(+DIVISIONS!CZ351)*-1</f>
        <v>194</v>
      </c>
      <c r="DA956" s="148">
        <f>(+DIVISIONS!DA351)*-1</f>
        <v>191</v>
      </c>
      <c r="DB956" s="148">
        <f>(+DIVISIONS!DB351)*-1</f>
        <v>385</v>
      </c>
      <c r="DD956" s="148">
        <f>(+DIVISIONS!DD351)*-1</f>
        <v>193</v>
      </c>
      <c r="DE956" s="148">
        <f>(+DIVISIONS!DE351)*-1</f>
        <v>229</v>
      </c>
      <c r="DF956" s="148">
        <f>(+DIVISIONS!DF351)*-1</f>
        <v>422</v>
      </c>
      <c r="DH956" s="148">
        <f>(+DIVISIONS!DH351)*-1</f>
        <v>222</v>
      </c>
      <c r="DI956" s="148">
        <f>(+DIVISIONS!DI351)*-1</f>
        <v>167.03196065666813</v>
      </c>
      <c r="DJ956" s="148">
        <f>(+DIVISIONS!DJ351)*-1</f>
        <v>389.03196065666816</v>
      </c>
      <c r="DL956" s="148">
        <f>(+DIVISIONS!DL351)*-1</f>
        <v>158.93483593116875</v>
      </c>
      <c r="DM956" s="148">
        <f>(+DIVISIONS!DM351)*-1</f>
        <v>161.25252548802806</v>
      </c>
      <c r="DN956" s="148">
        <f>(+DIVISIONS!DN351)*-1</f>
        <v>320.1873614191968</v>
      </c>
      <c r="DP956" s="148">
        <f>(+DIVISIONS!DP351)*-1</f>
        <v>165.24520209397519</v>
      </c>
      <c r="DQ956" s="148">
        <f>(+DIVISIONS!DQ351)*-1</f>
        <v>168.9377686892262</v>
      </c>
      <c r="DR956" s="148">
        <f>(+DIVISIONS!DR351)*-1</f>
        <v>334.18297078320143</v>
      </c>
      <c r="DU956" s="876"/>
      <c r="DV956" s="876"/>
      <c r="DW956" s="876"/>
      <c r="DZ956" s="876"/>
      <c r="EA956" s="876"/>
      <c r="ED956" s="876"/>
      <c r="EE956" s="876"/>
    </row>
    <row r="957" spans="1:273">
      <c r="A957" s="102" t="s">
        <v>1024</v>
      </c>
      <c r="AR957" s="685"/>
      <c r="AS957" s="685"/>
      <c r="AT957" s="730"/>
      <c r="AU957" s="730"/>
      <c r="AV957" s="685"/>
      <c r="AW957" s="685"/>
      <c r="AX957" s="730"/>
      <c r="AY957" s="730"/>
      <c r="AZ957" s="685"/>
      <c r="BA957" s="876"/>
      <c r="BD957" s="711"/>
      <c r="BE957" s="885"/>
      <c r="BF957" s="711"/>
      <c r="BH957" s="685"/>
      <c r="BI957" s="876"/>
      <c r="BL957" s="876"/>
      <c r="BM957" s="876"/>
      <c r="BP957" s="876"/>
      <c r="BQ957" s="876"/>
      <c r="BT957" s="876"/>
      <c r="BU957" s="876"/>
      <c r="BX957" s="103">
        <f>(DIVISIONS!BX239)*-1</f>
        <v>205</v>
      </c>
      <c r="BY957" s="103">
        <f>(DIVISIONS!BY239)*-1</f>
        <v>218</v>
      </c>
      <c r="BZ957" s="103">
        <f>(DIVISIONS!BZ239)*-1</f>
        <v>423</v>
      </c>
      <c r="CA957" s="293"/>
      <c r="CB957" s="103">
        <f>(DIVISIONS!CB239)*-1</f>
        <v>190</v>
      </c>
      <c r="CC957" s="103">
        <f>(DIVISIONS!CC239)*-1</f>
        <v>208</v>
      </c>
      <c r="CD957" s="103">
        <f>(DIVISIONS!CD239)*-1</f>
        <v>398</v>
      </c>
      <c r="CE957" s="293"/>
      <c r="CF957" s="103">
        <f>(DIVISIONS!CF239)*-1</f>
        <v>320</v>
      </c>
      <c r="CG957" s="103">
        <f>(DIVISIONS!CG239)*-1</f>
        <v>316</v>
      </c>
      <c r="CH957" s="103">
        <f>(DIVISIONS!CH239)*-1</f>
        <v>636</v>
      </c>
      <c r="CI957" s="293"/>
      <c r="CJ957" s="103">
        <f>(DIVISIONS!CJ239)*-1</f>
        <v>218</v>
      </c>
      <c r="CK957" s="103">
        <f>(DIVISIONS!CK239)*-1</f>
        <v>200</v>
      </c>
      <c r="CL957" s="103">
        <f>(DIVISIONS!CL239)*-1</f>
        <v>418</v>
      </c>
      <c r="CM957" s="293"/>
      <c r="CN957" s="103">
        <f>(DIVISIONS!CN239)*-1</f>
        <v>216</v>
      </c>
      <c r="CO957" s="103">
        <f>(DIVISIONS!CO239)*-1</f>
        <v>172</v>
      </c>
      <c r="CP957" s="103">
        <f>(DIVISIONS!CP239)*-1</f>
        <v>388</v>
      </c>
      <c r="CQ957" s="293"/>
      <c r="CR957" s="103">
        <f>(DIVISIONS!CR239)*-1</f>
        <v>195</v>
      </c>
      <c r="CS957" s="103">
        <f>(DIVISIONS!CS239)*-1</f>
        <v>194</v>
      </c>
      <c r="CT957" s="103">
        <f>(DIVISIONS!CT239)*-1</f>
        <v>389</v>
      </c>
      <c r="CU957" s="293"/>
      <c r="CV957" s="148">
        <f>(DIVISIONS!CV239)*-1</f>
        <v>193</v>
      </c>
      <c r="CW957" s="148">
        <f>(DIVISIONS!CW239)*-1</f>
        <v>222</v>
      </c>
      <c r="CX957" s="148">
        <f>(DIVISIONS!CX239)*-1</f>
        <v>415</v>
      </c>
      <c r="CZ957" s="148">
        <f>(DIVISIONS!CZ239)*-1</f>
        <v>222</v>
      </c>
      <c r="DA957" s="148">
        <f>(DIVISIONS!DA239)*-1</f>
        <v>229</v>
      </c>
      <c r="DB957" s="148">
        <f>(DIVISIONS!DB239)*-1</f>
        <v>451</v>
      </c>
      <c r="DD957" s="148">
        <f>(DIVISIONS!DD239)*-1</f>
        <v>244</v>
      </c>
      <c r="DE957" s="148">
        <f>(DIVISIONS!DE239)*-1</f>
        <v>237</v>
      </c>
      <c r="DF957" s="148">
        <f>(DIVISIONS!DF239)*-1</f>
        <v>481</v>
      </c>
      <c r="DH957" s="148">
        <f>(DIVISIONS!DH239)*-1</f>
        <v>248</v>
      </c>
      <c r="DI957" s="148">
        <f>(DIVISIONS!DI239)*-1</f>
        <v>250.035</v>
      </c>
      <c r="DJ957" s="148">
        <f>(DIVISIONS!DJ239)*-1</f>
        <v>498.03499999999997</v>
      </c>
      <c r="DL957" s="148">
        <f>(DIVISIONS!DL239)*-1</f>
        <v>236.84</v>
      </c>
      <c r="DM957" s="148">
        <f>(DIVISIONS!DM239)*-1</f>
        <v>256.28587499999998</v>
      </c>
      <c r="DN957" s="148">
        <f>(DIVISIONS!DN239)*-1</f>
        <v>493.12587499999995</v>
      </c>
      <c r="DP957" s="148">
        <f>(DIVISIONS!DP239)*-1</f>
        <v>243.9452</v>
      </c>
      <c r="DQ957" s="148">
        <f>(DIVISIONS!DQ239)*-1</f>
        <v>263.97445124999996</v>
      </c>
      <c r="DR957" s="148">
        <f>(DIVISIONS!DR239)*-1</f>
        <v>507.91965124999996</v>
      </c>
      <c r="DU957" s="876"/>
      <c r="DV957" s="876"/>
      <c r="DW957" s="876"/>
      <c r="DZ957" s="876"/>
      <c r="EA957" s="876"/>
      <c r="ED957" s="876"/>
      <c r="EE957" s="876"/>
    </row>
    <row r="958" spans="1:273">
      <c r="A958" s="102" t="s">
        <v>690</v>
      </c>
      <c r="AR958" s="685"/>
      <c r="AS958" s="685"/>
      <c r="AT958" s="730"/>
      <c r="AU958" s="730"/>
      <c r="AV958" s="685"/>
      <c r="AW958" s="685"/>
      <c r="AX958" s="730"/>
      <c r="AY958" s="730"/>
      <c r="AZ958" s="685"/>
      <c r="BA958" s="876"/>
      <c r="BD958" s="711"/>
      <c r="BE958" s="885"/>
      <c r="BF958" s="711"/>
      <c r="BH958" s="685"/>
      <c r="BI958" s="876"/>
      <c r="BL958" s="876"/>
      <c r="BM958" s="876"/>
      <c r="BP958" s="876"/>
      <c r="BQ958" s="876"/>
      <c r="BT958" s="876"/>
      <c r="BU958" s="876"/>
      <c r="BX958" s="103">
        <f>(DIVISIONS!BX478)*-1</f>
        <v>4</v>
      </c>
      <c r="BY958" s="103">
        <f>(DIVISIONS!BY478)*-1</f>
        <v>5</v>
      </c>
      <c r="BZ958" s="103">
        <f>(DIVISIONS!BZ478)*-1</f>
        <v>9</v>
      </c>
      <c r="CA958" s="293"/>
      <c r="CB958" s="103">
        <f>(DIVISIONS!CB478)*-1</f>
        <v>41</v>
      </c>
      <c r="CC958" s="103">
        <f>(DIVISIONS!CC478)*-1</f>
        <v>17</v>
      </c>
      <c r="CD958" s="103">
        <f>(DIVISIONS!CD478)*-1</f>
        <v>58</v>
      </c>
      <c r="CE958" s="293"/>
      <c r="CF958" s="103">
        <f>(DIVISIONS!CF478)*-1</f>
        <v>0</v>
      </c>
      <c r="CG958" s="103">
        <f>(DIVISIONS!CG478)*-1</f>
        <v>0</v>
      </c>
      <c r="CH958" s="103">
        <f>(DIVISIONS!CH478)*-1</f>
        <v>0</v>
      </c>
      <c r="CI958" s="293"/>
      <c r="CJ958" s="103">
        <f>(DIVISIONS!CJ478)*-1</f>
        <v>0</v>
      </c>
      <c r="CK958" s="103">
        <f>(DIVISIONS!CK478)*-1</f>
        <v>0</v>
      </c>
      <c r="CL958" s="103">
        <f>(DIVISIONS!CL478)*-1</f>
        <v>0</v>
      </c>
      <c r="CM958" s="293"/>
      <c r="CN958" s="103">
        <f>(DIVISIONS!CN478)*-1</f>
        <v>0</v>
      </c>
      <c r="CO958" s="103">
        <f>(DIVISIONS!CO478)*-1</f>
        <v>0</v>
      </c>
      <c r="CP958" s="103">
        <f>(DIVISIONS!CP478)*-1</f>
        <v>0</v>
      </c>
      <c r="CQ958" s="293"/>
      <c r="CR958" s="103">
        <f>(DIVISIONS!CR478)*-1</f>
        <v>0</v>
      </c>
      <c r="CS958" s="103">
        <f>(DIVISIONS!CS478)*-1</f>
        <v>0</v>
      </c>
      <c r="CT958" s="103">
        <f>(DIVISIONS!CT478)*-1</f>
        <v>0</v>
      </c>
      <c r="CU958" s="293"/>
      <c r="CV958" s="148">
        <f>(DIVISIONS!CV478)*-1</f>
        <v>0</v>
      </c>
      <c r="CW958" s="148">
        <f>(DIVISIONS!CW478)*-1</f>
        <v>0</v>
      </c>
      <c r="CX958" s="148">
        <f>(DIVISIONS!CX478)*-1</f>
        <v>0</v>
      </c>
      <c r="CZ958" s="148">
        <f>(DIVISIONS!CZ478)*-1</f>
        <v>0</v>
      </c>
      <c r="DA958" s="148">
        <f>(DIVISIONS!DA478)*-1</f>
        <v>0</v>
      </c>
      <c r="DB958" s="148">
        <f>(DIVISIONS!DB478)*-1</f>
        <v>0</v>
      </c>
      <c r="DD958" s="148">
        <f>(DIVISIONS!DD478)*-1</f>
        <v>0</v>
      </c>
      <c r="DE958" s="148">
        <f>(DIVISIONS!DE478)*-1</f>
        <v>0</v>
      </c>
      <c r="DF958" s="148">
        <f>(DIVISIONS!DF478)*-1</f>
        <v>0</v>
      </c>
      <c r="DH958" s="148">
        <f>(DIVISIONS!DH478)*-1</f>
        <v>0</v>
      </c>
      <c r="DI958" s="148">
        <f>(DIVISIONS!DI478)*-1</f>
        <v>0</v>
      </c>
      <c r="DJ958" s="148">
        <f>(DIVISIONS!DJ478)*-1</f>
        <v>0</v>
      </c>
      <c r="DL958" s="148">
        <f>(DIVISIONS!DL478)*-1</f>
        <v>0</v>
      </c>
      <c r="DM958" s="148">
        <f>(DIVISIONS!DM478)*-1</f>
        <v>0</v>
      </c>
      <c r="DN958" s="148">
        <f>(DIVISIONS!DN478)*-1</f>
        <v>0</v>
      </c>
      <c r="DP958" s="148">
        <f>(DIVISIONS!DP478)*-1</f>
        <v>0</v>
      </c>
      <c r="DQ958" s="148">
        <f>(DIVISIONS!DQ478)*-1</f>
        <v>0</v>
      </c>
      <c r="DR958" s="148">
        <f>(DIVISIONS!DR478)*-1</f>
        <v>0</v>
      </c>
      <c r="DU958" s="876"/>
      <c r="DV958" s="876"/>
      <c r="DW958" s="876"/>
      <c r="DZ958" s="876"/>
      <c r="EA958" s="876"/>
      <c r="ED958" s="876"/>
      <c r="EE958" s="876"/>
    </row>
    <row r="959" spans="1:273">
      <c r="A959" s="102" t="s">
        <v>689</v>
      </c>
      <c r="AR959" s="685"/>
      <c r="AS959" s="685"/>
      <c r="AT959" s="730"/>
      <c r="AU959" s="730"/>
      <c r="AV959" s="685"/>
      <c r="AW959" s="685"/>
      <c r="AX959" s="730"/>
      <c r="AY959" s="730"/>
      <c r="AZ959" s="685"/>
      <c r="BA959" s="876"/>
      <c r="BD959" s="711"/>
      <c r="BE959" s="885"/>
      <c r="BF959" s="711"/>
      <c r="BH959" s="685"/>
      <c r="BI959" s="876"/>
      <c r="BL959" s="876"/>
      <c r="BM959" s="876"/>
      <c r="BP959" s="876"/>
      <c r="BQ959" s="876"/>
      <c r="BT959" s="876"/>
      <c r="BU959" s="876"/>
      <c r="BX959" s="103">
        <f>(DIVISIONS!BX553)*-1</f>
        <v>105</v>
      </c>
      <c r="BY959" s="103">
        <f>(DIVISIONS!BY553)*-1</f>
        <v>103</v>
      </c>
      <c r="BZ959" s="103">
        <f>(DIVISIONS!BZ553)*-1</f>
        <v>208</v>
      </c>
      <c r="CA959" s="293"/>
      <c r="CB959" s="103">
        <f>(DIVISIONS!CB553)*-1</f>
        <v>104</v>
      </c>
      <c r="CC959" s="103">
        <f>(DIVISIONS!CC553)*-1</f>
        <v>109</v>
      </c>
      <c r="CD959" s="103">
        <f>(DIVISIONS!CD553)*-1</f>
        <v>213</v>
      </c>
      <c r="CE959" s="293"/>
      <c r="CF959" s="103">
        <f>(DIVISIONS!CF553)*-1</f>
        <v>108</v>
      </c>
      <c r="CG959" s="103">
        <f>(DIVISIONS!CG553)*-1</f>
        <v>108</v>
      </c>
      <c r="CH959" s="103">
        <f>(DIVISIONS!CH553)*-1</f>
        <v>216</v>
      </c>
      <c r="CI959" s="293"/>
      <c r="CJ959" s="103">
        <f>(DIVISIONS!CJ553)*-1</f>
        <v>87</v>
      </c>
      <c r="CK959" s="103">
        <f>(DIVISIONS!CK553)*-1</f>
        <v>85</v>
      </c>
      <c r="CL959" s="103">
        <f>(DIVISIONS!CL553)*-1</f>
        <v>172</v>
      </c>
      <c r="CM959" s="293"/>
      <c r="CN959" s="103">
        <f>(DIVISIONS!CN553)*-1</f>
        <v>81</v>
      </c>
      <c r="CO959" s="103">
        <f>(DIVISIONS!CO553)*-1</f>
        <v>61</v>
      </c>
      <c r="CP959" s="103">
        <f>(DIVISIONS!CP553)*-1</f>
        <v>142</v>
      </c>
      <c r="CQ959" s="293"/>
      <c r="CR959" s="103">
        <f>(DIVISIONS!CR553)*-1</f>
        <v>53</v>
      </c>
      <c r="CS959" s="103">
        <f>(DIVISIONS!CS553)*-1</f>
        <v>53</v>
      </c>
      <c r="CT959" s="103">
        <f>(DIVISIONS!CT553)*-1</f>
        <v>106</v>
      </c>
      <c r="CU959" s="293"/>
      <c r="CV959" s="148">
        <f>(DIVISIONS!CV553)*-1</f>
        <v>59</v>
      </c>
      <c r="CW959" s="148">
        <f>(DIVISIONS!CW553)*-1</f>
        <v>66</v>
      </c>
      <c r="CX959" s="148">
        <f>(DIVISIONS!CX553)*-1</f>
        <v>125</v>
      </c>
      <c r="CZ959" s="148">
        <f>(DIVISIONS!CZ553)*-1</f>
        <v>65</v>
      </c>
      <c r="DA959" s="148">
        <f>(DIVISIONS!DA553)*-1</f>
        <v>81</v>
      </c>
      <c r="DB959" s="148">
        <f>(DIVISIONS!DB553)*-1</f>
        <v>146</v>
      </c>
      <c r="DD959" s="148">
        <f>(DIVISIONS!DD553)*-1</f>
        <v>84</v>
      </c>
      <c r="DE959" s="148">
        <f>(DIVISIONS!DE553)*-1</f>
        <v>92</v>
      </c>
      <c r="DF959" s="148">
        <f>(DIVISIONS!DF553)*-1</f>
        <v>176</v>
      </c>
      <c r="DH959" s="148">
        <f>(DIVISIONS!DH553)*-1</f>
        <v>92</v>
      </c>
      <c r="DI959" s="148">
        <f>(DIVISIONS!DI553)*-1</f>
        <v>92.488199999999992</v>
      </c>
      <c r="DJ959" s="148">
        <f>(DIVISIONS!DJ553)*-1</f>
        <v>184.48820000000001</v>
      </c>
      <c r="DL959" s="148">
        <f>(DIVISIONS!DL553)*-1</f>
        <v>99.091649999999987</v>
      </c>
      <c r="DM959" s="148">
        <f>(DIVISIONS!DM553)*-1</f>
        <v>97.768167000000005</v>
      </c>
      <c r="DN959" s="148">
        <f>(DIVISIONS!DN553)*-1</f>
        <v>196.85981699999999</v>
      </c>
      <c r="DP959" s="148">
        <f>(DIVISIONS!DP553)*-1</f>
        <v>104.7229365</v>
      </c>
      <c r="DQ959" s="148">
        <f>(DIVISIONS!DQ553)*-1</f>
        <v>103.35146577000002</v>
      </c>
      <c r="DR959" s="148">
        <f>(DIVISIONS!DR553)*-1</f>
        <v>208.07440227000001</v>
      </c>
      <c r="DU959" s="876"/>
      <c r="DV959" s="876"/>
      <c r="DW959" s="876"/>
      <c r="DZ959" s="876"/>
      <c r="EA959" s="876"/>
      <c r="ED959" s="876"/>
      <c r="EE959" s="876"/>
    </row>
    <row r="960" spans="1:273">
      <c r="A960" s="102" t="s">
        <v>688</v>
      </c>
      <c r="AR960" s="685"/>
      <c r="AS960" s="685"/>
      <c r="AT960" s="730"/>
      <c r="AU960" s="730"/>
      <c r="AV960" s="685"/>
      <c r="AW960" s="685"/>
      <c r="AX960" s="730"/>
      <c r="AY960" s="730"/>
      <c r="AZ960" s="685"/>
      <c r="BA960" s="876"/>
      <c r="BD960" s="711"/>
      <c r="BE960" s="885"/>
      <c r="BF960" s="711"/>
      <c r="BH960" s="685"/>
      <c r="BI960" s="876"/>
      <c r="BL960" s="876"/>
      <c r="BM960" s="876"/>
      <c r="BP960" s="876"/>
      <c r="BQ960" s="876"/>
      <c r="BT960" s="876"/>
      <c r="BU960" s="876"/>
      <c r="BX960" s="103">
        <v>0</v>
      </c>
      <c r="BY960" s="103">
        <v>0</v>
      </c>
      <c r="BZ960" s="103">
        <v>0</v>
      </c>
      <c r="CA960" s="293"/>
      <c r="CB960" s="103">
        <v>0</v>
      </c>
      <c r="CC960" s="103">
        <v>0</v>
      </c>
      <c r="CD960" s="103">
        <v>0</v>
      </c>
      <c r="CE960" s="293"/>
      <c r="CF960" s="103">
        <v>0</v>
      </c>
      <c r="CG960" s="103">
        <v>0</v>
      </c>
      <c r="CH960" s="103">
        <v>0</v>
      </c>
      <c r="CI960" s="293"/>
      <c r="CJ960" s="103">
        <v>0</v>
      </c>
      <c r="CK960" s="103">
        <v>0</v>
      </c>
      <c r="CL960" s="103">
        <v>0</v>
      </c>
      <c r="CM960" s="293"/>
      <c r="CN960" s="103">
        <v>0</v>
      </c>
      <c r="CO960" s="103">
        <v>0</v>
      </c>
      <c r="CP960" s="103">
        <v>0</v>
      </c>
      <c r="CQ960" s="293"/>
      <c r="CR960" s="103">
        <v>0</v>
      </c>
      <c r="CS960" s="103">
        <v>0</v>
      </c>
      <c r="CT960" s="103">
        <v>0</v>
      </c>
      <c r="CU960" s="293"/>
      <c r="CV960" s="148">
        <v>0</v>
      </c>
      <c r="CW960" s="148">
        <v>0</v>
      </c>
      <c r="CX960" s="148">
        <v>0</v>
      </c>
      <c r="CZ960" s="2096">
        <v>0</v>
      </c>
      <c r="DA960" s="2096">
        <v>0</v>
      </c>
      <c r="DB960" s="2096">
        <v>0</v>
      </c>
      <c r="DC960" s="1105"/>
      <c r="DD960" s="2096">
        <v>0</v>
      </c>
      <c r="DE960" s="2096">
        <v>0</v>
      </c>
      <c r="DF960" s="2096">
        <v>0</v>
      </c>
      <c r="DG960" s="1105"/>
      <c r="DH960" s="2096">
        <v>0</v>
      </c>
      <c r="DI960" s="2096">
        <v>0</v>
      </c>
      <c r="DJ960" s="2096">
        <v>0</v>
      </c>
      <c r="DK960" s="1105"/>
      <c r="DL960" s="2096">
        <v>0</v>
      </c>
      <c r="DM960" s="2096">
        <v>0</v>
      </c>
      <c r="DN960" s="2096">
        <v>0</v>
      </c>
      <c r="DO960" s="1105"/>
      <c r="DP960" s="2096">
        <v>0</v>
      </c>
      <c r="DQ960" s="2096">
        <v>0</v>
      </c>
      <c r="DR960" s="2096">
        <v>0</v>
      </c>
      <c r="DS960" s="1105"/>
      <c r="DU960" s="876"/>
      <c r="DV960" s="876"/>
      <c r="DW960" s="876"/>
      <c r="DZ960" s="876"/>
      <c r="EA960" s="876"/>
      <c r="ED960" s="876"/>
      <c r="EE960" s="876"/>
    </row>
    <row r="961" spans="1:273">
      <c r="A961" s="102" t="s">
        <v>691</v>
      </c>
      <c r="AR961" s="685"/>
      <c r="AS961" s="685"/>
      <c r="AT961" s="730"/>
      <c r="AU961" s="730"/>
      <c r="AV961" s="685"/>
      <c r="AW961" s="685"/>
      <c r="AX961" s="730"/>
      <c r="AY961" s="730"/>
      <c r="AZ961" s="685"/>
      <c r="BA961" s="876"/>
      <c r="BD961" s="711"/>
      <c r="BE961" s="885"/>
      <c r="BF961" s="711"/>
      <c r="BH961" s="685"/>
      <c r="BI961" s="876"/>
      <c r="BL961" s="876"/>
      <c r="BM961" s="876"/>
      <c r="BP961" s="876"/>
      <c r="BQ961" s="876"/>
      <c r="BT961" s="876"/>
      <c r="BU961" s="876"/>
      <c r="BX961" s="103">
        <f>(DIVISIONS!BX719)*-1</f>
        <v>3</v>
      </c>
      <c r="BY961" s="103">
        <f>(DIVISIONS!BY719)*-1</f>
        <v>1</v>
      </c>
      <c r="BZ961" s="103">
        <f>(DIVISIONS!BZ719)*-1</f>
        <v>4</v>
      </c>
      <c r="CA961" s="293"/>
      <c r="CB961" s="103">
        <f>(DIVISIONS!CB719)*-1</f>
        <v>1</v>
      </c>
      <c r="CC961" s="103">
        <f>(DIVISIONS!CC719)*-1</f>
        <v>-1</v>
      </c>
      <c r="CD961" s="103">
        <f>(DIVISIONS!CD719)*-1</f>
        <v>0</v>
      </c>
      <c r="CE961" s="293"/>
      <c r="CF961" s="103">
        <f>(DIVISIONS!CF719)*-1</f>
        <v>0</v>
      </c>
      <c r="CG961" s="103">
        <f>(DIVISIONS!CG719)*-1</f>
        <v>0</v>
      </c>
      <c r="CH961" s="103">
        <f>(DIVISIONS!CH719)*-1</f>
        <v>0</v>
      </c>
      <c r="CI961" s="293"/>
      <c r="CJ961" s="103">
        <f>(DIVISIONS!CJ719)*-1</f>
        <v>0</v>
      </c>
      <c r="CK961" s="103">
        <f>(DIVISIONS!CK719)*-1</f>
        <v>0</v>
      </c>
      <c r="CL961" s="103">
        <f>(DIVISIONS!CL719)*-1</f>
        <v>0</v>
      </c>
      <c r="CM961" s="293"/>
      <c r="CN961" s="103">
        <f>(DIVISIONS!CN719)*-1</f>
        <v>0</v>
      </c>
      <c r="CO961" s="103">
        <f>(DIVISIONS!CO719)*-1</f>
        <v>0</v>
      </c>
      <c r="CP961" s="103">
        <f>(DIVISIONS!CP719)*-1</f>
        <v>0</v>
      </c>
      <c r="CQ961" s="293"/>
      <c r="CR961" s="103">
        <f>(DIVISIONS!CR719)*-1</f>
        <v>0</v>
      </c>
      <c r="CS961" s="103">
        <f>(DIVISIONS!CS719)*-1</f>
        <v>0</v>
      </c>
      <c r="CT961" s="103">
        <f>(DIVISIONS!CT719)*-1</f>
        <v>0</v>
      </c>
      <c r="CU961" s="293"/>
      <c r="CV961" s="148">
        <f>(DIVISIONS!CV719)*-1</f>
        <v>0</v>
      </c>
      <c r="CW961" s="148">
        <f>(DIVISIONS!CW719)*-1</f>
        <v>0</v>
      </c>
      <c r="CX961" s="148">
        <f>(DIVISIONS!CX719)*-1</f>
        <v>0</v>
      </c>
      <c r="CZ961" s="148">
        <f>(DIVISIONS!CZ719)*-1</f>
        <v>0</v>
      </c>
      <c r="DA961" s="148">
        <f>(DIVISIONS!DA719)*-1</f>
        <v>0</v>
      </c>
      <c r="DB961" s="148">
        <f>(DIVISIONS!DB719)*-1</f>
        <v>0</v>
      </c>
      <c r="DD961" s="148">
        <f>(DIVISIONS!DD719)*-1</f>
        <v>0</v>
      </c>
      <c r="DE961" s="148">
        <f>(DIVISIONS!DE719)*-1</f>
        <v>0</v>
      </c>
      <c r="DF961" s="148">
        <f>(DIVISIONS!DF719)*-1</f>
        <v>0</v>
      </c>
      <c r="DH961" s="148">
        <f>(DIVISIONS!DH719)*-1</f>
        <v>0</v>
      </c>
      <c r="DI961" s="148">
        <f>(DIVISIONS!DI719)*-1</f>
        <v>0</v>
      </c>
      <c r="DJ961" s="148">
        <f>(DIVISIONS!DJ719)*-1</f>
        <v>0</v>
      </c>
      <c r="DL961" s="148">
        <f>(DIVISIONS!DL719)*-1</f>
        <v>0</v>
      </c>
      <c r="DM961" s="148">
        <f>(DIVISIONS!DM719)*-1</f>
        <v>0</v>
      </c>
      <c r="DN961" s="148">
        <f>(DIVISIONS!DN719)*-1</f>
        <v>0</v>
      </c>
      <c r="DP961" s="148">
        <f>(DIVISIONS!DP719)*-1</f>
        <v>0</v>
      </c>
      <c r="DQ961" s="148">
        <f>(DIVISIONS!DQ719)*-1</f>
        <v>0</v>
      </c>
      <c r="DR961" s="148">
        <f>(DIVISIONS!DR719)*-1</f>
        <v>0</v>
      </c>
      <c r="DU961" s="876"/>
      <c r="DV961" s="876"/>
      <c r="DW961" s="876"/>
      <c r="DZ961" s="876"/>
      <c r="EA961" s="876"/>
      <c r="ED961" s="876"/>
      <c r="EE961" s="876"/>
    </row>
    <row r="962" spans="1:273">
      <c r="A962" s="289" t="s">
        <v>696</v>
      </c>
      <c r="AR962" s="685"/>
      <c r="AS962" s="685"/>
      <c r="AT962" s="730"/>
      <c r="AU962" s="730"/>
      <c r="AV962" s="685"/>
      <c r="AW962" s="685"/>
      <c r="AX962" s="730"/>
      <c r="AY962" s="730"/>
      <c r="AZ962" s="685"/>
      <c r="BA962" s="876"/>
      <c r="BD962" s="711"/>
      <c r="BE962" s="885"/>
      <c r="BF962" s="711"/>
      <c r="BH962" s="685"/>
      <c r="BI962" s="876"/>
      <c r="BL962" s="876"/>
      <c r="BM962" s="876"/>
      <c r="BP962" s="876"/>
      <c r="BQ962" s="876"/>
      <c r="BT962" s="876"/>
      <c r="BU962" s="876"/>
      <c r="BX962" s="295">
        <f>-BX22</f>
        <v>418</v>
      </c>
      <c r="BY962" s="295">
        <f>-BY22</f>
        <v>434</v>
      </c>
      <c r="BZ962" s="295">
        <f>-BZ22</f>
        <v>852</v>
      </c>
      <c r="CB962" s="295">
        <f>-CB22</f>
        <v>422</v>
      </c>
      <c r="CC962" s="295">
        <f>-CC22</f>
        <v>408</v>
      </c>
      <c r="CD962" s="295">
        <f>-CD22</f>
        <v>830</v>
      </c>
      <c r="CE962" s="103"/>
      <c r="CF962" s="295">
        <f>-CF22</f>
        <v>579</v>
      </c>
      <c r="CG962" s="295">
        <f>-CG22</f>
        <v>561</v>
      </c>
      <c r="CH962" s="295">
        <f>-CH22</f>
        <v>1140</v>
      </c>
      <c r="CI962" s="103"/>
      <c r="CJ962" s="295">
        <f>-CJ22</f>
        <v>482</v>
      </c>
      <c r="CK962" s="295">
        <f>-CK22</f>
        <v>482</v>
      </c>
      <c r="CL962" s="295">
        <f>-CL22</f>
        <v>964</v>
      </c>
      <c r="CM962" s="103"/>
      <c r="CN962" s="295">
        <f>-CN22</f>
        <v>471</v>
      </c>
      <c r="CO962" s="295">
        <f>-CO22</f>
        <v>408</v>
      </c>
      <c r="CP962" s="295">
        <f>-CP22</f>
        <v>879</v>
      </c>
      <c r="CQ962" s="103"/>
      <c r="CR962" s="295">
        <f>-CR22</f>
        <v>498</v>
      </c>
      <c r="CS962" s="1711">
        <f>-CS22-1</f>
        <v>530</v>
      </c>
      <c r="CT962" s="1711">
        <f>-CT22-1</f>
        <v>1028</v>
      </c>
      <c r="CV962" s="295">
        <f>-CV22</f>
        <v>500</v>
      </c>
      <c r="CW962" s="295">
        <f>-CW22</f>
        <v>528</v>
      </c>
      <c r="CX962" s="295">
        <f>-CX22</f>
        <v>1028</v>
      </c>
      <c r="CZ962" s="295">
        <f t="shared" ref="CZ962:DB962" si="1895">-CZ22</f>
        <v>529</v>
      </c>
      <c r="DA962" s="295">
        <f t="shared" si="1895"/>
        <v>542</v>
      </c>
      <c r="DB962" s="295">
        <f t="shared" si="1895"/>
        <v>1071</v>
      </c>
      <c r="DD962" s="295">
        <f t="shared" ref="DD962:DF962" si="1896">-DD22</f>
        <v>580</v>
      </c>
      <c r="DE962" s="295">
        <f t="shared" si="1896"/>
        <v>626</v>
      </c>
      <c r="DF962" s="295">
        <f t="shared" si="1896"/>
        <v>1206</v>
      </c>
      <c r="DH962" s="295">
        <f t="shared" ref="DH962" si="1897">-DH22</f>
        <v>628</v>
      </c>
      <c r="DI962" s="295">
        <f t="shared" ref="DI962:DJ962" si="1898">-DI22</f>
        <v>561.50916065666809</v>
      </c>
      <c r="DJ962" s="295">
        <f t="shared" si="1898"/>
        <v>1189.509160656668</v>
      </c>
      <c r="DL962" s="295">
        <f t="shared" ref="DL962:DN962" si="1899">-DL22</f>
        <v>549.01522593116874</v>
      </c>
      <c r="DM962" s="295">
        <f t="shared" si="1899"/>
        <v>571.74769568802799</v>
      </c>
      <c r="DN962" s="295">
        <f t="shared" si="1899"/>
        <v>1120.7629216191967</v>
      </c>
      <c r="DP962" s="295">
        <f t="shared" ref="DP962:DR962" si="1900">-DP22</f>
        <v>571.69703948997517</v>
      </c>
      <c r="DQ962" s="295">
        <f t="shared" si="1900"/>
        <v>595.42322325910618</v>
      </c>
      <c r="DR962" s="295">
        <f t="shared" si="1900"/>
        <v>1167.1202627490813</v>
      </c>
      <c r="DU962" s="876"/>
      <c r="DV962" s="876"/>
      <c r="DW962" s="876"/>
      <c r="DZ962" s="876"/>
      <c r="EA962" s="876"/>
      <c r="ED962" s="876"/>
      <c r="EE962" s="876"/>
    </row>
    <row r="963" spans="1:273" s="1589" customFormat="1">
      <c r="A963" s="1589" t="s">
        <v>580</v>
      </c>
      <c r="B963" s="1590"/>
      <c r="AN963" s="1590"/>
      <c r="AO963" s="1590"/>
      <c r="AP963" s="1590"/>
      <c r="AQ963" s="1590"/>
      <c r="AR963" s="1591"/>
      <c r="AS963" s="1591"/>
      <c r="AT963" s="1592"/>
      <c r="AU963" s="1592"/>
      <c r="AV963" s="1591"/>
      <c r="AW963" s="1591"/>
      <c r="AX963" s="1592"/>
      <c r="AY963" s="1592"/>
      <c r="AZ963" s="1591"/>
      <c r="BA963" s="1593"/>
      <c r="BB963" s="1590"/>
      <c r="BC963" s="1590"/>
      <c r="BD963" s="1594"/>
      <c r="BE963" s="1595"/>
      <c r="BF963" s="1594"/>
      <c r="BG963" s="1590"/>
      <c r="BH963" s="1591"/>
      <c r="BI963" s="1593"/>
      <c r="BJ963" s="1590"/>
      <c r="BK963" s="1590"/>
      <c r="BL963" s="1593"/>
      <c r="BM963" s="1593"/>
      <c r="BN963" s="1590"/>
      <c r="BO963" s="1590"/>
      <c r="BP963" s="1593"/>
      <c r="BQ963" s="1593"/>
      <c r="BR963" s="1590"/>
      <c r="BS963" s="1590"/>
      <c r="BT963" s="1593"/>
      <c r="BU963" s="1593"/>
      <c r="BV963" s="1590"/>
      <c r="BW963" s="1590"/>
      <c r="BX963" s="1686">
        <f t="shared" ref="BX963:BZ963" si="1901">+BX962-SUM(BX955:BX961)</f>
        <v>0</v>
      </c>
      <c r="BY963" s="1686">
        <f t="shared" si="1901"/>
        <v>0</v>
      </c>
      <c r="BZ963" s="1686">
        <f t="shared" si="1901"/>
        <v>0</v>
      </c>
      <c r="CA963" s="1686"/>
      <c r="CB963" s="1686">
        <f t="shared" ref="CB963:CD963" si="1902">+CB962-SUM(CB955:CB961)</f>
        <v>0</v>
      </c>
      <c r="CC963" s="1686">
        <f t="shared" si="1902"/>
        <v>0</v>
      </c>
      <c r="CD963" s="1686">
        <f t="shared" si="1902"/>
        <v>0</v>
      </c>
      <c r="CE963" s="1686"/>
      <c r="CF963" s="1686">
        <f t="shared" ref="CF963:CH963" si="1903">+CF962-SUM(CF955:CF961)</f>
        <v>0</v>
      </c>
      <c r="CG963" s="1686">
        <f t="shared" si="1903"/>
        <v>0</v>
      </c>
      <c r="CH963" s="1686">
        <f t="shared" si="1903"/>
        <v>0</v>
      </c>
      <c r="CI963" s="1686"/>
      <c r="CJ963" s="1686">
        <f t="shared" ref="CJ963:CL963" si="1904">+CJ962-SUM(CJ955:CJ961)</f>
        <v>0</v>
      </c>
      <c r="CK963" s="1686">
        <f t="shared" si="1904"/>
        <v>0</v>
      </c>
      <c r="CL963" s="1686">
        <f t="shared" si="1904"/>
        <v>0</v>
      </c>
      <c r="CM963" s="1686"/>
      <c r="CN963" s="1686">
        <f t="shared" ref="CN963:CP963" si="1905">+CN962-SUM(CN955:CN961)</f>
        <v>1</v>
      </c>
      <c r="CO963" s="1686">
        <f t="shared" si="1905"/>
        <v>1</v>
      </c>
      <c r="CP963" s="1686">
        <f t="shared" si="1905"/>
        <v>2</v>
      </c>
      <c r="CQ963" s="1686"/>
      <c r="CR963" s="1686">
        <f t="shared" ref="CR963:CT963" si="1906">+CR962-SUM(CR955:CR961)</f>
        <v>0</v>
      </c>
      <c r="CS963" s="1686">
        <f t="shared" si="1906"/>
        <v>0</v>
      </c>
      <c r="CT963" s="1686">
        <f t="shared" si="1906"/>
        <v>0</v>
      </c>
      <c r="CU963" s="1686"/>
      <c r="CV963" s="1686">
        <f>+CV962-SUM(CV955:CV961)</f>
        <v>2</v>
      </c>
      <c r="CW963" s="1686">
        <f t="shared" ref="CW963:CX963" si="1907">+CW962-SUM(CW955:CW961)</f>
        <v>0</v>
      </c>
      <c r="CX963" s="1686">
        <f t="shared" si="1907"/>
        <v>2</v>
      </c>
      <c r="CY963" s="1686"/>
      <c r="CZ963" s="1686">
        <f t="shared" ref="CZ963" si="1908">+CZ962-SUM(CZ955:CZ961)</f>
        <v>1</v>
      </c>
      <c r="DA963" s="1686">
        <f t="shared" ref="DA963" si="1909">+DA962-SUM(DA955:DA961)</f>
        <v>1</v>
      </c>
      <c r="DB963" s="1686">
        <f t="shared" ref="DB963" si="1910">+DB962-SUM(DB955:DB961)</f>
        <v>2</v>
      </c>
      <c r="DC963" s="1686"/>
      <c r="DD963" s="1686">
        <f t="shared" ref="DD963:DF963" si="1911">+DD962-SUM(DD955:DD961)</f>
        <v>2</v>
      </c>
      <c r="DE963" s="1686">
        <f t="shared" si="1911"/>
        <v>1</v>
      </c>
      <c r="DF963" s="1686">
        <f t="shared" si="1911"/>
        <v>3</v>
      </c>
      <c r="DG963" s="1686"/>
      <c r="DH963" s="1686">
        <f t="shared" ref="DH963" si="1912">+DH962-SUM(DH955:DH961)</f>
        <v>1</v>
      </c>
      <c r="DI963" s="1686">
        <f t="shared" ref="DI963:DJ963" si="1913">+DI962-SUM(DI955:DI961)</f>
        <v>0</v>
      </c>
      <c r="DJ963" s="1686">
        <f t="shared" si="1913"/>
        <v>0.99999999999977263</v>
      </c>
      <c r="DK963" s="1686"/>
      <c r="DL963" s="1686">
        <f t="shared" ref="DL963:DN963" si="1914">+DL962-SUM(DL955:DL961)</f>
        <v>0</v>
      </c>
      <c r="DM963" s="1686">
        <f t="shared" si="1914"/>
        <v>0</v>
      </c>
      <c r="DN963" s="1686">
        <f t="shared" si="1914"/>
        <v>0</v>
      </c>
      <c r="DO963" s="1590"/>
      <c r="DP963" s="1686">
        <f t="shared" ref="DP963:DR963" si="1915">+DP962-SUM(DP955:DP961)</f>
        <v>0</v>
      </c>
      <c r="DQ963" s="1686">
        <f t="shared" si="1915"/>
        <v>0</v>
      </c>
      <c r="DR963" s="1686">
        <f t="shared" si="1915"/>
        <v>0</v>
      </c>
      <c r="DS963" s="1590"/>
      <c r="DT963" s="1590"/>
      <c r="DU963" s="1593"/>
      <c r="DV963" s="1593"/>
      <c r="DW963" s="1593"/>
      <c r="DX963" s="1590"/>
      <c r="DY963" s="1590"/>
      <c r="DZ963" s="1593"/>
      <c r="EA963" s="1593"/>
      <c r="EB963" s="1590"/>
      <c r="EC963" s="1590"/>
      <c r="ED963" s="1593"/>
      <c r="EE963" s="1593"/>
      <c r="EF963" s="1590"/>
      <c r="EG963" s="1590"/>
      <c r="EH963" s="1590"/>
      <c r="EI963" s="1590"/>
      <c r="EJ963" s="1590"/>
      <c r="EK963" s="1590"/>
      <c r="EL963" s="1590"/>
      <c r="EM963" s="1590"/>
      <c r="EN963" s="1590"/>
      <c r="EO963" s="1590"/>
      <c r="EP963" s="1590"/>
      <c r="JM963"/>
    </row>
    <row r="964" spans="1:273">
      <c r="AR964" s="685"/>
      <c r="AS964" s="685"/>
      <c r="AT964" s="730"/>
      <c r="AU964" s="730"/>
      <c r="AV964" s="685"/>
      <c r="AW964" s="685"/>
      <c r="AX964" s="730"/>
      <c r="AY964" s="730"/>
      <c r="AZ964" s="685"/>
      <c r="BA964" s="876"/>
      <c r="BD964" s="711"/>
      <c r="BE964" s="885"/>
      <c r="BF964" s="711"/>
      <c r="BH964" s="685"/>
      <c r="BI964" s="876"/>
      <c r="BL964" s="876"/>
      <c r="BM964" s="876"/>
      <c r="BP964" s="876"/>
      <c r="BQ964" s="876"/>
      <c r="BT964" s="876"/>
      <c r="BU964" s="876"/>
      <c r="BX964" s="876"/>
      <c r="BY964" s="876"/>
      <c r="CB964" s="876"/>
      <c r="CC964" s="876"/>
      <c r="CF964" s="876"/>
      <c r="CG964" s="876"/>
      <c r="CJ964" s="876"/>
      <c r="CK964" s="876"/>
      <c r="CN964" s="876"/>
      <c r="CO964" s="876"/>
      <c r="CR964" s="876"/>
      <c r="CS964" s="876"/>
      <c r="CV964" s="876"/>
      <c r="CW964" s="876"/>
      <c r="CZ964" s="876"/>
      <c r="DA964" s="876"/>
      <c r="DD964" s="876"/>
      <c r="DE964" s="876"/>
      <c r="DH964" s="876"/>
      <c r="DI964" s="876"/>
      <c r="DL964" s="876"/>
      <c r="DM964" s="876"/>
      <c r="DP964" s="876"/>
      <c r="DQ964" s="876"/>
      <c r="DU964" s="876"/>
      <c r="DV964" s="876"/>
      <c r="DW964" s="876"/>
      <c r="DZ964" s="876"/>
      <c r="EA964" s="876"/>
      <c r="ED964" s="876"/>
      <c r="EE964" s="876"/>
    </row>
    <row r="965" spans="1:273">
      <c r="A965" s="1639" t="s">
        <v>1348</v>
      </c>
      <c r="AR965" s="685"/>
      <c r="AS965" s="685"/>
      <c r="AT965" s="730"/>
      <c r="AU965" s="730"/>
      <c r="AV965" s="685"/>
      <c r="AW965" s="685"/>
      <c r="AX965" s="730"/>
      <c r="AY965" s="730"/>
      <c r="AZ965" s="685"/>
      <c r="BA965" s="876"/>
      <c r="BD965" s="711"/>
      <c r="BE965" s="885"/>
      <c r="BF965" s="711"/>
      <c r="BH965" s="685"/>
      <c r="BI965" s="876"/>
      <c r="BL965" s="876"/>
      <c r="BM965" s="876"/>
      <c r="BP965" s="876"/>
      <c r="BQ965" s="876"/>
      <c r="BT965" s="876"/>
      <c r="BU965" s="876"/>
      <c r="BX965" s="876"/>
      <c r="BY965" s="876"/>
      <c r="CB965" s="876"/>
      <c r="CC965" s="876"/>
      <c r="CF965" s="876"/>
      <c r="CG965" s="876"/>
      <c r="CJ965" s="876"/>
      <c r="CK965" s="876"/>
      <c r="CN965" s="876"/>
      <c r="CO965" s="876"/>
      <c r="CR965" s="876"/>
      <c r="CS965" s="876"/>
      <c r="CV965" s="588"/>
      <c r="CW965" s="1110"/>
      <c r="CX965" s="588"/>
      <c r="CZ965" s="588"/>
      <c r="DA965" s="876"/>
      <c r="DD965" s="588"/>
      <c r="DE965" s="876"/>
      <c r="DH965" s="588"/>
      <c r="DI965" s="876"/>
      <c r="DL965" s="588" t="s">
        <v>1351</v>
      </c>
      <c r="DM965" s="876"/>
      <c r="DP965" s="588" t="s">
        <v>1351</v>
      </c>
      <c r="DQ965" s="876"/>
      <c r="DU965" s="876"/>
      <c r="DV965" s="876"/>
      <c r="DW965" s="876"/>
      <c r="DZ965" s="876"/>
      <c r="EA965" s="876"/>
      <c r="ED965" s="876"/>
      <c r="EE965" s="876"/>
    </row>
    <row r="966" spans="1:273">
      <c r="A966" s="102" t="s">
        <v>686</v>
      </c>
      <c r="AR966" s="685"/>
      <c r="AS966" s="685"/>
      <c r="AT966" s="730"/>
      <c r="AU966" s="730"/>
      <c r="AV966" s="685"/>
      <c r="AW966" s="685"/>
      <c r="AX966" s="730"/>
      <c r="AY966" s="730"/>
      <c r="AZ966" s="685"/>
      <c r="BA966" s="876"/>
      <c r="BD966" s="711"/>
      <c r="BE966" s="885"/>
      <c r="BF966" s="711"/>
      <c r="BH966" s="685"/>
      <c r="BI966" s="876"/>
      <c r="BL966" s="876"/>
      <c r="BM966" s="876"/>
      <c r="BP966" s="876"/>
      <c r="BQ966" s="876"/>
      <c r="BT966" s="876"/>
      <c r="BU966" s="876"/>
      <c r="BX966" s="320">
        <f t="shared" ref="BX966:BZ968" si="1916">(BX955+BX944-BX685)/BX814</f>
        <v>0.65905096660808438</v>
      </c>
      <c r="BY966" s="320">
        <f t="shared" si="1916"/>
        <v>0.5447409733124019</v>
      </c>
      <c r="BZ966" s="320">
        <f t="shared" si="1916"/>
        <v>0.59867330016583753</v>
      </c>
      <c r="CB966" s="320">
        <f t="shared" ref="CB966:CD968" si="1917">(CB955+CB944-CB685)/CB814</f>
        <v>0.64487632508833925</v>
      </c>
      <c r="CC966" s="320">
        <f t="shared" si="1917"/>
        <v>0.41834451901565994</v>
      </c>
      <c r="CD966" s="320">
        <f t="shared" si="1917"/>
        <v>0.50616438356164384</v>
      </c>
      <c r="CE966" s="103"/>
      <c r="CF966" s="320">
        <f t="shared" ref="CF966:CH968" si="1918">(CF955+CF944-CF685)/CF814</f>
        <v>0.49266862170087977</v>
      </c>
      <c r="CG966" s="320">
        <f t="shared" si="1918"/>
        <v>0.31419105466593045</v>
      </c>
      <c r="CH966" s="320">
        <f t="shared" si="1918"/>
        <v>0.3786167960479887</v>
      </c>
      <c r="CI966" s="103"/>
      <c r="CJ966" s="320">
        <f t="shared" ref="CJ966:CL968" si="1919">(CJ955+CJ944-CJ685)/CJ814</f>
        <v>0.80582524271844658</v>
      </c>
      <c r="CK966" s="320">
        <f t="shared" si="1919"/>
        <v>0.6182873730043541</v>
      </c>
      <c r="CL966" s="320">
        <f t="shared" si="1919"/>
        <v>0.70290720828355235</v>
      </c>
      <c r="CM966" s="103"/>
      <c r="CN966" s="320">
        <f t="shared" ref="CN966:CP968" si="1920">(CN955+CN944-CN685)/CN814</f>
        <v>1.3289902280130292</v>
      </c>
      <c r="CO966" s="320">
        <f t="shared" si="1920"/>
        <v>0.48837209302325579</v>
      </c>
      <c r="CP966" s="649">
        <f t="shared" si="1920"/>
        <v>0.71797153024911031</v>
      </c>
      <c r="CQ966" s="103"/>
      <c r="CR966" s="320">
        <f t="shared" ref="CR966:CT968" si="1921">(CR955+CR944-CR685)/CR814</f>
        <v>0.43795620437956206</v>
      </c>
      <c r="CS966" s="320">
        <f t="shared" si="1921"/>
        <v>0.40119760479041916</v>
      </c>
      <c r="CT966" s="649">
        <f t="shared" si="1921"/>
        <v>0.41776315789473684</v>
      </c>
      <c r="CV966" s="320">
        <f t="shared" ref="CV966:CX966" si="1922">(CV955+CV944-CV685)/CV814</f>
        <v>0.55244755244755239</v>
      </c>
      <c r="CW966" s="320">
        <f t="shared" si="1922"/>
        <v>0.79255319148936165</v>
      </c>
      <c r="CX966" s="649">
        <f t="shared" si="1922"/>
        <v>0.65379434216434662</v>
      </c>
      <c r="CZ966" s="320">
        <f t="shared" ref="CZ966:DB966" si="1923">(CZ955+CZ944-CZ685)/CZ814</f>
        <v>0.64590163934426226</v>
      </c>
      <c r="DA966" s="320">
        <f t="shared" si="1923"/>
        <v>0.53879310344827591</v>
      </c>
      <c r="DB966" s="649">
        <f t="shared" si="1923"/>
        <v>0.5888208269525268</v>
      </c>
      <c r="DD966" s="320">
        <f t="shared" ref="DD966:DF966" si="1924">(DD955+DD944-DD685)/DD814</f>
        <v>0.67336244541484713</v>
      </c>
      <c r="DE966" s="320">
        <f t="shared" si="1924"/>
        <v>0.54454119223040853</v>
      </c>
      <c r="DF966" s="649">
        <f t="shared" si="1924"/>
        <v>0.60045489006823349</v>
      </c>
      <c r="DG966" s="102"/>
      <c r="DH966" s="320">
        <f t="shared" ref="DH966" si="1925">(DH955+DH944-DH685)/DH814</f>
        <v>0.51737967914438499</v>
      </c>
      <c r="DI966" s="1016">
        <v>0.55000000000000004</v>
      </c>
      <c r="DJ966" s="649">
        <f>+(DH966*DH814+DI966*DI814)/DJ814</f>
        <v>0.53458320959884753</v>
      </c>
      <c r="DK966" s="102"/>
      <c r="DL966" s="1016">
        <v>0.55000000000000004</v>
      </c>
      <c r="DM966" s="1016">
        <v>0.55000000000000004</v>
      </c>
      <c r="DN966" s="649">
        <f>+(DL966*DL814+DM966*DM814)/DN814</f>
        <v>0.55000000000000004</v>
      </c>
      <c r="DP966" s="1016">
        <v>0.55000000000000004</v>
      </c>
      <c r="DQ966" s="1016">
        <v>0.55000000000000004</v>
      </c>
      <c r="DR966" s="649">
        <f>+(DP966*DP814+DQ966*DQ814)/DR814</f>
        <v>0.55000000000000016</v>
      </c>
      <c r="DU966" s="876"/>
      <c r="DV966" s="876"/>
      <c r="DW966" s="876"/>
      <c r="DZ966" s="876"/>
      <c r="EA966" s="876"/>
      <c r="ED966" s="876"/>
      <c r="EE966" s="876"/>
    </row>
    <row r="967" spans="1:273">
      <c r="A967" s="102" t="s">
        <v>1306</v>
      </c>
      <c r="AR967" s="685"/>
      <c r="AS967" s="685"/>
      <c r="AT967" s="730"/>
      <c r="AU967" s="730"/>
      <c r="AV967" s="685"/>
      <c r="AW967" s="685"/>
      <c r="AX967" s="730"/>
      <c r="AY967" s="730"/>
      <c r="AZ967" s="685"/>
      <c r="BA967" s="876"/>
      <c r="BD967" s="711"/>
      <c r="BE967" s="885"/>
      <c r="BF967" s="711"/>
      <c r="BH967" s="685"/>
      <c r="BI967" s="876"/>
      <c r="BL967" s="876"/>
      <c r="BM967" s="876"/>
      <c r="BP967" s="876"/>
      <c r="BQ967" s="876"/>
      <c r="BT967" s="876"/>
      <c r="BU967" s="876"/>
      <c r="BX967" s="320">
        <f t="shared" si="1916"/>
        <v>0.37581937363437729</v>
      </c>
      <c r="BY967" s="320">
        <f t="shared" si="1916"/>
        <v>0.44235486508585448</v>
      </c>
      <c r="BZ967" s="320">
        <f t="shared" si="1916"/>
        <v>0.40716486902927579</v>
      </c>
      <c r="CB967" s="320">
        <f t="shared" si="1917"/>
        <v>0.29698089956869994</v>
      </c>
      <c r="CC967" s="320">
        <f t="shared" si="1917"/>
        <v>0.55484558040468579</v>
      </c>
      <c r="CD967" s="320">
        <f t="shared" si="1917"/>
        <v>0.39149102263856361</v>
      </c>
      <c r="CE967" s="103"/>
      <c r="CF967" s="320">
        <f t="shared" si="1918"/>
        <v>0.44524119947848761</v>
      </c>
      <c r="CG967" s="320">
        <f t="shared" si="1918"/>
        <v>0.42944785276073622</v>
      </c>
      <c r="CH967" s="320">
        <f t="shared" si="1918"/>
        <v>0.4367297865945296</v>
      </c>
      <c r="CI967" s="103"/>
      <c r="CJ967" s="320">
        <f t="shared" si="1919"/>
        <v>0.40180947312400211</v>
      </c>
      <c r="CK967" s="320">
        <f t="shared" si="1919"/>
        <v>0.43119266055045874</v>
      </c>
      <c r="CL967" s="320">
        <f t="shared" si="1919"/>
        <v>0.41639871382636656</v>
      </c>
      <c r="CM967" s="103"/>
      <c r="CN967" s="320">
        <f t="shared" si="1920"/>
        <v>0.40301844605925097</v>
      </c>
      <c r="CO967" s="320">
        <f t="shared" si="1920"/>
        <v>0.42662889518413599</v>
      </c>
      <c r="CP967" s="649">
        <f t="shared" si="1920"/>
        <v>0.41474395047833429</v>
      </c>
      <c r="CQ967" s="103"/>
      <c r="CR967" s="320">
        <f t="shared" si="1921"/>
        <v>0.54001684919966297</v>
      </c>
      <c r="CS967" s="320">
        <f t="shared" si="1921"/>
        <v>0.41090466037161133</v>
      </c>
      <c r="CT967" s="649">
        <f t="shared" si="1921"/>
        <v>0.46508750220965178</v>
      </c>
      <c r="CV967" s="320">
        <f t="shared" ref="CV967:CX967" si="1926">(CV956+CV945-CV686)/CV815</f>
        <v>0.45950095969289828</v>
      </c>
      <c r="CW967" s="320">
        <f t="shared" si="1926"/>
        <v>0.59590792838874684</v>
      </c>
      <c r="CX967" s="649">
        <f t="shared" si="1926"/>
        <v>0.52413653807311655</v>
      </c>
      <c r="CZ967" s="320">
        <f t="shared" ref="CZ967:DB967" si="1927">(CZ956+CZ945-CZ686)/CZ815</f>
        <v>0.76786769049025394</v>
      </c>
      <c r="DA967" s="320">
        <f t="shared" si="1927"/>
        <v>0.61086851043182921</v>
      </c>
      <c r="DB967" s="649">
        <f t="shared" si="1927"/>
        <v>0.68167288225892386</v>
      </c>
      <c r="DD967" s="320">
        <f t="shared" ref="DD967:DF967" si="1928">(DD956+DD945-DD686)/DD815</f>
        <v>0.59598432908912835</v>
      </c>
      <c r="DE967" s="320">
        <f t="shared" si="1928"/>
        <v>0.50941915227629508</v>
      </c>
      <c r="DF967" s="649">
        <f t="shared" si="1928"/>
        <v>0.54793028322440085</v>
      </c>
      <c r="DG967" s="102"/>
      <c r="DH967" s="320">
        <f t="shared" ref="DH967" si="1929">(DH956+DH945-DH686)/DH815</f>
        <v>0.50146627565982405</v>
      </c>
      <c r="DI967" s="1016">
        <v>0.41</v>
      </c>
      <c r="DJ967" s="649">
        <f>+(DH967*DH815+DI967*DI815)/DJ815</f>
        <v>0.45351712732448962</v>
      </c>
      <c r="DK967" s="102"/>
      <c r="DL967" s="1016">
        <v>0.41</v>
      </c>
      <c r="DM967" s="1016">
        <v>0.41</v>
      </c>
      <c r="DN967" s="649">
        <f>+(DL967*DL815+DM967*DM815)/DN815</f>
        <v>0.41000000000000003</v>
      </c>
      <c r="DP967" s="1016">
        <v>0.41</v>
      </c>
      <c r="DQ967" s="1016">
        <v>0.41</v>
      </c>
      <c r="DR967" s="649">
        <f>+(DP967*DP815+DQ967*DQ815)/DR815</f>
        <v>0.41</v>
      </c>
      <c r="DU967" s="876"/>
      <c r="DV967" s="876"/>
      <c r="DW967" s="876"/>
      <c r="DZ967" s="876"/>
      <c r="EA967" s="876"/>
      <c r="ED967" s="876"/>
      <c r="EE967" s="876"/>
    </row>
    <row r="968" spans="1:273">
      <c r="A968" s="102" t="s">
        <v>1024</v>
      </c>
      <c r="AR968" s="685"/>
      <c r="AS968" s="685"/>
      <c r="AT968" s="730"/>
      <c r="AU968" s="730"/>
      <c r="AV968" s="685"/>
      <c r="AW968" s="685"/>
      <c r="AX968" s="730"/>
      <c r="AY968" s="730"/>
      <c r="AZ968" s="685"/>
      <c r="BA968" s="876"/>
      <c r="BD968" s="711"/>
      <c r="BE968" s="885"/>
      <c r="BF968" s="711"/>
      <c r="BH968" s="685"/>
      <c r="BI968" s="876"/>
      <c r="BL968" s="876"/>
      <c r="BM968" s="876"/>
      <c r="BP968" s="876"/>
      <c r="BQ968" s="876"/>
      <c r="BT968" s="876"/>
      <c r="BU968" s="876"/>
      <c r="BX968" s="320">
        <f t="shared" si="1916"/>
        <v>0.66936026936026938</v>
      </c>
      <c r="BY968" s="320">
        <f t="shared" si="1916"/>
        <v>0.6712235133287765</v>
      </c>
      <c r="BZ968" s="320">
        <f t="shared" si="1916"/>
        <v>0.67028493894165531</v>
      </c>
      <c r="CB968" s="320">
        <f t="shared" si="1917"/>
        <v>0.7138531415594247</v>
      </c>
      <c r="CC968" s="320">
        <f t="shared" si="1917"/>
        <v>0.66456494325346782</v>
      </c>
      <c r="CD968" s="320">
        <f t="shared" si="1917"/>
        <v>0.68696250429996564</v>
      </c>
      <c r="CE968" s="103"/>
      <c r="CF968" s="320">
        <f t="shared" si="1918"/>
        <v>0.59786145978614602</v>
      </c>
      <c r="CG968" s="320">
        <f t="shared" si="1918"/>
        <v>0.61454226894437147</v>
      </c>
      <c r="CH968" s="320">
        <f t="shared" si="1918"/>
        <v>0.60645015787099688</v>
      </c>
      <c r="CI968" s="103"/>
      <c r="CJ968" s="320">
        <f t="shared" si="1919"/>
        <v>0.47173308619091753</v>
      </c>
      <c r="CK968" s="320">
        <f t="shared" si="1919"/>
        <v>0.64447086801426878</v>
      </c>
      <c r="CL968" s="320">
        <f t="shared" si="1919"/>
        <v>0.5473958333333333</v>
      </c>
      <c r="CM968" s="103"/>
      <c r="CN968" s="320">
        <f t="shared" si="1920"/>
        <v>0.49201877934272298</v>
      </c>
      <c r="CO968" s="320">
        <f t="shared" si="1920"/>
        <v>0.40384615384615385</v>
      </c>
      <c r="CP968" s="649">
        <f t="shared" si="1920"/>
        <v>0.4439931594698589</v>
      </c>
      <c r="CQ968" s="103"/>
      <c r="CR968" s="320">
        <f t="shared" si="1921"/>
        <v>0.37558685446009388</v>
      </c>
      <c r="CS968" s="320">
        <f t="shared" si="1921"/>
        <v>0.36011730205278591</v>
      </c>
      <c r="CT968" s="649">
        <f t="shared" si="1921"/>
        <v>0.36704968441495389</v>
      </c>
      <c r="CV968" s="320">
        <f t="shared" ref="CV968:CX968" si="1930">(CV957+CV946-CV687)/CV816</f>
        <v>0.38376041988267984</v>
      </c>
      <c r="CW968" s="320">
        <f t="shared" si="1930"/>
        <v>0.26779846659364731</v>
      </c>
      <c r="CX968" s="649">
        <f t="shared" si="1930"/>
        <v>0.3108867729723529</v>
      </c>
      <c r="CZ968" s="320">
        <f t="shared" ref="CZ968:DB968" si="1931">(CZ957+CZ946-CZ687)/CZ816</f>
        <v>0.52748378286104469</v>
      </c>
      <c r="DA968" s="320">
        <f t="shared" si="1931"/>
        <v>0.46065428824049515</v>
      </c>
      <c r="DB968" s="649">
        <f t="shared" si="1931"/>
        <v>0.4916165770325846</v>
      </c>
      <c r="DD968" s="320">
        <f t="shared" ref="DD968:DF968" si="1932">(DD957+DD946-DD687)/DD816</f>
        <v>0.54526606772633035</v>
      </c>
      <c r="DE968" s="320">
        <f t="shared" si="1932"/>
        <v>0.51600512163892442</v>
      </c>
      <c r="DF968" s="649">
        <f t="shared" si="1932"/>
        <v>0.53007643735460286</v>
      </c>
      <c r="DG968" s="102"/>
      <c r="DH968" s="320">
        <f t="shared" ref="DH968" si="1933">(DH957+DH946-DH687)/DH816</f>
        <v>0.61429066944155397</v>
      </c>
      <c r="DI968" s="1016">
        <v>0.39</v>
      </c>
      <c r="DJ968" s="649">
        <f>+(DH968*DH816+DI968*DI816)/DJ816</f>
        <v>0.48980413613850304</v>
      </c>
      <c r="DK968" s="102"/>
      <c r="DL968" s="1016">
        <v>0.39</v>
      </c>
      <c r="DM968" s="1016">
        <v>0.39</v>
      </c>
      <c r="DN968" s="649">
        <f>+(DL968*DL816+DM968*DM816)/DN816</f>
        <v>0.38999999999999996</v>
      </c>
      <c r="DP968" s="1016">
        <v>0.39</v>
      </c>
      <c r="DQ968" s="1016">
        <v>0.39</v>
      </c>
      <c r="DR968" s="649">
        <f>+(DP968*DP816+DQ968*DQ816)/DR816</f>
        <v>0.39000000000000007</v>
      </c>
      <c r="DU968" s="876"/>
      <c r="DV968" s="876"/>
      <c r="DW968" s="876"/>
      <c r="DZ968" s="876"/>
      <c r="EA968" s="876"/>
      <c r="ED968" s="876"/>
      <c r="EE968" s="876"/>
    </row>
    <row r="969" spans="1:273">
      <c r="A969" s="102" t="s">
        <v>690</v>
      </c>
      <c r="AR969" s="685"/>
      <c r="AS969" s="685"/>
      <c r="AT969" s="730"/>
      <c r="AU969" s="730"/>
      <c r="AV969" s="685"/>
      <c r="AW969" s="685"/>
      <c r="AX969" s="730"/>
      <c r="AY969" s="730"/>
      <c r="AZ969" s="685"/>
      <c r="BA969" s="876"/>
      <c r="BD969" s="711"/>
      <c r="BE969" s="885"/>
      <c r="BF969" s="711"/>
      <c r="BH969" s="685"/>
      <c r="BI969" s="876"/>
      <c r="BL969" s="876"/>
      <c r="BM969" s="876"/>
      <c r="BP969" s="876"/>
      <c r="BQ969" s="876"/>
      <c r="BT969" s="876"/>
      <c r="BU969" s="876"/>
      <c r="BX969" s="320"/>
      <c r="BY969" s="320"/>
      <c r="BZ969" s="320"/>
      <c r="CB969" s="320"/>
      <c r="CC969" s="320"/>
      <c r="CD969" s="320"/>
      <c r="CE969" s="103"/>
      <c r="CF969" s="320"/>
      <c r="CG969" s="320"/>
      <c r="CH969" s="320"/>
      <c r="CI969" s="103"/>
      <c r="CJ969" s="320"/>
      <c r="CK969" s="320"/>
      <c r="CL969" s="320"/>
      <c r="CM969" s="103"/>
      <c r="CN969" s="320"/>
      <c r="CO969" s="320"/>
      <c r="CP969" s="649"/>
      <c r="CQ969" s="103"/>
      <c r="CR969" s="320"/>
      <c r="CS969" s="320"/>
      <c r="CT969" s="649"/>
      <c r="CV969" s="320"/>
      <c r="CW969" s="320"/>
      <c r="CX969" s="649"/>
      <c r="CZ969" s="320"/>
      <c r="DA969" s="320"/>
      <c r="DB969" s="649"/>
      <c r="DD969" s="320"/>
      <c r="DE969" s="320"/>
      <c r="DF969" s="649"/>
      <c r="DG969" s="102"/>
      <c r="DH969" s="320"/>
      <c r="DI969" s="876"/>
      <c r="DJ969" s="290"/>
      <c r="DK969" s="102"/>
      <c r="DL969" s="876"/>
      <c r="DM969" s="876"/>
      <c r="DN969" s="290"/>
      <c r="DP969" s="876"/>
      <c r="DQ969" s="876"/>
      <c r="DR969" s="290"/>
      <c r="DU969" s="876"/>
      <c r="DV969" s="876"/>
      <c r="DW969" s="876"/>
      <c r="DZ969" s="876"/>
      <c r="EA969" s="876"/>
      <c r="ED969" s="876"/>
      <c r="EE969" s="876"/>
    </row>
    <row r="970" spans="1:273">
      <c r="A970" s="102" t="s">
        <v>689</v>
      </c>
      <c r="AR970" s="685"/>
      <c r="AS970" s="685"/>
      <c r="AT970" s="730"/>
      <c r="AU970" s="730"/>
      <c r="AV970" s="685"/>
      <c r="AW970" s="685"/>
      <c r="AX970" s="730"/>
      <c r="AY970" s="730"/>
      <c r="AZ970" s="685"/>
      <c r="BA970" s="876"/>
      <c r="BD970" s="711"/>
      <c r="BE970" s="885"/>
      <c r="BF970" s="711"/>
      <c r="BH970" s="685"/>
      <c r="BI970" s="876"/>
      <c r="BL970" s="876"/>
      <c r="BM970" s="876"/>
      <c r="BP970" s="876"/>
      <c r="BQ970" s="876"/>
      <c r="BT970" s="876"/>
      <c r="BU970" s="876"/>
      <c r="BX970" s="320">
        <f>(BX959+BX948-BX689)/BX818</f>
        <v>0.70307167235494883</v>
      </c>
      <c r="BY970" s="320">
        <f>(BY959+BY948-BY689)/BY818</f>
        <v>0.67230169050715216</v>
      </c>
      <c r="BZ970" s="320">
        <f>(BZ959+BZ948-BZ689)/BZ818</f>
        <v>0.68871359223300976</v>
      </c>
      <c r="CB970" s="320">
        <f>(CB959+CB948-CB689)/CB818</f>
        <v>0.62820512820512819</v>
      </c>
      <c r="CC970" s="320">
        <f>(CC959+CC948-CC689)/CC818</f>
        <v>0.64426877470355737</v>
      </c>
      <c r="CD970" s="320">
        <f>(CD959+CD948-CD689)/CD818</f>
        <v>0.63622902270483717</v>
      </c>
      <c r="CE970" s="103"/>
      <c r="CF970" s="320">
        <f>(CF959+CF948-CF689)/CF818</f>
        <v>0.64034253092293059</v>
      </c>
      <c r="CG970" s="320">
        <f>(CG959+CG948-CG689)/CG818</f>
        <v>0.64068441064638781</v>
      </c>
      <c r="CH970" s="320">
        <f>(CH959+CH948-CH689)/CH818</f>
        <v>0.6405135520684736</v>
      </c>
      <c r="CI970" s="103"/>
      <c r="CJ970" s="320">
        <f>(CJ959+CJ948-CJ689)/CJ818</f>
        <v>0.62291870714985309</v>
      </c>
      <c r="CK970" s="320">
        <f>(CK959+CK948-CK689)/CK818</f>
        <v>0.62106299212598426</v>
      </c>
      <c r="CL970" s="320">
        <f>(CL959+CL948-CL689)/CL818</f>
        <v>0.62199312714776633</v>
      </c>
      <c r="CM970" s="103"/>
      <c r="CN970" s="320">
        <f>(CN959+CN948-CN689)/CN818</f>
        <v>0.67817258883248732</v>
      </c>
      <c r="CO970" s="320">
        <f>(CO959+CO948-CO689)/CO818</f>
        <v>0.58462946020128093</v>
      </c>
      <c r="CP970" s="649">
        <f>(CP959+CP948-CP689)/CP818</f>
        <v>0.62897016361886426</v>
      </c>
      <c r="CQ970" s="103"/>
      <c r="CR970" s="320">
        <f>(CR959+CR948-CR689)/CR818</f>
        <v>0.58555460017196903</v>
      </c>
      <c r="CS970" s="320">
        <f>(CS959+CS948-CS689)/CS818</f>
        <v>0.60015408320493069</v>
      </c>
      <c r="CT970" s="649">
        <f>(CT959+CT948-CT689)/CT818</f>
        <v>0.59325477448191788</v>
      </c>
      <c r="CV970" s="320">
        <f>(CV959+CV948-CV689)/CV818</f>
        <v>0.59241040056219252</v>
      </c>
      <c r="CW970" s="320">
        <f>(CW959+CW948-CW689)/CW818</f>
        <v>0.59661678594664935</v>
      </c>
      <c r="CX970" s="649">
        <f>(CX959+CX948-CX689)/CX818</f>
        <v>0.59459459459459463</v>
      </c>
      <c r="CZ970" s="320">
        <f>(CZ959+CZ948-CZ689)/CZ818</f>
        <v>0.60348042262274704</v>
      </c>
      <c r="DA970" s="320">
        <f>(DA959+DA948-DA689)/DA818</f>
        <v>0.62312500000000004</v>
      </c>
      <c r="DB970" s="649">
        <f>(DB959+DB948-DB689)/DB818</f>
        <v>0.61327516360236833</v>
      </c>
      <c r="DD970" s="320">
        <f>(DD959+DD948-DD689)/DD818</f>
        <v>0.5901639344262295</v>
      </c>
      <c r="DE970" s="320">
        <f>(DE959+DE948-DE689)/DE818</f>
        <v>0.55784373107207752</v>
      </c>
      <c r="DF970" s="649">
        <f>(DF959+DF948-DF689)/DF818</f>
        <v>0.57367933271547733</v>
      </c>
      <c r="DG970" s="102"/>
      <c r="DH970" s="320">
        <f>(DH959+DH948-DH689)/DH818</f>
        <v>0.54891922639362911</v>
      </c>
      <c r="DI970" s="1016">
        <v>0.54</v>
      </c>
      <c r="DJ970" s="649">
        <f>+(DH970*DH818+DI970*DI818)/DJ818</f>
        <v>0.54444650355761526</v>
      </c>
      <c r="DK970" s="102"/>
      <c r="DL970" s="1016">
        <v>0.54</v>
      </c>
      <c r="DM970" s="1016">
        <v>0.54</v>
      </c>
      <c r="DN970" s="649">
        <f>+(DL970*DL818+DM970*DM818)/DN818</f>
        <v>0.54</v>
      </c>
      <c r="DP970" s="1016">
        <v>0.54</v>
      </c>
      <c r="DQ970" s="1016">
        <v>0.54</v>
      </c>
      <c r="DR970" s="649">
        <f>+(DP970*DP818+DQ970*DQ818)/DR818</f>
        <v>0.54</v>
      </c>
      <c r="DU970" s="876"/>
      <c r="DV970" s="876"/>
      <c r="DW970" s="876"/>
      <c r="DZ970" s="876"/>
      <c r="EA970" s="876"/>
      <c r="ED970" s="876"/>
      <c r="EE970" s="876"/>
    </row>
    <row r="971" spans="1:273">
      <c r="A971" s="102" t="s">
        <v>688</v>
      </c>
      <c r="AR971" s="685"/>
      <c r="AS971" s="685"/>
      <c r="AT971" s="730"/>
      <c r="AU971" s="730"/>
      <c r="AV971" s="685"/>
      <c r="AW971" s="685"/>
      <c r="AX971" s="730"/>
      <c r="AY971" s="730"/>
      <c r="AZ971" s="685"/>
      <c r="BA971" s="876"/>
      <c r="BD971" s="711"/>
      <c r="BE971" s="885"/>
      <c r="BF971" s="711"/>
      <c r="BH971" s="685"/>
      <c r="BI971" s="876"/>
      <c r="BL971" s="876"/>
      <c r="BM971" s="876"/>
      <c r="BP971" s="876"/>
      <c r="BQ971" s="876"/>
      <c r="BT971" s="876"/>
      <c r="BU971" s="876"/>
      <c r="BX971" s="320"/>
      <c r="BY971" s="320"/>
      <c r="BZ971" s="320"/>
      <c r="CB971" s="320"/>
      <c r="CC971" s="320"/>
      <c r="CD971" s="320"/>
      <c r="CE971" s="103"/>
      <c r="CF971" s="320"/>
      <c r="CG971" s="320"/>
      <c r="CH971" s="320"/>
      <c r="CI971" s="103"/>
      <c r="CJ971" s="320"/>
      <c r="CK971" s="320"/>
      <c r="CL971" s="320"/>
      <c r="CM971" s="103"/>
      <c r="CN971" s="320"/>
      <c r="CO971" s="320"/>
      <c r="CP971" s="649"/>
      <c r="CQ971" s="103"/>
      <c r="CR971" s="320"/>
      <c r="CS971" s="320"/>
      <c r="CT971" s="649"/>
      <c r="CV971" s="320"/>
      <c r="CW971" s="320"/>
      <c r="CX971" s="649"/>
      <c r="CZ971" s="320"/>
      <c r="DA971" s="876"/>
      <c r="DD971" s="320"/>
      <c r="DE971" s="876"/>
      <c r="DH971" s="320"/>
      <c r="DI971" s="876"/>
      <c r="DL971" s="876"/>
      <c r="DM971" s="876"/>
      <c r="DP971" s="876"/>
      <c r="DQ971" s="876"/>
      <c r="DU971" s="876"/>
      <c r="DV971" s="876"/>
      <c r="DW971" s="876"/>
      <c r="DZ971" s="876"/>
      <c r="EA971" s="876"/>
      <c r="ED971" s="876"/>
      <c r="EE971" s="876"/>
    </row>
    <row r="972" spans="1:273" s="1682" customFormat="1" ht="24">
      <c r="A972" s="1710" t="s">
        <v>1313</v>
      </c>
      <c r="B972" s="1681"/>
      <c r="AN972" s="1681"/>
      <c r="AO972" s="1681"/>
      <c r="AP972" s="1681"/>
      <c r="AQ972" s="1681"/>
      <c r="AR972" s="1683"/>
      <c r="AS972" s="1683"/>
      <c r="AT972" s="1681"/>
      <c r="AU972" s="1681"/>
      <c r="AV972" s="1683"/>
      <c r="AW972" s="1683"/>
      <c r="AX972" s="1681"/>
      <c r="AY972" s="1681"/>
      <c r="AZ972" s="1683"/>
      <c r="BA972" s="1683"/>
      <c r="BB972" s="1681"/>
      <c r="BC972" s="1681"/>
      <c r="BD972" s="1684"/>
      <c r="BE972" s="1684"/>
      <c r="BF972" s="1684"/>
      <c r="BG972" s="1681"/>
      <c r="BH972" s="1683"/>
      <c r="BI972" s="1683"/>
      <c r="BJ972" s="1681"/>
      <c r="BK972" s="1681"/>
      <c r="BL972" s="1683"/>
      <c r="BM972" s="1683"/>
      <c r="BN972" s="1681"/>
      <c r="BO972" s="1681"/>
      <c r="BP972" s="1683"/>
      <c r="BQ972" s="1683"/>
      <c r="BR972" s="1681"/>
      <c r="BS972" s="1681"/>
      <c r="BT972" s="1683"/>
      <c r="BU972" s="1683"/>
      <c r="BV972" s="1681"/>
      <c r="BW972" s="1681"/>
      <c r="BX972" s="320">
        <f t="shared" ref="BX972:BZ973" si="1934">(BX961+BX950-BX691)/BX820</f>
        <v>11.883116883116884</v>
      </c>
      <c r="BY972" s="320">
        <f t="shared" si="1934"/>
        <v>14.155172413793103</v>
      </c>
      <c r="BZ972" s="320">
        <f t="shared" si="1934"/>
        <v>12.859259259259259</v>
      </c>
      <c r="CA972" s="1681"/>
      <c r="CB972" s="320">
        <f t="shared" ref="CB972:CD973" si="1935">(CB961+CB950-CB691)/CB820</f>
        <v>88.090909090909093</v>
      </c>
      <c r="CC972" s="320">
        <f t="shared" si="1935"/>
        <v>4.5271739130434785</v>
      </c>
      <c r="CD972" s="320">
        <f t="shared" si="1935"/>
        <v>9.2410256410256402</v>
      </c>
      <c r="CE972" s="1681"/>
      <c r="CF972" s="320">
        <f t="shared" ref="CF972:CH973" si="1936">(CF961+CF950-CF691)/CF820</f>
        <v>13.788732394366198</v>
      </c>
      <c r="CG972" s="320">
        <f t="shared" si="1936"/>
        <v>-89.733333333333334</v>
      </c>
      <c r="CH972" s="320">
        <f t="shared" si="1936"/>
        <v>41.517857142857146</v>
      </c>
      <c r="CI972" s="1681"/>
      <c r="CJ972" s="320">
        <f t="shared" ref="CJ972:CL973" si="1937">(CJ961+CJ950-CJ691)/CJ820</f>
        <v>8.9767441860465116</v>
      </c>
      <c r="CK972" s="320">
        <f t="shared" si="1937"/>
        <v>13.486842105263158</v>
      </c>
      <c r="CL972" s="320">
        <f t="shared" si="1937"/>
        <v>10.648780487804878</v>
      </c>
      <c r="CM972" s="1681"/>
      <c r="CN972" s="320">
        <f t="shared" ref="CN972:CP973" si="1938">(CN961+CN950-CN691)/CN820</f>
        <v>1013</v>
      </c>
      <c r="CO972" s="320">
        <f t="shared" si="1938"/>
        <v>6.4279069767441861</v>
      </c>
      <c r="CP972" s="649">
        <f t="shared" si="1938"/>
        <v>11.087962962962964</v>
      </c>
      <c r="CQ972" s="1681"/>
      <c r="CR972" s="320">
        <f t="shared" ref="CR972:CT973" si="1939">(CR961+CR950-CR691)/CR820</f>
        <v>11.453125</v>
      </c>
      <c r="CS972" s="320">
        <f t="shared" si="1939"/>
        <v>-11.98581560283688</v>
      </c>
      <c r="CT972" s="649">
        <f t="shared" si="1939"/>
        <v>-242.76923076923077</v>
      </c>
      <c r="CU972" s="320"/>
      <c r="CV972" s="320">
        <f t="shared" ref="CV972:CX972" si="1940">(CV961+CV950-CV691)/CV820</f>
        <v>22.885714285714286</v>
      </c>
      <c r="CW972" s="320">
        <f t="shared" si="1940"/>
        <v>10.192893401015228</v>
      </c>
      <c r="CX972" s="649">
        <f t="shared" si="1940"/>
        <v>13.52059925093633</v>
      </c>
      <c r="CY972" s="325"/>
      <c r="CZ972" s="320">
        <f t="shared" ref="CZ972:DB972" si="1941">(CZ961+CZ950-CZ691)/CZ820</f>
        <v>2.8649237472766886</v>
      </c>
      <c r="DA972" s="320">
        <f t="shared" si="1941"/>
        <v>2.9623352165725048</v>
      </c>
      <c r="DB972" s="649">
        <f t="shared" si="1941"/>
        <v>2.9171717171717173</v>
      </c>
      <c r="DC972" s="325"/>
      <c r="DD972" s="320">
        <f t="shared" ref="DD972:DF972" si="1942">(DD961+DD950-DD691)/DD820</f>
        <v>2.5810564663023681</v>
      </c>
      <c r="DE972" s="320">
        <f t="shared" si="1942"/>
        <v>8.9602272727272734</v>
      </c>
      <c r="DF972" s="649">
        <f t="shared" si="1942"/>
        <v>4.1296551724137931</v>
      </c>
      <c r="DG972" s="1681"/>
      <c r="DH972" s="320">
        <f t="shared" ref="DH972" si="1943">(DH961+DH950-DH691)/DH820</f>
        <v>9.1736526946107784</v>
      </c>
      <c r="DI972" s="325"/>
      <c r="DJ972" s="325"/>
      <c r="DK972" s="1681"/>
      <c r="DL972" s="325"/>
      <c r="DM972" s="325"/>
      <c r="DN972" s="325"/>
      <c r="DO972" s="1681"/>
      <c r="DP972" s="325"/>
      <c r="DQ972" s="325"/>
      <c r="DR972" s="325"/>
      <c r="DS972" s="1681"/>
      <c r="DT972" s="1681"/>
      <c r="DU972" s="1683"/>
      <c r="DV972" s="1683"/>
      <c r="DW972" s="1683"/>
      <c r="DX972" s="1681"/>
      <c r="DY972" s="1681"/>
      <c r="DZ972" s="1683"/>
      <c r="EA972" s="1683"/>
      <c r="EB972" s="1681"/>
      <c r="EC972" s="1681"/>
      <c r="ED972" s="1683"/>
      <c r="EE972" s="1683"/>
      <c r="EF972" s="1681"/>
      <c r="EG972" s="1681"/>
      <c r="EH972" s="1681"/>
      <c r="EI972" s="1681"/>
      <c r="EJ972" s="1681"/>
      <c r="EK972" s="1681"/>
      <c r="EL972" s="1681"/>
      <c r="EM972" s="1681"/>
      <c r="EN972" s="1681"/>
      <c r="EO972" s="1681"/>
      <c r="EP972" s="1681"/>
      <c r="JM972"/>
    </row>
    <row r="973" spans="1:273">
      <c r="A973" s="289" t="s">
        <v>696</v>
      </c>
      <c r="AR973" s="685"/>
      <c r="AS973" s="685"/>
      <c r="AT973" s="730"/>
      <c r="AU973" s="730"/>
      <c r="AV973" s="685"/>
      <c r="AW973" s="685"/>
      <c r="AX973" s="730"/>
      <c r="AY973" s="730"/>
      <c r="AZ973" s="685"/>
      <c r="BA973" s="876"/>
      <c r="BD973" s="711"/>
      <c r="BE973" s="885"/>
      <c r="BF973" s="711"/>
      <c r="BH973" s="685"/>
      <c r="BI973" s="876"/>
      <c r="BL973" s="876"/>
      <c r="BM973" s="876"/>
      <c r="BP973" s="876"/>
      <c r="BQ973" s="876"/>
      <c r="BT973" s="649"/>
      <c r="BU973" s="649"/>
      <c r="BV973" s="649"/>
      <c r="BX973" s="649">
        <f t="shared" si="1934"/>
        <v>0.71540820237638947</v>
      </c>
      <c r="BY973" s="649">
        <f t="shared" si="1934"/>
        <v>0.68538670812281388</v>
      </c>
      <c r="BZ973" s="649">
        <f t="shared" si="1934"/>
        <v>0.70050173678116556</v>
      </c>
      <c r="CA973" s="685"/>
      <c r="CB973" s="649">
        <f t="shared" si="1935"/>
        <v>0.68426903835464148</v>
      </c>
      <c r="CC973" s="649">
        <f t="shared" si="1935"/>
        <v>0.68133260908926307</v>
      </c>
      <c r="CD973" s="649">
        <f t="shared" si="1935"/>
        <v>0.6827838827838828</v>
      </c>
      <c r="CE973" s="685">
        <f t="shared" ref="CE973:CE974" si="1944">+CD973-BZ973</f>
        <v>-1.7717853997282762E-2</v>
      </c>
      <c r="CF973" s="649">
        <f t="shared" si="1936"/>
        <v>0.70754716981132071</v>
      </c>
      <c r="CG973" s="649">
        <f t="shared" si="1936"/>
        <v>0.68775274407856735</v>
      </c>
      <c r="CH973" s="649">
        <f t="shared" si="1936"/>
        <v>0.6968010036067116</v>
      </c>
      <c r="CI973" s="685">
        <f t="shared" ref="CI973:CI974" si="1945">+CH973-CD973</f>
        <v>1.4017120822828799E-2</v>
      </c>
      <c r="CJ973" s="649">
        <f t="shared" si="1937"/>
        <v>0.70886075949367089</v>
      </c>
      <c r="CK973" s="649">
        <f t="shared" si="1937"/>
        <v>0.73122398001665279</v>
      </c>
      <c r="CL973" s="649">
        <f t="shared" si="1937"/>
        <v>0.71975659229208921</v>
      </c>
      <c r="CM973" s="685">
        <f t="shared" ref="CM973:CM974" si="1946">+CL973-CH973</f>
        <v>2.2955588685377615E-2</v>
      </c>
      <c r="CN973" s="649">
        <f t="shared" si="1938"/>
        <v>0.77296611705019025</v>
      </c>
      <c r="CO973" s="649">
        <f t="shared" si="1938"/>
        <v>0.6341833218470021</v>
      </c>
      <c r="CP973" s="649">
        <f t="shared" si="1938"/>
        <v>0.6941443557225615</v>
      </c>
      <c r="CQ973" s="685">
        <f t="shared" ref="CQ973:CQ974" si="1947">+CP973-CL973</f>
        <v>-2.5612236569527713E-2</v>
      </c>
      <c r="CR973" s="649">
        <f t="shared" si="1939"/>
        <v>0.64953869810353659</v>
      </c>
      <c r="CS973" s="649">
        <f t="shared" si="1939"/>
        <v>0.60042016806722687</v>
      </c>
      <c r="CT973" s="649">
        <f t="shared" si="1939"/>
        <v>0.62254675594550912</v>
      </c>
      <c r="CU973" s="685">
        <f t="shared" ref="CU973:CU974" si="1948">+CT973-CP973</f>
        <v>-7.1597599777052379E-2</v>
      </c>
      <c r="CV973" s="649">
        <f t="shared" ref="CV973:CX973" si="1949">(CV962+CV951-CV692)/CV821</f>
        <v>0.64888682745825599</v>
      </c>
      <c r="CW973" s="649">
        <f t="shared" si="1949"/>
        <v>0.62240426747951993</v>
      </c>
      <c r="CX973" s="649">
        <f t="shared" si="1949"/>
        <v>0.63434787156155215</v>
      </c>
      <c r="CY973" s="685"/>
      <c r="CZ973" s="649">
        <f t="shared" ref="CZ973:DB973" si="1950">(CZ962+CZ951-CZ692)/CZ821</f>
        <v>0.74829329962073321</v>
      </c>
      <c r="DA973" s="649">
        <f t="shared" si="1950"/>
        <v>0.6841929375069622</v>
      </c>
      <c r="DB973" s="649">
        <f t="shared" si="1950"/>
        <v>0.71421803754367263</v>
      </c>
      <c r="DC973" s="685"/>
      <c r="DD973" s="649">
        <f t="shared" ref="DD973:DF973" si="1951">(DD962+DD951-DD692)/DD821</f>
        <v>0.7204235637779941</v>
      </c>
      <c r="DE973" s="649">
        <f t="shared" si="1951"/>
        <v>0.69183718861209964</v>
      </c>
      <c r="DF973" s="649">
        <f t="shared" si="1951"/>
        <v>0.70548582054858211</v>
      </c>
      <c r="DG973" s="685"/>
      <c r="DH973" s="649">
        <f t="shared" ref="DH973" si="1952">(DH962+DH951-DH692)/DH821</f>
        <v>0.71786905994707173</v>
      </c>
      <c r="DI973" s="649"/>
      <c r="DJ973" s="649"/>
      <c r="DK973" s="685"/>
      <c r="DL973" s="649"/>
      <c r="DM973" s="649"/>
      <c r="DN973" s="649"/>
      <c r="DP973" s="649"/>
      <c r="DQ973" s="649"/>
      <c r="DR973" s="649"/>
      <c r="DU973" s="876"/>
      <c r="DV973" s="876"/>
      <c r="DW973" s="876"/>
      <c r="DZ973" s="876"/>
      <c r="EA973" s="876"/>
      <c r="ED973" s="876"/>
      <c r="EE973" s="876"/>
    </row>
    <row r="974" spans="1:273">
      <c r="A974" s="289" t="s">
        <v>1349</v>
      </c>
      <c r="AR974" s="685"/>
      <c r="AS974" s="685"/>
      <c r="AT974" s="730"/>
      <c r="AU974" s="730"/>
      <c r="AV974" s="685"/>
      <c r="AW974" s="685"/>
      <c r="AX974" s="730"/>
      <c r="AY974" s="730"/>
      <c r="AZ974" s="685"/>
      <c r="BA974" s="876"/>
      <c r="BD974" s="711"/>
      <c r="BE974" s="885"/>
      <c r="BF974" s="711"/>
      <c r="BH974" s="685"/>
      <c r="BI974" s="876"/>
      <c r="BL974" s="876"/>
      <c r="BM974" s="876"/>
      <c r="BP974" s="876"/>
      <c r="BQ974" s="876"/>
      <c r="BT974" s="876"/>
      <c r="BU974" s="876"/>
      <c r="BX974" s="649">
        <f>(SUM(BX955:BX960)+SUM(BX944:BX949)-SUM(BX685:BX690))/SUM(BX814:BX819)</f>
        <v>0.54814238475004862</v>
      </c>
      <c r="BY974" s="649">
        <f>(SUM(BY955:BY960)+SUM(BY944:BY949)-SUM(BY685:BY690))/SUM(BY814:BY819)</f>
        <v>0.53183962264150941</v>
      </c>
      <c r="BZ974" s="649">
        <f>(SUM(BZ955:BZ960)+SUM(BZ944:BZ949)-SUM(BZ685:BZ690))/SUM(BZ814:BZ819)</f>
        <v>0.54003323883077525</v>
      </c>
      <c r="CA974" s="685"/>
      <c r="CB974" s="649">
        <f>(SUM(CB955:CB960)+SUM(CB944:CB949)-SUM(CB685:CB690))/SUM(CB814:CB819)</f>
        <v>0.50575566282955808</v>
      </c>
      <c r="CC974" s="649">
        <f>(SUM(CC955:CC960)+SUM(CC944:CC949)-SUM(CC685:CC690))/SUM(CC814:CC819)</f>
        <v>0.54879190859711557</v>
      </c>
      <c r="CD974" s="649">
        <f>(SUM(CD955:CD960)+SUM(CD944:CD949)-SUM(CD685:CD690))/SUM(CD814:CD819)</f>
        <v>0.52717948717948715</v>
      </c>
      <c r="CE974" s="685">
        <f t="shared" si="1944"/>
        <v>-1.2853751651288103E-2</v>
      </c>
      <c r="CF974" s="649">
        <f>(SUM(CF955:CF960)+SUM(CF944:CF949)-SUM(CF685:CF690))/SUM(CF814:CF819)</f>
        <v>0.54627539503386002</v>
      </c>
      <c r="CG974" s="649">
        <f>(SUM(CG955:CG960)+SUM(CG944:CG949)-SUM(CG685:CG690))/SUM(CG814:CG819)</f>
        <v>0.49228995532497477</v>
      </c>
      <c r="CH974" s="649">
        <f>(SUM(CH955:CH960)+SUM(CH944:CH949)-SUM(CH685:CH690))/SUM(CH814:CH819)</f>
        <v>0.51677429516459283</v>
      </c>
      <c r="CI974" s="685">
        <f t="shared" si="1945"/>
        <v>-1.0405192014894316E-2</v>
      </c>
      <c r="CJ974" s="649">
        <f>(SUM(CJ955:CJ960)+SUM(CJ944:CJ949)-SUM(CJ685:CJ690))/SUM(CJ814:CJ819)</f>
        <v>0.53658536585365857</v>
      </c>
      <c r="CK974" s="649">
        <f>(SUM(CK955:CK960)+SUM(CK944:CK949)-SUM(CK685:CK690))/SUM(CK814:CK819)</f>
        <v>0.56771799628942488</v>
      </c>
      <c r="CL974" s="649">
        <f>(SUM(CL955:CL960)+SUM(CL944:CL949)-SUM(CL685:CL690))/SUM(CL814:CL819)</f>
        <v>0.55181518151815179</v>
      </c>
      <c r="CM974" s="685">
        <f t="shared" si="1946"/>
        <v>3.5040886353558953E-2</v>
      </c>
      <c r="CN974" s="649">
        <f>(SUM(CN955:CN960)+SUM(CN944:CN949)-SUM(CN685:CN690))/SUM(CN814:CN819)</f>
        <v>0.58952519028633565</v>
      </c>
      <c r="CO974" s="649">
        <f>(SUM(CO955:CO960)+SUM(CO944:CO949)-SUM(CO685:CO690))/SUM(CO814:CO819)</f>
        <v>0.45724431818181815</v>
      </c>
      <c r="CP974" s="649">
        <f>(SUM(CP955:CP960)+SUM(CP944:CP949)-SUM(CP685:CP690))/SUM(CP814:CP819)</f>
        <v>0.51536868928173274</v>
      </c>
      <c r="CQ974" s="1712">
        <f t="shared" si="1947"/>
        <v>-3.6446492236419048E-2</v>
      </c>
      <c r="CR974" s="649">
        <f>(SUM(CR955:CR960)+SUM(CR944:CR949)-SUM(CR685:CR690))/SUM(CR814:CR819)</f>
        <v>0.46938509640437726</v>
      </c>
      <c r="CS974" s="649">
        <f>(SUM(CS955:CS960)+SUM(CS944:CS949)-SUM(CS685:CS690))/SUM(CS814:CS819)</f>
        <v>0.41672704688955597</v>
      </c>
      <c r="CT974" s="649">
        <f>(SUM(CT955:CT960)+SUM(CT944:CT949)-SUM(CT685:CT690))/SUM(CT814:CT819)</f>
        <v>0.44004152967641458</v>
      </c>
      <c r="CU974" s="1712">
        <f t="shared" si="1948"/>
        <v>-7.5327159605318161E-2</v>
      </c>
      <c r="CV974" s="649">
        <f>(SUM(CV955:CV960)+SUM(CV944:CV949)-SUM(CV685:CV690))/SUM(CV814:CV819)</f>
        <v>0.46691606266074354</v>
      </c>
      <c r="CW974" s="649">
        <f>(SUM(CW955:CW960)+SUM(CW944:CW949)-SUM(CW685:CW690))/SUM(CW814:CW819)</f>
        <v>0.4395689738860305</v>
      </c>
      <c r="CX974" s="649">
        <f>(SUM(CX955:CX960)+SUM(CX944:CX949)-SUM(CX685:CX690))/SUM(CX814:CX819)</f>
        <v>0.45197560328825243</v>
      </c>
      <c r="CY974" s="1712">
        <f t="shared" ref="CY974" si="1953">+CX974-CT974</f>
        <v>1.1934073611837848E-2</v>
      </c>
      <c r="CZ974" s="649">
        <f>(SUM(CZ955:CZ960)+SUM(CZ944:CZ949)-SUM(CZ685:CZ690))/SUM(CZ814:CZ819)</f>
        <v>0.61790363709569185</v>
      </c>
      <c r="DA974" s="649">
        <f>(SUM(DA955:DA960)+SUM(DA944:DA949)-SUM(DA685:DA690))/SUM(DA814:DA819)</f>
        <v>0.5408477385744731</v>
      </c>
      <c r="DB974" s="649">
        <f>(SUM(DB955:DB960)+SUM(DB944:DB949)-SUM(DB685:DB690))/SUM(DB814:DB819)</f>
        <v>0.57696420708309748</v>
      </c>
      <c r="DC974" s="1712">
        <f t="shared" ref="DC974" si="1954">+DB974-CX974</f>
        <v>0.12498860379484505</v>
      </c>
      <c r="DD974" s="649">
        <f>(SUM(DD955:DD960)+SUM(DD944:DD949)-SUM(DD685:DD690))/SUM(DD814:DD819)</f>
        <v>0.59906091039520026</v>
      </c>
      <c r="DE974" s="649">
        <f>(SUM(DE955:DE960)+SUM(DE944:DE949)-SUM(DE685:DE690))/SUM(DE814:DE819)</f>
        <v>0.5362976406533575</v>
      </c>
      <c r="DF974" s="649">
        <f>(SUM(DF955:DF960)+SUM(DF944:DF949)-SUM(DF685:DF690))/SUM(DF814:DF819)</f>
        <v>0.56549171874052051</v>
      </c>
      <c r="DG974" s="1712">
        <f t="shared" ref="DG974" si="1955">+DF974-DB974</f>
        <v>-1.147248834257697E-2</v>
      </c>
      <c r="DH974" s="649">
        <f>(SUM(DH955:DH960)+SUM(DH944:DH949)-SUM(DH685:DH690))/SUM(DH814:DH819)</f>
        <v>0.56886438291881747</v>
      </c>
      <c r="DI974" s="649">
        <f>(DI966*DI814+DI967*DI815+DI968*DI816+DI970*DI818)/(DI821-DI820)</f>
        <v>0.45053057144896153</v>
      </c>
      <c r="DJ974" s="649">
        <f>(DJ966*DJ814+DJ967*DJ815+DJ968*DJ816+DJ970*DJ818)/(DJ821-DJ820)</f>
        <v>0.49818204336802679</v>
      </c>
      <c r="DK974" s="1712">
        <f t="shared" ref="DK974" si="1956">+DJ974-DF974</f>
        <v>-6.7309675372493716E-2</v>
      </c>
      <c r="DL974" s="649">
        <f>(DL966*DL814+DL967*DL815+DL968*DL816+DL970*DL818)/(DL821-DL820)</f>
        <v>0.45957991080987448</v>
      </c>
      <c r="DM974" s="649">
        <f>(DM966*DM814+DM967*DM815+DM968*DM816+DM970*DM818)/(DM821-DM820)</f>
        <v>0.45741698019346977</v>
      </c>
      <c r="DN974" s="649">
        <f>(DN966*DN814+DN967*DN815+DN968*DN816+DN970*DN818)/(DN821-DN820)</f>
        <v>0.45843391388416194</v>
      </c>
      <c r="DP974" s="649">
        <f>(DP966*DP814+DP967*DP815+DP968*DP816+DP970*DP818)/(DP821-DP820)</f>
        <v>0.46137851672350988</v>
      </c>
      <c r="DQ974" s="649">
        <f>(DQ966*DQ814+DQ967*DQ815+DQ968*DQ816+DQ970*DQ818)/(DQ821-DQ820)</f>
        <v>0.45885896330588138</v>
      </c>
      <c r="DR974" s="649">
        <f>(DR966*DR814+DR967*DR815+DR968*DR816+DR970*DR818)/(DR821-DR820)</f>
        <v>0.46004417083935711</v>
      </c>
      <c r="DU974" s="876"/>
      <c r="DV974" s="876"/>
      <c r="DW974" s="876"/>
      <c r="DZ974" s="876"/>
      <c r="EA974" s="876"/>
      <c r="ED974" s="876"/>
      <c r="EE974" s="876"/>
    </row>
    <row r="975" spans="1:273" s="1589" customFormat="1">
      <c r="A975" s="1589" t="s">
        <v>580</v>
      </c>
      <c r="B975" s="1590"/>
      <c r="AN975" s="1590"/>
      <c r="AO975" s="1590"/>
      <c r="AP975" s="1590"/>
      <c r="AQ975" s="1590"/>
      <c r="AR975" s="1591"/>
      <c r="AS975" s="1591"/>
      <c r="AT975" s="1592"/>
      <c r="AU975" s="1592"/>
      <c r="AV975" s="1591"/>
      <c r="AW975" s="1591"/>
      <c r="AX975" s="1592"/>
      <c r="AY975" s="1592"/>
      <c r="AZ975" s="1591"/>
      <c r="BA975" s="1593"/>
      <c r="BB975" s="1590"/>
      <c r="BC975" s="1590"/>
      <c r="BD975" s="1594"/>
      <c r="BE975" s="1595"/>
      <c r="BF975" s="1594"/>
      <c r="BG975" s="1590"/>
      <c r="BH975" s="1591"/>
      <c r="BI975" s="1593"/>
      <c r="BJ975" s="1590"/>
      <c r="BK975" s="1590"/>
      <c r="BL975" s="1593"/>
      <c r="BM975" s="1593"/>
      <c r="BN975" s="1590"/>
      <c r="BO975" s="1590"/>
      <c r="BP975" s="1593"/>
      <c r="BQ975" s="1593"/>
      <c r="BR975" s="1590"/>
      <c r="BS975" s="1590"/>
      <c r="BT975" s="1593"/>
      <c r="BU975" s="1593"/>
      <c r="BV975" s="1590"/>
      <c r="BW975" s="1590"/>
      <c r="BX975" s="1692">
        <f>BX34-BX973</f>
        <v>0</v>
      </c>
      <c r="BY975" s="1692">
        <f>BY34-BY973</f>
        <v>0</v>
      </c>
      <c r="BZ975" s="1692">
        <f>BZ34-BZ973</f>
        <v>0</v>
      </c>
      <c r="CA975" s="1657"/>
      <c r="CB975" s="1692">
        <f>CB34-CB973</f>
        <v>0</v>
      </c>
      <c r="CC975" s="1692">
        <f>CC34-CC973</f>
        <v>0</v>
      </c>
      <c r="CD975" s="1692">
        <f>CD34-CD973</f>
        <v>0</v>
      </c>
      <c r="CE975" s="1657"/>
      <c r="CF975" s="1692">
        <f>CF34-CF973</f>
        <v>0</v>
      </c>
      <c r="CG975" s="1692">
        <f>CG34-CG973</f>
        <v>0</v>
      </c>
      <c r="CH975" s="1692">
        <f>CH34-CH973</f>
        <v>0</v>
      </c>
      <c r="CI975" s="1657"/>
      <c r="CJ975" s="1692">
        <f>CJ34-CJ973</f>
        <v>0</v>
      </c>
      <c r="CK975" s="1692">
        <f>CK34-CK973</f>
        <v>0</v>
      </c>
      <c r="CL975" s="1692">
        <f>CL34-CL973</f>
        <v>0</v>
      </c>
      <c r="CM975" s="1657"/>
      <c r="CN975" s="1692">
        <f>CN34-CN973</f>
        <v>0</v>
      </c>
      <c r="CO975" s="1692">
        <f>CO34-CO973</f>
        <v>0</v>
      </c>
      <c r="CP975" s="1692">
        <f>CP34-CP973</f>
        <v>0</v>
      </c>
      <c r="CQ975" s="1657"/>
      <c r="CR975" s="1692">
        <f>CR34-CR973</f>
        <v>0</v>
      </c>
      <c r="CS975" s="1692">
        <f>CS34-CS973</f>
        <v>0</v>
      </c>
      <c r="CT975" s="1692">
        <f>CT34-CT973</f>
        <v>0</v>
      </c>
      <c r="CU975" s="1590"/>
      <c r="CV975" s="1692">
        <f>CV34-CV973</f>
        <v>-5.8162689659553291E-3</v>
      </c>
      <c r="CW975" s="1692">
        <f>CW34-CW973</f>
        <v>4.6590722517660943E-3</v>
      </c>
      <c r="CX975" s="1692">
        <f>CX34-CX973</f>
        <v>0</v>
      </c>
      <c r="CY975" s="1590"/>
      <c r="CZ975" s="1692">
        <f>CZ34-CZ973</f>
        <v>0</v>
      </c>
      <c r="DA975" s="1692">
        <f>DA34-DA973</f>
        <v>0</v>
      </c>
      <c r="DB975" s="1692">
        <f>DB34-DB973</f>
        <v>0</v>
      </c>
      <c r="DC975" s="1590"/>
      <c r="DD975" s="1692">
        <f>DD34-DD973</f>
        <v>0</v>
      </c>
      <c r="DE975" s="1692">
        <f ca="1">DE34-DE973</f>
        <v>0</v>
      </c>
      <c r="DF975" s="1692">
        <f ca="1">DF34-DF973</f>
        <v>0</v>
      </c>
      <c r="DG975" s="1590"/>
      <c r="DH975" s="1692">
        <f>DH34-DH973</f>
        <v>0</v>
      </c>
      <c r="DI975" s="1590"/>
      <c r="DJ975" s="1590"/>
      <c r="DK975" s="1590"/>
      <c r="DL975" s="1590"/>
      <c r="DM975" s="1590"/>
      <c r="DN975" s="1590"/>
      <c r="DO975" s="1590"/>
      <c r="DP975" s="1590"/>
      <c r="DQ975" s="1590"/>
      <c r="DR975" s="1590"/>
      <c r="DS975" s="1590"/>
      <c r="DT975" s="1590"/>
      <c r="DU975" s="1593"/>
      <c r="DV975" s="1593"/>
      <c r="DW975" s="1593"/>
      <c r="DX975" s="1590"/>
      <c r="DY975" s="1590"/>
      <c r="DZ975" s="1593"/>
      <c r="EA975" s="1593"/>
      <c r="EB975" s="1590"/>
      <c r="EC975" s="1590"/>
      <c r="ED975" s="1593"/>
      <c r="EE975" s="1593"/>
      <c r="EF975" s="1590"/>
      <c r="EG975" s="1590"/>
      <c r="EH975" s="1590"/>
      <c r="EI975" s="1590"/>
      <c r="EJ975" s="1590"/>
      <c r="EK975" s="1590"/>
      <c r="EL975" s="1590"/>
      <c r="EM975" s="1590"/>
      <c r="EN975" s="1590"/>
      <c r="EO975" s="1590"/>
      <c r="EP975" s="1590"/>
      <c r="JM975"/>
    </row>
    <row r="976" spans="1:273">
      <c r="AR976" s="685"/>
      <c r="AS976" s="685"/>
      <c r="AT976" s="730"/>
      <c r="AU976" s="730"/>
      <c r="AV976" s="685"/>
      <c r="AW976" s="685"/>
      <c r="AX976" s="730"/>
      <c r="AY976" s="730"/>
      <c r="AZ976" s="685"/>
      <c r="BA976" s="876"/>
      <c r="BD976" s="711"/>
      <c r="BE976" s="885"/>
      <c r="BF976" s="711"/>
      <c r="BH976" s="685"/>
      <c r="BI976" s="876"/>
      <c r="BL976" s="876"/>
      <c r="BM976" s="876"/>
      <c r="BP976" s="876"/>
      <c r="BQ976" s="876"/>
      <c r="BT976" s="876"/>
      <c r="BU976" s="876"/>
      <c r="BX976" s="876"/>
      <c r="BY976" s="876"/>
      <c r="CB976" s="876"/>
      <c r="CC976" s="876"/>
      <c r="CF976" s="876"/>
      <c r="CG976" s="876"/>
      <c r="CJ976" s="876"/>
      <c r="CK976" s="876"/>
      <c r="CN976" s="876"/>
      <c r="CO976" s="876"/>
      <c r="CR976" s="876"/>
      <c r="CS976" s="876"/>
      <c r="CV976" s="876"/>
      <c r="CW976" s="876"/>
      <c r="CZ976" s="876"/>
      <c r="DA976" s="876"/>
      <c r="DD976" s="876"/>
      <c r="DE976" s="876"/>
      <c r="DH976" s="876"/>
      <c r="DI976" s="876"/>
      <c r="DL976" s="876"/>
      <c r="DM976" s="876"/>
      <c r="DP976" s="876"/>
      <c r="DQ976" s="876"/>
      <c r="DU976" s="876"/>
      <c r="DV976" s="876"/>
      <c r="DW976" s="876"/>
      <c r="DZ976" s="876"/>
      <c r="EA976" s="876"/>
      <c r="ED976" s="876"/>
      <c r="EE976" s="876"/>
    </row>
    <row r="977" spans="1:273" ht="27.6">
      <c r="A977" s="1714" t="s">
        <v>1350</v>
      </c>
      <c r="AR977" s="685"/>
      <c r="AS977" s="685"/>
      <c r="AT977" s="730"/>
      <c r="AU977" s="730"/>
      <c r="AV977" s="685"/>
      <c r="AW977" s="685"/>
      <c r="AX977" s="730"/>
      <c r="AY977" s="730"/>
      <c r="AZ977" s="685"/>
      <c r="BA977" s="876"/>
      <c r="BD977" s="711"/>
      <c r="BE977" s="885"/>
      <c r="BF977" s="711"/>
      <c r="BH977" s="685"/>
      <c r="BI977" s="876"/>
      <c r="BL977" s="876"/>
      <c r="BM977" s="876"/>
      <c r="BP977" s="876"/>
      <c r="BQ977" s="876"/>
      <c r="BT977" s="876"/>
      <c r="BU977" s="876"/>
      <c r="BX977" s="876"/>
      <c r="BY977" s="876"/>
      <c r="CB977" s="876"/>
      <c r="CC977" s="876"/>
      <c r="CF977" s="876"/>
      <c r="CG977" s="876"/>
      <c r="CJ977" s="876"/>
      <c r="CK977" s="876"/>
      <c r="CL977" s="103" t="s">
        <v>671</v>
      </c>
      <c r="CN977" s="876"/>
      <c r="CO977" s="876"/>
      <c r="CR977" s="876"/>
      <c r="CS977" s="876"/>
      <c r="CV977" s="588"/>
      <c r="CW977" s="876"/>
      <c r="CZ977" s="588"/>
      <c r="DA977" s="876"/>
      <c r="DD977" s="588"/>
      <c r="DE977" s="876"/>
      <c r="DH977" s="588"/>
      <c r="DI977" s="876"/>
      <c r="DL977" s="588" t="s">
        <v>1351</v>
      </c>
      <c r="DM977" s="876"/>
      <c r="DP977" s="588" t="s">
        <v>1351</v>
      </c>
      <c r="DQ977" s="876"/>
      <c r="DU977" s="876"/>
      <c r="DV977" s="876"/>
      <c r="DW977" s="876"/>
      <c r="DZ977" s="876"/>
      <c r="EA977" s="876"/>
      <c r="ED977" s="876"/>
      <c r="EE977" s="876"/>
    </row>
    <row r="978" spans="1:273">
      <c r="A978" s="102" t="s">
        <v>686</v>
      </c>
      <c r="AR978" s="685"/>
      <c r="AS978" s="685"/>
      <c r="AT978" s="730"/>
      <c r="AU978" s="730"/>
      <c r="AV978" s="685"/>
      <c r="AW978" s="685"/>
      <c r="AX978" s="730"/>
      <c r="AY978" s="730"/>
      <c r="AZ978" s="685"/>
      <c r="BA978" s="876"/>
      <c r="BD978" s="711"/>
      <c r="BE978" s="885"/>
      <c r="BF978" s="711"/>
      <c r="BH978" s="685"/>
      <c r="BI978" s="876"/>
      <c r="BL978" s="876"/>
      <c r="BM978" s="876"/>
      <c r="BP978" s="876"/>
      <c r="BQ978" s="876"/>
      <c r="BT978" s="876"/>
      <c r="BU978" s="876"/>
      <c r="BX978" s="320">
        <f t="shared" ref="BX978:BZ980" si="1957">(BX955+BX944-BX685)/BX837</f>
        <v>0.89928057553956831</v>
      </c>
      <c r="BY978" s="320">
        <f t="shared" si="1957"/>
        <v>0.68441814595660755</v>
      </c>
      <c r="BZ978" s="320">
        <f t="shared" si="1957"/>
        <v>0.7813852813852814</v>
      </c>
      <c r="CB978" s="320">
        <f t="shared" ref="CB978:CD980" si="1958">(CB955+CB944-CB685)/CB837</f>
        <v>0.88164251207729472</v>
      </c>
      <c r="CC978" s="320">
        <f t="shared" si="1958"/>
        <v>0.85779816513761464</v>
      </c>
      <c r="CD978" s="320">
        <f t="shared" si="1958"/>
        <v>0.86941176470588233</v>
      </c>
      <c r="CE978" s="103"/>
      <c r="CF978" s="320">
        <f t="shared" ref="CF978:CH980" si="1959">(CF955+CF944-CF685)/CF837</f>
        <v>0.98245614035087714</v>
      </c>
      <c r="CG978" s="320">
        <f t="shared" si="1959"/>
        <v>1.6118980169971671</v>
      </c>
      <c r="CH978" s="320">
        <f t="shared" si="1959"/>
        <v>1.2390300230946882</v>
      </c>
      <c r="CI978" s="103"/>
      <c r="CJ978" s="320">
        <f t="shared" ref="CJ978:CL980" si="1960">(CJ955+CJ944-CJ685)/CJ837</f>
        <v>1.4749596122778674</v>
      </c>
      <c r="CK978" s="320">
        <f t="shared" si="1960"/>
        <v>1.0965250965250966</v>
      </c>
      <c r="CL978" s="320">
        <f t="shared" si="1960"/>
        <v>1.2643266475644699</v>
      </c>
      <c r="CM978" s="103"/>
      <c r="CN978" s="320">
        <f t="shared" ref="CN978:CP980" si="1961">(CN955+CN944-CN685)/CN837</f>
        <v>1.2477064220183487</v>
      </c>
      <c r="CO978" s="320">
        <f t="shared" si="1961"/>
        <v>1</v>
      </c>
      <c r="CP978" s="320">
        <f t="shared" si="1961"/>
        <v>1.1169550173010381</v>
      </c>
      <c r="CQ978" s="103"/>
      <c r="CR978" s="320">
        <f t="shared" ref="CR978:CT980" si="1962">(CR955+CR944-CR685)/CR837</f>
        <v>0.55555555555555558</v>
      </c>
      <c r="CS978" s="320">
        <f t="shared" si="1962"/>
        <v>0.57021276595744685</v>
      </c>
      <c r="CT978" s="320">
        <f>(CT955+CT944-CT685)/CT837</f>
        <v>0.56319290465631933</v>
      </c>
      <c r="CV978" s="320">
        <f t="shared" ref="CV978:CW978" si="1963">(CV955+CV944-CV685)/CV837</f>
        <v>0.90228426395939088</v>
      </c>
      <c r="CW978" s="320">
        <f t="shared" si="1963"/>
        <v>0.89759036144578308</v>
      </c>
      <c r="CX978" s="320">
        <f>(CX955+CX944-CX685)/CX837</f>
        <v>0.89987639060568603</v>
      </c>
      <c r="CZ978" s="320">
        <f t="shared" ref="CZ978:DA978" si="1964">(CZ955+CZ944-CZ685)/CZ837</f>
        <v>0.85005393743257818</v>
      </c>
      <c r="DA978" s="320">
        <f t="shared" si="1964"/>
        <v>0.8928571428571429</v>
      </c>
      <c r="DB978" s="320">
        <f>(DB955+DB944-DB685)/DB837</f>
        <v>0.86990950226244346</v>
      </c>
      <c r="DD978" s="320">
        <f t="shared" ref="DD978:DE978" si="1965">(DD955+DD944-DD685)/DD837</f>
        <v>0.83261339092872566</v>
      </c>
      <c r="DE978" s="320">
        <f t="shared" si="1965"/>
        <v>0.64472640761300559</v>
      </c>
      <c r="DF978" s="320">
        <f>(DF955+DF944-DF685)/DF837</f>
        <v>0.72427983539094654</v>
      </c>
      <c r="DH978" s="320">
        <f t="shared" ref="DH978" si="1966">(DH955+DH944-DH685)/DH837</f>
        <v>0.63029315960912047</v>
      </c>
      <c r="DI978" s="632">
        <f t="shared" ref="DI978:DJ978" si="1967">DI966*DI814/DI837</f>
        <v>0.68426900977038474</v>
      </c>
      <c r="DJ978" s="744">
        <f t="shared" si="1967"/>
        <v>0.65847630758694231</v>
      </c>
      <c r="DL978" s="632">
        <f>DL966*DL814/DL837</f>
        <v>0.68380603052135647</v>
      </c>
      <c r="DM978" s="632">
        <f t="shared" ref="DM978:DN978" si="1968">DM966*DM814/DM837</f>
        <v>0.75214767936097537</v>
      </c>
      <c r="DN978" s="744">
        <f t="shared" si="1968"/>
        <v>0.71898851075859826</v>
      </c>
      <c r="DP978" s="632">
        <f>DP966*DP814/DP837</f>
        <v>0.68899375879296421</v>
      </c>
      <c r="DQ978" s="632">
        <f t="shared" ref="DQ978:DR978" si="1969">DQ966*DQ814/DQ837</f>
        <v>0.76161606240519641</v>
      </c>
      <c r="DR978" s="744">
        <f t="shared" si="1969"/>
        <v>0.72616775806160583</v>
      </c>
      <c r="DU978" s="876"/>
      <c r="DV978" s="876"/>
      <c r="DW978" s="876"/>
      <c r="DZ978" s="876"/>
      <c r="EA978" s="876"/>
      <c r="ED978" s="876"/>
      <c r="EE978" s="876"/>
    </row>
    <row r="979" spans="1:273">
      <c r="A979" s="102" t="s">
        <v>1306</v>
      </c>
      <c r="AR979" s="685"/>
      <c r="AS979" s="685"/>
      <c r="AT979" s="730"/>
      <c r="AU979" s="730"/>
      <c r="AV979" s="685"/>
      <c r="AW979" s="685"/>
      <c r="AX979" s="730"/>
      <c r="AY979" s="730"/>
      <c r="AZ979" s="685"/>
      <c r="BA979" s="876"/>
      <c r="BD979" s="711"/>
      <c r="BE979" s="885"/>
      <c r="BF979" s="711"/>
      <c r="BH979" s="685"/>
      <c r="BI979" s="876"/>
      <c r="BL979" s="876"/>
      <c r="BM979" s="876"/>
      <c r="BP979" s="876"/>
      <c r="BQ979" s="876"/>
      <c r="BT979" s="876"/>
      <c r="BU979" s="876"/>
      <c r="BX979" s="320">
        <f t="shared" si="1957"/>
        <v>0.55246252676659524</v>
      </c>
      <c r="BY979" s="320">
        <f t="shared" si="1957"/>
        <v>0.58172043010752683</v>
      </c>
      <c r="BZ979" s="320">
        <f t="shared" si="1957"/>
        <v>0.56706008583690992</v>
      </c>
      <c r="CB979" s="320">
        <f t="shared" si="1958"/>
        <v>0.5677267373380448</v>
      </c>
      <c r="CC979" s="320">
        <f t="shared" si="1958"/>
        <v>0.53877973112719757</v>
      </c>
      <c r="CD979" s="320">
        <f t="shared" si="1958"/>
        <v>0.55231277533039647</v>
      </c>
      <c r="CE979" s="103"/>
      <c r="CF979" s="320">
        <f t="shared" si="1959"/>
        <v>0.56586578293289147</v>
      </c>
      <c r="CG979" s="320">
        <f t="shared" si="1959"/>
        <v>0.60534591194968557</v>
      </c>
      <c r="CH979" s="320">
        <f t="shared" si="1959"/>
        <v>0.58612343686970547</v>
      </c>
      <c r="CI979" s="103"/>
      <c r="CJ979" s="320">
        <f t="shared" si="1960"/>
        <v>0.61382113821138207</v>
      </c>
      <c r="CK979" s="320">
        <f t="shared" si="1960"/>
        <v>0.55217691776088462</v>
      </c>
      <c r="CL979" s="320">
        <f t="shared" si="1960"/>
        <v>0.58050056032872621</v>
      </c>
      <c r="CM979" s="103"/>
      <c r="CN979" s="320">
        <f t="shared" si="1961"/>
        <v>0.74948024948024949</v>
      </c>
      <c r="CO979" s="320">
        <f t="shared" si="1961"/>
        <v>0.65194805194805194</v>
      </c>
      <c r="CP979" s="320">
        <f t="shared" si="1961"/>
        <v>0.69626830420406238</v>
      </c>
      <c r="CQ979" s="103"/>
      <c r="CR979" s="320">
        <f t="shared" si="1962"/>
        <v>0.88781163434903043</v>
      </c>
      <c r="CS979" s="320">
        <f t="shared" si="1962"/>
        <v>0.79869745411486082</v>
      </c>
      <c r="CT979" s="320">
        <f t="shared" si="1962"/>
        <v>0.71050499594923033</v>
      </c>
      <c r="CV979" s="320">
        <f t="shared" ref="CV979:CX979" si="1970">(CV956+CV945-CV686)/CV838</f>
        <v>0.78133159268929508</v>
      </c>
      <c r="CW979" s="320">
        <f t="shared" si="1970"/>
        <v>0.93200000000000005</v>
      </c>
      <c r="CX979" s="320">
        <f t="shared" si="1970"/>
        <v>0.85587071240105539</v>
      </c>
      <c r="CZ979" s="320">
        <f t="shared" ref="CZ979:DB979" si="1971">(CZ956+CZ945-CZ686)/CZ838</f>
        <v>0.93998553868402024</v>
      </c>
      <c r="DA979" s="320">
        <f t="shared" si="1971"/>
        <v>0.88537271448663857</v>
      </c>
      <c r="DB979" s="320">
        <f t="shared" si="1971"/>
        <v>0.91229946524064176</v>
      </c>
      <c r="DD979" s="320">
        <f t="shared" ref="DD979:DF979" si="1972">(DD956+DD945-DD686)/DD838</f>
        <v>0.82508474576271185</v>
      </c>
      <c r="DE979" s="320">
        <f t="shared" si="1972"/>
        <v>0.79926108374384242</v>
      </c>
      <c r="DF979" s="320">
        <f t="shared" si="1972"/>
        <v>0.81155211358502743</v>
      </c>
      <c r="DH979" s="320">
        <f t="shared" ref="DH979" si="1973">(DH956+DH945-DH686)/DH838</f>
        <v>0.77225806451612899</v>
      </c>
      <c r="DI979" s="632">
        <f t="shared" ref="DI979:DJ979" si="1974">DI967*DI815/DI838</f>
        <v>0.80462445608201671</v>
      </c>
      <c r="DJ979" s="744">
        <f t="shared" si="1974"/>
        <v>0.78726641086313442</v>
      </c>
      <c r="DL979" s="632">
        <f t="shared" ref="DL979:DN979" si="1975">DL967*DL815/DL838</f>
        <v>0.66611673020848294</v>
      </c>
      <c r="DM979" s="632">
        <f t="shared" si="1975"/>
        <v>0.66867202150975358</v>
      </c>
      <c r="DN979" s="744">
        <f t="shared" si="1975"/>
        <v>0.66740273717305276</v>
      </c>
      <c r="DP979" s="632">
        <f t="shared" ref="DP979:DR979" si="1976">DP967*DP815/DP838</f>
        <v>0.66387114446685702</v>
      </c>
      <c r="DQ979" s="632">
        <f t="shared" si="1976"/>
        <v>0.66678762989491425</v>
      </c>
      <c r="DR979" s="744">
        <f t="shared" si="1976"/>
        <v>0.66534499040933837</v>
      </c>
      <c r="DU979" s="876"/>
      <c r="DV979" s="876"/>
      <c r="DW979" s="876"/>
      <c r="DZ979" s="876"/>
      <c r="EA979" s="876"/>
      <c r="ED979" s="876"/>
      <c r="EE979" s="876"/>
    </row>
    <row r="980" spans="1:273">
      <c r="A980" s="102" t="s">
        <v>1024</v>
      </c>
      <c r="AR980" s="685"/>
      <c r="AS980" s="685"/>
      <c r="AT980" s="730"/>
      <c r="AU980" s="730"/>
      <c r="AV980" s="685"/>
      <c r="AW980" s="685"/>
      <c r="AX980" s="730"/>
      <c r="AY980" s="730"/>
      <c r="AZ980" s="685"/>
      <c r="BA980" s="876"/>
      <c r="BD980" s="711"/>
      <c r="BE980" s="885"/>
      <c r="BF980" s="711"/>
      <c r="BH980" s="685"/>
      <c r="BI980" s="876"/>
      <c r="BL980" s="876"/>
      <c r="BM980" s="876"/>
      <c r="BP980" s="876"/>
      <c r="BQ980" s="876"/>
      <c r="BT980" s="876"/>
      <c r="BU980" s="876"/>
      <c r="BX980" s="320">
        <f t="shared" si="1957"/>
        <v>0.72028985507246379</v>
      </c>
      <c r="BY980" s="320">
        <f t="shared" si="1957"/>
        <v>0.63932291666666663</v>
      </c>
      <c r="BZ980" s="320">
        <f t="shared" si="1957"/>
        <v>0.67764060356652944</v>
      </c>
      <c r="CB980" s="320">
        <f t="shared" si="1958"/>
        <v>0.69594095940959411</v>
      </c>
      <c r="CC980" s="320">
        <f t="shared" si="1958"/>
        <v>0.68843892880470281</v>
      </c>
      <c r="CD980" s="320">
        <f t="shared" si="1958"/>
        <v>0.69196119196119199</v>
      </c>
      <c r="CE980" s="103"/>
      <c r="CF980" s="320">
        <f t="shared" si="1959"/>
        <v>0.60803782505910164</v>
      </c>
      <c r="CG980" s="320">
        <f t="shared" si="1959"/>
        <v>0.59752981260647364</v>
      </c>
      <c r="CH980" s="320">
        <f t="shared" si="1959"/>
        <v>0.60250952274254987</v>
      </c>
      <c r="CI980" s="103"/>
      <c r="CJ980" s="320">
        <f t="shared" si="1960"/>
        <v>0.47547874824848202</v>
      </c>
      <c r="CK980" s="320">
        <f t="shared" si="1960"/>
        <v>0.58753387533875334</v>
      </c>
      <c r="CL980" s="320">
        <f t="shared" si="1960"/>
        <v>0.52734570998494734</v>
      </c>
      <c r="CM980" s="103"/>
      <c r="CN980" s="320">
        <f t="shared" si="1961"/>
        <v>0.47506799637352676</v>
      </c>
      <c r="CO980" s="320">
        <f t="shared" si="1961"/>
        <v>0.40258215962441313</v>
      </c>
      <c r="CP980" s="320">
        <f t="shared" si="1961"/>
        <v>0.43616127677446453</v>
      </c>
      <c r="CQ980" s="103"/>
      <c r="CR980" s="320">
        <f t="shared" si="1962"/>
        <v>0.45080190723883834</v>
      </c>
      <c r="CS980" s="320">
        <f t="shared" si="1962"/>
        <v>0.37077294685990336</v>
      </c>
      <c r="CT980" s="320">
        <f t="shared" si="1962"/>
        <v>0.40363053924185799</v>
      </c>
      <c r="CV980" s="320">
        <f t="shared" ref="CV980:CX980" si="1977">(CV957+CV946-CV687)/CV839</f>
        <v>0.38340530536705736</v>
      </c>
      <c r="CW980" s="320">
        <f t="shared" si="1977"/>
        <v>0.27298101972459993</v>
      </c>
      <c r="CX980" s="320">
        <f t="shared" si="1977"/>
        <v>0.31453110492107705</v>
      </c>
      <c r="CZ980" s="320">
        <f t="shared" ref="CZ980:DB980" si="1978">(CZ957+CZ946-CZ687)/CZ839</f>
        <v>0.5375782881002088</v>
      </c>
      <c r="DA980" s="320">
        <f t="shared" si="1978"/>
        <v>0.46517857142857144</v>
      </c>
      <c r="DB980" s="320">
        <f t="shared" si="1978"/>
        <v>0.49855630413859481</v>
      </c>
      <c r="DD980" s="320">
        <f t="shared" ref="DD980:DF980" si="1979">(DD957+DD946-DD687)/DD839</f>
        <v>0.56742179072276155</v>
      </c>
      <c r="DE980" s="320">
        <f t="shared" si="1979"/>
        <v>0.51882845188284521</v>
      </c>
      <c r="DF980" s="320">
        <f t="shared" si="1979"/>
        <v>0.54177989130434778</v>
      </c>
      <c r="DH980" s="320">
        <f t="shared" ref="DH980" si="1980">(DH957+DH946-DH687)/DH839</f>
        <v>0.61514414727335875</v>
      </c>
      <c r="DI980" s="632">
        <f t="shared" ref="DI980:DJ980" si="1981">DI968*DI816/DI839</f>
        <v>0.39256214100970743</v>
      </c>
      <c r="DJ980" s="744">
        <f t="shared" si="1981"/>
        <v>0.49188967871137346</v>
      </c>
      <c r="DL980" s="632">
        <f t="shared" ref="DL980:DN980" si="1982">DL968*DL816/DL839</f>
        <v>0.39067302528060105</v>
      </c>
      <c r="DM980" s="632">
        <f t="shared" si="1982"/>
        <v>0.39271019215103881</v>
      </c>
      <c r="DN980" s="744">
        <f t="shared" si="1982"/>
        <v>0.39179894081814365</v>
      </c>
      <c r="DP980" s="632">
        <f t="shared" ref="DP980:DR980" si="1983">DP968*DP816/DP839</f>
        <v>0.39081248972699634</v>
      </c>
      <c r="DQ980" s="632">
        <f t="shared" si="1983"/>
        <v>0.39285555112712267</v>
      </c>
      <c r="DR980" s="744">
        <f t="shared" si="1983"/>
        <v>0.39194263304654436</v>
      </c>
      <c r="DU980" s="876"/>
      <c r="DV980" s="876"/>
      <c r="DW980" s="876"/>
      <c r="DZ980" s="876"/>
      <c r="EA980" s="876"/>
      <c r="ED980" s="876"/>
      <c r="EE980" s="876"/>
    </row>
    <row r="981" spans="1:273">
      <c r="A981" s="102" t="s">
        <v>690</v>
      </c>
      <c r="AR981" s="685"/>
      <c r="AS981" s="685"/>
      <c r="AT981" s="730"/>
      <c r="AU981" s="730"/>
      <c r="AV981" s="685"/>
      <c r="AW981" s="685"/>
      <c r="AX981" s="730"/>
      <c r="AY981" s="730"/>
      <c r="AZ981" s="685"/>
      <c r="BA981" s="876"/>
      <c r="BD981" s="711"/>
      <c r="BE981" s="885"/>
      <c r="BF981" s="711"/>
      <c r="BH981" s="685"/>
      <c r="BI981" s="876"/>
      <c r="BL981" s="876"/>
      <c r="BM981" s="876"/>
      <c r="BP981" s="876"/>
      <c r="BQ981" s="876"/>
      <c r="BT981" s="876"/>
      <c r="BU981" s="876"/>
      <c r="BX981" s="320"/>
      <c r="BY981" s="320"/>
      <c r="BZ981" s="320"/>
      <c r="CB981" s="320"/>
      <c r="CC981" s="320"/>
      <c r="CD981" s="320"/>
      <c r="CE981" s="103"/>
      <c r="CF981" s="320"/>
      <c r="CG981" s="320"/>
      <c r="CH981" s="320"/>
      <c r="CI981" s="103"/>
      <c r="CJ981" s="320"/>
      <c r="CK981" s="320"/>
      <c r="CL981" s="320"/>
      <c r="CM981" s="103"/>
      <c r="CN981" s="320"/>
      <c r="CO981" s="320"/>
      <c r="CP981" s="320"/>
      <c r="CQ981" s="103"/>
      <c r="CR981" s="320"/>
      <c r="CS981" s="320"/>
      <c r="CT981" s="320"/>
      <c r="CV981" s="320"/>
      <c r="CW981" s="320"/>
      <c r="CX981" s="320"/>
      <c r="CZ981" s="320"/>
      <c r="DA981" s="320"/>
      <c r="DB981" s="320"/>
      <c r="DD981" s="320"/>
      <c r="DE981" s="320"/>
      <c r="DF981" s="320"/>
      <c r="DH981" s="320"/>
      <c r="DI981" s="632"/>
      <c r="DJ981" s="744"/>
      <c r="DL981" s="632"/>
      <c r="DM981" s="632"/>
      <c r="DN981" s="744"/>
      <c r="DP981" s="632"/>
      <c r="DQ981" s="632"/>
      <c r="DR981" s="744"/>
      <c r="DU981" s="876"/>
      <c r="DV981" s="876"/>
      <c r="DW981" s="876"/>
      <c r="DZ981" s="876"/>
      <c r="EA981" s="876"/>
      <c r="ED981" s="876"/>
      <c r="EE981" s="876"/>
    </row>
    <row r="982" spans="1:273">
      <c r="A982" s="102" t="s">
        <v>689</v>
      </c>
      <c r="AR982" s="685"/>
      <c r="AS982" s="685"/>
      <c r="AT982" s="730"/>
      <c r="AU982" s="730"/>
      <c r="AV982" s="685"/>
      <c r="AW982" s="685"/>
      <c r="AX982" s="730"/>
      <c r="AY982" s="730"/>
      <c r="AZ982" s="685"/>
      <c r="BA982" s="876"/>
      <c r="BD982" s="711"/>
      <c r="BE982" s="885"/>
      <c r="BF982" s="711"/>
      <c r="BH982" s="685"/>
      <c r="BI982" s="876"/>
      <c r="BL982" s="876"/>
      <c r="BM982" s="876"/>
      <c r="BP982" s="876"/>
      <c r="BQ982" s="876"/>
      <c r="BT982" s="876"/>
      <c r="BU982" s="876"/>
      <c r="BX982" s="320">
        <f>(BX959+BX948-BX689)/BX841</f>
        <v>0.81746031746031744</v>
      </c>
      <c r="BY982" s="320">
        <f>(BY959+BY948-BY689)/BY841</f>
        <v>0.66623711340206182</v>
      </c>
      <c r="BZ982" s="320">
        <f>(BZ959+BZ948-BZ689)/BZ841</f>
        <v>0.74086161879895562</v>
      </c>
      <c r="CB982" s="320">
        <f>(CB959+CB948-CB689)/CB841</f>
        <v>0.6130895091434071</v>
      </c>
      <c r="CC982" s="320">
        <f>(CC959+CC948-CC689)/CC841</f>
        <v>0.62511984659635667</v>
      </c>
      <c r="CD982" s="320">
        <f>(CD959+CD948-CD689)/CD841</f>
        <v>0.61911623439000962</v>
      </c>
      <c r="CE982" s="103"/>
      <c r="CF982" s="320">
        <f>(CF959+CF948-CF689)/CF841</f>
        <v>0.62372567191844297</v>
      </c>
      <c r="CG982" s="320">
        <f>(CG959+CG948-CG689)/CG841</f>
        <v>0.6211981566820276</v>
      </c>
      <c r="CH982" s="320">
        <f>(CH959+CH948-CH689)/CH841</f>
        <v>0.62245841035120153</v>
      </c>
      <c r="CI982" s="103"/>
      <c r="CJ982" s="320">
        <f>(CJ959+CJ948-CJ689)/CJ841</f>
        <v>0.59830667920978364</v>
      </c>
      <c r="CK982" s="320">
        <f>(CK959+CK948-CK689)/CK841</f>
        <v>0.56642728904847395</v>
      </c>
      <c r="CL982" s="320">
        <f>(CL959+CL948-CL689)/CL841</f>
        <v>0.58199356913183276</v>
      </c>
      <c r="CM982" s="103"/>
      <c r="CN982" s="320">
        <f>(CN959+CN948-CN689)/CN841</f>
        <v>0.63801337153772686</v>
      </c>
      <c r="CO982" s="320">
        <f>(CO959+CO948-CO689)/CO841</f>
        <v>0.57258064516129037</v>
      </c>
      <c r="CP982" s="320">
        <f>(CP959+CP948-CP689)/CP841</f>
        <v>0.60425335182616735</v>
      </c>
      <c r="CQ982" s="103"/>
      <c r="CR982" s="320">
        <f>(CR959+CR948-CR689)/CR841</f>
        <v>0.57082984073763621</v>
      </c>
      <c r="CS982" s="320">
        <f>(CS959+CS948-CS689)/CS841</f>
        <v>0.63076923076923075</v>
      </c>
      <c r="CT982" s="320">
        <f>(CT959+CT948-CT689)/CT841</f>
        <v>0.60131795716639214</v>
      </c>
      <c r="CV982" s="320">
        <f>(CV959+CV948-CV689)/CV841</f>
        <v>0.58339100346020756</v>
      </c>
      <c r="CW982" s="320">
        <f>(CW959+CW948-CW689)/CW841</f>
        <v>0.58706786171574898</v>
      </c>
      <c r="CX982" s="320">
        <f>(CX959+CX948-CX689)/CX841</f>
        <v>0.58530096441636181</v>
      </c>
      <c r="CZ982" s="320">
        <f>(CZ959+CZ948-CZ689)/CZ841</f>
        <v>0.59497549019607843</v>
      </c>
      <c r="DA982" s="320">
        <f>(DA959+DA948-DA689)/DA841</f>
        <v>0.63584183673469385</v>
      </c>
      <c r="DB982" s="320">
        <f>(DB959+DB948-DB689)/DB841</f>
        <v>0.61499999999999999</v>
      </c>
      <c r="DD982" s="320">
        <f>(DD959+DD948-DD689)/DD841</f>
        <v>0.57599999999999996</v>
      </c>
      <c r="DE982" s="320">
        <f>(DE959+DE948-DE689)/DE841</f>
        <v>0.54208357857563272</v>
      </c>
      <c r="DF982" s="320">
        <f>(DF959+DF948-DF689)/DF841</f>
        <v>0.55866425992779778</v>
      </c>
      <c r="DH982" s="320">
        <f>(DH959+DH948-DH689)/DH841</f>
        <v>0.54031354983202684</v>
      </c>
      <c r="DI982" s="632">
        <f t="shared" ref="DI982:DJ982" si="1984">DI970*DI818/DI841</f>
        <v>0.52951959970454188</v>
      </c>
      <c r="DJ982" s="744">
        <f t="shared" si="1984"/>
        <v>0.53489046288117736</v>
      </c>
      <c r="DL982" s="632">
        <f t="shared" ref="DL982:DN982" si="1985">DL970*DL818/DL841</f>
        <v>0.53060710255204846</v>
      </c>
      <c r="DM982" s="632">
        <f t="shared" si="1985"/>
        <v>0.52955372417230362</v>
      </c>
      <c r="DN982" s="744">
        <f t="shared" si="1985"/>
        <v>0.53007156241226139</v>
      </c>
      <c r="DP982" s="632">
        <f t="shared" ref="DP982:DR982" si="1986">DP970*DP818/DP841</f>
        <v>0.53124614925527269</v>
      </c>
      <c r="DQ982" s="632">
        <f t="shared" si="1986"/>
        <v>0.53021345268839437</v>
      </c>
      <c r="DR982" s="744">
        <f t="shared" si="1986"/>
        <v>0.53072266893721931</v>
      </c>
      <c r="DU982" s="876"/>
      <c r="DV982" s="876"/>
      <c r="DW982" s="876"/>
      <c r="DZ982" s="876"/>
      <c r="EA982" s="876"/>
      <c r="ED982" s="876"/>
      <c r="EE982" s="876"/>
    </row>
    <row r="983" spans="1:273">
      <c r="A983" s="102" t="s">
        <v>688</v>
      </c>
      <c r="AR983" s="685"/>
      <c r="AS983" s="685"/>
      <c r="AT983" s="730"/>
      <c r="AU983" s="730"/>
      <c r="AV983" s="685"/>
      <c r="AW983" s="685"/>
      <c r="AX983" s="730"/>
      <c r="AY983" s="730"/>
      <c r="AZ983" s="685"/>
      <c r="BA983" s="876"/>
      <c r="BD983" s="711"/>
      <c r="BE983" s="885"/>
      <c r="BF983" s="711"/>
      <c r="BH983" s="685"/>
      <c r="BI983" s="876"/>
      <c r="BL983" s="876"/>
      <c r="BM983" s="876"/>
      <c r="BP983" s="876"/>
      <c r="BQ983" s="876"/>
      <c r="BT983" s="876"/>
      <c r="BU983" s="876"/>
      <c r="BX983" s="320"/>
      <c r="BY983" s="320"/>
      <c r="BZ983" s="320"/>
      <c r="CB983" s="320"/>
      <c r="CC983" s="320"/>
      <c r="CD983" s="320"/>
      <c r="CE983" s="103"/>
      <c r="CF983" s="320"/>
      <c r="CG983" s="320"/>
      <c r="CH983" s="320"/>
      <c r="CI983" s="103"/>
      <c r="CJ983" s="320"/>
      <c r="CK983" s="320"/>
      <c r="CL983" s="320"/>
      <c r="CM983" s="103"/>
      <c r="CN983" s="320"/>
      <c r="CO983" s="320"/>
      <c r="CP983" s="320"/>
      <c r="CQ983" s="103"/>
      <c r="CR983" s="320"/>
      <c r="CS983" s="320"/>
      <c r="CT983" s="320"/>
      <c r="CV983" s="320"/>
      <c r="CW983" s="320"/>
      <c r="CX983" s="320"/>
      <c r="CZ983" s="320"/>
      <c r="DA983" s="320"/>
      <c r="DB983" s="320"/>
      <c r="DD983" s="320"/>
      <c r="DE983" s="320"/>
      <c r="DF983" s="320"/>
      <c r="DH983" s="320"/>
      <c r="DI983" s="632"/>
      <c r="DJ983" s="632"/>
      <c r="DL983" s="632"/>
      <c r="DM983" s="632"/>
      <c r="DN983" s="632"/>
      <c r="DP983" s="632"/>
      <c r="DQ983" s="632"/>
      <c r="DR983" s="632"/>
      <c r="DU983" s="876"/>
      <c r="DV983" s="876"/>
      <c r="DW983" s="876"/>
      <c r="DZ983" s="876"/>
      <c r="EA983" s="876"/>
      <c r="ED983" s="876"/>
      <c r="EE983" s="876"/>
    </row>
    <row r="984" spans="1:273" s="1682" customFormat="1" ht="24">
      <c r="A984" s="1699" t="s">
        <v>1313</v>
      </c>
      <c r="B984" s="1681"/>
      <c r="AN984" s="1681"/>
      <c r="AO984" s="1681"/>
      <c r="AP984" s="1681"/>
      <c r="AQ984" s="1681"/>
      <c r="AR984" s="1683"/>
      <c r="AS984" s="1683"/>
      <c r="AT984" s="1681"/>
      <c r="AU984" s="1681"/>
      <c r="AV984" s="1683"/>
      <c r="AW984" s="1683"/>
      <c r="AX984" s="1681"/>
      <c r="AY984" s="1681"/>
      <c r="AZ984" s="1683"/>
      <c r="BA984" s="1683"/>
      <c r="BB984" s="1681"/>
      <c r="BC984" s="1681"/>
      <c r="BD984" s="1684"/>
      <c r="BE984" s="1684"/>
      <c r="BF984" s="1684"/>
      <c r="BG984" s="1681"/>
      <c r="BH984" s="1683"/>
      <c r="BI984" s="1683"/>
      <c r="BJ984" s="1681"/>
      <c r="BK984" s="1681"/>
      <c r="BL984" s="1683"/>
      <c r="BM984" s="1683"/>
      <c r="BN984" s="1681"/>
      <c r="BO984" s="1681"/>
      <c r="BP984" s="1683"/>
      <c r="BQ984" s="1683"/>
      <c r="BR984" s="1681"/>
      <c r="BS984" s="1681"/>
      <c r="BT984" s="1683"/>
      <c r="BU984" s="1683"/>
      <c r="BV984" s="1681"/>
      <c r="BW984" s="1681"/>
      <c r="BX984" s="320">
        <f t="shared" ref="BX984:BZ985" si="1987">(BX961+BX950-BX691)/BX843</f>
        <v>21.279069767441861</v>
      </c>
      <c r="BY984" s="320">
        <f t="shared" si="1987"/>
        <v>-136.83333333333334</v>
      </c>
      <c r="BZ984" s="320">
        <f t="shared" si="1987"/>
        <v>46.918918918918919</v>
      </c>
      <c r="CA984" s="1681"/>
      <c r="CB984" s="320">
        <f t="shared" ref="CB984:CD985" si="1988">(CB961+CB950-CB691)/CB843</f>
        <v>7.7519999999999998</v>
      </c>
      <c r="CC984" s="320">
        <f t="shared" si="1988"/>
        <v>6.6111111111111107</v>
      </c>
      <c r="CD984" s="320">
        <f t="shared" si="1988"/>
        <v>7.1792828685258963</v>
      </c>
      <c r="CE984" s="1681"/>
      <c r="CF984" s="320">
        <f t="shared" ref="CF984:CH985" si="1989">(CF961+CF950-CF691)/CF843</f>
        <v>6.0432098765432096</v>
      </c>
      <c r="CG984" s="320">
        <f t="shared" si="1989"/>
        <v>-61.18181818181818</v>
      </c>
      <c r="CH984" s="320">
        <f t="shared" si="1989"/>
        <v>16.607142857142858</v>
      </c>
      <c r="CI984" s="1681"/>
      <c r="CJ984" s="320">
        <f t="shared" ref="CJ984:CL985" si="1990">(CJ961+CJ950-CJ691)/CJ843</f>
        <v>11.134615384615385</v>
      </c>
      <c r="CK984" s="320">
        <f t="shared" si="1990"/>
        <v>4.343220338983051</v>
      </c>
      <c r="CL984" s="320">
        <f t="shared" si="1990"/>
        <v>6.4205882352941179</v>
      </c>
      <c r="CM984" s="1681"/>
      <c r="CN984" s="320">
        <f t="shared" ref="CN984:CP985" si="1991">(CN961+CN950-CN691)/CN843</f>
        <v>24.11904761904762</v>
      </c>
      <c r="CO984" s="320">
        <f t="shared" si="1991"/>
        <v>11.516666666666667</v>
      </c>
      <c r="CP984" s="320">
        <f t="shared" si="1991"/>
        <v>14.171597633136095</v>
      </c>
      <c r="CQ984" s="1681"/>
      <c r="CR984" s="320">
        <f t="shared" ref="CR984:CT985" si="1992">(CR961+CR950-CR691)/CR843</f>
        <v>10.397163120567376</v>
      </c>
      <c r="CS984" s="320">
        <f t="shared" si="1992"/>
        <v>-10.833333333333334</v>
      </c>
      <c r="CT984" s="320">
        <f t="shared" si="1992"/>
        <v>-210.4</v>
      </c>
      <c r="CU984" s="1681"/>
      <c r="CV984" s="320">
        <f t="shared" ref="CV984:CX984" si="1993">(CV961+CV950-CV691)/CV843</f>
        <v>17.042553191489361</v>
      </c>
      <c r="CW984" s="320">
        <f t="shared" si="1993"/>
        <v>9.7475728155339798</v>
      </c>
      <c r="CX984" s="320">
        <f t="shared" si="1993"/>
        <v>12.033333333333333</v>
      </c>
      <c r="CY984" s="1681"/>
      <c r="CZ984" s="320">
        <f t="shared" ref="CZ984:DB984" si="1994">(CZ961+CZ950-CZ691)/CZ843</f>
        <v>3.1014150943396226</v>
      </c>
      <c r="DA984" s="320">
        <f t="shared" si="1994"/>
        <v>3.3046218487394956</v>
      </c>
      <c r="DB984" s="320">
        <f t="shared" si="1994"/>
        <v>3.2088888888888887</v>
      </c>
      <c r="DC984" s="1681"/>
      <c r="DD984" s="320">
        <f t="shared" ref="DD984:DF984" si="1995">(DD961+DD950-DD691)/DD843</f>
        <v>3.2877030162412995</v>
      </c>
      <c r="DE984" s="320">
        <f t="shared" si="1995"/>
        <v>3.2448559670781894</v>
      </c>
      <c r="DF984" s="320">
        <f t="shared" si="1995"/>
        <v>3.2649945474372957</v>
      </c>
      <c r="DG984" s="1681"/>
      <c r="DH984" s="320">
        <f t="shared" ref="DH984" si="1996">(DH961+DH950-DH691)/DH843</f>
        <v>4.0422163588390498</v>
      </c>
      <c r="DI984" s="320"/>
      <c r="DJ984" s="320"/>
      <c r="DK984" s="1681"/>
      <c r="DL984" s="320"/>
      <c r="DM984" s="320"/>
      <c r="DN984" s="320"/>
      <c r="DO984" s="1681"/>
      <c r="DP984" s="320"/>
      <c r="DQ984" s="320"/>
      <c r="DR984" s="320"/>
      <c r="DS984" s="1681"/>
      <c r="DT984" s="1681"/>
      <c r="DU984" s="1683"/>
      <c r="DV984" s="1683"/>
      <c r="DW984" s="1683"/>
      <c r="DX984" s="1681"/>
      <c r="DY984" s="1681"/>
      <c r="DZ984" s="1683"/>
      <c r="EA984" s="1683"/>
      <c r="EB984" s="1681"/>
      <c r="EC984" s="1681"/>
      <c r="ED984" s="1683"/>
      <c r="EE984" s="1683"/>
      <c r="EF984" s="1681"/>
      <c r="EG984" s="1681"/>
      <c r="EH984" s="1681"/>
      <c r="EI984" s="1681"/>
      <c r="EJ984" s="1681"/>
      <c r="EK984" s="1681"/>
      <c r="EL984" s="1681"/>
      <c r="EM984" s="1681"/>
      <c r="EN984" s="1681"/>
      <c r="EO984" s="1681"/>
      <c r="EP984" s="1681"/>
      <c r="JM984"/>
    </row>
    <row r="985" spans="1:273">
      <c r="A985" s="289" t="s">
        <v>696</v>
      </c>
      <c r="AR985" s="685"/>
      <c r="AS985" s="685"/>
      <c r="AT985" s="730"/>
      <c r="AU985" s="730"/>
      <c r="AV985" s="685"/>
      <c r="AW985" s="685"/>
      <c r="AX985" s="730"/>
      <c r="AY985" s="730"/>
      <c r="AZ985" s="685"/>
      <c r="BA985" s="876"/>
      <c r="BD985" s="711"/>
      <c r="BE985" s="885"/>
      <c r="BF985" s="711"/>
      <c r="BH985" s="685"/>
      <c r="BI985" s="876"/>
      <c r="BL985" s="876"/>
      <c r="BM985" s="876"/>
      <c r="BP985" s="876"/>
      <c r="BQ985" s="876"/>
      <c r="BT985" s="876"/>
      <c r="BU985" s="876"/>
      <c r="BX985" s="649">
        <f t="shared" si="1987"/>
        <v>0.85325714285714283</v>
      </c>
      <c r="BY985" s="649">
        <f t="shared" si="1987"/>
        <v>0.76557412632949862</v>
      </c>
      <c r="BZ985" s="649">
        <f t="shared" si="1987"/>
        <v>0.80828323313293249</v>
      </c>
      <c r="CB985" s="649">
        <f t="shared" si="1988"/>
        <v>0.82157953281423801</v>
      </c>
      <c r="CC985" s="649">
        <f t="shared" si="1988"/>
        <v>0.80080868269844652</v>
      </c>
      <c r="CD985" s="649">
        <f t="shared" si="1988"/>
        <v>0.81096367195997388</v>
      </c>
      <c r="CE985" s="685">
        <f t="shared" ref="CE985:CE986" si="1997">+CD985-BZ985</f>
        <v>2.680438827041387E-3</v>
      </c>
      <c r="CF985" s="649">
        <f t="shared" si="1989"/>
        <v>0.81264775413711587</v>
      </c>
      <c r="CG985" s="649">
        <f t="shared" si="1989"/>
        <v>0.94559173947577446</v>
      </c>
      <c r="CH985" s="649">
        <f t="shared" si="1989"/>
        <v>0.87885680379746833</v>
      </c>
      <c r="CI985" s="685">
        <f t="shared" ref="CI985:CI986" si="1998">+CH985-CD985</f>
        <v>6.7893131837494458E-2</v>
      </c>
      <c r="CJ985" s="649">
        <f t="shared" si="1990"/>
        <v>0.86872212526662784</v>
      </c>
      <c r="CK985" s="649">
        <f t="shared" si="1990"/>
        <v>0.81029710278649192</v>
      </c>
      <c r="CL985" s="649">
        <f t="shared" si="1990"/>
        <v>0.83878593040847205</v>
      </c>
      <c r="CM985" s="685">
        <f t="shared" ref="CM985:CM986" si="1999">+CL985-CH985</f>
        <v>-4.0070873388996286E-2</v>
      </c>
      <c r="CN985" s="649">
        <f t="shared" si="1991"/>
        <v>0.86866218692730601</v>
      </c>
      <c r="CO985" s="649">
        <f t="shared" si="1991"/>
        <v>0.8008703220191471</v>
      </c>
      <c r="CP985" s="649">
        <f t="shared" si="1991"/>
        <v>0.83211336336336339</v>
      </c>
      <c r="CQ985" s="685">
        <f t="shared" ref="CQ985:CQ986" si="2000">+CP985-CL985</f>
        <v>-6.6725670451086572E-3</v>
      </c>
      <c r="CR985" s="649">
        <f t="shared" si="1992"/>
        <v>0.75263548626577581</v>
      </c>
      <c r="CS985" s="649">
        <f t="shared" si="1992"/>
        <v>0.78787043418332181</v>
      </c>
      <c r="CT985" s="649">
        <f t="shared" si="1992"/>
        <v>0.77090779127948539</v>
      </c>
      <c r="CU985" s="685">
        <f t="shared" ref="CU985:CU986" si="2001">+CT985-CP985</f>
        <v>-6.1205572083878002E-2</v>
      </c>
      <c r="CV985" s="649">
        <f t="shared" ref="CV985:CX985" si="2002">(CV962+CV951-CV692)/CV844</f>
        <v>0.77949575149742301</v>
      </c>
      <c r="CW985" s="649">
        <f t="shared" si="2002"/>
        <v>0.6955503512880562</v>
      </c>
      <c r="CX985" s="649">
        <f t="shared" si="2002"/>
        <v>0.73191335304410787</v>
      </c>
      <c r="CY985" s="685">
        <f t="shared" ref="CY985:CY986" si="2003">+CX985-CT985</f>
        <v>-3.8994438235377515E-2</v>
      </c>
      <c r="CZ985" s="649">
        <f t="shared" ref="CZ985:DB985" si="2004">(CZ962+CZ951-CZ692)/CZ844</f>
        <v>0.81754143646408839</v>
      </c>
      <c r="DA985" s="649">
        <f t="shared" si="2004"/>
        <v>0.80120010435690059</v>
      </c>
      <c r="DB985" s="649">
        <f t="shared" si="2004"/>
        <v>0.80908298114979538</v>
      </c>
      <c r="DC985" s="685">
        <f t="shared" ref="DC985:DC986" si="2005">+DB985-CX985</f>
        <v>7.7169628105687504E-2</v>
      </c>
      <c r="DD985" s="649">
        <f t="shared" ref="DD985:DF985" si="2006">(DD962+DD951-DD692)/DD844</f>
        <v>0.81776733904393484</v>
      </c>
      <c r="DE985" s="649">
        <f t="shared" ca="1" si="2006"/>
        <v>0.76079246667481959</v>
      </c>
      <c r="DF985" s="649">
        <f t="shared" ca="1" si="2006"/>
        <v>0.78754459941615307</v>
      </c>
      <c r="DG985" s="685"/>
      <c r="DH985" s="649">
        <f t="shared" ref="DH985" si="2007">(DH962+DH951-DH692)/DH844</f>
        <v>0.79762209153669139</v>
      </c>
      <c r="DI985" s="649"/>
      <c r="DJ985" s="649"/>
      <c r="DK985" s="685"/>
      <c r="DL985" s="649"/>
      <c r="DM985" s="649"/>
      <c r="DN985" s="649"/>
      <c r="DP985" s="649"/>
      <c r="DQ985" s="649"/>
      <c r="DR985" s="649"/>
      <c r="DU985" s="876"/>
      <c r="DV985" s="876"/>
      <c r="DW985" s="876"/>
      <c r="DZ985" s="876"/>
      <c r="EA985" s="876"/>
      <c r="ED985" s="876"/>
      <c r="EE985" s="876"/>
    </row>
    <row r="986" spans="1:273">
      <c r="A986" s="289" t="s">
        <v>1349</v>
      </c>
      <c r="AR986" s="685"/>
      <c r="AS986" s="685"/>
      <c r="AT986" s="730"/>
      <c r="AU986" s="730"/>
      <c r="AV986" s="685"/>
      <c r="AW986" s="685"/>
      <c r="AX986" s="730"/>
      <c r="AY986" s="730"/>
      <c r="AZ986" s="685"/>
      <c r="BA986" s="876"/>
      <c r="BD986" s="711"/>
      <c r="BE986" s="885"/>
      <c r="BF986" s="711"/>
      <c r="BH986" s="685"/>
      <c r="BI986" s="876"/>
      <c r="BL986" s="876"/>
      <c r="BM986" s="876"/>
      <c r="BP986" s="876"/>
      <c r="BQ986" s="876"/>
      <c r="BT986" s="876"/>
      <c r="BU986" s="876"/>
      <c r="BX986" s="649">
        <f>((BX962-BX961)+(BX951-BX950)-(BX692-BX691))/(BX844-BX843)</f>
        <v>0.6505078485687904</v>
      </c>
      <c r="BY986" s="649">
        <f>((BY962-BY961)+(BY951-BY950)-(BY692-BY691))/(BY844-BY843)</f>
        <v>0.58660307825709945</v>
      </c>
      <c r="BZ986" s="649">
        <f>((BZ962-BZ961)+(BZ951-BZ950)-(BZ692-BZ691))/(BZ844-BZ843)</f>
        <v>0.617551704863052</v>
      </c>
      <c r="CB986" s="649">
        <f>((CB962-CB961)+(CB951-CB950)-(CB692-CB691))/(CB844-CB843)</f>
        <v>0.62334096109839821</v>
      </c>
      <c r="CC986" s="649">
        <f>((CC962-CC961)+(CC951-CC950)-(CC692-CC691))/(CC844-CC843)</f>
        <v>0.64071725344412855</v>
      </c>
      <c r="CD986" s="649">
        <f>((CD962-CD961)+(CD951-CD950)-(CD692-CD691))/(CD844-CD843)</f>
        <v>0.63222632226322262</v>
      </c>
      <c r="CE986" s="685">
        <f t="shared" si="1997"/>
        <v>1.467461740017062E-2</v>
      </c>
      <c r="CF986" s="649">
        <f>((CF962-CF961)+(CF951-CF950)-(CF692-CF691))/(CF844-CF843)</f>
        <v>0.64021164021164023</v>
      </c>
      <c r="CG986" s="649">
        <f>((CG962-CG961)+(CG951-CG950)-(CG692-CG691))/(CG844-CG843)</f>
        <v>0.675365757216291</v>
      </c>
      <c r="CH986" s="649">
        <f>((CH962-CH961)+(CH951-CH950)-(CH692-CH691))/(CH844-CH843)</f>
        <v>0.65804251905334943</v>
      </c>
      <c r="CI986" s="685">
        <f t="shared" si="1998"/>
        <v>2.5816196790126811E-2</v>
      </c>
      <c r="CJ986" s="649">
        <f>((CJ962-CJ961)+(CJ951-CJ950)-(CJ692-CJ691))/(CJ844-CJ843)</f>
        <v>0.65743122897288742</v>
      </c>
      <c r="CK986" s="649">
        <f>((CK962-CK961)+(CK951-CK950)-(CK692-CK691))/(CK844-CK843)</f>
        <v>0.6494308315647308</v>
      </c>
      <c r="CL986" s="649">
        <f>((CL962-CL961)+(CL951-CL950)-(CL692-CL691))/(CL844-CL843)</f>
        <v>0.65338022665103557</v>
      </c>
      <c r="CM986" s="685">
        <f t="shared" si="1999"/>
        <v>-4.6622924023138612E-3</v>
      </c>
      <c r="CN986" s="649">
        <f>((CN962-CN961)+(CN951-CN950)-(CN692-CN691))/(CN844-CN843)</f>
        <v>0.66810433353871435</v>
      </c>
      <c r="CO986" s="649">
        <f>((CO962-CO961)+(CO951-CO950)-(CO692-CO691))/(CO844-CO843)</f>
        <v>0.5722666666666667</v>
      </c>
      <c r="CP986" s="649">
        <f>((CP962-CP961)+(CP951-CP950)-(CP692-CP691))/(CP844-CP843)</f>
        <v>0.61714503671211973</v>
      </c>
      <c r="CQ986" s="1712">
        <f t="shared" si="2000"/>
        <v>-3.6235189938915835E-2</v>
      </c>
      <c r="CR986" s="649">
        <f>((CR962-CR961)+(CR951-CR950)-(CR692-CR691))/(CR844-CR843)</f>
        <v>0.54640582347588718</v>
      </c>
      <c r="CS986" s="649">
        <f>((CS962-CS961)+(CS951-CS950)-(CS692-CS691))/(CS844-CS843)</f>
        <v>0.54324652543516394</v>
      </c>
      <c r="CT986" s="649">
        <f>((CT962-CT961)+(CT951-CT950)-(CT692-CT691))/(CT844-CT843)</f>
        <v>0.54473402356301326</v>
      </c>
      <c r="CU986" s="1712">
        <f t="shared" si="2001"/>
        <v>-7.2411013149106473E-2</v>
      </c>
      <c r="CV986" s="649">
        <f>((CV962-CV961)+(CV951-CV950)-(CV692-CV691))/(CV844-CV843)</f>
        <v>0.56372618207480596</v>
      </c>
      <c r="CW986" s="649">
        <f>((CW962-CW961)+(CW951-CW950)-(CW692-CW691))/(CW844-CW843)</f>
        <v>0.49259904222899437</v>
      </c>
      <c r="CX986" s="649">
        <f>((CX962-CX961)+(CX951-CX950)-(CX692-CX691))/(CX844-CX843)</f>
        <v>0.52356664413445586</v>
      </c>
      <c r="CY986" s="1712">
        <f t="shared" si="2003"/>
        <v>-2.1167379428557398E-2</v>
      </c>
      <c r="CZ986" s="649">
        <f>((CZ962-CZ961)+(CZ951-CZ950)-(CZ692-CZ691))/(CZ844-CZ843)</f>
        <v>0.67546948356807512</v>
      </c>
      <c r="DA986" s="649">
        <f>((DA962-DA961)+(DA951-DA950)-(DA692-DA691))/(DA844-DA843)</f>
        <v>0.63546592489568843</v>
      </c>
      <c r="DB986" s="649">
        <f>((DB962-DB961)+(DB951-DB950)-(DB692-DB691))/(DB844-DB843)</f>
        <v>0.65488684229313909</v>
      </c>
      <c r="DC986" s="1712">
        <f t="shared" si="2005"/>
        <v>0.13132019815868323</v>
      </c>
      <c r="DD986" s="649">
        <f>((DD962-DD961)+(DD951-DD950)-(DD692-DD691))/(DD844-DD843)</f>
        <v>0.66137799324225066</v>
      </c>
      <c r="DE986" s="649">
        <f ca="1">((DE962-DE961)+(DE951-DE950)-(DE692-DE691))/(DE844-DE843)</f>
        <v>0.60382264985047462</v>
      </c>
      <c r="DF986" s="649">
        <f ca="1">((DF962-DF961)+(DF951-DF950)-(DF692-DF691))/(DF844-DF843)</f>
        <v>0.63084563388053527</v>
      </c>
      <c r="DG986" s="1712">
        <f t="shared" ref="DG986" ca="1" si="2008">+DF986-DB986</f>
        <v>-2.4041208412603821E-2</v>
      </c>
      <c r="DH986" s="649">
        <f>((DH962-DH961)+(DH951-DH950)-(DH692-DH691))/(DH844-DH843)</f>
        <v>0.63240628778718255</v>
      </c>
      <c r="DI986" s="649">
        <f>(DI966*DI814+DI967*DI815+DI968*DI816+DI970*DI818) / (DI844-DI843)</f>
        <v>0.54032288752316981</v>
      </c>
      <c r="DJ986" s="649">
        <f>(DJ966*DJ814+DJ967*DJ815+DJ968*DJ816+DJ970*DJ818) / (DJ844-DJ843)</f>
        <v>0.58453823747333933</v>
      </c>
      <c r="DK986" s="1712">
        <f t="shared" ref="DK986" ca="1" si="2009">+DJ986-DF986</f>
        <v>-4.6307396407195944E-2</v>
      </c>
      <c r="DL986" s="649">
        <f>(DL966*DL814+DL967*DL815+DL968*DL816+DL970*DL818) / (DL844-DL843)</f>
        <v>0.5261718360197567</v>
      </c>
      <c r="DM986" s="649">
        <f>(DM966*DM814+DM967*DM815+DM968*DM816+DM970*DM818) / (DM844-DM843)</f>
        <v>0.52958042520543958</v>
      </c>
      <c r="DN986" s="649">
        <f>(DN966*DN814+DN967*DN815+DN968*DN816+DN970*DN818) / (DN844-DN843)</f>
        <v>0.52796833519848585</v>
      </c>
      <c r="DP986" s="649">
        <f>(DP966*DP814+DP967*DP815+DP968*DP816+DP970*DP818) / (DP844-DP843)</f>
        <v>0.52862621675359733</v>
      </c>
      <c r="DQ986" s="649">
        <f>(DQ966*DQ814+DQ967*DQ815+DQ968*DQ816+DQ970*DQ818) / (DQ844-DQ843)</f>
        <v>0.53276805450364173</v>
      </c>
      <c r="DR986" s="649">
        <f>(DR966*DR814+DR967*DR815+DR968*DR816+DR970*DR818) / (DR844-DR843)</f>
        <v>0.53080600986005555</v>
      </c>
      <c r="DU986" s="876"/>
      <c r="DV986" s="876"/>
      <c r="DW986" s="876"/>
      <c r="DZ986" s="876"/>
      <c r="EA986" s="876"/>
      <c r="ED986" s="876"/>
      <c r="EE986" s="876"/>
    </row>
    <row r="987" spans="1:273" s="1589" customFormat="1">
      <c r="A987" s="1589" t="s">
        <v>580</v>
      </c>
      <c r="B987" s="1590"/>
      <c r="AN987" s="1590"/>
      <c r="AO987" s="1590"/>
      <c r="AP987" s="1590"/>
      <c r="AQ987" s="1590"/>
      <c r="AR987" s="1591"/>
      <c r="AS987" s="1591"/>
      <c r="AT987" s="1592"/>
      <c r="AU987" s="1592"/>
      <c r="AV987" s="1591"/>
      <c r="AW987" s="1591"/>
      <c r="AX987" s="1592"/>
      <c r="AY987" s="1592"/>
      <c r="AZ987" s="1591"/>
      <c r="BA987" s="1593"/>
      <c r="BB987" s="1590"/>
      <c r="BC987" s="1590"/>
      <c r="BD987" s="1594"/>
      <c r="BE987" s="1595"/>
      <c r="BF987" s="1594"/>
      <c r="BG987" s="1590"/>
      <c r="BH987" s="1591"/>
      <c r="BI987" s="1593"/>
      <c r="BJ987" s="1590"/>
      <c r="BK987" s="1590"/>
      <c r="BL987" s="1593"/>
      <c r="BM987" s="1593"/>
      <c r="BN987" s="1590"/>
      <c r="BO987" s="1590"/>
      <c r="BP987" s="1593"/>
      <c r="BQ987" s="1593"/>
      <c r="BR987" s="1590"/>
      <c r="BS987" s="1590"/>
      <c r="BT987" s="1593"/>
      <c r="BU987" s="1593"/>
      <c r="BV987" s="1590"/>
      <c r="BW987" s="1590"/>
      <c r="BX987" s="1692"/>
      <c r="BY987" s="1692"/>
      <c r="BZ987" s="1692"/>
      <c r="CA987" s="1657"/>
      <c r="CB987" s="1692"/>
      <c r="CC987" s="1692"/>
      <c r="CD987" s="1692"/>
      <c r="CE987" s="1657"/>
      <c r="CF987" s="1692"/>
      <c r="CG987" s="1692"/>
      <c r="CH987" s="1692"/>
      <c r="CI987" s="1657"/>
      <c r="CJ987" s="1692"/>
      <c r="CK987" s="1692"/>
      <c r="CL987" s="1692"/>
      <c r="CM987" s="1657"/>
      <c r="CN987" s="1692"/>
      <c r="CO987" s="1692"/>
      <c r="CP987" s="1692"/>
      <c r="CQ987" s="1657"/>
      <c r="CR987" s="1692"/>
      <c r="CS987" s="1692"/>
      <c r="CT987" s="1692"/>
      <c r="CU987" s="1590"/>
      <c r="CV987" s="1596"/>
      <c r="CW987" s="1596"/>
      <c r="CX987" s="1596"/>
      <c r="CY987" s="1590"/>
      <c r="CZ987" s="1596"/>
      <c r="DA987" s="1596"/>
      <c r="DB987" s="1596"/>
      <c r="DC987" s="1590"/>
      <c r="DD987" s="1596"/>
      <c r="DE987" s="1596"/>
      <c r="DF987" s="1596"/>
      <c r="DG987" s="1590"/>
      <c r="DH987" s="1596"/>
      <c r="DI987" s="1596"/>
      <c r="DJ987" s="1596"/>
      <c r="DK987" s="1590"/>
      <c r="DL987" s="1596"/>
      <c r="DM987" s="1596"/>
      <c r="DN987" s="1596"/>
      <c r="DO987" s="1590"/>
      <c r="DP987" s="1596"/>
      <c r="DQ987" s="1596"/>
      <c r="DR987" s="1596"/>
      <c r="DS987" s="1590"/>
      <c r="DT987" s="1590"/>
      <c r="DU987" s="1593"/>
      <c r="DV987" s="1593"/>
      <c r="DW987" s="1593"/>
      <c r="DX987" s="1590"/>
      <c r="DY987" s="1590"/>
      <c r="DZ987" s="1593"/>
      <c r="EA987" s="1593"/>
      <c r="EB987" s="1590"/>
      <c r="EC987" s="1590"/>
      <c r="ED987" s="1593"/>
      <c r="EE987" s="1593"/>
      <c r="EF987" s="1590"/>
      <c r="EG987" s="1590"/>
      <c r="EH987" s="1590"/>
      <c r="EI987" s="1590"/>
      <c r="EJ987" s="1590"/>
      <c r="EK987" s="1590"/>
      <c r="EL987" s="1590"/>
      <c r="EM987" s="1590"/>
      <c r="EN987" s="1590"/>
      <c r="EO987" s="1590"/>
      <c r="EP987" s="1590"/>
      <c r="JM987"/>
    </row>
    <row r="988" spans="1:273">
      <c r="AR988" s="685"/>
      <c r="AS988" s="685"/>
      <c r="AT988" s="730"/>
      <c r="AU988" s="730"/>
      <c r="AV988" s="685"/>
      <c r="AW988" s="685"/>
      <c r="AX988" s="730"/>
      <c r="AY988" s="730"/>
      <c r="AZ988" s="685"/>
      <c r="BA988" s="876"/>
      <c r="BD988" s="711"/>
      <c r="BE988" s="885"/>
      <c r="BF988" s="711"/>
      <c r="BH988" s="685"/>
      <c r="BI988" s="876"/>
      <c r="BL988" s="876"/>
      <c r="BM988" s="876"/>
      <c r="BP988" s="876"/>
      <c r="BQ988" s="876"/>
      <c r="BT988" s="876"/>
      <c r="BU988" s="876"/>
      <c r="BX988" s="876"/>
      <c r="BY988" s="876"/>
      <c r="CB988" s="876"/>
      <c r="CC988" s="876"/>
      <c r="CF988" s="876"/>
      <c r="CG988" s="876"/>
      <c r="CJ988" s="876"/>
      <c r="CK988" s="876"/>
      <c r="CN988" s="876"/>
      <c r="CO988" s="876"/>
      <c r="CR988" s="876"/>
      <c r="CS988" s="876"/>
      <c r="CT988" s="293"/>
      <c r="CV988" s="876"/>
      <c r="CW988" s="876"/>
      <c r="CZ988" s="876"/>
      <c r="DA988" s="876"/>
      <c r="DD988" s="876"/>
      <c r="DE988" s="876"/>
      <c r="DH988" s="876"/>
      <c r="DI988" s="876"/>
      <c r="DL988" s="876"/>
      <c r="DM988" s="876"/>
      <c r="DP988" s="876"/>
      <c r="DQ988" s="876"/>
      <c r="DU988" s="876"/>
      <c r="DV988" s="876"/>
      <c r="DW988" s="876"/>
      <c r="DZ988" s="876"/>
      <c r="EA988" s="876"/>
      <c r="ED988" s="876"/>
      <c r="EE988" s="876"/>
    </row>
    <row r="989" spans="1:273">
      <c r="A989" s="289"/>
      <c r="AR989" s="685"/>
      <c r="AS989" s="685"/>
      <c r="AT989" s="730"/>
      <c r="AU989" s="730"/>
      <c r="AV989" s="685"/>
      <c r="AW989" s="685"/>
      <c r="AX989" s="730"/>
      <c r="AY989" s="730"/>
      <c r="AZ989" s="685"/>
      <c r="BA989" s="876"/>
      <c r="BD989" s="711"/>
      <c r="BE989" s="885"/>
      <c r="BF989" s="711"/>
      <c r="BH989" s="685"/>
      <c r="BI989" s="876"/>
      <c r="BL989" s="876"/>
      <c r="BM989" s="876"/>
      <c r="BP989" s="876"/>
      <c r="BQ989" s="876"/>
      <c r="BT989" s="876"/>
      <c r="BU989" s="876"/>
      <c r="BX989" s="649"/>
      <c r="BY989" s="649"/>
      <c r="BZ989" s="649"/>
      <c r="CB989" s="649"/>
      <c r="CC989" s="649"/>
      <c r="CD989" s="649"/>
      <c r="CE989" s="103"/>
      <c r="CF989" s="649"/>
      <c r="CG989" s="649"/>
      <c r="CH989" s="649"/>
      <c r="CI989" s="103"/>
      <c r="CJ989" s="649"/>
      <c r="CK989" s="649"/>
      <c r="CL989" s="649"/>
      <c r="CM989" s="103"/>
      <c r="CN989" s="649"/>
      <c r="CO989" s="649"/>
      <c r="CP989" s="649"/>
      <c r="CQ989" s="103"/>
      <c r="CR989" s="649"/>
      <c r="CS989" s="649"/>
      <c r="CT989" s="295"/>
      <c r="CV989" s="626"/>
      <c r="CW989" s="626"/>
      <c r="CX989" s="626"/>
      <c r="CZ989" s="876"/>
      <c r="DA989" s="876"/>
      <c r="DD989" s="876"/>
      <c r="DE989" s="876"/>
      <c r="DH989" s="876"/>
      <c r="DI989" s="876"/>
      <c r="DL989" s="876"/>
      <c r="DM989" s="876"/>
      <c r="DP989" s="876"/>
      <c r="DQ989" s="876"/>
      <c r="DU989" s="876"/>
      <c r="DV989" s="876"/>
      <c r="DW989" s="876"/>
      <c r="DZ989" s="876"/>
      <c r="EA989" s="876"/>
      <c r="ED989" s="876"/>
      <c r="EE989" s="876"/>
    </row>
    <row r="990" spans="1:273">
      <c r="A990" s="1694" t="s">
        <v>1335</v>
      </c>
      <c r="AR990" s="685"/>
      <c r="AS990" s="685"/>
      <c r="AT990" s="730"/>
      <c r="AU990" s="730"/>
      <c r="AV990" s="685"/>
      <c r="AW990" s="685"/>
      <c r="AX990" s="730"/>
      <c r="AY990" s="730"/>
      <c r="AZ990" s="685"/>
      <c r="BA990" s="876"/>
      <c r="BD990" s="711"/>
      <c r="BE990" s="885"/>
      <c r="BF990" s="711"/>
      <c r="BH990" s="685"/>
      <c r="BI990" s="876"/>
      <c r="BL990" s="876"/>
      <c r="BM990" s="876"/>
      <c r="BP990" s="876"/>
      <c r="BQ990" s="876"/>
      <c r="BT990" s="876"/>
      <c r="BU990" s="876"/>
      <c r="BX990" s="876"/>
      <c r="BY990" s="876"/>
      <c r="CB990" s="876"/>
      <c r="CC990" s="876"/>
      <c r="CF990" s="876"/>
      <c r="CG990" s="876"/>
      <c r="CJ990" s="876"/>
      <c r="CK990" s="876"/>
      <c r="CN990" s="876"/>
      <c r="CO990" s="876"/>
      <c r="CR990" s="876"/>
      <c r="CS990" s="876"/>
      <c r="CT990" s="711"/>
      <c r="CV990" s="876"/>
      <c r="CW990" s="876"/>
      <c r="CZ990" s="876"/>
      <c r="DA990" s="876"/>
      <c r="DD990" s="876"/>
      <c r="DE990" s="876"/>
      <c r="DH990" s="876"/>
      <c r="DI990" s="876"/>
      <c r="DL990" s="876"/>
      <c r="DM990" s="876"/>
      <c r="DP990" s="876"/>
      <c r="DQ990" s="876"/>
      <c r="DU990" s="876"/>
      <c r="DV990" s="876"/>
      <c r="DW990" s="876"/>
      <c r="DZ990" s="876"/>
      <c r="EA990" s="876"/>
      <c r="ED990" s="876"/>
      <c r="EE990" s="876"/>
    </row>
    <row r="991" spans="1:273">
      <c r="A991" s="102" t="s">
        <v>686</v>
      </c>
      <c r="AR991" s="685"/>
      <c r="AS991" s="685"/>
      <c r="AT991" s="730"/>
      <c r="AU991" s="730"/>
      <c r="AV991" s="685"/>
      <c r="AW991" s="685"/>
      <c r="AX991" s="730"/>
      <c r="AY991" s="730"/>
      <c r="AZ991" s="685"/>
      <c r="BA991" s="876"/>
      <c r="BD991" s="711"/>
      <c r="BE991" s="885"/>
      <c r="BF991" s="711"/>
      <c r="BH991" s="685"/>
      <c r="BI991" s="876"/>
      <c r="BL991" s="876"/>
      <c r="BM991" s="876"/>
      <c r="BP991" s="876"/>
      <c r="BQ991" s="876"/>
      <c r="BT991" s="876"/>
      <c r="BU991" s="876"/>
      <c r="BX991" s="293">
        <f t="shared" ref="BX991:BZ996" si="2010">+BX1012+((BX911/SUM(BX$911:BX$915)*BX$1018))</f>
        <v>542.70229269493507</v>
      </c>
      <c r="BY991" s="293">
        <f t="shared" si="2010"/>
        <v>542.30613972446918</v>
      </c>
      <c r="BZ991" s="293">
        <f t="shared" si="2010"/>
        <v>1084.9144790945656</v>
      </c>
      <c r="CB991" s="293">
        <f t="shared" ref="CB991:CD996" si="2011">+CB1012+((CB911/SUM(CB$911:CB$915)*CB$1018))</f>
        <v>509.20502349689002</v>
      </c>
      <c r="CC991" s="293">
        <f t="shared" si="2011"/>
        <v>664.35019243301963</v>
      </c>
      <c r="CD991" s="293">
        <f t="shared" si="2011"/>
        <v>1173.4377225522485</v>
      </c>
      <c r="CE991" s="103"/>
      <c r="CF991" s="293">
        <f t="shared" ref="CF991:CH996" si="2012">+CF1012+((CF911/SUM(CF$911:CF$915)*CF$1018))</f>
        <v>615.40806117755278</v>
      </c>
      <c r="CG991" s="293">
        <f t="shared" si="2012"/>
        <v>941.81700859019691</v>
      </c>
      <c r="CH991" s="293">
        <f t="shared" si="2012"/>
        <v>1556.0608351560945</v>
      </c>
      <c r="CI991" s="103"/>
      <c r="CJ991" s="293">
        <f t="shared" ref="CJ991:CL996" si="2013">+CJ1012+((CJ911/SUM(CJ$911:CJ$915)*CJ$1018))</f>
        <v>996.78939677675635</v>
      </c>
      <c r="CK991" s="293">
        <f t="shared" si="2013"/>
        <v>1195.5425365183021</v>
      </c>
      <c r="CL991" s="293">
        <f t="shared" si="2013"/>
        <v>2192.7110744319962</v>
      </c>
      <c r="CM991" s="103"/>
      <c r="CN991" s="293">
        <f t="shared" ref="CN991:CP996" si="2014">+CN1012+((CN911/SUM(CN$911:CN$915)*CN$1018))</f>
        <v>874.01060960451969</v>
      </c>
      <c r="CO991" s="293">
        <f t="shared" si="2014"/>
        <v>1276.3158858521804</v>
      </c>
      <c r="CP991" s="293">
        <f t="shared" si="2014"/>
        <v>2148.6232337622118</v>
      </c>
      <c r="CQ991" s="103"/>
      <c r="CR991" s="293">
        <f t="shared" ref="CR991:CT996" si="2015">+CR1012+((CR911/SUM(CR$911:CR$915)*CR$1018))</f>
        <v>1076.8553051643194</v>
      </c>
      <c r="CS991" s="293">
        <f t="shared" si="2015"/>
        <v>1202.1766658002807</v>
      </c>
      <c r="CT991" s="293">
        <f t="shared" si="2015"/>
        <v>2278.5748374384239</v>
      </c>
      <c r="CV991" s="293">
        <f t="shared" ref="CV991:CX991" si="2016">+CV1012+((CV911/SUM(CV$911:CV$915)*CV$1018))</f>
        <v>1158.065287936957</v>
      </c>
      <c r="CW991" s="293">
        <f t="shared" si="2016"/>
        <v>990.71366874662226</v>
      </c>
      <c r="CX991" s="293">
        <f t="shared" si="2016"/>
        <v>2151.9260995292534</v>
      </c>
      <c r="CZ991" s="293">
        <f t="shared" ref="CZ991" si="2017">+CZ1012+((CZ911/SUM(CZ$911:CZ$915)*CZ$1018))</f>
        <v>1052.3189718202591</v>
      </c>
      <c r="DA991" s="293">
        <f t="shared" ref="DA991:DB991" si="2018">+DA1012+((DA911/SUM(DA$911:DA$915)*DA$1018))</f>
        <v>1158.4145719337062</v>
      </c>
      <c r="DB991" s="293">
        <f t="shared" si="2018"/>
        <v>2210.7123635017851</v>
      </c>
      <c r="DD991" s="293">
        <f t="shared" ref="DD991:DF996" si="2019">+DD1012+((DD911/SUM(DD$911:DD$915)*DD$1018))</f>
        <v>1016.8398988295972</v>
      </c>
      <c r="DE991" s="293">
        <f t="shared" si="2019"/>
        <v>1195.4761814663937</v>
      </c>
      <c r="DF991" s="293">
        <f t="shared" si="2019"/>
        <v>2212.1449969878522</v>
      </c>
      <c r="DH991" s="293">
        <f t="shared" ref="DH991" si="2020">+DH1012+((DH911/SUM(DH$911:DH$915)*DH$1018))</f>
        <v>1160.8305329847144</v>
      </c>
      <c r="DI991" s="293">
        <f t="shared" ref="DI991:DJ991" si="2021">+DI1012+((DI911/SUM(DI$911:DI$915)*DI$1018))</f>
        <v>1269.5057668144632</v>
      </c>
      <c r="DJ991" s="293">
        <f t="shared" si="2021"/>
        <v>2430.9501528585097</v>
      </c>
      <c r="DL991" s="293">
        <f t="shared" ref="DL991:DN991" si="2022">+DL1012+((DL911/SUM(DL$911:DL$915)*DL$1018))</f>
        <v>1258.3401649168075</v>
      </c>
      <c r="DM991" s="293">
        <f t="shared" si="2022"/>
        <v>1460.8644750188969</v>
      </c>
      <c r="DN991" s="293">
        <f t="shared" si="2022"/>
        <v>2719.2046399357041</v>
      </c>
      <c r="DP991" s="293">
        <f t="shared" ref="DP991:DR991" si="2023">+DP1012+((DP911/SUM(DP$911:DP$915)*DP$1018))</f>
        <v>1345.1997496203119</v>
      </c>
      <c r="DQ991" s="293">
        <f t="shared" si="2023"/>
        <v>1553.4168560881435</v>
      </c>
      <c r="DR991" s="293">
        <f t="shared" si="2023"/>
        <v>2898.6166057084556</v>
      </c>
      <c r="DU991" s="876"/>
      <c r="DV991" s="876"/>
      <c r="DW991" s="876"/>
      <c r="DZ991" s="876"/>
      <c r="EA991" s="876"/>
      <c r="ED991" s="876"/>
      <c r="EE991" s="876"/>
    </row>
    <row r="992" spans="1:273">
      <c r="A992" s="102" t="s">
        <v>1306</v>
      </c>
      <c r="AR992" s="685"/>
      <c r="AS992" s="685"/>
      <c r="AT992" s="730"/>
      <c r="AU992" s="730"/>
      <c r="AV992" s="685"/>
      <c r="AW992" s="685"/>
      <c r="AX992" s="730"/>
      <c r="AY992" s="730"/>
      <c r="AZ992" s="685"/>
      <c r="BA992" s="876"/>
      <c r="BD992" s="711"/>
      <c r="BE992" s="885"/>
      <c r="BF992" s="711"/>
      <c r="BH992" s="685"/>
      <c r="BI992" s="876"/>
      <c r="BL992" s="876"/>
      <c r="BM992" s="876"/>
      <c r="BP992" s="876"/>
      <c r="BQ992" s="876"/>
      <c r="BT992" s="876"/>
      <c r="BU992" s="876"/>
      <c r="BX992" s="293">
        <f t="shared" si="2010"/>
        <v>811.98809588282347</v>
      </c>
      <c r="BY992" s="293">
        <f t="shared" si="2010"/>
        <v>742.53136577350847</v>
      </c>
      <c r="BZ992" s="293">
        <f t="shared" si="2010"/>
        <v>1555.3827656907679</v>
      </c>
      <c r="CB992" s="293">
        <f t="shared" si="2011"/>
        <v>903.51340246277573</v>
      </c>
      <c r="CC992" s="293">
        <f t="shared" si="2011"/>
        <v>672.53827697320787</v>
      </c>
      <c r="CD992" s="293">
        <f t="shared" si="2011"/>
        <v>1575.9203301425098</v>
      </c>
      <c r="CE992" s="103"/>
      <c r="CF992" s="293">
        <f t="shared" si="2012"/>
        <v>925.16307210211585</v>
      </c>
      <c r="CG992" s="293">
        <f t="shared" si="2012"/>
        <v>1073.4417180394139</v>
      </c>
      <c r="CH992" s="293">
        <f t="shared" si="2012"/>
        <v>1997.0821674289123</v>
      </c>
      <c r="CI992" s="103"/>
      <c r="CJ992" s="293">
        <f t="shared" si="2013"/>
        <v>1054.0595783679491</v>
      </c>
      <c r="CK992" s="293">
        <f t="shared" si="2013"/>
        <v>1055.7547413644957</v>
      </c>
      <c r="CL992" s="293">
        <f t="shared" si="2013"/>
        <v>2109.8322115795777</v>
      </c>
      <c r="CM992" s="103"/>
      <c r="CN992" s="293">
        <f t="shared" si="2014"/>
        <v>1106.5791429378532</v>
      </c>
      <c r="CO992" s="293">
        <f t="shared" si="2014"/>
        <v>1052.9775015432963</v>
      </c>
      <c r="CP992" s="293">
        <f t="shared" si="2014"/>
        <v>2159.5326371801007</v>
      </c>
      <c r="CQ992" s="103"/>
      <c r="CR992" s="293">
        <f t="shared" si="2015"/>
        <v>1463.5667605633803</v>
      </c>
      <c r="CS992" s="293">
        <f t="shared" si="2015"/>
        <v>1793.9391433175651</v>
      </c>
      <c r="CT992" s="293">
        <f t="shared" si="2015"/>
        <v>3258.253133004926</v>
      </c>
      <c r="CV992" s="293">
        <f t="shared" ref="CV992:CX992" si="2024">+CV1013+((CV912/SUM(CV$911:CV$915)*CV$1018))</f>
        <v>1573.9236249747423</v>
      </c>
      <c r="CW992" s="293">
        <f t="shared" si="2024"/>
        <v>1624.3737110008353</v>
      </c>
      <c r="CX992" s="293">
        <f t="shared" si="2024"/>
        <v>3198.6099820668014</v>
      </c>
      <c r="CZ992" s="293">
        <f t="shared" ref="CZ992" si="2025">+CZ1013+((CZ912/SUM(CZ$911:CZ$915)*CZ$1018))</f>
        <v>1554.5455693069307</v>
      </c>
      <c r="DA992" s="293">
        <f t="shared" ref="DA992:DB992" si="2026">+DA1013+((DA912/SUM(DA$911:DA$915)*DA$1018))</f>
        <v>1260.9719510902496</v>
      </c>
      <c r="DB992" s="293">
        <f t="shared" si="2026"/>
        <v>2815.4958115540048</v>
      </c>
      <c r="DD992" s="293">
        <f t="shared" si="2019"/>
        <v>1688.215239039873</v>
      </c>
      <c r="DE992" s="293">
        <f t="shared" si="2019"/>
        <v>1448.0991452753437</v>
      </c>
      <c r="DF992" s="293">
        <f t="shared" si="2019"/>
        <v>3136.4447048683046</v>
      </c>
      <c r="DH992" s="293">
        <f t="shared" ref="DH992" si="2027">+DH1013+((DH912/SUM(DH$911:DH$915)*DH$1018))</f>
        <v>1798.0478942075624</v>
      </c>
      <c r="DI992" s="293">
        <f t="shared" ref="DI992:DJ992" si="2028">+DI1013+((DI912/SUM(DI$911:DI$915)*DI$1018))</f>
        <v>1446.1909971750347</v>
      </c>
      <c r="DJ992" s="293">
        <f t="shared" si="2028"/>
        <v>3244.7532713458068</v>
      </c>
      <c r="DL992" s="293">
        <f t="shared" ref="DL992:DN992" si="2029">+DL1013+((DL912/SUM(DL$911:DL$915)*DL$1018))</f>
        <v>1183.8420618990599</v>
      </c>
      <c r="DM992" s="293">
        <f t="shared" si="2029"/>
        <v>1249.1770161495579</v>
      </c>
      <c r="DN992" s="293">
        <f t="shared" si="2029"/>
        <v>2433.0190780486178</v>
      </c>
      <c r="DP992" s="293">
        <f t="shared" ref="DP992:DR992" si="2030">+DP1013+((DP912/SUM(DP$911:DP$915)*DP$1018))</f>
        <v>1222.7838167815135</v>
      </c>
      <c r="DQ992" s="293">
        <f t="shared" si="2030"/>
        <v>1297.654874655304</v>
      </c>
      <c r="DR992" s="293">
        <f t="shared" si="2030"/>
        <v>2520.4386914368179</v>
      </c>
      <c r="DU992" s="876"/>
      <c r="DV992" s="876"/>
      <c r="DW992" s="876"/>
      <c r="DZ992" s="876"/>
      <c r="EA992" s="876"/>
      <c r="ED992" s="876"/>
      <c r="EE992" s="876"/>
    </row>
    <row r="993" spans="1:273">
      <c r="A993" s="102" t="s">
        <v>1024</v>
      </c>
      <c r="AR993" s="685"/>
      <c r="AS993" s="685"/>
      <c r="AT993" s="730"/>
      <c r="AU993" s="730"/>
      <c r="AV993" s="685"/>
      <c r="AW993" s="685"/>
      <c r="AX993" s="730"/>
      <c r="AY993" s="730"/>
      <c r="AZ993" s="685"/>
      <c r="BA993" s="876"/>
      <c r="BD993" s="711"/>
      <c r="BE993" s="885"/>
      <c r="BF993" s="711"/>
      <c r="BH993" s="685"/>
      <c r="BI993" s="876"/>
      <c r="BL993" s="876"/>
      <c r="BM993" s="876"/>
      <c r="BP993" s="876"/>
      <c r="BQ993" s="876"/>
      <c r="BT993" s="876"/>
      <c r="BU993" s="876"/>
      <c r="BX993" s="293">
        <f t="shared" si="2010"/>
        <v>1106.9046780109547</v>
      </c>
      <c r="BY993" s="293">
        <f t="shared" si="2010"/>
        <v>1053.3662657987868</v>
      </c>
      <c r="BZ993" s="293">
        <f t="shared" si="2010"/>
        <v>2160.1406727153681</v>
      </c>
      <c r="CB993" s="293">
        <f t="shared" si="2011"/>
        <v>1039.5852266130551</v>
      </c>
      <c r="CC993" s="293">
        <f t="shared" si="2011"/>
        <v>1158.3231692614047</v>
      </c>
      <c r="CD993" s="293">
        <f t="shared" si="2011"/>
        <v>2197.9141535904455</v>
      </c>
      <c r="CE993" s="103"/>
      <c r="CF993" s="293">
        <f t="shared" si="2012"/>
        <v>1567.6732963431461</v>
      </c>
      <c r="CG993" s="293">
        <f t="shared" si="2012"/>
        <v>1758.2291258211217</v>
      </c>
      <c r="CH993" s="293">
        <f t="shared" si="2012"/>
        <v>3321.7924710962134</v>
      </c>
      <c r="CI993" s="103"/>
      <c r="CJ993" s="293">
        <f t="shared" si="2013"/>
        <v>1517.9213681761435</v>
      </c>
      <c r="CK993" s="293">
        <f t="shared" si="2013"/>
        <v>1249.435360027496</v>
      </c>
      <c r="CL993" s="293">
        <f t="shared" si="2013"/>
        <v>2766.992353259785</v>
      </c>
      <c r="CM993" s="103"/>
      <c r="CN993" s="293">
        <f t="shared" si="2014"/>
        <v>1340.3905553672316</v>
      </c>
      <c r="CO993" s="293">
        <f t="shared" si="2014"/>
        <v>1363.3956226499802</v>
      </c>
      <c r="CP993" s="293">
        <f t="shared" si="2014"/>
        <v>2703.5713499817002</v>
      </c>
      <c r="CQ993" s="103"/>
      <c r="CR993" s="293">
        <f t="shared" si="2015"/>
        <v>1460.5775117370895</v>
      </c>
      <c r="CS993" s="293">
        <f t="shared" si="2015"/>
        <v>1613.258406716224</v>
      </c>
      <c r="CT993" s="293">
        <f t="shared" si="2015"/>
        <v>3073.3613417654105</v>
      </c>
      <c r="CV993" s="293">
        <f t="shared" ref="CV993:CX993" si="2031">+CV1014+((CV913/SUM(CV$911:CV$915)*CV$1018))</f>
        <v>1674.505434431198</v>
      </c>
      <c r="CW993" s="293">
        <f t="shared" si="2031"/>
        <v>2493.5623839237455</v>
      </c>
      <c r="CX993" s="293">
        <f t="shared" si="2031"/>
        <v>4167.3203751027422</v>
      </c>
      <c r="CZ993" s="293">
        <f t="shared" ref="CZ993" si="2032">+CZ1014+((CZ913/SUM(CZ$911:CZ$915)*CZ$1018))</f>
        <v>1869.6646439451638</v>
      </c>
      <c r="DA993" s="293">
        <f t="shared" ref="DA993:DB993" si="2033">+DA1014+((DA913/SUM(DA$911:DA$915)*DA$1018))</f>
        <v>1825.1804241869199</v>
      </c>
      <c r="DB993" s="293">
        <f t="shared" si="2033"/>
        <v>3694.9902064050966</v>
      </c>
      <c r="DD993" s="293">
        <f t="shared" si="2019"/>
        <v>1855.3779309660781</v>
      </c>
      <c r="DE993" s="293">
        <f t="shared" si="2019"/>
        <v>1806.5456994195495</v>
      </c>
      <c r="DF993" s="293">
        <f t="shared" si="2019"/>
        <v>3661.1267975080204</v>
      </c>
      <c r="DH993" s="293">
        <f t="shared" ref="DH993" si="2034">+DH1014+((DH913/SUM(DH$911:DH$915)*DH$1018))</f>
        <v>1856.1202619670155</v>
      </c>
      <c r="DI993" s="293">
        <f t="shared" ref="DI993:DJ993" si="2035">+DI1014+((DI913/SUM(DI$911:DI$915)*DI$1018))</f>
        <v>1992.754064614202</v>
      </c>
      <c r="DJ993" s="293">
        <f t="shared" si="2035"/>
        <v>3849.4337061442639</v>
      </c>
      <c r="DL993" s="293">
        <f t="shared" ref="DL993:DN993" si="2036">+DL1014+((DL913/SUM(DL$911:DL$915)*DL$1018))</f>
        <v>1681.1480263260682</v>
      </c>
      <c r="DM993" s="293">
        <f t="shared" si="2036"/>
        <v>2041.3493930926279</v>
      </c>
      <c r="DN993" s="293">
        <f t="shared" si="2036"/>
        <v>3722.4974194186966</v>
      </c>
      <c r="DP993" s="293">
        <f t="shared" ref="DP993:DR993" si="2037">+DP1014+((DP913/SUM(DP$911:DP$915)*DP$1018))</f>
        <v>1723.9884724880503</v>
      </c>
      <c r="DQ993" s="293">
        <f t="shared" si="2037"/>
        <v>2096.2188055839565</v>
      </c>
      <c r="DR993" s="293">
        <f t="shared" si="2037"/>
        <v>3820.2072780720073</v>
      </c>
      <c r="DU993" s="876"/>
      <c r="DV993" s="876"/>
      <c r="DW993" s="876"/>
      <c r="DZ993" s="876"/>
      <c r="EA993" s="876"/>
      <c r="ED993" s="876"/>
      <c r="EE993" s="876"/>
    </row>
    <row r="994" spans="1:273">
      <c r="A994" s="102" t="s">
        <v>690</v>
      </c>
      <c r="AR994" s="685"/>
      <c r="AS994" s="685"/>
      <c r="AT994" s="730"/>
      <c r="AU994" s="730"/>
      <c r="AV994" s="685"/>
      <c r="AW994" s="685"/>
      <c r="AX994" s="730"/>
      <c r="AY994" s="730"/>
      <c r="AZ994" s="685"/>
      <c r="BA994" s="876"/>
      <c r="BD994" s="711"/>
      <c r="BE994" s="885"/>
      <c r="BF994" s="711"/>
      <c r="BH994" s="685"/>
      <c r="BI994" s="876"/>
      <c r="BL994" s="876"/>
      <c r="BM994" s="876"/>
      <c r="BP994" s="876"/>
      <c r="BQ994" s="876"/>
      <c r="BT994" s="876"/>
      <c r="BU994" s="876"/>
      <c r="BX994" s="293">
        <f t="shared" si="2010"/>
        <v>548.76993661148379</v>
      </c>
      <c r="BY994" s="293">
        <f t="shared" si="2010"/>
        <v>559.7844612613751</v>
      </c>
      <c r="BZ994" s="293">
        <f t="shared" si="2010"/>
        <v>1108.4039060892339</v>
      </c>
      <c r="CB994" s="293">
        <f t="shared" si="2011"/>
        <v>429.77893183388829</v>
      </c>
      <c r="CC994" s="293">
        <f t="shared" si="2011"/>
        <v>354.0257766111514</v>
      </c>
      <c r="CD994" s="293">
        <f t="shared" si="2011"/>
        <v>783.10893693250023</v>
      </c>
      <c r="CE994" s="103"/>
      <c r="CF994" s="293">
        <f t="shared" si="2012"/>
        <v>64.751684682612691</v>
      </c>
      <c r="CG994" s="293">
        <f t="shared" si="2012"/>
        <v>0</v>
      </c>
      <c r="CH994" s="293">
        <f t="shared" si="2012"/>
        <v>68.752619947163595</v>
      </c>
      <c r="CI994" s="103"/>
      <c r="CJ994" s="293">
        <f t="shared" si="2013"/>
        <v>0</v>
      </c>
      <c r="CK994" s="293">
        <f t="shared" si="2013"/>
        <v>0</v>
      </c>
      <c r="CL994" s="293">
        <f t="shared" si="2013"/>
        <v>0</v>
      </c>
      <c r="CM994" s="103"/>
      <c r="CN994" s="293">
        <f t="shared" si="2014"/>
        <v>0</v>
      </c>
      <c r="CO994" s="293">
        <f t="shared" si="2014"/>
        <v>0</v>
      </c>
      <c r="CP994" s="293">
        <f t="shared" si="2014"/>
        <v>0</v>
      </c>
      <c r="CQ994" s="103"/>
      <c r="CR994" s="293">
        <f t="shared" si="2015"/>
        <v>0</v>
      </c>
      <c r="CS994" s="293">
        <f t="shared" si="2015"/>
        <v>0</v>
      </c>
      <c r="CT994" s="293">
        <f t="shared" si="2015"/>
        <v>0</v>
      </c>
      <c r="CV994" s="293">
        <f t="shared" ref="CV994:CX994" si="2038">+CV1015+((CV914/SUM(CV$911:CV$915)*CV$1018))</f>
        <v>0</v>
      </c>
      <c r="CW994" s="293">
        <f t="shared" si="2038"/>
        <v>0</v>
      </c>
      <c r="CX994" s="293">
        <f t="shared" si="2038"/>
        <v>0</v>
      </c>
      <c r="CZ994" s="293">
        <f t="shared" ref="CZ994" si="2039">+CZ1015+((CZ914/SUM(CZ$911:CZ$915)*CZ$1018))</f>
        <v>0</v>
      </c>
      <c r="DA994" s="293">
        <f t="shared" ref="DA994:DB994" si="2040">+DA1015+((DA914/SUM(DA$911:DA$915)*DA$1018))</f>
        <v>0</v>
      </c>
      <c r="DB994" s="293">
        <f t="shared" si="2040"/>
        <v>0</v>
      </c>
      <c r="DD994" s="293">
        <f t="shared" si="2019"/>
        <v>0</v>
      </c>
      <c r="DE994" s="293">
        <f t="shared" si="2019"/>
        <v>0</v>
      </c>
      <c r="DF994" s="293">
        <f t="shared" si="2019"/>
        <v>0</v>
      </c>
      <c r="DH994" s="293">
        <f t="shared" ref="DH994" si="2041">+DH1015+((DH914/SUM(DH$911:DH$915)*DH$1018))</f>
        <v>0</v>
      </c>
      <c r="DI994" s="293">
        <f t="shared" ref="DI994:DJ994" si="2042">+DI1015+((DI914/SUM(DI$911:DI$915)*DI$1018))</f>
        <v>0</v>
      </c>
      <c r="DJ994" s="293">
        <f t="shared" si="2042"/>
        <v>0</v>
      </c>
      <c r="DL994" s="293">
        <f t="shared" ref="DL994:DN994" si="2043">+DL1015+((DL914/SUM(DL$911:DL$915)*DL$1018))</f>
        <v>0</v>
      </c>
      <c r="DM994" s="293">
        <f t="shared" si="2043"/>
        <v>0</v>
      </c>
      <c r="DN994" s="293">
        <f t="shared" si="2043"/>
        <v>0</v>
      </c>
      <c r="DP994" s="293">
        <f t="shared" ref="DP994:DR994" si="2044">+DP1015+((DP914/SUM(DP$911:DP$915)*DP$1018))</f>
        <v>0</v>
      </c>
      <c r="DQ994" s="293">
        <f t="shared" si="2044"/>
        <v>0</v>
      </c>
      <c r="DR994" s="293">
        <f t="shared" si="2044"/>
        <v>0</v>
      </c>
      <c r="DU994" s="876"/>
      <c r="DV994" s="876"/>
      <c r="DW994" s="876"/>
      <c r="DZ994" s="876"/>
      <c r="EA994" s="876"/>
      <c r="ED994" s="876"/>
      <c r="EE994" s="876"/>
    </row>
    <row r="995" spans="1:273">
      <c r="A995" s="102" t="s">
        <v>689</v>
      </c>
      <c r="AR995" s="685"/>
      <c r="AS995" s="685"/>
      <c r="AT995" s="730"/>
      <c r="AU995" s="730"/>
      <c r="AV995" s="685"/>
      <c r="AW995" s="685"/>
      <c r="AX995" s="730"/>
      <c r="AY995" s="730"/>
      <c r="AZ995" s="685"/>
      <c r="BA995" s="876"/>
      <c r="BD995" s="711"/>
      <c r="BE995" s="885"/>
      <c r="BF995" s="711"/>
      <c r="BH995" s="685"/>
      <c r="BI995" s="876"/>
      <c r="BL995" s="876"/>
      <c r="BM995" s="876"/>
      <c r="BP995" s="876"/>
      <c r="BQ995" s="876"/>
      <c r="BT995" s="876"/>
      <c r="BU995" s="876"/>
      <c r="BX995" s="293">
        <f t="shared" si="2010"/>
        <v>722.63499679980305</v>
      </c>
      <c r="BY995" s="293">
        <f t="shared" si="2010"/>
        <v>629.01176744186046</v>
      </c>
      <c r="BZ995" s="293">
        <f t="shared" si="2010"/>
        <v>1351.1581764100645</v>
      </c>
      <c r="CB995" s="293">
        <f t="shared" si="2011"/>
        <v>810.91741559339061</v>
      </c>
      <c r="CC995" s="293">
        <f t="shared" si="2011"/>
        <v>913.76258472121663</v>
      </c>
      <c r="CD995" s="293">
        <f t="shared" si="2011"/>
        <v>1725.6188567822956</v>
      </c>
      <c r="CE995" s="103"/>
      <c r="CF995" s="293">
        <f t="shared" si="2012"/>
        <v>952.00388569457209</v>
      </c>
      <c r="CG995" s="293">
        <f t="shared" si="2012"/>
        <v>988.5121475492673</v>
      </c>
      <c r="CH995" s="293">
        <f t="shared" si="2012"/>
        <v>1943.311906371616</v>
      </c>
      <c r="CI995" s="103"/>
      <c r="CJ995" s="293">
        <f t="shared" si="2013"/>
        <v>911.22965667915105</v>
      </c>
      <c r="CK995" s="293">
        <f t="shared" si="2013"/>
        <v>890.26736208970601</v>
      </c>
      <c r="CL995" s="293">
        <f t="shared" si="2013"/>
        <v>1801.4643607286412</v>
      </c>
      <c r="CM995" s="103"/>
      <c r="CN995" s="293">
        <f t="shared" si="2014"/>
        <v>944.01969209039555</v>
      </c>
      <c r="CO995" s="293">
        <f t="shared" si="2014"/>
        <v>907.31098995454283</v>
      </c>
      <c r="CP995" s="293">
        <f t="shared" si="2014"/>
        <v>1853.2727790759877</v>
      </c>
      <c r="CQ995" s="103"/>
      <c r="CR995" s="293">
        <f t="shared" si="2015"/>
        <v>1068.0004225352113</v>
      </c>
      <c r="CS995" s="293">
        <f t="shared" si="2015"/>
        <v>1106.6257841659303</v>
      </c>
      <c r="CT995" s="293">
        <f t="shared" si="2015"/>
        <v>2174.8106877912396</v>
      </c>
      <c r="CV995" s="293">
        <f t="shared" ref="CV995:CX995" si="2045">+CV1016+((CV915/SUM(CV$911:CV$915)*CV$1018))</f>
        <v>1187.5056526571025</v>
      </c>
      <c r="CW995" s="293">
        <f t="shared" si="2045"/>
        <v>1425.3502363287971</v>
      </c>
      <c r="CX995" s="293">
        <f t="shared" si="2045"/>
        <v>2610.143543301203</v>
      </c>
      <c r="CZ995" s="293">
        <f t="shared" ref="CZ995" si="2046">+CZ1016+((CZ915/SUM(CZ$911:CZ$915)*CZ$1018))</f>
        <v>1441.4708149276466</v>
      </c>
      <c r="DA995" s="293">
        <f t="shared" ref="DA995:DB995" si="2047">+DA1016+((DA915/SUM(DA$911:DA$915)*DA$1018))</f>
        <v>1414.0305626571326</v>
      </c>
      <c r="DB995" s="293">
        <f t="shared" si="2047"/>
        <v>2855.3991284071212</v>
      </c>
      <c r="DD995" s="293">
        <f t="shared" si="2019"/>
        <v>1356.5669311644513</v>
      </c>
      <c r="DE995" s="293">
        <f t="shared" si="2019"/>
        <v>1362.9447090027611</v>
      </c>
      <c r="DF995" s="293">
        <f t="shared" si="2019"/>
        <v>2720.3492357998703</v>
      </c>
      <c r="DH995" s="293">
        <f t="shared" ref="DH995" si="2048">+DH1016+((DH915/SUM(DH$911:DH$915)*DH$1018))</f>
        <v>1423.0013108407079</v>
      </c>
      <c r="DI995" s="293">
        <f t="shared" ref="DI995:DJ995" si="2049">+DI1016+((DI915/SUM(DI$911:DI$915)*DI$1018))</f>
        <v>1549.2307783725387</v>
      </c>
      <c r="DJ995" s="293">
        <f t="shared" si="2049"/>
        <v>2970.5444766276582</v>
      </c>
      <c r="DL995" s="293">
        <f t="shared" ref="DL995:DN995" si="2050">+DL1016+((DL915/SUM(DL$911:DL$915)*DL$1018))</f>
        <v>1549.2558040878062</v>
      </c>
      <c r="DM995" s="293">
        <f t="shared" si="2050"/>
        <v>1670.4503858927444</v>
      </c>
      <c r="DN995" s="293">
        <f t="shared" si="2050"/>
        <v>3219.7061899805503</v>
      </c>
      <c r="DP995" s="293">
        <f t="shared" ref="DP995:DR995" si="2051">+DP1016+((DP915/SUM(DP$911:DP$915)*DP$1018))</f>
        <v>1640.5010903198502</v>
      </c>
      <c r="DQ995" s="293">
        <f t="shared" si="2051"/>
        <v>1761.091427515667</v>
      </c>
      <c r="DR995" s="293">
        <f t="shared" si="2051"/>
        <v>3401.5925178355174</v>
      </c>
      <c r="DU995" s="876"/>
      <c r="DV995" s="876"/>
      <c r="DW995" s="876"/>
      <c r="DZ995" s="876"/>
      <c r="EA995" s="876"/>
      <c r="ED995" s="876"/>
      <c r="EE995" s="876"/>
    </row>
    <row r="996" spans="1:273">
      <c r="A996" s="102" t="s">
        <v>688</v>
      </c>
      <c r="AR996" s="685"/>
      <c r="AS996" s="685"/>
      <c r="AT996" s="730"/>
      <c r="AU996" s="730"/>
      <c r="AV996" s="685"/>
      <c r="AW996" s="685"/>
      <c r="AX996" s="730"/>
      <c r="AY996" s="730"/>
      <c r="AZ996" s="685"/>
      <c r="BA996" s="876"/>
      <c r="BD996" s="711"/>
      <c r="BE996" s="885"/>
      <c r="BF996" s="711"/>
      <c r="BH996" s="685"/>
      <c r="BI996" s="876"/>
      <c r="BL996" s="876"/>
      <c r="BM996" s="876"/>
      <c r="BP996" s="876"/>
      <c r="BQ996" s="876"/>
      <c r="BT996" s="876"/>
      <c r="BU996" s="876"/>
      <c r="BX996" s="293">
        <f t="shared" si="2010"/>
        <v>0</v>
      </c>
      <c r="BY996" s="293">
        <f t="shared" si="2010"/>
        <v>0</v>
      </c>
      <c r="BZ996" s="293">
        <f t="shared" si="2010"/>
        <v>0</v>
      </c>
      <c r="CB996" s="293">
        <f t="shared" si="2011"/>
        <v>0</v>
      </c>
      <c r="CC996" s="293">
        <f t="shared" si="2011"/>
        <v>0</v>
      </c>
      <c r="CD996" s="293">
        <f t="shared" si="2011"/>
        <v>0</v>
      </c>
      <c r="CE996" s="103"/>
      <c r="CF996" s="293">
        <f t="shared" si="2012"/>
        <v>0</v>
      </c>
      <c r="CG996" s="293">
        <f t="shared" si="2012"/>
        <v>0</v>
      </c>
      <c r="CH996" s="293">
        <f t="shared" si="2012"/>
        <v>0</v>
      </c>
      <c r="CI996" s="103"/>
      <c r="CJ996" s="293">
        <f t="shared" si="2013"/>
        <v>0</v>
      </c>
      <c r="CK996" s="293">
        <f t="shared" si="2013"/>
        <v>0</v>
      </c>
      <c r="CL996" s="293">
        <f t="shared" si="2013"/>
        <v>0</v>
      </c>
      <c r="CM996" s="103"/>
      <c r="CN996" s="293">
        <f t="shared" si="2014"/>
        <v>0</v>
      </c>
      <c r="CO996" s="293">
        <f t="shared" si="2014"/>
        <v>0</v>
      </c>
      <c r="CP996" s="293">
        <f t="shared" si="2014"/>
        <v>0</v>
      </c>
      <c r="CQ996" s="103"/>
      <c r="CR996" s="293">
        <f t="shared" si="2015"/>
        <v>0</v>
      </c>
      <c r="CS996" s="293">
        <f t="shared" si="2015"/>
        <v>0</v>
      </c>
      <c r="CT996" s="293">
        <f t="shared" si="2015"/>
        <v>0</v>
      </c>
      <c r="CV996" s="293">
        <f t="shared" ref="CV996:CX996" si="2052">+CV1017+((CV916/SUM(CV$911:CV$915)*CV$1018))</f>
        <v>0</v>
      </c>
      <c r="CW996" s="293">
        <f t="shared" si="2052"/>
        <v>0</v>
      </c>
      <c r="CX996" s="293">
        <f t="shared" si="2052"/>
        <v>0</v>
      </c>
      <c r="CZ996" s="293">
        <f t="shared" ref="CZ996" si="2053">+CZ1017+((CZ916/SUM(CZ$911:CZ$915)*CZ$1018))</f>
        <v>0</v>
      </c>
      <c r="DA996" s="293">
        <f t="shared" ref="DA996:DB996" si="2054">+DA1017+((DA916/SUM(DA$911:DA$915)*DA$1018))</f>
        <v>0</v>
      </c>
      <c r="DB996" s="293">
        <f t="shared" si="2054"/>
        <v>0</v>
      </c>
      <c r="DD996" s="293">
        <f t="shared" si="2019"/>
        <v>0</v>
      </c>
      <c r="DE996" s="293">
        <f t="shared" si="2019"/>
        <v>0</v>
      </c>
      <c r="DF996" s="293">
        <f t="shared" si="2019"/>
        <v>0</v>
      </c>
      <c r="DH996" s="293">
        <f t="shared" ref="DH996" si="2055">+DH1017+((DH916/SUM(DH$911:DH$915)*DH$1018))</f>
        <v>0</v>
      </c>
      <c r="DI996" s="293">
        <f t="shared" ref="DI996:DJ996" si="2056">+DI1017+((DI916/SUM(DI$911:DI$915)*DI$1018))</f>
        <v>0</v>
      </c>
      <c r="DJ996" s="293">
        <f t="shared" si="2056"/>
        <v>0</v>
      </c>
      <c r="DL996" s="293">
        <f t="shared" ref="DL996:DN996" si="2057">+DL1017+((DL916/SUM(DL$911:DL$915)*DL$1018))</f>
        <v>0</v>
      </c>
      <c r="DM996" s="293">
        <f t="shared" si="2057"/>
        <v>0</v>
      </c>
      <c r="DN996" s="293">
        <f t="shared" si="2057"/>
        <v>0</v>
      </c>
      <c r="DP996" s="293">
        <f t="shared" ref="DP996:DR996" si="2058">+DP1017+((DP916/SUM(DP$911:DP$915)*DP$1018))</f>
        <v>0</v>
      </c>
      <c r="DQ996" s="293">
        <f t="shared" si="2058"/>
        <v>0</v>
      </c>
      <c r="DR996" s="293">
        <f t="shared" si="2058"/>
        <v>0</v>
      </c>
      <c r="DU996" s="876"/>
      <c r="DV996" s="876"/>
      <c r="DW996" s="876"/>
      <c r="DZ996" s="876"/>
      <c r="EA996" s="876"/>
      <c r="ED996" s="876"/>
      <c r="EE996" s="876"/>
    </row>
    <row r="997" spans="1:273">
      <c r="AR997" s="685"/>
      <c r="AS997" s="685"/>
      <c r="AT997" s="730"/>
      <c r="AU997" s="730"/>
      <c r="AV997" s="685"/>
      <c r="AW997" s="685"/>
      <c r="AX997" s="730"/>
      <c r="AY997" s="730"/>
      <c r="AZ997" s="685"/>
      <c r="BA997" s="876"/>
      <c r="BD997" s="711"/>
      <c r="BE997" s="885"/>
      <c r="BF997" s="711"/>
      <c r="BH997" s="685"/>
      <c r="BI997" s="876"/>
      <c r="BL997" s="876"/>
      <c r="BM997" s="876"/>
      <c r="BP997" s="876"/>
      <c r="BQ997" s="876"/>
      <c r="BT997" s="876"/>
      <c r="BU997" s="876"/>
      <c r="BX997" s="293"/>
      <c r="BY997" s="293"/>
      <c r="BZ997" s="293"/>
      <c r="CB997" s="293"/>
      <c r="CC997" s="293"/>
      <c r="CD997" s="293"/>
      <c r="CE997" s="103"/>
      <c r="CF997" s="293"/>
      <c r="CG997" s="293"/>
      <c r="CH997" s="293"/>
      <c r="CI997" s="103"/>
      <c r="CJ997" s="293"/>
      <c r="CK997" s="293"/>
      <c r="CL997" s="293"/>
      <c r="CM997" s="103"/>
      <c r="CN997" s="293"/>
      <c r="CO997" s="293"/>
      <c r="CP997" s="293"/>
      <c r="CQ997" s="103"/>
      <c r="CR997" s="293"/>
      <c r="CS997" s="293"/>
      <c r="CT997" s="293"/>
      <c r="CV997" s="293"/>
      <c r="CW997" s="293"/>
      <c r="CX997" s="293"/>
      <c r="CZ997" s="293"/>
      <c r="DA997" s="293"/>
      <c r="DB997" s="293"/>
      <c r="DD997" s="293"/>
      <c r="DE997" s="293"/>
      <c r="DF997" s="293"/>
      <c r="DH997" s="293"/>
      <c r="DI997" s="293"/>
      <c r="DJ997" s="293"/>
      <c r="DL997" s="293"/>
      <c r="DM997" s="293"/>
      <c r="DN997" s="293"/>
      <c r="DP997" s="293"/>
      <c r="DQ997" s="293"/>
      <c r="DR997" s="293"/>
      <c r="DU997" s="876"/>
      <c r="DV997" s="876"/>
      <c r="DW997" s="876"/>
      <c r="DZ997" s="876"/>
      <c r="EA997" s="876"/>
      <c r="ED997" s="876"/>
      <c r="EE997" s="876"/>
    </row>
    <row r="998" spans="1:273">
      <c r="A998" s="289" t="s">
        <v>696</v>
      </c>
      <c r="AR998" s="685"/>
      <c r="AS998" s="685"/>
      <c r="AT998" s="730"/>
      <c r="AU998" s="730"/>
      <c r="AV998" s="685"/>
      <c r="AW998" s="685"/>
      <c r="AX998" s="730"/>
      <c r="AY998" s="730"/>
      <c r="AZ998" s="685"/>
      <c r="BA998" s="876"/>
      <c r="BD998" s="711"/>
      <c r="BE998" s="885"/>
      <c r="BF998" s="711"/>
      <c r="BH998" s="685"/>
      <c r="BI998" s="876"/>
      <c r="BL998" s="876"/>
      <c r="BM998" s="876"/>
      <c r="BP998" s="876"/>
      <c r="BQ998" s="876"/>
      <c r="BT998" s="876"/>
      <c r="BU998" s="876"/>
      <c r="BX998" s="295">
        <f>BX1019</f>
        <v>3733</v>
      </c>
      <c r="BY998" s="295">
        <f>BY1019</f>
        <v>3527</v>
      </c>
      <c r="BZ998" s="295">
        <f>BZ1019</f>
        <v>7260</v>
      </c>
      <c r="CB998" s="295">
        <f>CB1019</f>
        <v>3693</v>
      </c>
      <c r="CC998" s="295">
        <f>CC1019</f>
        <v>3763</v>
      </c>
      <c r="CD998" s="295">
        <f>CD1019</f>
        <v>7456</v>
      </c>
      <c r="CE998" s="103"/>
      <c r="CF998" s="295">
        <f>CF1019</f>
        <v>4125</v>
      </c>
      <c r="CG998" s="295">
        <f>CG1019</f>
        <v>4762</v>
      </c>
      <c r="CH998" s="295">
        <f>CH1019</f>
        <v>8887</v>
      </c>
      <c r="CI998" s="103"/>
      <c r="CJ998" s="295">
        <f>CJ1019</f>
        <v>4480</v>
      </c>
      <c r="CK998" s="295">
        <f>CK1019</f>
        <v>4391</v>
      </c>
      <c r="CL998" s="295">
        <f>CL1019</f>
        <v>8871</v>
      </c>
      <c r="CM998" s="103"/>
      <c r="CN998" s="295">
        <f>CN1019</f>
        <v>4266</v>
      </c>
      <c r="CO998" s="295">
        <f>CO1019</f>
        <v>4601</v>
      </c>
      <c r="CP998" s="295">
        <f>CP1019</f>
        <v>8867</v>
      </c>
      <c r="CQ998" s="103"/>
      <c r="CR998" s="295">
        <f>CR1019</f>
        <v>5069</v>
      </c>
      <c r="CS998" s="295">
        <f>CS1019</f>
        <v>5716</v>
      </c>
      <c r="CT998" s="295">
        <f>CT1019</f>
        <v>10785</v>
      </c>
      <c r="CV998" s="295">
        <f t="shared" ref="CV998:CX998" si="2059">CV1019</f>
        <v>5596</v>
      </c>
      <c r="CW998" s="295">
        <f t="shared" si="2059"/>
        <v>6534</v>
      </c>
      <c r="CX998" s="295">
        <f t="shared" si="2059"/>
        <v>12130</v>
      </c>
      <c r="CZ998" s="295">
        <f t="shared" ref="CZ998" si="2060">CZ1019</f>
        <v>5919</v>
      </c>
      <c r="DA998" s="295">
        <f t="shared" ref="DA998:DB998" si="2061">DA1019</f>
        <v>5658.5975098680083</v>
      </c>
      <c r="DB998" s="295">
        <f t="shared" si="2061"/>
        <v>11577.597509868008</v>
      </c>
      <c r="DD998" s="295">
        <f t="shared" ref="DD998:DF998" si="2062">DD1019</f>
        <v>5919</v>
      </c>
      <c r="DE998" s="295">
        <f t="shared" si="2062"/>
        <v>5813.0657351640484</v>
      </c>
      <c r="DF998" s="295">
        <f t="shared" si="2062"/>
        <v>11732.065735164048</v>
      </c>
      <c r="DH998" s="295">
        <f t="shared" ref="DH998" si="2063">DH1019</f>
        <v>6239</v>
      </c>
      <c r="DI998" s="295">
        <f t="shared" ref="DI998:DJ998" si="2064">DI1019</f>
        <v>6257.681606976239</v>
      </c>
      <c r="DJ998" s="295">
        <f t="shared" si="2064"/>
        <v>12496.681606976239</v>
      </c>
      <c r="DL998" s="295">
        <f t="shared" ref="DL998:DN998" si="2065">DL1019</f>
        <v>5672.5860572297424</v>
      </c>
      <c r="DM998" s="295">
        <f t="shared" si="2065"/>
        <v>6421.8412701538273</v>
      </c>
      <c r="DN998" s="295">
        <f t="shared" si="2065"/>
        <v>12094.42732738357</v>
      </c>
      <c r="DP998" s="295">
        <f t="shared" ref="DP998:DR998" si="2066">DP1019</f>
        <v>5932.4731292097267</v>
      </c>
      <c r="DQ998" s="295">
        <f t="shared" si="2066"/>
        <v>6708.3819638430714</v>
      </c>
      <c r="DR998" s="295">
        <f t="shared" si="2066"/>
        <v>12640.855093052798</v>
      </c>
      <c r="DU998" s="876"/>
      <c r="DV998" s="876"/>
      <c r="DW998" s="876"/>
      <c r="DZ998" s="876"/>
      <c r="EA998" s="876"/>
      <c r="ED998" s="876"/>
      <c r="EE998" s="876"/>
    </row>
    <row r="999" spans="1:273" s="1589" customFormat="1">
      <c r="A999" s="1589" t="s">
        <v>580</v>
      </c>
      <c r="B999" s="1590"/>
      <c r="AN999" s="1590"/>
      <c r="AO999" s="1590"/>
      <c r="AP999" s="1590"/>
      <c r="AQ999" s="1590"/>
      <c r="AR999" s="1591"/>
      <c r="AS999" s="1591"/>
      <c r="AT999" s="1592"/>
      <c r="AU999" s="1592"/>
      <c r="AV999" s="1591"/>
      <c r="AW999" s="1591"/>
      <c r="AX999" s="1592"/>
      <c r="AY999" s="1592"/>
      <c r="AZ999" s="1591"/>
      <c r="BA999" s="1593"/>
      <c r="BB999" s="1590"/>
      <c r="BC999" s="1590"/>
      <c r="BD999" s="1594"/>
      <c r="BE999" s="1595"/>
      <c r="BF999" s="1594"/>
      <c r="BG999" s="1590"/>
      <c r="BH999" s="1591"/>
      <c r="BI999" s="1593"/>
      <c r="BJ999" s="1590"/>
      <c r="BK999" s="1590"/>
      <c r="BL999" s="1593"/>
      <c r="BM999" s="1593"/>
      <c r="BN999" s="1590"/>
      <c r="BO999" s="1590"/>
      <c r="BP999" s="1593"/>
      <c r="BQ999" s="1593"/>
      <c r="BR999" s="1590"/>
      <c r="BS999" s="1590"/>
      <c r="BT999" s="1593"/>
      <c r="BU999" s="1593"/>
      <c r="BV999" s="1590"/>
      <c r="BW999" s="1590"/>
      <c r="BX999" s="1596">
        <f t="shared" ref="BX999:BZ999" si="2067">+BX998-SUM(BX991:BX997)</f>
        <v>0</v>
      </c>
      <c r="BY999" s="1596">
        <f t="shared" si="2067"/>
        <v>0</v>
      </c>
      <c r="BZ999" s="1596">
        <f t="shared" si="2067"/>
        <v>0</v>
      </c>
      <c r="CA999" s="1590"/>
      <c r="CB999" s="1596">
        <f t="shared" ref="CB999:CD999" si="2068">+CB998-SUM(CB991:CB997)</f>
        <v>0</v>
      </c>
      <c r="CC999" s="1596">
        <f t="shared" si="2068"/>
        <v>0</v>
      </c>
      <c r="CD999" s="1596">
        <f t="shared" si="2068"/>
        <v>0</v>
      </c>
      <c r="CE999" s="1590"/>
      <c r="CF999" s="1596">
        <f t="shared" ref="CF999:CH999" si="2069">+CF998-SUM(CF991:CF997)</f>
        <v>0</v>
      </c>
      <c r="CG999" s="1596">
        <f t="shared" si="2069"/>
        <v>0</v>
      </c>
      <c r="CH999" s="1596">
        <f t="shared" si="2069"/>
        <v>0</v>
      </c>
      <c r="CI999" s="1590"/>
      <c r="CJ999" s="1596">
        <f t="shared" ref="CJ999:CL999" si="2070">+CJ998-SUM(CJ991:CJ997)</f>
        <v>0</v>
      </c>
      <c r="CK999" s="1596">
        <f t="shared" si="2070"/>
        <v>0</v>
      </c>
      <c r="CL999" s="1596">
        <f t="shared" si="2070"/>
        <v>0</v>
      </c>
      <c r="CM999" s="1590"/>
      <c r="CN999" s="1696">
        <f t="shared" ref="CN999:CP999" si="2071">+CN998-SUM(CN991:CN997)</f>
        <v>1</v>
      </c>
      <c r="CO999" s="1696">
        <f t="shared" si="2071"/>
        <v>1.0000000000009095</v>
      </c>
      <c r="CP999" s="1696">
        <f t="shared" si="2071"/>
        <v>2</v>
      </c>
      <c r="CQ999" s="1698"/>
      <c r="CR999" s="1696">
        <f t="shared" ref="CR999:CX999" si="2072">+CR998-SUM(CR991:CR997)</f>
        <v>0</v>
      </c>
      <c r="CS999" s="1696">
        <f t="shared" si="2072"/>
        <v>0</v>
      </c>
      <c r="CT999" s="1696">
        <f t="shared" si="2072"/>
        <v>0</v>
      </c>
      <c r="CU999" s="1698"/>
      <c r="CV999" s="1696">
        <f t="shared" si="2072"/>
        <v>2</v>
      </c>
      <c r="CW999" s="1696">
        <f t="shared" si="2072"/>
        <v>0</v>
      </c>
      <c r="CX999" s="1696">
        <f t="shared" si="2072"/>
        <v>2</v>
      </c>
      <c r="CY999" s="1698"/>
      <c r="CZ999" s="1696">
        <f t="shared" ref="CZ999:DB999" si="2073">+CZ998-SUM(CZ991:CZ997)</f>
        <v>1</v>
      </c>
      <c r="DA999" s="1696">
        <f t="shared" si="2073"/>
        <v>0</v>
      </c>
      <c r="DB999" s="1696">
        <f t="shared" si="2073"/>
        <v>1</v>
      </c>
      <c r="DC999" s="1698"/>
      <c r="DD999" s="1696">
        <f t="shared" ref="DD999:DF999" si="2074">+DD998-SUM(DD991:DD997)</f>
        <v>2</v>
      </c>
      <c r="DE999" s="1696">
        <f t="shared" si="2074"/>
        <v>0</v>
      </c>
      <c r="DF999" s="1696">
        <f t="shared" si="2074"/>
        <v>2</v>
      </c>
      <c r="DG999" s="1698"/>
      <c r="DH999" s="1696">
        <f t="shared" ref="DH999" si="2075">+DH998-SUM(DH991:DH997)</f>
        <v>1</v>
      </c>
      <c r="DI999" s="1696">
        <f t="shared" ref="DI999:DJ999" si="2076">+DI998-SUM(DI991:DI997)</f>
        <v>0</v>
      </c>
      <c r="DJ999" s="1696">
        <f t="shared" si="2076"/>
        <v>1.000000000001819</v>
      </c>
      <c r="DK999" s="1698"/>
      <c r="DL999" s="1696">
        <f t="shared" ref="DL999:DN999" si="2077">+DL998-SUM(DL991:DL997)</f>
        <v>0</v>
      </c>
      <c r="DM999" s="1696">
        <f t="shared" si="2077"/>
        <v>0</v>
      </c>
      <c r="DN999" s="1696">
        <f t="shared" si="2077"/>
        <v>0</v>
      </c>
      <c r="DO999" s="1590"/>
      <c r="DP999" s="1696">
        <f t="shared" ref="DP999:DR999" si="2078">+DP998-SUM(DP991:DP997)</f>
        <v>0</v>
      </c>
      <c r="DQ999" s="1696">
        <f t="shared" si="2078"/>
        <v>0</v>
      </c>
      <c r="DR999" s="1696">
        <f t="shared" si="2078"/>
        <v>0</v>
      </c>
      <c r="DS999" s="1590"/>
      <c r="DT999" s="1590"/>
      <c r="DU999" s="1593"/>
      <c r="DV999" s="1593"/>
      <c r="DW999" s="1593"/>
      <c r="DX999" s="1590"/>
      <c r="DY999" s="1590"/>
      <c r="DZ999" s="1593"/>
      <c r="EA999" s="1593"/>
      <c r="EB999" s="1590"/>
      <c r="EC999" s="1590"/>
      <c r="ED999" s="1593"/>
      <c r="EE999" s="1593"/>
      <c r="EF999" s="1590"/>
      <c r="EG999" s="1590"/>
      <c r="EH999" s="1590"/>
      <c r="EI999" s="1590"/>
      <c r="EJ999" s="1590"/>
      <c r="EK999" s="1590"/>
      <c r="EL999" s="1590"/>
      <c r="EM999" s="1590"/>
      <c r="EN999" s="1590"/>
      <c r="EO999" s="1590"/>
      <c r="EP999" s="1590"/>
      <c r="JM999"/>
    </row>
    <row r="1000" spans="1:273">
      <c r="B1000" s="102"/>
      <c r="AN1000" s="102"/>
      <c r="AO1000" s="102"/>
      <c r="AP1000" s="102"/>
      <c r="AQ1000" s="102"/>
      <c r="AR1000" s="102"/>
      <c r="AS1000" s="102"/>
      <c r="AT1000" s="102"/>
      <c r="AU1000" s="102"/>
      <c r="AV1000" s="102"/>
      <c r="AW1000" s="102"/>
      <c r="AX1000" s="102"/>
      <c r="AY1000" s="102"/>
      <c r="AZ1000" s="102"/>
      <c r="BA1000" s="102"/>
      <c r="BB1000" s="102"/>
      <c r="BC1000" s="102"/>
      <c r="BD1000" s="102"/>
      <c r="BE1000" s="102"/>
      <c r="BF1000" s="102"/>
      <c r="BG1000" s="102"/>
      <c r="BH1000" s="102"/>
      <c r="BI1000" s="102"/>
      <c r="BJ1000" s="102"/>
      <c r="BK1000" s="102"/>
      <c r="BL1000" s="102"/>
      <c r="BM1000" s="102"/>
      <c r="BN1000" s="102"/>
      <c r="BO1000" s="102"/>
      <c r="BP1000" s="102"/>
      <c r="BQ1000" s="102"/>
      <c r="BR1000" s="102"/>
      <c r="BS1000" s="102"/>
      <c r="BT1000" s="102"/>
      <c r="BU1000" s="102"/>
      <c r="BV1000" s="102"/>
      <c r="BW1000" s="102"/>
      <c r="BX1000" s="102"/>
      <c r="BY1000" s="102"/>
      <c r="BZ1000" s="102"/>
      <c r="CA1000" s="102"/>
      <c r="CB1000" s="102"/>
      <c r="CC1000" s="102"/>
      <c r="CD1000" s="102"/>
      <c r="CE1000" s="102"/>
      <c r="CF1000" s="102"/>
      <c r="CG1000" s="102"/>
      <c r="CH1000" s="102"/>
      <c r="CI1000" s="102"/>
      <c r="CJ1000" s="102"/>
      <c r="CK1000" s="102"/>
      <c r="CL1000" s="102"/>
      <c r="CM1000" s="102"/>
      <c r="CN1000" s="102"/>
      <c r="CO1000" s="102"/>
      <c r="CP1000" s="102"/>
      <c r="CQ1000" s="102"/>
      <c r="CR1000" s="102"/>
      <c r="CS1000" s="102"/>
      <c r="CT1000" s="102"/>
      <c r="CU1000" s="102"/>
      <c r="CV1000" s="102"/>
      <c r="CW1000" s="102"/>
      <c r="CX1000" s="102"/>
      <c r="CY1000" s="102"/>
      <c r="CZ1000" s="102"/>
      <c r="DA1000" s="102"/>
      <c r="DB1000" s="102"/>
      <c r="DC1000" s="102"/>
      <c r="DD1000" s="102"/>
      <c r="DE1000" s="102"/>
      <c r="DF1000" s="102"/>
      <c r="DG1000" s="102"/>
      <c r="DH1000" s="102"/>
      <c r="DI1000" s="102"/>
      <c r="DJ1000" s="102"/>
      <c r="DK1000" s="102"/>
      <c r="DL1000" s="102"/>
      <c r="DM1000" s="102"/>
      <c r="DN1000" s="102"/>
      <c r="DO1000" s="102"/>
      <c r="DP1000" s="102"/>
      <c r="DQ1000" s="102"/>
      <c r="DR1000" s="102"/>
      <c r="DS1000" s="102"/>
      <c r="DT1000" s="102"/>
      <c r="DU1000" s="102"/>
      <c r="DV1000" s="102"/>
      <c r="DW1000" s="102"/>
      <c r="DX1000" s="102"/>
      <c r="DY1000" s="102"/>
      <c r="DZ1000" s="102"/>
      <c r="EA1000" s="102"/>
      <c r="EB1000" s="102"/>
      <c r="EC1000" s="102"/>
      <c r="ED1000" s="102"/>
      <c r="EE1000" s="102"/>
      <c r="EF1000" s="102"/>
      <c r="EG1000" s="102"/>
      <c r="EH1000" s="102"/>
      <c r="EI1000" s="102"/>
      <c r="EJ1000" s="102"/>
      <c r="EK1000" s="102"/>
      <c r="EL1000" s="102"/>
      <c r="EM1000" s="102"/>
      <c r="EN1000" s="102"/>
      <c r="EO1000" s="102"/>
      <c r="EP1000" s="102"/>
    </row>
    <row r="1001" spans="1:273">
      <c r="A1001" s="1694" t="s">
        <v>1346</v>
      </c>
      <c r="AR1001" s="685"/>
      <c r="AS1001" s="685"/>
      <c r="AT1001" s="730"/>
      <c r="AU1001" s="730"/>
      <c r="AV1001" s="685"/>
      <c r="AW1001" s="685"/>
      <c r="AX1001" s="730"/>
      <c r="AY1001" s="730"/>
      <c r="AZ1001" s="685"/>
      <c r="BA1001" s="876"/>
      <c r="BD1001" s="711"/>
      <c r="BE1001" s="885"/>
      <c r="BF1001" s="711"/>
      <c r="BH1001" s="685"/>
      <c r="BI1001" s="876"/>
      <c r="BL1001" s="876"/>
      <c r="BM1001" s="876"/>
      <c r="BP1001" s="876"/>
      <c r="BQ1001" s="876"/>
      <c r="BT1001" s="876"/>
      <c r="BU1001" s="876"/>
      <c r="BX1001" s="649"/>
      <c r="BY1001" s="649"/>
      <c r="BZ1001" s="649"/>
      <c r="CB1001" s="649"/>
      <c r="CC1001" s="649"/>
      <c r="CD1001" s="649"/>
      <c r="CE1001" s="103"/>
      <c r="CF1001" s="649"/>
      <c r="CG1001" s="649"/>
      <c r="CH1001" s="649"/>
      <c r="CI1001" s="103"/>
      <c r="CJ1001" s="649"/>
      <c r="CK1001" s="649"/>
      <c r="CL1001" s="649"/>
      <c r="CM1001" s="103"/>
      <c r="CN1001" s="649"/>
      <c r="CO1001" s="649"/>
      <c r="CP1001" s="649"/>
      <c r="CQ1001" s="103"/>
      <c r="CR1001" s="649"/>
      <c r="CS1001" s="649"/>
      <c r="CT1001" s="649"/>
      <c r="CV1001" s="626"/>
      <c r="CW1001" s="626"/>
      <c r="CX1001" s="626"/>
      <c r="CZ1001" s="876"/>
      <c r="DA1001" s="876"/>
      <c r="DD1001" s="876"/>
      <c r="DE1001" s="876"/>
      <c r="DH1001" s="876"/>
      <c r="DI1001" s="876"/>
      <c r="DL1001" s="876"/>
      <c r="DM1001" s="876"/>
      <c r="DP1001" s="876"/>
      <c r="DQ1001" s="876"/>
      <c r="DU1001" s="876"/>
      <c r="DV1001" s="876"/>
      <c r="DW1001" s="876"/>
      <c r="DZ1001" s="876"/>
      <c r="EA1001" s="876"/>
      <c r="ED1001" s="876"/>
      <c r="EE1001" s="876"/>
    </row>
    <row r="1002" spans="1:273">
      <c r="A1002" s="102" t="s">
        <v>686</v>
      </c>
      <c r="AR1002" s="685"/>
      <c r="AS1002" s="685"/>
      <c r="AT1002" s="730"/>
      <c r="AU1002" s="730"/>
      <c r="AV1002" s="685"/>
      <c r="AW1002" s="685"/>
      <c r="AX1002" s="730"/>
      <c r="AY1002" s="730"/>
      <c r="AZ1002" s="685"/>
      <c r="BA1002" s="876"/>
      <c r="BD1002" s="711"/>
      <c r="BE1002" s="885"/>
      <c r="BF1002" s="711"/>
      <c r="BH1002" s="685"/>
      <c r="BI1002" s="876"/>
      <c r="BL1002" s="876"/>
      <c r="BM1002" s="876"/>
      <c r="BP1002" s="876"/>
      <c r="BQ1002" s="876"/>
      <c r="BT1002" s="876"/>
      <c r="BU1002" s="876"/>
      <c r="BX1002" s="320">
        <f t="shared" ref="BX1002:BZ1006" si="2079">+BX991/BX814</f>
        <v>0.95378258821605455</v>
      </c>
      <c r="BY1002" s="320">
        <f t="shared" si="2079"/>
        <v>0.85134401840576013</v>
      </c>
      <c r="BZ1002" s="320">
        <f t="shared" si="2079"/>
        <v>0.89959741218454858</v>
      </c>
      <c r="CB1002" s="320">
        <f t="shared" ref="CB1002:CD1006" si="2080">+CB991/CB814</f>
        <v>0.89965551854574211</v>
      </c>
      <c r="CC1002" s="320">
        <f t="shared" si="2080"/>
        <v>0.7431210206185902</v>
      </c>
      <c r="CD1002" s="320">
        <f t="shared" si="2080"/>
        <v>0.80372446750154003</v>
      </c>
      <c r="CE1002" s="103"/>
      <c r="CF1002" s="320">
        <f t="shared" ref="CF1002:CH1004" si="2081">+CF991/CF814</f>
        <v>0.60157190730943577</v>
      </c>
      <c r="CG1002" s="320">
        <f t="shared" si="2081"/>
        <v>0.52005356631153887</v>
      </c>
      <c r="CH1002" s="320">
        <f t="shared" si="2081"/>
        <v>0.5490687491729338</v>
      </c>
      <c r="CI1002" s="103"/>
      <c r="CJ1002" s="320">
        <f t="shared" ref="CJ1002:CL1004" si="2082">+CJ991/CJ814</f>
        <v>0.87977881445433037</v>
      </c>
      <c r="CK1002" s="320">
        <f t="shared" si="2082"/>
        <v>0.86759255190007412</v>
      </c>
      <c r="CL1002" s="320">
        <f t="shared" si="2082"/>
        <v>0.87324216425009804</v>
      </c>
      <c r="CM1002" s="103"/>
      <c r="CN1002" s="320">
        <f t="shared" ref="CN1002:CP1004" si="2083">+CN991/CN814</f>
        <v>1.42347004821583</v>
      </c>
      <c r="CO1002" s="320">
        <f t="shared" si="2083"/>
        <v>0.78109907334894757</v>
      </c>
      <c r="CP1002" s="320">
        <f t="shared" si="2083"/>
        <v>0.95579325345294119</v>
      </c>
      <c r="CQ1002" s="103"/>
      <c r="CR1002" s="320">
        <f t="shared" ref="CR1002:CT1004" si="2084">+CR991/CR814</f>
        <v>0.78602577019293385</v>
      </c>
      <c r="CS1002" s="320">
        <f t="shared" si="2084"/>
        <v>0.71986626694627587</v>
      </c>
      <c r="CT1002" s="320">
        <f t="shared" si="2084"/>
        <v>0.74953119652579736</v>
      </c>
      <c r="CV1002" s="320">
        <f t="shared" ref="CV1002:CX1002" si="2085">+CV991/CV814</f>
        <v>0.8998176285446442</v>
      </c>
      <c r="CW1002" s="320">
        <f t="shared" si="2085"/>
        <v>1.0539507114325768</v>
      </c>
      <c r="CX1002" s="320">
        <f t="shared" si="2085"/>
        <v>0.9662892229588026</v>
      </c>
      <c r="CZ1002" s="320">
        <f t="shared" ref="CZ1002" si="2086">+CZ991/CZ814</f>
        <v>0.86255653427890089</v>
      </c>
      <c r="DA1002" s="320">
        <f t="shared" ref="DA1002:DB1002" si="2087">+DA991/DA814</f>
        <v>0.83219437638915672</v>
      </c>
      <c r="DB1002" s="320">
        <f t="shared" si="2087"/>
        <v>0.84636767362242926</v>
      </c>
      <c r="DD1002" s="320">
        <f t="shared" ref="DD1002:DF1004" si="2088">+DD991/DD814</f>
        <v>0.88806978063720288</v>
      </c>
      <c r="DE1002" s="320">
        <f t="shared" si="2088"/>
        <v>0.80072081812886375</v>
      </c>
      <c r="DF1002" s="320">
        <f t="shared" si="2088"/>
        <v>0.83856899051851863</v>
      </c>
      <c r="DH1002" s="320">
        <f t="shared" ref="DH1002" si="2089">+DH991/DH814</f>
        <v>0.77595623862614604</v>
      </c>
      <c r="DI1002" s="320">
        <f t="shared" ref="DI1002:DJ1002" si="2090">+DI991/DI814</f>
        <v>0.76046542238104142</v>
      </c>
      <c r="DJ1002" s="320">
        <f t="shared" si="2090"/>
        <v>0.76798051193174588</v>
      </c>
      <c r="DL1002" s="320">
        <f t="shared" ref="DL1002:DN1002" si="2091">+DL991/DL814</f>
        <v>0.74360475700200479</v>
      </c>
      <c r="DM1002" s="320">
        <f t="shared" si="2091"/>
        <v>0.73970919234773558</v>
      </c>
      <c r="DN1002" s="320">
        <f t="shared" si="2091"/>
        <v>0.74150681930897644</v>
      </c>
      <c r="DP1002" s="320">
        <f t="shared" ref="DP1002:DR1002" si="2092">+DP991/DP814</f>
        <v>0.73716366991914339</v>
      </c>
      <c r="DQ1002" s="320">
        <f t="shared" si="2092"/>
        <v>0.73434565889741521</v>
      </c>
      <c r="DR1002" s="320">
        <f t="shared" si="2092"/>
        <v>0.73565076691570752</v>
      </c>
      <c r="DU1002" s="876"/>
      <c r="DV1002" s="876"/>
      <c r="DW1002" s="876"/>
      <c r="DZ1002" s="876"/>
      <c r="EA1002" s="876"/>
      <c r="ED1002" s="876"/>
      <c r="EE1002" s="876"/>
    </row>
    <row r="1003" spans="1:273">
      <c r="A1003" s="102" t="s">
        <v>1306</v>
      </c>
      <c r="AR1003" s="685"/>
      <c r="AS1003" s="685"/>
      <c r="AT1003" s="730"/>
      <c r="AU1003" s="730"/>
      <c r="AV1003" s="685"/>
      <c r="AW1003" s="685"/>
      <c r="AX1003" s="730"/>
      <c r="AY1003" s="730"/>
      <c r="AZ1003" s="685"/>
      <c r="BA1003" s="876"/>
      <c r="BD1003" s="711"/>
      <c r="BE1003" s="885"/>
      <c r="BF1003" s="711"/>
      <c r="BH1003" s="685"/>
      <c r="BI1003" s="876"/>
      <c r="BL1003" s="876"/>
      <c r="BM1003" s="876"/>
      <c r="BP1003" s="876"/>
      <c r="BQ1003" s="876"/>
      <c r="BT1003" s="876"/>
      <c r="BU1003" s="876"/>
      <c r="BX1003" s="320">
        <f t="shared" si="2079"/>
        <v>0.59139701083963836</v>
      </c>
      <c r="BY1003" s="320">
        <f t="shared" si="2079"/>
        <v>0.60713930153189577</v>
      </c>
      <c r="BZ1003" s="320">
        <f t="shared" si="2079"/>
        <v>0.5991459035788782</v>
      </c>
      <c r="CB1003" s="320">
        <f t="shared" si="2080"/>
        <v>0.55669340878790863</v>
      </c>
      <c r="CC1003" s="320">
        <f t="shared" si="2080"/>
        <v>0.71622819698957174</v>
      </c>
      <c r="CD1003" s="320">
        <f t="shared" si="2080"/>
        <v>0.61511332167935584</v>
      </c>
      <c r="CE1003" s="103"/>
      <c r="CF1003" s="320">
        <f t="shared" si="2081"/>
        <v>0.60310500137034928</v>
      </c>
      <c r="CG1003" s="320">
        <f t="shared" si="2081"/>
        <v>0.5986847284101583</v>
      </c>
      <c r="CH1003" s="320">
        <f t="shared" si="2081"/>
        <v>0.6002651540213142</v>
      </c>
      <c r="CI1003" s="103"/>
      <c r="CJ1003" s="320">
        <f t="shared" si="2082"/>
        <v>0.56096837592759397</v>
      </c>
      <c r="CK1003" s="320">
        <f t="shared" si="2082"/>
        <v>0.5697543126629766</v>
      </c>
      <c r="CL1003" s="320">
        <f t="shared" si="2082"/>
        <v>0.56533553364940448</v>
      </c>
      <c r="CM1003" s="103"/>
      <c r="CN1003" s="320">
        <f t="shared" si="2083"/>
        <v>0.61854619504631259</v>
      </c>
      <c r="CO1003" s="320">
        <f t="shared" si="2083"/>
        <v>0.59658781957127272</v>
      </c>
      <c r="CP1003" s="320">
        <f t="shared" si="2083"/>
        <v>0.60763439425438959</v>
      </c>
      <c r="CQ1003" s="103"/>
      <c r="CR1003" s="320">
        <f t="shared" si="2084"/>
        <v>0.61649821422214834</v>
      </c>
      <c r="CS1003" s="320">
        <f t="shared" si="2084"/>
        <v>0.54643287947534724</v>
      </c>
      <c r="CT1003" s="320">
        <f t="shared" si="2084"/>
        <v>0.57596838129837824</v>
      </c>
      <c r="CV1003" s="320">
        <f t="shared" ref="CV1003:CX1003" si="2093">+CV992/CV815</f>
        <v>0.60419333012466114</v>
      </c>
      <c r="CW1003" s="320">
        <f t="shared" si="2093"/>
        <v>0.69240141133880451</v>
      </c>
      <c r="CX1003" s="320">
        <f t="shared" si="2093"/>
        <v>0.64605331893896212</v>
      </c>
      <c r="CZ1003" s="320">
        <f t="shared" ref="CZ1003" si="2094">+CZ992/CZ815</f>
        <v>0.91821947389659231</v>
      </c>
      <c r="DA1003" s="320">
        <f t="shared" ref="DA1003:DB1003" si="2095">+DA992/DA815</f>
        <v>0.61182530377983968</v>
      </c>
      <c r="DB1003" s="320">
        <f t="shared" si="2095"/>
        <v>0.74999888427117867</v>
      </c>
      <c r="DD1003" s="320">
        <f t="shared" si="2088"/>
        <v>0.82674595447594179</v>
      </c>
      <c r="DE1003" s="320">
        <f t="shared" si="2088"/>
        <v>0.56832776502172044</v>
      </c>
      <c r="DF1003" s="320">
        <f t="shared" si="2088"/>
        <v>0.68332128646368295</v>
      </c>
      <c r="DH1003" s="320">
        <f t="shared" ref="DH1003" si="2096">+DH992/DH815</f>
        <v>0.75326681784983762</v>
      </c>
      <c r="DI1003" s="320">
        <f t="shared" ref="DI1003:DJ1003" si="2097">+DI992/DI815</f>
        <v>0.5498605418212501</v>
      </c>
      <c r="DJ1003" s="320">
        <f t="shared" si="2097"/>
        <v>0.64673815437965443</v>
      </c>
      <c r="DL1003" s="320">
        <f t="shared" ref="DL1003:DN1003" si="2098">+DL992/DL815</f>
        <v>0.57538034800530335</v>
      </c>
      <c r="DM1003" s="320">
        <f t="shared" si="2098"/>
        <v>0.59695010510544932</v>
      </c>
      <c r="DN1003" s="320">
        <f t="shared" si="2098"/>
        <v>0.58625645138388482</v>
      </c>
      <c r="DP1003" s="320">
        <f t="shared" ref="DP1003:DR1003" si="2099">+DP992/DP815</f>
        <v>0.57461496962278003</v>
      </c>
      <c r="DQ1003" s="320">
        <f t="shared" si="2099"/>
        <v>0.59427633814071579</v>
      </c>
      <c r="DR1003" s="320">
        <f t="shared" si="2099"/>
        <v>0.58457238594907279</v>
      </c>
      <c r="DU1003" s="876"/>
      <c r="DV1003" s="876"/>
      <c r="DW1003" s="876"/>
      <c r="DZ1003" s="876"/>
      <c r="EA1003" s="876"/>
      <c r="ED1003" s="876"/>
      <c r="EE1003" s="876"/>
    </row>
    <row r="1004" spans="1:273">
      <c r="A1004" s="102" t="s">
        <v>1024</v>
      </c>
      <c r="AR1004" s="685"/>
      <c r="AS1004" s="685"/>
      <c r="AT1004" s="730"/>
      <c r="AU1004" s="730"/>
      <c r="AV1004" s="685"/>
      <c r="AW1004" s="685"/>
      <c r="AX1004" s="730"/>
      <c r="AY1004" s="730"/>
      <c r="AZ1004" s="685"/>
      <c r="BA1004" s="876"/>
      <c r="BD1004" s="711"/>
      <c r="BE1004" s="885"/>
      <c r="BF1004" s="711"/>
      <c r="BH1004" s="685"/>
      <c r="BI1004" s="876"/>
      <c r="BL1004" s="876"/>
      <c r="BM1004" s="876"/>
      <c r="BP1004" s="876"/>
      <c r="BQ1004" s="876"/>
      <c r="BT1004" s="876"/>
      <c r="BU1004" s="876"/>
      <c r="BX1004" s="320">
        <f t="shared" si="2079"/>
        <v>0.74539035556293254</v>
      </c>
      <c r="BY1004" s="320">
        <f t="shared" si="2079"/>
        <v>0.72000428284264306</v>
      </c>
      <c r="BZ1004" s="320">
        <f t="shared" si="2079"/>
        <v>0.73274785370263507</v>
      </c>
      <c r="CB1004" s="320">
        <f t="shared" si="2080"/>
        <v>0.78696837745121506</v>
      </c>
      <c r="CC1004" s="320">
        <f t="shared" si="2080"/>
        <v>0.73034247746620728</v>
      </c>
      <c r="CD1004" s="320">
        <f t="shared" si="2080"/>
        <v>0.75607642022375143</v>
      </c>
      <c r="CE1004" s="103"/>
      <c r="CF1004" s="320">
        <f t="shared" si="2081"/>
        <v>0.72881138835106751</v>
      </c>
      <c r="CG1004" s="320">
        <f t="shared" si="2081"/>
        <v>0.77013978353969414</v>
      </c>
      <c r="CH1004" s="320">
        <f t="shared" si="2081"/>
        <v>0.74916384102305222</v>
      </c>
      <c r="CI1004" s="103"/>
      <c r="CJ1004" s="320">
        <f t="shared" si="2082"/>
        <v>0.70339266365900999</v>
      </c>
      <c r="CK1004" s="320">
        <f t="shared" si="2082"/>
        <v>0.74282720572383831</v>
      </c>
      <c r="CL1004" s="320">
        <f t="shared" si="2082"/>
        <v>0.72057092532806899</v>
      </c>
      <c r="CM1004" s="103"/>
      <c r="CN1004" s="320">
        <f t="shared" si="2083"/>
        <v>0.62929134054799607</v>
      </c>
      <c r="CO1004" s="320">
        <f t="shared" si="2083"/>
        <v>0.53508462427393255</v>
      </c>
      <c r="CP1004" s="320">
        <f t="shared" si="2083"/>
        <v>0.57793316587894406</v>
      </c>
      <c r="CQ1004" s="103"/>
      <c r="CR1004" s="320">
        <f t="shared" si="2084"/>
        <v>0.52747472435431186</v>
      </c>
      <c r="CS1004" s="320">
        <f t="shared" si="2084"/>
        <v>0.4730963069549044</v>
      </c>
      <c r="CT1004" s="320">
        <f t="shared" si="2084"/>
        <v>0.49738814399828624</v>
      </c>
      <c r="CV1004" s="320">
        <f t="shared" ref="CV1004:CX1004" si="2100">+CV993/CV816</f>
        <v>0.51698222736375365</v>
      </c>
      <c r="CW1004" s="320">
        <f t="shared" si="2100"/>
        <v>0.45519576194299843</v>
      </c>
      <c r="CX1004" s="320">
        <f t="shared" si="2100"/>
        <v>0.47806818574082166</v>
      </c>
      <c r="CZ1004" s="320">
        <f t="shared" ref="CZ1004" si="2101">+CZ993/CZ816</f>
        <v>0.63832865959206686</v>
      </c>
      <c r="DA1004" s="320">
        <f t="shared" ref="DA1004:DB1004" si="2102">+DA993/DA816</f>
        <v>0.53792526501235483</v>
      </c>
      <c r="DB1004" s="320">
        <f t="shared" si="2102"/>
        <v>0.58446539171228984</v>
      </c>
      <c r="DD1004" s="320">
        <f t="shared" si="2088"/>
        <v>0.6411119319164057</v>
      </c>
      <c r="DE1004" s="320">
        <f t="shared" si="2088"/>
        <v>0.57827967330971497</v>
      </c>
      <c r="DF1004" s="320">
        <f t="shared" si="2088"/>
        <v>0.60836271145031917</v>
      </c>
      <c r="DH1004" s="320">
        <f t="shared" ref="DH1004" si="2103">+DH993/DH816</f>
        <v>0.64381556086264846</v>
      </c>
      <c r="DI1004" s="320">
        <f t="shared" ref="DI1004:DJ1004" si="2104">+DI993/DI816</f>
        <v>0.55416006846910082</v>
      </c>
      <c r="DJ1004" s="320">
        <f t="shared" si="2104"/>
        <v>0.59414101675481268</v>
      </c>
      <c r="DL1004" s="320">
        <f t="shared" ref="DL1004:DN1004" si="2105">+DL993/DL816</f>
        <v>0.56782061445280152</v>
      </c>
      <c r="DM1004" s="320">
        <f t="shared" si="2105"/>
        <v>0.55513187055859137</v>
      </c>
      <c r="DN1004" s="320">
        <f t="shared" si="2105"/>
        <v>0.56079140062648758</v>
      </c>
      <c r="DP1004" s="320">
        <f t="shared" ref="DP1004:DR1004" si="2106">+DP993/DP816</f>
        <v>0.56870228557111113</v>
      </c>
      <c r="DQ1004" s="320">
        <f t="shared" si="2106"/>
        <v>0.55567525258626027</v>
      </c>
      <c r="DR1004" s="320">
        <f t="shared" si="2106"/>
        <v>0.56147944540247541</v>
      </c>
      <c r="DU1004" s="876"/>
      <c r="DV1004" s="876"/>
      <c r="DW1004" s="876"/>
      <c r="DZ1004" s="876"/>
      <c r="EA1004" s="876"/>
      <c r="ED1004" s="876"/>
      <c r="EE1004" s="876"/>
    </row>
    <row r="1005" spans="1:273">
      <c r="A1005" s="102" t="s">
        <v>690</v>
      </c>
      <c r="AR1005" s="685"/>
      <c r="AS1005" s="685"/>
      <c r="AT1005" s="730"/>
      <c r="AU1005" s="730"/>
      <c r="AV1005" s="685"/>
      <c r="AW1005" s="685"/>
      <c r="AX1005" s="730"/>
      <c r="AY1005" s="730"/>
      <c r="AZ1005" s="685"/>
      <c r="BA1005" s="876"/>
      <c r="BD1005" s="711"/>
      <c r="BE1005" s="885"/>
      <c r="BF1005" s="711"/>
      <c r="BH1005" s="685"/>
      <c r="BI1005" s="876"/>
      <c r="BL1005" s="876"/>
      <c r="BM1005" s="876"/>
      <c r="BP1005" s="876"/>
      <c r="BQ1005" s="876"/>
      <c r="BT1005" s="876"/>
      <c r="BU1005" s="876"/>
      <c r="BX1005" s="320">
        <f t="shared" si="2079"/>
        <v>0.65720950492393271</v>
      </c>
      <c r="BY1005" s="320">
        <f t="shared" si="2079"/>
        <v>0.56203259162788666</v>
      </c>
      <c r="BZ1005" s="320">
        <f t="shared" si="2079"/>
        <v>0.60535439983027528</v>
      </c>
      <c r="CB1005" s="320">
        <f t="shared" si="2080"/>
        <v>0.49858344760311868</v>
      </c>
      <c r="CC1005" s="320">
        <f t="shared" si="2080"/>
        <v>0.38989622974796412</v>
      </c>
      <c r="CD1005" s="320">
        <f t="shared" si="2080"/>
        <v>0.44243442764548035</v>
      </c>
      <c r="CE1005" s="103"/>
      <c r="CF1005" s="320"/>
      <c r="CG1005" s="320"/>
      <c r="CH1005" s="320"/>
      <c r="CI1005" s="103"/>
      <c r="CJ1005" s="320"/>
      <c r="CK1005" s="320"/>
      <c r="CL1005" s="320"/>
      <c r="CM1005" s="103"/>
      <c r="CN1005" s="320"/>
      <c r="CO1005" s="320"/>
      <c r="CP1005" s="320"/>
      <c r="CQ1005" s="103"/>
      <c r="CR1005" s="320"/>
      <c r="CS1005" s="320"/>
      <c r="CT1005" s="320"/>
      <c r="CV1005" s="320"/>
      <c r="CW1005" s="320"/>
      <c r="CX1005" s="320"/>
      <c r="CZ1005" s="320"/>
      <c r="DA1005" s="320"/>
      <c r="DB1005" s="320"/>
      <c r="DD1005" s="320"/>
      <c r="DE1005" s="320"/>
      <c r="DF1005" s="320"/>
      <c r="DH1005" s="320"/>
      <c r="DI1005" s="320"/>
      <c r="DJ1005" s="320"/>
      <c r="DL1005" s="320"/>
      <c r="DM1005" s="320"/>
      <c r="DN1005" s="320"/>
      <c r="DP1005" s="320"/>
      <c r="DQ1005" s="320"/>
      <c r="DR1005" s="320"/>
      <c r="DU1005" s="876"/>
      <c r="DV1005" s="876"/>
      <c r="DW1005" s="876"/>
      <c r="DZ1005" s="876"/>
      <c r="EA1005" s="876"/>
      <c r="ED1005" s="876"/>
      <c r="EE1005" s="876"/>
    </row>
    <row r="1006" spans="1:273">
      <c r="A1006" s="102" t="s">
        <v>689</v>
      </c>
      <c r="AR1006" s="685"/>
      <c r="AS1006" s="685"/>
      <c r="AT1006" s="730"/>
      <c r="AU1006" s="730"/>
      <c r="AV1006" s="685"/>
      <c r="AW1006" s="685"/>
      <c r="AX1006" s="730"/>
      <c r="AY1006" s="730"/>
      <c r="AZ1006" s="685"/>
      <c r="BA1006" s="876"/>
      <c r="BD1006" s="711"/>
      <c r="BE1006" s="885"/>
      <c r="BF1006" s="711"/>
      <c r="BH1006" s="685"/>
      <c r="BI1006" s="876"/>
      <c r="BL1006" s="876"/>
      <c r="BM1006" s="876"/>
      <c r="BP1006" s="876"/>
      <c r="BQ1006" s="876"/>
      <c r="BT1006" s="876"/>
      <c r="BU1006" s="876"/>
      <c r="BX1006" s="320">
        <f t="shared" si="2079"/>
        <v>0.82211034903276792</v>
      </c>
      <c r="BY1006" s="320">
        <f t="shared" si="2079"/>
        <v>0.81796068588018267</v>
      </c>
      <c r="BZ1006" s="320">
        <f t="shared" si="2079"/>
        <v>0.81987753422940801</v>
      </c>
      <c r="CB1006" s="320">
        <f t="shared" si="2080"/>
        <v>0.79972131715324524</v>
      </c>
      <c r="CC1006" s="320">
        <f t="shared" si="2080"/>
        <v>0.90292745525811924</v>
      </c>
      <c r="CD1006" s="320">
        <f t="shared" si="2080"/>
        <v>0.85173684934960292</v>
      </c>
      <c r="CE1006" s="103"/>
      <c r="CF1006" s="320">
        <f>+CF995/CF818</f>
        <v>0.90580769333451194</v>
      </c>
      <c r="CG1006" s="320">
        <f>+CG995/CG818</f>
        <v>0.93965033037002599</v>
      </c>
      <c r="CH1006" s="320">
        <f>+CH995/CH818</f>
        <v>0.92406652704308889</v>
      </c>
      <c r="CI1006" s="103"/>
      <c r="CJ1006" s="320">
        <f>+CJ995/CJ818</f>
        <v>0.89248742084147992</v>
      </c>
      <c r="CK1006" s="320">
        <f>+CK995/CK818</f>
        <v>0.87624740363160036</v>
      </c>
      <c r="CL1006" s="320">
        <f>+CL995/CL818</f>
        <v>0.88437131110880762</v>
      </c>
      <c r="CM1006" s="103"/>
      <c r="CN1006" s="320">
        <f>+CN995/CN818</f>
        <v>0.95839562648771126</v>
      </c>
      <c r="CO1006" s="320">
        <f>+CO995/CO818</f>
        <v>0.83011069529235393</v>
      </c>
      <c r="CP1006" s="320">
        <f>+CP995/CP818</f>
        <v>0.89185408040230396</v>
      </c>
      <c r="CQ1006" s="103"/>
      <c r="CR1006" s="320">
        <f>+CR995/CR818</f>
        <v>0.91831506666828144</v>
      </c>
      <c r="CS1006" s="320">
        <f>+CS995/CS818</f>
        <v>0.85256223741597092</v>
      </c>
      <c r="CT1006" s="320">
        <f>+CT995/CT818</f>
        <v>0.88371015351127169</v>
      </c>
      <c r="CV1006" s="320">
        <f t="shared" ref="CV1006:CX1006" si="2107">+CV995/CV818</f>
        <v>0.83450854016662157</v>
      </c>
      <c r="CW1006" s="320">
        <f t="shared" si="2107"/>
        <v>0.92735864432582771</v>
      </c>
      <c r="CX1006" s="320">
        <f t="shared" si="2107"/>
        <v>0.8818052511152713</v>
      </c>
      <c r="CZ1006" s="320">
        <f t="shared" ref="CZ1006" si="2108">+CZ995/CZ818</f>
        <v>0.89587993469710792</v>
      </c>
      <c r="DA1006" s="320">
        <f t="shared" ref="DA1006:DB1006" si="2109">+DA995/DA818</f>
        <v>0.88376910166070788</v>
      </c>
      <c r="DB1006" s="320">
        <f t="shared" si="2109"/>
        <v>0.88980963802029334</v>
      </c>
      <c r="DD1006" s="320">
        <f t="shared" ref="DD1006:DF1006" si="2110">+DD995/DD818</f>
        <v>0.85533854423988098</v>
      </c>
      <c r="DE1006" s="320">
        <f t="shared" si="2110"/>
        <v>0.82552677710645739</v>
      </c>
      <c r="DF1006" s="320">
        <f t="shared" si="2110"/>
        <v>0.84039210250227692</v>
      </c>
      <c r="DH1006" s="320">
        <f t="shared" ref="DH1006" si="2111">+DH995/DH818</f>
        <v>0.80944329399357673</v>
      </c>
      <c r="DI1006" s="320">
        <f t="shared" ref="DI1006:DJ1006" si="2112">+DI995/DI818</f>
        <v>0.87608027656162546</v>
      </c>
      <c r="DJ1006" s="320">
        <f t="shared" si="2112"/>
        <v>0.84238115965429661</v>
      </c>
      <c r="DL1006" s="320">
        <f t="shared" ref="DL1006:DN1006" si="2113">+DL995/DL818</f>
        <v>0.80378635809652543</v>
      </c>
      <c r="DM1006" s="320">
        <f t="shared" si="2113"/>
        <v>0.83968462874141914</v>
      </c>
      <c r="DN1006" s="320">
        <f t="shared" si="2113"/>
        <v>0.8220192969620389</v>
      </c>
      <c r="DP1006" s="320">
        <f t="shared" ref="DP1006:DR1006" si="2114">+DP995/DP818</f>
        <v>0.78648213212698737</v>
      </c>
      <c r="DQ1006" s="320">
        <f t="shared" si="2114"/>
        <v>0.82288887015785173</v>
      </c>
      <c r="DR1006" s="320">
        <f t="shared" si="2114"/>
        <v>0.80491922729846421</v>
      </c>
      <c r="DU1006" s="876"/>
      <c r="DV1006" s="876"/>
      <c r="DW1006" s="876"/>
      <c r="DZ1006" s="876"/>
      <c r="EA1006" s="876"/>
      <c r="ED1006" s="876"/>
      <c r="EE1006" s="876"/>
    </row>
    <row r="1007" spans="1:273">
      <c r="A1007" s="102" t="s">
        <v>688</v>
      </c>
      <c r="AR1007" s="685"/>
      <c r="AS1007" s="685"/>
      <c r="AT1007" s="730"/>
      <c r="AU1007" s="730"/>
      <c r="AV1007" s="685"/>
      <c r="AW1007" s="685"/>
      <c r="AX1007" s="730"/>
      <c r="AY1007" s="730"/>
      <c r="AZ1007" s="685"/>
      <c r="BA1007" s="876"/>
      <c r="BD1007" s="711"/>
      <c r="BE1007" s="885"/>
      <c r="BF1007" s="711"/>
      <c r="BH1007" s="685"/>
      <c r="BI1007" s="876"/>
      <c r="BL1007" s="876"/>
      <c r="BM1007" s="876"/>
      <c r="BP1007" s="876"/>
      <c r="BQ1007" s="876"/>
      <c r="BT1007" s="876"/>
      <c r="BU1007" s="876"/>
      <c r="BX1007" s="320"/>
      <c r="BY1007" s="320"/>
      <c r="BZ1007" s="320"/>
      <c r="CB1007" s="320"/>
      <c r="CC1007" s="320"/>
      <c r="CD1007" s="320"/>
      <c r="CE1007" s="103"/>
      <c r="CF1007" s="320"/>
      <c r="CG1007" s="320"/>
      <c r="CH1007" s="320"/>
      <c r="CI1007" s="103"/>
      <c r="CJ1007" s="320"/>
      <c r="CK1007" s="320"/>
      <c r="CL1007" s="320"/>
      <c r="CM1007" s="103"/>
      <c r="CN1007" s="320"/>
      <c r="CO1007" s="320"/>
      <c r="CP1007" s="320"/>
      <c r="CQ1007" s="103"/>
      <c r="CR1007" s="320"/>
      <c r="CS1007" s="320"/>
      <c r="CT1007" s="320"/>
      <c r="CV1007" s="320"/>
      <c r="CW1007" s="320"/>
      <c r="CX1007" s="320"/>
      <c r="CZ1007" s="320"/>
      <c r="DA1007" s="320"/>
      <c r="DB1007" s="320"/>
      <c r="DD1007" s="320"/>
      <c r="DE1007" s="320"/>
      <c r="DF1007" s="320"/>
      <c r="DH1007" s="320"/>
      <c r="DI1007" s="320"/>
      <c r="DJ1007" s="320"/>
      <c r="DL1007" s="320"/>
      <c r="DM1007" s="320"/>
      <c r="DN1007" s="320"/>
      <c r="DP1007" s="320"/>
      <c r="DQ1007" s="320"/>
      <c r="DR1007" s="320"/>
      <c r="DU1007" s="876"/>
      <c r="DV1007" s="876"/>
      <c r="DW1007" s="876"/>
      <c r="DZ1007" s="876"/>
      <c r="EA1007" s="876"/>
      <c r="ED1007" s="876"/>
      <c r="EE1007" s="876"/>
    </row>
    <row r="1008" spans="1:273">
      <c r="AR1008" s="685"/>
      <c r="AS1008" s="685"/>
      <c r="AT1008" s="730"/>
      <c r="AU1008" s="730"/>
      <c r="AV1008" s="685"/>
      <c r="AW1008" s="685"/>
      <c r="AX1008" s="730"/>
      <c r="AY1008" s="730"/>
      <c r="AZ1008" s="685"/>
      <c r="BA1008" s="876"/>
      <c r="BD1008" s="711"/>
      <c r="BE1008" s="885"/>
      <c r="BF1008" s="711"/>
      <c r="BH1008" s="685"/>
      <c r="BI1008" s="876"/>
      <c r="BL1008" s="876"/>
      <c r="BM1008" s="876"/>
      <c r="BP1008" s="876"/>
      <c r="BQ1008" s="876"/>
      <c r="BT1008" s="876"/>
      <c r="BU1008" s="876"/>
      <c r="BX1008" s="649"/>
      <c r="BY1008" s="649"/>
      <c r="BZ1008" s="649"/>
      <c r="CB1008" s="649"/>
      <c r="CC1008" s="649"/>
      <c r="CD1008" s="649"/>
      <c r="CE1008" s="103"/>
      <c r="CF1008" s="649"/>
      <c r="CG1008" s="649"/>
      <c r="CH1008" s="649"/>
      <c r="CI1008" s="103"/>
      <c r="CJ1008" s="649"/>
      <c r="CK1008" s="649"/>
      <c r="CL1008" s="649"/>
      <c r="CM1008" s="103"/>
      <c r="CN1008" s="649"/>
      <c r="CO1008" s="649"/>
      <c r="CP1008" s="649"/>
      <c r="CQ1008" s="103"/>
      <c r="CR1008" s="649"/>
      <c r="CS1008" s="649"/>
      <c r="CT1008" s="649"/>
      <c r="CV1008" s="649"/>
      <c r="CW1008" s="649"/>
      <c r="CX1008" s="649"/>
      <c r="CZ1008" s="649"/>
      <c r="DA1008" s="649"/>
      <c r="DB1008" s="649"/>
      <c r="DD1008" s="649"/>
      <c r="DE1008" s="649"/>
      <c r="DF1008" s="649"/>
      <c r="DH1008" s="649"/>
      <c r="DI1008" s="649"/>
      <c r="DJ1008" s="649"/>
      <c r="DL1008" s="649"/>
      <c r="DM1008" s="649"/>
      <c r="DN1008" s="649"/>
      <c r="DP1008" s="649"/>
      <c r="DQ1008" s="649"/>
      <c r="DR1008" s="649"/>
      <c r="DU1008" s="876"/>
      <c r="DV1008" s="876"/>
      <c r="DW1008" s="876"/>
      <c r="DZ1008" s="876"/>
      <c r="EA1008" s="876"/>
      <c r="ED1008" s="876"/>
      <c r="EE1008" s="876"/>
    </row>
    <row r="1009" spans="1:273">
      <c r="A1009" s="289" t="s">
        <v>696</v>
      </c>
      <c r="AR1009" s="685"/>
      <c r="AS1009" s="685"/>
      <c r="AT1009" s="730"/>
      <c r="AU1009" s="730"/>
      <c r="AV1009" s="685"/>
      <c r="AW1009" s="685"/>
      <c r="AX1009" s="730"/>
      <c r="AY1009" s="730"/>
      <c r="AZ1009" s="685"/>
      <c r="BA1009" s="876"/>
      <c r="BD1009" s="711"/>
      <c r="BE1009" s="885"/>
      <c r="BF1009" s="711"/>
      <c r="BH1009" s="685"/>
      <c r="BI1009" s="876"/>
      <c r="BL1009" s="876"/>
      <c r="BM1009" s="876"/>
      <c r="BP1009" s="876"/>
      <c r="BQ1009" s="876"/>
      <c r="BT1009" s="876"/>
      <c r="BU1009" s="876"/>
      <c r="BX1009" s="649">
        <f>+BX998/BX821</f>
        <v>0.71540820237638947</v>
      </c>
      <c r="BY1009" s="649">
        <f>+BY998/BY821</f>
        <v>0.68538670812281388</v>
      </c>
      <c r="BZ1009" s="649">
        <f>+BZ998/BZ821</f>
        <v>0.70050173678116556</v>
      </c>
      <c r="CB1009" s="649">
        <f>+CB998/CB821</f>
        <v>0.68426903835464148</v>
      </c>
      <c r="CC1009" s="649">
        <f>+CC998/CC821</f>
        <v>0.68133260908926307</v>
      </c>
      <c r="CD1009" s="649">
        <f>+CD998/CD821</f>
        <v>0.6827838827838828</v>
      </c>
      <c r="CE1009" s="103"/>
      <c r="CF1009" s="649">
        <f>+CF998/CF821</f>
        <v>0.70754716981132071</v>
      </c>
      <c r="CG1009" s="649">
        <f>+CG998/CG821</f>
        <v>0.68775274407856735</v>
      </c>
      <c r="CH1009" s="649">
        <f>+CH998/CH821</f>
        <v>0.6968010036067116</v>
      </c>
      <c r="CI1009" s="103"/>
      <c r="CJ1009" s="649">
        <f>+CJ998/CJ821</f>
        <v>0.70886075949367089</v>
      </c>
      <c r="CK1009" s="649">
        <f>+CK998/CK821</f>
        <v>0.73122398001665279</v>
      </c>
      <c r="CL1009" s="649">
        <f>+CL998/CL821</f>
        <v>0.71975659229208921</v>
      </c>
      <c r="CM1009" s="103"/>
      <c r="CN1009" s="649">
        <f>+CN998/CN821</f>
        <v>0.77296611705019025</v>
      </c>
      <c r="CO1009" s="649">
        <f>+CO998/CO821</f>
        <v>0.6341833218470021</v>
      </c>
      <c r="CP1009" s="649">
        <f>+CP998/CP821</f>
        <v>0.6941443557225615</v>
      </c>
      <c r="CQ1009" s="103"/>
      <c r="CR1009" s="649">
        <f>+CR998/CR821</f>
        <v>0.64953869810353659</v>
      </c>
      <c r="CS1009" s="649">
        <f>+CS998/CS821</f>
        <v>0.60042016806722687</v>
      </c>
      <c r="CT1009" s="649">
        <f>+CT998/CT821</f>
        <v>0.62254675594550912</v>
      </c>
      <c r="CV1009" s="649">
        <f t="shared" ref="CV1009:CX1009" si="2115">+CV998/CV821</f>
        <v>0.64888682745825599</v>
      </c>
      <c r="CW1009" s="649">
        <f t="shared" si="2115"/>
        <v>0.62240426747951993</v>
      </c>
      <c r="CX1009" s="649">
        <f t="shared" si="2115"/>
        <v>0.63434787156155215</v>
      </c>
      <c r="CZ1009" s="649">
        <f t="shared" ref="CZ1009" si="2116">+CZ998/CZ821</f>
        <v>0.74829329962073321</v>
      </c>
      <c r="DA1009" s="649">
        <f t="shared" ref="DA1009:DB1009" si="2117">+DA998/DA821</f>
        <v>0.63034393559853052</v>
      </c>
      <c r="DB1009" s="649">
        <f t="shared" si="2117"/>
        <v>0.68559232012009286</v>
      </c>
      <c r="DD1009" s="649">
        <f t="shared" ref="DD1009:DF1009" si="2118">+DD998/DD821</f>
        <v>0.7204235637779941</v>
      </c>
      <c r="DE1009" s="649">
        <f t="shared" si="2118"/>
        <v>0.64647083353692714</v>
      </c>
      <c r="DF1009" s="649">
        <f t="shared" si="2118"/>
        <v>0.68177973821269455</v>
      </c>
      <c r="DH1009" s="649">
        <f t="shared" ref="DH1009" si="2119">+DH998/DH821</f>
        <v>0.71786905994707173</v>
      </c>
      <c r="DI1009" s="649">
        <f t="shared" ref="DI1009:DJ1009" si="2120">+DI998/DI821</f>
        <v>0.62788893721695682</v>
      </c>
      <c r="DJ1009" s="649">
        <f t="shared" si="2120"/>
        <v>0.66980392195570893</v>
      </c>
      <c r="DL1009" s="649">
        <f t="shared" ref="DL1009:DN1009" si="2121">+DL998/DL821</f>
        <v>0.63663579208023913</v>
      </c>
      <c r="DM1009" s="649">
        <f t="shared" si="2121"/>
        <v>0.64129637591137534</v>
      </c>
      <c r="DN1009" s="649">
        <f t="shared" si="2121"/>
        <v>0.63910197881987696</v>
      </c>
      <c r="DP1009" s="649">
        <f t="shared" ref="DP1009:DR1009" si="2122">+DP998/DP821</f>
        <v>0.63028775207845833</v>
      </c>
      <c r="DQ1009" s="649">
        <f t="shared" si="2122"/>
        <v>0.6357906402705511</v>
      </c>
      <c r="DR1009" s="649">
        <f t="shared" si="2122"/>
        <v>0.63319616566492898</v>
      </c>
      <c r="DU1009" s="876"/>
      <c r="DV1009" s="876"/>
      <c r="DW1009" s="876"/>
      <c r="DZ1009" s="876"/>
      <c r="EA1009" s="876"/>
      <c r="ED1009" s="876"/>
      <c r="EE1009" s="876"/>
    </row>
    <row r="1010" spans="1:273">
      <c r="AR1010" s="685"/>
      <c r="AS1010" s="685"/>
      <c r="AT1010" s="730"/>
      <c r="AU1010" s="730"/>
      <c r="AV1010" s="685"/>
      <c r="AW1010" s="685"/>
      <c r="AX1010" s="730"/>
      <c r="AY1010" s="730"/>
      <c r="AZ1010" s="685"/>
      <c r="BA1010" s="876"/>
      <c r="BD1010" s="711"/>
      <c r="BE1010" s="885"/>
      <c r="BF1010" s="711"/>
      <c r="BH1010" s="685"/>
      <c r="BI1010" s="876"/>
      <c r="BL1010" s="876"/>
      <c r="BM1010" s="876"/>
      <c r="BP1010" s="876"/>
      <c r="BQ1010" s="876"/>
      <c r="BT1010" s="876"/>
      <c r="BU1010" s="876"/>
      <c r="BX1010" s="293"/>
      <c r="BY1010" s="293"/>
      <c r="BZ1010" s="293"/>
      <c r="CB1010" s="293"/>
      <c r="CC1010" s="293"/>
      <c r="CD1010" s="293"/>
      <c r="CE1010" s="103"/>
      <c r="CF1010" s="293"/>
      <c r="CG1010" s="293"/>
      <c r="CH1010" s="293"/>
      <c r="CI1010" s="103"/>
      <c r="CJ1010" s="293"/>
      <c r="CK1010" s="293"/>
      <c r="CL1010" s="293"/>
      <c r="CM1010" s="103"/>
      <c r="CN1010" s="293"/>
      <c r="CO1010" s="293"/>
      <c r="CP1010" s="293"/>
      <c r="CQ1010" s="103"/>
      <c r="CR1010" s="293"/>
      <c r="CS1010" s="293"/>
      <c r="CT1010" s="293">
        <f>+CT1009-CT973</f>
        <v>0</v>
      </c>
      <c r="CV1010" s="626"/>
      <c r="CW1010" s="626"/>
      <c r="CX1010" s="626"/>
      <c r="CZ1010" s="626"/>
      <c r="DA1010" s="876"/>
      <c r="DD1010" s="626"/>
      <c r="DE1010" s="876"/>
      <c r="DH1010" s="626"/>
      <c r="DI1010" s="876"/>
      <c r="DL1010" s="876"/>
      <c r="DM1010" s="876"/>
      <c r="DP1010" s="876"/>
      <c r="DQ1010" s="876"/>
      <c r="DU1010" s="876"/>
      <c r="DV1010" s="876"/>
      <c r="DW1010" s="876"/>
      <c r="DZ1010" s="876"/>
      <c r="EA1010" s="876"/>
      <c r="ED1010" s="876"/>
      <c r="EE1010" s="876"/>
    </row>
    <row r="1011" spans="1:273" ht="55.2">
      <c r="A1011" s="1714" t="s">
        <v>1339</v>
      </c>
      <c r="AR1011" s="685"/>
      <c r="AS1011" s="685"/>
      <c r="AT1011" s="730"/>
      <c r="AU1011" s="730"/>
      <c r="AV1011" s="685"/>
      <c r="AW1011" s="685"/>
      <c r="AX1011" s="730"/>
      <c r="AY1011" s="730"/>
      <c r="AZ1011" s="685"/>
      <c r="BA1011" s="876"/>
      <c r="BD1011" s="711"/>
      <c r="BE1011" s="885"/>
      <c r="BF1011" s="711"/>
      <c r="BH1011" s="685"/>
      <c r="BI1011" s="876"/>
      <c r="BL1011" s="876"/>
      <c r="BM1011" s="876"/>
      <c r="BP1011" s="876"/>
      <c r="BQ1011" s="876"/>
      <c r="BT1011" s="876"/>
      <c r="BU1011" s="876"/>
      <c r="BX1011" s="876"/>
      <c r="BY1011" s="876"/>
      <c r="CB1011" s="876"/>
      <c r="CC1011" s="876"/>
      <c r="CF1011" s="876"/>
      <c r="CG1011" s="876"/>
      <c r="CJ1011" s="876"/>
      <c r="CK1011" s="876"/>
      <c r="CN1011" s="876"/>
      <c r="CO1011" s="876"/>
      <c r="CR1011" s="876"/>
      <c r="CS1011" s="876"/>
      <c r="CV1011" s="588"/>
      <c r="CW1011" s="1110"/>
      <c r="CX1011" s="730"/>
      <c r="CZ1011" s="588"/>
      <c r="DA1011" s="876"/>
      <c r="DD1011" s="588"/>
      <c r="DE1011" s="876"/>
      <c r="DH1011" s="588"/>
      <c r="DI1011" s="876"/>
      <c r="DL1011" s="588" t="s">
        <v>1351</v>
      </c>
      <c r="DM1011" s="876"/>
      <c r="DP1011" s="588" t="s">
        <v>1351</v>
      </c>
      <c r="DQ1011" s="876"/>
      <c r="DU1011" s="876"/>
      <c r="DV1011" s="876"/>
      <c r="DW1011" s="876"/>
      <c r="DZ1011" s="876"/>
      <c r="EA1011" s="876"/>
      <c r="ED1011" s="876"/>
      <c r="EE1011" s="876"/>
    </row>
    <row r="1012" spans="1:273">
      <c r="A1012" s="102" t="s">
        <v>686</v>
      </c>
      <c r="AR1012" s="685"/>
      <c r="AS1012" s="685"/>
      <c r="AT1012" s="730"/>
      <c r="AU1012" s="730"/>
      <c r="AV1012" s="685"/>
      <c r="AW1012" s="685"/>
      <c r="AX1012" s="730"/>
      <c r="AY1012" s="730"/>
      <c r="AZ1012" s="685"/>
      <c r="BA1012" s="876"/>
      <c r="BD1012" s="711"/>
      <c r="BE1012" s="885"/>
      <c r="BF1012" s="711"/>
      <c r="BH1012" s="685"/>
      <c r="BI1012" s="876"/>
      <c r="BL1012" s="876"/>
      <c r="BM1012" s="876"/>
      <c r="BP1012" s="876"/>
      <c r="BQ1012" s="876"/>
      <c r="BT1012" s="876"/>
      <c r="BU1012" s="876"/>
      <c r="BX1012" s="293">
        <f t="shared" ref="BX1012:BZ1018" si="2123">(BX911*BX$951)+BX955+BX922</f>
        <v>385.76938555413653</v>
      </c>
      <c r="BY1012" s="293">
        <f t="shared" si="2123"/>
        <v>418.92803122606063</v>
      </c>
      <c r="BZ1012" s="293">
        <f t="shared" si="2123"/>
        <v>804.69901836297913</v>
      </c>
      <c r="CB1012" s="293">
        <f t="shared" ref="CB1012:CD1018" si="2124">(CB911*CB$951)+CB955+CB922</f>
        <v>367.82454740050065</v>
      </c>
      <c r="CC1012" s="293">
        <f t="shared" si="2124"/>
        <v>535.32030947775627</v>
      </c>
      <c r="CD1012" s="293">
        <f t="shared" si="2124"/>
        <v>903.27483124397304</v>
      </c>
      <c r="CE1012" s="103"/>
      <c r="CF1012" s="293">
        <f t="shared" ref="CF1012:CH1018" si="2125">(CF911*CF$951)+CF955+CF922</f>
        <v>469.17502526103061</v>
      </c>
      <c r="CG1012" s="293">
        <f t="shared" si="2125"/>
        <v>774.52835707101826</v>
      </c>
      <c r="CH1012" s="293">
        <f t="shared" si="2125"/>
        <v>1242.9110224249334</v>
      </c>
      <c r="CI1012" s="103"/>
      <c r="CJ1012" s="293">
        <f t="shared" ref="CJ1012:CL1018" si="2126">(CJ911*CJ$951)+CJ955+CJ922</f>
        <v>753.08014438126872</v>
      </c>
      <c r="CK1012" s="293">
        <f t="shared" si="2126"/>
        <v>926.30215827338134</v>
      </c>
      <c r="CL1012" s="293">
        <f t="shared" si="2126"/>
        <v>1678.0440589255318</v>
      </c>
      <c r="CM1012" s="103"/>
      <c r="CN1012" s="293">
        <f t="shared" ref="CN1012:CP1018" si="2127">(CN911*CN$951)+CN955+CN922</f>
        <v>566.39006365471198</v>
      </c>
      <c r="CO1012" s="293">
        <f t="shared" si="2127"/>
        <v>1047.6901477982631</v>
      </c>
      <c r="CP1012" s="293">
        <f t="shared" si="2127"/>
        <v>1614.4849830821286</v>
      </c>
      <c r="CR1012" s="293">
        <f t="shared" ref="CR1012:CT1018" si="2128">(CR911*CR$951)+CR955+CR922</f>
        <v>784.71862896518951</v>
      </c>
      <c r="CS1012" s="293">
        <f>(CS911*CS$951)+CS955+CS922</f>
        <v>945.02790447626057</v>
      </c>
      <c r="CT1012" s="293">
        <f t="shared" si="2128"/>
        <v>1730.0726561367919</v>
      </c>
      <c r="CU1012" s="817">
        <f t="shared" ref="CU1012:CU1018" si="2129">+CT1012/CP1012-1</f>
        <v>7.1594145666193265E-2</v>
      </c>
      <c r="CV1012" s="293">
        <f t="shared" ref="CV1012" si="2130">(CV911*CV$951)+CV955+CV922</f>
        <v>898.36822241236405</v>
      </c>
      <c r="CW1012" s="293">
        <f>(CW911*CW$951)+CW955+CW922</f>
        <v>707.79648020113132</v>
      </c>
      <c r="CX1012" s="293">
        <f t="shared" ref="CX1012" si="2131">(CX911*CX$951)+CX955+CX922</f>
        <v>1607.953311996268</v>
      </c>
      <c r="CY1012" s="817">
        <f t="shared" ref="CY1012:CY1018" si="2132">+CX1012/CT1012-1</f>
        <v>-7.0586251801247113E-2</v>
      </c>
      <c r="CZ1012" s="293">
        <f t="shared" ref="CZ1012" si="2133">(CZ911*CZ$951)+CZ955+CZ922</f>
        <v>762.13416788338645</v>
      </c>
      <c r="DA1012" s="293">
        <f t="shared" ref="DA1012:DA1014" si="2134">+(DA1024*DA814)</f>
        <v>876.96</v>
      </c>
      <c r="DB1012" s="293">
        <f>+DA1012+CZ1012</f>
        <v>1639.0941678833865</v>
      </c>
      <c r="DC1012" s="817">
        <f t="shared" ref="DC1012:DC1014" si="2135">+DB1012/CX1012-1</f>
        <v>1.9366766220629383E-2</v>
      </c>
      <c r="DD1012" s="293">
        <f t="shared" ref="DD1012:DD1018" si="2136">(DD911*DD$951)+DD955+DD922</f>
        <v>729.72092634887895</v>
      </c>
      <c r="DE1012" s="293">
        <f t="shared" ref="DE1012:DE1014" si="2137">+(DE1024*DE814)</f>
        <v>895.8</v>
      </c>
      <c r="DF1012" s="293">
        <f>+DE1012+DD1012</f>
        <v>1625.5209263488789</v>
      </c>
      <c r="DG1012" s="817">
        <f t="shared" ref="DG1012:DG1014" si="2138">+DF1012/DB1012-1</f>
        <v>-8.2809406564084975E-3</v>
      </c>
      <c r="DH1012" s="293">
        <f t="shared" ref="DH1012:DH1018" si="2139">(DH911*DH$951)+DH955+DH922</f>
        <v>907.09203357265642</v>
      </c>
      <c r="DI1012" s="293">
        <f t="shared" ref="DI1012" si="2140">+(DI1024*DI814)</f>
        <v>1001.6280000000002</v>
      </c>
      <c r="DJ1012" s="293">
        <f>+DI1012+DH1012</f>
        <v>1908.7200335726566</v>
      </c>
      <c r="DK1012" s="817">
        <f t="shared" ref="DK1012:DK1014" si="2141">+DJ1012/DF1012-1</f>
        <v>0.17422052379225783</v>
      </c>
      <c r="DL1012" s="293">
        <f t="shared" ref="DL1012:DM1012" si="2142">+(DL1024*DL814)</f>
        <v>1015.3298400000001</v>
      </c>
      <c r="DM1012" s="293">
        <f t="shared" si="2142"/>
        <v>1184.9503751999998</v>
      </c>
      <c r="DN1012" s="293">
        <f>+DM1012+DL1012</f>
        <v>2200.2802151999999</v>
      </c>
      <c r="DP1012" s="293">
        <f t="shared" ref="DP1012:DQ1012" si="2143">+(DP1024*DP814)</f>
        <v>1094.8991149560002</v>
      </c>
      <c r="DQ1012" s="293">
        <f t="shared" si="2143"/>
        <v>1269.2253332746798</v>
      </c>
      <c r="DR1012" s="293">
        <f>+DQ1012+DP1012</f>
        <v>2364.1244482306802</v>
      </c>
      <c r="DU1012" s="876"/>
      <c r="DV1012" s="876"/>
      <c r="DW1012" s="876"/>
      <c r="DZ1012" s="876"/>
      <c r="EA1012" s="876"/>
      <c r="ED1012" s="876"/>
      <c r="EE1012" s="876"/>
    </row>
    <row r="1013" spans="1:273">
      <c r="A1013" s="102" t="s">
        <v>1306</v>
      </c>
      <c r="AR1013" s="685"/>
      <c r="AS1013" s="685"/>
      <c r="AT1013" s="730"/>
      <c r="AU1013" s="730"/>
      <c r="AV1013" s="685"/>
      <c r="AW1013" s="685"/>
      <c r="AX1013" s="730"/>
      <c r="AY1013" s="730"/>
      <c r="AZ1013" s="685"/>
      <c r="BA1013" s="876"/>
      <c r="BD1013" s="711"/>
      <c r="BE1013" s="885"/>
      <c r="BF1013" s="711"/>
      <c r="BH1013" s="685"/>
      <c r="BI1013" s="876"/>
      <c r="BL1013" s="876"/>
      <c r="BM1013" s="876"/>
      <c r="BP1013" s="876"/>
      <c r="BQ1013" s="876"/>
      <c r="BT1013" s="876"/>
      <c r="BU1013" s="876"/>
      <c r="BX1013" s="293">
        <f t="shared" si="2123"/>
        <v>611.66941890166026</v>
      </c>
      <c r="BY1013" s="293">
        <f t="shared" si="2123"/>
        <v>576.44337376427234</v>
      </c>
      <c r="BZ1013" s="293">
        <f t="shared" si="2123"/>
        <v>1188.0936821280193</v>
      </c>
      <c r="CB1013" s="293">
        <f t="shared" si="2124"/>
        <v>707.61945125712009</v>
      </c>
      <c r="CC1013" s="293">
        <f t="shared" si="2124"/>
        <v>491.97814225426413</v>
      </c>
      <c r="CD1013" s="293">
        <f t="shared" si="2124"/>
        <v>1199.7349180327869</v>
      </c>
      <c r="CE1013" s="103"/>
      <c r="CF1013" s="293">
        <f t="shared" si="2125"/>
        <v>714.90730885820142</v>
      </c>
      <c r="CG1013" s="293">
        <f t="shared" si="2125"/>
        <v>834.53004898939105</v>
      </c>
      <c r="CH1013" s="293">
        <f t="shared" si="2125"/>
        <v>1548.4223109083998</v>
      </c>
      <c r="CI1013" s="103"/>
      <c r="CJ1013" s="293">
        <f t="shared" si="2126"/>
        <v>797.11661406759094</v>
      </c>
      <c r="CK1013" s="293">
        <f t="shared" si="2126"/>
        <v>818.03424460431665</v>
      </c>
      <c r="CL1013" s="293">
        <f t="shared" si="2126"/>
        <v>1615.2128038944304</v>
      </c>
      <c r="CM1013" s="103"/>
      <c r="CN1013" s="293">
        <f t="shared" si="2127"/>
        <v>816.93295916783109</v>
      </c>
      <c r="CO1013" s="293">
        <f t="shared" si="2127"/>
        <v>823.6322489715069</v>
      </c>
      <c r="CP1013" s="293">
        <f t="shared" si="2127"/>
        <v>1640.6321562596124</v>
      </c>
      <c r="CQ1013" s="103"/>
      <c r="CR1013" s="293">
        <f t="shared" si="2128"/>
        <v>1121.5940632054176</v>
      </c>
      <c r="CS1013" s="293">
        <f t="shared" si="2128"/>
        <v>1461.2695563352386</v>
      </c>
      <c r="CT1013" s="293">
        <f t="shared" si="2128"/>
        <v>2582.3211520069553</v>
      </c>
      <c r="CU1013" s="817">
        <f t="shared" si="2129"/>
        <v>0.57397936042790243</v>
      </c>
      <c r="CV1013" s="293">
        <f t="shared" ref="CV1013:CX1013" si="2144">(CV912*CV$951)+CV956+CV923</f>
        <v>1199.0552541511804</v>
      </c>
      <c r="CW1013" s="293">
        <f t="shared" si="2144"/>
        <v>1179.7026398491514</v>
      </c>
      <c r="CX1013" s="293">
        <f t="shared" si="2144"/>
        <v>2379.6165928939799</v>
      </c>
      <c r="CY1013" s="817">
        <f t="shared" ref="CY1013:CY1014" si="2145">+CX1013/CT1013-1</f>
        <v>-7.8497037037951412E-2</v>
      </c>
      <c r="CZ1013" s="293">
        <f t="shared" ref="CZ1013" si="2146">(CZ912*CZ$951)+CZ956+CZ923</f>
        <v>1105.505008257737</v>
      </c>
      <c r="DA1013" s="293">
        <f t="shared" si="2134"/>
        <v>824.40000000000009</v>
      </c>
      <c r="DB1013" s="293">
        <f>+DA1013+CZ1013</f>
        <v>1929.9050082577371</v>
      </c>
      <c r="DC1013" s="817">
        <f t="shared" si="2135"/>
        <v>-0.18898489192720092</v>
      </c>
      <c r="DD1013" s="293">
        <f t="shared" si="2136"/>
        <v>1241.9886578747023</v>
      </c>
      <c r="DE1013" s="293">
        <f t="shared" si="2137"/>
        <v>993.72</v>
      </c>
      <c r="DF1013" s="293">
        <f>+DE1013+DD1013</f>
        <v>2235.7086578747021</v>
      </c>
      <c r="DG1013" s="817">
        <f t="shared" si="2138"/>
        <v>0.15845528578271106</v>
      </c>
      <c r="DH1013" s="293">
        <f t="shared" si="2139"/>
        <v>1412.8173789058551</v>
      </c>
      <c r="DI1013" s="293">
        <f t="shared" ref="DI1013" si="2147">+(DI1025*DI815)</f>
        <v>1025.7409761212045</v>
      </c>
      <c r="DJ1013" s="293">
        <f>+DI1013+DH1013</f>
        <v>2438.5583550270594</v>
      </c>
      <c r="DK1013" s="817">
        <f t="shared" si="2141"/>
        <v>9.0731722327894504E-2</v>
      </c>
      <c r="DL1013" s="293">
        <f t="shared" ref="DL1013:DM1013" si="2148">+(DL1025*DL815)</f>
        <v>802.42296376861634</v>
      </c>
      <c r="DM1013" s="293">
        <f t="shared" si="2148"/>
        <v>816.1134944641127</v>
      </c>
      <c r="DN1013" s="293">
        <f>+DM1013+DL1013</f>
        <v>1618.536458232729</v>
      </c>
      <c r="DP1013" s="293">
        <f t="shared" ref="DP1013:DQ1013" si="2149">+(DP1025*DP815)</f>
        <v>829.92214570715657</v>
      </c>
      <c r="DQ1013" s="293">
        <f t="shared" si="2149"/>
        <v>851.59944731929579</v>
      </c>
      <c r="DR1013" s="293">
        <f>+DQ1013+DP1013</f>
        <v>1681.5215930264524</v>
      </c>
      <c r="DU1013" s="876"/>
      <c r="DV1013" s="876"/>
      <c r="DW1013" s="876"/>
      <c r="DZ1013" s="876"/>
      <c r="EA1013" s="876"/>
      <c r="ED1013" s="876"/>
      <c r="EE1013" s="876"/>
    </row>
    <row r="1014" spans="1:273">
      <c r="A1014" s="102" t="s">
        <v>1024</v>
      </c>
      <c r="AR1014" s="685"/>
      <c r="AS1014" s="685"/>
      <c r="AT1014" s="730"/>
      <c r="AU1014" s="730"/>
      <c r="AV1014" s="685"/>
      <c r="AW1014" s="685"/>
      <c r="AX1014" s="730"/>
      <c r="AY1014" s="730"/>
      <c r="AZ1014" s="685"/>
      <c r="BA1014" s="876"/>
      <c r="BD1014" s="711"/>
      <c r="BE1014" s="885"/>
      <c r="BF1014" s="711"/>
      <c r="BH1014" s="685"/>
      <c r="BI1014" s="876"/>
      <c r="BL1014" s="876"/>
      <c r="BM1014" s="876"/>
      <c r="BP1014" s="876"/>
      <c r="BQ1014" s="876"/>
      <c r="BT1014" s="876"/>
      <c r="BU1014" s="876"/>
      <c r="BX1014" s="293">
        <f t="shared" si="2123"/>
        <v>845.52700794664406</v>
      </c>
      <c r="BY1014" s="293">
        <f t="shared" si="2123"/>
        <v>847.64609364170292</v>
      </c>
      <c r="BZ1014" s="293">
        <f t="shared" si="2123"/>
        <v>1693.1752051222102</v>
      </c>
      <c r="CB1014" s="293">
        <f t="shared" si="2124"/>
        <v>794.3062456916881</v>
      </c>
      <c r="CC1014" s="293">
        <f t="shared" si="2124"/>
        <v>922.61457710567947</v>
      </c>
      <c r="CD1014" s="293">
        <f t="shared" si="2124"/>
        <v>1716.8612825458049</v>
      </c>
      <c r="CE1014" s="103"/>
      <c r="CF1014" s="293">
        <f t="shared" si="2125"/>
        <v>1272.3387133715055</v>
      </c>
      <c r="CG1014" s="293">
        <f t="shared" si="2125"/>
        <v>1401.5654297115789</v>
      </c>
      <c r="CH1014" s="293">
        <f t="shared" si="2125"/>
        <v>2670.8602964652223</v>
      </c>
      <c r="CI1014" s="103"/>
      <c r="CJ1014" s="293">
        <f t="shared" si="2126"/>
        <v>1168.8996294640006</v>
      </c>
      <c r="CK1014" s="293">
        <f t="shared" si="2126"/>
        <v>973.4913669064747</v>
      </c>
      <c r="CL1014" s="293">
        <f t="shared" si="2126"/>
        <v>2143.9743871203805</v>
      </c>
      <c r="CM1014" s="103"/>
      <c r="CN1014" s="293">
        <f t="shared" si="2127"/>
        <v>1012.6630957925788</v>
      </c>
      <c r="CO1014" s="293">
        <f t="shared" si="2127"/>
        <v>1105.5695870790796</v>
      </c>
      <c r="CP1014" s="293">
        <f t="shared" si="2127"/>
        <v>2118.3457551522611</v>
      </c>
      <c r="CQ1014" s="103"/>
      <c r="CR1014" s="293">
        <f t="shared" si="2128"/>
        <v>1120.3646738743021</v>
      </c>
      <c r="CS1014" s="293">
        <f t="shared" si="2128"/>
        <v>1312.3649595382265</v>
      </c>
      <c r="CT1014" s="293">
        <f t="shared" si="2128"/>
        <v>2433.0677771337487</v>
      </c>
      <c r="CU1014" s="817">
        <f t="shared" si="2129"/>
        <v>0.14856971352104242</v>
      </c>
      <c r="CV1014" s="293">
        <f t="shared" ref="CV1014:CX1014" si="2150">(CV913*CV$951)+CV957+CV924</f>
        <v>1341.1975801492017</v>
      </c>
      <c r="CW1014" s="293">
        <f t="shared" si="2150"/>
        <v>2089.3949717159016</v>
      </c>
      <c r="CX1014" s="293">
        <f t="shared" si="2150"/>
        <v>3430.9383522948142</v>
      </c>
      <c r="CY1014" s="817">
        <f t="shared" si="2145"/>
        <v>0.41012855644185842</v>
      </c>
      <c r="CZ1014" s="293">
        <f t="shared" ref="CZ1014" si="2151">(CZ913*CZ$951)+CZ957+CZ924</f>
        <v>1439.2712092199429</v>
      </c>
      <c r="DA1014" s="293">
        <f t="shared" si="2134"/>
        <v>1391.1299999999999</v>
      </c>
      <c r="DB1014" s="293">
        <f>+DA1014+CZ1014</f>
        <v>2830.4012092199428</v>
      </c>
      <c r="DC1014" s="817">
        <f t="shared" si="2135"/>
        <v>-0.17503583026293568</v>
      </c>
      <c r="DD1014" s="293">
        <f t="shared" si="2136"/>
        <v>1396.0057069181464</v>
      </c>
      <c r="DE1014" s="293">
        <f t="shared" si="2137"/>
        <v>1312.08</v>
      </c>
      <c r="DF1014" s="293">
        <f>+DE1014+DD1014</f>
        <v>2708.0857069181466</v>
      </c>
      <c r="DG1014" s="817">
        <f t="shared" si="2138"/>
        <v>-4.3214898970279303E-2</v>
      </c>
      <c r="DH1014" s="293">
        <f t="shared" si="2139"/>
        <v>1414.9885185559715</v>
      </c>
      <c r="DI1014" s="293">
        <f t="shared" ref="DI1014" si="2152">+(DI1026*DI816)</f>
        <v>1510.3158000000001</v>
      </c>
      <c r="DJ1014" s="293">
        <f>+DI1014+DH1014</f>
        <v>2925.3043185559718</v>
      </c>
      <c r="DK1014" s="817">
        <f t="shared" si="2141"/>
        <v>8.0211128873400428E-2</v>
      </c>
      <c r="DL1014" s="293">
        <f t="shared" ref="DL1014:DM1014" si="2153">+(DL1026*DL816)</f>
        <v>1243.4951339999998</v>
      </c>
      <c r="DM1014" s="293">
        <f t="shared" si="2153"/>
        <v>1544.4379805400001</v>
      </c>
      <c r="DN1014" s="293">
        <f>+DM1014+DL1014</f>
        <v>2787.9331145400001</v>
      </c>
      <c r="DP1014" s="293">
        <f t="shared" ref="DP1014:DQ1014" si="2154">+(DP1026*DP816)</f>
        <v>1273.2059933921998</v>
      </c>
      <c r="DQ1014" s="293">
        <f t="shared" si="2154"/>
        <v>1584.40005065475</v>
      </c>
      <c r="DR1014" s="293">
        <f>+DQ1014+DP1014</f>
        <v>2857.60604404695</v>
      </c>
      <c r="DU1014" s="876"/>
      <c r="DV1014" s="876"/>
      <c r="DW1014" s="876"/>
      <c r="DZ1014" s="876"/>
      <c r="EA1014" s="876"/>
      <c r="ED1014" s="876"/>
      <c r="EE1014" s="876"/>
    </row>
    <row r="1015" spans="1:273">
      <c r="A1015" s="102" t="s">
        <v>690</v>
      </c>
      <c r="AR1015" s="685"/>
      <c r="AS1015" s="685"/>
      <c r="AT1015" s="730"/>
      <c r="AU1015" s="730"/>
      <c r="AV1015" s="685"/>
      <c r="AW1015" s="685"/>
      <c r="AX1015" s="730"/>
      <c r="AY1015" s="730"/>
      <c r="AZ1015" s="685"/>
      <c r="BA1015" s="876"/>
      <c r="BD1015" s="711"/>
      <c r="BE1015" s="885"/>
      <c r="BF1015" s="711"/>
      <c r="BH1015" s="685"/>
      <c r="BI1015" s="876"/>
      <c r="BL1015" s="876"/>
      <c r="BM1015" s="876"/>
      <c r="BP1015" s="876"/>
      <c r="BQ1015" s="876"/>
      <c r="BT1015" s="876"/>
      <c r="BU1015" s="876"/>
      <c r="BX1015" s="293">
        <f t="shared" si="2123"/>
        <v>369.38007662835247</v>
      </c>
      <c r="BY1015" s="293">
        <f t="shared" si="2123"/>
        <v>419.12801809360525</v>
      </c>
      <c r="BZ1015" s="293">
        <f t="shared" si="2123"/>
        <v>788.51085268250574</v>
      </c>
      <c r="CB1015" s="293">
        <f t="shared" si="2124"/>
        <v>309.10217973370101</v>
      </c>
      <c r="CC1015" s="293">
        <f t="shared" si="2124"/>
        <v>277.57659222788817</v>
      </c>
      <c r="CD1015" s="293">
        <f t="shared" si="2124"/>
        <v>587.5995178399229</v>
      </c>
      <c r="CE1015" s="103"/>
      <c r="CF1015" s="293">
        <f t="shared" si="2125"/>
        <v>24.348400134725498</v>
      </c>
      <c r="CG1015" s="293">
        <f t="shared" si="2125"/>
        <v>0</v>
      </c>
      <c r="CH1015" s="293">
        <f t="shared" si="2125"/>
        <v>27.677689091600151</v>
      </c>
      <c r="CI1015" s="103"/>
      <c r="CJ1015" s="293">
        <f t="shared" si="2126"/>
        <v>0</v>
      </c>
      <c r="CK1015" s="293">
        <f t="shared" si="2126"/>
        <v>0</v>
      </c>
      <c r="CL1015" s="293">
        <f t="shared" si="2126"/>
        <v>0</v>
      </c>
      <c r="CM1015" s="103"/>
      <c r="CN1015" s="293">
        <f t="shared" si="2127"/>
        <v>0</v>
      </c>
      <c r="CO1015" s="293">
        <f t="shared" si="2127"/>
        <v>0</v>
      </c>
      <c r="CP1015" s="293">
        <f t="shared" si="2127"/>
        <v>0</v>
      </c>
      <c r="CQ1015" s="103"/>
      <c r="CR1015" s="293">
        <f t="shared" si="2128"/>
        <v>0</v>
      </c>
      <c r="CS1015" s="293">
        <f t="shared" si="2128"/>
        <v>0</v>
      </c>
      <c r="CT1015" s="293">
        <f t="shared" si="2128"/>
        <v>0</v>
      </c>
      <c r="CU1015" s="817"/>
      <c r="CV1015" s="293">
        <f t="shared" ref="CV1015:CX1015" si="2155">(CV914*CV$951)+CV958+CV925</f>
        <v>0</v>
      </c>
      <c r="CW1015" s="293">
        <f t="shared" si="2155"/>
        <v>0</v>
      </c>
      <c r="CX1015" s="293">
        <f t="shared" si="2155"/>
        <v>0</v>
      </c>
      <c r="CY1015" s="817"/>
      <c r="CZ1015" s="293">
        <f t="shared" ref="CZ1015" si="2156">(CZ914*CZ$951)+CZ958+CZ925</f>
        <v>0</v>
      </c>
      <c r="DA1015" s="293"/>
      <c r="DB1015" s="293"/>
      <c r="DC1015" s="817"/>
      <c r="DD1015" s="293">
        <f t="shared" si="2136"/>
        <v>0</v>
      </c>
      <c r="DE1015" s="293"/>
      <c r="DF1015" s="293"/>
      <c r="DG1015" s="817"/>
      <c r="DH1015" s="293">
        <f t="shared" si="2139"/>
        <v>0</v>
      </c>
      <c r="DI1015" s="293"/>
      <c r="DJ1015" s="293"/>
      <c r="DK1015" s="817"/>
      <c r="DL1015" s="293"/>
      <c r="DM1015" s="293"/>
      <c r="DN1015" s="293"/>
      <c r="DP1015" s="293"/>
      <c r="DQ1015" s="293"/>
      <c r="DR1015" s="293"/>
      <c r="DU1015" s="876"/>
      <c r="DV1015" s="876"/>
      <c r="DW1015" s="876"/>
      <c r="DZ1015" s="876"/>
      <c r="EA1015" s="876"/>
      <c r="ED1015" s="876"/>
      <c r="EE1015" s="876"/>
    </row>
    <row r="1016" spans="1:273">
      <c r="A1016" s="102" t="s">
        <v>689</v>
      </c>
      <c r="AR1016" s="685"/>
      <c r="AS1016" s="685"/>
      <c r="AT1016" s="730"/>
      <c r="AU1016" s="730"/>
      <c r="AV1016" s="685"/>
      <c r="AW1016" s="685"/>
      <c r="AX1016" s="730"/>
      <c r="AY1016" s="730"/>
      <c r="AZ1016" s="685"/>
      <c r="BA1016" s="876"/>
      <c r="BD1016" s="711"/>
      <c r="BE1016" s="885"/>
      <c r="BF1016" s="711"/>
      <c r="BH1016" s="685"/>
      <c r="BI1016" s="876"/>
      <c r="BL1016" s="876"/>
      <c r="BM1016" s="876"/>
      <c r="BP1016" s="876"/>
      <c r="BQ1016" s="876"/>
      <c r="BT1016" s="876"/>
      <c r="BU1016" s="876"/>
      <c r="BX1016" s="293">
        <f t="shared" si="2123"/>
        <v>441.05935731516956</v>
      </c>
      <c r="BY1016" s="293">
        <f t="shared" si="2123"/>
        <v>410.44083387443914</v>
      </c>
      <c r="BZ1016" s="293">
        <f t="shared" si="2123"/>
        <v>851.50995010881093</v>
      </c>
      <c r="CB1016" s="293">
        <f t="shared" si="2124"/>
        <v>506.37639901316982</v>
      </c>
      <c r="CC1016" s="293">
        <f t="shared" si="2124"/>
        <v>568.39901740812377</v>
      </c>
      <c r="CD1016" s="293">
        <f t="shared" si="2124"/>
        <v>1073.4344513018323</v>
      </c>
      <c r="CE1016" s="103"/>
      <c r="CF1016" s="293">
        <f t="shared" si="2125"/>
        <v>582.75936679016502</v>
      </c>
      <c r="CG1016" s="293">
        <f t="shared" si="2125"/>
        <v>627.43117282548747</v>
      </c>
      <c r="CH1016" s="293">
        <f t="shared" si="2125"/>
        <v>1212.8978791334093</v>
      </c>
      <c r="CI1016" s="103"/>
      <c r="CJ1016" s="293">
        <f t="shared" si="2126"/>
        <v>533.5116584680253</v>
      </c>
      <c r="CK1016" s="293">
        <f t="shared" si="2126"/>
        <v>547.93179856115103</v>
      </c>
      <c r="CL1016" s="293">
        <f t="shared" si="2126"/>
        <v>1081.7619448289029</v>
      </c>
      <c r="CM1016" s="103"/>
      <c r="CN1016" s="293">
        <f t="shared" si="2127"/>
        <v>520.93671790094709</v>
      </c>
      <c r="CO1016" s="293">
        <f t="shared" si="2127"/>
        <v>554.68891665396927</v>
      </c>
      <c r="CP1016" s="293">
        <f t="shared" si="2127"/>
        <v>1075.330212242387</v>
      </c>
      <c r="CQ1016" s="103"/>
      <c r="CR1016" s="293">
        <f t="shared" si="2128"/>
        <v>576.99962338125215</v>
      </c>
      <c r="CS1016" s="293">
        <f t="shared" si="2128"/>
        <v>650.91114481353634</v>
      </c>
      <c r="CT1016" s="293">
        <f t="shared" si="2128"/>
        <v>1227.7721822924213</v>
      </c>
      <c r="CU1016" s="817">
        <f t="shared" si="2129"/>
        <v>0.14176293785343108</v>
      </c>
      <c r="CV1016" s="293">
        <f t="shared" ref="CV1016:CX1016" si="2157">(CV915*CV$951)+CV959+CV926</f>
        <v>672.97896949116284</v>
      </c>
      <c r="CW1016" s="293">
        <f t="shared" si="2157"/>
        <v>788.06949088623514</v>
      </c>
      <c r="CX1016" s="293">
        <f t="shared" si="2157"/>
        <v>1460.9474252986756</v>
      </c>
      <c r="CY1016" s="817">
        <f t="shared" ref="CY1016" si="2158">+CX1016/CT1016-1</f>
        <v>0.18991735304743895</v>
      </c>
      <c r="CZ1016" s="293">
        <f t="shared" ref="CZ1016" si="2159">(CZ915*CZ$951)+CZ959+CZ926</f>
        <v>745.66661552454582</v>
      </c>
      <c r="DA1016" s="293">
        <f>+(DA1028*DA818)</f>
        <v>744</v>
      </c>
      <c r="DB1016" s="293">
        <f>+DA1016+CZ1016</f>
        <v>1489.6666155245457</v>
      </c>
      <c r="DC1016" s="817">
        <f t="shared" ref="DC1016" si="2160">+DB1016/CX1016-1</f>
        <v>1.9657921790032118E-2</v>
      </c>
      <c r="DD1016" s="293">
        <f t="shared" si="2136"/>
        <v>721.22441169969795</v>
      </c>
      <c r="DE1016" s="293">
        <f>+(DE1028*DE818)</f>
        <v>734.69500000000005</v>
      </c>
      <c r="DF1016" s="293">
        <f>+DE1016+DD1016</f>
        <v>1455.919411699698</v>
      </c>
      <c r="DG1016" s="817">
        <f t="shared" ref="DG1016" si="2161">+DF1016/DB1016-1</f>
        <v>-2.2654198914811907E-2</v>
      </c>
      <c r="DH1016" s="293">
        <f t="shared" si="2139"/>
        <v>800.55440489432704</v>
      </c>
      <c r="DI1016" s="293">
        <f>+(DI1028*DI818)</f>
        <v>786.92297363606406</v>
      </c>
      <c r="DJ1016" s="293">
        <f>+DI1016+DH1016</f>
        <v>1587.477378530391</v>
      </c>
      <c r="DK1016" s="817">
        <f t="shared" ref="DK1016" si="2162">+DJ1016/DF1016-1</f>
        <v>9.0360747836383926E-2</v>
      </c>
      <c r="DL1016" s="293">
        <f>+(DL1028*DL818)</f>
        <v>857.7140254678003</v>
      </c>
      <c r="DM1016" s="293">
        <f>+(DM1028*DM818)</f>
        <v>885.27334701417522</v>
      </c>
      <c r="DN1016" s="293">
        <f>+DM1016+DL1016</f>
        <v>1742.9873724819754</v>
      </c>
      <c r="DP1016" s="293">
        <f>+(DP1028*DP818)</f>
        <v>928.21305834124405</v>
      </c>
      <c r="DQ1016" s="293">
        <f>+(DQ1028*DQ818)</f>
        <v>952.35907747074077</v>
      </c>
      <c r="DR1016" s="293">
        <f>+DQ1016+DP1016</f>
        <v>1880.5721358119849</v>
      </c>
      <c r="DU1016" s="876"/>
      <c r="DV1016" s="876"/>
      <c r="DW1016" s="876"/>
      <c r="DZ1016" s="876"/>
      <c r="EA1016" s="876"/>
      <c r="ED1016" s="876"/>
      <c r="EE1016" s="876"/>
    </row>
    <row r="1017" spans="1:273">
      <c r="A1017" s="102" t="s">
        <v>688</v>
      </c>
      <c r="AR1017" s="685"/>
      <c r="AS1017" s="685"/>
      <c r="AT1017" s="730"/>
      <c r="AU1017" s="730"/>
      <c r="AV1017" s="685"/>
      <c r="AW1017" s="685"/>
      <c r="AX1017" s="730"/>
      <c r="AY1017" s="730"/>
      <c r="AZ1017" s="685"/>
      <c r="BA1017" s="876"/>
      <c r="BD1017" s="711"/>
      <c r="BE1017" s="885"/>
      <c r="BF1017" s="711"/>
      <c r="BH1017" s="685"/>
      <c r="BI1017" s="876"/>
      <c r="BL1017" s="876"/>
      <c r="BM1017" s="876"/>
      <c r="BP1017" s="876"/>
      <c r="BQ1017" s="876"/>
      <c r="BT1017" s="876"/>
      <c r="BU1017" s="876"/>
      <c r="BX1017" s="293">
        <f t="shared" si="2123"/>
        <v>0</v>
      </c>
      <c r="BY1017" s="293">
        <f t="shared" si="2123"/>
        <v>0</v>
      </c>
      <c r="BZ1017" s="293">
        <f t="shared" si="2123"/>
        <v>0</v>
      </c>
      <c r="CB1017" s="293">
        <f t="shared" si="2124"/>
        <v>0</v>
      </c>
      <c r="CC1017" s="293">
        <f t="shared" si="2124"/>
        <v>0</v>
      </c>
      <c r="CD1017" s="293">
        <f t="shared" si="2124"/>
        <v>0</v>
      </c>
      <c r="CE1017" s="103"/>
      <c r="CF1017" s="293">
        <f t="shared" si="2125"/>
        <v>0</v>
      </c>
      <c r="CG1017" s="293">
        <f t="shared" si="2125"/>
        <v>0</v>
      </c>
      <c r="CH1017" s="293">
        <f t="shared" si="2125"/>
        <v>0</v>
      </c>
      <c r="CI1017" s="103"/>
      <c r="CJ1017" s="293">
        <f t="shared" si="2126"/>
        <v>0</v>
      </c>
      <c r="CK1017" s="293">
        <f t="shared" si="2126"/>
        <v>0</v>
      </c>
      <c r="CL1017" s="293">
        <f t="shared" si="2126"/>
        <v>0</v>
      </c>
      <c r="CM1017" s="103"/>
      <c r="CN1017" s="293">
        <f t="shared" si="2127"/>
        <v>0</v>
      </c>
      <c r="CO1017" s="293">
        <f t="shared" si="2127"/>
        <v>0</v>
      </c>
      <c r="CP1017" s="293">
        <f t="shared" si="2127"/>
        <v>0</v>
      </c>
      <c r="CQ1017" s="103"/>
      <c r="CR1017" s="293">
        <f t="shared" si="2128"/>
        <v>0</v>
      </c>
      <c r="CS1017" s="293">
        <f t="shared" si="2128"/>
        <v>0</v>
      </c>
      <c r="CT1017" s="293">
        <f t="shared" si="2128"/>
        <v>0</v>
      </c>
      <c r="CU1017" s="817"/>
      <c r="CV1017" s="293">
        <f t="shared" ref="CV1017:CX1017" si="2163">(CV916*CV$951)+CV960+CV927</f>
        <v>0</v>
      </c>
      <c r="CW1017" s="293">
        <f t="shared" si="2163"/>
        <v>0</v>
      </c>
      <c r="CX1017" s="293">
        <f t="shared" si="2163"/>
        <v>0</v>
      </c>
      <c r="CY1017" s="817"/>
      <c r="CZ1017" s="293">
        <f t="shared" ref="CZ1017" si="2164">(CZ916*CZ$951)+CZ960+CZ927</f>
        <v>0</v>
      </c>
      <c r="DA1017" s="293"/>
      <c r="DB1017" s="293"/>
      <c r="DC1017" s="817"/>
      <c r="DD1017" s="293">
        <f t="shared" si="2136"/>
        <v>0</v>
      </c>
      <c r="DE1017" s="293"/>
      <c r="DF1017" s="293"/>
      <c r="DG1017" s="817"/>
      <c r="DH1017" s="293">
        <f t="shared" si="2139"/>
        <v>0</v>
      </c>
      <c r="DI1017" s="293"/>
      <c r="DJ1017" s="293"/>
      <c r="DK1017" s="817"/>
      <c r="DL1017" s="293"/>
      <c r="DM1017" s="293"/>
      <c r="DN1017" s="293"/>
      <c r="DP1017" s="293"/>
      <c r="DQ1017" s="293"/>
      <c r="DR1017" s="293"/>
      <c r="DU1017" s="876"/>
      <c r="DV1017" s="876"/>
      <c r="DW1017" s="876"/>
      <c r="DZ1017" s="876"/>
      <c r="EA1017" s="876"/>
      <c r="ED1017" s="876"/>
      <c r="EE1017" s="876"/>
    </row>
    <row r="1018" spans="1:273">
      <c r="A1018" s="1008" t="s">
        <v>691</v>
      </c>
      <c r="AR1018" s="685"/>
      <c r="AS1018" s="685"/>
      <c r="AT1018" s="730"/>
      <c r="AU1018" s="730"/>
      <c r="AV1018" s="685"/>
      <c r="AW1018" s="685"/>
      <c r="AX1018" s="730"/>
      <c r="AY1018" s="730"/>
      <c r="AZ1018" s="685"/>
      <c r="BA1018" s="876"/>
      <c r="BD1018" s="711"/>
      <c r="BE1018" s="885"/>
      <c r="BF1018" s="711"/>
      <c r="BH1018" s="685"/>
      <c r="BI1018" s="876"/>
      <c r="BL1018" s="876"/>
      <c r="BM1018" s="876"/>
      <c r="BP1018" s="876"/>
      <c r="BQ1018" s="876"/>
      <c r="BT1018" s="876"/>
      <c r="BU1018" s="876"/>
      <c r="BX1018" s="293">
        <f t="shared" si="2123"/>
        <v>1079.5947536540373</v>
      </c>
      <c r="BY1018" s="293">
        <f t="shared" si="2123"/>
        <v>854.41364939991968</v>
      </c>
      <c r="BZ1018" s="293">
        <f t="shared" si="2123"/>
        <v>1934.0112915954749</v>
      </c>
      <c r="CB1018" s="293">
        <f t="shared" si="2124"/>
        <v>1007.7711769038202</v>
      </c>
      <c r="CC1018" s="293">
        <f t="shared" si="2124"/>
        <v>967.11136152628819</v>
      </c>
      <c r="CD1018" s="293">
        <f t="shared" si="2124"/>
        <v>1975.0949990356798</v>
      </c>
      <c r="CE1018" s="103"/>
      <c r="CF1018" s="293">
        <f t="shared" si="2125"/>
        <v>1061.4711855843716</v>
      </c>
      <c r="CG1018" s="293">
        <f t="shared" si="2125"/>
        <v>1123.944991402524</v>
      </c>
      <c r="CH1018" s="293">
        <f t="shared" si="2125"/>
        <v>2184.2308019764346</v>
      </c>
      <c r="CI1018" s="103"/>
      <c r="CJ1018" s="293">
        <f t="shared" si="2126"/>
        <v>1227.3919536191145</v>
      </c>
      <c r="CK1018" s="293">
        <f t="shared" si="2126"/>
        <v>1125.2404316546763</v>
      </c>
      <c r="CL1018" s="293">
        <f t="shared" si="2126"/>
        <v>2352.0068052307543</v>
      </c>
      <c r="CM1018" s="103"/>
      <c r="CN1018" s="293">
        <f t="shared" si="2127"/>
        <v>1348.0771634839311</v>
      </c>
      <c r="CO1018" s="293">
        <f t="shared" si="2127"/>
        <v>1068.4190994971809</v>
      </c>
      <c r="CP1018" s="293">
        <f t="shared" si="2127"/>
        <v>2416.2068932636112</v>
      </c>
      <c r="CQ1018" s="103"/>
      <c r="CR1018" s="293">
        <f t="shared" si="2128"/>
        <v>1465.3230105738389</v>
      </c>
      <c r="CS1018" s="293">
        <f t="shared" si="2128"/>
        <v>1346.4264348367383</v>
      </c>
      <c r="CT1018" s="293">
        <f t="shared" si="2128"/>
        <v>2811.7662324300827</v>
      </c>
      <c r="CU1018" s="817">
        <f t="shared" si="2129"/>
        <v>0.16371087271925755</v>
      </c>
      <c r="CV1018" s="293">
        <f t="shared" ref="CV1018:CX1018" si="2165">(CV917*CV$951)+CV961+CV928</f>
        <v>1482.3999737960908</v>
      </c>
      <c r="CW1018" s="293">
        <f t="shared" si="2165"/>
        <v>1769.0364173475805</v>
      </c>
      <c r="CX1018" s="293">
        <f t="shared" si="2165"/>
        <v>3248.5443175162627</v>
      </c>
      <c r="CY1018" s="817">
        <f t="shared" si="2132"/>
        <v>0.1553394019917127</v>
      </c>
      <c r="CZ1018" s="293">
        <f t="shared" ref="CZ1018" si="2166">(CZ917*CZ$951)+CZ961+CZ928</f>
        <v>1865.4229991143879</v>
      </c>
      <c r="DA1018" s="819">
        <f>+CW1018*(1+DA1021)</f>
        <v>1822.107509868008</v>
      </c>
      <c r="DB1018" s="293">
        <f>+DA1018+CZ1018</f>
        <v>3687.530508982396</v>
      </c>
      <c r="DC1018" s="817">
        <f t="shared" ref="DC1018" si="2167">+DB1018/CX1018-1</f>
        <v>0.13513320076906599</v>
      </c>
      <c r="DD1018" s="293">
        <f t="shared" si="2136"/>
        <v>1828.060297158574</v>
      </c>
      <c r="DE1018" s="819">
        <f>+DA1018*(1+DE1021)</f>
        <v>1876.7707351640483</v>
      </c>
      <c r="DF1018" s="293">
        <f>+DE1018+DD1018</f>
        <v>3704.8310323226224</v>
      </c>
      <c r="DG1018" s="817">
        <f t="shared" ref="DG1018" si="2168">+DF1018/DB1018-1</f>
        <v>4.6916285297393667E-3</v>
      </c>
      <c r="DH1018" s="293">
        <f t="shared" si="2139"/>
        <v>1702.54766407119</v>
      </c>
      <c r="DI1018" s="819">
        <f>+DE1018*(1+DI1021)</f>
        <v>1933.0738572189698</v>
      </c>
      <c r="DJ1018" s="293">
        <f>+DI1018+DH1018</f>
        <v>3635.6215212901598</v>
      </c>
      <c r="DK1018" s="817">
        <f t="shared" ref="DK1018" si="2169">+DJ1018/DF1018-1</f>
        <v>-1.868088191570616E-2</v>
      </c>
      <c r="DL1018" s="819">
        <f>+DH1018*(1+DL1021)</f>
        <v>1753.6240939933257</v>
      </c>
      <c r="DM1018" s="819">
        <f>+DI1018*(1+DM1021)</f>
        <v>1991.0660729355388</v>
      </c>
      <c r="DN1018" s="293">
        <f>+DM1018+DL1018</f>
        <v>3744.6901669288645</v>
      </c>
      <c r="DP1018" s="819">
        <f>+DL1018*(1+DP1021)</f>
        <v>1806.2328168131255</v>
      </c>
      <c r="DQ1018" s="819">
        <f>+DM1018*(1+DQ1021)</f>
        <v>2050.7980551236051</v>
      </c>
      <c r="DR1018" s="293">
        <f>+DQ1018+DP1018</f>
        <v>3857.0308719367304</v>
      </c>
      <c r="DU1018" s="876"/>
      <c r="DV1018" s="876"/>
      <c r="DW1018" s="876"/>
      <c r="DZ1018" s="876"/>
      <c r="EA1018" s="876"/>
      <c r="ED1018" s="876"/>
      <c r="EE1018" s="876"/>
    </row>
    <row r="1019" spans="1:273">
      <c r="A1019" s="289" t="s">
        <v>696</v>
      </c>
      <c r="AR1019" s="685"/>
      <c r="AS1019" s="685"/>
      <c r="AT1019" s="730"/>
      <c r="AU1019" s="730"/>
      <c r="AV1019" s="685"/>
      <c r="AW1019" s="685"/>
      <c r="AX1019" s="730"/>
      <c r="AY1019" s="730"/>
      <c r="AZ1019" s="685"/>
      <c r="BA1019" s="876"/>
      <c r="BD1019" s="711"/>
      <c r="BE1019" s="885"/>
      <c r="BF1019" s="711"/>
      <c r="BH1019" s="685"/>
      <c r="BI1019" s="876"/>
      <c r="BL1019" s="876"/>
      <c r="BM1019" s="876"/>
      <c r="BP1019" s="876"/>
      <c r="BQ1019" s="876"/>
      <c r="BT1019" s="876"/>
      <c r="BU1019" s="876"/>
      <c r="BX1019" s="295">
        <f>-BX24</f>
        <v>3733</v>
      </c>
      <c r="BY1019" s="295">
        <f>-BY24</f>
        <v>3527</v>
      </c>
      <c r="BZ1019" s="295">
        <f>-BZ24</f>
        <v>7260</v>
      </c>
      <c r="CB1019" s="295">
        <f>-CB24</f>
        <v>3693</v>
      </c>
      <c r="CC1019" s="295">
        <f>-CC24</f>
        <v>3763</v>
      </c>
      <c r="CD1019" s="295">
        <f>-CD24</f>
        <v>7456</v>
      </c>
      <c r="CE1019" s="103"/>
      <c r="CF1019" s="295">
        <f>-CF24</f>
        <v>4125</v>
      </c>
      <c r="CG1019" s="295">
        <f>-CG24</f>
        <v>4762</v>
      </c>
      <c r="CH1019" s="295">
        <f>-CH24</f>
        <v>8887</v>
      </c>
      <c r="CI1019" s="103"/>
      <c r="CJ1019" s="295">
        <f>-CJ24</f>
        <v>4480</v>
      </c>
      <c r="CK1019" s="295">
        <f>-CK24</f>
        <v>4391</v>
      </c>
      <c r="CL1019" s="295">
        <f>-CL24</f>
        <v>8871</v>
      </c>
      <c r="CM1019" s="103"/>
      <c r="CN1019" s="295">
        <f>-CN24</f>
        <v>4266</v>
      </c>
      <c r="CO1019" s="295">
        <f>-CO24</f>
        <v>4601</v>
      </c>
      <c r="CP1019" s="295">
        <f>-CP24</f>
        <v>8867</v>
      </c>
      <c r="CQ1019" s="103"/>
      <c r="CR1019" s="295">
        <f>-CR24</f>
        <v>5069</v>
      </c>
      <c r="CS1019" s="295">
        <f>-CS24</f>
        <v>5716</v>
      </c>
      <c r="CT1019" s="295">
        <f>-CT24</f>
        <v>10785</v>
      </c>
      <c r="CU1019" s="817">
        <f>+CT1019/CP1019-1</f>
        <v>0.216307657606857</v>
      </c>
      <c r="CV1019" s="295">
        <f>-CV24</f>
        <v>5596</v>
      </c>
      <c r="CW1019" s="295">
        <f>-CW24</f>
        <v>6534</v>
      </c>
      <c r="CX1019" s="295">
        <f>-CX24</f>
        <v>12130</v>
      </c>
      <c r="CY1019" s="817">
        <f>+CX1019/CT1019-1</f>
        <v>0.12471024571163647</v>
      </c>
      <c r="CZ1019" s="295">
        <f>-CZ24</f>
        <v>5919</v>
      </c>
      <c r="DA1019" s="295">
        <f>+SUM(DA1012:DA1018)</f>
        <v>5658.5975098680083</v>
      </c>
      <c r="DB1019" s="295">
        <f>+DA1019+CZ1019</f>
        <v>11577.597509868008</v>
      </c>
      <c r="DC1019" s="817">
        <f>+DB1019/CX1019-1</f>
        <v>-4.5540188799010006E-2</v>
      </c>
      <c r="DD1019" s="295">
        <f>-DD24</f>
        <v>5919</v>
      </c>
      <c r="DE1019" s="295">
        <f>+SUM(DE1012:DE1018)</f>
        <v>5813.0657351640484</v>
      </c>
      <c r="DF1019" s="295">
        <f>+DE1019+DD1019</f>
        <v>11732.065735164048</v>
      </c>
      <c r="DG1019" s="817">
        <f>+DF1019/DB1019-1</f>
        <v>1.3341993031315891E-2</v>
      </c>
      <c r="DH1019" s="295">
        <f>-DH24</f>
        <v>6239</v>
      </c>
      <c r="DI1019" s="295">
        <f>+SUM(DI1012:DI1018)</f>
        <v>6257.681606976239</v>
      </c>
      <c r="DJ1019" s="295">
        <f>+DI1019+DH1019</f>
        <v>12496.681606976239</v>
      </c>
      <c r="DK1019" s="817">
        <f>+DJ1019/DF1019-1</f>
        <v>6.517316635214887E-2</v>
      </c>
      <c r="DL1019" s="295">
        <f>+SUM(DL1012:DL1018)</f>
        <v>5672.5860572297424</v>
      </c>
      <c r="DM1019" s="295">
        <f>+SUM(DM1012:DM1018)</f>
        <v>6421.8412701538273</v>
      </c>
      <c r="DN1019" s="295">
        <f>+DM1019+DL1019</f>
        <v>12094.42732738357</v>
      </c>
      <c r="DP1019" s="295">
        <f>+SUM(DP1012:DP1018)</f>
        <v>5932.4731292097267</v>
      </c>
      <c r="DQ1019" s="295">
        <f>+SUM(DQ1012:DQ1018)</f>
        <v>6708.3819638430714</v>
      </c>
      <c r="DR1019" s="295">
        <f>+DQ1019+DP1019</f>
        <v>12640.855093052798</v>
      </c>
      <c r="DU1019" s="876"/>
      <c r="DV1019" s="876"/>
      <c r="DW1019" s="876"/>
      <c r="DZ1019" s="876"/>
      <c r="EA1019" s="876"/>
      <c r="ED1019" s="876"/>
      <c r="EE1019" s="876"/>
    </row>
    <row r="1020" spans="1:273" s="1589" customFormat="1">
      <c r="A1020" s="1589" t="s">
        <v>580</v>
      </c>
      <c r="B1020" s="1590"/>
      <c r="AN1020" s="1590"/>
      <c r="AO1020" s="1590"/>
      <c r="AP1020" s="1590"/>
      <c r="AQ1020" s="1590"/>
      <c r="AR1020" s="1591"/>
      <c r="AS1020" s="1591"/>
      <c r="AT1020" s="1592"/>
      <c r="AU1020" s="1592"/>
      <c r="AV1020" s="1591"/>
      <c r="AW1020" s="1591"/>
      <c r="AX1020" s="1592"/>
      <c r="AY1020" s="1592"/>
      <c r="AZ1020" s="1591"/>
      <c r="BA1020" s="1593"/>
      <c r="BB1020" s="1590"/>
      <c r="BC1020" s="1590"/>
      <c r="BD1020" s="1594"/>
      <c r="BE1020" s="1595"/>
      <c r="BF1020" s="1594"/>
      <c r="BG1020" s="1590"/>
      <c r="BH1020" s="1591"/>
      <c r="BI1020" s="1593"/>
      <c r="BJ1020" s="1590"/>
      <c r="BK1020" s="1590"/>
      <c r="BL1020" s="1593"/>
      <c r="BM1020" s="1593"/>
      <c r="BN1020" s="1590"/>
      <c r="BO1020" s="1590"/>
      <c r="BP1020" s="1593"/>
      <c r="BQ1020" s="1593"/>
      <c r="BR1020" s="1590"/>
      <c r="BS1020" s="1590"/>
      <c r="BT1020" s="1593"/>
      <c r="BU1020" s="1593"/>
      <c r="BV1020" s="1590"/>
      <c r="BW1020" s="1590"/>
      <c r="BX1020" s="1686">
        <f t="shared" ref="BX1020:BZ1020" si="2170">+BX1019-SUM(BX1012:BX1018)</f>
        <v>0</v>
      </c>
      <c r="BY1020" s="1686">
        <f t="shared" si="2170"/>
        <v>0</v>
      </c>
      <c r="BZ1020" s="1686">
        <f t="shared" si="2170"/>
        <v>0</v>
      </c>
      <c r="CA1020" s="1590"/>
      <c r="CB1020" s="1686">
        <f t="shared" ref="CB1020:CD1020" si="2171">+CB1019-SUM(CB1012:CB1018)</f>
        <v>0</v>
      </c>
      <c r="CC1020" s="1686">
        <f t="shared" si="2171"/>
        <v>0</v>
      </c>
      <c r="CD1020" s="1686">
        <f t="shared" si="2171"/>
        <v>0</v>
      </c>
      <c r="CE1020" s="1590"/>
      <c r="CF1020" s="1686">
        <f t="shared" ref="CF1020:CH1020" si="2172">+CF1019-SUM(CF1012:CF1018)</f>
        <v>0</v>
      </c>
      <c r="CG1020" s="1686">
        <f t="shared" si="2172"/>
        <v>0</v>
      </c>
      <c r="CH1020" s="1686">
        <f t="shared" si="2172"/>
        <v>0</v>
      </c>
      <c r="CI1020" s="1590"/>
      <c r="CJ1020" s="1686">
        <f t="shared" ref="CJ1020:CL1020" si="2173">+CJ1019-SUM(CJ1012:CJ1018)</f>
        <v>0</v>
      </c>
      <c r="CK1020" s="1686">
        <f t="shared" si="2173"/>
        <v>0</v>
      </c>
      <c r="CL1020" s="1686">
        <f t="shared" si="2173"/>
        <v>0</v>
      </c>
      <c r="CM1020" s="1590"/>
      <c r="CN1020" s="1686">
        <f t="shared" ref="CN1020:CP1020" si="2174">+CN1019-SUM(CN1012:CN1018)</f>
        <v>1</v>
      </c>
      <c r="CO1020" s="1686">
        <f t="shared" si="2174"/>
        <v>1</v>
      </c>
      <c r="CP1020" s="1686">
        <f t="shared" si="2174"/>
        <v>2</v>
      </c>
      <c r="CQ1020" s="1590"/>
      <c r="CR1020" s="1686">
        <f t="shared" ref="CR1020:DB1020" si="2175">+CR1019-SUM(CR1012:CR1018)</f>
        <v>0</v>
      </c>
      <c r="CS1020" s="1686">
        <f t="shared" si="2175"/>
        <v>0</v>
      </c>
      <c r="CT1020" s="1686">
        <f t="shared" si="2175"/>
        <v>0</v>
      </c>
      <c r="CU1020" s="1590"/>
      <c r="CV1020" s="1686">
        <f t="shared" ref="CV1020" si="2176">+CV1019-SUM(CV1012:CV1018)</f>
        <v>2</v>
      </c>
      <c r="CW1020" s="1686">
        <f t="shared" si="2175"/>
        <v>0</v>
      </c>
      <c r="CX1020" s="1686">
        <f t="shared" si="2175"/>
        <v>2</v>
      </c>
      <c r="CY1020" s="1590"/>
      <c r="CZ1020" s="1686">
        <f t="shared" ref="CZ1020" si="2177">+CZ1019-SUM(CZ1012:CZ1018)</f>
        <v>1</v>
      </c>
      <c r="DA1020" s="1686">
        <f t="shared" si="2175"/>
        <v>0</v>
      </c>
      <c r="DB1020" s="1686">
        <f t="shared" si="2175"/>
        <v>1</v>
      </c>
      <c r="DC1020" s="103"/>
      <c r="DD1020" s="1686">
        <f t="shared" ref="DD1020:DF1020" si="2178">+DD1019-SUM(DD1012:DD1018)</f>
        <v>2</v>
      </c>
      <c r="DE1020" s="1686">
        <f t="shared" si="2178"/>
        <v>0</v>
      </c>
      <c r="DF1020" s="1686">
        <f t="shared" si="2178"/>
        <v>2</v>
      </c>
      <c r="DG1020" s="103"/>
      <c r="DH1020" s="1686">
        <f t="shared" ref="DH1020" si="2179">+DH1019-SUM(DH1012:DH1018)</f>
        <v>1</v>
      </c>
      <c r="DI1020" s="1686">
        <f t="shared" ref="DI1020:DJ1020" si="2180">+DI1019-SUM(DI1012:DI1018)</f>
        <v>0</v>
      </c>
      <c r="DJ1020" s="1686">
        <f t="shared" si="2180"/>
        <v>1</v>
      </c>
      <c r="DK1020" s="103"/>
      <c r="DL1020" s="1686">
        <f t="shared" ref="DL1020:DN1020" si="2181">+DL1019-SUM(DL1012:DL1018)</f>
        <v>0</v>
      </c>
      <c r="DM1020" s="1686">
        <f t="shared" si="2181"/>
        <v>0</v>
      </c>
      <c r="DN1020" s="1686">
        <f t="shared" si="2181"/>
        <v>0</v>
      </c>
      <c r="DO1020" s="1590"/>
      <c r="DP1020" s="1686">
        <f t="shared" ref="DP1020:DR1020" si="2182">+DP1019-SUM(DP1012:DP1018)</f>
        <v>0</v>
      </c>
      <c r="DQ1020" s="1686">
        <f t="shared" si="2182"/>
        <v>0</v>
      </c>
      <c r="DR1020" s="1686">
        <f t="shared" si="2182"/>
        <v>0</v>
      </c>
      <c r="DS1020" s="1590"/>
      <c r="DT1020" s="1590"/>
      <c r="DU1020" s="1593"/>
      <c r="DV1020" s="1593"/>
      <c r="DW1020" s="1593"/>
      <c r="DX1020" s="1590"/>
      <c r="DY1020" s="1590"/>
      <c r="DZ1020" s="1593"/>
      <c r="EA1020" s="1593"/>
      <c r="EB1020" s="1590"/>
      <c r="EC1020" s="1590"/>
      <c r="ED1020" s="1593"/>
      <c r="EE1020" s="1593"/>
      <c r="EF1020" s="1590"/>
      <c r="EG1020" s="1590"/>
      <c r="EH1020" s="1590"/>
      <c r="EI1020" s="1590"/>
      <c r="EJ1020" s="1590"/>
      <c r="EK1020" s="1590"/>
      <c r="EL1020" s="1590"/>
      <c r="EM1020" s="1590"/>
      <c r="EN1020" s="1590"/>
      <c r="EO1020" s="1590"/>
      <c r="EP1020" s="1590"/>
      <c r="JM1020"/>
    </row>
    <row r="1021" spans="1:273">
      <c r="A1021" s="1008" t="s">
        <v>1354</v>
      </c>
      <c r="AR1021" s="685"/>
      <c r="AS1021" s="685"/>
      <c r="AT1021" s="730"/>
      <c r="AU1021" s="730"/>
      <c r="AV1021" s="685"/>
      <c r="AW1021" s="685"/>
      <c r="AX1021" s="730"/>
      <c r="AY1021" s="730"/>
      <c r="AZ1021" s="685"/>
      <c r="BA1021" s="876"/>
      <c r="BD1021" s="711"/>
      <c r="BE1021" s="885"/>
      <c r="BF1021" s="711"/>
      <c r="BH1021" s="685"/>
      <c r="BI1021" s="876"/>
      <c r="BL1021" s="876"/>
      <c r="BM1021" s="876"/>
      <c r="BP1021" s="876"/>
      <c r="BQ1021" s="876"/>
      <c r="BT1021" s="876"/>
      <c r="BU1021" s="876"/>
      <c r="BX1021" s="876"/>
      <c r="BY1021" s="876"/>
      <c r="CB1021" s="876"/>
      <c r="CC1021" s="876"/>
      <c r="CF1021" s="876"/>
      <c r="CG1021" s="876"/>
      <c r="CJ1021" s="876"/>
      <c r="CK1021" s="876"/>
      <c r="CN1021" s="876"/>
      <c r="CO1021" s="876"/>
      <c r="CR1021" s="876"/>
      <c r="CS1021" s="876"/>
      <c r="CW1021" s="876"/>
      <c r="DA1021" s="1016">
        <v>0.03</v>
      </c>
      <c r="DB1021" s="649">
        <f>+DB1018/CX1018-1</f>
        <v>0.13513320076906599</v>
      </c>
      <c r="DE1021" s="1016">
        <v>0.03</v>
      </c>
      <c r="DF1021" s="649">
        <f>+DF1018/DB1018-1</f>
        <v>4.6916285297393667E-3</v>
      </c>
      <c r="DI1021" s="1016">
        <v>0.03</v>
      </c>
      <c r="DJ1021" s="649">
        <f>+DJ1018/DF1018-1</f>
        <v>-1.868088191570616E-2</v>
      </c>
      <c r="DL1021" s="1016">
        <v>0.03</v>
      </c>
      <c r="DM1021" s="1016">
        <v>0.03</v>
      </c>
      <c r="DN1021" s="649">
        <f>+DN1018/DJ1018-1</f>
        <v>3.0000000000000027E-2</v>
      </c>
      <c r="DP1021" s="1016">
        <v>0.03</v>
      </c>
      <c r="DQ1021" s="1016">
        <v>0.03</v>
      </c>
      <c r="DR1021" s="649">
        <f>+DR1018/DN1018-1</f>
        <v>3.0000000000000027E-2</v>
      </c>
      <c r="DU1021" s="876"/>
      <c r="DV1021" s="876"/>
      <c r="DW1021" s="876"/>
      <c r="DZ1021" s="876"/>
      <c r="EA1021" s="876"/>
      <c r="ED1021" s="876"/>
      <c r="EE1021" s="876"/>
    </row>
    <row r="1022" spans="1:273">
      <c r="AR1022" s="685"/>
      <c r="AS1022" s="685"/>
      <c r="AT1022" s="730"/>
      <c r="AU1022" s="730"/>
      <c r="AV1022" s="685"/>
      <c r="AW1022" s="685"/>
      <c r="AX1022" s="730"/>
      <c r="AY1022" s="730"/>
      <c r="AZ1022" s="685"/>
      <c r="BA1022" s="876"/>
      <c r="BD1022" s="711"/>
      <c r="BE1022" s="885"/>
      <c r="BF1022" s="711"/>
      <c r="BH1022" s="685"/>
      <c r="BI1022" s="876"/>
      <c r="BL1022" s="876"/>
      <c r="BM1022" s="876"/>
      <c r="BP1022" s="876"/>
      <c r="BQ1022" s="876"/>
      <c r="BT1022" s="876"/>
      <c r="BU1022" s="876"/>
      <c r="BX1022" s="876"/>
      <c r="BY1022" s="876"/>
      <c r="CB1022" s="876"/>
      <c r="CC1022" s="876"/>
      <c r="CF1022" s="876"/>
      <c r="CG1022" s="876"/>
      <c r="CJ1022" s="876"/>
      <c r="CK1022" s="876"/>
      <c r="CN1022" s="876"/>
      <c r="CO1022" s="876"/>
      <c r="CR1022" s="876"/>
      <c r="CS1022" s="876"/>
      <c r="CV1022" s="588"/>
      <c r="CW1022" s="1110"/>
      <c r="CX1022" s="730"/>
      <c r="CZ1022" s="588" t="s">
        <v>1351</v>
      </c>
      <c r="DA1022" s="1110"/>
      <c r="DB1022" s="730"/>
      <c r="DD1022" s="588" t="s">
        <v>1351</v>
      </c>
      <c r="DE1022" s="1110"/>
      <c r="DF1022" s="730"/>
      <c r="DH1022" s="588" t="s">
        <v>1351</v>
      </c>
      <c r="DI1022" s="1110"/>
      <c r="DJ1022" s="730"/>
      <c r="DL1022" s="588" t="s">
        <v>1351</v>
      </c>
      <c r="DM1022" s="1110"/>
      <c r="DN1022" s="730"/>
      <c r="DP1022" s="588" t="s">
        <v>1351</v>
      </c>
      <c r="DQ1022" s="1110"/>
      <c r="DR1022" s="730"/>
      <c r="DU1022" s="876"/>
      <c r="DV1022" s="876"/>
      <c r="DW1022" s="876"/>
      <c r="DZ1022" s="876"/>
      <c r="EA1022" s="876"/>
      <c r="ED1022" s="876"/>
      <c r="EE1022" s="876"/>
    </row>
    <row r="1023" spans="1:273" ht="55.2">
      <c r="A1023" s="1714" t="s">
        <v>1356</v>
      </c>
      <c r="AR1023" s="685"/>
      <c r="AS1023" s="685"/>
      <c r="AT1023" s="730"/>
      <c r="AU1023" s="730"/>
      <c r="AV1023" s="685"/>
      <c r="AW1023" s="685"/>
      <c r="AX1023" s="730"/>
      <c r="AY1023" s="730"/>
      <c r="AZ1023" s="685"/>
      <c r="BA1023" s="876"/>
      <c r="BD1023" s="711"/>
      <c r="BE1023" s="885"/>
      <c r="BF1023" s="711"/>
      <c r="BH1023" s="685"/>
      <c r="BI1023" s="876"/>
      <c r="BL1023" s="876"/>
      <c r="BM1023" s="876"/>
      <c r="BP1023" s="876"/>
      <c r="BQ1023" s="876"/>
      <c r="BT1023" s="876"/>
      <c r="BU1023" s="876"/>
      <c r="BX1023" s="876"/>
      <c r="BY1023" s="876"/>
      <c r="CB1023" s="876"/>
      <c r="CC1023" s="876"/>
      <c r="CF1023" s="876"/>
      <c r="CG1023" s="876"/>
      <c r="CJ1023" s="876"/>
      <c r="CK1023" s="876"/>
      <c r="CN1023" s="876"/>
      <c r="CO1023" s="876"/>
      <c r="CR1023" s="876"/>
      <c r="CS1023" s="876"/>
      <c r="CV1023" s="588"/>
      <c r="CW1023" s="1110"/>
      <c r="CX1023" s="588"/>
      <c r="CZ1023" s="588" t="s">
        <v>1351</v>
      </c>
      <c r="DA1023" s="876"/>
      <c r="DD1023" s="588" t="s">
        <v>1351</v>
      </c>
      <c r="DE1023" s="876"/>
      <c r="DH1023" s="588" t="s">
        <v>1351</v>
      </c>
      <c r="DI1023" s="876"/>
      <c r="DL1023" s="588" t="s">
        <v>1351</v>
      </c>
      <c r="DM1023" s="876"/>
      <c r="DP1023" s="588" t="s">
        <v>1351</v>
      </c>
      <c r="DQ1023" s="876"/>
      <c r="DU1023" s="876"/>
      <c r="DV1023" s="876"/>
      <c r="DW1023" s="876"/>
      <c r="DZ1023" s="876"/>
      <c r="EA1023" s="876"/>
      <c r="ED1023" s="876"/>
      <c r="EE1023" s="876"/>
    </row>
    <row r="1024" spans="1:273">
      <c r="A1024" s="102" t="s">
        <v>686</v>
      </c>
      <c r="AR1024" s="685"/>
      <c r="AS1024" s="685"/>
      <c r="AT1024" s="730"/>
      <c r="AU1024" s="730"/>
      <c r="AV1024" s="685"/>
      <c r="AW1024" s="685"/>
      <c r="AX1024" s="730"/>
      <c r="AY1024" s="730"/>
      <c r="AZ1024" s="685"/>
      <c r="BA1024" s="876"/>
      <c r="BD1024" s="711"/>
      <c r="BE1024" s="885"/>
      <c r="BF1024" s="711"/>
      <c r="BH1024" s="685"/>
      <c r="BI1024" s="876"/>
      <c r="BL1024" s="876"/>
      <c r="BM1024" s="876"/>
      <c r="BP1024" s="876"/>
      <c r="BQ1024" s="876"/>
      <c r="BT1024" s="876"/>
      <c r="BU1024" s="876"/>
      <c r="BX1024" s="320">
        <f t="shared" ref="BX1024:BZ1028" si="2183">+BX1012/BX814</f>
        <v>0.67797783049936122</v>
      </c>
      <c r="BY1024" s="320">
        <f t="shared" si="2183"/>
        <v>0.65765781982113125</v>
      </c>
      <c r="BZ1024" s="649">
        <f t="shared" si="2183"/>
        <v>0.66724628388306728</v>
      </c>
      <c r="CB1024" s="320">
        <f t="shared" ref="CB1024:CD1028" si="2184">+CB1012/CB814</f>
        <v>0.64986669152031917</v>
      </c>
      <c r="CC1024" s="320">
        <f t="shared" si="2184"/>
        <v>0.59879229248071175</v>
      </c>
      <c r="CD1024" s="649">
        <f t="shared" si="2184"/>
        <v>0.61868139126299526</v>
      </c>
      <c r="CE1024" s="103"/>
      <c r="CF1024" s="320">
        <f t="shared" ref="CF1024:CH1026" si="2185">+CF1012/CF814</f>
        <v>0.45862661315838771</v>
      </c>
      <c r="CG1024" s="320">
        <f t="shared" si="2185"/>
        <v>0.42767993212093774</v>
      </c>
      <c r="CH1024" s="649">
        <f t="shared" si="2185"/>
        <v>0.43857128525932726</v>
      </c>
      <c r="CI1024" s="103"/>
      <c r="CJ1024" s="320">
        <f t="shared" ref="CJ1024:CL1026" si="2186">+CJ1012/CJ814</f>
        <v>0.66467797385813654</v>
      </c>
      <c r="CK1024" s="320">
        <f t="shared" si="2186"/>
        <v>0.67220766202712723</v>
      </c>
      <c r="CL1024" s="649">
        <f t="shared" si="2186"/>
        <v>0.6682772038731708</v>
      </c>
      <c r="CM1024" s="103"/>
      <c r="CN1024" s="320">
        <f t="shared" ref="CN1024:CP1026" si="2187">+CN1012/CN814</f>
        <v>0.92245938705979147</v>
      </c>
      <c r="CO1024" s="320">
        <f t="shared" si="2187"/>
        <v>0.64118124100260898</v>
      </c>
      <c r="CP1024" s="649">
        <f t="shared" si="2187"/>
        <v>0.7181872700543277</v>
      </c>
      <c r="CQ1024" s="103"/>
      <c r="CR1024" s="320">
        <f t="shared" ref="CR1024:CT1026" si="2188">+CR1012/CR814</f>
        <v>0.5727873204125471</v>
      </c>
      <c r="CS1024" s="320">
        <f t="shared" si="2188"/>
        <v>0.56588497274027583</v>
      </c>
      <c r="CT1024" s="649">
        <f t="shared" si="2188"/>
        <v>0.56910284741341843</v>
      </c>
      <c r="CV1024" s="320">
        <f t="shared" ref="CV1024:CX1024" si="2189">+CV1012/CV814</f>
        <v>0.69803280684721369</v>
      </c>
      <c r="CW1024" s="320">
        <f t="shared" si="2189"/>
        <v>0.75297497893737375</v>
      </c>
      <c r="CX1024" s="649">
        <f t="shared" si="2189"/>
        <v>0.72202663313707593</v>
      </c>
      <c r="CZ1024" s="320">
        <f t="shared" ref="CZ1024" si="2190">+CZ1012/CZ814</f>
        <v>0.62470013760933318</v>
      </c>
      <c r="DA1024" s="1016">
        <v>0.63</v>
      </c>
      <c r="DB1024" s="744">
        <f>+(CZ1024*CZ814+DA1024*DA814)/DB814</f>
        <v>0.62752456657097488</v>
      </c>
      <c r="DD1024" s="320">
        <f t="shared" ref="DD1024:DD1026" si="2191">+DD1012/DD814</f>
        <v>0.6373108527064445</v>
      </c>
      <c r="DE1024" s="1016">
        <v>0.6</v>
      </c>
      <c r="DF1024" s="744">
        <f>+(DD1024*DD814+DE1024*DE814)/DF814</f>
        <v>0.61619443758486692</v>
      </c>
      <c r="DG1024" s="1712">
        <f>+AVERAGE(BZ1024,CD1024,CH1024,CL1024,CP1024,CT1024)</f>
        <v>0.61334438029105121</v>
      </c>
      <c r="DH1024" s="320">
        <f t="shared" ref="DH1024:DH1026" si="2192">+DH1012/DH814</f>
        <v>0.60634494222771151</v>
      </c>
      <c r="DI1024" s="1016">
        <v>0.6</v>
      </c>
      <c r="DJ1024" s="744">
        <f>+(DH1024*DH814+DI1024*DI814)/DJ814</f>
        <v>0.60299870270635958</v>
      </c>
      <c r="DK1024" s="1712">
        <f>+AVERAGE(CD1024,CH1024,CL1024,CP1024,CT1024,CX1024)</f>
        <v>0.62247443850005257</v>
      </c>
      <c r="DL1024" s="1016">
        <v>0.6</v>
      </c>
      <c r="DM1024" s="1016">
        <v>0.6</v>
      </c>
      <c r="DN1024" s="744">
        <f>+(DL1024*DL814+DM1024*DM814)/DN814</f>
        <v>0.6</v>
      </c>
      <c r="DP1024" s="1016">
        <v>0.6</v>
      </c>
      <c r="DQ1024" s="1016">
        <v>0.6</v>
      </c>
      <c r="DR1024" s="744">
        <f>+(DP1024*DP814+DQ1024*DQ814)/DR814</f>
        <v>0.60000000000000009</v>
      </c>
      <c r="DU1024" s="876"/>
      <c r="DV1024" s="876"/>
      <c r="DW1024" s="876"/>
      <c r="DZ1024" s="876"/>
      <c r="EA1024" s="876"/>
      <c r="ED1024" s="876"/>
      <c r="EE1024" s="876"/>
    </row>
    <row r="1025" spans="1:273">
      <c r="A1025" s="102" t="s">
        <v>1306</v>
      </c>
      <c r="AR1025" s="685"/>
      <c r="AS1025" s="685"/>
      <c r="AT1025" s="730"/>
      <c r="AU1025" s="730"/>
      <c r="AV1025" s="685"/>
      <c r="AW1025" s="685"/>
      <c r="AX1025" s="730"/>
      <c r="AY1025" s="730"/>
      <c r="AZ1025" s="685"/>
      <c r="BA1025" s="876"/>
      <c r="BD1025" s="711"/>
      <c r="BE1025" s="885"/>
      <c r="BF1025" s="711"/>
      <c r="BH1025" s="685"/>
      <c r="BI1025" s="876"/>
      <c r="BL1025" s="876"/>
      <c r="BM1025" s="876"/>
      <c r="BP1025" s="876"/>
      <c r="BQ1025" s="876"/>
      <c r="BT1025" s="876"/>
      <c r="BU1025" s="876"/>
      <c r="BX1025" s="320">
        <f t="shared" si="2183"/>
        <v>0.44549848426923544</v>
      </c>
      <c r="BY1025" s="320">
        <f t="shared" si="2183"/>
        <v>0.47133554682279016</v>
      </c>
      <c r="BZ1025" s="649">
        <f t="shared" si="2183"/>
        <v>0.45766320575039265</v>
      </c>
      <c r="CB1025" s="320">
        <f t="shared" si="2184"/>
        <v>0.43599473275238454</v>
      </c>
      <c r="CC1025" s="320">
        <f t="shared" si="2184"/>
        <v>0.52393838365736334</v>
      </c>
      <c r="CD1025" s="649">
        <f t="shared" si="2184"/>
        <v>0.46828060813145472</v>
      </c>
      <c r="CE1025" s="103"/>
      <c r="CF1025" s="320">
        <f t="shared" si="2185"/>
        <v>0.46604127044211308</v>
      </c>
      <c r="CG1025" s="320">
        <f t="shared" si="2185"/>
        <v>0.46543784104260516</v>
      </c>
      <c r="CH1025" s="649">
        <f t="shared" si="2185"/>
        <v>0.4654109741233543</v>
      </c>
      <c r="CI1025" s="103"/>
      <c r="CJ1025" s="320">
        <f t="shared" si="2186"/>
        <v>0.42422384995614204</v>
      </c>
      <c r="CK1025" s="320">
        <f t="shared" si="2186"/>
        <v>0.44146478392030042</v>
      </c>
      <c r="CL1025" s="649">
        <f t="shared" si="2186"/>
        <v>0.43280085849261263</v>
      </c>
      <c r="CM1025" s="103"/>
      <c r="CN1025" s="320">
        <f t="shared" si="2187"/>
        <v>0.45664223542081112</v>
      </c>
      <c r="CO1025" s="320">
        <f t="shared" si="2187"/>
        <v>0.46664716655609456</v>
      </c>
      <c r="CP1025" s="649">
        <f t="shared" si="2187"/>
        <v>0.4616297569666889</v>
      </c>
      <c r="CQ1025" s="103"/>
      <c r="CR1025" s="320">
        <f t="shared" si="2188"/>
        <v>0.47244905779503688</v>
      </c>
      <c r="CS1025" s="320">
        <f t="shared" si="2188"/>
        <v>0.44510190567628344</v>
      </c>
      <c r="CT1025" s="649">
        <f t="shared" si="2188"/>
        <v>0.4564824380425942</v>
      </c>
      <c r="CV1025" s="320">
        <f t="shared" ref="CV1025:CX1025" si="2193">+CV1013/CV815</f>
        <v>0.46028992481811148</v>
      </c>
      <c r="CW1025" s="320">
        <f t="shared" si="2193"/>
        <v>0.50285705023407989</v>
      </c>
      <c r="CX1025" s="649">
        <f t="shared" si="2193"/>
        <v>0.48063352714481516</v>
      </c>
      <c r="CZ1025" s="320">
        <f t="shared" ref="CZ1025" si="2194">+CZ1013/CZ815</f>
        <v>0.65298582885867518</v>
      </c>
      <c r="DA1025" s="1016">
        <v>0.4</v>
      </c>
      <c r="DB1025" s="744">
        <f>+(CZ1025*CZ815+DA1025*DA815)/DB815</f>
        <v>0.51409296970104879</v>
      </c>
      <c r="DD1025" s="320">
        <f t="shared" si="2191"/>
        <v>0.60822167378780723</v>
      </c>
      <c r="DE1025" s="1016">
        <v>0.39</v>
      </c>
      <c r="DF1025" s="744">
        <f>+(DD1025*DD815+DE1025*DE815)/DF815</f>
        <v>0.4870824962689983</v>
      </c>
      <c r="DG1025" s="1712">
        <f>+AVERAGE(BZ1025,CD1025,CH1025,CL1025,CP1025,CT1025)</f>
        <v>0.45704464025118291</v>
      </c>
      <c r="DH1025" s="320">
        <f t="shared" si="2192"/>
        <v>0.59187992413316093</v>
      </c>
      <c r="DI1025" s="1016">
        <v>0.39</v>
      </c>
      <c r="DJ1025" s="744">
        <f>+(DH1025*DH815+DI1025*DI815)/DJ815</f>
        <v>0.48604889123762512</v>
      </c>
      <c r="DK1025" s="1712">
        <f>+AVERAGE(CD1025,CH1025,CL1025,CP1025,CT1025,CX1025)</f>
        <v>0.4608730271502533</v>
      </c>
      <c r="DL1025" s="1016">
        <v>0.39</v>
      </c>
      <c r="DM1025" s="1016">
        <v>0.39</v>
      </c>
      <c r="DN1025" s="744">
        <f>+(DL1025*DL815+DM1025*DM815)/DN815</f>
        <v>0.39000000000000007</v>
      </c>
      <c r="DP1025" s="1016">
        <v>0.39</v>
      </c>
      <c r="DQ1025" s="1016">
        <v>0.39</v>
      </c>
      <c r="DR1025" s="744">
        <f>+(DP1025*DP815+DQ1025*DQ815)/DR815</f>
        <v>0.39</v>
      </c>
      <c r="DU1025" s="876"/>
      <c r="DV1025" s="876"/>
      <c r="DW1025" s="876"/>
      <c r="DZ1025" s="876"/>
      <c r="EA1025" s="876"/>
      <c r="ED1025" s="876"/>
      <c r="EE1025" s="876"/>
    </row>
    <row r="1026" spans="1:273">
      <c r="A1026" s="102" t="s">
        <v>1024</v>
      </c>
      <c r="AR1026" s="685"/>
      <c r="AS1026" s="685"/>
      <c r="AT1026" s="730"/>
      <c r="AU1026" s="730"/>
      <c r="AV1026" s="685"/>
      <c r="AW1026" s="685"/>
      <c r="AX1026" s="730"/>
      <c r="AY1026" s="730"/>
      <c r="AZ1026" s="685"/>
      <c r="BA1026" s="876"/>
      <c r="BD1026" s="711"/>
      <c r="BE1026" s="885"/>
      <c r="BF1026" s="711"/>
      <c r="BH1026" s="685"/>
      <c r="BI1026" s="876"/>
      <c r="BL1026" s="876"/>
      <c r="BM1026" s="876"/>
      <c r="BP1026" s="876"/>
      <c r="BQ1026" s="876"/>
      <c r="BT1026" s="876"/>
      <c r="BU1026" s="876"/>
      <c r="BX1026" s="320">
        <f t="shared" si="2183"/>
        <v>0.56937845652972663</v>
      </c>
      <c r="BY1026" s="320">
        <f t="shared" si="2183"/>
        <v>0.57938899086924323</v>
      </c>
      <c r="BZ1026" s="649">
        <f t="shared" si="2183"/>
        <v>0.57434708450549865</v>
      </c>
      <c r="CB1026" s="320">
        <f t="shared" si="2184"/>
        <v>0.60129163186350354</v>
      </c>
      <c r="CC1026" s="320">
        <f t="shared" si="2184"/>
        <v>0.58172419741846115</v>
      </c>
      <c r="CD1026" s="649">
        <f t="shared" si="2184"/>
        <v>0.59059555643130546</v>
      </c>
      <c r="CE1026" s="103"/>
      <c r="CF1026" s="320">
        <f t="shared" si="2185"/>
        <v>0.59151032699744566</v>
      </c>
      <c r="CG1026" s="320">
        <f t="shared" si="2185"/>
        <v>0.61391389825299114</v>
      </c>
      <c r="CH1026" s="649">
        <f t="shared" si="2185"/>
        <v>0.60235911061461933</v>
      </c>
      <c r="CI1026" s="103"/>
      <c r="CJ1026" s="320">
        <f t="shared" si="2186"/>
        <v>0.54165877176274357</v>
      </c>
      <c r="CK1026" s="320">
        <f t="shared" si="2186"/>
        <v>0.57877013490277929</v>
      </c>
      <c r="CL1026" s="649">
        <f t="shared" si="2186"/>
        <v>0.55832666331259906</v>
      </c>
      <c r="CM1026" s="103"/>
      <c r="CN1026" s="320">
        <f t="shared" si="2187"/>
        <v>0.47542868347069428</v>
      </c>
      <c r="CO1026" s="320">
        <f t="shared" si="2187"/>
        <v>0.43389701219744098</v>
      </c>
      <c r="CP1026" s="649">
        <f t="shared" si="2187"/>
        <v>0.45283149960501518</v>
      </c>
      <c r="CQ1026" s="103"/>
      <c r="CR1026" s="320">
        <f t="shared" si="2188"/>
        <v>0.40460984971986352</v>
      </c>
      <c r="CS1026" s="320">
        <f t="shared" si="2188"/>
        <v>0.38485775939537431</v>
      </c>
      <c r="CT1026" s="649">
        <f t="shared" si="2188"/>
        <v>0.39376400342025386</v>
      </c>
      <c r="CV1026" s="320">
        <f t="shared" ref="CV1026:CX1026" si="2195">+CV1014/CV816</f>
        <v>0.41407767216708913</v>
      </c>
      <c r="CW1026" s="320">
        <f t="shared" si="2195"/>
        <v>0.38141565748738621</v>
      </c>
      <c r="CX1026" s="649">
        <f t="shared" si="2195"/>
        <v>0.39359164303026434</v>
      </c>
      <c r="CZ1026" s="320">
        <f t="shared" ref="CZ1026" si="2196">+CZ1014/CZ816</f>
        <v>0.49138655145781596</v>
      </c>
      <c r="DA1026" s="1016">
        <v>0.41</v>
      </c>
      <c r="DB1026" s="744">
        <f>+(CZ1026*CZ816+DA1026*DA816)/DB816</f>
        <v>0.44770661329008904</v>
      </c>
      <c r="DD1026" s="320">
        <f t="shared" si="2191"/>
        <v>0.48237930439466015</v>
      </c>
      <c r="DE1026" s="1016">
        <v>0.42</v>
      </c>
      <c r="DF1026" s="744">
        <f>+(DD1026*DD816+DE1026*DE816)/DF816</f>
        <v>0.44999762494485651</v>
      </c>
      <c r="DG1026" s="1712">
        <f>+AVERAGE(BZ1026,CD1026,CH1026,CL1026,CP1026,CT1026)</f>
        <v>0.52870398631488191</v>
      </c>
      <c r="DH1026" s="320">
        <f t="shared" si="2192"/>
        <v>0.49080420345333731</v>
      </c>
      <c r="DI1026" s="1016">
        <v>0.42</v>
      </c>
      <c r="DJ1026" s="744">
        <f>+(DH1026*DH816+DI1026*DI816)/DJ816</f>
        <v>0.45150622528449219</v>
      </c>
      <c r="DK1026" s="1712">
        <f>+AVERAGE(CD1026,CH1026,CL1026,CP1026,CT1026,CX1026)</f>
        <v>0.49857807940234289</v>
      </c>
      <c r="DL1026" s="1016">
        <v>0.42</v>
      </c>
      <c r="DM1026" s="1016">
        <v>0.42</v>
      </c>
      <c r="DN1026" s="744">
        <f>+(DL1026*DL816+DM1026*DM816)/DN816</f>
        <v>0.42</v>
      </c>
      <c r="DP1026" s="1016">
        <v>0.42</v>
      </c>
      <c r="DQ1026" s="1016">
        <v>0.42</v>
      </c>
      <c r="DR1026" s="744">
        <f>+(DP1026*DP816+DQ1026*DQ816)/DR816</f>
        <v>0.42000000000000004</v>
      </c>
      <c r="DU1026" s="876"/>
      <c r="DV1026" s="876"/>
      <c r="DW1026" s="876"/>
      <c r="DZ1026" s="876"/>
      <c r="EA1026" s="876"/>
      <c r="ED1026" s="876"/>
      <c r="EE1026" s="876"/>
    </row>
    <row r="1027" spans="1:273">
      <c r="A1027" s="102" t="s">
        <v>690</v>
      </c>
      <c r="AR1027" s="685"/>
      <c r="AS1027" s="685"/>
      <c r="AT1027" s="730"/>
      <c r="AU1027" s="730"/>
      <c r="AV1027" s="685"/>
      <c r="AW1027" s="685"/>
      <c r="AX1027" s="730"/>
      <c r="AY1027" s="730"/>
      <c r="AZ1027" s="685"/>
      <c r="BA1027" s="876"/>
      <c r="BD1027" s="711"/>
      <c r="BE1027" s="885"/>
      <c r="BF1027" s="711"/>
      <c r="BH1027" s="685"/>
      <c r="BI1027" s="876"/>
      <c r="BL1027" s="876"/>
      <c r="BM1027" s="876"/>
      <c r="BP1027" s="876"/>
      <c r="BQ1027" s="876"/>
      <c r="BT1027" s="876"/>
      <c r="BU1027" s="876"/>
      <c r="BX1027" s="320">
        <f t="shared" si="2183"/>
        <v>0.44237134925551191</v>
      </c>
      <c r="BY1027" s="320">
        <f t="shared" si="2183"/>
        <v>0.42081126314619</v>
      </c>
      <c r="BZ1027" s="649">
        <f t="shared" si="2183"/>
        <v>0.43064492227335105</v>
      </c>
      <c r="CB1027" s="320">
        <f t="shared" si="2184"/>
        <v>0.35858721546833061</v>
      </c>
      <c r="CC1027" s="320">
        <f t="shared" si="2184"/>
        <v>0.30570109276199137</v>
      </c>
      <c r="CD1027" s="649">
        <f t="shared" si="2184"/>
        <v>0.3319771287231203</v>
      </c>
      <c r="CE1027" s="103"/>
      <c r="CF1027" s="320"/>
      <c r="CG1027" s="320"/>
      <c r="CH1027" s="649"/>
      <c r="CI1027" s="103"/>
      <c r="CJ1027" s="320"/>
      <c r="CK1027" s="320"/>
      <c r="CL1027" s="649"/>
      <c r="CM1027" s="103"/>
      <c r="CN1027" s="320"/>
      <c r="CO1027" s="320"/>
      <c r="CP1027" s="649"/>
      <c r="CQ1027" s="103"/>
      <c r="CR1027" s="320"/>
      <c r="CS1027" s="320"/>
      <c r="CT1027" s="649"/>
      <c r="CV1027" s="320"/>
      <c r="CW1027" s="320"/>
      <c r="CX1027" s="649"/>
      <c r="CZ1027" s="320"/>
      <c r="DA1027" s="876"/>
      <c r="DB1027" s="632"/>
      <c r="DD1027" s="320"/>
      <c r="DE1027" s="876"/>
      <c r="DF1027" s="632"/>
      <c r="DH1027" s="320"/>
      <c r="DI1027" s="876"/>
      <c r="DJ1027" s="632"/>
      <c r="DL1027" s="876"/>
      <c r="DM1027" s="876"/>
      <c r="DN1027" s="632"/>
      <c r="DP1027" s="876"/>
      <c r="DQ1027" s="876"/>
      <c r="DR1027" s="632"/>
      <c r="DU1027" s="876"/>
      <c r="DV1027" s="876"/>
      <c r="DW1027" s="876"/>
      <c r="DZ1027" s="876"/>
      <c r="EA1027" s="876"/>
      <c r="ED1027" s="876"/>
      <c r="EE1027" s="876"/>
    </row>
    <row r="1028" spans="1:273">
      <c r="A1028" s="102" t="s">
        <v>689</v>
      </c>
      <c r="AR1028" s="685"/>
      <c r="AS1028" s="685"/>
      <c r="AT1028" s="730"/>
      <c r="AU1028" s="730"/>
      <c r="AV1028" s="685"/>
      <c r="AW1028" s="685"/>
      <c r="AX1028" s="730"/>
      <c r="AY1028" s="730"/>
      <c r="AZ1028" s="685"/>
      <c r="BA1028" s="876"/>
      <c r="BD1028" s="711"/>
      <c r="BE1028" s="885"/>
      <c r="BF1028" s="711"/>
      <c r="BH1028" s="685"/>
      <c r="BI1028" s="876"/>
      <c r="BL1028" s="876"/>
      <c r="BM1028" s="876"/>
      <c r="BP1028" s="876"/>
      <c r="BQ1028" s="876"/>
      <c r="BT1028" s="876"/>
      <c r="BU1028" s="876"/>
      <c r="BX1028" s="320">
        <f t="shared" si="2183"/>
        <v>0.50177401287277534</v>
      </c>
      <c r="BY1028" s="320">
        <f t="shared" si="2183"/>
        <v>0.53373320399797031</v>
      </c>
      <c r="BZ1028" s="649">
        <f t="shared" si="2183"/>
        <v>0.51669293089126878</v>
      </c>
      <c r="CB1028" s="320">
        <f t="shared" si="2184"/>
        <v>0.49938500888872761</v>
      </c>
      <c r="CC1028" s="320">
        <f t="shared" si="2184"/>
        <v>0.56165910811079423</v>
      </c>
      <c r="CD1028" s="649">
        <f t="shared" si="2184"/>
        <v>0.52982944289330314</v>
      </c>
      <c r="CE1028" s="103"/>
      <c r="CF1028" s="320">
        <f>+CF1016/CF818</f>
        <v>0.55448084375848239</v>
      </c>
      <c r="CG1028" s="320">
        <f>+CG1016/CG818</f>
        <v>0.59641746466301093</v>
      </c>
      <c r="CH1028" s="649">
        <f>+CH1016/CH818</f>
        <v>0.5767464950705703</v>
      </c>
      <c r="CI1028" s="103"/>
      <c r="CJ1028" s="320">
        <f>+CJ1016/CJ818</f>
        <v>0.52253835305389351</v>
      </c>
      <c r="CK1028" s="320">
        <f>+CK1016/CK818</f>
        <v>0.53930295133971562</v>
      </c>
      <c r="CL1028" s="649">
        <f>+CL1016/CL818</f>
        <v>0.53105642848743395</v>
      </c>
      <c r="CM1028" s="103"/>
      <c r="CN1028" s="320">
        <f>+CN1016/CN818</f>
        <v>0.52886976436644373</v>
      </c>
      <c r="CO1028" s="320">
        <f>+CO1016/CO818</f>
        <v>0.50749214698441836</v>
      </c>
      <c r="CP1028" s="649">
        <f>+CP1016/CP818</f>
        <v>0.51748325901943548</v>
      </c>
      <c r="CQ1028" s="103"/>
      <c r="CR1028" s="320">
        <f>+CR1016/CR818</f>
        <v>0.49613037264080151</v>
      </c>
      <c r="CS1028" s="320">
        <f>+CS1016/CS818</f>
        <v>0.5014723765897815</v>
      </c>
      <c r="CT1028" s="649">
        <f>+CT1016/CT818</f>
        <v>0.49889158158976893</v>
      </c>
      <c r="CV1028" s="320">
        <f>+CV1016/CV818</f>
        <v>0.47292970449133021</v>
      </c>
      <c r="CW1028" s="320">
        <f>+CW1016/CW818</f>
        <v>0.51273226472754396</v>
      </c>
      <c r="CX1028" s="649">
        <f>+CX1016/CX818</f>
        <v>0.49356331935766068</v>
      </c>
      <c r="CZ1028" s="320">
        <f>+CZ1016/CZ818</f>
        <v>0.4634348138747954</v>
      </c>
      <c r="DA1028" s="1016">
        <v>0.46500000000000002</v>
      </c>
      <c r="DB1028" s="744">
        <f>+(CZ1028*CZ818+DA1028*DA818)/DB818</f>
        <v>0.46421521206748073</v>
      </c>
      <c r="DD1028" s="320">
        <f>+DD1016/DD818</f>
        <v>0.4547442696719407</v>
      </c>
      <c r="DE1028" s="1016">
        <v>0.44500000000000001</v>
      </c>
      <c r="DF1028" s="744">
        <f>+(DD1028*DD818+DE1028*DE818)/DF818</f>
        <v>0.44977430080311953</v>
      </c>
      <c r="DG1028" s="1712">
        <f>+AVERAGE(BZ1028,CD1028,CH1028,CL1028,CP1028,CT1028)</f>
        <v>0.52845002299196342</v>
      </c>
      <c r="DH1028" s="320">
        <f>+DH1016/DH818</f>
        <v>0.45537793224933276</v>
      </c>
      <c r="DI1028" s="1016">
        <v>0.44500000000000001</v>
      </c>
      <c r="DJ1028" s="744">
        <f>+(DH1028*DH818+DI1028*DI818)/DJ818</f>
        <v>0.45017371245339277</v>
      </c>
      <c r="DK1028" s="1712">
        <f>+AVERAGE(CD1028,CH1028,CL1028,CP1028,CT1028,CX1028)</f>
        <v>0.5245950877363621</v>
      </c>
      <c r="DL1028" s="1016">
        <v>0.44500000000000001</v>
      </c>
      <c r="DM1028" s="1016">
        <v>0.44500000000000001</v>
      </c>
      <c r="DN1028" s="744">
        <f>+(DL1028*DL818+DM1028*DM818)/DN818</f>
        <v>0.44500000000000001</v>
      </c>
      <c r="DP1028" s="1016">
        <v>0.44500000000000001</v>
      </c>
      <c r="DQ1028" s="1016">
        <v>0.44500000000000001</v>
      </c>
      <c r="DR1028" s="744">
        <f>+(DP1028*DP818+DQ1028*DQ818)/DR818</f>
        <v>0.44500000000000001</v>
      </c>
      <c r="DU1028" s="876"/>
      <c r="DV1028" s="876"/>
      <c r="DW1028" s="876"/>
      <c r="DZ1028" s="876"/>
      <c r="EA1028" s="876"/>
      <c r="ED1028" s="876"/>
      <c r="EE1028" s="876"/>
    </row>
    <row r="1029" spans="1:273">
      <c r="A1029" s="102" t="s">
        <v>688</v>
      </c>
      <c r="AR1029" s="685"/>
      <c r="AS1029" s="685"/>
      <c r="AT1029" s="730"/>
      <c r="AU1029" s="730"/>
      <c r="AV1029" s="685"/>
      <c r="AW1029" s="685"/>
      <c r="AX1029" s="730"/>
      <c r="AY1029" s="730"/>
      <c r="AZ1029" s="685"/>
      <c r="BA1029" s="876"/>
      <c r="BD1029" s="711"/>
      <c r="BE1029" s="885"/>
      <c r="BF1029" s="711"/>
      <c r="BH1029" s="685"/>
      <c r="BI1029" s="876"/>
      <c r="BL1029" s="876"/>
      <c r="BM1029" s="876"/>
      <c r="BP1029" s="876"/>
      <c r="BQ1029" s="876"/>
      <c r="BT1029" s="876"/>
      <c r="BU1029" s="876"/>
      <c r="BX1029" s="320"/>
      <c r="BY1029" s="320"/>
      <c r="BZ1029" s="320"/>
      <c r="CB1029" s="320"/>
      <c r="CC1029" s="320"/>
      <c r="CD1029" s="320"/>
      <c r="CE1029" s="103"/>
      <c r="CF1029" s="320"/>
      <c r="CG1029" s="320"/>
      <c r="CH1029" s="320"/>
      <c r="CI1029" s="103"/>
      <c r="CJ1029" s="320"/>
      <c r="CK1029" s="320"/>
      <c r="CL1029" s="320"/>
      <c r="CM1029" s="103"/>
      <c r="CN1029" s="320"/>
      <c r="CO1029" s="320"/>
      <c r="CP1029" s="320"/>
      <c r="CQ1029" s="103"/>
      <c r="CR1029" s="320"/>
      <c r="CS1029" s="320"/>
      <c r="CT1029" s="320"/>
      <c r="CV1029" s="320"/>
      <c r="CW1029" s="320"/>
      <c r="CX1029" s="320"/>
      <c r="CZ1029" s="320"/>
      <c r="DA1029" s="632"/>
      <c r="DB1029" s="632"/>
      <c r="DD1029" s="320"/>
      <c r="DE1029" s="632"/>
      <c r="DF1029" s="632"/>
      <c r="DH1029" s="320"/>
      <c r="DI1029" s="632"/>
      <c r="DJ1029" s="632"/>
      <c r="DL1029" s="632"/>
      <c r="DM1029" s="632"/>
      <c r="DN1029" s="632"/>
      <c r="DP1029" s="632"/>
      <c r="DQ1029" s="632"/>
      <c r="DR1029" s="632"/>
      <c r="DU1029" s="876"/>
      <c r="DV1029" s="876"/>
      <c r="DW1029" s="876"/>
      <c r="DZ1029" s="876"/>
      <c r="EA1029" s="876"/>
      <c r="ED1029" s="876"/>
      <c r="EE1029" s="876"/>
    </row>
    <row r="1030" spans="1:273" s="1682" customFormat="1" ht="24">
      <c r="A1030" s="1710" t="s">
        <v>1313</v>
      </c>
      <c r="B1030" s="1681"/>
      <c r="AN1030" s="1681"/>
      <c r="AO1030" s="1681"/>
      <c r="AP1030" s="1681"/>
      <c r="AQ1030" s="1681"/>
      <c r="AR1030" s="1683"/>
      <c r="AS1030" s="1683"/>
      <c r="AT1030" s="1681"/>
      <c r="AU1030" s="1681"/>
      <c r="AV1030" s="1683"/>
      <c r="AW1030" s="1683"/>
      <c r="AX1030" s="1681"/>
      <c r="AY1030" s="1681"/>
      <c r="AZ1030" s="1683"/>
      <c r="BA1030" s="1683"/>
      <c r="BB1030" s="1681"/>
      <c r="BC1030" s="1681"/>
      <c r="BD1030" s="1684"/>
      <c r="BE1030" s="1684"/>
      <c r="BF1030" s="1684"/>
      <c r="BG1030" s="1681"/>
      <c r="BH1030" s="1683"/>
      <c r="BI1030" s="1683"/>
      <c r="BJ1030" s="1681"/>
      <c r="BK1030" s="1681"/>
      <c r="BL1030" s="1683"/>
      <c r="BM1030" s="1683"/>
      <c r="BN1030" s="1681"/>
      <c r="BO1030" s="1681"/>
      <c r="BP1030" s="1683"/>
      <c r="BQ1030" s="1683"/>
      <c r="BR1030" s="1681"/>
      <c r="BS1030" s="1681"/>
      <c r="BT1030" s="1683"/>
      <c r="BU1030" s="1683"/>
      <c r="BV1030" s="1681"/>
      <c r="BW1030" s="1681"/>
      <c r="BX1030" s="1685">
        <f t="shared" ref="BX1030:BZ1031" si="2197">+BX1018/BX820</f>
        <v>14.020711086416069</v>
      </c>
      <c r="BY1030" s="1685">
        <f t="shared" si="2197"/>
        <v>14.731269817239994</v>
      </c>
      <c r="BZ1030" s="1685">
        <f t="shared" si="2197"/>
        <v>14.326009567373887</v>
      </c>
      <c r="CA1030" s="1681"/>
      <c r="CB1030" s="1685">
        <f t="shared" ref="CB1030:CD1031" si="2198">+CB1018/CB820</f>
        <v>91.615561536710928</v>
      </c>
      <c r="CC1030" s="1685">
        <f t="shared" si="2198"/>
        <v>5.2560400082950443</v>
      </c>
      <c r="CD1030" s="1685">
        <f t="shared" si="2198"/>
        <v>10.128692302747076</v>
      </c>
      <c r="CE1030" s="1681"/>
      <c r="CF1030" s="1685">
        <f t="shared" ref="CF1030:CH1031" si="2199">+CF1018/CF820</f>
        <v>14.950298388512277</v>
      </c>
      <c r="CG1030" s="1685">
        <f t="shared" si="2199"/>
        <v>-74.929666093501595</v>
      </c>
      <c r="CH1030" s="1685">
        <f t="shared" si="2199"/>
        <v>39.004121463864905</v>
      </c>
      <c r="CI1030" s="1681"/>
      <c r="CJ1030" s="1685">
        <f t="shared" ref="CJ1030:CL1031" si="2200">+CJ1018/CJ820</f>
        <v>9.5146663071249176</v>
      </c>
      <c r="CK1030" s="1685">
        <f t="shared" si="2200"/>
        <v>14.805795153351005</v>
      </c>
      <c r="CL1030" s="1685">
        <f t="shared" si="2200"/>
        <v>11.473203927954899</v>
      </c>
      <c r="CM1030" s="1681"/>
      <c r="CN1030" s="1685">
        <f t="shared" ref="CN1030:CP1031" si="2201">+CN1018/CN820</f>
        <v>1348.0771634839311</v>
      </c>
      <c r="CO1030" s="1685">
        <f t="shared" si="2201"/>
        <v>4.9693911604520045</v>
      </c>
      <c r="CP1030" s="1685">
        <f t="shared" si="2201"/>
        <v>11.186143024368571</v>
      </c>
      <c r="CQ1030" s="1681"/>
      <c r="CR1030" s="1685">
        <f t="shared" ref="CR1030:CT1031" si="2202">+CR1018/CR820</f>
        <v>11.447836020108117</v>
      </c>
      <c r="CS1030" s="1685">
        <f t="shared" si="2202"/>
        <v>-9.5491236513243845</v>
      </c>
      <c r="CT1030" s="1685">
        <f t="shared" si="2202"/>
        <v>-216.28971018692943</v>
      </c>
      <c r="CU1030" s="1681"/>
      <c r="CV1030" s="1685">
        <f t="shared" ref="CV1030:CX1030" si="2203">+CV1018/CV820</f>
        <v>21.177142482801298</v>
      </c>
      <c r="CW1030" s="1685">
        <f t="shared" si="2203"/>
        <v>8.9798802911044699</v>
      </c>
      <c r="CX1030" s="1685">
        <f t="shared" si="2203"/>
        <v>12.166832649873642</v>
      </c>
      <c r="CY1030" s="1681"/>
      <c r="CZ1030" s="1685">
        <f t="shared" ref="CZ1030" si="2204">+CZ1018/CZ820</f>
        <v>4.0641023945847232</v>
      </c>
      <c r="DA1030" s="1713">
        <f t="shared" ref="DA1030:DB1030" si="2205">+DA1018/DA820</f>
        <v>3.4314642370395632</v>
      </c>
      <c r="DB1030" s="1713">
        <f t="shared" si="2205"/>
        <v>3.7247782919014103</v>
      </c>
      <c r="DC1030" s="1681"/>
      <c r="DD1030" s="1685">
        <f t="shared" ref="DD1030:DF1031" si="2206">+DD1018/DD820</f>
        <v>3.3298001769737233</v>
      </c>
      <c r="DE1030" s="1713">
        <f t="shared" si="2206"/>
        <v>10.663470086159366</v>
      </c>
      <c r="DF1030" s="1713">
        <f t="shared" si="2206"/>
        <v>5.1101117687208584</v>
      </c>
      <c r="DG1030" s="1681"/>
      <c r="DH1030" s="1685">
        <f t="shared" ref="DH1030" si="2207">+DH1018/DH820</f>
        <v>10.194896192043053</v>
      </c>
      <c r="DI1030" s="1713">
        <f t="shared" ref="DI1030:DJ1030" si="2208">+DI1018/DI820</f>
        <v>6.392812072458482</v>
      </c>
      <c r="DJ1030" s="1713">
        <f t="shared" si="2208"/>
        <v>7.7455429118990393</v>
      </c>
      <c r="DK1030" s="1681"/>
      <c r="DL1030" s="1713">
        <f t="shared" ref="DL1030:DN1030" si="2209">+DL1018/DL820</f>
        <v>6.4378692986333155</v>
      </c>
      <c r="DM1030" s="1713">
        <f t="shared" si="2209"/>
        <v>7.1181833516526831</v>
      </c>
      <c r="DN1030" s="1713">
        <f t="shared" si="2209"/>
        <v>6.7825383690307275</v>
      </c>
      <c r="DO1030" s="1681"/>
      <c r="DP1030" s="1713">
        <f t="shared" ref="DP1030:DR1030" si="2210">+DP1018/DP820</f>
        <v>5.2787169261241056</v>
      </c>
      <c r="DQ1030" s="1713">
        <f t="shared" si="2210"/>
        <v>6.0359140156289026</v>
      </c>
      <c r="DR1030" s="1713">
        <f t="shared" si="2210"/>
        <v>5.6559792922055063</v>
      </c>
      <c r="DS1030" s="1681"/>
      <c r="DT1030" s="1681"/>
      <c r="DU1030" s="1683"/>
      <c r="DV1030" s="1683"/>
      <c r="DW1030" s="1683"/>
      <c r="DX1030" s="1681"/>
      <c r="DY1030" s="1681"/>
      <c r="DZ1030" s="1683"/>
      <c r="EA1030" s="1683"/>
      <c r="EB1030" s="1681"/>
      <c r="EC1030" s="1681"/>
      <c r="ED1030" s="1683"/>
      <c r="EE1030" s="1683"/>
      <c r="EF1030" s="1681"/>
      <c r="EG1030" s="1681"/>
      <c r="EH1030" s="1681"/>
      <c r="EI1030" s="1681"/>
      <c r="EJ1030" s="1681"/>
      <c r="EK1030" s="1681"/>
      <c r="EL1030" s="1681"/>
      <c r="EM1030" s="1681"/>
      <c r="EN1030" s="1681"/>
      <c r="EO1030" s="1681"/>
      <c r="EP1030" s="1681"/>
      <c r="JM1030"/>
    </row>
    <row r="1031" spans="1:273">
      <c r="A1031" s="289" t="s">
        <v>1355</v>
      </c>
      <c r="AR1031" s="685"/>
      <c r="AS1031" s="685"/>
      <c r="AT1031" s="730"/>
      <c r="AU1031" s="730"/>
      <c r="AV1031" s="685"/>
      <c r="AW1031" s="685"/>
      <c r="AX1031" s="730"/>
      <c r="AY1031" s="730"/>
      <c r="AZ1031" s="685"/>
      <c r="BA1031" s="876"/>
      <c r="BD1031" s="711"/>
      <c r="BE1031" s="885"/>
      <c r="BF1031" s="711"/>
      <c r="BH1031" s="685"/>
      <c r="BI1031" s="876"/>
      <c r="BL1031" s="876"/>
      <c r="BM1031" s="876"/>
      <c r="BP1031" s="876"/>
      <c r="BQ1031" s="876"/>
      <c r="BT1031" s="876"/>
      <c r="BU1031" s="876"/>
      <c r="BX1031" s="649">
        <f t="shared" si="2197"/>
        <v>0.71540820237638947</v>
      </c>
      <c r="BY1031" s="649">
        <f t="shared" si="2197"/>
        <v>0.68538670812281388</v>
      </c>
      <c r="BZ1031" s="649">
        <f t="shared" si="2197"/>
        <v>0.70050173678116556</v>
      </c>
      <c r="CB1031" s="649">
        <f t="shared" si="2198"/>
        <v>0.68426903835464148</v>
      </c>
      <c r="CC1031" s="649">
        <f t="shared" si="2198"/>
        <v>0.68133260908926307</v>
      </c>
      <c r="CD1031" s="649">
        <f t="shared" si="2198"/>
        <v>0.6827838827838828</v>
      </c>
      <c r="CE1031" s="103"/>
      <c r="CF1031" s="649">
        <f t="shared" si="2199"/>
        <v>0.70754716981132071</v>
      </c>
      <c r="CG1031" s="649">
        <f t="shared" si="2199"/>
        <v>0.68775274407856735</v>
      </c>
      <c r="CH1031" s="649">
        <f t="shared" si="2199"/>
        <v>0.6968010036067116</v>
      </c>
      <c r="CI1031" s="103"/>
      <c r="CJ1031" s="649">
        <f t="shared" si="2200"/>
        <v>0.70886075949367089</v>
      </c>
      <c r="CK1031" s="649">
        <f t="shared" si="2200"/>
        <v>0.73122398001665279</v>
      </c>
      <c r="CL1031" s="649">
        <f t="shared" si="2200"/>
        <v>0.71975659229208921</v>
      </c>
      <c r="CM1031" s="103"/>
      <c r="CN1031" s="649">
        <f t="shared" si="2201"/>
        <v>0.77296611705019025</v>
      </c>
      <c r="CO1031" s="649">
        <f t="shared" si="2201"/>
        <v>0.6341833218470021</v>
      </c>
      <c r="CP1031" s="649">
        <f t="shared" si="2201"/>
        <v>0.6941443557225615</v>
      </c>
      <c r="CQ1031" s="1712">
        <f t="shared" ref="CQ1031" si="2211">+CP1031-CL1031</f>
        <v>-2.5612236569527713E-2</v>
      </c>
      <c r="CR1031" s="649">
        <f t="shared" si="2202"/>
        <v>0.64953869810353659</v>
      </c>
      <c r="CS1031" s="649">
        <f t="shared" si="2202"/>
        <v>0.60042016806722687</v>
      </c>
      <c r="CT1031" s="649">
        <f t="shared" si="2202"/>
        <v>0.62254675594550912</v>
      </c>
      <c r="CU1031" s="1712">
        <f t="shared" ref="CU1031" si="2212">+CT1031-CP1031</f>
        <v>-7.1597599777052379E-2</v>
      </c>
      <c r="CV1031" s="649">
        <f t="shared" ref="CV1031:CX1031" si="2213">+CV1019/CV821</f>
        <v>0.64888682745825599</v>
      </c>
      <c r="CW1031" s="649">
        <f t="shared" si="2213"/>
        <v>0.62240426747951993</v>
      </c>
      <c r="CX1031" s="649">
        <f t="shared" si="2213"/>
        <v>0.63434787156155215</v>
      </c>
      <c r="CY1031" s="1712">
        <f t="shared" ref="CY1031" si="2214">+CX1031-CT1031</f>
        <v>1.1801115616043023E-2</v>
      </c>
      <c r="CZ1031" s="649">
        <f t="shared" ref="CZ1031" si="2215">+CZ1019/CZ821</f>
        <v>0.74829329962073321</v>
      </c>
      <c r="DA1031" s="649">
        <f t="shared" ref="DA1031:DB1031" si="2216">+DA1019/DA821</f>
        <v>0.63034393559853052</v>
      </c>
      <c r="DB1031" s="649">
        <f t="shared" si="2216"/>
        <v>0.68559232012009286</v>
      </c>
      <c r="DC1031" s="1712">
        <f t="shared" ref="DC1031" si="2217">+DB1031-CX1031</f>
        <v>5.1244448558540712E-2</v>
      </c>
      <c r="DD1031" s="649">
        <f t="shared" si="2206"/>
        <v>0.7204235637779941</v>
      </c>
      <c r="DE1031" s="649">
        <f t="shared" si="2206"/>
        <v>0.64647083353692714</v>
      </c>
      <c r="DF1031" s="649">
        <f t="shared" si="2206"/>
        <v>0.68177973821269455</v>
      </c>
      <c r="DG1031" s="1712">
        <f t="shared" ref="DG1031" si="2218">+DF1031-DB1031</f>
        <v>-3.8125819073983047E-3</v>
      </c>
      <c r="DH1031" s="649">
        <f t="shared" ref="DH1031" si="2219">+DH1019/DH821</f>
        <v>0.71786905994707173</v>
      </c>
      <c r="DI1031" s="649">
        <f t="shared" ref="DI1031:DJ1031" si="2220">+DI1019/DI821</f>
        <v>0.62788893721695682</v>
      </c>
      <c r="DJ1031" s="649">
        <f t="shared" si="2220"/>
        <v>0.66980392195570893</v>
      </c>
      <c r="DK1031" s="1712">
        <f t="shared" ref="DK1031" si="2221">+DJ1031-DF1031</f>
        <v>-1.1975816256985627E-2</v>
      </c>
      <c r="DL1031" s="649">
        <f t="shared" ref="DL1031:DN1031" si="2222">+DL1019/DL821</f>
        <v>0.63663579208023913</v>
      </c>
      <c r="DM1031" s="649">
        <f t="shared" si="2222"/>
        <v>0.64129637591137534</v>
      </c>
      <c r="DN1031" s="649">
        <f t="shared" si="2222"/>
        <v>0.63910197881987696</v>
      </c>
      <c r="DP1031" s="649">
        <f t="shared" ref="DP1031:DR1031" si="2223">+DP1019/DP821</f>
        <v>0.63028775207845833</v>
      </c>
      <c r="DQ1031" s="649">
        <f t="shared" si="2223"/>
        <v>0.6357906402705511</v>
      </c>
      <c r="DR1031" s="649">
        <f t="shared" si="2223"/>
        <v>0.63319616566492898</v>
      </c>
      <c r="DU1031" s="876"/>
      <c r="DV1031" s="876"/>
      <c r="DW1031" s="876"/>
      <c r="DZ1031" s="876"/>
      <c r="EA1031" s="876"/>
      <c r="ED1031" s="876"/>
      <c r="EE1031" s="876"/>
    </row>
    <row r="1032" spans="1:273" s="1589" customFormat="1">
      <c r="A1032" s="1589" t="s">
        <v>1353</v>
      </c>
      <c r="B1032" s="1590"/>
      <c r="AN1032" s="1590"/>
      <c r="AO1032" s="1590"/>
      <c r="AP1032" s="1590"/>
      <c r="AQ1032" s="1590"/>
      <c r="AR1032" s="1591"/>
      <c r="AS1032" s="1591"/>
      <c r="AT1032" s="1592"/>
      <c r="AU1032" s="1592"/>
      <c r="AV1032" s="1591"/>
      <c r="AW1032" s="1591"/>
      <c r="AX1032" s="1592"/>
      <c r="AY1032" s="1592"/>
      <c r="AZ1032" s="1591"/>
      <c r="BA1032" s="1593"/>
      <c r="BB1032" s="1590"/>
      <c r="BC1032" s="1590"/>
      <c r="BD1032" s="1594"/>
      <c r="BE1032" s="1595"/>
      <c r="BF1032" s="1594"/>
      <c r="BG1032" s="1590"/>
      <c r="BH1032" s="1591"/>
      <c r="BI1032" s="1593"/>
      <c r="BJ1032" s="1590"/>
      <c r="BK1032" s="1590"/>
      <c r="BL1032" s="1593"/>
      <c r="BM1032" s="1593"/>
      <c r="BN1032" s="1590"/>
      <c r="BO1032" s="1590"/>
      <c r="BP1032" s="1593"/>
      <c r="BQ1032" s="1593"/>
      <c r="BR1032" s="1590"/>
      <c r="BS1032" s="1590"/>
      <c r="BT1032" s="1593"/>
      <c r="BU1032" s="1593"/>
      <c r="BV1032" s="1590"/>
      <c r="BW1032" s="1590"/>
      <c r="BX1032" s="1596">
        <f>-BX24/BX20-BX1031</f>
        <v>0</v>
      </c>
      <c r="BY1032" s="1596">
        <f>-BY24/BY20-BY1031</f>
        <v>0</v>
      </c>
      <c r="BZ1032" s="1692">
        <f>-BZ24/BZ20-BZ1031</f>
        <v>0</v>
      </c>
      <c r="CA1032" s="1657"/>
      <c r="CB1032" s="1692">
        <f>-CB24/CB20-CB1031</f>
        <v>0</v>
      </c>
      <c r="CC1032" s="1692">
        <f>-CC24/CC20-CC1031</f>
        <v>0</v>
      </c>
      <c r="CD1032" s="1692">
        <f>-CD24/CD20-CD1031</f>
        <v>0</v>
      </c>
      <c r="CE1032" s="1657"/>
      <c r="CF1032" s="1692">
        <f>-CF24/CF20-CF1031</f>
        <v>0</v>
      </c>
      <c r="CG1032" s="1692">
        <f>-CG24/CG20-CG1031</f>
        <v>0</v>
      </c>
      <c r="CH1032" s="1692">
        <f>-CH24/CH20-CH1031</f>
        <v>0</v>
      </c>
      <c r="CI1032" s="1657"/>
      <c r="CJ1032" s="1692">
        <f>-CJ24/CJ20-CJ1031</f>
        <v>0</v>
      </c>
      <c r="CK1032" s="1692">
        <f>-CK24/CK20-CK1031</f>
        <v>0</v>
      </c>
      <c r="CL1032" s="1692">
        <f>-CL24/CL20-CL1031</f>
        <v>0</v>
      </c>
      <c r="CM1032" s="1657"/>
      <c r="CN1032" s="1692">
        <f>-CN24/CN20-CN1031</f>
        <v>0</v>
      </c>
      <c r="CO1032" s="1692">
        <f>-CO24/CO20-CO1031</f>
        <v>0</v>
      </c>
      <c r="CP1032" s="1692">
        <f>-CP24/CP20-CP1031</f>
        <v>0</v>
      </c>
      <c r="CQ1032" s="1657"/>
      <c r="CR1032" s="1692">
        <f>-CR24/CR20-CR1031</f>
        <v>0</v>
      </c>
      <c r="CS1032" s="1692">
        <f>-CS24/CS20-CS1031</f>
        <v>0</v>
      </c>
      <c r="CT1032" s="1692">
        <f>-CT24/CT20-CT1031</f>
        <v>0</v>
      </c>
      <c r="CU1032" s="1590"/>
      <c r="CV1032" s="1692">
        <f>-CV24/CV20-CV1031</f>
        <v>-5.8162689659553291E-3</v>
      </c>
      <c r="CW1032" s="1692">
        <f>-CW24/CW20-CW1031</f>
        <v>4.6590722517660943E-3</v>
      </c>
      <c r="CX1032" s="1692">
        <f>-CX24/CX20-CX1031</f>
        <v>0</v>
      </c>
      <c r="CY1032" s="1590"/>
      <c r="CZ1032" s="1692">
        <f>-CZ24/CZ20-CZ1031</f>
        <v>0</v>
      </c>
      <c r="DA1032" s="1692">
        <f t="shared" ref="DA1032" si="2224">-DA24/DA20-DA1031</f>
        <v>5.3849001908431671E-2</v>
      </c>
      <c r="DB1032" s="1692">
        <f>-DB24/DB20-DB1031</f>
        <v>2.8625717423579777E-2</v>
      </c>
      <c r="DC1032" s="103"/>
      <c r="DD1032" s="1692">
        <f>-DD24/DD20-DD1031</f>
        <v>0</v>
      </c>
      <c r="DE1032" s="1692">
        <f t="shared" ref="DE1032" ca="1" si="2225">-DE24/DE20-DE1031</f>
        <v>4.5366355075172504E-2</v>
      </c>
      <c r="DF1032" s="1692">
        <f ca="1">-DF24/DF20-DF1031</f>
        <v>2.3706082335887557E-2</v>
      </c>
      <c r="DG1032" s="103"/>
      <c r="DH1032" s="1692">
        <f>-DH24/DH20-DH1031</f>
        <v>0</v>
      </c>
      <c r="DI1032" s="1692">
        <f t="shared" ref="DI1032" si="2226">-DI24/DI20-DI1031</f>
        <v>1.3597710378595029E-2</v>
      </c>
      <c r="DJ1032" s="1692">
        <f>-DJ24/DJ20-DJ1031</f>
        <v>7.2635578379247612E-3</v>
      </c>
      <c r="DK1032" s="103"/>
      <c r="DL1032" s="1692">
        <f t="shared" ref="DL1032:DM1032" si="2227">-DL24/DL20-DL1031</f>
        <v>6.2807899872743489E-2</v>
      </c>
      <c r="DM1032" s="1692">
        <f t="shared" si="2227"/>
        <v>1.0748317199030799E-3</v>
      </c>
      <c r="DN1032" s="1692">
        <f>-DN24/DN20-DN1031</f>
        <v>3.014133285198195E-2</v>
      </c>
      <c r="DO1032" s="1590"/>
      <c r="DP1032" s="1692">
        <f t="shared" ref="DP1032:DQ1032" si="2228">-DP24/DP20-DP1031</f>
        <v>6.0034590647099373E-2</v>
      </c>
      <c r="DQ1032" s="1692">
        <f t="shared" si="2228"/>
        <v>1.6885433785234216E-3</v>
      </c>
      <c r="DR1032" s="1692">
        <f>-DR24/DR20-DR1031</f>
        <v>2.9197250205288072E-2</v>
      </c>
      <c r="DS1032" s="1590"/>
      <c r="DT1032" s="1590"/>
      <c r="DU1032" s="1593"/>
      <c r="DV1032" s="1593"/>
      <c r="DW1032" s="1593"/>
      <c r="DX1032" s="1590"/>
      <c r="DY1032" s="1590"/>
      <c r="DZ1032" s="1593"/>
      <c r="EA1032" s="1593"/>
      <c r="EB1032" s="1590"/>
      <c r="EC1032" s="1590"/>
      <c r="ED1032" s="1593"/>
      <c r="EE1032" s="1593"/>
      <c r="EF1032" s="1590"/>
      <c r="EG1032" s="1590"/>
      <c r="EH1032" s="1590"/>
      <c r="EI1032" s="1590"/>
      <c r="EJ1032" s="1590"/>
      <c r="EK1032" s="1590"/>
      <c r="EL1032" s="1590"/>
      <c r="EM1032" s="1590"/>
      <c r="EN1032" s="1590"/>
      <c r="EO1032" s="1590"/>
      <c r="EP1032" s="1590"/>
      <c r="JM1032"/>
    </row>
    <row r="1033" spans="1:273">
      <c r="A1033" s="289" t="s">
        <v>19</v>
      </c>
      <c r="AR1033" s="685"/>
      <c r="AS1033" s="685"/>
      <c r="AT1033" s="730"/>
      <c r="AU1033" s="730"/>
      <c r="AV1033" s="685"/>
      <c r="AW1033" s="685"/>
      <c r="AX1033" s="730"/>
      <c r="AY1033" s="730"/>
      <c r="AZ1033" s="685"/>
      <c r="BA1033" s="876"/>
      <c r="BD1033" s="711"/>
      <c r="BE1033" s="885"/>
      <c r="BF1033" s="711"/>
      <c r="BH1033" s="685"/>
      <c r="BI1033" s="876"/>
      <c r="BL1033" s="876"/>
      <c r="BM1033" s="876"/>
      <c r="BP1033" s="876"/>
      <c r="BQ1033" s="876"/>
      <c r="BT1033" s="876"/>
      <c r="BU1033" s="876"/>
      <c r="BX1033" s="1111">
        <f>-BX24/BX20</f>
        <v>0.71540820237638947</v>
      </c>
      <c r="BY1033" s="1111">
        <f>-BY24/BY20</f>
        <v>0.68538670812281388</v>
      </c>
      <c r="BZ1033" s="1111">
        <f>-BZ24/BZ20</f>
        <v>0.70050173678116556</v>
      </c>
      <c r="CA1033" s="115"/>
      <c r="CB1033" s="1111">
        <f>-CB24/CB20</f>
        <v>0.68426903835464148</v>
      </c>
      <c r="CC1033" s="1111">
        <f>-CC24/CC20</f>
        <v>0.68133260908926307</v>
      </c>
      <c r="CD1033" s="1111">
        <f>-CD24/CD20</f>
        <v>0.6827838827838828</v>
      </c>
      <c r="CF1033" s="1111">
        <f>-CF24/CF20</f>
        <v>0.70754716981132071</v>
      </c>
      <c r="CG1033" s="1111">
        <f>-CG24/CG20</f>
        <v>0.68775274407856735</v>
      </c>
      <c r="CH1033" s="1111">
        <f>-CH24/CH20</f>
        <v>0.6968010036067116</v>
      </c>
      <c r="CJ1033" s="1111">
        <f>-CJ24/CJ20</f>
        <v>0.70886075949367089</v>
      </c>
      <c r="CK1033" s="1111">
        <f>-CK24/CK20</f>
        <v>0.73122398001665279</v>
      </c>
      <c r="CL1033" s="1111">
        <f>-CL24/CL20</f>
        <v>0.71975659229208921</v>
      </c>
      <c r="CN1033" s="1111">
        <f>-CN24/CN20</f>
        <v>0.77296611705019025</v>
      </c>
      <c r="CO1033" s="1111">
        <f>-CO24/CO20</f>
        <v>0.6341833218470021</v>
      </c>
      <c r="CP1033" s="1111">
        <f>-CP24/CP20</f>
        <v>0.6941443557225615</v>
      </c>
      <c r="CQ1033" s="1712">
        <f t="shared" ref="CQ1033" si="2229">+CP1033-CL1033</f>
        <v>-2.5612236569527713E-2</v>
      </c>
      <c r="CR1033" s="1111">
        <f>-CR24/CR20</f>
        <v>0.64953869810353659</v>
      </c>
      <c r="CS1033" s="1111">
        <f>-CS24/CS20</f>
        <v>0.60042016806722687</v>
      </c>
      <c r="CT1033" s="1111">
        <f>-CT24/CT20</f>
        <v>0.62254675594550912</v>
      </c>
      <c r="CU1033" s="1712">
        <f t="shared" ref="CU1033" si="2230">+CT1033-CP1033</f>
        <v>-7.1597599777052379E-2</v>
      </c>
      <c r="CV1033" s="1111">
        <f>-CV24/CV20</f>
        <v>0.64307055849230066</v>
      </c>
      <c r="CW1033" s="1111">
        <f>-CW24/CW20</f>
        <v>0.62706333973128603</v>
      </c>
      <c r="CX1033" s="1111">
        <f>-CX24/CX20</f>
        <v>0.63434787156155215</v>
      </c>
      <c r="CY1033" s="1712">
        <f t="shared" ref="CY1033" si="2231">+CX1033-CT1033</f>
        <v>1.1801115616043023E-2</v>
      </c>
      <c r="CZ1033" s="1111">
        <f>-CZ24/CZ20</f>
        <v>0.74829329962073321</v>
      </c>
      <c r="DA1033" s="1111">
        <f>-DA24/DA20</f>
        <v>0.6841929375069622</v>
      </c>
      <c r="DB1033" s="1111">
        <f>-DB24/DB20</f>
        <v>0.71421803754367263</v>
      </c>
      <c r="DC1033" s="1712">
        <f t="shared" ref="DC1033" si="2232">+DB1033-CX1033</f>
        <v>7.9870165982120489E-2</v>
      </c>
      <c r="DD1033" s="1111">
        <f>-DD24/DD20</f>
        <v>0.7204235637779941</v>
      </c>
      <c r="DE1033" s="1111">
        <f ca="1">-DE24/DE20</f>
        <v>0.69183718861209964</v>
      </c>
      <c r="DF1033" s="1111">
        <f ca="1">-DF24/DF20</f>
        <v>0.70548582054858211</v>
      </c>
      <c r="DG1033" s="1712">
        <f t="shared" ref="DG1033" ca="1" si="2233">+DF1033-DB1033</f>
        <v>-8.7322169950905248E-3</v>
      </c>
      <c r="DH1033" s="1111">
        <f>-DH24/DH20</f>
        <v>0.71786905994707173</v>
      </c>
      <c r="DI1033" s="1111">
        <f>-DI24/DI20</f>
        <v>0.64148664759555185</v>
      </c>
      <c r="DJ1033" s="1111">
        <f>-DJ24/DJ20</f>
        <v>0.67706747979363369</v>
      </c>
      <c r="DK1033" s="1712">
        <f t="shared" ref="DK1033" ca="1" si="2234">+DJ1033-DF1033</f>
        <v>-2.8418340754948423E-2</v>
      </c>
      <c r="DL1033" s="1111">
        <f>-DL24/DL20</f>
        <v>0.69944369195298262</v>
      </c>
      <c r="DM1033" s="1111">
        <f>-DM24/DM20</f>
        <v>0.64237120763127842</v>
      </c>
      <c r="DN1033" s="1111">
        <f>-DN24/DN20</f>
        <v>0.66924331167185891</v>
      </c>
      <c r="DP1033" s="1111">
        <f>-DP24/DP20</f>
        <v>0.6903223427255577</v>
      </c>
      <c r="DQ1033" s="1111">
        <f>-DQ24/DQ20</f>
        <v>0.63747918364907452</v>
      </c>
      <c r="DR1033" s="1111">
        <f>-DR24/DR20</f>
        <v>0.66239341587021705</v>
      </c>
      <c r="DU1033" s="876"/>
      <c r="DV1033" s="876"/>
      <c r="DW1033" s="876"/>
      <c r="DZ1033" s="876"/>
      <c r="EA1033" s="876"/>
      <c r="ED1033" s="876"/>
      <c r="EE1033" s="876"/>
    </row>
    <row r="1034" spans="1:273">
      <c r="AR1034" s="685"/>
      <c r="AS1034" s="685"/>
      <c r="AT1034" s="730"/>
      <c r="AU1034" s="730"/>
      <c r="AV1034" s="685"/>
      <c r="AW1034" s="685"/>
      <c r="AX1034" s="730"/>
      <c r="AY1034" s="730"/>
      <c r="AZ1034" s="685"/>
      <c r="BA1034" s="876"/>
      <c r="BD1034" s="711"/>
      <c r="BE1034" s="885"/>
      <c r="BF1034" s="711"/>
      <c r="BH1034" s="685"/>
      <c r="BI1034" s="876"/>
      <c r="BL1034" s="876"/>
      <c r="BM1034" s="876"/>
      <c r="BP1034" s="876"/>
      <c r="BQ1034" s="876"/>
      <c r="BT1034" s="876"/>
      <c r="BU1034" s="876"/>
      <c r="BX1034" s="320"/>
      <c r="BY1034" s="320"/>
      <c r="BZ1034" s="320"/>
      <c r="CB1034" s="320"/>
      <c r="CC1034" s="320"/>
      <c r="CD1034" s="320"/>
      <c r="CE1034" s="103"/>
      <c r="CF1034" s="320"/>
      <c r="CG1034" s="320"/>
      <c r="CH1034" s="320"/>
      <c r="CI1034" s="103"/>
      <c r="CJ1034" s="320"/>
      <c r="CK1034" s="320"/>
      <c r="CL1034" s="320"/>
      <c r="CM1034" s="103"/>
      <c r="CN1034" s="320"/>
      <c r="CO1034" s="320"/>
      <c r="CP1034" s="320"/>
      <c r="CQ1034" s="103"/>
      <c r="CR1034" s="320"/>
      <c r="CS1034" s="320"/>
      <c r="CT1034" s="320"/>
      <c r="CV1034" s="876"/>
      <c r="CW1034" s="876"/>
      <c r="CX1034" s="588"/>
      <c r="CZ1034" s="876"/>
      <c r="DA1034" s="876"/>
      <c r="DD1034" s="876"/>
      <c r="DE1034" s="876"/>
      <c r="DH1034" s="876"/>
      <c r="DI1034" s="876"/>
      <c r="DL1034" s="876"/>
      <c r="DM1034" s="876"/>
      <c r="DP1034" s="876"/>
      <c r="DQ1034" s="876"/>
      <c r="DU1034" s="876"/>
      <c r="DV1034" s="876"/>
      <c r="DW1034" s="876"/>
      <c r="DZ1034" s="876"/>
      <c r="EA1034" s="876"/>
      <c r="ED1034" s="876"/>
      <c r="EE1034" s="876"/>
    </row>
    <row r="1035" spans="1:273">
      <c r="AR1035" s="685"/>
      <c r="AS1035" s="685"/>
      <c r="AT1035" s="730"/>
      <c r="AU1035" s="730"/>
      <c r="AV1035" s="685"/>
      <c r="AW1035" s="685"/>
      <c r="AX1035" s="730"/>
      <c r="AY1035" s="730"/>
      <c r="AZ1035" s="685"/>
      <c r="BA1035" s="876"/>
      <c r="BD1035" s="711"/>
      <c r="BE1035" s="885"/>
      <c r="BF1035" s="711"/>
      <c r="BH1035" s="685"/>
      <c r="BI1035" s="876"/>
      <c r="BL1035" s="876"/>
      <c r="BM1035" s="876"/>
      <c r="BP1035" s="876"/>
      <c r="BQ1035" s="876"/>
      <c r="BT1035" s="876"/>
      <c r="BU1035" s="876"/>
      <c r="BX1035" s="320"/>
      <c r="BY1035" s="320"/>
      <c r="BZ1035" s="320"/>
      <c r="CB1035" s="320"/>
      <c r="CC1035" s="320"/>
      <c r="CD1035" s="320"/>
      <c r="CE1035" s="103"/>
      <c r="CF1035" s="320"/>
      <c r="CG1035" s="320"/>
      <c r="CH1035" s="320"/>
      <c r="CI1035" s="103"/>
      <c r="CJ1035" s="320"/>
      <c r="CK1035" s="320"/>
      <c r="CL1035" s="320"/>
      <c r="CM1035" s="103"/>
      <c r="CN1035" s="320"/>
      <c r="CO1035" s="320"/>
      <c r="CP1035" s="320"/>
      <c r="CQ1035" s="103"/>
      <c r="CR1035" s="320"/>
      <c r="CS1035" s="320"/>
      <c r="CT1035" s="320"/>
      <c r="CV1035" s="876"/>
      <c r="CW1035" s="876"/>
      <c r="CZ1035" s="876"/>
      <c r="DA1035" s="876"/>
      <c r="DD1035" s="876"/>
      <c r="DE1035" s="876"/>
      <c r="DH1035" s="876"/>
      <c r="DI1035" s="876"/>
      <c r="DL1035" s="876"/>
      <c r="DM1035" s="876"/>
      <c r="DP1035" s="876"/>
      <c r="DQ1035" s="876"/>
      <c r="DU1035" s="876"/>
      <c r="DV1035" s="876"/>
      <c r="DW1035" s="876"/>
      <c r="DZ1035" s="876"/>
      <c r="EA1035" s="876"/>
      <c r="ED1035" s="876"/>
      <c r="EE1035" s="876"/>
    </row>
    <row r="1036" spans="1:273">
      <c r="AR1036" s="685"/>
      <c r="AS1036" s="685"/>
      <c r="AT1036" s="730"/>
      <c r="AU1036" s="730"/>
      <c r="AV1036" s="685"/>
      <c r="AW1036" s="685"/>
      <c r="AX1036" s="730"/>
      <c r="AY1036" s="730"/>
      <c r="AZ1036" s="685"/>
      <c r="BA1036" s="876"/>
      <c r="BD1036" s="711"/>
      <c r="BE1036" s="885"/>
      <c r="BF1036" s="711"/>
      <c r="BH1036" s="685"/>
      <c r="BI1036" s="876"/>
      <c r="BL1036" s="876"/>
      <c r="BM1036" s="876"/>
      <c r="BP1036" s="876"/>
      <c r="BQ1036" s="876"/>
      <c r="BT1036" s="876"/>
      <c r="BU1036" s="876"/>
      <c r="BX1036" s="876"/>
      <c r="BY1036" s="876"/>
      <c r="CB1036" s="876"/>
      <c r="CC1036" s="876"/>
      <c r="CF1036" s="876"/>
      <c r="CG1036" s="876"/>
      <c r="CJ1036" s="876"/>
      <c r="CK1036" s="876"/>
      <c r="CN1036" s="876"/>
      <c r="CO1036" s="876"/>
      <c r="CR1036" s="876"/>
      <c r="CS1036" s="876"/>
      <c r="CU1036" s="115"/>
      <c r="CV1036" s="876"/>
      <c r="CW1036" s="876"/>
      <c r="CY1036" s="115"/>
      <c r="CZ1036" s="876"/>
      <c r="DA1036" s="876"/>
      <c r="DC1036" s="115"/>
      <c r="DD1036" s="876"/>
      <c r="DE1036" s="876"/>
      <c r="DH1036" s="876"/>
      <c r="DI1036" s="876"/>
      <c r="DL1036" s="876"/>
      <c r="DM1036" s="876"/>
      <c r="DP1036" s="876"/>
      <c r="DQ1036" s="876"/>
      <c r="DU1036" s="876"/>
      <c r="DV1036" s="876"/>
      <c r="DW1036" s="876"/>
      <c r="DZ1036" s="876"/>
      <c r="EA1036" s="876"/>
      <c r="ED1036" s="876"/>
      <c r="EE1036" s="876"/>
    </row>
    <row r="1037" spans="1:273" s="289" customFormat="1">
      <c r="A1037" s="815" t="s">
        <v>1252</v>
      </c>
      <c r="B1037" s="290"/>
      <c r="AN1037" s="290"/>
      <c r="AO1037" s="290"/>
      <c r="AP1037" s="290"/>
      <c r="AQ1037" s="290"/>
      <c r="AR1037" s="376"/>
      <c r="AS1037" s="376"/>
      <c r="AT1037" s="674"/>
      <c r="AU1037" s="674"/>
      <c r="AV1037" s="376"/>
      <c r="AW1037" s="376"/>
      <c r="AX1037" s="674"/>
      <c r="AY1037" s="674"/>
      <c r="AZ1037" s="376"/>
      <c r="BA1037" s="1014"/>
      <c r="BB1037" s="290"/>
      <c r="BC1037" s="290"/>
      <c r="BD1037" s="715"/>
      <c r="BE1037" s="1352"/>
      <c r="BF1037" s="715"/>
      <c r="BG1037" s="290"/>
      <c r="BH1037" s="376"/>
      <c r="BI1037" s="1014"/>
      <c r="BJ1037" s="290"/>
      <c r="BK1037" s="290"/>
      <c r="BL1037" s="1014"/>
      <c r="BM1037" s="1014"/>
      <c r="BN1037" s="290"/>
      <c r="BO1037" s="290"/>
      <c r="BP1037" s="1014"/>
      <c r="BQ1037" s="1014"/>
      <c r="BR1037" s="290"/>
      <c r="BS1037" s="290"/>
      <c r="BT1037" s="1014"/>
      <c r="BU1037" s="1014"/>
      <c r="BV1037" s="290"/>
      <c r="BW1037" s="290"/>
      <c r="BX1037" s="715"/>
      <c r="BY1037" s="715"/>
      <c r="BZ1037" s="715"/>
      <c r="CA1037" s="290"/>
      <c r="CB1037" s="715"/>
      <c r="CC1037" s="715"/>
      <c r="CD1037" s="715"/>
      <c r="CE1037" s="811"/>
      <c r="CF1037" s="715"/>
      <c r="CG1037" s="715"/>
      <c r="CH1037" s="715"/>
      <c r="CI1037" s="811"/>
      <c r="CJ1037" s="715"/>
      <c r="CK1037" s="715"/>
      <c r="CL1037" s="715"/>
      <c r="CM1037" s="715"/>
      <c r="CN1037" s="715"/>
      <c r="CO1037" s="715"/>
      <c r="CP1037" s="715"/>
      <c r="CQ1037" s="811"/>
      <c r="CR1037" s="715"/>
      <c r="CS1037" s="715"/>
      <c r="CT1037" s="715"/>
      <c r="CU1037" s="811"/>
      <c r="CV1037" s="715"/>
      <c r="CW1037" s="715"/>
      <c r="CX1037" s="715"/>
      <c r="CY1037" s="811"/>
      <c r="CZ1037" s="715"/>
      <c r="DA1037" s="715"/>
      <c r="DB1037" s="715"/>
      <c r="DC1037" s="811"/>
      <c r="DD1037" s="715"/>
      <c r="DE1037" s="715"/>
      <c r="DF1037" s="715"/>
      <c r="DG1037" s="376"/>
      <c r="DH1037" s="715"/>
      <c r="DI1037" s="715"/>
      <c r="DJ1037" s="715"/>
      <c r="DK1037" s="376"/>
      <c r="DL1037" s="715"/>
      <c r="DM1037" s="715"/>
      <c r="DN1037" s="715"/>
      <c r="DO1037" s="290"/>
      <c r="DP1037" s="715"/>
      <c r="DQ1037" s="715"/>
      <c r="DR1037" s="715"/>
      <c r="DS1037" s="290"/>
      <c r="DT1037" s="290"/>
      <c r="DU1037" s="1014"/>
      <c r="DV1037" s="1014"/>
      <c r="DW1037" s="1014"/>
      <c r="DX1037" s="290"/>
      <c r="DY1037" s="290"/>
      <c r="DZ1037" s="1014"/>
      <c r="EA1037" s="1014"/>
      <c r="EB1037" s="290"/>
      <c r="EC1037" s="290"/>
      <c r="ED1037" s="1014"/>
      <c r="EE1037" s="1014"/>
      <c r="EF1037" s="290"/>
      <c r="EG1037" s="290"/>
      <c r="EH1037" s="290"/>
      <c r="EI1037" s="290"/>
      <c r="EJ1037" s="290"/>
      <c r="EK1037" s="290"/>
      <c r="EL1037" s="290"/>
      <c r="EM1037" s="290"/>
      <c r="EN1037" s="290"/>
      <c r="EO1037" s="290"/>
      <c r="EP1037" s="290"/>
      <c r="JM1037"/>
    </row>
    <row r="1038" spans="1:273" s="289" customFormat="1">
      <c r="A1038" s="102" t="str">
        <f>A495</f>
        <v xml:space="preserve"> - Macquarie Capital</v>
      </c>
      <c r="B1038" s="290"/>
      <c r="AN1038" s="290"/>
      <c r="AO1038" s="290"/>
      <c r="AP1038" s="290"/>
      <c r="AQ1038" s="290"/>
      <c r="AR1038" s="376"/>
      <c r="AS1038" s="376"/>
      <c r="AT1038" s="674"/>
      <c r="AU1038" s="674"/>
      <c r="AV1038" s="376"/>
      <c r="AW1038" s="376"/>
      <c r="AX1038" s="674"/>
      <c r="AY1038" s="674"/>
      <c r="AZ1038" s="376"/>
      <c r="BA1038" s="1014"/>
      <c r="BB1038" s="290"/>
      <c r="BC1038" s="290"/>
      <c r="BD1038" s="715"/>
      <c r="BE1038" s="1352"/>
      <c r="BF1038" s="715"/>
      <c r="BG1038" s="290"/>
      <c r="BH1038" s="376"/>
      <c r="BI1038" s="1014"/>
      <c r="BJ1038" s="290"/>
      <c r="BK1038" s="290"/>
      <c r="BL1038" s="1014"/>
      <c r="BM1038" s="1014"/>
      <c r="BN1038" s="290"/>
      <c r="BO1038" s="290"/>
      <c r="BP1038" s="1014"/>
      <c r="BQ1038" s="1014"/>
      <c r="BR1038" s="290"/>
      <c r="BS1038" s="290"/>
      <c r="BT1038" s="711">
        <f t="shared" ref="BT1038:BV1045" si="2235">+BT495</f>
        <v>106</v>
      </c>
      <c r="BU1038" s="711">
        <f t="shared" si="2235"/>
        <v>307</v>
      </c>
      <c r="BV1038" s="711">
        <f t="shared" si="2235"/>
        <v>413</v>
      </c>
      <c r="BW1038" s="290"/>
      <c r="BX1038" s="711">
        <f t="shared" ref="BX1038:BZ1045" si="2236">+BX495</f>
        <v>244</v>
      </c>
      <c r="BY1038" s="711">
        <f t="shared" si="2236"/>
        <v>131</v>
      </c>
      <c r="BZ1038" s="711">
        <f t="shared" si="2236"/>
        <v>375</v>
      </c>
      <c r="CA1038" s="671">
        <f>+BZ1038/BV1038-1</f>
        <v>-9.2009685230024174E-2</v>
      </c>
      <c r="CB1038" s="711">
        <f t="shared" ref="CB1038:CD1045" si="2237">+CB495</f>
        <v>132</v>
      </c>
      <c r="CC1038" s="711">
        <f t="shared" si="2237"/>
        <v>493</v>
      </c>
      <c r="CD1038" s="711">
        <f t="shared" si="2237"/>
        <v>625</v>
      </c>
      <c r="CE1038" s="671">
        <f t="shared" ref="CE1038:CE1040" si="2238">+CD1038/BZ1038-1</f>
        <v>0.66666666666666674</v>
      </c>
      <c r="CF1038" s="711">
        <f t="shared" ref="CF1038:CH1045" si="2239">+CF495</f>
        <v>477</v>
      </c>
      <c r="CG1038" s="711">
        <f t="shared" si="2239"/>
        <v>1493</v>
      </c>
      <c r="CH1038" s="711">
        <f t="shared" si="2239"/>
        <v>1970</v>
      </c>
      <c r="CI1038" s="671">
        <f t="shared" ref="CI1038:CI1040" si="2240">+CH1038/CD1038-1</f>
        <v>2.1520000000000001</v>
      </c>
      <c r="CJ1038" s="711">
        <f t="shared" ref="CJ1038:CL1045" si="2241">+CJ495</f>
        <v>590</v>
      </c>
      <c r="CK1038" s="711">
        <f t="shared" si="2241"/>
        <v>827</v>
      </c>
      <c r="CL1038" s="711">
        <f t="shared" si="2241"/>
        <v>1417</v>
      </c>
      <c r="CM1038" s="671">
        <f t="shared" ref="CM1038:CM1040" si="2242">+CL1038/CH1038-1</f>
        <v>-0.28071065989847721</v>
      </c>
      <c r="CN1038" s="711">
        <f t="shared" ref="CN1038:CP1045" si="2243">+CN495</f>
        <v>141</v>
      </c>
      <c r="CO1038" s="711">
        <f t="shared" si="2243"/>
        <v>998</v>
      </c>
      <c r="CP1038" s="711">
        <f t="shared" si="2243"/>
        <v>1139</v>
      </c>
      <c r="CQ1038" s="671">
        <f t="shared" ref="CQ1038:CQ1040" si="2244">+CP1038/CL1038-1</f>
        <v>-0.19618913196894849</v>
      </c>
      <c r="CR1038" s="711">
        <f t="shared" ref="CR1038:CT1045" si="2245">+CR495</f>
        <v>418</v>
      </c>
      <c r="CS1038" s="711">
        <f t="shared" si="2245"/>
        <v>725</v>
      </c>
      <c r="CT1038" s="711">
        <f t="shared" si="2245"/>
        <v>1143</v>
      </c>
      <c r="CU1038" s="671">
        <f t="shared" ref="CU1038:CU1040" si="2246">+CT1038/CP1038-1</f>
        <v>3.5118525021948788E-3</v>
      </c>
      <c r="CV1038" s="711">
        <f t="shared" ref="CV1038:CX1045" si="2247">+CV495</f>
        <v>693</v>
      </c>
      <c r="CW1038" s="711">
        <f t="shared" si="2247"/>
        <v>184</v>
      </c>
      <c r="CX1038" s="711">
        <f t="shared" si="2247"/>
        <v>877</v>
      </c>
      <c r="CY1038" s="671">
        <f t="shared" ref="CY1038:CY1040" si="2248">+CX1038/CT1038-1</f>
        <v>-0.23272090988626426</v>
      </c>
      <c r="CZ1038" s="711">
        <f t="shared" ref="CZ1038" si="2249">+CZ495</f>
        <v>253</v>
      </c>
      <c r="DA1038" s="711">
        <f t="shared" ref="DA1038:DB1045" si="2250">+DA495</f>
        <v>430</v>
      </c>
      <c r="DB1038" s="711">
        <f t="shared" si="2250"/>
        <v>683</v>
      </c>
      <c r="DC1038" s="671">
        <f t="shared" ref="DC1038:DC1040" si="2251">+DB1038/CX1038-1</f>
        <v>-0.22120866590649946</v>
      </c>
      <c r="DD1038" s="711">
        <f t="shared" ref="DD1038:DF1045" si="2252">+DD495</f>
        <v>309</v>
      </c>
      <c r="DE1038" s="711">
        <f t="shared" si="2252"/>
        <v>303</v>
      </c>
      <c r="DF1038" s="711">
        <f t="shared" si="2252"/>
        <v>612</v>
      </c>
      <c r="DG1038" s="671">
        <f t="shared" ref="DG1038:DG1040" si="2253">+DF1038/DB1038-1</f>
        <v>-0.10395314787701315</v>
      </c>
      <c r="DH1038" s="711">
        <f t="shared" ref="DH1038" si="2254">+DH495</f>
        <v>292</v>
      </c>
      <c r="DI1038" s="711">
        <f t="shared" ref="DI1038:DJ1038" si="2255">+DI495</f>
        <v>393.90000000000003</v>
      </c>
      <c r="DJ1038" s="711">
        <f t="shared" si="2255"/>
        <v>685.90000000000009</v>
      </c>
      <c r="DK1038" s="671">
        <f t="shared" ref="DK1038:DK1040" si="2256">+DJ1038/DF1038-1</f>
        <v>0.12075163398692834</v>
      </c>
      <c r="DL1038" s="711">
        <f t="shared" ref="DL1038:DN1038" si="2257">+DL495</f>
        <v>400</v>
      </c>
      <c r="DM1038" s="711">
        <f t="shared" si="2257"/>
        <v>600</v>
      </c>
      <c r="DN1038" s="711">
        <f t="shared" si="2257"/>
        <v>1000</v>
      </c>
      <c r="DO1038" s="290"/>
      <c r="DP1038" s="711">
        <f t="shared" ref="DP1038:DR1038" si="2258">+DP495</f>
        <v>440</v>
      </c>
      <c r="DQ1038" s="711">
        <f t="shared" si="2258"/>
        <v>660</v>
      </c>
      <c r="DR1038" s="711">
        <f t="shared" si="2258"/>
        <v>1100</v>
      </c>
      <c r="DS1038" s="290"/>
      <c r="DT1038" s="290"/>
      <c r="DU1038" s="1014"/>
      <c r="DV1038" s="1014"/>
      <c r="DW1038" s="1014"/>
      <c r="DX1038" s="290"/>
      <c r="DY1038" s="290"/>
      <c r="DZ1038" s="1014"/>
      <c r="EA1038" s="1014"/>
      <c r="EB1038" s="290"/>
      <c r="EC1038" s="290"/>
      <c r="ED1038" s="1014"/>
      <c r="EE1038" s="1014"/>
      <c r="EF1038" s="290"/>
      <c r="EG1038" s="290"/>
      <c r="EH1038" s="290"/>
      <c r="EI1038" s="290"/>
      <c r="EJ1038" s="290"/>
      <c r="EK1038" s="290"/>
      <c r="EL1038" s="290"/>
      <c r="EM1038" s="290"/>
      <c r="EN1038" s="290"/>
      <c r="EO1038" s="290"/>
      <c r="EP1038" s="290"/>
      <c r="JM1038"/>
    </row>
    <row r="1039" spans="1:273" s="289" customFormat="1">
      <c r="A1039" s="102" t="s">
        <v>1306</v>
      </c>
      <c r="B1039" s="290"/>
      <c r="AN1039" s="290"/>
      <c r="AO1039" s="290"/>
      <c r="AP1039" s="290"/>
      <c r="AQ1039" s="290"/>
      <c r="AR1039" s="376"/>
      <c r="AS1039" s="376"/>
      <c r="AT1039" s="674"/>
      <c r="AU1039" s="674"/>
      <c r="AV1039" s="376"/>
      <c r="AW1039" s="376"/>
      <c r="AX1039" s="674"/>
      <c r="AY1039" s="674"/>
      <c r="AZ1039" s="376"/>
      <c r="BA1039" s="1014"/>
      <c r="BB1039" s="290"/>
      <c r="BC1039" s="290"/>
      <c r="BD1039" s="715"/>
      <c r="BE1039" s="1352"/>
      <c r="BF1039" s="715"/>
      <c r="BG1039" s="290"/>
      <c r="BH1039" s="376"/>
      <c r="BI1039" s="1014"/>
      <c r="BJ1039" s="290"/>
      <c r="BK1039" s="290"/>
      <c r="BL1039" s="1014"/>
      <c r="BM1039" s="1014"/>
      <c r="BN1039" s="290"/>
      <c r="BO1039" s="290"/>
      <c r="BP1039" s="1014"/>
      <c r="BQ1039" s="1014"/>
      <c r="BR1039" s="290"/>
      <c r="BS1039" s="290"/>
      <c r="BT1039" s="711">
        <f t="shared" si="2235"/>
        <v>129</v>
      </c>
      <c r="BU1039" s="711">
        <f t="shared" si="2235"/>
        <v>37</v>
      </c>
      <c r="BV1039" s="711">
        <f t="shared" si="2235"/>
        <v>166</v>
      </c>
      <c r="BW1039" s="290"/>
      <c r="BX1039" s="711">
        <f t="shared" si="2236"/>
        <v>203</v>
      </c>
      <c r="BY1039" s="711">
        <f t="shared" si="2236"/>
        <v>163</v>
      </c>
      <c r="BZ1039" s="711">
        <f t="shared" si="2236"/>
        <v>366</v>
      </c>
      <c r="CA1039" s="671">
        <f t="shared" ref="CA1039:CA1040" si="2259">+BZ1039/BV1039-1</f>
        <v>1.2048192771084336</v>
      </c>
      <c r="CB1039" s="711">
        <f t="shared" si="2237"/>
        <v>229</v>
      </c>
      <c r="CC1039" s="711">
        <f t="shared" si="2237"/>
        <v>77</v>
      </c>
      <c r="CD1039" s="711">
        <f t="shared" si="2237"/>
        <v>306</v>
      </c>
      <c r="CE1039" s="671">
        <f t="shared" si="2238"/>
        <v>-0.16393442622950816</v>
      </c>
      <c r="CF1039" s="711">
        <f t="shared" si="2239"/>
        <v>33</v>
      </c>
      <c r="CG1039" s="711">
        <f t="shared" si="2239"/>
        <v>45</v>
      </c>
      <c r="CH1039" s="711">
        <f t="shared" si="2239"/>
        <v>78</v>
      </c>
      <c r="CI1039" s="671">
        <f t="shared" si="2240"/>
        <v>-0.74509803921568629</v>
      </c>
      <c r="CJ1039" s="711">
        <f t="shared" si="2241"/>
        <v>52</v>
      </c>
      <c r="CK1039" s="711">
        <f t="shared" si="2241"/>
        <v>201</v>
      </c>
      <c r="CL1039" s="711">
        <f t="shared" si="2241"/>
        <v>253</v>
      </c>
      <c r="CM1039" s="671">
        <f t="shared" si="2242"/>
        <v>2.2435897435897436</v>
      </c>
      <c r="CN1039" s="711">
        <f t="shared" si="2243"/>
        <v>404</v>
      </c>
      <c r="CO1039" s="711">
        <f t="shared" si="2243"/>
        <v>240</v>
      </c>
      <c r="CP1039" s="711">
        <f t="shared" si="2243"/>
        <v>644</v>
      </c>
      <c r="CQ1039" s="671">
        <f t="shared" si="2244"/>
        <v>1.5454545454545454</v>
      </c>
      <c r="CR1039" s="711">
        <f t="shared" si="2245"/>
        <v>62</v>
      </c>
      <c r="CS1039" s="711">
        <f t="shared" si="2245"/>
        <v>1498</v>
      </c>
      <c r="CT1039" s="711">
        <f t="shared" si="2245"/>
        <v>1560</v>
      </c>
      <c r="CU1039" s="671">
        <f t="shared" si="2246"/>
        <v>1.4223602484472049</v>
      </c>
      <c r="CV1039" s="711">
        <f t="shared" si="2247"/>
        <v>877</v>
      </c>
      <c r="CW1039" s="711">
        <f t="shared" si="2247"/>
        <v>302</v>
      </c>
      <c r="CX1039" s="711">
        <f t="shared" si="2247"/>
        <v>1179</v>
      </c>
      <c r="CY1039" s="671">
        <f t="shared" si="2248"/>
        <v>-0.24423076923076925</v>
      </c>
      <c r="CZ1039" s="711">
        <f t="shared" ref="CZ1039" si="2260">+CZ496</f>
        <v>49</v>
      </c>
      <c r="DA1039" s="711">
        <f t="shared" si="2250"/>
        <v>298</v>
      </c>
      <c r="DB1039" s="711">
        <f t="shared" si="2250"/>
        <v>347</v>
      </c>
      <c r="DC1039" s="671">
        <f t="shared" si="2251"/>
        <v>-0.70568278201865986</v>
      </c>
      <c r="DD1039" s="711">
        <f t="shared" si="2252"/>
        <v>47</v>
      </c>
      <c r="DE1039" s="711">
        <f t="shared" si="2252"/>
        <v>352</v>
      </c>
      <c r="DF1039" s="711">
        <f t="shared" si="2252"/>
        <v>399</v>
      </c>
      <c r="DG1039" s="671">
        <f t="shared" si="2253"/>
        <v>0.14985590778097979</v>
      </c>
      <c r="DH1039" s="711">
        <f t="shared" ref="DH1039" si="2261">+DH496</f>
        <v>7</v>
      </c>
      <c r="DI1039" s="711">
        <f t="shared" ref="DI1039:DJ1039" si="2262">+DI496</f>
        <v>550</v>
      </c>
      <c r="DJ1039" s="711">
        <f t="shared" si="2262"/>
        <v>557</v>
      </c>
      <c r="DK1039" s="671">
        <f t="shared" si="2256"/>
        <v>0.39598997493734345</v>
      </c>
      <c r="DL1039" s="711">
        <f t="shared" ref="DL1039:DN1039" si="2263">+DL496</f>
        <v>190</v>
      </c>
      <c r="DM1039" s="711">
        <f t="shared" si="2263"/>
        <v>190</v>
      </c>
      <c r="DN1039" s="711">
        <f t="shared" si="2263"/>
        <v>380</v>
      </c>
      <c r="DO1039" s="290"/>
      <c r="DP1039" s="711">
        <f t="shared" ref="DP1039:DR1039" si="2264">+DP496</f>
        <v>175</v>
      </c>
      <c r="DQ1039" s="711">
        <f t="shared" si="2264"/>
        <v>175</v>
      </c>
      <c r="DR1039" s="711">
        <f t="shared" si="2264"/>
        <v>350</v>
      </c>
      <c r="DS1039" s="290"/>
      <c r="DT1039" s="290"/>
      <c r="DU1039" s="1014"/>
      <c r="DV1039" s="1014"/>
      <c r="DW1039" s="1014"/>
      <c r="DX1039" s="290"/>
      <c r="DY1039" s="290"/>
      <c r="DZ1039" s="1014"/>
      <c r="EA1039" s="1014"/>
      <c r="EB1039" s="290"/>
      <c r="EC1039" s="290"/>
      <c r="ED1039" s="1014"/>
      <c r="EE1039" s="1014"/>
      <c r="EF1039" s="290"/>
      <c r="EG1039" s="290"/>
      <c r="EH1039" s="290"/>
      <c r="EI1039" s="290"/>
      <c r="EJ1039" s="290"/>
      <c r="EK1039" s="290"/>
      <c r="EL1039" s="290"/>
      <c r="EM1039" s="290"/>
      <c r="EN1039" s="290"/>
      <c r="EO1039" s="290"/>
      <c r="EP1039" s="290"/>
      <c r="JM1039"/>
    </row>
    <row r="1040" spans="1:273" s="289" customFormat="1">
      <c r="A1040" s="102" t="str">
        <f t="shared" ref="A1040:A1045" si="2265">A497</f>
        <v xml:space="preserve"> - CGM</v>
      </c>
      <c r="B1040" s="290"/>
      <c r="AN1040" s="290"/>
      <c r="AO1040" s="290"/>
      <c r="AP1040" s="290"/>
      <c r="AQ1040" s="290"/>
      <c r="AR1040" s="376"/>
      <c r="AS1040" s="376"/>
      <c r="AT1040" s="674"/>
      <c r="AU1040" s="674"/>
      <c r="AV1040" s="376"/>
      <c r="AW1040" s="376"/>
      <c r="AX1040" s="674"/>
      <c r="AY1040" s="674"/>
      <c r="AZ1040" s="376"/>
      <c r="BA1040" s="1014"/>
      <c r="BB1040" s="290"/>
      <c r="BC1040" s="290"/>
      <c r="BD1040" s="715"/>
      <c r="BE1040" s="1352"/>
      <c r="BF1040" s="715"/>
      <c r="BG1040" s="290"/>
      <c r="BH1040" s="376"/>
      <c r="BI1040" s="1014"/>
      <c r="BJ1040" s="290"/>
      <c r="BK1040" s="290"/>
      <c r="BL1040" s="1014"/>
      <c r="BM1040" s="1014"/>
      <c r="BN1040" s="290"/>
      <c r="BO1040" s="290"/>
      <c r="BP1040" s="1014"/>
      <c r="BQ1040" s="1014"/>
      <c r="BR1040" s="290"/>
      <c r="BS1040" s="290"/>
      <c r="BT1040" s="711">
        <f t="shared" si="2235"/>
        <v>30</v>
      </c>
      <c r="BU1040" s="711">
        <f t="shared" si="2235"/>
        <v>1</v>
      </c>
      <c r="BV1040" s="711">
        <f t="shared" si="2235"/>
        <v>31</v>
      </c>
      <c r="BW1040" s="290"/>
      <c r="BX1040" s="711">
        <f t="shared" si="2236"/>
        <v>141</v>
      </c>
      <c r="BY1040" s="711">
        <f t="shared" si="2236"/>
        <v>17</v>
      </c>
      <c r="BZ1040" s="711">
        <f t="shared" si="2236"/>
        <v>158</v>
      </c>
      <c r="CA1040" s="671">
        <f t="shared" si="2259"/>
        <v>4.096774193548387</v>
      </c>
      <c r="CB1040" s="711">
        <f t="shared" si="2237"/>
        <v>12</v>
      </c>
      <c r="CC1040" s="711">
        <f t="shared" si="2237"/>
        <v>75</v>
      </c>
      <c r="CD1040" s="711">
        <f t="shared" si="2237"/>
        <v>87</v>
      </c>
      <c r="CE1040" s="671">
        <f t="shared" si="2238"/>
        <v>-0.44936708860759489</v>
      </c>
      <c r="CF1040" s="711">
        <f t="shared" si="2239"/>
        <v>14</v>
      </c>
      <c r="CG1040" s="711">
        <f t="shared" si="2239"/>
        <v>59</v>
      </c>
      <c r="CH1040" s="711">
        <f t="shared" si="2239"/>
        <v>73</v>
      </c>
      <c r="CI1040" s="671">
        <f t="shared" si="2240"/>
        <v>-0.16091954022988508</v>
      </c>
      <c r="CJ1040" s="711">
        <f t="shared" si="2241"/>
        <v>0</v>
      </c>
      <c r="CK1040" s="711">
        <f t="shared" si="2241"/>
        <v>6</v>
      </c>
      <c r="CL1040" s="711">
        <f t="shared" si="2241"/>
        <v>6</v>
      </c>
      <c r="CM1040" s="671">
        <f t="shared" si="2242"/>
        <v>-0.9178082191780822</v>
      </c>
      <c r="CN1040" s="711">
        <f t="shared" si="2243"/>
        <v>53</v>
      </c>
      <c r="CO1040" s="711">
        <f t="shared" si="2243"/>
        <v>28</v>
      </c>
      <c r="CP1040" s="711">
        <f t="shared" si="2243"/>
        <v>81</v>
      </c>
      <c r="CQ1040" s="671">
        <f t="shared" si="2244"/>
        <v>12.5</v>
      </c>
      <c r="CR1040" s="711">
        <f t="shared" si="2245"/>
        <v>473</v>
      </c>
      <c r="CS1040" s="711">
        <f t="shared" si="2245"/>
        <v>47</v>
      </c>
      <c r="CT1040" s="711">
        <f t="shared" si="2245"/>
        <v>520</v>
      </c>
      <c r="CU1040" s="671">
        <f t="shared" si="2246"/>
        <v>5.4197530864197532</v>
      </c>
      <c r="CV1040" s="711">
        <f t="shared" si="2247"/>
        <v>-25</v>
      </c>
      <c r="CW1040" s="711">
        <f t="shared" si="2247"/>
        <v>74</v>
      </c>
      <c r="CX1040" s="711">
        <f t="shared" si="2247"/>
        <v>49</v>
      </c>
      <c r="CY1040" s="671">
        <f t="shared" si="2248"/>
        <v>-0.90576923076923077</v>
      </c>
      <c r="CZ1040" s="711">
        <f t="shared" ref="CZ1040" si="2266">+CZ497</f>
        <v>38</v>
      </c>
      <c r="DA1040" s="711">
        <f t="shared" si="2250"/>
        <v>-36</v>
      </c>
      <c r="DB1040" s="711">
        <f t="shared" si="2250"/>
        <v>2</v>
      </c>
      <c r="DC1040" s="671">
        <f t="shared" si="2251"/>
        <v>-0.95918367346938771</v>
      </c>
      <c r="DD1040" s="711">
        <f t="shared" si="2252"/>
        <v>42</v>
      </c>
      <c r="DE1040" s="711">
        <f t="shared" si="2252"/>
        <v>48</v>
      </c>
      <c r="DF1040" s="711">
        <f t="shared" si="2252"/>
        <v>90</v>
      </c>
      <c r="DG1040" s="671">
        <f t="shared" si="2253"/>
        <v>44</v>
      </c>
      <c r="DH1040" s="711">
        <f t="shared" ref="DH1040" si="2267">+DH497</f>
        <v>27</v>
      </c>
      <c r="DI1040" s="711">
        <f t="shared" ref="DI1040:DJ1040" si="2268">+DI497</f>
        <v>49.92</v>
      </c>
      <c r="DJ1040" s="711">
        <f t="shared" si="2268"/>
        <v>76.92</v>
      </c>
      <c r="DK1040" s="671">
        <f t="shared" si="2256"/>
        <v>-0.14533333333333331</v>
      </c>
      <c r="DL1040" s="711">
        <f t="shared" ref="DL1040:DN1040" si="2269">+DL497</f>
        <v>28.080000000000002</v>
      </c>
      <c r="DM1040" s="711">
        <f t="shared" si="2269"/>
        <v>51.916800000000002</v>
      </c>
      <c r="DN1040" s="711">
        <f t="shared" si="2269"/>
        <v>79.996800000000007</v>
      </c>
      <c r="DO1040" s="290"/>
      <c r="DP1040" s="711">
        <f t="shared" ref="DP1040:DR1040" si="2270">+DP497</f>
        <v>29.203200000000002</v>
      </c>
      <c r="DQ1040" s="711">
        <f t="shared" si="2270"/>
        <v>53.993472000000004</v>
      </c>
      <c r="DR1040" s="711">
        <f t="shared" si="2270"/>
        <v>83.196672000000007</v>
      </c>
      <c r="DS1040" s="290"/>
      <c r="DT1040" s="290"/>
      <c r="DU1040" s="1014"/>
      <c r="DV1040" s="1014"/>
      <c r="DW1040" s="1014"/>
      <c r="DX1040" s="290"/>
      <c r="DY1040" s="290"/>
      <c r="DZ1040" s="1014"/>
      <c r="EA1040" s="1014"/>
      <c r="EB1040" s="290"/>
      <c r="EC1040" s="290"/>
      <c r="ED1040" s="1014"/>
      <c r="EE1040" s="1014"/>
      <c r="EF1040" s="290"/>
      <c r="EG1040" s="290"/>
      <c r="EH1040" s="290"/>
      <c r="EI1040" s="290"/>
      <c r="EJ1040" s="290"/>
      <c r="EK1040" s="290"/>
      <c r="EL1040" s="290"/>
      <c r="EM1040" s="290"/>
      <c r="EN1040" s="290"/>
      <c r="EO1040" s="290"/>
      <c r="EP1040" s="290"/>
      <c r="JM1040"/>
    </row>
    <row r="1041" spans="1:273" s="289" customFormat="1">
      <c r="A1041" s="102" t="str">
        <f t="shared" si="2265"/>
        <v xml:space="preserve"> - Corporate and Asset Finance</v>
      </c>
      <c r="B1041" s="290"/>
      <c r="AN1041" s="290"/>
      <c r="AO1041" s="290"/>
      <c r="AP1041" s="290"/>
      <c r="AQ1041" s="290"/>
      <c r="AR1041" s="376"/>
      <c r="AS1041" s="376"/>
      <c r="AT1041" s="674"/>
      <c r="AU1041" s="674"/>
      <c r="AV1041" s="376"/>
      <c r="AW1041" s="376"/>
      <c r="AX1041" s="674"/>
      <c r="AY1041" s="674"/>
      <c r="AZ1041" s="376"/>
      <c r="BA1041" s="1014"/>
      <c r="BB1041" s="290"/>
      <c r="BC1041" s="290"/>
      <c r="BD1041" s="715"/>
      <c r="BE1041" s="1352"/>
      <c r="BF1041" s="715"/>
      <c r="BG1041" s="290"/>
      <c r="BH1041" s="376"/>
      <c r="BI1041" s="1014"/>
      <c r="BJ1041" s="290"/>
      <c r="BK1041" s="290"/>
      <c r="BL1041" s="1014"/>
      <c r="BM1041" s="1014"/>
      <c r="BN1041" s="290"/>
      <c r="BO1041" s="290"/>
      <c r="BP1041" s="1014"/>
      <c r="BQ1041" s="1014"/>
      <c r="BR1041" s="290"/>
      <c r="BS1041" s="290"/>
      <c r="BT1041" s="711">
        <f t="shared" si="2235"/>
        <v>0</v>
      </c>
      <c r="BU1041" s="711">
        <f t="shared" si="2235"/>
        <v>0</v>
      </c>
      <c r="BV1041" s="711">
        <f t="shared" si="2235"/>
        <v>0</v>
      </c>
      <c r="BW1041" s="290"/>
      <c r="BX1041" s="711">
        <f t="shared" si="2236"/>
        <v>0</v>
      </c>
      <c r="BY1041" s="711">
        <f t="shared" si="2236"/>
        <v>140</v>
      </c>
      <c r="BZ1041" s="711">
        <f t="shared" si="2236"/>
        <v>140</v>
      </c>
      <c r="CA1041" s="671"/>
      <c r="CB1041" s="711">
        <f t="shared" si="2237"/>
        <v>67</v>
      </c>
      <c r="CC1041" s="711">
        <f t="shared" si="2237"/>
        <v>168</v>
      </c>
      <c r="CD1041" s="711">
        <f t="shared" si="2237"/>
        <v>235</v>
      </c>
      <c r="CE1041" s="671"/>
      <c r="CF1041" s="711">
        <f t="shared" si="2239"/>
        <v>0</v>
      </c>
      <c r="CG1041" s="711">
        <f t="shared" si="2239"/>
        <v>0</v>
      </c>
      <c r="CH1041" s="711">
        <f t="shared" si="2239"/>
        <v>0</v>
      </c>
      <c r="CI1041" s="671"/>
      <c r="CJ1041" s="711">
        <f t="shared" si="2241"/>
        <v>0</v>
      </c>
      <c r="CK1041" s="711">
        <f t="shared" si="2241"/>
        <v>0</v>
      </c>
      <c r="CL1041" s="711">
        <f t="shared" si="2241"/>
        <v>0</v>
      </c>
      <c r="CM1041" s="671"/>
      <c r="CN1041" s="711">
        <f t="shared" si="2243"/>
        <v>0</v>
      </c>
      <c r="CO1041" s="711">
        <f t="shared" si="2243"/>
        <v>0</v>
      </c>
      <c r="CP1041" s="711">
        <f t="shared" si="2243"/>
        <v>0</v>
      </c>
      <c r="CQ1041" s="671"/>
      <c r="CR1041" s="711">
        <f t="shared" si="2245"/>
        <v>0</v>
      </c>
      <c r="CS1041" s="711">
        <f t="shared" si="2245"/>
        <v>0</v>
      </c>
      <c r="CT1041" s="711">
        <f t="shared" si="2245"/>
        <v>0</v>
      </c>
      <c r="CU1041" s="671"/>
      <c r="CV1041" s="711">
        <f t="shared" si="2247"/>
        <v>0</v>
      </c>
      <c r="CW1041" s="711">
        <f t="shared" si="2247"/>
        <v>0</v>
      </c>
      <c r="CX1041" s="711">
        <f t="shared" si="2247"/>
        <v>0</v>
      </c>
      <c r="CY1041" s="671"/>
      <c r="CZ1041" s="711">
        <f t="shared" ref="CZ1041" si="2271">+CZ498</f>
        <v>0</v>
      </c>
      <c r="DA1041" s="711">
        <f t="shared" si="2250"/>
        <v>0</v>
      </c>
      <c r="DB1041" s="711">
        <f t="shared" si="2250"/>
        <v>0</v>
      </c>
      <c r="DC1041" s="671"/>
      <c r="DD1041" s="711">
        <f t="shared" si="2252"/>
        <v>0</v>
      </c>
      <c r="DE1041" s="711">
        <f t="shared" si="2252"/>
        <v>0</v>
      </c>
      <c r="DF1041" s="711">
        <f t="shared" si="2252"/>
        <v>0</v>
      </c>
      <c r="DG1041" s="671"/>
      <c r="DH1041" s="711">
        <f t="shared" ref="DH1041" si="2272">+DH498</f>
        <v>0</v>
      </c>
      <c r="DI1041" s="711">
        <f t="shared" ref="DI1041:DJ1041" si="2273">+DI498</f>
        <v>0</v>
      </c>
      <c r="DJ1041" s="711">
        <f t="shared" si="2273"/>
        <v>0</v>
      </c>
      <c r="DK1041" s="671"/>
      <c r="DL1041" s="711">
        <f t="shared" ref="DL1041:DN1041" si="2274">+DL498</f>
        <v>0</v>
      </c>
      <c r="DM1041" s="711">
        <f t="shared" si="2274"/>
        <v>0</v>
      </c>
      <c r="DN1041" s="711">
        <f t="shared" si="2274"/>
        <v>0</v>
      </c>
      <c r="DO1041" s="290"/>
      <c r="DP1041" s="711">
        <f t="shared" ref="DP1041:DR1041" si="2275">+DP498</f>
        <v>0</v>
      </c>
      <c r="DQ1041" s="711">
        <f t="shared" si="2275"/>
        <v>0</v>
      </c>
      <c r="DR1041" s="711">
        <f t="shared" si="2275"/>
        <v>0</v>
      </c>
      <c r="DS1041" s="290"/>
      <c r="DT1041" s="290"/>
      <c r="DU1041" s="1014"/>
      <c r="DV1041" s="1014"/>
      <c r="DW1041" s="1014"/>
      <c r="DX1041" s="290"/>
      <c r="DY1041" s="290"/>
      <c r="DZ1041" s="1014"/>
      <c r="EA1041" s="1014"/>
      <c r="EB1041" s="290"/>
      <c r="EC1041" s="290"/>
      <c r="ED1041" s="1014"/>
      <c r="EE1041" s="1014"/>
      <c r="EF1041" s="290"/>
      <c r="EG1041" s="290"/>
      <c r="EH1041" s="290"/>
      <c r="EI1041" s="290"/>
      <c r="EJ1041" s="290"/>
      <c r="EK1041" s="290"/>
      <c r="EL1041" s="290"/>
      <c r="EM1041" s="290"/>
      <c r="EN1041" s="290"/>
      <c r="EO1041" s="290"/>
      <c r="EP1041" s="290"/>
      <c r="JM1041"/>
    </row>
    <row r="1042" spans="1:273" s="289" customFormat="1">
      <c r="A1042" s="102" t="str">
        <f t="shared" si="2265"/>
        <v xml:space="preserve"> - Banking and Financial Services</v>
      </c>
      <c r="B1042" s="290"/>
      <c r="AN1042" s="290"/>
      <c r="AO1042" s="290"/>
      <c r="AP1042" s="290"/>
      <c r="AQ1042" s="290"/>
      <c r="AR1042" s="376"/>
      <c r="AS1042" s="376"/>
      <c r="AT1042" s="674"/>
      <c r="AU1042" s="674"/>
      <c r="AV1042" s="376"/>
      <c r="AW1042" s="376"/>
      <c r="AX1042" s="674"/>
      <c r="AY1042" s="674"/>
      <c r="AZ1042" s="376"/>
      <c r="BA1042" s="1014"/>
      <c r="BB1042" s="290"/>
      <c r="BC1042" s="290"/>
      <c r="BD1042" s="715"/>
      <c r="BE1042" s="1352"/>
      <c r="BF1042" s="715"/>
      <c r="BG1042" s="290"/>
      <c r="BH1042" s="376"/>
      <c r="BI1042" s="1014"/>
      <c r="BJ1042" s="290"/>
      <c r="BK1042" s="290"/>
      <c r="BL1042" s="1014"/>
      <c r="BM1042" s="1014"/>
      <c r="BN1042" s="290"/>
      <c r="BO1042" s="290"/>
      <c r="BP1042" s="1014"/>
      <c r="BQ1042" s="1014"/>
      <c r="BR1042" s="290"/>
      <c r="BS1042" s="290"/>
      <c r="BT1042" s="711">
        <f t="shared" si="2235"/>
        <v>0</v>
      </c>
      <c r="BU1042" s="711">
        <f t="shared" si="2235"/>
        <v>0</v>
      </c>
      <c r="BV1042" s="711">
        <f t="shared" si="2235"/>
        <v>0</v>
      </c>
      <c r="BW1042" s="290"/>
      <c r="BX1042" s="711">
        <f t="shared" si="2236"/>
        <v>0</v>
      </c>
      <c r="BY1042" s="711">
        <f t="shared" si="2236"/>
        <v>0</v>
      </c>
      <c r="BZ1042" s="711">
        <f t="shared" si="2236"/>
        <v>0</v>
      </c>
      <c r="CA1042" s="290"/>
      <c r="CB1042" s="711">
        <f t="shared" si="2237"/>
        <v>0</v>
      </c>
      <c r="CC1042" s="711">
        <f t="shared" si="2237"/>
        <v>0</v>
      </c>
      <c r="CD1042" s="711">
        <f t="shared" si="2237"/>
        <v>0</v>
      </c>
      <c r="CE1042" s="290"/>
      <c r="CF1042" s="711">
        <f t="shared" si="2239"/>
        <v>0</v>
      </c>
      <c r="CG1042" s="711">
        <f t="shared" si="2239"/>
        <v>0</v>
      </c>
      <c r="CH1042" s="711">
        <f t="shared" si="2239"/>
        <v>0</v>
      </c>
      <c r="CI1042" s="290"/>
      <c r="CJ1042" s="711">
        <f t="shared" si="2241"/>
        <v>0</v>
      </c>
      <c r="CK1042" s="711">
        <f t="shared" si="2241"/>
        <v>0</v>
      </c>
      <c r="CL1042" s="711">
        <f t="shared" si="2241"/>
        <v>0</v>
      </c>
      <c r="CM1042" s="290"/>
      <c r="CN1042" s="711">
        <f t="shared" si="2243"/>
        <v>0</v>
      </c>
      <c r="CO1042" s="711">
        <f t="shared" si="2243"/>
        <v>0</v>
      </c>
      <c r="CP1042" s="711">
        <f t="shared" si="2243"/>
        <v>0</v>
      </c>
      <c r="CQ1042" s="290"/>
      <c r="CR1042" s="711">
        <f t="shared" si="2245"/>
        <v>0</v>
      </c>
      <c r="CS1042" s="711">
        <f t="shared" si="2245"/>
        <v>0</v>
      </c>
      <c r="CT1042" s="711">
        <f t="shared" si="2245"/>
        <v>0</v>
      </c>
      <c r="CU1042" s="290"/>
      <c r="CV1042" s="711">
        <f t="shared" si="2247"/>
        <v>0</v>
      </c>
      <c r="CW1042" s="711">
        <f t="shared" si="2247"/>
        <v>0</v>
      </c>
      <c r="CX1042" s="711">
        <f t="shared" si="2247"/>
        <v>0</v>
      </c>
      <c r="CY1042" s="290"/>
      <c r="CZ1042" s="711">
        <f t="shared" ref="CZ1042" si="2276">+CZ499</f>
        <v>0</v>
      </c>
      <c r="DA1042" s="711">
        <f t="shared" si="2250"/>
        <v>0</v>
      </c>
      <c r="DB1042" s="711">
        <f t="shared" si="2250"/>
        <v>0</v>
      </c>
      <c r="DC1042" s="290"/>
      <c r="DD1042" s="711">
        <f t="shared" si="2252"/>
        <v>0</v>
      </c>
      <c r="DE1042" s="711">
        <f t="shared" si="2252"/>
        <v>0</v>
      </c>
      <c r="DF1042" s="711">
        <f t="shared" si="2252"/>
        <v>0</v>
      </c>
      <c r="DG1042" s="290"/>
      <c r="DH1042" s="711">
        <f t="shared" ref="DH1042" si="2277">+DH499</f>
        <v>0</v>
      </c>
      <c r="DI1042" s="711">
        <f t="shared" ref="DI1042:DJ1042" si="2278">+DI499</f>
        <v>0</v>
      </c>
      <c r="DJ1042" s="711">
        <f t="shared" si="2278"/>
        <v>0</v>
      </c>
      <c r="DK1042" s="290"/>
      <c r="DL1042" s="711">
        <f t="shared" ref="DL1042:DN1042" si="2279">+DL499</f>
        <v>0</v>
      </c>
      <c r="DM1042" s="711">
        <f t="shared" si="2279"/>
        <v>0</v>
      </c>
      <c r="DN1042" s="711">
        <f t="shared" si="2279"/>
        <v>0</v>
      </c>
      <c r="DO1042" s="290"/>
      <c r="DP1042" s="711">
        <f t="shared" ref="DP1042:DR1042" si="2280">+DP499</f>
        <v>0</v>
      </c>
      <c r="DQ1042" s="711">
        <f t="shared" si="2280"/>
        <v>0</v>
      </c>
      <c r="DR1042" s="711">
        <f t="shared" si="2280"/>
        <v>0</v>
      </c>
      <c r="DS1042" s="290"/>
      <c r="DT1042" s="290"/>
      <c r="DU1042" s="1014"/>
      <c r="DV1042" s="1014"/>
      <c r="DW1042" s="1014"/>
      <c r="DX1042" s="290"/>
      <c r="DY1042" s="290"/>
      <c r="DZ1042" s="1014"/>
      <c r="EA1042" s="1014"/>
      <c r="EB1042" s="290"/>
      <c r="EC1042" s="290"/>
      <c r="ED1042" s="1014"/>
      <c r="EE1042" s="1014"/>
      <c r="EF1042" s="290"/>
      <c r="EG1042" s="290"/>
      <c r="EH1042" s="290"/>
      <c r="EI1042" s="290"/>
      <c r="EJ1042" s="290"/>
      <c r="EK1042" s="290"/>
      <c r="EL1042" s="290"/>
      <c r="EM1042" s="290"/>
      <c r="EN1042" s="290"/>
      <c r="EO1042" s="290"/>
      <c r="EP1042" s="290"/>
      <c r="JM1042"/>
    </row>
    <row r="1043" spans="1:273" s="289" customFormat="1">
      <c r="A1043" s="102" t="str">
        <f t="shared" si="2265"/>
        <v xml:space="preserve"> - Real Estate Banking</v>
      </c>
      <c r="B1043" s="290"/>
      <c r="AN1043" s="290"/>
      <c r="AO1043" s="290"/>
      <c r="AP1043" s="290"/>
      <c r="AQ1043" s="290"/>
      <c r="AR1043" s="376"/>
      <c r="AS1043" s="376"/>
      <c r="AT1043" s="674"/>
      <c r="AU1043" s="674"/>
      <c r="AV1043" s="376"/>
      <c r="AW1043" s="376"/>
      <c r="AX1043" s="674"/>
      <c r="AY1043" s="674"/>
      <c r="AZ1043" s="376"/>
      <c r="BA1043" s="1014"/>
      <c r="BB1043" s="290"/>
      <c r="BC1043" s="290"/>
      <c r="BD1043" s="715"/>
      <c r="BE1043" s="1352"/>
      <c r="BF1043" s="715"/>
      <c r="BG1043" s="290"/>
      <c r="BH1043" s="376"/>
      <c r="BI1043" s="1014"/>
      <c r="BJ1043" s="290"/>
      <c r="BK1043" s="290"/>
      <c r="BL1043" s="1014"/>
      <c r="BM1043" s="1014"/>
      <c r="BN1043" s="290"/>
      <c r="BO1043" s="290"/>
      <c r="BP1043" s="1014"/>
      <c r="BQ1043" s="1014"/>
      <c r="BR1043" s="290"/>
      <c r="BS1043" s="290"/>
      <c r="BT1043" s="711">
        <f t="shared" si="2235"/>
        <v>0</v>
      </c>
      <c r="BU1043" s="711">
        <f t="shared" si="2235"/>
        <v>0</v>
      </c>
      <c r="BV1043" s="711">
        <f t="shared" si="2235"/>
        <v>0</v>
      </c>
      <c r="BW1043" s="290"/>
      <c r="BX1043" s="711">
        <f t="shared" si="2236"/>
        <v>0</v>
      </c>
      <c r="BY1043" s="711">
        <f t="shared" si="2236"/>
        <v>0</v>
      </c>
      <c r="BZ1043" s="711">
        <f t="shared" si="2236"/>
        <v>0</v>
      </c>
      <c r="CA1043" s="290"/>
      <c r="CB1043" s="711">
        <f t="shared" si="2237"/>
        <v>0</v>
      </c>
      <c r="CC1043" s="711">
        <f t="shared" si="2237"/>
        <v>0</v>
      </c>
      <c r="CD1043" s="711">
        <f t="shared" si="2237"/>
        <v>0</v>
      </c>
      <c r="CE1043" s="290"/>
      <c r="CF1043" s="711">
        <f t="shared" si="2239"/>
        <v>0</v>
      </c>
      <c r="CG1043" s="711">
        <f t="shared" si="2239"/>
        <v>0</v>
      </c>
      <c r="CH1043" s="711">
        <f t="shared" si="2239"/>
        <v>0</v>
      </c>
      <c r="CI1043" s="290"/>
      <c r="CJ1043" s="711">
        <f t="shared" si="2241"/>
        <v>0</v>
      </c>
      <c r="CK1043" s="711">
        <f t="shared" si="2241"/>
        <v>0</v>
      </c>
      <c r="CL1043" s="711">
        <f t="shared" si="2241"/>
        <v>0</v>
      </c>
      <c r="CM1043" s="290"/>
      <c r="CN1043" s="711">
        <f t="shared" si="2243"/>
        <v>0</v>
      </c>
      <c r="CO1043" s="711">
        <f t="shared" si="2243"/>
        <v>0</v>
      </c>
      <c r="CP1043" s="711">
        <f t="shared" si="2243"/>
        <v>0</v>
      </c>
      <c r="CQ1043" s="290"/>
      <c r="CR1043" s="711">
        <f t="shared" si="2245"/>
        <v>0</v>
      </c>
      <c r="CS1043" s="711">
        <f t="shared" si="2245"/>
        <v>0</v>
      </c>
      <c r="CT1043" s="711">
        <f t="shared" si="2245"/>
        <v>0</v>
      </c>
      <c r="CU1043" s="290"/>
      <c r="CV1043" s="711">
        <f t="shared" si="2247"/>
        <v>0</v>
      </c>
      <c r="CW1043" s="711">
        <f t="shared" si="2247"/>
        <v>0</v>
      </c>
      <c r="CX1043" s="711">
        <f t="shared" si="2247"/>
        <v>0</v>
      </c>
      <c r="CY1043" s="290"/>
      <c r="CZ1043" s="711">
        <f t="shared" ref="CZ1043" si="2281">+CZ500</f>
        <v>0</v>
      </c>
      <c r="DA1043" s="711">
        <f t="shared" si="2250"/>
        <v>0</v>
      </c>
      <c r="DB1043" s="711">
        <f t="shared" si="2250"/>
        <v>0</v>
      </c>
      <c r="DC1043" s="290"/>
      <c r="DD1043" s="711">
        <f t="shared" si="2252"/>
        <v>0</v>
      </c>
      <c r="DE1043" s="711">
        <f t="shared" si="2252"/>
        <v>0</v>
      </c>
      <c r="DF1043" s="711">
        <f t="shared" si="2252"/>
        <v>0</v>
      </c>
      <c r="DG1043" s="290"/>
      <c r="DH1043" s="711">
        <f t="shared" ref="DH1043" si="2282">+DH500</f>
        <v>0</v>
      </c>
      <c r="DI1043" s="711">
        <f t="shared" ref="DI1043:DJ1043" si="2283">+DI500</f>
        <v>0</v>
      </c>
      <c r="DJ1043" s="711">
        <f t="shared" si="2283"/>
        <v>0</v>
      </c>
      <c r="DK1043" s="290"/>
      <c r="DL1043" s="711">
        <f t="shared" ref="DL1043:DN1043" si="2284">+DL500</f>
        <v>0</v>
      </c>
      <c r="DM1043" s="711">
        <f t="shared" si="2284"/>
        <v>0</v>
      </c>
      <c r="DN1043" s="711">
        <f t="shared" si="2284"/>
        <v>0</v>
      </c>
      <c r="DO1043" s="290"/>
      <c r="DP1043" s="711">
        <f t="shared" ref="DP1043:DR1043" si="2285">+DP500</f>
        <v>0</v>
      </c>
      <c r="DQ1043" s="711">
        <f t="shared" si="2285"/>
        <v>0</v>
      </c>
      <c r="DR1043" s="711">
        <f t="shared" si="2285"/>
        <v>0</v>
      </c>
      <c r="DS1043" s="290"/>
      <c r="DT1043" s="290"/>
      <c r="DU1043" s="1014"/>
      <c r="DV1043" s="1014"/>
      <c r="DW1043" s="1014"/>
      <c r="DX1043" s="290"/>
      <c r="DY1043" s="290"/>
      <c r="DZ1043" s="1014"/>
      <c r="EA1043" s="1014"/>
      <c r="EB1043" s="290"/>
      <c r="EC1043" s="290"/>
      <c r="ED1043" s="1014"/>
      <c r="EE1043" s="1014"/>
      <c r="EF1043" s="290"/>
      <c r="EG1043" s="290"/>
      <c r="EH1043" s="290"/>
      <c r="EI1043" s="290"/>
      <c r="EJ1043" s="290"/>
      <c r="EK1043" s="290"/>
      <c r="EL1043" s="290"/>
      <c r="EM1043" s="290"/>
      <c r="EN1043" s="290"/>
      <c r="EO1043" s="290"/>
      <c r="EP1043" s="290"/>
      <c r="JM1043"/>
    </row>
    <row r="1044" spans="1:273" s="289" customFormat="1">
      <c r="A1044" s="102" t="str">
        <f t="shared" si="2265"/>
        <v xml:space="preserve"> - Corporate</v>
      </c>
      <c r="B1044" s="290"/>
      <c r="AN1044" s="290"/>
      <c r="AO1044" s="290"/>
      <c r="AP1044" s="290"/>
      <c r="AQ1044" s="290"/>
      <c r="AR1044" s="376"/>
      <c r="AS1044" s="376"/>
      <c r="AT1044" s="674"/>
      <c r="AU1044" s="674"/>
      <c r="AV1044" s="376"/>
      <c r="AW1044" s="376"/>
      <c r="AX1044" s="674"/>
      <c r="AY1044" s="674"/>
      <c r="AZ1044" s="376"/>
      <c r="BA1044" s="1014"/>
      <c r="BB1044" s="290"/>
      <c r="BC1044" s="290"/>
      <c r="BD1044" s="715"/>
      <c r="BE1044" s="1352"/>
      <c r="BF1044" s="715"/>
      <c r="BG1044" s="290"/>
      <c r="BH1044" s="376"/>
      <c r="BI1044" s="1014"/>
      <c r="BJ1044" s="290"/>
      <c r="BK1044" s="290"/>
      <c r="BL1044" s="1014"/>
      <c r="BM1044" s="1014"/>
      <c r="BN1044" s="290"/>
      <c r="BO1044" s="290"/>
      <c r="BP1044" s="1014"/>
      <c r="BQ1044" s="1014"/>
      <c r="BR1044" s="290"/>
      <c r="BS1044" s="290"/>
      <c r="BT1044" s="711">
        <f t="shared" si="2235"/>
        <v>0</v>
      </c>
      <c r="BU1044" s="711">
        <f t="shared" si="2235"/>
        <v>0</v>
      </c>
      <c r="BV1044" s="711">
        <f t="shared" si="2235"/>
        <v>0</v>
      </c>
      <c r="BW1044" s="290"/>
      <c r="BX1044" s="711">
        <f t="shared" si="2236"/>
        <v>0</v>
      </c>
      <c r="BY1044" s="711">
        <f t="shared" si="2236"/>
        <v>0</v>
      </c>
      <c r="BZ1044" s="711">
        <f t="shared" si="2236"/>
        <v>0</v>
      </c>
      <c r="CA1044" s="290"/>
      <c r="CB1044" s="711">
        <f t="shared" si="2237"/>
        <v>6</v>
      </c>
      <c r="CC1044" s="711">
        <f t="shared" si="2237"/>
        <v>4</v>
      </c>
      <c r="CD1044" s="711">
        <f t="shared" si="2237"/>
        <v>10</v>
      </c>
      <c r="CE1044" s="290"/>
      <c r="CF1044" s="711">
        <f t="shared" si="2239"/>
        <v>-51</v>
      </c>
      <c r="CG1044" s="711">
        <f t="shared" si="2239"/>
        <v>4</v>
      </c>
      <c r="CH1044" s="711">
        <f t="shared" si="2239"/>
        <v>-47</v>
      </c>
      <c r="CI1044" s="290"/>
      <c r="CJ1044" s="711">
        <f t="shared" si="2241"/>
        <v>9</v>
      </c>
      <c r="CK1044" s="711">
        <f t="shared" si="2241"/>
        <v>-24</v>
      </c>
      <c r="CL1044" s="711">
        <f t="shared" si="2241"/>
        <v>-15</v>
      </c>
      <c r="CM1044" s="290"/>
      <c r="CN1044" s="711">
        <f t="shared" si="2243"/>
        <v>5</v>
      </c>
      <c r="CO1044" s="711">
        <f t="shared" si="2243"/>
        <v>45</v>
      </c>
      <c r="CP1044" s="711">
        <f t="shared" si="2243"/>
        <v>50</v>
      </c>
      <c r="CQ1044" s="290"/>
      <c r="CR1044" s="711">
        <f t="shared" si="2245"/>
        <v>32</v>
      </c>
      <c r="CS1044" s="711">
        <f t="shared" si="2245"/>
        <v>-19</v>
      </c>
      <c r="CT1044" s="711">
        <f t="shared" si="2245"/>
        <v>13</v>
      </c>
      <c r="CU1044" s="290"/>
      <c r="CV1044" s="711">
        <f t="shared" si="2247"/>
        <v>-3</v>
      </c>
      <c r="CW1044" s="711">
        <f t="shared" si="2247"/>
        <v>2</v>
      </c>
      <c r="CX1044" s="711">
        <f t="shared" si="2247"/>
        <v>-1</v>
      </c>
      <c r="CY1044" s="290"/>
      <c r="CZ1044" s="711">
        <f t="shared" ref="CZ1044" si="2286">+CZ501</f>
        <v>6</v>
      </c>
      <c r="DA1044" s="711">
        <f t="shared" si="2250"/>
        <v>18</v>
      </c>
      <c r="DB1044" s="711">
        <f t="shared" si="2250"/>
        <v>24</v>
      </c>
      <c r="DC1044" s="290"/>
      <c r="DD1044" s="711">
        <f t="shared" si="2252"/>
        <v>128</v>
      </c>
      <c r="DE1044" s="711">
        <f t="shared" si="2252"/>
        <v>93</v>
      </c>
      <c r="DF1044" s="711">
        <f t="shared" si="2252"/>
        <v>221</v>
      </c>
      <c r="DG1044" s="290"/>
      <c r="DH1044" s="711">
        <f t="shared" ref="DH1044" si="2287">+DH501</f>
        <v>0</v>
      </c>
      <c r="DI1044" s="711">
        <f t="shared" ref="DI1044:DJ1044" si="2288">+DI501</f>
        <v>0</v>
      </c>
      <c r="DJ1044" s="711">
        <f t="shared" si="2288"/>
        <v>0</v>
      </c>
      <c r="DK1044" s="290"/>
      <c r="DL1044" s="711">
        <f t="shared" ref="DL1044:DN1044" si="2289">+DL501</f>
        <v>0</v>
      </c>
      <c r="DM1044" s="711">
        <f t="shared" si="2289"/>
        <v>0</v>
      </c>
      <c r="DN1044" s="711">
        <f t="shared" si="2289"/>
        <v>0</v>
      </c>
      <c r="DO1044" s="290"/>
      <c r="DP1044" s="711">
        <f t="shared" ref="DP1044:DR1044" si="2290">+DP501</f>
        <v>0</v>
      </c>
      <c r="DQ1044" s="711">
        <f t="shared" si="2290"/>
        <v>0</v>
      </c>
      <c r="DR1044" s="711">
        <f t="shared" si="2290"/>
        <v>0</v>
      </c>
      <c r="DS1044" s="290"/>
      <c r="DT1044" s="290"/>
      <c r="DU1044" s="1014"/>
      <c r="DV1044" s="1014"/>
      <c r="DW1044" s="1014"/>
      <c r="DX1044" s="290"/>
      <c r="DY1044" s="290"/>
      <c r="DZ1044" s="1014"/>
      <c r="EA1044" s="1014"/>
      <c r="EB1044" s="290"/>
      <c r="EC1044" s="290"/>
      <c r="ED1044" s="1014"/>
      <c r="EE1044" s="1014"/>
      <c r="EF1044" s="290"/>
      <c r="EG1044" s="290"/>
      <c r="EH1044" s="290"/>
      <c r="EI1044" s="290"/>
      <c r="EJ1044" s="290"/>
      <c r="EK1044" s="290"/>
      <c r="EL1044" s="290"/>
      <c r="EM1044" s="290"/>
      <c r="EN1044" s="290"/>
      <c r="EO1044" s="290"/>
      <c r="EP1044" s="290"/>
      <c r="JM1044"/>
    </row>
    <row r="1045" spans="1:273" s="289" customFormat="1">
      <c r="A1045" s="289" t="str">
        <f t="shared" si="2265"/>
        <v xml:space="preserve"> - total</v>
      </c>
      <c r="B1045" s="290"/>
      <c r="AN1045" s="290"/>
      <c r="AO1045" s="290"/>
      <c r="AP1045" s="290"/>
      <c r="AQ1045" s="290"/>
      <c r="AR1045" s="376"/>
      <c r="AS1045" s="376"/>
      <c r="AT1045" s="674"/>
      <c r="AU1045" s="674"/>
      <c r="AV1045" s="376"/>
      <c r="AW1045" s="376"/>
      <c r="AX1045" s="674"/>
      <c r="AY1045" s="674"/>
      <c r="AZ1045" s="376"/>
      <c r="BA1045" s="1014"/>
      <c r="BB1045" s="290"/>
      <c r="BC1045" s="290"/>
      <c r="BD1045" s="715"/>
      <c r="BE1045" s="1352"/>
      <c r="BF1045" s="715"/>
      <c r="BG1045" s="290"/>
      <c r="BH1045" s="376"/>
      <c r="BI1045" s="1014"/>
      <c r="BJ1045" s="290"/>
      <c r="BK1045" s="290"/>
      <c r="BL1045" s="1014"/>
      <c r="BM1045" s="1014"/>
      <c r="BN1045" s="290"/>
      <c r="BO1045" s="290"/>
      <c r="BP1045" s="1014"/>
      <c r="BQ1045" s="1014"/>
      <c r="BR1045" s="290"/>
      <c r="BS1045" s="290"/>
      <c r="BT1045" s="715">
        <f t="shared" si="2235"/>
        <v>265</v>
      </c>
      <c r="BU1045" s="715">
        <f t="shared" si="2235"/>
        <v>345</v>
      </c>
      <c r="BV1045" s="715">
        <f t="shared" si="2235"/>
        <v>610</v>
      </c>
      <c r="BW1045" s="290"/>
      <c r="BX1045" s="715">
        <f t="shared" si="2236"/>
        <v>588</v>
      </c>
      <c r="BY1045" s="715">
        <f t="shared" si="2236"/>
        <v>451</v>
      </c>
      <c r="BZ1045" s="715">
        <f t="shared" si="2236"/>
        <v>1039</v>
      </c>
      <c r="CA1045" s="671">
        <f>+BZ1045/BV1045-1</f>
        <v>0.70327868852459008</v>
      </c>
      <c r="CB1045" s="715">
        <f t="shared" si="2237"/>
        <v>446</v>
      </c>
      <c r="CC1045" s="715">
        <f t="shared" si="2237"/>
        <v>817</v>
      </c>
      <c r="CD1045" s="715">
        <f t="shared" si="2237"/>
        <v>1263</v>
      </c>
      <c r="CE1045" s="671">
        <f t="shared" ref="CE1045" si="2291">+CD1045/BZ1045-1</f>
        <v>0.21559191530317623</v>
      </c>
      <c r="CF1045" s="715">
        <f t="shared" si="2239"/>
        <v>473</v>
      </c>
      <c r="CG1045" s="715">
        <f t="shared" si="2239"/>
        <v>1601</v>
      </c>
      <c r="CH1045" s="715">
        <f t="shared" si="2239"/>
        <v>2074</v>
      </c>
      <c r="CI1045" s="671">
        <f t="shared" ref="CI1045" si="2292">+CH1045/CD1045-1</f>
        <v>0.64212193190815525</v>
      </c>
      <c r="CJ1045" s="715">
        <f t="shared" si="2241"/>
        <v>651</v>
      </c>
      <c r="CK1045" s="715">
        <f t="shared" si="2241"/>
        <v>1010</v>
      </c>
      <c r="CL1045" s="715">
        <f t="shared" si="2241"/>
        <v>1661</v>
      </c>
      <c r="CM1045" s="671">
        <f t="shared" ref="CM1045" si="2293">+CL1045/CH1045-1</f>
        <v>-0.19913211186113788</v>
      </c>
      <c r="CN1045" s="715">
        <f t="shared" si="2243"/>
        <v>603</v>
      </c>
      <c r="CO1045" s="715">
        <f t="shared" si="2243"/>
        <v>1311</v>
      </c>
      <c r="CP1045" s="715">
        <f t="shared" si="2243"/>
        <v>1914</v>
      </c>
      <c r="CQ1045" s="671">
        <f t="shared" ref="CQ1045" si="2294">+CP1045/CL1045-1</f>
        <v>0.15231788079470188</v>
      </c>
      <c r="CR1045" s="715">
        <f t="shared" si="2245"/>
        <v>985</v>
      </c>
      <c r="CS1045" s="715">
        <f t="shared" si="2245"/>
        <v>2251</v>
      </c>
      <c r="CT1045" s="715">
        <f t="shared" si="2245"/>
        <v>3236</v>
      </c>
      <c r="CU1045" s="671">
        <f t="shared" ref="CU1045" si="2295">+CT1045/CP1045-1</f>
        <v>0.69070010449320796</v>
      </c>
      <c r="CV1045" s="715">
        <f t="shared" si="2247"/>
        <v>1542</v>
      </c>
      <c r="CW1045" s="715">
        <f t="shared" si="2247"/>
        <v>562</v>
      </c>
      <c r="CX1045" s="715">
        <f t="shared" si="2247"/>
        <v>2104</v>
      </c>
      <c r="CY1045" s="671">
        <f t="shared" ref="CY1045" si="2296">+CX1045/CT1045-1</f>
        <v>-0.3498145859085291</v>
      </c>
      <c r="CZ1045" s="715">
        <f t="shared" ref="CZ1045" si="2297">+CZ502</f>
        <v>346</v>
      </c>
      <c r="DA1045" s="715">
        <f t="shared" si="2250"/>
        <v>710</v>
      </c>
      <c r="DB1045" s="715">
        <f t="shared" si="2250"/>
        <v>1056</v>
      </c>
      <c r="DC1045" s="671">
        <f t="shared" ref="DC1045" si="2298">+DB1045/CX1045-1</f>
        <v>-0.49809885931558939</v>
      </c>
      <c r="DD1045" s="715">
        <f t="shared" si="2252"/>
        <v>526</v>
      </c>
      <c r="DE1045" s="715">
        <f t="shared" si="2252"/>
        <v>796</v>
      </c>
      <c r="DF1045" s="715">
        <f t="shared" si="2252"/>
        <v>1322</v>
      </c>
      <c r="DG1045" s="671">
        <f t="shared" ref="DG1045" si="2299">+DF1045/DB1045-1</f>
        <v>0.25189393939393945</v>
      </c>
      <c r="DH1045" s="715">
        <f t="shared" ref="DH1045" si="2300">+DH502</f>
        <v>326</v>
      </c>
      <c r="DI1045" s="715">
        <f t="shared" ref="DI1045:DJ1045" si="2301">+DI502</f>
        <v>993.82</v>
      </c>
      <c r="DJ1045" s="715">
        <f t="shared" si="2301"/>
        <v>1319.8200000000002</v>
      </c>
      <c r="DK1045" s="671">
        <f t="shared" ref="DK1045" si="2302">+DJ1045/DF1045-1</f>
        <v>-1.6490166414522278E-3</v>
      </c>
      <c r="DL1045" s="715">
        <f t="shared" ref="DL1045:DN1045" si="2303">+DL502</f>
        <v>618.08000000000004</v>
      </c>
      <c r="DM1045" s="715">
        <f t="shared" si="2303"/>
        <v>841.91679999999997</v>
      </c>
      <c r="DN1045" s="715">
        <f t="shared" si="2303"/>
        <v>1459.9967999999999</v>
      </c>
      <c r="DO1045" s="290"/>
      <c r="DP1045" s="715">
        <f t="shared" ref="DP1045:DR1045" si="2304">+DP502</f>
        <v>644.20320000000004</v>
      </c>
      <c r="DQ1045" s="715">
        <f t="shared" si="2304"/>
        <v>888.993472</v>
      </c>
      <c r="DR1045" s="715">
        <f t="shared" si="2304"/>
        <v>1533.196672</v>
      </c>
      <c r="DS1045" s="290"/>
      <c r="DT1045" s="290"/>
      <c r="DU1045" s="1014"/>
      <c r="DV1045" s="1014"/>
      <c r="DW1045" s="1014"/>
      <c r="DX1045" s="290"/>
      <c r="DY1045" s="290"/>
      <c r="DZ1045" s="1014"/>
      <c r="EA1045" s="1014"/>
      <c r="EB1045" s="290"/>
      <c r="EC1045" s="290"/>
      <c r="ED1045" s="1014"/>
      <c r="EE1045" s="1014"/>
      <c r="EF1045" s="290"/>
      <c r="EG1045" s="290"/>
      <c r="EH1045" s="290"/>
      <c r="EI1045" s="290"/>
      <c r="EJ1045" s="290"/>
      <c r="EK1045" s="290"/>
      <c r="EL1045" s="290"/>
      <c r="EM1045" s="290"/>
      <c r="EN1045" s="290"/>
      <c r="EO1045" s="290"/>
      <c r="EP1045" s="290"/>
      <c r="JM1045"/>
    </row>
    <row r="1046" spans="1:273" s="289" customFormat="1">
      <c r="A1046" s="102"/>
      <c r="B1046" s="290"/>
      <c r="AN1046" s="290"/>
      <c r="AO1046" s="290"/>
      <c r="AP1046" s="290"/>
      <c r="AQ1046" s="290"/>
      <c r="AR1046" s="376"/>
      <c r="AS1046" s="376"/>
      <c r="AT1046" s="674"/>
      <c r="AU1046" s="674"/>
      <c r="AV1046" s="376"/>
      <c r="AW1046" s="376"/>
      <c r="AX1046" s="674"/>
      <c r="AY1046" s="674"/>
      <c r="AZ1046" s="376"/>
      <c r="BA1046" s="1014"/>
      <c r="BB1046" s="290"/>
      <c r="BC1046" s="290"/>
      <c r="BD1046" s="715"/>
      <c r="BE1046" s="1352"/>
      <c r="BF1046" s="715"/>
      <c r="BG1046" s="290"/>
      <c r="BH1046" s="376"/>
      <c r="BI1046" s="1014"/>
      <c r="BJ1046" s="290"/>
      <c r="BK1046" s="290"/>
      <c r="BL1046" s="1014"/>
      <c r="BM1046" s="1014"/>
      <c r="BN1046" s="290"/>
      <c r="BO1046" s="290"/>
      <c r="BP1046" s="1014"/>
      <c r="BQ1046" s="1014"/>
      <c r="BR1046" s="290"/>
      <c r="BS1046" s="290"/>
      <c r="BT1046" s="1014"/>
      <c r="BU1046" s="1014"/>
      <c r="BV1046" s="290"/>
      <c r="BW1046" s="290"/>
      <c r="BX1046" s="715"/>
      <c r="BY1046" s="715"/>
      <c r="BZ1046" s="715"/>
      <c r="CA1046" s="290"/>
      <c r="CB1046" s="715"/>
      <c r="CC1046" s="715"/>
      <c r="CD1046" s="715"/>
      <c r="CE1046" s="811"/>
      <c r="CF1046" s="715"/>
      <c r="CG1046" s="715"/>
      <c r="CH1046" s="715"/>
      <c r="CI1046" s="811"/>
      <c r="CJ1046" s="715"/>
      <c r="CK1046" s="715"/>
      <c r="CL1046" s="715"/>
      <c r="CM1046" s="715"/>
      <c r="CN1046" s="715"/>
      <c r="CO1046" s="715"/>
      <c r="CP1046" s="715"/>
      <c r="CQ1046" s="811"/>
      <c r="CR1046" s="715"/>
      <c r="CS1046" s="715"/>
      <c r="CT1046" s="715"/>
      <c r="CU1046" s="811"/>
      <c r="CV1046" s="715"/>
      <c r="CW1046" s="715"/>
      <c r="CX1046" s="715"/>
      <c r="CY1046" s="811"/>
      <c r="CZ1046" s="715"/>
      <c r="DA1046" s="715"/>
      <c r="DB1046" s="715"/>
      <c r="DC1046" s="811"/>
      <c r="DD1046" s="715"/>
      <c r="DE1046" s="715"/>
      <c r="DF1046" s="715"/>
      <c r="DG1046" s="811"/>
      <c r="DH1046" s="715"/>
      <c r="DI1046" s="715"/>
      <c r="DJ1046" s="715"/>
      <c r="DK1046" s="376"/>
      <c r="DL1046" s="715"/>
      <c r="DM1046" s="715"/>
      <c r="DN1046" s="715"/>
      <c r="DO1046" s="290"/>
      <c r="DP1046" s="715"/>
      <c r="DQ1046" s="715"/>
      <c r="DR1046" s="715"/>
      <c r="DS1046" s="290"/>
      <c r="DT1046" s="290"/>
      <c r="DU1046" s="1014"/>
      <c r="DV1046" s="1014"/>
      <c r="DW1046" s="1014"/>
      <c r="DX1046" s="290"/>
      <c r="DY1046" s="290"/>
      <c r="DZ1046" s="1014"/>
      <c r="EA1046" s="1014"/>
      <c r="EB1046" s="290"/>
      <c r="EC1046" s="290"/>
      <c r="ED1046" s="1014"/>
      <c r="EE1046" s="1014"/>
      <c r="EF1046" s="290"/>
      <c r="EG1046" s="290"/>
      <c r="EH1046" s="290"/>
      <c r="EI1046" s="290"/>
      <c r="EJ1046" s="290"/>
      <c r="EK1046" s="290"/>
      <c r="EL1046" s="290"/>
      <c r="EM1046" s="290"/>
      <c r="EN1046" s="290"/>
      <c r="EO1046" s="290"/>
      <c r="EP1046" s="290"/>
      <c r="JM1046"/>
    </row>
    <row r="1047" spans="1:273">
      <c r="A1047" s="815" t="s">
        <v>1295</v>
      </c>
      <c r="AR1047" s="685"/>
      <c r="AS1047" s="685"/>
      <c r="AT1047" s="730"/>
      <c r="AU1047" s="730"/>
      <c r="AV1047" s="685"/>
      <c r="AW1047" s="685"/>
      <c r="AX1047" s="730"/>
      <c r="AY1047" s="730"/>
      <c r="AZ1047" s="685"/>
      <c r="BA1047" s="876"/>
      <c r="BD1047" s="711"/>
      <c r="BE1047" s="885"/>
      <c r="BF1047" s="711"/>
      <c r="BH1047" s="685"/>
      <c r="BI1047" s="876"/>
      <c r="BL1047" s="876"/>
      <c r="BM1047" s="876"/>
      <c r="BP1047" s="876"/>
      <c r="BQ1047" s="876"/>
      <c r="BT1047" s="876"/>
      <c r="BU1047" s="876"/>
      <c r="BX1047" s="876"/>
      <c r="BY1047" s="876"/>
      <c r="CB1047" s="876"/>
      <c r="CC1047" s="876"/>
      <c r="CF1047" s="876"/>
      <c r="CG1047" s="876"/>
      <c r="CJ1047" s="876"/>
      <c r="CK1047" s="876"/>
      <c r="CN1047" s="876"/>
      <c r="CO1047" s="876"/>
      <c r="CR1047" s="876"/>
      <c r="CS1047" s="876"/>
      <c r="CU1047" s="115"/>
      <c r="CV1047" s="876"/>
      <c r="CW1047" s="876"/>
      <c r="CY1047" s="115"/>
      <c r="CZ1047" s="876"/>
      <c r="DA1047" s="876"/>
      <c r="DC1047" s="115"/>
      <c r="DD1047" s="876"/>
      <c r="DE1047" s="876"/>
      <c r="DG1047" s="115"/>
      <c r="DH1047" s="876"/>
      <c r="DI1047" s="876"/>
      <c r="DL1047" s="876"/>
      <c r="DM1047" s="876"/>
      <c r="DP1047" s="876"/>
      <c r="DQ1047" s="876"/>
      <c r="DU1047" s="876"/>
      <c r="DV1047" s="876"/>
      <c r="DW1047" s="876"/>
      <c r="DZ1047" s="876"/>
      <c r="EA1047" s="876"/>
      <c r="ED1047" s="876"/>
      <c r="EE1047" s="876"/>
    </row>
    <row r="1048" spans="1:273">
      <c r="A1048" s="102" t="s">
        <v>686</v>
      </c>
      <c r="AR1048" s="685"/>
      <c r="AS1048" s="685"/>
      <c r="AT1048" s="730"/>
      <c r="AU1048" s="730"/>
      <c r="AV1048" s="685"/>
      <c r="AW1048" s="685"/>
      <c r="AX1048" s="730"/>
      <c r="AY1048" s="730"/>
      <c r="AZ1048" s="685"/>
      <c r="BA1048" s="876"/>
      <c r="BD1048" s="711"/>
      <c r="BE1048" s="885"/>
      <c r="BF1048" s="711"/>
      <c r="BH1048" s="685"/>
      <c r="BI1048" s="876"/>
      <c r="BL1048" s="876"/>
      <c r="BM1048" s="876"/>
      <c r="BP1048" s="876"/>
      <c r="BQ1048" s="876"/>
      <c r="BT1048" s="876"/>
      <c r="BU1048" s="876"/>
      <c r="BX1048" s="711">
        <f t="shared" ref="BX1048:BZ1052" si="2305">+BX922-BX791</f>
        <v>117.88000000000002</v>
      </c>
      <c r="BY1048" s="711">
        <f t="shared" si="2305"/>
        <v>180.23999999999998</v>
      </c>
      <c r="BZ1048" s="711">
        <f t="shared" si="2305"/>
        <v>298.12</v>
      </c>
      <c r="CB1048" s="711">
        <f t="shared" ref="CB1048:CD1052" si="2306">+CB922-CB791</f>
        <v>123</v>
      </c>
      <c r="CC1048" s="711">
        <f t="shared" si="2306"/>
        <v>284</v>
      </c>
      <c r="CD1048" s="711">
        <f t="shared" si="2306"/>
        <v>407</v>
      </c>
      <c r="CE1048" s="817">
        <f t="shared" ref="CE1048:CE1052" si="2307">+CD1048/BZ1048-1</f>
        <v>0.3652220582315846</v>
      </c>
      <c r="CF1048" s="711">
        <f t="shared" ref="CF1048:CH1050" si="2308">+CF922-CF791</f>
        <v>142.04999999999995</v>
      </c>
      <c r="CG1048" s="711">
        <f t="shared" si="2308"/>
        <v>372.84999999999991</v>
      </c>
      <c r="CH1048" s="711">
        <f t="shared" si="2308"/>
        <v>514.89999999999986</v>
      </c>
      <c r="CI1048" s="817">
        <f t="shared" ref="CI1048:CI1052" si="2309">+CH1048/CD1048-1</f>
        <v>0.26511056511056474</v>
      </c>
      <c r="CJ1048" s="711">
        <f t="shared" ref="CJ1048:CL1050" si="2310">+CJ922-CJ791</f>
        <v>181.5</v>
      </c>
      <c r="CK1048" s="711">
        <f t="shared" si="2310"/>
        <v>341</v>
      </c>
      <c r="CL1048" s="711">
        <f t="shared" si="2310"/>
        <v>522.5</v>
      </c>
      <c r="CM1048" s="817">
        <f t="shared" ref="CM1048:CM1052" si="2311">+CL1048/CH1048-1</f>
        <v>1.4760147601476259E-2</v>
      </c>
      <c r="CN1048" s="1013">
        <f t="shared" ref="CN1048:CP1050" si="2312">+CN922-CN791</f>
        <v>7.3999999999999773</v>
      </c>
      <c r="CO1048" s="711">
        <f t="shared" si="2312"/>
        <v>546.68000000000006</v>
      </c>
      <c r="CP1048" s="295">
        <f t="shared" si="2312"/>
        <v>554.07999999999993</v>
      </c>
      <c r="CQ1048" s="294">
        <f t="shared" ref="CQ1048:CQ1050" si="2313">+CP1048/CL1048-1</f>
        <v>6.0440191387559628E-2</v>
      </c>
      <c r="CR1048" s="711">
        <f t="shared" ref="CR1048:CT1050" si="2314">+CR922-CR791</f>
        <v>335.1</v>
      </c>
      <c r="CS1048" s="711">
        <f t="shared" si="2314"/>
        <v>455.1</v>
      </c>
      <c r="CT1048" s="295">
        <f t="shared" si="2314"/>
        <v>790.2</v>
      </c>
      <c r="CU1048" s="294">
        <f t="shared" ref="CU1048:CU1050" si="2315">+CT1048/CP1048-1</f>
        <v>0.42614784868611055</v>
      </c>
      <c r="CV1048" s="711">
        <f t="shared" ref="CV1048:CX1050" si="2316">+CV922-CV791</f>
        <v>421.84999999999997</v>
      </c>
      <c r="CW1048" s="711">
        <f t="shared" si="2316"/>
        <v>219</v>
      </c>
      <c r="CX1048" s="295">
        <f t="shared" si="2316"/>
        <v>640.84999999999991</v>
      </c>
      <c r="CY1048" s="294">
        <f t="shared" ref="CY1048:CY1050" si="2317">+CX1048/CT1048-1</f>
        <v>-0.18900278410528992</v>
      </c>
      <c r="CZ1048" s="711">
        <f t="shared" ref="CZ1048" si="2318">+CZ922-CZ791</f>
        <v>265.60000000000002</v>
      </c>
      <c r="DA1048" s="711">
        <f t="shared" ref="DA1048:DB1050" si="2319">+DA922-DA791</f>
        <v>366.15999999999997</v>
      </c>
      <c r="DB1048" s="295">
        <f t="shared" si="2319"/>
        <v>631.76</v>
      </c>
      <c r="DC1048" s="294">
        <f t="shared" ref="DC1048:DC1052" si="2320">+DB1048/CX1048-1</f>
        <v>-1.4184286494499321E-2</v>
      </c>
      <c r="DD1048" s="711">
        <f t="shared" ref="DD1048:DF1050" si="2321">+DD922-DD791</f>
        <v>238.59999999999997</v>
      </c>
      <c r="DE1048" s="711">
        <f t="shared" si="2321"/>
        <v>409.64</v>
      </c>
      <c r="DF1048" s="295">
        <f t="shared" si="2321"/>
        <v>648.24</v>
      </c>
      <c r="DG1048" s="294">
        <f t="shared" ref="DG1048:DG1050" si="2322">+DF1048/DB1048-1</f>
        <v>2.6085855388122026E-2</v>
      </c>
      <c r="DH1048" s="711">
        <f t="shared" ref="DH1048" si="2323">+DH922-DH791</f>
        <v>425.07999999999993</v>
      </c>
      <c r="DI1048" s="711">
        <f t="shared" ref="DI1048:DJ1048" si="2324">+DI922-DI791</f>
        <v>466.86360000000019</v>
      </c>
      <c r="DJ1048" s="295">
        <f t="shared" si="2324"/>
        <v>891.94360000000006</v>
      </c>
      <c r="DK1048" s="294">
        <f t="shared" ref="DK1048:DK1050" si="2325">+DJ1048/DF1048-1</f>
        <v>0.37594656300135765</v>
      </c>
      <c r="DL1048" s="711">
        <f t="shared" ref="DL1048:DN1048" si="2326">+DL922-DL791</f>
        <v>424.39805200000006</v>
      </c>
      <c r="DM1048" s="711">
        <f t="shared" si="2326"/>
        <v>520.34836056000006</v>
      </c>
      <c r="DN1048" s="295">
        <f t="shared" si="2326"/>
        <v>944.74641255999995</v>
      </c>
      <c r="DO1048" s="294">
        <f t="shared" ref="DO1048:DO1050" si="2327">+DN1048/DJ1048-1</f>
        <v>5.9199721327671373E-2</v>
      </c>
      <c r="DP1048" s="711">
        <f t="shared" ref="DP1048:DR1048" si="2328">+DP922-DP791</f>
        <v>452.56045546920006</v>
      </c>
      <c r="DQ1048" s="711">
        <f t="shared" si="2328"/>
        <v>548.08134566727597</v>
      </c>
      <c r="DR1048" s="295">
        <f t="shared" si="2328"/>
        <v>1000.6418011364761</v>
      </c>
      <c r="DS1048" s="294">
        <f t="shared" ref="DS1048:DS1050" si="2329">+DR1048/DN1048-1</f>
        <v>5.9164435909330626E-2</v>
      </c>
      <c r="DU1048" s="876"/>
      <c r="DV1048" s="876"/>
      <c r="DW1048" s="876"/>
      <c r="DZ1048" s="876"/>
      <c r="EA1048" s="876"/>
      <c r="ED1048" s="876"/>
      <c r="EE1048" s="876"/>
    </row>
    <row r="1049" spans="1:273">
      <c r="A1049" s="102" t="s">
        <v>1306</v>
      </c>
      <c r="AR1049" s="685"/>
      <c r="AS1049" s="685"/>
      <c r="AT1049" s="730"/>
      <c r="AU1049" s="730"/>
      <c r="AV1049" s="685"/>
      <c r="AW1049" s="685"/>
      <c r="AX1049" s="730"/>
      <c r="AY1049" s="730"/>
      <c r="AZ1049" s="685"/>
      <c r="BA1049" s="876"/>
      <c r="BD1049" s="711"/>
      <c r="BE1049" s="885"/>
      <c r="BF1049" s="711"/>
      <c r="BH1049" s="685"/>
      <c r="BI1049" s="876"/>
      <c r="BL1049" s="876"/>
      <c r="BM1049" s="876"/>
      <c r="BP1049" s="876"/>
      <c r="BQ1049" s="876"/>
      <c r="BT1049" s="876"/>
      <c r="BU1049" s="876"/>
      <c r="BX1049" s="711">
        <f t="shared" si="2305"/>
        <v>223.03499999999997</v>
      </c>
      <c r="BY1049" s="711">
        <f t="shared" si="2305"/>
        <v>170.78499999999997</v>
      </c>
      <c r="BZ1049" s="711">
        <f t="shared" si="2305"/>
        <v>393.81999999999994</v>
      </c>
      <c r="CB1049" s="711">
        <f t="shared" si="2306"/>
        <v>327.245</v>
      </c>
      <c r="CC1049" s="711">
        <f t="shared" si="2306"/>
        <v>98.785000000000025</v>
      </c>
      <c r="CD1049" s="711">
        <f t="shared" si="2306"/>
        <v>426.03</v>
      </c>
      <c r="CE1049" s="817">
        <f t="shared" si="2307"/>
        <v>8.1788634401503302E-2</v>
      </c>
      <c r="CF1049" s="711">
        <f t="shared" si="2308"/>
        <v>224.20000000000005</v>
      </c>
      <c r="CG1049" s="711">
        <f t="shared" si="2308"/>
        <v>254.89999999999998</v>
      </c>
      <c r="CH1049" s="711">
        <f t="shared" si="2308"/>
        <v>479.09999999999991</v>
      </c>
      <c r="CI1049" s="817">
        <f t="shared" si="2309"/>
        <v>0.1245686923456093</v>
      </c>
      <c r="CJ1049" s="711">
        <f t="shared" si="2310"/>
        <v>283.12</v>
      </c>
      <c r="CK1049" s="711">
        <f t="shared" si="2310"/>
        <v>256.84000000000003</v>
      </c>
      <c r="CL1049" s="711">
        <f t="shared" si="2310"/>
        <v>539.96</v>
      </c>
      <c r="CM1049" s="817">
        <f t="shared" si="2311"/>
        <v>0.12702984763097502</v>
      </c>
      <c r="CN1049" s="711">
        <f t="shared" si="2312"/>
        <v>297.59000000000003</v>
      </c>
      <c r="CO1049" s="711">
        <f t="shared" si="2312"/>
        <v>317.14999999999998</v>
      </c>
      <c r="CP1049" s="295">
        <f t="shared" si="2312"/>
        <v>614.74</v>
      </c>
      <c r="CQ1049" s="294">
        <f t="shared" si="2313"/>
        <v>0.13849174012889831</v>
      </c>
      <c r="CR1049" s="711">
        <f t="shared" si="2314"/>
        <v>329.93999999999994</v>
      </c>
      <c r="CS1049" s="711">
        <f t="shared" si="2314"/>
        <v>595.73</v>
      </c>
      <c r="CT1049" s="295">
        <f t="shared" si="2314"/>
        <v>925.67000000000007</v>
      </c>
      <c r="CU1049" s="294">
        <f t="shared" si="2315"/>
        <v>0.50579106614178371</v>
      </c>
      <c r="CV1049" s="711">
        <f t="shared" si="2316"/>
        <v>426.54999999999995</v>
      </c>
      <c r="CW1049" s="711">
        <f t="shared" si="2316"/>
        <v>270.26</v>
      </c>
      <c r="CX1049" s="295">
        <f t="shared" si="2316"/>
        <v>696.80999999999983</v>
      </c>
      <c r="CY1049" s="294">
        <f t="shared" si="2317"/>
        <v>-0.24723713634448585</v>
      </c>
      <c r="CZ1049" s="711">
        <f t="shared" ref="CZ1049" si="2330">+CZ923-CZ792</f>
        <v>296.05999999999995</v>
      </c>
      <c r="DA1049" s="711">
        <f t="shared" si="2319"/>
        <v>445.62</v>
      </c>
      <c r="DB1049" s="295">
        <f t="shared" si="2319"/>
        <v>741.67999999999984</v>
      </c>
      <c r="DC1049" s="294">
        <f t="shared" si="2320"/>
        <v>6.4393450151404297E-2</v>
      </c>
      <c r="DD1049" s="711">
        <f t="shared" si="2321"/>
        <v>438.64</v>
      </c>
      <c r="DE1049" s="711">
        <f t="shared" si="2321"/>
        <v>668.15999999999985</v>
      </c>
      <c r="DF1049" s="295">
        <f t="shared" si="2321"/>
        <v>1106.7999999999997</v>
      </c>
      <c r="DG1049" s="294">
        <f t="shared" si="2322"/>
        <v>0.49228777909610599</v>
      </c>
      <c r="DH1049" s="711">
        <f t="shared" ref="DH1049" si="2331">+DH923-DH792</f>
        <v>601.54</v>
      </c>
      <c r="DI1049" s="711">
        <f t="shared" ref="DI1049:DJ1049" si="2332">+DI923-DI792</f>
        <v>682.54412813052807</v>
      </c>
      <c r="DJ1049" s="295">
        <f t="shared" si="2332"/>
        <v>1284.0841281305279</v>
      </c>
      <c r="DK1049" s="294">
        <f t="shared" si="2325"/>
        <v>0.16017720286459003</v>
      </c>
      <c r="DL1049" s="711">
        <f t="shared" ref="DL1049:DN1049" si="2333">+DL923-DL792</f>
        <v>471.69275492437174</v>
      </c>
      <c r="DM1049" s="711">
        <f t="shared" si="2333"/>
        <v>456.61244261427794</v>
      </c>
      <c r="DN1049" s="295">
        <f t="shared" si="2333"/>
        <v>928.30519753864974</v>
      </c>
      <c r="DO1049" s="294">
        <f t="shared" si="2327"/>
        <v>-0.27706824093359794</v>
      </c>
      <c r="DP1049" s="711">
        <f t="shared" ref="DP1049:DR1049" si="2334">+DP923-DP792</f>
        <v>477.23056577968543</v>
      </c>
      <c r="DQ1049" s="711">
        <f t="shared" si="2334"/>
        <v>464.71363037768504</v>
      </c>
      <c r="DR1049" s="295">
        <f t="shared" si="2334"/>
        <v>941.94419615737058</v>
      </c>
      <c r="DS1049" s="294">
        <f t="shared" si="2329"/>
        <v>1.4692364811576875E-2</v>
      </c>
      <c r="DU1049" s="876"/>
      <c r="DV1049" s="876"/>
      <c r="DW1049" s="876"/>
      <c r="DZ1049" s="876"/>
      <c r="EA1049" s="876"/>
      <c r="ED1049" s="876"/>
      <c r="EE1049" s="876"/>
    </row>
    <row r="1050" spans="1:273">
      <c r="A1050" s="102" t="s">
        <v>1024</v>
      </c>
      <c r="AR1050" s="685"/>
      <c r="AS1050" s="685"/>
      <c r="AT1050" s="730"/>
      <c r="AU1050" s="730"/>
      <c r="AV1050" s="685"/>
      <c r="AW1050" s="685"/>
      <c r="AX1050" s="730"/>
      <c r="AY1050" s="730"/>
      <c r="AZ1050" s="685"/>
      <c r="BA1050" s="876"/>
      <c r="BD1050" s="711"/>
      <c r="BE1050" s="885"/>
      <c r="BF1050" s="711"/>
      <c r="BH1050" s="685"/>
      <c r="BI1050" s="876"/>
      <c r="BL1050" s="876"/>
      <c r="BM1050" s="876"/>
      <c r="BP1050" s="876"/>
      <c r="BQ1050" s="876"/>
      <c r="BT1050" s="876"/>
      <c r="BU1050" s="876"/>
      <c r="BX1050" s="711">
        <f t="shared" si="2305"/>
        <v>207.47500000000002</v>
      </c>
      <c r="BY1050" s="711">
        <f t="shared" si="2305"/>
        <v>215.10499999999996</v>
      </c>
      <c r="BZ1050" s="711">
        <f t="shared" si="2305"/>
        <v>422.58000000000004</v>
      </c>
      <c r="CB1050" s="711">
        <f t="shared" si="2306"/>
        <v>184.34999999999997</v>
      </c>
      <c r="CC1050" s="711">
        <f t="shared" si="2306"/>
        <v>235.09999999999991</v>
      </c>
      <c r="CD1050" s="711">
        <f t="shared" si="2306"/>
        <v>419.44999999999982</v>
      </c>
      <c r="CE1050" s="817">
        <f t="shared" si="2307"/>
        <v>-7.4068815372242414E-3</v>
      </c>
      <c r="CF1050" s="711">
        <f t="shared" si="2308"/>
        <v>413.36000000000007</v>
      </c>
      <c r="CG1050" s="711">
        <f t="shared" si="2308"/>
        <v>401.87999999999994</v>
      </c>
      <c r="CH1050" s="711">
        <f t="shared" si="2308"/>
        <v>815.2399999999999</v>
      </c>
      <c r="CI1050" s="817">
        <f t="shared" si="2309"/>
        <v>0.9435928000953635</v>
      </c>
      <c r="CJ1050" s="711">
        <f t="shared" si="2310"/>
        <v>479.29999999999995</v>
      </c>
      <c r="CK1050" s="711">
        <f t="shared" si="2310"/>
        <v>280.69999999999993</v>
      </c>
      <c r="CL1050" s="711">
        <f t="shared" si="2310"/>
        <v>760</v>
      </c>
      <c r="CM1050" s="817">
        <f t="shared" si="2311"/>
        <v>-6.7759187478533822E-2</v>
      </c>
      <c r="CN1050" s="711">
        <f t="shared" si="2312"/>
        <v>341</v>
      </c>
      <c r="CO1050" s="711">
        <f t="shared" si="2312"/>
        <v>480.4</v>
      </c>
      <c r="CP1050" s="295">
        <f t="shared" si="2312"/>
        <v>821.40000000000009</v>
      </c>
      <c r="CQ1050" s="294">
        <f t="shared" si="2313"/>
        <v>8.0789473684210744E-2</v>
      </c>
      <c r="CR1050" s="711">
        <f t="shared" si="2314"/>
        <v>461.63</v>
      </c>
      <c r="CS1050" s="711">
        <f t="shared" si="2314"/>
        <v>615.70000000000005</v>
      </c>
      <c r="CT1050" s="295">
        <f t="shared" si="2314"/>
        <v>1077.33</v>
      </c>
      <c r="CU1050" s="294">
        <f t="shared" si="2315"/>
        <v>0.31157779401022623</v>
      </c>
      <c r="CV1050" s="711">
        <f t="shared" si="2316"/>
        <v>635.70000000000005</v>
      </c>
      <c r="CW1050" s="711">
        <f t="shared" si="2316"/>
        <v>1255.3999999999999</v>
      </c>
      <c r="CX1050" s="295">
        <f t="shared" si="2316"/>
        <v>1891.1</v>
      </c>
      <c r="CY1050" s="294">
        <f t="shared" si="2317"/>
        <v>0.75535815395468431</v>
      </c>
      <c r="CZ1050" s="711">
        <f t="shared" ref="CZ1050" si="2335">+CZ924-CZ793</f>
        <v>624.14999999999986</v>
      </c>
      <c r="DA1050" s="711">
        <f t="shared" si="2319"/>
        <v>777.55</v>
      </c>
      <c r="DB1050" s="295">
        <f t="shared" si="2319"/>
        <v>1401.6999999999998</v>
      </c>
      <c r="DC1050" s="294">
        <f t="shared" si="2320"/>
        <v>-0.25879117973666121</v>
      </c>
      <c r="DD1050" s="711">
        <f t="shared" si="2321"/>
        <v>552.0200000000001</v>
      </c>
      <c r="DE1050" s="711">
        <f t="shared" si="2321"/>
        <v>629.92000000000007</v>
      </c>
      <c r="DF1050" s="295">
        <f t="shared" si="2321"/>
        <v>1181.94</v>
      </c>
      <c r="DG1050" s="294">
        <f t="shared" si="2322"/>
        <v>-0.15678105158022382</v>
      </c>
      <c r="DH1050" s="711">
        <f t="shared" ref="DH1050" si="2336">+DH924-DH793</f>
        <v>513.3900000000001</v>
      </c>
      <c r="DI1050" s="711">
        <f t="shared" ref="DI1050:DJ1050" si="2337">+DI924-DI793</f>
        <v>691.70190000000014</v>
      </c>
      <c r="DJ1050" s="295">
        <f t="shared" si="2337"/>
        <v>1205.0919000000004</v>
      </c>
      <c r="DK1050" s="294">
        <f t="shared" si="2325"/>
        <v>1.958805015483045E-2</v>
      </c>
      <c r="DL1050" s="711">
        <f t="shared" ref="DL1050:DN1050" si="2338">+DL924-DL793</f>
        <v>499.52783699999998</v>
      </c>
      <c r="DM1050" s="711">
        <f t="shared" si="2338"/>
        <v>706.31094397000015</v>
      </c>
      <c r="DN1050" s="295">
        <f t="shared" si="2338"/>
        <v>1205.8387809700002</v>
      </c>
      <c r="DO1050" s="294">
        <f t="shared" si="2327"/>
        <v>6.1977096518517349E-4</v>
      </c>
      <c r="DP1050" s="711">
        <f t="shared" ref="DP1050:DR1050" si="2339">+DP924-DP793</f>
        <v>506.81713083709997</v>
      </c>
      <c r="DQ1050" s="711">
        <f t="shared" si="2339"/>
        <v>720.62965950112516</v>
      </c>
      <c r="DR1050" s="295">
        <f t="shared" si="2339"/>
        <v>1227.4467903382251</v>
      </c>
      <c r="DS1050" s="294">
        <f t="shared" si="2329"/>
        <v>1.7919484519185014E-2</v>
      </c>
      <c r="DU1050" s="876"/>
      <c r="DV1050" s="876"/>
      <c r="DW1050" s="876"/>
      <c r="DZ1050" s="876"/>
      <c r="EA1050" s="876"/>
      <c r="ED1050" s="876"/>
      <c r="EE1050" s="876"/>
    </row>
    <row r="1051" spans="1:273">
      <c r="A1051" s="102" t="s">
        <v>690</v>
      </c>
      <c r="AR1051" s="685"/>
      <c r="AS1051" s="685"/>
      <c r="AT1051" s="730"/>
      <c r="AU1051" s="730"/>
      <c r="AV1051" s="685"/>
      <c r="AW1051" s="685"/>
      <c r="AX1051" s="730"/>
      <c r="AY1051" s="730"/>
      <c r="AZ1051" s="685"/>
      <c r="BA1051" s="876"/>
      <c r="BD1051" s="711"/>
      <c r="BE1051" s="885"/>
      <c r="BF1051" s="711"/>
      <c r="BH1051" s="685"/>
      <c r="BI1051" s="876"/>
      <c r="BL1051" s="876"/>
      <c r="BM1051" s="876"/>
      <c r="BP1051" s="876"/>
      <c r="BQ1051" s="876"/>
      <c r="BT1051" s="876"/>
      <c r="BU1051" s="876"/>
      <c r="BX1051" s="711">
        <f t="shared" si="2305"/>
        <v>132.19999999999999</v>
      </c>
      <c r="BY1051" s="711">
        <f t="shared" si="2305"/>
        <v>186.72000000000006</v>
      </c>
      <c r="BZ1051" s="711">
        <f t="shared" si="2305"/>
        <v>318.92000000000007</v>
      </c>
      <c r="CB1051" s="711">
        <f t="shared" si="2306"/>
        <v>96.260000000000019</v>
      </c>
      <c r="CC1051" s="711">
        <f t="shared" si="2306"/>
        <v>93.84</v>
      </c>
      <c r="CD1051" s="711">
        <f t="shared" si="2306"/>
        <v>190.1</v>
      </c>
      <c r="CE1051" s="817"/>
      <c r="CF1051" s="711"/>
      <c r="CG1051" s="711"/>
      <c r="CH1051" s="711"/>
      <c r="CI1051" s="817"/>
      <c r="CJ1051" s="711"/>
      <c r="CK1051" s="711"/>
      <c r="CL1051" s="711"/>
      <c r="CM1051" s="817"/>
      <c r="CN1051" s="711"/>
      <c r="CO1051" s="711"/>
      <c r="CP1051" s="295"/>
      <c r="CQ1051" s="294"/>
      <c r="CR1051" s="711"/>
      <c r="CS1051" s="711"/>
      <c r="CT1051" s="295"/>
      <c r="CU1051" s="294"/>
      <c r="CV1051" s="711"/>
      <c r="CW1051" s="711"/>
      <c r="CX1051" s="295"/>
      <c r="CY1051" s="294"/>
      <c r="CZ1051" s="711"/>
      <c r="DA1051" s="711"/>
      <c r="DB1051" s="295"/>
      <c r="DC1051" s="294"/>
      <c r="DD1051" s="711"/>
      <c r="DE1051" s="711"/>
      <c r="DF1051" s="295"/>
      <c r="DG1051" s="294"/>
      <c r="DH1051" s="711"/>
      <c r="DI1051" s="711"/>
      <c r="DJ1051" s="295"/>
      <c r="DK1051" s="294"/>
      <c r="DL1051" s="711"/>
      <c r="DM1051" s="711"/>
      <c r="DN1051" s="295"/>
      <c r="DO1051" s="294"/>
      <c r="DP1051" s="711"/>
      <c r="DQ1051" s="711"/>
      <c r="DR1051" s="295"/>
      <c r="DS1051" s="294"/>
      <c r="DU1051" s="876"/>
      <c r="DV1051" s="876"/>
      <c r="DW1051" s="876"/>
      <c r="DZ1051" s="876"/>
      <c r="EA1051" s="876"/>
      <c r="ED1051" s="876"/>
      <c r="EE1051" s="876"/>
    </row>
    <row r="1052" spans="1:273">
      <c r="A1052" s="102" t="s">
        <v>689</v>
      </c>
      <c r="AR1052" s="685"/>
      <c r="AS1052" s="685"/>
      <c r="AT1052" s="730"/>
      <c r="AU1052" s="730"/>
      <c r="AV1052" s="685"/>
      <c r="AW1052" s="685"/>
      <c r="AX1052" s="730"/>
      <c r="AY1052" s="730"/>
      <c r="AZ1052" s="685"/>
      <c r="BA1052" s="876"/>
      <c r="BD1052" s="711"/>
      <c r="BE1052" s="885"/>
      <c r="BF1052" s="711"/>
      <c r="BH1052" s="685"/>
      <c r="BI1052" s="876"/>
      <c r="BL1052" s="876"/>
      <c r="BM1052" s="876"/>
      <c r="BP1052" s="876"/>
      <c r="BQ1052" s="876"/>
      <c r="BT1052" s="876"/>
      <c r="BU1052" s="876"/>
      <c r="BX1052" s="711">
        <f t="shared" si="2305"/>
        <v>10.953000000000003</v>
      </c>
      <c r="BY1052" s="711">
        <f t="shared" si="2305"/>
        <v>4.1829999999999927</v>
      </c>
      <c r="BZ1052" s="711">
        <f t="shared" si="2305"/>
        <v>15.135999999999967</v>
      </c>
      <c r="CB1052" s="711">
        <f t="shared" si="2306"/>
        <v>21.122000000000014</v>
      </c>
      <c r="CC1052" s="711">
        <f t="shared" si="2306"/>
        <v>7.6759999999999877</v>
      </c>
      <c r="CD1052" s="711">
        <f t="shared" si="2306"/>
        <v>28.798000000000002</v>
      </c>
      <c r="CE1052" s="817">
        <f t="shared" si="2307"/>
        <v>0.9026162790697716</v>
      </c>
      <c r="CF1052" s="711">
        <f>+CF926-CF795</f>
        <v>33.239999999999981</v>
      </c>
      <c r="CG1052" s="711">
        <f>+CG926-CG795</f>
        <v>50.47999999999999</v>
      </c>
      <c r="CH1052" s="711">
        <f>+CH926-CH795</f>
        <v>83.71999999999997</v>
      </c>
      <c r="CI1052" s="817">
        <f t="shared" si="2309"/>
        <v>1.9071463296062214</v>
      </c>
      <c r="CJ1052" s="711">
        <f>+CJ926-CJ795</f>
        <v>51.830000000000013</v>
      </c>
      <c r="CK1052" s="711">
        <f>+CK926-CK795</f>
        <v>61.679999999999978</v>
      </c>
      <c r="CL1052" s="711">
        <f>+CL926-CL795</f>
        <v>113.50999999999999</v>
      </c>
      <c r="CM1052" s="817">
        <f t="shared" si="2311"/>
        <v>0.35582895365504097</v>
      </c>
      <c r="CN1052" s="711">
        <f>+CN926-CN795</f>
        <v>39.399999999999949</v>
      </c>
      <c r="CO1052" s="711">
        <f>+CO926-CO795</f>
        <v>69.319999999999965</v>
      </c>
      <c r="CP1052" s="295">
        <f>+CP926-CP795</f>
        <v>108.71999999999997</v>
      </c>
      <c r="CQ1052" s="294">
        <f t="shared" ref="CQ1052" si="2340">+CP1052/CL1052-1</f>
        <v>-4.2198925204827931E-2</v>
      </c>
      <c r="CR1052" s="711">
        <f>+CR926-CR795</f>
        <v>48.489999999999981</v>
      </c>
      <c r="CS1052" s="711">
        <f>+CS926-CS795</f>
        <v>71.539999999999992</v>
      </c>
      <c r="CT1052" s="295">
        <f>+CT926-CT795</f>
        <v>120.03000000000003</v>
      </c>
      <c r="CU1052" s="294">
        <f t="shared" ref="CU1052" si="2341">+CT1052/CP1052-1</f>
        <v>0.1040286975717446</v>
      </c>
      <c r="CV1052" s="711">
        <f>+CV926-CV795</f>
        <v>79.519999999999982</v>
      </c>
      <c r="CW1052" s="711">
        <f>+CW926-CW795</f>
        <v>100.87999999999994</v>
      </c>
      <c r="CX1052" s="295">
        <f>+CX926-CX795</f>
        <v>180.39999999999998</v>
      </c>
      <c r="CY1052" s="294">
        <f t="shared" ref="CY1052" si="2342">+CX1052/CT1052-1</f>
        <v>0.50295759393484896</v>
      </c>
      <c r="CZ1052" s="711">
        <f>+CZ926-CZ795</f>
        <v>49.069999999999993</v>
      </c>
      <c r="DA1052" s="711">
        <f>+DA926-DA795</f>
        <v>54</v>
      </c>
      <c r="DB1052" s="295">
        <f>+DB926-DB795</f>
        <v>103.06999999999994</v>
      </c>
      <c r="DC1052" s="294">
        <f t="shared" si="2320"/>
        <v>-0.42865853658536612</v>
      </c>
      <c r="DD1052" s="711">
        <f>+DD926-DD795</f>
        <v>70.78000000000003</v>
      </c>
      <c r="DE1052" s="711">
        <f>+DE926-DE795</f>
        <v>123.73000000000002</v>
      </c>
      <c r="DF1052" s="295">
        <f>+DF926-DF795</f>
        <v>194.51</v>
      </c>
      <c r="DG1052" s="294">
        <f t="shared" ref="DG1052" si="2343">+DF1052/DB1052-1</f>
        <v>0.88716406325798114</v>
      </c>
      <c r="DH1052" s="711">
        <f>+DH926-DH795</f>
        <v>170.34</v>
      </c>
      <c r="DI1052" s="711">
        <f>+DI926-DI795</f>
        <v>120.4769089069066</v>
      </c>
      <c r="DJ1052" s="295">
        <f>+DJ926-DJ795</f>
        <v>290.81690890690663</v>
      </c>
      <c r="DK1052" s="294">
        <f t="shared" ref="DK1052" si="2344">+DJ1052/DF1052-1</f>
        <v>0.49512574626963479</v>
      </c>
      <c r="DL1052" s="711">
        <f>+DL926-DL795</f>
        <v>144.46944964844963</v>
      </c>
      <c r="DM1052" s="711">
        <f>+DM926-DM795</f>
        <v>139.46926157940459</v>
      </c>
      <c r="DN1052" s="295">
        <f>+DN926-DN795</f>
        <v>283.93871122785413</v>
      </c>
      <c r="DO1052" s="294">
        <f t="shared" ref="DO1052" si="2345">+DN1052/DJ1052-1</f>
        <v>-2.3651299042086626E-2</v>
      </c>
      <c r="DP1052" s="711">
        <f>+DP926-DP795</f>
        <v>168.92380824325579</v>
      </c>
      <c r="DQ1052" s="711">
        <f>+DQ926-DQ795</f>
        <v>161.86795967224305</v>
      </c>
      <c r="DR1052" s="295">
        <f>+DR926-DR795</f>
        <v>330.79176791549878</v>
      </c>
      <c r="DS1052" s="294">
        <f t="shared" ref="DS1052" si="2346">+DR1052/DN1052-1</f>
        <v>0.16501116203928312</v>
      </c>
      <c r="DU1052" s="876"/>
      <c r="DV1052" s="876"/>
      <c r="DW1052" s="876"/>
      <c r="DZ1052" s="876"/>
      <c r="EA1052" s="876"/>
      <c r="ED1052" s="876"/>
      <c r="EE1052" s="876"/>
    </row>
    <row r="1053" spans="1:273">
      <c r="A1053" s="102" t="s">
        <v>688</v>
      </c>
      <c r="AR1053" s="685"/>
      <c r="AS1053" s="685"/>
      <c r="AT1053" s="730"/>
      <c r="AU1053" s="730"/>
      <c r="AV1053" s="685"/>
      <c r="AW1053" s="685"/>
      <c r="AX1053" s="730"/>
      <c r="AY1053" s="730"/>
      <c r="AZ1053" s="685"/>
      <c r="BA1053" s="876"/>
      <c r="BD1053" s="711"/>
      <c r="BE1053" s="885"/>
      <c r="BF1053" s="711"/>
      <c r="BH1053" s="685"/>
      <c r="BI1053" s="876"/>
      <c r="BL1053" s="876"/>
      <c r="BM1053" s="876"/>
      <c r="BP1053" s="876"/>
      <c r="BQ1053" s="876"/>
      <c r="BT1053" s="876"/>
      <c r="BU1053" s="876"/>
      <c r="BX1053" s="711"/>
      <c r="BY1053" s="711"/>
      <c r="BZ1053" s="711"/>
      <c r="CB1053" s="711"/>
      <c r="CC1053" s="711"/>
      <c r="CD1053" s="711"/>
      <c r="CF1053" s="711"/>
      <c r="CG1053" s="711"/>
      <c r="CH1053" s="711"/>
      <c r="CJ1053" s="711"/>
      <c r="CK1053" s="711"/>
      <c r="CL1053" s="711"/>
      <c r="CN1053" s="711"/>
      <c r="CO1053" s="711"/>
      <c r="CP1053" s="711"/>
      <c r="CR1053" s="711"/>
      <c r="CS1053" s="711"/>
      <c r="CT1053" s="711"/>
      <c r="CU1053" s="115"/>
      <c r="CV1053" s="711"/>
      <c r="CW1053" s="711"/>
      <c r="CX1053" s="711"/>
      <c r="CY1053" s="115"/>
      <c r="CZ1053" s="711"/>
      <c r="DA1053" s="711"/>
      <c r="DB1053" s="711"/>
      <c r="DC1053" s="115"/>
      <c r="DD1053" s="711"/>
      <c r="DE1053" s="711"/>
      <c r="DF1053" s="711"/>
      <c r="DG1053" s="115"/>
      <c r="DH1053" s="711"/>
      <c r="DI1053" s="711"/>
      <c r="DJ1053" s="711"/>
      <c r="DK1053" s="115"/>
      <c r="DL1053" s="711"/>
      <c r="DM1053" s="711"/>
      <c r="DN1053" s="711"/>
      <c r="DO1053" s="115"/>
      <c r="DP1053" s="711"/>
      <c r="DQ1053" s="711"/>
      <c r="DR1053" s="711"/>
      <c r="DS1053" s="115"/>
      <c r="DU1053" s="876"/>
      <c r="DV1053" s="876"/>
      <c r="DW1053" s="876"/>
      <c r="DZ1053" s="876"/>
      <c r="EA1053" s="876"/>
      <c r="ED1053" s="876"/>
      <c r="EE1053" s="876"/>
    </row>
    <row r="1054" spans="1:273" s="1519" customFormat="1">
      <c r="A1054" s="1519" t="s">
        <v>691</v>
      </c>
      <c r="B1054" s="1520"/>
      <c r="AN1054" s="1520"/>
      <c r="AO1054" s="1520"/>
      <c r="AP1054" s="1520"/>
      <c r="AQ1054" s="1520"/>
      <c r="AR1054" s="1646"/>
      <c r="AS1054" s="1646"/>
      <c r="AT1054" s="1647"/>
      <c r="AU1054" s="1647"/>
      <c r="AV1054" s="1646"/>
      <c r="AW1054" s="1646"/>
      <c r="AX1054" s="1647"/>
      <c r="AY1054" s="1647"/>
      <c r="AZ1054" s="1646"/>
      <c r="BA1054" s="1648"/>
      <c r="BB1054" s="1520"/>
      <c r="BC1054" s="1520"/>
      <c r="BD1054" s="1649"/>
      <c r="BE1054" s="1650"/>
      <c r="BF1054" s="1649"/>
      <c r="BG1054" s="1520"/>
      <c r="BH1054" s="1646"/>
      <c r="BI1054" s="1648"/>
      <c r="BJ1054" s="1520"/>
      <c r="BK1054" s="1520"/>
      <c r="BL1054" s="1648"/>
      <c r="BM1054" s="1648"/>
      <c r="BN1054" s="1520"/>
      <c r="BO1054" s="1520"/>
      <c r="BP1054" s="1648"/>
      <c r="BQ1054" s="1648"/>
      <c r="BR1054" s="1520"/>
      <c r="BS1054" s="1520"/>
      <c r="BT1054" s="1648"/>
      <c r="BU1054" s="1648"/>
      <c r="BV1054" s="1520"/>
      <c r="BW1054" s="1520"/>
      <c r="BX1054" s="1649">
        <f t="shared" ref="BX1054:BZ1055" si="2347">+BX928-BX797</f>
        <v>160.72764653138279</v>
      </c>
      <c r="BY1054" s="1649">
        <f t="shared" si="2347"/>
        <v>-14.781764822134505</v>
      </c>
      <c r="BZ1054" s="1649">
        <f t="shared" si="2347"/>
        <v>145.75081631667865</v>
      </c>
      <c r="CA1054" s="1520"/>
      <c r="CB1054" s="1649">
        <f t="shared" ref="CB1054:CD1055" si="2348">+CB928-CB797</f>
        <v>83.6758066528065</v>
      </c>
      <c r="CC1054" s="1649">
        <f t="shared" si="2348"/>
        <v>62.604407232173116</v>
      </c>
      <c r="CD1054" s="1649">
        <f t="shared" si="2348"/>
        <v>152.67317449664438</v>
      </c>
      <c r="CE1054" s="1651">
        <f t="shared" ref="CE1054" si="2349">+CD1054/BZ1054-1</f>
        <v>4.7494472792009912E-2</v>
      </c>
      <c r="CF1054" s="1649">
        <f t="shared" ref="CF1054:CH1055" si="2350">+CF928-CF797</f>
        <v>163.98272727272717</v>
      </c>
      <c r="CG1054" s="1649">
        <f t="shared" si="2350"/>
        <v>57.535927997203714</v>
      </c>
      <c r="CH1054" s="1649">
        <f t="shared" si="2350"/>
        <v>220.8828474345903</v>
      </c>
      <c r="CI1054" s="1651">
        <f t="shared" ref="CI1054" si="2351">+CH1054/CD1054-1</f>
        <v>0.44676920593830394</v>
      </c>
      <c r="CJ1054" s="1649">
        <f t="shared" ref="CJ1054:CL1055" si="2352">+CJ928-CJ797</f>
        <v>231.4812373225152</v>
      </c>
      <c r="CK1054" s="1649">
        <f t="shared" si="2352"/>
        <v>60.272374317454251</v>
      </c>
      <c r="CL1054" s="1649">
        <f t="shared" si="2352"/>
        <v>291.27650642817207</v>
      </c>
      <c r="CM1054" s="1651">
        <f t="shared" ref="CM1054" si="2353">+CL1054/CH1054-1</f>
        <v>0.31869228331288757</v>
      </c>
      <c r="CN1054" s="1649">
        <f t="shared" ref="CN1054:CP1055" si="2354">+CN928-CN797</f>
        <v>302.21126012601269</v>
      </c>
      <c r="CO1054" s="1649">
        <f t="shared" si="2354"/>
        <v>-13.681950348580415</v>
      </c>
      <c r="CP1054" s="2168">
        <f t="shared" si="2354"/>
        <v>288.99231899265465</v>
      </c>
      <c r="CQ1054" s="1651">
        <f t="shared" ref="CQ1054" si="2355">+CP1054/CL1054-1</f>
        <v>-7.8419899480657307E-3</v>
      </c>
      <c r="CR1054" s="1649">
        <f t="shared" ref="CR1054:CT1055" si="2356">+CR928-CR797</f>
        <v>276.16160312805482</v>
      </c>
      <c r="CS1054" s="1649">
        <f t="shared" si="2356"/>
        <v>44.444053140838832</v>
      </c>
      <c r="CT1054" s="2168">
        <f t="shared" si="2356"/>
        <v>320.67600047434621</v>
      </c>
      <c r="CU1054" s="1651">
        <f t="shared" ref="CU1054" si="2357">+CT1054/CP1054-1</f>
        <v>0.10963502972027728</v>
      </c>
      <c r="CV1054" s="1649">
        <f t="shared" ref="CV1054:CX1055" si="2358">+CV928-CV797</f>
        <v>113.15514190074236</v>
      </c>
      <c r="CW1054" s="1649">
        <f t="shared" si="2358"/>
        <v>123.54510638297916</v>
      </c>
      <c r="CX1054" s="2168">
        <f t="shared" si="2358"/>
        <v>236.21287896923241</v>
      </c>
      <c r="CY1054" s="1651">
        <f t="shared" ref="CY1054" si="2359">+CX1054/CT1054-1</f>
        <v>-0.26339084116109512</v>
      </c>
      <c r="CZ1054" s="1649">
        <f t="shared" ref="CZ1054" si="2360">+CZ928-CZ797</f>
        <v>191.24059724349183</v>
      </c>
      <c r="DA1054" s="1649">
        <f t="shared" ref="DA1054:DB1055" si="2361">+DA928-DA797</f>
        <v>44.788089800155831</v>
      </c>
      <c r="DB1054" s="2168">
        <f t="shared" si="2361"/>
        <v>235.96803371509486</v>
      </c>
      <c r="DC1054" s="1651">
        <f t="shared" ref="DC1054" si="2362">+DB1054/CX1054-1</f>
        <v>-1.0365448963070012E-3</v>
      </c>
      <c r="DD1054" s="1649">
        <f t="shared" ref="DD1054:DF1055" si="2363">+DD928-DD797</f>
        <v>166.63551369862978</v>
      </c>
      <c r="DE1054" s="1649">
        <f t="shared" si="2363"/>
        <v>-106.17169738268535</v>
      </c>
      <c r="DF1054" s="2168">
        <f t="shared" si="2363"/>
        <v>58.59206461195663</v>
      </c>
      <c r="DG1054" s="1651">
        <f t="shared" ref="DG1054" si="2364">+DF1054/DB1054-1</f>
        <v>-0.75169490676563411</v>
      </c>
      <c r="DH1054" s="1649">
        <f t="shared" ref="DH1054" si="2365">+DH928-DH797</f>
        <v>246.68177004538541</v>
      </c>
      <c r="DI1054" s="1649">
        <f t="shared" ref="DI1054:DJ1054" si="2366">+DI928-DI797</f>
        <v>170.64578015587972</v>
      </c>
      <c r="DJ1054" s="2168">
        <f t="shared" si="2366"/>
        <v>420.99279699725957</v>
      </c>
      <c r="DK1054" s="1651">
        <f t="shared" ref="DK1054" si="2367">+DJ1054/DF1054-1</f>
        <v>6.1851504087696778</v>
      </c>
      <c r="DL1054" s="1649">
        <f t="shared" ref="DL1054:DN1054" si="2368">+DL928-DL797</f>
        <v>606.35883907736161</v>
      </c>
      <c r="DM1054" s="1649">
        <f t="shared" si="2368"/>
        <v>325.72737077027966</v>
      </c>
      <c r="DN1054" s="2168">
        <f t="shared" si="2368"/>
        <v>932.08620984764116</v>
      </c>
      <c r="DO1054" s="1651">
        <f t="shared" ref="DO1054" si="2369">+DN1054/DJ1054-1</f>
        <v>1.2140193763308225</v>
      </c>
      <c r="DP1054" s="1649">
        <f t="shared" ref="DP1054:DR1054" si="2370">+DP928-DP797</f>
        <v>668.7156488456136</v>
      </c>
      <c r="DQ1054" s="1649">
        <f t="shared" si="2370"/>
        <v>397.96092866059485</v>
      </c>
      <c r="DR1054" s="2168">
        <f t="shared" si="2370"/>
        <v>1066.6765775062083</v>
      </c>
      <c r="DS1054" s="1651">
        <f t="shared" ref="DS1054" si="2371">+DR1054/DN1054-1</f>
        <v>0.14439690903759561</v>
      </c>
      <c r="DT1054" s="1520"/>
      <c r="DU1054" s="1648"/>
      <c r="DV1054" s="1648"/>
      <c r="DW1054" s="1648"/>
      <c r="DX1054" s="1520"/>
      <c r="DY1054" s="1520"/>
      <c r="DZ1054" s="1648"/>
      <c r="EA1054" s="1648"/>
      <c r="EB1054" s="1520"/>
      <c r="EC1054" s="1520"/>
      <c r="ED1054" s="1648"/>
      <c r="EE1054" s="1648"/>
      <c r="EF1054" s="1520"/>
      <c r="EG1054" s="1520"/>
      <c r="EH1054" s="1520"/>
      <c r="EI1054" s="1520"/>
      <c r="EJ1054" s="1520"/>
      <c r="EK1054" s="1520"/>
      <c r="EL1054" s="1520"/>
      <c r="EM1054" s="1520"/>
      <c r="EN1054" s="1520"/>
      <c r="EO1054" s="1520"/>
      <c r="EP1054" s="1520"/>
      <c r="JM1054"/>
    </row>
    <row r="1055" spans="1:273">
      <c r="A1055" s="289" t="s">
        <v>696</v>
      </c>
      <c r="AR1055" s="685"/>
      <c r="AS1055" s="685"/>
      <c r="AT1055" s="730"/>
      <c r="AU1055" s="730"/>
      <c r="AV1055" s="685"/>
      <c r="AW1055" s="685"/>
      <c r="AX1055" s="730"/>
      <c r="AY1055" s="730"/>
      <c r="AZ1055" s="685"/>
      <c r="BA1055" s="876"/>
      <c r="BD1055" s="711"/>
      <c r="BE1055" s="885"/>
      <c r="BF1055" s="711"/>
      <c r="BH1055" s="685"/>
      <c r="BI1055" s="876"/>
      <c r="BL1055" s="876"/>
      <c r="BM1055" s="876"/>
      <c r="BP1055" s="876"/>
      <c r="BQ1055" s="876"/>
      <c r="BT1055" s="876"/>
      <c r="BU1055" s="876"/>
      <c r="BX1055" s="715">
        <f t="shared" si="2347"/>
        <v>852.27064653138268</v>
      </c>
      <c r="BY1055" s="715">
        <f t="shared" si="2347"/>
        <v>742.25123517786551</v>
      </c>
      <c r="BZ1055" s="715">
        <f t="shared" si="2347"/>
        <v>1594.3268163166786</v>
      </c>
      <c r="CB1055" s="715">
        <f t="shared" si="2348"/>
        <v>835.6528066528067</v>
      </c>
      <c r="CC1055" s="715">
        <f t="shared" si="2348"/>
        <v>782.00540723217296</v>
      </c>
      <c r="CD1055" s="715">
        <f t="shared" si="2348"/>
        <v>1624.0511744966443</v>
      </c>
      <c r="CE1055" s="817">
        <f>+CD1055/BZ1055-1</f>
        <v>1.8643830032688546E-2</v>
      </c>
      <c r="CF1055" s="715">
        <f t="shared" si="2350"/>
        <v>976.83272727272742</v>
      </c>
      <c r="CG1055" s="715">
        <f t="shared" si="2350"/>
        <v>1137.6459279972039</v>
      </c>
      <c r="CH1055" s="715">
        <f t="shared" si="2350"/>
        <v>2113.8428474345906</v>
      </c>
      <c r="CI1055" s="817">
        <f>+CH1055/CD1055-1</f>
        <v>0.30158635431531366</v>
      </c>
      <c r="CJ1055" s="715">
        <f t="shared" si="2352"/>
        <v>1227.2312373225152</v>
      </c>
      <c r="CK1055" s="715">
        <f t="shared" si="2352"/>
        <v>1000.4923743174543</v>
      </c>
      <c r="CL1055" s="715">
        <f t="shared" si="2352"/>
        <v>2227.2465064281723</v>
      </c>
      <c r="CM1055" s="817">
        <f>+CL1055/CH1055-1</f>
        <v>5.3648103089220189E-2</v>
      </c>
      <c r="CN1055" s="715">
        <f t="shared" si="2354"/>
        <v>987.60126012601268</v>
      </c>
      <c r="CO1055" s="715">
        <f t="shared" si="2354"/>
        <v>1399.8680496514198</v>
      </c>
      <c r="CP1055" s="295">
        <f t="shared" si="2354"/>
        <v>2387.9323189926545</v>
      </c>
      <c r="CQ1055" s="294">
        <f>+CP1055/CL1055-1</f>
        <v>7.2145499881004937E-2</v>
      </c>
      <c r="CR1055" s="715">
        <f t="shared" si="2356"/>
        <v>1451.3216031280547</v>
      </c>
      <c r="CS1055" s="715">
        <f t="shared" si="2356"/>
        <v>1782.5140531408385</v>
      </c>
      <c r="CT1055" s="295">
        <f t="shared" si="2356"/>
        <v>3233.906000474346</v>
      </c>
      <c r="CU1055" s="294">
        <f>+CT1055/CP1055-1</f>
        <v>0.35427037640604664</v>
      </c>
      <c r="CV1055" s="715">
        <f t="shared" si="2358"/>
        <v>1676.7751419007423</v>
      </c>
      <c r="CW1055" s="715">
        <f t="shared" si="2358"/>
        <v>1969.0851063829791</v>
      </c>
      <c r="CX1055" s="295">
        <f t="shared" si="2358"/>
        <v>3645.3728789692309</v>
      </c>
      <c r="CY1055" s="294">
        <f>+CX1055/CT1055-1</f>
        <v>0.12723526238379579</v>
      </c>
      <c r="CZ1055" s="715">
        <f t="shared" ref="CZ1055" si="2372">+CZ929-CZ798</f>
        <v>1426.1205972434914</v>
      </c>
      <c r="DA1055" s="715">
        <f t="shared" si="2361"/>
        <v>1688.1180898001558</v>
      </c>
      <c r="DB1055" s="295">
        <f t="shared" si="2361"/>
        <v>3114.178033715094</v>
      </c>
      <c r="DC1055" s="294">
        <f>+DB1055/CX1055-1</f>
        <v>-0.14571756110840928</v>
      </c>
      <c r="DD1055" s="715">
        <f t="shared" si="2363"/>
        <v>1466.6755136986303</v>
      </c>
      <c r="DE1055" s="715">
        <f t="shared" si="2363"/>
        <v>1725.2783026173147</v>
      </c>
      <c r="DF1055" s="295">
        <f t="shared" si="2363"/>
        <v>3190.0820646119573</v>
      </c>
      <c r="DG1055" s="294">
        <f>+DF1055/DB1055-1</f>
        <v>2.4373696710689563E-2</v>
      </c>
      <c r="DH1055" s="715">
        <f t="shared" ref="DH1055" si="2373">+DH929-DH798</f>
        <v>1957.0317700453857</v>
      </c>
      <c r="DI1055" s="715">
        <f t="shared" ref="DI1055:DJ1055" si="2374">+DI929-DI798</f>
        <v>2132.2323171933149</v>
      </c>
      <c r="DJ1055" s="295">
        <f t="shared" si="2374"/>
        <v>4092.9293340346953</v>
      </c>
      <c r="DK1055" s="294">
        <f>+DJ1055/DF1055-1</f>
        <v>0.28301694161355706</v>
      </c>
      <c r="DL1055" s="715">
        <f t="shared" ref="DL1055:DN1055" si="2375">+DL929-DL798</f>
        <v>2146.446932650183</v>
      </c>
      <c r="DM1055" s="715">
        <f t="shared" si="2375"/>
        <v>2148.4683794939624</v>
      </c>
      <c r="DN1055" s="295">
        <f t="shared" si="2375"/>
        <v>4294.9153121441459</v>
      </c>
      <c r="DO1055" s="294">
        <f>+DN1055/DJ1055-1</f>
        <v>4.934997934849239E-2</v>
      </c>
      <c r="DP1055" s="715">
        <f t="shared" ref="DP1055:DR1055" si="2376">+DP929-DP798</f>
        <v>2274.2476091748554</v>
      </c>
      <c r="DQ1055" s="715">
        <f t="shared" si="2376"/>
        <v>2293.2535238789242</v>
      </c>
      <c r="DR1055" s="295">
        <f t="shared" si="2376"/>
        <v>4567.50113305378</v>
      </c>
      <c r="DS1055" s="294">
        <f>+DR1055/DN1055-1</f>
        <v>6.3467100303207458E-2</v>
      </c>
      <c r="DU1055" s="876"/>
      <c r="DV1055" s="876"/>
      <c r="DW1055" s="876"/>
      <c r="DZ1055" s="876"/>
      <c r="EA1055" s="876"/>
      <c r="ED1055" s="876"/>
      <c r="EE1055" s="876"/>
    </row>
    <row r="1056" spans="1:273">
      <c r="A1056" s="289"/>
      <c r="AR1056" s="685"/>
      <c r="AS1056" s="685"/>
      <c r="AT1056" s="730"/>
      <c r="AU1056" s="730"/>
      <c r="AV1056" s="685"/>
      <c r="AW1056" s="685"/>
      <c r="AX1056" s="730"/>
      <c r="AY1056" s="730"/>
      <c r="AZ1056" s="685"/>
      <c r="BA1056" s="876"/>
      <c r="BD1056" s="711"/>
      <c r="BE1056" s="885"/>
      <c r="BF1056" s="711"/>
      <c r="BH1056" s="685"/>
      <c r="BI1056" s="876"/>
      <c r="BL1056" s="876"/>
      <c r="BM1056" s="876"/>
      <c r="BP1056" s="876"/>
      <c r="BQ1056" s="876"/>
      <c r="BT1056" s="876"/>
      <c r="BU1056" s="876"/>
      <c r="BX1056" s="711"/>
      <c r="BY1056" s="711"/>
      <c r="BZ1056" s="711"/>
      <c r="CB1056" s="711"/>
      <c r="CC1056" s="711"/>
      <c r="CD1056" s="711"/>
      <c r="CF1056" s="711"/>
      <c r="CG1056" s="711"/>
      <c r="CH1056" s="711"/>
      <c r="CJ1056" s="711"/>
      <c r="CK1056" s="711"/>
      <c r="CL1056" s="711"/>
      <c r="CN1056" s="711"/>
      <c r="CO1056" s="711"/>
      <c r="CP1056" s="711"/>
      <c r="CR1056" s="711"/>
      <c r="CS1056" s="711"/>
      <c r="CT1056" s="711"/>
      <c r="CV1056" s="711"/>
      <c r="CW1056" s="711"/>
      <c r="CX1056" s="711"/>
      <c r="CZ1056" s="711"/>
      <c r="DA1056" s="711"/>
      <c r="DB1056" s="711"/>
      <c r="DD1056" s="711"/>
      <c r="DE1056" s="711"/>
      <c r="DF1056" s="711"/>
      <c r="DH1056" s="711"/>
      <c r="DI1056" s="711"/>
      <c r="DJ1056" s="711"/>
      <c r="DL1056" s="711"/>
      <c r="DM1056" s="711"/>
      <c r="DN1056" s="711"/>
      <c r="DP1056" s="711"/>
      <c r="DQ1056" s="711"/>
      <c r="DR1056" s="711"/>
      <c r="DU1056" s="876"/>
      <c r="DV1056" s="876"/>
      <c r="DW1056" s="876"/>
      <c r="DZ1056" s="876"/>
      <c r="EA1056" s="876"/>
      <c r="ED1056" s="876"/>
      <c r="EE1056" s="876"/>
    </row>
    <row r="1057" spans="1:135">
      <c r="A1057" s="815" t="s">
        <v>1314</v>
      </c>
      <c r="AR1057" s="685"/>
      <c r="AS1057" s="685"/>
      <c r="AT1057" s="730"/>
      <c r="AU1057" s="730"/>
      <c r="AV1057" s="685"/>
      <c r="AW1057" s="685"/>
      <c r="AX1057" s="730"/>
      <c r="AY1057" s="730"/>
      <c r="AZ1057" s="685"/>
      <c r="BA1057" s="876"/>
      <c r="BD1057" s="711"/>
      <c r="BE1057" s="885"/>
      <c r="BF1057" s="711"/>
      <c r="BH1057" s="685"/>
      <c r="BI1057" s="876"/>
      <c r="BL1057" s="876"/>
      <c r="BM1057" s="876"/>
      <c r="BP1057" s="876"/>
      <c r="BQ1057" s="876"/>
      <c r="BT1057" s="876"/>
      <c r="BU1057" s="876"/>
      <c r="BX1057" s="876"/>
      <c r="BY1057" s="876"/>
      <c r="CB1057" s="876"/>
      <c r="CC1057" s="876"/>
      <c r="CF1057" s="876"/>
      <c r="CG1057" s="876"/>
      <c r="CJ1057" s="876"/>
      <c r="CK1057" s="876"/>
      <c r="CN1057" s="876"/>
      <c r="CO1057" s="876"/>
      <c r="CR1057" s="876"/>
      <c r="CS1057" s="876"/>
      <c r="CV1057" s="876"/>
      <c r="CW1057" s="876"/>
      <c r="CZ1057" s="876"/>
      <c r="DA1057" s="876"/>
      <c r="DD1057" s="876"/>
      <c r="DE1057" s="876"/>
      <c r="DH1057" s="876"/>
      <c r="DI1057" s="876"/>
      <c r="DL1057" s="876"/>
      <c r="DM1057" s="876"/>
      <c r="DP1057" s="876"/>
      <c r="DQ1057" s="876"/>
      <c r="DU1057" s="876"/>
      <c r="DV1057" s="876"/>
      <c r="DW1057" s="876"/>
      <c r="DZ1057" s="876"/>
      <c r="EA1057" s="876"/>
      <c r="ED1057" s="876"/>
      <c r="EE1057" s="876"/>
    </row>
    <row r="1058" spans="1:135">
      <c r="A1058" s="102" t="s">
        <v>686</v>
      </c>
      <c r="AR1058" s="685"/>
      <c r="AS1058" s="685"/>
      <c r="AT1058" s="730"/>
      <c r="AU1058" s="730"/>
      <c r="AV1058" s="685"/>
      <c r="AW1058" s="685"/>
      <c r="AX1058" s="730"/>
      <c r="AY1058" s="730"/>
      <c r="AZ1058" s="685"/>
      <c r="BA1058" s="876"/>
      <c r="BD1058" s="711"/>
      <c r="BE1058" s="885"/>
      <c r="BF1058" s="711"/>
      <c r="BH1058" s="685"/>
      <c r="BI1058" s="876"/>
      <c r="BL1058" s="876"/>
      <c r="BM1058" s="876"/>
      <c r="BP1058" s="876"/>
      <c r="BQ1058" s="876"/>
      <c r="BT1058" s="876"/>
      <c r="BU1058" s="876"/>
      <c r="BX1058" s="320">
        <f t="shared" ref="BX1058:BZ1060" si="2377">+BX1048/BX922</f>
        <v>0.39840475868595387</v>
      </c>
      <c r="BY1058" s="320">
        <f t="shared" si="2377"/>
        <v>0.54413718149981882</v>
      </c>
      <c r="BZ1058" s="320">
        <f t="shared" si="2377"/>
        <v>0.47537951269294554</v>
      </c>
      <c r="CB1058" s="320">
        <f t="shared" ref="CB1058:CD1060" si="2378">+CB1048/CB922</f>
        <v>0.43462897526501765</v>
      </c>
      <c r="CC1058" s="320">
        <f t="shared" si="2378"/>
        <v>0.63534675615212532</v>
      </c>
      <c r="CD1058" s="320">
        <f t="shared" si="2378"/>
        <v>0.55753424657534245</v>
      </c>
      <c r="CF1058" s="320">
        <f t="shared" ref="CF1058:CH1060" si="2379">+CF1048/CF922</f>
        <v>0.39673229995810633</v>
      </c>
      <c r="CG1058" s="320">
        <f t="shared" si="2379"/>
        <v>0.58823065394020657</v>
      </c>
      <c r="CH1058" s="320">
        <f t="shared" si="2379"/>
        <v>0.51910474846254662</v>
      </c>
      <c r="CJ1058" s="320">
        <f t="shared" ref="CJ1058:CL1060" si="2380">+CJ1048/CJ922</f>
        <v>0.32038834951456313</v>
      </c>
      <c r="CK1058" s="320">
        <f t="shared" si="2380"/>
        <v>0.49492017416545719</v>
      </c>
      <c r="CL1058" s="320">
        <f t="shared" si="2380"/>
        <v>0.41616885702907208</v>
      </c>
      <c r="CN1058" s="320">
        <f t="shared" ref="CN1058:CP1060" si="2381">+CN1048/CN922</f>
        <v>2.008686210640602E-2</v>
      </c>
      <c r="CO1058" s="320">
        <f t="shared" si="2381"/>
        <v>0.64339516053102352</v>
      </c>
      <c r="CP1058" s="320">
        <f t="shared" si="2381"/>
        <v>0.45487981084986207</v>
      </c>
      <c r="CR1058" s="320">
        <f t="shared" ref="CR1058:CT1060" si="2382">+CR1048/CR922</f>
        <v>0.56883381429298929</v>
      </c>
      <c r="CS1058" s="320">
        <f t="shared" si="2382"/>
        <v>0.63375574432530291</v>
      </c>
      <c r="CT1058" s="320">
        <f t="shared" si="2382"/>
        <v>0.60449816401468792</v>
      </c>
      <c r="CV1058" s="320">
        <f t="shared" ref="CV1058:CX1058" si="2383">+CV1048/CV922</f>
        <v>0.59595959595959591</v>
      </c>
      <c r="CW1058" s="320">
        <f t="shared" si="2383"/>
        <v>0.42359767891682787</v>
      </c>
      <c r="CX1058" s="320">
        <f t="shared" si="2383"/>
        <v>0.52320692329673013</v>
      </c>
      <c r="CZ1058" s="320">
        <f t="shared" ref="CZ1058" si="2384">+CZ1048/CZ922</f>
        <v>0.45355191256830601</v>
      </c>
      <c r="DA1058" s="320">
        <f t="shared" ref="DA1058:DB1058" si="2385">+DA1048/DA922</f>
        <v>0.54801245210727967</v>
      </c>
      <c r="DB1058" s="320">
        <f t="shared" si="2385"/>
        <v>0.50389229198570695</v>
      </c>
      <c r="DD1058" s="320">
        <f t="shared" ref="DD1058:DF1060" si="2386">+DD1048/DD922</f>
        <v>0.4341339155749635</v>
      </c>
      <c r="DE1058" s="320">
        <f t="shared" si="2386"/>
        <v>0.57161196695690997</v>
      </c>
      <c r="DF1058" s="320">
        <f t="shared" si="2386"/>
        <v>0.51194086429112962</v>
      </c>
      <c r="DH1058" s="320">
        <f t="shared" ref="DH1058" si="2387">+DH1048/DH922</f>
        <v>0.59196746880570406</v>
      </c>
      <c r="DI1058" s="320">
        <f t="shared" ref="DI1058:DJ1058" si="2388">+DI1048/DI922</f>
        <v>0.59502738053087889</v>
      </c>
      <c r="DJ1058" s="320">
        <f t="shared" si="2388"/>
        <v>0.59356516047303487</v>
      </c>
      <c r="DL1058" s="320">
        <f t="shared" ref="DL1058:DN1058" si="2389">+DL1048/DL922</f>
        <v>0.58324231697168771</v>
      </c>
      <c r="DM1058" s="320">
        <f t="shared" si="2389"/>
        <v>0.61274083290501913</v>
      </c>
      <c r="DN1058" s="320">
        <f t="shared" si="2389"/>
        <v>0.59912860149198321</v>
      </c>
      <c r="DP1058" s="320">
        <f t="shared" ref="DP1058:DR1058" si="2390">+DP1048/DP922</f>
        <v>0.59047900172113355</v>
      </c>
      <c r="DQ1058" s="320">
        <f t="shared" si="2390"/>
        <v>0.616890736756043</v>
      </c>
      <c r="DR1058" s="320">
        <f t="shared" si="2390"/>
        <v>0.60465864578645923</v>
      </c>
      <c r="DU1058" s="876"/>
      <c r="DV1058" s="876"/>
      <c r="DW1058" s="876"/>
      <c r="DZ1058" s="876"/>
      <c r="EA1058" s="876"/>
      <c r="ED1058" s="876"/>
      <c r="EE1058" s="876"/>
    </row>
    <row r="1059" spans="1:135">
      <c r="A1059" s="102" t="s">
        <v>1306</v>
      </c>
      <c r="AR1059" s="685"/>
      <c r="AS1059" s="685"/>
      <c r="AT1059" s="730"/>
      <c r="AU1059" s="730"/>
      <c r="AV1059" s="685"/>
      <c r="AW1059" s="685"/>
      <c r="AX1059" s="730"/>
      <c r="AY1059" s="730"/>
      <c r="AZ1059" s="685"/>
      <c r="BA1059" s="876"/>
      <c r="BD1059" s="711"/>
      <c r="BE1059" s="885"/>
      <c r="BF1059" s="711"/>
      <c r="BH1059" s="685"/>
      <c r="BI1059" s="876"/>
      <c r="BL1059" s="876"/>
      <c r="BM1059" s="876"/>
      <c r="BP1059" s="876"/>
      <c r="BQ1059" s="876"/>
      <c r="BT1059" s="876"/>
      <c r="BU1059" s="876"/>
      <c r="BX1059" s="320">
        <f t="shared" si="2377"/>
        <v>0.5506561161381115</v>
      </c>
      <c r="BY1059" s="320">
        <f t="shared" si="2377"/>
        <v>0.47337056695816065</v>
      </c>
      <c r="BZ1059" s="320">
        <f t="shared" si="2377"/>
        <v>0.51424616750672481</v>
      </c>
      <c r="CB1059" s="320">
        <f t="shared" si="2378"/>
        <v>0.64009427965065668</v>
      </c>
      <c r="CC1059" s="320">
        <f t="shared" si="2378"/>
        <v>0.33397569180316788</v>
      </c>
      <c r="CD1059" s="320">
        <f t="shared" si="2378"/>
        <v>0.52789859113044124</v>
      </c>
      <c r="CF1059" s="320">
        <f t="shared" si="2379"/>
        <v>0.48717948717948728</v>
      </c>
      <c r="CG1059" s="320">
        <f t="shared" si="2379"/>
        <v>0.47387990332775609</v>
      </c>
      <c r="CH1059" s="320">
        <f t="shared" si="2379"/>
        <v>0.48001202284340244</v>
      </c>
      <c r="CJ1059" s="320">
        <f t="shared" si="2380"/>
        <v>0.53812818368433057</v>
      </c>
      <c r="CK1059" s="320">
        <f t="shared" si="2380"/>
        <v>0.49502736874566344</v>
      </c>
      <c r="CL1059" s="320">
        <f t="shared" si="2380"/>
        <v>0.51672791303016385</v>
      </c>
      <c r="CN1059" s="320">
        <f t="shared" si="2381"/>
        <v>0.53659460141726323</v>
      </c>
      <c r="CO1059" s="320">
        <f t="shared" si="2381"/>
        <v>0.57963995248103806</v>
      </c>
      <c r="CP1059" s="320">
        <f t="shared" si="2381"/>
        <v>0.55797193530233991</v>
      </c>
      <c r="CR1059" s="320">
        <f t="shared" si="2382"/>
        <v>0.44832459167866939</v>
      </c>
      <c r="CS1059" s="320">
        <f t="shared" si="2382"/>
        <v>0.58535171410885012</v>
      </c>
      <c r="CT1059" s="320">
        <f t="shared" si="2382"/>
        <v>0.52784731448904298</v>
      </c>
      <c r="CV1059" s="320">
        <f t="shared" ref="CV1059:CX1059" si="2391">+CV1049/CV923</f>
        <v>0.52820258807504172</v>
      </c>
      <c r="CW1059" s="320">
        <f t="shared" si="2391"/>
        <v>0.37161400324505678</v>
      </c>
      <c r="CX1059" s="320">
        <f t="shared" si="2391"/>
        <v>0.45400407868074866</v>
      </c>
      <c r="CZ1059" s="320">
        <f t="shared" ref="CZ1059" si="2392">+CZ1049/CZ923</f>
        <v>0.41636430118414758</v>
      </c>
      <c r="DA1059" s="320">
        <f t="shared" ref="DA1059:DB1059" si="2393">+DA1049/DA923</f>
        <v>0.51479864143619603</v>
      </c>
      <c r="DB1059" s="320">
        <f t="shared" si="2393"/>
        <v>0.47040616992668133</v>
      </c>
      <c r="DD1059" s="320">
        <f t="shared" si="2386"/>
        <v>0.51145002565178865</v>
      </c>
      <c r="DE1059" s="320">
        <f t="shared" si="2386"/>
        <v>0.62435523660013448</v>
      </c>
      <c r="DF1059" s="320">
        <f t="shared" si="2386"/>
        <v>0.57412594667496619</v>
      </c>
      <c r="DH1059" s="320">
        <f t="shared" ref="DH1059" si="2394">+DH1049/DH923</f>
        <v>0.60001595946296404</v>
      </c>
      <c r="DI1059" s="320">
        <f t="shared" ref="DI1059:DJ1059" si="2395">+DI1049/DI923</f>
        <v>0.61788598766704039</v>
      </c>
      <c r="DJ1059" s="320">
        <f t="shared" si="2395"/>
        <v>0.60938392188334967</v>
      </c>
      <c r="DL1059" s="320">
        <f t="shared" ref="DL1059:DN1059" si="2396">+DL1049/DL923</f>
        <v>0.53315318533283707</v>
      </c>
      <c r="DM1059" s="320">
        <f t="shared" si="2396"/>
        <v>0.50745009041796563</v>
      </c>
      <c r="DN1059" s="320">
        <f t="shared" si="2396"/>
        <v>0.52019293194909633</v>
      </c>
      <c r="DP1059" s="320">
        <f t="shared" ref="DP1059:DR1059" si="2397">+DP1049/DP923</f>
        <v>0.52153931186896341</v>
      </c>
      <c r="DQ1059" s="320">
        <f t="shared" si="2397"/>
        <v>0.49493274894153455</v>
      </c>
      <c r="DR1059" s="320">
        <f t="shared" si="2397"/>
        <v>0.50806453142128349</v>
      </c>
      <c r="DU1059" s="876"/>
      <c r="DV1059" s="876"/>
      <c r="DW1059" s="876"/>
      <c r="DZ1059" s="876"/>
      <c r="EA1059" s="876"/>
      <c r="ED1059" s="876"/>
      <c r="EE1059" s="876"/>
    </row>
    <row r="1060" spans="1:135">
      <c r="A1060" s="102" t="s">
        <v>1024</v>
      </c>
      <c r="AR1060" s="685"/>
      <c r="AS1060" s="685"/>
      <c r="AT1060" s="730"/>
      <c r="AU1060" s="730"/>
      <c r="AV1060" s="685"/>
      <c r="AW1060" s="685"/>
      <c r="AX1060" s="730"/>
      <c r="AY1060" s="730"/>
      <c r="AZ1060" s="685"/>
      <c r="BA1060" s="876"/>
      <c r="BD1060" s="711"/>
      <c r="BE1060" s="885"/>
      <c r="BF1060" s="711"/>
      <c r="BH1060" s="685"/>
      <c r="BI1060" s="876"/>
      <c r="BL1060" s="876"/>
      <c r="BM1060" s="876"/>
      <c r="BP1060" s="876"/>
      <c r="BQ1060" s="876"/>
      <c r="BT1060" s="876"/>
      <c r="BU1060" s="876"/>
      <c r="BX1060" s="320">
        <f t="shared" si="2377"/>
        <v>0.41705613347404397</v>
      </c>
      <c r="BY1060" s="320">
        <f t="shared" si="2377"/>
        <v>0.4388957468297609</v>
      </c>
      <c r="BZ1060" s="320">
        <f t="shared" si="2377"/>
        <v>0.42789444905729157</v>
      </c>
      <c r="CB1060" s="320">
        <f t="shared" si="2378"/>
        <v>0.3987239104574456</v>
      </c>
      <c r="CC1060" s="320">
        <f t="shared" si="2378"/>
        <v>0.42352729237975129</v>
      </c>
      <c r="CD1060" s="320">
        <f t="shared" si="2378"/>
        <v>0.4122561305223843</v>
      </c>
      <c r="CF1060" s="320">
        <f t="shared" si="2379"/>
        <v>0.53380856449196767</v>
      </c>
      <c r="CG1060" s="320">
        <f t="shared" si="2379"/>
        <v>0.48897649291867418</v>
      </c>
      <c r="CH1060" s="320">
        <f t="shared" si="2379"/>
        <v>0.51072520422994028</v>
      </c>
      <c r="CJ1060" s="320">
        <f t="shared" si="2380"/>
        <v>0.63458228518469484</v>
      </c>
      <c r="CK1060" s="320">
        <f t="shared" si="2380"/>
        <v>0.47681331747919137</v>
      </c>
      <c r="CL1060" s="320">
        <f t="shared" si="2380"/>
        <v>0.56547619047619047</v>
      </c>
      <c r="CN1060" s="320">
        <f t="shared" si="2381"/>
        <v>0.53364632237871679</v>
      </c>
      <c r="CO1060" s="320">
        <f t="shared" si="2381"/>
        <v>0.62846677132391415</v>
      </c>
      <c r="CP1060" s="320">
        <f t="shared" si="2381"/>
        <v>0.58529286019666527</v>
      </c>
      <c r="CR1060" s="320">
        <f t="shared" si="2382"/>
        <v>0.61745783342027472</v>
      </c>
      <c r="CS1060" s="320">
        <f t="shared" si="2382"/>
        <v>0.6687303138916042</v>
      </c>
      <c r="CT1060" s="320">
        <f t="shared" si="2382"/>
        <v>0.64575353796910684</v>
      </c>
      <c r="CV1060" s="320">
        <f t="shared" ref="CV1060:CX1060" si="2398">+CV1050/CV924</f>
        <v>0.65421426366162405</v>
      </c>
      <c r="CW1060" s="320">
        <f t="shared" si="2398"/>
        <v>0.76390410125349884</v>
      </c>
      <c r="CX1060" s="320">
        <f t="shared" si="2398"/>
        <v>0.72314634239608422</v>
      </c>
      <c r="CZ1060" s="320">
        <f t="shared" ref="CZ1060" si="2399">+CZ1050/CZ924</f>
        <v>0.60883773106374672</v>
      </c>
      <c r="DA1060" s="320">
        <f t="shared" ref="DA1060:DB1060" si="2400">+DA1050/DA924</f>
        <v>0.6547513788893099</v>
      </c>
      <c r="DB1060" s="320">
        <f t="shared" si="2400"/>
        <v>0.6334794594838884</v>
      </c>
      <c r="DD1060" s="320">
        <f t="shared" si="2386"/>
        <v>0.57801930849615724</v>
      </c>
      <c r="DE1060" s="320">
        <f t="shared" si="2386"/>
        <v>0.61102704380553297</v>
      </c>
      <c r="DF1060" s="320">
        <f t="shared" si="2386"/>
        <v>0.59515393214296508</v>
      </c>
      <c r="DH1060" s="320">
        <f t="shared" ref="DH1060" si="2401">+DH1050/DH924</f>
        <v>0.539620975625138</v>
      </c>
      <c r="DI1060" s="320">
        <f t="shared" ref="DI1060:DJ1060" si="2402">+DI1050/DI924</f>
        <v>0.6204957331952824</v>
      </c>
      <c r="DJ1060" s="320">
        <f t="shared" si="2402"/>
        <v>0.583255672672645</v>
      </c>
      <c r="DL1060" s="320">
        <f t="shared" ref="DL1060:DN1060" si="2403">+DL1050/DL924</f>
        <v>0.54425596982596014</v>
      </c>
      <c r="DM1060" s="320">
        <f t="shared" si="2403"/>
        <v>0.61960235374732864</v>
      </c>
      <c r="DN1060" s="320">
        <f t="shared" si="2403"/>
        <v>0.58599578647278461</v>
      </c>
      <c r="DP1060" s="320">
        <f t="shared" ref="DP1060:DR1060" si="2404">+DP1050/DP924</f>
        <v>0.53931215463123428</v>
      </c>
      <c r="DQ1060" s="320">
        <f t="shared" si="2404"/>
        <v>0.61621871170119769</v>
      </c>
      <c r="DR1060" s="320">
        <f t="shared" si="2404"/>
        <v>0.58195300541301909</v>
      </c>
      <c r="DU1060" s="876"/>
      <c r="DV1060" s="876"/>
      <c r="DW1060" s="876"/>
      <c r="DZ1060" s="876"/>
      <c r="EA1060" s="876"/>
      <c r="ED1060" s="876"/>
      <c r="EE1060" s="876"/>
    </row>
    <row r="1061" spans="1:135">
      <c r="A1061" s="102" t="s">
        <v>690</v>
      </c>
      <c r="AR1061" s="685"/>
      <c r="AS1061" s="685"/>
      <c r="AT1061" s="730"/>
      <c r="AU1061" s="730"/>
      <c r="AV1061" s="685"/>
      <c r="AW1061" s="685"/>
      <c r="AX1061" s="730"/>
      <c r="AY1061" s="730"/>
      <c r="AZ1061" s="685"/>
      <c r="BA1061" s="876"/>
      <c r="BD1061" s="711"/>
      <c r="BE1061" s="885"/>
      <c r="BF1061" s="711"/>
      <c r="BH1061" s="685"/>
      <c r="BI1061" s="876"/>
      <c r="BL1061" s="876"/>
      <c r="BM1061" s="876"/>
      <c r="BP1061" s="876"/>
      <c r="BQ1061" s="876"/>
      <c r="BT1061" s="876"/>
      <c r="BU1061" s="876"/>
      <c r="BX1061" s="320"/>
      <c r="BY1061" s="320"/>
      <c r="BZ1061" s="320"/>
      <c r="CB1061" s="320"/>
      <c r="CC1061" s="320"/>
      <c r="CD1061" s="320"/>
      <c r="CF1061" s="320"/>
      <c r="CG1061" s="320"/>
      <c r="CH1061" s="320"/>
      <c r="CJ1061" s="320"/>
      <c r="CK1061" s="320"/>
      <c r="CL1061" s="320"/>
      <c r="CN1061" s="320"/>
      <c r="CO1061" s="320"/>
      <c r="CP1061" s="320"/>
      <c r="CR1061" s="320"/>
      <c r="CS1061" s="320"/>
      <c r="CT1061" s="320"/>
      <c r="CV1061" s="320"/>
      <c r="CW1061" s="320"/>
      <c r="CX1061" s="320"/>
      <c r="CZ1061" s="320"/>
      <c r="DA1061" s="320"/>
      <c r="DB1061" s="320"/>
      <c r="DD1061" s="320"/>
      <c r="DE1061" s="320"/>
      <c r="DF1061" s="320"/>
      <c r="DH1061" s="320"/>
      <c r="DI1061" s="320"/>
      <c r="DJ1061" s="320"/>
      <c r="DL1061" s="320"/>
      <c r="DM1061" s="320"/>
      <c r="DN1061" s="320"/>
      <c r="DP1061" s="320"/>
      <c r="DQ1061" s="320"/>
      <c r="DR1061" s="320"/>
      <c r="DU1061" s="876"/>
      <c r="DV1061" s="876"/>
      <c r="DW1061" s="876"/>
      <c r="DZ1061" s="876"/>
      <c r="EA1061" s="876"/>
      <c r="ED1061" s="876"/>
      <c r="EE1061" s="876"/>
    </row>
    <row r="1062" spans="1:135">
      <c r="A1062" s="102" t="s">
        <v>689</v>
      </c>
      <c r="AR1062" s="685"/>
      <c r="AS1062" s="685"/>
      <c r="AT1062" s="730"/>
      <c r="AU1062" s="730"/>
      <c r="AV1062" s="685"/>
      <c r="AW1062" s="685"/>
      <c r="AX1062" s="730"/>
      <c r="AY1062" s="730"/>
      <c r="AZ1062" s="685"/>
      <c r="BA1062" s="876"/>
      <c r="BD1062" s="711"/>
      <c r="BE1062" s="885"/>
      <c r="BF1062" s="711"/>
      <c r="BH1062" s="685"/>
      <c r="BI1062" s="876"/>
      <c r="BL1062" s="876"/>
      <c r="BM1062" s="876"/>
      <c r="BP1062" s="876"/>
      <c r="BQ1062" s="876"/>
      <c r="BT1062" s="876"/>
      <c r="BU1062" s="876"/>
      <c r="BX1062" s="320">
        <f>+BX1052/BX926</f>
        <v>6.0196864025325238E-2</v>
      </c>
      <c r="BY1062" s="320">
        <f>+BY1052/BY926</f>
        <v>2.6277931688685304E-2</v>
      </c>
      <c r="BZ1062" s="320">
        <f>+BZ1052/BZ926</f>
        <v>4.4369401059987712E-2</v>
      </c>
      <c r="CB1062" s="320">
        <f>+CB1052/CB926</f>
        <v>9.3409752257630888E-2</v>
      </c>
      <c r="CC1062" s="320">
        <f>+CC1052/CC926</f>
        <v>3.4013364292171021E-2</v>
      </c>
      <c r="CD1062" s="320">
        <f>+CD1052/CD926</f>
        <v>6.3740875346947085E-2</v>
      </c>
      <c r="CF1062" s="320">
        <f>+CF1052/CF926</f>
        <v>0.13177925784966693</v>
      </c>
      <c r="CG1062" s="320">
        <f>+CG1052/CG926</f>
        <v>0.19993662864385295</v>
      </c>
      <c r="CH1062" s="320">
        <f>+CH1052/CH926</f>
        <v>0.16587414804247894</v>
      </c>
      <c r="CJ1062" s="320">
        <f>+CJ1052/CJ926</f>
        <v>0.22071285610867439</v>
      </c>
      <c r="CK1062" s="320">
        <f>+CK1052/CK926</f>
        <v>0.26395070181444702</v>
      </c>
      <c r="CL1062" s="320">
        <f>+CL1052/CL926</f>
        <v>0.24227871336791101</v>
      </c>
      <c r="CN1062" s="320">
        <f>+CN1052/CN926</f>
        <v>0.16666666666666646</v>
      </c>
      <c r="CO1062" s="320">
        <f>+CO1052/CO926</f>
        <v>0.26425739554742289</v>
      </c>
      <c r="CP1062" s="320">
        <f>+CP1052/CP926</f>
        <v>0.21799807507218474</v>
      </c>
      <c r="CR1062" s="320">
        <f>+CR1052/CR926</f>
        <v>0.18127780477774863</v>
      </c>
      <c r="CS1062" s="320">
        <f>+CS1052/CS926</f>
        <v>0.23963288001607821</v>
      </c>
      <c r="CT1062" s="320">
        <f>+CT1052/CT926</f>
        <v>0.21205589809727407</v>
      </c>
      <c r="CV1062" s="320">
        <f t="shared" ref="CV1062" si="2405">+CV1052/CV926</f>
        <v>0.23284141485125318</v>
      </c>
      <c r="CW1062" s="320">
        <f>+CW1052/CW926</f>
        <v>0.2734764693125134</v>
      </c>
      <c r="CX1062" s="320">
        <f>+CX1052/CX926</f>
        <v>0.25394144144144143</v>
      </c>
      <c r="CZ1062" s="320">
        <f t="shared" ref="CZ1062" si="2406">+CZ1052/CZ926</f>
        <v>0.1325965357905261</v>
      </c>
      <c r="DA1062" s="320">
        <f t="shared" ref="DA1062:DB1062" si="2407">+DA1052/DA926</f>
        <v>0.14673913043478262</v>
      </c>
      <c r="DB1062" s="320">
        <f t="shared" si="2407"/>
        <v>0.13964800086712634</v>
      </c>
      <c r="DD1062" s="320">
        <f t="shared" ref="DD1062:DF1062" si="2408">+DD1052/DD926</f>
        <v>0.19403476067766881</v>
      </c>
      <c r="DE1062" s="320">
        <f t="shared" si="2408"/>
        <v>0.32583677876385858</v>
      </c>
      <c r="DF1062" s="320">
        <f t="shared" si="2408"/>
        <v>0.26125908315536395</v>
      </c>
      <c r="DH1062" s="320">
        <f t="shared" ref="DH1062" si="2409">+DH1052/DH926</f>
        <v>0.42127912153138447</v>
      </c>
      <c r="DI1062" s="320">
        <f t="shared" ref="DI1062:DJ1062" si="2410">+DI1052/DI926</f>
        <v>0.32442350207387227</v>
      </c>
      <c r="DJ1062" s="320">
        <f t="shared" si="2410"/>
        <v>0.37491049089871814</v>
      </c>
      <c r="DL1062" s="320">
        <f t="shared" ref="DL1062:DN1062" si="2411">+DL1052/DL926</f>
        <v>0.37476888091282334</v>
      </c>
      <c r="DM1062" s="320">
        <f t="shared" si="2411"/>
        <v>0.35053479025524792</v>
      </c>
      <c r="DN1062" s="320">
        <f t="shared" si="2411"/>
        <v>0.36246024638856561</v>
      </c>
      <c r="DP1062" s="320">
        <f t="shared" ref="DP1062:DR1062" si="2412">+DP1052/DP926</f>
        <v>0.40492370793933202</v>
      </c>
      <c r="DQ1062" s="320">
        <f t="shared" si="2412"/>
        <v>0.37817270690298621</v>
      </c>
      <c r="DR1062" s="320">
        <f t="shared" si="2412"/>
        <v>0.39137646974344487</v>
      </c>
      <c r="DU1062" s="876"/>
      <c r="DV1062" s="876"/>
      <c r="DW1062" s="876"/>
      <c r="DZ1062" s="876"/>
      <c r="EA1062" s="876"/>
      <c r="ED1062" s="876"/>
      <c r="EE1062" s="876"/>
    </row>
    <row r="1063" spans="1:135">
      <c r="A1063" s="102" t="s">
        <v>688</v>
      </c>
      <c r="AR1063" s="685"/>
      <c r="AS1063" s="685"/>
      <c r="AT1063" s="730"/>
      <c r="AU1063" s="730"/>
      <c r="AV1063" s="685"/>
      <c r="AW1063" s="685"/>
      <c r="AX1063" s="730"/>
      <c r="AY1063" s="730"/>
      <c r="AZ1063" s="685"/>
      <c r="BA1063" s="876"/>
      <c r="BD1063" s="711"/>
      <c r="BE1063" s="885"/>
      <c r="BF1063" s="711"/>
      <c r="BH1063" s="685"/>
      <c r="BI1063" s="876"/>
      <c r="BL1063" s="876"/>
      <c r="BM1063" s="876"/>
      <c r="BP1063" s="876"/>
      <c r="BQ1063" s="876"/>
      <c r="BT1063" s="876"/>
      <c r="BU1063" s="876"/>
      <c r="BX1063" s="320"/>
      <c r="BY1063" s="320"/>
      <c r="BZ1063" s="320"/>
      <c r="CB1063" s="320"/>
      <c r="CC1063" s="320"/>
      <c r="CD1063" s="320"/>
      <c r="CF1063" s="320"/>
      <c r="CG1063" s="320"/>
      <c r="CH1063" s="320"/>
      <c r="CJ1063" s="320"/>
      <c r="CK1063" s="320"/>
      <c r="CL1063" s="320"/>
      <c r="CN1063" s="320"/>
      <c r="CO1063" s="320"/>
      <c r="CP1063" s="320"/>
      <c r="CR1063" s="320"/>
      <c r="CS1063" s="320"/>
      <c r="CT1063" s="320"/>
      <c r="CV1063" s="320"/>
      <c r="CW1063" s="320"/>
      <c r="CX1063" s="320"/>
      <c r="CZ1063" s="320"/>
      <c r="DA1063" s="320"/>
      <c r="DB1063" s="320"/>
      <c r="DD1063" s="320"/>
      <c r="DE1063" s="320"/>
      <c r="DF1063" s="320"/>
      <c r="DH1063" s="320"/>
      <c r="DI1063" s="320"/>
      <c r="DJ1063" s="320"/>
      <c r="DL1063" s="320"/>
      <c r="DM1063" s="320"/>
      <c r="DN1063" s="320"/>
      <c r="DP1063" s="320"/>
      <c r="DQ1063" s="320"/>
      <c r="DR1063" s="320"/>
      <c r="DU1063" s="876"/>
      <c r="DV1063" s="876"/>
      <c r="DW1063" s="876"/>
      <c r="DZ1063" s="876"/>
      <c r="EA1063" s="876"/>
      <c r="ED1063" s="876"/>
      <c r="EE1063" s="876"/>
    </row>
    <row r="1064" spans="1:135">
      <c r="A1064" s="102" t="s">
        <v>691</v>
      </c>
      <c r="AR1064" s="685"/>
      <c r="AS1064" s="685"/>
      <c r="AT1064" s="730"/>
      <c r="AU1064" s="730"/>
      <c r="AV1064" s="685"/>
      <c r="AW1064" s="685"/>
      <c r="AX1064" s="730"/>
      <c r="AY1064" s="730"/>
      <c r="AZ1064" s="685"/>
      <c r="BA1064" s="876"/>
      <c r="BD1064" s="711"/>
      <c r="BE1064" s="885"/>
      <c r="BF1064" s="711"/>
      <c r="BH1064" s="685"/>
      <c r="BI1064" s="876"/>
      <c r="BL1064" s="876"/>
      <c r="BM1064" s="876"/>
      <c r="BP1064" s="876"/>
      <c r="BQ1064" s="876"/>
      <c r="BT1064" s="876"/>
      <c r="BU1064" s="876"/>
      <c r="BX1064" s="320">
        <f t="shared" ref="BX1064:BZ1065" si="2413">+BX1054/BX928</f>
        <v>0.25017650446859907</v>
      </c>
      <c r="BY1064" s="320">
        <f t="shared" si="2413"/>
        <v>-3.445897894741206E-2</v>
      </c>
      <c r="BZ1064" s="320">
        <f t="shared" si="2413"/>
        <v>0.13603467564351615</v>
      </c>
      <c r="CB1064" s="320">
        <f t="shared" ref="CB1064:CD1065" si="2414">+CB1054/CB928</f>
        <v>0.14426291138938716</v>
      </c>
      <c r="CC1064" s="320">
        <f t="shared" si="2414"/>
        <v>0.12530931253299765</v>
      </c>
      <c r="CD1064" s="320">
        <f t="shared" si="2414"/>
        <v>0.14141354520067614</v>
      </c>
      <c r="CF1064" s="320">
        <f t="shared" ref="CF1064:CH1065" si="2415">+CF1054/CF928</f>
        <v>0.26919925678852041</v>
      </c>
      <c r="CG1064" s="320">
        <f t="shared" si="2415"/>
        <v>0.11131174524019372</v>
      </c>
      <c r="CH1064" s="320">
        <f t="shared" si="2415"/>
        <v>0.19615897075999997</v>
      </c>
      <c r="CJ1064" s="320">
        <f t="shared" ref="CJ1064:CL1065" si="2416">+CJ1054/CJ928</f>
        <v>0.33390730230438542</v>
      </c>
      <c r="CK1064" s="320">
        <f t="shared" si="2416"/>
        <v>0.11663062486445731</v>
      </c>
      <c r="CL1064" s="320">
        <f t="shared" si="2416"/>
        <v>0.24071841725260704</v>
      </c>
      <c r="CN1064" s="320">
        <f t="shared" ref="CN1064:CP1065" si="2417">+CN1054/CN928</f>
        <v>0.3700802832759979</v>
      </c>
      <c r="CO1064" s="320">
        <f t="shared" si="2417"/>
        <v>-2.8596405786561647E-2</v>
      </c>
      <c r="CP1064" s="320">
        <f t="shared" si="2417"/>
        <v>0.22314975290152939</v>
      </c>
      <c r="CR1064" s="320">
        <f t="shared" ref="CR1064:CT1065" si="2418">+CR1054/CR928</f>
        <v>0.33521266644986258</v>
      </c>
      <c r="CS1064" s="320">
        <f t="shared" si="2418"/>
        <v>7.3348494282902008E-2</v>
      </c>
      <c r="CT1064" s="320">
        <f t="shared" si="2418"/>
        <v>0.2242850251959029</v>
      </c>
      <c r="CV1064" s="320">
        <f t="shared" ref="CV1064:CX1064" si="2419">+CV1054/CV928</f>
        <v>0.14426061590140282</v>
      </c>
      <c r="CW1064" s="320">
        <f t="shared" si="2419"/>
        <v>0.14823159645691344</v>
      </c>
      <c r="CX1064" s="320">
        <f t="shared" si="2419"/>
        <v>0.14600509257357483</v>
      </c>
      <c r="CZ1064" s="320">
        <f t="shared" ref="CZ1064" si="2420">+CZ1054/CZ928</f>
        <v>0.18351110931897649</v>
      </c>
      <c r="DA1064" s="320">
        <f t="shared" ref="DA1064:DB1064" si="2421">+DA1054/DA928</f>
        <v>4.9782797914964184E-2</v>
      </c>
      <c r="DB1064" s="320">
        <f t="shared" si="2421"/>
        <v>0.12152088213199924</v>
      </c>
      <c r="DD1064" s="320">
        <f t="shared" ref="DD1064:DF1065" si="2422">+DD1054/DD928</f>
        <v>0.16194556999167106</v>
      </c>
      <c r="DE1064" s="320">
        <f t="shared" si="2422"/>
        <v>-0.1502677763536697</v>
      </c>
      <c r="DF1064" s="320">
        <f t="shared" si="2422"/>
        <v>3.3760718527670042E-2</v>
      </c>
      <c r="DH1064" s="320">
        <f t="shared" ref="DH1064" si="2423">+DH1054/DH928</f>
        <v>0.28043172857998694</v>
      </c>
      <c r="DI1064" s="320">
        <f t="shared" ref="DI1064:DJ1064" si="2424">+DI1054/DI928</f>
        <v>0.23125280954257543</v>
      </c>
      <c r="DJ1064" s="320">
        <f t="shared" si="2424"/>
        <v>0.26026269454963236</v>
      </c>
      <c r="DL1064" s="320">
        <f t="shared" ref="DL1064:DN1064" si="2425">+DL1054/DL928</f>
        <v>0.52665624960406987</v>
      </c>
      <c r="DM1064" s="320">
        <f t="shared" si="2425"/>
        <v>0.35793488429779224</v>
      </c>
      <c r="DN1064" s="320">
        <f t="shared" si="2425"/>
        <v>0.45217149279683938</v>
      </c>
      <c r="DP1064" s="320">
        <f t="shared" ref="DP1064:DR1064" si="2426">+DP1054/DP928</f>
        <v>0.5436521742522139</v>
      </c>
      <c r="DQ1064" s="320">
        <f t="shared" si="2426"/>
        <v>0.39804817921449137</v>
      </c>
      <c r="DR1064" s="320">
        <f t="shared" si="2426"/>
        <v>0.47836806200019344</v>
      </c>
      <c r="DU1064" s="876"/>
      <c r="DV1064" s="876"/>
      <c r="DW1064" s="876"/>
      <c r="DZ1064" s="876"/>
      <c r="EA1064" s="876"/>
      <c r="ED1064" s="876"/>
      <c r="EE1064" s="876"/>
    </row>
    <row r="1065" spans="1:135">
      <c r="A1065" s="289" t="s">
        <v>696</v>
      </c>
      <c r="AR1065" s="685"/>
      <c r="AS1065" s="685"/>
      <c r="AT1065" s="730"/>
      <c r="AU1065" s="730"/>
      <c r="AV1065" s="685"/>
      <c r="AW1065" s="685"/>
      <c r="AX1065" s="730"/>
      <c r="AY1065" s="730"/>
      <c r="AZ1065" s="685"/>
      <c r="BA1065" s="876"/>
      <c r="BD1065" s="711"/>
      <c r="BE1065" s="885"/>
      <c r="BF1065" s="711"/>
      <c r="BH1065" s="685"/>
      <c r="BI1065" s="876"/>
      <c r="BL1065" s="876"/>
      <c r="BM1065" s="876"/>
      <c r="BP1065" s="876"/>
      <c r="BQ1065" s="876"/>
      <c r="BT1065" s="876"/>
      <c r="BU1065" s="876"/>
      <c r="BX1065" s="649">
        <f t="shared" si="2413"/>
        <v>0.3721705880049706</v>
      </c>
      <c r="BY1065" s="649">
        <f t="shared" si="2413"/>
        <v>0.35531413842884896</v>
      </c>
      <c r="BZ1065" s="649">
        <f t="shared" si="2413"/>
        <v>0.36408468059298438</v>
      </c>
      <c r="CB1065" s="649">
        <f t="shared" si="2414"/>
        <v>0.36959434173056466</v>
      </c>
      <c r="CC1065" s="649">
        <f t="shared" si="2414"/>
        <v>0.35036084553412766</v>
      </c>
      <c r="CD1065" s="649">
        <f t="shared" si="2414"/>
        <v>0.3614625360553404</v>
      </c>
      <c r="CF1065" s="649">
        <f t="shared" si="2415"/>
        <v>0.39805734607690602</v>
      </c>
      <c r="CG1065" s="649">
        <f t="shared" si="2415"/>
        <v>0.41174300687557147</v>
      </c>
      <c r="CH1065" s="649">
        <f t="shared" si="2415"/>
        <v>0.40518360119505281</v>
      </c>
      <c r="CJ1065" s="649">
        <f t="shared" si="2416"/>
        <v>0.44208618059168414</v>
      </c>
      <c r="CK1065" s="649">
        <f t="shared" si="2416"/>
        <v>0.39281208257457961</v>
      </c>
      <c r="CL1065" s="649">
        <f t="shared" si="2416"/>
        <v>0.41841940755742479</v>
      </c>
      <c r="CN1065" s="649">
        <f t="shared" si="2417"/>
        <v>0.37766778589904881</v>
      </c>
      <c r="CO1065" s="649">
        <f t="shared" si="2417"/>
        <v>0.48238044440090277</v>
      </c>
      <c r="CP1065" s="649">
        <f t="shared" si="2417"/>
        <v>0.43283166920294625</v>
      </c>
      <c r="CR1065" s="649">
        <f t="shared" si="2418"/>
        <v>0.45869835749938515</v>
      </c>
      <c r="CS1065" s="649">
        <f t="shared" si="2418"/>
        <v>0.50056558639169857</v>
      </c>
      <c r="CT1065" s="649">
        <f t="shared" si="2418"/>
        <v>0.48087821568391764</v>
      </c>
      <c r="CV1065" s="649">
        <f t="shared" ref="CV1065:CX1065" si="2427">+CV1055/CV929</f>
        <v>0.46409497423214563</v>
      </c>
      <c r="CW1065" s="649">
        <f t="shared" si="2427"/>
        <v>0.48143890131613176</v>
      </c>
      <c r="CX1065" s="649">
        <f t="shared" si="2427"/>
        <v>0.47324066973506834</v>
      </c>
      <c r="CZ1065" s="649">
        <f t="shared" ref="CZ1065" si="2428">+CZ1055/CZ929</f>
        <v>0.3819283870496763</v>
      </c>
      <c r="DA1065" s="649">
        <f t="shared" ref="DA1065:DB1065" si="2429">+DA1055/DA929</f>
        <v>0.42319330403613831</v>
      </c>
      <c r="DB1065" s="649">
        <f t="shared" si="2429"/>
        <v>0.40323423976629469</v>
      </c>
      <c r="DD1065" s="649">
        <f t="shared" si="2422"/>
        <v>0.3904886884181657</v>
      </c>
      <c r="DE1065" s="649">
        <f t="shared" si="2422"/>
        <v>0.44192579472779575</v>
      </c>
      <c r="DF1065" s="649">
        <f t="shared" si="2422"/>
        <v>0.4164597995576968</v>
      </c>
      <c r="DH1065" s="649">
        <f t="shared" ref="DH1065" si="2430">+DH1055/DH929</f>
        <v>0.49469963853523397</v>
      </c>
      <c r="DI1065" s="649">
        <f t="shared" ref="DI1065:DJ1065" si="2431">+DI1055/DI929</f>
        <v>0.51837696083705387</v>
      </c>
      <c r="DJ1065" s="649">
        <f t="shared" si="2431"/>
        <v>0.50722327903981879</v>
      </c>
      <c r="DL1065" s="649">
        <f t="shared" ref="DL1065:DN1065" si="2432">+DL1055/DL929</f>
        <v>0.52776894891387682</v>
      </c>
      <c r="DM1065" s="649">
        <f t="shared" si="2432"/>
        <v>0.51192179257417214</v>
      </c>
      <c r="DN1065" s="649">
        <f t="shared" si="2432"/>
        <v>0.51972086969527109</v>
      </c>
      <c r="DP1065" s="649">
        <f t="shared" ref="DP1065:DR1065" si="2433">+DP1055/DP929</f>
        <v>0.53280575876074854</v>
      </c>
      <c r="DQ1065" s="649">
        <f t="shared" si="2433"/>
        <v>0.51829082353284961</v>
      </c>
      <c r="DR1065" s="649">
        <f t="shared" si="2433"/>
        <v>0.52541787872058021</v>
      </c>
      <c r="DU1065" s="876"/>
      <c r="DV1065" s="876"/>
      <c r="DW1065" s="876"/>
      <c r="DZ1065" s="876"/>
      <c r="EA1065" s="876"/>
      <c r="ED1065" s="876"/>
      <c r="EE1065" s="876"/>
    </row>
    <row r="1066" spans="1:135">
      <c r="A1066" s="289"/>
      <c r="AR1066" s="685"/>
      <c r="AS1066" s="685"/>
      <c r="AT1066" s="730"/>
      <c r="AU1066" s="730"/>
      <c r="AV1066" s="685"/>
      <c r="AW1066" s="685"/>
      <c r="AX1066" s="730"/>
      <c r="AY1066" s="730"/>
      <c r="AZ1066" s="685"/>
      <c r="BA1066" s="876"/>
      <c r="BD1066" s="711"/>
      <c r="BE1066" s="885"/>
      <c r="BF1066" s="711"/>
      <c r="BH1066" s="685"/>
      <c r="BI1066" s="876"/>
      <c r="BL1066" s="876"/>
      <c r="BM1066" s="876"/>
      <c r="BP1066" s="876"/>
      <c r="BQ1066" s="876"/>
      <c r="BT1066" s="876"/>
      <c r="BU1066" s="876"/>
      <c r="BX1066" s="715"/>
      <c r="BY1066" s="715"/>
      <c r="BZ1066" s="715"/>
      <c r="CB1066" s="715"/>
      <c r="CC1066" s="715"/>
      <c r="CD1066" s="715"/>
      <c r="CF1066" s="715"/>
      <c r="CG1066" s="715"/>
      <c r="CH1066" s="715"/>
      <c r="CJ1066" s="715"/>
      <c r="CK1066" s="715"/>
      <c r="CL1066" s="715"/>
      <c r="CN1066" s="715"/>
      <c r="CO1066" s="715"/>
      <c r="CP1066" s="715"/>
      <c r="CR1066" s="715"/>
      <c r="CS1066" s="715"/>
      <c r="CT1066" s="715"/>
      <c r="CV1066" s="715"/>
      <c r="CW1066" s="715"/>
      <c r="CX1066" s="715"/>
      <c r="CZ1066" s="715"/>
      <c r="DA1066" s="715"/>
      <c r="DB1066" s="715"/>
      <c r="DD1066" s="715"/>
      <c r="DE1066" s="715"/>
      <c r="DF1066" s="715"/>
      <c r="DH1066" s="715"/>
      <c r="DI1066" s="715"/>
      <c r="DJ1066" s="715"/>
      <c r="DL1066" s="715"/>
      <c r="DM1066" s="715"/>
      <c r="DN1066" s="715"/>
      <c r="DP1066" s="715"/>
      <c r="DQ1066" s="715"/>
      <c r="DR1066" s="715"/>
      <c r="DU1066" s="876"/>
      <c r="DV1066" s="876"/>
      <c r="DW1066" s="876"/>
      <c r="DZ1066" s="876"/>
      <c r="EA1066" s="876"/>
      <c r="ED1066" s="876"/>
      <c r="EE1066" s="876"/>
    </row>
    <row r="1067" spans="1:135">
      <c r="A1067" s="815" t="s">
        <v>1294</v>
      </c>
      <c r="AR1067" s="685"/>
      <c r="AS1067" s="685"/>
      <c r="AT1067" s="730"/>
      <c r="AU1067" s="730"/>
      <c r="AV1067" s="685"/>
      <c r="AW1067" s="685"/>
      <c r="AX1067" s="730"/>
      <c r="AY1067" s="730"/>
      <c r="AZ1067" s="685"/>
      <c r="BA1067" s="876"/>
      <c r="BD1067" s="711"/>
      <c r="BE1067" s="885"/>
      <c r="BF1067" s="711"/>
      <c r="BH1067" s="685"/>
      <c r="BI1067" s="876"/>
      <c r="BL1067" s="876"/>
      <c r="BM1067" s="876"/>
      <c r="BP1067" s="876"/>
      <c r="BQ1067" s="876"/>
      <c r="BT1067" s="876"/>
      <c r="BU1067" s="876"/>
      <c r="BX1067" s="876"/>
      <c r="BY1067" s="876"/>
      <c r="CB1067" s="876"/>
      <c r="CC1067" s="876"/>
      <c r="CF1067" s="876"/>
      <c r="CG1067" s="876"/>
      <c r="CJ1067" s="876"/>
      <c r="CK1067" s="876"/>
      <c r="CN1067" s="876"/>
      <c r="CO1067" s="876"/>
      <c r="CR1067" s="876"/>
      <c r="CS1067" s="876"/>
      <c r="CV1067" s="876"/>
      <c r="CW1067" s="876"/>
      <c r="CZ1067" s="876"/>
      <c r="DA1067" s="876"/>
      <c r="DD1067" s="876"/>
      <c r="DE1067" s="876"/>
      <c r="DH1067" s="876"/>
      <c r="DI1067" s="876"/>
      <c r="DL1067" s="876"/>
      <c r="DM1067" s="876"/>
      <c r="DP1067" s="876"/>
      <c r="DQ1067" s="876"/>
      <c r="DU1067" s="876"/>
      <c r="DV1067" s="876"/>
      <c r="DW1067" s="876"/>
      <c r="DZ1067" s="876"/>
      <c r="EA1067" s="876"/>
      <c r="ED1067" s="876"/>
      <c r="EE1067" s="876"/>
    </row>
    <row r="1068" spans="1:135">
      <c r="A1068" s="102" t="s">
        <v>686</v>
      </c>
      <c r="B1068" s="103" t="s">
        <v>197</v>
      </c>
      <c r="AR1068" s="685"/>
      <c r="AS1068" s="685"/>
      <c r="AT1068" s="730"/>
      <c r="AU1068" s="730"/>
      <c r="AV1068" s="685"/>
      <c r="AW1068" s="685"/>
      <c r="AX1068" s="730"/>
      <c r="AY1068" s="730"/>
      <c r="AZ1068" s="685"/>
      <c r="BA1068" s="876"/>
      <c r="BD1068" s="711"/>
      <c r="BE1068" s="885"/>
      <c r="BF1068" s="711"/>
      <c r="BH1068" s="685"/>
      <c r="BI1068" s="876"/>
      <c r="BL1068" s="876"/>
      <c r="BM1068" s="876"/>
      <c r="BP1068" s="876"/>
      <c r="BQ1068" s="876"/>
      <c r="BT1068" s="876"/>
      <c r="BU1068" s="876"/>
      <c r="BX1068" s="711">
        <f t="shared" ref="BX1068:BZ1072" si="2434">BX1048/BX739*(BX$2/BX$1)*1000</f>
        <v>199.08200422907331</v>
      </c>
      <c r="BY1068" s="711">
        <f t="shared" si="2434"/>
        <v>316.38540890182026</v>
      </c>
      <c r="BZ1068" s="711">
        <f t="shared" si="2434"/>
        <v>256.61286851732302</v>
      </c>
      <c r="CB1068" s="711">
        <f t="shared" ref="CB1068:CD1072" si="2435">CB1048/CB739*(CB$2/CB$1)*1000</f>
        <v>219.72939440435198</v>
      </c>
      <c r="CC1068" s="711">
        <f t="shared" si="2435"/>
        <v>515.20618684797796</v>
      </c>
      <c r="CD1068" s="711">
        <f t="shared" si="2435"/>
        <v>366.33663366336634</v>
      </c>
      <c r="CF1068" s="711">
        <f t="shared" ref="CF1068:CH1070" si="2436">CF1048/CF739*(CF$2/CF$1)*1000</f>
        <v>236.49730425025305</v>
      </c>
      <c r="CG1068" s="711">
        <f t="shared" si="2436"/>
        <v>564.12570831657945</v>
      </c>
      <c r="CH1068" s="711">
        <f t="shared" si="2436"/>
        <v>408.08401030315031</v>
      </c>
      <c r="CJ1068" s="711">
        <f t="shared" ref="CJ1068:CL1070" si="2437">CJ1048/CJ739*(CJ$2/CJ$1)*1000</f>
        <v>207.48785367247785</v>
      </c>
      <c r="CK1068" s="711">
        <f t="shared" si="2437"/>
        <v>326.55015561407708</v>
      </c>
      <c r="CL1068" s="711">
        <f t="shared" si="2437"/>
        <v>272.2772277227723</v>
      </c>
      <c r="CN1068" s="711">
        <f t="shared" ref="CN1068:CP1070" si="2438">CN1048/CN739*(CN$2/CN$1)*1000</f>
        <v>7.3085233184105016</v>
      </c>
      <c r="CO1068" s="711">
        <f t="shared" si="2438"/>
        <v>575.06621361853468</v>
      </c>
      <c r="CP1068" s="711">
        <f t="shared" si="2438"/>
        <v>282.26184411614872</v>
      </c>
      <c r="CR1068" s="711">
        <f t="shared" ref="CR1068:CT1070" si="2439">CR1048/CR739*(CR$2/CR$1)*1000</f>
        <v>366.02894439157524</v>
      </c>
      <c r="CS1068" s="711">
        <f t="shared" si="2439"/>
        <v>496.84297738189957</v>
      </c>
      <c r="CT1068" s="295">
        <f t="shared" si="2439"/>
        <v>431.44963144963151</v>
      </c>
      <c r="CV1068" s="711">
        <f t="shared" ref="CV1068:CX1070" si="2440">CV1048/CV739*(CV$2/CV$1)*1000</f>
        <v>485.23345371578398</v>
      </c>
      <c r="CW1068" s="711">
        <f t="shared" si="2440"/>
        <v>269.86377677621914</v>
      </c>
      <c r="CX1068" s="295">
        <f t="shared" si="2440"/>
        <v>381.28811542466156</v>
      </c>
      <c r="CZ1068" s="711">
        <f t="shared" ref="CZ1068" si="2441">CZ1048/CZ739*(CZ$2/CZ$1)*1000</f>
        <v>325.09179926560586</v>
      </c>
      <c r="DA1068" s="711">
        <f t="shared" ref="DA1068:DB1070" si="2442">DA1048/DA739*(DA$2/DA$1)*1000</f>
        <v>452.4683348779734</v>
      </c>
      <c r="DB1068" s="295">
        <f t="shared" si="2442"/>
        <v>388.47655649500382</v>
      </c>
      <c r="DD1068" s="711">
        <f t="shared" ref="DD1068:DF1070" si="2443">DD1048/DD739*(DD$2/DD$1)*1000</f>
        <v>300.53436998003656</v>
      </c>
      <c r="DE1068" s="711">
        <f t="shared" si="2443"/>
        <v>533.46153846153845</v>
      </c>
      <c r="DF1068" s="295">
        <f t="shared" si="2443"/>
        <v>415.07283496078117</v>
      </c>
      <c r="DH1068" s="711">
        <f t="shared" ref="DH1068" si="2444">DH1048/DH739*(DH$2/DH$1)*1000</f>
        <v>572.08985051953118</v>
      </c>
      <c r="DI1068" s="711">
        <f t="shared" ref="DI1068:DJ1068" si="2445">DI1048/DI739*(DI$2/DI$1)*1000</f>
        <v>638.44501583025465</v>
      </c>
      <c r="DJ1068" s="295">
        <f t="shared" si="2445"/>
        <v>605.01105639439459</v>
      </c>
      <c r="DL1068" s="711">
        <f t="shared" ref="DL1068:DN1068" si="2446">DL1048/DL739*(DL$2/DL$1)*1000</f>
        <v>565.88345262450639</v>
      </c>
      <c r="DM1068" s="711">
        <f t="shared" si="2446"/>
        <v>683.95469229091952</v>
      </c>
      <c r="DN1068" s="295">
        <f t="shared" si="2446"/>
        <v>625.32489056604084</v>
      </c>
      <c r="DP1068" s="711">
        <f t="shared" ref="DP1068:DR1068" si="2447">DP1048/DP739*(DP$2/DP$1)*1000</f>
        <v>581.59155677578269</v>
      </c>
      <c r="DQ1068" s="711">
        <f t="shared" si="2447"/>
        <v>690.53602308208519</v>
      </c>
      <c r="DR1068" s="295">
        <f t="shared" si="2447"/>
        <v>636.60311897005431</v>
      </c>
      <c r="DU1068" s="876"/>
      <c r="DV1068" s="876"/>
      <c r="DW1068" s="876"/>
      <c r="DZ1068" s="876"/>
      <c r="EA1068" s="876"/>
      <c r="ED1068" s="876"/>
      <c r="EE1068" s="876"/>
    </row>
    <row r="1069" spans="1:135">
      <c r="A1069" s="102" t="s">
        <v>1306</v>
      </c>
      <c r="B1069" s="103" t="s">
        <v>197</v>
      </c>
      <c r="AR1069" s="685"/>
      <c r="AS1069" s="685"/>
      <c r="AT1069" s="730"/>
      <c r="AU1069" s="730"/>
      <c r="AV1069" s="685"/>
      <c r="AW1069" s="685"/>
      <c r="AX1069" s="730"/>
      <c r="AY1069" s="730"/>
      <c r="AZ1069" s="685"/>
      <c r="BA1069" s="876"/>
      <c r="BD1069" s="711"/>
      <c r="BE1069" s="885"/>
      <c r="BF1069" s="711"/>
      <c r="BH1069" s="685"/>
      <c r="BI1069" s="876"/>
      <c r="BL1069" s="876"/>
      <c r="BM1069" s="876"/>
      <c r="BP1069" s="876"/>
      <c r="BQ1069" s="876"/>
      <c r="BT1069" s="876"/>
      <c r="BU1069" s="876"/>
      <c r="BX1069" s="711">
        <f t="shared" si="2434"/>
        <v>295.09202620775892</v>
      </c>
      <c r="BY1069" s="711">
        <f t="shared" si="2434"/>
        <v>222.69725560525296</v>
      </c>
      <c r="BZ1069" s="711">
        <f t="shared" si="2434"/>
        <v>258.62419963881132</v>
      </c>
      <c r="CB1069" s="711">
        <f t="shared" si="2435"/>
        <v>421.91452873709386</v>
      </c>
      <c r="CC1069" s="711">
        <f t="shared" si="2435"/>
        <v>128.06255638350018</v>
      </c>
      <c r="CD1069" s="711">
        <f t="shared" si="2435"/>
        <v>275.39107950872653</v>
      </c>
      <c r="CF1069" s="711">
        <f t="shared" si="2436"/>
        <v>259.60804841101788</v>
      </c>
      <c r="CG1069" s="711">
        <f t="shared" si="2436"/>
        <v>270.04783383547249</v>
      </c>
      <c r="CH1069" s="711">
        <f t="shared" si="2436"/>
        <v>265.02558428986305</v>
      </c>
      <c r="CJ1069" s="711">
        <f t="shared" si="2437"/>
        <v>306.98834372458663</v>
      </c>
      <c r="CK1069" s="711">
        <f t="shared" si="2437"/>
        <v>278.56832971800441</v>
      </c>
      <c r="CL1069" s="711">
        <f t="shared" si="2437"/>
        <v>292.78026297953096</v>
      </c>
      <c r="CN1069" s="711">
        <f t="shared" si="2438"/>
        <v>312.15031561220724</v>
      </c>
      <c r="CO1069" s="711">
        <f t="shared" si="2438"/>
        <v>332.57128492422606</v>
      </c>
      <c r="CP1069" s="711">
        <f t="shared" si="2438"/>
        <v>322.35972732039852</v>
      </c>
      <c r="CR1069" s="711">
        <f t="shared" si="2439"/>
        <v>307.87230371009491</v>
      </c>
      <c r="CS1069" s="711">
        <f t="shared" si="2439"/>
        <v>502.72806301630203</v>
      </c>
      <c r="CT1069" s="295">
        <f t="shared" si="2439"/>
        <v>410.13291980505102</v>
      </c>
      <c r="CV1069" s="711">
        <f t="shared" si="2440"/>
        <v>339.8997705485657</v>
      </c>
      <c r="CW1069" s="711">
        <f t="shared" si="2440"/>
        <v>211.8862177697205</v>
      </c>
      <c r="CX1069" s="295">
        <f t="shared" si="2440"/>
        <v>275.36455245998809</v>
      </c>
      <c r="CZ1069" s="711">
        <f t="shared" ref="CZ1069" si="2448">CZ1049/CZ740*(CZ$2/CZ$1)*1000</f>
        <v>234.17836662052596</v>
      </c>
      <c r="DA1069" s="711">
        <f t="shared" si="2442"/>
        <v>355.00497908783115</v>
      </c>
      <c r="DB1069" s="295">
        <f t="shared" si="2442"/>
        <v>294.37586822782293</v>
      </c>
      <c r="DD1069" s="711">
        <f t="shared" si="2443"/>
        <v>355.49900857752522</v>
      </c>
      <c r="DE1069" s="711">
        <f t="shared" si="2443"/>
        <v>573.87203802621343</v>
      </c>
      <c r="DF1069" s="295">
        <f t="shared" si="2443"/>
        <v>461.55129274395318</v>
      </c>
      <c r="DH1069" s="711">
        <f t="shared" ref="DH1069" si="2449">DH1049/DH740*(DH$2/DH$1)*1000</f>
        <v>533.2412871888281</v>
      </c>
      <c r="DI1069" s="711">
        <f t="shared" ref="DI1069:DJ1069" si="2450">DI1049/DI740*(DI$2/DI$1)*1000</f>
        <v>594.68435379565983</v>
      </c>
      <c r="DJ1069" s="295">
        <f t="shared" si="2450"/>
        <v>564.21061961581177</v>
      </c>
      <c r="DL1069" s="711">
        <f t="shared" ref="DL1069:DN1069" si="2451">DL1049/DL740*(DL$2/DL$1)*1000</f>
        <v>400.71454782160822</v>
      </c>
      <c r="DM1069" s="711">
        <f t="shared" si="2451"/>
        <v>382.3870498312798</v>
      </c>
      <c r="DN1069" s="295">
        <f t="shared" si="2451"/>
        <v>391.47455359292849</v>
      </c>
      <c r="DP1069" s="711">
        <f t="shared" ref="DP1069:DR1069" si="2452">DP1049/DP740*(DP$2/DP$1)*1000</f>
        <v>390.74374366273213</v>
      </c>
      <c r="DQ1069" s="711">
        <f t="shared" si="2452"/>
        <v>373.0345182111318</v>
      </c>
      <c r="DR1069" s="295">
        <f t="shared" si="2452"/>
        <v>381.80146150400327</v>
      </c>
      <c r="DU1069" s="876"/>
      <c r="DV1069" s="876"/>
      <c r="DW1069" s="876"/>
      <c r="DZ1069" s="876"/>
      <c r="EA1069" s="876"/>
      <c r="ED1069" s="876"/>
      <c r="EE1069" s="876"/>
    </row>
    <row r="1070" spans="1:135">
      <c r="A1070" s="102" t="s">
        <v>1024</v>
      </c>
      <c r="B1070" s="103" t="s">
        <v>197</v>
      </c>
      <c r="AR1070" s="685"/>
      <c r="AS1070" s="685"/>
      <c r="AT1070" s="730"/>
      <c r="AU1070" s="730"/>
      <c r="AV1070" s="685"/>
      <c r="AW1070" s="685"/>
      <c r="AX1070" s="730"/>
      <c r="AY1070" s="730"/>
      <c r="AZ1070" s="685"/>
      <c r="BA1070" s="876"/>
      <c r="BD1070" s="711"/>
      <c r="BE1070" s="885"/>
      <c r="BF1070" s="711"/>
      <c r="BH1070" s="685"/>
      <c r="BI1070" s="876"/>
      <c r="BL1070" s="876"/>
      <c r="BM1070" s="876"/>
      <c r="BP1070" s="876"/>
      <c r="BQ1070" s="876"/>
      <c r="BT1070" s="876"/>
      <c r="BU1070" s="876"/>
      <c r="BX1070" s="711">
        <f t="shared" si="2434"/>
        <v>210.37938832262387</v>
      </c>
      <c r="BY1070" s="711">
        <f t="shared" si="2434"/>
        <v>226.45243863747797</v>
      </c>
      <c r="BZ1070" s="711">
        <f t="shared" si="2434"/>
        <v>218.27479338842977</v>
      </c>
      <c r="CB1070" s="711">
        <f t="shared" si="2435"/>
        <v>189.82582496170346</v>
      </c>
      <c r="CC1070" s="711">
        <f t="shared" si="2435"/>
        <v>233.46955099864226</v>
      </c>
      <c r="CD1070" s="711">
        <f t="shared" si="2435"/>
        <v>212.03083533425999</v>
      </c>
      <c r="CF1070" s="711">
        <f t="shared" si="2436"/>
        <v>340.75685149237131</v>
      </c>
      <c r="CG1070" s="711">
        <f t="shared" si="2436"/>
        <v>285.19749889176637</v>
      </c>
      <c r="CH1070" s="711">
        <f t="shared" si="2436"/>
        <v>310.83404823181769</v>
      </c>
      <c r="CJ1070" s="711">
        <f t="shared" si="2437"/>
        <v>382.59828377569346</v>
      </c>
      <c r="CK1070" s="711">
        <f t="shared" si="2437"/>
        <v>262.27516935295489</v>
      </c>
      <c r="CL1070" s="711">
        <f t="shared" si="2437"/>
        <v>327.16315109771847</v>
      </c>
      <c r="CN1070" s="711">
        <f t="shared" si="2438"/>
        <v>316.12205996832807</v>
      </c>
      <c r="CO1070" s="711">
        <f t="shared" si="2438"/>
        <v>448.11142346026065</v>
      </c>
      <c r="CP1070" s="711">
        <f t="shared" si="2438"/>
        <v>381.91328606300135</v>
      </c>
      <c r="CR1070" s="711">
        <f t="shared" si="2439"/>
        <v>432.98256839595064</v>
      </c>
      <c r="CS1070" s="711">
        <f t="shared" si="2439"/>
        <v>574.45125239961249</v>
      </c>
      <c r="CT1070" s="295">
        <f t="shared" si="2439"/>
        <v>503.89616463985033</v>
      </c>
      <c r="CV1070" s="711">
        <f t="shared" si="2440"/>
        <v>569.72645675497506</v>
      </c>
      <c r="CW1070" s="711">
        <f t="shared" si="2440"/>
        <v>1082.8807751388395</v>
      </c>
      <c r="CX1070" s="295">
        <f t="shared" si="2440"/>
        <v>831.16141083397417</v>
      </c>
      <c r="CZ1070" s="711">
        <f t="shared" ref="CZ1070" si="2453">CZ1050/CZ741*(CZ$2/CZ$1)*1000</f>
        <v>515.08149370744786</v>
      </c>
      <c r="DA1070" s="711">
        <f t="shared" si="2442"/>
        <v>623.03685897435889</v>
      </c>
      <c r="DB1070" s="295">
        <f t="shared" si="2442"/>
        <v>569.85466002642534</v>
      </c>
      <c r="DD1070" s="711">
        <f t="shared" si="2443"/>
        <v>434.58594721443052</v>
      </c>
      <c r="DE1070" s="711">
        <f t="shared" si="2443"/>
        <v>497.16690236170763</v>
      </c>
      <c r="DF1070" s="295">
        <f t="shared" si="2443"/>
        <v>465.83505764114693</v>
      </c>
      <c r="DH1070" s="711">
        <f t="shared" ref="DH1070" si="2454">DH1050/DH741*(DH$2/DH$1)*1000</f>
        <v>397.42852325400139</v>
      </c>
      <c r="DI1070" s="711">
        <f t="shared" ref="DI1070:DJ1070" si="2455">DI1050/DI741*(DI$2/DI$1)*1000</f>
        <v>525.2274046873938</v>
      </c>
      <c r="DJ1070" s="295">
        <f t="shared" si="2455"/>
        <v>461.92899102086204</v>
      </c>
      <c r="DL1070" s="711">
        <f t="shared" ref="DL1070:DN1070" si="2456">DL1050/DL741*(DL$2/DL$1)*1000</f>
        <v>369.83518902695926</v>
      </c>
      <c r="DM1070" s="711">
        <f t="shared" si="2456"/>
        <v>515.49445900835326</v>
      </c>
      <c r="DN1070" s="295">
        <f t="shared" si="2456"/>
        <v>443.17436853992746</v>
      </c>
      <c r="DP1070" s="711">
        <f t="shared" ref="DP1070:DR1070" si="2457">DP1050/DP741*(DP$2/DP$1)*1000</f>
        <v>361.64935874058716</v>
      </c>
      <c r="DQ1070" s="711">
        <f t="shared" si="2457"/>
        <v>504.13676980796907</v>
      </c>
      <c r="DR1070" s="295">
        <f t="shared" si="2457"/>
        <v>433.59844749738397</v>
      </c>
      <c r="DU1070" s="876"/>
      <c r="DV1070" s="876"/>
      <c r="DW1070" s="876"/>
      <c r="DZ1070" s="876"/>
      <c r="EA1070" s="876"/>
      <c r="ED1070" s="876"/>
      <c r="EE1070" s="876"/>
    </row>
    <row r="1071" spans="1:135">
      <c r="A1071" s="102" t="s">
        <v>690</v>
      </c>
      <c r="B1071" s="103" t="s">
        <v>197</v>
      </c>
      <c r="AR1071" s="685"/>
      <c r="AS1071" s="685"/>
      <c r="AT1071" s="730"/>
      <c r="AU1071" s="730"/>
      <c r="AV1071" s="685"/>
      <c r="AW1071" s="685"/>
      <c r="AX1071" s="730"/>
      <c r="AY1071" s="730"/>
      <c r="AZ1071" s="685"/>
      <c r="BA1071" s="876"/>
      <c r="BD1071" s="711"/>
      <c r="BE1071" s="885"/>
      <c r="BF1071" s="711"/>
      <c r="BH1071" s="685"/>
      <c r="BI1071" s="876"/>
      <c r="BL1071" s="876"/>
      <c r="BM1071" s="876"/>
      <c r="BP1071" s="876"/>
      <c r="BQ1071" s="876"/>
      <c r="BT1071" s="876"/>
      <c r="BU1071" s="876"/>
      <c r="BX1071" s="711">
        <f t="shared" si="2434"/>
        <v>195.31673750252983</v>
      </c>
      <c r="BY1071" s="711">
        <f t="shared" si="2434"/>
        <v>287.49783805445998</v>
      </c>
      <c r="BZ1071" s="711">
        <f t="shared" si="2434"/>
        <v>240.46748350612634</v>
      </c>
      <c r="CB1071" s="711">
        <f t="shared" si="2435"/>
        <v>201.46273774505593</v>
      </c>
      <c r="CC1071" s="711">
        <f t="shared" si="2435"/>
        <v>287.32153342840365</v>
      </c>
      <c r="CD1071" s="711">
        <f t="shared" si="2435"/>
        <v>236.44278606965173</v>
      </c>
      <c r="CF1071" s="711"/>
      <c r="CG1071" s="711"/>
      <c r="CH1071" s="711"/>
      <c r="CJ1071" s="711"/>
      <c r="CK1071" s="711"/>
      <c r="CL1071" s="711"/>
      <c r="CN1071" s="711"/>
      <c r="CO1071" s="711"/>
      <c r="CP1071" s="711"/>
      <c r="CR1071" s="711"/>
      <c r="CS1071" s="711"/>
      <c r="CT1071" s="295"/>
      <c r="CV1071" s="711"/>
      <c r="CW1071" s="711"/>
      <c r="CX1071" s="295"/>
      <c r="CZ1071" s="711"/>
      <c r="DA1071" s="711"/>
      <c r="DB1071" s="295"/>
      <c r="DD1071" s="711"/>
      <c r="DE1071" s="711"/>
      <c r="DF1071" s="295"/>
      <c r="DH1071" s="711"/>
      <c r="DI1071" s="711"/>
      <c r="DJ1071" s="295"/>
      <c r="DL1071" s="711"/>
      <c r="DM1071" s="711"/>
      <c r="DN1071" s="295"/>
      <c r="DP1071" s="711"/>
      <c r="DQ1071" s="711"/>
      <c r="DR1071" s="295"/>
      <c r="DU1071" s="876"/>
      <c r="DV1071" s="876"/>
      <c r="DW1071" s="876"/>
      <c r="DZ1071" s="876"/>
      <c r="EA1071" s="876"/>
      <c r="ED1071" s="876"/>
      <c r="EE1071" s="876"/>
    </row>
    <row r="1072" spans="1:135">
      <c r="A1072" s="102" t="s">
        <v>689</v>
      </c>
      <c r="B1072" s="103" t="s">
        <v>197</v>
      </c>
      <c r="AR1072" s="685"/>
      <c r="AS1072" s="685"/>
      <c r="AT1072" s="730"/>
      <c r="AU1072" s="730"/>
      <c r="AV1072" s="685"/>
      <c r="AW1072" s="685"/>
      <c r="AX1072" s="730"/>
      <c r="AY1072" s="730"/>
      <c r="AZ1072" s="685"/>
      <c r="BA1072" s="876"/>
      <c r="BD1072" s="711"/>
      <c r="BE1072" s="885"/>
      <c r="BF1072" s="711"/>
      <c r="BH1072" s="685"/>
      <c r="BI1072" s="876"/>
      <c r="BL1072" s="876"/>
      <c r="BM1072" s="876"/>
      <c r="BP1072" s="876"/>
      <c r="BQ1072" s="876"/>
      <c r="BT1072" s="876"/>
      <c r="BU1072" s="876"/>
      <c r="BX1072" s="711">
        <f t="shared" si="2434"/>
        <v>10.309649618208407</v>
      </c>
      <c r="BY1072" s="711">
        <f t="shared" si="2434"/>
        <v>4.1447547018199113</v>
      </c>
      <c r="BZ1072" s="711">
        <f t="shared" si="2434"/>
        <v>7.3067825247405098</v>
      </c>
      <c r="CB1072" s="711">
        <f t="shared" si="2435"/>
        <v>17.517080762982413</v>
      </c>
      <c r="CC1072" s="711">
        <f t="shared" si="2435"/>
        <v>5.2024926746116256</v>
      </c>
      <c r="CD1072" s="711">
        <f t="shared" si="2435"/>
        <v>10.737509321401939</v>
      </c>
      <c r="CF1072" s="711">
        <f>CF1052/CF743*(CF$2/CF$1)*1000</f>
        <v>21.91681343991328</v>
      </c>
      <c r="CG1072" s="711">
        <f>CG1052/CG743*(CG$2/CG$1)*1000</f>
        <v>35.385306758952332</v>
      </c>
      <c r="CH1072" s="711">
        <f>CH1052/CH743*(CH$2/CH$1)*1000</f>
        <v>28.447162759089355</v>
      </c>
      <c r="CJ1072" s="711">
        <f>CJ1052/CJ743*(CJ$2/CJ$1)*1000</f>
        <v>38.229762124285458</v>
      </c>
      <c r="CK1072" s="711">
        <f>CK1052/CK743*(CK$2/CK$1)*1000</f>
        <v>46.454528337412896</v>
      </c>
      <c r="CL1072" s="711">
        <f>CL1052/CL743*(CL$2/CL$1)*1000</f>
        <v>42.299236072293638</v>
      </c>
      <c r="CN1072" s="711">
        <f>CN1052/CN743*(CN$2/CN$1)*1000</f>
        <v>28.293321135392191</v>
      </c>
      <c r="CO1072" s="711">
        <f>CO1052/CO743*(CO$2/CO$1)*1000</f>
        <v>47.277972834850893</v>
      </c>
      <c r="CP1072" s="711">
        <f>CP1052/CP743*(CP$2/CP$1)*1000</f>
        <v>38.027282266526747</v>
      </c>
      <c r="CR1072" s="711">
        <f>CR1052/CR743*(CR$2/CR$1)*1000</f>
        <v>31.513531222679809</v>
      </c>
      <c r="CS1072" s="711">
        <f>CS1052/CS743*(CS$2/CS$1)*1000</f>
        <v>44.070980470919032</v>
      </c>
      <c r="CT1072" s="295">
        <f>CT1052/CT743*(CT$2/CT$1)*1000</f>
        <v>37.957150762906174</v>
      </c>
      <c r="CV1072" s="711">
        <f>CV1052/CV743*(CV$2/CV$1)*1000</f>
        <v>46.166632071277618</v>
      </c>
      <c r="CW1072" s="711">
        <f>CW1052/CW743*(CW$2/CW$1)*1000</f>
        <v>55.186657314316861</v>
      </c>
      <c r="CX1072" s="295">
        <f>CX1052/CX743*(CX$2/CX$1)*1000</f>
        <v>50.806167711046953</v>
      </c>
      <c r="CZ1072" s="711">
        <f>CZ1052/CZ743*(CZ$2/CZ$1)*1000</f>
        <v>25.048494129657985</v>
      </c>
      <c r="DA1072" s="711">
        <f>DA1052/DA743*(DA$2/DA$1)*1000</f>
        <v>28.030106410589152</v>
      </c>
      <c r="DB1072" s="295">
        <f>DB1052/DB743*(DB$2/DB$1)*1000</f>
        <v>26.526830523742102</v>
      </c>
      <c r="DD1072" s="711">
        <f>DD1052/DD743*(DD$2/DD$1)*1000</f>
        <v>40.289162112932615</v>
      </c>
      <c r="DE1072" s="711">
        <f>DE1052/DE743*(DE$2/DE$1)*1000</f>
        <v>76.859171492902334</v>
      </c>
      <c r="DF1072" s="295">
        <f>DF1052/DF743*(DF$2/DF$1)*1000</f>
        <v>57.782398811734126</v>
      </c>
      <c r="DH1072" s="711">
        <f>DH1052/DH743*(DH$2/DH$1)*1000</f>
        <v>93.453219729849764</v>
      </c>
      <c r="DI1072" s="711">
        <f>DI1052/DI743*(DI$2/DI$1)*1000</f>
        <v>57.89533964607633</v>
      </c>
      <c r="DJ1072" s="295">
        <f>DJ1052/DJ743*(DJ$2/DJ$1)*1000</f>
        <v>74.484213724200742</v>
      </c>
      <c r="DL1072" s="711">
        <f>DL1052/DL743*(DL$2/DL$1)*1000</f>
        <v>67.691780060275562</v>
      </c>
      <c r="DM1072" s="711">
        <f>DM1052/DM743*(DM$2/DM$1)*1000</f>
        <v>64.419588729867669</v>
      </c>
      <c r="DN1072" s="295">
        <f>DN1052/DN743*(DN$2/DN$1)*1000</f>
        <v>66.042176055453822</v>
      </c>
      <c r="DP1072" s="711">
        <f>DP1052/DP743*(DP$2/DP$1)*1000</f>
        <v>76.284913375615602</v>
      </c>
      <c r="DQ1072" s="711">
        <f>DQ1052/DQ743*(DQ$2/DQ$1)*1000</f>
        <v>71.665232555110066</v>
      </c>
      <c r="DR1072" s="295">
        <f>DR1052/DR743*(DR$2/DR$1)*1000</f>
        <v>73.952203258330613</v>
      </c>
      <c r="DU1072" s="876"/>
      <c r="DV1072" s="876"/>
      <c r="DW1072" s="876"/>
      <c r="DZ1072" s="876"/>
      <c r="EA1072" s="876"/>
      <c r="ED1072" s="876"/>
      <c r="EE1072" s="876"/>
    </row>
    <row r="1073" spans="1:273">
      <c r="A1073" s="102" t="s">
        <v>688</v>
      </c>
      <c r="B1073" s="103" t="s">
        <v>197</v>
      </c>
      <c r="AR1073" s="685"/>
      <c r="AS1073" s="685"/>
      <c r="AT1073" s="730"/>
      <c r="AU1073" s="730"/>
      <c r="AV1073" s="685"/>
      <c r="AW1073" s="685"/>
      <c r="AX1073" s="730"/>
      <c r="AY1073" s="730"/>
      <c r="AZ1073" s="685"/>
      <c r="BA1073" s="876"/>
      <c r="BD1073" s="711"/>
      <c r="BE1073" s="885"/>
      <c r="BF1073" s="711"/>
      <c r="BH1073" s="685"/>
      <c r="BI1073" s="876"/>
      <c r="BL1073" s="876"/>
      <c r="BM1073" s="876"/>
      <c r="BP1073" s="876"/>
      <c r="BQ1073" s="876"/>
      <c r="BT1073" s="876"/>
      <c r="BU1073" s="876"/>
      <c r="BX1073" s="711"/>
      <c r="BY1073" s="711"/>
      <c r="BZ1073" s="711"/>
      <c r="CB1073" s="711"/>
      <c r="CC1073" s="711"/>
      <c r="CD1073" s="711"/>
      <c r="CF1073" s="711"/>
      <c r="CG1073" s="711"/>
      <c r="CH1073" s="711"/>
      <c r="CJ1073" s="711"/>
      <c r="CK1073" s="711"/>
      <c r="CL1073" s="711"/>
      <c r="CN1073" s="711"/>
      <c r="CO1073" s="711"/>
      <c r="CP1073" s="711"/>
      <c r="CR1073" s="711"/>
      <c r="CS1073" s="711"/>
      <c r="CT1073" s="295"/>
      <c r="CV1073" s="711"/>
      <c r="CW1073" s="711"/>
      <c r="CX1073" s="295"/>
      <c r="CZ1073" s="711"/>
      <c r="DA1073" s="711"/>
      <c r="DB1073" s="295"/>
      <c r="DD1073" s="711"/>
      <c r="DE1073" s="711"/>
      <c r="DF1073" s="295"/>
      <c r="DH1073" s="711"/>
      <c r="DI1073" s="711"/>
      <c r="DJ1073" s="295"/>
      <c r="DL1073" s="711"/>
      <c r="DM1073" s="711"/>
      <c r="DN1073" s="295"/>
      <c r="DP1073" s="711"/>
      <c r="DQ1073" s="711"/>
      <c r="DR1073" s="295"/>
      <c r="DU1073" s="876"/>
      <c r="DV1073" s="876"/>
      <c r="DW1073" s="876"/>
      <c r="DZ1073" s="876"/>
      <c r="EA1073" s="876"/>
      <c r="ED1073" s="876"/>
      <c r="EE1073" s="876"/>
    </row>
    <row r="1074" spans="1:273" s="1519" customFormat="1">
      <c r="A1074" s="1519" t="s">
        <v>691</v>
      </c>
      <c r="B1074" s="1520" t="s">
        <v>197</v>
      </c>
      <c r="AN1074" s="1520"/>
      <c r="AO1074" s="1520"/>
      <c r="AP1074" s="1520"/>
      <c r="AQ1074" s="1520"/>
      <c r="AR1074" s="1646"/>
      <c r="AS1074" s="1646"/>
      <c r="AT1074" s="1647"/>
      <c r="AU1074" s="1647"/>
      <c r="AV1074" s="1646"/>
      <c r="AW1074" s="1646"/>
      <c r="AX1074" s="1647"/>
      <c r="AY1074" s="1647"/>
      <c r="AZ1074" s="1646"/>
      <c r="BA1074" s="1648"/>
      <c r="BB1074" s="1520"/>
      <c r="BC1074" s="1520"/>
      <c r="BD1074" s="1649"/>
      <c r="BE1074" s="1650"/>
      <c r="BF1074" s="1649"/>
      <c r="BG1074" s="1520"/>
      <c r="BH1074" s="1646"/>
      <c r="BI1074" s="1648"/>
      <c r="BJ1074" s="1520"/>
      <c r="BK1074" s="1520"/>
      <c r="BL1074" s="1648"/>
      <c r="BM1074" s="1648"/>
      <c r="BN1074" s="1520"/>
      <c r="BO1074" s="1520"/>
      <c r="BP1074" s="1648"/>
      <c r="BQ1074" s="1648"/>
      <c r="BR1074" s="1520"/>
      <c r="BS1074" s="1520"/>
      <c r="BT1074" s="1648"/>
      <c r="BU1074" s="1648"/>
      <c r="BV1074" s="1520"/>
      <c r="BW1074" s="1520"/>
      <c r="BX1074" s="1649">
        <f t="shared" ref="BX1074:BZ1075" si="2458">BX1054/BX745*(BX$2/BX$1)*1000</f>
        <v>53.702487630843599</v>
      </c>
      <c r="BY1074" s="1649">
        <f t="shared" si="2458"/>
        <v>-5.1160148644926595</v>
      </c>
      <c r="BZ1074" s="1649">
        <f t="shared" si="2458"/>
        <v>24.779125521366655</v>
      </c>
      <c r="CA1074" s="1520"/>
      <c r="CB1074" s="1649">
        <f t="shared" ref="CB1074:CD1075" si="2459">CB1054/CB745*(CB$2/CB$1)*1000</f>
        <v>28.661234494335513</v>
      </c>
      <c r="CC1074" s="1649">
        <f t="shared" si="2459"/>
        <v>21.167123783842815</v>
      </c>
      <c r="CD1074" s="1649">
        <f t="shared" si="2459"/>
        <v>25.976974689973098</v>
      </c>
      <c r="CE1074" s="1652"/>
      <c r="CF1074" s="1649">
        <f t="shared" ref="CF1074:CH1075" si="2460">CF1054/CF745*(CF$2/CF$1)*1000</f>
        <v>53.190660931623711</v>
      </c>
      <c r="CG1074" s="1649">
        <f t="shared" si="2460"/>
        <v>17.735626724088462</v>
      </c>
      <c r="CH1074" s="1649">
        <f t="shared" si="2460"/>
        <v>34.908391534506571</v>
      </c>
      <c r="CI1074" s="1652"/>
      <c r="CJ1074" s="1649">
        <f t="shared" ref="CJ1074:CL1075" si="2461">CJ1054/CJ745*(CJ$2/CJ$1)*1000</f>
        <v>67.664787291001232</v>
      </c>
      <c r="CK1074" s="1649">
        <f t="shared" si="2461"/>
        <v>17.103397933443318</v>
      </c>
      <c r="CL1074" s="1649">
        <f t="shared" si="2461"/>
        <v>41.940461688721683</v>
      </c>
      <c r="CM1074" s="1652"/>
      <c r="CN1074" s="1649">
        <f t="shared" ref="CN1074:CP1075" si="2462">CN1054/CN745*(CN$2/CN$1)*1000</f>
        <v>83.112180986013584</v>
      </c>
      <c r="CO1074" s="1649">
        <f t="shared" si="2462"/>
        <v>-3.6595193716359904</v>
      </c>
      <c r="CP1074" s="1649">
        <f t="shared" si="2462"/>
        <v>39.184070911854469</v>
      </c>
      <c r="CQ1074" s="1652"/>
      <c r="CR1074" s="1649">
        <f t="shared" ref="CR1074:CT1075" si="2463">CR1054/CR745*(CR$2/CR$1)*1000</f>
        <v>71.767312893497802</v>
      </c>
      <c r="CS1074" s="1649">
        <f t="shared" si="2463"/>
        <v>11.068898401224228</v>
      </c>
      <c r="CT1074" s="2168">
        <f t="shared" si="2463"/>
        <v>40.779017704574308</v>
      </c>
      <c r="CU1074" s="1520"/>
      <c r="CV1074" s="1649">
        <f t="shared" ref="CV1074:CX1075" si="2464">CV1054/CV745*(CV$2/CV$1)*1000</f>
        <v>25.642441594357496</v>
      </c>
      <c r="CW1074" s="1649">
        <f t="shared" si="2464"/>
        <v>25.51426547541951</v>
      </c>
      <c r="CX1074" s="2168">
        <f t="shared" si="2464"/>
        <v>25.519284696203364</v>
      </c>
      <c r="CY1074" s="1520"/>
      <c r="CZ1074" s="1649">
        <f t="shared" ref="CZ1074" si="2465">CZ1054/CZ745*(CZ$2/CZ$1)*1000</f>
        <v>36.828385199266634</v>
      </c>
      <c r="DA1074" s="1649">
        <f t="shared" ref="DA1074:DB1075" si="2466">DA1054/DA745*(DA$2/DA$1)*1000</f>
        <v>8.5391972926893871</v>
      </c>
      <c r="DB1074" s="2168">
        <f t="shared" si="2466"/>
        <v>22.607174315833859</v>
      </c>
      <c r="DC1074" s="1520"/>
      <c r="DD1074" s="1649">
        <f t="shared" ref="DD1074:DF1075" si="2467">DD1054/DD745*(DD$2/DD$1)*1000</f>
        <v>32.338647610768319</v>
      </c>
      <c r="DE1074" s="1649">
        <f t="shared" si="2467"/>
        <v>-20.774355406605281</v>
      </c>
      <c r="DF1074" s="2168">
        <f t="shared" si="2467"/>
        <v>5.708780105417901</v>
      </c>
      <c r="DG1074" s="1520"/>
      <c r="DH1074" s="1649">
        <f t="shared" ref="DH1074" si="2468">DH1054/DH745*(DH$2/DH$1)*1000</f>
        <v>50.032087886548219</v>
      </c>
      <c r="DI1074" s="1649">
        <f t="shared" ref="DI1074:DJ1074" si="2469">DI1054/DI745*(DI$2/DI$1)*1000</f>
        <v>36.266805824707021</v>
      </c>
      <c r="DJ1074" s="2168">
        <f t="shared" si="2469"/>
        <v>43.693139903703198</v>
      </c>
      <c r="DK1074" s="1520"/>
      <c r="DL1074" s="1649">
        <f t="shared" ref="DL1074:DN1074" si="2470">DL1054/DL745*(DL$2/DL$1)*1000</f>
        <v>125.65031831014315</v>
      </c>
      <c r="DM1074" s="1649">
        <f t="shared" si="2470"/>
        <v>66.537681531464301</v>
      </c>
      <c r="DN1074" s="2168">
        <f t="shared" si="2470"/>
        <v>95.87973267396508</v>
      </c>
      <c r="DO1074" s="1520"/>
      <c r="DP1074" s="1649">
        <f t="shared" ref="DP1074:DR1074" si="2471">DP1054/DP745*(DP$2/DP$1)*1000</f>
        <v>133.55595100442437</v>
      </c>
      <c r="DQ1074" s="1649">
        <f t="shared" si="2471"/>
        <v>77.922346412860477</v>
      </c>
      <c r="DR1074" s="2168">
        <f t="shared" si="2471"/>
        <v>105.46373482452577</v>
      </c>
      <c r="DS1074" s="1520"/>
      <c r="DT1074" s="1520"/>
      <c r="DU1074" s="1648"/>
      <c r="DV1074" s="1648"/>
      <c r="DW1074" s="1648"/>
      <c r="DX1074" s="1520"/>
      <c r="DY1074" s="1520"/>
      <c r="DZ1074" s="1648"/>
      <c r="EA1074" s="1648"/>
      <c r="EB1074" s="1520"/>
      <c r="EC1074" s="1520"/>
      <c r="ED1074" s="1648"/>
      <c r="EE1074" s="1648"/>
      <c r="EF1074" s="1520"/>
      <c r="EG1074" s="1520"/>
      <c r="EH1074" s="1520"/>
      <c r="EI1074" s="1520"/>
      <c r="EJ1074" s="1520"/>
      <c r="EK1074" s="1520"/>
      <c r="EL1074" s="1520"/>
      <c r="EM1074" s="1520"/>
      <c r="EN1074" s="1520"/>
      <c r="EO1074" s="1520"/>
      <c r="EP1074" s="1520"/>
      <c r="JM1074"/>
    </row>
    <row r="1075" spans="1:273">
      <c r="A1075" s="289" t="s">
        <v>696</v>
      </c>
      <c r="B1075" s="103" t="s">
        <v>197</v>
      </c>
      <c r="AR1075" s="685"/>
      <c r="AS1075" s="685"/>
      <c r="AT1075" s="730"/>
      <c r="AU1075" s="730"/>
      <c r="AV1075" s="685"/>
      <c r="AW1075" s="685"/>
      <c r="AX1075" s="730"/>
      <c r="AY1075" s="730"/>
      <c r="AZ1075" s="685"/>
      <c r="BA1075" s="876"/>
      <c r="BD1075" s="711"/>
      <c r="BE1075" s="885"/>
      <c r="BF1075" s="711"/>
      <c r="BH1075" s="685"/>
      <c r="BI1075" s="876"/>
      <c r="BL1075" s="876"/>
      <c r="BM1075" s="876"/>
      <c r="BP1075" s="876"/>
      <c r="BQ1075" s="876"/>
      <c r="BT1075" s="876"/>
      <c r="BU1075" s="876"/>
      <c r="BX1075" s="711">
        <f t="shared" si="2458"/>
        <v>120.61047796332147</v>
      </c>
      <c r="BY1075" s="711">
        <f t="shared" si="2458"/>
        <v>108.60400349073208</v>
      </c>
      <c r="BZ1075" s="711">
        <f t="shared" si="2458"/>
        <v>114.69770804961627</v>
      </c>
      <c r="CB1075" s="711">
        <f t="shared" si="2459"/>
        <v>120.94033338360047</v>
      </c>
      <c r="CC1075" s="711">
        <f t="shared" si="2459"/>
        <v>110.30825021776796</v>
      </c>
      <c r="CD1075" s="711">
        <f t="shared" si="2459"/>
        <v>116.00779845684805</v>
      </c>
      <c r="CF1075" s="711">
        <f t="shared" si="2460"/>
        <v>131.24469995216344</v>
      </c>
      <c r="CG1075" s="711">
        <f t="shared" si="2460"/>
        <v>148.04157011300586</v>
      </c>
      <c r="CH1075" s="711">
        <f t="shared" si="2460"/>
        <v>139.72818055192047</v>
      </c>
      <c r="CJ1075" s="711">
        <f t="shared" si="2461"/>
        <v>156.8046045259714</v>
      </c>
      <c r="CK1075" s="711">
        <f t="shared" si="2461"/>
        <v>126.83324873291976</v>
      </c>
      <c r="CL1075" s="711">
        <f t="shared" si="2461"/>
        <v>141.72968112303232</v>
      </c>
      <c r="CN1075" s="711">
        <f t="shared" si="2462"/>
        <v>122.32919062596586</v>
      </c>
      <c r="CO1075" s="711">
        <f t="shared" si="2462"/>
        <v>171.10636489369082</v>
      </c>
      <c r="CP1075" s="711">
        <f t="shared" si="2462"/>
        <v>146.90447979038171</v>
      </c>
      <c r="CR1075" s="711">
        <f t="shared" si="2463"/>
        <v>171.95630789552888</v>
      </c>
      <c r="CS1075" s="711">
        <f t="shared" si="2463"/>
        <v>202.29880253187102</v>
      </c>
      <c r="CT1075" s="711">
        <f t="shared" si="2463"/>
        <v>187.44564558610901</v>
      </c>
      <c r="CV1075" s="711">
        <f t="shared" si="2464"/>
        <v>178.84903757362696</v>
      </c>
      <c r="CW1075" s="711">
        <f t="shared" si="2464"/>
        <v>198.56640410821512</v>
      </c>
      <c r="CX1075" s="711">
        <f t="shared" si="2464"/>
        <v>188.94305745298837</v>
      </c>
      <c r="CZ1075" s="711">
        <f t="shared" ref="CZ1075" si="2472">CZ1055/CZ746*(CZ$2/CZ$1)*1000</f>
        <v>136.53946693252507</v>
      </c>
      <c r="DA1075" s="711">
        <f t="shared" si="2466"/>
        <v>161.0185129530862</v>
      </c>
      <c r="DB1075" s="711">
        <f t="shared" si="2466"/>
        <v>148.79904598770082</v>
      </c>
      <c r="DD1075" s="711">
        <f t="shared" si="2467"/>
        <v>143.68409868139324</v>
      </c>
      <c r="DE1075" s="711">
        <f t="shared" si="2467"/>
        <v>173.92360291283356</v>
      </c>
      <c r="DF1075" s="711">
        <f t="shared" si="2467"/>
        <v>158.49961193992857</v>
      </c>
      <c r="DH1075" s="711">
        <f t="shared" ref="DH1075" si="2473">DH1055/DH746*(DH$2/DH$1)*1000</f>
        <v>197.3591554966593</v>
      </c>
      <c r="DI1075" s="711">
        <f t="shared" ref="DI1075:DJ1075" si="2474">DI1055/DI746*(DI$2/DI$1)*1000</f>
        <v>213.60384333692542</v>
      </c>
      <c r="DJ1075" s="711">
        <f t="shared" si="2474"/>
        <v>205.68925982674139</v>
      </c>
      <c r="DL1075" s="711">
        <f t="shared" ref="DL1075:DN1075" si="2475">DL1055/DL746*(DL$2/DL$1)*1000</f>
        <v>209.65963403372447</v>
      </c>
      <c r="DM1075" s="711">
        <f t="shared" si="2475"/>
        <v>206.87269104782956</v>
      </c>
      <c r="DN1075" s="711">
        <f t="shared" si="2475"/>
        <v>208.25053409545825</v>
      </c>
      <c r="DP1075" s="711">
        <f t="shared" ref="DP1075:DR1075" si="2476">DP1055/DP746*(DP$2/DP$1)*1000</f>
        <v>214.10178687527474</v>
      </c>
      <c r="DQ1075" s="711">
        <f t="shared" si="2476"/>
        <v>211.65788048127069</v>
      </c>
      <c r="DR1075" s="711">
        <f t="shared" si="2476"/>
        <v>212.86773513176777</v>
      </c>
      <c r="DU1075" s="876"/>
      <c r="DV1075" s="876"/>
      <c r="DW1075" s="876"/>
      <c r="DZ1075" s="876"/>
      <c r="EA1075" s="876"/>
      <c r="ED1075" s="876"/>
      <c r="EE1075" s="876"/>
    </row>
    <row r="1076" spans="1:273">
      <c r="AR1076" s="685"/>
      <c r="AS1076" s="685"/>
      <c r="AT1076" s="730"/>
      <c r="AU1076" s="730"/>
      <c r="AV1076" s="685"/>
      <c r="AW1076" s="685"/>
      <c r="AX1076" s="730"/>
      <c r="AY1076" s="730"/>
      <c r="AZ1076" s="685"/>
      <c r="BA1076" s="876"/>
      <c r="BD1076" s="711"/>
      <c r="BE1076" s="885"/>
      <c r="BF1076" s="711"/>
      <c r="BH1076" s="685"/>
      <c r="BI1076" s="876"/>
      <c r="BL1076" s="876"/>
      <c r="BM1076" s="876"/>
      <c r="BP1076" s="876"/>
      <c r="BQ1076" s="876"/>
      <c r="BT1076" s="876"/>
      <c r="BU1076" s="876"/>
      <c r="BX1076" s="876"/>
      <c r="BY1076" s="876"/>
      <c r="CB1076" s="876"/>
      <c r="CC1076" s="876"/>
      <c r="CF1076" s="876"/>
      <c r="CG1076" s="876"/>
      <c r="CJ1076" s="876"/>
      <c r="CK1076" s="876"/>
      <c r="CN1076" s="876"/>
      <c r="CO1076" s="876"/>
      <c r="CR1076" s="876"/>
      <c r="CS1076" s="876"/>
      <c r="CV1076" s="876"/>
      <c r="CW1076" s="876"/>
      <c r="CZ1076" s="876"/>
      <c r="DA1076" s="876"/>
      <c r="DD1076" s="876"/>
      <c r="DE1076" s="876"/>
      <c r="DH1076" s="876"/>
      <c r="DI1076" s="876"/>
      <c r="DL1076" s="876"/>
      <c r="DM1076" s="876"/>
      <c r="DP1076" s="876"/>
      <c r="DQ1076" s="876"/>
      <c r="DU1076" s="876"/>
      <c r="DV1076" s="876"/>
      <c r="DW1076" s="876"/>
      <c r="DZ1076" s="876"/>
      <c r="EA1076" s="876"/>
      <c r="ED1076" s="876"/>
      <c r="EE1076" s="876"/>
    </row>
    <row r="1077" spans="1:273">
      <c r="AR1077" s="685"/>
      <c r="AS1077" s="685"/>
      <c r="AT1077" s="730"/>
      <c r="AU1077" s="730"/>
      <c r="AV1077" s="685"/>
      <c r="AW1077" s="685"/>
      <c r="AX1077" s="730"/>
      <c r="AY1077" s="730"/>
      <c r="AZ1077" s="685"/>
      <c r="BA1077" s="876"/>
      <c r="BD1077" s="711"/>
      <c r="BE1077" s="885"/>
      <c r="BF1077" s="711"/>
      <c r="BH1077" s="685"/>
      <c r="BI1077" s="876"/>
      <c r="BL1077" s="876"/>
      <c r="BM1077" s="876"/>
      <c r="BP1077" s="876"/>
      <c r="BQ1077" s="876"/>
      <c r="BT1077" s="876"/>
      <c r="BU1077" s="876"/>
      <c r="BX1077" s="876"/>
      <c r="BY1077" s="876"/>
      <c r="CB1077" s="876"/>
      <c r="CC1077" s="876"/>
      <c r="CF1077" s="876"/>
      <c r="CG1077" s="876"/>
      <c r="CJ1077" s="876"/>
      <c r="CK1077" s="876"/>
      <c r="CN1077" s="876"/>
      <c r="CO1077" s="876"/>
      <c r="CR1077" s="876"/>
      <c r="CS1077" s="876"/>
      <c r="CV1077" s="876"/>
      <c r="CW1077" s="876"/>
      <c r="CZ1077" s="876"/>
      <c r="DA1077" s="876"/>
      <c r="DD1077" s="876"/>
      <c r="DE1077" s="876"/>
      <c r="DH1077" s="876"/>
      <c r="DI1077" s="876"/>
      <c r="DL1077" s="876"/>
      <c r="DM1077" s="876"/>
      <c r="DP1077" s="876"/>
      <c r="DQ1077" s="876"/>
      <c r="DU1077" s="876"/>
      <c r="DV1077" s="876"/>
      <c r="DW1077" s="876"/>
      <c r="DZ1077" s="876"/>
      <c r="EA1077" s="876"/>
      <c r="ED1077" s="876"/>
      <c r="EE1077" s="876"/>
    </row>
    <row r="1078" spans="1:273">
      <c r="A1078" s="815" t="s">
        <v>756</v>
      </c>
      <c r="AR1078" s="685"/>
      <c r="AS1078" s="685"/>
      <c r="AT1078" s="730"/>
      <c r="AU1078" s="730"/>
      <c r="AV1078" s="685"/>
      <c r="AW1078" s="685"/>
      <c r="AX1078" s="730"/>
      <c r="AY1078" s="730"/>
      <c r="AZ1078" s="685"/>
      <c r="BA1078" s="876"/>
      <c r="BD1078" s="711"/>
      <c r="BE1078" s="885"/>
      <c r="BF1078" s="711"/>
      <c r="BH1078" s="685"/>
      <c r="BI1078" s="876"/>
      <c r="BL1078" s="876"/>
      <c r="BM1078" s="876"/>
      <c r="BP1078" s="876"/>
      <c r="BQ1078" s="876"/>
      <c r="BT1078" s="876"/>
      <c r="BU1078" s="876"/>
      <c r="BX1078" s="876"/>
      <c r="BY1078" s="876"/>
      <c r="CB1078" s="876"/>
      <c r="CC1078" s="876"/>
      <c r="CF1078" s="876"/>
      <c r="CG1078" s="876"/>
      <c r="CJ1078" s="876"/>
      <c r="CK1078" s="876"/>
      <c r="CN1078" s="876"/>
      <c r="CO1078" s="876"/>
      <c r="CR1078" s="876"/>
      <c r="CS1078" s="876"/>
      <c r="CV1078" s="876"/>
      <c r="CW1078" s="876"/>
      <c r="CZ1078" s="876"/>
      <c r="DA1078" s="876"/>
      <c r="DD1078" s="876"/>
      <c r="DE1078" s="876"/>
      <c r="DH1078" s="876"/>
      <c r="DI1078" s="876"/>
      <c r="DL1078" s="876"/>
      <c r="DM1078" s="876"/>
      <c r="DP1078" s="876"/>
      <c r="DQ1078" s="876"/>
      <c r="DU1078" s="876"/>
      <c r="DV1078" s="876"/>
      <c r="DW1078" s="876"/>
      <c r="DZ1078" s="876"/>
      <c r="EA1078" s="876"/>
      <c r="ED1078" s="876"/>
      <c r="EE1078" s="876"/>
    </row>
    <row r="1079" spans="1:273">
      <c r="A1079" s="102" t="s">
        <v>757</v>
      </c>
      <c r="AR1079" s="685"/>
      <c r="AS1079" s="685"/>
      <c r="AT1079" s="730"/>
      <c r="AU1079" s="730"/>
      <c r="AV1079" s="293">
        <f>AV698</f>
        <v>-107</v>
      </c>
      <c r="AW1079" s="293">
        <f>AW698</f>
        <v>-146</v>
      </c>
      <c r="AX1079" s="295">
        <f>SUM(AV1079:AW1079)</f>
        <v>-253</v>
      </c>
      <c r="AY1079" s="730"/>
      <c r="AZ1079" s="293">
        <f>AZ698</f>
        <v>-142</v>
      </c>
      <c r="BA1079" s="293">
        <f>BA698</f>
        <v>-136</v>
      </c>
      <c r="BB1079" s="295">
        <f>SUM(AZ1079:BA1079)</f>
        <v>-278</v>
      </c>
      <c r="BD1079" s="293">
        <f>BD698</f>
        <v>-121</v>
      </c>
      <c r="BE1079" s="293">
        <f>BE698</f>
        <v>-104</v>
      </c>
      <c r="BF1079" s="295">
        <f>SUM(BD1079:BE1079)</f>
        <v>-225</v>
      </c>
      <c r="BH1079" s="293">
        <f>BH698</f>
        <v>-96</v>
      </c>
      <c r="BI1079" s="293">
        <f>BI698</f>
        <v>-105</v>
      </c>
      <c r="BJ1079" s="295">
        <f>SUM(BH1079:BI1079)</f>
        <v>-201</v>
      </c>
      <c r="BL1079" s="293">
        <f>BL698</f>
        <v>-108</v>
      </c>
      <c r="BM1079" s="293">
        <f>BM698</f>
        <v>-123</v>
      </c>
      <c r="BN1079" s="295">
        <f>SUM(BL1079:BM1079)</f>
        <v>-231</v>
      </c>
      <c r="BP1079" s="293">
        <f>BP698</f>
        <v>-123</v>
      </c>
      <c r="BQ1079" s="293">
        <f>BQ698</f>
        <v>-129</v>
      </c>
      <c r="BR1079" s="295">
        <f>SUM(BP1079:BQ1079)</f>
        <v>-252</v>
      </c>
      <c r="BT1079" s="293">
        <f>BT698</f>
        <v>-145</v>
      </c>
      <c r="BU1079" s="293">
        <f>BU698</f>
        <v>-142</v>
      </c>
      <c r="BV1079" s="295">
        <f>SUM(BT1079:BU1079)</f>
        <v>-287</v>
      </c>
      <c r="BX1079" s="293">
        <f>BX698</f>
        <v>-149</v>
      </c>
      <c r="BY1079" s="293">
        <f>BY698</f>
        <v>-109</v>
      </c>
      <c r="BZ1079" s="295">
        <f>SUM(BX1079:BY1079)</f>
        <v>-258</v>
      </c>
      <c r="CB1079" s="293">
        <f>CB698</f>
        <v>-131</v>
      </c>
      <c r="CC1079" s="293">
        <f>CC698</f>
        <v>-141</v>
      </c>
      <c r="CD1079" s="295">
        <f>SUM(CB1079:CC1079)</f>
        <v>-272</v>
      </c>
      <c r="CF1079" s="293">
        <f>CF698</f>
        <v>-157</v>
      </c>
      <c r="CG1079" s="293">
        <f>CG698</f>
        <v>-169</v>
      </c>
      <c r="CH1079" s="295">
        <f>SUM(CF1079:CG1079)</f>
        <v>-326</v>
      </c>
      <c r="CJ1079" s="293">
        <f>CJ698</f>
        <v>-174</v>
      </c>
      <c r="CK1079" s="293">
        <f>CK698</f>
        <v>-148</v>
      </c>
      <c r="CL1079" s="295">
        <f>SUM(CJ1079:CK1079)</f>
        <v>-322</v>
      </c>
      <c r="CN1079" s="293">
        <f>CN698</f>
        <v>-184</v>
      </c>
      <c r="CO1079" s="293">
        <f>CO698</f>
        <v>-143</v>
      </c>
      <c r="CP1079" s="295">
        <f>SUM(CN1079:CO1079)</f>
        <v>-327</v>
      </c>
      <c r="CR1079" s="293">
        <f>CR698</f>
        <v>-163</v>
      </c>
      <c r="CS1079" s="293">
        <f>CS698</f>
        <v>-198</v>
      </c>
      <c r="CT1079" s="295">
        <f>SUM(CR1079:CS1079)</f>
        <v>-361</v>
      </c>
      <c r="CV1079" s="293">
        <f>CV698</f>
        <v>-179</v>
      </c>
      <c r="CW1079" s="293">
        <f>CW698</f>
        <v>-246</v>
      </c>
      <c r="CX1079" s="295">
        <f>SUM(CV1079:CW1079)</f>
        <v>-425</v>
      </c>
      <c r="CZ1079" s="293">
        <f>CZ698</f>
        <v>-228</v>
      </c>
      <c r="DA1079" s="293">
        <f>DA698</f>
        <v>-222</v>
      </c>
      <c r="DB1079" s="295">
        <f>SUM(CZ1079:DA1079)</f>
        <v>-450</v>
      </c>
      <c r="DD1079" s="293">
        <f>DD698</f>
        <v>-215</v>
      </c>
      <c r="DE1079" s="293">
        <f>DE698</f>
        <v>-190</v>
      </c>
      <c r="DF1079" s="295">
        <f>SUM(DD1079:DE1079)</f>
        <v>-405</v>
      </c>
      <c r="DH1079" s="293">
        <f>DH698</f>
        <v>-222</v>
      </c>
      <c r="DI1079" s="293">
        <f>-DI719*DI1080/1000*(DI$1/DI$2)</f>
        <v>-227.45464918032792</v>
      </c>
      <c r="DJ1079" s="295">
        <f>SUM(DH1079:DI1079)</f>
        <v>-449.45464918032792</v>
      </c>
      <c r="DL1079" s="293">
        <f>-DL719*DL1080/1000*(DL$1/DL$2)</f>
        <v>-235.61127288000006</v>
      </c>
      <c r="DM1079" s="293">
        <f>-DM719*DM1080/1000*(DM$1/DM$2)</f>
        <v>-241.4003577290581</v>
      </c>
      <c r="DN1079" s="295">
        <f>SUM(DL1079:DM1079)</f>
        <v>-477.01163060905816</v>
      </c>
      <c r="DP1079" s="293">
        <f>-DP719*DP1080/1000*(DP$1/DP$2)</f>
        <v>-249.37386459987258</v>
      </c>
      <c r="DQ1079" s="293">
        <f>-DQ719*DQ1080/1000*(DQ$1/DQ$2)</f>
        <v>-256.90495531078881</v>
      </c>
      <c r="DR1079" s="295">
        <f>SUM(DP1079:DQ1079)</f>
        <v>-506.27881991066135</v>
      </c>
      <c r="DU1079" s="876"/>
      <c r="DV1079" s="876"/>
      <c r="DW1079" s="876"/>
      <c r="DZ1079" s="876"/>
      <c r="EA1079" s="876"/>
      <c r="ED1079" s="876"/>
      <c r="EE1079" s="876"/>
    </row>
    <row r="1080" spans="1:273" s="302" customFormat="1">
      <c r="A1080" s="302" t="s">
        <v>696</v>
      </c>
      <c r="B1080" s="304" t="s">
        <v>197</v>
      </c>
      <c r="AN1080" s="304"/>
      <c r="AO1080" s="304"/>
      <c r="AP1080" s="304"/>
      <c r="AQ1080" s="304"/>
      <c r="AR1080" s="686"/>
      <c r="AS1080" s="686"/>
      <c r="AT1080" s="634"/>
      <c r="AU1080" s="634"/>
      <c r="AV1080" s="883">
        <f>-AV1079/AV719*(AV$2/AV$1)*1000</f>
        <v>16.727958970563417</v>
      </c>
      <c r="AW1080" s="883">
        <f>-AW1079/AW719*(AW$2/AW$1)*1000</f>
        <v>19.97695284179558</v>
      </c>
      <c r="AX1080" s="883"/>
      <c r="AY1080" s="634"/>
      <c r="AZ1080" s="883">
        <f>-AZ1079/AZ719*(AZ$2/AZ$1)*1000</f>
        <v>18.23369881644544</v>
      </c>
      <c r="BA1080" s="883">
        <f>-BA1079/BA719*(BA$2/BA$1)*1000</f>
        <v>17.533251012294468</v>
      </c>
      <c r="BB1080" s="883"/>
      <c r="BC1080" s="883"/>
      <c r="BD1080" s="883">
        <f>-BD1079/BD719*(BD$2/BD$1)*1000</f>
        <v>16.039236479321314</v>
      </c>
      <c r="BE1080" s="883">
        <f>-BE1079/BE719*(BE$2/BE$1)*1000</f>
        <v>14.645824531756091</v>
      </c>
      <c r="BF1080" s="883"/>
      <c r="BG1080" s="304"/>
      <c r="BH1080" s="883">
        <f>-BH1079/BH719*(BH$2/BH$1)*1000</f>
        <v>14.222343447676266</v>
      </c>
      <c r="BI1080" s="883">
        <f>-BI1079/BI719*(BI$2/BI$1)*1000</f>
        <v>15.412202523378692</v>
      </c>
      <c r="BJ1080" s="883"/>
      <c r="BK1080" s="883"/>
      <c r="BL1080" s="883">
        <f>-BL1079/BL719*(BL$2/BL$1)*1000</f>
        <v>15.495995688480956</v>
      </c>
      <c r="BM1080" s="883">
        <f>-BM1079/BM719*(BM$2/BM$1)*1000</f>
        <v>17.729880268513202</v>
      </c>
      <c r="BN1080" s="883"/>
      <c r="BO1080" s="304"/>
      <c r="BP1080" s="883">
        <f>-BP1079/BP719*(BP$2/BP$1)*1000</f>
        <v>17.352374370664805</v>
      </c>
      <c r="BQ1080" s="883">
        <f>-BQ1079/BQ719*(BQ$2/BQ$1)*1000</f>
        <v>18.367681306978433</v>
      </c>
      <c r="BR1080" s="883"/>
      <c r="BS1080" s="304"/>
      <c r="BT1080" s="883">
        <f>-BT1079/BT719*(BT$2/BT$1)*1000</f>
        <v>21.351789132675599</v>
      </c>
      <c r="BU1080" s="883">
        <f>-BU1079/BU719*(BU$2/BU$1)*1000</f>
        <v>19.760645699972166</v>
      </c>
      <c r="BV1080" s="883"/>
      <c r="BW1080" s="304"/>
      <c r="BX1080" s="883">
        <f>-BX1079/BX719*(BX$2/BX$1)*1000</f>
        <v>21.510262908926375</v>
      </c>
      <c r="BY1080" s="883">
        <f>-BY1079/BY719*(BY$2/BY$1)*1000</f>
        <v>16.076995006170559</v>
      </c>
      <c r="BZ1080" s="883"/>
      <c r="CA1080" s="304"/>
      <c r="CB1080" s="883">
        <f>-CB1079/CB719*(CB$2/CB$1)*1000</f>
        <v>18.708588930650471</v>
      </c>
      <c r="CC1080" s="883">
        <f>-CC1079/CC719*(CC$2/CC$1)*1000</f>
        <v>19.54348782049383</v>
      </c>
      <c r="CD1080" s="883"/>
      <c r="CE1080" s="300"/>
      <c r="CF1080" s="883">
        <f>-CF1079/CF719*(CF$2/CF$1)*1000</f>
        <v>20.573029137555501</v>
      </c>
      <c r="CG1080" s="883">
        <f>-CG1079/CG719*(CG$2/CG$1)*1000</f>
        <v>21.723405424213013</v>
      </c>
      <c r="CH1080" s="883"/>
      <c r="CI1080" s="300"/>
      <c r="CJ1080" s="883">
        <f>-CJ1079/CJ719*(CJ$2/CJ$1)*1000</f>
        <v>22.159959246051962</v>
      </c>
      <c r="CK1080" s="883">
        <f>-CK1079/CK719*(CK$2/CK$1)*1000</f>
        <v>18.676257177108965</v>
      </c>
      <c r="CL1080" s="883"/>
      <c r="CM1080" s="300"/>
      <c r="CN1080" s="883">
        <f>-CN1079/CN719*(CN$2/CN$1)*1000</f>
        <v>22.437914864216538</v>
      </c>
      <c r="CO1080" s="883">
        <f>-CO1079/CO719*(CO$2/CO$1)*1000</f>
        <v>17.424248999678856</v>
      </c>
      <c r="CP1080" s="883"/>
      <c r="CQ1080" s="300"/>
      <c r="CR1080" s="883">
        <f>-CR1079/CR719*(CR$2/CR$1)*1000</f>
        <v>18.891817631325836</v>
      </c>
      <c r="CS1080" s="883">
        <f>-CS1079/CS719*(CS$2/CS$1)*1000</f>
        <v>21.898632994425196</v>
      </c>
      <c r="CT1080" s="883"/>
      <c r="CU1080" s="304"/>
      <c r="CV1080" s="883">
        <f>-CV1079/CV719*(CV$2/CV$1)*1000</f>
        <v>18.531187476564789</v>
      </c>
      <c r="CW1080" s="883">
        <f>-CW1079/CW719*(CW$2/CW$1)*1000</f>
        <v>24.055373170395846</v>
      </c>
      <c r="CX1080" s="883"/>
      <c r="CY1080" s="304"/>
      <c r="CZ1080" s="883">
        <f>-CZ1079/CZ719*(CZ$2/CZ$1)*1000</f>
        <v>21.438645980253877</v>
      </c>
      <c r="DA1080" s="883">
        <f>-DA1079/DA719*(DA$2/DA$1)*1000</f>
        <v>21.484564018194135</v>
      </c>
      <c r="DB1080" s="883"/>
      <c r="DC1080" s="304"/>
      <c r="DD1080" s="883">
        <f>-DD1079/DD719*(DD$2/DD$1)*1000</f>
        <v>21.384587673266935</v>
      </c>
      <c r="DE1080" s="883">
        <f>-DE1079/DE719*(DE$2/DE$1)*1000</f>
        <v>19.308029188951409</v>
      </c>
      <c r="DF1080" s="883"/>
      <c r="DG1080" s="304"/>
      <c r="DH1080" s="883">
        <f>-DH1079/DH719*(DH$2/DH$1)*1000</f>
        <v>22.339280825684963</v>
      </c>
      <c r="DI1080" s="884">
        <f>+DH1080*1.01</f>
        <v>22.562673633941813</v>
      </c>
      <c r="DJ1080" s="304"/>
      <c r="DK1080" s="304"/>
      <c r="DL1080" s="884">
        <f>+DI1080*1.01</f>
        <v>22.788300370281231</v>
      </c>
      <c r="DM1080" s="884">
        <f>+DL1080*1.01</f>
        <v>23.016183373984042</v>
      </c>
      <c r="DN1080" s="304"/>
      <c r="DO1080" s="304"/>
      <c r="DP1080" s="884">
        <f>+DM1080*1.01</f>
        <v>23.246345207723884</v>
      </c>
      <c r="DQ1080" s="884">
        <f>+DP1080*1.01</f>
        <v>23.478808659801125</v>
      </c>
      <c r="DR1080" s="304"/>
      <c r="DS1080" s="304"/>
      <c r="DT1080" s="304"/>
      <c r="DU1080" s="303"/>
      <c r="DV1080" s="303"/>
      <c r="DW1080" s="303"/>
      <c r="DX1080" s="304"/>
      <c r="DY1080" s="304"/>
      <c r="DZ1080" s="303"/>
      <c r="EA1080" s="303"/>
      <c r="EB1080" s="304"/>
      <c r="EC1080" s="304"/>
      <c r="ED1080" s="303"/>
      <c r="EE1080" s="303"/>
      <c r="EF1080" s="304"/>
      <c r="EG1080" s="304"/>
      <c r="EH1080" s="304"/>
      <c r="EI1080" s="304"/>
      <c r="EJ1080" s="304"/>
      <c r="EK1080" s="304"/>
      <c r="EL1080" s="304"/>
      <c r="EM1080" s="304"/>
      <c r="EN1080" s="304"/>
      <c r="EO1080" s="304"/>
      <c r="EP1080" s="304"/>
      <c r="FL1080" s="102"/>
      <c r="FM1080" s="102"/>
      <c r="FN1080" s="102"/>
      <c r="FO1080" s="102"/>
      <c r="FP1080" s="102"/>
      <c r="FQ1080" s="102"/>
      <c r="FR1080" s="102"/>
      <c r="FS1080" s="102"/>
      <c r="FT1080" s="102"/>
      <c r="FU1080" s="102"/>
      <c r="FV1080" s="102"/>
      <c r="FW1080" s="102"/>
      <c r="FX1080" s="102"/>
      <c r="FY1080" s="102"/>
      <c r="FZ1080" s="102"/>
      <c r="GA1080" s="102"/>
      <c r="GB1080" s="102"/>
      <c r="GC1080" s="102"/>
      <c r="GD1080" s="102"/>
      <c r="GE1080" s="102"/>
      <c r="GF1080" s="102"/>
      <c r="GG1080" s="102"/>
      <c r="GH1080" s="102"/>
      <c r="GI1080" s="102"/>
      <c r="GJ1080" s="102"/>
      <c r="GK1080" s="102"/>
      <c r="GL1080" s="102"/>
      <c r="GM1080" s="102"/>
      <c r="GN1080" s="102"/>
      <c r="GO1080" s="102"/>
      <c r="GP1080" s="102"/>
      <c r="GQ1080" s="102"/>
      <c r="GR1080" s="102"/>
      <c r="GS1080" s="102"/>
      <c r="GT1080" s="102"/>
      <c r="GU1080" s="102"/>
      <c r="GV1080" s="102"/>
      <c r="GW1080" s="102"/>
      <c r="GX1080" s="102"/>
      <c r="GY1080" s="102"/>
      <c r="GZ1080" s="102"/>
      <c r="HA1080" s="102"/>
      <c r="HB1080" s="102"/>
      <c r="HC1080" s="102"/>
      <c r="HD1080" s="102"/>
      <c r="HE1080" s="102"/>
      <c r="HF1080" s="102"/>
      <c r="HG1080" s="102"/>
      <c r="HH1080" s="102"/>
      <c r="HI1080" s="102"/>
      <c r="HJ1080" s="102"/>
      <c r="HK1080" s="102"/>
      <c r="HL1080" s="102"/>
      <c r="HM1080" s="102"/>
      <c r="HN1080" s="102"/>
      <c r="HO1080" s="102"/>
      <c r="HP1080" s="102"/>
      <c r="HQ1080" s="102"/>
      <c r="HR1080" s="102"/>
      <c r="HS1080" s="102"/>
      <c r="HT1080" s="102"/>
      <c r="HU1080" s="102"/>
      <c r="HV1080" s="102"/>
      <c r="HW1080" s="102"/>
      <c r="HX1080" s="102"/>
      <c r="HY1080" s="102"/>
      <c r="HZ1080" s="102"/>
      <c r="IA1080" s="102"/>
      <c r="IB1080" s="102"/>
      <c r="IC1080" s="102"/>
      <c r="ID1080" s="102"/>
      <c r="IE1080" s="102"/>
      <c r="IF1080" s="102"/>
      <c r="IG1080" s="102"/>
      <c r="IH1080" s="102"/>
      <c r="II1080" s="102"/>
      <c r="IJ1080" s="102"/>
      <c r="IK1080" s="102"/>
      <c r="IL1080" s="102"/>
      <c r="IM1080" s="102"/>
      <c r="IN1080" s="102"/>
      <c r="IO1080" s="102"/>
      <c r="IP1080" s="102"/>
      <c r="IQ1080" s="102"/>
      <c r="IR1080" s="102"/>
      <c r="IS1080" s="102"/>
      <c r="IT1080" s="102"/>
      <c r="IU1080" s="102"/>
      <c r="IV1080" s="102"/>
      <c r="IW1080" s="102"/>
      <c r="IX1080" s="102"/>
      <c r="IY1080" s="102"/>
      <c r="IZ1080" s="102"/>
      <c r="JA1080" s="102"/>
      <c r="JB1080" s="102"/>
      <c r="JC1080" s="102"/>
      <c r="JD1080" s="102"/>
      <c r="JE1080" s="102"/>
      <c r="JF1080" s="102"/>
      <c r="JG1080" s="102"/>
      <c r="JH1080" s="102"/>
      <c r="JI1080" s="102"/>
      <c r="JJ1080" s="102"/>
      <c r="JK1080" s="102"/>
      <c r="JL1080" s="102"/>
      <c r="JM1080"/>
    </row>
    <row r="1081" spans="1:273">
      <c r="A1081" s="102" t="s">
        <v>191</v>
      </c>
      <c r="AN1081" s="293"/>
      <c r="AO1081" s="293"/>
      <c r="AR1081" s="632">
        <f>AR698/AR699</f>
        <v>6.3037355112842572E-2</v>
      </c>
      <c r="AS1081" s="632">
        <f>AS698/AS699</f>
        <v>3.4933768383440582E-2</v>
      </c>
      <c r="AT1081" s="632">
        <f>AT698/AT699</f>
        <v>4.9801730310404468E-2</v>
      </c>
      <c r="AU1081" s="730"/>
      <c r="AV1081" s="632">
        <f>AV698/AV699</f>
        <v>7.6319543509272461E-2</v>
      </c>
      <c r="AW1081" s="632">
        <f>AW698/AW699</f>
        <v>0.10089841050449205</v>
      </c>
      <c r="AX1081" s="632">
        <f>AX698/AX699</f>
        <v>8.8803088803088806E-2</v>
      </c>
      <c r="AY1081" s="730"/>
      <c r="AZ1081" s="632">
        <f>AZ698/AZ699</f>
        <v>8.0973215941938334E-2</v>
      </c>
      <c r="BA1081" s="632">
        <f>BA698/BA699</f>
        <v>7.3210121667524372E-2</v>
      </c>
      <c r="BB1081" s="632">
        <f>BB698/BB699</f>
        <v>7.6979886758876029E-2</v>
      </c>
      <c r="BD1081" s="632">
        <f>BD698/BD699</f>
        <v>7.9016102462961965E-2</v>
      </c>
      <c r="BE1081" s="632">
        <f>BE698/BE699</f>
        <v>5.7665666111911873E-2</v>
      </c>
      <c r="BF1081" s="632">
        <f>BF698/BF699</f>
        <v>6.7469646620439111E-2</v>
      </c>
      <c r="BH1081" s="632">
        <f>BH698/BH699</f>
        <v>6.6574202496532592E-2</v>
      </c>
      <c r="BI1081" s="632">
        <f>BI698/BI699</f>
        <v>6.4417177914110432E-2</v>
      </c>
      <c r="BJ1081" s="632">
        <f>BJ698/BJ699</f>
        <v>6.54296875E-2</v>
      </c>
      <c r="BL1081" s="632">
        <f>BL698/BL699</f>
        <v>6.6584463625154133E-2</v>
      </c>
      <c r="BM1081" s="632">
        <f>BM698/BM699</f>
        <v>6.5321295804567178E-2</v>
      </c>
      <c r="BN1081" s="632">
        <f>BN698/BN699</f>
        <v>6.59058487874465E-2</v>
      </c>
      <c r="BP1081" s="632">
        <f>BP698/BP699</f>
        <v>6.7545304777594725E-2</v>
      </c>
      <c r="BQ1081" s="632">
        <f>BQ698/BQ699</f>
        <v>6.2318840579710148E-2</v>
      </c>
      <c r="BR1081" s="632">
        <f>BR698/BR699</f>
        <v>6.4764841942945253E-2</v>
      </c>
      <c r="BT1081" s="632">
        <f>BT698/BT699</f>
        <v>6.8460812086874406E-2</v>
      </c>
      <c r="BU1081" s="632">
        <f>BU698/BU699</f>
        <v>7.7215878194671017E-2</v>
      </c>
      <c r="BV1081" s="632">
        <f>BV698/BV699</f>
        <v>7.252969421278746E-2</v>
      </c>
      <c r="BX1081" s="632">
        <f>BX698/BX699</f>
        <v>6.9593647828117708E-2</v>
      </c>
      <c r="BY1081" s="632">
        <f>BY698/BY699</f>
        <v>5.5050505050505051E-2</v>
      </c>
      <c r="BZ1081" s="632">
        <f>BZ698/BZ699</f>
        <v>6.2606163552535787E-2</v>
      </c>
      <c r="CB1081" s="632">
        <f>CB698/CB699</f>
        <v>6.1502347417840372E-2</v>
      </c>
      <c r="CC1081" s="632">
        <f>CC698/CC699</f>
        <v>6.7431850789096123E-2</v>
      </c>
      <c r="CD1081" s="632">
        <f>CD698/CD699</f>
        <v>6.4439706230751001E-2</v>
      </c>
      <c r="CF1081" s="632">
        <f>CF698/CF699</f>
        <v>6.8350021767522862E-2</v>
      </c>
      <c r="CG1081" s="632">
        <f>CG698/CG699</f>
        <v>6.5150346954510413E-2</v>
      </c>
      <c r="CH1081" s="632">
        <f>CH698/CH699</f>
        <v>6.6653036188918421E-2</v>
      </c>
      <c r="CJ1081" s="632">
        <f>CJ698/CJ699</f>
        <v>6.6871637202152195E-2</v>
      </c>
      <c r="CK1081" s="632">
        <f>CK698/CK699</f>
        <v>6.1692371821592332E-2</v>
      </c>
      <c r="CL1081" s="632">
        <f>CL698/CL699</f>
        <v>6.4387122575484901E-2</v>
      </c>
      <c r="CN1081" s="632">
        <f>CN698/CN699</f>
        <v>7.5689016865487457E-2</v>
      </c>
      <c r="CO1081" s="632">
        <f>CO698/CO699</f>
        <v>5.1830373323667994E-2</v>
      </c>
      <c r="CP1081" s="632">
        <f>CP698/CP699</f>
        <v>6.3005780346820806E-2</v>
      </c>
      <c r="CR1081" s="632">
        <f>CR698/CR699</f>
        <v>5.4315228257247584E-2</v>
      </c>
      <c r="CS1081" s="632">
        <f>CS698/CS699</f>
        <v>5.8876003568242644E-2</v>
      </c>
      <c r="CT1081" s="632">
        <f>CT698/CT699</f>
        <v>5.6725329981143935E-2</v>
      </c>
      <c r="CV1081" s="632">
        <f>CV698/CV699</f>
        <v>5.2125800815375656E-2</v>
      </c>
      <c r="CW1081" s="632">
        <f>CW698/CW699</f>
        <v>6.3995837669094696E-2</v>
      </c>
      <c r="CX1081" s="632">
        <f>CX698/CX699</f>
        <v>5.839516350645782E-2</v>
      </c>
      <c r="CZ1081" s="632">
        <f>CZ698/CZ699</f>
        <v>6.5031374786081009E-2</v>
      </c>
      <c r="DA1081" s="632">
        <f>DA698/DA699</f>
        <v>5.8932837801964427E-2</v>
      </c>
      <c r="DB1081" s="632">
        <f>DB698/DB699</f>
        <v>6.1872679774508457E-2</v>
      </c>
      <c r="DD1081" s="632">
        <f>DD698/DD699</f>
        <v>6.0717311493928269E-2</v>
      </c>
      <c r="DE1081" s="632">
        <f>DE698/DE699</f>
        <v>5.1157781367797521E-2</v>
      </c>
      <c r="DF1081" s="632">
        <f>DF698/DF699</f>
        <v>5.5823569951757405E-2</v>
      </c>
      <c r="DH1081" s="632">
        <f>DH698/DH699</f>
        <v>5.9453668987680772E-2</v>
      </c>
      <c r="DI1081" s="632">
        <f>DI698/DI699</f>
        <v>5.8534370483311414E-2</v>
      </c>
      <c r="DJ1081" s="632">
        <f>DJ698/DJ699</f>
        <v>5.8984860892644778E-2</v>
      </c>
      <c r="DL1081" s="632">
        <f>DL698/DL699</f>
        <v>6.1494683139299171E-2</v>
      </c>
      <c r="DM1081" s="632">
        <f>DM698/DM699</f>
        <v>6.1029531004001866E-2</v>
      </c>
      <c r="DN1081" s="632">
        <f>DN698/DN699</f>
        <v>6.125840171017731E-2</v>
      </c>
      <c r="DP1081" s="632">
        <f>DP698/DP699</f>
        <v>6.204776588736112E-2</v>
      </c>
      <c r="DQ1081" s="632">
        <f>DQ698/DQ699</f>
        <v>6.164129203427187E-2</v>
      </c>
      <c r="DR1081" s="632">
        <f>DR698/DR699</f>
        <v>6.1840838025902262E-2</v>
      </c>
      <c r="DU1081" s="876"/>
      <c r="DV1081" s="685"/>
      <c r="DW1081" s="685"/>
      <c r="DZ1081" s="685"/>
      <c r="EA1081" s="685"/>
      <c r="ED1081" s="685"/>
      <c r="EE1081" s="685"/>
      <c r="EH1081" s="685"/>
      <c r="EI1081" s="685"/>
    </row>
    <row r="1082" spans="1:273">
      <c r="A1082" s="102" t="s">
        <v>192</v>
      </c>
      <c r="AR1082" s="685">
        <f>AR698/AR697</f>
        <v>5.929928502479679E-2</v>
      </c>
      <c r="AS1082" s="685">
        <f>AS698/AS697</f>
        <v>3.3754593241272716E-2</v>
      </c>
      <c r="AT1082" s="685">
        <f>AT698/AT697</f>
        <v>4.7439177201278888E-2</v>
      </c>
      <c r="AU1082" s="730"/>
      <c r="AV1082" s="685">
        <f>AV698/AV697</f>
        <v>7.0907886017229957E-2</v>
      </c>
      <c r="AW1082" s="685">
        <f>AW698/AW697</f>
        <v>9.1650973006905209E-2</v>
      </c>
      <c r="AX1082" s="685">
        <f>AX698/AX697</f>
        <v>8.1560283687943269E-2</v>
      </c>
      <c r="AY1082" s="730"/>
      <c r="AZ1082" s="685">
        <f>AZ698/AZ697</f>
        <v>7.4907698680933457E-2</v>
      </c>
      <c r="BA1082" s="685">
        <f>BA698/BA697</f>
        <v>6.8216018642996493E-2</v>
      </c>
      <c r="BB1082" s="685">
        <f>BB698/BB697</f>
        <v>7.1477552835776392E-2</v>
      </c>
      <c r="BD1082" s="685">
        <f>BD698/BD697</f>
        <v>7.3229771346877789E-2</v>
      </c>
      <c r="BE1082" s="685">
        <f>BE698/BE697</f>
        <v>5.4521639455213489E-2</v>
      </c>
      <c r="BF1082" s="685">
        <f>BF698/BF697</f>
        <v>6.3205213219921494E-2</v>
      </c>
      <c r="BH1082" s="685">
        <f>BH698/BH697</f>
        <v>6.2418725617685307E-2</v>
      </c>
      <c r="BI1082" s="685">
        <f>BI698/BI697</f>
        <v>6.0518731988472622E-2</v>
      </c>
      <c r="BJ1082" s="685">
        <f>BJ698/BJ697</f>
        <v>6.1411549037580199E-2</v>
      </c>
      <c r="BL1082" s="685">
        <f>BL698/BL697</f>
        <v>6.2427745664739881E-2</v>
      </c>
      <c r="BM1082" s="685">
        <f>BM698/BM697</f>
        <v>6.1316051844466597E-2</v>
      </c>
      <c r="BN1082" s="685">
        <f>BN698/BN697</f>
        <v>6.1830835117773021E-2</v>
      </c>
      <c r="BP1082" s="685">
        <f>BP698/BP697</f>
        <v>6.3271604938271608E-2</v>
      </c>
      <c r="BQ1082" s="685">
        <f>BQ698/BQ697</f>
        <v>5.8663028649386086E-2</v>
      </c>
      <c r="BR1082" s="685">
        <f>BR698/BR697</f>
        <v>6.0825488776249097E-2</v>
      </c>
      <c r="BT1082" s="685">
        <f>BT698/BT697</f>
        <v>6.4074237737516568E-2</v>
      </c>
      <c r="BU1082" s="685">
        <f>BU698/BU697</f>
        <v>7.1680969207470968E-2</v>
      </c>
      <c r="BV1082" s="685">
        <f>BV698/BV697</f>
        <v>6.76248821866164E-2</v>
      </c>
      <c r="BX1082" s="685">
        <f>BX698/BX697</f>
        <v>6.5065502183406107E-2</v>
      </c>
      <c r="BY1082" s="685">
        <f>BY698/BY697</f>
        <v>5.2178075634274776E-2</v>
      </c>
      <c r="BZ1082" s="685">
        <f>BZ698/BZ697</f>
        <v>5.8917561087006166E-2</v>
      </c>
      <c r="CB1082" s="685">
        <f>CB698/CB697</f>
        <v>5.7938965059708095E-2</v>
      </c>
      <c r="CC1082" s="685">
        <f>CC698/CC697</f>
        <v>6.3172043010752688E-2</v>
      </c>
      <c r="CD1082" s="685">
        <f>CD698/CD697</f>
        <v>6.0538615624304473E-2</v>
      </c>
      <c r="CF1082" s="685">
        <f>CF698/CF697</f>
        <v>6.3977180114099433E-2</v>
      </c>
      <c r="CG1082" s="685">
        <f>CG698/CG697</f>
        <v>6.1165399927614911E-2</v>
      </c>
      <c r="CH1082" s="685">
        <f>CH698/CH697</f>
        <v>6.2488019934828443E-2</v>
      </c>
      <c r="CJ1082" s="685">
        <f>CJ698/CJ697</f>
        <v>6.2680115273775219E-2</v>
      </c>
      <c r="CK1082" s="685">
        <f>CK698/CK697</f>
        <v>5.8107577542206516E-2</v>
      </c>
      <c r="CL1082" s="685">
        <f>CL698/CL697</f>
        <v>6.0492203644561336E-2</v>
      </c>
      <c r="CN1082" s="685">
        <f>CN698/CN697</f>
        <v>7.0363288718929259E-2</v>
      </c>
      <c r="CO1082" s="685">
        <f>CO698/CO697</f>
        <v>4.9276361130254999E-2</v>
      </c>
      <c r="CP1082" s="685">
        <f>CP698/CP697</f>
        <v>5.9271343121261554E-2</v>
      </c>
      <c r="CR1082" s="685">
        <f>CR698/CR697</f>
        <v>5.1517067003792667E-2</v>
      </c>
      <c r="CS1082" s="685">
        <f>CS698/CS697</f>
        <v>5.560235888795282E-2</v>
      </c>
      <c r="CT1082" s="685">
        <f>CT698/CT697</f>
        <v>5.3680297397769514E-2</v>
      </c>
      <c r="CV1082" s="685">
        <f>CV698/CV697</f>
        <v>4.9543315804040963E-2</v>
      </c>
      <c r="CW1082" s="685">
        <f>CW698/CW697</f>
        <v>6.0146699266503664E-2</v>
      </c>
      <c r="CX1082" s="685">
        <f>CX698/CX697</f>
        <v>5.5173309100350509E-2</v>
      </c>
      <c r="CZ1082" s="685">
        <f>CZ698/CZ697</f>
        <v>6.106052490626674E-2</v>
      </c>
      <c r="DA1082" s="685">
        <f>DA698/DA697</f>
        <v>5.5653045876159442E-2</v>
      </c>
      <c r="DB1082" s="685">
        <f>DB698/DB697</f>
        <v>5.8267512624627732E-2</v>
      </c>
      <c r="DD1082" s="685">
        <f>DD698/DD697</f>
        <v>5.7241746538871138E-2</v>
      </c>
      <c r="DE1082" s="685">
        <f>DE698/DE697</f>
        <v>4.8668032786885244E-2</v>
      </c>
      <c r="DF1082" s="685">
        <f>DF698/DF697</f>
        <v>5.2872062663185379E-2</v>
      </c>
      <c r="DH1082" s="685">
        <f>DH698/DH697</f>
        <v>5.6117290192113249E-2</v>
      </c>
      <c r="DI1082" s="685">
        <f>DI698/DI692</f>
        <v>5.5297562474599167E-2</v>
      </c>
      <c r="DJ1082" s="685">
        <f>DJ698/DJ692</f>
        <v>5.5699437329939691E-2</v>
      </c>
      <c r="DL1082" s="685">
        <f>DL698/DL692</f>
        <v>5.7932163124390583E-2</v>
      </c>
      <c r="DM1082" s="685">
        <f>DM698/DM692</f>
        <v>5.751916343577404E-2</v>
      </c>
      <c r="DN1082" s="685">
        <f>DN698/DN692</f>
        <v>5.7722418603670639E-2</v>
      </c>
      <c r="DP1082" s="685">
        <f>DP698/DP692</f>
        <v>5.8422763909793674E-2</v>
      </c>
      <c r="DQ1082" s="685">
        <f>DQ698/DQ692</f>
        <v>5.8062259349537397E-2</v>
      </c>
      <c r="DR1082" s="685">
        <f>DR698/DR692</f>
        <v>5.8239272602165382E-2</v>
      </c>
      <c r="DU1082" s="876"/>
      <c r="DV1082" s="876"/>
      <c r="DW1082" s="876"/>
      <c r="DZ1082" s="876"/>
      <c r="EA1082" s="876"/>
      <c r="ED1082" s="876"/>
      <c r="EE1082" s="876"/>
      <c r="EH1082" s="876"/>
      <c r="EI1082" s="876"/>
    </row>
    <row r="1083" spans="1:273">
      <c r="AR1083" s="293"/>
      <c r="AS1083" s="293"/>
      <c r="AT1083" s="730"/>
      <c r="AU1083" s="730"/>
      <c r="AV1083" s="293"/>
      <c r="AW1083" s="293"/>
      <c r="AX1083" s="293"/>
      <c r="AY1083" s="730"/>
      <c r="AZ1083" s="293"/>
      <c r="BA1083" s="293"/>
      <c r="BB1083" s="293"/>
      <c r="BD1083" s="293"/>
      <c r="BE1083" s="293"/>
      <c r="BF1083" s="293"/>
      <c r="BH1083" s="293"/>
      <c r="BI1083" s="293"/>
      <c r="BJ1083" s="293"/>
      <c r="BL1083" s="293"/>
      <c r="BM1083" s="293"/>
      <c r="BN1083" s="293"/>
      <c r="BP1083" s="293"/>
      <c r="BQ1083" s="293"/>
      <c r="BR1083" s="293"/>
      <c r="BT1083" s="293"/>
      <c r="BU1083" s="293"/>
      <c r="BV1083" s="293"/>
      <c r="BX1083" s="293"/>
      <c r="BY1083" s="293"/>
      <c r="BZ1083" s="293"/>
      <c r="CB1083" s="293"/>
      <c r="CC1083" s="293"/>
      <c r="CD1083" s="293"/>
      <c r="CF1083" s="293"/>
      <c r="CG1083" s="293"/>
      <c r="CH1083" s="293"/>
      <c r="CJ1083" s="293"/>
      <c r="CK1083" s="293"/>
      <c r="CL1083" s="293"/>
      <c r="CN1083" s="293"/>
      <c r="CO1083" s="293"/>
      <c r="CP1083" s="293"/>
      <c r="CR1083" s="293"/>
      <c r="CS1083" s="293"/>
      <c r="CT1083" s="293"/>
      <c r="CV1083" s="293"/>
      <c r="CW1083" s="293"/>
      <c r="CX1083" s="293"/>
      <c r="CZ1083" s="293"/>
      <c r="DA1083" s="293"/>
      <c r="DB1083" s="293"/>
      <c r="DD1083" s="293"/>
      <c r="DE1083" s="293"/>
      <c r="DF1083" s="293"/>
      <c r="DH1083" s="293"/>
      <c r="DI1083" s="293"/>
      <c r="DJ1083" s="293"/>
      <c r="DL1083" s="293"/>
      <c r="DM1083" s="293"/>
      <c r="DN1083" s="293"/>
      <c r="DO1083" s="293"/>
      <c r="DP1083" s="293"/>
      <c r="DQ1083" s="293"/>
      <c r="DR1083" s="293"/>
      <c r="DS1083" s="293"/>
      <c r="DU1083" s="293"/>
      <c r="DV1083" s="293"/>
      <c r="DW1083" s="293"/>
      <c r="DX1083" s="293"/>
      <c r="DZ1083" s="293"/>
      <c r="EA1083" s="293"/>
      <c r="EB1083" s="293"/>
      <c r="ED1083" s="293"/>
      <c r="EE1083" s="293"/>
      <c r="EF1083" s="293"/>
    </row>
    <row r="1084" spans="1:273">
      <c r="AR1084" s="293"/>
      <c r="AS1084" s="293"/>
      <c r="AT1084" s="730"/>
      <c r="AU1084" s="730"/>
      <c r="AV1084" s="293"/>
      <c r="AW1084" s="293"/>
      <c r="AX1084" s="293"/>
      <c r="AY1084" s="730"/>
      <c r="AZ1084" s="293"/>
      <c r="BA1084" s="293"/>
      <c r="BB1084" s="293"/>
      <c r="BD1084" s="293"/>
      <c r="BE1084" s="293"/>
      <c r="BF1084" s="293"/>
      <c r="BH1084" s="293"/>
      <c r="BI1084" s="293"/>
      <c r="BJ1084" s="293"/>
      <c r="BL1084" s="293"/>
      <c r="BM1084" s="293"/>
      <c r="BN1084" s="293"/>
      <c r="BP1084" s="293"/>
      <c r="BQ1084" s="293"/>
      <c r="BR1084" s="293"/>
      <c r="BT1084" s="293"/>
      <c r="BU1084" s="293"/>
      <c r="BV1084" s="293"/>
      <c r="BX1084" s="293"/>
      <c r="BY1084" s="293"/>
      <c r="BZ1084" s="293"/>
      <c r="CB1084" s="293"/>
      <c r="CC1084" s="293"/>
      <c r="CD1084" s="293"/>
      <c r="CF1084" s="293"/>
      <c r="CG1084" s="293"/>
      <c r="CH1084" s="293"/>
      <c r="CJ1084" s="293"/>
      <c r="CK1084" s="293"/>
      <c r="CL1084" s="293"/>
      <c r="CN1084" s="293"/>
      <c r="CO1084" s="293"/>
      <c r="CP1084" s="293"/>
      <c r="CR1084" s="293"/>
      <c r="CS1084" s="293"/>
      <c r="CT1084" s="293"/>
      <c r="CV1084" s="293"/>
      <c r="CW1084" s="293"/>
      <c r="CX1084" s="293"/>
      <c r="CZ1084" s="293"/>
      <c r="DA1084" s="293"/>
      <c r="DB1084" s="293"/>
      <c r="DD1084" s="293"/>
      <c r="DE1084" s="293"/>
      <c r="DF1084" s="293"/>
      <c r="DH1084" s="293"/>
      <c r="DI1084" s="293"/>
      <c r="DJ1084" s="293"/>
      <c r="DL1084" s="293"/>
      <c r="DM1084" s="293"/>
      <c r="DN1084" s="293"/>
      <c r="DO1084" s="293"/>
      <c r="DP1084" s="293"/>
      <c r="DQ1084" s="293"/>
      <c r="DR1084" s="293"/>
      <c r="DS1084" s="293"/>
      <c r="DU1084" s="293"/>
      <c r="DV1084" s="293"/>
      <c r="DW1084" s="293"/>
      <c r="DX1084" s="293"/>
      <c r="DZ1084" s="293"/>
      <c r="EA1084" s="293"/>
      <c r="EB1084" s="293"/>
      <c r="ED1084" s="293"/>
      <c r="EE1084" s="293"/>
      <c r="EF1084" s="293"/>
    </row>
    <row r="1085" spans="1:273">
      <c r="A1085" s="102" t="s">
        <v>195</v>
      </c>
      <c r="B1085" s="103" t="s">
        <v>197</v>
      </c>
      <c r="AR1085" s="685"/>
      <c r="AS1085" s="685"/>
      <c r="AT1085" s="730"/>
      <c r="AU1085" s="730"/>
      <c r="AV1085" s="711">
        <f t="shared" ref="AV1085:AX1086" si="2477">-(AV758*1000)*(AV$2/AV$1)/AV721</f>
        <v>236.30007838271618</v>
      </c>
      <c r="AW1085" s="711">
        <f t="shared" si="2477"/>
        <v>233.06604028836384</v>
      </c>
      <c r="AX1085" s="711">
        <f t="shared" si="2477"/>
        <v>234.60454915010683</v>
      </c>
      <c r="AY1085" s="730"/>
      <c r="AZ1085" s="711">
        <f t="shared" ref="AZ1085:BB1086" si="2478">-(AZ758*1000)*(AZ$2/AZ$1)/AZ721</f>
        <v>250.47855367734763</v>
      </c>
      <c r="BA1085" s="711">
        <f t="shared" si="2478"/>
        <v>257.21557285552751</v>
      </c>
      <c r="BB1085" s="711">
        <f t="shared" si="2478"/>
        <v>253.87704956020823</v>
      </c>
      <c r="BD1085" s="711">
        <f t="shared" ref="BD1085:BF1086" si="2479">-(BD758*1000)*(BD$2/BD$1)/BD721</f>
        <v>215.68116956010965</v>
      </c>
      <c r="BE1085" s="711">
        <f t="shared" si="2479"/>
        <v>260.49839535677705</v>
      </c>
      <c r="BF1085" s="711">
        <f t="shared" si="2479"/>
        <v>237.58353789168083</v>
      </c>
      <c r="BH1085" s="293">
        <f t="shared" ref="BH1085:BJ1086" si="2480">-(BH758*1000)*(BH$2/BH$1)/BH721</f>
        <v>221.76726032281226</v>
      </c>
      <c r="BI1085" s="293">
        <f t="shared" si="2480"/>
        <v>256.54596822480033</v>
      </c>
      <c r="BJ1085" s="293">
        <f t="shared" si="2480"/>
        <v>238.94435217462723</v>
      </c>
      <c r="BL1085" s="293">
        <f t="shared" ref="BL1085:BN1086" si="2481">-(BL758*1000)*(BL$2/BL$1)/BL721</f>
        <v>250.36616224694757</v>
      </c>
      <c r="BM1085" s="293">
        <f t="shared" si="2481"/>
        <v>289.28036082706393</v>
      </c>
      <c r="BN1085" s="293">
        <f t="shared" si="2481"/>
        <v>269.85445483766114</v>
      </c>
      <c r="BP1085" s="293">
        <f t="shared" ref="BP1085:BR1086" si="2482">-(BP758*1000)*(BP$2/BP$1)/BP721</f>
        <v>276.45196600337442</v>
      </c>
      <c r="BQ1085" s="293">
        <f t="shared" si="2482"/>
        <v>312.51691298461662</v>
      </c>
      <c r="BR1085" s="293">
        <f t="shared" si="2482"/>
        <v>294.48768525429148</v>
      </c>
      <c r="BT1085" s="293">
        <f t="shared" ref="BT1085:BV1086" si="2483">-(BT758*1000)*(BT$2/BT$1)/BT721</f>
        <v>327.17678100263851</v>
      </c>
      <c r="BU1085" s="293">
        <f t="shared" si="2483"/>
        <v>283.46569363955069</v>
      </c>
      <c r="BV1085" s="293">
        <f t="shared" si="2483"/>
        <v>305.20846442890274</v>
      </c>
      <c r="BX1085" s="293">
        <f t="shared" ref="BX1085:BZ1086" si="2484">-(BX758*1000)*(BX$2/BX$1)/BX721</f>
        <v>324.07310478202174</v>
      </c>
      <c r="BY1085" s="293">
        <f t="shared" si="2484"/>
        <v>305.65629606230783</v>
      </c>
      <c r="BZ1085" s="293">
        <f t="shared" si="2484"/>
        <v>315.03030521033793</v>
      </c>
      <c r="CB1085" s="293">
        <f t="shared" ref="CB1085:CD1086" si="2485">-(CB758*1000)*(CB$2/CB$1)/CB721</f>
        <v>327.22452626660157</v>
      </c>
      <c r="CC1085" s="293">
        <f t="shared" si="2485"/>
        <v>314.84183128283706</v>
      </c>
      <c r="CD1085" s="293">
        <f t="shared" si="2485"/>
        <v>320.94003357262761</v>
      </c>
      <c r="CF1085" s="293">
        <f t="shared" ref="CF1085:CH1086" si="2486">-(CF758*1000)*(CF$2/CF$1)/CF721</f>
        <v>329.71304573488896</v>
      </c>
      <c r="CG1085" s="293">
        <f t="shared" si="2486"/>
        <v>359.54847475465192</v>
      </c>
      <c r="CH1085" s="293">
        <f t="shared" si="2486"/>
        <v>344.85151950820483</v>
      </c>
      <c r="CJ1085" s="293">
        <f t="shared" ref="CJ1085:CL1086" si="2487">-(CJ758*1000)*(CJ$2/CJ$1)/CJ721</f>
        <v>354.69239123490706</v>
      </c>
      <c r="CK1085" s="293">
        <f t="shared" si="2487"/>
        <v>322.88530409152855</v>
      </c>
      <c r="CL1085" s="293">
        <f t="shared" si="2487"/>
        <v>338.72635581221465</v>
      </c>
      <c r="CN1085" s="293">
        <f t="shared" ref="CN1085:CP1086" si="2488">-(CN758*1000)*(CN$2/CN$1)/CN721</f>
        <v>323.90687051784886</v>
      </c>
      <c r="CO1085" s="293">
        <f t="shared" si="2488"/>
        <v>354.71248239799206</v>
      </c>
      <c r="CP1085" s="293">
        <f t="shared" si="2488"/>
        <v>339.40326053521994</v>
      </c>
      <c r="CR1085" s="293">
        <f t="shared" ref="CR1085:CT1086" si="2489">-(CR758*1000)*(CR$2/CR$1)/CR721</f>
        <v>374.87883940321143</v>
      </c>
      <c r="CS1085" s="293">
        <f t="shared" si="2489"/>
        <v>404.1404523833362</v>
      </c>
      <c r="CT1085" s="293">
        <f t="shared" si="2489"/>
        <v>389.79857991595424</v>
      </c>
      <c r="CV1085" s="293">
        <f t="shared" ref="CV1085:CX1085" si="2490">-(CV758*1000)*(CV$2/CV$1)/CV721</f>
        <v>385.37163189395932</v>
      </c>
      <c r="CW1085" s="293">
        <f t="shared" si="2490"/>
        <v>412.44362174594733</v>
      </c>
      <c r="CX1085" s="293">
        <f t="shared" si="2490"/>
        <v>399.25363464379194</v>
      </c>
      <c r="CZ1085" s="293">
        <f t="shared" ref="CZ1085:DB1085" si="2491">-(CZ758*1000)*(CZ$2/CZ$1)/CZ721</f>
        <v>357.50017951602479</v>
      </c>
      <c r="DA1085" s="293">
        <f t="shared" si="2491"/>
        <v>380.48454788248762</v>
      </c>
      <c r="DB1085" s="293">
        <f t="shared" si="2491"/>
        <v>369.01391626351312</v>
      </c>
      <c r="DD1085" s="293">
        <f t="shared" ref="DD1085:DF1085" si="2492">-(DD758*1000)*(DD$2/DD$1)/DD721</f>
        <v>367.95969497463426</v>
      </c>
      <c r="DE1085" s="293">
        <f t="shared" si="2492"/>
        <v>393.55838692322055</v>
      </c>
      <c r="DF1085" s="293">
        <f t="shared" si="2492"/>
        <v>380.58802340169177</v>
      </c>
      <c r="DH1085" s="293">
        <f t="shared" ref="DH1085" si="2493">-(DH758*1000)*(DH$2/DH$1)/DH721</f>
        <v>398.94744229250693</v>
      </c>
      <c r="DI1085" s="293">
        <f t="shared" ref="DI1085:DJ1085" si="2494">-(DI758*1000)*(DI$2/DI$1)/DI721</f>
        <v>412.06276411668966</v>
      </c>
      <c r="DJ1085" s="293">
        <f t="shared" si="2494"/>
        <v>405.52014926466751</v>
      </c>
      <c r="DL1085" s="293">
        <f t="shared" ref="DL1085:DN1085" si="2495">-(DL758*1000)*(DL$2/DL$1)/DL721</f>
        <v>397.25647836083192</v>
      </c>
      <c r="DM1085" s="293">
        <f t="shared" si="2495"/>
        <v>404.10995204478604</v>
      </c>
      <c r="DN1085" s="293">
        <f t="shared" si="2495"/>
        <v>400.69688603723404</v>
      </c>
      <c r="DP1085" s="293">
        <f t="shared" ref="DP1085:DR1085" si="2496">-(DP758*1000)*(DP$2/DP$1)/DP721</f>
        <v>401.83834982049274</v>
      </c>
      <c r="DQ1085" s="293">
        <f t="shared" si="2496"/>
        <v>408.3766697595326</v>
      </c>
      <c r="DR1085" s="293">
        <f t="shared" si="2496"/>
        <v>405.13987771050301</v>
      </c>
      <c r="DU1085" s="876"/>
      <c r="DV1085" s="876"/>
      <c r="DW1085" s="876"/>
      <c r="DZ1085" s="876"/>
      <c r="EA1085" s="876"/>
      <c r="ED1085" s="876"/>
      <c r="EE1085" s="876"/>
    </row>
    <row r="1086" spans="1:273">
      <c r="A1086" s="102" t="s">
        <v>196</v>
      </c>
      <c r="B1086" s="103" t="s">
        <v>197</v>
      </c>
      <c r="AR1086" s="685"/>
      <c r="AS1086" s="685"/>
      <c r="AT1086" s="730"/>
      <c r="AU1086" s="730"/>
      <c r="AV1086" s="711">
        <f t="shared" si="2477"/>
        <v>170.31729396757351</v>
      </c>
      <c r="AW1086" s="711">
        <f t="shared" si="2477"/>
        <v>195.88601544263099</v>
      </c>
      <c r="AX1086" s="711">
        <f t="shared" si="2477"/>
        <v>183.4667263670454</v>
      </c>
      <c r="AY1086" s="730"/>
      <c r="AZ1086" s="711">
        <f t="shared" si="2478"/>
        <v>193.31417894214982</v>
      </c>
      <c r="BA1086" s="711">
        <f t="shared" si="2478"/>
        <v>220.21035672757799</v>
      </c>
      <c r="BB1086" s="711">
        <f t="shared" si="2478"/>
        <v>206.69868893950897</v>
      </c>
      <c r="BD1086" s="711">
        <f t="shared" si="2479"/>
        <v>183.08311574912148</v>
      </c>
      <c r="BE1086" s="711">
        <f t="shared" si="2479"/>
        <v>200.68747898217688</v>
      </c>
      <c r="BF1086" s="711">
        <f t="shared" si="2479"/>
        <v>191.65937854958497</v>
      </c>
      <c r="BH1086" s="293">
        <f t="shared" si="2480"/>
        <v>181.95355985051262</v>
      </c>
      <c r="BI1086" s="293">
        <f t="shared" si="2480"/>
        <v>186.12255411872704</v>
      </c>
      <c r="BJ1086" s="293">
        <f t="shared" si="2480"/>
        <v>184.00966610673976</v>
      </c>
      <c r="BL1086" s="293">
        <f t="shared" si="2481"/>
        <v>193.89167165083967</v>
      </c>
      <c r="BM1086" s="293">
        <f t="shared" si="2481"/>
        <v>206.60166400076713</v>
      </c>
      <c r="BN1086" s="293">
        <f t="shared" si="2481"/>
        <v>200.18647177358719</v>
      </c>
      <c r="BP1086" s="293">
        <f t="shared" si="2482"/>
        <v>203.64113643273791</v>
      </c>
      <c r="BQ1086" s="293">
        <f t="shared" si="2482"/>
        <v>226.8438202517502</v>
      </c>
      <c r="BR1086" s="293">
        <f t="shared" si="2482"/>
        <v>215.24663677130044</v>
      </c>
      <c r="BT1086" s="293">
        <f t="shared" si="2483"/>
        <v>229.48766128022046</v>
      </c>
      <c r="BU1086" s="293">
        <f t="shared" si="2483"/>
        <v>243.0373423254652</v>
      </c>
      <c r="BV1086" s="293">
        <f t="shared" si="2483"/>
        <v>236.27267041901189</v>
      </c>
      <c r="BX1086" s="293">
        <f t="shared" si="2484"/>
        <v>234.69456043869198</v>
      </c>
      <c r="BY1086" s="293">
        <f t="shared" si="2484"/>
        <v>228.88795986622074</v>
      </c>
      <c r="BZ1086" s="293">
        <f t="shared" si="2484"/>
        <v>231.84610108190691</v>
      </c>
      <c r="CB1086" s="293">
        <f t="shared" si="2485"/>
        <v>232.82320754762324</v>
      </c>
      <c r="CC1086" s="293">
        <f t="shared" si="2485"/>
        <v>245.18053754114578</v>
      </c>
      <c r="CD1086" s="293">
        <f t="shared" si="2485"/>
        <v>239.09630952014527</v>
      </c>
      <c r="CF1086" s="293">
        <f t="shared" si="2486"/>
        <v>236.70200732954288</v>
      </c>
      <c r="CG1086" s="293">
        <f t="shared" si="2486"/>
        <v>262.58004529858999</v>
      </c>
      <c r="CH1086" s="293">
        <f t="shared" si="2486"/>
        <v>249.75144163849671</v>
      </c>
      <c r="CJ1086" s="293">
        <f t="shared" si="2487"/>
        <v>246.73703325388718</v>
      </c>
      <c r="CK1086" s="293">
        <f t="shared" si="2487"/>
        <v>249.75654465257489</v>
      </c>
      <c r="CL1086" s="293">
        <f t="shared" si="2487"/>
        <v>248.23968756235925</v>
      </c>
      <c r="CN1086" s="293">
        <f t="shared" si="2488"/>
        <v>250.83819579512829</v>
      </c>
      <c r="CO1086" s="293">
        <f t="shared" si="2488"/>
        <v>227.34715197816382</v>
      </c>
      <c r="CP1086" s="293">
        <f t="shared" si="2488"/>
        <v>239.08330752554971</v>
      </c>
      <c r="CR1086" s="293">
        <f t="shared" si="2489"/>
        <v>253.69951739069995</v>
      </c>
      <c r="CS1086" s="293">
        <f t="shared" si="2489"/>
        <v>253.74921382614889</v>
      </c>
      <c r="CT1086" s="293">
        <f t="shared" si="2489"/>
        <v>253.70789508720543</v>
      </c>
      <c r="CV1086" s="293">
        <f t="shared" ref="CV1086:CX1086" si="2497">-(CV759*1000)*(CV$2/CV$1)/CV722</f>
        <v>254.90881306263779</v>
      </c>
      <c r="CW1086" s="293">
        <f t="shared" si="2497"/>
        <v>278.06738537343364</v>
      </c>
      <c r="CX1086" s="293">
        <f t="shared" si="2497"/>
        <v>266.60688933721883</v>
      </c>
      <c r="CZ1086" s="293">
        <f t="shared" ref="CZ1086:DB1086" si="2498">-(CZ759*1000)*(CZ$2/CZ$1)/CZ722</f>
        <v>277.41812642802739</v>
      </c>
      <c r="DA1086" s="293">
        <f t="shared" si="2498"/>
        <v>276.0068715403703</v>
      </c>
      <c r="DB1086" s="293">
        <f t="shared" si="2498"/>
        <v>276.71337336764844</v>
      </c>
      <c r="DD1086" s="293">
        <f t="shared" ref="DD1086:DF1086" si="2499">-(DD759*1000)*(DD$2/DD$1)/DD722</f>
        <v>282.30531499626562</v>
      </c>
      <c r="DE1086" s="293">
        <f t="shared" si="2499"/>
        <v>284.04847265337696</v>
      </c>
      <c r="DF1086" s="293">
        <f t="shared" si="2499"/>
        <v>283.17238232834006</v>
      </c>
      <c r="DH1086" s="293">
        <f t="shared" ref="DH1086" si="2500">-(DH759*1000)*(DH$2/DH$1)/DH722</f>
        <v>273.98788406332295</v>
      </c>
      <c r="DI1086" s="293">
        <f t="shared" ref="DI1086:DJ1086" si="2501">-(DI759*1000)*(DI$2/DI$1)/DI722</f>
        <v>267.91901768514725</v>
      </c>
      <c r="DJ1086" s="293">
        <f t="shared" si="2501"/>
        <v>270.84423372784232</v>
      </c>
      <c r="DL1086" s="293">
        <f t="shared" ref="DL1086:DN1086" si="2502">-(DL759*1000)*(DL$2/DL$1)/DL722</f>
        <v>254.17476087695533</v>
      </c>
      <c r="DM1086" s="293">
        <f t="shared" si="2502"/>
        <v>266.68263085772026</v>
      </c>
      <c r="DN1086" s="293">
        <f t="shared" si="2502"/>
        <v>260.46641755841591</v>
      </c>
      <c r="DP1086" s="293">
        <f t="shared" ref="DP1086:DR1086" si="2503">-(DP759*1000)*(DP$2/DP$1)/DP722</f>
        <v>255.17252937404376</v>
      </c>
      <c r="DQ1086" s="293">
        <f t="shared" si="2503"/>
        <v>267.05437278203703</v>
      </c>
      <c r="DR1086" s="293">
        <f t="shared" si="2503"/>
        <v>261.1722720850106</v>
      </c>
      <c r="DU1086" s="876"/>
      <c r="DV1086" s="876"/>
      <c r="DW1086" s="876"/>
      <c r="DZ1086" s="876"/>
      <c r="EA1086" s="876"/>
      <c r="ED1086" s="876"/>
      <c r="EE1086" s="876"/>
    </row>
    <row r="1087" spans="1:273">
      <c r="AR1087" s="685"/>
      <c r="AS1087" s="685"/>
      <c r="AT1087" s="730"/>
      <c r="AU1087" s="730"/>
      <c r="AV1087" s="685"/>
      <c r="AW1087" s="876"/>
      <c r="AY1087" s="730"/>
      <c r="AZ1087" s="685"/>
      <c r="BA1087" s="876"/>
      <c r="BD1087" s="685"/>
      <c r="BE1087" s="876"/>
      <c r="BH1087" s="685"/>
      <c r="BI1087" s="876"/>
      <c r="BL1087" s="685"/>
      <c r="BM1087" s="876"/>
      <c r="BP1087" s="685"/>
      <c r="BQ1087" s="876"/>
      <c r="BT1087" s="685"/>
      <c r="BU1087" s="876"/>
      <c r="BX1087" s="685"/>
      <c r="BY1087" s="685"/>
      <c r="CB1087" s="685"/>
      <c r="CC1087" s="685"/>
      <c r="CF1087" s="685"/>
      <c r="CG1087" s="685"/>
      <c r="CJ1087" s="685"/>
      <c r="CK1087" s="685"/>
      <c r="CN1087" s="685"/>
      <c r="CO1087" s="685"/>
      <c r="CR1087" s="685"/>
      <c r="CS1087" s="685"/>
      <c r="CV1087" s="685"/>
      <c r="CW1087" s="685"/>
      <c r="CZ1087" s="685"/>
      <c r="DA1087" s="876"/>
      <c r="DD1087" s="685"/>
      <c r="DE1087" s="876"/>
      <c r="DH1087" s="685"/>
      <c r="DI1087" s="876"/>
      <c r="DL1087" s="685"/>
      <c r="DM1087" s="876"/>
      <c r="DP1087" s="685"/>
      <c r="DQ1087" s="876"/>
      <c r="DU1087" s="876"/>
      <c r="DV1087" s="876"/>
      <c r="DW1087" s="876"/>
      <c r="DZ1087" s="876"/>
      <c r="EA1087" s="876"/>
      <c r="ED1087" s="876"/>
      <c r="EE1087" s="876"/>
    </row>
    <row r="1088" spans="1:273" s="289" customFormat="1">
      <c r="A1088" s="815" t="s">
        <v>579</v>
      </c>
      <c r="B1088" s="290"/>
      <c r="AN1088" s="290"/>
      <c r="AO1088" s="290"/>
      <c r="AP1088" s="290"/>
      <c r="AQ1088" s="290"/>
      <c r="AR1088" s="376"/>
      <c r="AS1088" s="376"/>
      <c r="AT1088" s="674"/>
      <c r="AU1088" s="674"/>
      <c r="BK1088" s="290"/>
      <c r="BL1088" s="376"/>
      <c r="BO1088" s="290"/>
      <c r="BP1088" s="376"/>
      <c r="BS1088" s="290"/>
      <c r="BT1088" s="376"/>
      <c r="BW1088" s="290"/>
      <c r="BX1088" s="376"/>
      <c r="BY1088" s="376"/>
      <c r="CA1088" s="290"/>
      <c r="CB1088" s="376"/>
      <c r="CC1088" s="376"/>
      <c r="CE1088" s="581"/>
      <c r="CF1088" s="376"/>
      <c r="CG1088" s="376"/>
      <c r="CI1088" s="581"/>
      <c r="CJ1088" s="376"/>
      <c r="CK1088" s="376"/>
      <c r="CM1088" s="581"/>
      <c r="CN1088" s="376"/>
      <c r="CO1088" s="376"/>
      <c r="CQ1088" s="581"/>
      <c r="CR1088" s="376"/>
      <c r="CS1088" s="376"/>
      <c r="CU1088" s="290"/>
      <c r="CV1088" s="376"/>
      <c r="CW1088" s="376"/>
      <c r="CY1088" s="290"/>
      <c r="CZ1088" s="376"/>
      <c r="DA1088" s="1014" t="s">
        <v>1401</v>
      </c>
      <c r="DB1088" s="290"/>
      <c r="DC1088" s="290"/>
      <c r="DD1088" s="1014"/>
      <c r="DE1088" s="1014" t="s">
        <v>1401</v>
      </c>
      <c r="DF1088" s="290"/>
      <c r="DG1088" s="290"/>
      <c r="DH1088" s="1014"/>
      <c r="DI1088" s="1014"/>
      <c r="DJ1088" s="290"/>
      <c r="DK1088" s="290"/>
      <c r="DL1088" s="376"/>
      <c r="DM1088" s="1014"/>
      <c r="DN1088" s="290"/>
      <c r="DO1088" s="290"/>
      <c r="DP1088" s="376"/>
      <c r="DQ1088" s="1014"/>
      <c r="DR1088" s="290"/>
      <c r="DS1088" s="290"/>
      <c r="DT1088" s="290"/>
      <c r="DU1088" s="1014"/>
      <c r="DV1088" s="1014"/>
      <c r="DW1088" s="1014"/>
      <c r="DX1088" s="290"/>
      <c r="DY1088" s="290"/>
      <c r="DZ1088" s="1014"/>
      <c r="EA1088" s="1014"/>
      <c r="EB1088" s="290"/>
      <c r="EC1088" s="290"/>
      <c r="ED1088" s="1014"/>
      <c r="EE1088" s="1014"/>
      <c r="EF1088" s="290"/>
      <c r="EG1088" s="290"/>
      <c r="EH1088" s="290"/>
      <c r="EI1088" s="290"/>
      <c r="EJ1088" s="290"/>
      <c r="EK1088" s="290"/>
      <c r="EL1088" s="290"/>
      <c r="EM1088" s="290"/>
      <c r="EN1088" s="290"/>
      <c r="EO1088" s="290"/>
      <c r="EP1088" s="290"/>
      <c r="JM1088"/>
    </row>
    <row r="1089" spans="1:273">
      <c r="A1089" s="102" t="s">
        <v>201</v>
      </c>
      <c r="AR1089" s="685"/>
      <c r="AS1089" s="685"/>
      <c r="AT1089" s="730"/>
      <c r="AU1089" s="730"/>
      <c r="AV1089" s="711">
        <f>AV1086</f>
        <v>170.31729396757351</v>
      </c>
      <c r="AW1089" s="711">
        <f>AW1086</f>
        <v>195.88601544263099</v>
      </c>
      <c r="AX1089" s="711">
        <f>AX1086</f>
        <v>183.4667263670454</v>
      </c>
      <c r="AY1089" s="674"/>
      <c r="AZ1089" s="711">
        <f>AZ1086</f>
        <v>193.31417894214982</v>
      </c>
      <c r="BA1089" s="711">
        <f>BA1086</f>
        <v>220.21035672757799</v>
      </c>
      <c r="BB1089" s="711">
        <f>BB1086</f>
        <v>206.69868893950897</v>
      </c>
      <c r="BC1089" s="290"/>
      <c r="BD1089" s="711">
        <f>BD1086</f>
        <v>183.08311574912148</v>
      </c>
      <c r="BE1089" s="711">
        <f>BE1086</f>
        <v>200.68747898217688</v>
      </c>
      <c r="BF1089" s="711">
        <f>BF1086</f>
        <v>191.65937854958497</v>
      </c>
      <c r="BG1089" s="290"/>
      <c r="BH1089" s="711">
        <f>BH1086</f>
        <v>181.95355985051262</v>
      </c>
      <c r="BI1089" s="711">
        <f>BI1086</f>
        <v>186.12255411872704</v>
      </c>
      <c r="BJ1089" s="711">
        <f>BJ1086</f>
        <v>184.00966610673976</v>
      </c>
      <c r="BL1089" s="711">
        <f>BL1086</f>
        <v>193.89167165083967</v>
      </c>
      <c r="BM1089" s="711">
        <f>BM1086</f>
        <v>206.60166400076713</v>
      </c>
      <c r="BN1089" s="711">
        <f>BN1086</f>
        <v>200.18647177358719</v>
      </c>
      <c r="BP1089" s="711">
        <f>BP1086</f>
        <v>203.64113643273791</v>
      </c>
      <c r="BQ1089" s="711">
        <f>BQ1086</f>
        <v>226.8438202517502</v>
      </c>
      <c r="BR1089" s="711">
        <f>BR1086</f>
        <v>215.24663677130044</v>
      </c>
      <c r="BT1089" s="711">
        <f>BT1086</f>
        <v>229.48766128022046</v>
      </c>
      <c r="BU1089" s="711">
        <f>BU1086</f>
        <v>243.0373423254652</v>
      </c>
      <c r="BV1089" s="711">
        <f>BV1086</f>
        <v>236.27267041901189</v>
      </c>
      <c r="BX1089" s="711">
        <f>BX1086</f>
        <v>234.69456043869198</v>
      </c>
      <c r="BY1089" s="711">
        <f>BY1086</f>
        <v>228.88795986622074</v>
      </c>
      <c r="BZ1089" s="711">
        <f>BZ1086</f>
        <v>231.84610108190691</v>
      </c>
      <c r="CB1089" s="711">
        <f>CB1086</f>
        <v>232.82320754762324</v>
      </c>
      <c r="CC1089" s="711">
        <f>CC1086</f>
        <v>245.18053754114578</v>
      </c>
      <c r="CD1089" s="711">
        <f>CD1086</f>
        <v>239.09630952014527</v>
      </c>
      <c r="CF1089" s="711">
        <f>CF1086</f>
        <v>236.70200732954288</v>
      </c>
      <c r="CG1089" s="711">
        <f>CG1086</f>
        <v>262.58004529858999</v>
      </c>
      <c r="CH1089" s="711">
        <f>CH1086</f>
        <v>249.75144163849671</v>
      </c>
      <c r="CJ1089" s="711">
        <f>CJ1086</f>
        <v>246.73703325388718</v>
      </c>
      <c r="CK1089" s="711">
        <f>CK1086</f>
        <v>249.75654465257489</v>
      </c>
      <c r="CL1089" s="711">
        <f>CL1086</f>
        <v>248.23968756235925</v>
      </c>
      <c r="CN1089" s="711">
        <f>CN1086</f>
        <v>250.83819579512829</v>
      </c>
      <c r="CO1089" s="711">
        <f>CO1086</f>
        <v>227.34715197816382</v>
      </c>
      <c r="CP1089" s="711">
        <f>CP1086</f>
        <v>239.08330752554971</v>
      </c>
      <c r="CR1089" s="711">
        <f>CR1086</f>
        <v>253.69951739069995</v>
      </c>
      <c r="CS1089" s="711">
        <f>CS1086</f>
        <v>253.74921382614889</v>
      </c>
      <c r="CT1089" s="711">
        <f>CT1086</f>
        <v>253.70789508720543</v>
      </c>
      <c r="CV1089" s="711">
        <f>CV1086</f>
        <v>254.90881306263779</v>
      </c>
      <c r="CW1089" s="711">
        <f>CW1086</f>
        <v>278.06738537343364</v>
      </c>
      <c r="CX1089" s="711">
        <f>CX1086</f>
        <v>266.60688933721883</v>
      </c>
      <c r="CZ1089" s="711">
        <f>CZ1086</f>
        <v>277.41812642802739</v>
      </c>
      <c r="DA1089" s="711">
        <f>DA1086</f>
        <v>276.0068715403703</v>
      </c>
      <c r="DB1089" s="711">
        <f>DB1086</f>
        <v>276.71337336764844</v>
      </c>
      <c r="DD1089" s="711">
        <f>DD1086</f>
        <v>282.30531499626562</v>
      </c>
      <c r="DE1089" s="711">
        <f>DE1086</f>
        <v>284.04847265337696</v>
      </c>
      <c r="DF1089" s="711">
        <f>DF1086</f>
        <v>283.17238232834006</v>
      </c>
      <c r="DH1089" s="711">
        <f>DH1086</f>
        <v>273.98788406332295</v>
      </c>
      <c r="DI1089" s="711">
        <f>DI1086</f>
        <v>267.91901768514725</v>
      </c>
      <c r="DJ1089" s="711">
        <f>DJ1086</f>
        <v>270.84423372784232</v>
      </c>
      <c r="DL1089" s="711">
        <f>DL1086</f>
        <v>254.17476087695533</v>
      </c>
      <c r="DM1089" s="711">
        <f>DM1086</f>
        <v>266.68263085772026</v>
      </c>
      <c r="DN1089" s="711">
        <f>DN1086</f>
        <v>260.46641755841591</v>
      </c>
      <c r="DP1089" s="711">
        <f>DP1086</f>
        <v>255.17252937404376</v>
      </c>
      <c r="DQ1089" s="711">
        <f>DQ1086</f>
        <v>267.05437278203703</v>
      </c>
      <c r="DR1089" s="711">
        <f>DR1086</f>
        <v>261.1722720850106</v>
      </c>
      <c r="DU1089" s="876"/>
      <c r="DV1089" s="876"/>
      <c r="DW1089" s="876"/>
      <c r="DZ1089" s="876"/>
      <c r="EA1089" s="876"/>
      <c r="ED1089" s="876"/>
      <c r="EE1089" s="876"/>
    </row>
    <row r="1090" spans="1:273" s="302" customFormat="1">
      <c r="A1090" s="302" t="s">
        <v>202</v>
      </c>
      <c r="B1090" s="304"/>
      <c r="AN1090" s="304"/>
      <c r="AO1090" s="304"/>
      <c r="AP1090" s="304"/>
      <c r="AQ1090" s="304"/>
      <c r="AR1090" s="686"/>
      <c r="AS1090" s="686"/>
      <c r="AT1090" s="634"/>
      <c r="AU1090" s="634"/>
      <c r="AV1090" s="1016">
        <v>-0.3</v>
      </c>
      <c r="AW1090" s="1016">
        <v>-0.3</v>
      </c>
      <c r="AX1090" s="304"/>
      <c r="AY1090" s="634"/>
      <c r="AZ1090" s="1016">
        <v>-0.3</v>
      </c>
      <c r="BA1090" s="1016">
        <v>-0.3</v>
      </c>
      <c r="BB1090" s="304"/>
      <c r="BC1090" s="634"/>
      <c r="BD1090" s="1016">
        <v>-0.3</v>
      </c>
      <c r="BE1090" s="1016">
        <v>-0.3</v>
      </c>
      <c r="BF1090" s="304"/>
      <c r="BG1090" s="634"/>
      <c r="BH1090" s="1016">
        <v>-0.3</v>
      </c>
      <c r="BI1090" s="1016">
        <v>-0.3</v>
      </c>
      <c r="BJ1090" s="304"/>
      <c r="BK1090" s="634"/>
      <c r="BL1090" s="1016">
        <v>-0.3</v>
      </c>
      <c r="BM1090" s="1016">
        <v>-0.3</v>
      </c>
      <c r="BN1090" s="304"/>
      <c r="BO1090" s="634"/>
      <c r="BP1090" s="1016">
        <v>-0.3</v>
      </c>
      <c r="BQ1090" s="1016">
        <v>-0.3</v>
      </c>
      <c r="BR1090" s="304"/>
      <c r="BS1090" s="634"/>
      <c r="BT1090" s="1016">
        <v>-0.3</v>
      </c>
      <c r="BU1090" s="1016">
        <v>-0.3</v>
      </c>
      <c r="BV1090" s="304"/>
      <c r="BW1090" s="634"/>
      <c r="BX1090" s="1016">
        <v>-0.3</v>
      </c>
      <c r="BY1090" s="1016">
        <v>-0.3</v>
      </c>
      <c r="BZ1090" s="304"/>
      <c r="CA1090" s="634"/>
      <c r="CB1090" s="1016">
        <v>-0.3</v>
      </c>
      <c r="CC1090" s="1016">
        <v>-0.3</v>
      </c>
      <c r="CD1090" s="304"/>
      <c r="CE1090" s="634"/>
      <c r="CF1090" s="1016">
        <v>-0.3</v>
      </c>
      <c r="CG1090" s="1016">
        <v>-0.3</v>
      </c>
      <c r="CH1090" s="304"/>
      <c r="CI1090" s="634"/>
      <c r="CJ1090" s="1016">
        <v>-0.3</v>
      </c>
      <c r="CK1090" s="1016">
        <v>-0.3</v>
      </c>
      <c r="CL1090" s="304"/>
      <c r="CM1090" s="634"/>
      <c r="CN1090" s="1016">
        <v>-0.3</v>
      </c>
      <c r="CO1090" s="1016">
        <v>-0.3</v>
      </c>
      <c r="CP1090" s="304"/>
      <c r="CQ1090" s="634"/>
      <c r="CR1090" s="1016">
        <v>-0.3</v>
      </c>
      <c r="CS1090" s="1016">
        <v>-0.3</v>
      </c>
      <c r="CT1090" s="304"/>
      <c r="CU1090" s="634"/>
      <c r="CV1090" s="1016">
        <v>-0.3</v>
      </c>
      <c r="CW1090" s="1016">
        <v>-0.3</v>
      </c>
      <c r="CX1090" s="304"/>
      <c r="CY1090" s="634"/>
      <c r="CZ1090" s="1016">
        <v>-0.3</v>
      </c>
      <c r="DA1090" s="1016">
        <v>-0.3</v>
      </c>
      <c r="DB1090" s="304"/>
      <c r="DC1090" s="634"/>
      <c r="DD1090" s="1016">
        <v>-0.3</v>
      </c>
      <c r="DE1090" s="1016">
        <v>-0.3</v>
      </c>
      <c r="DF1090" s="304"/>
      <c r="DG1090" s="634"/>
      <c r="DH1090" s="1016">
        <v>-0.3</v>
      </c>
      <c r="DI1090" s="1016">
        <v>-0.3</v>
      </c>
      <c r="DJ1090" s="304"/>
      <c r="DK1090" s="634"/>
      <c r="DL1090" s="1016">
        <v>-0.3</v>
      </c>
      <c r="DM1090" s="1016">
        <v>-0.3</v>
      </c>
      <c r="DN1090" s="304"/>
      <c r="DO1090" s="304"/>
      <c r="DP1090" s="1016">
        <v>-0.3</v>
      </c>
      <c r="DQ1090" s="1016">
        <v>-0.3</v>
      </c>
      <c r="DR1090" s="304"/>
      <c r="DS1090" s="304"/>
      <c r="DT1090" s="304"/>
      <c r="DU1090" s="1017"/>
      <c r="DV1090" s="1017"/>
      <c r="DW1090" s="1017"/>
      <c r="DX1090" s="304"/>
      <c r="DY1090" s="304"/>
      <c r="DZ1090" s="1017"/>
      <c r="EA1090" s="1017"/>
      <c r="EB1090" s="304"/>
      <c r="EC1090" s="304"/>
      <c r="ED1090" s="1017"/>
      <c r="EE1090" s="1017"/>
      <c r="EF1090" s="304"/>
      <c r="EG1090" s="304"/>
      <c r="EH1090" s="304"/>
      <c r="EI1090" s="304"/>
      <c r="EJ1090" s="304"/>
      <c r="EK1090" s="304"/>
      <c r="EL1090" s="304"/>
      <c r="EM1090" s="304"/>
      <c r="EN1090" s="304"/>
      <c r="EO1090" s="304"/>
      <c r="EP1090" s="304"/>
      <c r="FL1090" s="102"/>
      <c r="FM1090" s="102"/>
      <c r="FN1090" s="102"/>
      <c r="FO1090" s="102"/>
      <c r="FP1090" s="102"/>
      <c r="FQ1090" s="102"/>
      <c r="FR1090" s="102"/>
      <c r="FS1090" s="102"/>
      <c r="FT1090" s="102"/>
      <c r="FU1090" s="102"/>
      <c r="FV1090" s="102"/>
      <c r="FW1090" s="102"/>
      <c r="FX1090" s="102"/>
      <c r="FY1090" s="102"/>
      <c r="FZ1090" s="102"/>
      <c r="GA1090" s="102"/>
      <c r="GB1090" s="102"/>
      <c r="GC1090" s="102"/>
      <c r="GD1090" s="102"/>
      <c r="GE1090" s="102"/>
      <c r="GF1090" s="102"/>
      <c r="GG1090" s="102"/>
      <c r="GH1090" s="102"/>
      <c r="GI1090" s="102"/>
      <c r="GJ1090" s="102"/>
      <c r="GK1090" s="102"/>
      <c r="GL1090" s="102"/>
      <c r="GM1090" s="102"/>
      <c r="GN1090" s="102"/>
      <c r="GO1090" s="102"/>
      <c r="GP1090" s="102"/>
      <c r="GQ1090" s="102"/>
      <c r="GR1090" s="102"/>
      <c r="GS1090" s="102"/>
      <c r="GT1090" s="102"/>
      <c r="GU1090" s="102"/>
      <c r="GV1090" s="102"/>
      <c r="GW1090" s="102"/>
      <c r="GX1090" s="102"/>
      <c r="GY1090" s="102"/>
      <c r="GZ1090" s="102"/>
      <c r="HA1090" s="102"/>
      <c r="HB1090" s="102"/>
      <c r="HC1090" s="102"/>
      <c r="HD1090" s="102"/>
      <c r="HE1090" s="102"/>
      <c r="HF1090" s="102"/>
      <c r="HG1090" s="102"/>
      <c r="HH1090" s="102"/>
      <c r="HI1090" s="102"/>
      <c r="HJ1090" s="102"/>
      <c r="HK1090" s="102"/>
      <c r="HL1090" s="102"/>
      <c r="HM1090" s="102"/>
      <c r="HN1090" s="102"/>
      <c r="HO1090" s="102"/>
      <c r="HP1090" s="102"/>
      <c r="HQ1090" s="102"/>
      <c r="HR1090" s="102"/>
      <c r="HS1090" s="102"/>
      <c r="HT1090" s="102"/>
      <c r="HU1090" s="102"/>
      <c r="HV1090" s="102"/>
      <c r="HW1090" s="102"/>
      <c r="HX1090" s="102"/>
      <c r="HY1090" s="102"/>
      <c r="HZ1090" s="102"/>
      <c r="IA1090" s="102"/>
      <c r="IB1090" s="102"/>
      <c r="IC1090" s="102"/>
      <c r="ID1090" s="102"/>
      <c r="IE1090" s="102"/>
      <c r="IF1090" s="102"/>
      <c r="IG1090" s="102"/>
      <c r="IH1090" s="102"/>
      <c r="II1090" s="102"/>
      <c r="IJ1090" s="102"/>
      <c r="IK1090" s="102"/>
      <c r="IL1090" s="102"/>
      <c r="IM1090" s="102"/>
      <c r="IN1090" s="102"/>
      <c r="IO1090" s="102"/>
      <c r="IP1090" s="102"/>
      <c r="IQ1090" s="102"/>
      <c r="IR1090" s="102"/>
      <c r="IS1090" s="102"/>
      <c r="IT1090" s="102"/>
      <c r="IU1090" s="102"/>
      <c r="IV1090" s="102"/>
      <c r="IW1090" s="102"/>
      <c r="IX1090" s="102"/>
      <c r="IY1090" s="102"/>
      <c r="IZ1090" s="102"/>
      <c r="JA1090" s="102"/>
      <c r="JB1090" s="102"/>
      <c r="JC1090" s="102"/>
      <c r="JD1090" s="102"/>
      <c r="JE1090" s="102"/>
      <c r="JF1090" s="102"/>
      <c r="JG1090" s="102"/>
      <c r="JH1090" s="102"/>
      <c r="JI1090" s="102"/>
      <c r="JJ1090" s="102"/>
      <c r="JK1090" s="102"/>
      <c r="JL1090" s="102"/>
      <c r="JM1090"/>
    </row>
    <row r="1091" spans="1:273">
      <c r="A1091" s="102" t="s">
        <v>203</v>
      </c>
      <c r="B1091" s="103" t="s">
        <v>197</v>
      </c>
      <c r="AR1091" s="685"/>
      <c r="AS1091" s="685"/>
      <c r="AT1091" s="730"/>
      <c r="AU1091" s="730"/>
      <c r="AV1091" s="711">
        <f>+AV1089*(1+AV1090)</f>
        <v>119.22210577730145</v>
      </c>
      <c r="AW1091" s="711">
        <f>+AW1089*(1+AW1090)</f>
        <v>137.12021080984169</v>
      </c>
      <c r="AX1091" s="711"/>
      <c r="AY1091" s="730"/>
      <c r="AZ1091" s="711">
        <f>+AZ1089*(1+AZ1090)</f>
        <v>135.31992525950486</v>
      </c>
      <c r="BA1091" s="711">
        <f>+BA1089*(1+BA1090)</f>
        <v>154.14724970930459</v>
      </c>
      <c r="BB1091" s="711"/>
      <c r="BD1091" s="711">
        <f>+BD1089*(1+BD1090)</f>
        <v>128.15818102438502</v>
      </c>
      <c r="BE1091" s="711">
        <f>+BE1089*(1+BE1090)</f>
        <v>140.48123528752382</v>
      </c>
      <c r="BF1091" s="711"/>
      <c r="BH1091" s="711">
        <f>+BH1089*(1+BH1090)</f>
        <v>127.36749189535882</v>
      </c>
      <c r="BI1091" s="711">
        <f>+BI1089*(1+BI1090)</f>
        <v>130.28578788310892</v>
      </c>
      <c r="BJ1091" s="711"/>
      <c r="BL1091" s="711">
        <f>+BL1089*(1+BL1090)</f>
        <v>135.72417015558776</v>
      </c>
      <c r="BM1091" s="711">
        <f>+BM1089*(1+BM1090)</f>
        <v>144.62116480053697</v>
      </c>
      <c r="BN1091" s="711"/>
      <c r="BP1091" s="711">
        <f>+BP1089*(1+BP1090)</f>
        <v>142.54879550291653</v>
      </c>
      <c r="BQ1091" s="711">
        <f>+BQ1089*(1+BQ1090)</f>
        <v>158.79067417622514</v>
      </c>
      <c r="BR1091" s="711"/>
      <c r="BT1091" s="711">
        <f>+BT1089*(1+BT1090)</f>
        <v>160.64136289615431</v>
      </c>
      <c r="BU1091" s="711">
        <f>+BU1089*(1+BU1090)</f>
        <v>170.12613962782564</v>
      </c>
      <c r="BV1091" s="711"/>
      <c r="BX1091" s="711">
        <f>+BX1089*(1+BX1090)</f>
        <v>164.28619230708438</v>
      </c>
      <c r="BY1091" s="711">
        <f>+BY1089*(1+BY1090)</f>
        <v>160.22157190635451</v>
      </c>
      <c r="BZ1091" s="711"/>
      <c r="CB1091" s="711">
        <f>+CB1089*(1+CB1090)</f>
        <v>162.97624528333625</v>
      </c>
      <c r="CC1091" s="711">
        <f>+CC1089*(1+CC1090)</f>
        <v>171.62637627880204</v>
      </c>
      <c r="CD1091" s="711"/>
      <c r="CF1091" s="711">
        <f>+CF1089*(1+CF1090)</f>
        <v>165.69140513068001</v>
      </c>
      <c r="CG1091" s="711">
        <f>+CG1089*(1+CG1090)</f>
        <v>183.80603170901298</v>
      </c>
      <c r="CH1091" s="711"/>
      <c r="CJ1091" s="711">
        <f>+CJ1089*(1+CJ1090)</f>
        <v>172.715923277721</v>
      </c>
      <c r="CK1091" s="711">
        <f>+CK1089*(1+CK1090)</f>
        <v>174.82958125680241</v>
      </c>
      <c r="CL1091" s="711"/>
      <c r="CN1091" s="711">
        <f>+CN1089*(1+CN1090)</f>
        <v>175.58673705658978</v>
      </c>
      <c r="CO1091" s="711">
        <f>+CO1089*(1+CO1090)</f>
        <v>159.14300638471465</v>
      </c>
      <c r="CP1091" s="711"/>
      <c r="CR1091" s="711">
        <f>+CR1089*(1+CR1090)</f>
        <v>177.58966217348996</v>
      </c>
      <c r="CS1091" s="711">
        <f>+CS1089*(1+CS1090)</f>
        <v>177.62444967830422</v>
      </c>
      <c r="CT1091" s="711"/>
      <c r="CV1091" s="711">
        <f>+CV1089*(1+CV1090)</f>
        <v>178.43616914384646</v>
      </c>
      <c r="CW1091" s="711">
        <f>+CW1089*(1+CW1090)</f>
        <v>194.64716976140355</v>
      </c>
      <c r="CX1091" s="711"/>
      <c r="CZ1091" s="711">
        <f>+CZ1089*(1+CZ1090)</f>
        <v>194.19268849961915</v>
      </c>
      <c r="DA1091" s="711">
        <f>+DA1089*(1+DA1090)</f>
        <v>193.20481007825919</v>
      </c>
      <c r="DB1091" s="711"/>
      <c r="DD1091" s="711">
        <f>+DD1089*(1+DD1090)</f>
        <v>197.61372049738591</v>
      </c>
      <c r="DE1091" s="711">
        <f>+DE1089*(1+DE1090)</f>
        <v>198.83393085736387</v>
      </c>
      <c r="DF1091" s="711"/>
      <c r="DH1091" s="711">
        <f>+DH1089*(1+DH1090)</f>
        <v>191.79151884432605</v>
      </c>
      <c r="DI1091" s="711">
        <f>+DI1089*(1+DI1090)</f>
        <v>187.54331237960307</v>
      </c>
      <c r="DJ1091" s="711"/>
      <c r="DL1091" s="711">
        <f>+DL1089*(1+DL1090)</f>
        <v>177.92233261386872</v>
      </c>
      <c r="DM1091" s="711">
        <f>+DM1089*(1+DM1090)</f>
        <v>186.67784160040418</v>
      </c>
      <c r="DN1091" s="711"/>
      <c r="DP1091" s="711">
        <f>+DP1089*(1+DP1090)</f>
        <v>178.62077056183062</v>
      </c>
      <c r="DQ1091" s="711">
        <f>+DQ1089*(1+DQ1090)</f>
        <v>186.93806094742592</v>
      </c>
      <c r="DR1091" s="711"/>
      <c r="DU1091" s="876"/>
      <c r="DV1091" s="876"/>
      <c r="DW1091" s="876"/>
      <c r="DZ1091" s="876"/>
      <c r="EA1091" s="876"/>
      <c r="ED1091" s="876"/>
      <c r="EE1091" s="876"/>
    </row>
    <row r="1092" spans="1:273">
      <c r="A1092" s="102" t="s">
        <v>198</v>
      </c>
      <c r="B1092" s="103" t="s">
        <v>612</v>
      </c>
      <c r="AR1092" s="685"/>
      <c r="AS1092" s="685"/>
      <c r="AT1092" s="730"/>
      <c r="AU1092" s="730"/>
      <c r="AV1092" s="293">
        <f>-(AV1091/1000)*(AV$1/AV$2)*AV723</f>
        <v>-244.74616141162861</v>
      </c>
      <c r="AW1092" s="293">
        <f>-(AW1091/1000)*(AW$1/AW$2)*AW723</f>
        <v>-306.51288416716352</v>
      </c>
      <c r="AX1092" s="293">
        <f>+AW1092+AV1092</f>
        <v>-551.2590455787921</v>
      </c>
      <c r="AY1092" s="730"/>
      <c r="AZ1092" s="293">
        <f>-(AZ1091/1000)*(AZ$1/AZ$2)*AZ723</f>
        <v>-352.59219243281473</v>
      </c>
      <c r="BA1092" s="293">
        <f>-(BA1091/1000)*(BA$1/BA$2)*BA723</f>
        <v>-437.15526535710666</v>
      </c>
      <c r="BB1092" s="293">
        <f>+BA1092+AZ1092</f>
        <v>-789.74745778992133</v>
      </c>
      <c r="BD1092" s="293">
        <f>-(BD1091/1000)*(BD$1/BD$2)*BD723</f>
        <v>-380.05308582781373</v>
      </c>
      <c r="BE1092" s="293">
        <f>-(BE1091/1000)*(BE$1/BE$2)*BE723</f>
        <v>-402.0572953928932</v>
      </c>
      <c r="BF1092" s="293">
        <f>+BE1092+BD1092</f>
        <v>-782.11038122070693</v>
      </c>
      <c r="BH1092" s="293">
        <f>-(BH1091/1000)*(BH$1/BH$2)*BH723</f>
        <v>-333.81885531667626</v>
      </c>
      <c r="BI1092" s="293">
        <f>-(BI1091/1000)*(BI$1/BI$2)*BI723</f>
        <v>-337.91243197990792</v>
      </c>
      <c r="BJ1092" s="293">
        <f>+BI1092+BH1092</f>
        <v>-671.73128729658424</v>
      </c>
      <c r="BL1092" s="293">
        <f>-(BL1091/1000)*(BL$1/BL$2)*BL723</f>
        <v>-368.03765450528459</v>
      </c>
      <c r="BM1092" s="293">
        <f>-(BM1091/1000)*(BM$1/BM$2)*BM723</f>
        <v>-407.86813719549133</v>
      </c>
      <c r="BN1092" s="293">
        <f>+BM1092+BL1092</f>
        <v>-775.90579170077592</v>
      </c>
      <c r="BP1092" s="293">
        <f>-(BP1091/1000)*(BP$1/BP$2)*BP723</f>
        <v>-418.59785762379875</v>
      </c>
      <c r="BQ1092" s="293">
        <f>-(BQ1091/1000)*(BQ$1/BQ$2)*BQ723</f>
        <v>-466.31774507419124</v>
      </c>
      <c r="BR1092" s="293">
        <f>+BQ1092+BP1092</f>
        <v>-884.91560269798993</v>
      </c>
      <c r="BT1092" s="293">
        <f>-(BT1091/1000)*(BT$1/BT$2)*BT723</f>
        <v>-469.91614681197535</v>
      </c>
      <c r="BU1092" s="293">
        <f>-(BU1091/1000)*(BU$1/BU$2)*BU723</f>
        <v>-507.82652678905953</v>
      </c>
      <c r="BV1092" s="293">
        <f>+BU1092+BT1092</f>
        <v>-977.74267360103488</v>
      </c>
      <c r="BX1092" s="293">
        <f>-(BX1091/1000)*(BX$1/BX$2)*BX723</f>
        <v>-491.69664594744296</v>
      </c>
      <c r="BY1092" s="293">
        <f>-(BY1091/1000)*(BY$1/BY$2)*BY723</f>
        <v>-462.93016304347822</v>
      </c>
      <c r="BZ1092" s="293">
        <f>+BY1092+BX1092</f>
        <v>-954.62680899092118</v>
      </c>
      <c r="CB1092" s="293">
        <f>-(CB1091/1000)*(CB$1/CB$2)*CB723</f>
        <v>-475.80535276748134</v>
      </c>
      <c r="CC1092" s="293">
        <f>-(CC1091/1000)*(CC$1/CC$2)*CC723</f>
        <v>-507.60640236543566</v>
      </c>
      <c r="CD1092" s="293">
        <f>+CC1092+CB1092</f>
        <v>-983.41175513291705</v>
      </c>
      <c r="CF1092" s="293">
        <f>-(CF1091/1000)*(CF$1/CF$2)*CF723</f>
        <v>-510.81389144434223</v>
      </c>
      <c r="CG1092" s="293">
        <f>-(CG1091/1000)*(CG$1/CG$2)*CG723</f>
        <v>-596.28288136544825</v>
      </c>
      <c r="CH1092" s="293">
        <f>+CG1092+CF1092</f>
        <v>-1107.0967728097905</v>
      </c>
      <c r="CJ1092" s="293">
        <f>-(CJ1091/1000)*(CJ$1/CJ$2)*CJ723</f>
        <v>-590.86117353308362</v>
      </c>
      <c r="CK1092" s="293">
        <f>-(CK1091/1000)*(CK$1/CK$2)*CK723</f>
        <v>-616.0994443489717</v>
      </c>
      <c r="CL1092" s="293">
        <f>+CK1092+CJ1092</f>
        <v>-1206.9606178820554</v>
      </c>
      <c r="CN1092" s="293">
        <f>-(CN1091/1000)*(CN$1/CN$2)*CN723</f>
        <v>-638.46584745762709</v>
      </c>
      <c r="CO1092" s="293">
        <f>-(CO1091/1000)*(CO$1/CO$2)*CO723</f>
        <v>-594.99253605701767</v>
      </c>
      <c r="CP1092" s="293">
        <f>+CO1092+CN1092</f>
        <v>-1233.4583835146448</v>
      </c>
      <c r="CR1092" s="293">
        <f>-(CR1091/1000)*(CR$1/CR$2)*CR723</f>
        <v>-683.36745277868772</v>
      </c>
      <c r="CS1092" s="293">
        <f>-(CS1091/1000)*(CS$1/CS$2)*CS723</f>
        <v>-713.20109684462227</v>
      </c>
      <c r="CT1092" s="293">
        <f>+CS1092+CR1092</f>
        <v>-1396.56854962331</v>
      </c>
      <c r="CV1092" s="293">
        <f>-(CV1091/1000)*(CV$1/CV$2)*CV723</f>
        <v>-787.40434936350789</v>
      </c>
      <c r="CW1092" s="293">
        <f>-(CW1091/1000)*(CW$1/CW$2)*CW723</f>
        <v>-942.51999213875126</v>
      </c>
      <c r="CX1092" s="293">
        <f>+CW1092+CV1092</f>
        <v>-1729.9243415022593</v>
      </c>
      <c r="CZ1092" s="293">
        <f>-(CZ1091/1000)*(CZ$1/CZ$2)*CZ723</f>
        <v>-1008.3940832063973</v>
      </c>
      <c r="DA1092" s="293">
        <f>-(DA1091/1000)*(DA$1/DA$2)*DA723</f>
        <v>-1013.3592288604694</v>
      </c>
      <c r="DB1092" s="293">
        <f>+DA1092+CZ1092</f>
        <v>-2021.7533120668668</v>
      </c>
      <c r="DD1092" s="293">
        <f>-(DD1091/1000)*(DD$1/DD$2)*DD723</f>
        <v>-1018.2696637571911</v>
      </c>
      <c r="DE1092" s="293">
        <f>-(DE1091/1000)*(DE$1/DE$2)*DE723</f>
        <v>-1016.1824770594637</v>
      </c>
      <c r="DF1092" s="293">
        <f>+DE1092+DD1092</f>
        <v>-2034.4521408166547</v>
      </c>
      <c r="DH1092" s="293">
        <f>-(DH1091/1000)*(DH$1/DH$2)*DH723</f>
        <v>-945.62256637168161</v>
      </c>
      <c r="DI1092" s="293">
        <f>-(DI1091/1000)*(DI$1/DI$2)*DI723</f>
        <v>-882.4453691544187</v>
      </c>
      <c r="DJ1092" s="293">
        <f>+DI1092+DH1092</f>
        <v>-1828.0679355261004</v>
      </c>
      <c r="DL1092" s="293">
        <f>-(DL1091/1000)*(DL$1/DL$2)*DL723</f>
        <v>-858.61126736972699</v>
      </c>
      <c r="DM1092" s="293">
        <f>-(DM1091/1000)*(DM$1/DM$2)*DM723</f>
        <v>-913.85935196459229</v>
      </c>
      <c r="DN1092" s="293">
        <f>+DM1092+DL1092</f>
        <v>-1772.4706193343193</v>
      </c>
      <c r="DP1092" s="293">
        <f>-(DP1091/1000)*(DP$1/DP$2)*DP723</f>
        <v>-894.35553852333419</v>
      </c>
      <c r="DQ1092" s="293">
        <f>-(DQ1091/1000)*(DQ$1/DQ$2)*DQ723</f>
        <v>-954.72027937252085</v>
      </c>
      <c r="DR1092" s="293">
        <f>+DQ1092+DP1092</f>
        <v>-1849.0758178958549</v>
      </c>
      <c r="DU1092" s="876"/>
      <c r="DV1092" s="876"/>
      <c r="DW1092" s="876"/>
      <c r="DZ1092" s="876"/>
      <c r="EA1092" s="876"/>
      <c r="ED1092" s="876"/>
      <c r="EE1092" s="876"/>
    </row>
    <row r="1093" spans="1:273" s="289" customFormat="1">
      <c r="A1093" s="289" t="s">
        <v>199</v>
      </c>
      <c r="B1093" s="290" t="s">
        <v>612</v>
      </c>
      <c r="AN1093" s="290"/>
      <c r="AO1093" s="290"/>
      <c r="AP1093" s="290"/>
      <c r="AQ1093" s="290"/>
      <c r="AR1093" s="376"/>
      <c r="AS1093" s="376"/>
      <c r="AT1093" s="674"/>
      <c r="AU1093" s="674"/>
      <c r="AV1093" s="295">
        <f>AV757-AV1092</f>
        <v>-526.25383858837142</v>
      </c>
      <c r="AW1093" s="295">
        <f>AW757-AW1092</f>
        <v>-385.48711583283648</v>
      </c>
      <c r="AX1093" s="295">
        <f>AX757-AX1092</f>
        <v>-911.7409544212079</v>
      </c>
      <c r="AY1093" s="674"/>
      <c r="AZ1093" s="295">
        <f>AZ757-AZ1092</f>
        <v>-583.74110756718528</v>
      </c>
      <c r="BA1093" s="295">
        <f>BA757-BA1092</f>
        <v>-474.17806464289339</v>
      </c>
      <c r="BB1093" s="295">
        <f>BB757-BB1092</f>
        <v>-1057.9191722100788</v>
      </c>
      <c r="BC1093" s="290"/>
      <c r="BD1093" s="295">
        <f>BD757-BD1092</f>
        <v>-412.61358417218622</v>
      </c>
      <c r="BE1093" s="295">
        <f>BE757-BE1092</f>
        <v>-610.27570460710672</v>
      </c>
      <c r="BF1093" s="295">
        <f>BF757-BF1092</f>
        <v>-1022.889288779293</v>
      </c>
      <c r="BG1093" s="290"/>
      <c r="BH1093" s="295">
        <f>BH757-BH1092</f>
        <v>-419.18114468332374</v>
      </c>
      <c r="BI1093" s="295">
        <f>BI757-BI1092</f>
        <v>-621.08756802009202</v>
      </c>
      <c r="BJ1093" s="295">
        <f>BJ757-BJ1092</f>
        <v>-1040.2687127034158</v>
      </c>
      <c r="BK1093" s="290"/>
      <c r="BL1093" s="295">
        <f>BL757-BL1092</f>
        <v>-547.96234549471546</v>
      </c>
      <c r="BM1093" s="295">
        <f>BM757-BM1092</f>
        <v>-748.13186280450873</v>
      </c>
      <c r="BN1093" s="295">
        <f>BN757-BN1092</f>
        <v>-1296.0942082992242</v>
      </c>
      <c r="BO1093" s="290"/>
      <c r="BP1093" s="295">
        <f>BP757-BP1092</f>
        <v>-691.40214237620125</v>
      </c>
      <c r="BQ1093" s="295">
        <f>BQ757-BQ1092</f>
        <v>-802.68225492580882</v>
      </c>
      <c r="BR1093" s="295">
        <f>BR757-BR1092</f>
        <v>-1494.0843973020101</v>
      </c>
      <c r="BS1093" s="290"/>
      <c r="BT1093" s="295">
        <f>BT757-BT1092</f>
        <v>-877.0838531880247</v>
      </c>
      <c r="BU1093" s="295">
        <f>BU757-BU1092</f>
        <v>-500.17347321094047</v>
      </c>
      <c r="BV1093" s="295">
        <f>BV757-BV1092</f>
        <v>-1377.2573263989652</v>
      </c>
      <c r="BW1093" s="290"/>
      <c r="BX1093" s="295">
        <f>BX757-BX1092</f>
        <v>-842.3033540525571</v>
      </c>
      <c r="BY1093" s="295">
        <f>BY757-BY1092</f>
        <v>-723.06983695652184</v>
      </c>
      <c r="BZ1093" s="295">
        <f>BZ757-BZ1092</f>
        <v>-1565.3731910090787</v>
      </c>
      <c r="CA1093" s="290"/>
      <c r="CB1093" s="295">
        <f>CB757-CB1092</f>
        <v>-856.19464723251872</v>
      </c>
      <c r="CC1093" s="295">
        <f>CC757-CC1092</f>
        <v>-711.39359763456434</v>
      </c>
      <c r="CD1093" s="295">
        <f>CD757-CD1092</f>
        <v>-1567.5882448670829</v>
      </c>
      <c r="CE1093" s="581"/>
      <c r="CF1093" s="295">
        <f>CF757-CF1092</f>
        <v>-911.18610855565771</v>
      </c>
      <c r="CG1093" s="295">
        <f>CG757-CG1092</f>
        <v>-1000.7171186345518</v>
      </c>
      <c r="CH1093" s="295">
        <f>CH757-CH1092</f>
        <v>-1911.9032271902095</v>
      </c>
      <c r="CI1093" s="581"/>
      <c r="CJ1093" s="295">
        <f>CJ757-CJ1092</f>
        <v>-1098.1388264669163</v>
      </c>
      <c r="CK1093" s="295">
        <f>CK757-CK1092</f>
        <v>-840.9005556510283</v>
      </c>
      <c r="CL1093" s="295">
        <f>CL757-CL1092</f>
        <v>-1939.0393821179446</v>
      </c>
      <c r="CM1093" s="581"/>
      <c r="CN1093" s="295">
        <f>CN757-CN1092</f>
        <v>-863.53415254237291</v>
      </c>
      <c r="CO1093" s="295">
        <f>CO757-CO1092</f>
        <v>-1297.0074639429822</v>
      </c>
      <c r="CP1093" s="295">
        <f>CP757-CP1092</f>
        <v>-2160.541616485355</v>
      </c>
      <c r="CQ1093" s="581"/>
      <c r="CR1093" s="295">
        <f>CR757-CR1092</f>
        <v>-1315.6325472213123</v>
      </c>
      <c r="CS1093" s="295">
        <f>CS757-CS1092</f>
        <v>-1630.7989031553777</v>
      </c>
      <c r="CT1093" s="295">
        <f>CT757-CT1092</f>
        <v>-2946.43145037669</v>
      </c>
      <c r="CU1093" s="290"/>
      <c r="CV1093" s="295">
        <f>CV757-CV1092</f>
        <v>-1560.5956506364921</v>
      </c>
      <c r="CW1093" s="295">
        <f>CW757-CW1092</f>
        <v>-1735.4800078612489</v>
      </c>
      <c r="CX1093" s="295">
        <f>CX757-CX1092</f>
        <v>-3296.0756584977407</v>
      </c>
      <c r="CY1093" s="290"/>
      <c r="CZ1093" s="295">
        <f>CZ757-CZ1092</f>
        <v>-1268.6059167936028</v>
      </c>
      <c r="DA1093" s="295">
        <f>DA757-DA1092</f>
        <v>-1530.6407711395304</v>
      </c>
      <c r="DB1093" s="295">
        <f>DB757-DB1092</f>
        <v>-2799.2466879331332</v>
      </c>
      <c r="DC1093" s="290"/>
      <c r="DD1093" s="295">
        <f>DD757-DD1092</f>
        <v>-1219.7303362428088</v>
      </c>
      <c r="DE1093" s="295">
        <f>DE757-DE1092</f>
        <v>-1437.8175229405363</v>
      </c>
      <c r="DF1093" s="295">
        <f>DF757-DF1092</f>
        <v>-2657.5478591833453</v>
      </c>
      <c r="DG1093" s="290"/>
      <c r="DH1093" s="295">
        <f>DH757-DH1092</f>
        <v>-1502.3774336283184</v>
      </c>
      <c r="DI1093" s="295">
        <f>DI757-DI1092</f>
        <v>-1817.0599006042398</v>
      </c>
      <c r="DJ1093" s="295">
        <f>DJ757-DJ1092</f>
        <v>-3319.4373342325575</v>
      </c>
      <c r="DK1093" s="290"/>
      <c r="DL1093" s="295">
        <f>DL757-DL1092</f>
        <v>-1832.8138501788108</v>
      </c>
      <c r="DM1093" s="295">
        <f>DM757-DM1092</f>
        <v>-1818.9001686716742</v>
      </c>
      <c r="DN1093" s="295">
        <f>DN757-DN1092</f>
        <v>-3651.7140188504854</v>
      </c>
      <c r="DO1093" s="290"/>
      <c r="DP1093" s="295">
        <f>DP757-DP1092</f>
        <v>-1941.2196010968262</v>
      </c>
      <c r="DQ1093" s="295">
        <f>DQ757-DQ1092</f>
        <v>-1940.353119882976</v>
      </c>
      <c r="DR1093" s="295">
        <f>DR757-DR1092</f>
        <v>-3881.5727209798024</v>
      </c>
      <c r="DS1093" s="290"/>
      <c r="DT1093" s="290"/>
      <c r="DU1093" s="1014"/>
      <c r="DV1093" s="1014"/>
      <c r="DW1093" s="1014"/>
      <c r="DX1093" s="290"/>
      <c r="DY1093" s="290"/>
      <c r="DZ1093" s="1014"/>
      <c r="EA1093" s="1014"/>
      <c r="EB1093" s="290"/>
      <c r="EC1093" s="290"/>
      <c r="ED1093" s="1014"/>
      <c r="EE1093" s="1014"/>
      <c r="EF1093" s="290"/>
      <c r="EG1093" s="290"/>
      <c r="EH1093" s="290"/>
      <c r="EI1093" s="290"/>
      <c r="EJ1093" s="290"/>
      <c r="EK1093" s="290"/>
      <c r="EL1093" s="290"/>
      <c r="EM1093" s="290"/>
      <c r="EN1093" s="290"/>
      <c r="EO1093" s="290"/>
      <c r="EP1093" s="290"/>
      <c r="JM1093"/>
    </row>
    <row r="1094" spans="1:273">
      <c r="AR1094" s="685"/>
      <c r="AS1094" s="685"/>
      <c r="AT1094" s="730"/>
      <c r="AU1094" s="730"/>
      <c r="AV1094" s="293"/>
      <c r="AW1094" s="293"/>
      <c r="AX1094" s="730"/>
      <c r="AY1094" s="730"/>
      <c r="AZ1094" s="685"/>
      <c r="BA1094" s="876"/>
      <c r="BD1094" s="685"/>
      <c r="BE1094" s="876"/>
      <c r="BH1094" s="685"/>
      <c r="BI1094" s="876"/>
      <c r="BL1094" s="685"/>
      <c r="BM1094" s="876"/>
      <c r="BP1094" s="685"/>
      <c r="BQ1094" s="876"/>
      <c r="BT1094" s="685"/>
      <c r="BU1094" s="876"/>
      <c r="BX1094" s="685"/>
      <c r="BY1094" s="685"/>
      <c r="CB1094" s="685"/>
      <c r="CC1094" s="685"/>
      <c r="CF1094" s="685"/>
      <c r="CG1094" s="685"/>
      <c r="CJ1094" s="685"/>
      <c r="CK1094" s="685"/>
      <c r="CN1094" s="685"/>
      <c r="CO1094" s="685"/>
      <c r="CR1094" s="685"/>
      <c r="CS1094" s="685"/>
      <c r="CV1094" s="685"/>
      <c r="CW1094" s="876"/>
      <c r="CZ1094" s="685"/>
      <c r="DA1094" s="876"/>
      <c r="DD1094" s="685"/>
      <c r="DE1094" s="876"/>
      <c r="DH1094" s="685"/>
      <c r="DI1094" s="876"/>
      <c r="DL1094" s="685"/>
      <c r="DM1094" s="876"/>
      <c r="DP1094" s="685"/>
      <c r="DQ1094" s="876"/>
      <c r="DU1094" s="876"/>
      <c r="DV1094" s="876"/>
      <c r="DW1094" s="876"/>
      <c r="DZ1094" s="876"/>
      <c r="EA1094" s="876"/>
      <c r="ED1094" s="876"/>
      <c r="EE1094" s="876"/>
    </row>
    <row r="1095" spans="1:273">
      <c r="A1095" s="815" t="s">
        <v>694</v>
      </c>
      <c r="AR1095" s="685"/>
      <c r="AS1095" s="685"/>
      <c r="AT1095" s="730"/>
      <c r="AU1095" s="730"/>
      <c r="AV1095" s="293"/>
      <c r="AW1095" s="293"/>
      <c r="AX1095" s="730"/>
      <c r="AY1095" s="730"/>
      <c r="AZ1095" s="685"/>
      <c r="BA1095" s="876"/>
      <c r="BD1095" s="685"/>
      <c r="BE1095" s="876"/>
      <c r="BH1095" s="685"/>
      <c r="BI1095" s="876"/>
      <c r="BL1095" s="685"/>
      <c r="BM1095" s="876"/>
      <c r="BP1095" s="685"/>
      <c r="BQ1095" s="876"/>
      <c r="BT1095" s="685"/>
      <c r="BU1095" s="876"/>
      <c r="BX1095" s="685"/>
      <c r="BY1095" s="685"/>
      <c r="CB1095" s="685"/>
      <c r="CC1095" s="685"/>
      <c r="CF1095" s="685"/>
      <c r="CG1095" s="685"/>
      <c r="CJ1095" s="685"/>
      <c r="CK1095" s="685"/>
      <c r="CN1095" s="685"/>
      <c r="CO1095" s="685"/>
      <c r="CR1095" s="685"/>
      <c r="CS1095" s="685"/>
      <c r="CV1095" s="685"/>
      <c r="CW1095" s="876"/>
      <c r="CZ1095" s="685"/>
      <c r="DA1095" s="876"/>
      <c r="DD1095" s="685"/>
      <c r="DE1095" s="876"/>
      <c r="DH1095" s="685"/>
      <c r="DI1095" s="876"/>
      <c r="DL1095" s="685"/>
      <c r="DM1095" s="876"/>
      <c r="DP1095" s="685"/>
      <c r="DQ1095" s="876"/>
      <c r="DU1095" s="876"/>
      <c r="DV1095" s="876"/>
      <c r="DW1095" s="876"/>
      <c r="DZ1095" s="876"/>
      <c r="EA1095" s="876"/>
      <c r="ED1095" s="876"/>
      <c r="EE1095" s="876"/>
    </row>
    <row r="1096" spans="1:273">
      <c r="A1096" s="102" t="s">
        <v>204</v>
      </c>
      <c r="AR1096" s="685"/>
      <c r="AS1096" s="685"/>
      <c r="AT1096" s="730"/>
      <c r="AU1096" s="730"/>
      <c r="AV1096" s="293">
        <f>AV1093</f>
        <v>-526.25383858837142</v>
      </c>
      <c r="AW1096" s="293">
        <f>AW1093</f>
        <v>-385.48711583283648</v>
      </c>
      <c r="AX1096" s="293">
        <f>+AW1096+AV1096</f>
        <v>-911.7409544212079</v>
      </c>
      <c r="AY1096" s="730"/>
      <c r="AZ1096" s="293">
        <f>AZ1093</f>
        <v>-583.74110756718528</v>
      </c>
      <c r="BA1096" s="293">
        <f>BA1093</f>
        <v>-474.17806464289339</v>
      </c>
      <c r="BB1096" s="293">
        <f>BB1093</f>
        <v>-1057.9191722100788</v>
      </c>
      <c r="BD1096" s="293">
        <f>BD1093</f>
        <v>-412.61358417218622</v>
      </c>
      <c r="BE1096" s="293">
        <f>BE1093</f>
        <v>-610.27570460710672</v>
      </c>
      <c r="BF1096" s="293">
        <f>BF1093</f>
        <v>-1022.889288779293</v>
      </c>
      <c r="BH1096" s="293">
        <f>BH1093</f>
        <v>-419.18114468332374</v>
      </c>
      <c r="BI1096" s="293">
        <f>BI1093</f>
        <v>-621.08756802009202</v>
      </c>
      <c r="BJ1096" s="293">
        <f>BJ1093</f>
        <v>-1040.2687127034158</v>
      </c>
      <c r="BL1096" s="293">
        <f>BL1093</f>
        <v>-547.96234549471546</v>
      </c>
      <c r="BM1096" s="293">
        <f>BM1093</f>
        <v>-748.13186280450873</v>
      </c>
      <c r="BN1096" s="293">
        <f>BN1093</f>
        <v>-1296.0942082992242</v>
      </c>
      <c r="BP1096" s="293">
        <f>BP1093</f>
        <v>-691.40214237620125</v>
      </c>
      <c r="BQ1096" s="293">
        <f>BQ1093</f>
        <v>-802.68225492580882</v>
      </c>
      <c r="BR1096" s="293">
        <f>BR1093</f>
        <v>-1494.0843973020101</v>
      </c>
      <c r="BT1096" s="293">
        <f>BT1093</f>
        <v>-877.0838531880247</v>
      </c>
      <c r="BU1096" s="293">
        <f>BU1093</f>
        <v>-500.17347321094047</v>
      </c>
      <c r="BV1096" s="293">
        <f>BV1093</f>
        <v>-1377.2573263989652</v>
      </c>
      <c r="BX1096" s="293">
        <f>BX1093</f>
        <v>-842.3033540525571</v>
      </c>
      <c r="BY1096" s="293">
        <f>BY1093</f>
        <v>-723.06983695652184</v>
      </c>
      <c r="BZ1096" s="293">
        <f>BZ1093</f>
        <v>-1565.3731910090787</v>
      </c>
      <c r="CB1096" s="293">
        <f>CB1093</f>
        <v>-856.19464723251872</v>
      </c>
      <c r="CC1096" s="293">
        <f>CC1093</f>
        <v>-711.39359763456434</v>
      </c>
      <c r="CD1096" s="293">
        <f>CD1093</f>
        <v>-1567.5882448670829</v>
      </c>
      <c r="CF1096" s="293">
        <f>CF1093</f>
        <v>-911.18610855565771</v>
      </c>
      <c r="CG1096" s="293">
        <f>CG1093</f>
        <v>-1000.7171186345518</v>
      </c>
      <c r="CH1096" s="293">
        <f>CH1093</f>
        <v>-1911.9032271902095</v>
      </c>
      <c r="CJ1096" s="293">
        <f>CJ1093</f>
        <v>-1098.1388264669163</v>
      </c>
      <c r="CK1096" s="293">
        <f>CK1093</f>
        <v>-840.9005556510283</v>
      </c>
      <c r="CL1096" s="293">
        <f>CL1093</f>
        <v>-1939.0393821179446</v>
      </c>
      <c r="CN1096" s="293">
        <f>CN1093</f>
        <v>-863.53415254237291</v>
      </c>
      <c r="CO1096" s="293">
        <f>CO1093</f>
        <v>-1297.0074639429822</v>
      </c>
      <c r="CP1096" s="293">
        <f>CP1093</f>
        <v>-2160.541616485355</v>
      </c>
      <c r="CR1096" s="293">
        <f>CR1093</f>
        <v>-1315.6325472213123</v>
      </c>
      <c r="CS1096" s="293">
        <f>CS1093</f>
        <v>-1630.7989031553777</v>
      </c>
      <c r="CT1096" s="293">
        <f>CT1093</f>
        <v>-2946.43145037669</v>
      </c>
      <c r="CV1096" s="293">
        <f>CV1093</f>
        <v>-1560.5956506364921</v>
      </c>
      <c r="CW1096" s="293">
        <f>CW1093</f>
        <v>-1735.4800078612489</v>
      </c>
      <c r="CX1096" s="293">
        <f>CX1093</f>
        <v>-3296.0756584977407</v>
      </c>
      <c r="CZ1096" s="293">
        <f>CZ1093</f>
        <v>-1268.6059167936028</v>
      </c>
      <c r="DA1096" s="293">
        <f>DA1093</f>
        <v>-1530.6407711395304</v>
      </c>
      <c r="DB1096" s="293">
        <f>DB1093</f>
        <v>-2799.2466879331332</v>
      </c>
      <c r="DD1096" s="293">
        <f>DD1093</f>
        <v>-1219.7303362428088</v>
      </c>
      <c r="DE1096" s="293">
        <f>DE1093</f>
        <v>-1437.8175229405363</v>
      </c>
      <c r="DF1096" s="293">
        <f>DF1093</f>
        <v>-2657.5478591833453</v>
      </c>
      <c r="DH1096" s="293">
        <f>DH1093</f>
        <v>-1502.3774336283184</v>
      </c>
      <c r="DI1096" s="293">
        <f>DI1093</f>
        <v>-1817.0599006042398</v>
      </c>
      <c r="DJ1096" s="293">
        <f>DJ1093</f>
        <v>-3319.4373342325575</v>
      </c>
      <c r="DL1096" s="293">
        <f>DL1093</f>
        <v>-1832.8138501788108</v>
      </c>
      <c r="DM1096" s="293">
        <f>DM1093</f>
        <v>-1818.9001686716742</v>
      </c>
      <c r="DN1096" s="293">
        <f>DN1093</f>
        <v>-3651.7140188504854</v>
      </c>
      <c r="DP1096" s="293">
        <f>DP1093</f>
        <v>-1941.2196010968262</v>
      </c>
      <c r="DQ1096" s="293">
        <f>DQ1093</f>
        <v>-1940.353119882976</v>
      </c>
      <c r="DR1096" s="293">
        <f>DR1093</f>
        <v>-3881.5727209798024</v>
      </c>
      <c r="DU1096" s="876"/>
      <c r="DV1096" s="876"/>
      <c r="DW1096" s="876"/>
      <c r="DZ1096" s="876"/>
      <c r="EA1096" s="876"/>
      <c r="ED1096" s="876"/>
      <c r="EE1096" s="876"/>
    </row>
    <row r="1097" spans="1:273">
      <c r="A1097" s="102" t="s">
        <v>205</v>
      </c>
      <c r="AV1097" s="293">
        <f>+AV1098-AV1096</f>
        <v>-875.74616141162858</v>
      </c>
      <c r="AW1097" s="293">
        <f>+AW1098-AW1096</f>
        <v>-1061.5128841671635</v>
      </c>
      <c r="AX1097" s="293">
        <f>+AX1098-AX1096</f>
        <v>-1937.2590455787922</v>
      </c>
      <c r="AZ1097" s="293">
        <f>+AZ1098-AZ1096</f>
        <v>-1169.9251924328146</v>
      </c>
      <c r="BA1097" s="293">
        <f>+BA1098-BA1096</f>
        <v>-1383.4885653571068</v>
      </c>
      <c r="BB1097" s="293">
        <f>+BB1098-BB1096</f>
        <v>-2553.413757789921</v>
      </c>
      <c r="BD1097" s="293">
        <f>+BD1098-BD1096</f>
        <v>-1118.7198558278137</v>
      </c>
      <c r="BE1097" s="293">
        <f>+BE1098-BE1096</f>
        <v>-1193.2237953928932</v>
      </c>
      <c r="BF1097" s="293">
        <f>+BF1098-BF1096</f>
        <v>-2311.9436512207067</v>
      </c>
      <c r="BH1097" s="293">
        <f>+BH1098-BH1096</f>
        <v>-1022.8188553166763</v>
      </c>
      <c r="BI1097" s="293">
        <f>+BI1098-BI1096</f>
        <v>-1008.912431979908</v>
      </c>
      <c r="BJ1097" s="293">
        <f>+BJ1098-BJ1096</f>
        <v>-2031.7312872965842</v>
      </c>
      <c r="BL1097" s="293">
        <f>+BL1098-BL1096</f>
        <v>-1074.0376545052845</v>
      </c>
      <c r="BM1097" s="293">
        <f>+BM1098-BM1096</f>
        <v>-1134.8681371954913</v>
      </c>
      <c r="BN1097" s="293">
        <f>+BN1098-BN1096</f>
        <v>-2208.9057917007758</v>
      </c>
      <c r="BP1097" s="293">
        <f>+BP1098-BP1096</f>
        <v>-1129.5978576237987</v>
      </c>
      <c r="BQ1097" s="293">
        <f>+BQ1098-BQ1096</f>
        <v>-1267.3177450741912</v>
      </c>
      <c r="BR1097" s="293">
        <f>+BR1098-BR1096</f>
        <v>-2396.9156026979899</v>
      </c>
      <c r="BT1097" s="293">
        <f>+BT1098-BT1096</f>
        <v>-1240.9161468119753</v>
      </c>
      <c r="BU1097" s="293">
        <f>+BU1098-BU1096</f>
        <v>-1338.8265267890595</v>
      </c>
      <c r="BV1097" s="293">
        <f>+BV1098-BV1096</f>
        <v>-2579.7426736010348</v>
      </c>
      <c r="BX1097" s="293">
        <f>+BX1098-BX1096</f>
        <v>-1298.6966459474429</v>
      </c>
      <c r="BY1097" s="293">
        <f>+BY1098-BY1096</f>
        <v>-1256.9301630434782</v>
      </c>
      <c r="BZ1097" s="293">
        <f>+BZ1098-BZ1096</f>
        <v>-2555.6268089909213</v>
      </c>
      <c r="CB1097" s="293">
        <f>+CB1098-CB1096</f>
        <v>-1273.8053527674813</v>
      </c>
      <c r="CC1097" s="293">
        <f>+CC1098-CC1096</f>
        <v>-1379.6064023654358</v>
      </c>
      <c r="CD1097" s="293">
        <f>+CD1098-CD1096</f>
        <v>-2653.4117551329173</v>
      </c>
      <c r="CF1097" s="293">
        <f>+CF1098-CF1096</f>
        <v>-1385.8138914443423</v>
      </c>
      <c r="CG1097" s="293">
        <f>+CG1098-CG1096</f>
        <v>-1593.2828813654482</v>
      </c>
      <c r="CH1097" s="293">
        <f>+CH1098-CH1096</f>
        <v>-2979.0967728097903</v>
      </c>
      <c r="CJ1097" s="293">
        <f>+CJ1098-CJ1096</f>
        <v>-1503.8611735330837</v>
      </c>
      <c r="CK1097" s="293">
        <f>+CK1098-CK1096</f>
        <v>-1558.0994443489717</v>
      </c>
      <c r="CL1097" s="293">
        <f>+CL1098-CL1096</f>
        <v>-3061.9606178820554</v>
      </c>
      <c r="CN1097" s="293">
        <f>+CN1098-CN1096</f>
        <v>-1567.4658474576272</v>
      </c>
      <c r="CO1097" s="293">
        <f>+CO1098-CO1096</f>
        <v>-1461.9925360570178</v>
      </c>
      <c r="CP1097" s="293">
        <f>+CP1098-CP1096</f>
        <v>-3029.458383514645</v>
      </c>
      <c r="CR1097" s="293">
        <f>+CR1098-CR1096</f>
        <v>-1685.3674527786877</v>
      </c>
      <c r="CS1097" s="293">
        <f>+CS1098-CS1096</f>
        <v>-1732.2010968446223</v>
      </c>
      <c r="CT1097" s="293">
        <f>+CT1098-CT1096</f>
        <v>-3417.56854962331</v>
      </c>
      <c r="CV1097" s="293">
        <f>+CV1098-CV1096</f>
        <v>-1873.4043493635079</v>
      </c>
      <c r="CW1097" s="293">
        <f>+CW1098-CW1096</f>
        <v>-2108.5199921387511</v>
      </c>
      <c r="CX1097" s="293">
        <f>+CX1098-CX1096</f>
        <v>-3981.9243415022593</v>
      </c>
      <c r="CZ1097" s="293">
        <f>+CZ1098-CZ1096</f>
        <v>-2237.3940832063972</v>
      </c>
      <c r="DA1097" s="293">
        <f>+DA1098-DA1096</f>
        <v>-2236.3592288604696</v>
      </c>
      <c r="DB1097" s="293">
        <f>+DB1098-DB1096</f>
        <v>-4473.7533120668668</v>
      </c>
      <c r="DD1097" s="293">
        <f>+DD1098-DD1096</f>
        <v>-2321.2696637571912</v>
      </c>
      <c r="DE1097" s="293">
        <f>+DE1098-DE1096</f>
        <v>-2276.182477059464</v>
      </c>
      <c r="DF1097" s="293">
        <f>+DF1098-DF1096</f>
        <v>-4597.4521408166547</v>
      </c>
      <c r="DH1097" s="293">
        <f>+DH1098-DH1096</f>
        <v>-2231.6225663716814</v>
      </c>
      <c r="DI1097" s="293">
        <f>+DI1098-DI1096</f>
        <v>-2068.7707199740908</v>
      </c>
      <c r="DJ1097" s="293">
        <f>+DJ1098-DJ1096</f>
        <v>-4300.3932863457721</v>
      </c>
      <c r="DL1097" s="293">
        <f>+DL1098-DL1096</f>
        <v>-1998.594994489727</v>
      </c>
      <c r="DM1097" s="293">
        <f>+DM1098-DM1096</f>
        <v>-2136.5678442355338</v>
      </c>
      <c r="DN1097" s="293">
        <f>+DN1098-DN1096</f>
        <v>-4135.1628387252604</v>
      </c>
      <c r="DP1097" s="293">
        <f>+DP1098-DP1096</f>
        <v>-2077.8431489234617</v>
      </c>
      <c r="DQ1097" s="293">
        <f>+DQ1098-DQ1096</f>
        <v>-2227.388126811732</v>
      </c>
      <c r="DR1097" s="293">
        <f>+DR1098-DR1096</f>
        <v>-4305.2312757351938</v>
      </c>
    </row>
    <row r="1098" spans="1:273" s="289" customFormat="1">
      <c r="A1098" s="289" t="s">
        <v>206</v>
      </c>
      <c r="B1098" s="290"/>
      <c r="AN1098" s="290"/>
      <c r="AO1098" s="290"/>
      <c r="AP1098" s="290"/>
      <c r="AQ1098" s="290"/>
      <c r="AR1098" s="290"/>
      <c r="AS1098" s="290"/>
      <c r="AT1098" s="290"/>
      <c r="AU1098" s="290"/>
      <c r="AV1098" s="295">
        <f>AV699</f>
        <v>-1402</v>
      </c>
      <c r="AW1098" s="295">
        <f>AW699</f>
        <v>-1447</v>
      </c>
      <c r="AX1098" s="295">
        <f>AX699</f>
        <v>-2849</v>
      </c>
      <c r="AY1098" s="290"/>
      <c r="AZ1098" s="295">
        <f>AZ699</f>
        <v>-1753.6662999999999</v>
      </c>
      <c r="BA1098" s="295">
        <f>BA699</f>
        <v>-1857.6666300000002</v>
      </c>
      <c r="BB1098" s="295">
        <f>BB699</f>
        <v>-3611.33293</v>
      </c>
      <c r="BC1098" s="290"/>
      <c r="BD1098" s="295">
        <f>BD699</f>
        <v>-1531.3334399999999</v>
      </c>
      <c r="BE1098" s="295">
        <f>BE699</f>
        <v>-1803.4994999999999</v>
      </c>
      <c r="BF1098" s="295">
        <f>BF699</f>
        <v>-3334.8329399999998</v>
      </c>
      <c r="BG1098" s="290"/>
      <c r="BH1098" s="295">
        <f>BH699</f>
        <v>-1442</v>
      </c>
      <c r="BI1098" s="295">
        <f>BI699</f>
        <v>-1630</v>
      </c>
      <c r="BJ1098" s="295">
        <f>BJ699</f>
        <v>-3072</v>
      </c>
      <c r="BK1098" s="290"/>
      <c r="BL1098" s="295">
        <f>BL699</f>
        <v>-1622</v>
      </c>
      <c r="BM1098" s="295">
        <f>BM699</f>
        <v>-1883</v>
      </c>
      <c r="BN1098" s="295">
        <f>BN699</f>
        <v>-3505</v>
      </c>
      <c r="BO1098" s="290"/>
      <c r="BP1098" s="295">
        <f>BP699</f>
        <v>-1821</v>
      </c>
      <c r="BQ1098" s="295">
        <f>BQ699</f>
        <v>-2070</v>
      </c>
      <c r="BR1098" s="295">
        <f>BR699</f>
        <v>-3891</v>
      </c>
      <c r="BS1098" s="290"/>
      <c r="BT1098" s="295">
        <f>BT699</f>
        <v>-2118</v>
      </c>
      <c r="BU1098" s="295">
        <f>BU699</f>
        <v>-1839</v>
      </c>
      <c r="BV1098" s="295">
        <f>BV699</f>
        <v>-3957</v>
      </c>
      <c r="BW1098" s="290"/>
      <c r="BX1098" s="295">
        <f>BX699</f>
        <v>-2141</v>
      </c>
      <c r="BY1098" s="295">
        <f>BY699</f>
        <v>-1980</v>
      </c>
      <c r="BZ1098" s="295">
        <f>BZ699</f>
        <v>-4121</v>
      </c>
      <c r="CA1098" s="290"/>
      <c r="CB1098" s="295">
        <f>CB699</f>
        <v>-2130</v>
      </c>
      <c r="CC1098" s="295">
        <f>CC699</f>
        <v>-2091</v>
      </c>
      <c r="CD1098" s="295">
        <f>CD699</f>
        <v>-4221</v>
      </c>
      <c r="CE1098" s="581"/>
      <c r="CF1098" s="295">
        <f>CF699</f>
        <v>-2297</v>
      </c>
      <c r="CG1098" s="295">
        <f>CG699</f>
        <v>-2594</v>
      </c>
      <c r="CH1098" s="295">
        <f>CH699</f>
        <v>-4891</v>
      </c>
      <c r="CI1098" s="581"/>
      <c r="CJ1098" s="295">
        <f>CJ699</f>
        <v>-2602</v>
      </c>
      <c r="CK1098" s="295">
        <f>CK699</f>
        <v>-2399</v>
      </c>
      <c r="CL1098" s="295">
        <f>CL699</f>
        <v>-5001</v>
      </c>
      <c r="CM1098" s="581"/>
      <c r="CN1098" s="295">
        <f>CN699</f>
        <v>-2431</v>
      </c>
      <c r="CO1098" s="295">
        <f>CO699</f>
        <v>-2759</v>
      </c>
      <c r="CP1098" s="295">
        <f>CP699</f>
        <v>-5190</v>
      </c>
      <c r="CQ1098" s="581"/>
      <c r="CR1098" s="295">
        <f>CR699</f>
        <v>-3001</v>
      </c>
      <c r="CS1098" s="295">
        <f>CS699</f>
        <v>-3363</v>
      </c>
      <c r="CT1098" s="295">
        <f>CT699</f>
        <v>-6364</v>
      </c>
      <c r="CU1098" s="290"/>
      <c r="CV1098" s="295">
        <f>CV699</f>
        <v>-3434</v>
      </c>
      <c r="CW1098" s="295">
        <f>CW699</f>
        <v>-3844</v>
      </c>
      <c r="CX1098" s="295">
        <f>CX699</f>
        <v>-7278</v>
      </c>
      <c r="CY1098" s="290"/>
      <c r="CZ1098" s="295">
        <f>CZ699</f>
        <v>-3506</v>
      </c>
      <c r="DA1098" s="295">
        <f>DA699</f>
        <v>-3767</v>
      </c>
      <c r="DB1098" s="295">
        <f>DB699</f>
        <v>-7273</v>
      </c>
      <c r="DC1098" s="290"/>
      <c r="DD1098" s="295">
        <f>DD699</f>
        <v>-3541</v>
      </c>
      <c r="DE1098" s="295">
        <f>DE699</f>
        <v>-3714</v>
      </c>
      <c r="DF1098" s="295">
        <f>DF699</f>
        <v>-7255</v>
      </c>
      <c r="DG1098" s="290"/>
      <c r="DH1098" s="295">
        <f>DH699</f>
        <v>-3734</v>
      </c>
      <c r="DI1098" s="295">
        <f>DI699</f>
        <v>-3885.8306205783306</v>
      </c>
      <c r="DJ1098" s="295">
        <f>DJ699</f>
        <v>-7619.8306205783301</v>
      </c>
      <c r="DK1098" s="290"/>
      <c r="DL1098" s="295">
        <f>DL699</f>
        <v>-3831.4088446685378</v>
      </c>
      <c r="DM1098" s="295">
        <f>DM699</f>
        <v>-3955.468012907208</v>
      </c>
      <c r="DN1098" s="295">
        <f>DN699</f>
        <v>-7786.8768575757458</v>
      </c>
      <c r="DO1098" s="290"/>
      <c r="DP1098" s="295">
        <f>DP699</f>
        <v>-4019.0627500202877</v>
      </c>
      <c r="DQ1098" s="295">
        <f>DQ699</f>
        <v>-4167.741246694708</v>
      </c>
      <c r="DR1098" s="295">
        <f>DR699</f>
        <v>-8186.8039967149962</v>
      </c>
      <c r="DS1098" s="290"/>
      <c r="DT1098" s="290"/>
      <c r="DU1098" s="290"/>
      <c r="DV1098" s="290"/>
      <c r="DW1098" s="290"/>
      <c r="DX1098" s="290"/>
      <c r="DY1098" s="290"/>
      <c r="DZ1098" s="290"/>
      <c r="EA1098" s="290"/>
      <c r="EB1098" s="290"/>
      <c r="EC1098" s="290"/>
      <c r="ED1098" s="290"/>
      <c r="EE1098" s="290"/>
      <c r="EF1098" s="290"/>
      <c r="EG1098" s="290"/>
      <c r="EH1098" s="290"/>
      <c r="EI1098" s="290"/>
      <c r="EJ1098" s="290"/>
      <c r="EK1098" s="290"/>
      <c r="EL1098" s="290"/>
      <c r="EM1098" s="290"/>
      <c r="EN1098" s="290"/>
      <c r="EO1098" s="290"/>
      <c r="EP1098" s="290"/>
      <c r="JM1098"/>
    </row>
    <row r="1099" spans="1:273" s="289" customFormat="1">
      <c r="B1099" s="290"/>
      <c r="AN1099" s="290"/>
      <c r="AO1099" s="290"/>
      <c r="AP1099" s="290"/>
      <c r="AQ1099" s="290"/>
      <c r="AR1099" s="290"/>
      <c r="AS1099" s="290"/>
      <c r="AT1099" s="290"/>
      <c r="AU1099" s="290"/>
      <c r="AV1099" s="295"/>
      <c r="AW1099" s="295"/>
      <c r="AX1099" s="295"/>
      <c r="AY1099" s="290"/>
      <c r="AZ1099" s="295"/>
      <c r="BA1099" s="295"/>
      <c r="BB1099" s="295"/>
      <c r="BC1099" s="290"/>
      <c r="BD1099" s="295"/>
      <c r="BE1099" s="295"/>
      <c r="BF1099" s="295"/>
      <c r="BG1099" s="290"/>
      <c r="BH1099" s="295"/>
      <c r="BI1099" s="295"/>
      <c r="BJ1099" s="295"/>
      <c r="BK1099" s="290"/>
      <c r="BL1099" s="295"/>
      <c r="BM1099" s="295"/>
      <c r="BN1099" s="295"/>
      <c r="BO1099" s="290"/>
      <c r="BP1099" s="295"/>
      <c r="BQ1099" s="295"/>
      <c r="BR1099" s="295"/>
      <c r="BS1099" s="290"/>
      <c r="BT1099" s="295"/>
      <c r="BU1099" s="295"/>
      <c r="BV1099" s="295"/>
      <c r="BW1099" s="290"/>
      <c r="BX1099" s="295"/>
      <c r="BY1099" s="295"/>
      <c r="BZ1099" s="295"/>
      <c r="CA1099" s="290"/>
      <c r="CB1099" s="295"/>
      <c r="CC1099" s="295"/>
      <c r="CD1099" s="295"/>
      <c r="CE1099" s="581"/>
      <c r="CF1099" s="295"/>
      <c r="CG1099" s="295"/>
      <c r="CH1099" s="295"/>
      <c r="CI1099" s="581"/>
      <c r="CJ1099" s="295"/>
      <c r="CK1099" s="295"/>
      <c r="CL1099" s="295"/>
      <c r="CM1099" s="581"/>
      <c r="CN1099" s="295"/>
      <c r="CO1099" s="295"/>
      <c r="CP1099" s="295"/>
      <c r="CQ1099" s="581"/>
      <c r="CR1099" s="295"/>
      <c r="CS1099" s="295"/>
      <c r="CT1099" s="295"/>
      <c r="CU1099" s="290"/>
      <c r="CV1099" s="295"/>
      <c r="CW1099" s="295"/>
      <c r="CX1099" s="295"/>
      <c r="CY1099" s="290"/>
      <c r="CZ1099" s="295"/>
      <c r="DA1099" s="295"/>
      <c r="DB1099" s="295"/>
      <c r="DC1099" s="290"/>
      <c r="DD1099" s="295"/>
      <c r="DE1099" s="295"/>
      <c r="DF1099" s="295"/>
      <c r="DG1099" s="290"/>
      <c r="DH1099" s="295"/>
      <c r="DI1099" s="295"/>
      <c r="DJ1099" s="295"/>
      <c r="DK1099" s="290"/>
      <c r="DL1099" s="295"/>
      <c r="DM1099" s="295"/>
      <c r="DN1099" s="295"/>
      <c r="DO1099" s="290"/>
      <c r="DP1099" s="295"/>
      <c r="DQ1099" s="295"/>
      <c r="DR1099" s="295"/>
      <c r="DS1099" s="290"/>
      <c r="DT1099" s="290"/>
      <c r="DU1099" s="290"/>
      <c r="DV1099" s="290"/>
      <c r="DW1099" s="290"/>
      <c r="DX1099" s="290"/>
      <c r="DY1099" s="290"/>
      <c r="DZ1099" s="290"/>
      <c r="EA1099" s="290"/>
      <c r="EB1099" s="290"/>
      <c r="EC1099" s="290"/>
      <c r="ED1099" s="290"/>
      <c r="EE1099" s="290"/>
      <c r="EF1099" s="290"/>
      <c r="EG1099" s="290"/>
      <c r="EH1099" s="290"/>
      <c r="EI1099" s="290"/>
      <c r="EJ1099" s="290"/>
      <c r="EK1099" s="290"/>
      <c r="EL1099" s="290"/>
      <c r="EM1099" s="290"/>
      <c r="EN1099" s="290"/>
      <c r="EO1099" s="290"/>
      <c r="EP1099" s="290"/>
      <c r="JM1099"/>
    </row>
    <row r="1100" spans="1:273" s="328" customFormat="1">
      <c r="A1100" s="328" t="s">
        <v>208</v>
      </c>
      <c r="B1100" s="581"/>
      <c r="AN1100" s="581"/>
      <c r="AO1100" s="581"/>
      <c r="AP1100" s="581"/>
      <c r="AQ1100" s="581"/>
      <c r="AR1100" s="581"/>
      <c r="AS1100" s="581"/>
      <c r="AT1100" s="581"/>
      <c r="AU1100" s="581"/>
      <c r="AV1100" s="672">
        <f>-AV1096/AV20</f>
        <v>0.16948593835374282</v>
      </c>
      <c r="AW1100" s="672">
        <f>-AW1096/AW20</f>
        <v>0.10911042055840263</v>
      </c>
      <c r="AX1100" s="672">
        <f>-AX1096/AX20</f>
        <v>0.13735175571274599</v>
      </c>
      <c r="AY1100" s="581"/>
      <c r="AZ1100" s="672">
        <f>-AZ1096/AZ20</f>
        <v>0.15944854071761411</v>
      </c>
      <c r="BA1100" s="672">
        <f>-BA1096/BA20</f>
        <v>0.11905048070371413</v>
      </c>
      <c r="BB1100" s="672">
        <f>-BB1096/BB20</f>
        <v>0.13839863582026149</v>
      </c>
      <c r="BC1100" s="581"/>
      <c r="BD1100" s="672">
        <f>-BD1096/BD20</f>
        <v>0.1272452870286509</v>
      </c>
      <c r="BE1100" s="672">
        <f>-BE1096/BE20</f>
        <v>0.16405260876535127</v>
      </c>
      <c r="BF1100" s="672">
        <f>-BF1096/BF20</f>
        <v>0.1469106416294014</v>
      </c>
      <c r="BG1100" s="581"/>
      <c r="BH1100" s="672">
        <f>-BH1096/BH20</f>
        <v>0.13725643244378644</v>
      </c>
      <c r="BI1100" s="672">
        <f>-BI1096/BI20</f>
        <v>0.17238067388845185</v>
      </c>
      <c r="BJ1100" s="672">
        <f>-BJ1096/BJ20</f>
        <v>0.15626689390166978</v>
      </c>
      <c r="BK1100" s="581"/>
      <c r="BL1100" s="672">
        <f>-BL1096/BL20</f>
        <v>0.14894328499448639</v>
      </c>
      <c r="BM1100" s="672">
        <f>-BM1096/BM20</f>
        <v>0.16793083340168546</v>
      </c>
      <c r="BN1100" s="672">
        <f>-BN1096/BN20</f>
        <v>0.1593427843987244</v>
      </c>
      <c r="BO1100" s="581"/>
      <c r="BP1100" s="672">
        <f>-BP1096/BP20</f>
        <v>0.16139172324374446</v>
      </c>
      <c r="BQ1100" s="672">
        <f>-BQ1096/BQ20</f>
        <v>0.1612459330907611</v>
      </c>
      <c r="BR1100" s="672">
        <f>-BR1096/BR20</f>
        <v>0.16131336615223602</v>
      </c>
      <c r="BS1100" s="581"/>
      <c r="BT1100" s="672">
        <f>-BT1096/BT20</f>
        <v>0.16492738871531115</v>
      </c>
      <c r="BU1100" s="672">
        <f>-BU1096/BU20</f>
        <v>0.1033416266964753</v>
      </c>
      <c r="BV1100" s="672">
        <f>-BV1096/BV20</f>
        <v>0.13558351313240452</v>
      </c>
      <c r="BW1100" s="581"/>
      <c r="BX1100" s="672">
        <f>-BX1096/BX20</f>
        <v>0.16142264355165908</v>
      </c>
      <c r="BY1100" s="672">
        <f>-BY1096/BY20</f>
        <v>0.14051104488078545</v>
      </c>
      <c r="BZ1100" s="672">
        <f>-BZ1096/BZ20</f>
        <v>0.15103948195764944</v>
      </c>
      <c r="CA1100" s="581"/>
      <c r="CB1100" s="672">
        <f>-CB1096/CB20</f>
        <v>0.15864269913517115</v>
      </c>
      <c r="CC1100" s="672">
        <f>-CC1096/CC20</f>
        <v>0.12880564867545977</v>
      </c>
      <c r="CD1100" s="672">
        <f>-CD1096/CD20</f>
        <v>0.14355203707574019</v>
      </c>
      <c r="CE1100" s="581"/>
      <c r="CF1100" s="672">
        <f>-CF1096/CF20</f>
        <v>0.15629264297695672</v>
      </c>
      <c r="CG1100" s="672">
        <f>-CG1096/CG20</f>
        <v>0.14452875774618021</v>
      </c>
      <c r="CH1100" s="672">
        <f>-CH1096/CH20</f>
        <v>0.14990616490436015</v>
      </c>
      <c r="CI1100" s="581"/>
      <c r="CJ1100" s="672">
        <f>-CJ1096/CJ20</f>
        <v>0.17375614342830953</v>
      </c>
      <c r="CK1100" s="672">
        <f>-CK1096/CK20</f>
        <v>0.14003339811007964</v>
      </c>
      <c r="CL1100" s="672">
        <f>-CL1096/CL20</f>
        <v>0.15732571051666894</v>
      </c>
      <c r="CM1100" s="581"/>
      <c r="CN1100" s="672">
        <f>-CN1096/CN20</f>
        <v>0.15646569170907282</v>
      </c>
      <c r="CO1100" s="672">
        <f>-CO1096/CO20</f>
        <v>0.17877428862067293</v>
      </c>
      <c r="CP1100" s="672">
        <f>-CP1096/CP20</f>
        <v>0.1691358710259398</v>
      </c>
      <c r="CQ1100" s="581"/>
      <c r="CR1100" s="672">
        <f>-CR1096/CR20</f>
        <v>0.16858438585613944</v>
      </c>
      <c r="CS1100" s="672">
        <f>-CS1096/CS20</f>
        <v>0.17130240579363212</v>
      </c>
      <c r="CT1100" s="672">
        <f>-CT1096/CT20</f>
        <v>0.17007801029650715</v>
      </c>
      <c r="CU1100" s="581"/>
      <c r="CV1100" s="672">
        <f>-CV1096/CV20</f>
        <v>0.17933758338732383</v>
      </c>
      <c r="CW1100" s="672">
        <f>-CW1096/CW20</f>
        <v>0.16655278386384345</v>
      </c>
      <c r="CX1100" s="672">
        <f>-CX1096/CX20</f>
        <v>0.1723708638478057</v>
      </c>
      <c r="CY1100" s="581"/>
      <c r="CZ1100" s="672">
        <f>-CZ1096/CZ20</f>
        <v>0.16038001476531008</v>
      </c>
      <c r="DA1100" s="672">
        <f>-DA1096/DA20</f>
        <v>0.17050693674273482</v>
      </c>
      <c r="DB1100" s="672">
        <f>-DB1096/DB20</f>
        <v>0.16576340900889047</v>
      </c>
      <c r="DC1100" s="581"/>
      <c r="DD1100" s="672">
        <f>-DD1096/DD20</f>
        <v>0.14845792797502541</v>
      </c>
      <c r="DE1100" s="672">
        <f ca="1">-DE1096/DE20</f>
        <v>0.15989963555833367</v>
      </c>
      <c r="DF1100" s="672">
        <f ca="1">-DF1096/DF20</f>
        <v>0.15443676541046869</v>
      </c>
      <c r="DG1100" s="581"/>
      <c r="DH1100" s="672">
        <f>-DH1096/DH20</f>
        <v>0.17286588811739942</v>
      </c>
      <c r="DI1100" s="672">
        <f>-DI1096/DI20</f>
        <v>0.18232180566330267</v>
      </c>
      <c r="DJ1100" s="672">
        <f>-DJ1096/DJ20</f>
        <v>0.17791700349587036</v>
      </c>
      <c r="DK1100" s="581"/>
      <c r="DL1100" s="672">
        <f>-DL1096/DL20</f>
        <v>0.20569716976917127</v>
      </c>
      <c r="DM1100" s="672">
        <f>-DM1096/DM20</f>
        <v>0.18163857330684119</v>
      </c>
      <c r="DN1100" s="672">
        <f>-DN1096/DN20</f>
        <v>0.19296636313217766</v>
      </c>
      <c r="DO1100" s="581"/>
      <c r="DP1100" s="672">
        <f>-DP1096/DP20</f>
        <v>0.20624230603619229</v>
      </c>
      <c r="DQ1100" s="672">
        <f>-DQ1096/DQ20</f>
        <v>0.18389804860405198</v>
      </c>
      <c r="DR1100" s="672">
        <f>-DR1096/DR20</f>
        <v>0.19443280898178797</v>
      </c>
      <c r="DS1100" s="581"/>
      <c r="DT1100" s="581"/>
      <c r="DU1100" s="581"/>
      <c r="DV1100" s="581"/>
      <c r="DW1100" s="581"/>
      <c r="DX1100" s="581"/>
      <c r="DY1100" s="581"/>
      <c r="DZ1100" s="581"/>
      <c r="EA1100" s="581"/>
      <c r="EB1100" s="581"/>
      <c r="EC1100" s="581"/>
      <c r="ED1100" s="581"/>
      <c r="EE1100" s="581"/>
      <c r="EF1100" s="581"/>
      <c r="EG1100" s="581"/>
      <c r="EH1100" s="581"/>
      <c r="EI1100" s="581"/>
      <c r="EJ1100" s="581"/>
      <c r="EK1100" s="581"/>
      <c r="EL1100" s="581"/>
      <c r="EM1100" s="581"/>
      <c r="EN1100" s="581"/>
      <c r="EO1100" s="581"/>
      <c r="EP1100" s="581"/>
      <c r="JM1100"/>
    </row>
    <row r="1101" spans="1:273">
      <c r="A1101" s="328" t="s">
        <v>207</v>
      </c>
      <c r="AV1101" s="672">
        <f>-AV1096/AV30</f>
        <v>1.0986510200174768</v>
      </c>
      <c r="AW1101" s="672">
        <f>-AW1096/AW30</f>
        <v>0.67510878429568555</v>
      </c>
      <c r="AX1101" s="672">
        <f>-AX1096/AX30</f>
        <v>0.86832471849638848</v>
      </c>
      <c r="AZ1101" s="672">
        <f>-AZ1096/AZ30</f>
        <v>1.4472906865138844</v>
      </c>
      <c r="BA1101" s="672">
        <f>-BA1096/BA30</f>
        <v>0.85694825280986309</v>
      </c>
      <c r="BB1101" s="672">
        <f>-BB1096/BB30</f>
        <v>1.1058383897441759</v>
      </c>
      <c r="BD1101" s="672">
        <f>-BD1096/BD30</f>
        <v>1.3558117199400086</v>
      </c>
      <c r="BE1101" s="672">
        <f>-BE1096/BE30</f>
        <v>1.4314826711856994</v>
      </c>
      <c r="BF1101" s="672">
        <f>-BF1096/BF30</f>
        <v>1.3999644493436842</v>
      </c>
      <c r="BH1101" s="672">
        <f>-BH1096/BH30</f>
        <v>1.16116660577098</v>
      </c>
      <c r="BI1101" s="672">
        <f>-BI1096/BI30</f>
        <v>1.2662593896309651</v>
      </c>
      <c r="BJ1101" s="672">
        <f>-BJ1096/BJ30</f>
        <v>1.2217039691639546</v>
      </c>
      <c r="BL1101" s="672">
        <f>-BL1096/BL30</f>
        <v>1.0937372165563184</v>
      </c>
      <c r="BM1101" s="672">
        <f>-BM1096/BM30</f>
        <v>0.97604908453405614</v>
      </c>
      <c r="BN1101" s="672">
        <f>-BN1096/BN30</f>
        <v>1.0225676007694138</v>
      </c>
      <c r="BP1101" s="672">
        <f>-BP1096/BP30</f>
        <v>1.0197671716463146</v>
      </c>
      <c r="BQ1101" s="672">
        <f>-BQ1096/BQ30</f>
        <v>0.86636904329869591</v>
      </c>
      <c r="BR1101" s="672">
        <f>-BR1096/BR30</f>
        <v>0.93118959750575581</v>
      </c>
      <c r="BT1101" s="672">
        <f>-BT1096/BT30</f>
        <v>0.81970453568974266</v>
      </c>
      <c r="BU1101" s="672">
        <f>-BU1096/BU30</f>
        <v>0.50345093882267611</v>
      </c>
      <c r="BV1101" s="672">
        <f>-BV1096/BV30</f>
        <v>0.66744075638794731</v>
      </c>
      <c r="BX1101" s="672">
        <f>-BX1096/BX30</f>
        <v>0.80219367052624491</v>
      </c>
      <c r="BY1101" s="672">
        <f>-BY1096/BY30</f>
        <v>0.61933707094409529</v>
      </c>
      <c r="BZ1101" s="672">
        <f>-BZ1096/BZ30</f>
        <v>0.70592119513913432</v>
      </c>
      <c r="CB1101" s="672">
        <f>-CB1096/CB30</f>
        <v>0.68605340323118491</v>
      </c>
      <c r="CC1101" s="672">
        <f>-CC1096/CC30</f>
        <v>0.54326004599849131</v>
      </c>
      <c r="CD1101" s="672">
        <f>-CD1096/CD30</f>
        <v>0.61294012679114407</v>
      </c>
      <c r="CF1101" s="672">
        <f>-CF1096/CF30</f>
        <v>0.69556191492798303</v>
      </c>
      <c r="CG1101" s="672">
        <f>-CG1096/CG30</f>
        <v>0.59833967236548602</v>
      </c>
      <c r="CH1101" s="672">
        <f>-CH1096/CH30</f>
        <v>0.64104262786805977</v>
      </c>
      <c r="CJ1101" s="672">
        <f>-CJ1096/CJ30</f>
        <v>0.75369857684757469</v>
      </c>
      <c r="CK1101" s="672">
        <f>-CK1096/CK30</f>
        <v>0.65979376507546417</v>
      </c>
      <c r="CL1101" s="672">
        <f>-CL1096/CL30</f>
        <v>0.70988339042718251</v>
      </c>
      <c r="CN1101" s="672">
        <f>-CN1096/CN30</f>
        <v>0.87668441882474402</v>
      </c>
      <c r="CO1101" s="672">
        <f>-CO1096/CO30</f>
        <v>0.63876574814108034</v>
      </c>
      <c r="CP1101" s="672">
        <f>-CP1096/CP30</f>
        <v>0.71648110804060205</v>
      </c>
      <c r="CR1101" s="672">
        <f>-CR1096/CR30</f>
        <v>0.64397089927621742</v>
      </c>
      <c r="CS1101" s="672">
        <f>-CS1096/CS30</f>
        <v>0.61227896600151599</v>
      </c>
      <c r="CT1101" s="672">
        <f>-CT1096/CT30</f>
        <v>0.62603584632638976</v>
      </c>
      <c r="CV1101" s="672">
        <f>-CV1096/CV30</f>
        <v>0.65488697047272015</v>
      </c>
      <c r="CW1101" s="672">
        <f>-CW1096/CW30</f>
        <v>0.61992720383400157</v>
      </c>
      <c r="CX1101" s="672">
        <f>-CX1096/CX30</f>
        <v>0.6360023190585492</v>
      </c>
      <c r="CZ1101" s="672">
        <f>-CZ1096/CZ30</f>
        <v>0.8965412839530762</v>
      </c>
      <c r="DA1101" s="672">
        <f>-DA1096/DA30</f>
        <v>0.72628613712972812</v>
      </c>
      <c r="DB1101" s="672">
        <f>-DB1096/DB30</f>
        <v>0.79467839168688437</v>
      </c>
      <c r="DD1101" s="672">
        <f>-DD1096/DD30</f>
        <v>0.75665653613077466</v>
      </c>
      <c r="DE1101" s="672">
        <f ca="1">-DE1096/DE30</f>
        <v>0.68353903414826622</v>
      </c>
      <c r="DF1101" s="672">
        <f ca="1">-DF1096/DF30</f>
        <v>0.71526174452988578</v>
      </c>
      <c r="DH1101" s="672">
        <f>-DH1096/DH30</f>
        <v>0.90778092666363652</v>
      </c>
      <c r="DI1101" s="672">
        <f>-DI1096/DI30</f>
        <v>0.72171703336408244</v>
      </c>
      <c r="DJ1101" s="672">
        <f>-DJ1096/DJ30</f>
        <v>0.79551492604277463</v>
      </c>
      <c r="DL1101" s="672">
        <f>-DL1096/DL30</f>
        <v>0.95666469552397193</v>
      </c>
      <c r="DM1101" s="672">
        <f>-DM1096/DM30</f>
        <v>0.68460183695539101</v>
      </c>
      <c r="DN1101" s="672">
        <f>-DN1096/DN30</f>
        <v>0.79858853704768584</v>
      </c>
      <c r="DP1101" s="672">
        <f>-DP1096/DP30</f>
        <v>0.93094070901779424</v>
      </c>
      <c r="DQ1101" s="672">
        <f>-DQ1096/DQ30</f>
        <v>0.68381419186586312</v>
      </c>
      <c r="DR1101" s="672">
        <f>-DR1096/DR30</f>
        <v>0.78849392840425359</v>
      </c>
    </row>
    <row r="1103" spans="1:273">
      <c r="A1103" s="102" t="s">
        <v>209</v>
      </c>
      <c r="AV1103" s="293">
        <f>AV20</f>
        <v>3105</v>
      </c>
      <c r="AW1103" s="293">
        <f>AW20</f>
        <v>3533</v>
      </c>
      <c r="AX1103" s="293">
        <f>AX20</f>
        <v>6638</v>
      </c>
      <c r="AZ1103" s="293">
        <f>AZ20</f>
        <v>3661</v>
      </c>
      <c r="BA1103" s="293">
        <f>BA20</f>
        <v>3983</v>
      </c>
      <c r="BB1103" s="293">
        <f>BB20</f>
        <v>7644</v>
      </c>
      <c r="BD1103" s="293">
        <f>BD20</f>
        <v>3242.663</v>
      </c>
      <c r="BE1103" s="293">
        <f>BE20</f>
        <v>3720</v>
      </c>
      <c r="BF1103" s="293">
        <f>BF20</f>
        <v>6962.6630000000005</v>
      </c>
      <c r="BH1103" s="293">
        <f>BH20</f>
        <v>3054</v>
      </c>
      <c r="BI1103" s="293">
        <f>BI20</f>
        <v>3603</v>
      </c>
      <c r="BJ1103" s="293">
        <f>BJ20</f>
        <v>6657</v>
      </c>
      <c r="BL1103" s="293">
        <f>BL20</f>
        <v>3679</v>
      </c>
      <c r="BM1103" s="293">
        <f>BM20</f>
        <v>4455</v>
      </c>
      <c r="BN1103" s="293">
        <f>BN20</f>
        <v>8134</v>
      </c>
      <c r="BP1103" s="293">
        <f>BP20</f>
        <v>4284</v>
      </c>
      <c r="BQ1103" s="293">
        <f>BQ20</f>
        <v>4978</v>
      </c>
      <c r="BR1103" s="293">
        <f>BR20</f>
        <v>9262</v>
      </c>
      <c r="BT1103" s="293">
        <f>BT20</f>
        <v>5318</v>
      </c>
      <c r="BU1103" s="293">
        <f>BU20</f>
        <v>4840</v>
      </c>
      <c r="BV1103" s="293">
        <f>BV20</f>
        <v>10158</v>
      </c>
      <c r="BX1103" s="293">
        <f>BX20</f>
        <v>5218</v>
      </c>
      <c r="BY1103" s="293">
        <f>BY20</f>
        <v>5146</v>
      </c>
      <c r="BZ1103" s="293">
        <f>BZ20</f>
        <v>10364</v>
      </c>
      <c r="CB1103" s="293">
        <f>CB20</f>
        <v>5397</v>
      </c>
      <c r="CC1103" s="293">
        <f>CC20</f>
        <v>5523</v>
      </c>
      <c r="CD1103" s="293">
        <f>CD20</f>
        <v>10920</v>
      </c>
      <c r="CF1103" s="293">
        <f>CF20</f>
        <v>5830</v>
      </c>
      <c r="CG1103" s="293">
        <f>CG20</f>
        <v>6924</v>
      </c>
      <c r="CH1103" s="293">
        <f>CH20</f>
        <v>12754</v>
      </c>
      <c r="CJ1103" s="293">
        <f>CJ20</f>
        <v>6320</v>
      </c>
      <c r="CK1103" s="293">
        <f>CK20</f>
        <v>6005</v>
      </c>
      <c r="CL1103" s="293">
        <f>CL20</f>
        <v>12325</v>
      </c>
      <c r="CN1103" s="293">
        <f>CN20</f>
        <v>5519</v>
      </c>
      <c r="CO1103" s="293">
        <f>CO20</f>
        <v>7255</v>
      </c>
      <c r="CP1103" s="293">
        <f>CP20</f>
        <v>12774</v>
      </c>
      <c r="CR1103" s="293">
        <f>CR20</f>
        <v>7804</v>
      </c>
      <c r="CS1103" s="293">
        <f>CS20</f>
        <v>9520</v>
      </c>
      <c r="CT1103" s="293">
        <f>CT20</f>
        <v>17324</v>
      </c>
      <c r="CV1103" s="293">
        <f>CV20</f>
        <v>8702</v>
      </c>
      <c r="CW1103" s="293">
        <f>CW20</f>
        <v>10420</v>
      </c>
      <c r="CX1103" s="293">
        <f>CX20</f>
        <v>19122</v>
      </c>
      <c r="CZ1103" s="293">
        <f>CZ20</f>
        <v>7910</v>
      </c>
      <c r="DA1103" s="293">
        <f>DA20</f>
        <v>8977</v>
      </c>
      <c r="DB1103" s="293">
        <f>DB20</f>
        <v>16887</v>
      </c>
      <c r="DD1103" s="293">
        <f>DD20</f>
        <v>8216</v>
      </c>
      <c r="DE1103" s="293">
        <f ca="1">DE20</f>
        <v>8992</v>
      </c>
      <c r="DF1103" s="293">
        <f ca="1">DF20</f>
        <v>17208</v>
      </c>
      <c r="DH1103" s="293">
        <f>DH20</f>
        <v>8691</v>
      </c>
      <c r="DI1103" s="293">
        <f>DI20</f>
        <v>9966.2236998674798</v>
      </c>
      <c r="DJ1103" s="293">
        <f>DJ20</f>
        <v>18657.223699867478</v>
      </c>
      <c r="DL1103" s="293">
        <f>DL20</f>
        <v>8910.2531271361349</v>
      </c>
      <c r="DM1103" s="293">
        <f>DM20</f>
        <v>10013.843070651159</v>
      </c>
      <c r="DN1103" s="293">
        <f>DN20</f>
        <v>18924.096197787294</v>
      </c>
      <c r="DP1103" s="293">
        <f>DP20</f>
        <v>9412.3249414995025</v>
      </c>
      <c r="DQ1103" s="293">
        <f>DQ20</f>
        <v>10551.243662518247</v>
      </c>
      <c r="DR1103" s="293">
        <f>DR20</f>
        <v>19963.56860401775</v>
      </c>
    </row>
    <row r="1104" spans="1:273">
      <c r="A1104" s="102" t="s">
        <v>921</v>
      </c>
      <c r="AV1104" s="293">
        <f>AV30</f>
        <v>479</v>
      </c>
      <c r="AW1104" s="293">
        <f>AW30</f>
        <v>571</v>
      </c>
      <c r="AX1104" s="293">
        <f>AX30</f>
        <v>1050</v>
      </c>
      <c r="AZ1104" s="293">
        <f>AZ30</f>
        <v>403.33370000000014</v>
      </c>
      <c r="BA1104" s="293">
        <f>BA30</f>
        <v>553.33336999999983</v>
      </c>
      <c r="BB1104" s="293">
        <f>BB30</f>
        <v>956.66706999999997</v>
      </c>
      <c r="BD1104" s="293">
        <f>BD30</f>
        <v>304.32956000000013</v>
      </c>
      <c r="BE1104" s="293">
        <f>BE30</f>
        <v>426.32420000000025</v>
      </c>
      <c r="BF1104" s="293">
        <f>BF30</f>
        <v>730.65376000000037</v>
      </c>
      <c r="BH1104" s="293">
        <f>BH30</f>
        <v>361</v>
      </c>
      <c r="BI1104" s="293">
        <f>BI30</f>
        <v>490.49</v>
      </c>
      <c r="BJ1104" s="293">
        <f>BJ30</f>
        <v>851.49</v>
      </c>
      <c r="BL1104" s="293">
        <f>BL30</f>
        <v>501</v>
      </c>
      <c r="BM1104" s="293">
        <f>BM30</f>
        <v>766.49</v>
      </c>
      <c r="BN1104" s="293">
        <f>BN30</f>
        <v>1267.49</v>
      </c>
      <c r="BP1104" s="293">
        <f>BP30</f>
        <v>678</v>
      </c>
      <c r="BQ1104" s="293">
        <f>BQ30</f>
        <v>926.49</v>
      </c>
      <c r="BR1104" s="293">
        <f>BR30</f>
        <v>1604.49</v>
      </c>
      <c r="BT1104" s="293">
        <f>BT30</f>
        <v>1070</v>
      </c>
      <c r="BU1104" s="293">
        <f>BU30</f>
        <v>993.49</v>
      </c>
      <c r="BV1104" s="293">
        <f>BV30</f>
        <v>2063.4899999999998</v>
      </c>
      <c r="BX1104" s="293">
        <f>BX30</f>
        <v>1050</v>
      </c>
      <c r="BY1104" s="293">
        <f>BY30</f>
        <v>1167.49</v>
      </c>
      <c r="BZ1104" s="293">
        <f>BZ30</f>
        <v>2217.4899999999998</v>
      </c>
      <c r="CB1104" s="293">
        <f>CB30</f>
        <v>1248</v>
      </c>
      <c r="CC1104" s="293">
        <f>CC30</f>
        <v>1309.49</v>
      </c>
      <c r="CD1104" s="293">
        <f>CD30</f>
        <v>2557.4899999999998</v>
      </c>
      <c r="CF1104" s="293">
        <f>CF30</f>
        <v>1310</v>
      </c>
      <c r="CG1104" s="293">
        <f>CG30</f>
        <v>1672.49</v>
      </c>
      <c r="CH1104" s="293">
        <f>CH30</f>
        <v>2982.49</v>
      </c>
      <c r="CJ1104" s="293">
        <f>CJ30</f>
        <v>1457</v>
      </c>
      <c r="CK1104" s="293">
        <f>CK30</f>
        <v>1274.49</v>
      </c>
      <c r="CL1104" s="293">
        <f>CL30</f>
        <v>2731.49</v>
      </c>
      <c r="CN1104" s="293">
        <f>CN30</f>
        <v>985</v>
      </c>
      <c r="CO1104" s="293">
        <f>CO30</f>
        <v>2030.49</v>
      </c>
      <c r="CP1104" s="293">
        <f>CP30</f>
        <v>3015.49</v>
      </c>
      <c r="CR1104" s="293">
        <f>CR30</f>
        <v>2043</v>
      </c>
      <c r="CS1104" s="293">
        <f>CS30</f>
        <v>2663.49</v>
      </c>
      <c r="CT1104" s="293">
        <f>CT30</f>
        <v>4706.49</v>
      </c>
      <c r="CV1104" s="293">
        <f>CV30</f>
        <v>2383</v>
      </c>
      <c r="CW1104" s="293">
        <f>CW30</f>
        <v>2799.49</v>
      </c>
      <c r="CX1104" s="293">
        <f>CX30</f>
        <v>5182.49</v>
      </c>
      <c r="CZ1104" s="293">
        <f>CZ30</f>
        <v>1415</v>
      </c>
      <c r="DA1104" s="293">
        <f>DA30</f>
        <v>2107.4899999999998</v>
      </c>
      <c r="DB1104" s="293">
        <f>DB30</f>
        <v>3522.49</v>
      </c>
      <c r="DD1104" s="293">
        <f>DD30</f>
        <v>1612</v>
      </c>
      <c r="DE1104" s="293">
        <f ca="1">DE30</f>
        <v>2103.4899999999998</v>
      </c>
      <c r="DF1104" s="293">
        <f ca="1">DF30</f>
        <v>3715.49</v>
      </c>
      <c r="DH1104" s="293">
        <f>DH30</f>
        <v>1655</v>
      </c>
      <c r="DI1104" s="293">
        <f>DI30</f>
        <v>2517.6901979637678</v>
      </c>
      <c r="DJ1104" s="293">
        <f>DJ30</f>
        <v>4172.6901979637678</v>
      </c>
      <c r="DL1104" s="293">
        <f>DL30</f>
        <v>1915.8372403143462</v>
      </c>
      <c r="DM1104" s="293">
        <f>DM30</f>
        <v>2656.8730472018797</v>
      </c>
      <c r="DN1104" s="293">
        <f>DN30</f>
        <v>4572.7102875162254</v>
      </c>
      <c r="DP1104" s="293">
        <f>DP30</f>
        <v>2085.2236692333981</v>
      </c>
      <c r="DQ1104" s="293">
        <f>DQ30</f>
        <v>2837.5443840796966</v>
      </c>
      <c r="DR1104" s="293">
        <f>DR30</f>
        <v>4922.7680533130952</v>
      </c>
    </row>
    <row r="1105" spans="1:273">
      <c r="A1105" s="102" t="s">
        <v>906</v>
      </c>
      <c r="AV1105" s="320">
        <f>'Bal Sheet'!AV547</f>
        <v>9.6000000000000002E-2</v>
      </c>
      <c r="AW1105" s="320">
        <f>'Bal Sheet'!AW547</f>
        <v>0.10299999999999999</v>
      </c>
      <c r="AX1105" s="320">
        <f>'Bal Sheet'!AX547</f>
        <v>0.1</v>
      </c>
      <c r="AZ1105" s="320">
        <f>'Bal Sheet'!AZ547</f>
        <v>7.3999999999999996E-2</v>
      </c>
      <c r="BA1105" s="320">
        <f>'Bal Sheet'!BA547</f>
        <v>0.10199999999999999</v>
      </c>
      <c r="BB1105" s="320">
        <f>'Bal Sheet'!BB547</f>
        <v>8.7999999999999995E-2</v>
      </c>
      <c r="BD1105" s="320">
        <f>'Bal Sheet'!BD547</f>
        <v>5.7000000000000002E-2</v>
      </c>
      <c r="BE1105" s="320">
        <f>'Bal Sheet'!BE547</f>
        <v>7.8E-2</v>
      </c>
      <c r="BF1105" s="320">
        <f>'Bal Sheet'!BF547</f>
        <v>6.8000000000000005E-2</v>
      </c>
      <c r="BH1105" s="320">
        <f>'Bal Sheet'!BH547</f>
        <v>6.6000000000000003E-2</v>
      </c>
      <c r="BI1105" s="320">
        <f>'Bal Sheet'!BI547</f>
        <v>8.8999999999999996E-2</v>
      </c>
      <c r="BJ1105" s="320">
        <f>'Bal Sheet'!BJ547</f>
        <v>7.8E-2</v>
      </c>
      <c r="BL1105" s="320">
        <f>'Bal Sheet'!BL547</f>
        <v>8.6999999999999994E-2</v>
      </c>
      <c r="BM1105" s="320">
        <f>'Bal Sheet'!BM547</f>
        <v>0.13500000000000001</v>
      </c>
      <c r="BN1105" s="320">
        <f>'Bal Sheet'!BN547</f>
        <v>0.11099999999999999</v>
      </c>
      <c r="BP1105" s="320">
        <f>'Bal Sheet'!BP547</f>
        <v>0.125</v>
      </c>
      <c r="BQ1105" s="320">
        <f>'Bal Sheet'!BQ547</f>
        <v>0.154</v>
      </c>
      <c r="BR1105" s="320">
        <f>'Bal Sheet'!BR547</f>
        <v>0.14000000000000001</v>
      </c>
      <c r="BT1105" s="320">
        <f>'Bal Sheet'!BT547</f>
        <v>0.158</v>
      </c>
      <c r="BU1105" s="320">
        <f>'Bal Sheet'!BU547</f>
        <v>0.13700000000000001</v>
      </c>
      <c r="BV1105" s="320">
        <f>'Bal Sheet'!BV547</f>
        <v>0.14699999999999999</v>
      </c>
      <c r="BX1105" s="320">
        <f>'Bal Sheet'!BX547</f>
        <v>0.14599999999999999</v>
      </c>
      <c r="BY1105" s="320">
        <f>'Bal Sheet'!BY547</f>
        <v>0.158</v>
      </c>
      <c r="BZ1105" s="320">
        <f>'Bal Sheet'!BZ547</f>
        <v>0.152</v>
      </c>
      <c r="CB1105" s="320">
        <f>'Bal Sheet'!CB547</f>
        <v>0.16700000000000001</v>
      </c>
      <c r="CC1105" s="320">
        <f>'Bal Sheet'!CC547</f>
        <v>0.16900000000000001</v>
      </c>
      <c r="CD1105" s="320">
        <f>'Bal Sheet'!CD547</f>
        <v>0.16800000000000001</v>
      </c>
      <c r="CF1105" s="320">
        <f>'Bal Sheet'!CF547</f>
        <v>0.16300000000000001</v>
      </c>
      <c r="CG1105" s="320">
        <f>'Bal Sheet'!CG547</f>
        <v>0.19500000000000001</v>
      </c>
      <c r="CH1105" s="320">
        <f>'Bal Sheet'!CH547</f>
        <v>0.18000000000000002</v>
      </c>
      <c r="CJ1105" s="320">
        <f>'Bal Sheet'!CJ547</f>
        <v>0.16400000000000001</v>
      </c>
      <c r="CK1105" s="320">
        <f>'Bal Sheet'!CK547</f>
        <v>0.127</v>
      </c>
      <c r="CL1105" s="320">
        <f>'Bal Sheet'!CL547</f>
        <v>0.14499999999999999</v>
      </c>
      <c r="CN1105" s="320">
        <f>'Bal Sheet'!CN547</f>
        <v>9.5000000000000001E-2</v>
      </c>
      <c r="CO1105" s="320">
        <f>'Bal Sheet'!CO547</f>
        <v>0.19</v>
      </c>
      <c r="CP1105" s="320">
        <f>'Bal Sheet'!CP547</f>
        <v>0.14299999999999999</v>
      </c>
      <c r="CR1105" s="320">
        <f>'Bal Sheet'!CR547</f>
        <v>0.17799999999999999</v>
      </c>
      <c r="CS1105" s="320">
        <f>'Bal Sheet'!CS547</f>
        <v>0.19600000000000001</v>
      </c>
      <c r="CT1105" s="320">
        <f>'Bal Sheet'!CT547</f>
        <v>0.187</v>
      </c>
      <c r="CV1105" s="320">
        <f>'Bal Sheet'!CV547</f>
        <v>0.156</v>
      </c>
      <c r="CW1105" s="320">
        <f>'Bal Sheet'!CW547</f>
        <v>0.18099999999999999</v>
      </c>
      <c r="CX1105" s="320">
        <f>'Bal Sheet'!CX547</f>
        <v>0.16900000000000001</v>
      </c>
      <c r="CZ1105" s="320">
        <f>'Bal Sheet'!CZ547</f>
        <v>8.6999999999999994E-2</v>
      </c>
      <c r="DA1105" s="320">
        <f>'Bal Sheet'!DA547</f>
        <v>0.129</v>
      </c>
      <c r="DB1105" s="320">
        <f>'Bal Sheet'!DB547</f>
        <v>0.108</v>
      </c>
      <c r="DD1105" s="320">
        <f>'Bal Sheet'!DD547</f>
        <v>9.9000000000000005E-2</v>
      </c>
      <c r="DE1105" s="320">
        <f ca="1">'Bal Sheet'!DE547</f>
        <v>0.125</v>
      </c>
      <c r="DF1105" s="320">
        <f ca="1">'Bal Sheet'!DF547</f>
        <v>0.112</v>
      </c>
      <c r="DH1105" s="320">
        <f>'Bal Sheet'!DH547</f>
        <v>9.6000000000000002E-2</v>
      </c>
      <c r="DI1105" s="320">
        <f ca="1">'Bal Sheet'!DI547</f>
        <v>0.14463138766182976</v>
      </c>
      <c r="DJ1105" s="320">
        <f ca="1">'Bal Sheet'!DJ547</f>
        <v>0.12043363282491794</v>
      </c>
      <c r="DL1105" s="320">
        <f ca="1">'Bal Sheet'!DL547</f>
        <v>0.10719389126755265</v>
      </c>
      <c r="DM1105" s="320">
        <f ca="1">'Bal Sheet'!DM547</f>
        <v>0.14232913722316304</v>
      </c>
      <c r="DN1105" s="320">
        <f ca="1">'Bal Sheet'!DN547</f>
        <v>0.12514348111403092</v>
      </c>
      <c r="DP1105" s="320">
        <f ca="1">'Bal Sheet'!DP547</f>
        <v>0.10700634888050167</v>
      </c>
      <c r="DQ1105" s="320">
        <f ca="1">'Bal Sheet'!DQ547</f>
        <v>0.13939326947930517</v>
      </c>
      <c r="DR1105" s="320">
        <f ca="1">'Bal Sheet'!DR547</f>
        <v>0.12355319033990177</v>
      </c>
    </row>
    <row r="1109" spans="1:273">
      <c r="AR1109" s="685"/>
      <c r="AS1109" s="685"/>
      <c r="AT1109" s="730"/>
      <c r="AU1109" s="730"/>
      <c r="AV1109" s="293"/>
      <c r="AW1109" s="293"/>
      <c r="AX1109" s="730"/>
      <c r="AY1109" s="730"/>
      <c r="AZ1109" s="685"/>
      <c r="BA1109" s="876"/>
      <c r="BD1109" s="685"/>
      <c r="BE1109" s="876"/>
      <c r="BH1109" s="685"/>
      <c r="BI1109" s="876"/>
      <c r="BL1109" s="876"/>
      <c r="BM1109" s="876"/>
      <c r="BP1109" s="876"/>
      <c r="BQ1109" s="876"/>
      <c r="BT1109" s="876"/>
      <c r="BU1109" s="876"/>
      <c r="BX1109" s="876"/>
      <c r="BY1109" s="876"/>
      <c r="CB1109" s="876"/>
      <c r="CC1109" s="876"/>
      <c r="CF1109" s="876"/>
      <c r="CG1109" s="876"/>
      <c r="CJ1109" s="876"/>
      <c r="CK1109" s="876"/>
      <c r="CN1109" s="876"/>
      <c r="CO1109" s="876"/>
      <c r="CR1109" s="876"/>
      <c r="CS1109" s="876"/>
      <c r="CV1109" s="876"/>
      <c r="CW1109" s="876"/>
      <c r="CZ1109" s="876"/>
      <c r="DA1109" s="876"/>
      <c r="DD1109" s="876"/>
      <c r="DE1109" s="876"/>
      <c r="DH1109" s="876"/>
      <c r="DI1109" s="876"/>
      <c r="DL1109" s="876"/>
      <c r="DM1109" s="876"/>
      <c r="DP1109" s="876"/>
      <c r="DQ1109" s="876"/>
      <c r="DU1109" s="876"/>
      <c r="DV1109" s="876"/>
      <c r="DW1109" s="876"/>
      <c r="DZ1109" s="876"/>
      <c r="EA1109" s="876"/>
      <c r="ED1109" s="876"/>
      <c r="EE1109" s="876"/>
    </row>
    <row r="1110" spans="1:273">
      <c r="A1110" s="815" t="s">
        <v>754</v>
      </c>
      <c r="AR1110" s="685"/>
      <c r="AS1110" s="685"/>
      <c r="AT1110" s="730"/>
      <c r="AU1110" s="730"/>
      <c r="AV1110" s="685"/>
      <c r="AW1110" s="685"/>
      <c r="AX1110" s="730"/>
      <c r="AY1110" s="730"/>
      <c r="AZ1110" s="685"/>
      <c r="BA1110" s="876"/>
      <c r="BD1110" s="876"/>
      <c r="BE1110" s="876"/>
      <c r="BH1110" s="876"/>
      <c r="BI1110" s="876"/>
      <c r="BL1110" s="876"/>
      <c r="BM1110" s="876"/>
      <c r="BP1110" s="876"/>
      <c r="BQ1110" s="876"/>
      <c r="BT1110" s="876"/>
      <c r="BU1110" s="876"/>
      <c r="BX1110" s="876"/>
      <c r="BY1110" s="876"/>
      <c r="CB1110" s="876"/>
      <c r="CC1110" s="876"/>
      <c r="CF1110" s="876"/>
      <c r="CG1110" s="876"/>
      <c r="CJ1110" s="876"/>
      <c r="CK1110" s="876"/>
      <c r="CN1110" s="876"/>
      <c r="CO1110" s="876"/>
      <c r="CR1110" s="876"/>
      <c r="CS1110" s="876"/>
      <c r="CV1110" s="876"/>
      <c r="CW1110" s="876"/>
      <c r="CZ1110" s="876"/>
      <c r="DA1110" s="876"/>
      <c r="DD1110" s="876"/>
      <c r="DE1110" s="876"/>
      <c r="DH1110" s="876"/>
      <c r="DI1110" s="876"/>
      <c r="DL1110" s="876"/>
      <c r="DM1110" s="876"/>
      <c r="DP1110" s="876"/>
      <c r="DQ1110" s="876"/>
      <c r="DU1110" s="876"/>
      <c r="DV1110" s="876"/>
      <c r="DW1110" s="876"/>
      <c r="DZ1110" s="876"/>
      <c r="EA1110" s="876"/>
      <c r="ED1110" s="876"/>
      <c r="EE1110" s="876"/>
    </row>
    <row r="1111" spans="1:273">
      <c r="A1111" s="102" t="s">
        <v>685</v>
      </c>
      <c r="AR1111" s="685"/>
      <c r="AS1111" s="685"/>
      <c r="AT1111" s="730"/>
      <c r="AU1111" s="730"/>
      <c r="AV1111" s="685"/>
      <c r="AW1111" s="685"/>
      <c r="AX1111" s="730"/>
      <c r="AY1111" s="730"/>
      <c r="AZ1111" s="685"/>
      <c r="BA1111" s="685"/>
      <c r="BD1111" s="685"/>
      <c r="BE1111" s="685"/>
      <c r="BH1111" s="685"/>
      <c r="BI1111" s="876"/>
      <c r="BL1111" s="685"/>
      <c r="BM1111" s="876"/>
      <c r="BP1111" s="685"/>
      <c r="BQ1111" s="876"/>
      <c r="BT1111" s="685"/>
      <c r="BU1111" s="876"/>
      <c r="BX1111" s="685"/>
      <c r="BY1111" s="685"/>
      <c r="CB1111" s="685"/>
      <c r="CC1111" s="685"/>
      <c r="CF1111" s="685"/>
      <c r="CG1111" s="685"/>
      <c r="CJ1111" s="685"/>
      <c r="CK1111" s="685"/>
      <c r="CN1111" s="685"/>
      <c r="CO1111" s="685"/>
      <c r="CR1111" s="685"/>
      <c r="CS1111" s="685"/>
      <c r="CV1111" s="685"/>
      <c r="CW1111" s="685"/>
      <c r="CZ1111" s="685"/>
      <c r="DA1111" s="685"/>
      <c r="DD1111" s="685"/>
      <c r="DE1111" s="685"/>
      <c r="DH1111" s="685"/>
      <c r="DI1111" s="685">
        <f>DI$1119</f>
        <v>0.02</v>
      </c>
      <c r="DL1111" s="685">
        <f>DL$1119</f>
        <v>0.02</v>
      </c>
      <c r="DM1111" s="685">
        <f>DM$1119</f>
        <v>0.02</v>
      </c>
      <c r="DP1111" s="685">
        <f>DP$1119</f>
        <v>0.02</v>
      </c>
      <c r="DQ1111" s="685">
        <f>DQ$1119</f>
        <v>0.02</v>
      </c>
      <c r="DU1111" s="685"/>
      <c r="DV1111" s="685"/>
      <c r="DW1111" s="685"/>
      <c r="DZ1111" s="685"/>
      <c r="EA1111" s="685"/>
      <c r="ED1111" s="685"/>
      <c r="EE1111" s="685"/>
    </row>
    <row r="1112" spans="1:273">
      <c r="A1112" s="102" t="s">
        <v>686</v>
      </c>
      <c r="AR1112" s="685"/>
      <c r="AS1112" s="685"/>
      <c r="AT1112" s="730"/>
      <c r="AU1112" s="730"/>
      <c r="AV1112" s="685"/>
      <c r="AW1112" s="685"/>
      <c r="AX1112" s="730"/>
      <c r="AY1112" s="730"/>
      <c r="AZ1112" s="685"/>
      <c r="BA1112" s="685"/>
      <c r="BD1112" s="685"/>
      <c r="BE1112" s="876"/>
      <c r="BH1112" s="685"/>
      <c r="BI1112" s="876"/>
      <c r="BL1112" s="685"/>
      <c r="BM1112" s="876"/>
      <c r="BP1112" s="685"/>
      <c r="BQ1112" s="876"/>
      <c r="BT1112" s="685"/>
      <c r="BU1112" s="876"/>
      <c r="BX1112" s="685"/>
      <c r="BY1112" s="685"/>
      <c r="CB1112" s="685"/>
      <c r="CC1112" s="685"/>
      <c r="CF1112" s="685"/>
      <c r="CG1112" s="685"/>
      <c r="CJ1112" s="685"/>
      <c r="CK1112" s="685"/>
      <c r="CN1112" s="685"/>
      <c r="CO1112" s="685"/>
      <c r="CR1112" s="685"/>
      <c r="CS1112" s="685"/>
      <c r="CV1112" s="685"/>
      <c r="CW1112" s="685"/>
      <c r="CZ1112" s="685"/>
      <c r="DA1112" s="685"/>
      <c r="DD1112" s="685"/>
      <c r="DE1112" s="685"/>
      <c r="DH1112" s="685"/>
      <c r="DI1112" s="685">
        <f t="shared" ref="DI1112:DI1117" si="2504">DI$1119</f>
        <v>0.02</v>
      </c>
      <c r="DL1112" s="685">
        <f t="shared" ref="DL1112:DM1117" si="2505">DL$1119</f>
        <v>0.02</v>
      </c>
      <c r="DM1112" s="685">
        <f t="shared" si="2505"/>
        <v>0.02</v>
      </c>
      <c r="DP1112" s="685">
        <f t="shared" ref="DP1112:DQ1117" si="2506">DP$1119</f>
        <v>0.02</v>
      </c>
      <c r="DQ1112" s="685">
        <f t="shared" si="2506"/>
        <v>0.02</v>
      </c>
      <c r="DU1112" s="685"/>
      <c r="DV1112" s="685"/>
      <c r="DW1112" s="685"/>
      <c r="DZ1112" s="685"/>
      <c r="EA1112" s="685"/>
      <c r="ED1112" s="685"/>
      <c r="EE1112" s="685"/>
    </row>
    <row r="1113" spans="1:273">
      <c r="A1113" s="102" t="s">
        <v>616</v>
      </c>
      <c r="AR1113" s="685"/>
      <c r="AS1113" s="685"/>
      <c r="AT1113" s="730"/>
      <c r="AU1113" s="730"/>
      <c r="AV1113" s="685"/>
      <c r="AW1113" s="685"/>
      <c r="AX1113" s="730"/>
      <c r="AY1113" s="730"/>
      <c r="AZ1113" s="685"/>
      <c r="BA1113" s="685"/>
      <c r="BD1113" s="685"/>
      <c r="BE1113" s="685"/>
      <c r="BH1113" s="685"/>
      <c r="BI1113" s="685"/>
      <c r="BL1113" s="685"/>
      <c r="BM1113" s="685"/>
      <c r="BP1113" s="685"/>
      <c r="BQ1113" s="685"/>
      <c r="BT1113" s="685"/>
      <c r="BU1113" s="685"/>
      <c r="BX1113" s="685"/>
      <c r="BY1113" s="685"/>
      <c r="CB1113" s="685"/>
      <c r="CC1113" s="685"/>
      <c r="CF1113" s="685"/>
      <c r="CG1113" s="685"/>
      <c r="CJ1113" s="685"/>
      <c r="CK1113" s="685"/>
      <c r="CN1113" s="685"/>
      <c r="CO1113" s="685"/>
      <c r="CR1113" s="685"/>
      <c r="CS1113" s="685"/>
      <c r="CV1113" s="685"/>
      <c r="CW1113" s="685"/>
      <c r="CZ1113" s="685"/>
      <c r="DA1113" s="685"/>
      <c r="DD1113" s="685"/>
      <c r="DE1113" s="685"/>
      <c r="DH1113" s="685"/>
      <c r="DI1113" s="685">
        <f t="shared" si="2504"/>
        <v>0.02</v>
      </c>
      <c r="DL1113" s="685">
        <f t="shared" si="2505"/>
        <v>0.02</v>
      </c>
      <c r="DM1113" s="685">
        <f t="shared" si="2505"/>
        <v>0.02</v>
      </c>
      <c r="DP1113" s="685">
        <f t="shared" si="2506"/>
        <v>0.02</v>
      </c>
      <c r="DQ1113" s="685">
        <f t="shared" si="2506"/>
        <v>0.02</v>
      </c>
      <c r="DU1113" s="685"/>
      <c r="DV1113" s="685"/>
      <c r="DW1113" s="685"/>
      <c r="DZ1113" s="685"/>
      <c r="EA1113" s="685"/>
      <c r="ED1113" s="685"/>
      <c r="EE1113" s="685"/>
    </row>
    <row r="1114" spans="1:273">
      <c r="A1114" s="102" t="s">
        <v>1024</v>
      </c>
      <c r="AR1114" s="685"/>
      <c r="AS1114" s="685"/>
      <c r="AT1114" s="730"/>
      <c r="AU1114" s="730"/>
      <c r="AV1114" s="685"/>
      <c r="AW1114" s="685"/>
      <c r="AX1114" s="730"/>
      <c r="AY1114" s="730"/>
      <c r="AZ1114" s="685"/>
      <c r="BA1114" s="685"/>
      <c r="BD1114" s="685"/>
      <c r="BE1114" s="876"/>
      <c r="BH1114" s="685"/>
      <c r="BI1114" s="685"/>
      <c r="BL1114" s="685"/>
      <c r="BM1114" s="685"/>
      <c r="BP1114" s="685"/>
      <c r="BQ1114" s="685"/>
      <c r="BT1114" s="685"/>
      <c r="BU1114" s="685"/>
      <c r="BX1114" s="685"/>
      <c r="BY1114" s="685"/>
      <c r="CB1114" s="685"/>
      <c r="CC1114" s="685"/>
      <c r="CF1114" s="685"/>
      <c r="CG1114" s="685"/>
      <c r="CJ1114" s="685"/>
      <c r="CK1114" s="685"/>
      <c r="CN1114" s="685"/>
      <c r="CO1114" s="685"/>
      <c r="CR1114" s="685"/>
      <c r="CS1114" s="685"/>
      <c r="CV1114" s="685"/>
      <c r="CW1114" s="685"/>
      <c r="CZ1114" s="685"/>
      <c r="DA1114" s="685"/>
      <c r="DD1114" s="685"/>
      <c r="DE1114" s="685"/>
      <c r="DH1114" s="685"/>
      <c r="DI1114" s="685">
        <f t="shared" si="2504"/>
        <v>0.02</v>
      </c>
      <c r="DL1114" s="685">
        <f t="shared" si="2505"/>
        <v>0.02</v>
      </c>
      <c r="DM1114" s="685">
        <f t="shared" si="2505"/>
        <v>0.02</v>
      </c>
      <c r="DP1114" s="685">
        <f t="shared" si="2506"/>
        <v>0.02</v>
      </c>
      <c r="DQ1114" s="685">
        <f t="shared" si="2506"/>
        <v>0.02</v>
      </c>
      <c r="DU1114" s="685"/>
      <c r="DV1114" s="685"/>
      <c r="DW1114" s="685"/>
      <c r="DZ1114" s="685"/>
      <c r="EA1114" s="685"/>
      <c r="ED1114" s="685"/>
      <c r="EE1114" s="685"/>
    </row>
    <row r="1115" spans="1:273">
      <c r="A1115" s="102" t="s">
        <v>690</v>
      </c>
      <c r="AR1115" s="685"/>
      <c r="AS1115" s="685"/>
      <c r="AT1115" s="730"/>
      <c r="AU1115" s="730"/>
      <c r="AV1115" s="685"/>
      <c r="AW1115" s="685"/>
      <c r="AX1115" s="730"/>
      <c r="AY1115" s="730"/>
      <c r="AZ1115" s="685"/>
      <c r="BA1115" s="685"/>
      <c r="BD1115" s="685"/>
      <c r="BE1115" s="685"/>
      <c r="BH1115" s="685"/>
      <c r="BI1115" s="685"/>
      <c r="BL1115" s="685"/>
      <c r="BM1115" s="685"/>
      <c r="BP1115" s="685"/>
      <c r="BQ1115" s="685"/>
      <c r="BT1115" s="685"/>
      <c r="BU1115" s="685"/>
      <c r="BX1115" s="685"/>
      <c r="BY1115" s="685"/>
      <c r="CB1115" s="685"/>
      <c r="CC1115" s="685"/>
      <c r="CF1115" s="685"/>
      <c r="CG1115" s="685"/>
      <c r="CJ1115" s="685"/>
      <c r="CK1115" s="685"/>
      <c r="CN1115" s="685"/>
      <c r="CO1115" s="685"/>
      <c r="CR1115" s="685"/>
      <c r="CS1115" s="685"/>
      <c r="CV1115" s="685"/>
      <c r="CW1115" s="685"/>
      <c r="CZ1115" s="685"/>
      <c r="DA1115" s="685"/>
      <c r="DD1115" s="685"/>
      <c r="DE1115" s="685"/>
      <c r="DH1115" s="685"/>
      <c r="DI1115" s="685">
        <f t="shared" si="2504"/>
        <v>0.02</v>
      </c>
      <c r="DL1115" s="685">
        <f t="shared" si="2505"/>
        <v>0.02</v>
      </c>
      <c r="DM1115" s="685">
        <f t="shared" si="2505"/>
        <v>0.02</v>
      </c>
      <c r="DP1115" s="685">
        <f t="shared" si="2506"/>
        <v>0.02</v>
      </c>
      <c r="DQ1115" s="685">
        <f t="shared" si="2506"/>
        <v>0.02</v>
      </c>
      <c r="DU1115" s="685"/>
      <c r="DV1115" s="685"/>
      <c r="DW1115" s="685"/>
      <c r="DZ1115" s="685"/>
      <c r="EA1115" s="685"/>
      <c r="ED1115" s="685"/>
      <c r="EE1115" s="685"/>
    </row>
    <row r="1116" spans="1:273">
      <c r="A1116" s="102" t="s">
        <v>689</v>
      </c>
      <c r="AR1116" s="685"/>
      <c r="AS1116" s="685"/>
      <c r="AT1116" s="730"/>
      <c r="AU1116" s="730"/>
      <c r="AV1116" s="685"/>
      <c r="AW1116" s="685"/>
      <c r="AX1116" s="730"/>
      <c r="AY1116" s="730"/>
      <c r="AZ1116" s="685"/>
      <c r="BA1116" s="685"/>
      <c r="BD1116" s="685"/>
      <c r="BE1116" s="685"/>
      <c r="BH1116" s="685"/>
      <c r="BI1116" s="685"/>
      <c r="BL1116" s="685"/>
      <c r="BM1116" s="685"/>
      <c r="BP1116" s="685"/>
      <c r="BQ1116" s="685"/>
      <c r="BT1116" s="685"/>
      <c r="BU1116" s="685"/>
      <c r="BX1116" s="685"/>
      <c r="BY1116" s="685"/>
      <c r="CB1116" s="685"/>
      <c r="CC1116" s="685"/>
      <c r="CF1116" s="685"/>
      <c r="CG1116" s="685"/>
      <c r="CJ1116" s="685"/>
      <c r="CK1116" s="685"/>
      <c r="CN1116" s="685"/>
      <c r="CO1116" s="685"/>
      <c r="CR1116" s="685"/>
      <c r="CS1116" s="685"/>
      <c r="CV1116" s="685"/>
      <c r="CW1116" s="685"/>
      <c r="CZ1116" s="685"/>
      <c r="DA1116" s="685"/>
      <c r="DD1116" s="685"/>
      <c r="DE1116" s="685"/>
      <c r="DH1116" s="685"/>
      <c r="DI1116" s="685">
        <f t="shared" si="2504"/>
        <v>0.02</v>
      </c>
      <c r="DL1116" s="685">
        <f t="shared" si="2505"/>
        <v>0.02</v>
      </c>
      <c r="DM1116" s="685">
        <f t="shared" si="2505"/>
        <v>0.02</v>
      </c>
      <c r="DP1116" s="685">
        <f t="shared" si="2506"/>
        <v>0.02</v>
      </c>
      <c r="DQ1116" s="685">
        <f t="shared" si="2506"/>
        <v>0.02</v>
      </c>
      <c r="DU1116" s="685"/>
      <c r="DV1116" s="685"/>
      <c r="DW1116" s="685"/>
      <c r="DZ1116" s="685"/>
      <c r="EA1116" s="685"/>
      <c r="ED1116" s="685"/>
      <c r="EE1116" s="685"/>
    </row>
    <row r="1117" spans="1:273">
      <c r="A1117" s="102" t="s">
        <v>688</v>
      </c>
      <c r="AR1117" s="685"/>
      <c r="AS1117" s="685"/>
      <c r="AT1117" s="730"/>
      <c r="AU1117" s="730"/>
      <c r="AV1117" s="685"/>
      <c r="AW1117" s="685"/>
      <c r="AX1117" s="730"/>
      <c r="AY1117" s="730"/>
      <c r="AZ1117" s="685"/>
      <c r="BA1117" s="685"/>
      <c r="BD1117" s="685"/>
      <c r="BE1117" s="685"/>
      <c r="BH1117" s="685"/>
      <c r="BI1117" s="685"/>
      <c r="BL1117" s="685"/>
      <c r="BM1117" s="685"/>
      <c r="BP1117" s="685"/>
      <c r="BQ1117" s="685"/>
      <c r="BT1117" s="685"/>
      <c r="BU1117" s="685"/>
      <c r="BX1117" s="685"/>
      <c r="BY1117" s="685"/>
      <c r="CB1117" s="685"/>
      <c r="CC1117" s="685"/>
      <c r="CF1117" s="685"/>
      <c r="CG1117" s="685"/>
      <c r="CJ1117" s="685"/>
      <c r="CK1117" s="685"/>
      <c r="CN1117" s="685"/>
      <c r="CO1117" s="685"/>
      <c r="CR1117" s="685"/>
      <c r="CS1117" s="685"/>
      <c r="CV1117" s="685"/>
      <c r="CW1117" s="685"/>
      <c r="CZ1117" s="685"/>
      <c r="DA1117" s="685"/>
      <c r="DD1117" s="685"/>
      <c r="DE1117" s="685"/>
      <c r="DH1117" s="685"/>
      <c r="DI1117" s="685">
        <f t="shared" si="2504"/>
        <v>0.02</v>
      </c>
      <c r="DL1117" s="685">
        <f t="shared" si="2505"/>
        <v>0.02</v>
      </c>
      <c r="DM1117" s="685">
        <f t="shared" si="2505"/>
        <v>0.02</v>
      </c>
      <c r="DP1117" s="685">
        <f t="shared" si="2506"/>
        <v>0.02</v>
      </c>
      <c r="DQ1117" s="685">
        <f t="shared" si="2506"/>
        <v>0.02</v>
      </c>
      <c r="DU1117" s="685"/>
      <c r="DV1117" s="685"/>
      <c r="DW1117" s="685"/>
      <c r="DZ1117" s="685"/>
      <c r="EA1117" s="685"/>
      <c r="ED1117" s="685"/>
      <c r="EE1117" s="685"/>
    </row>
    <row r="1118" spans="1:273">
      <c r="A1118" s="102" t="s">
        <v>691</v>
      </c>
      <c r="AR1118" s="685"/>
      <c r="AS1118" s="685"/>
      <c r="AT1118" s="730"/>
      <c r="AU1118" s="730"/>
      <c r="AV1118" s="685"/>
      <c r="AW1118" s="685"/>
      <c r="AX1118" s="730"/>
      <c r="AY1118" s="730"/>
      <c r="AZ1118" s="685"/>
      <c r="BA1118" s="685"/>
      <c r="BD1118" s="685"/>
      <c r="BE1118" s="685"/>
      <c r="BH1118" s="685"/>
      <c r="BI1118" s="685"/>
      <c r="BL1118" s="685"/>
      <c r="BM1118" s="685"/>
      <c r="BP1118" s="685"/>
      <c r="BQ1118" s="685"/>
      <c r="BT1118" s="685"/>
      <c r="BU1118" s="685"/>
      <c r="BX1118" s="685"/>
      <c r="BY1118" s="685"/>
      <c r="CB1118" s="685"/>
      <c r="CC1118" s="685"/>
      <c r="CF1118" s="685"/>
      <c r="CG1118" s="685"/>
      <c r="CJ1118" s="685"/>
      <c r="CK1118" s="685"/>
      <c r="CN1118" s="685"/>
      <c r="CO1118" s="685"/>
      <c r="CR1118" s="685"/>
      <c r="CS1118" s="685"/>
      <c r="CV1118" s="685"/>
      <c r="CW1118" s="685"/>
      <c r="CZ1118" s="685"/>
      <c r="DA1118" s="685"/>
      <c r="DD1118" s="685"/>
      <c r="DE1118" s="685"/>
      <c r="DH1118" s="685"/>
      <c r="DI1118" s="685"/>
      <c r="DL1118" s="685"/>
      <c r="DM1118" s="685"/>
      <c r="DP1118" s="685"/>
      <c r="DQ1118" s="685"/>
      <c r="DU1118" s="685"/>
      <c r="DV1118" s="685"/>
      <c r="DW1118" s="685"/>
      <c r="DZ1118" s="685"/>
      <c r="EA1118" s="685"/>
      <c r="ED1118" s="685"/>
      <c r="EE1118" s="685"/>
    </row>
    <row r="1119" spans="1:273" s="302" customFormat="1">
      <c r="A1119" s="296" t="s">
        <v>696</v>
      </c>
      <c r="B1119" s="304"/>
      <c r="AN1119" s="304"/>
      <c r="AO1119" s="304"/>
      <c r="AP1119" s="304"/>
      <c r="AQ1119" s="304"/>
      <c r="AR1119" s="686"/>
      <c r="AS1119" s="686"/>
      <c r="AT1119" s="634"/>
      <c r="AU1119" s="634"/>
      <c r="AV1119" s="686"/>
      <c r="AW1119" s="686"/>
      <c r="AX1119" s="634"/>
      <c r="AY1119" s="634"/>
      <c r="AZ1119" s="686"/>
      <c r="BA1119" s="1017"/>
      <c r="BB1119" s="304"/>
      <c r="BC1119" s="304"/>
      <c r="BD1119" s="1017"/>
      <c r="BE1119" s="1017"/>
      <c r="BF1119" s="304"/>
      <c r="BG1119" s="304"/>
      <c r="BH1119" s="1017"/>
      <c r="BI1119" s="1017"/>
      <c r="BJ1119" s="304"/>
      <c r="BK1119" s="304"/>
      <c r="BL1119" s="1017"/>
      <c r="BM1119" s="1017"/>
      <c r="BN1119" s="304"/>
      <c r="BO1119" s="304"/>
      <c r="BP1119" s="1017"/>
      <c r="BQ1119" s="1017"/>
      <c r="BR1119" s="304"/>
      <c r="BS1119" s="304"/>
      <c r="BT1119" s="1017"/>
      <c r="BU1119" s="1017"/>
      <c r="BV1119" s="304"/>
      <c r="BW1119" s="304"/>
      <c r="BX1119" s="1017"/>
      <c r="BY1119" s="1017"/>
      <c r="BZ1119" s="304"/>
      <c r="CA1119" s="304"/>
      <c r="CB1119" s="1017"/>
      <c r="CC1119" s="1017"/>
      <c r="CD1119" s="304"/>
      <c r="CE1119" s="300"/>
      <c r="CF1119" s="1017"/>
      <c r="CG1119" s="1017"/>
      <c r="CH1119" s="304"/>
      <c r="CI1119" s="300"/>
      <c r="CJ1119" s="1017"/>
      <c r="CK1119" s="1017"/>
      <c r="CL1119" s="304"/>
      <c r="CM1119" s="300"/>
      <c r="CN1119" s="1017"/>
      <c r="CO1119" s="1017"/>
      <c r="CP1119" s="304"/>
      <c r="CQ1119" s="300"/>
      <c r="CR1119" s="1017"/>
      <c r="CS1119" s="1017"/>
      <c r="CT1119" s="304"/>
      <c r="CU1119" s="304"/>
      <c r="CV1119" s="1017"/>
      <c r="CW1119" s="1017"/>
      <c r="CX1119" s="304"/>
      <c r="CY1119" s="304"/>
      <c r="CZ1119" s="1017"/>
      <c r="DA1119" s="1017"/>
      <c r="DB1119" s="304"/>
      <c r="DC1119" s="304"/>
      <c r="DD1119" s="1017"/>
      <c r="DE1119" s="1017"/>
      <c r="DF1119" s="304"/>
      <c r="DG1119" s="304"/>
      <c r="DH1119" s="1017"/>
      <c r="DI1119" s="1017">
        <v>0.02</v>
      </c>
      <c r="DJ1119" s="304"/>
      <c r="DK1119" s="304"/>
      <c r="DL1119" s="1017">
        <v>0.02</v>
      </c>
      <c r="DM1119" s="1017">
        <v>0.02</v>
      </c>
      <c r="DN1119" s="304"/>
      <c r="DO1119" s="304"/>
      <c r="DP1119" s="1017">
        <v>0.02</v>
      </c>
      <c r="DQ1119" s="1017">
        <v>0.02</v>
      </c>
      <c r="DR1119" s="304"/>
      <c r="DS1119" s="304"/>
      <c r="DT1119" s="304"/>
      <c r="DU1119" s="1017"/>
      <c r="DV1119" s="1017"/>
      <c r="DW1119" s="1017"/>
      <c r="DX1119" s="304"/>
      <c r="DY1119" s="304"/>
      <c r="DZ1119" s="1017"/>
      <c r="EA1119" s="1017"/>
      <c r="EB1119" s="304"/>
      <c r="EC1119" s="304"/>
      <c r="ED1119" s="1017"/>
      <c r="EE1119" s="1017"/>
      <c r="EF1119" s="304"/>
      <c r="EG1119" s="304"/>
      <c r="EH1119" s="304"/>
      <c r="EI1119" s="304"/>
      <c r="EJ1119" s="304"/>
      <c r="EK1119" s="304"/>
      <c r="EL1119" s="304"/>
      <c r="EM1119" s="304"/>
      <c r="EN1119" s="304"/>
      <c r="EO1119" s="304"/>
      <c r="EP1119" s="304"/>
      <c r="FL1119" s="102"/>
      <c r="FM1119" s="102"/>
      <c r="FN1119" s="102"/>
      <c r="FO1119" s="102"/>
      <c r="FP1119" s="102"/>
      <c r="FQ1119" s="102"/>
      <c r="FR1119" s="102"/>
      <c r="FS1119" s="102"/>
      <c r="FT1119" s="102"/>
      <c r="FU1119" s="102"/>
      <c r="FV1119" s="102"/>
      <c r="FW1119" s="102"/>
      <c r="FX1119" s="102"/>
      <c r="FY1119" s="102"/>
      <c r="FZ1119" s="102"/>
      <c r="GA1119" s="102"/>
      <c r="GB1119" s="102"/>
      <c r="GC1119" s="102"/>
      <c r="GD1119" s="102"/>
      <c r="GE1119" s="102"/>
      <c r="GF1119" s="102"/>
      <c r="GG1119" s="102"/>
      <c r="GH1119" s="102"/>
      <c r="GI1119" s="102"/>
      <c r="GJ1119" s="102"/>
      <c r="GK1119" s="102"/>
      <c r="GL1119" s="102"/>
      <c r="GM1119" s="102"/>
      <c r="GN1119" s="102"/>
      <c r="GO1119" s="102"/>
      <c r="GP1119" s="102"/>
      <c r="GQ1119" s="102"/>
      <c r="GR1119" s="102"/>
      <c r="GS1119" s="102"/>
      <c r="GT1119" s="102"/>
      <c r="GU1119" s="102"/>
      <c r="GV1119" s="102"/>
      <c r="GW1119" s="102"/>
      <c r="GX1119" s="102"/>
      <c r="GY1119" s="102"/>
      <c r="GZ1119" s="102"/>
      <c r="HA1119" s="102"/>
      <c r="HB1119" s="102"/>
      <c r="HC1119" s="102"/>
      <c r="HD1119" s="102"/>
      <c r="HE1119" s="102"/>
      <c r="HF1119" s="102"/>
      <c r="HG1119" s="102"/>
      <c r="HH1119" s="102"/>
      <c r="HI1119" s="102"/>
      <c r="HJ1119" s="102"/>
      <c r="HK1119" s="102"/>
      <c r="HL1119" s="102"/>
      <c r="HM1119" s="102"/>
      <c r="HN1119" s="102"/>
      <c r="HO1119" s="102"/>
      <c r="HP1119" s="102"/>
      <c r="HQ1119" s="102"/>
      <c r="HR1119" s="102"/>
      <c r="HS1119" s="102"/>
      <c r="HT1119" s="102"/>
      <c r="HU1119" s="102"/>
      <c r="HV1119" s="102"/>
      <c r="HW1119" s="102"/>
      <c r="HX1119" s="102"/>
      <c r="HY1119" s="102"/>
      <c r="HZ1119" s="102"/>
      <c r="IA1119" s="102"/>
      <c r="IB1119" s="102"/>
      <c r="IC1119" s="102"/>
      <c r="ID1119" s="102"/>
      <c r="IE1119" s="102"/>
      <c r="IF1119" s="102"/>
      <c r="IG1119" s="102"/>
      <c r="IH1119" s="102"/>
      <c r="II1119" s="102"/>
      <c r="IJ1119" s="102"/>
      <c r="IK1119" s="102"/>
      <c r="IL1119" s="102"/>
      <c r="IM1119" s="102"/>
      <c r="IN1119" s="102"/>
      <c r="IO1119" s="102"/>
      <c r="IP1119" s="102"/>
      <c r="IQ1119" s="102"/>
      <c r="IR1119" s="102"/>
      <c r="IS1119" s="102"/>
      <c r="IT1119" s="102"/>
      <c r="IU1119" s="102"/>
      <c r="IV1119" s="102"/>
      <c r="IW1119" s="102"/>
      <c r="IX1119" s="102"/>
      <c r="IY1119" s="102"/>
      <c r="IZ1119" s="102"/>
      <c r="JA1119" s="102"/>
      <c r="JB1119" s="102"/>
      <c r="JC1119" s="102"/>
      <c r="JD1119" s="102"/>
      <c r="JE1119" s="102"/>
      <c r="JF1119" s="102"/>
      <c r="JG1119" s="102"/>
      <c r="JH1119" s="102"/>
      <c r="JI1119" s="102"/>
      <c r="JJ1119" s="102"/>
      <c r="JK1119" s="102"/>
      <c r="JL1119" s="102"/>
      <c r="JM1119"/>
    </row>
    <row r="1120" spans="1:273">
      <c r="A1120" s="102" t="s">
        <v>749</v>
      </c>
      <c r="AR1120" s="685"/>
      <c r="AS1120" s="685"/>
      <c r="AT1120" s="730"/>
      <c r="AU1120" s="730"/>
      <c r="AV1120" s="685"/>
      <c r="AW1120" s="685"/>
      <c r="AX1120" s="730"/>
      <c r="AY1120" s="730"/>
      <c r="AZ1120" s="685"/>
      <c r="BA1120" s="685"/>
      <c r="BD1120" s="685"/>
      <c r="BE1120" s="685"/>
      <c r="BH1120" s="685"/>
      <c r="BI1120" s="685"/>
      <c r="BL1120" s="685"/>
      <c r="BM1120" s="685"/>
      <c r="BP1120" s="685"/>
      <c r="BQ1120" s="685"/>
      <c r="BT1120" s="685"/>
      <c r="BU1120" s="685"/>
      <c r="BX1120" s="685"/>
      <c r="BY1120" s="685"/>
      <c r="CB1120" s="685"/>
      <c r="CC1120" s="685"/>
      <c r="CF1120" s="685"/>
      <c r="CG1120" s="685"/>
      <c r="CJ1120" s="685"/>
      <c r="CK1120" s="685"/>
      <c r="CN1120" s="685"/>
      <c r="CO1120" s="685"/>
      <c r="CR1120" s="685"/>
      <c r="CS1120" s="685"/>
      <c r="CV1120" s="685"/>
      <c r="CW1120" s="685"/>
      <c r="CZ1120" s="685"/>
      <c r="DA1120" s="685"/>
      <c r="DD1120" s="685"/>
      <c r="DE1120" s="685"/>
      <c r="DH1120" s="685"/>
      <c r="DI1120" s="685"/>
      <c r="DL1120" s="685"/>
      <c r="DM1120" s="685"/>
      <c r="DP1120" s="685"/>
      <c r="DQ1120" s="685"/>
      <c r="DU1120" s="685"/>
      <c r="DV1120" s="685"/>
      <c r="DW1120" s="685"/>
      <c r="DZ1120" s="685"/>
      <c r="EA1120" s="685"/>
      <c r="ED1120" s="685"/>
      <c r="EE1120" s="685"/>
    </row>
    <row r="1121" spans="1:273">
      <c r="A1121" s="102" t="s">
        <v>747</v>
      </c>
      <c r="AR1121" s="685"/>
      <c r="AS1121" s="685"/>
      <c r="AT1121" s="730"/>
      <c r="AU1121" s="730"/>
      <c r="AV1121" s="685"/>
      <c r="AW1121" s="685"/>
      <c r="AX1121" s="730"/>
      <c r="AY1121" s="730"/>
      <c r="AZ1121" s="685"/>
      <c r="BA1121" s="685"/>
      <c r="BD1121" s="685"/>
      <c r="BE1121" s="685"/>
      <c r="BH1121" s="685"/>
      <c r="BI1121" s="685"/>
      <c r="BL1121" s="685"/>
      <c r="BM1121" s="685"/>
      <c r="BP1121" s="685"/>
      <c r="BQ1121" s="685"/>
      <c r="BT1121" s="685"/>
      <c r="BU1121" s="685"/>
      <c r="BX1121" s="685"/>
      <c r="BY1121" s="685"/>
      <c r="CB1121" s="685"/>
      <c r="CC1121" s="685"/>
      <c r="CF1121" s="685"/>
      <c r="CG1121" s="685"/>
      <c r="CJ1121" s="685"/>
      <c r="CK1121" s="685"/>
      <c r="CN1121" s="685"/>
      <c r="CO1121" s="685"/>
      <c r="CR1121" s="685"/>
      <c r="CS1121" s="685"/>
      <c r="CV1121" s="685"/>
      <c r="CW1121" s="685"/>
      <c r="CZ1121" s="685"/>
      <c r="DA1121" s="685"/>
      <c r="DD1121" s="685"/>
      <c r="DE1121" s="685"/>
      <c r="DH1121" s="685"/>
      <c r="DI1121" s="685"/>
      <c r="DL1121" s="685"/>
      <c r="DM1121" s="685"/>
      <c r="DP1121" s="685"/>
      <c r="DQ1121" s="685"/>
      <c r="DU1121" s="685"/>
      <c r="DV1121" s="685"/>
      <c r="DW1121" s="685"/>
      <c r="DZ1121" s="685"/>
      <c r="EA1121" s="685"/>
      <c r="ED1121" s="685"/>
      <c r="EE1121" s="685"/>
    </row>
    <row r="1125" spans="1:273" s="834" customFormat="1" collapsed="1">
      <c r="A1125" s="939" t="s">
        <v>729</v>
      </c>
      <c r="B1125" s="833"/>
      <c r="AN1125" s="833"/>
      <c r="AO1125" s="833"/>
      <c r="AP1125" s="833"/>
      <c r="AQ1125" s="833"/>
      <c r="AR1125" s="833"/>
      <c r="AS1125" s="833"/>
      <c r="AT1125" s="833"/>
      <c r="AU1125" s="833"/>
      <c r="AV1125" s="833"/>
      <c r="AW1125" s="833"/>
      <c r="AX1125" s="833"/>
      <c r="AY1125" s="833"/>
      <c r="AZ1125" s="833"/>
      <c r="BA1125" s="833"/>
      <c r="BB1125" s="833"/>
      <c r="BC1125" s="833"/>
      <c r="BD1125" s="833"/>
      <c r="BE1125" s="833"/>
      <c r="BF1125" s="833"/>
      <c r="BG1125" s="833"/>
      <c r="BH1125" s="833"/>
      <c r="BI1125" s="833"/>
      <c r="BJ1125" s="833"/>
      <c r="BK1125" s="833"/>
      <c r="BL1125" s="833"/>
      <c r="BM1125" s="833"/>
      <c r="BN1125" s="833"/>
      <c r="BO1125" s="833"/>
      <c r="BP1125" s="833"/>
      <c r="BQ1125" s="833"/>
      <c r="BR1125" s="833"/>
      <c r="BS1125" s="833"/>
      <c r="BT1125" s="833"/>
      <c r="BU1125" s="833"/>
      <c r="BV1125" s="833"/>
      <c r="BW1125" s="833"/>
      <c r="BX1125" s="833"/>
      <c r="BY1125" s="833"/>
      <c r="BZ1125" s="833"/>
      <c r="CA1125" s="833"/>
      <c r="CB1125" s="833"/>
      <c r="CC1125" s="833"/>
      <c r="CD1125" s="833"/>
      <c r="CE1125" s="1607"/>
      <c r="CF1125" s="833"/>
      <c r="CG1125" s="833"/>
      <c r="CH1125" s="833"/>
      <c r="CI1125" s="1607"/>
      <c r="CJ1125" s="833"/>
      <c r="CK1125" s="833"/>
      <c r="CL1125" s="833"/>
      <c r="CM1125" s="1607"/>
      <c r="CN1125" s="833"/>
      <c r="CO1125" s="833"/>
      <c r="CP1125" s="833"/>
      <c r="CQ1125" s="1607"/>
      <c r="CR1125" s="833"/>
      <c r="CS1125" s="833"/>
      <c r="CT1125" s="833"/>
      <c r="CU1125" s="833"/>
      <c r="CV1125" s="833"/>
      <c r="CW1125" s="833"/>
      <c r="CX1125" s="833"/>
      <c r="CY1125" s="833"/>
      <c r="CZ1125" s="833"/>
      <c r="DA1125" s="833"/>
      <c r="DB1125" s="833"/>
      <c r="DC1125" s="833"/>
      <c r="DD1125" s="833"/>
      <c r="DE1125" s="833"/>
      <c r="DF1125" s="833"/>
      <c r="DG1125" s="833"/>
      <c r="DH1125" s="833"/>
      <c r="DI1125" s="833"/>
      <c r="DJ1125" s="833"/>
      <c r="DK1125" s="833"/>
      <c r="DL1125" s="833"/>
      <c r="DM1125" s="833"/>
      <c r="DN1125" s="833"/>
      <c r="DO1125" s="833"/>
      <c r="DP1125" s="833"/>
      <c r="DQ1125" s="833"/>
      <c r="DR1125" s="833"/>
      <c r="DS1125" s="833"/>
      <c r="DT1125" s="833"/>
      <c r="DU1125" s="833"/>
      <c r="DV1125" s="833"/>
      <c r="DW1125" s="833"/>
      <c r="DX1125" s="833"/>
      <c r="DY1125" s="833"/>
      <c r="DZ1125" s="833"/>
      <c r="EA1125" s="833"/>
      <c r="EB1125" s="833"/>
      <c r="EC1125" s="833"/>
      <c r="ED1125" s="833"/>
      <c r="EE1125" s="833"/>
      <c r="EF1125" s="833"/>
      <c r="EG1125" s="833"/>
      <c r="EH1125" s="833"/>
      <c r="EI1125" s="833"/>
      <c r="EJ1125" s="833"/>
      <c r="EK1125" s="833"/>
      <c r="EL1125" s="833"/>
      <c r="EM1125" s="833"/>
      <c r="EN1125" s="833"/>
      <c r="EO1125" s="833"/>
      <c r="EP1125" s="833"/>
      <c r="FL1125" s="102"/>
      <c r="FM1125" s="102"/>
      <c r="FN1125" s="102"/>
      <c r="FO1125" s="102"/>
      <c r="FP1125" s="102"/>
      <c r="FQ1125" s="102"/>
      <c r="FR1125" s="102"/>
      <c r="FS1125" s="102"/>
      <c r="FT1125" s="102"/>
      <c r="FU1125" s="102"/>
      <c r="FV1125" s="102"/>
      <c r="FW1125" s="102"/>
      <c r="FX1125" s="102"/>
      <c r="FY1125" s="102"/>
      <c r="FZ1125" s="102"/>
      <c r="GA1125" s="102"/>
      <c r="GB1125" s="102"/>
      <c r="GC1125" s="102"/>
      <c r="GD1125" s="102"/>
      <c r="GE1125" s="102"/>
      <c r="GF1125" s="102"/>
      <c r="GG1125" s="102"/>
      <c r="GH1125" s="102"/>
      <c r="GI1125" s="102"/>
      <c r="GJ1125" s="102"/>
      <c r="GK1125" s="102"/>
      <c r="GL1125" s="102"/>
      <c r="GM1125" s="102"/>
      <c r="GN1125" s="102"/>
      <c r="GO1125" s="102"/>
      <c r="GP1125" s="102"/>
      <c r="GQ1125" s="102"/>
      <c r="GR1125" s="102"/>
      <c r="GS1125" s="102"/>
      <c r="GT1125" s="102"/>
      <c r="GU1125" s="102"/>
      <c r="GV1125" s="102"/>
      <c r="GW1125" s="102"/>
      <c r="GX1125" s="102"/>
      <c r="GY1125" s="102"/>
      <c r="GZ1125" s="102"/>
      <c r="HA1125" s="102"/>
      <c r="HB1125" s="102"/>
      <c r="HC1125" s="102"/>
      <c r="HD1125" s="102"/>
      <c r="HE1125" s="102"/>
      <c r="HF1125" s="102"/>
      <c r="HG1125" s="102"/>
      <c r="HH1125" s="102"/>
      <c r="HI1125" s="102"/>
      <c r="HJ1125" s="102"/>
      <c r="HK1125" s="102"/>
      <c r="HL1125" s="102"/>
      <c r="HM1125" s="102"/>
      <c r="HN1125" s="102"/>
      <c r="HO1125" s="102"/>
      <c r="HP1125" s="102"/>
      <c r="HQ1125" s="102"/>
      <c r="HR1125" s="102"/>
      <c r="HS1125" s="102"/>
      <c r="HT1125" s="102"/>
      <c r="HU1125" s="102"/>
      <c r="HV1125" s="102"/>
      <c r="HW1125" s="102"/>
      <c r="HX1125" s="102"/>
      <c r="HY1125" s="102"/>
      <c r="HZ1125" s="102"/>
      <c r="IA1125" s="102"/>
      <c r="IB1125" s="102"/>
      <c r="IC1125" s="102"/>
      <c r="ID1125" s="102"/>
      <c r="IE1125" s="102"/>
      <c r="IF1125" s="102"/>
      <c r="IG1125" s="102"/>
      <c r="IH1125" s="102"/>
      <c r="II1125" s="102"/>
      <c r="IJ1125" s="102"/>
      <c r="IK1125" s="102"/>
      <c r="IL1125" s="102"/>
      <c r="IM1125" s="102"/>
      <c r="IN1125" s="102"/>
      <c r="IO1125" s="102"/>
      <c r="IP1125" s="102"/>
      <c r="IQ1125" s="102"/>
      <c r="IR1125" s="102"/>
      <c r="IS1125" s="102"/>
      <c r="IT1125" s="102"/>
      <c r="IU1125" s="102"/>
      <c r="IV1125" s="102"/>
      <c r="IW1125" s="102"/>
      <c r="IX1125" s="102"/>
      <c r="IY1125" s="102"/>
      <c r="IZ1125" s="102"/>
      <c r="JA1125" s="102"/>
      <c r="JB1125" s="102"/>
      <c r="JC1125" s="102"/>
      <c r="JD1125" s="102"/>
      <c r="JE1125" s="102"/>
      <c r="JF1125" s="102"/>
      <c r="JG1125" s="102"/>
      <c r="JH1125" s="102"/>
      <c r="JI1125" s="102"/>
      <c r="JJ1125" s="102"/>
      <c r="JK1125" s="102"/>
      <c r="JL1125" s="102"/>
      <c r="JM1125"/>
    </row>
    <row r="1127" spans="1:273">
      <c r="A1127" s="815" t="s">
        <v>729</v>
      </c>
    </row>
    <row r="1128" spans="1:273" s="332" customFormat="1">
      <c r="A1128" s="102" t="s">
        <v>685</v>
      </c>
      <c r="B1128" s="103"/>
      <c r="C1128" s="102"/>
      <c r="D1128" s="102"/>
      <c r="E1128" s="102"/>
      <c r="F1128" s="102"/>
      <c r="G1128" s="102"/>
      <c r="H1128" s="102"/>
      <c r="I1128" s="102"/>
      <c r="J1128" s="102"/>
      <c r="K1128" s="102"/>
      <c r="L1128" s="102"/>
      <c r="M1128" s="102"/>
      <c r="N1128" s="102"/>
      <c r="O1128" s="102"/>
      <c r="P1128" s="102"/>
      <c r="Q1128" s="102"/>
      <c r="R1128" s="102"/>
      <c r="S1128" s="102"/>
      <c r="T1128" s="102"/>
      <c r="U1128" s="102"/>
      <c r="V1128" s="102"/>
      <c r="W1128" s="102"/>
      <c r="X1128" s="102"/>
      <c r="Y1128" s="102"/>
      <c r="Z1128" s="102"/>
      <c r="AA1128" s="102"/>
      <c r="AB1128" s="102"/>
      <c r="AC1128" s="102"/>
      <c r="AD1128" s="102"/>
      <c r="AE1128" s="102"/>
      <c r="AF1128" s="102"/>
      <c r="AG1128" s="102"/>
      <c r="AH1128" s="102"/>
      <c r="AI1128" s="102"/>
      <c r="AJ1128" s="102"/>
      <c r="AK1128" s="102"/>
      <c r="AL1128" s="102"/>
      <c r="AM1128" s="102"/>
      <c r="AN1128" s="293"/>
      <c r="AO1128" s="293"/>
      <c r="AP1128" s="293"/>
      <c r="AQ1128" s="293"/>
      <c r="AR1128" s="293"/>
      <c r="AS1128" s="293"/>
      <c r="AT1128" s="626"/>
      <c r="AU1128" s="626"/>
      <c r="AV1128" s="293"/>
      <c r="AW1128" s="293"/>
      <c r="AX1128" s="626"/>
      <c r="AY1128" s="293"/>
      <c r="AZ1128" s="293"/>
      <c r="BA1128" s="293"/>
      <c r="BB1128" s="293"/>
      <c r="BC1128" s="293"/>
      <c r="BD1128" s="293"/>
      <c r="BE1128" s="293"/>
      <c r="BF1128" s="293"/>
      <c r="BG1128" s="293"/>
      <c r="BH1128" s="293"/>
      <c r="BI1128" s="293"/>
      <c r="BJ1128" s="293"/>
      <c r="BK1128" s="293"/>
      <c r="BL1128" s="293"/>
      <c r="BM1128" s="293"/>
      <c r="BN1128" s="293"/>
      <c r="BO1128" s="648"/>
      <c r="BP1128" s="293"/>
      <c r="BQ1128" s="293"/>
      <c r="BR1128" s="293"/>
      <c r="BS1128" s="648"/>
      <c r="BT1128" s="293"/>
      <c r="BU1128" s="293"/>
      <c r="BV1128" s="293"/>
      <c r="BW1128" s="648"/>
      <c r="BX1128" s="293"/>
      <c r="BY1128" s="293"/>
      <c r="BZ1128" s="293"/>
      <c r="CA1128" s="648"/>
      <c r="CB1128" s="293"/>
      <c r="CC1128" s="293"/>
      <c r="CD1128" s="293"/>
      <c r="CE1128" s="648"/>
      <c r="CF1128" s="293"/>
      <c r="CG1128" s="293"/>
      <c r="CH1128" s="293"/>
      <c r="CI1128" s="648"/>
      <c r="CJ1128" s="293"/>
      <c r="CK1128" s="293"/>
      <c r="CL1128" s="293"/>
      <c r="CM1128" s="648"/>
      <c r="CN1128" s="293"/>
      <c r="CO1128" s="293"/>
      <c r="CP1128" s="293"/>
      <c r="CQ1128" s="648"/>
      <c r="CR1128" s="293"/>
      <c r="CS1128" s="293"/>
      <c r="CT1128" s="293"/>
      <c r="CU1128" s="648"/>
      <c r="CV1128" s="293"/>
      <c r="CW1128" s="293"/>
      <c r="CX1128" s="293"/>
      <c r="CY1128" s="648"/>
      <c r="CZ1128" s="293"/>
      <c r="DA1128" s="293"/>
      <c r="DB1128" s="293"/>
      <c r="DC1128" s="648"/>
      <c r="DD1128" s="293"/>
      <c r="DE1128" s="293"/>
      <c r="DF1128" s="293"/>
      <c r="DG1128" s="648"/>
      <c r="DH1128" s="293"/>
      <c r="DI1128" s="293"/>
      <c r="DJ1128" s="293"/>
      <c r="DK1128" s="648"/>
      <c r="DL1128" s="293"/>
      <c r="DM1128" s="293"/>
      <c r="DN1128" s="293"/>
      <c r="DO1128" s="293"/>
      <c r="DP1128" s="293"/>
      <c r="DQ1128" s="293"/>
      <c r="DR1128" s="293"/>
      <c r="DS1128" s="293"/>
      <c r="DT1128" s="293"/>
      <c r="DU1128" s="293"/>
      <c r="DV1128" s="293"/>
      <c r="DW1128" s="293"/>
      <c r="DX1128" s="293"/>
      <c r="DY1128" s="293"/>
      <c r="DZ1128" s="293"/>
      <c r="EA1128" s="293"/>
      <c r="EB1128" s="293"/>
      <c r="EC1128" s="293"/>
      <c r="ED1128" s="293"/>
      <c r="EE1128" s="293"/>
      <c r="EF1128" s="293"/>
      <c r="EG1128" s="293"/>
      <c r="EH1128" s="293"/>
      <c r="EI1128" s="293"/>
      <c r="EJ1128" s="293"/>
      <c r="EK1128" s="293"/>
      <c r="EL1128" s="293"/>
      <c r="EM1128" s="293"/>
      <c r="EN1128" s="293"/>
      <c r="EO1128" s="293"/>
      <c r="EP1128" s="293"/>
      <c r="JM1128"/>
    </row>
    <row r="1129" spans="1:273" s="332" customFormat="1">
      <c r="A1129" s="102" t="s">
        <v>686</v>
      </c>
      <c r="B1129" s="103"/>
      <c r="C1129" s="102"/>
      <c r="D1129" s="102"/>
      <c r="E1129" s="102"/>
      <c r="F1129" s="102"/>
      <c r="G1129" s="102"/>
      <c r="H1129" s="102"/>
      <c r="I1129" s="102"/>
      <c r="J1129" s="102"/>
      <c r="K1129" s="102"/>
      <c r="L1129" s="102"/>
      <c r="M1129" s="102"/>
      <c r="N1129" s="102"/>
      <c r="O1129" s="102"/>
      <c r="P1129" s="102"/>
      <c r="Q1129" s="102"/>
      <c r="R1129" s="102"/>
      <c r="S1129" s="102"/>
      <c r="T1129" s="102"/>
      <c r="U1129" s="102"/>
      <c r="V1129" s="102"/>
      <c r="W1129" s="102"/>
      <c r="X1129" s="102"/>
      <c r="Y1129" s="102"/>
      <c r="Z1129" s="102"/>
      <c r="AA1129" s="102"/>
      <c r="AB1129" s="102"/>
      <c r="AC1129" s="102"/>
      <c r="AD1129" s="102"/>
      <c r="AE1129" s="102"/>
      <c r="AF1129" s="102"/>
      <c r="AG1129" s="102"/>
      <c r="AH1129" s="102"/>
      <c r="AI1129" s="102"/>
      <c r="AJ1129" s="102"/>
      <c r="AK1129" s="102"/>
      <c r="AL1129" s="102"/>
      <c r="AM1129" s="102"/>
      <c r="AN1129" s="293"/>
      <c r="AO1129" s="293"/>
      <c r="AP1129" s="293"/>
      <c r="AQ1129" s="293"/>
      <c r="AR1129" s="293">
        <f>DIVISIONS!AR123</f>
        <v>-2</v>
      </c>
      <c r="AS1129" s="293">
        <f>DIVISIONS!AS123</f>
        <v>-18</v>
      </c>
      <c r="AT1129" s="626"/>
      <c r="AU1129" s="626"/>
      <c r="AV1129" s="293">
        <f>DIVISIONS!AV123</f>
        <v>-4</v>
      </c>
      <c r="AW1129" s="293">
        <f>DIVISIONS!AW123</f>
        <v>-2</v>
      </c>
      <c r="AX1129" s="626"/>
      <c r="AY1129" s="293"/>
      <c r="AZ1129" s="293">
        <f>DIVISIONS!AZ123</f>
        <v>-4</v>
      </c>
      <c r="BA1129" s="293">
        <f>DIVISIONS!BA123</f>
        <v>-1</v>
      </c>
      <c r="BB1129" s="293"/>
      <c r="BC1129" s="293"/>
      <c r="BD1129" s="293">
        <f>DIVISIONS!BD123</f>
        <v>-2</v>
      </c>
      <c r="BE1129" s="293">
        <f>DIVISIONS!BE123</f>
        <v>-2.3330000000000002</v>
      </c>
      <c r="BF1129" s="293"/>
      <c r="BG1129" s="293"/>
      <c r="BH1129" s="293">
        <f>DIVISIONS!BH123</f>
        <v>-3</v>
      </c>
      <c r="BI1129" s="293">
        <f>DIVISIONS!BI123</f>
        <v>-3</v>
      </c>
      <c r="BJ1129" s="293">
        <f>DIVISIONS!BJ123</f>
        <v>-6</v>
      </c>
      <c r="BK1129" s="293"/>
      <c r="BL1129" s="293">
        <f>DIVISIONS!BL123</f>
        <v>-5</v>
      </c>
      <c r="BM1129" s="293">
        <f>DIVISIONS!BM123</f>
        <v>-1</v>
      </c>
      <c r="BN1129" s="293">
        <f>DIVISIONS!BN123</f>
        <v>-6</v>
      </c>
      <c r="BO1129" s="648">
        <f>+BN1129/BJ1129-1</f>
        <v>0</v>
      </c>
      <c r="BP1129" s="293">
        <f>DIVISIONS!BP123</f>
        <v>-2</v>
      </c>
      <c r="BQ1129" s="293">
        <f>DIVISIONS!BQ123</f>
        <v>-2</v>
      </c>
      <c r="BR1129" s="293">
        <f>DIVISIONS!BR123</f>
        <v>-4</v>
      </c>
      <c r="BS1129" s="648">
        <f>+BR1129/BN1129-1</f>
        <v>-0.33333333333333337</v>
      </c>
      <c r="BT1129" s="293">
        <f>DIVISIONS!BT123</f>
        <v>-3</v>
      </c>
      <c r="BU1129" s="293">
        <f>DIVISIONS!BU123</f>
        <v>-4</v>
      </c>
      <c r="BV1129" s="293">
        <f>DIVISIONS!BV123</f>
        <v>-7</v>
      </c>
      <c r="BW1129" s="648">
        <f>+BV1129/BR1129-1</f>
        <v>0.75</v>
      </c>
      <c r="BX1129" s="293">
        <f>DIVISIONS!BX123</f>
        <v>-4</v>
      </c>
      <c r="BY1129" s="293">
        <f>DIVISIONS!BY123</f>
        <v>-4</v>
      </c>
      <c r="BZ1129" s="293">
        <f>DIVISIONS!BZ123</f>
        <v>-8</v>
      </c>
      <c r="CA1129" s="648">
        <f>+BZ1129/BV1129-1</f>
        <v>0.14285714285714279</v>
      </c>
      <c r="CB1129" s="293">
        <f>DIVISIONS!CB123</f>
        <v>-3</v>
      </c>
      <c r="CC1129" s="293">
        <f>DIVISIONS!CC123</f>
        <v>-1</v>
      </c>
      <c r="CD1129" s="293">
        <f>DIVISIONS!CD123</f>
        <v>-4</v>
      </c>
      <c r="CE1129" s="648">
        <f>+CD1129/BZ1129-1</f>
        <v>-0.5</v>
      </c>
      <c r="CF1129" s="293">
        <f>DIVISIONS!CF123</f>
        <v>-23</v>
      </c>
      <c r="CG1129" s="293">
        <f>DIVISIONS!CG123</f>
        <v>-17</v>
      </c>
      <c r="CH1129" s="293">
        <f>DIVISIONS!CH123</f>
        <v>-40</v>
      </c>
      <c r="CI1129" s="648">
        <f>+CH1129/CD1129-1</f>
        <v>9</v>
      </c>
      <c r="CJ1129" s="293">
        <f>DIVISIONS!CJ123</f>
        <v>-50</v>
      </c>
      <c r="CK1129" s="293">
        <f>DIVISIONS!CK123</f>
        <v>-57</v>
      </c>
      <c r="CL1129" s="293">
        <f>DIVISIONS!CL123</f>
        <v>-107</v>
      </c>
      <c r="CM1129" s="648">
        <f>+CL1129/CH1129-1</f>
        <v>1.6749999999999998</v>
      </c>
      <c r="CN1129" s="293">
        <f>DIVISIONS!CN123</f>
        <v>-50</v>
      </c>
      <c r="CO1129" s="293">
        <f>DIVISIONS!CO123</f>
        <v>-48</v>
      </c>
      <c r="CP1129" s="293">
        <f>DIVISIONS!CP123</f>
        <v>-98</v>
      </c>
      <c r="CQ1129" s="648"/>
      <c r="CR1129" s="293">
        <f>DIVISIONS!CR123</f>
        <v>-43</v>
      </c>
      <c r="CS1129" s="293">
        <f>DIVISIONS!CS123</f>
        <v>-58</v>
      </c>
      <c r="CT1129" s="293">
        <f>DIVISIONS!CT123</f>
        <v>-101</v>
      </c>
      <c r="CU1129" s="648"/>
      <c r="CV1129" s="293">
        <f>DIVISIONS!CV123</f>
        <v>-53</v>
      </c>
      <c r="CW1129" s="293">
        <f>DIVISIONS!CW123</f>
        <v>-34</v>
      </c>
      <c r="CX1129" s="293">
        <f>DIVISIONS!CX123</f>
        <v>-87</v>
      </c>
      <c r="CY1129" s="648"/>
      <c r="CZ1129" s="293">
        <f>DIVISIONS!CZ123</f>
        <v>-47</v>
      </c>
      <c r="DA1129" s="293">
        <f>DIVISIONS!DA123</f>
        <v>-40</v>
      </c>
      <c r="DB1129" s="293">
        <f>DIVISIONS!DB123</f>
        <v>-87</v>
      </c>
      <c r="DC1129" s="648"/>
      <c r="DD1129" s="293">
        <f>DIVISIONS!DD123</f>
        <v>-57</v>
      </c>
      <c r="DE1129" s="293">
        <f>DIVISIONS!DE123</f>
        <v>-67</v>
      </c>
      <c r="DF1129" s="293">
        <f>DIVISIONS!DF123</f>
        <v>-124</v>
      </c>
      <c r="DG1129" s="648"/>
      <c r="DH1129" s="293">
        <f>DIVISIONS!DH123</f>
        <v>-65</v>
      </c>
      <c r="DI1129" s="293">
        <f>DIVISIONS!DI123</f>
        <v>-51.953999999999994</v>
      </c>
      <c r="DJ1129" s="293">
        <f>DIVISIONS!DJ123</f>
        <v>-116.95399999999999</v>
      </c>
      <c r="DK1129" s="648"/>
      <c r="DL1129" s="293">
        <f>DIVISIONS!DL123</f>
        <v>-54.148740000000004</v>
      </c>
      <c r="DM1129" s="293">
        <f>DIVISIONS!DM123</f>
        <v>-56.441128199999994</v>
      </c>
      <c r="DN1129" s="293">
        <f>DIVISIONS!DN123</f>
        <v>-110.5898682</v>
      </c>
      <c r="DO1129" s="293"/>
      <c r="DP1129" s="293">
        <f>DIVISIONS!DP123</f>
        <v>-57.783700895999992</v>
      </c>
      <c r="DQ1129" s="293">
        <f>DIVISIONS!DQ123</f>
        <v>-59.159537549880007</v>
      </c>
      <c r="DR1129" s="293">
        <f>DIVISIONS!DR123</f>
        <v>-116.94323844588</v>
      </c>
      <c r="DS1129" s="293"/>
      <c r="DT1129" s="293"/>
      <c r="DU1129" s="293"/>
      <c r="DV1129" s="293"/>
      <c r="DW1129" s="293"/>
      <c r="DX1129" s="293"/>
      <c r="DY1129" s="293"/>
      <c r="DZ1129" s="293"/>
      <c r="EA1129" s="293"/>
      <c r="EB1129" s="293"/>
      <c r="EC1129" s="293"/>
      <c r="ED1129" s="293"/>
      <c r="EE1129" s="293"/>
      <c r="EF1129" s="293"/>
      <c r="EG1129" s="293"/>
      <c r="EH1129" s="293"/>
      <c r="EI1129" s="293"/>
      <c r="EJ1129" s="293"/>
      <c r="EK1129" s="293"/>
      <c r="EL1129" s="293"/>
      <c r="EM1129" s="293"/>
      <c r="EN1129" s="293"/>
      <c r="EO1129" s="293"/>
      <c r="EP1129" s="293"/>
      <c r="JM1129"/>
    </row>
    <row r="1130" spans="1:273" s="332" customFormat="1">
      <c r="A1130" s="102" t="s">
        <v>616</v>
      </c>
      <c r="B1130" s="103"/>
      <c r="C1130" s="102"/>
      <c r="D1130" s="102"/>
      <c r="E1130" s="102"/>
      <c r="F1130" s="102"/>
      <c r="G1130" s="102"/>
      <c r="H1130" s="102"/>
      <c r="I1130" s="102"/>
      <c r="J1130" s="102"/>
      <c r="K1130" s="102"/>
      <c r="L1130" s="102"/>
      <c r="M1130" s="102"/>
      <c r="N1130" s="102"/>
      <c r="O1130" s="102"/>
      <c r="P1130" s="102"/>
      <c r="Q1130" s="102"/>
      <c r="R1130" s="102"/>
      <c r="S1130" s="102"/>
      <c r="T1130" s="102"/>
      <c r="U1130" s="102"/>
      <c r="V1130" s="102"/>
      <c r="W1130" s="102"/>
      <c r="X1130" s="102"/>
      <c r="Y1130" s="102"/>
      <c r="Z1130" s="102"/>
      <c r="AA1130" s="102"/>
      <c r="AB1130" s="102"/>
      <c r="AC1130" s="102"/>
      <c r="AD1130" s="102"/>
      <c r="AE1130" s="102"/>
      <c r="AF1130" s="102"/>
      <c r="AG1130" s="102"/>
      <c r="AH1130" s="102"/>
      <c r="AI1130" s="102"/>
      <c r="AJ1130" s="102"/>
      <c r="AK1130" s="102"/>
      <c r="AL1130" s="102"/>
      <c r="AM1130" s="102"/>
      <c r="AN1130" s="293"/>
      <c r="AO1130" s="293"/>
      <c r="AP1130" s="293"/>
      <c r="AQ1130" s="293"/>
      <c r="AR1130" s="293">
        <f>DIVISIONS!AR351</f>
        <v>-51</v>
      </c>
      <c r="AS1130" s="293">
        <f>DIVISIONS!AS351</f>
        <v>-98</v>
      </c>
      <c r="AT1130" s="626"/>
      <c r="AU1130" s="626"/>
      <c r="AV1130" s="293">
        <f>DIVISIONS!AV351</f>
        <v>-43</v>
      </c>
      <c r="AW1130" s="293">
        <f>DIVISIONS!AW351</f>
        <v>-58</v>
      </c>
      <c r="AX1130" s="626"/>
      <c r="AY1130" s="293"/>
      <c r="AZ1130" s="293">
        <f>DIVISIONS!AZ351</f>
        <v>-67</v>
      </c>
      <c r="BA1130" s="293">
        <f>DIVISIONS!BA351</f>
        <v>-69</v>
      </c>
      <c r="BB1130" s="293"/>
      <c r="BC1130" s="293"/>
      <c r="BD1130" s="293">
        <f>DIVISIONS!BD351</f>
        <v>-74</v>
      </c>
      <c r="BE1130" s="293">
        <f>DIVISIONS!BE351</f>
        <v>-69</v>
      </c>
      <c r="BF1130" s="293"/>
      <c r="BG1130" s="293"/>
      <c r="BH1130" s="293">
        <f>DIVISIONS!BH351</f>
        <v>-77</v>
      </c>
      <c r="BI1130" s="293">
        <f>DIVISIONS!BI351</f>
        <v>-73</v>
      </c>
      <c r="BJ1130" s="293">
        <f>DIVISIONS!BJ351</f>
        <v>-150</v>
      </c>
      <c r="BK1130" s="293"/>
      <c r="BL1130" s="293">
        <f>DIVISIONS!BL351</f>
        <v>-87</v>
      </c>
      <c r="BM1130" s="293">
        <f>DIVISIONS!BM351</f>
        <v>-86</v>
      </c>
      <c r="BN1130" s="293">
        <f>DIVISIONS!BN351</f>
        <v>-173</v>
      </c>
      <c r="BO1130" s="648">
        <f>+BN1130/BJ1130-1</f>
        <v>0.15333333333333332</v>
      </c>
      <c r="BP1130" s="293">
        <f>DIVISIONS!BP351</f>
        <v>-88</v>
      </c>
      <c r="BQ1130" s="293">
        <f>DIVISIONS!BQ351</f>
        <v>-100</v>
      </c>
      <c r="BR1130" s="293">
        <f>DIVISIONS!BR351</f>
        <v>-188</v>
      </c>
      <c r="BS1130" s="648">
        <f>+BR1130/BN1130-1</f>
        <v>8.6705202312138629E-2</v>
      </c>
      <c r="BT1130" s="293">
        <f>DIVISIONS!BT351</f>
        <v>-104</v>
      </c>
      <c r="BU1130" s="293">
        <f>DIVISIONS!BU351</f>
        <v>-115</v>
      </c>
      <c r="BV1130" s="293">
        <f>DIVISIONS!BV351</f>
        <v>-219</v>
      </c>
      <c r="BW1130" s="648">
        <f>+BV1130/BR1130-1</f>
        <v>0.16489361702127669</v>
      </c>
      <c r="BX1130" s="293">
        <f>DIVISIONS!BX351</f>
        <v>-97</v>
      </c>
      <c r="BY1130" s="293">
        <f>DIVISIONS!BY351</f>
        <v>-103</v>
      </c>
      <c r="BZ1130" s="293">
        <f>DIVISIONS!BZ351</f>
        <v>-200</v>
      </c>
      <c r="CA1130" s="648">
        <f>+BZ1130/BV1130-1</f>
        <v>-8.6757990867579959E-2</v>
      </c>
      <c r="CB1130" s="293">
        <f>DIVISIONS!CB351</f>
        <v>-83</v>
      </c>
      <c r="CC1130" s="293">
        <f>DIVISIONS!CC351</f>
        <v>-74</v>
      </c>
      <c r="CD1130" s="293">
        <f>DIVISIONS!CD351</f>
        <v>-157</v>
      </c>
      <c r="CE1130" s="648">
        <f>+CD1130/BZ1130-1</f>
        <v>-0.21499999999999997</v>
      </c>
      <c r="CF1130" s="293">
        <f>DIVISIONS!CF351</f>
        <v>-128</v>
      </c>
      <c r="CG1130" s="293">
        <f>DIVISIONS!CG351</f>
        <v>-120</v>
      </c>
      <c r="CH1130" s="293">
        <f>DIVISIONS!CH351</f>
        <v>-248</v>
      </c>
      <c r="CI1130" s="648">
        <f>+CH1130/CD1130-1</f>
        <v>0.57961783439490455</v>
      </c>
      <c r="CJ1130" s="293">
        <f>DIVISIONS!CJ351</f>
        <v>-127</v>
      </c>
      <c r="CK1130" s="293">
        <f>DIVISIONS!CK351</f>
        <v>-140</v>
      </c>
      <c r="CL1130" s="293">
        <f>DIVISIONS!CL351</f>
        <v>-267</v>
      </c>
      <c r="CM1130" s="648">
        <f>+CL1130/CH1130-1</f>
        <v>7.6612903225806495E-2</v>
      </c>
      <c r="CN1130" s="293">
        <f>DIVISIONS!CN351</f>
        <v>-123</v>
      </c>
      <c r="CO1130" s="293">
        <f>DIVISIONS!CO351</f>
        <v>-126</v>
      </c>
      <c r="CP1130" s="293">
        <f>DIVISIONS!CP351</f>
        <v>-249</v>
      </c>
      <c r="CQ1130" s="648">
        <f>+CP1130/CL1130-1</f>
        <v>-6.7415730337078705E-2</v>
      </c>
      <c r="CR1130" s="293">
        <f>DIVISIONS!CR351</f>
        <v>-207</v>
      </c>
      <c r="CS1130" s="293">
        <f>DIVISIONS!CS351</f>
        <v>-225</v>
      </c>
      <c r="CT1130" s="293">
        <f>DIVISIONS!CT351</f>
        <v>-432</v>
      </c>
      <c r="CU1130" s="648"/>
      <c r="CV1130" s="293">
        <f>DIVISIONS!CV351</f>
        <v>-193</v>
      </c>
      <c r="CW1130" s="293">
        <f>DIVISIONS!CW351</f>
        <v>-206</v>
      </c>
      <c r="CX1130" s="293">
        <f>DIVISIONS!CX351</f>
        <v>-399</v>
      </c>
      <c r="CY1130" s="648"/>
      <c r="CZ1130" s="293">
        <f>DIVISIONS!CZ351</f>
        <v>-194</v>
      </c>
      <c r="DA1130" s="293">
        <f>DIVISIONS!DA351</f>
        <v>-191</v>
      </c>
      <c r="DB1130" s="293">
        <f>DIVISIONS!DB351</f>
        <v>-385</v>
      </c>
      <c r="DC1130" s="648"/>
      <c r="DD1130" s="293">
        <f>DIVISIONS!DD351</f>
        <v>-193</v>
      </c>
      <c r="DE1130" s="293">
        <f>DIVISIONS!DE351</f>
        <v>-229</v>
      </c>
      <c r="DF1130" s="293">
        <f>DIVISIONS!DF351</f>
        <v>-422</v>
      </c>
      <c r="DG1130" s="648"/>
      <c r="DH1130" s="293">
        <f>DIVISIONS!DH351</f>
        <v>-222</v>
      </c>
      <c r="DI1130" s="293">
        <f>DIVISIONS!DI351</f>
        <v>-167.03196065666813</v>
      </c>
      <c r="DJ1130" s="293">
        <f>DIVISIONS!DJ351</f>
        <v>-389.03196065666816</v>
      </c>
      <c r="DK1130" s="648"/>
      <c r="DL1130" s="293">
        <f>DIVISIONS!DL351</f>
        <v>-158.93483593116875</v>
      </c>
      <c r="DM1130" s="293">
        <f>DIVISIONS!DM351</f>
        <v>-161.25252548802806</v>
      </c>
      <c r="DN1130" s="293">
        <f>DIVISIONS!DN351</f>
        <v>-320.1873614191968</v>
      </c>
      <c r="DO1130" s="293"/>
      <c r="DP1130" s="293">
        <f>DIVISIONS!DP351</f>
        <v>-165.24520209397519</v>
      </c>
      <c r="DQ1130" s="293">
        <f>DIVISIONS!DQ351</f>
        <v>-168.9377686892262</v>
      </c>
      <c r="DR1130" s="293">
        <f>DIVISIONS!DR351</f>
        <v>-334.18297078320143</v>
      </c>
      <c r="DS1130" s="293"/>
      <c r="DT1130" s="293"/>
      <c r="DU1130" s="293"/>
      <c r="DV1130" s="293"/>
      <c r="DW1130" s="293"/>
      <c r="DX1130" s="293"/>
      <c r="DY1130" s="293"/>
      <c r="DZ1130" s="293"/>
      <c r="EA1130" s="293"/>
      <c r="EB1130" s="293"/>
      <c r="EC1130" s="293"/>
      <c r="ED1130" s="293"/>
      <c r="EE1130" s="293"/>
      <c r="EF1130" s="293"/>
      <c r="EG1130" s="293"/>
      <c r="EH1130" s="293"/>
      <c r="EI1130" s="293"/>
      <c r="EJ1130" s="293"/>
      <c r="EK1130" s="293"/>
      <c r="EL1130" s="293"/>
      <c r="EM1130" s="293"/>
      <c r="EN1130" s="293"/>
      <c r="EO1130" s="293"/>
      <c r="EP1130" s="293"/>
      <c r="JM1130"/>
    </row>
    <row r="1131" spans="1:273" s="332" customFormat="1">
      <c r="A1131" s="102" t="s">
        <v>1024</v>
      </c>
      <c r="B1131" s="103"/>
      <c r="C1131" s="102"/>
      <c r="D1131" s="102"/>
      <c r="E1131" s="102"/>
      <c r="F1131" s="102"/>
      <c r="G1131" s="102"/>
      <c r="H1131" s="102"/>
      <c r="I1131" s="102"/>
      <c r="J1131" s="102"/>
      <c r="K1131" s="102"/>
      <c r="L1131" s="102"/>
      <c r="M1131" s="102"/>
      <c r="N1131" s="102"/>
      <c r="O1131" s="102"/>
      <c r="P1131" s="102"/>
      <c r="Q1131" s="102"/>
      <c r="R1131" s="102"/>
      <c r="S1131" s="102"/>
      <c r="T1131" s="102"/>
      <c r="U1131" s="102"/>
      <c r="V1131" s="102"/>
      <c r="W1131" s="102"/>
      <c r="X1131" s="102"/>
      <c r="Y1131" s="102"/>
      <c r="Z1131" s="102"/>
      <c r="AA1131" s="102"/>
      <c r="AB1131" s="102"/>
      <c r="AC1131" s="102"/>
      <c r="AD1131" s="102"/>
      <c r="AE1131" s="102"/>
      <c r="AF1131" s="102"/>
      <c r="AG1131" s="102"/>
      <c r="AH1131" s="102"/>
      <c r="AI1131" s="102"/>
      <c r="AJ1131" s="102"/>
      <c r="AK1131" s="102"/>
      <c r="AL1131" s="102"/>
      <c r="AM1131" s="102"/>
      <c r="AN1131" s="293"/>
      <c r="AO1131" s="293"/>
      <c r="AP1131" s="293"/>
      <c r="AQ1131" s="293"/>
      <c r="AR1131" s="293">
        <f>DIVISIONS!AR239</f>
        <v>-187</v>
      </c>
      <c r="AS1131" s="293">
        <f>DIVISIONS!AS239</f>
        <v>-160</v>
      </c>
      <c r="AT1131" s="626"/>
      <c r="AU1131" s="626"/>
      <c r="AV1131" s="293">
        <f>DIVISIONS!AV239</f>
        <v>-195</v>
      </c>
      <c r="AW1131" s="293">
        <f>DIVISIONS!AW239</f>
        <v>-161</v>
      </c>
      <c r="AX1131" s="626"/>
      <c r="AY1131" s="293"/>
      <c r="AZ1131" s="293">
        <f>DIVISIONS!AZ239</f>
        <v>-197</v>
      </c>
      <c r="BA1131" s="293">
        <f>DIVISIONS!BA239</f>
        <v>-218</v>
      </c>
      <c r="BB1131" s="293"/>
      <c r="BC1131" s="293"/>
      <c r="BD1131" s="293">
        <f>DIVISIONS!BD239</f>
        <v>-219</v>
      </c>
      <c r="BE1131" s="293">
        <f>DIVISIONS!BE239</f>
        <v>-173.33330000000001</v>
      </c>
      <c r="BF1131" s="293"/>
      <c r="BG1131" s="293"/>
      <c r="BH1131" s="293">
        <f>DIVISIONS!BH239</f>
        <v>-146</v>
      </c>
      <c r="BI1131" s="293">
        <f>DIVISIONS!BI239</f>
        <v>-127</v>
      </c>
      <c r="BJ1131" s="293">
        <f>DIVISIONS!BJ239</f>
        <v>-273</v>
      </c>
      <c r="BK1131" s="293"/>
      <c r="BL1131" s="293">
        <f>DIVISIONS!BL239</f>
        <v>-190</v>
      </c>
      <c r="BM1131" s="293">
        <f>DIVISIONS!BM239</f>
        <v>-221</v>
      </c>
      <c r="BN1131" s="293">
        <f>DIVISIONS!BN239</f>
        <v>-411</v>
      </c>
      <c r="BO1131" s="648">
        <f>+BN1131/BJ1131-1</f>
        <v>0.50549450549450547</v>
      </c>
      <c r="BP1131" s="293">
        <f>DIVISIONS!BP239</f>
        <v>-195</v>
      </c>
      <c r="BQ1131" s="293">
        <f>DIVISIONS!BQ239</f>
        <v>-221</v>
      </c>
      <c r="BR1131" s="293">
        <f>DIVISIONS!BR239</f>
        <v>-416</v>
      </c>
      <c r="BS1131" s="648">
        <f>+BR1131/BN1131-1</f>
        <v>1.2165450121654597E-2</v>
      </c>
      <c r="BT1131" s="293">
        <f>DIVISIONS!BT239</f>
        <v>-227</v>
      </c>
      <c r="BU1131" s="293">
        <f>DIVISIONS!BU239</f>
        <v>-216</v>
      </c>
      <c r="BV1131" s="293">
        <f>DIVISIONS!BV239</f>
        <v>-443</v>
      </c>
      <c r="BW1131" s="648">
        <f>+BV1131/BR1131-1</f>
        <v>6.4903846153846256E-2</v>
      </c>
      <c r="BX1131" s="293">
        <f>DIVISIONS!BX239</f>
        <v>-205</v>
      </c>
      <c r="BY1131" s="293">
        <f>DIVISIONS!BY239</f>
        <v>-218</v>
      </c>
      <c r="BZ1131" s="293">
        <f>DIVISIONS!BZ239</f>
        <v>-423</v>
      </c>
      <c r="CA1131" s="648">
        <f>+BZ1131/BV1131-1</f>
        <v>-4.5146726862302478E-2</v>
      </c>
      <c r="CB1131" s="293">
        <f>DIVISIONS!CB239</f>
        <v>-190</v>
      </c>
      <c r="CC1131" s="293">
        <f>DIVISIONS!CC239</f>
        <v>-208</v>
      </c>
      <c r="CD1131" s="293">
        <f>DIVISIONS!CD239</f>
        <v>-398</v>
      </c>
      <c r="CE1131" s="648">
        <f>+CD1131/BZ1131-1</f>
        <v>-5.9101654846335672E-2</v>
      </c>
      <c r="CF1131" s="293">
        <f>DIVISIONS!CF239</f>
        <v>-320</v>
      </c>
      <c r="CG1131" s="293">
        <f>DIVISIONS!CG239</f>
        <v>-316</v>
      </c>
      <c r="CH1131" s="293">
        <f>DIVISIONS!CH239</f>
        <v>-636</v>
      </c>
      <c r="CI1131" s="648">
        <f>+CH1131/CD1131-1</f>
        <v>0.59798994974874375</v>
      </c>
      <c r="CJ1131" s="293">
        <f>DIVISIONS!CJ239</f>
        <v>-218</v>
      </c>
      <c r="CK1131" s="293">
        <f>DIVISIONS!CK239</f>
        <v>-200</v>
      </c>
      <c r="CL1131" s="293">
        <f>DIVISIONS!CL239</f>
        <v>-418</v>
      </c>
      <c r="CM1131" s="648">
        <f>+CL1131/CH1131-1</f>
        <v>-0.34276729559748431</v>
      </c>
      <c r="CN1131" s="293">
        <f>DIVISIONS!CN239</f>
        <v>-216</v>
      </c>
      <c r="CO1131" s="293">
        <f>DIVISIONS!CO239</f>
        <v>-172</v>
      </c>
      <c r="CP1131" s="293">
        <f>DIVISIONS!CP239</f>
        <v>-388</v>
      </c>
      <c r="CQ1131" s="648">
        <f>+CP1131/CL1131-1</f>
        <v>-7.1770334928229707E-2</v>
      </c>
      <c r="CR1131" s="293">
        <f>DIVISIONS!CR239</f>
        <v>-195</v>
      </c>
      <c r="CS1131" s="293">
        <f>DIVISIONS!CS239</f>
        <v>-194</v>
      </c>
      <c r="CT1131" s="293">
        <f>DIVISIONS!CT239</f>
        <v>-389</v>
      </c>
      <c r="CU1131" s="648"/>
      <c r="CV1131" s="293">
        <f>DIVISIONS!CV239</f>
        <v>-193</v>
      </c>
      <c r="CW1131" s="293">
        <f>DIVISIONS!CW239</f>
        <v>-222</v>
      </c>
      <c r="CX1131" s="293">
        <f>DIVISIONS!CX239</f>
        <v>-415</v>
      </c>
      <c r="CY1131" s="648"/>
      <c r="CZ1131" s="293">
        <f>DIVISIONS!CZ239</f>
        <v>-222</v>
      </c>
      <c r="DA1131" s="293">
        <f>DIVISIONS!DA239</f>
        <v>-229</v>
      </c>
      <c r="DB1131" s="293">
        <f>DIVISIONS!DB239</f>
        <v>-451</v>
      </c>
      <c r="DC1131" s="648"/>
      <c r="DD1131" s="293">
        <f>DIVISIONS!DD239</f>
        <v>-244</v>
      </c>
      <c r="DE1131" s="293">
        <f>DIVISIONS!DE239</f>
        <v>-237</v>
      </c>
      <c r="DF1131" s="293">
        <f>DIVISIONS!DF239</f>
        <v>-481</v>
      </c>
      <c r="DG1131" s="648"/>
      <c r="DH1131" s="293">
        <f>DIVISIONS!DH239</f>
        <v>-248</v>
      </c>
      <c r="DI1131" s="293">
        <f>DIVISIONS!DI239</f>
        <v>-250.035</v>
      </c>
      <c r="DJ1131" s="293">
        <f>DIVISIONS!DJ239</f>
        <v>-498.03499999999997</v>
      </c>
      <c r="DK1131" s="648"/>
      <c r="DL1131" s="293">
        <f>DIVISIONS!DL239</f>
        <v>-236.84</v>
      </c>
      <c r="DM1131" s="293">
        <f>DIVISIONS!DM239</f>
        <v>-256.28587499999998</v>
      </c>
      <c r="DN1131" s="293">
        <f>DIVISIONS!DN239</f>
        <v>-493.12587499999995</v>
      </c>
      <c r="DO1131" s="293"/>
      <c r="DP1131" s="293">
        <f>DIVISIONS!DP239</f>
        <v>-243.9452</v>
      </c>
      <c r="DQ1131" s="293">
        <f>DIVISIONS!DQ239</f>
        <v>-263.97445124999996</v>
      </c>
      <c r="DR1131" s="293">
        <f>DIVISIONS!DR239</f>
        <v>-507.91965124999996</v>
      </c>
      <c r="DS1131" s="293"/>
      <c r="DT1131" s="293"/>
      <c r="DU1131" s="293"/>
      <c r="DV1131" s="293"/>
      <c r="DW1131" s="293"/>
      <c r="DX1131" s="293"/>
      <c r="DY1131" s="293"/>
      <c r="DZ1131" s="293"/>
      <c r="EA1131" s="293"/>
      <c r="EB1131" s="293"/>
      <c r="EC1131" s="293"/>
      <c r="ED1131" s="293"/>
      <c r="EE1131" s="293"/>
      <c r="EF1131" s="293"/>
      <c r="EG1131" s="293"/>
      <c r="EH1131" s="293"/>
      <c r="EI1131" s="293"/>
      <c r="EJ1131" s="293"/>
      <c r="EK1131" s="293"/>
      <c r="EL1131" s="293"/>
      <c r="EM1131" s="293"/>
      <c r="EN1131" s="293"/>
      <c r="EO1131" s="293"/>
      <c r="EP1131" s="293"/>
      <c r="JM1131"/>
    </row>
    <row r="1132" spans="1:273" s="332" customFormat="1">
      <c r="A1132" s="102" t="s">
        <v>690</v>
      </c>
      <c r="B1132" s="103"/>
      <c r="C1132" s="102"/>
      <c r="D1132" s="102"/>
      <c r="E1132" s="102"/>
      <c r="F1132" s="102"/>
      <c r="G1132" s="102"/>
      <c r="H1132" s="102"/>
      <c r="I1132" s="102"/>
      <c r="J1132" s="102"/>
      <c r="K1132" s="102"/>
      <c r="L1132" s="102"/>
      <c r="M1132" s="102"/>
      <c r="N1132" s="102"/>
      <c r="O1132" s="102"/>
      <c r="P1132" s="102"/>
      <c r="Q1132" s="102"/>
      <c r="R1132" s="102"/>
      <c r="S1132" s="102"/>
      <c r="T1132" s="102"/>
      <c r="U1132" s="102"/>
      <c r="V1132" s="102"/>
      <c r="W1132" s="102"/>
      <c r="X1132" s="102"/>
      <c r="Y1132" s="102"/>
      <c r="Z1132" s="102"/>
      <c r="AA1132" s="102"/>
      <c r="AB1132" s="102"/>
      <c r="AC1132" s="102"/>
      <c r="AD1132" s="102"/>
      <c r="AE1132" s="102"/>
      <c r="AF1132" s="102"/>
      <c r="AG1132" s="102"/>
      <c r="AH1132" s="102"/>
      <c r="AI1132" s="102"/>
      <c r="AJ1132" s="102"/>
      <c r="AK1132" s="102"/>
      <c r="AL1132" s="102"/>
      <c r="AM1132" s="102"/>
      <c r="AN1132" s="293"/>
      <c r="AO1132" s="293"/>
      <c r="AP1132" s="293"/>
      <c r="AQ1132" s="293"/>
      <c r="AR1132" s="293">
        <f>DIVISIONS!AR478</f>
        <v>0</v>
      </c>
      <c r="AS1132" s="293">
        <f>DIVISIONS!AS478</f>
        <v>0</v>
      </c>
      <c r="AT1132" s="626"/>
      <c r="AU1132" s="626"/>
      <c r="AV1132" s="293">
        <f>DIVISIONS!AV478</f>
        <v>0</v>
      </c>
      <c r="AW1132" s="293">
        <f>DIVISIONS!AW478</f>
        <v>0</v>
      </c>
      <c r="AX1132" s="626"/>
      <c r="AY1132" s="293"/>
      <c r="AZ1132" s="293">
        <f>DIVISIONS!AZ478</f>
        <v>0</v>
      </c>
      <c r="BA1132" s="293">
        <f>DIVISIONS!BA478</f>
        <v>0</v>
      </c>
      <c r="BB1132" s="293"/>
      <c r="BC1132" s="293"/>
      <c r="BD1132" s="293">
        <f>DIVISIONS!BD478</f>
        <v>-11</v>
      </c>
      <c r="BE1132" s="293">
        <f>DIVISIONS!BE478</f>
        <v>-5</v>
      </c>
      <c r="BF1132" s="293"/>
      <c r="BG1132" s="293"/>
      <c r="BH1132" s="293">
        <f>DIVISIONS!BH478</f>
        <v>-4</v>
      </c>
      <c r="BI1132" s="293">
        <f>DIVISIONS!BI478</f>
        <v>-10</v>
      </c>
      <c r="BJ1132" s="293">
        <f>DIVISIONS!BJ478</f>
        <v>-14</v>
      </c>
      <c r="BK1132" s="293"/>
      <c r="BL1132" s="293">
        <f>DIVISIONS!BL478</f>
        <v>-6</v>
      </c>
      <c r="BM1132" s="293">
        <f>DIVISIONS!BM478</f>
        <v>-7</v>
      </c>
      <c r="BN1132" s="293">
        <f>DIVISIONS!BN478</f>
        <v>-13</v>
      </c>
      <c r="BO1132" s="648">
        <f>+BN1132/BJ1132-1</f>
        <v>-7.1428571428571397E-2</v>
      </c>
      <c r="BP1132" s="293">
        <f>DIVISIONS!BP478</f>
        <v>-4</v>
      </c>
      <c r="BQ1132" s="293">
        <f>DIVISIONS!BQ478</f>
        <v>-7</v>
      </c>
      <c r="BR1132" s="293">
        <f>DIVISIONS!BR478</f>
        <v>-11</v>
      </c>
      <c r="BS1132" s="648">
        <f>+BR1132/BN1132-1</f>
        <v>-0.15384615384615385</v>
      </c>
      <c r="BT1132" s="293">
        <f>DIVISIONS!BT478</f>
        <v>-3</v>
      </c>
      <c r="BU1132" s="293">
        <f>DIVISIONS!BU478</f>
        <v>-4</v>
      </c>
      <c r="BV1132" s="293">
        <f>DIVISIONS!BV478</f>
        <v>-7</v>
      </c>
      <c r="BW1132" s="648">
        <f>+BV1132/BR1132-1</f>
        <v>-0.36363636363636365</v>
      </c>
      <c r="BX1132" s="293">
        <f>DIVISIONS!BX478</f>
        <v>-4</v>
      </c>
      <c r="BY1132" s="293">
        <f>DIVISIONS!BY478</f>
        <v>-5</v>
      </c>
      <c r="BZ1132" s="293">
        <f>DIVISIONS!BZ478</f>
        <v>-9</v>
      </c>
      <c r="CA1132" s="648">
        <f>+BZ1132/BV1132-1</f>
        <v>0.28571428571428581</v>
      </c>
      <c r="CB1132" s="293">
        <f>DIVISIONS!CB478</f>
        <v>-41</v>
      </c>
      <c r="CC1132" s="293">
        <f>DIVISIONS!CC478</f>
        <v>-17</v>
      </c>
      <c r="CD1132" s="293">
        <f>DIVISIONS!CD478</f>
        <v>-58</v>
      </c>
      <c r="CE1132" s="648">
        <f>+CD1132/BZ1132-1</f>
        <v>5.4444444444444446</v>
      </c>
      <c r="CF1132" s="293">
        <f>DIVISIONS!CF478</f>
        <v>0</v>
      </c>
      <c r="CG1132" s="293">
        <f>DIVISIONS!CG478</f>
        <v>0</v>
      </c>
      <c r="CH1132" s="293">
        <f>DIVISIONS!CH478</f>
        <v>0</v>
      </c>
      <c r="CI1132" s="648">
        <f>+CH1132/CD1132-1</f>
        <v>-1</v>
      </c>
      <c r="CJ1132" s="293">
        <f>DIVISIONS!CJ478</f>
        <v>0</v>
      </c>
      <c r="CK1132" s="293">
        <f>DIVISIONS!CK478</f>
        <v>0</v>
      </c>
      <c r="CL1132" s="293">
        <f>DIVISIONS!CL478</f>
        <v>0</v>
      </c>
      <c r="CM1132" s="648"/>
      <c r="CN1132" s="293">
        <f>DIVISIONS!CN478</f>
        <v>0</v>
      </c>
      <c r="CO1132" s="293">
        <f>DIVISIONS!CO478</f>
        <v>0</v>
      </c>
      <c r="CP1132" s="293">
        <f>DIVISIONS!CP478</f>
        <v>0</v>
      </c>
      <c r="CQ1132" s="648"/>
      <c r="CR1132" s="293">
        <f>DIVISIONS!CR478</f>
        <v>0</v>
      </c>
      <c r="CS1132" s="293">
        <f>DIVISIONS!CS478</f>
        <v>0</v>
      </c>
      <c r="CT1132" s="293">
        <f>DIVISIONS!CT478</f>
        <v>0</v>
      </c>
      <c r="CU1132" s="648"/>
      <c r="CV1132" s="293">
        <f>DIVISIONS!CV478</f>
        <v>0</v>
      </c>
      <c r="CW1132" s="293">
        <f>DIVISIONS!CW478</f>
        <v>0</v>
      </c>
      <c r="CX1132" s="293">
        <f>DIVISIONS!CX478</f>
        <v>0</v>
      </c>
      <c r="CY1132" s="648"/>
      <c r="CZ1132" s="293">
        <f>DIVISIONS!CZ478</f>
        <v>0</v>
      </c>
      <c r="DA1132" s="293">
        <f>DIVISIONS!DA478</f>
        <v>0</v>
      </c>
      <c r="DB1132" s="293">
        <f>DIVISIONS!DB478</f>
        <v>0</v>
      </c>
      <c r="DC1132" s="648"/>
      <c r="DD1132" s="293">
        <f>DIVISIONS!DD478</f>
        <v>0</v>
      </c>
      <c r="DE1132" s="293">
        <f>DIVISIONS!DE478</f>
        <v>0</v>
      </c>
      <c r="DF1132" s="293">
        <f>DIVISIONS!DF478</f>
        <v>0</v>
      </c>
      <c r="DG1132" s="648"/>
      <c r="DH1132" s="293">
        <f>DIVISIONS!DH478</f>
        <v>0</v>
      </c>
      <c r="DI1132" s="293">
        <f>DIVISIONS!DI478</f>
        <v>0</v>
      </c>
      <c r="DJ1132" s="293">
        <f>DIVISIONS!DJ478</f>
        <v>0</v>
      </c>
      <c r="DK1132" s="648"/>
      <c r="DL1132" s="293">
        <f>DIVISIONS!DL478</f>
        <v>0</v>
      </c>
      <c r="DM1132" s="293">
        <f>DIVISIONS!DM478</f>
        <v>0</v>
      </c>
      <c r="DN1132" s="293">
        <f>DIVISIONS!DN478</f>
        <v>0</v>
      </c>
      <c r="DO1132" s="293"/>
      <c r="DP1132" s="293">
        <f>DIVISIONS!DP478</f>
        <v>0</v>
      </c>
      <c r="DQ1132" s="293">
        <f>DIVISIONS!DQ478</f>
        <v>0</v>
      </c>
      <c r="DR1132" s="293">
        <f>DIVISIONS!DR478</f>
        <v>0</v>
      </c>
      <c r="DS1132" s="293"/>
      <c r="DT1132" s="293"/>
      <c r="DU1132" s="293"/>
      <c r="DV1132" s="293"/>
      <c r="DW1132" s="293"/>
      <c r="DX1132" s="293"/>
      <c r="DY1132" s="293"/>
      <c r="DZ1132" s="293"/>
      <c r="EA1132" s="293"/>
      <c r="EB1132" s="293"/>
      <c r="EC1132" s="293"/>
      <c r="ED1132" s="293"/>
      <c r="EE1132" s="293"/>
      <c r="EF1132" s="293"/>
      <c r="EG1132" s="293"/>
      <c r="EH1132" s="293"/>
      <c r="EI1132" s="293"/>
      <c r="EJ1132" s="293"/>
      <c r="EK1132" s="293"/>
      <c r="EL1132" s="293"/>
      <c r="EM1132" s="293"/>
      <c r="EN1132" s="293"/>
      <c r="EO1132" s="293"/>
      <c r="EP1132" s="293"/>
      <c r="JM1132"/>
    </row>
    <row r="1133" spans="1:273" s="332" customFormat="1">
      <c r="A1133" s="102" t="s">
        <v>689</v>
      </c>
      <c r="B1133" s="103"/>
      <c r="C1133" s="102"/>
      <c r="D1133" s="102"/>
      <c r="E1133" s="102"/>
      <c r="F1133" s="102"/>
      <c r="G1133" s="102"/>
      <c r="H1133" s="102"/>
      <c r="I1133" s="102"/>
      <c r="J1133" s="102"/>
      <c r="K1133" s="102"/>
      <c r="L1133" s="102"/>
      <c r="M1133" s="102"/>
      <c r="N1133" s="102"/>
      <c r="O1133" s="102"/>
      <c r="P1133" s="102"/>
      <c r="Q1133" s="102"/>
      <c r="R1133" s="102"/>
      <c r="S1133" s="102"/>
      <c r="T1133" s="102"/>
      <c r="U1133" s="102"/>
      <c r="V1133" s="102"/>
      <c r="W1133" s="102"/>
      <c r="X1133" s="102"/>
      <c r="Y1133" s="102"/>
      <c r="Z1133" s="102"/>
      <c r="AA1133" s="102"/>
      <c r="AB1133" s="102"/>
      <c r="AC1133" s="102"/>
      <c r="AD1133" s="102"/>
      <c r="AE1133" s="102"/>
      <c r="AF1133" s="102"/>
      <c r="AG1133" s="102"/>
      <c r="AH1133" s="102"/>
      <c r="AI1133" s="102"/>
      <c r="AJ1133" s="102"/>
      <c r="AK1133" s="102"/>
      <c r="AL1133" s="102"/>
      <c r="AM1133" s="102"/>
      <c r="AN1133" s="293"/>
      <c r="AO1133" s="293"/>
      <c r="AP1133" s="293"/>
      <c r="AQ1133" s="293"/>
      <c r="AR1133" s="293">
        <f>DIVISIONS!AR553</f>
        <v>-67</v>
      </c>
      <c r="AS1133" s="293">
        <f>DIVISIONS!AS553</f>
        <v>-73</v>
      </c>
      <c r="AT1133" s="626"/>
      <c r="AU1133" s="626"/>
      <c r="AV1133" s="293">
        <f>DIVISIONS!AV553</f>
        <v>-65</v>
      </c>
      <c r="AW1133" s="293">
        <f>DIVISIONS!AW553</f>
        <v>-56</v>
      </c>
      <c r="AX1133" s="626"/>
      <c r="AY1133" s="293"/>
      <c r="AZ1133" s="293">
        <f>DIVISIONS!AZ553</f>
        <v>-75</v>
      </c>
      <c r="BA1133" s="293">
        <f>DIVISIONS!BA553</f>
        <v>-74</v>
      </c>
      <c r="BB1133" s="293"/>
      <c r="BC1133" s="293"/>
      <c r="BD1133" s="293">
        <f>DIVISIONS!BD553</f>
        <v>-79</v>
      </c>
      <c r="BE1133" s="293">
        <f>DIVISIONS!BE553</f>
        <v>-85</v>
      </c>
      <c r="BF1133" s="293"/>
      <c r="BG1133" s="293"/>
      <c r="BH1133" s="293">
        <f>DIVISIONS!BH553</f>
        <v>-90</v>
      </c>
      <c r="BI1133" s="293">
        <f>DIVISIONS!BI553</f>
        <v>-68</v>
      </c>
      <c r="BJ1133" s="293">
        <f>DIVISIONS!BJ553</f>
        <v>-158</v>
      </c>
      <c r="BK1133" s="293"/>
      <c r="BL1133" s="293">
        <f>DIVISIONS!BL553</f>
        <v>-88</v>
      </c>
      <c r="BM1133" s="293">
        <f>DIVISIONS!BM553</f>
        <v>-80</v>
      </c>
      <c r="BN1133" s="293">
        <f>DIVISIONS!BN553</f>
        <v>-168</v>
      </c>
      <c r="BO1133" s="648">
        <f>+BN1133/BJ1133-1</f>
        <v>6.3291139240506222E-2</v>
      </c>
      <c r="BP1133" s="293">
        <f>DIVISIONS!BP553</f>
        <v>-95</v>
      </c>
      <c r="BQ1133" s="293">
        <f>DIVISIONS!BQ553</f>
        <v>-103</v>
      </c>
      <c r="BR1133" s="293">
        <f>DIVISIONS!BR553</f>
        <v>-198</v>
      </c>
      <c r="BS1133" s="648">
        <f>+BR1133/BN1133-1</f>
        <v>0.1785714285714286</v>
      </c>
      <c r="BT1133" s="293">
        <f>DIVISIONS!BT553</f>
        <v>-102</v>
      </c>
      <c r="BU1133" s="293">
        <f>DIVISIONS!BU553</f>
        <v>-105</v>
      </c>
      <c r="BV1133" s="293">
        <f>DIVISIONS!BV553</f>
        <v>-207</v>
      </c>
      <c r="BW1133" s="648">
        <f>+BV1133/BR1133-1</f>
        <v>4.5454545454545414E-2</v>
      </c>
      <c r="BX1133" s="293">
        <f>DIVISIONS!BX553</f>
        <v>-105</v>
      </c>
      <c r="BY1133" s="293">
        <f>DIVISIONS!BY553</f>
        <v>-103</v>
      </c>
      <c r="BZ1133" s="293">
        <f>DIVISIONS!BZ553</f>
        <v>-208</v>
      </c>
      <c r="CA1133" s="648">
        <f>+BZ1133/BV1133-1</f>
        <v>4.8309178743961567E-3</v>
      </c>
      <c r="CB1133" s="293">
        <f>DIVISIONS!CB553</f>
        <v>-104</v>
      </c>
      <c r="CC1133" s="293">
        <f>DIVISIONS!CC553</f>
        <v>-109</v>
      </c>
      <c r="CD1133" s="293">
        <f>DIVISIONS!CD553</f>
        <v>-213</v>
      </c>
      <c r="CE1133" s="648">
        <f>+CD1133/BZ1133-1</f>
        <v>2.4038461538461453E-2</v>
      </c>
      <c r="CF1133" s="293">
        <f>DIVISIONS!CF553</f>
        <v>-108</v>
      </c>
      <c r="CG1133" s="293">
        <f>DIVISIONS!CG553</f>
        <v>-108</v>
      </c>
      <c r="CH1133" s="293">
        <f>DIVISIONS!CH553</f>
        <v>-216</v>
      </c>
      <c r="CI1133" s="648">
        <f>+CH1133/CD1133-1</f>
        <v>1.4084507042253502E-2</v>
      </c>
      <c r="CJ1133" s="293">
        <f>DIVISIONS!CJ553</f>
        <v>-87</v>
      </c>
      <c r="CK1133" s="293">
        <f>DIVISIONS!CK553</f>
        <v>-85</v>
      </c>
      <c r="CL1133" s="293">
        <f>DIVISIONS!CL553</f>
        <v>-172</v>
      </c>
      <c r="CM1133" s="648">
        <f>+CL1133/CH1133-1</f>
        <v>-0.20370370370370372</v>
      </c>
      <c r="CN1133" s="293">
        <f>DIVISIONS!CN553</f>
        <v>-81</v>
      </c>
      <c r="CO1133" s="293">
        <f>DIVISIONS!CO553</f>
        <v>-61</v>
      </c>
      <c r="CP1133" s="293">
        <f>DIVISIONS!CP553</f>
        <v>-142</v>
      </c>
      <c r="CQ1133" s="648">
        <f>+CP1133/CL1133-1</f>
        <v>-0.17441860465116277</v>
      </c>
      <c r="CR1133" s="293">
        <f>DIVISIONS!CR553</f>
        <v>-53</v>
      </c>
      <c r="CS1133" s="293">
        <f>DIVISIONS!CS553</f>
        <v>-53</v>
      </c>
      <c r="CT1133" s="293">
        <f>DIVISIONS!CT553</f>
        <v>-106</v>
      </c>
      <c r="CU1133" s="648"/>
      <c r="CV1133" s="293">
        <f>DIVISIONS!CV553</f>
        <v>-59</v>
      </c>
      <c r="CW1133" s="293">
        <f>DIVISIONS!CW553</f>
        <v>-66</v>
      </c>
      <c r="CX1133" s="293">
        <f>DIVISIONS!CX553</f>
        <v>-125</v>
      </c>
      <c r="CY1133" s="648"/>
      <c r="CZ1133" s="293">
        <f>DIVISIONS!CZ553</f>
        <v>-65</v>
      </c>
      <c r="DA1133" s="293">
        <f>DIVISIONS!DA553</f>
        <v>-81</v>
      </c>
      <c r="DB1133" s="293">
        <f>DIVISIONS!DB553</f>
        <v>-146</v>
      </c>
      <c r="DC1133" s="648"/>
      <c r="DD1133" s="293">
        <f>DIVISIONS!DD553</f>
        <v>-84</v>
      </c>
      <c r="DE1133" s="293">
        <f>DIVISIONS!DE553</f>
        <v>-92</v>
      </c>
      <c r="DF1133" s="293">
        <f>DIVISIONS!DF553</f>
        <v>-176</v>
      </c>
      <c r="DG1133" s="648"/>
      <c r="DH1133" s="293">
        <f>DIVISIONS!DH553</f>
        <v>-92</v>
      </c>
      <c r="DI1133" s="293">
        <f>DIVISIONS!DI553</f>
        <v>-92.488199999999992</v>
      </c>
      <c r="DJ1133" s="293">
        <f>DIVISIONS!DJ553</f>
        <v>-184.48820000000001</v>
      </c>
      <c r="DK1133" s="648"/>
      <c r="DL1133" s="293">
        <f>DIVISIONS!DL553</f>
        <v>-99.091649999999987</v>
      </c>
      <c r="DM1133" s="293">
        <f>DIVISIONS!DM553</f>
        <v>-97.768167000000005</v>
      </c>
      <c r="DN1133" s="293">
        <f>DIVISIONS!DN553</f>
        <v>-196.85981699999999</v>
      </c>
      <c r="DO1133" s="293"/>
      <c r="DP1133" s="293">
        <f>DIVISIONS!DP553</f>
        <v>-104.7229365</v>
      </c>
      <c r="DQ1133" s="293">
        <f>DIVISIONS!DQ553</f>
        <v>-103.35146577000002</v>
      </c>
      <c r="DR1133" s="293">
        <f>DIVISIONS!DR553</f>
        <v>-208.07440227000001</v>
      </c>
      <c r="DS1133" s="293"/>
      <c r="DT1133" s="293"/>
      <c r="DU1133" s="293"/>
      <c r="DV1133" s="293"/>
      <c r="DW1133" s="293"/>
      <c r="DX1133" s="293"/>
      <c r="DY1133" s="293"/>
      <c r="DZ1133" s="293"/>
      <c r="EA1133" s="293"/>
      <c r="EB1133" s="293"/>
      <c r="EC1133" s="293"/>
      <c r="ED1133" s="293"/>
      <c r="EE1133" s="293"/>
      <c r="EF1133" s="293"/>
      <c r="EG1133" s="293"/>
      <c r="EH1133" s="293"/>
      <c r="EI1133" s="293"/>
      <c r="EJ1133" s="293"/>
      <c r="EK1133" s="293"/>
      <c r="EL1133" s="293"/>
      <c r="EM1133" s="293"/>
      <c r="EN1133" s="293"/>
      <c r="EO1133" s="293"/>
      <c r="EP1133" s="293"/>
      <c r="JM1133"/>
    </row>
    <row r="1134" spans="1:273" s="845" customFormat="1">
      <c r="A1134" s="302" t="s">
        <v>1042</v>
      </c>
      <c r="B1134" s="304"/>
      <c r="C1134" s="302"/>
      <c r="D1134" s="302"/>
      <c r="E1134" s="302"/>
      <c r="F1134" s="302"/>
      <c r="G1134" s="302"/>
      <c r="H1134" s="302"/>
      <c r="I1134" s="302"/>
      <c r="J1134" s="302"/>
      <c r="K1134" s="302"/>
      <c r="L1134" s="302"/>
      <c r="M1134" s="302"/>
      <c r="N1134" s="302"/>
      <c r="O1134" s="302"/>
      <c r="P1134" s="302"/>
      <c r="Q1134" s="302"/>
      <c r="R1134" s="302"/>
      <c r="S1134" s="302"/>
      <c r="T1134" s="302"/>
      <c r="U1134" s="302"/>
      <c r="V1134" s="302"/>
      <c r="W1134" s="302"/>
      <c r="X1134" s="302"/>
      <c r="Y1134" s="302"/>
      <c r="Z1134" s="302"/>
      <c r="AA1134" s="302"/>
      <c r="AB1134" s="302"/>
      <c r="AC1134" s="302"/>
      <c r="AD1134" s="302"/>
      <c r="AE1134" s="302"/>
      <c r="AF1134" s="302"/>
      <c r="AG1134" s="302"/>
      <c r="AH1134" s="302"/>
      <c r="AI1134" s="302"/>
      <c r="AJ1134" s="302"/>
      <c r="AK1134" s="302"/>
      <c r="AL1134" s="302"/>
      <c r="AM1134" s="302"/>
      <c r="AN1134" s="303"/>
      <c r="AO1134" s="303"/>
      <c r="AP1134" s="303"/>
      <c r="AQ1134" s="303"/>
      <c r="AR1134" s="303">
        <f>DIVISIONS!AR675</f>
        <v>0</v>
      </c>
      <c r="AS1134" s="303">
        <f>DIVISIONS!AS675</f>
        <v>0</v>
      </c>
      <c r="AT1134" s="627"/>
      <c r="AU1134" s="627"/>
      <c r="AV1134" s="303">
        <f>DIVISIONS!AV675</f>
        <v>-8</v>
      </c>
      <c r="AW1134" s="303">
        <f>DIVISIONS!AW675</f>
        <v>-3</v>
      </c>
      <c r="AX1134" s="627"/>
      <c r="AY1134" s="303"/>
      <c r="AZ1134" s="303">
        <f>DIVISIONS!AZ675</f>
        <v>-13</v>
      </c>
      <c r="BA1134" s="303">
        <f>DIVISIONS!BA675</f>
        <v>-11</v>
      </c>
      <c r="BB1134" s="303"/>
      <c r="BC1134" s="303"/>
      <c r="BD1134" s="303">
        <f>DIVISIONS!BD675</f>
        <v>2</v>
      </c>
      <c r="BE1134" s="303">
        <f>DIVISIONS!BE675</f>
        <v>0</v>
      </c>
      <c r="BF1134" s="303"/>
      <c r="BG1134" s="303"/>
      <c r="BH1134" s="303">
        <f>DIVISIONS!BH675</f>
        <v>0</v>
      </c>
      <c r="BI1134" s="303">
        <f>DIVISIONS!BI675</f>
        <v>0</v>
      </c>
      <c r="BJ1134" s="303">
        <f>+BI1134+BH1134</f>
        <v>0</v>
      </c>
      <c r="BK1134" s="303"/>
      <c r="BL1134" s="303">
        <f>DIVISIONS!BL675</f>
        <v>0</v>
      </c>
      <c r="BM1134" s="303">
        <f>DIVISIONS!BM675</f>
        <v>0</v>
      </c>
      <c r="BN1134" s="303">
        <f>+BM1134+BL1134</f>
        <v>0</v>
      </c>
      <c r="BO1134" s="1018"/>
      <c r="BP1134" s="303">
        <f>DIVISIONS!BP675</f>
        <v>0</v>
      </c>
      <c r="BQ1134" s="303">
        <f>DIVISIONS!BQ675</f>
        <v>0</v>
      </c>
      <c r="BR1134" s="303">
        <f>+BQ1134+BP1134</f>
        <v>0</v>
      </c>
      <c r="BS1134" s="1018"/>
      <c r="BT1134" s="303">
        <f>DIVISIONS!BT675</f>
        <v>0</v>
      </c>
      <c r="BU1134" s="303">
        <f>DIVISIONS!BU675</f>
        <v>0</v>
      </c>
      <c r="BV1134" s="303">
        <f>+BU1134+BT1134</f>
        <v>0</v>
      </c>
      <c r="BW1134" s="1018"/>
      <c r="BX1134" s="902">
        <f>-SUM(BX1129:BX1133,BX1135)+BX1137</f>
        <v>0</v>
      </c>
      <c r="BY1134" s="902">
        <f>-SUM(BY1129:BY1133,BY1135)+BY1137</f>
        <v>0</v>
      </c>
      <c r="BZ1134" s="303">
        <f>+BY1134+BX1134</f>
        <v>0</v>
      </c>
      <c r="CA1134" s="1018"/>
      <c r="CB1134" s="902">
        <f>-SUM(CB1129:CB1133,CB1135)+CB1137</f>
        <v>0</v>
      </c>
      <c r="CC1134" s="902">
        <f>-SUM(CC1129:CC1133,CC1135)+CC1137</f>
        <v>0</v>
      </c>
      <c r="CD1134" s="303">
        <f>+CC1134+CB1134</f>
        <v>0</v>
      </c>
      <c r="CE1134" s="299"/>
      <c r="CF1134" s="902">
        <f>-SUM(CF1129:CF1133,CF1135)+CF1137</f>
        <v>0</v>
      </c>
      <c r="CG1134" s="902">
        <f>-SUM(CG1129:CG1133,CG1135)+CG1137</f>
        <v>0</v>
      </c>
      <c r="CH1134" s="303">
        <f>+CG1134+CF1134</f>
        <v>0</v>
      </c>
      <c r="CI1134" s="299"/>
      <c r="CJ1134" s="902">
        <f>-SUM(CJ1129:CJ1133,CJ1135)+CJ1137</f>
        <v>0</v>
      </c>
      <c r="CK1134" s="902">
        <f>-SUM(CK1129:CK1133,CK1135)+CK1137</f>
        <v>0</v>
      </c>
      <c r="CL1134" s="303">
        <f>+CK1134+CJ1134</f>
        <v>0</v>
      </c>
      <c r="CM1134" s="299"/>
      <c r="CN1134" s="902">
        <f>-SUM(CN1129:CN1133,CN1135)+CN1137</f>
        <v>-1</v>
      </c>
      <c r="CO1134" s="902">
        <f>-SUM(CO1129:CO1133,CO1135)+CO1137</f>
        <v>-1</v>
      </c>
      <c r="CP1134" s="303">
        <f>+CO1134+CN1134</f>
        <v>-2</v>
      </c>
      <c r="CQ1134" s="299"/>
      <c r="CR1134" s="902">
        <f>-SUM(CR1129:CR1133,CR1135)+CR1137</f>
        <v>0</v>
      </c>
      <c r="CS1134" s="902">
        <f>-SUM(CS1129:CS1133,CS1135)+CS1137</f>
        <v>-1</v>
      </c>
      <c r="CT1134" s="303">
        <f>+CS1134+CR1134</f>
        <v>-1</v>
      </c>
      <c r="CU1134" s="1018"/>
      <c r="CV1134" s="902">
        <f>-SUM(CV1129:CV1133,CV1135)+CV1137</f>
        <v>-2</v>
      </c>
      <c r="CW1134" s="902">
        <f>-SUM(CW1129:CW1133,CW1135)+CW1137</f>
        <v>0</v>
      </c>
      <c r="CX1134" s="303">
        <f>+CW1134+CV1134</f>
        <v>-2</v>
      </c>
      <c r="CY1134" s="1018"/>
      <c r="CZ1134" s="902">
        <f>-SUM(CZ1129:CZ1133,CZ1135)+CZ1137</f>
        <v>-1</v>
      </c>
      <c r="DA1134" s="902">
        <f>-SUM(DA1129:DA1133,DA1135)+DA1137</f>
        <v>-1</v>
      </c>
      <c r="DB1134" s="303">
        <f>+DA1134+CZ1134</f>
        <v>-2</v>
      </c>
      <c r="DC1134" s="1018"/>
      <c r="DD1134" s="902">
        <f>-SUM(DD1129:DD1133,DD1135)+DD1137</f>
        <v>-2</v>
      </c>
      <c r="DE1134" s="902">
        <f>-SUM(DE1129:DE1133,DE1135)+DE1137</f>
        <v>-1</v>
      </c>
      <c r="DF1134" s="303">
        <f>+DE1134+DD1134</f>
        <v>-3</v>
      </c>
      <c r="DG1134" s="1018"/>
      <c r="DH1134" s="902">
        <f>-SUM(DH1129:DH1133,DH1135)+DH1137</f>
        <v>-1</v>
      </c>
      <c r="DI1134" s="303"/>
      <c r="DJ1134" s="303">
        <f>+DI1134+DH1134</f>
        <v>-1</v>
      </c>
      <c r="DK1134" s="1018"/>
      <c r="DL1134" s="303"/>
      <c r="DM1134" s="303"/>
      <c r="DN1134" s="303">
        <f>+DM1134+DL1134</f>
        <v>0</v>
      </c>
      <c r="DO1134" s="303"/>
      <c r="DP1134" s="303"/>
      <c r="DQ1134" s="303"/>
      <c r="DR1134" s="303">
        <f>+DQ1134+DP1134</f>
        <v>0</v>
      </c>
      <c r="DS1134" s="303"/>
      <c r="DT1134" s="303"/>
      <c r="DU1134" s="303"/>
      <c r="DV1134" s="303"/>
      <c r="DW1134" s="303"/>
      <c r="DX1134" s="303"/>
      <c r="DY1134" s="303"/>
      <c r="DZ1134" s="303"/>
      <c r="EA1134" s="303"/>
      <c r="EB1134" s="303"/>
      <c r="EC1134" s="303"/>
      <c r="ED1134" s="303"/>
      <c r="EE1134" s="303"/>
      <c r="EF1134" s="303"/>
      <c r="EG1134" s="303"/>
      <c r="EH1134" s="303"/>
      <c r="EI1134" s="303"/>
      <c r="EJ1134" s="303"/>
      <c r="EK1134" s="303"/>
      <c r="EL1134" s="303"/>
      <c r="EM1134" s="303"/>
      <c r="EN1134" s="303"/>
      <c r="EO1134" s="303"/>
      <c r="EP1134" s="303"/>
      <c r="FL1134" s="332"/>
      <c r="FM1134" s="332"/>
      <c r="FN1134" s="332"/>
      <c r="FO1134" s="332"/>
      <c r="FP1134" s="332"/>
      <c r="FQ1134" s="332"/>
      <c r="FR1134" s="332"/>
      <c r="FS1134" s="332"/>
      <c r="FT1134" s="332"/>
      <c r="FU1134" s="332"/>
      <c r="FV1134" s="332"/>
      <c r="FW1134" s="332"/>
      <c r="FX1134" s="332"/>
      <c r="FY1134" s="332"/>
      <c r="FZ1134" s="332"/>
      <c r="GA1134" s="332"/>
      <c r="GB1134" s="332"/>
      <c r="GC1134" s="332"/>
      <c r="GD1134" s="332"/>
      <c r="GE1134" s="332"/>
      <c r="GF1134" s="332"/>
      <c r="GG1134" s="332"/>
      <c r="GH1134" s="332"/>
      <c r="GI1134" s="332"/>
      <c r="GJ1134" s="332"/>
      <c r="GK1134" s="332"/>
      <c r="GL1134" s="332"/>
      <c r="GM1134" s="332"/>
      <c r="GN1134" s="332"/>
      <c r="GO1134" s="332"/>
      <c r="GP1134" s="332"/>
      <c r="GQ1134" s="332"/>
      <c r="GR1134" s="332"/>
      <c r="GS1134" s="332"/>
      <c r="GT1134" s="332"/>
      <c r="GU1134" s="332"/>
      <c r="GV1134" s="332"/>
      <c r="GW1134" s="332"/>
      <c r="GX1134" s="332"/>
      <c r="GY1134" s="332"/>
      <c r="GZ1134" s="332"/>
      <c r="HA1134" s="332"/>
      <c r="HB1134" s="332"/>
      <c r="HC1134" s="332"/>
      <c r="HD1134" s="332"/>
      <c r="HE1134" s="332"/>
      <c r="HF1134" s="332"/>
      <c r="HG1134" s="332"/>
      <c r="HH1134" s="332"/>
      <c r="HI1134" s="332"/>
      <c r="HJ1134" s="332"/>
      <c r="HK1134" s="332"/>
      <c r="HL1134" s="332"/>
      <c r="HM1134" s="332"/>
      <c r="HN1134" s="332"/>
      <c r="HO1134" s="332"/>
      <c r="HP1134" s="332"/>
      <c r="HQ1134" s="332"/>
      <c r="HR1134" s="332"/>
      <c r="HS1134" s="332"/>
      <c r="HT1134" s="332"/>
      <c r="HU1134" s="332"/>
      <c r="HV1134" s="332"/>
      <c r="HW1134" s="332"/>
      <c r="HX1134" s="332"/>
      <c r="HY1134" s="332"/>
      <c r="HZ1134" s="332"/>
      <c r="IA1134" s="332"/>
      <c r="IB1134" s="332"/>
      <c r="IC1134" s="332"/>
      <c r="ID1134" s="332"/>
      <c r="IE1134" s="332"/>
      <c r="IF1134" s="332"/>
      <c r="IG1134" s="332"/>
      <c r="IH1134" s="332"/>
      <c r="II1134" s="332"/>
      <c r="IJ1134" s="332"/>
      <c r="IK1134" s="332"/>
      <c r="IL1134" s="332"/>
      <c r="IM1134" s="332"/>
      <c r="IN1134" s="332"/>
      <c r="IO1134" s="332"/>
      <c r="IP1134" s="332"/>
      <c r="IQ1134" s="332"/>
      <c r="IR1134" s="332"/>
      <c r="IS1134" s="332"/>
      <c r="IT1134" s="332"/>
      <c r="IU1134" s="332"/>
      <c r="IV1134" s="332"/>
      <c r="IW1134" s="332"/>
      <c r="IX1134" s="332"/>
      <c r="IY1134" s="332"/>
      <c r="IZ1134" s="332"/>
      <c r="JA1134" s="332"/>
      <c r="JB1134" s="332"/>
      <c r="JC1134" s="332"/>
      <c r="JD1134" s="332"/>
      <c r="JE1134" s="332"/>
      <c r="JF1134" s="332"/>
      <c r="JG1134" s="332"/>
      <c r="JH1134" s="332"/>
      <c r="JI1134" s="332"/>
      <c r="JJ1134" s="332"/>
      <c r="JK1134" s="332"/>
      <c r="JL1134" s="332"/>
      <c r="JM1134"/>
    </row>
    <row r="1135" spans="1:273" s="332" customFormat="1">
      <c r="A1135" s="102" t="s">
        <v>691</v>
      </c>
      <c r="B1135" s="103"/>
      <c r="C1135" s="102"/>
      <c r="D1135" s="102"/>
      <c r="E1135" s="102"/>
      <c r="F1135" s="102"/>
      <c r="G1135" s="102"/>
      <c r="H1135" s="102"/>
      <c r="I1135" s="102"/>
      <c r="J1135" s="102"/>
      <c r="K1135" s="102"/>
      <c r="L1135" s="102"/>
      <c r="M1135" s="102"/>
      <c r="N1135" s="102"/>
      <c r="O1135" s="102"/>
      <c r="P1135" s="102"/>
      <c r="Q1135" s="102"/>
      <c r="R1135" s="102"/>
      <c r="S1135" s="102"/>
      <c r="T1135" s="102"/>
      <c r="U1135" s="102"/>
      <c r="V1135" s="102"/>
      <c r="W1135" s="102"/>
      <c r="X1135" s="102"/>
      <c r="Y1135" s="102"/>
      <c r="Z1135" s="102"/>
      <c r="AA1135" s="102"/>
      <c r="AB1135" s="102"/>
      <c r="AC1135" s="102"/>
      <c r="AD1135" s="102"/>
      <c r="AE1135" s="102"/>
      <c r="AF1135" s="102"/>
      <c r="AG1135" s="102"/>
      <c r="AH1135" s="102"/>
      <c r="AI1135" s="102"/>
      <c r="AJ1135" s="102"/>
      <c r="AK1135" s="102"/>
      <c r="AL1135" s="102"/>
      <c r="AM1135" s="102"/>
      <c r="AN1135" s="293"/>
      <c r="AO1135" s="293"/>
      <c r="AP1135" s="293"/>
      <c r="AQ1135" s="293"/>
      <c r="AR1135" s="293">
        <f>DIVISIONS!AR719</f>
        <v>-7</v>
      </c>
      <c r="AS1135" s="293">
        <f>DIVISIONS!AS719</f>
        <v>-26</v>
      </c>
      <c r="AT1135" s="293"/>
      <c r="AU1135" s="293"/>
      <c r="AV1135" s="293">
        <f>DIVISIONS!AV719</f>
        <v>-14</v>
      </c>
      <c r="AW1135" s="293">
        <f>DIVISIONS!AW719</f>
        <v>-35</v>
      </c>
      <c r="AX1135" s="293"/>
      <c r="AY1135" s="293"/>
      <c r="AZ1135" s="293">
        <f>DIVISIONS!AZ719</f>
        <v>-85</v>
      </c>
      <c r="BA1135" s="293">
        <f>DIVISIONS!BA719</f>
        <v>29</v>
      </c>
      <c r="BB1135" s="295"/>
      <c r="BC1135" s="295"/>
      <c r="BD1135" s="293">
        <f>DIVISIONS!BD719</f>
        <v>-1</v>
      </c>
      <c r="BE1135" s="293">
        <f>DIVISIONS!BE719</f>
        <v>-3</v>
      </c>
      <c r="BF1135" s="295"/>
      <c r="BG1135" s="295"/>
      <c r="BH1135" s="293">
        <f>DIVISIONS!BH719</f>
        <v>0</v>
      </c>
      <c r="BI1135" s="293">
        <f>DIVISIONS!BI719</f>
        <v>-3</v>
      </c>
      <c r="BJ1135" s="293">
        <f>DIVISIONS!BJ719</f>
        <v>-3</v>
      </c>
      <c r="BK1135" s="295"/>
      <c r="BL1135" s="293">
        <f>DIVISIONS!BL719</f>
        <v>-3</v>
      </c>
      <c r="BM1135" s="293">
        <f>DIVISIONS!BM719</f>
        <v>-5</v>
      </c>
      <c r="BN1135" s="293">
        <f>DIVISIONS!BN719</f>
        <v>-8</v>
      </c>
      <c r="BO1135" s="648">
        <f>+BN1135/BJ1135-1</f>
        <v>1.6666666666666665</v>
      </c>
      <c r="BP1135" s="293">
        <f>DIVISIONS!BP719</f>
        <v>-3</v>
      </c>
      <c r="BQ1135" s="293">
        <f>DIVISIONS!BQ719</f>
        <v>-4</v>
      </c>
      <c r="BR1135" s="293">
        <f>DIVISIONS!BR719</f>
        <v>-7</v>
      </c>
      <c r="BS1135" s="648">
        <f>+BR1135/BN1135-1</f>
        <v>-0.125</v>
      </c>
      <c r="BT1135" s="293">
        <f>DIVISIONS!BT719</f>
        <v>-5</v>
      </c>
      <c r="BU1135" s="293">
        <f>DIVISIONS!BU719</f>
        <v>-4</v>
      </c>
      <c r="BV1135" s="293">
        <f>DIVISIONS!BV719</f>
        <v>-9</v>
      </c>
      <c r="BW1135" s="648">
        <f>+BV1135/BR1135-1</f>
        <v>0.28571428571428581</v>
      </c>
      <c r="BX1135" s="293">
        <f>DIVISIONS!BX719</f>
        <v>-3</v>
      </c>
      <c r="BY1135" s="293">
        <f>DIVISIONS!BY719</f>
        <v>-1</v>
      </c>
      <c r="BZ1135" s="293">
        <f>DIVISIONS!BZ719</f>
        <v>-4</v>
      </c>
      <c r="CA1135" s="648">
        <f>+BZ1135/BV1135-1</f>
        <v>-0.55555555555555558</v>
      </c>
      <c r="CB1135" s="293">
        <f>DIVISIONS!CB719</f>
        <v>-1</v>
      </c>
      <c r="CC1135" s="293">
        <f>DIVISIONS!CC719</f>
        <v>1</v>
      </c>
      <c r="CD1135" s="293">
        <f>DIVISIONS!CD719</f>
        <v>0</v>
      </c>
      <c r="CE1135" s="648">
        <f>+CD1135/BZ1135-1</f>
        <v>-1</v>
      </c>
      <c r="CF1135" s="293">
        <f>DIVISIONS!CF719</f>
        <v>0</v>
      </c>
      <c r="CG1135" s="293">
        <f>DIVISIONS!CG719</f>
        <v>0</v>
      </c>
      <c r="CH1135" s="293">
        <f>DIVISIONS!CH719</f>
        <v>0</v>
      </c>
      <c r="CI1135" s="648"/>
      <c r="CJ1135" s="293">
        <f>DIVISIONS!CJ719</f>
        <v>0</v>
      </c>
      <c r="CK1135" s="293">
        <f>DIVISIONS!CK719</f>
        <v>0</v>
      </c>
      <c r="CL1135" s="293">
        <f>DIVISIONS!CL719</f>
        <v>0</v>
      </c>
      <c r="CM1135" s="648"/>
      <c r="CN1135" s="293">
        <f>DIVISIONS!CN719</f>
        <v>0</v>
      </c>
      <c r="CO1135" s="293">
        <f>DIVISIONS!CO719</f>
        <v>0</v>
      </c>
      <c r="CP1135" s="293">
        <f>DIVISIONS!CP719</f>
        <v>0</v>
      </c>
      <c r="CQ1135" s="648"/>
      <c r="CR1135" s="293">
        <f>DIVISIONS!CR719</f>
        <v>0</v>
      </c>
      <c r="CS1135" s="293">
        <f>DIVISIONS!CS719</f>
        <v>0</v>
      </c>
      <c r="CT1135" s="293">
        <f>DIVISIONS!CT719</f>
        <v>0</v>
      </c>
      <c r="CU1135" s="648"/>
      <c r="CV1135" s="293">
        <f>DIVISIONS!CV719</f>
        <v>0</v>
      </c>
      <c r="CW1135" s="293">
        <f>DIVISIONS!CW719</f>
        <v>0</v>
      </c>
      <c r="CX1135" s="293">
        <f>DIVISIONS!CX719</f>
        <v>0</v>
      </c>
      <c r="CY1135" s="648"/>
      <c r="CZ1135" s="293">
        <f>DIVISIONS!CZ719</f>
        <v>0</v>
      </c>
      <c r="DA1135" s="293">
        <f>DIVISIONS!DA719</f>
        <v>0</v>
      </c>
      <c r="DB1135" s="293">
        <f>DIVISIONS!DB719</f>
        <v>0</v>
      </c>
      <c r="DC1135" s="648"/>
      <c r="DD1135" s="293">
        <f>DIVISIONS!DD719</f>
        <v>0</v>
      </c>
      <c r="DE1135" s="293">
        <f>DIVISIONS!DE719</f>
        <v>0</v>
      </c>
      <c r="DF1135" s="293">
        <f>DIVISIONS!DF719</f>
        <v>0</v>
      </c>
      <c r="DG1135" s="648"/>
      <c r="DH1135" s="293">
        <f>DIVISIONS!DH719</f>
        <v>0</v>
      </c>
      <c r="DI1135" s="293">
        <f>DIVISIONS!DI719</f>
        <v>0</v>
      </c>
      <c r="DJ1135" s="293">
        <f>DIVISIONS!DJ719</f>
        <v>0</v>
      </c>
      <c r="DK1135" s="648"/>
      <c r="DL1135" s="293">
        <f>DIVISIONS!DL719</f>
        <v>0</v>
      </c>
      <c r="DM1135" s="293">
        <f>DIVISIONS!DM719</f>
        <v>0</v>
      </c>
      <c r="DN1135" s="293">
        <f>DIVISIONS!DN719</f>
        <v>0</v>
      </c>
      <c r="DO1135" s="295"/>
      <c r="DP1135" s="293">
        <f>DIVISIONS!DP719</f>
        <v>0</v>
      </c>
      <c r="DQ1135" s="293">
        <f>DIVISIONS!DQ719</f>
        <v>0</v>
      </c>
      <c r="DR1135" s="293">
        <f>DIVISIONS!DR719</f>
        <v>0</v>
      </c>
      <c r="DS1135" s="295"/>
      <c r="DT1135" s="295"/>
      <c r="DU1135" s="293"/>
      <c r="DV1135" s="293"/>
      <c r="DW1135" s="293"/>
      <c r="DX1135" s="295"/>
      <c r="DY1135" s="295"/>
      <c r="DZ1135" s="293"/>
      <c r="EA1135" s="293"/>
      <c r="EB1135" s="295"/>
      <c r="EC1135" s="295"/>
      <c r="ED1135" s="293"/>
      <c r="EE1135" s="293"/>
      <c r="EF1135" s="295"/>
      <c r="EG1135" s="295"/>
      <c r="EH1135" s="295"/>
      <c r="EI1135" s="295"/>
      <c r="EJ1135" s="295"/>
      <c r="EK1135" s="295"/>
      <c r="EL1135" s="295"/>
      <c r="EM1135" s="295"/>
      <c r="EN1135" s="295"/>
      <c r="EO1135" s="295"/>
      <c r="EP1135" s="295"/>
      <c r="EQ1135" s="327"/>
      <c r="ER1135" s="327"/>
      <c r="ES1135" s="327"/>
      <c r="ET1135" s="327"/>
      <c r="EU1135" s="327"/>
      <c r="EV1135" s="327"/>
      <c r="EW1135" s="327"/>
      <c r="EX1135" s="327"/>
      <c r="EY1135" s="327"/>
      <c r="EZ1135" s="327"/>
      <c r="FA1135" s="327"/>
      <c r="FB1135" s="327"/>
      <c r="FC1135" s="327"/>
      <c r="FD1135" s="327"/>
      <c r="FE1135" s="327"/>
      <c r="FF1135" s="327"/>
      <c r="FG1135" s="327"/>
      <c r="FH1135" s="327"/>
      <c r="FI1135" s="327"/>
      <c r="FJ1135" s="327"/>
      <c r="FK1135" s="327"/>
      <c r="FL1135" s="327"/>
      <c r="FM1135" s="327"/>
      <c r="FN1135" s="327"/>
      <c r="FO1135" s="327"/>
      <c r="FP1135" s="327"/>
      <c r="FQ1135" s="327"/>
      <c r="FR1135" s="327"/>
      <c r="FS1135" s="327"/>
      <c r="FT1135" s="327"/>
      <c r="FU1135" s="327"/>
      <c r="FV1135" s="327"/>
      <c r="FW1135" s="327"/>
      <c r="FX1135" s="327"/>
      <c r="FY1135" s="327"/>
      <c r="FZ1135" s="327"/>
      <c r="GA1135" s="327"/>
      <c r="GB1135" s="327"/>
      <c r="GC1135" s="327"/>
      <c r="GD1135" s="327"/>
      <c r="GE1135" s="327"/>
      <c r="GF1135" s="327"/>
      <c r="GG1135" s="327"/>
      <c r="GH1135" s="327"/>
      <c r="GI1135" s="327"/>
      <c r="GJ1135" s="327"/>
      <c r="GK1135" s="327"/>
      <c r="GL1135" s="327"/>
      <c r="GM1135" s="327"/>
      <c r="GN1135" s="327"/>
      <c r="GO1135" s="327"/>
      <c r="GP1135" s="327"/>
      <c r="GQ1135" s="327"/>
      <c r="GR1135" s="327"/>
      <c r="GS1135" s="327"/>
      <c r="GT1135" s="327"/>
      <c r="GU1135" s="327"/>
      <c r="GV1135" s="327"/>
      <c r="GW1135" s="327"/>
      <c r="GX1135" s="327"/>
      <c r="GY1135" s="327"/>
      <c r="GZ1135" s="327"/>
      <c r="HA1135" s="327"/>
      <c r="HB1135" s="327"/>
      <c r="HC1135" s="327"/>
      <c r="HD1135" s="327"/>
      <c r="HE1135" s="327"/>
      <c r="HF1135" s="327"/>
      <c r="HG1135" s="327"/>
      <c r="HH1135" s="327"/>
      <c r="HI1135" s="327"/>
      <c r="HJ1135" s="327"/>
      <c r="HK1135" s="327"/>
      <c r="HL1135" s="327"/>
      <c r="HM1135" s="327"/>
      <c r="HN1135" s="327"/>
      <c r="HO1135" s="327"/>
      <c r="HP1135" s="327"/>
      <c r="HQ1135" s="327"/>
      <c r="HR1135" s="327"/>
      <c r="HS1135" s="327"/>
      <c r="HT1135" s="327"/>
      <c r="HU1135" s="327"/>
      <c r="HV1135" s="327"/>
      <c r="HW1135" s="327"/>
      <c r="HX1135" s="327"/>
      <c r="HY1135" s="327"/>
      <c r="HZ1135" s="327"/>
      <c r="IA1135" s="327"/>
      <c r="IB1135" s="327"/>
      <c r="IC1135" s="327"/>
      <c r="ID1135" s="327"/>
      <c r="IE1135" s="327"/>
      <c r="IF1135" s="327"/>
      <c r="IG1135" s="327"/>
      <c r="IH1135" s="327"/>
      <c r="II1135" s="327"/>
      <c r="IJ1135" s="327"/>
      <c r="IK1135" s="327"/>
      <c r="IL1135" s="327"/>
      <c r="IM1135" s="327"/>
      <c r="IN1135" s="327"/>
      <c r="IO1135" s="327"/>
      <c r="IP1135" s="327"/>
      <c r="IQ1135" s="327"/>
      <c r="IR1135" s="327"/>
      <c r="IS1135" s="327"/>
      <c r="IT1135" s="327"/>
      <c r="IU1135" s="327"/>
      <c r="IV1135" s="327"/>
      <c r="IW1135" s="327"/>
      <c r="IX1135" s="327"/>
      <c r="IY1135" s="327"/>
      <c r="IZ1135" s="327"/>
      <c r="JA1135" s="327"/>
      <c r="JB1135" s="327"/>
      <c r="JC1135" s="327"/>
      <c r="JD1135" s="327"/>
      <c r="JE1135" s="327"/>
      <c r="JF1135" s="327"/>
      <c r="JG1135" s="327"/>
      <c r="JH1135" s="327"/>
      <c r="JI1135" s="327"/>
      <c r="JJ1135" s="327"/>
      <c r="JK1135" s="327"/>
      <c r="JL1135" s="327"/>
      <c r="JM1135"/>
    </row>
    <row r="1136" spans="1:273" s="327" customFormat="1">
      <c r="A1136" s="289" t="s">
        <v>613</v>
      </c>
      <c r="B1136" s="290"/>
      <c r="C1136" s="289"/>
      <c r="D1136" s="289"/>
      <c r="E1136" s="289"/>
      <c r="F1136" s="289"/>
      <c r="G1136" s="289"/>
      <c r="H1136" s="289"/>
      <c r="I1136" s="289"/>
      <c r="J1136" s="289"/>
      <c r="K1136" s="289"/>
      <c r="L1136" s="289"/>
      <c r="M1136" s="289"/>
      <c r="N1136" s="289"/>
      <c r="O1136" s="289"/>
      <c r="P1136" s="289"/>
      <c r="Q1136" s="289"/>
      <c r="R1136" s="289"/>
      <c r="S1136" s="289"/>
      <c r="T1136" s="289"/>
      <c r="U1136" s="289"/>
      <c r="V1136" s="289"/>
      <c r="W1136" s="289"/>
      <c r="X1136" s="289"/>
      <c r="Y1136" s="289"/>
      <c r="Z1136" s="289"/>
      <c r="AA1136" s="289"/>
      <c r="AB1136" s="289"/>
      <c r="AC1136" s="289"/>
      <c r="AD1136" s="289"/>
      <c r="AE1136" s="289"/>
      <c r="AF1136" s="289"/>
      <c r="AG1136" s="289"/>
      <c r="AH1136" s="289"/>
      <c r="AI1136" s="289"/>
      <c r="AJ1136" s="289"/>
      <c r="AK1136" s="289"/>
      <c r="AL1136" s="289"/>
      <c r="AM1136" s="289"/>
      <c r="AN1136" s="290"/>
      <c r="AO1136" s="290"/>
      <c r="AP1136" s="290"/>
      <c r="AQ1136" s="290"/>
      <c r="AR1136" s="295">
        <f>SUM(AR1128:AR1135)</f>
        <v>-314</v>
      </c>
      <c r="AS1136" s="295">
        <f>SUM(AS1128:AS1135)</f>
        <v>-375</v>
      </c>
      <c r="AT1136" s="290"/>
      <c r="AU1136" s="290"/>
      <c r="AV1136" s="295">
        <f>SUM(AV1128:AV1135)</f>
        <v>-329</v>
      </c>
      <c r="AW1136" s="295">
        <f>SUM(AW1128:AW1135)</f>
        <v>-315</v>
      </c>
      <c r="AX1136" s="290"/>
      <c r="AY1136" s="290"/>
      <c r="AZ1136" s="295">
        <f>SUM(AZ1128:AZ1135)</f>
        <v>-441</v>
      </c>
      <c r="BA1136" s="295">
        <f>SUM(BA1128:BA1135)</f>
        <v>-344</v>
      </c>
      <c r="BB1136" s="295"/>
      <c r="BC1136" s="295"/>
      <c r="BD1136" s="295">
        <f>SUM(BD1128:BD1135)</f>
        <v>-384</v>
      </c>
      <c r="BE1136" s="295">
        <f>SUM(BE1128:BE1135)</f>
        <v>-337.66629999999998</v>
      </c>
      <c r="BF1136" s="295"/>
      <c r="BG1136" s="295"/>
      <c r="BH1136" s="295">
        <f>SUM(BH1128:BH1135)</f>
        <v>-320</v>
      </c>
      <c r="BI1136" s="295">
        <f>SUM(BI1128:BI1135)</f>
        <v>-284</v>
      </c>
      <c r="BJ1136" s="295">
        <f>SUM(BJ1128:BJ1135)</f>
        <v>-604</v>
      </c>
      <c r="BK1136" s="295"/>
      <c r="BL1136" s="295">
        <f>SUM(BL1128:BL1135)</f>
        <v>-379</v>
      </c>
      <c r="BM1136" s="295">
        <f>SUM(BM1128:BM1135)</f>
        <v>-400</v>
      </c>
      <c r="BN1136" s="295">
        <f>SUM(BN1128:BN1135)</f>
        <v>-779</v>
      </c>
      <c r="BO1136" s="650">
        <f>+BN1136/BJ1136-1</f>
        <v>0.28973509933774833</v>
      </c>
      <c r="BP1136" s="295">
        <f>SUM(BP1128:BP1135)</f>
        <v>-387</v>
      </c>
      <c r="BQ1136" s="295">
        <f>SUM(BQ1128:BQ1135)</f>
        <v>-437</v>
      </c>
      <c r="BR1136" s="295">
        <f>SUM(BR1128:BR1135)</f>
        <v>-824</v>
      </c>
      <c r="BS1136" s="650">
        <f>+BR1136/BN1136-1</f>
        <v>5.7766367137355612E-2</v>
      </c>
      <c r="BT1136" s="295">
        <f>SUM(BT1128:BT1135)</f>
        <v>-444</v>
      </c>
      <c r="BU1136" s="295">
        <f>SUM(BU1128:BU1135)</f>
        <v>-448</v>
      </c>
      <c r="BV1136" s="295">
        <f>SUM(BV1128:BV1135)</f>
        <v>-892</v>
      </c>
      <c r="BW1136" s="650">
        <f>+BV1136/BR1136-1</f>
        <v>8.2524271844660158E-2</v>
      </c>
      <c r="BX1136" s="295">
        <f>SUM(BX1128:BX1135)</f>
        <v>-418</v>
      </c>
      <c r="BY1136" s="295">
        <f>SUM(BY1128:BY1135)</f>
        <v>-434</v>
      </c>
      <c r="BZ1136" s="295">
        <f>SUM(BZ1128:BZ1135)</f>
        <v>-852</v>
      </c>
      <c r="CA1136" s="650">
        <f>+BZ1136/BV1136-1</f>
        <v>-4.4843049327354279E-2</v>
      </c>
      <c r="CB1136" s="295">
        <f>SUM(CB1128:CB1135)</f>
        <v>-422</v>
      </c>
      <c r="CC1136" s="295">
        <f>SUM(CC1128:CC1135)</f>
        <v>-408</v>
      </c>
      <c r="CD1136" s="295">
        <f>SUM(CD1128:CD1135)</f>
        <v>-830</v>
      </c>
      <c r="CE1136" s="650">
        <f>+CD1136/BZ1136-1</f>
        <v>-2.5821596244131495E-2</v>
      </c>
      <c r="CF1136" s="295">
        <f>SUM(CF1128:CF1135)</f>
        <v>-579</v>
      </c>
      <c r="CG1136" s="295">
        <f>SUM(CG1128:CG1135)</f>
        <v>-561</v>
      </c>
      <c r="CH1136" s="295">
        <f>SUM(CH1128:CH1135)</f>
        <v>-1140</v>
      </c>
      <c r="CI1136" s="650">
        <f>+CH1136/CD1136-1</f>
        <v>0.37349397590361444</v>
      </c>
      <c r="CJ1136" s="295">
        <f>SUM(CJ1128:CJ1135)</f>
        <v>-482</v>
      </c>
      <c r="CK1136" s="295">
        <f>SUM(CK1128:CK1135)</f>
        <v>-482</v>
      </c>
      <c r="CL1136" s="295">
        <f>SUM(CL1128:CL1135)</f>
        <v>-964</v>
      </c>
      <c r="CM1136" s="650">
        <f>+CL1136/CH1136-1</f>
        <v>-0.15438596491228074</v>
      </c>
      <c r="CN1136" s="295">
        <f>SUM(CN1128:CN1135)</f>
        <v>-471</v>
      </c>
      <c r="CO1136" s="295">
        <f>SUM(CO1128:CO1135)</f>
        <v>-408</v>
      </c>
      <c r="CP1136" s="295">
        <f>SUM(CP1128:CP1135)</f>
        <v>-879</v>
      </c>
      <c r="CQ1136" s="650">
        <f>+CP1136/CL1136-1</f>
        <v>-8.8174273858921182E-2</v>
      </c>
      <c r="CR1136" s="295">
        <f>SUM(CR1128:CR1135)</f>
        <v>-498</v>
      </c>
      <c r="CS1136" s="295">
        <f>SUM(CS1128:CS1135)</f>
        <v>-531</v>
      </c>
      <c r="CT1136" s="295">
        <f>SUM(CT1128:CT1135)</f>
        <v>-1029</v>
      </c>
      <c r="CU1136" s="650"/>
      <c r="CV1136" s="295">
        <f>SUM(CV1128:CV1135)</f>
        <v>-500</v>
      </c>
      <c r="CW1136" s="295">
        <f>SUM(CW1128:CW1135)</f>
        <v>-528</v>
      </c>
      <c r="CX1136" s="295">
        <f>SUM(CX1128:CX1135)</f>
        <v>-1028</v>
      </c>
      <c r="CY1136" s="650"/>
      <c r="CZ1136" s="295">
        <f>SUM(CZ1128:CZ1135)</f>
        <v>-529</v>
      </c>
      <c r="DA1136" s="295">
        <f>SUM(DA1128:DA1135)</f>
        <v>-542</v>
      </c>
      <c r="DB1136" s="295">
        <f>SUM(DB1128:DB1135)</f>
        <v>-1071</v>
      </c>
      <c r="DC1136" s="650"/>
      <c r="DD1136" s="295">
        <f>SUM(DD1128:DD1135)</f>
        <v>-580</v>
      </c>
      <c r="DE1136" s="295">
        <f>SUM(DE1128:DE1135)</f>
        <v>-626</v>
      </c>
      <c r="DF1136" s="295">
        <f>SUM(DF1128:DF1135)</f>
        <v>-1206</v>
      </c>
      <c r="DG1136" s="650"/>
      <c r="DH1136" s="295">
        <f>SUM(DH1128:DH1135)</f>
        <v>-628</v>
      </c>
      <c r="DI1136" s="295">
        <f>SUM(DI1128:DI1135)</f>
        <v>-561.50916065666809</v>
      </c>
      <c r="DJ1136" s="295">
        <f>SUM(DJ1128:DJ1135)</f>
        <v>-1189.5091606566682</v>
      </c>
      <c r="DK1136" s="650"/>
      <c r="DL1136" s="295">
        <f>SUM(DL1128:DL1135)</f>
        <v>-549.01522593116874</v>
      </c>
      <c r="DM1136" s="295">
        <f>SUM(DM1128:DM1135)</f>
        <v>-571.74769568802799</v>
      </c>
      <c r="DN1136" s="295">
        <f>SUM(DN1128:DN1135)</f>
        <v>-1120.7629216191967</v>
      </c>
      <c r="DO1136" s="295"/>
      <c r="DP1136" s="295">
        <f>SUM(DP1128:DP1135)</f>
        <v>-571.69703948997517</v>
      </c>
      <c r="DQ1136" s="295">
        <f>SUM(DQ1128:DQ1135)</f>
        <v>-595.42322325910618</v>
      </c>
      <c r="DR1136" s="295">
        <f>SUM(DR1128:DR1135)</f>
        <v>-1167.1202627490813</v>
      </c>
      <c r="DS1136" s="295"/>
      <c r="DT1136" s="295"/>
      <c r="DU1136" s="295"/>
      <c r="DV1136" s="295"/>
      <c r="DW1136" s="295"/>
      <c r="DX1136" s="295"/>
      <c r="DY1136" s="295"/>
      <c r="DZ1136" s="295"/>
      <c r="EA1136" s="295"/>
      <c r="EB1136" s="295"/>
      <c r="EC1136" s="295"/>
      <c r="ED1136" s="295"/>
      <c r="EE1136" s="295"/>
      <c r="EF1136" s="295"/>
      <c r="EG1136" s="295"/>
      <c r="EH1136" s="295"/>
      <c r="EI1136" s="295"/>
      <c r="EJ1136" s="295"/>
      <c r="EK1136" s="295"/>
      <c r="EL1136" s="295"/>
      <c r="EM1136" s="295"/>
      <c r="EN1136" s="295"/>
      <c r="EO1136" s="295"/>
      <c r="EP1136" s="295"/>
      <c r="JM1136"/>
    </row>
    <row r="1137" spans="1:273" ht="22.5" customHeight="1">
      <c r="A1137" s="289" t="s">
        <v>1194</v>
      </c>
      <c r="AR1137" s="626"/>
      <c r="AS1137" s="626"/>
      <c r="AT1137" s="626"/>
      <c r="AU1137" s="626"/>
      <c r="AV1137" s="626">
        <v>-329</v>
      </c>
      <c r="AW1137" s="626">
        <v>-316</v>
      </c>
      <c r="AX1137" s="626"/>
      <c r="AZ1137" s="626">
        <v>-441</v>
      </c>
      <c r="BA1137" s="626">
        <v>-344</v>
      </c>
      <c r="BD1137" s="626">
        <v>-386</v>
      </c>
      <c r="BE1137" s="730">
        <v>-338</v>
      </c>
      <c r="BH1137" s="658">
        <v>-320</v>
      </c>
      <c r="BI1137" s="658">
        <v>-284</v>
      </c>
      <c r="BJ1137" s="331">
        <f>+BI1137+BH1137</f>
        <v>-604</v>
      </c>
      <c r="BK1137" s="730"/>
      <c r="BL1137" s="658">
        <v>-379</v>
      </c>
      <c r="BM1137" s="658">
        <v>-400</v>
      </c>
      <c r="BN1137" s="331">
        <f>+BM1137+BL1137</f>
        <v>-779</v>
      </c>
      <c r="BP1137" s="658">
        <v>-387</v>
      </c>
      <c r="BQ1137" s="658">
        <v>-437</v>
      </c>
      <c r="BR1137" s="331">
        <f>+BQ1137+BP1137</f>
        <v>-824</v>
      </c>
      <c r="BT1137" s="658">
        <v>-444</v>
      </c>
      <c r="BU1137" s="658">
        <v>-448</v>
      </c>
      <c r="BV1137" s="331">
        <f>+BU1137+BT1137</f>
        <v>-892</v>
      </c>
      <c r="BX1137" s="658">
        <v>-418</v>
      </c>
      <c r="BY1137" s="658">
        <v>-434</v>
      </c>
      <c r="BZ1137" s="331">
        <f>+BY1137+BX1137</f>
        <v>-852</v>
      </c>
      <c r="CB1137" s="658">
        <v>-422</v>
      </c>
      <c r="CC1137" s="658">
        <v>-408</v>
      </c>
      <c r="CD1137" s="331">
        <f>+CC1137+CB1137</f>
        <v>-830</v>
      </c>
      <c r="CF1137" s="658">
        <v>-579</v>
      </c>
      <c r="CG1137" s="658">
        <v>-561</v>
      </c>
      <c r="CH1137" s="331">
        <f>+CG1137+CF1137</f>
        <v>-1140</v>
      </c>
      <c r="CJ1137" s="658">
        <v>-482</v>
      </c>
      <c r="CK1137" s="658">
        <v>-482</v>
      </c>
      <c r="CL1137" s="331">
        <f>+CK1137+CJ1137</f>
        <v>-964</v>
      </c>
      <c r="CN1137" s="1389">
        <v>-471</v>
      </c>
      <c r="CO1137" s="1000">
        <v>-408</v>
      </c>
      <c r="CP1137" s="1718">
        <f>+CO1137+CN1137</f>
        <v>-879</v>
      </c>
      <c r="CQ1137" s="999"/>
      <c r="CR1137" s="1389">
        <v>-498</v>
      </c>
      <c r="CS1137" s="1000">
        <v>-531</v>
      </c>
      <c r="CT1137" s="331">
        <f>+CS1137+CR1137</f>
        <v>-1029</v>
      </c>
      <c r="CV1137" s="1389">
        <v>-500</v>
      </c>
      <c r="CW1137" s="658">
        <v>-528</v>
      </c>
      <c r="CX1137" s="331">
        <f>+CW1137+CV1137</f>
        <v>-1028</v>
      </c>
      <c r="CZ1137" s="1389">
        <v>-529</v>
      </c>
      <c r="DA1137" s="1000">
        <v>-542</v>
      </c>
      <c r="DB1137" s="331">
        <f>+DA1137+CZ1137</f>
        <v>-1071</v>
      </c>
      <c r="DD1137" s="1389">
        <v>-580</v>
      </c>
      <c r="DE1137" s="2183">
        <v>-626</v>
      </c>
      <c r="DF1137" s="331">
        <f>+DE1137+DD1137</f>
        <v>-1206</v>
      </c>
      <c r="DH1137" s="2256">
        <v>-628</v>
      </c>
      <c r="DI1137" s="331">
        <f>DI22</f>
        <v>-561.50916065666809</v>
      </c>
      <c r="DJ1137" s="331">
        <f>+DI1137+DH1137</f>
        <v>-1189.509160656668</v>
      </c>
      <c r="DL1137" s="331">
        <f>DL22</f>
        <v>-549.01522593116874</v>
      </c>
      <c r="DM1137" s="331">
        <f>DM22</f>
        <v>-571.74769568802799</v>
      </c>
      <c r="DN1137" s="331">
        <f>+DM1137+DL1137</f>
        <v>-1120.7629216191967</v>
      </c>
      <c r="DP1137" s="331">
        <f>DP22</f>
        <v>-571.69703948997517</v>
      </c>
      <c r="DQ1137" s="331">
        <f>DQ22</f>
        <v>-595.42322325910618</v>
      </c>
      <c r="DR1137" s="331">
        <f>+DQ1137+DP1137</f>
        <v>-1167.1202627490813</v>
      </c>
    </row>
    <row r="1138" spans="1:273">
      <c r="AR1138" s="626"/>
      <c r="AS1138" s="626"/>
      <c r="AT1138" s="626"/>
      <c r="AU1138" s="626"/>
      <c r="AV1138" s="626"/>
      <c r="AW1138" s="626"/>
      <c r="AX1138" s="626"/>
      <c r="AZ1138" s="626"/>
      <c r="BA1138" s="626"/>
      <c r="BD1138" s="626"/>
      <c r="BE1138" s="730"/>
      <c r="BH1138" s="658"/>
      <c r="BI1138" s="658"/>
      <c r="BJ1138" s="331"/>
      <c r="BK1138" s="730"/>
      <c r="BL1138" s="658"/>
      <c r="BM1138" s="658"/>
      <c r="BN1138" s="331"/>
      <c r="BP1138" s="658"/>
      <c r="BQ1138" s="658"/>
      <c r="BR1138" s="331"/>
      <c r="BT1138" s="658"/>
      <c r="BU1138" s="658"/>
      <c r="BV1138" s="331"/>
      <c r="BX1138" s="658"/>
      <c r="BY1138" s="658"/>
      <c r="BZ1138" s="331"/>
      <c r="CB1138" s="658"/>
      <c r="CC1138" s="658"/>
      <c r="CD1138" s="331"/>
      <c r="CF1138" s="658"/>
      <c r="CG1138" s="658"/>
      <c r="CH1138" s="331"/>
      <c r="CJ1138" s="658"/>
      <c r="CK1138" s="658"/>
      <c r="CL1138" s="331"/>
      <c r="CN1138" s="655"/>
      <c r="CO1138" s="658"/>
      <c r="CP1138" s="331"/>
      <c r="CR1138" s="655"/>
      <c r="CS1138" s="658"/>
      <c r="CT1138" s="331"/>
      <c r="CV1138" s="331"/>
      <c r="CW1138" s="658"/>
      <c r="CX1138" s="331"/>
      <c r="CZ1138" s="331"/>
      <c r="DA1138" s="658"/>
      <c r="DB1138" s="331"/>
      <c r="DD1138" s="331"/>
      <c r="DE1138" s="331"/>
      <c r="DF1138" s="331"/>
      <c r="DH1138" s="331"/>
      <c r="DI1138" s="331"/>
      <c r="DJ1138" s="331"/>
      <c r="DL1138" s="331"/>
      <c r="DM1138" s="331"/>
      <c r="DN1138" s="331"/>
      <c r="DP1138" s="331"/>
      <c r="DQ1138" s="331"/>
      <c r="DR1138" s="331"/>
    </row>
    <row r="1139" spans="1:273">
      <c r="A1139" s="815" t="s">
        <v>733</v>
      </c>
      <c r="AR1139" s="640"/>
      <c r="AS1139" s="640"/>
      <c r="AT1139" s="640"/>
      <c r="AU1139" s="640"/>
      <c r="AV1139" s="640"/>
      <c r="AW1139" s="640"/>
      <c r="AX1139" s="640"/>
      <c r="AY1139" s="1019"/>
      <c r="AZ1139" s="640"/>
      <c r="BA1139" s="1019"/>
      <c r="BB1139" s="1019"/>
      <c r="BC1139" s="1019"/>
      <c r="BD1139" s="640"/>
      <c r="BE1139" s="1019"/>
      <c r="BF1139" s="1019"/>
      <c r="BG1139" s="1019"/>
      <c r="BH1139" s="640"/>
      <c r="BI1139" s="1019"/>
      <c r="BJ1139" s="1019"/>
      <c r="BK1139" s="1019"/>
      <c r="BL1139" s="1019"/>
      <c r="BM1139" s="1019"/>
      <c r="BN1139" s="1019"/>
      <c r="BO1139" s="1019"/>
      <c r="BP1139" s="1019"/>
      <c r="BQ1139" s="1019"/>
      <c r="BR1139" s="1019"/>
      <c r="BS1139" s="1019"/>
      <c r="BT1139" s="1019"/>
      <c r="BU1139" s="1019"/>
    </row>
    <row r="1140" spans="1:273">
      <c r="A1140" s="102" t="s">
        <v>685</v>
      </c>
      <c r="AR1140" s="293"/>
      <c r="AS1140" s="293"/>
      <c r="AT1140" s="730"/>
      <c r="AU1140" s="730"/>
      <c r="AV1140" s="293"/>
      <c r="AW1140" s="293"/>
      <c r="AX1140" s="730"/>
      <c r="AZ1140" s="293"/>
      <c r="BA1140" s="293"/>
      <c r="BD1140" s="293"/>
      <c r="BE1140" s="293"/>
      <c r="BH1140" s="293"/>
      <c r="BI1140" s="293"/>
      <c r="BL1140" s="293"/>
      <c r="BM1140" s="293"/>
      <c r="BP1140" s="293"/>
      <c r="BQ1140" s="293"/>
      <c r="BT1140" s="293"/>
      <c r="BU1140" s="293"/>
      <c r="BX1140" s="293"/>
      <c r="BY1140" s="293"/>
      <c r="CB1140" s="293"/>
      <c r="CC1140" s="293"/>
      <c r="CF1140" s="293"/>
      <c r="CG1140" s="293"/>
      <c r="CJ1140" s="293"/>
      <c r="CK1140" s="293"/>
      <c r="CN1140" s="293"/>
      <c r="CO1140" s="293"/>
      <c r="CR1140" s="293"/>
      <c r="CS1140" s="293"/>
      <c r="CV1140" s="293"/>
      <c r="CW1140" s="293"/>
      <c r="CZ1140" s="293"/>
      <c r="DA1140" s="293"/>
      <c r="DD1140" s="293"/>
      <c r="DE1140" s="293"/>
      <c r="DH1140" s="293"/>
      <c r="DI1140" s="293"/>
      <c r="DL1140" s="293"/>
      <c r="DM1140" s="293"/>
      <c r="DP1140" s="293"/>
      <c r="DQ1140" s="293"/>
      <c r="DU1140" s="293"/>
      <c r="DV1140" s="293"/>
      <c r="DW1140" s="293"/>
      <c r="DZ1140" s="293"/>
      <c r="EA1140" s="293"/>
      <c r="ED1140" s="293"/>
      <c r="EE1140" s="293"/>
    </row>
    <row r="1141" spans="1:273">
      <c r="A1141" s="102" t="s">
        <v>686</v>
      </c>
      <c r="AR1141" s="293">
        <f>AR139</f>
        <v>0</v>
      </c>
      <c r="AS1141" s="293">
        <f>AS139</f>
        <v>0</v>
      </c>
      <c r="AT1141" s="730"/>
      <c r="AU1141" s="730"/>
      <c r="AV1141" s="293">
        <f>AV139</f>
        <v>14</v>
      </c>
      <c r="AW1141" s="293">
        <f>AW139</f>
        <v>19</v>
      </c>
      <c r="AX1141" s="730"/>
      <c r="AZ1141" s="293">
        <f>AZ139</f>
        <v>21</v>
      </c>
      <c r="BA1141" s="293">
        <f>BA139</f>
        <v>22</v>
      </c>
      <c r="BD1141" s="293">
        <f>BD139</f>
        <v>21</v>
      </c>
      <c r="BE1141" s="293">
        <f>BE139</f>
        <v>18</v>
      </c>
      <c r="BH1141" s="293">
        <f>BH139</f>
        <v>16</v>
      </c>
      <c r="BI1141" s="293">
        <f>BI139</f>
        <v>18</v>
      </c>
      <c r="BL1141" s="293">
        <f>BL139</f>
        <v>24</v>
      </c>
      <c r="BM1141" s="293">
        <f>BM139</f>
        <v>22</v>
      </c>
      <c r="BP1141" s="293">
        <f>BP139</f>
        <v>18</v>
      </c>
      <c r="BQ1141" s="293">
        <f>BQ139</f>
        <v>25</v>
      </c>
      <c r="BT1141" s="293">
        <f>BT139</f>
        <v>32</v>
      </c>
      <c r="BU1141" s="293">
        <f>BU139</f>
        <v>16</v>
      </c>
      <c r="BX1141" s="293">
        <f>BX139</f>
        <v>22.951724137931034</v>
      </c>
      <c r="BY1141" s="293">
        <f>BY139</f>
        <v>25.986206896551725</v>
      </c>
      <c r="CB1141" s="293">
        <f>CB139</f>
        <v>23.282758620689656</v>
      </c>
      <c r="CC1141" s="293">
        <f>CC139</f>
        <v>23.337931034482757</v>
      </c>
      <c r="CF1141" s="293">
        <f>CF139</f>
        <v>0</v>
      </c>
      <c r="CG1141" s="293">
        <f>CG139</f>
        <v>0</v>
      </c>
      <c r="CJ1141" s="293">
        <f>CJ139</f>
        <v>0</v>
      </c>
      <c r="CK1141" s="293">
        <f>CK139</f>
        <v>0</v>
      </c>
      <c r="CN1141" s="293">
        <f>CN139</f>
        <v>0</v>
      </c>
      <c r="CO1141" s="293">
        <f>CO139</f>
        <v>0</v>
      </c>
      <c r="CR1141" s="293">
        <f>CR139</f>
        <v>0</v>
      </c>
      <c r="CS1141" s="293">
        <f>CS139</f>
        <v>0</v>
      </c>
      <c r="CV1141" s="293">
        <f>CV139</f>
        <v>0</v>
      </c>
      <c r="CW1141" s="293">
        <f>CW139</f>
        <v>0</v>
      </c>
      <c r="CZ1141" s="293">
        <f>CZ139</f>
        <v>0</v>
      </c>
      <c r="DA1141" s="293">
        <f>DA139</f>
        <v>0</v>
      </c>
      <c r="DD1141" s="293">
        <f>DD139</f>
        <v>0</v>
      </c>
      <c r="DE1141" s="293">
        <f>DE139</f>
        <v>0</v>
      </c>
      <c r="DH1141" s="293">
        <f>DH139</f>
        <v>0</v>
      </c>
      <c r="DI1141" s="293">
        <f>DI139</f>
        <v>0</v>
      </c>
      <c r="DL1141" s="293">
        <f>DL139</f>
        <v>0</v>
      </c>
      <c r="DM1141" s="293">
        <f>DM139</f>
        <v>0</v>
      </c>
      <c r="DP1141" s="293">
        <f>DP139</f>
        <v>0</v>
      </c>
      <c r="DQ1141" s="293">
        <f>DQ139</f>
        <v>0</v>
      </c>
      <c r="DU1141" s="293"/>
      <c r="DV1141" s="293"/>
      <c r="DW1141" s="293"/>
      <c r="DZ1141" s="293"/>
      <c r="EA1141" s="293"/>
      <c r="ED1141" s="293"/>
      <c r="EE1141" s="293"/>
    </row>
    <row r="1142" spans="1:273">
      <c r="A1142" s="102" t="s">
        <v>616</v>
      </c>
      <c r="AN1142" s="290"/>
      <c r="AO1142" s="290"/>
      <c r="AP1142" s="290"/>
      <c r="AQ1142" s="290"/>
      <c r="AR1142" s="293"/>
      <c r="AS1142" s="293"/>
      <c r="AT1142" s="290"/>
      <c r="AU1142" s="290"/>
      <c r="AV1142" s="293">
        <f>DIVISIONS!AV409</f>
        <v>16</v>
      </c>
      <c r="AW1142" s="293">
        <f>DIVISIONS!AW409</f>
        <v>17</v>
      </c>
      <c r="AX1142" s="290"/>
      <c r="AY1142" s="290"/>
      <c r="AZ1142" s="293">
        <f>DIVISIONS!AZ409</f>
        <v>18</v>
      </c>
      <c r="BA1142" s="293">
        <f>DIVISIONS!BA409</f>
        <v>13</v>
      </c>
      <c r="BB1142" s="290"/>
      <c r="BC1142" s="290"/>
      <c r="BD1142" s="293">
        <f>DIVISIONS!BD409</f>
        <v>14</v>
      </c>
      <c r="BE1142" s="293">
        <f>DIVISIONS!BE409</f>
        <v>12</v>
      </c>
      <c r="BF1142" s="290"/>
      <c r="BG1142" s="290"/>
      <c r="BH1142" s="293">
        <f>DIVISIONS!BH409</f>
        <v>15</v>
      </c>
      <c r="BI1142" s="293">
        <f>DIVISIONS!BI409</f>
        <v>12</v>
      </c>
      <c r="BJ1142" s="290"/>
      <c r="BK1142" s="290"/>
      <c r="BL1142" s="293">
        <f>DIVISIONS!BL409</f>
        <v>16</v>
      </c>
      <c r="BM1142" s="293">
        <f>DIVISIONS!BM409</f>
        <v>16</v>
      </c>
      <c r="BN1142" s="290"/>
      <c r="BO1142" s="290"/>
      <c r="BP1142" s="293">
        <f>DIVISIONS!BP409</f>
        <v>15</v>
      </c>
      <c r="BQ1142" s="293">
        <f>DIVISIONS!BQ409</f>
        <v>0</v>
      </c>
      <c r="BR1142" s="290"/>
      <c r="BS1142" s="290"/>
      <c r="BT1142" s="293">
        <f>DIVISIONS!BT409</f>
        <v>0</v>
      </c>
      <c r="BU1142" s="293">
        <f>DIVISIONS!BU409</f>
        <v>0</v>
      </c>
      <c r="BV1142" s="290"/>
      <c r="BW1142" s="290"/>
      <c r="BX1142" s="293">
        <f>DIVISIONS!BX409</f>
        <v>0</v>
      </c>
      <c r="BY1142" s="293">
        <f>DIVISIONS!BY409</f>
        <v>0</v>
      </c>
      <c r="BZ1142" s="290"/>
      <c r="CA1142" s="290"/>
      <c r="CB1142" s="293">
        <f>DIVISIONS!CB409</f>
        <v>0</v>
      </c>
      <c r="CC1142" s="293">
        <f>DIVISIONS!CC409</f>
        <v>0</v>
      </c>
      <c r="CD1142" s="290"/>
      <c r="CE1142" s="581"/>
      <c r="CF1142" s="293">
        <f>DIVISIONS!CF409</f>
        <v>0</v>
      </c>
      <c r="CG1142" s="293">
        <f>DIVISIONS!CG409</f>
        <v>0</v>
      </c>
      <c r="CH1142" s="290"/>
      <c r="CI1142" s="581"/>
      <c r="CJ1142" s="293">
        <f>DIVISIONS!CJ409</f>
        <v>0</v>
      </c>
      <c r="CK1142" s="293">
        <f>DIVISIONS!CK409</f>
        <v>0</v>
      </c>
      <c r="CL1142" s="290"/>
      <c r="CM1142" s="581"/>
      <c r="CN1142" s="293">
        <f>DIVISIONS!CN409</f>
        <v>0</v>
      </c>
      <c r="CO1142" s="293">
        <f>DIVISIONS!CO409</f>
        <v>0</v>
      </c>
      <c r="CP1142" s="290"/>
      <c r="CQ1142" s="581"/>
      <c r="CR1142" s="293">
        <f>DIVISIONS!CR409</f>
        <v>0</v>
      </c>
      <c r="CS1142" s="293">
        <f>DIVISIONS!CS409</f>
        <v>0</v>
      </c>
      <c r="CT1142" s="290"/>
      <c r="CU1142" s="290"/>
      <c r="CV1142" s="293">
        <f>DIVISIONS!CV409</f>
        <v>0</v>
      </c>
      <c r="CW1142" s="293">
        <f>DIVISIONS!CW409</f>
        <v>0</v>
      </c>
      <c r="CX1142" s="290"/>
      <c r="CY1142" s="290"/>
      <c r="CZ1142" s="293">
        <f>DIVISIONS!CZ409</f>
        <v>0</v>
      </c>
      <c r="DA1142" s="293">
        <f>DIVISIONS!DA409</f>
        <v>0</v>
      </c>
      <c r="DB1142" s="290"/>
      <c r="DC1142" s="290"/>
      <c r="DD1142" s="293">
        <f>DIVISIONS!DD409</f>
        <v>0</v>
      </c>
      <c r="DE1142" s="293">
        <f>DIVISIONS!DE409</f>
        <v>0</v>
      </c>
      <c r="DF1142" s="290"/>
      <c r="DG1142" s="290"/>
      <c r="DH1142" s="293">
        <f>DIVISIONS!DH409</f>
        <v>0</v>
      </c>
      <c r="DI1142" s="293">
        <f>DIVISIONS!DI409</f>
        <v>0</v>
      </c>
      <c r="DJ1142" s="290"/>
      <c r="DK1142" s="290"/>
      <c r="DL1142" s="293">
        <f>DIVISIONS!DL409</f>
        <v>0</v>
      </c>
      <c r="DM1142" s="293">
        <f>DIVISIONS!DM409</f>
        <v>0</v>
      </c>
      <c r="DN1142" s="290"/>
      <c r="DO1142" s="290"/>
      <c r="DP1142" s="293">
        <f>DIVISIONS!DP409</f>
        <v>0</v>
      </c>
      <c r="DQ1142" s="293">
        <f>DIVISIONS!DQ409</f>
        <v>0</v>
      </c>
      <c r="DR1142" s="290"/>
      <c r="DS1142" s="290"/>
      <c r="DT1142" s="290"/>
      <c r="DU1142" s="293"/>
      <c r="DV1142" s="293"/>
      <c r="DW1142" s="293"/>
      <c r="DX1142" s="290"/>
      <c r="DY1142" s="290"/>
      <c r="DZ1142" s="293"/>
      <c r="EA1142" s="293"/>
      <c r="EB1142" s="290"/>
      <c r="EC1142" s="290"/>
      <c r="ED1142" s="293"/>
      <c r="EE1142" s="293"/>
      <c r="EF1142" s="290"/>
      <c r="EG1142" s="290"/>
      <c r="EH1142" s="290"/>
      <c r="EI1142" s="290"/>
      <c r="EJ1142" s="290"/>
      <c r="EK1142" s="290"/>
      <c r="EL1142" s="290"/>
      <c r="EM1142" s="290"/>
      <c r="EN1142" s="290"/>
      <c r="EO1142" s="290"/>
      <c r="EP1142" s="290"/>
      <c r="EQ1142" s="289"/>
      <c r="ER1142" s="289"/>
      <c r="ES1142" s="289"/>
      <c r="ET1142" s="289"/>
      <c r="EU1142" s="289"/>
      <c r="EV1142" s="289"/>
      <c r="EW1142" s="289"/>
      <c r="EX1142" s="289"/>
      <c r="EY1142" s="289"/>
      <c r="EZ1142" s="289"/>
      <c r="FA1142" s="289"/>
      <c r="FB1142" s="289"/>
      <c r="FC1142" s="289"/>
      <c r="FD1142" s="289"/>
      <c r="FE1142" s="289"/>
      <c r="FF1142" s="289"/>
      <c r="FG1142" s="289"/>
      <c r="FH1142" s="289"/>
      <c r="FI1142" s="289"/>
      <c r="FJ1142" s="289"/>
      <c r="FK1142" s="289"/>
      <c r="FL1142" s="289"/>
      <c r="FM1142" s="289"/>
      <c r="FN1142" s="289"/>
      <c r="FO1142" s="289"/>
      <c r="FP1142" s="289"/>
      <c r="FQ1142" s="289"/>
      <c r="FR1142" s="289"/>
      <c r="FS1142" s="289"/>
      <c r="FT1142" s="289"/>
      <c r="FU1142" s="289"/>
      <c r="FV1142" s="289"/>
      <c r="FW1142" s="289"/>
      <c r="FX1142" s="289"/>
      <c r="FY1142" s="289"/>
      <c r="FZ1142" s="289"/>
      <c r="GA1142" s="289"/>
      <c r="GB1142" s="289"/>
      <c r="GC1142" s="289"/>
      <c r="GD1142" s="289"/>
      <c r="GE1142" s="289"/>
      <c r="GF1142" s="289"/>
      <c r="GG1142" s="289"/>
      <c r="GH1142" s="289"/>
      <c r="GI1142" s="289"/>
      <c r="GJ1142" s="289"/>
      <c r="GK1142" s="289"/>
      <c r="GL1142" s="289"/>
      <c r="GM1142" s="289"/>
      <c r="GN1142" s="289"/>
      <c r="GO1142" s="289"/>
      <c r="GP1142" s="289"/>
      <c r="GQ1142" s="289"/>
      <c r="GR1142" s="289"/>
      <c r="GS1142" s="289"/>
      <c r="GT1142" s="289"/>
      <c r="GU1142" s="289"/>
      <c r="GV1142" s="289"/>
      <c r="GW1142" s="289"/>
      <c r="GX1142" s="289"/>
      <c r="GY1142" s="289"/>
      <c r="GZ1142" s="289"/>
      <c r="HA1142" s="289"/>
      <c r="HB1142" s="289"/>
      <c r="HC1142" s="289"/>
      <c r="HD1142" s="289"/>
      <c r="HE1142" s="289"/>
      <c r="HF1142" s="289"/>
      <c r="HG1142" s="289"/>
      <c r="HH1142" s="289"/>
      <c r="HI1142" s="289"/>
      <c r="HJ1142" s="289"/>
      <c r="HK1142" s="289"/>
      <c r="HL1142" s="289"/>
      <c r="HM1142" s="289"/>
      <c r="HN1142" s="289"/>
      <c r="HO1142" s="289"/>
      <c r="HP1142" s="289"/>
      <c r="HQ1142" s="289"/>
      <c r="HR1142" s="289"/>
      <c r="HS1142" s="289"/>
      <c r="HT1142" s="289"/>
      <c r="HU1142" s="289"/>
      <c r="HV1142" s="289"/>
      <c r="HW1142" s="289"/>
      <c r="HX1142" s="289"/>
      <c r="HY1142" s="289"/>
      <c r="HZ1142" s="289"/>
      <c r="IA1142" s="289"/>
      <c r="IB1142" s="289"/>
      <c r="IC1142" s="289"/>
      <c r="ID1142" s="289"/>
      <c r="IE1142" s="289"/>
      <c r="IF1142" s="289"/>
      <c r="IG1142" s="289"/>
      <c r="IH1142" s="289"/>
      <c r="II1142" s="289"/>
      <c r="IJ1142" s="289"/>
      <c r="IK1142" s="289"/>
      <c r="IL1142" s="289"/>
      <c r="IM1142" s="289"/>
      <c r="IN1142" s="289"/>
      <c r="IO1142" s="289"/>
      <c r="IP1142" s="289"/>
      <c r="IQ1142" s="289"/>
      <c r="IR1142" s="289"/>
      <c r="IS1142" s="289"/>
      <c r="IT1142" s="289"/>
      <c r="IU1142" s="289"/>
      <c r="IV1142" s="289"/>
      <c r="IW1142" s="289"/>
      <c r="IX1142" s="289"/>
      <c r="IY1142" s="289"/>
      <c r="IZ1142" s="289"/>
      <c r="JA1142" s="289"/>
      <c r="JB1142" s="289"/>
      <c r="JC1142" s="289"/>
      <c r="JD1142" s="289"/>
      <c r="JE1142" s="289"/>
      <c r="JF1142" s="289"/>
      <c r="JG1142" s="289"/>
      <c r="JH1142" s="289"/>
      <c r="JI1142" s="289"/>
      <c r="JJ1142" s="289"/>
      <c r="JK1142" s="289"/>
      <c r="JL1142" s="289"/>
    </row>
    <row r="1143" spans="1:273">
      <c r="A1143" s="102" t="s">
        <v>1024</v>
      </c>
      <c r="AN1143" s="290"/>
      <c r="AO1143" s="290"/>
      <c r="AP1143" s="290"/>
      <c r="AQ1143" s="290"/>
      <c r="AR1143" s="293">
        <f>AR151</f>
        <v>444</v>
      </c>
      <c r="AS1143" s="293">
        <f>AS151</f>
        <v>330</v>
      </c>
      <c r="AT1143" s="290"/>
      <c r="AU1143" s="290"/>
      <c r="AV1143" s="293">
        <f>AV151</f>
        <v>409</v>
      </c>
      <c r="AW1143" s="293">
        <f>AW151</f>
        <v>374</v>
      </c>
      <c r="AX1143" s="290"/>
      <c r="AY1143" s="290"/>
      <c r="AZ1143" s="293">
        <f>AZ151</f>
        <v>413</v>
      </c>
      <c r="BA1143" s="293">
        <f>BA151</f>
        <v>390</v>
      </c>
      <c r="BB1143" s="290"/>
      <c r="BC1143" s="290"/>
      <c r="BD1143" s="293">
        <f>BD151</f>
        <v>333.5</v>
      </c>
      <c r="BE1143" s="293">
        <f>BE151</f>
        <v>291</v>
      </c>
      <c r="BF1143" s="290"/>
      <c r="BG1143" s="290"/>
      <c r="BH1143" s="293">
        <f>BH151</f>
        <v>260</v>
      </c>
      <c r="BI1143" s="293">
        <f>BI151</f>
        <v>276</v>
      </c>
      <c r="BJ1143" s="290"/>
      <c r="BK1143" s="290"/>
      <c r="BL1143" s="293">
        <f>BL151</f>
        <v>323</v>
      </c>
      <c r="BM1143" s="293">
        <f>BM151</f>
        <v>326</v>
      </c>
      <c r="BN1143" s="290"/>
      <c r="BO1143" s="290"/>
      <c r="BP1143" s="293">
        <f>BP151</f>
        <v>313</v>
      </c>
      <c r="BQ1143" s="293">
        <f>BQ151</f>
        <v>345</v>
      </c>
      <c r="BR1143" s="290"/>
      <c r="BS1143" s="290"/>
      <c r="BT1143" s="293">
        <f>BT151</f>
        <v>380</v>
      </c>
      <c r="BU1143" s="293">
        <f>BU151</f>
        <v>358</v>
      </c>
      <c r="BV1143" s="290"/>
      <c r="BW1143" s="290"/>
      <c r="BX1143" s="293">
        <f>BX151</f>
        <v>355</v>
      </c>
      <c r="BY1143" s="293">
        <f>BY151</f>
        <v>349</v>
      </c>
      <c r="BZ1143" s="290"/>
      <c r="CA1143" s="290"/>
      <c r="CB1143" s="293">
        <f>CB151</f>
        <v>341</v>
      </c>
      <c r="CC1143" s="293">
        <f>CC151</f>
        <v>345</v>
      </c>
      <c r="CD1143" s="290"/>
      <c r="CE1143" s="581"/>
      <c r="CF1143" s="293">
        <f>CF151</f>
        <v>432</v>
      </c>
      <c r="CG1143" s="293">
        <f>CG151</f>
        <v>425</v>
      </c>
      <c r="CH1143" s="290"/>
      <c r="CI1143" s="581"/>
      <c r="CJ1143" s="293">
        <f>CJ151</f>
        <v>112</v>
      </c>
      <c r="CK1143" s="293">
        <f>CK151</f>
        <v>139</v>
      </c>
      <c r="CL1143" s="290"/>
      <c r="CM1143" s="581"/>
      <c r="CN1143" s="293">
        <f>CN151</f>
        <v>112</v>
      </c>
      <c r="CO1143" s="293">
        <f>CO151</f>
        <v>97</v>
      </c>
      <c r="CP1143" s="290"/>
      <c r="CQ1143" s="581"/>
      <c r="CR1143" s="293">
        <f>CR151</f>
        <v>112</v>
      </c>
      <c r="CS1143" s="293">
        <f>CS151</f>
        <v>127</v>
      </c>
      <c r="CT1143" s="290"/>
      <c r="CU1143" s="290"/>
      <c r="CV1143" s="293">
        <f>CV151</f>
        <v>125</v>
      </c>
      <c r="CW1143" s="293">
        <f>CW151</f>
        <v>127</v>
      </c>
      <c r="CX1143" s="290"/>
      <c r="CY1143" s="290"/>
      <c r="CZ1143" s="293">
        <f>CZ151</f>
        <v>135</v>
      </c>
      <c r="DA1143" s="293">
        <f>DA151</f>
        <v>162</v>
      </c>
      <c r="DB1143" s="290"/>
      <c r="DC1143" s="290"/>
      <c r="DD1143" s="293">
        <f>DD151</f>
        <v>154</v>
      </c>
      <c r="DE1143" s="293">
        <f>DE151</f>
        <v>153</v>
      </c>
      <c r="DF1143" s="290"/>
      <c r="DG1143" s="290"/>
      <c r="DH1143" s="293">
        <f>DH151</f>
        <v>177</v>
      </c>
      <c r="DI1143" s="293">
        <f>DI151</f>
        <v>156.06</v>
      </c>
      <c r="DJ1143" s="290"/>
      <c r="DK1143" s="290"/>
      <c r="DL1143" s="293">
        <f>DL151</f>
        <v>173.46</v>
      </c>
      <c r="DM1143" s="293">
        <f>DM151</f>
        <v>152.93879999999999</v>
      </c>
      <c r="DN1143" s="290"/>
      <c r="DO1143" s="290"/>
      <c r="DP1143" s="293">
        <f>DP151</f>
        <v>169.99080000000001</v>
      </c>
      <c r="DQ1143" s="293">
        <f>DQ151</f>
        <v>149.88002399999999</v>
      </c>
      <c r="DR1143" s="290"/>
      <c r="DS1143" s="290"/>
      <c r="DT1143" s="290"/>
      <c r="DU1143" s="293"/>
      <c r="DV1143" s="293"/>
      <c r="DW1143" s="293"/>
      <c r="DX1143" s="290"/>
      <c r="DY1143" s="290"/>
      <c r="DZ1143" s="293"/>
      <c r="EA1143" s="293"/>
      <c r="EB1143" s="290"/>
      <c r="EC1143" s="290"/>
      <c r="ED1143" s="293"/>
      <c r="EE1143" s="293"/>
      <c r="EF1143" s="290"/>
      <c r="EG1143" s="290"/>
      <c r="EH1143" s="290"/>
      <c r="EI1143" s="290"/>
      <c r="EJ1143" s="290"/>
      <c r="EK1143" s="290"/>
      <c r="EL1143" s="290"/>
      <c r="EM1143" s="290"/>
      <c r="EN1143" s="290"/>
      <c r="EO1143" s="290"/>
      <c r="EP1143" s="290"/>
      <c r="EQ1143" s="289"/>
      <c r="ER1143" s="289"/>
      <c r="ES1143" s="289"/>
      <c r="ET1143" s="289"/>
      <c r="EU1143" s="289"/>
      <c r="EV1143" s="289"/>
      <c r="EW1143" s="289"/>
      <c r="EX1143" s="289"/>
      <c r="EY1143" s="289"/>
      <c r="EZ1143" s="289"/>
      <c r="FA1143" s="289"/>
      <c r="FB1143" s="289"/>
      <c r="FC1143" s="289"/>
      <c r="FD1143" s="289"/>
      <c r="FE1143" s="289"/>
      <c r="FF1143" s="289"/>
      <c r="FG1143" s="289"/>
      <c r="FH1143" s="289"/>
      <c r="FI1143" s="289"/>
      <c r="FJ1143" s="289"/>
      <c r="FK1143" s="289"/>
      <c r="FL1143" s="289"/>
      <c r="FM1143" s="289"/>
      <c r="FN1143" s="289"/>
      <c r="FO1143" s="289"/>
      <c r="FP1143" s="289"/>
      <c r="FQ1143" s="289"/>
      <c r="FR1143" s="289"/>
      <c r="FS1143" s="289"/>
      <c r="FT1143" s="289"/>
      <c r="FU1143" s="289"/>
      <c r="FV1143" s="289"/>
      <c r="FW1143" s="289"/>
      <c r="FX1143" s="289"/>
      <c r="FY1143" s="289"/>
      <c r="FZ1143" s="289"/>
      <c r="GA1143" s="289"/>
      <c r="GB1143" s="289"/>
      <c r="GC1143" s="289"/>
      <c r="GD1143" s="289"/>
      <c r="GE1143" s="289"/>
      <c r="GF1143" s="289"/>
      <c r="GG1143" s="289"/>
      <c r="GH1143" s="289"/>
      <c r="GI1143" s="289"/>
      <c r="GJ1143" s="289"/>
      <c r="GK1143" s="289"/>
      <c r="GL1143" s="289"/>
      <c r="GM1143" s="289"/>
      <c r="GN1143" s="289"/>
      <c r="GO1143" s="289"/>
      <c r="GP1143" s="289"/>
      <c r="GQ1143" s="289"/>
      <c r="GR1143" s="289"/>
      <c r="GS1143" s="289"/>
      <c r="GT1143" s="289"/>
      <c r="GU1143" s="289"/>
      <c r="GV1143" s="289"/>
      <c r="GW1143" s="289"/>
      <c r="GX1143" s="289"/>
      <c r="GY1143" s="289"/>
      <c r="GZ1143" s="289"/>
      <c r="HA1143" s="289"/>
      <c r="HB1143" s="289"/>
      <c r="HC1143" s="289"/>
      <c r="HD1143" s="289"/>
      <c r="HE1143" s="289"/>
      <c r="HF1143" s="289"/>
      <c r="HG1143" s="289"/>
      <c r="HH1143" s="289"/>
      <c r="HI1143" s="289"/>
      <c r="HJ1143" s="289"/>
      <c r="HK1143" s="289"/>
      <c r="HL1143" s="289"/>
      <c r="HM1143" s="289"/>
      <c r="HN1143" s="289"/>
      <c r="HO1143" s="289"/>
      <c r="HP1143" s="289"/>
      <c r="HQ1143" s="289"/>
      <c r="HR1143" s="289"/>
      <c r="HS1143" s="289"/>
      <c r="HT1143" s="289"/>
      <c r="HU1143" s="289"/>
      <c r="HV1143" s="289"/>
      <c r="HW1143" s="289"/>
      <c r="HX1143" s="289"/>
      <c r="HY1143" s="289"/>
      <c r="HZ1143" s="289"/>
      <c r="IA1143" s="289"/>
      <c r="IB1143" s="289"/>
      <c r="IC1143" s="289"/>
      <c r="ID1143" s="289"/>
      <c r="IE1143" s="289"/>
      <c r="IF1143" s="289"/>
      <c r="IG1143" s="289"/>
      <c r="IH1143" s="289"/>
      <c r="II1143" s="289"/>
      <c r="IJ1143" s="289"/>
      <c r="IK1143" s="289"/>
      <c r="IL1143" s="289"/>
      <c r="IM1143" s="289"/>
      <c r="IN1143" s="289"/>
      <c r="IO1143" s="289"/>
      <c r="IP1143" s="289"/>
      <c r="IQ1143" s="289"/>
      <c r="IR1143" s="289"/>
      <c r="IS1143" s="289"/>
      <c r="IT1143" s="289"/>
      <c r="IU1143" s="289"/>
      <c r="IV1143" s="289"/>
      <c r="IW1143" s="289"/>
      <c r="IX1143" s="289"/>
      <c r="IY1143" s="289"/>
      <c r="IZ1143" s="289"/>
      <c r="JA1143" s="289"/>
      <c r="JB1143" s="289"/>
      <c r="JC1143" s="289"/>
      <c r="JD1143" s="289"/>
      <c r="JE1143" s="289"/>
      <c r="JF1143" s="289"/>
      <c r="JG1143" s="289"/>
      <c r="JH1143" s="289"/>
      <c r="JI1143" s="289"/>
      <c r="JJ1143" s="289"/>
      <c r="JK1143" s="289"/>
      <c r="JL1143" s="289"/>
    </row>
    <row r="1144" spans="1:273" s="302" customFormat="1">
      <c r="A1144" s="302" t="s">
        <v>690</v>
      </c>
      <c r="B1144" s="304"/>
      <c r="AN1144" s="304"/>
      <c r="AO1144" s="304"/>
      <c r="AP1144" s="304"/>
      <c r="AQ1144" s="304"/>
      <c r="AR1144" s="627">
        <v>0</v>
      </c>
      <c r="AS1144" s="627">
        <v>0</v>
      </c>
      <c r="AT1144" s="304"/>
      <c r="AU1144" s="304"/>
      <c r="AV1144" s="627">
        <v>0</v>
      </c>
      <c r="AW1144" s="627">
        <v>0</v>
      </c>
      <c r="AX1144" s="304"/>
      <c r="AY1144" s="304"/>
      <c r="AZ1144" s="627">
        <v>0</v>
      </c>
      <c r="BA1144" s="627">
        <v>0</v>
      </c>
      <c r="BB1144" s="304"/>
      <c r="BC1144" s="304"/>
      <c r="BD1144" s="627">
        <v>0</v>
      </c>
      <c r="BE1144" s="627">
        <v>0</v>
      </c>
      <c r="BF1144" s="304"/>
      <c r="BG1144" s="304"/>
      <c r="BH1144" s="627">
        <v>0</v>
      </c>
      <c r="BI1144" s="627">
        <v>0</v>
      </c>
      <c r="BJ1144" s="304"/>
      <c r="BK1144" s="304"/>
      <c r="BL1144" s="627">
        <v>0</v>
      </c>
      <c r="BM1144" s="627">
        <v>0</v>
      </c>
      <c r="BN1144" s="304"/>
      <c r="BO1144" s="304"/>
      <c r="BP1144" s="627">
        <v>0</v>
      </c>
      <c r="BQ1144" s="627">
        <v>0</v>
      </c>
      <c r="BR1144" s="304"/>
      <c r="BS1144" s="304"/>
      <c r="BT1144" s="627">
        <v>0</v>
      </c>
      <c r="BU1144" s="627">
        <v>0</v>
      </c>
      <c r="BV1144" s="304"/>
      <c r="BW1144" s="304"/>
      <c r="BX1144" s="627">
        <v>0</v>
      </c>
      <c r="BY1144" s="627">
        <v>0</v>
      </c>
      <c r="BZ1144" s="304"/>
      <c r="CA1144" s="304"/>
      <c r="CB1144" s="627">
        <v>0</v>
      </c>
      <c r="CC1144" s="629">
        <v>0</v>
      </c>
      <c r="CD1144" s="304"/>
      <c r="CE1144" s="300"/>
      <c r="CF1144" s="627">
        <v>0</v>
      </c>
      <c r="CG1144" s="629">
        <v>0</v>
      </c>
      <c r="CH1144" s="304"/>
      <c r="CI1144" s="300"/>
      <c r="CJ1144" s="627">
        <v>0</v>
      </c>
      <c r="CK1144" s="629">
        <v>0</v>
      </c>
      <c r="CL1144" s="304"/>
      <c r="CM1144" s="300"/>
      <c r="CN1144" s="1326">
        <v>0</v>
      </c>
      <c r="CO1144" s="1326">
        <v>0</v>
      </c>
      <c r="CP1144" s="304"/>
      <c r="CQ1144" s="300"/>
      <c r="CR1144" s="1326">
        <v>0</v>
      </c>
      <c r="CS1144" s="1388">
        <v>0</v>
      </c>
      <c r="CT1144" s="304"/>
      <c r="CU1144" s="304"/>
      <c r="CV1144" s="629">
        <v>0</v>
      </c>
      <c r="CW1144" s="629">
        <v>0</v>
      </c>
      <c r="CX1144" s="304"/>
      <c r="CY1144" s="304"/>
      <c r="CZ1144" s="627">
        <v>0</v>
      </c>
      <c r="DA1144" s="629">
        <v>0</v>
      </c>
      <c r="DB1144" s="304"/>
      <c r="DC1144" s="304"/>
      <c r="DD1144" s="627">
        <v>0</v>
      </c>
      <c r="DE1144" s="629">
        <v>0</v>
      </c>
      <c r="DF1144" s="304"/>
      <c r="DG1144" s="304"/>
      <c r="DH1144" s="627">
        <v>0</v>
      </c>
      <c r="DI1144" s="627">
        <v>0</v>
      </c>
      <c r="DJ1144" s="304"/>
      <c r="DK1144" s="304"/>
      <c r="DL1144" s="627">
        <v>0</v>
      </c>
      <c r="DM1144" s="627">
        <v>0</v>
      </c>
      <c r="DN1144" s="304"/>
      <c r="DO1144" s="304"/>
      <c r="DP1144" s="627">
        <v>0</v>
      </c>
      <c r="DQ1144" s="627">
        <v>0</v>
      </c>
      <c r="DR1144" s="304"/>
      <c r="DS1144" s="304"/>
      <c r="DT1144" s="304"/>
      <c r="DU1144" s="627"/>
      <c r="DV1144" s="627"/>
      <c r="DW1144" s="627"/>
      <c r="DX1144" s="304"/>
      <c r="DY1144" s="304"/>
      <c r="DZ1144" s="627"/>
      <c r="EA1144" s="627"/>
      <c r="EB1144" s="304"/>
      <c r="EC1144" s="304"/>
      <c r="ED1144" s="627"/>
      <c r="EE1144" s="627"/>
      <c r="EF1144" s="304"/>
      <c r="EG1144" s="304"/>
      <c r="EH1144" s="304"/>
      <c r="EI1144" s="304"/>
      <c r="EJ1144" s="304"/>
      <c r="EK1144" s="304"/>
      <c r="EL1144" s="304"/>
      <c r="EM1144" s="304"/>
      <c r="EN1144" s="304"/>
      <c r="EO1144" s="304"/>
      <c r="EP1144" s="304"/>
      <c r="FL1144" s="102"/>
      <c r="FM1144" s="102"/>
      <c r="FN1144" s="102"/>
      <c r="FO1144" s="102"/>
      <c r="FP1144" s="102"/>
      <c r="FQ1144" s="102"/>
      <c r="FR1144" s="102"/>
      <c r="FS1144" s="102"/>
      <c r="FT1144" s="102"/>
      <c r="FU1144" s="102"/>
      <c r="FV1144" s="102"/>
      <c r="FW1144" s="102"/>
      <c r="FX1144" s="102"/>
      <c r="FY1144" s="102"/>
      <c r="FZ1144" s="102"/>
      <c r="GA1144" s="102"/>
      <c r="GB1144" s="102"/>
      <c r="GC1144" s="102"/>
      <c r="GD1144" s="102"/>
      <c r="GE1144" s="102"/>
      <c r="GF1144" s="102"/>
      <c r="GG1144" s="102"/>
      <c r="GH1144" s="102"/>
      <c r="GI1144" s="102"/>
      <c r="GJ1144" s="102"/>
      <c r="GK1144" s="102"/>
      <c r="GL1144" s="102"/>
      <c r="GM1144" s="102"/>
      <c r="GN1144" s="102"/>
      <c r="GO1144" s="102"/>
      <c r="GP1144" s="102"/>
      <c r="GQ1144" s="102"/>
      <c r="GR1144" s="102"/>
      <c r="GS1144" s="102"/>
      <c r="GT1144" s="102"/>
      <c r="GU1144" s="102"/>
      <c r="GV1144" s="102"/>
      <c r="GW1144" s="102"/>
      <c r="GX1144" s="102"/>
      <c r="GY1144" s="102"/>
      <c r="GZ1144" s="102"/>
      <c r="HA1144" s="102"/>
      <c r="HB1144" s="102"/>
      <c r="HC1144" s="102"/>
      <c r="HD1144" s="102"/>
      <c r="HE1144" s="102"/>
      <c r="HF1144" s="102"/>
      <c r="HG1144" s="102"/>
      <c r="HH1144" s="102"/>
      <c r="HI1144" s="102"/>
      <c r="HJ1144" s="102"/>
      <c r="HK1144" s="102"/>
      <c r="HL1144" s="102"/>
      <c r="HM1144" s="102"/>
      <c r="HN1144" s="102"/>
      <c r="HO1144" s="102"/>
      <c r="HP1144" s="102"/>
      <c r="HQ1144" s="102"/>
      <c r="HR1144" s="102"/>
      <c r="HS1144" s="102"/>
      <c r="HT1144" s="102"/>
      <c r="HU1144" s="102"/>
      <c r="HV1144" s="102"/>
      <c r="HW1144" s="102"/>
      <c r="HX1144" s="102"/>
      <c r="HY1144" s="102"/>
      <c r="HZ1144" s="102"/>
      <c r="IA1144" s="102"/>
      <c r="IB1144" s="102"/>
      <c r="IC1144" s="102"/>
      <c r="ID1144" s="102"/>
      <c r="IE1144" s="102"/>
      <c r="IF1144" s="102"/>
      <c r="IG1144" s="102"/>
      <c r="IH1144" s="102"/>
      <c r="II1144" s="102"/>
      <c r="IJ1144" s="102"/>
      <c r="IK1144" s="102"/>
      <c r="IL1144" s="102"/>
      <c r="IM1144" s="102"/>
      <c r="IN1144" s="102"/>
      <c r="IO1144" s="102"/>
      <c r="IP1144" s="102"/>
      <c r="IQ1144" s="102"/>
      <c r="IR1144" s="102"/>
      <c r="IS1144" s="102"/>
      <c r="IT1144" s="102"/>
      <c r="IU1144" s="102"/>
      <c r="IV1144" s="102"/>
      <c r="IW1144" s="102"/>
      <c r="IX1144" s="102"/>
      <c r="IY1144" s="102"/>
      <c r="IZ1144" s="102"/>
      <c r="JA1144" s="102"/>
      <c r="JB1144" s="102"/>
      <c r="JC1144" s="102"/>
      <c r="JD1144" s="102"/>
      <c r="JE1144" s="102"/>
      <c r="JF1144" s="102"/>
      <c r="JG1144" s="102"/>
      <c r="JH1144" s="102"/>
      <c r="JI1144" s="102"/>
      <c r="JJ1144" s="102"/>
      <c r="JK1144" s="102"/>
      <c r="JL1144" s="102"/>
      <c r="JM1144"/>
    </row>
    <row r="1145" spans="1:273">
      <c r="A1145" s="102" t="s">
        <v>689</v>
      </c>
      <c r="AR1145" s="293">
        <f>AR140</f>
        <v>118</v>
      </c>
      <c r="AS1145" s="293">
        <f>AS140</f>
        <v>80</v>
      </c>
      <c r="AV1145" s="293">
        <f>AV140</f>
        <v>105</v>
      </c>
      <c r="AW1145" s="293">
        <f>AW140</f>
        <v>119</v>
      </c>
      <c r="AZ1145" s="293">
        <f>AZ140</f>
        <v>130</v>
      </c>
      <c r="BA1145" s="293">
        <f>BA140</f>
        <v>130</v>
      </c>
      <c r="BD1145" s="293">
        <f>BD140</f>
        <v>118</v>
      </c>
      <c r="BE1145" s="293">
        <f>BE140</f>
        <v>99</v>
      </c>
      <c r="BH1145" s="293">
        <f>BH140</f>
        <v>103</v>
      </c>
      <c r="BI1145" s="293">
        <f>BI140</f>
        <v>111</v>
      </c>
      <c r="BL1145" s="293">
        <f>BL140</f>
        <v>106</v>
      </c>
      <c r="BM1145" s="293">
        <f>BM140</f>
        <v>73</v>
      </c>
      <c r="BP1145" s="293">
        <f>BP140</f>
        <v>64</v>
      </c>
      <c r="BQ1145" s="293">
        <f>BQ140</f>
        <v>58</v>
      </c>
      <c r="BT1145" s="293">
        <f>BT140</f>
        <v>50</v>
      </c>
      <c r="BU1145" s="293">
        <f>BU140</f>
        <v>39</v>
      </c>
      <c r="BX1145" s="293">
        <f>BX140</f>
        <v>40</v>
      </c>
      <c r="BY1145" s="293">
        <f>BY140</f>
        <v>36</v>
      </c>
      <c r="CB1145" s="293">
        <f>CB140</f>
        <v>41</v>
      </c>
      <c r="CC1145" s="293">
        <f>CC140</f>
        <v>41</v>
      </c>
      <c r="CF1145" s="293">
        <f>CF140</f>
        <v>39</v>
      </c>
      <c r="CG1145" s="293">
        <f>CG140</f>
        <v>28</v>
      </c>
      <c r="CJ1145" s="293">
        <f>CJ140</f>
        <v>25</v>
      </c>
      <c r="CK1145" s="293">
        <f>CK140</f>
        <v>25</v>
      </c>
      <c r="CN1145" s="293">
        <f>CN140</f>
        <v>25</v>
      </c>
      <c r="CO1145" s="293">
        <f>CO140</f>
        <v>25</v>
      </c>
      <c r="CR1145" s="293">
        <f>CR140</f>
        <v>0</v>
      </c>
      <c r="CS1145" s="1010">
        <f>CS140</f>
        <v>0</v>
      </c>
      <c r="CV1145" s="293">
        <f>CV140</f>
        <v>0</v>
      </c>
      <c r="CW1145" s="1010">
        <f>CW140</f>
        <v>0</v>
      </c>
      <c r="CZ1145" s="293">
        <f>CZ140</f>
        <v>0</v>
      </c>
      <c r="DA1145" s="1010">
        <f>DA140</f>
        <v>0</v>
      </c>
      <c r="DD1145" s="293">
        <f>DD140</f>
        <v>0</v>
      </c>
      <c r="DE1145" s="1010">
        <f ca="1">DE140</f>
        <v>0</v>
      </c>
      <c r="DH1145" s="293">
        <f>DH140</f>
        <v>0</v>
      </c>
      <c r="DI1145" s="293">
        <f>DI140</f>
        <v>0</v>
      </c>
      <c r="DL1145" s="293">
        <f>DL140</f>
        <v>0</v>
      </c>
      <c r="DM1145" s="293">
        <f>DM140</f>
        <v>0</v>
      </c>
      <c r="DP1145" s="293">
        <f>DP140</f>
        <v>0</v>
      </c>
      <c r="DQ1145" s="293">
        <f>DQ140</f>
        <v>0</v>
      </c>
      <c r="DU1145" s="293"/>
      <c r="DV1145" s="293"/>
      <c r="DW1145" s="293"/>
      <c r="DZ1145" s="293"/>
      <c r="EA1145" s="293"/>
      <c r="ED1145" s="293"/>
      <c r="EE1145" s="293"/>
    </row>
    <row r="1146" spans="1:273" s="302" customFormat="1">
      <c r="A1146" s="302" t="s">
        <v>688</v>
      </c>
      <c r="B1146" s="304"/>
      <c r="AN1146" s="304"/>
      <c r="AO1146" s="304"/>
      <c r="AP1146" s="304"/>
      <c r="AQ1146" s="304"/>
      <c r="AR1146" s="627">
        <v>0</v>
      </c>
      <c r="AS1146" s="627">
        <v>0</v>
      </c>
      <c r="AT1146" s="304"/>
      <c r="AU1146" s="304"/>
      <c r="AV1146" s="627">
        <v>0</v>
      </c>
      <c r="AW1146" s="627">
        <v>0</v>
      </c>
      <c r="AX1146" s="304"/>
      <c r="AY1146" s="304"/>
      <c r="AZ1146" s="627">
        <v>0</v>
      </c>
      <c r="BA1146" s="627">
        <v>0</v>
      </c>
      <c r="BB1146" s="304"/>
      <c r="BC1146" s="304"/>
      <c r="BD1146" s="627">
        <v>0</v>
      </c>
      <c r="BE1146" s="627">
        <v>0</v>
      </c>
      <c r="BF1146" s="304"/>
      <c r="BG1146" s="304"/>
      <c r="BH1146" s="627">
        <v>0</v>
      </c>
      <c r="BI1146" s="627">
        <v>0</v>
      </c>
      <c r="BJ1146" s="304"/>
      <c r="BK1146" s="304"/>
      <c r="BL1146" s="627">
        <v>0</v>
      </c>
      <c r="BM1146" s="627">
        <v>0</v>
      </c>
      <c r="BN1146" s="304"/>
      <c r="BO1146" s="304"/>
      <c r="BP1146" s="627">
        <v>0</v>
      </c>
      <c r="BQ1146" s="627">
        <v>0</v>
      </c>
      <c r="BR1146" s="304"/>
      <c r="BS1146" s="304"/>
      <c r="BT1146" s="627">
        <v>0</v>
      </c>
      <c r="BU1146" s="627">
        <v>0</v>
      </c>
      <c r="BV1146" s="304"/>
      <c r="BW1146" s="304"/>
      <c r="BX1146" s="627">
        <v>0</v>
      </c>
      <c r="BY1146" s="627">
        <v>0</v>
      </c>
      <c r="BZ1146" s="304"/>
      <c r="CA1146" s="304"/>
      <c r="CB1146" s="627">
        <v>0</v>
      </c>
      <c r="CC1146" s="629">
        <v>0</v>
      </c>
      <c r="CD1146" s="304"/>
      <c r="CE1146" s="300"/>
      <c r="CF1146" s="627">
        <v>0</v>
      </c>
      <c r="CG1146" s="629">
        <v>0</v>
      </c>
      <c r="CH1146" s="304"/>
      <c r="CI1146" s="300"/>
      <c r="CJ1146" s="627">
        <v>0</v>
      </c>
      <c r="CK1146" s="629">
        <v>0</v>
      </c>
      <c r="CL1146" s="304"/>
      <c r="CM1146" s="300"/>
      <c r="CN1146" s="1326">
        <v>0</v>
      </c>
      <c r="CO1146" s="1326">
        <v>0</v>
      </c>
      <c r="CP1146" s="304"/>
      <c r="CQ1146" s="300"/>
      <c r="CR1146" s="1326">
        <v>0</v>
      </c>
      <c r="CS1146" s="1388">
        <v>0</v>
      </c>
      <c r="CT1146" s="304"/>
      <c r="CU1146" s="304"/>
      <c r="CV1146" s="629">
        <v>0</v>
      </c>
      <c r="CW1146" s="629">
        <v>0</v>
      </c>
      <c r="CX1146" s="304"/>
      <c r="CY1146" s="304"/>
      <c r="CZ1146" s="627">
        <v>0</v>
      </c>
      <c r="DA1146" s="629">
        <v>0</v>
      </c>
      <c r="DB1146" s="304"/>
      <c r="DC1146" s="304"/>
      <c r="DD1146" s="627">
        <v>0</v>
      </c>
      <c r="DE1146" s="629">
        <v>0</v>
      </c>
      <c r="DF1146" s="304"/>
      <c r="DG1146" s="304"/>
      <c r="DH1146" s="627">
        <v>0</v>
      </c>
      <c r="DI1146" s="627">
        <v>0</v>
      </c>
      <c r="DJ1146" s="304"/>
      <c r="DK1146" s="304"/>
      <c r="DL1146" s="627">
        <v>0</v>
      </c>
      <c r="DM1146" s="627">
        <v>0</v>
      </c>
      <c r="DN1146" s="304"/>
      <c r="DO1146" s="304"/>
      <c r="DP1146" s="627">
        <v>0</v>
      </c>
      <c r="DQ1146" s="627">
        <v>0</v>
      </c>
      <c r="DR1146" s="304"/>
      <c r="DS1146" s="304"/>
      <c r="DT1146" s="304"/>
      <c r="DU1146" s="627"/>
      <c r="DV1146" s="627"/>
      <c r="DW1146" s="627"/>
      <c r="DX1146" s="304"/>
      <c r="DY1146" s="304"/>
      <c r="DZ1146" s="627"/>
      <c r="EA1146" s="627"/>
      <c r="EB1146" s="304"/>
      <c r="EC1146" s="304"/>
      <c r="ED1146" s="627"/>
      <c r="EE1146" s="627"/>
      <c r="EF1146" s="304"/>
      <c r="EG1146" s="304"/>
      <c r="EH1146" s="304"/>
      <c r="EI1146" s="304"/>
      <c r="EJ1146" s="304"/>
      <c r="EK1146" s="304"/>
      <c r="EL1146" s="304"/>
      <c r="EM1146" s="304"/>
      <c r="EN1146" s="304"/>
      <c r="EO1146" s="304"/>
      <c r="EP1146" s="304"/>
      <c r="FL1146" s="102"/>
      <c r="FM1146" s="102"/>
      <c r="FN1146" s="102"/>
      <c r="FO1146" s="102"/>
      <c r="FP1146" s="102"/>
      <c r="FQ1146" s="102"/>
      <c r="FR1146" s="102"/>
      <c r="FS1146" s="102"/>
      <c r="FT1146" s="102"/>
      <c r="FU1146" s="102"/>
      <c r="FV1146" s="102"/>
      <c r="FW1146" s="102"/>
      <c r="FX1146" s="102"/>
      <c r="FY1146" s="102"/>
      <c r="FZ1146" s="102"/>
      <c r="GA1146" s="102"/>
      <c r="GB1146" s="102"/>
      <c r="GC1146" s="102"/>
      <c r="GD1146" s="102"/>
      <c r="GE1146" s="102"/>
      <c r="GF1146" s="102"/>
      <c r="GG1146" s="102"/>
      <c r="GH1146" s="102"/>
      <c r="GI1146" s="102"/>
      <c r="GJ1146" s="102"/>
      <c r="GK1146" s="102"/>
      <c r="GL1146" s="102"/>
      <c r="GM1146" s="102"/>
      <c r="GN1146" s="102"/>
      <c r="GO1146" s="102"/>
      <c r="GP1146" s="102"/>
      <c r="GQ1146" s="102"/>
      <c r="GR1146" s="102"/>
      <c r="GS1146" s="102"/>
      <c r="GT1146" s="102"/>
      <c r="GU1146" s="102"/>
      <c r="GV1146" s="102"/>
      <c r="GW1146" s="102"/>
      <c r="GX1146" s="102"/>
      <c r="GY1146" s="102"/>
      <c r="GZ1146" s="102"/>
      <c r="HA1146" s="102"/>
      <c r="HB1146" s="102"/>
      <c r="HC1146" s="102"/>
      <c r="HD1146" s="102"/>
      <c r="HE1146" s="102"/>
      <c r="HF1146" s="102"/>
      <c r="HG1146" s="102"/>
      <c r="HH1146" s="102"/>
      <c r="HI1146" s="102"/>
      <c r="HJ1146" s="102"/>
      <c r="HK1146" s="102"/>
      <c r="HL1146" s="102"/>
      <c r="HM1146" s="102"/>
      <c r="HN1146" s="102"/>
      <c r="HO1146" s="102"/>
      <c r="HP1146" s="102"/>
      <c r="HQ1146" s="102"/>
      <c r="HR1146" s="102"/>
      <c r="HS1146" s="102"/>
      <c r="HT1146" s="102"/>
      <c r="HU1146" s="102"/>
      <c r="HV1146" s="102"/>
      <c r="HW1146" s="102"/>
      <c r="HX1146" s="102"/>
      <c r="HY1146" s="102"/>
      <c r="HZ1146" s="102"/>
      <c r="IA1146" s="102"/>
      <c r="IB1146" s="102"/>
      <c r="IC1146" s="102"/>
      <c r="ID1146" s="102"/>
      <c r="IE1146" s="102"/>
      <c r="IF1146" s="102"/>
      <c r="IG1146" s="102"/>
      <c r="IH1146" s="102"/>
      <c r="II1146" s="102"/>
      <c r="IJ1146" s="102"/>
      <c r="IK1146" s="102"/>
      <c r="IL1146" s="102"/>
      <c r="IM1146" s="102"/>
      <c r="IN1146" s="102"/>
      <c r="IO1146" s="102"/>
      <c r="IP1146" s="102"/>
      <c r="IQ1146" s="102"/>
      <c r="IR1146" s="102"/>
      <c r="IS1146" s="102"/>
      <c r="IT1146" s="102"/>
      <c r="IU1146" s="102"/>
      <c r="IV1146" s="102"/>
      <c r="IW1146" s="102"/>
      <c r="IX1146" s="102"/>
      <c r="IY1146" s="102"/>
      <c r="IZ1146" s="102"/>
      <c r="JA1146" s="102"/>
      <c r="JB1146" s="102"/>
      <c r="JC1146" s="102"/>
      <c r="JD1146" s="102"/>
      <c r="JE1146" s="102"/>
      <c r="JF1146" s="102"/>
      <c r="JG1146" s="102"/>
      <c r="JH1146" s="102"/>
      <c r="JI1146" s="102"/>
      <c r="JJ1146" s="102"/>
      <c r="JK1146" s="102"/>
      <c r="JL1146" s="102"/>
      <c r="JM1146"/>
    </row>
    <row r="1147" spans="1:273" s="302" customFormat="1">
      <c r="A1147" s="302" t="s">
        <v>691</v>
      </c>
      <c r="B1147" s="304"/>
      <c r="AN1147" s="304"/>
      <c r="AO1147" s="304"/>
      <c r="AP1147" s="304"/>
      <c r="AQ1147" s="304"/>
      <c r="AR1147" s="627">
        <v>0</v>
      </c>
      <c r="AS1147" s="627">
        <v>0</v>
      </c>
      <c r="AT1147" s="304"/>
      <c r="AU1147" s="304"/>
      <c r="AV1147" s="627">
        <v>0</v>
      </c>
      <c r="AW1147" s="627">
        <v>0</v>
      </c>
      <c r="AX1147" s="304"/>
      <c r="AY1147" s="304"/>
      <c r="AZ1147" s="627">
        <v>0</v>
      </c>
      <c r="BA1147" s="627">
        <v>0</v>
      </c>
      <c r="BB1147" s="304"/>
      <c r="BC1147" s="304"/>
      <c r="BD1147" s="627">
        <v>0</v>
      </c>
      <c r="BE1147" s="627">
        <v>0</v>
      </c>
      <c r="BF1147" s="304"/>
      <c r="BG1147" s="304"/>
      <c r="BH1147" s="627">
        <v>0</v>
      </c>
      <c r="BI1147" s="627">
        <v>0</v>
      </c>
      <c r="BJ1147" s="304"/>
      <c r="BK1147" s="304"/>
      <c r="BL1147" s="627">
        <v>0</v>
      </c>
      <c r="BM1147" s="627">
        <v>0</v>
      </c>
      <c r="BN1147" s="304"/>
      <c r="BO1147" s="304"/>
      <c r="BP1147" s="627">
        <v>0</v>
      </c>
      <c r="BQ1147" s="627">
        <v>0</v>
      </c>
      <c r="BR1147" s="304"/>
      <c r="BS1147" s="304"/>
      <c r="BT1147" s="627">
        <v>0</v>
      </c>
      <c r="BU1147" s="627">
        <v>0</v>
      </c>
      <c r="BV1147" s="304"/>
      <c r="BW1147" s="304"/>
      <c r="BX1147" s="627">
        <v>0</v>
      </c>
      <c r="BY1147" s="627">
        <v>0</v>
      </c>
      <c r="BZ1147" s="304"/>
      <c r="CA1147" s="304"/>
      <c r="CB1147" s="627">
        <v>0</v>
      </c>
      <c r="CC1147" s="629">
        <v>0</v>
      </c>
      <c r="CD1147" s="304"/>
      <c r="CE1147" s="300"/>
      <c r="CF1147" s="627">
        <v>0</v>
      </c>
      <c r="CG1147" s="629">
        <v>0</v>
      </c>
      <c r="CH1147" s="304"/>
      <c r="CI1147" s="300"/>
      <c r="CJ1147" s="627">
        <v>0</v>
      </c>
      <c r="CK1147" s="629">
        <v>0</v>
      </c>
      <c r="CL1147" s="304"/>
      <c r="CM1147" s="300"/>
      <c r="CN1147" s="1326">
        <v>0</v>
      </c>
      <c r="CO1147" s="1326">
        <v>0</v>
      </c>
      <c r="CP1147" s="304"/>
      <c r="CQ1147" s="300"/>
      <c r="CR1147" s="1326">
        <v>0</v>
      </c>
      <c r="CS1147" s="1388">
        <v>0</v>
      </c>
      <c r="CT1147" s="304"/>
      <c r="CU1147" s="304"/>
      <c r="CV1147" s="629">
        <v>0</v>
      </c>
      <c r="CW1147" s="629">
        <v>0</v>
      </c>
      <c r="CX1147" s="304"/>
      <c r="CY1147" s="304"/>
      <c r="CZ1147" s="627">
        <v>0</v>
      </c>
      <c r="DA1147" s="629">
        <v>0</v>
      </c>
      <c r="DB1147" s="304"/>
      <c r="DC1147" s="304"/>
      <c r="DD1147" s="627">
        <v>0</v>
      </c>
      <c r="DE1147" s="629">
        <v>0</v>
      </c>
      <c r="DF1147" s="304"/>
      <c r="DG1147" s="304"/>
      <c r="DH1147" s="627">
        <v>0</v>
      </c>
      <c r="DI1147" s="627">
        <v>0</v>
      </c>
      <c r="DJ1147" s="304"/>
      <c r="DK1147" s="304"/>
      <c r="DL1147" s="627">
        <v>0</v>
      </c>
      <c r="DM1147" s="627">
        <v>0</v>
      </c>
      <c r="DN1147" s="304"/>
      <c r="DO1147" s="304"/>
      <c r="DP1147" s="627">
        <v>0</v>
      </c>
      <c r="DQ1147" s="627">
        <v>0</v>
      </c>
      <c r="DR1147" s="304"/>
      <c r="DS1147" s="304"/>
      <c r="DT1147" s="304"/>
      <c r="DU1147" s="627"/>
      <c r="DV1147" s="627"/>
      <c r="DW1147" s="627"/>
      <c r="DX1147" s="304"/>
      <c r="DY1147" s="304"/>
      <c r="DZ1147" s="627"/>
      <c r="EA1147" s="627"/>
      <c r="EB1147" s="304"/>
      <c r="EC1147" s="304"/>
      <c r="ED1147" s="627"/>
      <c r="EE1147" s="627"/>
      <c r="EF1147" s="304"/>
      <c r="EG1147" s="304"/>
      <c r="EH1147" s="304"/>
      <c r="EI1147" s="304"/>
      <c r="EJ1147" s="304"/>
      <c r="EK1147" s="304"/>
      <c r="EL1147" s="304"/>
      <c r="EM1147" s="304"/>
      <c r="EN1147" s="304"/>
      <c r="EO1147" s="304"/>
      <c r="EP1147" s="304"/>
      <c r="FL1147" s="102"/>
      <c r="FM1147" s="102"/>
      <c r="FN1147" s="102"/>
      <c r="FO1147" s="102"/>
      <c r="FP1147" s="102"/>
      <c r="FQ1147" s="102"/>
      <c r="FR1147" s="102"/>
      <c r="FS1147" s="102"/>
      <c r="FT1147" s="102"/>
      <c r="FU1147" s="102"/>
      <c r="FV1147" s="102"/>
      <c r="FW1147" s="102"/>
      <c r="FX1147" s="102"/>
      <c r="FY1147" s="102"/>
      <c r="FZ1147" s="102"/>
      <c r="GA1147" s="102"/>
      <c r="GB1147" s="102"/>
      <c r="GC1147" s="102"/>
      <c r="GD1147" s="102"/>
      <c r="GE1147" s="102"/>
      <c r="GF1147" s="102"/>
      <c r="GG1147" s="102"/>
      <c r="GH1147" s="102"/>
      <c r="GI1147" s="102"/>
      <c r="GJ1147" s="102"/>
      <c r="GK1147" s="102"/>
      <c r="GL1147" s="102"/>
      <c r="GM1147" s="102"/>
      <c r="GN1147" s="102"/>
      <c r="GO1147" s="102"/>
      <c r="GP1147" s="102"/>
      <c r="GQ1147" s="102"/>
      <c r="GR1147" s="102"/>
      <c r="GS1147" s="102"/>
      <c r="GT1147" s="102"/>
      <c r="GU1147" s="102"/>
      <c r="GV1147" s="102"/>
      <c r="GW1147" s="102"/>
      <c r="GX1147" s="102"/>
      <c r="GY1147" s="102"/>
      <c r="GZ1147" s="102"/>
      <c r="HA1147" s="102"/>
      <c r="HB1147" s="102"/>
      <c r="HC1147" s="102"/>
      <c r="HD1147" s="102"/>
      <c r="HE1147" s="102"/>
      <c r="HF1147" s="102"/>
      <c r="HG1147" s="102"/>
      <c r="HH1147" s="102"/>
      <c r="HI1147" s="102"/>
      <c r="HJ1147" s="102"/>
      <c r="HK1147" s="102"/>
      <c r="HL1147" s="102"/>
      <c r="HM1147" s="102"/>
      <c r="HN1147" s="102"/>
      <c r="HO1147" s="102"/>
      <c r="HP1147" s="102"/>
      <c r="HQ1147" s="102"/>
      <c r="HR1147" s="102"/>
      <c r="HS1147" s="102"/>
      <c r="HT1147" s="102"/>
      <c r="HU1147" s="102"/>
      <c r="HV1147" s="102"/>
      <c r="HW1147" s="102"/>
      <c r="HX1147" s="102"/>
      <c r="HY1147" s="102"/>
      <c r="HZ1147" s="102"/>
      <c r="IA1147" s="102"/>
      <c r="IB1147" s="102"/>
      <c r="IC1147" s="102"/>
      <c r="ID1147" s="102"/>
      <c r="IE1147" s="102"/>
      <c r="IF1147" s="102"/>
      <c r="IG1147" s="102"/>
      <c r="IH1147" s="102"/>
      <c r="II1147" s="102"/>
      <c r="IJ1147" s="102"/>
      <c r="IK1147" s="102"/>
      <c r="IL1147" s="102"/>
      <c r="IM1147" s="102"/>
      <c r="IN1147" s="102"/>
      <c r="IO1147" s="102"/>
      <c r="IP1147" s="102"/>
      <c r="IQ1147" s="102"/>
      <c r="IR1147" s="102"/>
      <c r="IS1147" s="102"/>
      <c r="IT1147" s="102"/>
      <c r="IU1147" s="102"/>
      <c r="IV1147" s="102"/>
      <c r="IW1147" s="102"/>
      <c r="IX1147" s="102"/>
      <c r="IY1147" s="102"/>
      <c r="IZ1147" s="102"/>
      <c r="JA1147" s="102"/>
      <c r="JB1147" s="102"/>
      <c r="JC1147" s="102"/>
      <c r="JD1147" s="102"/>
      <c r="JE1147" s="102"/>
      <c r="JF1147" s="102"/>
      <c r="JG1147" s="102"/>
      <c r="JH1147" s="102"/>
      <c r="JI1147" s="102"/>
      <c r="JJ1147" s="102"/>
      <c r="JK1147" s="102"/>
      <c r="JL1147" s="102"/>
      <c r="JM1147"/>
    </row>
    <row r="1148" spans="1:273" s="289" customFormat="1">
      <c r="A1148" s="289" t="s">
        <v>613</v>
      </c>
      <c r="B1148" s="290"/>
      <c r="AN1148" s="290"/>
      <c r="AO1148" s="290"/>
      <c r="AP1148" s="290"/>
      <c r="AQ1148" s="290"/>
      <c r="AR1148" s="295">
        <f>SUM(AR1140:AR1147)</f>
        <v>562</v>
      </c>
      <c r="AS1148" s="295">
        <f>SUM(AS1140:AS1147)</f>
        <v>410</v>
      </c>
      <c r="AT1148" s="290"/>
      <c r="AU1148" s="290"/>
      <c r="AV1148" s="295">
        <f>SUM(AV1140:AV1147)</f>
        <v>544</v>
      </c>
      <c r="AW1148" s="295">
        <f>SUM(AW1140:AW1147)</f>
        <v>529</v>
      </c>
      <c r="AX1148" s="290"/>
      <c r="AY1148" s="290"/>
      <c r="AZ1148" s="295">
        <f>SUM(AZ1140:AZ1147)</f>
        <v>582</v>
      </c>
      <c r="BA1148" s="295">
        <f>SUM(BA1140:BA1147)</f>
        <v>555</v>
      </c>
      <c r="BB1148" s="290"/>
      <c r="BC1148" s="290"/>
      <c r="BD1148" s="295">
        <f>SUM(BD1140:BD1147)</f>
        <v>486.5</v>
      </c>
      <c r="BE1148" s="295">
        <f>SUM(BE1140:BE1147)</f>
        <v>420</v>
      </c>
      <c r="BF1148" s="290"/>
      <c r="BG1148" s="290"/>
      <c r="BH1148" s="295">
        <f>SUM(BH1140:BH1147)</f>
        <v>394</v>
      </c>
      <c r="BI1148" s="295">
        <f>SUM(BI1140:BI1147)</f>
        <v>417</v>
      </c>
      <c r="BJ1148" s="290"/>
      <c r="BK1148" s="290"/>
      <c r="BL1148" s="295">
        <f>SUM(BL1140:BL1147)</f>
        <v>469</v>
      </c>
      <c r="BM1148" s="295">
        <f>SUM(BM1140:BM1147)</f>
        <v>437</v>
      </c>
      <c r="BN1148" s="290"/>
      <c r="BO1148" s="290"/>
      <c r="BP1148" s="295">
        <f>SUM(BP1140:BP1147)</f>
        <v>410</v>
      </c>
      <c r="BQ1148" s="295">
        <f>SUM(BQ1140:BQ1147)</f>
        <v>428</v>
      </c>
      <c r="BR1148" s="290"/>
      <c r="BS1148" s="290"/>
      <c r="BT1148" s="295">
        <f>SUM(BT1140:BT1147)</f>
        <v>462</v>
      </c>
      <c r="BU1148" s="295">
        <f>SUM(BU1140:BU1147)</f>
        <v>413</v>
      </c>
      <c r="BV1148" s="290"/>
      <c r="BW1148" s="290"/>
      <c r="BX1148" s="295">
        <f>SUM(BX1140:BX1147)</f>
        <v>417.95172413793102</v>
      </c>
      <c r="BY1148" s="295">
        <f>SUM(BY1140:BY1147)</f>
        <v>410.98620689655172</v>
      </c>
      <c r="BZ1148" s="290"/>
      <c r="CA1148" s="290"/>
      <c r="CB1148" s="295">
        <f>SUM(CB1140:CB1147)</f>
        <v>405.28275862068966</v>
      </c>
      <c r="CC1148" s="295">
        <f>SUM(CC1140:CC1147)</f>
        <v>409.33793103448278</v>
      </c>
      <c r="CD1148" s="295"/>
      <c r="CE1148" s="581"/>
      <c r="CF1148" s="295">
        <f>SUM(CF1140:CF1147)</f>
        <v>471</v>
      </c>
      <c r="CG1148" s="295">
        <f>SUM(CG1140:CG1147)</f>
        <v>453</v>
      </c>
      <c r="CH1148" s="295"/>
      <c r="CI1148" s="581"/>
      <c r="CJ1148" s="295">
        <f>SUM(CJ1140:CJ1147)</f>
        <v>137</v>
      </c>
      <c r="CK1148" s="295">
        <f>SUM(CK1140:CK1147)</f>
        <v>164</v>
      </c>
      <c r="CL1148" s="295"/>
      <c r="CM1148" s="581"/>
      <c r="CN1148" s="295">
        <f>SUM(CN1140:CN1147)</f>
        <v>137</v>
      </c>
      <c r="CO1148" s="295">
        <f>SUM(CO1140:CO1147)</f>
        <v>122</v>
      </c>
      <c r="CP1148" s="295"/>
      <c r="CQ1148" s="581"/>
      <c r="CR1148" s="295">
        <f>SUM(CR1140:CR1147)</f>
        <v>112</v>
      </c>
      <c r="CS1148" s="295">
        <f>SUM(CS1140:CS1147)</f>
        <v>127</v>
      </c>
      <c r="CT1148" s="295"/>
      <c r="CU1148" s="290"/>
      <c r="CV1148" s="295">
        <f>SUM(CV1140:CV1147)</f>
        <v>125</v>
      </c>
      <c r="CW1148" s="295">
        <f>SUM(CW1140:CW1147)</f>
        <v>127</v>
      </c>
      <c r="CX1148" s="295"/>
      <c r="CY1148" s="290"/>
      <c r="CZ1148" s="295">
        <f>SUM(CZ1140:CZ1147)</f>
        <v>135</v>
      </c>
      <c r="DA1148" s="295">
        <f>SUM(DA1140:DA1147)</f>
        <v>162</v>
      </c>
      <c r="DB1148" s="295"/>
      <c r="DC1148" s="290"/>
      <c r="DD1148" s="295">
        <f>SUM(DD1140:DD1147)</f>
        <v>154</v>
      </c>
      <c r="DE1148" s="295">
        <f ca="1">SUM(DE1140:DE1147)</f>
        <v>153</v>
      </c>
      <c r="DF1148" s="295"/>
      <c r="DG1148" s="290"/>
      <c r="DH1148" s="295">
        <f>SUM(DH1140:DH1147)</f>
        <v>177</v>
      </c>
      <c r="DI1148" s="295">
        <f>SUM(DI1140:DI1147)</f>
        <v>156.06</v>
      </c>
      <c r="DJ1148" s="290"/>
      <c r="DK1148" s="290"/>
      <c r="DL1148" s="295">
        <f>SUM(DL1140:DL1147)</f>
        <v>173.46</v>
      </c>
      <c r="DM1148" s="295">
        <f>SUM(DM1140:DM1147)</f>
        <v>152.93879999999999</v>
      </c>
      <c r="DN1148" s="290"/>
      <c r="DO1148" s="290"/>
      <c r="DP1148" s="295">
        <f>SUM(DP1140:DP1147)</f>
        <v>169.99080000000001</v>
      </c>
      <c r="DQ1148" s="295">
        <f>SUM(DQ1140:DQ1147)</f>
        <v>149.88002399999999</v>
      </c>
      <c r="DR1148" s="290"/>
      <c r="DS1148" s="290"/>
      <c r="DT1148" s="290"/>
      <c r="DU1148" s="295"/>
      <c r="DV1148" s="295"/>
      <c r="DW1148" s="295"/>
      <c r="DX1148" s="290"/>
      <c r="DY1148" s="290"/>
      <c r="DZ1148" s="295"/>
      <c r="EA1148" s="295"/>
      <c r="EB1148" s="290"/>
      <c r="EC1148" s="290"/>
      <c r="ED1148" s="295"/>
      <c r="EE1148" s="295"/>
      <c r="EF1148" s="290"/>
      <c r="EG1148" s="290"/>
      <c r="EH1148" s="290"/>
      <c r="EI1148" s="290"/>
      <c r="EJ1148" s="290"/>
      <c r="EK1148" s="290"/>
      <c r="EL1148" s="290"/>
      <c r="EM1148" s="290"/>
      <c r="EN1148" s="290"/>
      <c r="EO1148" s="290"/>
      <c r="EP1148" s="290"/>
      <c r="JM1148"/>
    </row>
    <row r="1149" spans="1:273" s="786" customFormat="1">
      <c r="B1149" s="787"/>
      <c r="AN1149" s="787"/>
      <c r="AO1149" s="787"/>
      <c r="AP1149" s="787"/>
      <c r="AQ1149" s="787"/>
      <c r="AR1149" s="787"/>
      <c r="AS1149" s="787"/>
      <c r="AT1149" s="787"/>
      <c r="AU1149" s="787"/>
      <c r="AV1149" s="787"/>
      <c r="AW1149" s="787"/>
      <c r="AX1149" s="787"/>
      <c r="AY1149" s="787"/>
      <c r="AZ1149" s="787">
        <v>582</v>
      </c>
      <c r="BA1149" s="787">
        <v>555</v>
      </c>
      <c r="BB1149" s="787"/>
      <c r="BC1149" s="769"/>
      <c r="BD1149" s="769">
        <f>BD14</f>
        <v>486.5</v>
      </c>
      <c r="BE1149" s="769">
        <f>BE14</f>
        <v>420</v>
      </c>
      <c r="BF1149" s="787"/>
      <c r="BG1149" s="787"/>
      <c r="BH1149" s="769">
        <f>BH14</f>
        <v>394</v>
      </c>
      <c r="BI1149" s="769">
        <f>BI14</f>
        <v>417</v>
      </c>
      <c r="BJ1149" s="787"/>
      <c r="BK1149" s="787"/>
      <c r="BL1149" s="769">
        <f>BL14</f>
        <v>469</v>
      </c>
      <c r="BM1149" s="769">
        <f>BM14</f>
        <v>438</v>
      </c>
      <c r="BN1149" s="787"/>
      <c r="BO1149" s="787"/>
      <c r="BP1149" s="769">
        <f>BP14</f>
        <v>396</v>
      </c>
      <c r="BQ1149" s="769">
        <v>457</v>
      </c>
      <c r="BR1149" s="787"/>
      <c r="BS1149" s="787"/>
      <c r="BT1149" s="331">
        <f>BT14</f>
        <v>461</v>
      </c>
      <c r="BU1149" s="1354">
        <v>427</v>
      </c>
      <c r="BV1149" s="1355"/>
      <c r="BW1149" s="1355"/>
      <c r="BX1149" s="331">
        <f>BX14</f>
        <v>419</v>
      </c>
      <c r="BY1149" s="1354">
        <v>394</v>
      </c>
      <c r="BZ1149" s="1355"/>
      <c r="CA1149" s="1355"/>
      <c r="CB1149" s="331">
        <f>CB14</f>
        <v>386</v>
      </c>
      <c r="CC1149" s="1354">
        <v>388</v>
      </c>
      <c r="CD1149" s="1355"/>
      <c r="CE1149" s="1355"/>
      <c r="CF1149" s="331">
        <f>CF14</f>
        <v>473</v>
      </c>
      <c r="CG1149" s="1354">
        <v>398</v>
      </c>
      <c r="CH1149" s="1355"/>
      <c r="CI1149" s="1355"/>
      <c r="CJ1149" s="331">
        <f>CJ14</f>
        <v>412</v>
      </c>
      <c r="CK1149" s="1354">
        <v>458</v>
      </c>
      <c r="CL1149" s="787"/>
      <c r="CM1149" s="787"/>
      <c r="CN1149" s="331">
        <f>CN14</f>
        <v>401</v>
      </c>
      <c r="CO1149" s="1335">
        <v>415</v>
      </c>
      <c r="CP1149" s="787"/>
      <c r="CQ1149" s="787"/>
      <c r="CR1149" s="331">
        <f>CR14</f>
        <v>381</v>
      </c>
      <c r="CS1149" s="1494">
        <v>420</v>
      </c>
      <c r="CT1149" s="787"/>
      <c r="CU1149" s="787"/>
      <c r="CV1149" s="787"/>
      <c r="CW1149" s="787"/>
      <c r="CX1149" s="787"/>
      <c r="CY1149" s="787"/>
      <c r="CZ1149" s="787"/>
      <c r="DA1149" s="787"/>
      <c r="DB1149" s="787"/>
      <c r="DC1149" s="787"/>
      <c r="DD1149" s="787"/>
      <c r="DE1149" s="787"/>
      <c r="DF1149" s="787"/>
      <c r="DG1149" s="787"/>
      <c r="DH1149" s="787"/>
      <c r="DI1149" s="769">
        <f>DI14</f>
        <v>426.65500564971751</v>
      </c>
      <c r="DJ1149" s="787"/>
      <c r="DK1149" s="787"/>
      <c r="DL1149" s="769">
        <f>DL14</f>
        <v>456.36391480225984</v>
      </c>
      <c r="DM1149" s="769">
        <f>DM14</f>
        <v>438.90054957514121</v>
      </c>
      <c r="DN1149" s="787"/>
      <c r="DO1149" s="787"/>
      <c r="DP1149" s="769">
        <f>DP14</f>
        <v>468.89483732775136</v>
      </c>
      <c r="DQ1149" s="769">
        <f>DQ14</f>
        <v>452.10594870617103</v>
      </c>
      <c r="DR1149" s="787"/>
      <c r="DS1149" s="787"/>
      <c r="DT1149" s="787"/>
      <c r="DU1149" s="787"/>
      <c r="DV1149" s="787"/>
      <c r="DW1149" s="787"/>
      <c r="DX1149" s="787"/>
      <c r="DY1149" s="787"/>
      <c r="DZ1149" s="787"/>
      <c r="EA1149" s="787"/>
      <c r="EB1149" s="787"/>
      <c r="EC1149" s="787"/>
      <c r="ED1149" s="787"/>
      <c r="EE1149" s="787"/>
      <c r="EF1149" s="787"/>
      <c r="EG1149" s="787"/>
      <c r="EH1149" s="787"/>
      <c r="EI1149" s="787"/>
      <c r="EJ1149" s="787"/>
      <c r="EK1149" s="787"/>
      <c r="EL1149" s="787"/>
      <c r="EM1149" s="787"/>
      <c r="EN1149" s="787"/>
      <c r="EO1149" s="787"/>
      <c r="EP1149" s="787"/>
      <c r="JM1149"/>
    </row>
    <row r="1151" spans="1:273" s="834" customFormat="1">
      <c r="A1151" s="832" t="s">
        <v>734</v>
      </c>
      <c r="B1151" s="833"/>
      <c r="AN1151" s="833"/>
      <c r="AO1151" s="833"/>
      <c r="AP1151" s="833"/>
      <c r="AQ1151" s="833"/>
      <c r="AR1151" s="833"/>
      <c r="AS1151" s="833"/>
      <c r="AT1151" s="833"/>
      <c r="AU1151" s="833"/>
      <c r="AV1151" s="833"/>
      <c r="AW1151" s="833"/>
      <c r="AX1151" s="833"/>
      <c r="AY1151" s="833"/>
      <c r="AZ1151" s="833"/>
      <c r="BA1151" s="833"/>
      <c r="BB1151" s="833"/>
      <c r="BC1151" s="833"/>
      <c r="BD1151" s="833"/>
      <c r="BE1151" s="833"/>
      <c r="BF1151" s="833"/>
      <c r="BG1151" s="833"/>
      <c r="BH1151" s="833"/>
      <c r="BI1151" s="833"/>
      <c r="BJ1151" s="833"/>
      <c r="BK1151" s="833"/>
      <c r="BL1151" s="833"/>
      <c r="BM1151" s="833"/>
      <c r="BN1151" s="833"/>
      <c r="BO1151" s="833"/>
      <c r="BP1151" s="833"/>
      <c r="BQ1151" s="833"/>
      <c r="BR1151" s="833"/>
      <c r="BS1151" s="833"/>
      <c r="BT1151" s="833"/>
      <c r="BU1151" s="833"/>
      <c r="BV1151" s="833"/>
      <c r="BW1151" s="833"/>
      <c r="BX1151" s="833"/>
      <c r="BY1151" s="833"/>
      <c r="BZ1151" s="833"/>
      <c r="CA1151" s="833"/>
      <c r="CB1151" s="833"/>
      <c r="CC1151" s="833"/>
      <c r="CD1151" s="833"/>
      <c r="CE1151" s="1607"/>
      <c r="CF1151" s="833"/>
      <c r="CG1151" s="833"/>
      <c r="CH1151" s="833"/>
      <c r="CI1151" s="1607"/>
      <c r="CJ1151" s="833"/>
      <c r="CK1151" s="833"/>
      <c r="CL1151" s="833"/>
      <c r="CM1151" s="1607"/>
      <c r="CN1151" s="833"/>
      <c r="CO1151" s="833"/>
      <c r="CP1151" s="833"/>
      <c r="CQ1151" s="1607"/>
      <c r="CR1151" s="833"/>
      <c r="CS1151" s="833"/>
      <c r="CT1151" s="833"/>
      <c r="CU1151" s="833"/>
      <c r="CV1151" s="833"/>
      <c r="CW1151" s="833"/>
      <c r="CX1151" s="833"/>
      <c r="CY1151" s="833"/>
      <c r="CZ1151" s="833"/>
      <c r="DA1151" s="833"/>
      <c r="DB1151" s="833"/>
      <c r="DC1151" s="833"/>
      <c r="DD1151" s="833"/>
      <c r="DE1151" s="833"/>
      <c r="DF1151" s="833"/>
      <c r="DG1151" s="833"/>
      <c r="DH1151" s="833"/>
      <c r="DI1151" s="833"/>
      <c r="DJ1151" s="833"/>
      <c r="DK1151" s="833"/>
      <c r="DL1151" s="833"/>
      <c r="DM1151" s="833"/>
      <c r="DN1151" s="833"/>
      <c r="DO1151" s="833"/>
      <c r="DP1151" s="833"/>
      <c r="DQ1151" s="833"/>
      <c r="DR1151" s="833"/>
      <c r="DS1151" s="833"/>
      <c r="DT1151" s="833"/>
      <c r="DU1151" s="833"/>
      <c r="DV1151" s="833"/>
      <c r="DW1151" s="833"/>
      <c r="DX1151" s="833"/>
      <c r="DY1151" s="833"/>
      <c r="DZ1151" s="833"/>
      <c r="EA1151" s="833"/>
      <c r="EB1151" s="833"/>
      <c r="EC1151" s="833"/>
      <c r="ED1151" s="833"/>
      <c r="EE1151" s="833"/>
      <c r="EF1151" s="833"/>
      <c r="EG1151" s="833"/>
      <c r="EH1151" s="833"/>
      <c r="EI1151" s="833"/>
      <c r="EJ1151" s="833"/>
      <c r="EK1151" s="833"/>
      <c r="EL1151" s="833"/>
      <c r="EM1151" s="833"/>
      <c r="EN1151" s="833"/>
      <c r="EO1151" s="833"/>
      <c r="EP1151" s="833"/>
      <c r="FL1151" s="102"/>
      <c r="FM1151" s="102"/>
      <c r="FN1151" s="102"/>
      <c r="FO1151" s="102"/>
      <c r="FP1151" s="102"/>
      <c r="FQ1151" s="102"/>
      <c r="FR1151" s="102"/>
      <c r="FS1151" s="102"/>
      <c r="FT1151" s="102"/>
      <c r="FU1151" s="102"/>
      <c r="FV1151" s="102"/>
      <c r="FW1151" s="102"/>
      <c r="FX1151" s="102"/>
      <c r="FY1151" s="102"/>
      <c r="FZ1151" s="102"/>
      <c r="GA1151" s="102"/>
      <c r="GB1151" s="102"/>
      <c r="GC1151" s="102"/>
      <c r="GD1151" s="102"/>
      <c r="GE1151" s="102"/>
      <c r="GF1151" s="102"/>
      <c r="GG1151" s="102"/>
      <c r="GH1151" s="102"/>
      <c r="GI1151" s="102"/>
      <c r="GJ1151" s="102"/>
      <c r="GK1151" s="102"/>
      <c r="GL1151" s="102"/>
      <c r="GM1151" s="102"/>
      <c r="GN1151" s="102"/>
      <c r="GO1151" s="102"/>
      <c r="GP1151" s="102"/>
      <c r="GQ1151" s="102"/>
      <c r="GR1151" s="102"/>
      <c r="GS1151" s="102"/>
      <c r="GT1151" s="102"/>
      <c r="GU1151" s="102"/>
      <c r="GV1151" s="102"/>
      <c r="GW1151" s="102"/>
      <c r="GX1151" s="102"/>
      <c r="GY1151" s="102"/>
      <c r="GZ1151" s="102"/>
      <c r="HA1151" s="102"/>
      <c r="HB1151" s="102"/>
      <c r="HC1151" s="102"/>
      <c r="HD1151" s="102"/>
      <c r="HE1151" s="102"/>
      <c r="HF1151" s="102"/>
      <c r="HG1151" s="102"/>
      <c r="HH1151" s="102"/>
      <c r="HI1151" s="102"/>
      <c r="HJ1151" s="102"/>
      <c r="HK1151" s="102"/>
      <c r="HL1151" s="102"/>
      <c r="HM1151" s="102"/>
      <c r="HN1151" s="102"/>
      <c r="HO1151" s="102"/>
      <c r="HP1151" s="102"/>
      <c r="HQ1151" s="102"/>
      <c r="HR1151" s="102"/>
      <c r="HS1151" s="102"/>
      <c r="HT1151" s="102"/>
      <c r="HU1151" s="102"/>
      <c r="HV1151" s="102"/>
      <c r="HW1151" s="102"/>
      <c r="HX1151" s="102"/>
      <c r="HY1151" s="102"/>
      <c r="HZ1151" s="102"/>
      <c r="IA1151" s="102"/>
      <c r="IB1151" s="102"/>
      <c r="IC1151" s="102"/>
      <c r="ID1151" s="102"/>
      <c r="IE1151" s="102"/>
      <c r="IF1151" s="102"/>
      <c r="IG1151" s="102"/>
      <c r="IH1151" s="102"/>
      <c r="II1151" s="102"/>
      <c r="IJ1151" s="102"/>
      <c r="IK1151" s="102"/>
      <c r="IL1151" s="102"/>
      <c r="IM1151" s="102"/>
      <c r="IN1151" s="102"/>
      <c r="IO1151" s="102"/>
      <c r="IP1151" s="102"/>
      <c r="IQ1151" s="102"/>
      <c r="IR1151" s="102"/>
      <c r="IS1151" s="102"/>
      <c r="IT1151" s="102"/>
      <c r="IU1151" s="102"/>
      <c r="IV1151" s="102"/>
      <c r="IW1151" s="102"/>
      <c r="IX1151" s="102"/>
      <c r="IY1151" s="102"/>
      <c r="IZ1151" s="102"/>
      <c r="JA1151" s="102"/>
      <c r="JB1151" s="102"/>
      <c r="JC1151" s="102"/>
      <c r="JD1151" s="102"/>
      <c r="JE1151" s="102"/>
      <c r="JF1151" s="102"/>
      <c r="JG1151" s="102"/>
      <c r="JH1151" s="102"/>
      <c r="JI1151" s="102"/>
      <c r="JJ1151" s="102"/>
      <c r="JK1151" s="102"/>
      <c r="JL1151" s="102"/>
      <c r="JM1151"/>
    </row>
    <row r="1153" spans="1:273">
      <c r="A1153" s="815" t="s">
        <v>606</v>
      </c>
      <c r="CK1153" s="103" t="s">
        <v>1212</v>
      </c>
      <c r="CO1153" s="103" t="s">
        <v>1212</v>
      </c>
    </row>
    <row r="1154" spans="1:273">
      <c r="A1154" s="102" t="s">
        <v>735</v>
      </c>
      <c r="AN1154" s="730"/>
      <c r="AO1154" s="730"/>
      <c r="AP1154" s="730"/>
      <c r="AQ1154" s="730"/>
      <c r="AR1154" s="730"/>
      <c r="AS1154" s="730"/>
      <c r="AT1154" s="730"/>
      <c r="AU1154" s="730"/>
      <c r="AV1154" s="730">
        <v>-251</v>
      </c>
      <c r="AW1154" s="730">
        <v>-231</v>
      </c>
      <c r="AX1154" s="730"/>
      <c r="AY1154" s="730"/>
      <c r="AZ1154" s="730">
        <v>-237</v>
      </c>
      <c r="BA1154" s="626">
        <v>-246</v>
      </c>
      <c r="BB1154" s="293">
        <f t="shared" ref="BB1154:BB1159" si="2507">+BA1154+AZ1154</f>
        <v>-483</v>
      </c>
      <c r="BC1154" s="293"/>
      <c r="BD1154" s="626">
        <v>-213</v>
      </c>
      <c r="BE1154" s="626">
        <v>-243</v>
      </c>
      <c r="BF1154" s="293">
        <f t="shared" ref="BF1154:BF1159" si="2508">+BE1154+BD1154</f>
        <v>-456</v>
      </c>
      <c r="BG1154" s="293"/>
      <c r="BH1154" s="626">
        <v>-188</v>
      </c>
      <c r="BI1154" s="626">
        <v>-202</v>
      </c>
      <c r="BJ1154" s="293">
        <f t="shared" ref="BJ1154:BJ1159" si="2509">+BI1154+BH1154</f>
        <v>-390</v>
      </c>
      <c r="BK1154" s="293"/>
      <c r="BL1154" s="626">
        <v>-200</v>
      </c>
      <c r="BM1154" s="626">
        <v>-182</v>
      </c>
      <c r="BN1154" s="293">
        <f t="shared" ref="BN1154:BN1159" si="2510">+BM1154+BL1154</f>
        <v>-382</v>
      </c>
      <c r="BO1154" s="293"/>
      <c r="BP1154" s="626">
        <v>-178</v>
      </c>
      <c r="BQ1154" s="626">
        <v>-201</v>
      </c>
      <c r="BR1154" s="293">
        <f t="shared" ref="BR1154:BR1159" si="2511">+BQ1154+BP1154</f>
        <v>-379</v>
      </c>
      <c r="BS1154" s="293"/>
      <c r="BT1154" s="626">
        <v>-202</v>
      </c>
      <c r="BU1154" s="626">
        <v>-195</v>
      </c>
      <c r="BV1154" s="293">
        <f t="shared" ref="BV1154:BV1159" si="2512">+BU1154+BT1154</f>
        <v>-397</v>
      </c>
      <c r="BW1154" s="293"/>
      <c r="BX1154" s="626">
        <v>-201</v>
      </c>
      <c r="BY1154" s="626">
        <v>-191</v>
      </c>
      <c r="BZ1154" s="293">
        <f t="shared" ref="BZ1154:BZ1159" si="2513">+BY1154+BX1154</f>
        <v>-392</v>
      </c>
      <c r="CA1154" s="293"/>
      <c r="CB1154" s="626">
        <v>-199</v>
      </c>
      <c r="CC1154" s="626">
        <v>-203</v>
      </c>
      <c r="CD1154" s="293">
        <f t="shared" ref="CD1154:CD1159" si="2514">+CC1154+CB1154</f>
        <v>-402</v>
      </c>
      <c r="CE1154" s="331"/>
      <c r="CF1154" s="626">
        <v>-207</v>
      </c>
      <c r="CG1154" s="626">
        <v>-234</v>
      </c>
      <c r="CH1154" s="293">
        <f t="shared" ref="CH1154:CH1159" si="2515">+CG1154+CF1154</f>
        <v>-441</v>
      </c>
      <c r="CI1154" s="331"/>
      <c r="CJ1154" s="626">
        <v>-201</v>
      </c>
      <c r="CK1154" s="626">
        <v>-199</v>
      </c>
      <c r="CL1154" s="293">
        <f t="shared" ref="CL1154:CL1159" si="2516">+CK1154+CJ1154</f>
        <v>-400</v>
      </c>
      <c r="CM1154" s="1718">
        <v>3840</v>
      </c>
      <c r="CN1154" s="1388">
        <v>-196</v>
      </c>
      <c r="CO1154" s="1388">
        <v>-186</v>
      </c>
      <c r="CP1154" s="1010">
        <f t="shared" ref="CP1154:CP1159" si="2517">+CO1154+CN1154</f>
        <v>-382</v>
      </c>
      <c r="CQ1154" s="1718"/>
      <c r="CR1154" s="1388">
        <v>-182</v>
      </c>
      <c r="CS1154" s="1388">
        <v>-175</v>
      </c>
      <c r="CT1154" s="293">
        <f t="shared" ref="CT1154:CT1159" si="2518">+CS1154+CR1154</f>
        <v>-357</v>
      </c>
      <c r="CU1154" s="293"/>
      <c r="CV1154" s="1388">
        <v>-182</v>
      </c>
      <c r="CW1154" s="626">
        <v>-190</v>
      </c>
      <c r="CX1154" s="293">
        <f t="shared" ref="CX1154:CX1159" si="2519">+CW1154+CV1154</f>
        <v>-372</v>
      </c>
      <c r="CY1154" s="293"/>
      <c r="CZ1154" s="1388">
        <v>-195</v>
      </c>
      <c r="DA1154" s="1388">
        <v>-199</v>
      </c>
      <c r="DB1154" s="293">
        <f t="shared" ref="DB1154:DB1159" si="2520">+DA1154+CZ1154</f>
        <v>-394</v>
      </c>
      <c r="DC1154" s="293"/>
      <c r="DD1154" s="1388">
        <v>-232</v>
      </c>
      <c r="DE1154" s="2176">
        <v>-260</v>
      </c>
      <c r="DF1154" s="293">
        <f t="shared" ref="DF1154:DF1159" si="2521">+DE1154+DD1154</f>
        <v>-492</v>
      </c>
      <c r="DG1154" s="293"/>
      <c r="DH1154" s="1388">
        <v>-233</v>
      </c>
      <c r="DI1154" s="293">
        <f>DH1154*(1+DI1163)</f>
        <v>-238.82499999999999</v>
      </c>
      <c r="DJ1154" s="293">
        <f t="shared" ref="DJ1154:DJ1159" si="2522">+DI1154+DH1154</f>
        <v>-471.82499999999999</v>
      </c>
      <c r="DK1154" s="293"/>
      <c r="DL1154" s="293">
        <f>DI1154*(1+DL1163)</f>
        <v>-244.79562499999997</v>
      </c>
      <c r="DM1154" s="293">
        <f>DL1154*(1+DM1163)</f>
        <v>-250.91551562499995</v>
      </c>
      <c r="DN1154" s="293">
        <f t="shared" ref="DN1154:DN1159" si="2523">+DM1154+DL1154</f>
        <v>-495.71114062499993</v>
      </c>
      <c r="DO1154" s="293"/>
      <c r="DP1154" s="293">
        <f>DM1154*(1+DP1163)</f>
        <v>-257.18840351562494</v>
      </c>
      <c r="DQ1154" s="293">
        <f>DP1154*(1+DQ1163)</f>
        <v>-263.61811360351555</v>
      </c>
      <c r="DR1154" s="293">
        <f t="shared" ref="DR1154:DR1159" si="2524">+DQ1154+DP1154</f>
        <v>-520.80651711914049</v>
      </c>
      <c r="DS1154" s="293"/>
      <c r="DT1154" s="293"/>
      <c r="DU1154" s="293"/>
      <c r="DV1154" s="293"/>
      <c r="DW1154" s="293"/>
      <c r="DZ1154" s="293"/>
      <c r="EA1154" s="293"/>
      <c r="ED1154" s="293"/>
      <c r="EE1154" s="293"/>
    </row>
    <row r="1155" spans="1:273">
      <c r="A1155" s="102" t="s">
        <v>417</v>
      </c>
      <c r="AN1155" s="730"/>
      <c r="AO1155" s="730"/>
      <c r="AP1155" s="730"/>
      <c r="AQ1155" s="730"/>
      <c r="AR1155" s="730"/>
      <c r="AS1155" s="730"/>
      <c r="AT1155" s="730"/>
      <c r="AU1155" s="730"/>
      <c r="AV1155" s="730">
        <v>-125</v>
      </c>
      <c r="AW1155" s="730">
        <v>-158</v>
      </c>
      <c r="AX1155" s="730"/>
      <c r="AY1155" s="730"/>
      <c r="AZ1155" s="730">
        <v>-159</v>
      </c>
      <c r="BA1155" s="626">
        <v>-157</v>
      </c>
      <c r="BB1155" s="293">
        <f t="shared" si="2507"/>
        <v>-316</v>
      </c>
      <c r="BC1155" s="293"/>
      <c r="BD1155" s="626">
        <v>-149</v>
      </c>
      <c r="BE1155" s="626">
        <v>-141</v>
      </c>
      <c r="BF1155" s="293">
        <f t="shared" si="2508"/>
        <v>-290</v>
      </c>
      <c r="BG1155" s="293"/>
      <c r="BH1155" s="626">
        <v>-132</v>
      </c>
      <c r="BI1155" s="626">
        <v>-128</v>
      </c>
      <c r="BJ1155" s="293">
        <f t="shared" si="2509"/>
        <v>-260</v>
      </c>
      <c r="BK1155" s="293"/>
      <c r="BL1155" s="626">
        <v>-154</v>
      </c>
      <c r="BM1155" s="626">
        <v>-169</v>
      </c>
      <c r="BN1155" s="293">
        <f t="shared" si="2510"/>
        <v>-323</v>
      </c>
      <c r="BO1155" s="293"/>
      <c r="BP1155" s="626">
        <v>-206</v>
      </c>
      <c r="BQ1155" s="626">
        <v>-231</v>
      </c>
      <c r="BR1155" s="293">
        <f t="shared" si="2511"/>
        <v>-437</v>
      </c>
      <c r="BS1155" s="293"/>
      <c r="BT1155" s="626">
        <v>-287</v>
      </c>
      <c r="BU1155" s="626">
        <v>-300</v>
      </c>
      <c r="BV1155" s="293">
        <f t="shared" si="2512"/>
        <v>-587</v>
      </c>
      <c r="BW1155" s="293"/>
      <c r="BX1155" s="626">
        <v>-344</v>
      </c>
      <c r="BY1155" s="626">
        <v>-300</v>
      </c>
      <c r="BZ1155" s="293">
        <f t="shared" si="2513"/>
        <v>-644</v>
      </c>
      <c r="CA1155" s="293"/>
      <c r="CB1155" s="626">
        <v>-295</v>
      </c>
      <c r="CC1155" s="626">
        <v>-309</v>
      </c>
      <c r="CD1155" s="293">
        <f t="shared" si="2514"/>
        <v>-604</v>
      </c>
      <c r="CE1155" s="331"/>
      <c r="CF1155" s="626">
        <v>-331</v>
      </c>
      <c r="CG1155" s="626">
        <v>-353</v>
      </c>
      <c r="CH1155" s="293">
        <f t="shared" si="2515"/>
        <v>-684</v>
      </c>
      <c r="CI1155" s="331"/>
      <c r="CJ1155" s="626">
        <v>-367</v>
      </c>
      <c r="CK1155" s="626">
        <v>-382</v>
      </c>
      <c r="CL1155" s="293">
        <f t="shared" si="2516"/>
        <v>-749</v>
      </c>
      <c r="CM1155" s="1718">
        <v>0</v>
      </c>
      <c r="CN1155" s="1388">
        <v>-395</v>
      </c>
      <c r="CO1155" s="1388">
        <v>-386</v>
      </c>
      <c r="CP1155" s="1010">
        <f t="shared" si="2517"/>
        <v>-781</v>
      </c>
      <c r="CQ1155" s="1718"/>
      <c r="CR1155" s="1388">
        <v>-417</v>
      </c>
      <c r="CS1155" s="1388">
        <v>-509</v>
      </c>
      <c r="CT1155" s="293">
        <f t="shared" si="2518"/>
        <v>-926</v>
      </c>
      <c r="CU1155" s="293"/>
      <c r="CV1155" s="1388">
        <v>-545</v>
      </c>
      <c r="CW1155" s="626">
        <v>-547</v>
      </c>
      <c r="CX1155" s="293">
        <f t="shared" si="2519"/>
        <v>-1092</v>
      </c>
      <c r="CY1155" s="293"/>
      <c r="CZ1155" s="1388">
        <v>-594</v>
      </c>
      <c r="DA1155" s="1388">
        <v>-569</v>
      </c>
      <c r="DB1155" s="293">
        <f t="shared" si="2520"/>
        <v>-1163</v>
      </c>
      <c r="DC1155" s="293"/>
      <c r="DD1155" s="1388">
        <v>-575</v>
      </c>
      <c r="DE1155" s="2176">
        <v>-625</v>
      </c>
      <c r="DF1155" s="293">
        <f t="shared" si="2521"/>
        <v>-1200</v>
      </c>
      <c r="DG1155" s="293"/>
      <c r="DH1155" s="2255">
        <v>-634</v>
      </c>
      <c r="DI1155" s="293">
        <f>DH1155*(1+DI1164)</f>
        <v>-649.84999999999991</v>
      </c>
      <c r="DJ1155" s="293">
        <f t="shared" si="2522"/>
        <v>-1283.8499999999999</v>
      </c>
      <c r="DK1155" s="293"/>
      <c r="DL1155" s="293">
        <f>DI1155*(1+DL1164)</f>
        <v>-666.09624999999983</v>
      </c>
      <c r="DM1155" s="293">
        <f>DL1155*(1+DM1164)</f>
        <v>-682.74865624999973</v>
      </c>
      <c r="DN1155" s="293">
        <f t="shared" si="2523"/>
        <v>-1348.8449062499994</v>
      </c>
      <c r="DO1155" s="293"/>
      <c r="DP1155" s="293">
        <f>DM1155*(1+DP1164)</f>
        <v>-699.81737265624963</v>
      </c>
      <c r="DQ1155" s="293">
        <f>DP1155*(1+DQ1164)</f>
        <v>-717.31280697265584</v>
      </c>
      <c r="DR1155" s="293">
        <f t="shared" si="2524"/>
        <v>-1417.1301796289054</v>
      </c>
      <c r="DS1155" s="293"/>
      <c r="DT1155" s="293"/>
      <c r="DU1155" s="293"/>
      <c r="DV1155" s="293"/>
      <c r="DW1155" s="293"/>
      <c r="DZ1155" s="293"/>
      <c r="EA1155" s="293"/>
      <c r="ED1155" s="293"/>
      <c r="EE1155" s="293"/>
    </row>
    <row r="1156" spans="1:273">
      <c r="A1156" s="102" t="s">
        <v>738</v>
      </c>
      <c r="AN1156" s="730"/>
      <c r="AO1156" s="730"/>
      <c r="AP1156" s="730"/>
      <c r="AQ1156" s="730"/>
      <c r="AR1156" s="730"/>
      <c r="AS1156" s="730"/>
      <c r="AT1156" s="730"/>
      <c r="AU1156" s="730"/>
      <c r="AV1156" s="730">
        <v>-128</v>
      </c>
      <c r="AW1156" s="730">
        <v>-159</v>
      </c>
      <c r="AX1156" s="730"/>
      <c r="AY1156" s="730"/>
      <c r="AZ1156" s="730">
        <v>-133</v>
      </c>
      <c r="BA1156" s="626">
        <v>-163</v>
      </c>
      <c r="BB1156" s="293">
        <f t="shared" si="2507"/>
        <v>-296</v>
      </c>
      <c r="BC1156" s="293"/>
      <c r="BD1156" s="626">
        <v>-116</v>
      </c>
      <c r="BE1156" s="626">
        <v>-158</v>
      </c>
      <c r="BF1156" s="293">
        <f t="shared" si="2508"/>
        <v>-274</v>
      </c>
      <c r="BG1156" s="293"/>
      <c r="BH1156" s="626">
        <v>-114</v>
      </c>
      <c r="BI1156" s="626">
        <v>-118</v>
      </c>
      <c r="BJ1156" s="293">
        <f t="shared" si="2509"/>
        <v>-232</v>
      </c>
      <c r="BK1156" s="293"/>
      <c r="BL1156" s="626">
        <v>-129</v>
      </c>
      <c r="BM1156" s="626">
        <v>-128</v>
      </c>
      <c r="BN1156" s="293">
        <f t="shared" si="2510"/>
        <v>-257</v>
      </c>
      <c r="BO1156" s="293"/>
      <c r="BP1156" s="626">
        <v>-143</v>
      </c>
      <c r="BQ1156" s="626">
        <v>-172</v>
      </c>
      <c r="BR1156" s="293">
        <f t="shared" si="2511"/>
        <v>-315</v>
      </c>
      <c r="BS1156" s="293"/>
      <c r="BT1156" s="626">
        <v>-157</v>
      </c>
      <c r="BU1156" s="626">
        <f>-194-23</f>
        <v>-217</v>
      </c>
      <c r="BV1156" s="293">
        <f t="shared" si="2512"/>
        <v>-374</v>
      </c>
      <c r="BW1156" s="293"/>
      <c r="BX1156" s="626">
        <v>-170</v>
      </c>
      <c r="BY1156" s="626">
        <v>-215</v>
      </c>
      <c r="BZ1156" s="293">
        <f t="shared" si="2513"/>
        <v>-385</v>
      </c>
      <c r="CA1156" s="293"/>
      <c r="CB1156" s="626">
        <v>-191</v>
      </c>
      <c r="CC1156" s="626">
        <v>-220</v>
      </c>
      <c r="CD1156" s="293">
        <f t="shared" si="2514"/>
        <v>-411</v>
      </c>
      <c r="CE1156" s="331"/>
      <c r="CF1156" s="626">
        <v>-202</v>
      </c>
      <c r="CG1156" s="626">
        <v>-276</v>
      </c>
      <c r="CH1156" s="293">
        <f t="shared" si="2515"/>
        <v>-478</v>
      </c>
      <c r="CI1156" s="331"/>
      <c r="CJ1156" s="626">
        <v>-262</v>
      </c>
      <c r="CK1156" s="626">
        <v>-243</v>
      </c>
      <c r="CL1156" s="293">
        <f t="shared" si="2516"/>
        <v>-505</v>
      </c>
      <c r="CM1156" s="1718">
        <v>2037</v>
      </c>
      <c r="CN1156" s="1388">
        <v>-216</v>
      </c>
      <c r="CO1156" s="1388">
        <v>-279</v>
      </c>
      <c r="CP1156" s="1010">
        <f t="shared" si="2517"/>
        <v>-495</v>
      </c>
      <c r="CQ1156" s="1718"/>
      <c r="CR1156" s="1388">
        <v>-241</v>
      </c>
      <c r="CS1156" s="1388">
        <v>-335</v>
      </c>
      <c r="CT1156" s="293">
        <f t="shared" si="2518"/>
        <v>-576</v>
      </c>
      <c r="CU1156" s="293"/>
      <c r="CV1156" s="1388">
        <v>-233</v>
      </c>
      <c r="CW1156" s="626">
        <v>-304</v>
      </c>
      <c r="CX1156" s="293">
        <f t="shared" si="2519"/>
        <v>-537</v>
      </c>
      <c r="CY1156" s="293"/>
      <c r="CZ1156" s="1388">
        <v>-221</v>
      </c>
      <c r="DA1156" s="1388">
        <v>-247</v>
      </c>
      <c r="DB1156" s="293">
        <f t="shared" si="2520"/>
        <v>-468</v>
      </c>
      <c r="DC1156" s="293"/>
      <c r="DD1156" s="1388">
        <v>-214</v>
      </c>
      <c r="DE1156" s="2176">
        <v>-316</v>
      </c>
      <c r="DF1156" s="293">
        <f t="shared" si="2521"/>
        <v>-530</v>
      </c>
      <c r="DG1156" s="293"/>
      <c r="DH1156" s="1388">
        <v>-245</v>
      </c>
      <c r="DI1156" s="293">
        <f>DH1156*(1+DI1165)</f>
        <v>-251.12499999999997</v>
      </c>
      <c r="DJ1156" s="293">
        <f t="shared" si="2522"/>
        <v>-496.125</v>
      </c>
      <c r="DK1156" s="293"/>
      <c r="DL1156" s="293">
        <f>DI1156*(1+DL1165)</f>
        <v>-257.40312499999993</v>
      </c>
      <c r="DM1156" s="293">
        <f>DL1156*(1+DM1165)</f>
        <v>-263.83820312499989</v>
      </c>
      <c r="DN1156" s="293">
        <f t="shared" si="2523"/>
        <v>-521.24132812499988</v>
      </c>
      <c r="DO1156" s="293"/>
      <c r="DP1156" s="293">
        <f>DM1156*(1+DP1165)</f>
        <v>-270.43415820312487</v>
      </c>
      <c r="DQ1156" s="293">
        <f>DP1156*(1+DQ1165)</f>
        <v>-277.19501215820299</v>
      </c>
      <c r="DR1156" s="293">
        <f t="shared" si="2524"/>
        <v>-547.62917036132785</v>
      </c>
      <c r="DS1156" s="293"/>
      <c r="DT1156" s="293"/>
      <c r="DU1156" s="293"/>
      <c r="DV1156" s="293"/>
      <c r="DW1156" s="293"/>
      <c r="DZ1156" s="293"/>
      <c r="EA1156" s="293"/>
      <c r="ED1156" s="293"/>
      <c r="EE1156" s="293"/>
    </row>
    <row r="1157" spans="1:273">
      <c r="A1157" s="102" t="s">
        <v>739</v>
      </c>
      <c r="AN1157" s="730"/>
      <c r="AO1157" s="730"/>
      <c r="AP1157" s="730"/>
      <c r="AQ1157" s="730"/>
      <c r="AR1157" s="730"/>
      <c r="AS1157" s="730"/>
      <c r="AT1157" s="730"/>
      <c r="AU1157" s="730"/>
      <c r="AV1157" s="730">
        <v>-68</v>
      </c>
      <c r="AW1157" s="730">
        <v>-92</v>
      </c>
      <c r="AX1157" s="730"/>
      <c r="AY1157" s="730"/>
      <c r="AZ1157" s="730">
        <v>-92</v>
      </c>
      <c r="BA1157" s="626">
        <v>-92</v>
      </c>
      <c r="BB1157" s="293">
        <f t="shared" si="2507"/>
        <v>-184</v>
      </c>
      <c r="BC1157" s="293"/>
      <c r="BD1157" s="626">
        <v>-81</v>
      </c>
      <c r="BE1157" s="626">
        <v>-76</v>
      </c>
      <c r="BF1157" s="293">
        <f t="shared" si="2508"/>
        <v>-157</v>
      </c>
      <c r="BG1157" s="293"/>
      <c r="BH1157" s="626">
        <v>-63</v>
      </c>
      <c r="BI1157" s="626">
        <v>-71</v>
      </c>
      <c r="BJ1157" s="293">
        <f t="shared" si="2509"/>
        <v>-134</v>
      </c>
      <c r="BK1157" s="293"/>
      <c r="BL1157" s="626">
        <v>-70</v>
      </c>
      <c r="BM1157" s="626">
        <v>-80</v>
      </c>
      <c r="BN1157" s="293">
        <f t="shared" si="2510"/>
        <v>-150</v>
      </c>
      <c r="BO1157" s="293"/>
      <c r="BP1157" s="626">
        <v>-75</v>
      </c>
      <c r="BQ1157" s="626">
        <v>-83</v>
      </c>
      <c r="BR1157" s="293">
        <f t="shared" si="2511"/>
        <v>-158</v>
      </c>
      <c r="BS1157" s="293"/>
      <c r="BT1157" s="626">
        <v>-83</v>
      </c>
      <c r="BU1157" s="626">
        <v>-90</v>
      </c>
      <c r="BV1157" s="293">
        <f t="shared" si="2512"/>
        <v>-173</v>
      </c>
      <c r="BW1157" s="293"/>
      <c r="BX1157" s="626">
        <v>-77</v>
      </c>
      <c r="BY1157" s="626">
        <v>-77</v>
      </c>
      <c r="BZ1157" s="293">
        <f t="shared" si="2513"/>
        <v>-154</v>
      </c>
      <c r="CA1157" s="293"/>
      <c r="CB1157" s="626">
        <v>-74</v>
      </c>
      <c r="CC1157" s="626">
        <v>-89</v>
      </c>
      <c r="CD1157" s="293">
        <f t="shared" si="2514"/>
        <v>-163</v>
      </c>
      <c r="CE1157" s="331"/>
      <c r="CF1157" s="626">
        <v>-91</v>
      </c>
      <c r="CG1157" s="626">
        <v>-95</v>
      </c>
      <c r="CH1157" s="293">
        <f t="shared" si="2515"/>
        <v>-186</v>
      </c>
      <c r="CI1157" s="331"/>
      <c r="CJ1157" s="626">
        <v>-97</v>
      </c>
      <c r="CK1157" s="626">
        <v>-86</v>
      </c>
      <c r="CL1157" s="293">
        <f t="shared" si="2516"/>
        <v>-183</v>
      </c>
      <c r="CM1157" s="1718">
        <v>0</v>
      </c>
      <c r="CN1157" s="1388">
        <v>-8</v>
      </c>
      <c r="CO1157" s="1388">
        <v>-9</v>
      </c>
      <c r="CP1157" s="1010">
        <f t="shared" si="2517"/>
        <v>-17</v>
      </c>
      <c r="CQ1157" s="1718"/>
      <c r="CR1157" s="1388">
        <v>0</v>
      </c>
      <c r="CS1157" s="1388">
        <v>0</v>
      </c>
      <c r="CT1157" s="293">
        <f t="shared" si="2518"/>
        <v>0</v>
      </c>
      <c r="CU1157" s="293"/>
      <c r="CV1157" s="1388">
        <v>-83</v>
      </c>
      <c r="CW1157" s="626">
        <v>-88</v>
      </c>
      <c r="CX1157" s="293">
        <f t="shared" si="2519"/>
        <v>-171</v>
      </c>
      <c r="CY1157" s="293"/>
      <c r="CZ1157" s="1388">
        <v>-93</v>
      </c>
      <c r="DA1157" s="1388">
        <v>-75</v>
      </c>
      <c r="DB1157" s="293">
        <f t="shared" si="2520"/>
        <v>-168</v>
      </c>
      <c r="DC1157" s="293"/>
      <c r="DD1157" s="1388">
        <v>-79</v>
      </c>
      <c r="DE1157" s="2176">
        <v>-84</v>
      </c>
      <c r="DF1157" s="293">
        <f t="shared" si="2521"/>
        <v>-163</v>
      </c>
      <c r="DG1157" s="293"/>
      <c r="DH1157" s="1388">
        <v>-90</v>
      </c>
      <c r="DI1157" s="293">
        <f>DH1157*(1+DI1166)</f>
        <v>-92.249999999999986</v>
      </c>
      <c r="DJ1157" s="293">
        <f t="shared" si="2522"/>
        <v>-182.25</v>
      </c>
      <c r="DK1157" s="293"/>
      <c r="DL1157" s="293">
        <f>DI1157*(1+DL1166)</f>
        <v>-94.556249999999977</v>
      </c>
      <c r="DM1157" s="293">
        <f>DL1157*(1+DM1166)</f>
        <v>-96.920156249999962</v>
      </c>
      <c r="DN1157" s="293">
        <f t="shared" si="2523"/>
        <v>-191.47640624999994</v>
      </c>
      <c r="DO1157" s="293"/>
      <c r="DP1157" s="293">
        <f>DM1157*(1+DP1166)</f>
        <v>-99.343160156249951</v>
      </c>
      <c r="DQ1157" s="293">
        <f>DP1157*(1+DQ1166)</f>
        <v>-101.82673916015619</v>
      </c>
      <c r="DR1157" s="293">
        <f t="shared" si="2524"/>
        <v>-201.16989931640614</v>
      </c>
      <c r="DS1157" s="293"/>
      <c r="DT1157" s="293"/>
      <c r="DU1157" s="293"/>
      <c r="DV1157" s="293"/>
      <c r="DW1157" s="293"/>
      <c r="DZ1157" s="293"/>
      <c r="EA1157" s="293"/>
      <c r="ED1157" s="293"/>
      <c r="EE1157" s="293"/>
    </row>
    <row r="1158" spans="1:273">
      <c r="A1158" s="102" t="s">
        <v>740</v>
      </c>
      <c r="AN1158" s="730"/>
      <c r="AO1158" s="730"/>
      <c r="AP1158" s="730"/>
      <c r="AQ1158" s="730"/>
      <c r="AR1158" s="730"/>
      <c r="AS1158" s="730"/>
      <c r="AT1158" s="730"/>
      <c r="AU1158" s="730"/>
      <c r="AV1158" s="730">
        <v>-42</v>
      </c>
      <c r="AW1158" s="730">
        <v>-57</v>
      </c>
      <c r="AX1158" s="730"/>
      <c r="AY1158" s="730"/>
      <c r="AZ1158" s="730">
        <v>-61</v>
      </c>
      <c r="BA1158" s="626">
        <v>-66</v>
      </c>
      <c r="BB1158" s="293">
        <f t="shared" si="2507"/>
        <v>-127</v>
      </c>
      <c r="BC1158" s="293"/>
      <c r="BD1158" s="626">
        <v>-57</v>
      </c>
      <c r="BE1158" s="626">
        <v>-55</v>
      </c>
      <c r="BF1158" s="293">
        <f t="shared" si="2508"/>
        <v>-112</v>
      </c>
      <c r="BG1158" s="293"/>
      <c r="BH1158" s="626">
        <v>-45</v>
      </c>
      <c r="BI1158" s="626">
        <v>-46</v>
      </c>
      <c r="BJ1158" s="293">
        <f t="shared" si="2509"/>
        <v>-91</v>
      </c>
      <c r="BK1158" s="293"/>
      <c r="BL1158" s="626">
        <v>-46</v>
      </c>
      <c r="BM1158" s="626">
        <v>-50</v>
      </c>
      <c r="BN1158" s="293">
        <f t="shared" si="2510"/>
        <v>-96</v>
      </c>
      <c r="BO1158" s="293"/>
      <c r="BP1158" s="626">
        <v>-49</v>
      </c>
      <c r="BQ1158" s="626">
        <v>-63</v>
      </c>
      <c r="BR1158" s="293">
        <f t="shared" si="2511"/>
        <v>-112</v>
      </c>
      <c r="BS1158" s="293"/>
      <c r="BT1158" s="626">
        <v>-56</v>
      </c>
      <c r="BU1158" s="626">
        <v>-63</v>
      </c>
      <c r="BV1158" s="293">
        <f t="shared" si="2512"/>
        <v>-119</v>
      </c>
      <c r="BW1158" s="293"/>
      <c r="BX1158" s="626">
        <v>-58</v>
      </c>
      <c r="BY1158" s="626">
        <v>-57</v>
      </c>
      <c r="BZ1158" s="293">
        <f t="shared" si="2513"/>
        <v>-115</v>
      </c>
      <c r="CA1158" s="293"/>
      <c r="CB1158" s="626">
        <v>-59</v>
      </c>
      <c r="CC1158" s="626">
        <v>-55</v>
      </c>
      <c r="CD1158" s="293">
        <f t="shared" si="2514"/>
        <v>-114</v>
      </c>
      <c r="CE1158" s="331"/>
      <c r="CF1158" s="626">
        <v>-59</v>
      </c>
      <c r="CG1158" s="626">
        <v>-60</v>
      </c>
      <c r="CH1158" s="293">
        <f t="shared" si="2515"/>
        <v>-119</v>
      </c>
      <c r="CI1158" s="331"/>
      <c r="CJ1158" s="626">
        <v>-67</v>
      </c>
      <c r="CK1158" s="626">
        <v>-72</v>
      </c>
      <c r="CL1158" s="293">
        <f t="shared" si="2516"/>
        <v>-139</v>
      </c>
      <c r="CM1158" s="1718">
        <v>205</v>
      </c>
      <c r="CN1158" s="1388">
        <v>-64</v>
      </c>
      <c r="CO1158" s="1388">
        <v>-66</v>
      </c>
      <c r="CP1158" s="1010">
        <f t="shared" si="2517"/>
        <v>-130</v>
      </c>
      <c r="CQ1158" s="1718"/>
      <c r="CR1158" s="1388">
        <v>-96</v>
      </c>
      <c r="CS1158" s="1388">
        <v>-82</v>
      </c>
      <c r="CT1158" s="293">
        <f t="shared" si="2518"/>
        <v>-178</v>
      </c>
      <c r="CU1158" s="293"/>
      <c r="CV1158" s="1388">
        <v>-95</v>
      </c>
      <c r="CW1158" s="626">
        <v>-101</v>
      </c>
      <c r="CX1158" s="293">
        <f t="shared" si="2519"/>
        <v>-196</v>
      </c>
      <c r="CY1158" s="293"/>
      <c r="CZ1158" s="1388">
        <v>-87</v>
      </c>
      <c r="DA1158" s="1388">
        <v>-90</v>
      </c>
      <c r="DB1158" s="293">
        <f t="shared" si="2520"/>
        <v>-177</v>
      </c>
      <c r="DC1158" s="293"/>
      <c r="DD1158" s="1388">
        <v>-93</v>
      </c>
      <c r="DE1158" s="2176">
        <v>-97</v>
      </c>
      <c r="DF1158" s="293">
        <f t="shared" si="2521"/>
        <v>-190</v>
      </c>
      <c r="DG1158" s="293"/>
      <c r="DH1158" s="1388">
        <v>-83</v>
      </c>
      <c r="DI1158" s="293">
        <f>DH1158*(1+DI1167)</f>
        <v>-85.074999999999989</v>
      </c>
      <c r="DJ1158" s="293">
        <f t="shared" si="2522"/>
        <v>-168.07499999999999</v>
      </c>
      <c r="DK1158" s="293"/>
      <c r="DL1158" s="293">
        <f>DI1158*(1+DL1167)</f>
        <v>-87.201874999999987</v>
      </c>
      <c r="DM1158" s="293">
        <f>DL1158*(1+DM1167)</f>
        <v>-89.381921874999975</v>
      </c>
      <c r="DN1158" s="293">
        <f t="shared" si="2523"/>
        <v>-176.58379687499996</v>
      </c>
      <c r="DO1158" s="293"/>
      <c r="DP1158" s="293">
        <f>DM1158*(1+DP1167)</f>
        <v>-91.616469921874966</v>
      </c>
      <c r="DQ1158" s="293">
        <f>DP1158*(1+DQ1167)</f>
        <v>-93.90688166992183</v>
      </c>
      <c r="DR1158" s="293">
        <f t="shared" si="2524"/>
        <v>-185.5233515917968</v>
      </c>
      <c r="DS1158" s="293"/>
      <c r="DT1158" s="293"/>
      <c r="DU1158" s="293"/>
      <c r="DV1158" s="293"/>
      <c r="DW1158" s="293"/>
      <c r="DZ1158" s="293"/>
      <c r="EA1158" s="293"/>
      <c r="ED1158" s="293"/>
      <c r="EE1158" s="293"/>
    </row>
    <row r="1159" spans="1:273">
      <c r="A1159" s="102" t="s">
        <v>741</v>
      </c>
      <c r="AN1159" s="730"/>
      <c r="AO1159" s="730"/>
      <c r="AP1159" s="730"/>
      <c r="AQ1159" s="730"/>
      <c r="AR1159" s="730"/>
      <c r="AS1159" s="730"/>
      <c r="AT1159" s="730"/>
      <c r="AU1159" s="730"/>
      <c r="AV1159" s="730">
        <v>-121</v>
      </c>
      <c r="AW1159" s="730">
        <v>-166</v>
      </c>
      <c r="AX1159" s="730"/>
      <c r="AY1159" s="730"/>
      <c r="AZ1159" s="730">
        <v>-146</v>
      </c>
      <c r="BA1159" s="626">
        <v>-146</v>
      </c>
      <c r="BB1159" s="293">
        <f t="shared" si="2507"/>
        <v>-292</v>
      </c>
      <c r="BC1159" s="293"/>
      <c r="BD1159" s="626">
        <v>-174</v>
      </c>
      <c r="BE1159" s="626">
        <v>-167</v>
      </c>
      <c r="BF1159" s="293">
        <f t="shared" si="2508"/>
        <v>-341</v>
      </c>
      <c r="BG1159" s="293"/>
      <c r="BH1159" s="626">
        <f>-100-27-10</f>
        <v>-137</v>
      </c>
      <c r="BI1159" s="626">
        <f>-82-35-14</f>
        <v>-131</v>
      </c>
      <c r="BJ1159" s="293">
        <f t="shared" si="2509"/>
        <v>-268</v>
      </c>
      <c r="BK1159" s="293"/>
      <c r="BL1159" s="626">
        <f>-112-38-11</f>
        <v>-161</v>
      </c>
      <c r="BM1159" s="626">
        <f>-13-28-101</f>
        <v>-142</v>
      </c>
      <c r="BN1159" s="293">
        <f t="shared" si="2510"/>
        <v>-303</v>
      </c>
      <c r="BO1159" s="293"/>
      <c r="BP1159" s="626">
        <f>-11-28-142</f>
        <v>-181</v>
      </c>
      <c r="BQ1159" s="626">
        <f>-16-67-108</f>
        <v>-191</v>
      </c>
      <c r="BR1159" s="293">
        <f t="shared" si="2511"/>
        <v>-372</v>
      </c>
      <c r="BS1159" s="293"/>
      <c r="BT1159" s="626">
        <f>-13-41-153</f>
        <v>-207</v>
      </c>
      <c r="BU1159" s="626">
        <f>-20-109-21</f>
        <v>-150</v>
      </c>
      <c r="BV1159" s="293">
        <f t="shared" si="2512"/>
        <v>-357</v>
      </c>
      <c r="BW1159" s="293"/>
      <c r="BX1159" s="626">
        <f>-17-17-141</f>
        <v>-175</v>
      </c>
      <c r="BY1159" s="626">
        <f>-19-18-127</f>
        <v>-164</v>
      </c>
      <c r="BZ1159" s="293">
        <f t="shared" si="2513"/>
        <v>-339</v>
      </c>
      <c r="CA1159" s="293"/>
      <c r="CB1159" s="626">
        <f>-17-21-154</f>
        <v>-192</v>
      </c>
      <c r="CC1159" s="626">
        <f>-20-18-209</f>
        <v>-247</v>
      </c>
      <c r="CD1159" s="293">
        <f t="shared" si="2514"/>
        <v>-439</v>
      </c>
      <c r="CE1159" s="331"/>
      <c r="CF1159" s="626">
        <f>-22-19-161</f>
        <v>-202</v>
      </c>
      <c r="CG1159" s="626">
        <f>-25-19-376</f>
        <v>-420</v>
      </c>
      <c r="CH1159" s="293">
        <f t="shared" si="2515"/>
        <v>-622</v>
      </c>
      <c r="CI1159" s="331"/>
      <c r="CJ1159" s="626">
        <f>-178-19-31</f>
        <v>-228</v>
      </c>
      <c r="CK1159" s="626">
        <f>-39-21-320</f>
        <v>-380</v>
      </c>
      <c r="CL1159" s="293">
        <f t="shared" si="2516"/>
        <v>-608</v>
      </c>
      <c r="CM1159" s="1718">
        <v>12325</v>
      </c>
      <c r="CN1159" s="1388">
        <f>-33-23-245</f>
        <v>-301</v>
      </c>
      <c r="CO1159" s="1388">
        <f>-30-32-303</f>
        <v>-365</v>
      </c>
      <c r="CP1159" s="1010">
        <f t="shared" si="2517"/>
        <v>-666</v>
      </c>
      <c r="CQ1159" s="1718"/>
      <c r="CR1159" s="1388">
        <f>-85-70-26-290</f>
        <v>-471</v>
      </c>
      <c r="CS1159" s="1388">
        <f>-85-64-38-336</f>
        <v>-523</v>
      </c>
      <c r="CT1159" s="293">
        <f t="shared" si="2518"/>
        <v>-994</v>
      </c>
      <c r="CU1159" s="293"/>
      <c r="CV1159" s="1388">
        <f>-60-72-28-185</f>
        <v>-345</v>
      </c>
      <c r="CW1159" s="1388">
        <f>-95-109-55-427</f>
        <v>-686</v>
      </c>
      <c r="CX1159" s="293">
        <f t="shared" si="2519"/>
        <v>-1031</v>
      </c>
      <c r="CY1159" s="293"/>
      <c r="CZ1159" s="1388">
        <f>-100-80-33-253</f>
        <v>-466</v>
      </c>
      <c r="DA1159" s="1388">
        <f>-86-84-37-224</f>
        <v>-431</v>
      </c>
      <c r="DB1159" s="293">
        <f t="shared" si="2520"/>
        <v>-897</v>
      </c>
      <c r="DC1159" s="293"/>
      <c r="DD1159" s="1388">
        <f>-60-84-32-214</f>
        <v>-390</v>
      </c>
      <c r="DE1159" s="2176">
        <f>-73-91-43-102</f>
        <v>-309</v>
      </c>
      <c r="DF1159" s="293">
        <f t="shared" si="2521"/>
        <v>-699</v>
      </c>
      <c r="DG1159" s="293"/>
      <c r="DH1159" s="626">
        <f>-51-7-36-276</f>
        <v>-370</v>
      </c>
      <c r="DI1159" s="293">
        <f>DI1160-SUM(DI1154:DI1158)</f>
        <v>-401.27999999999975</v>
      </c>
      <c r="DJ1159" s="293">
        <f t="shared" si="2522"/>
        <v>-771.27999999999975</v>
      </c>
      <c r="DK1159" s="293"/>
      <c r="DL1159" s="293">
        <f>DL1160-SUM(DL1154:DL1158)</f>
        <v>-266.13187500000004</v>
      </c>
      <c r="DM1159" s="293">
        <f>DM1160-SUM(DM1154:DM1158)</f>
        <v>-280.1839468750004</v>
      </c>
      <c r="DN1159" s="293">
        <f t="shared" si="2523"/>
        <v>-546.31582187500044</v>
      </c>
      <c r="DO1159" s="293"/>
      <c r="DP1159" s="293">
        <f>DP1160-SUM(DP1154:DP1158)</f>
        <v>-239.00498554687533</v>
      </c>
      <c r="DQ1159" s="293">
        <f>DQ1160-SUM(DQ1154:DQ1158)</f>
        <v>-252.26921763554765</v>
      </c>
      <c r="DR1159" s="293">
        <f t="shared" si="2524"/>
        <v>-491.27420318242298</v>
      </c>
      <c r="DS1159" s="293"/>
      <c r="DT1159" s="293"/>
      <c r="DU1159" s="293"/>
      <c r="DV1159" s="293"/>
      <c r="DW1159" s="293"/>
      <c r="DZ1159" s="293"/>
      <c r="EA1159" s="293"/>
      <c r="ED1159" s="293"/>
      <c r="EE1159" s="293"/>
    </row>
    <row r="1160" spans="1:273" s="289" customFormat="1">
      <c r="A1160" s="289" t="s">
        <v>588</v>
      </c>
      <c r="B1160" s="290"/>
      <c r="AN1160" s="290">
        <f>SUM(AN1154:AN1159)</f>
        <v>0</v>
      </c>
      <c r="AO1160" s="290">
        <f>SUM(AO1154:AO1159)</f>
        <v>0</v>
      </c>
      <c r="AP1160" s="290"/>
      <c r="AQ1160" s="290"/>
      <c r="AR1160" s="290">
        <f>SUM(AR1154:AR1159)</f>
        <v>0</v>
      </c>
      <c r="AS1160" s="290">
        <f>SUM(AS1154:AS1159)</f>
        <v>0</v>
      </c>
      <c r="AT1160" s="290"/>
      <c r="AU1160" s="290"/>
      <c r="AV1160" s="290">
        <f>SUM(AV1154:AV1159)</f>
        <v>-735</v>
      </c>
      <c r="AW1160" s="290">
        <f>SUM(AW1154:AW1159)</f>
        <v>-863</v>
      </c>
      <c r="AX1160" s="290"/>
      <c r="AY1160" s="290"/>
      <c r="AZ1160" s="290">
        <f>SUM(AZ1154:AZ1159)</f>
        <v>-828</v>
      </c>
      <c r="BA1160" s="295">
        <f>SUM(BA1154:BA1159)</f>
        <v>-870</v>
      </c>
      <c r="BB1160" s="295">
        <f>SUM(BB1154:BB1159)</f>
        <v>-1698</v>
      </c>
      <c r="BC1160" s="295"/>
      <c r="BD1160" s="290">
        <f>SUM(BD1154:BD1159)</f>
        <v>-790</v>
      </c>
      <c r="BE1160" s="295">
        <f>SUM(BE1154:BE1159)</f>
        <v>-840</v>
      </c>
      <c r="BF1160" s="295">
        <f>SUM(BF1154:BF1159)</f>
        <v>-1630</v>
      </c>
      <c r="BG1160" s="295"/>
      <c r="BH1160" s="290">
        <f>SUM(BH1154:BH1159)</f>
        <v>-679</v>
      </c>
      <c r="BI1160" s="295">
        <f>SUM(BI1154:BI1159)</f>
        <v>-696</v>
      </c>
      <c r="BJ1160" s="295">
        <f>SUM(BJ1154:BJ1159)</f>
        <v>-1375</v>
      </c>
      <c r="BK1160" s="295"/>
      <c r="BL1160" s="290">
        <f>SUM(BL1154:BL1159)</f>
        <v>-760</v>
      </c>
      <c r="BM1160" s="295">
        <f>SUM(BM1154:BM1159)</f>
        <v>-751</v>
      </c>
      <c r="BN1160" s="295">
        <f>SUM(BN1154:BN1159)</f>
        <v>-1511</v>
      </c>
      <c r="BO1160" s="295"/>
      <c r="BP1160" s="290">
        <f>SUM(BP1154:BP1159)</f>
        <v>-832</v>
      </c>
      <c r="BQ1160" s="295">
        <f>SUM(BQ1154:BQ1159)</f>
        <v>-941</v>
      </c>
      <c r="BR1160" s="295">
        <f>SUM(BR1154:BR1159)</f>
        <v>-1773</v>
      </c>
      <c r="BS1160" s="295"/>
      <c r="BT1160" s="290">
        <f>SUM(BT1154:BT1159)</f>
        <v>-992</v>
      </c>
      <c r="BU1160" s="295">
        <f>SUM(BU1154:BU1159)</f>
        <v>-1015</v>
      </c>
      <c r="BV1160" s="295">
        <f>SUM(BV1154:BV1159)</f>
        <v>-2007</v>
      </c>
      <c r="BW1160" s="295"/>
      <c r="BX1160" s="290">
        <f>SUM(BX1154:BX1159)</f>
        <v>-1025</v>
      </c>
      <c r="BY1160" s="290">
        <f>SUM(BY1154:BY1159)</f>
        <v>-1004</v>
      </c>
      <c r="BZ1160" s="295">
        <f>SUM(BZ1154:BZ1159)</f>
        <v>-2029</v>
      </c>
      <c r="CA1160" s="295"/>
      <c r="CB1160" s="290">
        <f>SUM(CB1154:CB1159)</f>
        <v>-1010</v>
      </c>
      <c r="CC1160" s="290">
        <f>SUM(CC1154:CC1159)</f>
        <v>-1123</v>
      </c>
      <c r="CD1160" s="295">
        <f>SUM(CD1154:CD1159)</f>
        <v>-2133</v>
      </c>
      <c r="CE1160" s="791"/>
      <c r="CF1160" s="290">
        <f>SUM(CF1154:CF1159)</f>
        <v>-1092</v>
      </c>
      <c r="CG1160" s="290">
        <f>SUM(CG1154:CG1159)</f>
        <v>-1438</v>
      </c>
      <c r="CH1160" s="295">
        <f>SUM(CH1154:CH1159)</f>
        <v>-2530</v>
      </c>
      <c r="CI1160" s="791"/>
      <c r="CJ1160" s="290">
        <f>SUM(CJ1154:CJ1159)</f>
        <v>-1222</v>
      </c>
      <c r="CK1160" s="290">
        <f>SUM(CK1154:CK1159)</f>
        <v>-1362</v>
      </c>
      <c r="CL1160" s="295">
        <f>SUM(CL1154:CL1159)</f>
        <v>-2584</v>
      </c>
      <c r="CM1160" s="1719">
        <v>0</v>
      </c>
      <c r="CN1160" s="1424">
        <f>SUM(CN1154:CN1159)</f>
        <v>-1180</v>
      </c>
      <c r="CO1160" s="1424">
        <f>SUM(CO1154:CO1159)</f>
        <v>-1291</v>
      </c>
      <c r="CP1160" s="1412">
        <f>SUM(CP1154:CP1159)</f>
        <v>-2471</v>
      </c>
      <c r="CQ1160" s="1719"/>
      <c r="CR1160" s="1424">
        <f>SUM(CR1154:CR1159)</f>
        <v>-1407</v>
      </c>
      <c r="CS1160" s="1424">
        <f>SUM(CS1154:CS1159)</f>
        <v>-1624</v>
      </c>
      <c r="CT1160" s="295">
        <f>SUM(CT1154:CT1159)</f>
        <v>-3031</v>
      </c>
      <c r="CU1160" s="295"/>
      <c r="CV1160" s="1424">
        <f>SUM(CV1154:CV1159)</f>
        <v>-1483</v>
      </c>
      <c r="CW1160" s="1424">
        <f>SUM(CW1154:CW1159)</f>
        <v>-1916</v>
      </c>
      <c r="CX1160" s="295">
        <f>SUM(CX1154:CX1159)</f>
        <v>-3399</v>
      </c>
      <c r="CY1160" s="295"/>
      <c r="CZ1160" s="1424">
        <f>SUM(CZ1154:CZ1159)</f>
        <v>-1656</v>
      </c>
      <c r="DA1160" s="1412">
        <f>SUM(DA1154:DA1159)</f>
        <v>-1611</v>
      </c>
      <c r="DB1160" s="295">
        <f>SUM(DB1154:DB1159)</f>
        <v>-3267</v>
      </c>
      <c r="DC1160" s="295"/>
      <c r="DD1160" s="1424">
        <f>SUM(DD1154:DD1159)</f>
        <v>-1583</v>
      </c>
      <c r="DE1160" s="1412">
        <f>SUM(DE1154:DE1159)</f>
        <v>-1691</v>
      </c>
      <c r="DF1160" s="295">
        <f>SUM(DF1154:DF1159)</f>
        <v>-3274</v>
      </c>
      <c r="DG1160" s="295"/>
      <c r="DH1160" s="1424">
        <f>SUM(DH1154:DH1159)</f>
        <v>-1655</v>
      </c>
      <c r="DI1160" s="295">
        <f>DI1180</f>
        <v>-1718.4049999999997</v>
      </c>
      <c r="DJ1160" s="295">
        <f>SUM(DJ1154:DJ1159)</f>
        <v>-3373.4049999999997</v>
      </c>
      <c r="DK1160" s="295"/>
      <c r="DL1160" s="295">
        <f>DL1180</f>
        <v>-1616.1849999999997</v>
      </c>
      <c r="DM1160" s="295">
        <f>DM1180</f>
        <v>-1663.9884</v>
      </c>
      <c r="DN1160" s="295">
        <f>SUM(DN1154:DN1159)</f>
        <v>-3280.1733999999997</v>
      </c>
      <c r="DO1160" s="295"/>
      <c r="DP1160" s="295">
        <f>DP1180</f>
        <v>-1657.4045499999997</v>
      </c>
      <c r="DQ1160" s="295">
        <f>DQ1180</f>
        <v>-1706.1287712000001</v>
      </c>
      <c r="DR1160" s="295">
        <f>SUM(DR1154:DR1159)</f>
        <v>-3363.5333211999996</v>
      </c>
      <c r="DS1160" s="295"/>
      <c r="DT1160" s="295"/>
      <c r="DU1160" s="295"/>
      <c r="DV1160" s="295"/>
      <c r="DW1160" s="295"/>
      <c r="DX1160" s="290"/>
      <c r="DY1160" s="290"/>
      <c r="DZ1160" s="295"/>
      <c r="EA1160" s="295"/>
      <c r="EB1160" s="290"/>
      <c r="EC1160" s="290"/>
      <c r="ED1160" s="295"/>
      <c r="EE1160" s="295"/>
      <c r="EF1160" s="290"/>
      <c r="EG1160" s="290"/>
      <c r="EH1160" s="290"/>
      <c r="EI1160" s="290"/>
      <c r="EJ1160" s="290"/>
      <c r="EK1160" s="290"/>
      <c r="EL1160" s="290"/>
      <c r="EM1160" s="290"/>
      <c r="EN1160" s="290"/>
      <c r="EO1160" s="290"/>
      <c r="EP1160" s="290"/>
      <c r="JM1160"/>
    </row>
    <row r="1161" spans="1:273">
      <c r="A1161" s="1020" t="s">
        <v>989</v>
      </c>
      <c r="BH1161" s="658">
        <f>-188-132-359</f>
        <v>-679</v>
      </c>
      <c r="BI1161" s="658">
        <f>-202-128-366</f>
        <v>-696</v>
      </c>
      <c r="BJ1161" s="730"/>
      <c r="BK1161" s="730"/>
      <c r="BL1161" s="658">
        <f>-200-154-406</f>
        <v>-760</v>
      </c>
      <c r="BM1161" s="658">
        <f>-187-190-374</f>
        <v>-751</v>
      </c>
      <c r="BN1161" s="730"/>
      <c r="BP1161" s="658">
        <f>-178-206-448</f>
        <v>-832</v>
      </c>
      <c r="BQ1161" s="658">
        <f>-201-231-509</f>
        <v>-941</v>
      </c>
      <c r="BR1161" s="730"/>
      <c r="BT1161" s="658">
        <f>-202-287-503</f>
        <v>-992</v>
      </c>
      <c r="BU1161" s="658">
        <f>-195-300-497</f>
        <v>-992</v>
      </c>
      <c r="BV1161" s="730"/>
      <c r="BX1161" s="658">
        <f>-201-344-480</f>
        <v>-1025</v>
      </c>
      <c r="BY1161" s="658">
        <f>-300-191-513</f>
        <v>-1004</v>
      </c>
      <c r="BZ1161" s="730"/>
      <c r="CB1161" s="658">
        <f>-199-295-516</f>
        <v>-1010</v>
      </c>
      <c r="CC1161" s="658">
        <f>-203-309-611</f>
        <v>-1123</v>
      </c>
      <c r="CD1161" s="730"/>
      <c r="CF1161" s="658">
        <f>-207-331-554</f>
        <v>-1092</v>
      </c>
      <c r="CG1161" s="658">
        <f>-234-353-851</f>
        <v>-1438</v>
      </c>
      <c r="CH1161" s="730"/>
      <c r="CJ1161" s="658"/>
      <c r="CK1161" s="658">
        <f>-199-382-781</f>
        <v>-1362</v>
      </c>
      <c r="CL1161" s="730"/>
      <c r="CM1161" s="999"/>
      <c r="CN1161" s="1000">
        <f>-589-196-395</f>
        <v>-1180</v>
      </c>
      <c r="CO1161" s="1000"/>
      <c r="CP1161" s="1011"/>
      <c r="CQ1161" s="999"/>
      <c r="CR1161" s="1000">
        <f>-990-417</f>
        <v>-1407</v>
      </c>
      <c r="CS1161" s="1000">
        <v>-1624</v>
      </c>
      <c r="CT1161" s="730"/>
      <c r="CV1161" s="1000">
        <f>-938-545</f>
        <v>-1483</v>
      </c>
      <c r="CW1161" s="658">
        <f>-1369-547</f>
        <v>-1916</v>
      </c>
      <c r="CX1161" s="730"/>
      <c r="CZ1161" s="1000">
        <f>-1062-594</f>
        <v>-1656</v>
      </c>
      <c r="DA1161" s="1000">
        <f>-569-199-247-86-90-84-75-37-224</f>
        <v>-1611</v>
      </c>
      <c r="DB1161" s="730"/>
      <c r="DD1161" s="1000">
        <f>-1008-575</f>
        <v>-1583</v>
      </c>
      <c r="DE1161" s="2176">
        <f>-1066-625</f>
        <v>-1691</v>
      </c>
      <c r="DF1161" s="730"/>
      <c r="DH1161" s="2257">
        <f>-1021+-634</f>
        <v>-1655</v>
      </c>
    </row>
    <row r="1162" spans="1:273" s="323" customFormat="1">
      <c r="A1162" s="894" t="s">
        <v>178</v>
      </c>
      <c r="B1162" s="115"/>
      <c r="AN1162" s="115"/>
      <c r="AO1162" s="115"/>
      <c r="AP1162" s="115"/>
      <c r="AQ1162" s="115"/>
      <c r="AR1162" s="115"/>
      <c r="AS1162" s="115"/>
      <c r="AT1162" s="115"/>
      <c r="AU1162" s="115"/>
      <c r="AV1162" s="115"/>
      <c r="AW1162" s="115"/>
      <c r="AX1162" s="115"/>
      <c r="AY1162" s="115"/>
      <c r="AZ1162" s="115"/>
      <c r="BA1162" s="115"/>
      <c r="BB1162" s="115"/>
      <c r="BC1162" s="115"/>
      <c r="BD1162" s="115"/>
      <c r="BE1162" s="115"/>
      <c r="BF1162" s="115"/>
      <c r="BG1162" s="115"/>
      <c r="BH1162" s="115"/>
      <c r="BI1162" s="115"/>
      <c r="BJ1162" s="115"/>
      <c r="BK1162" s="115"/>
      <c r="BL1162" s="115"/>
      <c r="BM1162" s="115"/>
      <c r="BN1162" s="115"/>
      <c r="BO1162" s="115"/>
      <c r="BP1162" s="115"/>
      <c r="BQ1162" s="115"/>
      <c r="BR1162" s="115"/>
      <c r="BS1162" s="115"/>
      <c r="BT1162" s="115"/>
      <c r="BU1162" s="115"/>
      <c r="BV1162" s="115"/>
      <c r="BW1162" s="115"/>
      <c r="BX1162" s="115"/>
      <c r="BY1162" s="115"/>
      <c r="BZ1162" s="115"/>
      <c r="CA1162" s="115"/>
      <c r="CB1162" s="115"/>
      <c r="CC1162" s="115"/>
      <c r="CD1162" s="115"/>
      <c r="CE1162" s="115"/>
      <c r="CF1162" s="115"/>
      <c r="CG1162" s="115"/>
      <c r="CH1162" s="115"/>
      <c r="CI1162" s="115"/>
      <c r="CJ1162" s="115"/>
      <c r="CK1162" s="115"/>
      <c r="CL1162" s="115"/>
      <c r="CM1162" s="115"/>
      <c r="CN1162" s="331"/>
      <c r="CO1162" s="115"/>
      <c r="CP1162" s="115"/>
      <c r="CQ1162" s="115"/>
      <c r="CR1162" s="331"/>
      <c r="CS1162" s="115"/>
      <c r="CT1162" s="115"/>
      <c r="CU1162" s="115"/>
      <c r="CV1162" s="331"/>
      <c r="CW1162" s="115"/>
      <c r="CX1162" s="115"/>
      <c r="CY1162" s="115"/>
      <c r="CZ1162" s="331"/>
      <c r="DA1162" s="331"/>
      <c r="DB1162" s="115"/>
      <c r="DC1162" s="115"/>
      <c r="DD1162" s="331"/>
      <c r="DE1162" s="115"/>
      <c r="DF1162" s="115"/>
      <c r="DG1162" s="115"/>
      <c r="DH1162" s="331"/>
      <c r="DI1162" s="115"/>
      <c r="DJ1162" s="115"/>
      <c r="DK1162" s="115"/>
      <c r="DL1162" s="115"/>
      <c r="DM1162" s="115"/>
      <c r="DN1162" s="115"/>
      <c r="DO1162" s="115"/>
      <c r="DP1162" s="115"/>
      <c r="DQ1162" s="115"/>
      <c r="DR1162" s="115"/>
      <c r="DS1162" s="115"/>
      <c r="DT1162" s="115"/>
      <c r="DU1162" s="115"/>
      <c r="DV1162" s="115"/>
      <c r="DW1162" s="115"/>
      <c r="DX1162" s="115"/>
      <c r="DY1162" s="115"/>
      <c r="DZ1162" s="115"/>
      <c r="EA1162" s="115"/>
      <c r="EB1162" s="115"/>
      <c r="EC1162" s="115"/>
      <c r="ED1162" s="115"/>
      <c r="EE1162" s="115"/>
      <c r="EF1162" s="115"/>
      <c r="EG1162" s="115"/>
      <c r="EH1162" s="115"/>
      <c r="EI1162" s="115"/>
      <c r="EJ1162" s="115"/>
      <c r="EK1162" s="115"/>
      <c r="EL1162" s="115"/>
      <c r="EM1162" s="115"/>
      <c r="EN1162" s="115"/>
      <c r="EO1162" s="115"/>
      <c r="EP1162" s="115"/>
      <c r="JM1162"/>
    </row>
    <row r="1163" spans="1:273" s="872" customFormat="1">
      <c r="A1163" s="642" t="s">
        <v>735</v>
      </c>
      <c r="B1163" s="300"/>
      <c r="C1163" s="642"/>
      <c r="D1163" s="642"/>
      <c r="E1163" s="642"/>
      <c r="F1163" s="642"/>
      <c r="G1163" s="642"/>
      <c r="H1163" s="642"/>
      <c r="I1163" s="642"/>
      <c r="J1163" s="642"/>
      <c r="K1163" s="642"/>
      <c r="L1163" s="642"/>
      <c r="M1163" s="642"/>
      <c r="N1163" s="642"/>
      <c r="O1163" s="642"/>
      <c r="P1163" s="642"/>
      <c r="Q1163" s="642"/>
      <c r="R1163" s="642"/>
      <c r="S1163" s="642"/>
      <c r="T1163" s="642"/>
      <c r="U1163" s="642"/>
      <c r="V1163" s="642"/>
      <c r="W1163" s="642"/>
      <c r="X1163" s="642"/>
      <c r="Y1163" s="642"/>
      <c r="Z1163" s="642"/>
      <c r="AA1163" s="642"/>
      <c r="AB1163" s="642"/>
      <c r="AC1163" s="642"/>
      <c r="AD1163" s="642"/>
      <c r="AE1163" s="642"/>
      <c r="AF1163" s="642"/>
      <c r="AG1163" s="642"/>
      <c r="AH1163" s="642"/>
      <c r="AI1163" s="642"/>
      <c r="AJ1163" s="642"/>
      <c r="AK1163" s="642"/>
      <c r="AL1163" s="642"/>
      <c r="AM1163" s="642"/>
      <c r="AN1163" s="300"/>
      <c r="AO1163" s="300"/>
      <c r="AP1163" s="300"/>
      <c r="AQ1163" s="300"/>
      <c r="AR1163" s="300"/>
      <c r="AS1163" s="300"/>
      <c r="AT1163" s="300"/>
      <c r="AU1163" s="300"/>
      <c r="AV1163" s="300"/>
      <c r="AW1163" s="795">
        <f>AW1154/AV1154-1</f>
        <v>-7.9681274900398447E-2</v>
      </c>
      <c r="AX1163" s="300"/>
      <c r="AY1163" s="300"/>
      <c r="AZ1163" s="795">
        <f>AZ1154/AW1154-1</f>
        <v>2.5974025974025983E-2</v>
      </c>
      <c r="BA1163" s="795">
        <f>BA1154/AZ1154-1</f>
        <v>3.7974683544303778E-2</v>
      </c>
      <c r="BB1163" s="871"/>
      <c r="BC1163" s="871"/>
      <c r="BD1163" s="795">
        <f>BD1154/BA1154-1</f>
        <v>-0.13414634146341464</v>
      </c>
      <c r="BE1163" s="795">
        <f>BE1154/BD1154-1</f>
        <v>0.14084507042253525</v>
      </c>
      <c r="BF1163" s="871"/>
      <c r="BG1163" s="871"/>
      <c r="BH1163" s="795">
        <f>BH1154/BE1154-1</f>
        <v>-0.22633744855967075</v>
      </c>
      <c r="BI1163" s="795">
        <f>BI1154/BH1154-1</f>
        <v>7.4468085106383031E-2</v>
      </c>
      <c r="BJ1163" s="871"/>
      <c r="BK1163" s="871"/>
      <c r="BL1163" s="795">
        <f>BL1154/BI1154-1</f>
        <v>-9.9009900990099098E-3</v>
      </c>
      <c r="BM1163" s="795">
        <f>BM1154/BL1154-1</f>
        <v>-8.9999999999999969E-2</v>
      </c>
      <c r="BN1163" s="871"/>
      <c r="BO1163" s="871"/>
      <c r="BP1163" s="795">
        <f>BP1154/BM1154-1</f>
        <v>-2.1978021978022011E-2</v>
      </c>
      <c r="BQ1163" s="795">
        <f>BQ1154/BP1154-1</f>
        <v>0.1292134831460674</v>
      </c>
      <c r="BR1163" s="871"/>
      <c r="BS1163" s="871"/>
      <c r="BT1163" s="795">
        <f>BT1154/BQ1154-1</f>
        <v>4.9751243781095411E-3</v>
      </c>
      <c r="BU1163" s="795">
        <f>BU1154/BT1154-1</f>
        <v>-3.4653465346534684E-2</v>
      </c>
      <c r="BV1163" s="871"/>
      <c r="BW1163" s="871"/>
      <c r="BX1163" s="795">
        <f>BX1154/BU1154-1</f>
        <v>3.076923076923066E-2</v>
      </c>
      <c r="BY1163" s="795">
        <f>BY1154/BX1154-1</f>
        <v>-4.9751243781094523E-2</v>
      </c>
      <c r="BZ1163" s="871"/>
      <c r="CA1163" s="871"/>
      <c r="CB1163" s="795">
        <f>CB1154/BY1154-1</f>
        <v>4.1884816753926746E-2</v>
      </c>
      <c r="CC1163" s="795">
        <f t="shared" ref="CC1163:CC1169" si="2525">CC1154/CB1154-1</f>
        <v>2.0100502512562901E-2</v>
      </c>
      <c r="CD1163" s="871"/>
      <c r="CE1163" s="871"/>
      <c r="CF1163" s="795">
        <f>CF1154/CC1154-1</f>
        <v>1.9704433497536922E-2</v>
      </c>
      <c r="CG1163" s="795">
        <f t="shared" ref="CG1163:CG1169" si="2526">CG1154/CF1154-1</f>
        <v>0.13043478260869557</v>
      </c>
      <c r="CH1163" s="871"/>
      <c r="CI1163" s="871"/>
      <c r="CJ1163" s="795">
        <f>CJ1154/CG1154-1</f>
        <v>-0.14102564102564108</v>
      </c>
      <c r="CK1163" s="795">
        <f t="shared" ref="CK1163:CK1169" si="2527">CK1154/CJ1154-1</f>
        <v>-9.9502487562188602E-3</v>
      </c>
      <c r="CL1163" s="871"/>
      <c r="CM1163" s="871"/>
      <c r="CN1163" s="795">
        <f>CN1154/CK1154-1</f>
        <v>-1.5075376884422065E-2</v>
      </c>
      <c r="CO1163" s="795">
        <f t="shared" ref="CO1163:CO1169" si="2528">CO1154/CN1154-1</f>
        <v>-5.1020408163265252E-2</v>
      </c>
      <c r="CP1163" s="871"/>
      <c r="CQ1163" s="871"/>
      <c r="CR1163" s="795">
        <f>CR1154/CO1154-1</f>
        <v>-2.1505376344086002E-2</v>
      </c>
      <c r="CS1163" s="795">
        <f t="shared" ref="CS1163:CS1169" si="2529">CS1154/CR1154-1</f>
        <v>-3.8461538461538436E-2</v>
      </c>
      <c r="CT1163" s="871"/>
      <c r="CU1163" s="871"/>
      <c r="CV1163" s="795">
        <f>CV1154/CS1154-1</f>
        <v>4.0000000000000036E-2</v>
      </c>
      <c r="CW1163" s="795">
        <f t="shared" ref="CW1163:CW1165" si="2530">CW1154/CV1154-1</f>
        <v>4.3956043956044022E-2</v>
      </c>
      <c r="CX1163" s="871"/>
      <c r="CY1163" s="871"/>
      <c r="CZ1163" s="795">
        <f>CZ1154/CW1154-1</f>
        <v>2.6315789473684292E-2</v>
      </c>
      <c r="DA1163" s="795">
        <f t="shared" ref="DA1163:DA1165" si="2531">DA1154/CZ1154-1</f>
        <v>2.051282051282044E-2</v>
      </c>
      <c r="DB1163" s="871"/>
      <c r="DC1163" s="871"/>
      <c r="DD1163" s="795">
        <f>DD1154/DA1154-1</f>
        <v>0.16582914572864316</v>
      </c>
      <c r="DE1163" s="795">
        <f t="shared" ref="DE1163:DE1165" si="2532">DE1154/DD1154-1</f>
        <v>0.1206896551724137</v>
      </c>
      <c r="DF1163" s="871"/>
      <c r="DG1163" s="871"/>
      <c r="DH1163" s="795">
        <f>DH1154/DE1154-1</f>
        <v>-0.10384615384615381</v>
      </c>
      <c r="DI1163" s="871">
        <v>2.5000000000000001E-2</v>
      </c>
      <c r="DJ1163" s="871"/>
      <c r="DK1163" s="871"/>
      <c r="DL1163" s="871">
        <v>2.5000000000000001E-2</v>
      </c>
      <c r="DM1163" s="871">
        <v>2.5000000000000001E-2</v>
      </c>
      <c r="DN1163" s="871"/>
      <c r="DO1163" s="871"/>
      <c r="DP1163" s="871">
        <v>2.5000000000000001E-2</v>
      </c>
      <c r="DQ1163" s="871">
        <v>2.5000000000000001E-2</v>
      </c>
      <c r="DR1163" s="871"/>
      <c r="DS1163" s="871"/>
      <c r="DT1163" s="871"/>
      <c r="DU1163" s="871"/>
      <c r="DV1163" s="871"/>
      <c r="DW1163" s="871"/>
      <c r="DX1163" s="871"/>
      <c r="DY1163" s="871"/>
      <c r="DZ1163" s="871"/>
      <c r="EA1163" s="871"/>
      <c r="EB1163" s="871"/>
      <c r="EC1163" s="871"/>
      <c r="ED1163" s="871"/>
      <c r="EE1163" s="871"/>
      <c r="EF1163" s="871"/>
      <c r="EG1163" s="871"/>
      <c r="EH1163" s="871"/>
      <c r="EI1163" s="871"/>
      <c r="EJ1163" s="871"/>
      <c r="EK1163" s="871"/>
      <c r="EL1163" s="871"/>
      <c r="EM1163" s="871"/>
      <c r="EN1163" s="871"/>
      <c r="EO1163" s="871"/>
      <c r="EP1163" s="871"/>
      <c r="FL1163" s="870"/>
      <c r="FM1163" s="870"/>
      <c r="FN1163" s="870"/>
      <c r="FO1163" s="870"/>
      <c r="FP1163" s="870"/>
      <c r="FQ1163" s="870"/>
      <c r="FR1163" s="870"/>
      <c r="FS1163" s="870"/>
      <c r="FT1163" s="870"/>
      <c r="FU1163" s="870"/>
      <c r="FV1163" s="870"/>
      <c r="FW1163" s="870"/>
      <c r="FX1163" s="870"/>
      <c r="FY1163" s="870"/>
      <c r="FZ1163" s="870"/>
      <c r="GA1163" s="870"/>
      <c r="GB1163" s="870"/>
      <c r="GC1163" s="870"/>
      <c r="GD1163" s="870"/>
      <c r="GE1163" s="870"/>
      <c r="GF1163" s="870"/>
      <c r="GG1163" s="870"/>
      <c r="GH1163" s="870"/>
      <c r="GI1163" s="870"/>
      <c r="GJ1163" s="870"/>
      <c r="GK1163" s="870"/>
      <c r="GL1163" s="870"/>
      <c r="GM1163" s="870"/>
      <c r="GN1163" s="870"/>
      <c r="GO1163" s="870"/>
      <c r="GP1163" s="870"/>
      <c r="GQ1163" s="870"/>
      <c r="GR1163" s="870"/>
      <c r="GS1163" s="870"/>
      <c r="GT1163" s="870"/>
      <c r="GU1163" s="870"/>
      <c r="GV1163" s="870"/>
      <c r="GW1163" s="870"/>
      <c r="GX1163" s="870"/>
      <c r="GY1163" s="870"/>
      <c r="GZ1163" s="870"/>
      <c r="HA1163" s="870"/>
      <c r="HB1163" s="870"/>
      <c r="HC1163" s="870"/>
      <c r="HD1163" s="870"/>
      <c r="HE1163" s="870"/>
      <c r="HF1163" s="870"/>
      <c r="HG1163" s="870"/>
      <c r="HH1163" s="870"/>
      <c r="HI1163" s="870"/>
      <c r="HJ1163" s="870"/>
      <c r="HK1163" s="870"/>
      <c r="HL1163" s="870"/>
      <c r="HM1163" s="870"/>
      <c r="HN1163" s="870"/>
      <c r="HO1163" s="870"/>
      <c r="HP1163" s="870"/>
      <c r="HQ1163" s="870"/>
      <c r="HR1163" s="870"/>
      <c r="HS1163" s="870"/>
      <c r="HT1163" s="870"/>
      <c r="HU1163" s="870"/>
      <c r="HV1163" s="870"/>
      <c r="HW1163" s="870"/>
      <c r="HX1163" s="870"/>
      <c r="HY1163" s="870"/>
      <c r="HZ1163" s="870"/>
      <c r="IA1163" s="870"/>
      <c r="IB1163" s="870"/>
      <c r="IC1163" s="870"/>
      <c r="ID1163" s="870"/>
      <c r="IE1163" s="870"/>
      <c r="IF1163" s="870"/>
      <c r="IG1163" s="870"/>
      <c r="IH1163" s="870"/>
      <c r="II1163" s="870"/>
      <c r="IJ1163" s="870"/>
      <c r="IK1163" s="870"/>
      <c r="IL1163" s="870"/>
      <c r="IM1163" s="870"/>
      <c r="IN1163" s="870"/>
      <c r="IO1163" s="870"/>
      <c r="IP1163" s="870"/>
      <c r="IQ1163" s="870"/>
      <c r="IR1163" s="870"/>
      <c r="IS1163" s="870"/>
      <c r="IT1163" s="870"/>
      <c r="IU1163" s="870"/>
      <c r="IV1163" s="870"/>
      <c r="IW1163" s="870"/>
      <c r="IX1163" s="870"/>
      <c r="IY1163" s="870"/>
      <c r="IZ1163" s="870"/>
      <c r="JA1163" s="870"/>
      <c r="JB1163" s="870"/>
      <c r="JC1163" s="870"/>
      <c r="JD1163" s="870"/>
      <c r="JE1163" s="870"/>
      <c r="JF1163" s="870"/>
      <c r="JG1163" s="870"/>
      <c r="JH1163" s="870"/>
      <c r="JI1163" s="870"/>
      <c r="JJ1163" s="870"/>
      <c r="JK1163" s="870"/>
      <c r="JL1163" s="870"/>
      <c r="JM1163"/>
    </row>
    <row r="1164" spans="1:273" s="872" customFormat="1">
      <c r="A1164" s="642" t="s">
        <v>736</v>
      </c>
      <c r="B1164" s="300"/>
      <c r="C1164" s="642"/>
      <c r="D1164" s="642"/>
      <c r="E1164" s="642"/>
      <c r="F1164" s="642"/>
      <c r="G1164" s="642"/>
      <c r="H1164" s="642"/>
      <c r="I1164" s="642"/>
      <c r="J1164" s="642"/>
      <c r="K1164" s="642"/>
      <c r="L1164" s="642"/>
      <c r="M1164" s="642"/>
      <c r="N1164" s="642"/>
      <c r="O1164" s="642"/>
      <c r="P1164" s="642"/>
      <c r="Q1164" s="642"/>
      <c r="R1164" s="642"/>
      <c r="S1164" s="642"/>
      <c r="T1164" s="642"/>
      <c r="U1164" s="642"/>
      <c r="V1164" s="642"/>
      <c r="W1164" s="642"/>
      <c r="X1164" s="642"/>
      <c r="Y1164" s="642"/>
      <c r="Z1164" s="642"/>
      <c r="AA1164" s="642"/>
      <c r="AB1164" s="642"/>
      <c r="AC1164" s="642"/>
      <c r="AD1164" s="642"/>
      <c r="AE1164" s="642"/>
      <c r="AF1164" s="642"/>
      <c r="AG1164" s="642"/>
      <c r="AH1164" s="642"/>
      <c r="AI1164" s="642"/>
      <c r="AJ1164" s="642"/>
      <c r="AK1164" s="642"/>
      <c r="AL1164" s="642"/>
      <c r="AM1164" s="642"/>
      <c r="AN1164" s="300"/>
      <c r="AO1164" s="300"/>
      <c r="AP1164" s="300"/>
      <c r="AQ1164" s="300"/>
      <c r="AR1164" s="300"/>
      <c r="AS1164" s="300"/>
      <c r="AT1164" s="300"/>
      <c r="AU1164" s="300"/>
      <c r="AV1164" s="300"/>
      <c r="AW1164" s="795">
        <f t="shared" ref="AW1164:AW1169" si="2533">AW1155/AV1155-1</f>
        <v>0.26400000000000001</v>
      </c>
      <c r="AX1164" s="300"/>
      <c r="AY1164" s="300"/>
      <c r="AZ1164" s="795">
        <f t="shared" ref="AZ1164:AZ1169" si="2534">AZ1155/AW1155-1</f>
        <v>6.3291139240506666E-3</v>
      </c>
      <c r="BA1164" s="795">
        <f t="shared" ref="BA1164:BA1169" si="2535">BA1155/AZ1155-1</f>
        <v>-1.2578616352201255E-2</v>
      </c>
      <c r="BB1164" s="871"/>
      <c r="BC1164" s="871"/>
      <c r="BD1164" s="795">
        <f t="shared" ref="BD1164:BD1169" si="2536">BD1155/BA1155-1</f>
        <v>-5.0955414012738842E-2</v>
      </c>
      <c r="BE1164" s="795">
        <f t="shared" ref="BE1164:BE1169" si="2537">BE1155/BD1155-1</f>
        <v>-5.3691275167785268E-2</v>
      </c>
      <c r="BF1164" s="871"/>
      <c r="BG1164" s="871"/>
      <c r="BH1164" s="795">
        <f t="shared" ref="BH1164:BH1169" si="2538">BH1155/BE1155-1</f>
        <v>-6.3829787234042534E-2</v>
      </c>
      <c r="BI1164" s="795">
        <f t="shared" ref="BI1164:BI1169" si="2539">BI1155/BH1155-1</f>
        <v>-3.0303030303030276E-2</v>
      </c>
      <c r="BJ1164" s="871"/>
      <c r="BK1164" s="871"/>
      <c r="BL1164" s="795">
        <f t="shared" ref="BL1164:BL1169" si="2540">BL1155/BI1155-1</f>
        <v>0.203125</v>
      </c>
      <c r="BM1164" s="795">
        <f t="shared" ref="BM1164:BM1169" si="2541">BM1155/BL1155-1</f>
        <v>9.740259740259738E-2</v>
      </c>
      <c r="BN1164" s="871"/>
      <c r="BO1164" s="871"/>
      <c r="BP1164" s="795">
        <f t="shared" ref="BP1164:BP1169" si="2542">BP1155/BM1155-1</f>
        <v>0.21893491124260356</v>
      </c>
      <c r="BQ1164" s="795">
        <f t="shared" ref="BQ1164:BQ1169" si="2543">BQ1155/BP1155-1</f>
        <v>0.12135922330097082</v>
      </c>
      <c r="BR1164" s="871"/>
      <c r="BS1164" s="871"/>
      <c r="BT1164" s="795">
        <f t="shared" ref="BT1164:BT1169" si="2544">BT1155/BQ1155-1</f>
        <v>0.24242424242424243</v>
      </c>
      <c r="BU1164" s="795">
        <f t="shared" ref="BU1164:BU1169" si="2545">BU1155/BT1155-1</f>
        <v>4.5296167247386832E-2</v>
      </c>
      <c r="BV1164" s="871"/>
      <c r="BW1164" s="871"/>
      <c r="BX1164" s="795">
        <f t="shared" ref="BX1164:BX1169" si="2546">BX1155/BU1155-1</f>
        <v>0.14666666666666672</v>
      </c>
      <c r="BY1164" s="795">
        <f t="shared" ref="BY1164:BY1169" si="2547">BY1155/BX1155-1</f>
        <v>-0.12790697674418605</v>
      </c>
      <c r="BZ1164" s="871"/>
      <c r="CA1164" s="871"/>
      <c r="CB1164" s="795">
        <f t="shared" ref="CB1164:CB1169" si="2548">CB1155/BY1155-1</f>
        <v>-1.6666666666666718E-2</v>
      </c>
      <c r="CC1164" s="795">
        <f t="shared" si="2525"/>
        <v>4.7457627118643986E-2</v>
      </c>
      <c r="CD1164" s="871"/>
      <c r="CE1164" s="871"/>
      <c r="CF1164" s="795">
        <f t="shared" ref="CF1164:CF1169" si="2549">CF1155/CC1155-1</f>
        <v>7.1197411003236288E-2</v>
      </c>
      <c r="CG1164" s="795">
        <f t="shared" si="2526"/>
        <v>6.6465256797582972E-2</v>
      </c>
      <c r="CH1164" s="871"/>
      <c r="CI1164" s="871"/>
      <c r="CJ1164" s="795">
        <f t="shared" ref="CJ1164:CJ1169" si="2550">CJ1155/CG1155-1</f>
        <v>3.966005665722383E-2</v>
      </c>
      <c r="CK1164" s="795">
        <f t="shared" si="2527"/>
        <v>4.0871934604904681E-2</v>
      </c>
      <c r="CL1164" s="871"/>
      <c r="CM1164" s="871"/>
      <c r="CN1164" s="795">
        <f t="shared" ref="CN1164:CN1169" si="2551">CN1155/CK1155-1</f>
        <v>3.4031413612565453E-2</v>
      </c>
      <c r="CO1164" s="795">
        <f t="shared" si="2528"/>
        <v>-2.2784810126582289E-2</v>
      </c>
      <c r="CP1164" s="871"/>
      <c r="CQ1164" s="871"/>
      <c r="CR1164" s="795">
        <f t="shared" ref="CR1164:CR1169" si="2552">CR1155/CO1155-1</f>
        <v>8.0310880829015607E-2</v>
      </c>
      <c r="CS1164" s="795">
        <f t="shared" si="2529"/>
        <v>0.22062350119904073</v>
      </c>
      <c r="CT1164" s="871"/>
      <c r="CU1164" s="871"/>
      <c r="CV1164" s="795">
        <f t="shared" ref="CV1164:CV1169" si="2553">CV1155/CS1155-1</f>
        <v>7.0726915520628708E-2</v>
      </c>
      <c r="CW1164" s="795">
        <f t="shared" si="2530"/>
        <v>3.669724770642091E-3</v>
      </c>
      <c r="CX1164" s="871"/>
      <c r="CY1164" s="871"/>
      <c r="CZ1164" s="795">
        <f t="shared" ref="CZ1164:CZ1169" si="2554">CZ1155/CW1155-1</f>
        <v>8.5923217550274211E-2</v>
      </c>
      <c r="DA1164" s="795">
        <f t="shared" si="2531"/>
        <v>-4.2087542087542062E-2</v>
      </c>
      <c r="DB1164" s="871"/>
      <c r="DC1164" s="871"/>
      <c r="DD1164" s="795">
        <f t="shared" ref="DD1164:DD1169" si="2555">DD1155/DA1155-1</f>
        <v>1.0544815465729274E-2</v>
      </c>
      <c r="DE1164" s="795">
        <f t="shared" si="2532"/>
        <v>8.6956521739130377E-2</v>
      </c>
      <c r="DF1164" s="871"/>
      <c r="DG1164" s="871"/>
      <c r="DH1164" s="795">
        <f t="shared" ref="DH1164:DH1169" si="2556">DH1155/DE1155-1</f>
        <v>1.4399999999999968E-2</v>
      </c>
      <c r="DI1164" s="871">
        <v>2.5000000000000001E-2</v>
      </c>
      <c r="DJ1164" s="871"/>
      <c r="DK1164" s="871"/>
      <c r="DL1164" s="871">
        <v>2.5000000000000001E-2</v>
      </c>
      <c r="DM1164" s="871">
        <v>2.5000000000000001E-2</v>
      </c>
      <c r="DN1164" s="871"/>
      <c r="DO1164" s="871"/>
      <c r="DP1164" s="871">
        <v>2.5000000000000001E-2</v>
      </c>
      <c r="DQ1164" s="871">
        <v>2.5000000000000001E-2</v>
      </c>
      <c r="DR1164" s="871"/>
      <c r="DS1164" s="871"/>
      <c r="DT1164" s="871"/>
      <c r="DU1164" s="871"/>
      <c r="DV1164" s="871"/>
      <c r="DW1164" s="871"/>
      <c r="DX1164" s="871"/>
      <c r="DY1164" s="871"/>
      <c r="DZ1164" s="871"/>
      <c r="EA1164" s="871"/>
      <c r="EB1164" s="871"/>
      <c r="EC1164" s="871"/>
      <c r="ED1164" s="871"/>
      <c r="EE1164" s="871"/>
      <c r="EF1164" s="871"/>
      <c r="EG1164" s="871"/>
      <c r="EH1164" s="871"/>
      <c r="EI1164" s="871"/>
      <c r="EJ1164" s="871"/>
      <c r="EK1164" s="871"/>
      <c r="EL1164" s="871"/>
      <c r="EM1164" s="871"/>
      <c r="EN1164" s="871"/>
      <c r="EO1164" s="871"/>
      <c r="EP1164" s="871"/>
      <c r="FL1164" s="870"/>
      <c r="FM1164" s="870"/>
      <c r="FN1164" s="870"/>
      <c r="FO1164" s="870"/>
      <c r="FP1164" s="870"/>
      <c r="FQ1164" s="870"/>
      <c r="FR1164" s="870"/>
      <c r="FS1164" s="870"/>
      <c r="FT1164" s="870"/>
      <c r="FU1164" s="870"/>
      <c r="FV1164" s="870"/>
      <c r="FW1164" s="870"/>
      <c r="FX1164" s="870"/>
      <c r="FY1164" s="870"/>
      <c r="FZ1164" s="870"/>
      <c r="GA1164" s="870"/>
      <c r="GB1164" s="870"/>
      <c r="GC1164" s="870"/>
      <c r="GD1164" s="870"/>
      <c r="GE1164" s="870"/>
      <c r="GF1164" s="870"/>
      <c r="GG1164" s="870"/>
      <c r="GH1164" s="870"/>
      <c r="GI1164" s="870"/>
      <c r="GJ1164" s="870"/>
      <c r="GK1164" s="870"/>
      <c r="GL1164" s="870"/>
      <c r="GM1164" s="870"/>
      <c r="GN1164" s="870"/>
      <c r="GO1164" s="870"/>
      <c r="GP1164" s="870"/>
      <c r="GQ1164" s="870"/>
      <c r="GR1164" s="870"/>
      <c r="GS1164" s="870"/>
      <c r="GT1164" s="870"/>
      <c r="GU1164" s="870"/>
      <c r="GV1164" s="870"/>
      <c r="GW1164" s="870"/>
      <c r="GX1164" s="870"/>
      <c r="GY1164" s="870"/>
      <c r="GZ1164" s="870"/>
      <c r="HA1164" s="870"/>
      <c r="HB1164" s="870"/>
      <c r="HC1164" s="870"/>
      <c r="HD1164" s="870"/>
      <c r="HE1164" s="870"/>
      <c r="HF1164" s="870"/>
      <c r="HG1164" s="870"/>
      <c r="HH1164" s="870"/>
      <c r="HI1164" s="870"/>
      <c r="HJ1164" s="870"/>
      <c r="HK1164" s="870"/>
      <c r="HL1164" s="870"/>
      <c r="HM1164" s="870"/>
      <c r="HN1164" s="870"/>
      <c r="HO1164" s="870"/>
      <c r="HP1164" s="870"/>
      <c r="HQ1164" s="870"/>
      <c r="HR1164" s="870"/>
      <c r="HS1164" s="870"/>
      <c r="HT1164" s="870"/>
      <c r="HU1164" s="870"/>
      <c r="HV1164" s="870"/>
      <c r="HW1164" s="870"/>
      <c r="HX1164" s="870"/>
      <c r="HY1164" s="870"/>
      <c r="HZ1164" s="870"/>
      <c r="IA1164" s="870"/>
      <c r="IB1164" s="870"/>
      <c r="IC1164" s="870"/>
      <c r="ID1164" s="870"/>
      <c r="IE1164" s="870"/>
      <c r="IF1164" s="870"/>
      <c r="IG1164" s="870"/>
      <c r="IH1164" s="870"/>
      <c r="II1164" s="870"/>
      <c r="IJ1164" s="870"/>
      <c r="IK1164" s="870"/>
      <c r="IL1164" s="870"/>
      <c r="IM1164" s="870"/>
      <c r="IN1164" s="870"/>
      <c r="IO1164" s="870"/>
      <c r="IP1164" s="870"/>
      <c r="IQ1164" s="870"/>
      <c r="IR1164" s="870"/>
      <c r="IS1164" s="870"/>
      <c r="IT1164" s="870"/>
      <c r="IU1164" s="870"/>
      <c r="IV1164" s="870"/>
      <c r="IW1164" s="870"/>
      <c r="IX1164" s="870"/>
      <c r="IY1164" s="870"/>
      <c r="IZ1164" s="870"/>
      <c r="JA1164" s="870"/>
      <c r="JB1164" s="870"/>
      <c r="JC1164" s="870"/>
      <c r="JD1164" s="870"/>
      <c r="JE1164" s="870"/>
      <c r="JF1164" s="870"/>
      <c r="JG1164" s="870"/>
      <c r="JH1164" s="870"/>
      <c r="JI1164" s="870"/>
      <c r="JJ1164" s="870"/>
      <c r="JK1164" s="870"/>
      <c r="JL1164" s="870"/>
      <c r="JM1164"/>
    </row>
    <row r="1165" spans="1:273" s="872" customFormat="1">
      <c r="A1165" s="642" t="s">
        <v>738</v>
      </c>
      <c r="B1165" s="300"/>
      <c r="C1165" s="642"/>
      <c r="D1165" s="642"/>
      <c r="E1165" s="642"/>
      <c r="F1165" s="642"/>
      <c r="G1165" s="642"/>
      <c r="H1165" s="642"/>
      <c r="I1165" s="642"/>
      <c r="J1165" s="642"/>
      <c r="K1165" s="642"/>
      <c r="L1165" s="642"/>
      <c r="M1165" s="642"/>
      <c r="N1165" s="642"/>
      <c r="O1165" s="642"/>
      <c r="P1165" s="642"/>
      <c r="Q1165" s="642"/>
      <c r="R1165" s="642"/>
      <c r="S1165" s="642"/>
      <c r="T1165" s="642"/>
      <c r="U1165" s="642"/>
      <c r="V1165" s="642"/>
      <c r="W1165" s="642"/>
      <c r="X1165" s="642"/>
      <c r="Y1165" s="642"/>
      <c r="Z1165" s="642"/>
      <c r="AA1165" s="642"/>
      <c r="AB1165" s="642"/>
      <c r="AC1165" s="642"/>
      <c r="AD1165" s="642"/>
      <c r="AE1165" s="642"/>
      <c r="AF1165" s="642"/>
      <c r="AG1165" s="642"/>
      <c r="AH1165" s="642"/>
      <c r="AI1165" s="642"/>
      <c r="AJ1165" s="642"/>
      <c r="AK1165" s="642"/>
      <c r="AL1165" s="642"/>
      <c r="AM1165" s="642"/>
      <c r="AN1165" s="300"/>
      <c r="AO1165" s="300"/>
      <c r="AP1165" s="300"/>
      <c r="AQ1165" s="300"/>
      <c r="AR1165" s="300"/>
      <c r="AS1165" s="300"/>
      <c r="AT1165" s="300"/>
      <c r="AU1165" s="300"/>
      <c r="AV1165" s="300"/>
      <c r="AW1165" s="795">
        <f t="shared" si="2533"/>
        <v>0.2421875</v>
      </c>
      <c r="AX1165" s="300"/>
      <c r="AY1165" s="300"/>
      <c r="AZ1165" s="795">
        <f t="shared" si="2534"/>
        <v>-0.16352201257861632</v>
      </c>
      <c r="BA1165" s="795">
        <f t="shared" si="2535"/>
        <v>0.22556390977443619</v>
      </c>
      <c r="BB1165" s="871"/>
      <c r="BC1165" s="871"/>
      <c r="BD1165" s="795">
        <f t="shared" si="2536"/>
        <v>-0.28834355828220859</v>
      </c>
      <c r="BE1165" s="795">
        <f t="shared" si="2537"/>
        <v>0.36206896551724133</v>
      </c>
      <c r="BF1165" s="871"/>
      <c r="BG1165" s="871"/>
      <c r="BH1165" s="795">
        <f t="shared" si="2538"/>
        <v>-0.27848101265822789</v>
      </c>
      <c r="BI1165" s="795">
        <f t="shared" si="2539"/>
        <v>3.5087719298245723E-2</v>
      </c>
      <c r="BJ1165" s="871"/>
      <c r="BK1165" s="871"/>
      <c r="BL1165" s="795">
        <f t="shared" si="2540"/>
        <v>9.3220338983050821E-2</v>
      </c>
      <c r="BM1165" s="795">
        <f t="shared" si="2541"/>
        <v>-7.7519379844961378E-3</v>
      </c>
      <c r="BN1165" s="871"/>
      <c r="BO1165" s="871"/>
      <c r="BP1165" s="795">
        <f t="shared" si="2542"/>
        <v>0.1171875</v>
      </c>
      <c r="BQ1165" s="795">
        <f t="shared" si="2543"/>
        <v>0.2027972027972027</v>
      </c>
      <c r="BR1165" s="871"/>
      <c r="BS1165" s="871"/>
      <c r="BT1165" s="795">
        <f t="shared" si="2544"/>
        <v>-8.7209302325581439E-2</v>
      </c>
      <c r="BU1165" s="795">
        <f t="shared" si="2545"/>
        <v>0.38216560509554132</v>
      </c>
      <c r="BV1165" s="871"/>
      <c r="BW1165" s="871"/>
      <c r="BX1165" s="795">
        <f t="shared" si="2546"/>
        <v>-0.21658986175115202</v>
      </c>
      <c r="BY1165" s="795">
        <f t="shared" si="2547"/>
        <v>0.26470588235294112</v>
      </c>
      <c r="BZ1165" s="871"/>
      <c r="CA1165" s="871"/>
      <c r="CB1165" s="795">
        <f t="shared" si="2548"/>
        <v>-0.11162790697674418</v>
      </c>
      <c r="CC1165" s="795">
        <f t="shared" si="2525"/>
        <v>0.1518324607329844</v>
      </c>
      <c r="CD1165" s="871"/>
      <c r="CE1165" s="871"/>
      <c r="CF1165" s="795">
        <f t="shared" si="2549"/>
        <v>-8.181818181818179E-2</v>
      </c>
      <c r="CG1165" s="795">
        <f t="shared" si="2526"/>
        <v>0.36633663366336644</v>
      </c>
      <c r="CH1165" s="871"/>
      <c r="CI1165" s="871"/>
      <c r="CJ1165" s="795">
        <f t="shared" si="2550"/>
        <v>-5.0724637681159424E-2</v>
      </c>
      <c r="CK1165" s="795">
        <f t="shared" si="2527"/>
        <v>-7.2519083969465603E-2</v>
      </c>
      <c r="CL1165" s="871"/>
      <c r="CM1165" s="871"/>
      <c r="CN1165" s="795">
        <f t="shared" si="2551"/>
        <v>-0.11111111111111116</v>
      </c>
      <c r="CO1165" s="795">
        <f t="shared" si="2528"/>
        <v>0.29166666666666674</v>
      </c>
      <c r="CP1165" s="871"/>
      <c r="CQ1165" s="871"/>
      <c r="CR1165" s="795">
        <f t="shared" si="2552"/>
        <v>-0.13620071684587809</v>
      </c>
      <c r="CS1165" s="795">
        <f t="shared" si="2529"/>
        <v>0.39004149377593356</v>
      </c>
      <c r="CT1165" s="871"/>
      <c r="CU1165" s="871"/>
      <c r="CV1165" s="795">
        <f t="shared" si="2553"/>
        <v>-0.30447761194029854</v>
      </c>
      <c r="CW1165" s="795">
        <f t="shared" si="2530"/>
        <v>0.30472103004291839</v>
      </c>
      <c r="CX1165" s="871"/>
      <c r="CY1165" s="871"/>
      <c r="CZ1165" s="795">
        <f t="shared" si="2554"/>
        <v>-0.27302631578947367</v>
      </c>
      <c r="DA1165" s="795">
        <f t="shared" si="2531"/>
        <v>0.11764705882352944</v>
      </c>
      <c r="DB1165" s="871"/>
      <c r="DC1165" s="871"/>
      <c r="DD1165" s="795">
        <f t="shared" si="2555"/>
        <v>-0.1336032388663968</v>
      </c>
      <c r="DE1165" s="795">
        <f t="shared" si="2532"/>
        <v>0.47663551401869153</v>
      </c>
      <c r="DF1165" s="871"/>
      <c r="DG1165" s="871"/>
      <c r="DH1165" s="795">
        <f t="shared" si="2556"/>
        <v>-0.22468354430379744</v>
      </c>
      <c r="DI1165" s="871">
        <v>2.5000000000000001E-2</v>
      </c>
      <c r="DJ1165" s="871"/>
      <c r="DK1165" s="871"/>
      <c r="DL1165" s="871">
        <v>2.5000000000000001E-2</v>
      </c>
      <c r="DM1165" s="871">
        <v>2.5000000000000001E-2</v>
      </c>
      <c r="DN1165" s="871"/>
      <c r="DO1165" s="871"/>
      <c r="DP1165" s="871">
        <v>2.5000000000000001E-2</v>
      </c>
      <c r="DQ1165" s="871">
        <v>2.5000000000000001E-2</v>
      </c>
      <c r="DR1165" s="871"/>
      <c r="DS1165" s="871"/>
      <c r="DT1165" s="871"/>
      <c r="DU1165" s="795"/>
      <c r="DV1165" s="795"/>
      <c r="DW1165" s="795"/>
      <c r="DX1165" s="871"/>
      <c r="DY1165" s="871"/>
      <c r="DZ1165" s="795"/>
      <c r="EA1165" s="795"/>
      <c r="EB1165" s="871"/>
      <c r="EC1165" s="871"/>
      <c r="ED1165" s="795"/>
      <c r="EE1165" s="795"/>
      <c r="EF1165" s="871"/>
      <c r="EG1165" s="871"/>
      <c r="EH1165" s="871"/>
      <c r="EI1165" s="871"/>
      <c r="EJ1165" s="871"/>
      <c r="EK1165" s="871"/>
      <c r="EL1165" s="871"/>
      <c r="EM1165" s="871"/>
      <c r="EN1165" s="871"/>
      <c r="EO1165" s="871"/>
      <c r="EP1165" s="871"/>
      <c r="FL1165" s="870"/>
      <c r="FM1165" s="870"/>
      <c r="FN1165" s="870"/>
      <c r="FO1165" s="870"/>
      <c r="FP1165" s="870"/>
      <c r="FQ1165" s="870"/>
      <c r="FR1165" s="870"/>
      <c r="FS1165" s="870"/>
      <c r="FT1165" s="870"/>
      <c r="FU1165" s="870"/>
      <c r="FV1165" s="870"/>
      <c r="FW1165" s="870"/>
      <c r="FX1165" s="870"/>
      <c r="FY1165" s="870"/>
      <c r="FZ1165" s="870"/>
      <c r="GA1165" s="870"/>
      <c r="GB1165" s="870"/>
      <c r="GC1165" s="870"/>
      <c r="GD1165" s="870"/>
      <c r="GE1165" s="870"/>
      <c r="GF1165" s="870"/>
      <c r="GG1165" s="870"/>
      <c r="GH1165" s="870"/>
      <c r="GI1165" s="870"/>
      <c r="GJ1165" s="870"/>
      <c r="GK1165" s="870"/>
      <c r="GL1165" s="870"/>
      <c r="GM1165" s="870"/>
      <c r="GN1165" s="870"/>
      <c r="GO1165" s="870"/>
      <c r="GP1165" s="870"/>
      <c r="GQ1165" s="870"/>
      <c r="GR1165" s="870"/>
      <c r="GS1165" s="870"/>
      <c r="GT1165" s="870"/>
      <c r="GU1165" s="870"/>
      <c r="GV1165" s="870"/>
      <c r="GW1165" s="870"/>
      <c r="GX1165" s="870"/>
      <c r="GY1165" s="870"/>
      <c r="GZ1165" s="870"/>
      <c r="HA1165" s="870"/>
      <c r="HB1165" s="870"/>
      <c r="HC1165" s="870"/>
      <c r="HD1165" s="870"/>
      <c r="HE1165" s="870"/>
      <c r="HF1165" s="870"/>
      <c r="HG1165" s="870"/>
      <c r="HH1165" s="870"/>
      <c r="HI1165" s="870"/>
      <c r="HJ1165" s="870"/>
      <c r="HK1165" s="870"/>
      <c r="HL1165" s="870"/>
      <c r="HM1165" s="870"/>
      <c r="HN1165" s="870"/>
      <c r="HO1165" s="870"/>
      <c r="HP1165" s="870"/>
      <c r="HQ1165" s="870"/>
      <c r="HR1165" s="870"/>
      <c r="HS1165" s="870"/>
      <c r="HT1165" s="870"/>
      <c r="HU1165" s="870"/>
      <c r="HV1165" s="870"/>
      <c r="HW1165" s="870"/>
      <c r="HX1165" s="870"/>
      <c r="HY1165" s="870"/>
      <c r="HZ1165" s="870"/>
      <c r="IA1165" s="870"/>
      <c r="IB1165" s="870"/>
      <c r="IC1165" s="870"/>
      <c r="ID1165" s="870"/>
      <c r="IE1165" s="870"/>
      <c r="IF1165" s="870"/>
      <c r="IG1165" s="870"/>
      <c r="IH1165" s="870"/>
      <c r="II1165" s="870"/>
      <c r="IJ1165" s="870"/>
      <c r="IK1165" s="870"/>
      <c r="IL1165" s="870"/>
      <c r="IM1165" s="870"/>
      <c r="IN1165" s="870"/>
      <c r="IO1165" s="870"/>
      <c r="IP1165" s="870"/>
      <c r="IQ1165" s="870"/>
      <c r="IR1165" s="870"/>
      <c r="IS1165" s="870"/>
      <c r="IT1165" s="870"/>
      <c r="IU1165" s="870"/>
      <c r="IV1165" s="870"/>
      <c r="IW1165" s="870"/>
      <c r="IX1165" s="870"/>
      <c r="IY1165" s="870"/>
      <c r="IZ1165" s="870"/>
      <c r="JA1165" s="870"/>
      <c r="JB1165" s="870"/>
      <c r="JC1165" s="870"/>
      <c r="JD1165" s="870"/>
      <c r="JE1165" s="870"/>
      <c r="JF1165" s="870"/>
      <c r="JG1165" s="870"/>
      <c r="JH1165" s="870"/>
      <c r="JI1165" s="870"/>
      <c r="JJ1165" s="870"/>
      <c r="JK1165" s="870"/>
      <c r="JL1165" s="870"/>
      <c r="JM1165"/>
    </row>
    <row r="1166" spans="1:273" s="870" customFormat="1">
      <c r="A1166" s="323" t="s">
        <v>739</v>
      </c>
      <c r="B1166" s="115"/>
      <c r="C1166" s="323"/>
      <c r="D1166" s="323"/>
      <c r="E1166" s="323"/>
      <c r="F1166" s="323"/>
      <c r="G1166" s="323"/>
      <c r="H1166" s="323"/>
      <c r="I1166" s="323"/>
      <c r="J1166" s="323"/>
      <c r="K1166" s="323"/>
      <c r="L1166" s="323"/>
      <c r="M1166" s="323"/>
      <c r="N1166" s="323"/>
      <c r="O1166" s="323"/>
      <c r="P1166" s="323"/>
      <c r="Q1166" s="323"/>
      <c r="R1166" s="323"/>
      <c r="S1166" s="323"/>
      <c r="T1166" s="323"/>
      <c r="U1166" s="323"/>
      <c r="V1166" s="323"/>
      <c r="W1166" s="323"/>
      <c r="X1166" s="323"/>
      <c r="Y1166" s="323"/>
      <c r="Z1166" s="323"/>
      <c r="AA1166" s="323"/>
      <c r="AB1166" s="323"/>
      <c r="AC1166" s="323"/>
      <c r="AD1166" s="323"/>
      <c r="AE1166" s="323"/>
      <c r="AF1166" s="323"/>
      <c r="AG1166" s="323"/>
      <c r="AH1166" s="323"/>
      <c r="AI1166" s="323"/>
      <c r="AJ1166" s="323"/>
      <c r="AK1166" s="323"/>
      <c r="AL1166" s="323"/>
      <c r="AM1166" s="323"/>
      <c r="AN1166" s="115"/>
      <c r="AO1166" s="115"/>
      <c r="AP1166" s="115"/>
      <c r="AQ1166" s="115"/>
      <c r="AR1166" s="115"/>
      <c r="AS1166" s="115"/>
      <c r="AT1166" s="115"/>
      <c r="AU1166" s="115"/>
      <c r="AV1166" s="115"/>
      <c r="AW1166" s="817">
        <f t="shared" si="2533"/>
        <v>0.35294117647058831</v>
      </c>
      <c r="AX1166" s="115"/>
      <c r="AY1166" s="115"/>
      <c r="AZ1166" s="817">
        <f t="shared" si="2534"/>
        <v>0</v>
      </c>
      <c r="BA1166" s="817">
        <f t="shared" si="2535"/>
        <v>0</v>
      </c>
      <c r="BB1166" s="869"/>
      <c r="BC1166" s="869"/>
      <c r="BD1166" s="817">
        <f t="shared" si="2536"/>
        <v>-0.11956521739130432</v>
      </c>
      <c r="BE1166" s="817">
        <f t="shared" si="2537"/>
        <v>-6.1728395061728447E-2</v>
      </c>
      <c r="BF1166" s="869"/>
      <c r="BG1166" s="869"/>
      <c r="BH1166" s="817">
        <f t="shared" si="2538"/>
        <v>-0.17105263157894735</v>
      </c>
      <c r="BI1166" s="817">
        <f t="shared" si="2539"/>
        <v>0.12698412698412698</v>
      </c>
      <c r="BJ1166" s="869"/>
      <c r="BK1166" s="869"/>
      <c r="BL1166" s="817">
        <f t="shared" si="2540"/>
        <v>-1.4084507042253502E-2</v>
      </c>
      <c r="BM1166" s="817">
        <f t="shared" si="2541"/>
        <v>0.14285714285714279</v>
      </c>
      <c r="BN1166" s="869"/>
      <c r="BO1166" s="869"/>
      <c r="BP1166" s="817">
        <f t="shared" si="2542"/>
        <v>-6.25E-2</v>
      </c>
      <c r="BQ1166" s="817">
        <f t="shared" si="2543"/>
        <v>0.10666666666666669</v>
      </c>
      <c r="BR1166" s="869"/>
      <c r="BS1166" s="869"/>
      <c r="BT1166" s="817">
        <f t="shared" si="2544"/>
        <v>0</v>
      </c>
      <c r="BU1166" s="817">
        <f t="shared" si="2545"/>
        <v>8.43373493975903E-2</v>
      </c>
      <c r="BV1166" s="869"/>
      <c r="BW1166" s="869"/>
      <c r="BX1166" s="817">
        <f t="shared" si="2546"/>
        <v>-0.14444444444444449</v>
      </c>
      <c r="BY1166" s="817">
        <f t="shared" si="2547"/>
        <v>0</v>
      </c>
      <c r="BZ1166" s="869"/>
      <c r="CA1166" s="869"/>
      <c r="CB1166" s="817">
        <f t="shared" si="2548"/>
        <v>-3.8961038961038974E-2</v>
      </c>
      <c r="CC1166" s="817">
        <f t="shared" si="2525"/>
        <v>0.20270270270270263</v>
      </c>
      <c r="CD1166" s="869"/>
      <c r="CE1166" s="869"/>
      <c r="CF1166" s="817">
        <f t="shared" si="2549"/>
        <v>2.2471910112359605E-2</v>
      </c>
      <c r="CG1166" s="817">
        <f t="shared" si="2526"/>
        <v>4.3956043956044022E-2</v>
      </c>
      <c r="CH1166" s="869"/>
      <c r="CI1166" s="869"/>
      <c r="CJ1166" s="817">
        <f t="shared" si="2550"/>
        <v>2.1052631578947434E-2</v>
      </c>
      <c r="CK1166" s="817">
        <f t="shared" si="2527"/>
        <v>-0.11340206185567014</v>
      </c>
      <c r="CL1166" s="869"/>
      <c r="CM1166" s="869"/>
      <c r="CN1166" s="817">
        <f t="shared" si="2551"/>
        <v>-0.90697674418604657</v>
      </c>
      <c r="CO1166" s="817">
        <f t="shared" si="2528"/>
        <v>0.125</v>
      </c>
      <c r="CP1166" s="869"/>
      <c r="CQ1166" s="869"/>
      <c r="CR1166" s="817"/>
      <c r="CS1166" s="817"/>
      <c r="CT1166" s="869"/>
      <c r="CU1166" s="869"/>
      <c r="CV1166" s="817"/>
      <c r="CW1166" s="817"/>
      <c r="CX1166" s="869"/>
      <c r="CY1166" s="869"/>
      <c r="CZ1166" s="817"/>
      <c r="DA1166" s="817"/>
      <c r="DB1166" s="869"/>
      <c r="DC1166" s="869"/>
      <c r="DD1166" s="817"/>
      <c r="DE1166" s="817"/>
      <c r="DF1166" s="869"/>
      <c r="DG1166" s="869"/>
      <c r="DH1166" s="817"/>
      <c r="DI1166" s="817">
        <f>DI$1165</f>
        <v>2.5000000000000001E-2</v>
      </c>
      <c r="DJ1166" s="869"/>
      <c r="DK1166" s="869"/>
      <c r="DL1166" s="817">
        <f>DL$1165</f>
        <v>2.5000000000000001E-2</v>
      </c>
      <c r="DM1166" s="817">
        <f>DM$1165</f>
        <v>2.5000000000000001E-2</v>
      </c>
      <c r="DN1166" s="869"/>
      <c r="DO1166" s="869"/>
      <c r="DP1166" s="817">
        <f>DP$1165</f>
        <v>2.5000000000000001E-2</v>
      </c>
      <c r="DQ1166" s="817">
        <f>DQ$1165</f>
        <v>2.5000000000000001E-2</v>
      </c>
      <c r="DR1166" s="869"/>
      <c r="DS1166" s="869"/>
      <c r="DT1166" s="869"/>
      <c r="DU1166" s="817"/>
      <c r="DV1166" s="817"/>
      <c r="DW1166" s="817"/>
      <c r="DX1166" s="869"/>
      <c r="DY1166" s="869"/>
      <c r="DZ1166" s="817"/>
      <c r="EA1166" s="817"/>
      <c r="EB1166" s="869"/>
      <c r="EC1166" s="869"/>
      <c r="ED1166" s="817"/>
      <c r="EE1166" s="817"/>
      <c r="EF1166" s="869"/>
      <c r="EG1166" s="869"/>
      <c r="EH1166" s="869"/>
      <c r="EI1166" s="869"/>
      <c r="EJ1166" s="869"/>
      <c r="EK1166" s="869"/>
      <c r="EL1166" s="869"/>
      <c r="EM1166" s="869"/>
      <c r="EN1166" s="869"/>
      <c r="EO1166" s="869"/>
      <c r="EP1166" s="869"/>
      <c r="JM1166"/>
    </row>
    <row r="1167" spans="1:273" s="870" customFormat="1">
      <c r="A1167" s="323" t="s">
        <v>740</v>
      </c>
      <c r="B1167" s="115"/>
      <c r="C1167" s="323"/>
      <c r="D1167" s="323"/>
      <c r="E1167" s="323"/>
      <c r="F1167" s="323"/>
      <c r="G1167" s="323"/>
      <c r="H1167" s="323"/>
      <c r="I1167" s="323"/>
      <c r="J1167" s="323"/>
      <c r="K1167" s="323"/>
      <c r="L1167" s="323"/>
      <c r="M1167" s="323"/>
      <c r="N1167" s="323"/>
      <c r="O1167" s="323"/>
      <c r="P1167" s="323"/>
      <c r="Q1167" s="323"/>
      <c r="R1167" s="323"/>
      <c r="S1167" s="323"/>
      <c r="T1167" s="323"/>
      <c r="U1167" s="323"/>
      <c r="V1167" s="323"/>
      <c r="W1167" s="323"/>
      <c r="X1167" s="323"/>
      <c r="Y1167" s="323"/>
      <c r="Z1167" s="323"/>
      <c r="AA1167" s="323"/>
      <c r="AB1167" s="323"/>
      <c r="AC1167" s="323"/>
      <c r="AD1167" s="323"/>
      <c r="AE1167" s="323"/>
      <c r="AF1167" s="323"/>
      <c r="AG1167" s="323"/>
      <c r="AH1167" s="323"/>
      <c r="AI1167" s="323"/>
      <c r="AJ1167" s="323"/>
      <c r="AK1167" s="323"/>
      <c r="AL1167" s="323"/>
      <c r="AM1167" s="323"/>
      <c r="AN1167" s="115"/>
      <c r="AO1167" s="115"/>
      <c r="AP1167" s="115"/>
      <c r="AQ1167" s="115"/>
      <c r="AR1167" s="115"/>
      <c r="AS1167" s="115"/>
      <c r="AT1167" s="115"/>
      <c r="AU1167" s="115"/>
      <c r="AV1167" s="115"/>
      <c r="AW1167" s="817">
        <f t="shared" si="2533"/>
        <v>0.35714285714285721</v>
      </c>
      <c r="AX1167" s="115"/>
      <c r="AY1167" s="115"/>
      <c r="AZ1167" s="817">
        <f t="shared" si="2534"/>
        <v>7.0175438596491224E-2</v>
      </c>
      <c r="BA1167" s="817">
        <f t="shared" si="2535"/>
        <v>8.1967213114754189E-2</v>
      </c>
      <c r="BB1167" s="869"/>
      <c r="BC1167" s="869"/>
      <c r="BD1167" s="817">
        <f t="shared" si="2536"/>
        <v>-0.13636363636363635</v>
      </c>
      <c r="BE1167" s="817">
        <f t="shared" si="2537"/>
        <v>-3.5087719298245612E-2</v>
      </c>
      <c r="BF1167" s="869"/>
      <c r="BG1167" s="869"/>
      <c r="BH1167" s="817">
        <f t="shared" si="2538"/>
        <v>-0.18181818181818177</v>
      </c>
      <c r="BI1167" s="817">
        <f t="shared" si="2539"/>
        <v>2.2222222222222143E-2</v>
      </c>
      <c r="BJ1167" s="869"/>
      <c r="BK1167" s="869"/>
      <c r="BL1167" s="817">
        <f t="shared" si="2540"/>
        <v>0</v>
      </c>
      <c r="BM1167" s="817">
        <f t="shared" si="2541"/>
        <v>8.6956521739130377E-2</v>
      </c>
      <c r="BN1167" s="869"/>
      <c r="BO1167" s="869"/>
      <c r="BP1167" s="817">
        <f t="shared" si="2542"/>
        <v>-2.0000000000000018E-2</v>
      </c>
      <c r="BQ1167" s="817">
        <f t="shared" si="2543"/>
        <v>0.28571428571428581</v>
      </c>
      <c r="BR1167" s="869"/>
      <c r="BS1167" s="869"/>
      <c r="BT1167" s="817">
        <f t="shared" si="2544"/>
        <v>-0.11111111111111116</v>
      </c>
      <c r="BU1167" s="817">
        <f t="shared" si="2545"/>
        <v>0.125</v>
      </c>
      <c r="BV1167" s="869"/>
      <c r="BW1167" s="869"/>
      <c r="BX1167" s="817">
        <f t="shared" si="2546"/>
        <v>-7.9365079365079416E-2</v>
      </c>
      <c r="BY1167" s="817">
        <f t="shared" si="2547"/>
        <v>-1.7241379310344862E-2</v>
      </c>
      <c r="BZ1167" s="869"/>
      <c r="CA1167" s="869"/>
      <c r="CB1167" s="817">
        <f t="shared" si="2548"/>
        <v>3.5087719298245723E-2</v>
      </c>
      <c r="CC1167" s="817">
        <f t="shared" si="2525"/>
        <v>-6.7796610169491567E-2</v>
      </c>
      <c r="CD1167" s="869"/>
      <c r="CE1167" s="869"/>
      <c r="CF1167" s="817">
        <f t="shared" si="2549"/>
        <v>7.2727272727272751E-2</v>
      </c>
      <c r="CG1167" s="817">
        <f t="shared" si="2526"/>
        <v>1.6949152542372836E-2</v>
      </c>
      <c r="CH1167" s="869"/>
      <c r="CI1167" s="869"/>
      <c r="CJ1167" s="817">
        <f t="shared" si="2550"/>
        <v>0.1166666666666667</v>
      </c>
      <c r="CK1167" s="817">
        <f t="shared" si="2527"/>
        <v>7.4626865671641784E-2</v>
      </c>
      <c r="CL1167" s="869"/>
      <c r="CM1167" s="869"/>
      <c r="CN1167" s="817">
        <f t="shared" si="2551"/>
        <v>-0.11111111111111116</v>
      </c>
      <c r="CO1167" s="817">
        <f t="shared" si="2528"/>
        <v>3.125E-2</v>
      </c>
      <c r="CP1167" s="869"/>
      <c r="CQ1167" s="869"/>
      <c r="CR1167" s="817">
        <f t="shared" si="2552"/>
        <v>0.45454545454545459</v>
      </c>
      <c r="CS1167" s="817">
        <f t="shared" si="2529"/>
        <v>-0.14583333333333337</v>
      </c>
      <c r="CT1167" s="869"/>
      <c r="CU1167" s="869"/>
      <c r="CV1167" s="817">
        <f t="shared" si="2553"/>
        <v>0.15853658536585358</v>
      </c>
      <c r="CW1167" s="817">
        <f t="shared" ref="CW1167:CW1169" si="2557">CW1158/CV1158-1</f>
        <v>6.315789473684208E-2</v>
      </c>
      <c r="CX1167" s="869"/>
      <c r="CY1167" s="869"/>
      <c r="CZ1167" s="817">
        <f t="shared" si="2554"/>
        <v>-0.13861386138613863</v>
      </c>
      <c r="DA1167" s="817">
        <f t="shared" ref="DA1167:DA1169" si="2558">DA1158/CZ1158-1</f>
        <v>3.4482758620689724E-2</v>
      </c>
      <c r="DB1167" s="869"/>
      <c r="DC1167" s="869"/>
      <c r="DD1167" s="817">
        <f t="shared" si="2555"/>
        <v>3.3333333333333437E-2</v>
      </c>
      <c r="DE1167" s="817">
        <f t="shared" ref="DE1167:DE1169" si="2559">DE1158/DD1158-1</f>
        <v>4.3010752688172005E-2</v>
      </c>
      <c r="DF1167" s="869"/>
      <c r="DG1167" s="869"/>
      <c r="DH1167" s="817">
        <f t="shared" si="2556"/>
        <v>-0.14432989690721654</v>
      </c>
      <c r="DI1167" s="817">
        <f>DI$1165</f>
        <v>2.5000000000000001E-2</v>
      </c>
      <c r="DJ1167" s="869"/>
      <c r="DK1167" s="869"/>
      <c r="DL1167" s="817">
        <f>DL$1165</f>
        <v>2.5000000000000001E-2</v>
      </c>
      <c r="DM1167" s="817">
        <f>DM$1165</f>
        <v>2.5000000000000001E-2</v>
      </c>
      <c r="DN1167" s="869"/>
      <c r="DO1167" s="869"/>
      <c r="DP1167" s="817">
        <f>DP$1165</f>
        <v>2.5000000000000001E-2</v>
      </c>
      <c r="DQ1167" s="817">
        <f>DQ$1165</f>
        <v>2.5000000000000001E-2</v>
      </c>
      <c r="DR1167" s="869"/>
      <c r="DS1167" s="869"/>
      <c r="DT1167" s="869"/>
      <c r="DU1167" s="817"/>
      <c r="DV1167" s="817"/>
      <c r="DW1167" s="817"/>
      <c r="DX1167" s="869"/>
      <c r="DY1167" s="869"/>
      <c r="DZ1167" s="817"/>
      <c r="EA1167" s="817"/>
      <c r="EB1167" s="869"/>
      <c r="EC1167" s="869"/>
      <c r="ED1167" s="817"/>
      <c r="EE1167" s="817"/>
      <c r="EF1167" s="869"/>
      <c r="EG1167" s="869"/>
      <c r="EH1167" s="869"/>
      <c r="EI1167" s="869"/>
      <c r="EJ1167" s="869"/>
      <c r="EK1167" s="869"/>
      <c r="EL1167" s="869"/>
      <c r="EM1167" s="869"/>
      <c r="EN1167" s="869"/>
      <c r="EO1167" s="869"/>
      <c r="EP1167" s="869"/>
      <c r="JM1167"/>
    </row>
    <row r="1168" spans="1:273" s="870" customFormat="1">
      <c r="A1168" s="323" t="s">
        <v>741</v>
      </c>
      <c r="B1168" s="115"/>
      <c r="C1168" s="323"/>
      <c r="D1168" s="323"/>
      <c r="E1168" s="323"/>
      <c r="F1168" s="323"/>
      <c r="G1168" s="323"/>
      <c r="H1168" s="323"/>
      <c r="I1168" s="323"/>
      <c r="J1168" s="323"/>
      <c r="K1168" s="323"/>
      <c r="L1168" s="323"/>
      <c r="M1168" s="323"/>
      <c r="N1168" s="323"/>
      <c r="O1168" s="323"/>
      <c r="P1168" s="323"/>
      <c r="Q1168" s="323"/>
      <c r="R1168" s="323"/>
      <c r="S1168" s="323"/>
      <c r="T1168" s="323"/>
      <c r="U1168" s="323"/>
      <c r="V1168" s="323"/>
      <c r="W1168" s="323"/>
      <c r="X1168" s="323"/>
      <c r="Y1168" s="323"/>
      <c r="Z1168" s="323"/>
      <c r="AA1168" s="323"/>
      <c r="AB1168" s="323"/>
      <c r="AC1168" s="323"/>
      <c r="AD1168" s="323"/>
      <c r="AE1168" s="323"/>
      <c r="AF1168" s="323"/>
      <c r="AG1168" s="323"/>
      <c r="AH1168" s="323"/>
      <c r="AI1168" s="323"/>
      <c r="AJ1168" s="323"/>
      <c r="AK1168" s="323"/>
      <c r="AL1168" s="323"/>
      <c r="AM1168" s="323"/>
      <c r="AN1168" s="115"/>
      <c r="AO1168" s="115"/>
      <c r="AP1168" s="115"/>
      <c r="AQ1168" s="115"/>
      <c r="AR1168" s="115"/>
      <c r="AS1168" s="115"/>
      <c r="AT1168" s="115"/>
      <c r="AU1168" s="115"/>
      <c r="AV1168" s="115"/>
      <c r="AW1168" s="817">
        <f t="shared" si="2533"/>
        <v>0.37190082644628109</v>
      </c>
      <c r="AX1168" s="115"/>
      <c r="AY1168" s="115"/>
      <c r="AZ1168" s="817">
        <f t="shared" si="2534"/>
        <v>-0.12048192771084343</v>
      </c>
      <c r="BA1168" s="817">
        <f t="shared" si="2535"/>
        <v>0</v>
      </c>
      <c r="BB1168" s="869"/>
      <c r="BC1168" s="869"/>
      <c r="BD1168" s="817">
        <f t="shared" si="2536"/>
        <v>0.19178082191780832</v>
      </c>
      <c r="BE1168" s="817">
        <f t="shared" si="2537"/>
        <v>-4.0229885057471271E-2</v>
      </c>
      <c r="BF1168" s="869"/>
      <c r="BG1168" s="869"/>
      <c r="BH1168" s="817">
        <f t="shared" si="2538"/>
        <v>-0.17964071856287422</v>
      </c>
      <c r="BI1168" s="817">
        <f t="shared" si="2539"/>
        <v>-4.3795620437956151E-2</v>
      </c>
      <c r="BJ1168" s="869"/>
      <c r="BK1168" s="869"/>
      <c r="BL1168" s="817">
        <f t="shared" si="2540"/>
        <v>0.2290076335877862</v>
      </c>
      <c r="BM1168" s="817">
        <f t="shared" si="2541"/>
        <v>-0.11801242236024845</v>
      </c>
      <c r="BN1168" s="869"/>
      <c r="BO1168" s="869"/>
      <c r="BP1168" s="817">
        <f t="shared" si="2542"/>
        <v>0.27464788732394374</v>
      </c>
      <c r="BQ1168" s="817">
        <f t="shared" si="2543"/>
        <v>5.5248618784530468E-2</v>
      </c>
      <c r="BR1168" s="869"/>
      <c r="BS1168" s="869"/>
      <c r="BT1168" s="817">
        <f t="shared" si="2544"/>
        <v>8.3769633507853491E-2</v>
      </c>
      <c r="BU1168" s="817">
        <f t="shared" si="2545"/>
        <v>-0.27536231884057971</v>
      </c>
      <c r="BV1168" s="869"/>
      <c r="BW1168" s="869"/>
      <c r="BX1168" s="817">
        <f t="shared" si="2546"/>
        <v>0.16666666666666674</v>
      </c>
      <c r="BY1168" s="817">
        <f t="shared" si="2547"/>
        <v>-6.2857142857142834E-2</v>
      </c>
      <c r="BZ1168" s="869"/>
      <c r="CA1168" s="869"/>
      <c r="CB1168" s="817">
        <f t="shared" si="2548"/>
        <v>0.1707317073170731</v>
      </c>
      <c r="CC1168" s="817">
        <f t="shared" si="2525"/>
        <v>0.28645833333333326</v>
      </c>
      <c r="CD1168" s="869"/>
      <c r="CE1168" s="869"/>
      <c r="CF1168" s="817">
        <f t="shared" si="2549"/>
        <v>-0.18218623481781382</v>
      </c>
      <c r="CG1168" s="817">
        <f t="shared" si="2526"/>
        <v>1.0792079207920793</v>
      </c>
      <c r="CH1168" s="869"/>
      <c r="CI1168" s="869"/>
      <c r="CJ1168" s="817">
        <f t="shared" si="2550"/>
        <v>-0.45714285714285718</v>
      </c>
      <c r="CK1168" s="817">
        <f t="shared" si="2527"/>
        <v>0.66666666666666674</v>
      </c>
      <c r="CL1168" s="869"/>
      <c r="CM1168" s="869"/>
      <c r="CN1168" s="817">
        <f t="shared" si="2551"/>
        <v>-0.20789473684210524</v>
      </c>
      <c r="CO1168" s="817">
        <f t="shared" si="2528"/>
        <v>0.21262458471760803</v>
      </c>
      <c r="CP1168" s="869"/>
      <c r="CQ1168" s="869"/>
      <c r="CR1168" s="817">
        <f t="shared" si="2552"/>
        <v>0.29041095890410951</v>
      </c>
      <c r="CS1168" s="817">
        <f t="shared" si="2529"/>
        <v>0.11040339702760082</v>
      </c>
      <c r="CT1168" s="869"/>
      <c r="CU1168" s="869"/>
      <c r="CV1168" s="817">
        <f t="shared" si="2553"/>
        <v>-0.34034416826003822</v>
      </c>
      <c r="CW1168" s="817">
        <f t="shared" si="2557"/>
        <v>0.98840579710144927</v>
      </c>
      <c r="CX1168" s="869"/>
      <c r="CY1168" s="869"/>
      <c r="CZ1168" s="817">
        <f t="shared" si="2554"/>
        <v>-0.32069970845481055</v>
      </c>
      <c r="DA1168" s="817">
        <f t="shared" si="2558"/>
        <v>-7.5107296137339019E-2</v>
      </c>
      <c r="DB1168" s="869"/>
      <c r="DC1168" s="869"/>
      <c r="DD1168" s="817">
        <f t="shared" si="2555"/>
        <v>-9.512761020881666E-2</v>
      </c>
      <c r="DE1168" s="817">
        <f t="shared" si="2559"/>
        <v>-0.20769230769230773</v>
      </c>
      <c r="DF1168" s="869"/>
      <c r="DG1168" s="869"/>
      <c r="DH1168" s="817">
        <f t="shared" si="2556"/>
        <v>0.19741100323624594</v>
      </c>
      <c r="DI1168" s="817">
        <f>DI1159/DH1159-1</f>
        <v>8.4540540540539943E-2</v>
      </c>
      <c r="DJ1168" s="869"/>
      <c r="DK1168" s="869"/>
      <c r="DL1168" s="817">
        <f>DL1159/DI1159-1</f>
        <v>-0.33679257625598036</v>
      </c>
      <c r="DM1168" s="817">
        <f>DM1159/DL1159-1</f>
        <v>5.2801160608816122E-2</v>
      </c>
      <c r="DN1168" s="869"/>
      <c r="DO1168" s="869"/>
      <c r="DP1168" s="817">
        <f>DP1159/DM1159-1</f>
        <v>-0.14697116586231973</v>
      </c>
      <c r="DQ1168" s="817">
        <f>DQ1159/DP1159-1</f>
        <v>5.5497721348037876E-2</v>
      </c>
      <c r="DR1168" s="869"/>
      <c r="DS1168" s="869"/>
      <c r="DT1168" s="869"/>
      <c r="DU1168" s="817"/>
      <c r="DV1168" s="817"/>
      <c r="DW1168" s="817"/>
      <c r="DX1168" s="869"/>
      <c r="DY1168" s="869"/>
      <c r="DZ1168" s="817"/>
      <c r="EA1168" s="817"/>
      <c r="EB1168" s="869"/>
      <c r="EC1168" s="869"/>
      <c r="ED1168" s="817"/>
      <c r="EE1168" s="817"/>
      <c r="EF1168" s="869"/>
      <c r="EG1168" s="869"/>
      <c r="EH1168" s="869"/>
      <c r="EI1168" s="869"/>
      <c r="EJ1168" s="869"/>
      <c r="EK1168" s="869"/>
      <c r="EL1168" s="869"/>
      <c r="EM1168" s="869"/>
      <c r="EN1168" s="869"/>
      <c r="EO1168" s="869"/>
      <c r="EP1168" s="869"/>
      <c r="JM1168"/>
    </row>
    <row r="1169" spans="1:273" s="874" customFormat="1">
      <c r="A1169" s="328" t="s">
        <v>588</v>
      </c>
      <c r="B1169" s="581"/>
      <c r="C1169" s="328"/>
      <c r="D1169" s="328"/>
      <c r="E1169" s="328"/>
      <c r="F1169" s="328"/>
      <c r="G1169" s="328"/>
      <c r="H1169" s="328"/>
      <c r="I1169" s="328"/>
      <c r="J1169" s="328"/>
      <c r="K1169" s="328"/>
      <c r="L1169" s="328"/>
      <c r="M1169" s="328"/>
      <c r="N1169" s="328"/>
      <c r="O1169" s="328"/>
      <c r="P1169" s="328"/>
      <c r="Q1169" s="328"/>
      <c r="R1169" s="328"/>
      <c r="S1169" s="328"/>
      <c r="T1169" s="328"/>
      <c r="U1169" s="328"/>
      <c r="V1169" s="328"/>
      <c r="W1169" s="328"/>
      <c r="X1169" s="328"/>
      <c r="Y1169" s="328"/>
      <c r="Z1169" s="328"/>
      <c r="AA1169" s="328"/>
      <c r="AB1169" s="328"/>
      <c r="AC1169" s="328"/>
      <c r="AD1169" s="328"/>
      <c r="AE1169" s="328"/>
      <c r="AF1169" s="328"/>
      <c r="AG1169" s="328"/>
      <c r="AH1169" s="328"/>
      <c r="AI1169" s="328"/>
      <c r="AJ1169" s="328"/>
      <c r="AK1169" s="328"/>
      <c r="AL1169" s="328"/>
      <c r="AM1169" s="328"/>
      <c r="AN1169" s="581"/>
      <c r="AO1169" s="581"/>
      <c r="AP1169" s="581"/>
      <c r="AQ1169" s="581"/>
      <c r="AR1169" s="581"/>
      <c r="AS1169" s="581"/>
      <c r="AT1169" s="581"/>
      <c r="AU1169" s="581"/>
      <c r="AV1169" s="581"/>
      <c r="AW1169" s="811">
        <f t="shared" si="2533"/>
        <v>0.17414965986394559</v>
      </c>
      <c r="AX1169" s="581"/>
      <c r="AY1169" s="581"/>
      <c r="AZ1169" s="811">
        <f t="shared" si="2534"/>
        <v>-4.0556199304750851E-2</v>
      </c>
      <c r="BA1169" s="811">
        <f t="shared" si="2535"/>
        <v>5.0724637681159424E-2</v>
      </c>
      <c r="BB1169" s="873"/>
      <c r="BC1169" s="873"/>
      <c r="BD1169" s="811">
        <f t="shared" si="2536"/>
        <v>-9.1954022988505746E-2</v>
      </c>
      <c r="BE1169" s="811">
        <f t="shared" si="2537"/>
        <v>6.3291139240506222E-2</v>
      </c>
      <c r="BF1169" s="873"/>
      <c r="BG1169" s="873"/>
      <c r="BH1169" s="811">
        <f t="shared" si="2538"/>
        <v>-0.19166666666666665</v>
      </c>
      <c r="BI1169" s="811">
        <f t="shared" si="2539"/>
        <v>2.5036818851251752E-2</v>
      </c>
      <c r="BJ1169" s="906">
        <f>BJ1160/BF1160-1</f>
        <v>-0.15644171779141103</v>
      </c>
      <c r="BK1169" s="873"/>
      <c r="BL1169" s="811">
        <f t="shared" si="2540"/>
        <v>9.1954022988505857E-2</v>
      </c>
      <c r="BM1169" s="811">
        <f t="shared" si="2541"/>
        <v>-1.1842105263157876E-2</v>
      </c>
      <c r="BN1169" s="906">
        <f>BN1160/BJ1160-1</f>
        <v>9.8909090909090835E-2</v>
      </c>
      <c r="BO1169" s="873"/>
      <c r="BP1169" s="811">
        <f t="shared" si="2542"/>
        <v>0.1078561917443408</v>
      </c>
      <c r="BQ1169" s="811">
        <f t="shared" si="2543"/>
        <v>0.13100961538461542</v>
      </c>
      <c r="BR1169" s="906">
        <f>BR1160/BN1160-1</f>
        <v>0.17339510258107205</v>
      </c>
      <c r="BS1169" s="873"/>
      <c r="BT1169" s="811">
        <f t="shared" si="2544"/>
        <v>5.4197662061636454E-2</v>
      </c>
      <c r="BU1169" s="811">
        <f t="shared" si="2545"/>
        <v>2.3185483870967749E-2</v>
      </c>
      <c r="BV1169" s="906">
        <f>BV1160/BR1160-1</f>
        <v>0.13197969543147203</v>
      </c>
      <c r="BW1169" s="873"/>
      <c r="BX1169" s="811">
        <f t="shared" si="2546"/>
        <v>9.8522167487684609E-3</v>
      </c>
      <c r="BY1169" s="811">
        <f t="shared" si="2547"/>
        <v>-2.0487804878048799E-2</v>
      </c>
      <c r="BZ1169" s="906">
        <f>BZ1160/BV1160-1</f>
        <v>1.0961634280019839E-2</v>
      </c>
      <c r="CA1169" s="873"/>
      <c r="CB1169" s="811">
        <f t="shared" si="2548"/>
        <v>5.9760956175298752E-3</v>
      </c>
      <c r="CC1169" s="811">
        <f t="shared" si="2525"/>
        <v>0.11188118811881198</v>
      </c>
      <c r="CD1169" s="906">
        <f>CD1160/BZ1160-1</f>
        <v>5.1256776737309107E-2</v>
      </c>
      <c r="CE1169" s="873"/>
      <c r="CF1169" s="811">
        <f t="shared" si="2549"/>
        <v>-2.7604630454140744E-2</v>
      </c>
      <c r="CG1169" s="811">
        <f t="shared" si="2526"/>
        <v>0.31684981684981683</v>
      </c>
      <c r="CH1169" s="906">
        <f>CH1160/CD1160-1</f>
        <v>0.18612283169245192</v>
      </c>
      <c r="CI1169" s="873"/>
      <c r="CJ1169" s="811">
        <f t="shared" si="2550"/>
        <v>-0.15020862308762173</v>
      </c>
      <c r="CK1169" s="811">
        <f t="shared" si="2527"/>
        <v>0.11456628477905073</v>
      </c>
      <c r="CL1169" s="906">
        <f>CL1160/CH1160-1</f>
        <v>2.134387351778666E-2</v>
      </c>
      <c r="CM1169" s="873"/>
      <c r="CN1169" s="811">
        <f t="shared" si="2551"/>
        <v>-0.13362701908957419</v>
      </c>
      <c r="CO1169" s="811">
        <f t="shared" si="2528"/>
        <v>9.4067796610169507E-2</v>
      </c>
      <c r="CP1169" s="906">
        <f>CP1160/CL1160-1</f>
        <v>-4.3730650154798711E-2</v>
      </c>
      <c r="CQ1169" s="873"/>
      <c r="CR1169" s="811">
        <f t="shared" si="2552"/>
        <v>8.9852827265685553E-2</v>
      </c>
      <c r="CS1169" s="811">
        <f t="shared" si="2529"/>
        <v>0.15422885572139311</v>
      </c>
      <c r="CT1169" s="906">
        <f>CT1160/CP1160-1</f>
        <v>0.22662889518413598</v>
      </c>
      <c r="CU1169" s="873"/>
      <c r="CV1169" s="811">
        <f t="shared" si="2553"/>
        <v>-8.6822660098522131E-2</v>
      </c>
      <c r="CW1169" s="811">
        <f t="shared" si="2557"/>
        <v>0.29197572488199586</v>
      </c>
      <c r="CX1169" s="906">
        <f>CX1160/CT1160-1</f>
        <v>0.12141207522269881</v>
      </c>
      <c r="CY1169" s="873"/>
      <c r="CZ1169" s="811">
        <f t="shared" si="2554"/>
        <v>-0.13569937369519836</v>
      </c>
      <c r="DA1169" s="811">
        <f t="shared" si="2558"/>
        <v>-2.7173913043478271E-2</v>
      </c>
      <c r="DB1169" s="906">
        <f>DB1160/CX1160-1</f>
        <v>-3.8834951456310662E-2</v>
      </c>
      <c r="DC1169" s="873"/>
      <c r="DD1169" s="811">
        <f t="shared" si="2555"/>
        <v>-1.7380509000620714E-2</v>
      </c>
      <c r="DE1169" s="811">
        <f t="shared" si="2559"/>
        <v>6.822488945041072E-2</v>
      </c>
      <c r="DF1169" s="906">
        <f>DF1160/DB1160-1</f>
        <v>2.1426385062748299E-3</v>
      </c>
      <c r="DG1169" s="873"/>
      <c r="DH1169" s="811">
        <f t="shared" si="2556"/>
        <v>-2.1289178001182685E-2</v>
      </c>
      <c r="DI1169" s="811">
        <f>DI1160/DH1160-1</f>
        <v>3.831117824773389E-2</v>
      </c>
      <c r="DJ1169" s="906">
        <f>DJ1160/DF1160-1</f>
        <v>3.0361942577886269E-2</v>
      </c>
      <c r="DK1169" s="873"/>
      <c r="DL1169" s="811">
        <f>DL1160/DI1160-1</f>
        <v>-5.9485394886537257E-2</v>
      </c>
      <c r="DM1169" s="811">
        <f>DM1160/DL1160-1</f>
        <v>2.9577925794386228E-2</v>
      </c>
      <c r="DN1169" s="906">
        <f>DN1160/DJ1160-1</f>
        <v>-2.7637238932176844E-2</v>
      </c>
      <c r="DO1169" s="873"/>
      <c r="DP1169" s="811">
        <f>DP1160/DM1160-1</f>
        <v>-3.9566682075429238E-3</v>
      </c>
      <c r="DQ1169" s="811">
        <f>DQ1160/DP1160-1</f>
        <v>2.9397904814488562E-2</v>
      </c>
      <c r="DR1169" s="906">
        <f>DR1160/DN1160-1</f>
        <v>2.5413266627916764E-2</v>
      </c>
      <c r="DS1169" s="873"/>
      <c r="DT1169" s="873"/>
      <c r="DU1169" s="811"/>
      <c r="DV1169" s="811"/>
      <c r="DW1169" s="811"/>
      <c r="DX1169" s="873"/>
      <c r="DY1169" s="873"/>
      <c r="DZ1169" s="811"/>
      <c r="EA1169" s="811"/>
      <c r="EB1169" s="873"/>
      <c r="EC1169" s="873"/>
      <c r="ED1169" s="811"/>
      <c r="EE1169" s="811"/>
      <c r="EF1169" s="873"/>
      <c r="EG1169" s="873"/>
      <c r="EH1169" s="873"/>
      <c r="EI1169" s="873"/>
      <c r="EJ1169" s="873"/>
      <c r="EK1169" s="873"/>
      <c r="EL1169" s="873"/>
      <c r="EM1169" s="873"/>
      <c r="EN1169" s="873"/>
      <c r="EO1169" s="873"/>
      <c r="EP1169" s="873"/>
      <c r="JM1169"/>
    </row>
    <row r="1170" spans="1:273">
      <c r="DW1170" s="103" t="s">
        <v>1456</v>
      </c>
    </row>
    <row r="1171" spans="1:273">
      <c r="A1171" s="815" t="s">
        <v>742</v>
      </c>
      <c r="AN1171" s="626"/>
      <c r="AO1171" s="626"/>
      <c r="AR1171" s="730"/>
      <c r="AS1171" s="730"/>
      <c r="AT1171" s="730"/>
      <c r="AU1171" s="730"/>
      <c r="AV1171" s="730"/>
      <c r="AW1171" s="730"/>
      <c r="AX1171" s="730"/>
      <c r="AY1171" s="730"/>
      <c r="AZ1171" s="730"/>
      <c r="BD1171" s="730"/>
    </row>
    <row r="1172" spans="1:273">
      <c r="A1172" s="102" t="s">
        <v>685</v>
      </c>
      <c r="AN1172" s="293"/>
      <c r="AO1172" s="293"/>
      <c r="AP1172" s="293"/>
      <c r="AQ1172" s="293"/>
      <c r="AR1172" s="293"/>
      <c r="AS1172" s="293"/>
      <c r="AT1172" s="626"/>
      <c r="AU1172" s="626"/>
      <c r="AV1172" s="293"/>
      <c r="AW1172" s="293"/>
      <c r="AX1172" s="626"/>
      <c r="AY1172" s="293"/>
      <c r="AZ1172" s="293"/>
      <c r="BA1172" s="293"/>
      <c r="BD1172" s="293"/>
      <c r="BE1172" s="293"/>
      <c r="BH1172" s="293"/>
      <c r="BI1172" s="293"/>
      <c r="BJ1172" s="293"/>
      <c r="BK1172" s="927"/>
      <c r="BL1172" s="293"/>
      <c r="BM1172" s="293"/>
      <c r="BN1172" s="293"/>
      <c r="BO1172" s="684"/>
      <c r="BP1172" s="293"/>
      <c r="BQ1172" s="293"/>
      <c r="BR1172" s="293"/>
      <c r="BS1172" s="684"/>
      <c r="BT1172" s="293"/>
      <c r="BU1172" s="293"/>
      <c r="BV1172" s="293"/>
      <c r="BW1172" s="684"/>
      <c r="BX1172" s="293"/>
      <c r="BY1172" s="293"/>
      <c r="BZ1172" s="293"/>
      <c r="CA1172" s="684"/>
      <c r="CB1172" s="293"/>
      <c r="CC1172" s="293"/>
      <c r="CD1172" s="293"/>
      <c r="CE1172" s="684"/>
      <c r="CF1172" s="293"/>
      <c r="CG1172" s="293"/>
      <c r="CH1172" s="293"/>
      <c r="CI1172" s="684"/>
      <c r="CJ1172" s="293"/>
      <c r="CK1172" s="293"/>
      <c r="CL1172" s="293"/>
      <c r="CM1172" s="684"/>
      <c r="CN1172" s="293"/>
      <c r="CO1172" s="293"/>
      <c r="CP1172" s="293"/>
      <c r="CQ1172" s="684"/>
      <c r="CR1172" s="293"/>
      <c r="CS1172" s="293"/>
      <c r="CT1172" s="293"/>
      <c r="CU1172" s="684"/>
      <c r="CV1172" s="293"/>
      <c r="CW1172" s="293"/>
      <c r="CX1172" s="293"/>
      <c r="CY1172" s="684"/>
      <c r="CZ1172" s="293"/>
      <c r="DA1172" s="293"/>
      <c r="DB1172" s="293"/>
      <c r="DC1172" s="684"/>
      <c r="DD1172" s="293"/>
      <c r="DE1172" s="293"/>
      <c r="DF1172" s="293"/>
      <c r="DG1172" s="684"/>
      <c r="DH1172" s="293"/>
      <c r="DI1172" s="293"/>
      <c r="DJ1172" s="293"/>
      <c r="DK1172" s="684"/>
      <c r="DL1172" s="293"/>
      <c r="DM1172" s="293"/>
      <c r="DN1172" s="293"/>
      <c r="DP1172" s="293"/>
      <c r="DQ1172" s="293"/>
      <c r="DR1172" s="293"/>
      <c r="DU1172" s="293"/>
      <c r="DV1172" s="293"/>
      <c r="DW1172" s="293" t="s">
        <v>599</v>
      </c>
      <c r="DX1172" s="103" t="s">
        <v>588</v>
      </c>
      <c r="DZ1172" s="293"/>
      <c r="EA1172" s="293"/>
      <c r="ED1172" s="293"/>
      <c r="EE1172" s="293"/>
    </row>
    <row r="1173" spans="1:273">
      <c r="A1173" s="102" t="s">
        <v>686</v>
      </c>
      <c r="AN1173" s="293"/>
      <c r="AO1173" s="293"/>
      <c r="AP1173" s="293"/>
      <c r="AQ1173" s="293"/>
      <c r="AR1173" s="293">
        <f>DIVISIONS!AR124</f>
        <v>-174.33702713030186</v>
      </c>
      <c r="AS1173" s="293">
        <f>DIVISIONS!AS124</f>
        <v>-207.02521971723345</v>
      </c>
      <c r="AT1173" s="626"/>
      <c r="AU1173" s="626"/>
      <c r="AV1173" s="293">
        <f>DIVISIONS!AV124</f>
        <v>-160</v>
      </c>
      <c r="AW1173" s="293">
        <f>DIVISIONS!AW124</f>
        <v>-176</v>
      </c>
      <c r="AX1173" s="626"/>
      <c r="AY1173" s="293"/>
      <c r="AZ1173" s="293">
        <f>DIVISIONS!AZ124</f>
        <v>-149.5</v>
      </c>
      <c r="BA1173" s="293">
        <f>DIVISIONS!BA124</f>
        <v>-158.5</v>
      </c>
      <c r="BD1173" s="293">
        <f>DIVISIONS!BD124</f>
        <v>-124</v>
      </c>
      <c r="BE1173" s="293">
        <f>DIVISIONS!BE124</f>
        <v>-137.66669999999999</v>
      </c>
      <c r="BH1173" s="293">
        <f>DIVISIONS!BH124</f>
        <v>-132</v>
      </c>
      <c r="BI1173" s="293">
        <f>DIVISIONS!BI124</f>
        <v>-134</v>
      </c>
      <c r="BJ1173" s="293">
        <f>DIVISIONS!BJ124</f>
        <v>-266</v>
      </c>
      <c r="BK1173" s="927"/>
      <c r="BL1173" s="293">
        <f>DIVISIONS!BL124</f>
        <v>-146</v>
      </c>
      <c r="BM1173" s="293">
        <f>DIVISIONS!BM124</f>
        <v>-122</v>
      </c>
      <c r="BN1173" s="293">
        <f>DIVISIONS!BN124</f>
        <v>-268</v>
      </c>
      <c r="BO1173" s="684">
        <f>+BN1173/BJ1173-1</f>
        <v>7.5187969924812581E-3</v>
      </c>
      <c r="BP1173" s="293">
        <f>DIVISIONS!BP124</f>
        <v>-148</v>
      </c>
      <c r="BQ1173" s="293">
        <f>DIVISIONS!BQ124</f>
        <v>-169</v>
      </c>
      <c r="BR1173" s="293">
        <f>DIVISIONS!BR124</f>
        <v>-317</v>
      </c>
      <c r="BS1173" s="684">
        <f>+BR1173/BN1173-1</f>
        <v>0.18283582089552231</v>
      </c>
      <c r="BT1173" s="293">
        <f>DIVISIONS!BT124</f>
        <v>-180</v>
      </c>
      <c r="BU1173" s="293">
        <f>DIVISIONS!BU124</f>
        <v>-209</v>
      </c>
      <c r="BV1173" s="293">
        <f>DIVISIONS!BV124</f>
        <v>-389</v>
      </c>
      <c r="BW1173" s="684">
        <f>+BV1173/BR1173-1</f>
        <v>0.2271293375394321</v>
      </c>
      <c r="BX1173" s="293">
        <f>DIVISIONS!BX124</f>
        <v>-193</v>
      </c>
      <c r="BY1173" s="293">
        <f>DIVISIONS!BY124</f>
        <v>-192</v>
      </c>
      <c r="BZ1173" s="293">
        <f>DIVISIONS!BZ124</f>
        <v>-385</v>
      </c>
      <c r="CA1173" s="684">
        <f>+BZ1173/BV1173-1</f>
        <v>-1.0282776349614386E-2</v>
      </c>
      <c r="CB1173" s="293">
        <f>DIVISIONS!CB124</f>
        <v>-202</v>
      </c>
      <c r="CC1173" s="293">
        <f>DIVISIONS!CC124</f>
        <v>-210</v>
      </c>
      <c r="CD1173" s="293">
        <f>DIVISIONS!CD124</f>
        <v>-412</v>
      </c>
      <c r="CE1173" s="684">
        <f>+CD1173/BZ1173-1</f>
        <v>7.0129870129870042E-2</v>
      </c>
      <c r="CF1173" s="293">
        <f>DIVISIONS!CF124</f>
        <v>-265</v>
      </c>
      <c r="CG1173" s="293">
        <f>DIVISIONS!CG124</f>
        <v>-291</v>
      </c>
      <c r="CH1173" s="293">
        <f>DIVISIONS!CH124</f>
        <v>-556</v>
      </c>
      <c r="CI1173" s="684">
        <f>+CH1173/CD1173-1</f>
        <v>0.34951456310679618</v>
      </c>
      <c r="CJ1173" s="293">
        <f>DIVISIONS!CJ124</f>
        <v>-478</v>
      </c>
      <c r="CK1173" s="293">
        <f>DIVISIONS!CK124</f>
        <v>-447</v>
      </c>
      <c r="CL1173" s="293">
        <f>DIVISIONS!CL124</f>
        <v>-925</v>
      </c>
      <c r="CM1173" s="684">
        <f>+CL1173/CH1173-1</f>
        <v>0.66366906474820153</v>
      </c>
      <c r="CN1173" s="293">
        <f>DIVISIONS!CN124</f>
        <v>-405</v>
      </c>
      <c r="CO1173" s="293">
        <f>DIVISIONS!CO124</f>
        <v>-447</v>
      </c>
      <c r="CP1173" s="293">
        <f>DIVISIONS!CP124</f>
        <v>-852</v>
      </c>
      <c r="CQ1173" s="684">
        <f>+CP1173/CL1173-1</f>
        <v>-7.891891891891889E-2</v>
      </c>
      <c r="CR1173" s="293">
        <f>DIVISIONS!CR124</f>
        <v>-303</v>
      </c>
      <c r="CS1173" s="293">
        <f>DIVISIONS!CS124</f>
        <v>-349</v>
      </c>
      <c r="CT1173" s="293">
        <f>DIVISIONS!CT124</f>
        <v>-652</v>
      </c>
      <c r="CU1173" s="684">
        <f>+CT1173/CP1173-1</f>
        <v>-0.23474178403755863</v>
      </c>
      <c r="CV1173" s="293">
        <f>DIVISIONS!CV124</f>
        <v>-372</v>
      </c>
      <c r="CW1173" s="293">
        <f>DIVISIONS!CW124</f>
        <v>-413</v>
      </c>
      <c r="CX1173" s="293">
        <f>DIVISIONS!CX124</f>
        <v>-785</v>
      </c>
      <c r="CY1173" s="684">
        <f>+CX1173/CT1173-1</f>
        <v>0.20398773006134974</v>
      </c>
      <c r="CZ1173" s="293">
        <f>DIVISIONS!CZ124</f>
        <v>-421</v>
      </c>
      <c r="DA1173" s="293">
        <f>DIVISIONS!DA124</f>
        <v>-408</v>
      </c>
      <c r="DB1173" s="293">
        <f>DIVISIONS!DB124</f>
        <v>-829</v>
      </c>
      <c r="DC1173" s="684">
        <f>+DB1173/CX1173-1</f>
        <v>5.6050955414012726E-2</v>
      </c>
      <c r="DD1173" s="293">
        <f>DIVISIONS!DD124</f>
        <v>-403</v>
      </c>
      <c r="DE1173" s="293">
        <f>DIVISIONS!DE124</f>
        <v>-439</v>
      </c>
      <c r="DF1173" s="293">
        <f>DIVISIONS!DF124</f>
        <v>-842</v>
      </c>
      <c r="DG1173" s="684">
        <f>+DF1173/DB1173-1</f>
        <v>1.5681544028950611E-2</v>
      </c>
      <c r="DH1173" s="293">
        <f>DIVISIONS!DH124</f>
        <v>-416</v>
      </c>
      <c r="DI1173" s="293">
        <f>DIVISIONS!DI124</f>
        <v>-447.78000000000003</v>
      </c>
      <c r="DJ1173" s="293">
        <f>DIVISIONS!DJ124</f>
        <v>-863.78</v>
      </c>
      <c r="DK1173" s="684">
        <f>+DJ1173/DF1173-1</f>
        <v>2.5866983372921482E-2</v>
      </c>
      <c r="DL1173" s="293">
        <f>DIVISIONS!DL124</f>
        <v>-424.32</v>
      </c>
      <c r="DM1173" s="293">
        <f>DIVISIONS!DM124</f>
        <v>-456.73560000000003</v>
      </c>
      <c r="DN1173" s="293">
        <f>DIVISIONS!DN124</f>
        <v>-881.05560000000003</v>
      </c>
      <c r="DP1173" s="293">
        <f>DIVISIONS!DP124</f>
        <v>-432.8064</v>
      </c>
      <c r="DQ1173" s="293">
        <f>DIVISIONS!DQ124</f>
        <v>-465.87031200000007</v>
      </c>
      <c r="DR1173" s="293">
        <f>DIVISIONS!DR124</f>
        <v>-898.67671200000007</v>
      </c>
      <c r="DU1173" s="293"/>
      <c r="DV1173" s="828" t="s">
        <v>1253</v>
      </c>
      <c r="DW1173" s="103">
        <v>-416</v>
      </c>
      <c r="DX1173" s="103">
        <v>-774</v>
      </c>
      <c r="DZ1173" s="293"/>
      <c r="EA1173" s="293"/>
      <c r="ED1173" s="293"/>
      <c r="EE1173" s="293"/>
    </row>
    <row r="1174" spans="1:273">
      <c r="A1174" s="102" t="s">
        <v>616</v>
      </c>
      <c r="AN1174" s="293"/>
      <c r="AO1174" s="293"/>
      <c r="AP1174" s="293"/>
      <c r="AQ1174" s="293"/>
      <c r="AR1174" s="293">
        <f>DIVISIONS!AR352</f>
        <v>-135</v>
      </c>
      <c r="AS1174" s="293">
        <f>DIVISIONS!AS352</f>
        <v>-136</v>
      </c>
      <c r="AT1174" s="626"/>
      <c r="AU1174" s="626"/>
      <c r="AV1174" s="293">
        <f>DIVISIONS!AV352</f>
        <v>-108</v>
      </c>
      <c r="AW1174" s="293">
        <f>DIVISIONS!AW352</f>
        <v>-167</v>
      </c>
      <c r="AX1174" s="626"/>
      <c r="AY1174" s="293"/>
      <c r="AZ1174" s="293">
        <f>DIVISIONS!AZ352</f>
        <v>-192</v>
      </c>
      <c r="BA1174" s="293">
        <f>DIVISIONS!BA352</f>
        <v>-178</v>
      </c>
      <c r="BD1174" s="293">
        <f>DIVISIONS!BD352</f>
        <v>-180.33330000000001</v>
      </c>
      <c r="BE1174" s="293">
        <f>DIVISIONS!BE352</f>
        <v>-179</v>
      </c>
      <c r="BH1174" s="293">
        <f>DIVISIONS!BH352</f>
        <v>-163</v>
      </c>
      <c r="BI1174" s="293">
        <f>DIVISIONS!BI352</f>
        <v>-180</v>
      </c>
      <c r="BJ1174" s="293">
        <f>DIVISIONS!BJ352</f>
        <v>-343</v>
      </c>
      <c r="BK1174" s="927"/>
      <c r="BL1174" s="293">
        <f>DIVISIONS!BL352</f>
        <v>-177</v>
      </c>
      <c r="BM1174" s="293">
        <f>DIVISIONS!BM352</f>
        <v>-221</v>
      </c>
      <c r="BN1174" s="293">
        <f>DIVISIONS!BN352</f>
        <v>-398</v>
      </c>
      <c r="BO1174" s="684">
        <f>+BN1174/BJ1174-1</f>
        <v>0.16034985422740533</v>
      </c>
      <c r="BP1174" s="293">
        <f>DIVISIONS!BP352</f>
        <v>-205</v>
      </c>
      <c r="BQ1174" s="293">
        <f>DIVISIONS!BQ352</f>
        <v>-236</v>
      </c>
      <c r="BR1174" s="293">
        <f>DIVISIONS!BR352</f>
        <v>-441</v>
      </c>
      <c r="BS1174" s="684">
        <f>+BR1174/BN1174-1</f>
        <v>0.1080402010050252</v>
      </c>
      <c r="BT1174" s="293">
        <f>DIVISIONS!BT352</f>
        <v>-238</v>
      </c>
      <c r="BU1174" s="293">
        <f>DIVISIONS!BU352</f>
        <v>-241</v>
      </c>
      <c r="BV1174" s="293">
        <f>DIVISIONS!BV352</f>
        <v>-479</v>
      </c>
      <c r="BW1174" s="684">
        <f>+BV1174/BR1174-1</f>
        <v>8.6167800453514687E-2</v>
      </c>
      <c r="BX1174" s="293">
        <f>DIVISIONS!BX352</f>
        <v>-237</v>
      </c>
      <c r="BY1174" s="293">
        <f>DIVISIONS!BY352</f>
        <v>-248</v>
      </c>
      <c r="BZ1174" s="293">
        <f>DIVISIONS!BZ352</f>
        <v>-485</v>
      </c>
      <c r="CA1174" s="684">
        <f>+BZ1174/BV1174-1</f>
        <v>1.2526096033402823E-2</v>
      </c>
      <c r="CB1174" s="293">
        <f>DIVISIONS!CB352</f>
        <v>-215</v>
      </c>
      <c r="CC1174" s="293">
        <f>DIVISIONS!CC352</f>
        <v>-250</v>
      </c>
      <c r="CD1174" s="293">
        <f>DIVISIONS!CD352</f>
        <v>-465</v>
      </c>
      <c r="CE1174" s="684">
        <f>+CD1174/BZ1174-1</f>
        <v>-4.123711340206182E-2</v>
      </c>
      <c r="CF1174" s="293">
        <f>DIVISIONS!CF352</f>
        <v>-319</v>
      </c>
      <c r="CG1174" s="293">
        <f>DIVISIONS!CG352</f>
        <v>-367</v>
      </c>
      <c r="CH1174" s="293">
        <f>DIVISIONS!CH352</f>
        <v>-686</v>
      </c>
      <c r="CI1174" s="684">
        <f>+CH1174/CD1174-1</f>
        <v>0.47526881720430114</v>
      </c>
      <c r="CJ1174" s="293">
        <f>DIVISIONS!CJ352</f>
        <v>-385</v>
      </c>
      <c r="CK1174" s="293">
        <f>DIVISIONS!CK352</f>
        <v>-397</v>
      </c>
      <c r="CL1174" s="293">
        <f>DIVISIONS!CL352</f>
        <v>-782</v>
      </c>
      <c r="CM1174" s="684">
        <f>+CL1174/CH1174-1</f>
        <v>0.13994169096209919</v>
      </c>
      <c r="CN1174" s="293">
        <f>DIVISIONS!CN352</f>
        <v>-341</v>
      </c>
      <c r="CO1174" s="293">
        <f>DIVISIONS!CO352</f>
        <v>-397</v>
      </c>
      <c r="CP1174" s="293">
        <f>DIVISIONS!CP352</f>
        <v>-738</v>
      </c>
      <c r="CQ1174" s="684">
        <f>+CP1174/CL1174-1</f>
        <v>-5.6265984654731427E-2</v>
      </c>
      <c r="CR1174" s="293">
        <f>DIVISIONS!CR352</f>
        <v>-669</v>
      </c>
      <c r="CS1174" s="293">
        <f>DIVISIONS!CS352</f>
        <v>-702</v>
      </c>
      <c r="CT1174" s="293">
        <f>DIVISIONS!CT352</f>
        <v>-1371</v>
      </c>
      <c r="CU1174" s="684">
        <f>+CT1174/CP1174-1</f>
        <v>0.85772357723577231</v>
      </c>
      <c r="CV1174" s="293">
        <f>DIVISIONS!CV352</f>
        <v>-623</v>
      </c>
      <c r="CW1174" s="293">
        <f>DIVISIONS!CW352</f>
        <v>-735</v>
      </c>
      <c r="CX1174" s="293">
        <f>DIVISIONS!CX352</f>
        <v>-1358</v>
      </c>
      <c r="CY1174" s="684">
        <f>+CX1174/CT1174-1</f>
        <v>-9.4821298322392833E-3</v>
      </c>
      <c r="CZ1174" s="293">
        <f>DIVISIONS!CZ352</f>
        <v>-691</v>
      </c>
      <c r="DA1174" s="293">
        <f>DIVISIONS!DA352</f>
        <v>-648</v>
      </c>
      <c r="DB1174" s="293">
        <f>DIVISIONS!DB352</f>
        <v>-1339</v>
      </c>
      <c r="DC1174" s="684">
        <f>+DB1174/CX1174-1</f>
        <v>-1.3991163475699508E-2</v>
      </c>
      <c r="DD1174" s="293">
        <f>DIVISIONS!DD352</f>
        <v>-605</v>
      </c>
      <c r="DE1174" s="293">
        <f>DIVISIONS!DE352</f>
        <v>-667</v>
      </c>
      <c r="DF1174" s="293">
        <f>DIVISIONS!DF352</f>
        <v>-1272</v>
      </c>
      <c r="DG1174" s="684">
        <f>+DF1174/DB1174-1</f>
        <v>-5.0037341299477234E-2</v>
      </c>
      <c r="DH1174" s="293">
        <f>DIVISIONS!DH352</f>
        <v>-574</v>
      </c>
      <c r="DI1174" s="293">
        <f>DIVISIONS!DI352</f>
        <v>-623.64499999999998</v>
      </c>
      <c r="DJ1174" s="293">
        <f>DIVISIONS!DJ352</f>
        <v>-1197.645</v>
      </c>
      <c r="DK1174" s="684">
        <f>+DJ1174/DF1174-1</f>
        <v>-5.8455188679245262E-2</v>
      </c>
      <c r="DL1174" s="293">
        <f>DIVISIONS!DL352</f>
        <v>-505.12</v>
      </c>
      <c r="DM1174" s="293">
        <f>DIVISIONS!DM352</f>
        <v>-604.93565000000001</v>
      </c>
      <c r="DN1174" s="293">
        <f>DIVISIONS!DN352</f>
        <v>-1110.05565</v>
      </c>
      <c r="DP1174" s="293">
        <f>DIVISIONS!DP352</f>
        <v>-520.27359999999999</v>
      </c>
      <c r="DQ1174" s="293">
        <f>DIVISIONS!DQ352</f>
        <v>-623.08371950000003</v>
      </c>
      <c r="DR1174" s="293">
        <f>DIVISIONS!DR352</f>
        <v>-1143.3573194999999</v>
      </c>
      <c r="DU1174" s="293"/>
      <c r="DV1174" s="828" t="s">
        <v>1023</v>
      </c>
      <c r="DW1174" s="103">
        <v>-1085</v>
      </c>
      <c r="DX1174" s="103">
        <v>-1771</v>
      </c>
      <c r="DZ1174" s="293"/>
      <c r="EA1174" s="293">
        <v>-1021</v>
      </c>
      <c r="ED1174" s="293"/>
      <c r="EE1174" s="293"/>
    </row>
    <row r="1175" spans="1:273">
      <c r="A1175" s="102" t="s">
        <v>1024</v>
      </c>
      <c r="AN1175" s="293"/>
      <c r="AO1175" s="293"/>
      <c r="AP1175" s="293"/>
      <c r="AQ1175" s="293"/>
      <c r="AR1175" s="293">
        <f>DIVISIONS!AR240</f>
        <v>-332</v>
      </c>
      <c r="AS1175" s="293">
        <f>DIVISIONS!AS240</f>
        <v>-405</v>
      </c>
      <c r="AT1175" s="626"/>
      <c r="AU1175" s="626"/>
      <c r="AV1175" s="293">
        <f>DIVISIONS!AV240</f>
        <v>-321</v>
      </c>
      <c r="AW1175" s="293">
        <f>DIVISIONS!AW240</f>
        <v>-350</v>
      </c>
      <c r="AX1175" s="626"/>
      <c r="AY1175" s="293"/>
      <c r="AZ1175" s="293">
        <f>DIVISIONS!AZ240</f>
        <v>-411.5</v>
      </c>
      <c r="BA1175" s="293">
        <f>DIVISIONS!BA240</f>
        <v>-453.5</v>
      </c>
      <c r="BD1175" s="293">
        <f>DIVISIONS!BD240</f>
        <v>-479.33330000000001</v>
      </c>
      <c r="BE1175" s="293">
        <f>DIVISIONS!BE240</f>
        <v>-476</v>
      </c>
      <c r="BH1175" s="293">
        <f>DIVISIONS!BH240</f>
        <v>-353</v>
      </c>
      <c r="BI1175" s="293">
        <f>DIVISIONS!BI240</f>
        <v>-365</v>
      </c>
      <c r="BJ1175" s="293">
        <f>DIVISIONS!BJ240</f>
        <v>-718</v>
      </c>
      <c r="BK1175" s="927"/>
      <c r="BL1175" s="293">
        <f>DIVISIONS!BL240</f>
        <v>-386</v>
      </c>
      <c r="BM1175" s="293">
        <f>DIVISIONS!BM240</f>
        <v>-413</v>
      </c>
      <c r="BN1175" s="293">
        <f>DIVISIONS!BN240</f>
        <v>-799</v>
      </c>
      <c r="BO1175" s="684">
        <f>+BN1175/BJ1175-1</f>
        <v>0.11281337047353768</v>
      </c>
      <c r="BP1175" s="293">
        <f>DIVISIONS!BP240</f>
        <v>-434</v>
      </c>
      <c r="BQ1175" s="293">
        <f>DIVISIONS!BQ240</f>
        <v>-466</v>
      </c>
      <c r="BR1175" s="293">
        <f>DIVISIONS!BR240</f>
        <v>-900</v>
      </c>
      <c r="BS1175" s="684">
        <f>+BR1175/BN1175-1</f>
        <v>0.12640801001251556</v>
      </c>
      <c r="BT1175" s="293">
        <f>DIVISIONS!BT240</f>
        <v>-487</v>
      </c>
      <c r="BU1175" s="293">
        <f>DIVISIONS!BU240</f>
        <v>-527</v>
      </c>
      <c r="BV1175" s="293">
        <f>DIVISIONS!BV240</f>
        <v>-1014</v>
      </c>
      <c r="BW1175" s="684">
        <f>+BV1175/BR1175-1</f>
        <v>0.12666666666666671</v>
      </c>
      <c r="BX1175" s="293">
        <f>DIVISIONS!BX240</f>
        <v>-499</v>
      </c>
      <c r="BY1175" s="293">
        <f>DIVISIONS!BY240</f>
        <v>-489</v>
      </c>
      <c r="BZ1175" s="293">
        <f>DIVISIONS!BZ240</f>
        <v>-988</v>
      </c>
      <c r="CA1175" s="684">
        <f>+BZ1175/BV1175-1</f>
        <v>-2.5641025641025661E-2</v>
      </c>
      <c r="CB1175" s="293">
        <f>DIVISIONS!CB240</f>
        <v>-475</v>
      </c>
      <c r="CC1175" s="293">
        <f>DIVISIONS!CC240</f>
        <v>-526</v>
      </c>
      <c r="CD1175" s="293">
        <f>DIVISIONS!CD240</f>
        <v>-1001</v>
      </c>
      <c r="CE1175" s="684">
        <f>+CD1175/BZ1175-1</f>
        <v>1.3157894736842035E-2</v>
      </c>
      <c r="CF1175" s="293">
        <f>DIVISIONS!CF240</f>
        <v>-605</v>
      </c>
      <c r="CG1175" s="293">
        <f>DIVISIONS!CG240</f>
        <v>-667</v>
      </c>
      <c r="CH1175" s="293">
        <f>DIVISIONS!CH240</f>
        <v>-1272</v>
      </c>
      <c r="CI1175" s="684">
        <f>+CH1175/CD1175-1</f>
        <v>0.27072927072927078</v>
      </c>
      <c r="CJ1175" s="293">
        <f>DIVISIONS!CJ240</f>
        <v>-524</v>
      </c>
      <c r="CK1175" s="293">
        <f>DIVISIONS!CK240</f>
        <v>-576</v>
      </c>
      <c r="CL1175" s="293">
        <f>DIVISIONS!CL240</f>
        <v>-1100</v>
      </c>
      <c r="CM1175" s="684">
        <f>+CL1175/CH1175-1</f>
        <v>-0.13522012578616349</v>
      </c>
      <c r="CN1175" s="293">
        <f>DIVISIONS!CN240</f>
        <v>-534</v>
      </c>
      <c r="CO1175" s="293">
        <f>DIVISIONS!CO240</f>
        <v>-573</v>
      </c>
      <c r="CP1175" s="293">
        <f>DIVISIONS!CP240</f>
        <v>-1107</v>
      </c>
      <c r="CQ1175" s="684">
        <f>+CP1175/CL1175-1</f>
        <v>6.3636363636363491E-3</v>
      </c>
      <c r="CR1175" s="293">
        <f>DIVISIONS!CR240</f>
        <v>-559</v>
      </c>
      <c r="CS1175" s="293">
        <f>DIVISIONS!CS240</f>
        <v>-729</v>
      </c>
      <c r="CT1175" s="293">
        <f>DIVISIONS!CT240</f>
        <v>-1288</v>
      </c>
      <c r="CU1175" s="684">
        <f>+CT1175/CP1175-1</f>
        <v>0.1635049683830172</v>
      </c>
      <c r="CV1175" s="293">
        <f>DIVISIONS!CV240</f>
        <v>-714</v>
      </c>
      <c r="CW1175" s="293">
        <f>DIVISIONS!CW240</f>
        <v>-857</v>
      </c>
      <c r="CX1175" s="293">
        <f>DIVISIONS!CX240</f>
        <v>-1571</v>
      </c>
      <c r="CY1175" s="684">
        <f>+CX1175/CT1175-1</f>
        <v>0.21972049689440998</v>
      </c>
      <c r="CZ1175" s="293">
        <f>DIVISIONS!CZ240</f>
        <v>-922</v>
      </c>
      <c r="DA1175" s="293">
        <f>DIVISIONS!DA240</f>
        <v>-924</v>
      </c>
      <c r="DB1175" s="293">
        <f>DIVISIONS!DB240</f>
        <v>-1846</v>
      </c>
      <c r="DC1175" s="684">
        <f>+DB1175/CX1175-1</f>
        <v>0.17504774029280723</v>
      </c>
      <c r="DD1175" s="293">
        <f>DIVISIONS!DD240</f>
        <v>-931</v>
      </c>
      <c r="DE1175" s="293">
        <f>DIVISIONS!DE240</f>
        <v>-974</v>
      </c>
      <c r="DF1175" s="293">
        <f>DIVISIONS!DF240</f>
        <v>-1905</v>
      </c>
      <c r="DG1175" s="684">
        <f>+DF1175/DB1175-1</f>
        <v>3.1960996749729187E-2</v>
      </c>
      <c r="DH1175" s="293">
        <f>DIVISIONS!DH240</f>
        <v>-1085</v>
      </c>
      <c r="DI1175" s="293">
        <f>DIVISIONS!DI240</f>
        <v>-1027.57</v>
      </c>
      <c r="DJ1175" s="293">
        <f>DIVISIONS!DJ240</f>
        <v>-2112.5699999999997</v>
      </c>
      <c r="DK1175" s="684">
        <f>+DJ1175/DF1175-1</f>
        <v>0.10896062992125977</v>
      </c>
      <c r="DL1175" s="293">
        <f>DIVISIONS!DL240</f>
        <v>-1036.175</v>
      </c>
      <c r="DM1175" s="293">
        <f>DIVISIONS!DM240</f>
        <v>-1053.2592499999998</v>
      </c>
      <c r="DN1175" s="293">
        <f>DIVISIONS!DN240</f>
        <v>-2089.4342499999998</v>
      </c>
      <c r="DP1175" s="293">
        <f>DIVISIONS!DP240</f>
        <v>-1067.26025</v>
      </c>
      <c r="DQ1175" s="293">
        <f>DIVISIONS!DQ240</f>
        <v>-1084.8570275</v>
      </c>
      <c r="DR1175" s="293">
        <f>DIVISIONS!DR240</f>
        <v>-2152.1172775</v>
      </c>
      <c r="DU1175" s="293"/>
      <c r="DV1175" s="828" t="s">
        <v>815</v>
      </c>
      <c r="DW1175" s="293">
        <f>-252-387</f>
        <v>-639</v>
      </c>
      <c r="DX1175" s="103">
        <v>-965</v>
      </c>
      <c r="DZ1175" s="293"/>
      <c r="EA1175" s="293">
        <v>-634</v>
      </c>
      <c r="ED1175" s="293"/>
      <c r="EE1175" s="293"/>
    </row>
    <row r="1176" spans="1:273">
      <c r="A1176" s="102" t="s">
        <v>690</v>
      </c>
      <c r="AN1176" s="293"/>
      <c r="AO1176" s="293"/>
      <c r="AP1176" s="293"/>
      <c r="AQ1176" s="293"/>
      <c r="AR1176" s="293">
        <f>DIVISIONS!AR479</f>
        <v>-38</v>
      </c>
      <c r="AS1176" s="293">
        <f>DIVISIONS!AS479</f>
        <v>-44</v>
      </c>
      <c r="AT1176" s="626"/>
      <c r="AU1176" s="626"/>
      <c r="AV1176" s="293">
        <f>DIVISIONS!AV479</f>
        <v>-61</v>
      </c>
      <c r="AW1176" s="293">
        <f>DIVISIONS!AW479</f>
        <v>-48</v>
      </c>
      <c r="AX1176" s="626"/>
      <c r="AY1176" s="293"/>
      <c r="AZ1176" s="293">
        <f>DIVISIONS!AZ479</f>
        <v>-65</v>
      </c>
      <c r="BA1176" s="293">
        <f>DIVISIONS!BA479</f>
        <v>-88</v>
      </c>
      <c r="BD1176" s="293">
        <f>DIVISIONS!BD479</f>
        <v>-86.33</v>
      </c>
      <c r="BE1176" s="293">
        <f>DIVISIONS!BE479</f>
        <v>-109</v>
      </c>
      <c r="BH1176" s="293">
        <f>DIVISIONS!BH479</f>
        <v>-91</v>
      </c>
      <c r="BI1176" s="293">
        <f>DIVISIONS!BI479</f>
        <v>-101</v>
      </c>
      <c r="BJ1176" s="293">
        <f>DIVISIONS!BJ479</f>
        <v>-192</v>
      </c>
      <c r="BK1176" s="927"/>
      <c r="BL1176" s="293">
        <f>DIVISIONS!BL479</f>
        <v>-94</v>
      </c>
      <c r="BM1176" s="293">
        <f>DIVISIONS!BM479</f>
        <v>-98</v>
      </c>
      <c r="BN1176" s="293">
        <f>DIVISIONS!BN479</f>
        <v>-192</v>
      </c>
      <c r="BO1176" s="684">
        <f>+BN1176/BJ1176-1</f>
        <v>0</v>
      </c>
      <c r="BP1176" s="293">
        <f>DIVISIONS!BP479</f>
        <v>-119</v>
      </c>
      <c r="BQ1176" s="293">
        <f>DIVISIONS!BQ479</f>
        <v>-139</v>
      </c>
      <c r="BR1176" s="293">
        <f>DIVISIONS!BR479</f>
        <v>-258</v>
      </c>
      <c r="BS1176" s="684">
        <f>+BR1176/BN1176-1</f>
        <v>0.34375</v>
      </c>
      <c r="BT1176" s="293">
        <f>DIVISIONS!BT479</f>
        <v>-141</v>
      </c>
      <c r="BU1176" s="293">
        <f>DIVISIONS!BU479</f>
        <v>-207</v>
      </c>
      <c r="BV1176" s="293">
        <f>DIVISIONS!BV479</f>
        <v>-348</v>
      </c>
      <c r="BW1176" s="684">
        <f>+BV1176/BR1176-1</f>
        <v>0.34883720930232553</v>
      </c>
      <c r="BX1176" s="293">
        <f>DIVISIONS!BX479</f>
        <v>-176</v>
      </c>
      <c r="BY1176" s="293">
        <f>DIVISIONS!BY479</f>
        <v>-182</v>
      </c>
      <c r="BZ1176" s="293">
        <f>DIVISIONS!BZ479</f>
        <v>-358</v>
      </c>
      <c r="CA1176" s="684">
        <f>+BZ1176/BV1176-1</f>
        <v>2.8735632183908066E-2</v>
      </c>
      <c r="CB1176" s="293">
        <f>DIVISIONS!CB479</f>
        <v>-154</v>
      </c>
      <c r="CC1176" s="293">
        <f>DIVISIONS!CC479</f>
        <v>-197</v>
      </c>
      <c r="CD1176" s="293">
        <f>DIVISIONS!CD479</f>
        <v>-351</v>
      </c>
      <c r="CE1176" s="684">
        <f>+CD1176/BZ1176-1</f>
        <v>-1.9553072625698276E-2</v>
      </c>
      <c r="CF1176" s="293">
        <f>DIVISIONS!CF479</f>
        <v>0</v>
      </c>
      <c r="CG1176" s="293">
        <f>DIVISIONS!CG479</f>
        <v>0</v>
      </c>
      <c r="CH1176" s="293">
        <f>DIVISIONS!CH479</f>
        <v>0</v>
      </c>
      <c r="CI1176" s="684">
        <f>+CH1176/CD1176-1</f>
        <v>-1</v>
      </c>
      <c r="CJ1176" s="293">
        <f>DIVISIONS!CJ479</f>
        <v>0</v>
      </c>
      <c r="CK1176" s="293">
        <f>DIVISIONS!CK479</f>
        <v>0</v>
      </c>
      <c r="CL1176" s="293">
        <f>DIVISIONS!CL479</f>
        <v>0</v>
      </c>
      <c r="CM1176" s="684"/>
      <c r="CN1176" s="293">
        <f>DIVISIONS!CN479</f>
        <v>0</v>
      </c>
      <c r="CO1176" s="293">
        <f>DIVISIONS!CO479</f>
        <v>0</v>
      </c>
      <c r="CP1176" s="293">
        <f>DIVISIONS!CP479</f>
        <v>0</v>
      </c>
      <c r="CQ1176" s="684"/>
      <c r="CR1176" s="293">
        <f>DIVISIONS!CR479</f>
        <v>0</v>
      </c>
      <c r="CS1176" s="293">
        <f>DIVISIONS!CS479</f>
        <v>0</v>
      </c>
      <c r="CT1176" s="293">
        <f>DIVISIONS!CT479</f>
        <v>0</v>
      </c>
      <c r="CU1176" s="684"/>
      <c r="CV1176" s="293">
        <f>DIVISIONS!CV479</f>
        <v>0</v>
      </c>
      <c r="CW1176" s="293">
        <f>DIVISIONS!CW479</f>
        <v>0</v>
      </c>
      <c r="CX1176" s="293">
        <f>DIVISIONS!CX479</f>
        <v>0</v>
      </c>
      <c r="CY1176" s="684"/>
      <c r="CZ1176" s="293">
        <f>DIVISIONS!CZ479</f>
        <v>0</v>
      </c>
      <c r="DA1176" s="293">
        <f>DIVISIONS!DA479</f>
        <v>0</v>
      </c>
      <c r="DB1176" s="293">
        <f>DIVISIONS!DB479</f>
        <v>0</v>
      </c>
      <c r="DC1176" s="684"/>
      <c r="DD1176" s="293">
        <f>DIVISIONS!DD479</f>
        <v>0</v>
      </c>
      <c r="DE1176" s="293">
        <f>DIVISIONS!DE479</f>
        <v>0</v>
      </c>
      <c r="DF1176" s="293">
        <f>DIVISIONS!DF479</f>
        <v>0</v>
      </c>
      <c r="DG1176" s="684"/>
      <c r="DH1176" s="293">
        <f>DIVISIONS!DH479</f>
        <v>0</v>
      </c>
      <c r="DI1176" s="293">
        <f>DIVISIONS!DI479</f>
        <v>0</v>
      </c>
      <c r="DJ1176" s="293">
        <f>DIVISIONS!DJ479</f>
        <v>0</v>
      </c>
      <c r="DK1176" s="684"/>
      <c r="DL1176" s="293">
        <f>DIVISIONS!DL479</f>
        <v>0</v>
      </c>
      <c r="DM1176" s="293">
        <f>DIVISIONS!DM479</f>
        <v>0</v>
      </c>
      <c r="DN1176" s="293">
        <f>DIVISIONS!DN479</f>
        <v>0</v>
      </c>
      <c r="DP1176" s="293">
        <f>DIVISIONS!DP479</f>
        <v>0</v>
      </c>
      <c r="DQ1176" s="293">
        <f>DIVISIONS!DQ479</f>
        <v>0</v>
      </c>
      <c r="DR1176" s="293">
        <f>DIVISIONS!DR479</f>
        <v>0</v>
      </c>
      <c r="DU1176" s="293"/>
      <c r="DV1176" s="828" t="s">
        <v>1455</v>
      </c>
      <c r="DW1176" s="293">
        <v>-574</v>
      </c>
      <c r="DX1176" s="103">
        <v>-1197</v>
      </c>
      <c r="DZ1176" s="293"/>
      <c r="EA1176" s="293">
        <f>SUM(EA1174:EA1175)</f>
        <v>-1655</v>
      </c>
      <c r="ED1176" s="293"/>
      <c r="EE1176" s="293"/>
    </row>
    <row r="1177" spans="1:273">
      <c r="A1177" s="102" t="s">
        <v>689</v>
      </c>
      <c r="AN1177" s="293"/>
      <c r="AO1177" s="293"/>
      <c r="AP1177" s="293"/>
      <c r="AQ1177" s="293"/>
      <c r="AR1177" s="293">
        <f>DIVISIONS!AR554</f>
        <v>-182</v>
      </c>
      <c r="AS1177" s="293">
        <f>DIVISIONS!AS554</f>
        <v>-182</v>
      </c>
      <c r="AT1177" s="626"/>
      <c r="AU1177" s="626"/>
      <c r="AV1177" s="293">
        <f>DIVISIONS!AV554</f>
        <v>-201</v>
      </c>
      <c r="AW1177" s="293">
        <f>DIVISIONS!AW554</f>
        <v>-254</v>
      </c>
      <c r="AX1177" s="626"/>
      <c r="AY1177" s="293"/>
      <c r="AZ1177" s="293">
        <f>DIVISIONS!AZ554</f>
        <v>-263</v>
      </c>
      <c r="BA1177" s="293">
        <f>DIVISIONS!BA554</f>
        <v>-296</v>
      </c>
      <c r="BB1177" s="290"/>
      <c r="BC1177" s="290"/>
      <c r="BD1177" s="293">
        <f>DIVISIONS!BD554</f>
        <v>-242.33</v>
      </c>
      <c r="BE1177" s="293">
        <f>DIVISIONS!BE554</f>
        <v>-236</v>
      </c>
      <c r="BF1177" s="290"/>
      <c r="BG1177" s="290"/>
      <c r="BH1177" s="293">
        <f>DIVISIONS!BH554</f>
        <v>-220</v>
      </c>
      <c r="BI1177" s="293">
        <f>DIVISIONS!BI554</f>
        <v>-237</v>
      </c>
      <c r="BJ1177" s="293">
        <f>DIVISIONS!BJ554</f>
        <v>-457</v>
      </c>
      <c r="BK1177" s="928"/>
      <c r="BL1177" s="293">
        <f>DIVISIONS!BL554</f>
        <v>-250</v>
      </c>
      <c r="BM1177" s="293">
        <f>DIVISIONS!BM554</f>
        <v>-238</v>
      </c>
      <c r="BN1177" s="293">
        <f>DIVISIONS!BN554</f>
        <v>-488</v>
      </c>
      <c r="BO1177" s="684">
        <f>+BN1177/BJ1177-1</f>
        <v>6.7833698030634659E-2</v>
      </c>
      <c r="BP1177" s="293">
        <f>DIVISIONS!BP554</f>
        <v>-239</v>
      </c>
      <c r="BQ1177" s="293">
        <f>DIVISIONS!BQ554</f>
        <v>-251</v>
      </c>
      <c r="BR1177" s="293">
        <f>DIVISIONS!BR554</f>
        <v>-490</v>
      </c>
      <c r="BS1177" s="684">
        <f>+BR1177/BN1177-1</f>
        <v>4.098360655737654E-3</v>
      </c>
      <c r="BT1177" s="293">
        <f>DIVISIONS!BT554</f>
        <v>-287</v>
      </c>
      <c r="BU1177" s="293">
        <f>DIVISIONS!BU554</f>
        <v>-275</v>
      </c>
      <c r="BV1177" s="293">
        <f>DIVISIONS!BV554</f>
        <v>-562</v>
      </c>
      <c r="BW1177" s="684">
        <f>+BV1177/BR1177-1</f>
        <v>0.14693877551020407</v>
      </c>
      <c r="BX1177" s="293">
        <f>DIVISIONS!BX554</f>
        <v>-342</v>
      </c>
      <c r="BY1177" s="293">
        <f>DIVISIONS!BY554</f>
        <v>-259</v>
      </c>
      <c r="BZ1177" s="293">
        <f>DIVISIONS!BZ554</f>
        <v>-601</v>
      </c>
      <c r="CA1177" s="684">
        <f>+BZ1177/BV1177-1</f>
        <v>6.9395017793594249E-2</v>
      </c>
      <c r="CB1177" s="293">
        <f>DIVISIONS!CB554</f>
        <v>-328</v>
      </c>
      <c r="CC1177" s="293">
        <f>DIVISIONS!CC554</f>
        <v>-325</v>
      </c>
      <c r="CD1177" s="293">
        <f>DIVISIONS!CD554</f>
        <v>-653</v>
      </c>
      <c r="CE1177" s="684">
        <f>+CD1177/BZ1177-1</f>
        <v>8.652246256239593E-2</v>
      </c>
      <c r="CF1177" s="293">
        <f>DIVISIONS!CF554</f>
        <v>-346</v>
      </c>
      <c r="CG1177" s="293">
        <f>DIVISIONS!CG554</f>
        <v>-364</v>
      </c>
      <c r="CH1177" s="293">
        <f>DIVISIONS!CH554</f>
        <v>-710</v>
      </c>
      <c r="CI1177" s="684">
        <f>+CH1177/CD1177-1</f>
        <v>8.7289433384379889E-2</v>
      </c>
      <c r="CJ1177" s="293">
        <f>DIVISIONS!CJ554</f>
        <v>-366</v>
      </c>
      <c r="CK1177" s="293">
        <f>DIVISIONS!CK554</f>
        <v>-374</v>
      </c>
      <c r="CL1177" s="293">
        <f>DIVISIONS!CL554</f>
        <v>-740</v>
      </c>
      <c r="CM1177" s="684">
        <f>+CL1177/CH1177-1</f>
        <v>4.2253521126760507E-2</v>
      </c>
      <c r="CN1177" s="293">
        <f>DIVISIONS!CN554</f>
        <v>-390</v>
      </c>
      <c r="CO1177" s="293">
        <f>DIVISIONS!CO554</f>
        <v>-385</v>
      </c>
      <c r="CP1177" s="293">
        <f>DIVISIONS!CP554</f>
        <v>-775</v>
      </c>
      <c r="CQ1177" s="684">
        <f>+CP1177/CL1177-1</f>
        <v>4.7297297297297369E-2</v>
      </c>
      <c r="CR1177" s="293">
        <f>DIVISIONS!CR554</f>
        <v>-409</v>
      </c>
      <c r="CS1177" s="293">
        <f>DIVISIONS!CS554</f>
        <v>-499</v>
      </c>
      <c r="CT1177" s="293">
        <f>DIVISIONS!CT554</f>
        <v>-908</v>
      </c>
      <c r="CU1177" s="684">
        <f>+CT1177/CP1177-1</f>
        <v>0.17161290322580647</v>
      </c>
      <c r="CV1177" s="293">
        <f>DIVISIONS!CV554</f>
        <v>-522</v>
      </c>
      <c r="CW1177" s="293">
        <f>DIVISIONS!CW554</f>
        <v>-583</v>
      </c>
      <c r="CX1177" s="293">
        <f>DIVISIONS!CX554</f>
        <v>-1105</v>
      </c>
      <c r="CY1177" s="684">
        <f>+CX1177/CT1177-1</f>
        <v>0.21696035242290757</v>
      </c>
      <c r="CZ1177" s="293">
        <f>DIVISIONS!CZ554</f>
        <v>-585</v>
      </c>
      <c r="DA1177" s="293">
        <f>DIVISIONS!DA554</f>
        <v>-602</v>
      </c>
      <c r="DB1177" s="293">
        <f>DIVISIONS!DB554</f>
        <v>-1187</v>
      </c>
      <c r="DC1177" s="684">
        <f>+DB1177/CX1177-1</f>
        <v>7.4208144796380049E-2</v>
      </c>
      <c r="DD1177" s="293">
        <f>DIVISIONS!DD554</f>
        <v>-558</v>
      </c>
      <c r="DE1177" s="293">
        <f>DIVISIONS!DE554</f>
        <v>-573</v>
      </c>
      <c r="DF1177" s="293">
        <f>DIVISIONS!DF554</f>
        <v>-1131</v>
      </c>
      <c r="DG1177" s="684">
        <f>+DF1177/DB1177-1</f>
        <v>-4.7177759056444835E-2</v>
      </c>
      <c r="DH1177" s="293">
        <f>DIVISIONS!DH554</f>
        <v>-639</v>
      </c>
      <c r="DI1177" s="293">
        <f>DIVISIONS!DI554</f>
        <v>-601.65</v>
      </c>
      <c r="DJ1177" s="293">
        <f>DIVISIONS!DJ554</f>
        <v>-1240.6500000000001</v>
      </c>
      <c r="DK1177" s="684">
        <f>+DJ1177/DF1177-1</f>
        <v>9.6949602122015976E-2</v>
      </c>
      <c r="DL1177" s="293">
        <f>DIVISIONS!DL554</f>
        <v>-658.17000000000007</v>
      </c>
      <c r="DM1177" s="293">
        <f>DIVISIONS!DM554</f>
        <v>-619.69949999999994</v>
      </c>
      <c r="DN1177" s="293">
        <f>DIVISIONS!DN554</f>
        <v>-1277.8695</v>
      </c>
      <c r="DO1177" s="290"/>
      <c r="DP1177" s="293">
        <f>DIVISIONS!DP554</f>
        <v>-677.91510000000005</v>
      </c>
      <c r="DQ1177" s="293">
        <f>DIVISIONS!DQ554</f>
        <v>-638.29048499999999</v>
      </c>
      <c r="DR1177" s="293">
        <f>DIVISIONS!DR554</f>
        <v>-1316.2055850000002</v>
      </c>
      <c r="DS1177" s="290"/>
      <c r="DT1177" s="290"/>
      <c r="DU1177" s="293"/>
      <c r="DV1177" s="828" t="s">
        <v>579</v>
      </c>
      <c r="DW1177" s="293">
        <v>916</v>
      </c>
      <c r="DX1177" s="290">
        <v>-1532</v>
      </c>
      <c r="DY1177" s="290"/>
      <c r="DZ1177" s="293"/>
      <c r="EA1177" s="293"/>
      <c r="EB1177" s="290"/>
      <c r="EC1177" s="290"/>
      <c r="ED1177" s="293"/>
      <c r="EE1177" s="293"/>
      <c r="EF1177" s="290"/>
      <c r="EG1177" s="290"/>
      <c r="EH1177" s="290"/>
      <c r="EI1177" s="290"/>
      <c r="EJ1177" s="290"/>
      <c r="EK1177" s="290"/>
      <c r="EL1177" s="290"/>
      <c r="EM1177" s="290"/>
      <c r="EN1177" s="290"/>
      <c r="EO1177" s="290"/>
      <c r="EP1177" s="290"/>
      <c r="EQ1177" s="289"/>
      <c r="ER1177" s="289"/>
      <c r="ES1177" s="289"/>
      <c r="ET1177" s="289"/>
      <c r="EU1177" s="289"/>
      <c r="EV1177" s="289"/>
      <c r="EW1177" s="289"/>
      <c r="EX1177" s="289"/>
      <c r="EY1177" s="289"/>
      <c r="EZ1177" s="289"/>
      <c r="FA1177" s="289"/>
      <c r="FB1177" s="289"/>
      <c r="FC1177" s="289"/>
      <c r="FD1177" s="289"/>
      <c r="FE1177" s="289"/>
      <c r="FF1177" s="289"/>
      <c r="FG1177" s="289"/>
      <c r="FH1177" s="289"/>
      <c r="FI1177" s="289"/>
      <c r="FJ1177" s="289"/>
      <c r="FK1177" s="289"/>
      <c r="FL1177" s="289"/>
      <c r="FM1177" s="289"/>
      <c r="FN1177" s="289"/>
      <c r="FO1177" s="289"/>
      <c r="FP1177" s="289"/>
      <c r="FQ1177" s="289"/>
      <c r="FR1177" s="289"/>
      <c r="FS1177" s="289"/>
      <c r="FT1177" s="289"/>
      <c r="FU1177" s="289"/>
      <c r="FV1177" s="289"/>
      <c r="FW1177" s="289"/>
      <c r="FX1177" s="289"/>
      <c r="FY1177" s="289"/>
      <c r="FZ1177" s="289"/>
      <c r="GA1177" s="289"/>
      <c r="GB1177" s="289"/>
      <c r="GC1177" s="289"/>
      <c r="GD1177" s="289"/>
      <c r="GE1177" s="289"/>
      <c r="GF1177" s="289"/>
      <c r="GG1177" s="289"/>
      <c r="GH1177" s="289"/>
      <c r="GI1177" s="289"/>
      <c r="GJ1177" s="289"/>
      <c r="GK1177" s="289"/>
      <c r="GL1177" s="289"/>
      <c r="GM1177" s="289"/>
      <c r="GN1177" s="289"/>
      <c r="GO1177" s="289"/>
      <c r="GP1177" s="289"/>
      <c r="GQ1177" s="289"/>
      <c r="GR1177" s="289"/>
      <c r="GS1177" s="289"/>
      <c r="GT1177" s="289"/>
      <c r="GU1177" s="289"/>
      <c r="GV1177" s="289"/>
      <c r="GW1177" s="289"/>
      <c r="GX1177" s="289"/>
      <c r="GY1177" s="289"/>
      <c r="GZ1177" s="289"/>
      <c r="HA1177" s="289"/>
      <c r="HB1177" s="289"/>
      <c r="HC1177" s="289"/>
      <c r="HD1177" s="289"/>
      <c r="HE1177" s="289"/>
      <c r="HF1177" s="289"/>
      <c r="HG1177" s="289"/>
      <c r="HH1177" s="289"/>
      <c r="HI1177" s="289"/>
      <c r="HJ1177" s="289"/>
      <c r="HK1177" s="289"/>
      <c r="HL1177" s="289"/>
      <c r="HM1177" s="289"/>
      <c r="HN1177" s="289"/>
      <c r="HO1177" s="289"/>
      <c r="HP1177" s="289"/>
      <c r="HQ1177" s="289"/>
      <c r="HR1177" s="289"/>
      <c r="HS1177" s="289"/>
      <c r="HT1177" s="289"/>
      <c r="HU1177" s="289"/>
      <c r="HV1177" s="289"/>
      <c r="HW1177" s="289"/>
      <c r="HX1177" s="289"/>
      <c r="HY1177" s="289"/>
      <c r="HZ1177" s="289"/>
      <c r="IA1177" s="289"/>
      <c r="IB1177" s="289"/>
      <c r="IC1177" s="289"/>
      <c r="ID1177" s="289"/>
      <c r="IE1177" s="289"/>
      <c r="IF1177" s="289"/>
      <c r="IG1177" s="289"/>
      <c r="IH1177" s="289"/>
      <c r="II1177" s="289"/>
      <c r="IJ1177" s="289"/>
      <c r="IK1177" s="289"/>
      <c r="IL1177" s="289"/>
      <c r="IM1177" s="289"/>
      <c r="IN1177" s="289"/>
      <c r="IO1177" s="289"/>
      <c r="IP1177" s="289"/>
      <c r="IQ1177" s="289"/>
      <c r="IR1177" s="289"/>
      <c r="IS1177" s="289"/>
      <c r="IT1177" s="289"/>
      <c r="IU1177" s="289"/>
      <c r="IV1177" s="289"/>
      <c r="IW1177" s="289"/>
      <c r="IX1177" s="289"/>
      <c r="IY1177" s="289"/>
      <c r="IZ1177" s="289"/>
      <c r="JA1177" s="289"/>
      <c r="JB1177" s="289"/>
      <c r="JC1177" s="289"/>
      <c r="JD1177" s="289"/>
      <c r="JE1177" s="289"/>
      <c r="JF1177" s="289"/>
      <c r="JG1177" s="289"/>
      <c r="JH1177" s="289"/>
      <c r="JI1177" s="289"/>
      <c r="JJ1177" s="289"/>
      <c r="JK1177" s="289"/>
      <c r="JL1177" s="289"/>
    </row>
    <row r="1178" spans="1:273" s="302" customFormat="1">
      <c r="A1178" s="302" t="s">
        <v>688</v>
      </c>
      <c r="B1178" s="304"/>
      <c r="AN1178" s="303"/>
      <c r="AO1178" s="303"/>
      <c r="AP1178" s="303"/>
      <c r="AQ1178" s="303"/>
      <c r="AR1178" s="303">
        <f>DIVISIONS!AR676</f>
        <v>-20</v>
      </c>
      <c r="AS1178" s="303">
        <f>DIVISIONS!AS676</f>
        <v>-28</v>
      </c>
      <c r="AT1178" s="627"/>
      <c r="AU1178" s="627"/>
      <c r="AV1178" s="303">
        <f>DIVISIONS!AV676</f>
        <v>-3</v>
      </c>
      <c r="AW1178" s="303">
        <f>DIVISIONS!AW676</f>
        <v>-9</v>
      </c>
      <c r="AX1178" s="627"/>
      <c r="AY1178" s="303"/>
      <c r="AZ1178" s="303">
        <f>DIVISIONS!AZ676</f>
        <v>4</v>
      </c>
      <c r="BA1178" s="303">
        <f>DIVISIONS!BA676</f>
        <v>-3</v>
      </c>
      <c r="BB1178" s="304"/>
      <c r="BC1178" s="304"/>
      <c r="BD1178" s="303">
        <f>DIVISIONS!BD676</f>
        <v>-7</v>
      </c>
      <c r="BE1178" s="303">
        <f>DIVISIONS!BE676</f>
        <v>-4</v>
      </c>
      <c r="BF1178" s="304"/>
      <c r="BG1178" s="304"/>
      <c r="BH1178" s="303"/>
      <c r="BI1178" s="303">
        <f>DIVISIONS!BI676</f>
        <v>0</v>
      </c>
      <c r="BJ1178" s="304"/>
      <c r="BK1178" s="973"/>
      <c r="BL1178" s="303"/>
      <c r="BM1178" s="303">
        <f>DIVISIONS!BM676</f>
        <v>0</v>
      </c>
      <c r="BN1178" s="304"/>
      <c r="BO1178" s="304"/>
      <c r="BP1178" s="303"/>
      <c r="BQ1178" s="303">
        <f>DIVISIONS!BQ676</f>
        <v>0</v>
      </c>
      <c r="BR1178" s="304"/>
      <c r="BS1178" s="304"/>
      <c r="BT1178" s="303"/>
      <c r="BU1178" s="303">
        <f>DIVISIONS!BU676</f>
        <v>0</v>
      </c>
      <c r="BV1178" s="304"/>
      <c r="BW1178" s="304"/>
      <c r="BX1178" s="303"/>
      <c r="BY1178" s="303">
        <f>DIVISIONS!BY676</f>
        <v>0</v>
      </c>
      <c r="BZ1178" s="304"/>
      <c r="CA1178" s="304"/>
      <c r="CB1178" s="303"/>
      <c r="CC1178" s="303">
        <f>DIVISIONS!CC676</f>
        <v>0</v>
      </c>
      <c r="CD1178" s="304"/>
      <c r="CE1178" s="300"/>
      <c r="CF1178" s="303"/>
      <c r="CG1178" s="303">
        <f>DIVISIONS!CG676</f>
        <v>0</v>
      </c>
      <c r="CH1178" s="304"/>
      <c r="CI1178" s="300"/>
      <c r="CJ1178" s="303"/>
      <c r="CK1178" s="303">
        <f>DIVISIONS!CK676</f>
        <v>0</v>
      </c>
      <c r="CL1178" s="304"/>
      <c r="CM1178" s="300"/>
      <c r="CN1178" s="304"/>
      <c r="CO1178" s="303">
        <f>DIVISIONS!CO676</f>
        <v>0</v>
      </c>
      <c r="CP1178" s="304"/>
      <c r="CQ1178" s="300"/>
      <c r="CR1178" s="303"/>
      <c r="CS1178" s="303">
        <f>DIVISIONS!CS676</f>
        <v>0</v>
      </c>
      <c r="CT1178" s="304"/>
      <c r="CU1178" s="304"/>
      <c r="CV1178" s="303"/>
      <c r="CW1178" s="303">
        <f>DIVISIONS!CW676</f>
        <v>0</v>
      </c>
      <c r="CX1178" s="304"/>
      <c r="CY1178" s="304"/>
      <c r="CZ1178" s="303"/>
      <c r="DA1178" s="303">
        <f>DIVISIONS!DA676</f>
        <v>0</v>
      </c>
      <c r="DB1178" s="304"/>
      <c r="DC1178" s="304"/>
      <c r="DD1178" s="303"/>
      <c r="DE1178" s="303">
        <f>DIVISIONS!DE676</f>
        <v>0</v>
      </c>
      <c r="DF1178" s="304"/>
      <c r="DG1178" s="304"/>
      <c r="DH1178" s="303"/>
      <c r="DI1178" s="303"/>
      <c r="DJ1178" s="303"/>
      <c r="DK1178" s="304"/>
      <c r="DL1178" s="303"/>
      <c r="DM1178" s="303"/>
      <c r="DN1178" s="303"/>
      <c r="DO1178" s="303"/>
      <c r="DP1178" s="303"/>
      <c r="DQ1178" s="303"/>
      <c r="DR1178" s="303"/>
      <c r="DS1178" s="303"/>
      <c r="DT1178" s="304"/>
      <c r="DU1178" s="303"/>
      <c r="DV1178" s="303"/>
      <c r="DW1178" s="303">
        <f>SUM(DW1173:DW1177)</f>
        <v>-1798</v>
      </c>
      <c r="DX1178" s="304">
        <f>SUM(DX1173:DX1177)</f>
        <v>-6239</v>
      </c>
      <c r="DY1178" s="304"/>
      <c r="DZ1178" s="303"/>
      <c r="EA1178" s="303"/>
      <c r="EB1178" s="304"/>
      <c r="EC1178" s="304"/>
      <c r="ED1178" s="303"/>
      <c r="EE1178" s="303"/>
      <c r="EF1178" s="304"/>
      <c r="EG1178" s="304"/>
      <c r="EH1178" s="304"/>
      <c r="EI1178" s="304"/>
      <c r="EJ1178" s="304"/>
      <c r="EK1178" s="304"/>
      <c r="EL1178" s="304"/>
      <c r="EM1178" s="304"/>
      <c r="EN1178" s="304"/>
      <c r="EO1178" s="304"/>
      <c r="EP1178" s="304"/>
      <c r="FL1178" s="102"/>
      <c r="FM1178" s="102"/>
      <c r="FN1178" s="102"/>
      <c r="FO1178" s="102"/>
      <c r="FP1178" s="102"/>
      <c r="FQ1178" s="102"/>
      <c r="FR1178" s="102"/>
      <c r="FS1178" s="102"/>
      <c r="FT1178" s="102"/>
      <c r="FU1178" s="102"/>
      <c r="FV1178" s="102"/>
      <c r="FW1178" s="102"/>
      <c r="FX1178" s="102"/>
      <c r="FY1178" s="102"/>
      <c r="FZ1178" s="102"/>
      <c r="GA1178" s="102"/>
      <c r="GB1178" s="102"/>
      <c r="GC1178" s="102"/>
      <c r="GD1178" s="102"/>
      <c r="GE1178" s="102"/>
      <c r="GF1178" s="102"/>
      <c r="GG1178" s="102"/>
      <c r="GH1178" s="102"/>
      <c r="GI1178" s="102"/>
      <c r="GJ1178" s="102"/>
      <c r="GK1178" s="102"/>
      <c r="GL1178" s="102"/>
      <c r="GM1178" s="102"/>
      <c r="GN1178" s="102"/>
      <c r="GO1178" s="102"/>
      <c r="GP1178" s="102"/>
      <c r="GQ1178" s="102"/>
      <c r="GR1178" s="102"/>
      <c r="GS1178" s="102"/>
      <c r="GT1178" s="102"/>
      <c r="GU1178" s="102"/>
      <c r="GV1178" s="102"/>
      <c r="GW1178" s="102"/>
      <c r="GX1178" s="102"/>
      <c r="GY1178" s="102"/>
      <c r="GZ1178" s="102"/>
      <c r="HA1178" s="102"/>
      <c r="HB1178" s="102"/>
      <c r="HC1178" s="102"/>
      <c r="HD1178" s="102"/>
      <c r="HE1178" s="102"/>
      <c r="HF1178" s="102"/>
      <c r="HG1178" s="102"/>
      <c r="HH1178" s="102"/>
      <c r="HI1178" s="102"/>
      <c r="HJ1178" s="102"/>
      <c r="HK1178" s="102"/>
      <c r="HL1178" s="102"/>
      <c r="HM1178" s="102"/>
      <c r="HN1178" s="102"/>
      <c r="HO1178" s="102"/>
      <c r="HP1178" s="102"/>
      <c r="HQ1178" s="102"/>
      <c r="HR1178" s="102"/>
      <c r="HS1178" s="102"/>
      <c r="HT1178" s="102"/>
      <c r="HU1178" s="102"/>
      <c r="HV1178" s="102"/>
      <c r="HW1178" s="102"/>
      <c r="HX1178" s="102"/>
      <c r="HY1178" s="102"/>
      <c r="HZ1178" s="102"/>
      <c r="IA1178" s="102"/>
      <c r="IB1178" s="102"/>
      <c r="IC1178" s="102"/>
      <c r="ID1178" s="102"/>
      <c r="IE1178" s="102"/>
      <c r="IF1178" s="102"/>
      <c r="IG1178" s="102"/>
      <c r="IH1178" s="102"/>
      <c r="II1178" s="102"/>
      <c r="IJ1178" s="102"/>
      <c r="IK1178" s="102"/>
      <c r="IL1178" s="102"/>
      <c r="IM1178" s="102"/>
      <c r="IN1178" s="102"/>
      <c r="IO1178" s="102"/>
      <c r="IP1178" s="102"/>
      <c r="IQ1178" s="102"/>
      <c r="IR1178" s="102"/>
      <c r="IS1178" s="102"/>
      <c r="IT1178" s="102"/>
      <c r="IU1178" s="102"/>
      <c r="IV1178" s="102"/>
      <c r="IW1178" s="102"/>
      <c r="IX1178" s="102"/>
      <c r="IY1178" s="102"/>
      <c r="IZ1178" s="102"/>
      <c r="JA1178" s="102"/>
      <c r="JB1178" s="102"/>
      <c r="JC1178" s="102"/>
      <c r="JD1178" s="102"/>
      <c r="JE1178" s="102"/>
      <c r="JF1178" s="102"/>
      <c r="JG1178" s="102"/>
      <c r="JH1178" s="102"/>
      <c r="JI1178" s="102"/>
      <c r="JJ1178" s="102"/>
      <c r="JK1178" s="102"/>
      <c r="JL1178" s="102"/>
      <c r="JM1178"/>
    </row>
    <row r="1179" spans="1:273">
      <c r="A1179" s="102" t="s">
        <v>691</v>
      </c>
      <c r="AN1179" s="293"/>
      <c r="AO1179" s="293"/>
      <c r="AP1179" s="293"/>
      <c r="AQ1179" s="293"/>
      <c r="AR1179" s="293">
        <f>DIVISIONS!AR720</f>
        <v>205</v>
      </c>
      <c r="AS1179" s="293">
        <f>DIVISIONS!AS720</f>
        <v>179</v>
      </c>
      <c r="AT1179" s="626"/>
      <c r="AU1179" s="626"/>
      <c r="AV1179" s="293">
        <f>DIVISIONS!AV720</f>
        <v>119</v>
      </c>
      <c r="AW1179" s="293">
        <f>DIVISIONS!AW720</f>
        <v>141</v>
      </c>
      <c r="AX1179" s="626"/>
      <c r="AY1179" s="293"/>
      <c r="AZ1179" s="293">
        <f>DIVISIONS!AZ720</f>
        <v>249</v>
      </c>
      <c r="BA1179" s="293">
        <f>DIVISIONS!BA720</f>
        <v>307</v>
      </c>
      <c r="BD1179" s="293">
        <f>DIVISIONS!BD720</f>
        <v>322.67</v>
      </c>
      <c r="BE1179" s="293">
        <f>DIVISIONS!BE720</f>
        <v>296</v>
      </c>
      <c r="BH1179" s="293">
        <f>DIVISIONS!BH720</f>
        <v>280</v>
      </c>
      <c r="BI1179" s="293">
        <f>DIVISIONS!BI720</f>
        <v>321</v>
      </c>
      <c r="BJ1179" s="293">
        <f>+BI1179+BH1179</f>
        <v>601</v>
      </c>
      <c r="BK1179" s="927"/>
      <c r="BL1179" s="293">
        <f>DIVISIONS!BL720</f>
        <v>293</v>
      </c>
      <c r="BM1179" s="293">
        <f>DIVISIONS!BM720</f>
        <v>341</v>
      </c>
      <c r="BN1179" s="293">
        <f>+BM1179+BL1179</f>
        <v>634</v>
      </c>
      <c r="BP1179" s="293">
        <f>DIVISIONS!BP720</f>
        <v>313</v>
      </c>
      <c r="BQ1179" s="293">
        <f>DIVISIONS!BQ720</f>
        <v>320</v>
      </c>
      <c r="BR1179" s="293">
        <f>+BQ1179+BP1179</f>
        <v>633</v>
      </c>
      <c r="BT1179" s="293">
        <f>DIVISIONS!BT720</f>
        <v>341</v>
      </c>
      <c r="BU1179" s="293">
        <f>DIVISIONS!BU720</f>
        <v>444</v>
      </c>
      <c r="BV1179" s="293">
        <f>+BU1179+BT1179</f>
        <v>785</v>
      </c>
      <c r="BX1179" s="293">
        <f>DIVISIONS!BX720</f>
        <v>422</v>
      </c>
      <c r="BY1179" s="293">
        <f>DIVISIONS!BY720</f>
        <v>366</v>
      </c>
      <c r="BZ1179" s="293">
        <f>+BY1179+BX1179</f>
        <v>788</v>
      </c>
      <c r="CB1179" s="293">
        <f>DIVISIONS!CB720</f>
        <v>364</v>
      </c>
      <c r="CC1179" s="293">
        <f>DIVISIONS!CC720</f>
        <v>385</v>
      </c>
      <c r="CD1179" s="293">
        <f>+CC1179+CB1179</f>
        <v>749</v>
      </c>
      <c r="CF1179" s="293">
        <f>DIVISIONS!CF720</f>
        <v>443</v>
      </c>
      <c r="CG1179" s="293">
        <f>DIVISIONS!CG720</f>
        <v>251</v>
      </c>
      <c r="CH1179" s="293">
        <f>+CG1179+CF1179</f>
        <v>694</v>
      </c>
      <c r="CJ1179" s="293">
        <f>DIVISIONS!CJ720</f>
        <v>531</v>
      </c>
      <c r="CK1179" s="293">
        <f>DIVISIONS!CK720</f>
        <v>432</v>
      </c>
      <c r="CL1179" s="293">
        <f>+CK1179+CJ1179</f>
        <v>963</v>
      </c>
      <c r="CM1179" s="115">
        <f>+CL1179/CH1179-1</f>
        <v>0.38760806916426516</v>
      </c>
      <c r="CN1179" s="293">
        <f>DIVISIONS!CN720</f>
        <v>489</v>
      </c>
      <c r="CO1179" s="293">
        <f>DIVISIONS!CO720</f>
        <v>510</v>
      </c>
      <c r="CP1179" s="293">
        <f>+CO1179+CN1179</f>
        <v>999</v>
      </c>
      <c r="CQ1179" s="684">
        <f>+CP1179/CL1179-1</f>
        <v>3.7383177570093462E-2</v>
      </c>
      <c r="CR1179" s="293">
        <f>DIVISIONS!CR720</f>
        <v>533</v>
      </c>
      <c r="CS1179" s="293">
        <f>DIVISIONS!CS720</f>
        <v>654</v>
      </c>
      <c r="CT1179" s="293">
        <f>+CS1179+CR1179</f>
        <v>1187</v>
      </c>
      <c r="CU1179" s="684">
        <f>+CT1179/CP1179-1</f>
        <v>0.18818818818818817</v>
      </c>
      <c r="CV1179" s="293">
        <f>DIVISIONS!CV720</f>
        <v>746</v>
      </c>
      <c r="CW1179" s="293">
        <f>DIVISIONS!CW720</f>
        <v>670</v>
      </c>
      <c r="CX1179" s="293">
        <f>+CW1179+CV1179</f>
        <v>1416</v>
      </c>
      <c r="CZ1179" s="293">
        <f>DIVISIONS!CZ720</f>
        <v>962</v>
      </c>
      <c r="DA1179" s="293">
        <f>DIVISIONS!DA720</f>
        <v>971</v>
      </c>
      <c r="DB1179" s="293">
        <f>+DA1179+CZ1179</f>
        <v>1933</v>
      </c>
      <c r="DD1179" s="293">
        <f>DIVISIONS!DD720</f>
        <v>821</v>
      </c>
      <c r="DE1179" s="293">
        <f>DIVISIONS!DE720</f>
        <v>877</v>
      </c>
      <c r="DF1179" s="293">
        <f>+DE1179+DD1179</f>
        <v>1698</v>
      </c>
      <c r="DH1179" s="293">
        <f>DIVISIONS!DH720</f>
        <v>916</v>
      </c>
      <c r="DI1179" s="293">
        <f>DIVISIONS!DI720</f>
        <v>982.24000000000012</v>
      </c>
      <c r="DJ1179" s="293">
        <f>DIVISIONS!DJ720</f>
        <v>1898.2400000000002</v>
      </c>
      <c r="DL1179" s="293">
        <f>DIVISIONS!DL720</f>
        <v>1007.6000000000001</v>
      </c>
      <c r="DM1179" s="293">
        <f>DIVISIONS!DM720</f>
        <v>1070.6416000000002</v>
      </c>
      <c r="DN1179" s="293">
        <f>DIVISIONS!DN720</f>
        <v>2078.2416000000003</v>
      </c>
      <c r="DP1179" s="293">
        <f>DIVISIONS!DP720</f>
        <v>1040.8508000000002</v>
      </c>
      <c r="DQ1179" s="293">
        <f>DIVISIONS!DQ720</f>
        <v>1105.9727728</v>
      </c>
      <c r="DR1179" s="293">
        <f>DIVISIONS!DR720</f>
        <v>2146.8235728</v>
      </c>
      <c r="DU1179" s="293"/>
      <c r="DV1179" s="293"/>
      <c r="DW1179" s="293"/>
      <c r="DZ1179" s="293"/>
      <c r="EA1179" s="293"/>
      <c r="ED1179" s="293"/>
      <c r="EE1179" s="293"/>
    </row>
    <row r="1180" spans="1:273" s="289" customFormat="1">
      <c r="A1180" s="289" t="s">
        <v>613</v>
      </c>
      <c r="B1180" s="290"/>
      <c r="AN1180" s="290"/>
      <c r="AO1180" s="290"/>
      <c r="AP1180" s="290"/>
      <c r="AQ1180" s="290"/>
      <c r="AR1180" s="295">
        <f>SUM(AR1172:AR1179)</f>
        <v>-676.33702713030186</v>
      </c>
      <c r="AS1180" s="295">
        <f>SUM(AS1172:AS1179)</f>
        <v>-823.02521971723343</v>
      </c>
      <c r="AT1180" s="674"/>
      <c r="AU1180" s="674"/>
      <c r="AV1180" s="295">
        <f>SUM(AV1172:AV1179)</f>
        <v>-735</v>
      </c>
      <c r="AW1180" s="295">
        <f>SUM(AW1172:AW1179)</f>
        <v>-863</v>
      </c>
      <c r="AX1180" s="674"/>
      <c r="AY1180" s="290"/>
      <c r="AZ1180" s="295">
        <f>SUM(AZ1172:AZ1179)</f>
        <v>-828</v>
      </c>
      <c r="BA1180" s="295">
        <f>SUM(BA1172:BA1179)</f>
        <v>-870</v>
      </c>
      <c r="BB1180" s="290"/>
      <c r="BC1180" s="290"/>
      <c r="BD1180" s="295">
        <f>SUM(BD1172:BD1179)</f>
        <v>-796.65660000000003</v>
      </c>
      <c r="BE1180" s="295">
        <f>SUM(BE1172:BE1179)</f>
        <v>-845.66669999999999</v>
      </c>
      <c r="BF1180" s="290"/>
      <c r="BG1180" s="290"/>
      <c r="BH1180" s="295">
        <f>SUM(BH1172:BH1179)</f>
        <v>-679</v>
      </c>
      <c r="BI1180" s="295">
        <f>SUM(BI1172:BI1179)</f>
        <v>-696</v>
      </c>
      <c r="BJ1180" s="290"/>
      <c r="BK1180" s="290"/>
      <c r="BL1180" s="295">
        <f>SUM(BL1172:BL1179)</f>
        <v>-760</v>
      </c>
      <c r="BM1180" s="295">
        <f>SUM(BM1172:BM1179)</f>
        <v>-751</v>
      </c>
      <c r="BN1180" s="290"/>
      <c r="BO1180" s="290"/>
      <c r="BP1180" s="295">
        <f>SUM(BP1172:BP1179)</f>
        <v>-832</v>
      </c>
      <c r="BQ1180" s="295">
        <f>SUM(BQ1172:BQ1179)</f>
        <v>-941</v>
      </c>
      <c r="BR1180" s="295">
        <f>SUM(BR1172:BR1179)</f>
        <v>-1773</v>
      </c>
      <c r="BS1180" s="290"/>
      <c r="BT1180" s="295">
        <f>SUM(BT1172:BT1179)</f>
        <v>-992</v>
      </c>
      <c r="BU1180" s="295">
        <f>SUM(BU1172:BU1179)</f>
        <v>-1015</v>
      </c>
      <c r="BV1180" s="295">
        <f>SUM(BV1172:BV1179)</f>
        <v>-2007</v>
      </c>
      <c r="BW1180" s="290"/>
      <c r="BX1180" s="295">
        <f>SUM(BX1172:BX1179)</f>
        <v>-1025</v>
      </c>
      <c r="BY1180" s="295">
        <f>SUM(BY1172:BY1179)</f>
        <v>-1004</v>
      </c>
      <c r="BZ1180" s="295">
        <f>SUM(BZ1172:BZ1179)</f>
        <v>-2029</v>
      </c>
      <c r="CA1180" s="290"/>
      <c r="CB1180" s="295">
        <f>SUM(CB1172:CB1179)</f>
        <v>-1010</v>
      </c>
      <c r="CC1180" s="295">
        <f>SUM(CC1172:CC1179)</f>
        <v>-1123</v>
      </c>
      <c r="CD1180" s="295">
        <f>SUM(CD1172:CD1179)</f>
        <v>-2133</v>
      </c>
      <c r="CE1180" s="581"/>
      <c r="CF1180" s="295">
        <f>SUM(CF1172:CF1179)</f>
        <v>-1092</v>
      </c>
      <c r="CG1180" s="295">
        <f>SUM(CG1172:CG1179)</f>
        <v>-1438</v>
      </c>
      <c r="CH1180" s="295">
        <f>SUM(CH1172:CH1179)</f>
        <v>-2530</v>
      </c>
      <c r="CI1180" s="581"/>
      <c r="CJ1180" s="295">
        <f>SUM(CJ1172:CJ1179)</f>
        <v>-1222</v>
      </c>
      <c r="CK1180" s="295">
        <f>SUM(CK1172:CK1179)</f>
        <v>-1362</v>
      </c>
      <c r="CL1180" s="295">
        <f>SUM(CL1172:CL1179)</f>
        <v>-2584</v>
      </c>
      <c r="CM1180" s="581">
        <f>+CL1180/CH1180-1</f>
        <v>2.134387351778666E-2</v>
      </c>
      <c r="CN1180" s="295">
        <f>SUM(CN1172:CN1179)</f>
        <v>-1181</v>
      </c>
      <c r="CO1180" s="295">
        <f>SUM(CO1172:CO1179)</f>
        <v>-1292</v>
      </c>
      <c r="CP1180" s="295">
        <f>SUM(CP1172:CP1179)</f>
        <v>-2473</v>
      </c>
      <c r="CQ1180" s="684">
        <f>+CP1180/CL1180-1</f>
        <v>-4.2956656346749278E-2</v>
      </c>
      <c r="CR1180" s="295">
        <f>SUM(CR1172:CR1179)</f>
        <v>-1407</v>
      </c>
      <c r="CS1180" s="295">
        <f>SUM(CS1172:CS1179)</f>
        <v>-1625</v>
      </c>
      <c r="CT1180" s="295">
        <f>SUM(CT1172:CT1179)</f>
        <v>-3032</v>
      </c>
      <c r="CU1180" s="1398">
        <f>+CT1180/CP1180-1</f>
        <v>0.22604124545086934</v>
      </c>
      <c r="CV1180" s="295">
        <f>SUM(CV1172:CV1179)</f>
        <v>-1485</v>
      </c>
      <c r="CW1180" s="295">
        <f>SUM(CW1172:CW1179)</f>
        <v>-1918</v>
      </c>
      <c r="CX1180" s="295">
        <f>SUM(CX1172:CX1179)</f>
        <v>-3403</v>
      </c>
      <c r="CY1180" s="1398">
        <f>+CX1180/CT1180-1</f>
        <v>0.12236147757255944</v>
      </c>
      <c r="CZ1180" s="295">
        <f>SUM(CZ1172:CZ1179)</f>
        <v>-1657</v>
      </c>
      <c r="DA1180" s="295">
        <f>SUM(DA1172:DA1179)</f>
        <v>-1611</v>
      </c>
      <c r="DB1180" s="295">
        <f>SUM(DB1172:DB1179)</f>
        <v>-3268</v>
      </c>
      <c r="DC1180" s="1398">
        <f>+DB1180/CX1180-1</f>
        <v>-3.9670878636497209E-2</v>
      </c>
      <c r="DD1180" s="295">
        <f>SUM(DD1172:DD1179)</f>
        <v>-1676</v>
      </c>
      <c r="DE1180" s="295">
        <f>SUM(DE1172:DE1179)</f>
        <v>-1776</v>
      </c>
      <c r="DF1180" s="295">
        <f>SUM(DF1172:DF1179)</f>
        <v>-3452</v>
      </c>
      <c r="DG1180" s="1398">
        <f>+DF1180/DB1180-1</f>
        <v>5.6303549571603329E-2</v>
      </c>
      <c r="DH1180" s="295">
        <f>SUM(DH1172:DH1179)</f>
        <v>-1798</v>
      </c>
      <c r="DI1180" s="295">
        <f>SUM(DI1172:DI1179)</f>
        <v>-1718.4049999999997</v>
      </c>
      <c r="DJ1180" s="295">
        <f>SUM(DJ1172:DJ1179)</f>
        <v>-3516.4050000000002</v>
      </c>
      <c r="DK1180" s="1398">
        <f>+DJ1180/DF1180-1</f>
        <v>1.8657300115874964E-2</v>
      </c>
      <c r="DL1180" s="295">
        <f>SUM(DL1172:DL1179)</f>
        <v>-1616.1849999999997</v>
      </c>
      <c r="DM1180" s="295">
        <f>SUM(DM1172:DM1179)</f>
        <v>-1663.9884</v>
      </c>
      <c r="DN1180" s="295">
        <f>SUM(DN1172:DN1179)</f>
        <v>-3280.1733999999997</v>
      </c>
      <c r="DO1180" s="290"/>
      <c r="DP1180" s="295">
        <f>SUM(DP1172:DP1179)</f>
        <v>-1657.4045499999997</v>
      </c>
      <c r="DQ1180" s="295">
        <f>SUM(DQ1172:DQ1179)</f>
        <v>-1706.1287712000001</v>
      </c>
      <c r="DR1180" s="295">
        <f>SUM(DR1172:DR1179)</f>
        <v>-3363.5333212000005</v>
      </c>
      <c r="DS1180" s="290"/>
      <c r="DT1180" s="290"/>
      <c r="DU1180" s="295"/>
      <c r="DV1180" s="295"/>
      <c r="DW1180" s="295"/>
      <c r="DX1180" s="290"/>
      <c r="DY1180" s="290"/>
      <c r="DZ1180" s="295"/>
      <c r="EA1180" s="295"/>
      <c r="EB1180" s="290"/>
      <c r="EC1180" s="290"/>
      <c r="ED1180" s="295"/>
      <c r="EE1180" s="295"/>
      <c r="EF1180" s="290"/>
      <c r="EG1180" s="290"/>
      <c r="EH1180" s="290"/>
      <c r="EI1180" s="290"/>
      <c r="EJ1180" s="290"/>
      <c r="EK1180" s="290"/>
      <c r="EL1180" s="290"/>
      <c r="EM1180" s="290"/>
      <c r="EN1180" s="290"/>
      <c r="EO1180" s="290"/>
      <c r="EP1180" s="290"/>
      <c r="JM1180"/>
    </row>
    <row r="1181" spans="1:273" s="659" customFormat="1">
      <c r="A1181" s="659" t="s">
        <v>743</v>
      </c>
      <c r="B1181" s="660"/>
      <c r="AN1181" s="660"/>
      <c r="AO1181" s="660"/>
      <c r="AP1181" s="660"/>
      <c r="AQ1181" s="660"/>
      <c r="AR1181" s="661">
        <f>AR1180-AR1160</f>
        <v>-676.33702713030186</v>
      </c>
      <c r="AS1181" s="661">
        <f>AS1180-AS1160</f>
        <v>-823.02521971723343</v>
      </c>
      <c r="AT1181" s="660"/>
      <c r="AU1181" s="660"/>
      <c r="AV1181" s="661">
        <f>AV1180-AV1160</f>
        <v>0</v>
      </c>
      <c r="AW1181" s="661">
        <f>AW1180-AW1160</f>
        <v>0</v>
      </c>
      <c r="AX1181" s="660"/>
      <c r="AY1181" s="660"/>
      <c r="AZ1181" s="661">
        <f>AZ1180-AZ1160</f>
        <v>0</v>
      </c>
      <c r="BA1181" s="661">
        <f>BA1180-BA1160</f>
        <v>0</v>
      </c>
      <c r="BB1181" s="660"/>
      <c r="BC1181" s="660"/>
      <c r="BD1181" s="661">
        <f>BD1180-BD1160</f>
        <v>-6.6566000000000258</v>
      </c>
      <c r="BE1181" s="661">
        <f>BE1180-BE1160</f>
        <v>-5.6666999999999916</v>
      </c>
      <c r="BF1181" s="660"/>
      <c r="BG1181" s="660"/>
      <c r="BH1181" s="661">
        <f>BH1180-BH1160</f>
        <v>0</v>
      </c>
      <c r="BI1181" s="661">
        <f>BI1180-BI1160</f>
        <v>0</v>
      </c>
      <c r="BJ1181" s="660"/>
      <c r="BK1181" s="660"/>
      <c r="BL1181" s="661">
        <f>BL1180-BL1160</f>
        <v>0</v>
      </c>
      <c r="BM1181" s="661">
        <f>BM1180-BM1160</f>
        <v>0</v>
      </c>
      <c r="BN1181" s="660"/>
      <c r="BO1181" s="660"/>
      <c r="BP1181" s="661">
        <f>BP1180-BP1160</f>
        <v>0</v>
      </c>
      <c r="BQ1181" s="661">
        <f>BQ1180-BQ1160</f>
        <v>0</v>
      </c>
      <c r="BR1181" s="660"/>
      <c r="BS1181" s="660"/>
      <c r="BT1181" s="661">
        <f>BT1180-BT1160</f>
        <v>0</v>
      </c>
      <c r="BU1181" s="661">
        <f>BU1180-BU1160</f>
        <v>0</v>
      </c>
      <c r="BV1181" s="660"/>
      <c r="BW1181" s="660"/>
      <c r="BX1181" s="661">
        <f>BX1180-BX1160</f>
        <v>0</v>
      </c>
      <c r="BY1181" s="661">
        <f>BY1180-BY1160</f>
        <v>0</v>
      </c>
      <c r="BZ1181" s="660"/>
      <c r="CA1181" s="660"/>
      <c r="CB1181" s="661">
        <f>CB1180-CB1160</f>
        <v>0</v>
      </c>
      <c r="CC1181" s="661">
        <f>CC1180-CC1160</f>
        <v>0</v>
      </c>
      <c r="CD1181" s="660"/>
      <c r="CE1181" s="660"/>
      <c r="CF1181" s="661">
        <f>CF1180-CF1160</f>
        <v>0</v>
      </c>
      <c r="CG1181" s="661">
        <f>CG1180-CG1160</f>
        <v>0</v>
      </c>
      <c r="CH1181" s="660"/>
      <c r="CI1181" s="660"/>
      <c r="CJ1181" s="661">
        <f>CJ1180-CJ1160</f>
        <v>0</v>
      </c>
      <c r="CK1181" s="661">
        <f>CK1180-CK1160</f>
        <v>0</v>
      </c>
      <c r="CL1181" s="660"/>
      <c r="CM1181" s="660"/>
      <c r="CN1181" s="661">
        <f>CN1180-CN1160</f>
        <v>-1</v>
      </c>
      <c r="CO1181" s="661">
        <f>CO1180-CO1160</f>
        <v>-1</v>
      </c>
      <c r="CP1181" s="660"/>
      <c r="CQ1181" s="660"/>
      <c r="CR1181" s="661">
        <f>CR1180-CR1160</f>
        <v>0</v>
      </c>
      <c r="CS1181" s="661">
        <f>CS1180-CS1160</f>
        <v>-1</v>
      </c>
      <c r="CT1181" s="660"/>
      <c r="CU1181" s="660"/>
      <c r="CV1181" s="661">
        <f>CV1180-CV1160</f>
        <v>-2</v>
      </c>
      <c r="CW1181" s="661">
        <f>CW1180-CW1160</f>
        <v>-2</v>
      </c>
      <c r="CX1181" s="660"/>
      <c r="CY1181" s="660"/>
      <c r="CZ1181" s="661">
        <f>CZ1180-CZ1160</f>
        <v>-1</v>
      </c>
      <c r="DA1181" s="661">
        <f>DA1180-DA1160</f>
        <v>0</v>
      </c>
      <c r="DB1181" s="660"/>
      <c r="DC1181" s="660"/>
      <c r="DD1181" s="2202">
        <f>DD1180-DD1160</f>
        <v>-93</v>
      </c>
      <c r="DE1181" s="2202">
        <f>DE1180-DE1160</f>
        <v>-85</v>
      </c>
      <c r="DF1181" s="660"/>
      <c r="DG1181" s="660"/>
      <c r="DH1181" s="2202">
        <f>DH1180-DH1160</f>
        <v>-143</v>
      </c>
      <c r="DI1181" s="661">
        <f>DI1180-DI1160</f>
        <v>0</v>
      </c>
      <c r="DJ1181" s="660"/>
      <c r="DK1181" s="660"/>
      <c r="DL1181" s="661">
        <f>DL1180-DL1160</f>
        <v>0</v>
      </c>
      <c r="DM1181" s="661">
        <f>DM1180-DM1160</f>
        <v>0</v>
      </c>
      <c r="DN1181" s="660"/>
      <c r="DO1181" s="660"/>
      <c r="DP1181" s="661">
        <f>DP1180-DP1160</f>
        <v>0</v>
      </c>
      <c r="DQ1181" s="661">
        <f>DQ1180-DQ1160</f>
        <v>0</v>
      </c>
      <c r="DR1181" s="660"/>
      <c r="DS1181" s="660"/>
      <c r="DT1181" s="660"/>
      <c r="DU1181" s="661"/>
      <c r="DV1181" s="661"/>
      <c r="DW1181" s="661"/>
      <c r="DX1181" s="660"/>
      <c r="DY1181" s="660"/>
      <c r="DZ1181" s="661"/>
      <c r="EA1181" s="661"/>
      <c r="EB1181" s="660"/>
      <c r="EC1181" s="660"/>
      <c r="ED1181" s="661"/>
      <c r="EE1181" s="661"/>
      <c r="EF1181" s="660"/>
      <c r="EG1181" s="660"/>
      <c r="EH1181" s="660"/>
      <c r="EI1181" s="660"/>
      <c r="EJ1181" s="660"/>
      <c r="EK1181" s="660"/>
      <c r="EL1181" s="660"/>
      <c r="EM1181" s="660"/>
      <c r="EN1181" s="660"/>
      <c r="EO1181" s="660"/>
      <c r="EP1181" s="660"/>
      <c r="JM1181"/>
    </row>
    <row r="1182" spans="1:273">
      <c r="AR1182" s="626"/>
      <c r="AS1182" s="626"/>
      <c r="AT1182" s="730"/>
      <c r="AU1182" s="730"/>
      <c r="AV1182" s="730"/>
      <c r="AW1182" s="730"/>
      <c r="AX1182" s="730"/>
      <c r="AZ1182" s="730"/>
      <c r="BD1182" s="730"/>
      <c r="BH1182" s="730"/>
      <c r="BL1182" s="730"/>
      <c r="BP1182" s="730"/>
      <c r="BT1182" s="730"/>
      <c r="BX1182" s="730"/>
      <c r="BY1182" s="730"/>
    </row>
    <row r="1184" spans="1:273" s="834" customFormat="1">
      <c r="A1184" s="939" t="s">
        <v>52</v>
      </c>
      <c r="B1184" s="833"/>
      <c r="AN1184" s="833"/>
      <c r="AO1184" s="833"/>
      <c r="AP1184" s="833"/>
      <c r="AQ1184" s="833"/>
      <c r="AR1184" s="833"/>
      <c r="AS1184" s="833"/>
      <c r="AT1184" s="833"/>
      <c r="AU1184" s="833"/>
      <c r="AV1184" s="833"/>
      <c r="AW1184" s="833"/>
      <c r="AX1184" s="833"/>
      <c r="AY1184" s="833"/>
      <c r="AZ1184" s="833"/>
      <c r="BA1184" s="833"/>
      <c r="BB1184" s="833"/>
      <c r="BC1184" s="833"/>
      <c r="BD1184" s="833"/>
      <c r="BE1184" s="833"/>
      <c r="BF1184" s="833"/>
      <c r="BG1184" s="833"/>
      <c r="BH1184" s="833"/>
      <c r="BI1184" s="833"/>
      <c r="BJ1184" s="833"/>
      <c r="BK1184" s="833"/>
      <c r="BL1184" s="833"/>
      <c r="BM1184" s="833"/>
      <c r="BN1184" s="833"/>
      <c r="BO1184" s="833"/>
      <c r="BP1184" s="833"/>
      <c r="BQ1184" s="833"/>
      <c r="BR1184" s="833"/>
      <c r="BS1184" s="833"/>
      <c r="BT1184" s="833"/>
      <c r="BU1184" s="833"/>
      <c r="BV1184" s="833"/>
      <c r="BW1184" s="833"/>
      <c r="BX1184" s="833"/>
      <c r="BY1184" s="833"/>
      <c r="BZ1184" s="833"/>
      <c r="CA1184" s="833"/>
      <c r="CB1184" s="833"/>
      <c r="CC1184" s="833"/>
      <c r="CD1184" s="833"/>
      <c r="CE1184" s="1607"/>
      <c r="CF1184" s="833"/>
      <c r="CG1184" s="833"/>
      <c r="CH1184" s="833"/>
      <c r="CI1184" s="1607"/>
      <c r="CJ1184" s="833"/>
      <c r="CK1184" s="833"/>
      <c r="CL1184" s="833"/>
      <c r="CM1184" s="1607"/>
      <c r="CN1184" s="833"/>
      <c r="CO1184" s="833"/>
      <c r="CP1184" s="833"/>
      <c r="CQ1184" s="1607"/>
      <c r="CR1184" s="833"/>
      <c r="CS1184" s="833"/>
      <c r="CT1184" s="833"/>
      <c r="CU1184" s="833"/>
      <c r="CV1184" s="833"/>
      <c r="CW1184" s="833"/>
      <c r="CX1184" s="833"/>
      <c r="CY1184" s="833"/>
      <c r="CZ1184" s="833"/>
      <c r="DA1184" s="833"/>
      <c r="DB1184" s="833"/>
      <c r="DC1184" s="833"/>
      <c r="DD1184" s="833"/>
      <c r="DE1184" s="833"/>
      <c r="DF1184" s="833"/>
      <c r="DG1184" s="833"/>
      <c r="DH1184" s="833"/>
      <c r="DI1184" s="833"/>
      <c r="DJ1184" s="833"/>
      <c r="DK1184" s="833"/>
      <c r="DL1184" s="833"/>
      <c r="DM1184" s="833"/>
      <c r="DN1184" s="833"/>
      <c r="DO1184" s="833"/>
      <c r="DP1184" s="833"/>
      <c r="DQ1184" s="833"/>
      <c r="DR1184" s="833"/>
      <c r="DS1184" s="833"/>
      <c r="DT1184" s="833"/>
      <c r="DU1184" s="833"/>
      <c r="DV1184" s="833"/>
      <c r="DW1184" s="833"/>
      <c r="DX1184" s="833"/>
      <c r="DY1184" s="833"/>
      <c r="DZ1184" s="833"/>
      <c r="EA1184" s="833"/>
      <c r="EB1184" s="833"/>
      <c r="EC1184" s="833"/>
      <c r="ED1184" s="833"/>
      <c r="EE1184" s="833"/>
      <c r="EF1184" s="833"/>
      <c r="EG1184" s="833"/>
      <c r="EH1184" s="833"/>
      <c r="EI1184" s="833"/>
      <c r="EJ1184" s="833"/>
      <c r="EK1184" s="833"/>
      <c r="EL1184" s="833"/>
      <c r="EM1184" s="833"/>
      <c r="EN1184" s="833"/>
      <c r="EO1184" s="833"/>
      <c r="EP1184" s="833"/>
      <c r="FL1184" s="102"/>
      <c r="FM1184" s="102"/>
      <c r="FN1184" s="102"/>
      <c r="FO1184" s="102"/>
      <c r="FP1184" s="102"/>
      <c r="FQ1184" s="102"/>
      <c r="FR1184" s="102"/>
      <c r="FS1184" s="102"/>
      <c r="FT1184" s="102"/>
      <c r="FU1184" s="102"/>
      <c r="FV1184" s="102"/>
      <c r="FW1184" s="102"/>
      <c r="FX1184" s="102"/>
      <c r="FY1184" s="102"/>
      <c r="FZ1184" s="102"/>
      <c r="GA1184" s="102"/>
      <c r="GB1184" s="102"/>
      <c r="GC1184" s="102"/>
      <c r="GD1184" s="102"/>
      <c r="GE1184" s="102"/>
      <c r="GF1184" s="102"/>
      <c r="GG1184" s="102"/>
      <c r="GH1184" s="102"/>
      <c r="GI1184" s="102"/>
      <c r="GJ1184" s="102"/>
      <c r="GK1184" s="102"/>
      <c r="GL1184" s="102"/>
      <c r="GM1184" s="102"/>
      <c r="GN1184" s="102"/>
      <c r="GO1184" s="102"/>
      <c r="GP1184" s="102"/>
      <c r="GQ1184" s="102"/>
      <c r="GR1184" s="102"/>
      <c r="GS1184" s="102"/>
      <c r="GT1184" s="102"/>
      <c r="GU1184" s="102"/>
      <c r="GV1184" s="102"/>
      <c r="GW1184" s="102"/>
      <c r="GX1184" s="102"/>
      <c r="GY1184" s="102"/>
      <c r="GZ1184" s="102"/>
      <c r="HA1184" s="102"/>
      <c r="HB1184" s="102"/>
      <c r="HC1184" s="102"/>
      <c r="HD1184" s="102"/>
      <c r="HE1184" s="102"/>
      <c r="HF1184" s="102"/>
      <c r="HG1184" s="102"/>
      <c r="HH1184" s="102"/>
      <c r="HI1184" s="102"/>
      <c r="HJ1184" s="102"/>
      <c r="HK1184" s="102"/>
      <c r="HL1184" s="102"/>
      <c r="HM1184" s="102"/>
      <c r="HN1184" s="102"/>
      <c r="HO1184" s="102"/>
      <c r="HP1184" s="102"/>
      <c r="HQ1184" s="102"/>
      <c r="HR1184" s="102"/>
      <c r="HS1184" s="102"/>
      <c r="HT1184" s="102"/>
      <c r="HU1184" s="102"/>
      <c r="HV1184" s="102"/>
      <c r="HW1184" s="102"/>
      <c r="HX1184" s="102"/>
      <c r="HY1184" s="102"/>
      <c r="HZ1184" s="102"/>
      <c r="IA1184" s="102"/>
      <c r="IB1184" s="102"/>
      <c r="IC1184" s="102"/>
      <c r="ID1184" s="102"/>
      <c r="IE1184" s="102"/>
      <c r="IF1184" s="102"/>
      <c r="IG1184" s="102"/>
      <c r="IH1184" s="102"/>
      <c r="II1184" s="102"/>
      <c r="IJ1184" s="102"/>
      <c r="IK1184" s="102"/>
      <c r="IL1184" s="102"/>
      <c r="IM1184" s="102"/>
      <c r="IN1184" s="102"/>
      <c r="IO1184" s="102"/>
      <c r="IP1184" s="102"/>
      <c r="IQ1184" s="102"/>
      <c r="IR1184" s="102"/>
      <c r="IS1184" s="102"/>
      <c r="IT1184" s="102"/>
      <c r="IU1184" s="102"/>
      <c r="IV1184" s="102"/>
      <c r="IW1184" s="102"/>
      <c r="IX1184" s="102"/>
      <c r="IY1184" s="102"/>
      <c r="IZ1184" s="102"/>
      <c r="JA1184" s="102"/>
      <c r="JB1184" s="102"/>
      <c r="JC1184" s="102"/>
      <c r="JD1184" s="102"/>
      <c r="JE1184" s="102"/>
      <c r="JF1184" s="102"/>
      <c r="JG1184" s="102"/>
      <c r="JH1184" s="102"/>
      <c r="JI1184" s="102"/>
      <c r="JJ1184" s="102"/>
      <c r="JK1184" s="102"/>
      <c r="JL1184" s="102"/>
      <c r="JM1184"/>
    </row>
    <row r="1186" spans="1:273" s="289" customFormat="1">
      <c r="A1186" s="289" t="s">
        <v>4</v>
      </c>
      <c r="B1186" s="290"/>
      <c r="AN1186" s="290"/>
      <c r="AO1186" s="290"/>
      <c r="AP1186" s="290"/>
      <c r="AQ1186" s="290"/>
      <c r="AR1186" s="649"/>
      <c r="AS1186" s="649"/>
      <c r="AT1186" s="649"/>
      <c r="AU1186" s="290"/>
      <c r="AV1186" s="649">
        <f>-AV24/AV20</f>
        <v>0.8286634460547504</v>
      </c>
      <c r="AW1186" s="649">
        <f>-AW24/AW20</f>
        <v>0.7843192754033399</v>
      </c>
      <c r="AX1186" s="649">
        <f>-AX24/AX20</f>
        <v>0.80506176559204579</v>
      </c>
      <c r="AY1186" s="290"/>
      <c r="AZ1186" s="649">
        <f>-AZ24/AZ20</f>
        <v>0.86442674132750608</v>
      </c>
      <c r="BA1186" s="649">
        <f>-BA24/BA20</f>
        <v>0.80533934973637966</v>
      </c>
      <c r="BB1186" s="649">
        <f>-BB24/BB20</f>
        <v>0.83363853087388806</v>
      </c>
      <c r="BC1186" s="290"/>
      <c r="BD1186" s="649">
        <f>-BD24/BD20</f>
        <v>0.8722255257484357</v>
      </c>
      <c r="BE1186" s="649">
        <f>-BE24/BE20</f>
        <v>0.82934564516129028</v>
      </c>
      <c r="BF1186" s="649">
        <f>-BF24/BF20</f>
        <v>0.8493157345113499</v>
      </c>
      <c r="BG1186" s="290"/>
      <c r="BH1186" s="649">
        <f>-BH24/BH20</f>
        <v>0.83071381794368038</v>
      </c>
      <c r="BI1186" s="649">
        <f>-BI24/BI20</f>
        <v>0.75353871773522063</v>
      </c>
      <c r="BJ1186" s="649">
        <f>-BJ24/BJ20</f>
        <v>0.7889439687546943</v>
      </c>
      <c r="BK1186" s="290"/>
      <c r="BL1186" s="649">
        <f>-BL24/BL20</f>
        <v>0.77983147594455016</v>
      </c>
      <c r="BM1186" s="649">
        <f>-BM24/BM20</f>
        <v>0.70864197530864192</v>
      </c>
      <c r="BN1186" s="649">
        <f>-BN24/BN20</f>
        <v>0.74084091467912461</v>
      </c>
      <c r="BO1186" s="290"/>
      <c r="BP1186" s="649">
        <f>-BP24/BP20</f>
        <v>0.73832866479925308</v>
      </c>
      <c r="BQ1186" s="649">
        <f>-BQ24/BQ20</f>
        <v>0.71856167135395743</v>
      </c>
      <c r="BR1186" s="649">
        <f>-BR24/BR20</f>
        <v>0.72770459943856614</v>
      </c>
      <c r="BS1186" s="290"/>
      <c r="BT1186" s="649">
        <f>-BT24/BT20</f>
        <v>0.69556224144415191</v>
      </c>
      <c r="BU1186" s="649">
        <f>-BU24/BU20</f>
        <v>0.71157024793388435</v>
      </c>
      <c r="BV1186" s="649">
        <f>-BV24/BV20</f>
        <v>0.70318960425280563</v>
      </c>
      <c r="BW1186" s="290"/>
      <c r="BX1186" s="649">
        <f>-BX24/BX20</f>
        <v>0.71540820237638947</v>
      </c>
      <c r="BY1186" s="649">
        <f>-BY24/BY20</f>
        <v>0.68538670812281388</v>
      </c>
      <c r="BZ1186" s="649">
        <f>-BZ24/BZ20</f>
        <v>0.70050173678116556</v>
      </c>
      <c r="CA1186" s="290"/>
      <c r="CB1186" s="649">
        <f>-CB24/CB20</f>
        <v>0.68426903835464148</v>
      </c>
      <c r="CC1186" s="649">
        <f>-CC24/CC20</f>
        <v>0.68133260908926307</v>
      </c>
      <c r="CD1186" s="649">
        <f>-CD24/CD20</f>
        <v>0.6827838827838828</v>
      </c>
      <c r="CE1186" s="581"/>
      <c r="CF1186" s="649">
        <f>-CF24/CF20</f>
        <v>0.70754716981132071</v>
      </c>
      <c r="CG1186" s="649">
        <f>-CG24/CG20</f>
        <v>0.68775274407856735</v>
      </c>
      <c r="CH1186" s="649">
        <f>-CH24/CH20</f>
        <v>0.6968010036067116</v>
      </c>
      <c r="CI1186" s="581"/>
      <c r="CJ1186" s="649">
        <f>-CJ24/CJ20</f>
        <v>0.70886075949367089</v>
      </c>
      <c r="CK1186" s="649">
        <f>-CK24/CK20</f>
        <v>0.73122398001665279</v>
      </c>
      <c r="CL1186" s="649">
        <f>-CL24/CL20</f>
        <v>0.71975659229208921</v>
      </c>
      <c r="CM1186" s="581"/>
      <c r="CN1186" s="649">
        <f>-CN24/CN20</f>
        <v>0.77296611705019025</v>
      </c>
      <c r="CO1186" s="649">
        <f>-CO24/CO20</f>
        <v>0.6341833218470021</v>
      </c>
      <c r="CP1186" s="649">
        <f>-CP24/CP20</f>
        <v>0.6941443557225615</v>
      </c>
      <c r="CQ1186" s="581"/>
      <c r="CR1186" s="649">
        <f>-CR24/CR20</f>
        <v>0.64953869810353659</v>
      </c>
      <c r="CS1186" s="649">
        <f>-CS24/CS20</f>
        <v>0.60042016806722687</v>
      </c>
      <c r="CT1186" s="649">
        <f>-CT24/CT20</f>
        <v>0.62254675594550912</v>
      </c>
      <c r="CU1186" s="290"/>
      <c r="CV1186" s="649">
        <f>-CV24/CV20</f>
        <v>0.64307055849230066</v>
      </c>
      <c r="CW1186" s="649">
        <f>-CW24/CW20</f>
        <v>0.62706333973128603</v>
      </c>
      <c r="CX1186" s="649">
        <f>-CX24/CX20</f>
        <v>0.63434787156155215</v>
      </c>
      <c r="CY1186" s="290"/>
      <c r="CZ1186" s="649">
        <f>-CZ24/CZ20</f>
        <v>0.74829329962073321</v>
      </c>
      <c r="DA1186" s="649">
        <f>-DA24/DA20</f>
        <v>0.6841929375069622</v>
      </c>
      <c r="DB1186" s="649">
        <f>-DB24/DB20</f>
        <v>0.71421803754367263</v>
      </c>
      <c r="DC1186" s="290"/>
      <c r="DD1186" s="649">
        <f>-DD24/DD20</f>
        <v>0.7204235637779941</v>
      </c>
      <c r="DE1186" s="649">
        <f ca="1">-DE24/DE20</f>
        <v>0.69183718861209964</v>
      </c>
      <c r="DF1186" s="649">
        <f ca="1">-DF24/DF20</f>
        <v>0.70548582054858211</v>
      </c>
      <c r="DG1186" s="290"/>
      <c r="DH1186" s="649">
        <f>-DH24/DH20</f>
        <v>0.71786905994707173</v>
      </c>
      <c r="DI1186" s="649">
        <f>-DI24/DI20</f>
        <v>0.64148664759555185</v>
      </c>
      <c r="DJ1186" s="649">
        <f>-DJ24/DJ20</f>
        <v>0.67706747979363369</v>
      </c>
      <c r="DK1186" s="290"/>
      <c r="DL1186" s="649">
        <f>-DL24/DL20</f>
        <v>0.69944369195298262</v>
      </c>
      <c r="DM1186" s="649">
        <f>-DM24/DM20</f>
        <v>0.64237120763127842</v>
      </c>
      <c r="DN1186" s="649">
        <f>-DN24/DN20</f>
        <v>0.66924331167185891</v>
      </c>
      <c r="DO1186" s="649"/>
      <c r="DP1186" s="649">
        <f>-DP24/DP20</f>
        <v>0.6903223427255577</v>
      </c>
      <c r="DQ1186" s="649">
        <f>-DQ24/DQ20</f>
        <v>0.63747918364907452</v>
      </c>
      <c r="DR1186" s="649">
        <f>-DR24/DR20</f>
        <v>0.66239341587021705</v>
      </c>
      <c r="DS1186" s="649"/>
      <c r="DT1186" s="290"/>
      <c r="DU1186" s="649"/>
      <c r="DV1186" s="649"/>
      <c r="DW1186" s="649"/>
      <c r="DX1186" s="649"/>
      <c r="DY1186" s="290"/>
      <c r="DZ1186" s="649"/>
      <c r="EA1186" s="649"/>
      <c r="EB1186" s="649"/>
      <c r="EC1186" s="290"/>
      <c r="ED1186" s="649"/>
      <c r="EE1186" s="649"/>
      <c r="EF1186" s="649"/>
      <c r="EG1186" s="290"/>
      <c r="EH1186" s="290"/>
      <c r="EI1186" s="290"/>
      <c r="EJ1186" s="290"/>
      <c r="EK1186" s="290"/>
      <c r="EL1186" s="290"/>
      <c r="EM1186" s="290"/>
      <c r="EN1186" s="290"/>
      <c r="EO1186" s="290"/>
      <c r="EP1186" s="290"/>
      <c r="JM1186"/>
    </row>
    <row r="1187" spans="1:273" s="289" customFormat="1">
      <c r="A1187" s="289" t="s">
        <v>5</v>
      </c>
      <c r="B1187" s="290"/>
      <c r="AN1187" s="290"/>
      <c r="AO1187" s="290"/>
      <c r="AP1187" s="290"/>
      <c r="AQ1187" s="290"/>
      <c r="AR1187" s="376"/>
      <c r="AS1187" s="376"/>
      <c r="AT1187" s="376"/>
      <c r="AU1187" s="290"/>
      <c r="AV1187" s="376">
        <f>AV707</f>
        <v>0.45152979066022542</v>
      </c>
      <c r="AW1187" s="376">
        <f>AW707</f>
        <v>0.40956694027738466</v>
      </c>
      <c r="AX1187" s="376">
        <f>AX707</f>
        <v>0.42919554082554984</v>
      </c>
      <c r="AY1187" s="290"/>
      <c r="AZ1187" s="376">
        <f>AZ707</f>
        <v>0.47901291996722201</v>
      </c>
      <c r="BA1187" s="376">
        <f>BA707</f>
        <v>0.46639885262365055</v>
      </c>
      <c r="BB1187" s="376">
        <f>BB707</f>
        <v>0.47244020538984827</v>
      </c>
      <c r="BC1187" s="290"/>
      <c r="BD1187" s="376">
        <f>BD707</f>
        <v>0.4722456326790665</v>
      </c>
      <c r="BE1187" s="376">
        <f>BE707</f>
        <v>0.48481169354838705</v>
      </c>
      <c r="BF1187" s="376">
        <f>BF707</f>
        <v>0.47895940676720955</v>
      </c>
      <c r="BG1187" s="290"/>
      <c r="BH1187" s="376">
        <f>BH707</f>
        <v>0.47216764898493779</v>
      </c>
      <c r="BI1187" s="376">
        <f>BI707</f>
        <v>0.4524007771301693</v>
      </c>
      <c r="BJ1187" s="376">
        <f>BJ707</f>
        <v>0.46146913023884634</v>
      </c>
      <c r="BK1187" s="290"/>
      <c r="BL1187" s="376">
        <f>BL707</f>
        <v>0.44088067409622178</v>
      </c>
      <c r="BM1187" s="376">
        <f>BM707</f>
        <v>0.42267115600448935</v>
      </c>
      <c r="BN1187" s="376">
        <f>BN707</f>
        <v>0.43090730268010818</v>
      </c>
      <c r="BO1187" s="290"/>
      <c r="BP1187" s="376">
        <f>BP707</f>
        <v>0.42507002801120447</v>
      </c>
      <c r="BQ1187" s="376">
        <f>BQ707</f>
        <v>0.41582965046203296</v>
      </c>
      <c r="BR1187" s="376">
        <f>BR707</f>
        <v>0.42010364931980132</v>
      </c>
      <c r="BS1187" s="290"/>
      <c r="BT1187" s="376">
        <f>BT707</f>
        <v>0.39827002632568637</v>
      </c>
      <c r="BU1187" s="376">
        <f>BU707</f>
        <v>0.37995867768595043</v>
      </c>
      <c r="BV1187" s="376">
        <f>BV707</f>
        <v>0.38954518606024807</v>
      </c>
      <c r="BW1187" s="290"/>
      <c r="BX1187" s="376">
        <f>BX707</f>
        <v>0.41031046377922575</v>
      </c>
      <c r="BY1187" s="376">
        <f>BY707</f>
        <v>0.38476486591527398</v>
      </c>
      <c r="BZ1187" s="376">
        <f>BZ707</f>
        <v>0.39762639907371672</v>
      </c>
      <c r="CA1187" s="290"/>
      <c r="CB1187" s="376">
        <f>CB707</f>
        <v>0.39466370205669815</v>
      </c>
      <c r="CC1187" s="376">
        <f>CC707</f>
        <v>0.37859858772406302</v>
      </c>
      <c r="CD1187" s="376">
        <f>CD707</f>
        <v>0.38653846153846155</v>
      </c>
      <c r="CE1187" s="581"/>
      <c r="CF1187" s="376">
        <f>CF707</f>
        <v>0.39399656946826755</v>
      </c>
      <c r="CG1187" s="376">
        <f>CG707</f>
        <v>0.37463893703061812</v>
      </c>
      <c r="CH1187" s="376">
        <f>CH707</f>
        <v>0.3834875333228791</v>
      </c>
      <c r="CI1187" s="581"/>
      <c r="CJ1187" s="376">
        <f>CJ707</f>
        <v>0.41170886075949364</v>
      </c>
      <c r="CK1187" s="376">
        <f>CK707</f>
        <v>0.39950041631973354</v>
      </c>
      <c r="CL1187" s="376">
        <f>CL707</f>
        <v>0.40576064908722109</v>
      </c>
      <c r="CM1187" s="581"/>
      <c r="CN1187" s="376">
        <f>CN707</f>
        <v>0.44047834752672588</v>
      </c>
      <c r="CO1187" s="376">
        <f>CO707</f>
        <v>0.380289455547898</v>
      </c>
      <c r="CP1187" s="376">
        <f>CP707</f>
        <v>0.40629403475810238</v>
      </c>
      <c r="CQ1187" s="581"/>
      <c r="CR1187" s="376">
        <f>CR707</f>
        <v>0.38454638646847772</v>
      </c>
      <c r="CS1187" s="376">
        <f>CS707</f>
        <v>0.35325630252100843</v>
      </c>
      <c r="CT1187" s="376">
        <f>CT707</f>
        <v>0.36735165088894017</v>
      </c>
      <c r="CU1187" s="290"/>
      <c r="CV1187" s="376">
        <f>CV707</f>
        <v>0.39462192599402435</v>
      </c>
      <c r="CW1187" s="376">
        <f>CW707</f>
        <v>0.36890595009596927</v>
      </c>
      <c r="CX1187" s="376">
        <f>CX707</f>
        <v>0.38060872293693127</v>
      </c>
      <c r="CY1187" s="290"/>
      <c r="CZ1187" s="376">
        <f>CZ707</f>
        <v>0.44323640960809102</v>
      </c>
      <c r="DA1187" s="376">
        <f>DA707</f>
        <v>0.41962793806394116</v>
      </c>
      <c r="DB1187" s="376">
        <f>DB707</f>
        <v>0.43068632676022978</v>
      </c>
      <c r="DC1187" s="290"/>
      <c r="DD1187" s="376">
        <f>DD707</f>
        <v>0.43098831548198635</v>
      </c>
      <c r="DE1187" s="376">
        <f ca="1">DE707</f>
        <v>0.41303380782918148</v>
      </c>
      <c r="DF1187" s="376">
        <f ca="1">DF707</f>
        <v>0.42160622966062294</v>
      </c>
      <c r="DG1187" s="290"/>
      <c r="DH1187" s="376">
        <f>DH707</f>
        <v>0.42963985732366816</v>
      </c>
      <c r="DI1187" s="376">
        <f>DI707</f>
        <v>0.38990000000000002</v>
      </c>
      <c r="DJ1187" s="376">
        <f>DJ707</f>
        <v>0.40841181641791935</v>
      </c>
      <c r="DK1187" s="290"/>
      <c r="DL1187" s="376">
        <f>DL707</f>
        <v>0.43</v>
      </c>
      <c r="DM1187" s="376">
        <f>DM707</f>
        <v>0.39500000000000002</v>
      </c>
      <c r="DN1187" s="376">
        <f>DN707</f>
        <v>0.41147945857970375</v>
      </c>
      <c r="DO1187" s="376"/>
      <c r="DP1187" s="376">
        <f>DP707</f>
        <v>0.42699999999999999</v>
      </c>
      <c r="DQ1187" s="376">
        <f>DQ707</f>
        <v>0.39500000000000002</v>
      </c>
      <c r="DR1187" s="376">
        <f>DR707</f>
        <v>0.41008720229845924</v>
      </c>
      <c r="DS1187" s="376"/>
      <c r="DT1187" s="290"/>
      <c r="DU1187" s="376"/>
      <c r="DV1187" s="376"/>
      <c r="DW1187" s="376"/>
      <c r="DX1187" s="376"/>
      <c r="DY1187" s="290"/>
      <c r="DZ1187" s="376"/>
      <c r="EA1187" s="376"/>
      <c r="EB1187" s="376"/>
      <c r="EC1187" s="290"/>
      <c r="ED1187" s="376"/>
      <c r="EE1187" s="376"/>
      <c r="EF1187" s="376"/>
      <c r="EG1187" s="290"/>
      <c r="EH1187" s="290"/>
      <c r="EI1187" s="290"/>
      <c r="EJ1187" s="290"/>
      <c r="EK1187" s="290"/>
      <c r="EL1187" s="290"/>
      <c r="EM1187" s="290"/>
      <c r="EN1187" s="290"/>
      <c r="EO1187" s="290"/>
      <c r="EP1187" s="290"/>
      <c r="JM1187"/>
    </row>
    <row r="1188" spans="1:273">
      <c r="A1188" s="102" t="s">
        <v>6</v>
      </c>
      <c r="AR1188" s="309"/>
      <c r="AS1188" s="309"/>
      <c r="AT1188" s="309"/>
      <c r="AV1188" s="309">
        <f>(-AV24*1000*2)/AV721</f>
        <v>404.01978487869985</v>
      </c>
      <c r="AW1188" s="309">
        <f>(-AW24*1000*2)/AW721</f>
        <v>404.30421302206821</v>
      </c>
      <c r="AX1188" s="309">
        <f>-AX24*1000/AX721</f>
        <v>404.16721813609638</v>
      </c>
      <c r="AZ1188" s="309">
        <f>(-AZ24*1000*2)/AZ721</f>
        <v>419.29994037760844</v>
      </c>
      <c r="BA1188" s="309">
        <f>(-BA24*1000*2)/BA721</f>
        <v>412.70759818585356</v>
      </c>
      <c r="BB1188" s="309">
        <f>-BB24*1000/BB721</f>
        <v>415.95541245777514</v>
      </c>
      <c r="BD1188" s="309">
        <f>(-BD24*1000*2)/BD721</f>
        <v>369.18593395118131</v>
      </c>
      <c r="BE1188" s="309">
        <f>(-BE24*1000*2)/BE721</f>
        <v>421.32684192557184</v>
      </c>
      <c r="BF1188" s="309">
        <f>-BF24*1000/BF721</f>
        <v>394.66741682517431</v>
      </c>
      <c r="BH1188" s="309">
        <f>(-BH24*1000*2)/BH721</f>
        <v>366.8172781492861</v>
      </c>
      <c r="BI1188" s="309">
        <f>(-BI24*1000*2)/BI721</f>
        <v>400.35390400353901</v>
      </c>
      <c r="BJ1188" s="309">
        <f>-BJ24*1000/BJ721</f>
        <v>383.42063477578432</v>
      </c>
      <c r="BL1188" s="309">
        <f>(-BL24*1000*2)/BL721</f>
        <v>416.34015382382819</v>
      </c>
      <c r="BM1188" s="309">
        <f>(-BM24*1000*2)/BM721</f>
        <v>454.01596318400806</v>
      </c>
      <c r="BN1188" s="309">
        <f>-BN24*1000/BN721</f>
        <v>435.26310087038172</v>
      </c>
      <c r="BP1188" s="309">
        <f>(-BP24*1000*2)/BP721</f>
        <v>451.03561370361126</v>
      </c>
      <c r="BQ1188" s="309">
        <f>(-BQ24*1000*2)/BQ721</f>
        <v>506.96240654785106</v>
      </c>
      <c r="BR1188" s="309">
        <f>-BR24*1000/BR721</f>
        <v>479.08447951096423</v>
      </c>
      <c r="BT1188" s="309">
        <f>(-BT24*1000*2)/BT721</f>
        <v>534.78873748509056</v>
      </c>
      <c r="BU1188" s="309">
        <f>(-BU24*1000*2)/BU721</f>
        <v>492.80961579738141</v>
      </c>
      <c r="BV1188" s="309">
        <f>-BV24*1000/BV721</f>
        <v>513.69087215260424</v>
      </c>
      <c r="BX1188" s="309">
        <f>(-BX24*1000*2)/BX721</f>
        <v>529.72896267915428</v>
      </c>
      <c r="BY1188" s="309">
        <f>(-BY24*1000*2)/BY721</f>
        <v>514.64633568015176</v>
      </c>
      <c r="BZ1188" s="309">
        <f>-BZ24*1000/BZ721</f>
        <v>522.29276451862381</v>
      </c>
      <c r="CB1188" s="309">
        <f>(-CB24*1000*2)/CB721</f>
        <v>535.93585603889267</v>
      </c>
      <c r="CC1188" s="309">
        <f>(-CC24*1000*2)/CC721</f>
        <v>529.34763495691925</v>
      </c>
      <c r="CD1188" s="309">
        <f>-CD24*1000/CD721</f>
        <v>532.59044965891644</v>
      </c>
      <c r="CF1188" s="309">
        <f>(-CF24*1000*2)/CF721</f>
        <v>555.74267430111149</v>
      </c>
      <c r="CG1188" s="309">
        <f>(-CG24*1000*2)/CG721</f>
        <v>617.98007981053115</v>
      </c>
      <c r="CH1188" s="309">
        <f>-CH24*1000/CH721</f>
        <v>587.44402029316018</v>
      </c>
      <c r="CJ1188" s="309">
        <f>(-CJ24*1000*2)/CJ721</f>
        <v>572.41423369322172</v>
      </c>
      <c r="CK1188" s="309">
        <f>(-CK24*1000*2)/CK721</f>
        <v>556.65071467055429</v>
      </c>
      <c r="CL1188" s="309">
        <f>-CL24*1000/CL721</f>
        <v>564.50150336467334</v>
      </c>
      <c r="CN1188" s="309">
        <f>(-CN24*1000*2)/CN721</f>
        <v>529.85561248253373</v>
      </c>
      <c r="CO1188" s="309">
        <f>(-CO24*1000*2)/CO721</f>
        <v>560.84107877495046</v>
      </c>
      <c r="CP1188" s="309">
        <f>-CP24*1000/CP721</f>
        <v>545.49369424792371</v>
      </c>
      <c r="CR1188" s="309">
        <f>(-CR24*1000*2)/CR721</f>
        <v>602.23357490792444</v>
      </c>
      <c r="CS1188" s="309">
        <f>(-CS24*1000*2)/CS721</f>
        <v>646.93565729160775</v>
      </c>
      <c r="CT1188" s="309">
        <f>-CT24*1000/CT721</f>
        <v>625.12679321837413</v>
      </c>
      <c r="CV1188" s="309">
        <f>(-CV24*1000*2)/CV721</f>
        <v>598.51867696997249</v>
      </c>
      <c r="CW1188" s="309">
        <f>(-CW24*1000*2)/CW721</f>
        <v>657.09616593337523</v>
      </c>
      <c r="CX1188" s="309">
        <f>-CX24*1000/CX721</f>
        <v>628.70915075025266</v>
      </c>
      <c r="CZ1188" s="309">
        <f>(-CZ24*1000*2)/CZ721</f>
        <v>566.69618707963332</v>
      </c>
      <c r="DA1188" s="309">
        <f>(-DA24*1000*2)/DA721</f>
        <v>585.84509729111028</v>
      </c>
      <c r="DB1188" s="309">
        <f>-DB24*1000/DB721</f>
        <v>576.2885982201517</v>
      </c>
      <c r="DD1188" s="309">
        <f>(-DD24*1000*2)/DD721</f>
        <v>581.44846386207917</v>
      </c>
      <c r="DE1188" s="309">
        <f>(-DE24*1000*2)/DE721</f>
        <v>625.41469789886401</v>
      </c>
      <c r="DF1188" s="309">
        <f>-DF24*1000/DF721</f>
        <v>603.17736345907804</v>
      </c>
      <c r="DH1188" s="309">
        <f>(-DH24*1000*2)/DH721</f>
        <v>630.90302356153302</v>
      </c>
      <c r="DI1188" s="309">
        <f>(-DI24*1000*2)/DI721</f>
        <v>638.70646548143782</v>
      </c>
      <c r="DJ1188" s="309">
        <f>-DJ24*1000/DJ721</f>
        <v>634.82839276498669</v>
      </c>
      <c r="DL1188" s="309">
        <f>(-DL24*1000*2)/DL721</f>
        <v>610.4156901883689</v>
      </c>
      <c r="DM1188" s="309">
        <f>(-DM24*1000*2)/DM721</f>
        <v>617.68856963715791</v>
      </c>
      <c r="DN1188" s="309">
        <f>-DN24*1000/DN721</f>
        <v>614.08813426647032</v>
      </c>
      <c r="DO1188" s="309"/>
      <c r="DP1188" s="309">
        <f>(-DP24*1000*2)/DP721</f>
        <v>611.69000867723287</v>
      </c>
      <c r="DQ1188" s="309">
        <f>(-DQ24*1000*2)/DQ721</f>
        <v>620.80046498853972</v>
      </c>
      <c r="DR1188" s="309">
        <f>-DR24*1000/DR721</f>
        <v>616.29033810175406</v>
      </c>
      <c r="DS1188" s="309"/>
      <c r="DU1188" s="309"/>
      <c r="DV1188" s="309"/>
      <c r="DW1188" s="309"/>
      <c r="DX1188" s="309"/>
      <c r="DZ1188" s="309"/>
      <c r="EA1188" s="309"/>
      <c r="EB1188" s="309"/>
      <c r="ED1188" s="309"/>
      <c r="EE1188" s="309"/>
      <c r="EF1188" s="309"/>
    </row>
    <row r="1189" spans="1:273">
      <c r="A1189" s="102" t="s">
        <v>54</v>
      </c>
      <c r="AR1189" s="309"/>
      <c r="AS1189" s="309"/>
      <c r="AT1189" s="309"/>
      <c r="AV1189" s="309">
        <f>-AV699*1000*2/AV721</f>
        <v>220.14603124754652</v>
      </c>
      <c r="AW1189" s="309">
        <f>-AW699*1000*2/AW721</f>
        <v>211.12529637060004</v>
      </c>
      <c r="AX1189" s="309">
        <f>-AX699*1000/AX721</f>
        <v>215.47013556694208</v>
      </c>
      <c r="AZ1189" s="309">
        <f>-AZ699*1000*2/AZ721</f>
        <v>232.35061941040078</v>
      </c>
      <c r="BA1189" s="309">
        <f>-BA699*1000*2/BA721</f>
        <v>239.01272218469558</v>
      </c>
      <c r="BB1189" s="309">
        <f>-BB699*1000/BB721</f>
        <v>235.73053933647742</v>
      </c>
      <c r="BD1189" s="309">
        <f>-BD699*1000*2/BD721</f>
        <v>199.88688682939562</v>
      </c>
      <c r="BE1189" s="309">
        <f>-BE699*1000*2/BE721</f>
        <v>246.29559576647321</v>
      </c>
      <c r="BF1189" s="309">
        <f>-BF699*1000/BF721</f>
        <v>222.56701972169387</v>
      </c>
      <c r="BH1189" s="309">
        <f>-BH699*1000*2/BH721</f>
        <v>208.49448761973613</v>
      </c>
      <c r="BI1189" s="309">
        <f>-BI699*1000*2/BI721</f>
        <v>240.35980240359802</v>
      </c>
      <c r="BJ1189" s="309">
        <f>-BJ699*1000/BJ721</f>
        <v>224.27040937380227</v>
      </c>
      <c r="BL1189" s="309">
        <f>-BL699*1000*2/BL721</f>
        <v>235.37948048178785</v>
      </c>
      <c r="BM1189" s="309">
        <f>-BM699*1000*2/BM721</f>
        <v>270.7988782627454</v>
      </c>
      <c r="BN1189" s="309">
        <f>-BN699*1000/BN721</f>
        <v>253.16912853479721</v>
      </c>
      <c r="BP1189" s="309">
        <f>-BP699*1000*2/BP721</f>
        <v>259.6698869915511</v>
      </c>
      <c r="BQ1189" s="309">
        <f>-BQ699*1000*2/BQ721</f>
        <v>293.37774155830351</v>
      </c>
      <c r="BR1189" s="309">
        <f>-BR699*1000/BR721</f>
        <v>276.57532786011302</v>
      </c>
      <c r="BT1189" s="309">
        <f>-BT699*1000*2/BT721</f>
        <v>306.21317815448009</v>
      </c>
      <c r="BU1189" s="309">
        <f>-BU699*1000*2/BU721</f>
        <v>263.14659798239967</v>
      </c>
      <c r="BV1189" s="309">
        <f>-BV699*1000/BV721</f>
        <v>284.56877797954013</v>
      </c>
      <c r="BX1189" s="309">
        <f>-BX699*1000*2/BX721</f>
        <v>303.81722718887471</v>
      </c>
      <c r="BY1189" s="309">
        <f>-BY699*1000*2/BY721</f>
        <v>288.91401889614417</v>
      </c>
      <c r="BZ1189" s="309">
        <f>-BZ699*1000/BZ721</f>
        <v>296.46948795884964</v>
      </c>
      <c r="CB1189" s="309">
        <f>-CB699*1000*2/CB721</f>
        <v>309.11003882015746</v>
      </c>
      <c r="CC1189" s="309">
        <f>-CC699*1000*2/CC721</f>
        <v>294.14454017935645</v>
      </c>
      <c r="CD1189" s="309">
        <f>-CD699*1000/CD721</f>
        <v>301.51076824172293</v>
      </c>
      <c r="CF1189" s="309">
        <f>-CF699*1000*2/CF721</f>
        <v>309.46446615021893</v>
      </c>
      <c r="CG1189" s="309">
        <f>-CG699*1000*2/CG721</f>
        <v>336.63173604126786</v>
      </c>
      <c r="CH1189" s="309">
        <f>-CH699*1000/CH721</f>
        <v>323.30243088262029</v>
      </c>
      <c r="CJ1189" s="309">
        <f>-CJ699*1000*2/CJ721</f>
        <v>332.46023126557208</v>
      </c>
      <c r="CK1189" s="309">
        <f>-CK699*1000*2/CK721</f>
        <v>304.1232212467911</v>
      </c>
      <c r="CL1189" s="309">
        <f>-CL699*1000/CL721</f>
        <v>318.23605211664199</v>
      </c>
      <c r="CN1189" s="309">
        <f>-CN699*1000*2/CN721</f>
        <v>301.94069243906227</v>
      </c>
      <c r="CO1189" s="309">
        <f>-CO699*1000*2/CO721</f>
        <v>336.30961450556146</v>
      </c>
      <c r="CP1189" s="309">
        <f>-CP699*1000/CP721</f>
        <v>319.286373423562</v>
      </c>
      <c r="CR1189" s="309">
        <f>-CR699*1000*2/CR721</f>
        <v>356.54033503623617</v>
      </c>
      <c r="CS1189" s="309">
        <f>-CS699*1000*2/CS721</f>
        <v>380.62362062135702</v>
      </c>
      <c r="CT1189" s="309">
        <f>-CT699*1000/CT721</f>
        <v>368.87407622083754</v>
      </c>
      <c r="CV1189" s="309">
        <f>-CV699*1000*2/CV721</f>
        <v>367.28254766170221</v>
      </c>
      <c r="CW1189" s="309">
        <f>-CW699*1000*2/CW721</f>
        <v>386.5744814582024</v>
      </c>
      <c r="CX1189" s="309">
        <f>-CX699*1000/CX721</f>
        <v>377.2254904501516</v>
      </c>
      <c r="CZ1189" s="309">
        <f>-CZ699*1000*2/CZ721</f>
        <v>335.67103090069173</v>
      </c>
      <c r="DA1189" s="309">
        <f>-DA699*1000*2/DA721</f>
        <v>359.30942388401371</v>
      </c>
      <c r="DB1189" s="309">
        <f>-DB699*1000/DB721</f>
        <v>347.51239323896556</v>
      </c>
      <c r="DD1189" s="309">
        <f>-DD699*1000*2/DD721</f>
        <v>347.84744222598789</v>
      </c>
      <c r="DE1189" s="309">
        <f>-DE699*1000*2/DE721</f>
        <v>373.3789082135317</v>
      </c>
      <c r="DF1189" s="309">
        <f>-DF699*1000/DF721</f>
        <v>360.46554957953964</v>
      </c>
      <c r="DH1189" s="309">
        <f>-DH699*1000*2/DH721</f>
        <v>377.59126301951665</v>
      </c>
      <c r="DI1189" s="309">
        <f>-DI699*1000*2/DI721</f>
        <v>388.2101861740129</v>
      </c>
      <c r="DJ1189" s="309">
        <f>-DJ699*1000/DJ721</f>
        <v>382.93290512467229</v>
      </c>
      <c r="DL1189" s="309">
        <f>-DL699*1000*2/DL721</f>
        <v>375.26787331244202</v>
      </c>
      <c r="DM1189" s="309">
        <f>-DM699*1000*2/DM721</f>
        <v>379.82241748718923</v>
      </c>
      <c r="DN1189" s="309">
        <f>-DN699*1000/DN721</f>
        <v>377.56769264820554</v>
      </c>
      <c r="DO1189" s="309"/>
      <c r="DP1189" s="309">
        <f>-DP699*1000*2/DP721</f>
        <v>378.36184277902896</v>
      </c>
      <c r="DQ1189" s="309">
        <f>-DQ699*1000*2/DQ721</f>
        <v>384.66539764765423</v>
      </c>
      <c r="DR1189" s="309">
        <f>-DR699*1000/DR721</f>
        <v>381.54482593051301</v>
      </c>
      <c r="DS1189" s="309"/>
      <c r="DU1189" s="309"/>
      <c r="DV1189" s="309"/>
      <c r="DW1189" s="309"/>
      <c r="DX1189" s="309"/>
      <c r="DZ1189" s="309"/>
      <c r="EA1189" s="309"/>
      <c r="EB1189" s="309"/>
      <c r="ED1189" s="309"/>
      <c r="EE1189" s="309"/>
      <c r="EF1189" s="309"/>
    </row>
    <row r="1191" spans="1:273" s="834" customFormat="1">
      <c r="A1191" s="939" t="s">
        <v>943</v>
      </c>
      <c r="B1191" s="833"/>
      <c r="AN1191" s="833"/>
      <c r="AO1191" s="833"/>
      <c r="AP1191" s="833"/>
      <c r="AQ1191" s="833"/>
      <c r="AR1191" s="833"/>
      <c r="AS1191" s="833"/>
      <c r="AT1191" s="833"/>
      <c r="AU1191" s="833"/>
      <c r="AV1191" s="833"/>
      <c r="AW1191" s="833"/>
      <c r="AX1191" s="833"/>
      <c r="AY1191" s="833"/>
      <c r="AZ1191" s="833"/>
      <c r="BA1191" s="833"/>
      <c r="BB1191" s="833"/>
      <c r="BC1191" s="833"/>
      <c r="BD1191" s="833"/>
      <c r="BE1191" s="833"/>
      <c r="BF1191" s="833"/>
      <c r="BG1191" s="833"/>
      <c r="BH1191" s="833"/>
      <c r="BI1191" s="833"/>
      <c r="BJ1191" s="833"/>
      <c r="BK1191" s="833"/>
      <c r="BL1191" s="833"/>
      <c r="BM1191" s="833"/>
      <c r="BN1191" s="833"/>
      <c r="BO1191" s="833"/>
      <c r="BP1191" s="833"/>
      <c r="BQ1191" s="833"/>
      <c r="BR1191" s="833"/>
      <c r="BS1191" s="833"/>
      <c r="BT1191" s="833"/>
      <c r="BU1191" s="833"/>
      <c r="BV1191" s="833"/>
      <c r="BW1191" s="833"/>
      <c r="BX1191" s="833"/>
      <c r="BY1191" s="833"/>
      <c r="BZ1191" s="833"/>
      <c r="CA1191" s="833"/>
      <c r="CB1191" s="833"/>
      <c r="CC1191" s="833"/>
      <c r="CD1191" s="833"/>
      <c r="CE1191" s="1607"/>
      <c r="CF1191" s="833"/>
      <c r="CG1191" s="833"/>
      <c r="CH1191" s="833"/>
      <c r="CI1191" s="1607"/>
      <c r="CJ1191" s="833"/>
      <c r="CK1191" s="833"/>
      <c r="CL1191" s="833"/>
      <c r="CM1191" s="1607"/>
      <c r="CN1191" s="833"/>
      <c r="CO1191" s="833"/>
      <c r="CP1191" s="833"/>
      <c r="CQ1191" s="1607"/>
      <c r="CR1191" s="833"/>
      <c r="CS1191" s="833"/>
      <c r="CT1191" s="833"/>
      <c r="CU1191" s="833"/>
      <c r="CV1191" s="833"/>
      <c r="CW1191" s="833"/>
      <c r="CX1191" s="833"/>
      <c r="CY1191" s="833"/>
      <c r="CZ1191" s="833"/>
      <c r="DA1191" s="833"/>
      <c r="DB1191" s="833"/>
      <c r="DC1191" s="833"/>
      <c r="DD1191" s="833"/>
      <c r="DE1191" s="833"/>
      <c r="DF1191" s="833"/>
      <c r="DG1191" s="833"/>
      <c r="DH1191" s="833"/>
      <c r="DI1191" s="833"/>
      <c r="DJ1191" s="833"/>
      <c r="DK1191" s="833"/>
      <c r="DL1191" s="833"/>
      <c r="DM1191" s="833"/>
      <c r="DN1191" s="833"/>
      <c r="DO1191" s="833"/>
      <c r="DP1191" s="833"/>
      <c r="DQ1191" s="833"/>
      <c r="DR1191" s="833"/>
      <c r="DS1191" s="833"/>
      <c r="DT1191" s="833"/>
      <c r="DU1191" s="833"/>
      <c r="DV1191" s="833"/>
      <c r="DW1191" s="833"/>
      <c r="DX1191" s="833"/>
      <c r="DY1191" s="833"/>
      <c r="DZ1191" s="833"/>
      <c r="EA1191" s="833"/>
      <c r="EB1191" s="833"/>
      <c r="EC1191" s="833"/>
      <c r="ED1191" s="833"/>
      <c r="EE1191" s="833"/>
      <c r="EF1191" s="833"/>
      <c r="EG1191" s="833"/>
      <c r="EH1191" s="833"/>
      <c r="EI1191" s="833"/>
      <c r="EJ1191" s="833"/>
      <c r="EK1191" s="833"/>
      <c r="EL1191" s="833"/>
      <c r="EM1191" s="833"/>
      <c r="EN1191" s="833"/>
      <c r="EO1191" s="833"/>
      <c r="EP1191" s="833"/>
      <c r="FL1191" s="102"/>
      <c r="FM1191" s="102"/>
      <c r="FN1191" s="102"/>
      <c r="FO1191" s="102"/>
      <c r="FP1191" s="102"/>
      <c r="FQ1191" s="102"/>
      <c r="FR1191" s="102"/>
      <c r="FS1191" s="102"/>
      <c r="FT1191" s="102"/>
      <c r="FU1191" s="102"/>
      <c r="FV1191" s="102"/>
      <c r="FW1191" s="102"/>
      <c r="FX1191" s="102"/>
      <c r="FY1191" s="102"/>
      <c r="FZ1191" s="102"/>
      <c r="GA1191" s="102"/>
      <c r="GB1191" s="102"/>
      <c r="GC1191" s="102"/>
      <c r="GD1191" s="102"/>
      <c r="GE1191" s="102"/>
      <c r="GF1191" s="102"/>
      <c r="GG1191" s="102"/>
      <c r="GH1191" s="102"/>
      <c r="GI1191" s="102"/>
      <c r="GJ1191" s="102"/>
      <c r="GK1191" s="102"/>
      <c r="GL1191" s="102"/>
      <c r="GM1191" s="102"/>
      <c r="GN1191" s="102"/>
      <c r="GO1191" s="102"/>
      <c r="GP1191" s="102"/>
      <c r="GQ1191" s="102"/>
      <c r="GR1191" s="102"/>
      <c r="GS1191" s="102"/>
      <c r="GT1191" s="102"/>
      <c r="GU1191" s="102"/>
      <c r="GV1191" s="102"/>
      <c r="GW1191" s="102"/>
      <c r="GX1191" s="102"/>
      <c r="GY1191" s="102"/>
      <c r="GZ1191" s="102"/>
      <c r="HA1191" s="102"/>
      <c r="HB1191" s="102"/>
      <c r="HC1191" s="102"/>
      <c r="HD1191" s="102"/>
      <c r="HE1191" s="102"/>
      <c r="HF1191" s="102"/>
      <c r="HG1191" s="102"/>
      <c r="HH1191" s="102"/>
      <c r="HI1191" s="102"/>
      <c r="HJ1191" s="102"/>
      <c r="HK1191" s="102"/>
      <c r="HL1191" s="102"/>
      <c r="HM1191" s="102"/>
      <c r="HN1191" s="102"/>
      <c r="HO1191" s="102"/>
      <c r="HP1191" s="102"/>
      <c r="HQ1191" s="102"/>
      <c r="HR1191" s="102"/>
      <c r="HS1191" s="102"/>
      <c r="HT1191" s="102"/>
      <c r="HU1191" s="102"/>
      <c r="HV1191" s="102"/>
      <c r="HW1191" s="102"/>
      <c r="HX1191" s="102"/>
      <c r="HY1191" s="102"/>
      <c r="HZ1191" s="102"/>
      <c r="IA1191" s="102"/>
      <c r="IB1191" s="102"/>
      <c r="IC1191" s="102"/>
      <c r="ID1191" s="102"/>
      <c r="IE1191" s="102"/>
      <c r="IF1191" s="102"/>
      <c r="IG1191" s="102"/>
      <c r="IH1191" s="102"/>
      <c r="II1191" s="102"/>
      <c r="IJ1191" s="102"/>
      <c r="IK1191" s="102"/>
      <c r="IL1191" s="102"/>
      <c r="IM1191" s="102"/>
      <c r="IN1191" s="102"/>
      <c r="IO1191" s="102"/>
      <c r="IP1191" s="102"/>
      <c r="IQ1191" s="102"/>
      <c r="IR1191" s="102"/>
      <c r="IS1191" s="102"/>
      <c r="IT1191" s="102"/>
      <c r="IU1191" s="102"/>
      <c r="IV1191" s="102"/>
      <c r="IW1191" s="102"/>
      <c r="IX1191" s="102"/>
      <c r="IY1191" s="102"/>
      <c r="IZ1191" s="102"/>
      <c r="JA1191" s="102"/>
      <c r="JB1191" s="102"/>
      <c r="JC1191" s="102"/>
      <c r="JD1191" s="102"/>
      <c r="JE1191" s="102"/>
      <c r="JF1191" s="102"/>
      <c r="JG1191" s="102"/>
      <c r="JH1191" s="102"/>
      <c r="JI1191" s="102"/>
      <c r="JJ1191" s="102"/>
      <c r="JK1191" s="102"/>
      <c r="JL1191" s="102"/>
      <c r="JM1191"/>
    </row>
    <row r="1193" spans="1:273">
      <c r="A1193" s="102" t="s">
        <v>6</v>
      </c>
      <c r="AR1193" s="309"/>
      <c r="AS1193" s="309"/>
      <c r="AT1193" s="309"/>
      <c r="AV1193" s="309">
        <f>(AV20*1000*2)/AV721</f>
        <v>487.55593938918111</v>
      </c>
      <c r="AW1193" s="309">
        <f>(AW20*1000*2)/AW721</f>
        <v>515.48422396498268</v>
      </c>
      <c r="AX1193" s="309">
        <f>AX20*1000/AX721</f>
        <v>502.03255875512866</v>
      </c>
      <c r="AZ1193" s="309">
        <f>(AZ20*1000*2)/AZ721</f>
        <v>485.06127856906261</v>
      </c>
      <c r="BA1193" s="309">
        <f>(BA20*1000*2)/BA721</f>
        <v>512.46421563897195</v>
      </c>
      <c r="BB1193" s="309">
        <f>BB20*1000/BB721</f>
        <v>498.96375593596503</v>
      </c>
      <c r="BD1193" s="309">
        <f>(BD20*1000*2)/BD721</f>
        <v>423.26889440020886</v>
      </c>
      <c r="BE1193" s="309">
        <f>(BE20*1000*2)/BE721</f>
        <v>508.0232161147149</v>
      </c>
      <c r="BF1193" s="309">
        <f>BF20*1000/BF721</f>
        <v>464.68869089331599</v>
      </c>
      <c r="BH1193" s="309">
        <f>(BH20*1000*2)/BH721</f>
        <v>441.56876920296401</v>
      </c>
      <c r="BI1193" s="309">
        <f>(BI20*1000*2)/BI721</f>
        <v>531.2983853129839</v>
      </c>
      <c r="BJ1193" s="309">
        <f>BJ20*1000/BJ721</f>
        <v>485.9922250004563</v>
      </c>
      <c r="BL1193" s="309">
        <f>(BL20*1000*2)/BL721</f>
        <v>533.88477724568281</v>
      </c>
      <c r="BM1193" s="309">
        <f>(BM20*1000*2)/BM721</f>
        <v>640.68454735025523</v>
      </c>
      <c r="BN1193" s="309">
        <f>BN20*1000/BN721</f>
        <v>587.52573224023979</v>
      </c>
      <c r="BP1193" s="309">
        <f>(BP20*1000*2)/BP721</f>
        <v>610.88731239527999</v>
      </c>
      <c r="BQ1193" s="309">
        <f>(BQ20*1000*2)/BQ721</f>
        <v>705.52386351557243</v>
      </c>
      <c r="BR1193" s="309">
        <f>BR20*1000/BR721</f>
        <v>658.35021501936956</v>
      </c>
      <c r="BT1193" s="309">
        <f>(BT20*1000*2)/BT721</f>
        <v>768.85820652763221</v>
      </c>
      <c r="BU1193" s="309">
        <f>(BU20*1000*2)/BU721</f>
        <v>692.5663590183874</v>
      </c>
      <c r="BV1193" s="309">
        <f>BV20*1000/BV721</f>
        <v>730.51545279660559</v>
      </c>
      <c r="BX1193" s="309">
        <f>(BX20*1000*2)/BX721</f>
        <v>740.45693202781331</v>
      </c>
      <c r="BY1193" s="309">
        <f>(BY20*1000*2)/BY721</f>
        <v>750.88461678765555</v>
      </c>
      <c r="BZ1193" s="309">
        <f>BZ20*1000/BZ721</f>
        <v>745.59810075358359</v>
      </c>
      <c r="CB1193" s="309">
        <f>(CB20*1000*2)/CB721</f>
        <v>783.22388709501865</v>
      </c>
      <c r="CC1193" s="309">
        <f>(CC20*1000*2)/CC721</f>
        <v>776.92983998593286</v>
      </c>
      <c r="CD1193" s="309">
        <f>CD20*1000/CD721</f>
        <v>780.02785813779064</v>
      </c>
      <c r="CF1193" s="309">
        <f>(CF20*1000*2)/CF721</f>
        <v>785.44964634557095</v>
      </c>
      <c r="CG1193" s="309">
        <f>(CG20*1000*2)/CG721</f>
        <v>898.54978425201955</v>
      </c>
      <c r="CH1193" s="309">
        <f>CH20*1000/CH721</f>
        <v>843.05851635185832</v>
      </c>
      <c r="CJ1193" s="309">
        <f>(CJ20*1000*2)/CJ721</f>
        <v>807.51293681722359</v>
      </c>
      <c r="CK1193" s="309">
        <f>(CK20*1000*2)/CK721</f>
        <v>761.25883434221782</v>
      </c>
      <c r="CL1193" s="309">
        <f>CL20*1000/CL721</f>
        <v>784.29500946562939</v>
      </c>
      <c r="CN1193" s="309">
        <f>(CN20*1000*2)/CN721</f>
        <v>685.48362055581435</v>
      </c>
      <c r="CO1193" s="309">
        <f>(CO20*1000*2)/CO721</f>
        <v>884.35166844430898</v>
      </c>
      <c r="CP1193" s="309">
        <f>CP20*1000/CP721</f>
        <v>785.85050753614269</v>
      </c>
      <c r="CR1193" s="309">
        <f>(CR20*1000*2)/CR721</f>
        <v>927.17120114054887</v>
      </c>
      <c r="CS1193" s="309">
        <f>(CS20*1000*2)/CS721</f>
        <v>1077.4715635787447</v>
      </c>
      <c r="CT1193" s="309">
        <f>CT20*1000/CT721</f>
        <v>1004.1443269091436</v>
      </c>
      <c r="CV1193" s="309">
        <f>(CV20*1000*2)/CV721</f>
        <v>930.72007272921735</v>
      </c>
      <c r="CW1193" s="309">
        <f>(CW20*1000*2)/CW721</f>
        <v>1047.8944060339409</v>
      </c>
      <c r="CX1193" s="309">
        <f>CX20*1000/CX721</f>
        <v>991.11099593127221</v>
      </c>
      <c r="CZ1193" s="309">
        <f>(CZ20*1000*2)/CZ721</f>
        <v>757.31826994423034</v>
      </c>
      <c r="DA1193" s="309">
        <f>(DA20*1000*2)/DA721</f>
        <v>856.25715375810762</v>
      </c>
      <c r="DB1193" s="309">
        <f>DB20*1000/DB721</f>
        <v>806.88048736785527</v>
      </c>
      <c r="DD1193" s="309">
        <f>(DD20*1000*2)/DD721</f>
        <v>807.0925120950908</v>
      </c>
      <c r="DE1193" s="309">
        <f ca="1">(DE20*1000*2)/DE721</f>
        <v>903.99115311149092</v>
      </c>
      <c r="DF1193" s="309">
        <f ca="1">DF20*1000/DF721</f>
        <v>854.98155439899631</v>
      </c>
      <c r="DH1193" s="309">
        <f>(DH20*1000*2)/DH721</f>
        <v>878.8552937607443</v>
      </c>
      <c r="DI1193" s="309">
        <f>(DI20*1000*2)/DI721</f>
        <v>995.66603276227977</v>
      </c>
      <c r="DJ1193" s="309">
        <f>DJ20*1000/DJ721</f>
        <v>937.61465690019372</v>
      </c>
      <c r="DL1193" s="309">
        <f>(DL20*1000*2)/DL721</f>
        <v>872.71598444753965</v>
      </c>
      <c r="DM1193" s="309">
        <f>(DM20*1000*2)/DM721</f>
        <v>961.57574047389676</v>
      </c>
      <c r="DN1193" s="309">
        <f>DN20*1000/DN721</f>
        <v>917.58576224302692</v>
      </c>
      <c r="DO1193" s="309"/>
      <c r="DP1193" s="309">
        <f>(DP20*1000*2)/DP721</f>
        <v>886.09330861599301</v>
      </c>
      <c r="DQ1193" s="309">
        <f>(DQ20*1000*2)/DQ721</f>
        <v>973.83644974089668</v>
      </c>
      <c r="DR1193" s="309">
        <f>DR20*1000/DR721</f>
        <v>930.39925116421159</v>
      </c>
      <c r="DS1193" s="309"/>
      <c r="DU1193" s="309"/>
      <c r="DV1193" s="309"/>
      <c r="DW1193" s="309"/>
      <c r="DX1193" s="309"/>
      <c r="DZ1193" s="309"/>
      <c r="EA1193" s="309"/>
      <c r="EB1193" s="309"/>
      <c r="ED1193" s="309"/>
      <c r="EE1193" s="309"/>
      <c r="EF1193" s="309"/>
    </row>
    <row r="1194" spans="1:273">
      <c r="A1194" s="102" t="s">
        <v>56</v>
      </c>
      <c r="AR1194" s="309"/>
      <c r="AS1194" s="309"/>
      <c r="AT1194" s="309"/>
      <c r="AV1194" s="309">
        <f>+AV1193-AV1188</f>
        <v>83.536154510481254</v>
      </c>
      <c r="AW1194" s="309">
        <f>+AW1193-AW1188</f>
        <v>111.18001094291446</v>
      </c>
      <c r="AX1194" s="309">
        <f>+AX1193-AX1188</f>
        <v>97.865340619032281</v>
      </c>
      <c r="AZ1194" s="309">
        <f>+AZ1193-AZ1188</f>
        <v>65.761338191454172</v>
      </c>
      <c r="BA1194" s="309">
        <f>+BA1193-BA1188</f>
        <v>99.756617453118395</v>
      </c>
      <c r="BB1194" s="309">
        <f>+BB1193-BB1188</f>
        <v>83.008343478189886</v>
      </c>
      <c r="BD1194" s="309">
        <f>+BD1193-BD1188</f>
        <v>54.082960449027553</v>
      </c>
      <c r="BE1194" s="309">
        <f>+BE1193-BE1188</f>
        <v>86.696374189143057</v>
      </c>
      <c r="BF1194" s="309">
        <f>+BF1193-BF1188</f>
        <v>70.021274068141679</v>
      </c>
      <c r="BH1194" s="309">
        <f>+BH1193-BH1188</f>
        <v>74.75149105367791</v>
      </c>
      <c r="BI1194" s="309">
        <f>+BI1193-BI1188</f>
        <v>130.94448130944488</v>
      </c>
      <c r="BJ1194" s="309">
        <f>+BJ1193-BJ1188</f>
        <v>102.57159022467198</v>
      </c>
      <c r="BL1194" s="309">
        <f>+BL1193-BL1188</f>
        <v>117.54462342185462</v>
      </c>
      <c r="BM1194" s="309">
        <f>+BM1193-BM1188</f>
        <v>186.66858416624717</v>
      </c>
      <c r="BN1194" s="309">
        <f>+BN1193-BN1188</f>
        <v>152.26263136985807</v>
      </c>
      <c r="BP1194" s="309">
        <f>+BP1193-BP1188</f>
        <v>159.85169869166873</v>
      </c>
      <c r="BQ1194" s="309">
        <f>+BQ1193-BQ1188</f>
        <v>198.56145696772137</v>
      </c>
      <c r="BR1194" s="309">
        <f>+BR1193-BR1188</f>
        <v>179.26573550840533</v>
      </c>
      <c r="BT1194" s="309">
        <f>+BT1193-BT1188</f>
        <v>234.06946904254164</v>
      </c>
      <c r="BU1194" s="309">
        <f>+BU1193-BU1188</f>
        <v>199.75674322100599</v>
      </c>
      <c r="BV1194" s="309">
        <f>+BV1193-BV1188</f>
        <v>216.82458064400134</v>
      </c>
      <c r="BX1194" s="309">
        <f>+BX1193-BX1188</f>
        <v>210.72796934865903</v>
      </c>
      <c r="BY1194" s="309">
        <f>+BY1193-BY1188</f>
        <v>236.23828110750378</v>
      </c>
      <c r="BZ1194" s="309">
        <f>+BZ1193-BZ1188</f>
        <v>223.30533623495978</v>
      </c>
      <c r="CB1194" s="309">
        <f>+CB1193-CB1188</f>
        <v>247.28803105612599</v>
      </c>
      <c r="CC1194" s="309">
        <f>+CC1193-CC1188</f>
        <v>247.58220502901361</v>
      </c>
      <c r="CD1194" s="309">
        <f>+CD1193-CD1188</f>
        <v>247.4374084788742</v>
      </c>
      <c r="CF1194" s="309">
        <f>+CF1193-CF1188</f>
        <v>229.70697204445946</v>
      </c>
      <c r="CG1194" s="309">
        <f>+CG1193-CG1188</f>
        <v>280.5697044414884</v>
      </c>
      <c r="CH1194" s="309">
        <f>+CH1193-CH1188</f>
        <v>255.61449605869814</v>
      </c>
      <c r="CJ1194" s="309">
        <f>+CJ1193-CJ1188</f>
        <v>235.09870312400187</v>
      </c>
      <c r="CK1194" s="309">
        <f>+CK1193-CK1188</f>
        <v>204.60811967166353</v>
      </c>
      <c r="CL1194" s="309">
        <f>+CL1193-CL1188</f>
        <v>219.79350610095605</v>
      </c>
      <c r="CN1194" s="309">
        <f>+CN1193-CN1188</f>
        <v>155.62800807328063</v>
      </c>
      <c r="CO1194" s="309">
        <f>+CO1193-CO1188</f>
        <v>323.51058966935852</v>
      </c>
      <c r="CP1194" s="309">
        <f>+CP1193-CP1188</f>
        <v>240.35681328821897</v>
      </c>
      <c r="CR1194" s="309">
        <f>+CR1193-CR1188</f>
        <v>324.93762623262444</v>
      </c>
      <c r="CS1194" s="309">
        <f>+CS1193-CS1188</f>
        <v>430.53590628713698</v>
      </c>
      <c r="CT1194" s="309">
        <f>+CT1193-CT1188</f>
        <v>379.01753369076948</v>
      </c>
      <c r="CV1194" s="309">
        <f>+CV1193-CV1188</f>
        <v>332.20139575924486</v>
      </c>
      <c r="CW1194" s="309">
        <f>+CW1193-CW1188</f>
        <v>390.79824010056564</v>
      </c>
      <c r="CX1194" s="309">
        <f>+CX1193-CX1188</f>
        <v>362.40184518101955</v>
      </c>
      <c r="CZ1194" s="309">
        <f>+CZ1193-CZ1188</f>
        <v>190.62208286459702</v>
      </c>
      <c r="DA1194" s="309">
        <f>+DA1193-DA1188</f>
        <v>270.41205646699734</v>
      </c>
      <c r="DB1194" s="309">
        <f>+DB1193-DB1188</f>
        <v>230.59188914770357</v>
      </c>
      <c r="DD1194" s="309">
        <f>+DD1193-DD1188</f>
        <v>225.64404823301163</v>
      </c>
      <c r="DE1194" s="309">
        <f ca="1">+DE1193-DE1188</f>
        <v>278.57645521262691</v>
      </c>
      <c r="DF1194" s="309">
        <f ca="1">+DF1193-DF1188</f>
        <v>251.80419093991827</v>
      </c>
      <c r="DH1194" s="309">
        <f>+DH1193-DH1188</f>
        <v>247.95227019921128</v>
      </c>
      <c r="DI1194" s="309">
        <f>+DI1193-DI1188</f>
        <v>356.95956728084195</v>
      </c>
      <c r="DJ1194" s="309">
        <f>+DJ1193-DJ1188</f>
        <v>302.78626413520703</v>
      </c>
      <c r="DL1194" s="309">
        <f>+DL1193-DL1188</f>
        <v>262.30029425917076</v>
      </c>
      <c r="DM1194" s="309">
        <f>+DM1193-DM1188</f>
        <v>343.88717083673885</v>
      </c>
      <c r="DN1194" s="309">
        <f>+DN1193-DN1188</f>
        <v>303.4976279765566</v>
      </c>
      <c r="DO1194" s="309"/>
      <c r="DP1194" s="309">
        <f>+DP1193-DP1188</f>
        <v>274.40329993876014</v>
      </c>
      <c r="DQ1194" s="309">
        <f>+DQ1193-DQ1188</f>
        <v>353.03598475235697</v>
      </c>
      <c r="DR1194" s="309">
        <f>+DR1193-DR1188</f>
        <v>314.10891306245753</v>
      </c>
      <c r="DS1194" s="309"/>
      <c r="DU1194" s="309"/>
      <c r="DV1194" s="309"/>
      <c r="DW1194" s="309"/>
      <c r="DX1194" s="309"/>
      <c r="DZ1194" s="309"/>
      <c r="EA1194" s="309"/>
      <c r="EB1194" s="309"/>
      <c r="ED1194" s="309"/>
      <c r="EE1194" s="309"/>
      <c r="EF1194" s="309"/>
    </row>
    <row r="1197" spans="1:273" s="834" customFormat="1">
      <c r="A1197" s="939" t="s">
        <v>744</v>
      </c>
      <c r="B1197" s="833"/>
      <c r="AN1197" s="833"/>
      <c r="AO1197" s="833"/>
      <c r="AP1197" s="833"/>
      <c r="AQ1197" s="833"/>
      <c r="AR1197" s="833"/>
      <c r="AS1197" s="833"/>
      <c r="AT1197" s="833"/>
      <c r="AU1197" s="833"/>
      <c r="AV1197" s="833"/>
      <c r="AW1197" s="833"/>
      <c r="AX1197" s="833"/>
      <c r="AY1197" s="833"/>
      <c r="AZ1197" s="833"/>
      <c r="BA1197" s="833"/>
      <c r="BB1197" s="833"/>
      <c r="BC1197" s="833"/>
      <c r="BD1197" s="833"/>
      <c r="BE1197" s="833"/>
      <c r="BF1197" s="833"/>
      <c r="BG1197" s="833"/>
      <c r="BH1197" s="833"/>
      <c r="BI1197" s="833"/>
      <c r="BJ1197" s="833"/>
      <c r="BK1197" s="833"/>
      <c r="BL1197" s="833"/>
      <c r="BM1197" s="833"/>
      <c r="BN1197" s="833"/>
      <c r="BO1197" s="833"/>
      <c r="BP1197" s="833"/>
      <c r="BQ1197" s="833"/>
      <c r="BR1197" s="833"/>
      <c r="BS1197" s="833"/>
      <c r="BT1197" s="833"/>
      <c r="BU1197" s="833"/>
      <c r="BV1197" s="833"/>
      <c r="BW1197" s="833"/>
      <c r="BX1197" s="833"/>
      <c r="BY1197" s="833"/>
      <c r="BZ1197" s="833"/>
      <c r="CA1197" s="833"/>
      <c r="CB1197" s="833"/>
      <c r="CC1197" s="833"/>
      <c r="CD1197" s="833"/>
      <c r="CE1197" s="1607"/>
      <c r="CF1197" s="833"/>
      <c r="CG1197" s="833"/>
      <c r="CH1197" s="833"/>
      <c r="CI1197" s="1607"/>
      <c r="CJ1197" s="833"/>
      <c r="CK1197" s="833"/>
      <c r="CL1197" s="833"/>
      <c r="CM1197" s="1607"/>
      <c r="CN1197" s="833"/>
      <c r="CO1197" s="833"/>
      <c r="CP1197" s="833"/>
      <c r="CQ1197" s="1607"/>
      <c r="CR1197" s="833"/>
      <c r="CS1197" s="833"/>
      <c r="CT1197" s="833"/>
      <c r="CU1197" s="833"/>
      <c r="CV1197" s="833"/>
      <c r="CW1197" s="833"/>
      <c r="CX1197" s="833"/>
      <c r="CY1197" s="833"/>
      <c r="CZ1197" s="833"/>
      <c r="DA1197" s="833"/>
      <c r="DB1197" s="833"/>
      <c r="DC1197" s="833"/>
      <c r="DD1197" s="833"/>
      <c r="DE1197" s="833"/>
      <c r="DF1197" s="833"/>
      <c r="DG1197" s="833"/>
      <c r="DH1197" s="833"/>
      <c r="DI1197" s="833"/>
      <c r="DJ1197" s="833"/>
      <c r="DK1197" s="833"/>
      <c r="DL1197" s="833"/>
      <c r="DM1197" s="833"/>
      <c r="DN1197" s="833"/>
      <c r="DO1197" s="833"/>
      <c r="DP1197" s="833"/>
      <c r="DQ1197" s="833"/>
      <c r="DR1197" s="833"/>
      <c r="DS1197" s="833"/>
      <c r="DT1197" s="833"/>
      <c r="DU1197" s="833"/>
      <c r="DV1197" s="833"/>
      <c r="DW1197" s="833"/>
      <c r="DX1197" s="833"/>
      <c r="DY1197" s="833"/>
      <c r="DZ1197" s="833"/>
      <c r="EA1197" s="833"/>
      <c r="EB1197" s="833"/>
      <c r="EC1197" s="833"/>
      <c r="ED1197" s="833"/>
      <c r="EE1197" s="833"/>
      <c r="EF1197" s="833"/>
      <c r="EG1197" s="833"/>
      <c r="EH1197" s="833"/>
      <c r="EI1197" s="833"/>
      <c r="EJ1197" s="833"/>
      <c r="EK1197" s="833"/>
      <c r="EL1197" s="833"/>
      <c r="EM1197" s="833"/>
      <c r="EN1197" s="833"/>
      <c r="EO1197" s="833"/>
      <c r="EP1197" s="833"/>
      <c r="FL1197" s="102"/>
      <c r="FM1197" s="102"/>
      <c r="FN1197" s="102"/>
      <c r="FO1197" s="102"/>
      <c r="FP1197" s="102"/>
      <c r="FQ1197" s="102"/>
      <c r="FR1197" s="102"/>
      <c r="FS1197" s="102"/>
      <c r="FT1197" s="102"/>
      <c r="FU1197" s="102"/>
      <c r="FV1197" s="102"/>
      <c r="FW1197" s="102"/>
      <c r="FX1197" s="102"/>
      <c r="FY1197" s="102"/>
      <c r="FZ1197" s="102"/>
      <c r="GA1197" s="102"/>
      <c r="GB1197" s="102"/>
      <c r="GC1197" s="102"/>
      <c r="GD1197" s="102"/>
      <c r="GE1197" s="102"/>
      <c r="GF1197" s="102"/>
      <c r="GG1197" s="102"/>
      <c r="GH1197" s="102"/>
      <c r="GI1197" s="102"/>
      <c r="GJ1197" s="102"/>
      <c r="GK1197" s="102"/>
      <c r="GL1197" s="102"/>
      <c r="GM1197" s="102"/>
      <c r="GN1197" s="102"/>
      <c r="GO1197" s="102"/>
      <c r="GP1197" s="102"/>
      <c r="GQ1197" s="102"/>
      <c r="GR1197" s="102"/>
      <c r="GS1197" s="102"/>
      <c r="GT1197" s="102"/>
      <c r="GU1197" s="102"/>
      <c r="GV1197" s="102"/>
      <c r="GW1197" s="102"/>
      <c r="GX1197" s="102"/>
      <c r="GY1197" s="102"/>
      <c r="GZ1197" s="102"/>
      <c r="HA1197" s="102"/>
      <c r="HB1197" s="102"/>
      <c r="HC1197" s="102"/>
      <c r="HD1197" s="102"/>
      <c r="HE1197" s="102"/>
      <c r="HF1197" s="102"/>
      <c r="HG1197" s="102"/>
      <c r="HH1197" s="102"/>
      <c r="HI1197" s="102"/>
      <c r="HJ1197" s="102"/>
      <c r="HK1197" s="102"/>
      <c r="HL1197" s="102"/>
      <c r="HM1197" s="102"/>
      <c r="HN1197" s="102"/>
      <c r="HO1197" s="102"/>
      <c r="HP1197" s="102"/>
      <c r="HQ1197" s="102"/>
      <c r="HR1197" s="102"/>
      <c r="HS1197" s="102"/>
      <c r="HT1197" s="102"/>
      <c r="HU1197" s="102"/>
      <c r="HV1197" s="102"/>
      <c r="HW1197" s="102"/>
      <c r="HX1197" s="102"/>
      <c r="HY1197" s="102"/>
      <c r="HZ1197" s="102"/>
      <c r="IA1197" s="102"/>
      <c r="IB1197" s="102"/>
      <c r="IC1197" s="102"/>
      <c r="ID1197" s="102"/>
      <c r="IE1197" s="102"/>
      <c r="IF1197" s="102"/>
      <c r="IG1197" s="102"/>
      <c r="IH1197" s="102"/>
      <c r="II1197" s="102"/>
      <c r="IJ1197" s="102"/>
      <c r="IK1197" s="102"/>
      <c r="IL1197" s="102"/>
      <c r="IM1197" s="102"/>
      <c r="IN1197" s="102"/>
      <c r="IO1197" s="102"/>
      <c r="IP1197" s="102"/>
      <c r="IQ1197" s="102"/>
      <c r="IR1197" s="102"/>
      <c r="IS1197" s="102"/>
      <c r="IT1197" s="102"/>
      <c r="IU1197" s="102"/>
      <c r="IV1197" s="102"/>
      <c r="IW1197" s="102"/>
      <c r="IX1197" s="102"/>
      <c r="IY1197" s="102"/>
      <c r="IZ1197" s="102"/>
      <c r="JA1197" s="102"/>
      <c r="JB1197" s="102"/>
      <c r="JC1197" s="102"/>
      <c r="JD1197" s="102"/>
      <c r="JE1197" s="102"/>
      <c r="JF1197" s="102"/>
      <c r="JG1197" s="102"/>
      <c r="JH1197" s="102"/>
      <c r="JI1197" s="102"/>
      <c r="JJ1197" s="102"/>
      <c r="JK1197" s="102"/>
      <c r="JL1197" s="102"/>
      <c r="JM1197"/>
    </row>
    <row r="1199" spans="1:273">
      <c r="A1199" s="289" t="s">
        <v>744</v>
      </c>
    </row>
    <row r="1200" spans="1:273" s="302" customFormat="1">
      <c r="A1200" s="302" t="s">
        <v>685</v>
      </c>
      <c r="B1200" s="304"/>
      <c r="AN1200" s="303"/>
      <c r="AO1200" s="303"/>
      <c r="AP1200" s="297"/>
      <c r="AQ1200" s="297"/>
      <c r="AR1200" s="303"/>
      <c r="AS1200" s="303"/>
      <c r="AT1200" s="297"/>
      <c r="AU1200" s="297"/>
      <c r="AV1200" s="303"/>
      <c r="AW1200" s="303"/>
      <c r="AX1200" s="297"/>
      <c r="AY1200" s="297"/>
      <c r="AZ1200" s="303"/>
      <c r="BA1200" s="303"/>
      <c r="BB1200" s="303"/>
      <c r="BC1200" s="303"/>
      <c r="BD1200" s="303"/>
      <c r="BE1200" s="303"/>
      <c r="BF1200" s="303"/>
      <c r="BG1200" s="303"/>
      <c r="BH1200" s="303"/>
      <c r="BI1200" s="303"/>
      <c r="BJ1200" s="303"/>
      <c r="BK1200" s="303"/>
      <c r="BL1200" s="303"/>
      <c r="BM1200" s="303"/>
      <c r="BN1200" s="303"/>
      <c r="BO1200" s="303"/>
      <c r="BP1200" s="303"/>
      <c r="BQ1200" s="303"/>
      <c r="BR1200" s="303"/>
      <c r="BS1200" s="303"/>
      <c r="BT1200" s="303"/>
      <c r="BU1200" s="303"/>
      <c r="BV1200" s="303"/>
      <c r="BW1200" s="303"/>
      <c r="BX1200" s="303"/>
      <c r="BY1200" s="303"/>
      <c r="BZ1200" s="303"/>
      <c r="CA1200" s="303"/>
      <c r="CB1200" s="303"/>
      <c r="CC1200" s="303"/>
      <c r="CD1200" s="303"/>
      <c r="CE1200" s="720"/>
      <c r="CF1200" s="303"/>
      <c r="CG1200" s="303"/>
      <c r="CH1200" s="303"/>
      <c r="CI1200" s="720"/>
      <c r="CJ1200" s="303"/>
      <c r="CK1200" s="303"/>
      <c r="CL1200" s="303"/>
      <c r="CM1200" s="720"/>
      <c r="CN1200" s="303"/>
      <c r="CO1200" s="303"/>
      <c r="CP1200" s="303"/>
      <c r="CQ1200" s="720"/>
      <c r="CR1200" s="303"/>
      <c r="CS1200" s="303"/>
      <c r="CT1200" s="303"/>
      <c r="CU1200" s="303"/>
      <c r="CV1200" s="303"/>
      <c r="CW1200" s="303"/>
      <c r="CX1200" s="303"/>
      <c r="CY1200" s="303"/>
      <c r="CZ1200" s="303"/>
      <c r="DA1200" s="303"/>
      <c r="DB1200" s="303"/>
      <c r="DC1200" s="303"/>
      <c r="DD1200" s="303"/>
      <c r="DE1200" s="303"/>
      <c r="DF1200" s="303"/>
      <c r="DG1200" s="303"/>
      <c r="DH1200" s="303"/>
      <c r="DI1200" s="303"/>
      <c r="DJ1200" s="303"/>
      <c r="DK1200" s="303"/>
      <c r="DL1200" s="303"/>
      <c r="DM1200" s="303"/>
      <c r="DN1200" s="303"/>
      <c r="DO1200" s="303"/>
      <c r="DP1200" s="303"/>
      <c r="DQ1200" s="303"/>
      <c r="DR1200" s="303"/>
      <c r="DS1200" s="303"/>
      <c r="DT1200" s="303"/>
      <c r="DU1200" s="630"/>
      <c r="DV1200" s="630"/>
      <c r="DW1200" s="630"/>
      <c r="DX1200" s="304"/>
      <c r="DY1200" s="304"/>
      <c r="DZ1200" s="630"/>
      <c r="EA1200" s="630"/>
      <c r="EB1200" s="304"/>
      <c r="EC1200" s="304"/>
      <c r="ED1200" s="630"/>
      <c r="EE1200" s="630"/>
      <c r="EF1200" s="304"/>
      <c r="EG1200" s="304"/>
      <c r="EH1200" s="304"/>
      <c r="EI1200" s="304"/>
      <c r="EJ1200" s="304"/>
      <c r="EK1200" s="304"/>
      <c r="EL1200" s="304"/>
      <c r="EM1200" s="304"/>
      <c r="EN1200" s="304"/>
      <c r="EO1200" s="304"/>
      <c r="EP1200" s="304"/>
      <c r="FL1200" s="102"/>
      <c r="FM1200" s="102"/>
      <c r="FN1200" s="102"/>
      <c r="FO1200" s="102"/>
      <c r="FP1200" s="102"/>
      <c r="FQ1200" s="102"/>
      <c r="FR1200" s="102"/>
      <c r="FS1200" s="102"/>
      <c r="FT1200" s="102"/>
      <c r="FU1200" s="102"/>
      <c r="FV1200" s="102"/>
      <c r="FW1200" s="102"/>
      <c r="FX1200" s="102"/>
      <c r="FY1200" s="102"/>
      <c r="FZ1200" s="102"/>
      <c r="GA1200" s="102"/>
      <c r="GB1200" s="102"/>
      <c r="GC1200" s="102"/>
      <c r="GD1200" s="102"/>
      <c r="GE1200" s="102"/>
      <c r="GF1200" s="102"/>
      <c r="GG1200" s="102"/>
      <c r="GH1200" s="102"/>
      <c r="GI1200" s="102"/>
      <c r="GJ1200" s="102"/>
      <c r="GK1200" s="102"/>
      <c r="GL1200" s="102"/>
      <c r="GM1200" s="102"/>
      <c r="GN1200" s="102"/>
      <c r="GO1200" s="102"/>
      <c r="GP1200" s="102"/>
      <c r="GQ1200" s="102"/>
      <c r="GR1200" s="102"/>
      <c r="GS1200" s="102"/>
      <c r="GT1200" s="102"/>
      <c r="GU1200" s="102"/>
      <c r="GV1200" s="102"/>
      <c r="GW1200" s="102"/>
      <c r="GX1200" s="102"/>
      <c r="GY1200" s="102"/>
      <c r="GZ1200" s="102"/>
      <c r="HA1200" s="102"/>
      <c r="HB1200" s="102"/>
      <c r="HC1200" s="102"/>
      <c r="HD1200" s="102"/>
      <c r="HE1200" s="102"/>
      <c r="HF1200" s="102"/>
      <c r="HG1200" s="102"/>
      <c r="HH1200" s="102"/>
      <c r="HI1200" s="102"/>
      <c r="HJ1200" s="102"/>
      <c r="HK1200" s="102"/>
      <c r="HL1200" s="102"/>
      <c r="HM1200" s="102"/>
      <c r="HN1200" s="102"/>
      <c r="HO1200" s="102"/>
      <c r="HP1200" s="102"/>
      <c r="HQ1200" s="102"/>
      <c r="HR1200" s="102"/>
      <c r="HS1200" s="102"/>
      <c r="HT1200" s="102"/>
      <c r="HU1200" s="102"/>
      <c r="HV1200" s="102"/>
      <c r="HW1200" s="102"/>
      <c r="HX1200" s="102"/>
      <c r="HY1200" s="102"/>
      <c r="HZ1200" s="102"/>
      <c r="IA1200" s="102"/>
      <c r="IB1200" s="102"/>
      <c r="IC1200" s="102"/>
      <c r="ID1200" s="102"/>
      <c r="IE1200" s="102"/>
      <c r="IF1200" s="102"/>
      <c r="IG1200" s="102"/>
      <c r="IH1200" s="102"/>
      <c r="II1200" s="102"/>
      <c r="IJ1200" s="102"/>
      <c r="IK1200" s="102"/>
      <c r="IL1200" s="102"/>
      <c r="IM1200" s="102"/>
      <c r="IN1200" s="102"/>
      <c r="IO1200" s="102"/>
      <c r="IP1200" s="102"/>
      <c r="IQ1200" s="102"/>
      <c r="IR1200" s="102"/>
      <c r="IS1200" s="102"/>
      <c r="IT1200" s="102"/>
      <c r="IU1200" s="102"/>
      <c r="IV1200" s="102"/>
      <c r="IW1200" s="102"/>
      <c r="IX1200" s="102"/>
      <c r="IY1200" s="102"/>
      <c r="IZ1200" s="102"/>
      <c r="JA1200" s="102"/>
      <c r="JB1200" s="102"/>
      <c r="JC1200" s="102"/>
      <c r="JD1200" s="102"/>
      <c r="JE1200" s="102"/>
      <c r="JF1200" s="102"/>
      <c r="JG1200" s="102"/>
      <c r="JH1200" s="102"/>
      <c r="JI1200" s="102"/>
      <c r="JJ1200" s="102"/>
      <c r="JK1200" s="102"/>
      <c r="JL1200" s="102"/>
      <c r="JM1200"/>
    </row>
    <row r="1201" spans="1:273" s="302" customFormat="1">
      <c r="A1201" s="302" t="s">
        <v>686</v>
      </c>
      <c r="B1201" s="304"/>
      <c r="AN1201" s="297"/>
      <c r="AO1201" s="297"/>
      <c r="AP1201" s="297"/>
      <c r="AQ1201" s="297"/>
      <c r="AR1201" s="297"/>
      <c r="AS1201" s="297"/>
      <c r="AT1201" s="297"/>
      <c r="AU1201" s="297"/>
      <c r="AV1201" s="303">
        <f>DIVISIONS!AV127</f>
        <v>2</v>
      </c>
      <c r="AW1201" s="303">
        <f>DIVISIONS!AW127</f>
        <v>-15</v>
      </c>
      <c r="AX1201" s="297"/>
      <c r="AY1201" s="297"/>
      <c r="AZ1201" s="303">
        <f>DIVISIONS!AZ127</f>
        <v>13</v>
      </c>
      <c r="BA1201" s="303">
        <f>DIVISIONS!BA127</f>
        <v>-23</v>
      </c>
      <c r="BB1201" s="304"/>
      <c r="BC1201" s="304"/>
      <c r="BD1201" s="303">
        <f>DIVISIONS!BD127</f>
        <v>18</v>
      </c>
      <c r="BE1201" s="303">
        <f>DIVISIONS!BE127</f>
        <v>-18</v>
      </c>
      <c r="BF1201" s="304"/>
      <c r="BG1201" s="304"/>
      <c r="BH1201" s="303">
        <f>DIVISIONS!BH127</f>
        <v>18</v>
      </c>
      <c r="BI1201" s="303">
        <f>DIVISIONS!BI127</f>
        <v>-14</v>
      </c>
      <c r="BJ1201" s="304"/>
      <c r="BK1201" s="304"/>
      <c r="BL1201" s="303">
        <f>DIVISIONS!BL127</f>
        <v>12</v>
      </c>
      <c r="BM1201" s="303">
        <f>DIVISIONS!BM127</f>
        <v>-1</v>
      </c>
      <c r="BN1201" s="304"/>
      <c r="BO1201" s="304"/>
      <c r="BP1201" s="303">
        <f>DIVISIONS!BP127</f>
        <v>1</v>
      </c>
      <c r="BQ1201" s="303">
        <f>DIVISIONS!BQ127</f>
        <v>4</v>
      </c>
      <c r="BR1201" s="304"/>
      <c r="BS1201" s="304"/>
      <c r="BT1201" s="303">
        <f>DIVISIONS!BT127</f>
        <v>0</v>
      </c>
      <c r="BU1201" s="303">
        <f>DIVISIONS!BU127</f>
        <v>5</v>
      </c>
      <c r="BV1201" s="304"/>
      <c r="BW1201" s="304"/>
      <c r="BX1201" s="303">
        <f>DIVISIONS!BX127</f>
        <v>11</v>
      </c>
      <c r="BY1201" s="303">
        <f>DIVISIONS!BY127</f>
        <v>-12</v>
      </c>
      <c r="BZ1201" s="304"/>
      <c r="CA1201" s="304"/>
      <c r="CB1201" s="303">
        <f>DIVISIONS!CB127</f>
        <v>-2</v>
      </c>
      <c r="CC1201" s="303">
        <f>DIVISIONS!CC127</f>
        <v>-3</v>
      </c>
      <c r="CD1201" s="304"/>
      <c r="CE1201" s="300"/>
      <c r="CF1201" s="303">
        <f>DIVISIONS!CF127</f>
        <v>-10</v>
      </c>
      <c r="CG1201" s="303">
        <f>DIVISIONS!CG127</f>
        <v>23</v>
      </c>
      <c r="CH1201" s="304"/>
      <c r="CI1201" s="300"/>
      <c r="CJ1201" s="303">
        <f>DIVISIONS!CJ127</f>
        <v>1</v>
      </c>
      <c r="CK1201" s="303">
        <f>DIVISIONS!CK127</f>
        <v>16</v>
      </c>
      <c r="CL1201" s="304"/>
      <c r="CM1201" s="300"/>
      <c r="CN1201" s="303">
        <f>DIVISIONS!CN127</f>
        <v>13</v>
      </c>
      <c r="CO1201" s="303">
        <f>DIVISIONS!CO127</f>
        <v>4</v>
      </c>
      <c r="CP1201" s="304"/>
      <c r="CQ1201" s="300"/>
      <c r="CR1201" s="303">
        <f>DIVISIONS!CR127</f>
        <v>-94</v>
      </c>
      <c r="CS1201" s="303">
        <f>DIVISIONS!CS127</f>
        <v>-155</v>
      </c>
      <c r="CT1201" s="304"/>
      <c r="CU1201" s="304"/>
      <c r="CV1201" s="303">
        <f>DIVISIONS!CV127</f>
        <v>19</v>
      </c>
      <c r="CW1201" s="303">
        <f>DIVISIONS!CW127</f>
        <v>11</v>
      </c>
      <c r="CX1201" s="304"/>
      <c r="CY1201" s="304"/>
      <c r="CZ1201" s="303">
        <f>DIVISIONS!CZ127</f>
        <v>-2</v>
      </c>
      <c r="DA1201" s="303">
        <f>DIVISIONS!DA127</f>
        <v>-21</v>
      </c>
      <c r="DB1201" s="304"/>
      <c r="DC1201" s="304"/>
      <c r="DD1201" s="303">
        <f>DIVISIONS!DD127</f>
        <v>-3</v>
      </c>
      <c r="DE1201" s="303">
        <f>DIVISIONS!DE127</f>
        <v>-8</v>
      </c>
      <c r="DF1201" s="304"/>
      <c r="DG1201" s="304"/>
      <c r="DH1201" s="303">
        <f>DIVISIONS!DH127</f>
        <v>-11</v>
      </c>
      <c r="DI1201" s="630">
        <v>-2</v>
      </c>
      <c r="DJ1201" s="304"/>
      <c r="DK1201" s="304"/>
      <c r="DL1201" s="630">
        <v>-2</v>
      </c>
      <c r="DM1201" s="630">
        <v>-2</v>
      </c>
      <c r="DN1201" s="304"/>
      <c r="DO1201" s="304"/>
      <c r="DP1201" s="630">
        <v>-2</v>
      </c>
      <c r="DQ1201" s="630">
        <v>-2</v>
      </c>
      <c r="DR1201" s="304"/>
      <c r="DS1201" s="304"/>
      <c r="DT1201" s="304"/>
      <c r="DU1201" s="630"/>
      <c r="DV1201" s="630"/>
      <c r="DW1201" s="630"/>
      <c r="DX1201" s="304"/>
      <c r="DY1201" s="304"/>
      <c r="DZ1201" s="630"/>
      <c r="EA1201" s="630"/>
      <c r="EB1201" s="304"/>
      <c r="EC1201" s="304"/>
      <c r="ED1201" s="630"/>
      <c r="EE1201" s="630"/>
      <c r="EF1201" s="304"/>
      <c r="EG1201" s="304"/>
      <c r="EH1201" s="304"/>
      <c r="EI1201" s="304"/>
      <c r="EJ1201" s="304"/>
      <c r="EK1201" s="304"/>
      <c r="EL1201" s="304"/>
      <c r="EM1201" s="304"/>
      <c r="EN1201" s="304"/>
      <c r="EO1201" s="304"/>
      <c r="EP1201" s="304"/>
      <c r="FL1201" s="102"/>
      <c r="FM1201" s="102"/>
      <c r="FN1201" s="102"/>
      <c r="FO1201" s="102"/>
      <c r="FP1201" s="102"/>
      <c r="FQ1201" s="102"/>
      <c r="FR1201" s="102"/>
      <c r="FS1201" s="102"/>
      <c r="FT1201" s="102"/>
      <c r="FU1201" s="102"/>
      <c r="FV1201" s="102"/>
      <c r="FW1201" s="102"/>
      <c r="FX1201" s="102"/>
      <c r="FY1201" s="102"/>
      <c r="FZ1201" s="102"/>
      <c r="GA1201" s="102"/>
      <c r="GB1201" s="102"/>
      <c r="GC1201" s="102"/>
      <c r="GD1201" s="102"/>
      <c r="GE1201" s="102"/>
      <c r="GF1201" s="102"/>
      <c r="GG1201" s="102"/>
      <c r="GH1201" s="102"/>
      <c r="GI1201" s="102"/>
      <c r="GJ1201" s="102"/>
      <c r="GK1201" s="102"/>
      <c r="GL1201" s="102"/>
      <c r="GM1201" s="102"/>
      <c r="GN1201" s="102"/>
      <c r="GO1201" s="102"/>
      <c r="GP1201" s="102"/>
      <c r="GQ1201" s="102"/>
      <c r="GR1201" s="102"/>
      <c r="GS1201" s="102"/>
      <c r="GT1201" s="102"/>
      <c r="GU1201" s="102"/>
      <c r="GV1201" s="102"/>
      <c r="GW1201" s="102"/>
      <c r="GX1201" s="102"/>
      <c r="GY1201" s="102"/>
      <c r="GZ1201" s="102"/>
      <c r="HA1201" s="102"/>
      <c r="HB1201" s="102"/>
      <c r="HC1201" s="102"/>
      <c r="HD1201" s="102"/>
      <c r="HE1201" s="102"/>
      <c r="HF1201" s="102"/>
      <c r="HG1201" s="102"/>
      <c r="HH1201" s="102"/>
      <c r="HI1201" s="102"/>
      <c r="HJ1201" s="102"/>
      <c r="HK1201" s="102"/>
      <c r="HL1201" s="102"/>
      <c r="HM1201" s="102"/>
      <c r="HN1201" s="102"/>
      <c r="HO1201" s="102"/>
      <c r="HP1201" s="102"/>
      <c r="HQ1201" s="102"/>
      <c r="HR1201" s="102"/>
      <c r="HS1201" s="102"/>
      <c r="HT1201" s="102"/>
      <c r="HU1201" s="102"/>
      <c r="HV1201" s="102"/>
      <c r="HW1201" s="102"/>
      <c r="HX1201" s="102"/>
      <c r="HY1201" s="102"/>
      <c r="HZ1201" s="102"/>
      <c r="IA1201" s="102"/>
      <c r="IB1201" s="102"/>
      <c r="IC1201" s="102"/>
      <c r="ID1201" s="102"/>
      <c r="IE1201" s="102"/>
      <c r="IF1201" s="102"/>
      <c r="IG1201" s="102"/>
      <c r="IH1201" s="102"/>
      <c r="II1201" s="102"/>
      <c r="IJ1201" s="102"/>
      <c r="IK1201" s="102"/>
      <c r="IL1201" s="102"/>
      <c r="IM1201" s="102"/>
      <c r="IN1201" s="102"/>
      <c r="IO1201" s="102"/>
      <c r="IP1201" s="102"/>
      <c r="IQ1201" s="102"/>
      <c r="IR1201" s="102"/>
      <c r="IS1201" s="102"/>
      <c r="IT1201" s="102"/>
      <c r="IU1201" s="102"/>
      <c r="IV1201" s="102"/>
      <c r="IW1201" s="102"/>
      <c r="IX1201" s="102"/>
      <c r="IY1201" s="102"/>
      <c r="IZ1201" s="102"/>
      <c r="JA1201" s="102"/>
      <c r="JB1201" s="102"/>
      <c r="JC1201" s="102"/>
      <c r="JD1201" s="102"/>
      <c r="JE1201" s="102"/>
      <c r="JF1201" s="102"/>
      <c r="JG1201" s="102"/>
      <c r="JH1201" s="102"/>
      <c r="JI1201" s="102"/>
      <c r="JJ1201" s="102"/>
      <c r="JK1201" s="102"/>
      <c r="JL1201" s="102"/>
      <c r="JM1201"/>
    </row>
    <row r="1202" spans="1:273" s="302" customFormat="1">
      <c r="A1202" s="302" t="s">
        <v>616</v>
      </c>
      <c r="B1202" s="304"/>
      <c r="AN1202" s="627"/>
      <c r="AO1202" s="627"/>
      <c r="AP1202" s="627"/>
      <c r="AQ1202" s="627"/>
      <c r="AR1202" s="627"/>
      <c r="AS1202" s="627"/>
      <c r="AT1202" s="627"/>
      <c r="AU1202" s="627"/>
      <c r="AV1202" s="303">
        <f>DIVISIONS!AV355</f>
        <v>1</v>
      </c>
      <c r="AW1202" s="303">
        <f>DIVISIONS!AW355</f>
        <v>0</v>
      </c>
      <c r="AX1202" s="627"/>
      <c r="AY1202" s="627"/>
      <c r="AZ1202" s="303">
        <f>DIVISIONS!AZ355</f>
        <v>1</v>
      </c>
      <c r="BA1202" s="303">
        <f>DIVISIONS!BA355</f>
        <v>5</v>
      </c>
      <c r="BB1202" s="304"/>
      <c r="BC1202" s="304"/>
      <c r="BD1202" s="303">
        <f>DIVISIONS!BD355</f>
        <v>2</v>
      </c>
      <c r="BE1202" s="303">
        <f>DIVISIONS!BE355</f>
        <v>1</v>
      </c>
      <c r="BF1202" s="304"/>
      <c r="BG1202" s="304"/>
      <c r="BH1202" s="303">
        <f>DIVISIONS!BH355</f>
        <v>1</v>
      </c>
      <c r="BI1202" s="303">
        <f>DIVISIONS!BI355</f>
        <v>0</v>
      </c>
      <c r="BJ1202" s="304"/>
      <c r="BK1202" s="304"/>
      <c r="BL1202" s="303">
        <f>DIVISIONS!BL355</f>
        <v>0</v>
      </c>
      <c r="BM1202" s="303">
        <f>DIVISIONS!BM355</f>
        <v>0</v>
      </c>
      <c r="BN1202" s="304"/>
      <c r="BO1202" s="304"/>
      <c r="BP1202" s="303">
        <f>DIVISIONS!BP355</f>
        <v>0</v>
      </c>
      <c r="BQ1202" s="303">
        <f>DIVISIONS!BQ355</f>
        <v>0</v>
      </c>
      <c r="BR1202" s="304"/>
      <c r="BS1202" s="304"/>
      <c r="BT1202" s="303">
        <f>DIVISIONS!BT355</f>
        <v>-13</v>
      </c>
      <c r="BU1202" s="303">
        <f>DIVISIONS!BU355</f>
        <v>0</v>
      </c>
      <c r="BV1202" s="304"/>
      <c r="BW1202" s="304"/>
      <c r="BX1202" s="303">
        <f>DIVISIONS!BX355</f>
        <v>0</v>
      </c>
      <c r="BY1202" s="303">
        <f>DIVISIONS!BY355</f>
        <v>-1</v>
      </c>
      <c r="BZ1202" s="304"/>
      <c r="CA1202" s="304"/>
      <c r="CB1202" s="303">
        <f>DIVISIONS!CB355</f>
        <v>2</v>
      </c>
      <c r="CC1202" s="303">
        <f>DIVISIONS!CC355</f>
        <v>-3</v>
      </c>
      <c r="CD1202" s="304"/>
      <c r="CE1202" s="300"/>
      <c r="CF1202" s="303">
        <f>DIVISIONS!CF355</f>
        <v>-1</v>
      </c>
      <c r="CG1202" s="303">
        <f>DIVISIONS!CG355</f>
        <v>-1</v>
      </c>
      <c r="CH1202" s="304"/>
      <c r="CI1202" s="300"/>
      <c r="CJ1202" s="303">
        <f>DIVISIONS!CJ355</f>
        <v>-2</v>
      </c>
      <c r="CK1202" s="303">
        <f>DIVISIONS!CK355</f>
        <v>1</v>
      </c>
      <c r="CL1202" s="304"/>
      <c r="CM1202" s="300"/>
      <c r="CN1202" s="303">
        <f>DIVISIONS!CN355</f>
        <v>-6</v>
      </c>
      <c r="CO1202" s="303">
        <f>DIVISIONS!CO355</f>
        <v>0</v>
      </c>
      <c r="CP1202" s="304"/>
      <c r="CQ1202" s="300"/>
      <c r="CR1202" s="303">
        <f>DIVISIONS!CR355</f>
        <v>5</v>
      </c>
      <c r="CS1202" s="303">
        <f>DIVISIONS!CS355</f>
        <v>-2</v>
      </c>
      <c r="CT1202" s="304"/>
      <c r="CU1202" s="304"/>
      <c r="CV1202" s="303">
        <f>DIVISIONS!CV355</f>
        <v>-6</v>
      </c>
      <c r="CW1202" s="303">
        <f>DIVISIONS!CW355</f>
        <v>-8</v>
      </c>
      <c r="CX1202" s="304"/>
      <c r="CY1202" s="304"/>
      <c r="CZ1202" s="303">
        <f>DIVISIONS!CZ355</f>
        <v>14</v>
      </c>
      <c r="DA1202" s="303">
        <f>DIVISIONS!DA355</f>
        <v>-1</v>
      </c>
      <c r="DB1202" s="304"/>
      <c r="DC1202" s="304"/>
      <c r="DD1202" s="303">
        <f>DIVISIONS!DD355</f>
        <v>-2</v>
      </c>
      <c r="DE1202" s="303">
        <f>DIVISIONS!DE355</f>
        <v>-24</v>
      </c>
      <c r="DF1202" s="304"/>
      <c r="DG1202" s="304"/>
      <c r="DH1202" s="303">
        <f>DIVISIONS!DH355</f>
        <v>-15</v>
      </c>
      <c r="DI1202" s="630">
        <v>0</v>
      </c>
      <c r="DJ1202" s="304"/>
      <c r="DK1202" s="304"/>
      <c r="DL1202" s="630">
        <v>0</v>
      </c>
      <c r="DM1202" s="630">
        <v>0</v>
      </c>
      <c r="DN1202" s="304"/>
      <c r="DO1202" s="304"/>
      <c r="DP1202" s="630">
        <v>0</v>
      </c>
      <c r="DQ1202" s="630">
        <v>0</v>
      </c>
      <c r="DR1202" s="304"/>
      <c r="DS1202" s="304"/>
      <c r="DT1202" s="304"/>
      <c r="DU1202" s="630"/>
      <c r="DV1202" s="630"/>
      <c r="DW1202" s="630"/>
      <c r="DX1202" s="304"/>
      <c r="DY1202" s="304"/>
      <c r="DZ1202" s="630"/>
      <c r="EA1202" s="630"/>
      <c r="EB1202" s="304"/>
      <c r="EC1202" s="304"/>
      <c r="ED1202" s="630"/>
      <c r="EE1202" s="630"/>
      <c r="EF1202" s="304"/>
      <c r="EG1202" s="304"/>
      <c r="EH1202" s="304"/>
      <c r="EI1202" s="304"/>
      <c r="EJ1202" s="304"/>
      <c r="EK1202" s="304"/>
      <c r="EL1202" s="304"/>
      <c r="EM1202" s="304"/>
      <c r="EN1202" s="304"/>
      <c r="EO1202" s="304"/>
      <c r="EP1202" s="304"/>
      <c r="FL1202" s="102"/>
      <c r="FM1202" s="102"/>
      <c r="FN1202" s="102"/>
      <c r="FO1202" s="102"/>
      <c r="FP1202" s="102"/>
      <c r="FQ1202" s="102"/>
      <c r="FR1202" s="102"/>
      <c r="FS1202" s="102"/>
      <c r="FT1202" s="102"/>
      <c r="FU1202" s="102"/>
      <c r="FV1202" s="102"/>
      <c r="FW1202" s="102"/>
      <c r="FX1202" s="102"/>
      <c r="FY1202" s="102"/>
      <c r="FZ1202" s="102"/>
      <c r="GA1202" s="102"/>
      <c r="GB1202" s="102"/>
      <c r="GC1202" s="102"/>
      <c r="GD1202" s="102"/>
      <c r="GE1202" s="102"/>
      <c r="GF1202" s="102"/>
      <c r="GG1202" s="102"/>
      <c r="GH1202" s="102"/>
      <c r="GI1202" s="102"/>
      <c r="GJ1202" s="102"/>
      <c r="GK1202" s="102"/>
      <c r="GL1202" s="102"/>
      <c r="GM1202" s="102"/>
      <c r="GN1202" s="102"/>
      <c r="GO1202" s="102"/>
      <c r="GP1202" s="102"/>
      <c r="GQ1202" s="102"/>
      <c r="GR1202" s="102"/>
      <c r="GS1202" s="102"/>
      <c r="GT1202" s="102"/>
      <c r="GU1202" s="102"/>
      <c r="GV1202" s="102"/>
      <c r="GW1202" s="102"/>
      <c r="GX1202" s="102"/>
      <c r="GY1202" s="102"/>
      <c r="GZ1202" s="102"/>
      <c r="HA1202" s="102"/>
      <c r="HB1202" s="102"/>
      <c r="HC1202" s="102"/>
      <c r="HD1202" s="102"/>
      <c r="HE1202" s="102"/>
      <c r="HF1202" s="102"/>
      <c r="HG1202" s="102"/>
      <c r="HH1202" s="102"/>
      <c r="HI1202" s="102"/>
      <c r="HJ1202" s="102"/>
      <c r="HK1202" s="102"/>
      <c r="HL1202" s="102"/>
      <c r="HM1202" s="102"/>
      <c r="HN1202" s="102"/>
      <c r="HO1202" s="102"/>
      <c r="HP1202" s="102"/>
      <c r="HQ1202" s="102"/>
      <c r="HR1202" s="102"/>
      <c r="HS1202" s="102"/>
      <c r="HT1202" s="102"/>
      <c r="HU1202" s="102"/>
      <c r="HV1202" s="102"/>
      <c r="HW1202" s="102"/>
      <c r="HX1202" s="102"/>
      <c r="HY1202" s="102"/>
      <c r="HZ1202" s="102"/>
      <c r="IA1202" s="102"/>
      <c r="IB1202" s="102"/>
      <c r="IC1202" s="102"/>
      <c r="ID1202" s="102"/>
      <c r="IE1202" s="102"/>
      <c r="IF1202" s="102"/>
      <c r="IG1202" s="102"/>
      <c r="IH1202" s="102"/>
      <c r="II1202" s="102"/>
      <c r="IJ1202" s="102"/>
      <c r="IK1202" s="102"/>
      <c r="IL1202" s="102"/>
      <c r="IM1202" s="102"/>
      <c r="IN1202" s="102"/>
      <c r="IO1202" s="102"/>
      <c r="IP1202" s="102"/>
      <c r="IQ1202" s="102"/>
      <c r="IR1202" s="102"/>
      <c r="IS1202" s="102"/>
      <c r="IT1202" s="102"/>
      <c r="IU1202" s="102"/>
      <c r="IV1202" s="102"/>
      <c r="IW1202" s="102"/>
      <c r="IX1202" s="102"/>
      <c r="IY1202" s="102"/>
      <c r="IZ1202" s="102"/>
      <c r="JA1202" s="102"/>
      <c r="JB1202" s="102"/>
      <c r="JC1202" s="102"/>
      <c r="JD1202" s="102"/>
      <c r="JE1202" s="102"/>
      <c r="JF1202" s="102"/>
      <c r="JG1202" s="102"/>
      <c r="JH1202" s="102"/>
      <c r="JI1202" s="102"/>
      <c r="JJ1202" s="102"/>
      <c r="JK1202" s="102"/>
      <c r="JL1202" s="102"/>
      <c r="JM1202"/>
    </row>
    <row r="1203" spans="1:273" s="302" customFormat="1">
      <c r="A1203" s="302" t="s">
        <v>1024</v>
      </c>
      <c r="B1203" s="304"/>
      <c r="AN1203" s="303"/>
      <c r="AO1203" s="303"/>
      <c r="AP1203" s="303"/>
      <c r="AQ1203" s="303"/>
      <c r="AR1203" s="303">
        <f>DIVISIONS!AR244</f>
        <v>0</v>
      </c>
      <c r="AS1203" s="303">
        <f>DIVISIONS!AS244</f>
        <v>0</v>
      </c>
      <c r="AT1203" s="303"/>
      <c r="AU1203" s="303"/>
      <c r="AV1203" s="303">
        <f>DIVISIONS!AV244</f>
        <v>0</v>
      </c>
      <c r="AW1203" s="303">
        <f>DIVISIONS!AW244</f>
        <v>0</v>
      </c>
      <c r="AX1203" s="303"/>
      <c r="AY1203" s="303"/>
      <c r="AZ1203" s="303">
        <f>DIVISIONS!AZ244</f>
        <v>0</v>
      </c>
      <c r="BA1203" s="303">
        <f>DIVISIONS!BA244</f>
        <v>0</v>
      </c>
      <c r="BB1203" s="303"/>
      <c r="BC1203" s="303"/>
      <c r="BD1203" s="303">
        <f>DIVISIONS!BD244</f>
        <v>0</v>
      </c>
      <c r="BE1203" s="303">
        <f>DIVISIONS!BE244</f>
        <v>0</v>
      </c>
      <c r="BF1203" s="303"/>
      <c r="BG1203" s="303"/>
      <c r="BH1203" s="303">
        <f>DIVISIONS!BH244</f>
        <v>0</v>
      </c>
      <c r="BI1203" s="303">
        <f>DIVISIONS!BI244</f>
        <v>0</v>
      </c>
      <c r="BJ1203" s="303"/>
      <c r="BK1203" s="303"/>
      <c r="BL1203" s="303">
        <f>DIVISIONS!BL244</f>
        <v>0</v>
      </c>
      <c r="BM1203" s="303">
        <f>DIVISIONS!BM244</f>
        <v>0</v>
      </c>
      <c r="BN1203" s="303"/>
      <c r="BO1203" s="303"/>
      <c r="BP1203" s="303">
        <f>DIVISIONS!BP244</f>
        <v>0</v>
      </c>
      <c r="BQ1203" s="303">
        <f>DIVISIONS!BQ244</f>
        <v>0</v>
      </c>
      <c r="BR1203" s="303"/>
      <c r="BS1203" s="303"/>
      <c r="BT1203" s="303">
        <f>DIVISIONS!BT244</f>
        <v>0</v>
      </c>
      <c r="BU1203" s="303">
        <f>DIVISIONS!BU244</f>
        <v>0</v>
      </c>
      <c r="BV1203" s="303"/>
      <c r="BW1203" s="303"/>
      <c r="BX1203" s="303">
        <f>DIVISIONS!BX244</f>
        <v>-1</v>
      </c>
      <c r="BY1203" s="303">
        <f>DIVISIONS!BY244</f>
        <v>0</v>
      </c>
      <c r="BZ1203" s="303"/>
      <c r="CA1203" s="303"/>
      <c r="CB1203" s="303">
        <f>DIVISIONS!CB244</f>
        <v>0</v>
      </c>
      <c r="CC1203" s="303">
        <f>DIVISIONS!CC244</f>
        <v>0</v>
      </c>
      <c r="CD1203" s="303"/>
      <c r="CE1203" s="720"/>
      <c r="CF1203" s="303">
        <f>DIVISIONS!CF244</f>
        <v>-1</v>
      </c>
      <c r="CG1203" s="303">
        <f>DIVISIONS!CG244</f>
        <v>-1</v>
      </c>
      <c r="CH1203" s="303"/>
      <c r="CI1203" s="720"/>
      <c r="CJ1203" s="303">
        <f>DIVISIONS!CJ244</f>
        <v>0</v>
      </c>
      <c r="CK1203" s="303">
        <f>DIVISIONS!CK244</f>
        <v>0</v>
      </c>
      <c r="CL1203" s="303"/>
      <c r="CM1203" s="720"/>
      <c r="CN1203" s="303">
        <f>DIVISIONS!CN244</f>
        <v>0</v>
      </c>
      <c r="CO1203" s="303">
        <f>DIVISIONS!CO244</f>
        <v>0</v>
      </c>
      <c r="CP1203" s="303"/>
      <c r="CQ1203" s="720"/>
      <c r="CR1203" s="303">
        <f>DIVISIONS!CR244</f>
        <v>0</v>
      </c>
      <c r="CS1203" s="303">
        <f>DIVISIONS!CS244</f>
        <v>0</v>
      </c>
      <c r="CT1203" s="303"/>
      <c r="CU1203" s="303"/>
      <c r="CV1203" s="303">
        <f>DIVISIONS!CV244</f>
        <v>0</v>
      </c>
      <c r="CW1203" s="303">
        <f>DIVISIONS!CW244</f>
        <v>0</v>
      </c>
      <c r="CX1203" s="303"/>
      <c r="CY1203" s="303"/>
      <c r="CZ1203" s="303">
        <f>DIVISIONS!CZ244</f>
        <v>-1</v>
      </c>
      <c r="DA1203" s="303">
        <f>DIVISIONS!DA244</f>
        <v>0</v>
      </c>
      <c r="DB1203" s="303"/>
      <c r="DC1203" s="303"/>
      <c r="DD1203" s="303">
        <f>DIVISIONS!DD244</f>
        <v>0</v>
      </c>
      <c r="DE1203" s="303">
        <f>DIVISIONS!DE244</f>
        <v>1</v>
      </c>
      <c r="DF1203" s="303"/>
      <c r="DG1203" s="303"/>
      <c r="DH1203" s="303">
        <f>DIVISIONS!DH244</f>
        <v>1</v>
      </c>
      <c r="DI1203" s="630">
        <v>0</v>
      </c>
      <c r="DJ1203" s="303"/>
      <c r="DK1203" s="303"/>
      <c r="DL1203" s="630">
        <v>0</v>
      </c>
      <c r="DM1203" s="630">
        <v>0</v>
      </c>
      <c r="DN1203" s="303"/>
      <c r="DO1203" s="303"/>
      <c r="DP1203" s="630">
        <v>0</v>
      </c>
      <c r="DQ1203" s="630">
        <v>0</v>
      </c>
      <c r="DR1203" s="303"/>
      <c r="DS1203" s="303"/>
      <c r="DT1203" s="303"/>
      <c r="DU1203" s="630"/>
      <c r="DV1203" s="630"/>
      <c r="DW1203" s="630"/>
      <c r="DX1203" s="304"/>
      <c r="DY1203" s="304"/>
      <c r="DZ1203" s="630"/>
      <c r="EA1203" s="630"/>
      <c r="EB1203" s="304"/>
      <c r="EC1203" s="304"/>
      <c r="ED1203" s="630"/>
      <c r="EE1203" s="630"/>
      <c r="EF1203" s="304"/>
      <c r="EG1203" s="304"/>
      <c r="EH1203" s="304"/>
      <c r="EI1203" s="304"/>
      <c r="EJ1203" s="304"/>
      <c r="EK1203" s="304"/>
      <c r="EL1203" s="304"/>
      <c r="EM1203" s="304"/>
      <c r="EN1203" s="304"/>
      <c r="EO1203" s="304"/>
      <c r="EP1203" s="304"/>
      <c r="FL1203" s="102"/>
      <c r="FM1203" s="102"/>
      <c r="FN1203" s="102"/>
      <c r="FO1203" s="102"/>
      <c r="FP1203" s="102"/>
      <c r="FQ1203" s="102"/>
      <c r="FR1203" s="102"/>
      <c r="FS1203" s="102"/>
      <c r="FT1203" s="102"/>
      <c r="FU1203" s="102"/>
      <c r="FV1203" s="102"/>
      <c r="FW1203" s="102"/>
      <c r="FX1203" s="102"/>
      <c r="FY1203" s="102"/>
      <c r="FZ1203" s="102"/>
      <c r="GA1203" s="102"/>
      <c r="GB1203" s="102"/>
      <c r="GC1203" s="102"/>
      <c r="GD1203" s="102"/>
      <c r="GE1203" s="102"/>
      <c r="GF1203" s="102"/>
      <c r="GG1203" s="102"/>
      <c r="GH1203" s="102"/>
      <c r="GI1203" s="102"/>
      <c r="GJ1203" s="102"/>
      <c r="GK1203" s="102"/>
      <c r="GL1203" s="102"/>
      <c r="GM1203" s="102"/>
      <c r="GN1203" s="102"/>
      <c r="GO1203" s="102"/>
      <c r="GP1203" s="102"/>
      <c r="GQ1203" s="102"/>
      <c r="GR1203" s="102"/>
      <c r="GS1203" s="102"/>
      <c r="GT1203" s="102"/>
      <c r="GU1203" s="102"/>
      <c r="GV1203" s="102"/>
      <c r="GW1203" s="102"/>
      <c r="GX1203" s="102"/>
      <c r="GY1203" s="102"/>
      <c r="GZ1203" s="102"/>
      <c r="HA1203" s="102"/>
      <c r="HB1203" s="102"/>
      <c r="HC1203" s="102"/>
      <c r="HD1203" s="102"/>
      <c r="HE1203" s="102"/>
      <c r="HF1203" s="102"/>
      <c r="HG1203" s="102"/>
      <c r="HH1203" s="102"/>
      <c r="HI1203" s="102"/>
      <c r="HJ1203" s="102"/>
      <c r="HK1203" s="102"/>
      <c r="HL1203" s="102"/>
      <c r="HM1203" s="102"/>
      <c r="HN1203" s="102"/>
      <c r="HO1203" s="102"/>
      <c r="HP1203" s="102"/>
      <c r="HQ1203" s="102"/>
      <c r="HR1203" s="102"/>
      <c r="HS1203" s="102"/>
      <c r="HT1203" s="102"/>
      <c r="HU1203" s="102"/>
      <c r="HV1203" s="102"/>
      <c r="HW1203" s="102"/>
      <c r="HX1203" s="102"/>
      <c r="HY1203" s="102"/>
      <c r="HZ1203" s="102"/>
      <c r="IA1203" s="102"/>
      <c r="IB1203" s="102"/>
      <c r="IC1203" s="102"/>
      <c r="ID1203" s="102"/>
      <c r="IE1203" s="102"/>
      <c r="IF1203" s="102"/>
      <c r="IG1203" s="102"/>
      <c r="IH1203" s="102"/>
      <c r="II1203" s="102"/>
      <c r="IJ1203" s="102"/>
      <c r="IK1203" s="102"/>
      <c r="IL1203" s="102"/>
      <c r="IM1203" s="102"/>
      <c r="IN1203" s="102"/>
      <c r="IO1203" s="102"/>
      <c r="IP1203" s="102"/>
      <c r="IQ1203" s="102"/>
      <c r="IR1203" s="102"/>
      <c r="IS1203" s="102"/>
      <c r="IT1203" s="102"/>
      <c r="IU1203" s="102"/>
      <c r="IV1203" s="102"/>
      <c r="IW1203" s="102"/>
      <c r="IX1203" s="102"/>
      <c r="IY1203" s="102"/>
      <c r="IZ1203" s="102"/>
      <c r="JA1203" s="102"/>
      <c r="JB1203" s="102"/>
      <c r="JC1203" s="102"/>
      <c r="JD1203" s="102"/>
      <c r="JE1203" s="102"/>
      <c r="JF1203" s="102"/>
      <c r="JG1203" s="102"/>
      <c r="JH1203" s="102"/>
      <c r="JI1203" s="102"/>
      <c r="JJ1203" s="102"/>
      <c r="JK1203" s="102"/>
      <c r="JL1203" s="102"/>
      <c r="JM1203"/>
    </row>
    <row r="1204" spans="1:273" s="302" customFormat="1">
      <c r="A1204" s="302" t="s">
        <v>690</v>
      </c>
      <c r="B1204" s="304"/>
      <c r="AN1204" s="303"/>
      <c r="AO1204" s="303"/>
      <c r="AP1204" s="303"/>
      <c r="AQ1204" s="303"/>
      <c r="AR1204" s="303"/>
      <c r="AS1204" s="303"/>
      <c r="AT1204" s="303"/>
      <c r="AU1204" s="303"/>
      <c r="AV1204" s="303">
        <f>DIVISIONS!AV482</f>
        <v>-1</v>
      </c>
      <c r="AW1204" s="303">
        <f>DIVISIONS!AW482</f>
        <v>-1</v>
      </c>
      <c r="AX1204" s="627"/>
      <c r="AY1204" s="627"/>
      <c r="AZ1204" s="303">
        <f>DIVISIONS!AZ482</f>
        <v>0</v>
      </c>
      <c r="BA1204" s="303">
        <f>DIVISIONS!BA482</f>
        <v>0</v>
      </c>
      <c r="BB1204" s="304"/>
      <c r="BC1204" s="304"/>
      <c r="BD1204" s="303">
        <f>DIVISIONS!BD482</f>
        <v>-3</v>
      </c>
      <c r="BE1204" s="303">
        <f>DIVISIONS!BE482</f>
        <v>0</v>
      </c>
      <c r="BF1204" s="304"/>
      <c r="BG1204" s="304"/>
      <c r="BH1204" s="303">
        <f>DIVISIONS!BH482</f>
        <v>0</v>
      </c>
      <c r="BI1204" s="303">
        <f>DIVISIONS!BI482</f>
        <v>0</v>
      </c>
      <c r="BJ1204" s="304"/>
      <c r="BK1204" s="304"/>
      <c r="BL1204" s="303">
        <f>DIVISIONS!BL482</f>
        <v>0</v>
      </c>
      <c r="BM1204" s="303">
        <f>DIVISIONS!BM482</f>
        <v>0</v>
      </c>
      <c r="BN1204" s="304"/>
      <c r="BO1204" s="304"/>
      <c r="BP1204" s="303">
        <f>DIVISIONS!BP482</f>
        <v>0</v>
      </c>
      <c r="BQ1204" s="303">
        <f>DIVISIONS!BQ482</f>
        <v>0</v>
      </c>
      <c r="BR1204" s="304"/>
      <c r="BS1204" s="304"/>
      <c r="BT1204" s="303">
        <f>DIVISIONS!BT482</f>
        <v>0</v>
      </c>
      <c r="BU1204" s="303">
        <f>DIVISIONS!BU482</f>
        <v>1</v>
      </c>
      <c r="BV1204" s="304"/>
      <c r="BW1204" s="304"/>
      <c r="BX1204" s="303">
        <f>DIVISIONS!BX482</f>
        <v>1</v>
      </c>
      <c r="BY1204" s="303">
        <f>DIVISIONS!BY482</f>
        <v>0</v>
      </c>
      <c r="BZ1204" s="304"/>
      <c r="CA1204" s="304"/>
      <c r="CB1204" s="303">
        <f>DIVISIONS!CB482</f>
        <v>0</v>
      </c>
      <c r="CC1204" s="303">
        <f>DIVISIONS!CC482</f>
        <v>-4</v>
      </c>
      <c r="CD1204" s="304"/>
      <c r="CE1204" s="300"/>
      <c r="CF1204" s="303">
        <f>DIVISIONS!CF482</f>
        <v>0</v>
      </c>
      <c r="CG1204" s="303">
        <f>DIVISIONS!CG482</f>
        <v>0</v>
      </c>
      <c r="CH1204" s="304"/>
      <c r="CI1204" s="300"/>
      <c r="CJ1204" s="303"/>
      <c r="CK1204" s="303">
        <f>DIVISIONS!CK482</f>
        <v>0</v>
      </c>
      <c r="CL1204" s="304"/>
      <c r="CM1204" s="300"/>
      <c r="CN1204" s="303"/>
      <c r="CO1204" s="303">
        <f>DIVISIONS!CO482</f>
        <v>0</v>
      </c>
      <c r="CP1204" s="304"/>
      <c r="CQ1204" s="300"/>
      <c r="CR1204" s="303"/>
      <c r="CS1204" s="303">
        <f>DIVISIONS!CS482</f>
        <v>0</v>
      </c>
      <c r="CT1204" s="304"/>
      <c r="CU1204" s="304"/>
      <c r="CV1204" s="303"/>
      <c r="CW1204" s="303"/>
      <c r="CX1204" s="304"/>
      <c r="CY1204" s="304"/>
      <c r="CZ1204" s="303"/>
      <c r="DA1204" s="303"/>
      <c r="DB1204" s="304"/>
      <c r="DC1204" s="304"/>
      <c r="DD1204" s="303"/>
      <c r="DE1204" s="303"/>
      <c r="DF1204" s="304"/>
      <c r="DG1204" s="304"/>
      <c r="DH1204" s="303"/>
      <c r="DI1204" s="630"/>
      <c r="DJ1204" s="304"/>
      <c r="DK1204" s="304"/>
      <c r="DL1204" s="630"/>
      <c r="DM1204" s="630"/>
      <c r="DN1204" s="304"/>
      <c r="DO1204" s="304"/>
      <c r="DP1204" s="630"/>
      <c r="DQ1204" s="630"/>
      <c r="DR1204" s="304"/>
      <c r="DS1204" s="304"/>
      <c r="DT1204" s="304"/>
      <c r="DU1204" s="630"/>
      <c r="DV1204" s="630"/>
      <c r="DW1204" s="630"/>
      <c r="DX1204" s="304"/>
      <c r="DY1204" s="304"/>
      <c r="DZ1204" s="630"/>
      <c r="EA1204" s="630"/>
      <c r="EB1204" s="304"/>
      <c r="EC1204" s="304"/>
      <c r="ED1204" s="630"/>
      <c r="EE1204" s="630"/>
      <c r="EF1204" s="304"/>
      <c r="EG1204" s="304"/>
      <c r="EH1204" s="304"/>
      <c r="EI1204" s="304"/>
      <c r="EJ1204" s="304"/>
      <c r="EK1204" s="304"/>
      <c r="EL1204" s="304"/>
      <c r="EM1204" s="304"/>
      <c r="EN1204" s="304"/>
      <c r="EO1204" s="304"/>
      <c r="EP1204" s="304"/>
      <c r="FL1204" s="102"/>
      <c r="FM1204" s="102"/>
      <c r="FN1204" s="102"/>
      <c r="FO1204" s="102"/>
      <c r="FP1204" s="102"/>
      <c r="FQ1204" s="102"/>
      <c r="FR1204" s="102"/>
      <c r="FS1204" s="102"/>
      <c r="FT1204" s="102"/>
      <c r="FU1204" s="102"/>
      <c r="FV1204" s="102"/>
      <c r="FW1204" s="102"/>
      <c r="FX1204" s="102"/>
      <c r="FY1204" s="102"/>
      <c r="FZ1204" s="102"/>
      <c r="GA1204" s="102"/>
      <c r="GB1204" s="102"/>
      <c r="GC1204" s="102"/>
      <c r="GD1204" s="102"/>
      <c r="GE1204" s="102"/>
      <c r="GF1204" s="102"/>
      <c r="GG1204" s="102"/>
      <c r="GH1204" s="102"/>
      <c r="GI1204" s="102"/>
      <c r="GJ1204" s="102"/>
      <c r="GK1204" s="102"/>
      <c r="GL1204" s="102"/>
      <c r="GM1204" s="102"/>
      <c r="GN1204" s="102"/>
      <c r="GO1204" s="102"/>
      <c r="GP1204" s="102"/>
      <c r="GQ1204" s="102"/>
      <c r="GR1204" s="102"/>
      <c r="GS1204" s="102"/>
      <c r="GT1204" s="102"/>
      <c r="GU1204" s="102"/>
      <c r="GV1204" s="102"/>
      <c r="GW1204" s="102"/>
      <c r="GX1204" s="102"/>
      <c r="GY1204" s="102"/>
      <c r="GZ1204" s="102"/>
      <c r="HA1204" s="102"/>
      <c r="HB1204" s="102"/>
      <c r="HC1204" s="102"/>
      <c r="HD1204" s="102"/>
      <c r="HE1204" s="102"/>
      <c r="HF1204" s="102"/>
      <c r="HG1204" s="102"/>
      <c r="HH1204" s="102"/>
      <c r="HI1204" s="102"/>
      <c r="HJ1204" s="102"/>
      <c r="HK1204" s="102"/>
      <c r="HL1204" s="102"/>
      <c r="HM1204" s="102"/>
      <c r="HN1204" s="102"/>
      <c r="HO1204" s="102"/>
      <c r="HP1204" s="102"/>
      <c r="HQ1204" s="102"/>
      <c r="HR1204" s="102"/>
      <c r="HS1204" s="102"/>
      <c r="HT1204" s="102"/>
      <c r="HU1204" s="102"/>
      <c r="HV1204" s="102"/>
      <c r="HW1204" s="102"/>
      <c r="HX1204" s="102"/>
      <c r="HY1204" s="102"/>
      <c r="HZ1204" s="102"/>
      <c r="IA1204" s="102"/>
      <c r="IB1204" s="102"/>
      <c r="IC1204" s="102"/>
      <c r="ID1204" s="102"/>
      <c r="IE1204" s="102"/>
      <c r="IF1204" s="102"/>
      <c r="IG1204" s="102"/>
      <c r="IH1204" s="102"/>
      <c r="II1204" s="102"/>
      <c r="IJ1204" s="102"/>
      <c r="IK1204" s="102"/>
      <c r="IL1204" s="102"/>
      <c r="IM1204" s="102"/>
      <c r="IN1204" s="102"/>
      <c r="IO1204" s="102"/>
      <c r="IP1204" s="102"/>
      <c r="IQ1204" s="102"/>
      <c r="IR1204" s="102"/>
      <c r="IS1204" s="102"/>
      <c r="IT1204" s="102"/>
      <c r="IU1204" s="102"/>
      <c r="IV1204" s="102"/>
      <c r="IW1204" s="102"/>
      <c r="IX1204" s="102"/>
      <c r="IY1204" s="102"/>
      <c r="IZ1204" s="102"/>
      <c r="JA1204" s="102"/>
      <c r="JB1204" s="102"/>
      <c r="JC1204" s="102"/>
      <c r="JD1204" s="102"/>
      <c r="JE1204" s="102"/>
      <c r="JF1204" s="102"/>
      <c r="JG1204" s="102"/>
      <c r="JH1204" s="102"/>
      <c r="JI1204" s="102"/>
      <c r="JJ1204" s="102"/>
      <c r="JK1204" s="102"/>
      <c r="JL1204" s="102"/>
      <c r="JM1204"/>
    </row>
    <row r="1205" spans="1:273" s="302" customFormat="1">
      <c r="A1205" s="302" t="s">
        <v>689</v>
      </c>
      <c r="B1205" s="304"/>
      <c r="AN1205" s="303"/>
      <c r="AO1205" s="303"/>
      <c r="AP1205" s="303"/>
      <c r="AQ1205" s="303"/>
      <c r="AR1205" s="303"/>
      <c r="AS1205" s="303"/>
      <c r="AT1205" s="303"/>
      <c r="AU1205" s="303"/>
      <c r="AV1205" s="303">
        <f>DIVISIONS!AV557</f>
        <v>-3</v>
      </c>
      <c r="AW1205" s="303">
        <f>DIVISIONS!AW557</f>
        <v>-3</v>
      </c>
      <c r="AX1205" s="627"/>
      <c r="AY1205" s="627"/>
      <c r="AZ1205" s="303">
        <f>DIVISIONS!AZ557</f>
        <v>-5</v>
      </c>
      <c r="BA1205" s="303">
        <f>DIVISIONS!BA557</f>
        <v>0</v>
      </c>
      <c r="BB1205" s="304"/>
      <c r="BC1205" s="304"/>
      <c r="BD1205" s="303">
        <f>DIVISIONS!BD557</f>
        <v>0</v>
      </c>
      <c r="BE1205" s="303">
        <f>DIVISIONS!BE557</f>
        <v>0</v>
      </c>
      <c r="BF1205" s="304"/>
      <c r="BG1205" s="304"/>
      <c r="BH1205" s="303">
        <f>DIVISIONS!BH557</f>
        <v>0</v>
      </c>
      <c r="BI1205" s="303">
        <f>DIVISIONS!BI557</f>
        <v>0</v>
      </c>
      <c r="BJ1205" s="304"/>
      <c r="BK1205" s="304"/>
      <c r="BL1205" s="303">
        <f>DIVISIONS!BL557</f>
        <v>0</v>
      </c>
      <c r="BM1205" s="303">
        <f>DIVISIONS!BM557</f>
        <v>0</v>
      </c>
      <c r="BN1205" s="304"/>
      <c r="BO1205" s="304"/>
      <c r="BP1205" s="303">
        <f>DIVISIONS!BP557</f>
        <v>0</v>
      </c>
      <c r="BQ1205" s="303">
        <f>DIVISIONS!BQ557</f>
        <v>0</v>
      </c>
      <c r="BR1205" s="304"/>
      <c r="BS1205" s="304"/>
      <c r="BT1205" s="303">
        <f>DIVISIONS!BT557</f>
        <v>0</v>
      </c>
      <c r="BU1205" s="303">
        <f>DIVISIONS!BU557</f>
        <v>0</v>
      </c>
      <c r="BV1205" s="304"/>
      <c r="BW1205" s="304"/>
      <c r="BX1205" s="303">
        <f>DIVISIONS!BX557</f>
        <v>0</v>
      </c>
      <c r="BY1205" s="303">
        <f>DIVISIONS!BY557</f>
        <v>0</v>
      </c>
      <c r="BZ1205" s="304"/>
      <c r="CA1205" s="304"/>
      <c r="CB1205" s="303">
        <f>DIVISIONS!CB557</f>
        <v>0</v>
      </c>
      <c r="CC1205" s="303">
        <f>DIVISIONS!CC557</f>
        <v>0</v>
      </c>
      <c r="CD1205" s="304"/>
      <c r="CE1205" s="300"/>
      <c r="CF1205" s="303">
        <f>DIVISIONS!CF557</f>
        <v>0</v>
      </c>
      <c r="CG1205" s="303">
        <f>DIVISIONS!CG557</f>
        <v>0</v>
      </c>
      <c r="CH1205" s="304"/>
      <c r="CI1205" s="300"/>
      <c r="CJ1205" s="303">
        <f>DIVISIONS!CJ557</f>
        <v>0</v>
      </c>
      <c r="CK1205" s="303">
        <f>DIVISIONS!CK557</f>
        <v>0</v>
      </c>
      <c r="CL1205" s="304"/>
      <c r="CM1205" s="300"/>
      <c r="CN1205" s="303">
        <f>DIVISIONS!CN557</f>
        <v>0</v>
      </c>
      <c r="CO1205" s="303">
        <f>DIVISIONS!CO557</f>
        <v>0</v>
      </c>
      <c r="CP1205" s="304"/>
      <c r="CQ1205" s="300"/>
      <c r="CR1205" s="303">
        <f>DIVISIONS!CR557</f>
        <v>0</v>
      </c>
      <c r="CS1205" s="303">
        <f>DIVISIONS!CS557</f>
        <v>0</v>
      </c>
      <c r="CT1205" s="304"/>
      <c r="CU1205" s="304"/>
      <c r="CV1205" s="303">
        <f>DIVISIONS!CV557</f>
        <v>0</v>
      </c>
      <c r="CW1205" s="303">
        <f>DIVISIONS!CW557</f>
        <v>0</v>
      </c>
      <c r="CX1205" s="304"/>
      <c r="CY1205" s="304"/>
      <c r="CZ1205" s="303">
        <f>DIVISIONS!CZ557</f>
        <v>0</v>
      </c>
      <c r="DA1205" s="303">
        <f>DIVISIONS!DA557</f>
        <v>0</v>
      </c>
      <c r="DB1205" s="304"/>
      <c r="DC1205" s="304"/>
      <c r="DD1205" s="303">
        <f>DIVISIONS!DD557</f>
        <v>0</v>
      </c>
      <c r="DE1205" s="303">
        <f>DIVISIONS!DE557</f>
        <v>0</v>
      </c>
      <c r="DF1205" s="304"/>
      <c r="DG1205" s="304"/>
      <c r="DH1205" s="303">
        <f>DIVISIONS!DH557</f>
        <v>0</v>
      </c>
      <c r="DI1205" s="630">
        <v>0</v>
      </c>
      <c r="DJ1205" s="304"/>
      <c r="DK1205" s="304"/>
      <c r="DL1205" s="630">
        <v>0</v>
      </c>
      <c r="DM1205" s="630">
        <v>0</v>
      </c>
      <c r="DN1205" s="304"/>
      <c r="DO1205" s="304"/>
      <c r="DP1205" s="630">
        <v>0</v>
      </c>
      <c r="DQ1205" s="630">
        <v>0</v>
      </c>
      <c r="DR1205" s="304"/>
      <c r="DS1205" s="304"/>
      <c r="DT1205" s="304"/>
      <c r="DU1205" s="630"/>
      <c r="DV1205" s="630"/>
      <c r="DW1205" s="630"/>
      <c r="DX1205" s="304"/>
      <c r="DY1205" s="304"/>
      <c r="DZ1205" s="630"/>
      <c r="EA1205" s="630"/>
      <c r="EB1205" s="304"/>
      <c r="EC1205" s="304"/>
      <c r="ED1205" s="630"/>
      <c r="EE1205" s="630"/>
      <c r="EF1205" s="304"/>
      <c r="EG1205" s="304"/>
      <c r="EH1205" s="304"/>
      <c r="EI1205" s="304"/>
      <c r="EJ1205" s="304"/>
      <c r="EK1205" s="304"/>
      <c r="EL1205" s="304"/>
      <c r="EM1205" s="304"/>
      <c r="EN1205" s="304"/>
      <c r="EO1205" s="304"/>
      <c r="EP1205" s="304"/>
      <c r="FL1205" s="102"/>
      <c r="FM1205" s="102"/>
      <c r="FN1205" s="102"/>
      <c r="FO1205" s="102"/>
      <c r="FP1205" s="102"/>
      <c r="FQ1205" s="102"/>
      <c r="FR1205" s="102"/>
      <c r="FS1205" s="102"/>
      <c r="FT1205" s="102"/>
      <c r="FU1205" s="102"/>
      <c r="FV1205" s="102"/>
      <c r="FW1205" s="102"/>
      <c r="FX1205" s="102"/>
      <c r="FY1205" s="102"/>
      <c r="FZ1205" s="102"/>
      <c r="GA1205" s="102"/>
      <c r="GB1205" s="102"/>
      <c r="GC1205" s="102"/>
      <c r="GD1205" s="102"/>
      <c r="GE1205" s="102"/>
      <c r="GF1205" s="102"/>
      <c r="GG1205" s="102"/>
      <c r="GH1205" s="102"/>
      <c r="GI1205" s="102"/>
      <c r="GJ1205" s="102"/>
      <c r="GK1205" s="102"/>
      <c r="GL1205" s="102"/>
      <c r="GM1205" s="102"/>
      <c r="GN1205" s="102"/>
      <c r="GO1205" s="102"/>
      <c r="GP1205" s="102"/>
      <c r="GQ1205" s="102"/>
      <c r="GR1205" s="102"/>
      <c r="GS1205" s="102"/>
      <c r="GT1205" s="102"/>
      <c r="GU1205" s="102"/>
      <c r="GV1205" s="102"/>
      <c r="GW1205" s="102"/>
      <c r="GX1205" s="102"/>
      <c r="GY1205" s="102"/>
      <c r="GZ1205" s="102"/>
      <c r="HA1205" s="102"/>
      <c r="HB1205" s="102"/>
      <c r="HC1205" s="102"/>
      <c r="HD1205" s="102"/>
      <c r="HE1205" s="102"/>
      <c r="HF1205" s="102"/>
      <c r="HG1205" s="102"/>
      <c r="HH1205" s="102"/>
      <c r="HI1205" s="102"/>
      <c r="HJ1205" s="102"/>
      <c r="HK1205" s="102"/>
      <c r="HL1205" s="102"/>
      <c r="HM1205" s="102"/>
      <c r="HN1205" s="102"/>
      <c r="HO1205" s="102"/>
      <c r="HP1205" s="102"/>
      <c r="HQ1205" s="102"/>
      <c r="HR1205" s="102"/>
      <c r="HS1205" s="102"/>
      <c r="HT1205" s="102"/>
      <c r="HU1205" s="102"/>
      <c r="HV1205" s="102"/>
      <c r="HW1205" s="102"/>
      <c r="HX1205" s="102"/>
      <c r="HY1205" s="102"/>
      <c r="HZ1205" s="102"/>
      <c r="IA1205" s="102"/>
      <c r="IB1205" s="102"/>
      <c r="IC1205" s="102"/>
      <c r="ID1205" s="102"/>
      <c r="IE1205" s="102"/>
      <c r="IF1205" s="102"/>
      <c r="IG1205" s="102"/>
      <c r="IH1205" s="102"/>
      <c r="II1205" s="102"/>
      <c r="IJ1205" s="102"/>
      <c r="IK1205" s="102"/>
      <c r="IL1205" s="102"/>
      <c r="IM1205" s="102"/>
      <c r="IN1205" s="102"/>
      <c r="IO1205" s="102"/>
      <c r="IP1205" s="102"/>
      <c r="IQ1205" s="102"/>
      <c r="IR1205" s="102"/>
      <c r="IS1205" s="102"/>
      <c r="IT1205" s="102"/>
      <c r="IU1205" s="102"/>
      <c r="IV1205" s="102"/>
      <c r="IW1205" s="102"/>
      <c r="IX1205" s="102"/>
      <c r="IY1205" s="102"/>
      <c r="IZ1205" s="102"/>
      <c r="JA1205" s="102"/>
      <c r="JB1205" s="102"/>
      <c r="JC1205" s="102"/>
      <c r="JD1205" s="102"/>
      <c r="JE1205" s="102"/>
      <c r="JF1205" s="102"/>
      <c r="JG1205" s="102"/>
      <c r="JH1205" s="102"/>
      <c r="JI1205" s="102"/>
      <c r="JJ1205" s="102"/>
      <c r="JK1205" s="102"/>
      <c r="JL1205" s="102"/>
      <c r="JM1205"/>
    </row>
    <row r="1206" spans="1:273" s="302" customFormat="1">
      <c r="A1206" s="302" t="s">
        <v>688</v>
      </c>
      <c r="B1206" s="304"/>
      <c r="AN1206" s="303"/>
      <c r="AO1206" s="303"/>
      <c r="AP1206" s="303"/>
      <c r="AQ1206" s="303"/>
      <c r="AR1206" s="303"/>
      <c r="AS1206" s="303"/>
      <c r="AT1206" s="303"/>
      <c r="AU1206" s="303"/>
      <c r="AV1206" s="303">
        <f>DIVISIONS!AV679</f>
        <v>0</v>
      </c>
      <c r="AW1206" s="303">
        <f>DIVISIONS!AW679</f>
        <v>0</v>
      </c>
      <c r="AX1206" s="627"/>
      <c r="AY1206" s="303"/>
      <c r="AZ1206" s="303">
        <f>DIVISIONS!AZ679</f>
        <v>0</v>
      </c>
      <c r="BA1206" s="303">
        <f>DIVISIONS!BA679</f>
        <v>0</v>
      </c>
      <c r="BB1206" s="303"/>
      <c r="BC1206" s="303"/>
      <c r="BD1206" s="303">
        <f>DIVISIONS!BD679</f>
        <v>0</v>
      </c>
      <c r="BE1206" s="303">
        <f>DIVISIONS!BE679</f>
        <v>0</v>
      </c>
      <c r="BF1206" s="303"/>
      <c r="BG1206" s="303"/>
      <c r="BH1206" s="303">
        <f>DIVISIONS!BH679</f>
        <v>0</v>
      </c>
      <c r="BI1206" s="303">
        <f>DIVISIONS!BI679</f>
        <v>0</v>
      </c>
      <c r="BJ1206" s="303"/>
      <c r="BK1206" s="303"/>
      <c r="BL1206" s="303">
        <f>DIVISIONS!BL679</f>
        <v>0</v>
      </c>
      <c r="BM1206" s="303">
        <f>DIVISIONS!BM679</f>
        <v>0</v>
      </c>
      <c r="BN1206" s="303"/>
      <c r="BO1206" s="303"/>
      <c r="BP1206" s="303">
        <f>DIVISIONS!BP679</f>
        <v>0</v>
      </c>
      <c r="BQ1206" s="303">
        <f>DIVISIONS!BQ679</f>
        <v>0</v>
      </c>
      <c r="BR1206" s="303"/>
      <c r="BS1206" s="303"/>
      <c r="BT1206" s="303">
        <f>DIVISIONS!BT679</f>
        <v>0</v>
      </c>
      <c r="BU1206" s="303">
        <f>DIVISIONS!BU679</f>
        <v>0</v>
      </c>
      <c r="BV1206" s="303"/>
      <c r="BW1206" s="303"/>
      <c r="BX1206" s="303">
        <f>DIVISIONS!BX679</f>
        <v>0</v>
      </c>
      <c r="BY1206" s="303">
        <f>DIVISIONS!BY679</f>
        <v>0</v>
      </c>
      <c r="BZ1206" s="303"/>
      <c r="CA1206" s="303"/>
      <c r="CB1206" s="303">
        <f>DIVISIONS!CB679</f>
        <v>0</v>
      </c>
      <c r="CC1206" s="303">
        <f>DIVISIONS!CC679</f>
        <v>0</v>
      </c>
      <c r="CD1206" s="303"/>
      <c r="CE1206" s="720"/>
      <c r="CF1206" s="303">
        <f>DIVISIONS!CF679</f>
        <v>0</v>
      </c>
      <c r="CG1206" s="303">
        <f>DIVISIONS!CG679</f>
        <v>0</v>
      </c>
      <c r="CH1206" s="303"/>
      <c r="CI1206" s="720"/>
      <c r="CJ1206" s="303"/>
      <c r="CK1206" s="303">
        <f>DIVISIONS!CK679</f>
        <v>0</v>
      </c>
      <c r="CL1206" s="303"/>
      <c r="CM1206" s="720"/>
      <c r="CN1206" s="303"/>
      <c r="CO1206" s="303">
        <f>DIVISIONS!CO679</f>
        <v>0</v>
      </c>
      <c r="CP1206" s="303"/>
      <c r="CQ1206" s="720"/>
      <c r="CR1206" s="303"/>
      <c r="CS1206" s="303">
        <f>DIVISIONS!CS679</f>
        <v>0</v>
      </c>
      <c r="CT1206" s="303"/>
      <c r="CU1206" s="303"/>
      <c r="CV1206" s="303"/>
      <c r="CW1206" s="303"/>
      <c r="CX1206" s="303"/>
      <c r="CY1206" s="303"/>
      <c r="CZ1206" s="303"/>
      <c r="DA1206" s="303"/>
      <c r="DB1206" s="303"/>
      <c r="DC1206" s="303"/>
      <c r="DD1206" s="303"/>
      <c r="DE1206" s="303"/>
      <c r="DF1206" s="303"/>
      <c r="DG1206" s="303"/>
      <c r="DH1206" s="303"/>
      <c r="DI1206" s="630"/>
      <c r="DJ1206" s="303"/>
      <c r="DK1206" s="303"/>
      <c r="DL1206" s="630"/>
      <c r="DM1206" s="630"/>
      <c r="DN1206" s="303"/>
      <c r="DO1206" s="303"/>
      <c r="DP1206" s="630"/>
      <c r="DQ1206" s="630"/>
      <c r="DR1206" s="303"/>
      <c r="DS1206" s="303"/>
      <c r="DT1206" s="303"/>
      <c r="DU1206" s="630"/>
      <c r="DV1206" s="630"/>
      <c r="DW1206" s="630"/>
      <c r="DX1206" s="304"/>
      <c r="DY1206" s="304"/>
      <c r="DZ1206" s="630"/>
      <c r="EA1206" s="630"/>
      <c r="EB1206" s="304"/>
      <c r="EC1206" s="304"/>
      <c r="ED1206" s="630"/>
      <c r="EE1206" s="630"/>
      <c r="EF1206" s="304"/>
      <c r="EG1206" s="304"/>
      <c r="EH1206" s="304"/>
      <c r="EI1206" s="304"/>
      <c r="EJ1206" s="304"/>
      <c r="EK1206" s="304"/>
      <c r="EL1206" s="304"/>
      <c r="EM1206" s="304"/>
      <c r="EN1206" s="304"/>
      <c r="EO1206" s="304"/>
      <c r="EP1206" s="304"/>
      <c r="FL1206" s="102"/>
      <c r="FM1206" s="102"/>
      <c r="FN1206" s="102"/>
      <c r="FO1206" s="102"/>
      <c r="FP1206" s="102"/>
      <c r="FQ1206" s="102"/>
      <c r="FR1206" s="102"/>
      <c r="FS1206" s="102"/>
      <c r="FT1206" s="102"/>
      <c r="FU1206" s="102"/>
      <c r="FV1206" s="102"/>
      <c r="FW1206" s="102"/>
      <c r="FX1206" s="102"/>
      <c r="FY1206" s="102"/>
      <c r="FZ1206" s="102"/>
      <c r="GA1206" s="102"/>
      <c r="GB1206" s="102"/>
      <c r="GC1206" s="102"/>
      <c r="GD1206" s="102"/>
      <c r="GE1206" s="102"/>
      <c r="GF1206" s="102"/>
      <c r="GG1206" s="102"/>
      <c r="GH1206" s="102"/>
      <c r="GI1206" s="102"/>
      <c r="GJ1206" s="102"/>
      <c r="GK1206" s="102"/>
      <c r="GL1206" s="102"/>
      <c r="GM1206" s="102"/>
      <c r="GN1206" s="102"/>
      <c r="GO1206" s="102"/>
      <c r="GP1206" s="102"/>
      <c r="GQ1206" s="102"/>
      <c r="GR1206" s="102"/>
      <c r="GS1206" s="102"/>
      <c r="GT1206" s="102"/>
      <c r="GU1206" s="102"/>
      <c r="GV1206" s="102"/>
      <c r="GW1206" s="102"/>
      <c r="GX1206" s="102"/>
      <c r="GY1206" s="102"/>
      <c r="GZ1206" s="102"/>
      <c r="HA1206" s="102"/>
      <c r="HB1206" s="102"/>
      <c r="HC1206" s="102"/>
      <c r="HD1206" s="102"/>
      <c r="HE1206" s="102"/>
      <c r="HF1206" s="102"/>
      <c r="HG1206" s="102"/>
      <c r="HH1206" s="102"/>
      <c r="HI1206" s="102"/>
      <c r="HJ1206" s="102"/>
      <c r="HK1206" s="102"/>
      <c r="HL1206" s="102"/>
      <c r="HM1206" s="102"/>
      <c r="HN1206" s="102"/>
      <c r="HO1206" s="102"/>
      <c r="HP1206" s="102"/>
      <c r="HQ1206" s="102"/>
      <c r="HR1206" s="102"/>
      <c r="HS1206" s="102"/>
      <c r="HT1206" s="102"/>
      <c r="HU1206" s="102"/>
      <c r="HV1206" s="102"/>
      <c r="HW1206" s="102"/>
      <c r="HX1206" s="102"/>
      <c r="HY1206" s="102"/>
      <c r="HZ1206" s="102"/>
      <c r="IA1206" s="102"/>
      <c r="IB1206" s="102"/>
      <c r="IC1206" s="102"/>
      <c r="ID1206" s="102"/>
      <c r="IE1206" s="102"/>
      <c r="IF1206" s="102"/>
      <c r="IG1206" s="102"/>
      <c r="IH1206" s="102"/>
      <c r="II1206" s="102"/>
      <c r="IJ1206" s="102"/>
      <c r="IK1206" s="102"/>
      <c r="IL1206" s="102"/>
      <c r="IM1206" s="102"/>
      <c r="IN1206" s="102"/>
      <c r="IO1206" s="102"/>
      <c r="IP1206" s="102"/>
      <c r="IQ1206" s="102"/>
      <c r="IR1206" s="102"/>
      <c r="IS1206" s="102"/>
      <c r="IT1206" s="102"/>
      <c r="IU1206" s="102"/>
      <c r="IV1206" s="102"/>
      <c r="IW1206" s="102"/>
      <c r="IX1206" s="102"/>
      <c r="IY1206" s="102"/>
      <c r="IZ1206" s="102"/>
      <c r="JA1206" s="102"/>
      <c r="JB1206" s="102"/>
      <c r="JC1206" s="102"/>
      <c r="JD1206" s="102"/>
      <c r="JE1206" s="102"/>
      <c r="JF1206" s="102"/>
      <c r="JG1206" s="102"/>
      <c r="JH1206" s="102"/>
      <c r="JI1206" s="102"/>
      <c r="JJ1206" s="102"/>
      <c r="JK1206" s="102"/>
      <c r="JL1206" s="102"/>
      <c r="JM1206"/>
    </row>
    <row r="1207" spans="1:273" s="302" customFormat="1">
      <c r="A1207" s="302" t="s">
        <v>691</v>
      </c>
      <c r="B1207" s="304"/>
      <c r="AN1207" s="627"/>
      <c r="AO1207" s="627"/>
      <c r="AP1207" s="627"/>
      <c r="AQ1207" s="627"/>
      <c r="AR1207" s="627"/>
      <c r="AS1207" s="627"/>
      <c r="AT1207" s="627"/>
      <c r="AU1207" s="627"/>
      <c r="AV1207" s="303">
        <f>DIVISIONS!AV723</f>
        <v>0</v>
      </c>
      <c r="AW1207" s="303">
        <f>DIVISIONS!AW723</f>
        <v>6</v>
      </c>
      <c r="AX1207" s="627"/>
      <c r="AY1207" s="627"/>
      <c r="AZ1207" s="303">
        <f>DIVISIONS!AZ723</f>
        <v>-2</v>
      </c>
      <c r="BA1207" s="303">
        <f>DIVISIONS!BA723</f>
        <v>8</v>
      </c>
      <c r="BB1207" s="304"/>
      <c r="BC1207" s="304"/>
      <c r="BD1207" s="303">
        <f>DIVISIONS!BD723</f>
        <v>-5</v>
      </c>
      <c r="BE1207" s="303">
        <f>DIVISIONS!BE723</f>
        <v>3</v>
      </c>
      <c r="BF1207" s="304"/>
      <c r="BG1207" s="304"/>
      <c r="BH1207" s="303">
        <f>DIVISIONS!BH723</f>
        <v>-6</v>
      </c>
      <c r="BI1207" s="303">
        <f>DIVISIONS!BI723</f>
        <v>5</v>
      </c>
      <c r="BJ1207" s="304"/>
      <c r="BK1207" s="304"/>
      <c r="BL1207" s="303">
        <f>DIVISIONS!BL723</f>
        <v>-3</v>
      </c>
      <c r="BM1207" s="303">
        <f>DIVISIONS!BM723</f>
        <v>0</v>
      </c>
      <c r="BN1207" s="304"/>
      <c r="BO1207" s="304"/>
      <c r="BP1207" s="303">
        <f>DIVISIONS!BP723</f>
        <v>-1</v>
      </c>
      <c r="BQ1207" s="303">
        <f>DIVISIONS!BQ723</f>
        <v>1</v>
      </c>
      <c r="BR1207" s="304"/>
      <c r="BS1207" s="304"/>
      <c r="BT1207" s="303">
        <f>DIVISIONS!BT723</f>
        <v>3</v>
      </c>
      <c r="BU1207" s="303">
        <f>DIVISIONS!BU723</f>
        <v>-4</v>
      </c>
      <c r="BV1207" s="304"/>
      <c r="BW1207" s="304"/>
      <c r="BX1207" s="303">
        <f>DIVISIONS!BX723</f>
        <v>0</v>
      </c>
      <c r="BY1207" s="303">
        <f>DIVISIONS!BY723</f>
        <v>-2</v>
      </c>
      <c r="BZ1207" s="304"/>
      <c r="CA1207" s="304"/>
      <c r="CB1207" s="303">
        <f>DIVISIONS!CB723</f>
        <v>-1</v>
      </c>
      <c r="CC1207" s="303">
        <f>DIVISIONS!CC723</f>
        <v>1</v>
      </c>
      <c r="CD1207" s="304"/>
      <c r="CE1207" s="300"/>
      <c r="CF1207" s="303">
        <f>DIVISIONS!CF723</f>
        <v>-2</v>
      </c>
      <c r="CG1207" s="303">
        <f>DIVISIONS!CG723</f>
        <v>2</v>
      </c>
      <c r="CH1207" s="304"/>
      <c r="CI1207" s="300"/>
      <c r="CJ1207" s="303">
        <f>DIVISIONS!CJ723</f>
        <v>0</v>
      </c>
      <c r="CK1207" s="303">
        <f>DIVISIONS!CK723</f>
        <v>1</v>
      </c>
      <c r="CL1207" s="304"/>
      <c r="CM1207" s="300"/>
      <c r="CN1207" s="303">
        <f>DIVISIONS!CN723</f>
        <v>0</v>
      </c>
      <c r="CO1207" s="303">
        <f>DIVISIONS!CO723</f>
        <v>-4</v>
      </c>
      <c r="CP1207" s="304"/>
      <c r="CQ1207" s="300"/>
      <c r="CR1207" s="303">
        <f>DIVISIONS!CR723</f>
        <v>0</v>
      </c>
      <c r="CS1207" s="303">
        <f>DIVISIONS!CS723</f>
        <v>-1</v>
      </c>
      <c r="CT1207" s="304"/>
      <c r="CU1207" s="304"/>
      <c r="CV1207" s="303">
        <f>DIVISIONS!CV723</f>
        <v>-1</v>
      </c>
      <c r="CW1207" s="303">
        <f>DIVISIONS!CW723</f>
        <v>-1</v>
      </c>
      <c r="CX1207" s="304"/>
      <c r="CY1207" s="304"/>
      <c r="CZ1207" s="303">
        <f>DIVISIONS!CZ723</f>
        <v>0</v>
      </c>
      <c r="DA1207" s="303">
        <f>DIVISIONS!DA723</f>
        <v>-2</v>
      </c>
      <c r="DB1207" s="304"/>
      <c r="DC1207" s="304"/>
      <c r="DD1207" s="303">
        <f>DIVISIONS!DD723</f>
        <v>6</v>
      </c>
      <c r="DE1207" s="303">
        <f>DIVISIONS!DE723</f>
        <v>3</v>
      </c>
      <c r="DF1207" s="304"/>
      <c r="DG1207" s="304"/>
      <c r="DH1207" s="303">
        <f>DIVISIONS!DH723</f>
        <v>-1</v>
      </c>
      <c r="DI1207" s="630">
        <v>0</v>
      </c>
      <c r="DJ1207" s="304"/>
      <c r="DK1207" s="304"/>
      <c r="DL1207" s="630">
        <v>0</v>
      </c>
      <c r="DM1207" s="630">
        <v>0</v>
      </c>
      <c r="DN1207" s="304"/>
      <c r="DO1207" s="304"/>
      <c r="DP1207" s="630">
        <v>0</v>
      </c>
      <c r="DQ1207" s="630">
        <v>0</v>
      </c>
      <c r="DR1207" s="304"/>
      <c r="DS1207" s="304"/>
      <c r="DT1207" s="304"/>
      <c r="DU1207" s="630"/>
      <c r="DV1207" s="630"/>
      <c r="DW1207" s="630"/>
      <c r="DX1207" s="304"/>
      <c r="DY1207" s="304"/>
      <c r="DZ1207" s="630"/>
      <c r="EA1207" s="630"/>
      <c r="EB1207" s="304"/>
      <c r="EC1207" s="304"/>
      <c r="ED1207" s="630"/>
      <c r="EE1207" s="630"/>
      <c r="EF1207" s="304"/>
      <c r="EG1207" s="304"/>
      <c r="EH1207" s="304"/>
      <c r="EI1207" s="304"/>
      <c r="EJ1207" s="304"/>
      <c r="EK1207" s="304"/>
      <c r="EL1207" s="304"/>
      <c r="EM1207" s="304"/>
      <c r="EN1207" s="304"/>
      <c r="EO1207" s="304"/>
      <c r="EP1207" s="304"/>
      <c r="FL1207" s="102"/>
      <c r="FM1207" s="102"/>
      <c r="FN1207" s="102"/>
      <c r="FO1207" s="102"/>
      <c r="FP1207" s="102"/>
      <c r="FQ1207" s="102"/>
      <c r="FR1207" s="102"/>
      <c r="FS1207" s="102"/>
      <c r="FT1207" s="102"/>
      <c r="FU1207" s="102"/>
      <c r="FV1207" s="102"/>
      <c r="FW1207" s="102"/>
      <c r="FX1207" s="102"/>
      <c r="FY1207" s="102"/>
      <c r="FZ1207" s="102"/>
      <c r="GA1207" s="102"/>
      <c r="GB1207" s="102"/>
      <c r="GC1207" s="102"/>
      <c r="GD1207" s="102"/>
      <c r="GE1207" s="102"/>
      <c r="GF1207" s="102"/>
      <c r="GG1207" s="102"/>
      <c r="GH1207" s="102"/>
      <c r="GI1207" s="102"/>
      <c r="GJ1207" s="102"/>
      <c r="GK1207" s="102"/>
      <c r="GL1207" s="102"/>
      <c r="GM1207" s="102"/>
      <c r="GN1207" s="102"/>
      <c r="GO1207" s="102"/>
      <c r="GP1207" s="102"/>
      <c r="GQ1207" s="102"/>
      <c r="GR1207" s="102"/>
      <c r="GS1207" s="102"/>
      <c r="GT1207" s="102"/>
      <c r="GU1207" s="102"/>
      <c r="GV1207" s="102"/>
      <c r="GW1207" s="102"/>
      <c r="GX1207" s="102"/>
      <c r="GY1207" s="102"/>
      <c r="GZ1207" s="102"/>
      <c r="HA1207" s="102"/>
      <c r="HB1207" s="102"/>
      <c r="HC1207" s="102"/>
      <c r="HD1207" s="102"/>
      <c r="HE1207" s="102"/>
      <c r="HF1207" s="102"/>
      <c r="HG1207" s="102"/>
      <c r="HH1207" s="102"/>
      <c r="HI1207" s="102"/>
      <c r="HJ1207" s="102"/>
      <c r="HK1207" s="102"/>
      <c r="HL1207" s="102"/>
      <c r="HM1207" s="102"/>
      <c r="HN1207" s="102"/>
      <c r="HO1207" s="102"/>
      <c r="HP1207" s="102"/>
      <c r="HQ1207" s="102"/>
      <c r="HR1207" s="102"/>
      <c r="HS1207" s="102"/>
      <c r="HT1207" s="102"/>
      <c r="HU1207" s="102"/>
      <c r="HV1207" s="102"/>
      <c r="HW1207" s="102"/>
      <c r="HX1207" s="102"/>
      <c r="HY1207" s="102"/>
      <c r="HZ1207" s="102"/>
      <c r="IA1207" s="102"/>
      <c r="IB1207" s="102"/>
      <c r="IC1207" s="102"/>
      <c r="ID1207" s="102"/>
      <c r="IE1207" s="102"/>
      <c r="IF1207" s="102"/>
      <c r="IG1207" s="102"/>
      <c r="IH1207" s="102"/>
      <c r="II1207" s="102"/>
      <c r="IJ1207" s="102"/>
      <c r="IK1207" s="102"/>
      <c r="IL1207" s="102"/>
      <c r="IM1207" s="102"/>
      <c r="IN1207" s="102"/>
      <c r="IO1207" s="102"/>
      <c r="IP1207" s="102"/>
      <c r="IQ1207" s="102"/>
      <c r="IR1207" s="102"/>
      <c r="IS1207" s="102"/>
      <c r="IT1207" s="102"/>
      <c r="IU1207" s="102"/>
      <c r="IV1207" s="102"/>
      <c r="IW1207" s="102"/>
      <c r="IX1207" s="102"/>
      <c r="IY1207" s="102"/>
      <c r="IZ1207" s="102"/>
      <c r="JA1207" s="102"/>
      <c r="JB1207" s="102"/>
      <c r="JC1207" s="102"/>
      <c r="JD1207" s="102"/>
      <c r="JE1207" s="102"/>
      <c r="JF1207" s="102"/>
      <c r="JG1207" s="102"/>
      <c r="JH1207" s="102"/>
      <c r="JI1207" s="102"/>
      <c r="JJ1207" s="102"/>
      <c r="JK1207" s="102"/>
      <c r="JL1207" s="102"/>
      <c r="JM1207"/>
    </row>
    <row r="1208" spans="1:273" s="289" customFormat="1">
      <c r="A1208" s="289" t="s">
        <v>613</v>
      </c>
      <c r="B1208" s="290"/>
      <c r="AN1208" s="295">
        <f>SUM(AN1200:AN1207)</f>
        <v>0</v>
      </c>
      <c r="AO1208" s="295">
        <f>SUM(AO1200:AO1207)</f>
        <v>0</v>
      </c>
      <c r="AP1208" s="290"/>
      <c r="AQ1208" s="290"/>
      <c r="AR1208" s="295">
        <f>SUM(AR1200:AR1207)</f>
        <v>0</v>
      </c>
      <c r="AS1208" s="295">
        <f>SUM(AS1200:AS1207)</f>
        <v>0</v>
      </c>
      <c r="AT1208" s="290"/>
      <c r="AU1208" s="290"/>
      <c r="AV1208" s="295">
        <f>SUM(AV1200:AV1207)</f>
        <v>-1</v>
      </c>
      <c r="AW1208" s="295">
        <f>SUM(AW1200:AW1207)</f>
        <v>-13</v>
      </c>
      <c r="AX1208" s="290"/>
      <c r="AY1208" s="290"/>
      <c r="AZ1208" s="295">
        <f>SUM(AZ1200:AZ1207)</f>
        <v>7</v>
      </c>
      <c r="BA1208" s="295">
        <f>SUM(BA1200:BA1207)</f>
        <v>-10</v>
      </c>
      <c r="BB1208" s="1019"/>
      <c r="BC1208" s="1019"/>
      <c r="BD1208" s="295">
        <f>SUM(BD1200:BD1207)</f>
        <v>12</v>
      </c>
      <c r="BE1208" s="295">
        <f>SUM(BE1200:BE1207)</f>
        <v>-14</v>
      </c>
      <c r="BF1208" s="1019"/>
      <c r="BG1208" s="1019"/>
      <c r="BH1208" s="295">
        <f>SUM(BH1200:BH1207)</f>
        <v>13</v>
      </c>
      <c r="BI1208" s="295">
        <f>SUM(BI1200:BI1207)</f>
        <v>-9</v>
      </c>
      <c r="BJ1208" s="1021">
        <f>SUM(BH1208:BI1208)</f>
        <v>4</v>
      </c>
      <c r="BK1208" s="1019"/>
      <c r="BL1208" s="295">
        <f>SUM(BL1200:BL1207)</f>
        <v>9</v>
      </c>
      <c r="BM1208" s="295">
        <f>SUM(BM1200:BM1207)</f>
        <v>-1</v>
      </c>
      <c r="BN1208" s="1021">
        <f>SUM(BL1208:BM1208)</f>
        <v>8</v>
      </c>
      <c r="BO1208" s="1019"/>
      <c r="BP1208" s="295">
        <f>SUM(BP1200:BP1207)</f>
        <v>0</v>
      </c>
      <c r="BQ1208" s="295">
        <f>SUM(BQ1200:BQ1207)</f>
        <v>5</v>
      </c>
      <c r="BR1208" s="1021">
        <f>SUM(BP1208:BQ1208)</f>
        <v>5</v>
      </c>
      <c r="BS1208" s="1019"/>
      <c r="BT1208" s="295">
        <f>SUM(BT1200:BT1207)</f>
        <v>-10</v>
      </c>
      <c r="BU1208" s="295">
        <f>SUM(BU1200:BU1207)</f>
        <v>2</v>
      </c>
      <c r="BV1208" s="1021">
        <f>SUM(BT1208:BU1208)</f>
        <v>-8</v>
      </c>
      <c r="BW1208" s="1019"/>
      <c r="BX1208" s="295">
        <f>SUM(BX1200:BX1207)</f>
        <v>11</v>
      </c>
      <c r="BY1208" s="295">
        <f>SUM(BY1200:BY1207)</f>
        <v>-15</v>
      </c>
      <c r="BZ1208" s="1021">
        <f>SUM(BX1208:BY1208)</f>
        <v>-4</v>
      </c>
      <c r="CA1208" s="1019"/>
      <c r="CB1208" s="295">
        <f>SUM(CB1200:CB1207)</f>
        <v>-1</v>
      </c>
      <c r="CC1208" s="295">
        <f>SUM(CC1200:CC1207)</f>
        <v>-9</v>
      </c>
      <c r="CD1208" s="1021">
        <f>SUM(CB1208:CC1208)</f>
        <v>-10</v>
      </c>
      <c r="CE1208" s="1006"/>
      <c r="CF1208" s="295">
        <f>SUM(CF1200:CF1207)</f>
        <v>-14</v>
      </c>
      <c r="CG1208" s="295">
        <f>SUM(CG1200:CG1207)</f>
        <v>23</v>
      </c>
      <c r="CH1208" s="1021">
        <f>SUM(CF1208:CG1208)</f>
        <v>9</v>
      </c>
      <c r="CI1208" s="1006"/>
      <c r="CJ1208" s="295">
        <f>SUM(CJ1200:CJ1207)</f>
        <v>-1</v>
      </c>
      <c r="CK1208" s="295">
        <f>SUM(CK1200:CK1207)</f>
        <v>18</v>
      </c>
      <c r="CL1208" s="1021">
        <f>SUM(CJ1208:CK1208)</f>
        <v>17</v>
      </c>
      <c r="CM1208" s="1006"/>
      <c r="CN1208" s="295">
        <f>SUM(CN1200:CN1207)</f>
        <v>7</v>
      </c>
      <c r="CO1208" s="295">
        <f>SUM(CO1200:CO1207)</f>
        <v>0</v>
      </c>
      <c r="CP1208" s="1021">
        <f>SUM(CN1208:CO1208)</f>
        <v>7</v>
      </c>
      <c r="CQ1208" s="1006"/>
      <c r="CR1208" s="295">
        <f>SUM(CR1200:CR1207)</f>
        <v>-89</v>
      </c>
      <c r="CS1208" s="295">
        <f>SUM(CS1200:CS1207)</f>
        <v>-158</v>
      </c>
      <c r="CT1208" s="1021">
        <f>SUM(CR1208:CS1208)</f>
        <v>-247</v>
      </c>
      <c r="CU1208" s="1019"/>
      <c r="CV1208" s="295">
        <f>SUM(CV1200:CV1207)</f>
        <v>12</v>
      </c>
      <c r="CW1208" s="295">
        <f>SUM(CW1200:CW1207)</f>
        <v>2</v>
      </c>
      <c r="CX1208" s="1021">
        <f>SUM(CV1208:CW1208)</f>
        <v>14</v>
      </c>
      <c r="CY1208" s="1019"/>
      <c r="CZ1208" s="295">
        <f>SUM(CZ1200:CZ1207)</f>
        <v>11</v>
      </c>
      <c r="DA1208" s="295">
        <f>SUM(DA1200:DA1207)</f>
        <v>-24</v>
      </c>
      <c r="DB1208" s="1021">
        <f>SUM(CZ1208:DA1208)</f>
        <v>-13</v>
      </c>
      <c r="DC1208" s="1019"/>
      <c r="DD1208" s="295">
        <f>SUM(DD1200:DD1207)</f>
        <v>1</v>
      </c>
      <c r="DE1208" s="295">
        <f>SUM(DE1200:DE1207)</f>
        <v>-28</v>
      </c>
      <c r="DF1208" s="1021">
        <f>SUM(DD1208:DE1208)</f>
        <v>-27</v>
      </c>
      <c r="DG1208" s="1019"/>
      <c r="DH1208" s="295">
        <f>SUM(DH1200:DH1207)</f>
        <v>-26</v>
      </c>
      <c r="DI1208" s="295">
        <f>SUM(DI1200:DI1207)</f>
        <v>-2</v>
      </c>
      <c r="DJ1208" s="1021">
        <f>SUM(DH1208:DI1208)</f>
        <v>-28</v>
      </c>
      <c r="DK1208" s="1019"/>
      <c r="DL1208" s="295">
        <f>SUM(DL1200:DL1207)</f>
        <v>-2</v>
      </c>
      <c r="DM1208" s="295">
        <f>SUM(DM1200:DM1207)</f>
        <v>-2</v>
      </c>
      <c r="DN1208" s="1021">
        <f>SUM(DL1208:DM1208)</f>
        <v>-4</v>
      </c>
      <c r="DO1208" s="1019"/>
      <c r="DP1208" s="295">
        <f>SUM(DP1200:DP1207)</f>
        <v>-2</v>
      </c>
      <c r="DQ1208" s="295">
        <f>SUM(DQ1200:DQ1207)</f>
        <v>-2</v>
      </c>
      <c r="DR1208" s="1021">
        <f>SUM(DP1208:DQ1208)</f>
        <v>-4</v>
      </c>
      <c r="DS1208" s="1019"/>
      <c r="DT1208" s="1019"/>
      <c r="DU1208" s="295"/>
      <c r="DV1208" s="295"/>
      <c r="DW1208" s="295"/>
      <c r="DX1208" s="290"/>
      <c r="DY1208" s="290"/>
      <c r="DZ1208" s="295"/>
      <c r="EA1208" s="295"/>
      <c r="EB1208" s="290"/>
      <c r="EC1208" s="290"/>
      <c r="ED1208" s="295"/>
      <c r="EE1208" s="295"/>
      <c r="EF1208" s="290"/>
      <c r="EG1208" s="290"/>
      <c r="EH1208" s="290"/>
      <c r="EI1208" s="290"/>
      <c r="EJ1208" s="290"/>
      <c r="EK1208" s="290"/>
      <c r="EL1208" s="290"/>
      <c r="EM1208" s="290"/>
      <c r="EN1208" s="290"/>
      <c r="EO1208" s="290"/>
      <c r="EP1208" s="290"/>
      <c r="JM1208"/>
    </row>
    <row r="1209" spans="1:273">
      <c r="BA1209" s="293"/>
      <c r="BD1209" s="293"/>
      <c r="BE1209" s="293"/>
      <c r="BH1209" s="293"/>
      <c r="BI1209" s="293"/>
      <c r="BL1209" s="293"/>
      <c r="BM1209" s="293"/>
      <c r="BP1209" s="293"/>
      <c r="BQ1209" s="293"/>
      <c r="BT1209" s="293"/>
      <c r="BU1209" s="293"/>
      <c r="BX1209" s="293"/>
      <c r="BY1209" s="293"/>
      <c r="CB1209" s="293"/>
      <c r="CC1209" s="293"/>
      <c r="CF1209" s="293"/>
      <c r="CG1209" s="293"/>
      <c r="CJ1209" s="293"/>
      <c r="CK1209" s="293"/>
      <c r="CN1209" s="293"/>
      <c r="CO1209" s="293"/>
      <c r="CR1209" s="293"/>
      <c r="CS1209" s="293"/>
      <c r="CV1209" s="293"/>
      <c r="CW1209" s="293"/>
      <c r="CZ1209" s="293"/>
      <c r="DA1209" s="293"/>
      <c r="DD1209" s="293"/>
      <c r="DE1209" s="293"/>
      <c r="DH1209" s="293"/>
      <c r="DI1209" s="293"/>
      <c r="DL1209" s="293"/>
      <c r="DM1209" s="293"/>
      <c r="DP1209" s="293"/>
      <c r="DQ1209" s="293"/>
      <c r="DU1209" s="293"/>
      <c r="DV1209" s="293"/>
      <c r="DW1209" s="293"/>
      <c r="DZ1209" s="293"/>
      <c r="EA1209" s="293"/>
      <c r="ED1209" s="293"/>
      <c r="EE1209" s="293"/>
    </row>
    <row r="1210" spans="1:273" s="834" customFormat="1">
      <c r="A1210" s="939" t="s">
        <v>570</v>
      </c>
      <c r="B1210" s="833"/>
      <c r="AN1210" s="833"/>
      <c r="AO1210" s="833"/>
      <c r="AP1210" s="833"/>
      <c r="AQ1210" s="833"/>
      <c r="AR1210" s="833"/>
      <c r="AS1210" s="833"/>
      <c r="AT1210" s="833"/>
      <c r="AU1210" s="833"/>
      <c r="AV1210" s="833"/>
      <c r="AW1210" s="833"/>
      <c r="AX1210" s="833"/>
      <c r="AY1210" s="833"/>
      <c r="AZ1210" s="833"/>
      <c r="BA1210" s="833"/>
      <c r="BB1210" s="833"/>
      <c r="BC1210" s="833"/>
      <c r="BD1210" s="833"/>
      <c r="BE1210" s="833"/>
      <c r="BF1210" s="833"/>
      <c r="BG1210" s="833"/>
      <c r="BH1210" s="833"/>
      <c r="BI1210" s="833"/>
      <c r="BJ1210" s="833"/>
      <c r="BK1210" s="833"/>
      <c r="BL1210" s="833"/>
      <c r="BM1210" s="833"/>
      <c r="BN1210" s="833"/>
      <c r="BO1210" s="833"/>
      <c r="BP1210" s="833"/>
      <c r="BQ1210" s="833"/>
      <c r="BR1210" s="833"/>
      <c r="BS1210" s="833"/>
      <c r="BT1210" s="833"/>
      <c r="BU1210" s="833"/>
      <c r="BV1210" s="833"/>
      <c r="BW1210" s="833"/>
      <c r="BX1210" s="833"/>
      <c r="BY1210" s="833"/>
      <c r="BZ1210" s="833"/>
      <c r="CA1210" s="833"/>
      <c r="CB1210" s="833"/>
      <c r="CC1210" s="833"/>
      <c r="CD1210" s="833"/>
      <c r="CE1210" s="1607"/>
      <c r="CF1210" s="833"/>
      <c r="CG1210" s="833"/>
      <c r="CH1210" s="833"/>
      <c r="CI1210" s="1607"/>
      <c r="CJ1210" s="833"/>
      <c r="CK1210" s="833"/>
      <c r="CL1210" s="833"/>
      <c r="CM1210" s="1607"/>
      <c r="CN1210" s="833"/>
      <c r="CO1210" s="833"/>
      <c r="CP1210" s="833"/>
      <c r="CQ1210" s="1607"/>
      <c r="CR1210" s="833"/>
      <c r="CS1210" s="833"/>
      <c r="CT1210" s="833"/>
      <c r="CU1210" s="833"/>
      <c r="CV1210" s="833"/>
      <c r="CW1210" s="833"/>
      <c r="CX1210" s="833"/>
      <c r="CY1210" s="833"/>
      <c r="CZ1210" s="833"/>
      <c r="DA1210" s="833"/>
      <c r="DB1210" s="833"/>
      <c r="DC1210" s="833"/>
      <c r="DD1210" s="833"/>
      <c r="DE1210" s="833"/>
      <c r="DF1210" s="833"/>
      <c r="DG1210" s="833"/>
      <c r="DH1210" s="833"/>
      <c r="DI1210" s="833"/>
      <c r="DJ1210" s="833"/>
      <c r="DK1210" s="833"/>
      <c r="DL1210" s="833"/>
      <c r="DM1210" s="833"/>
      <c r="DN1210" s="833"/>
      <c r="DO1210" s="833"/>
      <c r="DP1210" s="833"/>
      <c r="DQ1210" s="833"/>
      <c r="DR1210" s="833"/>
      <c r="DS1210" s="833"/>
      <c r="DT1210" s="833"/>
      <c r="DU1210" s="833"/>
      <c r="DV1210" s="833"/>
      <c r="DW1210" s="833"/>
      <c r="DX1210" s="833"/>
      <c r="DY1210" s="833"/>
      <c r="DZ1210" s="833"/>
      <c r="EA1210" s="833"/>
      <c r="EB1210" s="833"/>
      <c r="EC1210" s="833"/>
      <c r="ED1210" s="833"/>
      <c r="EE1210" s="833"/>
      <c r="EF1210" s="833"/>
      <c r="EG1210" s="833"/>
      <c r="EH1210" s="833"/>
      <c r="EI1210" s="833"/>
      <c r="EJ1210" s="833"/>
      <c r="EK1210" s="833"/>
      <c r="EL1210" s="833"/>
      <c r="EM1210" s="833"/>
      <c r="EN1210" s="833"/>
      <c r="EO1210" s="833"/>
      <c r="EP1210" s="833"/>
      <c r="FL1210" s="102"/>
      <c r="FM1210" s="102"/>
      <c r="FN1210" s="102"/>
      <c r="FO1210" s="102"/>
      <c r="FP1210" s="102"/>
      <c r="FQ1210" s="102"/>
      <c r="FR1210" s="102"/>
      <c r="FS1210" s="102"/>
      <c r="FT1210" s="102"/>
      <c r="FU1210" s="102"/>
      <c r="FV1210" s="102"/>
      <c r="FW1210" s="102"/>
      <c r="FX1210" s="102"/>
      <c r="FY1210" s="102"/>
      <c r="FZ1210" s="102"/>
      <c r="GA1210" s="102"/>
      <c r="GB1210" s="102"/>
      <c r="GC1210" s="102"/>
      <c r="GD1210" s="102"/>
      <c r="GE1210" s="102"/>
      <c r="GF1210" s="102"/>
      <c r="GG1210" s="102"/>
      <c r="GH1210" s="102"/>
      <c r="GI1210" s="102"/>
      <c r="GJ1210" s="102"/>
      <c r="GK1210" s="102"/>
      <c r="GL1210" s="102"/>
      <c r="GM1210" s="102"/>
      <c r="GN1210" s="102"/>
      <c r="GO1210" s="102"/>
      <c r="GP1210" s="102"/>
      <c r="GQ1210" s="102"/>
      <c r="GR1210" s="102"/>
      <c r="GS1210" s="102"/>
      <c r="GT1210" s="102"/>
      <c r="GU1210" s="102"/>
      <c r="GV1210" s="102"/>
      <c r="GW1210" s="102"/>
      <c r="GX1210" s="102"/>
      <c r="GY1210" s="102"/>
      <c r="GZ1210" s="102"/>
      <c r="HA1210" s="102"/>
      <c r="HB1210" s="102"/>
      <c r="HC1210" s="102"/>
      <c r="HD1210" s="102"/>
      <c r="HE1210" s="102"/>
      <c r="HF1210" s="102"/>
      <c r="HG1210" s="102"/>
      <c r="HH1210" s="102"/>
      <c r="HI1210" s="102"/>
      <c r="HJ1210" s="102"/>
      <c r="HK1210" s="102"/>
      <c r="HL1210" s="102"/>
      <c r="HM1210" s="102"/>
      <c r="HN1210" s="102"/>
      <c r="HO1210" s="102"/>
      <c r="HP1210" s="102"/>
      <c r="HQ1210" s="102"/>
      <c r="HR1210" s="102"/>
      <c r="HS1210" s="102"/>
      <c r="HT1210" s="102"/>
      <c r="HU1210" s="102"/>
      <c r="HV1210" s="102"/>
      <c r="HW1210" s="102"/>
      <c r="HX1210" s="102"/>
      <c r="HY1210" s="102"/>
      <c r="HZ1210" s="102"/>
      <c r="IA1210" s="102"/>
      <c r="IB1210" s="102"/>
      <c r="IC1210" s="102"/>
      <c r="ID1210" s="102"/>
      <c r="IE1210" s="102"/>
      <c r="IF1210" s="102"/>
      <c r="IG1210" s="102"/>
      <c r="IH1210" s="102"/>
      <c r="II1210" s="102"/>
      <c r="IJ1210" s="102"/>
      <c r="IK1210" s="102"/>
      <c r="IL1210" s="102"/>
      <c r="IM1210" s="102"/>
      <c r="IN1210" s="102"/>
      <c r="IO1210" s="102"/>
      <c r="IP1210" s="102"/>
      <c r="IQ1210" s="102"/>
      <c r="IR1210" s="102"/>
      <c r="IS1210" s="102"/>
      <c r="IT1210" s="102"/>
      <c r="IU1210" s="102"/>
      <c r="IV1210" s="102"/>
      <c r="IW1210" s="102"/>
      <c r="IX1210" s="102"/>
      <c r="IY1210" s="102"/>
      <c r="IZ1210" s="102"/>
      <c r="JA1210" s="102"/>
      <c r="JB1210" s="102"/>
      <c r="JC1210" s="102"/>
      <c r="JD1210" s="102"/>
      <c r="JE1210" s="102"/>
      <c r="JF1210" s="102"/>
      <c r="JG1210" s="102"/>
      <c r="JH1210" s="102"/>
      <c r="JI1210" s="102"/>
      <c r="JJ1210" s="102"/>
      <c r="JK1210" s="102"/>
      <c r="JL1210" s="102"/>
      <c r="JM1210"/>
    </row>
    <row r="1212" spans="1:273" s="699" customFormat="1">
      <c r="A1212" s="699" t="s">
        <v>799</v>
      </c>
      <c r="B1212" s="867"/>
      <c r="AN1212" s="1022"/>
      <c r="AO1212" s="1022"/>
      <c r="AP1212" s="867"/>
      <c r="AQ1212" s="867"/>
      <c r="AR1212" s="1022"/>
      <c r="AS1212" s="1022"/>
      <c r="AT1212" s="867"/>
      <c r="AU1212" s="867"/>
      <c r="AV1212" s="878">
        <f>+AV478+AV479+AV486</f>
        <v>-607</v>
      </c>
      <c r="AW1212" s="878">
        <f>+AW478+AW479+AW486</f>
        <v>-82</v>
      </c>
      <c r="AX1212" s="867"/>
      <c r="AY1212" s="867"/>
      <c r="AZ1212" s="878">
        <f>+AZ478+AZ479+AZ486</f>
        <v>-127</v>
      </c>
      <c r="BA1212" s="878">
        <f>+BA478+BA479+BA486</f>
        <v>-133</v>
      </c>
      <c r="BB1212" s="867"/>
      <c r="BC1212" s="867"/>
      <c r="BD1212" s="878">
        <f>+BD478+BD479+BD486</f>
        <v>-96</v>
      </c>
      <c r="BE1212" s="878">
        <f>+BE478+BE479+BE486</f>
        <v>-336</v>
      </c>
      <c r="BF1212" s="867"/>
      <c r="BG1212" s="867"/>
      <c r="BH1212" s="878">
        <f>+BH478+BH479+BH486</f>
        <v>-312</v>
      </c>
      <c r="BI1212" s="878">
        <f>+BI478+BI479+BI486</f>
        <v>-286</v>
      </c>
      <c r="BJ1212" s="867"/>
      <c r="BK1212" s="867"/>
      <c r="BL1212" s="878">
        <f>+BL478+BL479+BL486</f>
        <v>-194</v>
      </c>
      <c r="BM1212" s="878">
        <f>+BM478+BM479+BM486</f>
        <v>-305</v>
      </c>
      <c r="BN1212" s="867"/>
      <c r="BO1212" s="867"/>
      <c r="BP1212" s="878">
        <f>+BP478+BP479+BP486</f>
        <v>-163</v>
      </c>
      <c r="BQ1212" s="878">
        <f>+BQ478+BQ479+BQ486</f>
        <v>-618</v>
      </c>
      <c r="BR1212" s="867"/>
      <c r="BS1212" s="867"/>
      <c r="BT1212" s="878">
        <f>+BT478+BT479+BT486</f>
        <v>-428</v>
      </c>
      <c r="BU1212" s="878">
        <f>+BU478+BU479+BU486</f>
        <v>-340</v>
      </c>
      <c r="BV1212" s="867"/>
      <c r="BW1212" s="867"/>
      <c r="BX1212" s="878">
        <f>+BX478+BX479+BX486</f>
        <v>-294</v>
      </c>
      <c r="BY1212" s="878">
        <f>+BY478+BY479+BY486</f>
        <v>-164</v>
      </c>
      <c r="BZ1212" s="867"/>
      <c r="CA1212" s="867"/>
      <c r="CB1212" s="878">
        <f>+CB478+CB479+CB486</f>
        <v>-142</v>
      </c>
      <c r="CC1212" s="878">
        <f>+CC478+CC479+CC486</f>
        <v>-216</v>
      </c>
      <c r="CD1212" s="867"/>
      <c r="CE1212" s="1608"/>
      <c r="CF1212" s="878">
        <f>+CF478+CF479+CF486</f>
        <v>-76</v>
      </c>
      <c r="CG1212" s="878">
        <f>+CG478+CG479+CG486</f>
        <v>-476</v>
      </c>
      <c r="CH1212" s="867"/>
      <c r="CI1212" s="1608"/>
      <c r="CJ1212" s="878">
        <f>+CJ478+CJ479+CJ486</f>
        <v>-139</v>
      </c>
      <c r="CK1212" s="878">
        <f>+CK478+CK479+CK486</f>
        <v>-901</v>
      </c>
      <c r="CL1212" s="867"/>
      <c r="CM1212" s="1608"/>
      <c r="CN1212" s="878">
        <f>+CN478+CN479+CN486</f>
        <v>-447</v>
      </c>
      <c r="CO1212" s="878">
        <f>+CO478+CO479+CO486</f>
        <v>-77</v>
      </c>
      <c r="CP1212" s="867"/>
      <c r="CQ1212" s="1608"/>
      <c r="CR1212" s="878">
        <f>+CR478+CR479+CR486</f>
        <v>-230</v>
      </c>
      <c r="CS1212" s="878">
        <f>+CS478+CS479+CS486</f>
        <v>-279</v>
      </c>
      <c r="CT1212" s="867"/>
      <c r="CU1212" s="867"/>
      <c r="CV1212" s="878">
        <f>+CV478+CV479+CV486</f>
        <v>-286</v>
      </c>
      <c r="CW1212" s="878">
        <f>+CW478+CW479+CW486</f>
        <v>-168</v>
      </c>
      <c r="CX1212" s="867"/>
      <c r="CY1212" s="867"/>
      <c r="CZ1212" s="878">
        <f>+CZ478+CZ479+CZ486</f>
        <v>117</v>
      </c>
      <c r="DA1212" s="878">
        <f>+DA478+DA479+DA486</f>
        <v>252</v>
      </c>
      <c r="DB1212" s="867"/>
      <c r="DC1212" s="867"/>
      <c r="DD1212" s="878">
        <f>+DD478+DD479+DD486</f>
        <v>-75</v>
      </c>
      <c r="DE1212" s="878">
        <f>+DE478+DE479+DE486</f>
        <v>-286</v>
      </c>
      <c r="DF1212" s="867"/>
      <c r="DG1212" s="867"/>
      <c r="DH1212" s="878">
        <f>+DH478+DH479+DH486</f>
        <v>-29</v>
      </c>
      <c r="DI1212" s="878">
        <f>+DI478+DI479+DI486</f>
        <v>-141.61760000000001</v>
      </c>
      <c r="DJ1212" s="867"/>
      <c r="DK1212" s="867"/>
      <c r="DL1212" s="878">
        <f>+DL478+DL479+DL486</f>
        <v>-202.92000000000002</v>
      </c>
      <c r="DM1212" s="878">
        <f>+DM478+DM479+DM486</f>
        <v>-218.91200000000001</v>
      </c>
      <c r="DN1212" s="867"/>
      <c r="DO1212" s="867"/>
      <c r="DP1212" s="878">
        <f>+DP478+DP479+DP486</f>
        <v>-210.07679999999999</v>
      </c>
      <c r="DQ1212" s="878">
        <f>+DQ478+DQ479+DQ486</f>
        <v>-225.26848000000001</v>
      </c>
      <c r="DR1212" s="867"/>
      <c r="DS1212" s="867"/>
      <c r="DT1212" s="867"/>
      <c r="DU1212" s="1022"/>
      <c r="DV1212" s="1022"/>
      <c r="DW1212" s="1022"/>
      <c r="DX1212" s="867"/>
      <c r="DY1212" s="867"/>
      <c r="DZ1212" s="1022"/>
      <c r="EA1212" s="1022"/>
      <c r="EB1212" s="867"/>
      <c r="EC1212" s="867"/>
      <c r="ED1212" s="1022"/>
      <c r="EE1212" s="1022"/>
      <c r="EF1212" s="867"/>
      <c r="EG1212" s="867"/>
      <c r="EH1212" s="867"/>
      <c r="EI1212" s="867"/>
      <c r="EJ1212" s="867"/>
      <c r="EK1212" s="867"/>
      <c r="EL1212" s="867"/>
      <c r="EM1212" s="867"/>
      <c r="EN1212" s="867"/>
      <c r="EO1212" s="867"/>
      <c r="EP1212" s="867"/>
      <c r="FL1212" s="102"/>
      <c r="FM1212" s="102"/>
      <c r="FN1212" s="102"/>
      <c r="FO1212" s="102"/>
      <c r="FP1212" s="102"/>
      <c r="FQ1212" s="102"/>
      <c r="FR1212" s="102"/>
      <c r="FS1212" s="102"/>
      <c r="FT1212" s="102"/>
      <c r="FU1212" s="102"/>
      <c r="FV1212" s="102"/>
      <c r="FW1212" s="102"/>
      <c r="FX1212" s="102"/>
      <c r="FY1212" s="102"/>
      <c r="FZ1212" s="102"/>
      <c r="GA1212" s="102"/>
      <c r="GB1212" s="102"/>
      <c r="GC1212" s="102"/>
      <c r="GD1212" s="102"/>
      <c r="GE1212" s="102"/>
      <c r="GF1212" s="102"/>
      <c r="GG1212" s="102"/>
      <c r="GH1212" s="102"/>
      <c r="GI1212" s="102"/>
      <c r="GJ1212" s="102"/>
      <c r="GK1212" s="102"/>
      <c r="GL1212" s="102"/>
      <c r="GM1212" s="102"/>
      <c r="GN1212" s="102"/>
      <c r="GO1212" s="102"/>
      <c r="GP1212" s="102"/>
      <c r="GQ1212" s="102"/>
      <c r="GR1212" s="102"/>
      <c r="GS1212" s="102"/>
      <c r="GT1212" s="102"/>
      <c r="GU1212" s="102"/>
      <c r="GV1212" s="102"/>
      <c r="GW1212" s="102"/>
      <c r="GX1212" s="102"/>
      <c r="GY1212" s="102"/>
      <c r="GZ1212" s="102"/>
      <c r="HA1212" s="102"/>
      <c r="HB1212" s="102"/>
      <c r="HC1212" s="102"/>
      <c r="HD1212" s="102"/>
      <c r="HE1212" s="102"/>
      <c r="HF1212" s="102"/>
      <c r="HG1212" s="102"/>
      <c r="HH1212" s="102"/>
      <c r="HI1212" s="102"/>
      <c r="HJ1212" s="102"/>
      <c r="HK1212" s="102"/>
      <c r="HL1212" s="102"/>
      <c r="HM1212" s="102"/>
      <c r="HN1212" s="102"/>
      <c r="HO1212" s="102"/>
      <c r="HP1212" s="102"/>
      <c r="HQ1212" s="102"/>
      <c r="HR1212" s="102"/>
      <c r="HS1212" s="102"/>
      <c r="HT1212" s="102"/>
      <c r="HU1212" s="102"/>
      <c r="HV1212" s="102"/>
      <c r="HW1212" s="102"/>
      <c r="HX1212" s="102"/>
      <c r="HY1212" s="102"/>
      <c r="HZ1212" s="102"/>
      <c r="IA1212" s="102"/>
      <c r="IB1212" s="102"/>
      <c r="IC1212" s="102"/>
      <c r="ID1212" s="102"/>
      <c r="IE1212" s="102"/>
      <c r="IF1212" s="102"/>
      <c r="IG1212" s="102"/>
      <c r="IH1212" s="102"/>
      <c r="II1212" s="102"/>
      <c r="IJ1212" s="102"/>
      <c r="IK1212" s="102"/>
      <c r="IL1212" s="102"/>
      <c r="IM1212" s="102"/>
      <c r="IN1212" s="102"/>
      <c r="IO1212" s="102"/>
      <c r="IP1212" s="102"/>
      <c r="IQ1212" s="102"/>
      <c r="IR1212" s="102"/>
      <c r="IS1212" s="102"/>
      <c r="IT1212" s="102"/>
      <c r="IU1212" s="102"/>
      <c r="IV1212" s="102"/>
      <c r="IW1212" s="102"/>
      <c r="IX1212" s="102"/>
      <c r="IY1212" s="102"/>
      <c r="IZ1212" s="102"/>
      <c r="JA1212" s="102"/>
      <c r="JB1212" s="102"/>
      <c r="JC1212" s="102"/>
      <c r="JD1212" s="102"/>
      <c r="JE1212" s="102"/>
      <c r="JF1212" s="102"/>
      <c r="JG1212" s="102"/>
      <c r="JH1212" s="102"/>
      <c r="JI1212" s="102"/>
      <c r="JJ1212" s="102"/>
      <c r="JK1212" s="102"/>
      <c r="JL1212" s="102"/>
      <c r="JM1212"/>
    </row>
    <row r="1213" spans="1:273" s="699" customFormat="1">
      <c r="A1213" s="699" t="s">
        <v>1402</v>
      </c>
      <c r="B1213" s="867"/>
      <c r="AN1213" s="1023"/>
      <c r="AO1213" s="1023"/>
      <c r="AP1213" s="867"/>
      <c r="AQ1213" s="867"/>
      <c r="AR1213" s="1023"/>
      <c r="AS1213" s="1023"/>
      <c r="AT1213" s="867"/>
      <c r="AU1213" s="867"/>
      <c r="AV1213" s="1024">
        <v>0.3</v>
      </c>
      <c r="AW1213" s="1024">
        <v>0.3</v>
      </c>
      <c r="AX1213" s="867"/>
      <c r="AY1213" s="867"/>
      <c r="AZ1213" s="1024">
        <v>0.3</v>
      </c>
      <c r="BA1213" s="1024">
        <v>0.3</v>
      </c>
      <c r="BB1213" s="867"/>
      <c r="BC1213" s="867"/>
      <c r="BD1213" s="1024">
        <v>0.3</v>
      </c>
      <c r="BE1213" s="1024">
        <v>0.3</v>
      </c>
      <c r="BF1213" s="867"/>
      <c r="BG1213" s="867"/>
      <c r="BH1213" s="1024">
        <v>0.3</v>
      </c>
      <c r="BI1213" s="1024">
        <v>0.3</v>
      </c>
      <c r="BJ1213" s="867"/>
      <c r="BK1213" s="867"/>
      <c r="BL1213" s="1024">
        <v>0.3</v>
      </c>
      <c r="BM1213" s="1024">
        <v>0.3</v>
      </c>
      <c r="BN1213" s="867"/>
      <c r="BO1213" s="867"/>
      <c r="BP1213" s="1024">
        <v>0.3</v>
      </c>
      <c r="BQ1213" s="1024">
        <v>0.3</v>
      </c>
      <c r="BR1213" s="867"/>
      <c r="BS1213" s="867"/>
      <c r="BT1213" s="1024">
        <v>0.3</v>
      </c>
      <c r="BU1213" s="1024">
        <v>0.3</v>
      </c>
      <c r="BV1213" s="867"/>
      <c r="BW1213" s="867"/>
      <c r="BX1213" s="1024">
        <v>0.3</v>
      </c>
      <c r="BY1213" s="1024">
        <v>0.3</v>
      </c>
      <c r="BZ1213" s="867"/>
      <c r="CA1213" s="867"/>
      <c r="CB1213" s="1024">
        <v>0.3</v>
      </c>
      <c r="CC1213" s="1025">
        <v>0.3</v>
      </c>
      <c r="CD1213" s="867"/>
      <c r="CE1213" s="1608"/>
      <c r="CF1213" s="1024">
        <v>0.3</v>
      </c>
      <c r="CG1213" s="1025">
        <v>0.3</v>
      </c>
      <c r="CH1213" s="867"/>
      <c r="CI1213" s="1608"/>
      <c r="CJ1213" s="1024">
        <v>0.3</v>
      </c>
      <c r="CK1213" s="1025">
        <v>0.3</v>
      </c>
      <c r="CL1213" s="867"/>
      <c r="CM1213" s="1608"/>
      <c r="CN1213" s="1331">
        <v>0.3</v>
      </c>
      <c r="CO1213" s="1331">
        <v>0.3</v>
      </c>
      <c r="CP1213" s="867"/>
      <c r="CQ1213" s="1608"/>
      <c r="CR1213" s="1331">
        <v>0.3</v>
      </c>
      <c r="CS1213" s="1331">
        <v>0.3</v>
      </c>
      <c r="CT1213" s="867"/>
      <c r="CU1213" s="867"/>
      <c r="CV1213" s="1024">
        <v>0.3</v>
      </c>
      <c r="CW1213" s="1024">
        <v>0.3</v>
      </c>
      <c r="CX1213" s="867"/>
      <c r="CY1213" s="867"/>
      <c r="CZ1213" s="1024">
        <v>0.3</v>
      </c>
      <c r="DA1213" s="1024">
        <v>0.3</v>
      </c>
      <c r="DB1213" s="867"/>
      <c r="DC1213" s="867"/>
      <c r="DD1213" s="1024">
        <v>0.3</v>
      </c>
      <c r="DE1213" s="1024">
        <v>0.3</v>
      </c>
      <c r="DF1213" s="867"/>
      <c r="DG1213" s="867"/>
      <c r="DH1213" s="1024">
        <v>0.3</v>
      </c>
      <c r="DI1213" s="1024">
        <v>0.3</v>
      </c>
      <c r="DJ1213" s="867"/>
      <c r="DK1213" s="867"/>
      <c r="DL1213" s="1024">
        <v>0.3</v>
      </c>
      <c r="DM1213" s="1024">
        <v>0.3</v>
      </c>
      <c r="DN1213" s="867"/>
      <c r="DO1213" s="867"/>
      <c r="DP1213" s="1024">
        <v>0.3</v>
      </c>
      <c r="DQ1213" s="1024">
        <v>0.3</v>
      </c>
      <c r="DR1213" s="867"/>
      <c r="DS1213" s="867"/>
      <c r="DT1213" s="867"/>
      <c r="DU1213" s="1023"/>
      <c r="DV1213" s="1023"/>
      <c r="DW1213" s="1023"/>
      <c r="DX1213" s="867"/>
      <c r="DY1213" s="867"/>
      <c r="DZ1213" s="1023"/>
      <c r="EA1213" s="1023"/>
      <c r="EB1213" s="867"/>
      <c r="EC1213" s="867"/>
      <c r="ED1213" s="1023"/>
      <c r="EE1213" s="1023"/>
      <c r="EF1213" s="867"/>
      <c r="EG1213" s="867"/>
      <c r="EH1213" s="867"/>
      <c r="EI1213" s="867"/>
      <c r="EJ1213" s="867"/>
      <c r="EK1213" s="867"/>
      <c r="EL1213" s="867"/>
      <c r="EM1213" s="867"/>
      <c r="EN1213" s="867"/>
      <c r="EO1213" s="867"/>
      <c r="EP1213" s="867"/>
      <c r="FL1213" s="102"/>
      <c r="FM1213" s="102"/>
      <c r="FN1213" s="102"/>
      <c r="FO1213" s="102"/>
      <c r="FP1213" s="102"/>
      <c r="FQ1213" s="102"/>
      <c r="FR1213" s="102"/>
      <c r="FS1213" s="102"/>
      <c r="FT1213" s="102"/>
      <c r="FU1213" s="102"/>
      <c r="FV1213" s="102"/>
      <c r="FW1213" s="102"/>
      <c r="FX1213" s="102"/>
      <c r="FY1213" s="102"/>
      <c r="FZ1213" s="102"/>
      <c r="GA1213" s="102"/>
      <c r="GB1213" s="102"/>
      <c r="GC1213" s="102"/>
      <c r="GD1213" s="102"/>
      <c r="GE1213" s="102"/>
      <c r="GF1213" s="102"/>
      <c r="GG1213" s="102"/>
      <c r="GH1213" s="102"/>
      <c r="GI1213" s="102"/>
      <c r="GJ1213" s="102"/>
      <c r="GK1213" s="102"/>
      <c r="GL1213" s="102"/>
      <c r="GM1213" s="102"/>
      <c r="GN1213" s="102"/>
      <c r="GO1213" s="102"/>
      <c r="GP1213" s="102"/>
      <c r="GQ1213" s="102"/>
      <c r="GR1213" s="102"/>
      <c r="GS1213" s="102"/>
      <c r="GT1213" s="102"/>
      <c r="GU1213" s="102"/>
      <c r="GV1213" s="102"/>
      <c r="GW1213" s="102"/>
      <c r="GX1213" s="102"/>
      <c r="GY1213" s="102"/>
      <c r="GZ1213" s="102"/>
      <c r="HA1213" s="102"/>
      <c r="HB1213" s="102"/>
      <c r="HC1213" s="102"/>
      <c r="HD1213" s="102"/>
      <c r="HE1213" s="102"/>
      <c r="HF1213" s="102"/>
      <c r="HG1213" s="102"/>
      <c r="HH1213" s="102"/>
      <c r="HI1213" s="102"/>
      <c r="HJ1213" s="102"/>
      <c r="HK1213" s="102"/>
      <c r="HL1213" s="102"/>
      <c r="HM1213" s="102"/>
      <c r="HN1213" s="102"/>
      <c r="HO1213" s="102"/>
      <c r="HP1213" s="102"/>
      <c r="HQ1213" s="102"/>
      <c r="HR1213" s="102"/>
      <c r="HS1213" s="102"/>
      <c r="HT1213" s="102"/>
      <c r="HU1213" s="102"/>
      <c r="HV1213" s="102"/>
      <c r="HW1213" s="102"/>
      <c r="HX1213" s="102"/>
      <c r="HY1213" s="102"/>
      <c r="HZ1213" s="102"/>
      <c r="IA1213" s="102"/>
      <c r="IB1213" s="102"/>
      <c r="IC1213" s="102"/>
      <c r="ID1213" s="102"/>
      <c r="IE1213" s="102"/>
      <c r="IF1213" s="102"/>
      <c r="IG1213" s="102"/>
      <c r="IH1213" s="102"/>
      <c r="II1213" s="102"/>
      <c r="IJ1213" s="102"/>
      <c r="IK1213" s="102"/>
      <c r="IL1213" s="102"/>
      <c r="IM1213" s="102"/>
      <c r="IN1213" s="102"/>
      <c r="IO1213" s="102"/>
      <c r="IP1213" s="102"/>
      <c r="IQ1213" s="102"/>
      <c r="IR1213" s="102"/>
      <c r="IS1213" s="102"/>
      <c r="IT1213" s="102"/>
      <c r="IU1213" s="102"/>
      <c r="IV1213" s="102"/>
      <c r="IW1213" s="102"/>
      <c r="IX1213" s="102"/>
      <c r="IY1213" s="102"/>
      <c r="IZ1213" s="102"/>
      <c r="JA1213" s="102"/>
      <c r="JB1213" s="102"/>
      <c r="JC1213" s="102"/>
      <c r="JD1213" s="102"/>
      <c r="JE1213" s="102"/>
      <c r="JF1213" s="102"/>
      <c r="JG1213" s="102"/>
      <c r="JH1213" s="102"/>
      <c r="JI1213" s="102"/>
      <c r="JJ1213" s="102"/>
      <c r="JK1213" s="102"/>
      <c r="JL1213" s="102"/>
      <c r="JM1213"/>
    </row>
    <row r="1214" spans="1:273" s="289" customFormat="1">
      <c r="A1214" s="289" t="s">
        <v>802</v>
      </c>
      <c r="B1214" s="290"/>
      <c r="AN1214" s="295"/>
      <c r="AO1214" s="295"/>
      <c r="AP1214" s="290"/>
      <c r="AQ1214" s="290"/>
      <c r="AR1214" s="295"/>
      <c r="AS1214" s="295"/>
      <c r="AT1214" s="290"/>
      <c r="AU1214" s="290"/>
      <c r="AV1214" s="295">
        <f>-AV1212*AV1213</f>
        <v>182.1</v>
      </c>
      <c r="AW1214" s="295">
        <f>-AW1212*AW1213</f>
        <v>24.599999999999998</v>
      </c>
      <c r="AX1214" s="290"/>
      <c r="AY1214" s="290"/>
      <c r="AZ1214" s="295">
        <f>-AZ1212*AZ1213</f>
        <v>38.1</v>
      </c>
      <c r="BA1214" s="295">
        <f>-BA1212*BA1213</f>
        <v>39.9</v>
      </c>
      <c r="BB1214" s="290"/>
      <c r="BC1214" s="290"/>
      <c r="BD1214" s="295">
        <f>-BD1212*BD1213</f>
        <v>28.799999999999997</v>
      </c>
      <c r="BE1214" s="295">
        <f>-BE1212*BE1213</f>
        <v>100.8</v>
      </c>
      <c r="BF1214" s="290"/>
      <c r="BG1214" s="290"/>
      <c r="BH1214" s="295">
        <f>-BH1212*BH1213</f>
        <v>93.6</v>
      </c>
      <c r="BI1214" s="295">
        <f>-BI1212*BI1213</f>
        <v>85.8</v>
      </c>
      <c r="BJ1214" s="290"/>
      <c r="BK1214" s="290"/>
      <c r="BL1214" s="295">
        <f>-BL1212*BL1213</f>
        <v>58.199999999999996</v>
      </c>
      <c r="BM1214" s="295">
        <f>-BM1212*BM1213</f>
        <v>91.5</v>
      </c>
      <c r="BN1214" s="290"/>
      <c r="BO1214" s="290"/>
      <c r="BP1214" s="295">
        <f>-BP1212*BP1213</f>
        <v>48.9</v>
      </c>
      <c r="BQ1214" s="295">
        <f>-BQ1212*BQ1213</f>
        <v>185.4</v>
      </c>
      <c r="BR1214" s="290"/>
      <c r="BS1214" s="290"/>
      <c r="BT1214" s="295">
        <f>-BT1212*BT1213</f>
        <v>128.4</v>
      </c>
      <c r="BU1214" s="295">
        <f>-BU1212*BU1213</f>
        <v>102</v>
      </c>
      <c r="BV1214" s="290"/>
      <c r="BW1214" s="290"/>
      <c r="BX1214" s="295">
        <f>-BX1212*BX1213</f>
        <v>88.2</v>
      </c>
      <c r="BY1214" s="295">
        <f>-BY1212*BY1213</f>
        <v>49.199999999999996</v>
      </c>
      <c r="BZ1214" s="290"/>
      <c r="CA1214" s="290"/>
      <c r="CB1214" s="295">
        <f>-CB1212*CB1213</f>
        <v>42.6</v>
      </c>
      <c r="CC1214" s="295">
        <f>-CC1212*CC1213</f>
        <v>64.8</v>
      </c>
      <c r="CD1214" s="290"/>
      <c r="CE1214" s="581"/>
      <c r="CF1214" s="295">
        <f>-CF1212*CF1213</f>
        <v>22.8</v>
      </c>
      <c r="CG1214" s="295">
        <f>-CG1212*CG1213</f>
        <v>142.79999999999998</v>
      </c>
      <c r="CH1214" s="290"/>
      <c r="CI1214" s="581"/>
      <c r="CJ1214" s="295">
        <f>-CJ1212*CJ1213</f>
        <v>41.699999999999996</v>
      </c>
      <c r="CK1214" s="295">
        <f>-CK1212*CK1213</f>
        <v>270.3</v>
      </c>
      <c r="CL1214" s="290"/>
      <c r="CM1214" s="581"/>
      <c r="CN1214" s="295">
        <f>-CN1212*CN1213</f>
        <v>134.1</v>
      </c>
      <c r="CO1214" s="295">
        <f>-CO1212*CO1213</f>
        <v>23.099999999999998</v>
      </c>
      <c r="CP1214" s="290"/>
      <c r="CQ1214" s="581"/>
      <c r="CR1214" s="295">
        <f>-CR1212*CR1213</f>
        <v>69</v>
      </c>
      <c r="CS1214" s="295">
        <f>-CS1212*CS1213</f>
        <v>83.7</v>
      </c>
      <c r="CT1214" s="290"/>
      <c r="CU1214" s="290"/>
      <c r="CV1214" s="295">
        <f>-CV1212*CV1213</f>
        <v>85.8</v>
      </c>
      <c r="CW1214" s="295">
        <f>-CW1212*CW1213</f>
        <v>50.4</v>
      </c>
      <c r="CX1214" s="290"/>
      <c r="CY1214" s="290"/>
      <c r="CZ1214" s="295">
        <f>-CZ1212*CZ1213</f>
        <v>-35.1</v>
      </c>
      <c r="DA1214" s="295">
        <f>-DA1212*DA1213</f>
        <v>-75.599999999999994</v>
      </c>
      <c r="DB1214" s="290"/>
      <c r="DC1214" s="290"/>
      <c r="DD1214" s="295">
        <f>-DD1212*DD1213</f>
        <v>22.5</v>
      </c>
      <c r="DE1214" s="295">
        <f>-DE1212*DE1213</f>
        <v>85.8</v>
      </c>
      <c r="DF1214" s="290"/>
      <c r="DG1214" s="290"/>
      <c r="DH1214" s="295">
        <f>-DH1212*DH1213</f>
        <v>8.6999999999999993</v>
      </c>
      <c r="DI1214" s="295">
        <f>-DI1212*DI1213</f>
        <v>42.485280000000003</v>
      </c>
      <c r="DJ1214" s="290"/>
      <c r="DK1214" s="290"/>
      <c r="DL1214" s="295">
        <f>-DL1212*DL1213</f>
        <v>60.876000000000005</v>
      </c>
      <c r="DM1214" s="295">
        <f>-DM1212*DM1213</f>
        <v>65.673599999999993</v>
      </c>
      <c r="DN1214" s="290"/>
      <c r="DO1214" s="290"/>
      <c r="DP1214" s="295">
        <f>-DP1212*DP1213</f>
        <v>63.023039999999995</v>
      </c>
      <c r="DQ1214" s="295">
        <f>-DQ1212*DQ1213</f>
        <v>67.580544000000003</v>
      </c>
      <c r="DR1214" s="290"/>
      <c r="DS1214" s="290"/>
      <c r="DT1214" s="290"/>
      <c r="DU1214" s="295"/>
      <c r="DV1214" s="295"/>
      <c r="DW1214" s="295"/>
      <c r="DX1214" s="290"/>
      <c r="DY1214" s="290"/>
      <c r="DZ1214" s="295"/>
      <c r="EA1214" s="295"/>
      <c r="EB1214" s="290"/>
      <c r="EC1214" s="290"/>
      <c r="ED1214" s="295"/>
      <c r="EE1214" s="295"/>
      <c r="EF1214" s="290"/>
      <c r="EG1214" s="290"/>
      <c r="EH1214" s="290"/>
      <c r="EI1214" s="290"/>
      <c r="EJ1214" s="290"/>
      <c r="EK1214" s="290"/>
      <c r="EL1214" s="290"/>
      <c r="EM1214" s="290"/>
      <c r="EN1214" s="290"/>
      <c r="EO1214" s="290"/>
      <c r="EP1214" s="290"/>
      <c r="JM1214"/>
    </row>
    <row r="1216" spans="1:273">
      <c r="A1216" s="102" t="s">
        <v>572</v>
      </c>
      <c r="AN1216" s="293"/>
      <c r="AO1216" s="293"/>
      <c r="AR1216" s="293"/>
      <c r="AS1216" s="293"/>
      <c r="AV1216" s="293">
        <f>AV25</f>
        <v>532</v>
      </c>
      <c r="AW1216" s="293">
        <f>AW25</f>
        <v>762</v>
      </c>
      <c r="AZ1216" s="293">
        <f>AZ25</f>
        <v>496.33370000000014</v>
      </c>
      <c r="BA1216" s="293">
        <f>BA25</f>
        <v>775.33336999999983</v>
      </c>
      <c r="BD1216" s="293">
        <f>BD25</f>
        <v>414.32956000000013</v>
      </c>
      <c r="BE1216" s="293">
        <f>BE25</f>
        <v>634.83420000000024</v>
      </c>
      <c r="BF1216" s="293">
        <f>+BD1216+BE1216</f>
        <v>1049.1637600000004</v>
      </c>
      <c r="BH1216" s="293">
        <f>BH25</f>
        <v>517</v>
      </c>
      <c r="BI1216" s="293">
        <f>BI25</f>
        <v>888</v>
      </c>
      <c r="BJ1216" s="293">
        <f>+BH1216+BI1216</f>
        <v>1405</v>
      </c>
      <c r="BL1216" s="293">
        <f>BL25</f>
        <v>810</v>
      </c>
      <c r="BM1216" s="293">
        <f>BM25</f>
        <v>1298</v>
      </c>
      <c r="BN1216" s="293">
        <f>+BL1216+BM1216</f>
        <v>2108</v>
      </c>
      <c r="BP1216" s="293">
        <f>BP25</f>
        <v>1121</v>
      </c>
      <c r="BQ1216" s="293">
        <f>BQ25</f>
        <v>1401</v>
      </c>
      <c r="BR1216" s="293">
        <f>+BP1216+BQ1216</f>
        <v>2522</v>
      </c>
      <c r="BT1216" s="293">
        <f>BT25</f>
        <v>1619</v>
      </c>
      <c r="BU1216" s="293">
        <f>BU25</f>
        <v>1396</v>
      </c>
      <c r="BV1216" s="293">
        <f>+BT1216+BU1216</f>
        <v>3015</v>
      </c>
      <c r="BX1216" s="293">
        <f>BX25</f>
        <v>1485</v>
      </c>
      <c r="BY1216" s="293">
        <f>BY25</f>
        <v>1619</v>
      </c>
      <c r="BZ1216" s="293">
        <f>+BX1216+BY1216</f>
        <v>3104</v>
      </c>
      <c r="CB1216" s="293">
        <f>CB25</f>
        <v>1704</v>
      </c>
      <c r="CC1216" s="293">
        <f>CC25</f>
        <v>1760</v>
      </c>
      <c r="CD1216" s="293">
        <f>+CB1216+CC1216</f>
        <v>3464</v>
      </c>
      <c r="CF1216" s="293">
        <f>CF25</f>
        <v>1705</v>
      </c>
      <c r="CG1216" s="293">
        <f>CG25</f>
        <v>2162</v>
      </c>
      <c r="CH1216" s="293">
        <f>+CF1216+CG1216</f>
        <v>3867</v>
      </c>
      <c r="CJ1216" s="293">
        <f>CJ25</f>
        <v>1840</v>
      </c>
      <c r="CK1216" s="293">
        <f>CK25</f>
        <v>1614</v>
      </c>
      <c r="CL1216" s="293">
        <f>+CJ1216+CK1216</f>
        <v>3454</v>
      </c>
      <c r="CN1216" s="293">
        <f>CN25</f>
        <v>1253</v>
      </c>
      <c r="CO1216" s="293">
        <f>CO25</f>
        <v>2654</v>
      </c>
      <c r="CP1216" s="293">
        <f>+CN1216+CO1216</f>
        <v>3907</v>
      </c>
      <c r="CR1216" s="293">
        <f>CR25</f>
        <v>2735</v>
      </c>
      <c r="CS1216" s="293">
        <f>CS25</f>
        <v>3804</v>
      </c>
      <c r="CT1216" s="293">
        <f>+CR1216+CS1216</f>
        <v>6539</v>
      </c>
      <c r="CV1216" s="293">
        <f>CV25</f>
        <v>3106</v>
      </c>
      <c r="CW1216" s="293">
        <f>CW25</f>
        <v>3886</v>
      </c>
      <c r="CX1216" s="293">
        <f>+CV1216+CW1216</f>
        <v>6992</v>
      </c>
      <c r="CZ1216" s="293">
        <f>CZ25</f>
        <v>1991</v>
      </c>
      <c r="DA1216" s="293">
        <f>DA25</f>
        <v>2835</v>
      </c>
      <c r="DB1216" s="293">
        <f>+CZ1216+DA1216</f>
        <v>4826</v>
      </c>
      <c r="DD1216" s="293">
        <f>DD25</f>
        <v>2297</v>
      </c>
      <c r="DE1216" s="293">
        <f ca="1">DE25</f>
        <v>2771</v>
      </c>
      <c r="DF1216" s="293">
        <f ca="1">+DD1216+DE1216</f>
        <v>5068</v>
      </c>
      <c r="DH1216" s="293">
        <f>DH25</f>
        <v>2452</v>
      </c>
      <c r="DI1216" s="293">
        <f>DI25</f>
        <v>3573.024269452153</v>
      </c>
      <c r="DJ1216" s="293">
        <f>+DH1216+DI1216</f>
        <v>6025.024269452153</v>
      </c>
      <c r="DL1216" s="293">
        <f>DL25</f>
        <v>2678.0327836564284</v>
      </c>
      <c r="DM1216" s="293">
        <f>DM25</f>
        <v>3581.2386043268643</v>
      </c>
      <c r="DN1216" s="293">
        <f>+DL1216+DM1216</f>
        <v>6259.2713879832927</v>
      </c>
      <c r="DO1216" s="293"/>
      <c r="DP1216" s="293">
        <f>DP25</f>
        <v>2914.7867373893678</v>
      </c>
      <c r="DQ1216" s="293">
        <f>DQ25</f>
        <v>3825.0454660536443</v>
      </c>
      <c r="DR1216" s="293">
        <f>+DP1216+DQ1216</f>
        <v>6739.8322034430121</v>
      </c>
      <c r="DS1216" s="293"/>
      <c r="DU1216" s="293"/>
      <c r="DV1216" s="293"/>
      <c r="DW1216" s="293"/>
      <c r="DX1216" s="293"/>
      <c r="DZ1216" s="293"/>
      <c r="EA1216" s="293"/>
      <c r="EB1216" s="293"/>
      <c r="ED1216" s="293"/>
      <c r="EE1216" s="293"/>
      <c r="EF1216" s="293"/>
    </row>
    <row r="1217" spans="1:273">
      <c r="A1217" s="102" t="s">
        <v>800</v>
      </c>
      <c r="AN1217" s="293"/>
      <c r="AO1217" s="293"/>
      <c r="AR1217" s="293"/>
      <c r="AS1217" s="293"/>
      <c r="AV1217" s="293">
        <f>AV1216-AV1212</f>
        <v>1139</v>
      </c>
      <c r="AW1217" s="293">
        <f>AW1216-AW1212</f>
        <v>844</v>
      </c>
      <c r="AX1217" s="293">
        <f>AV1217+AW1217</f>
        <v>1983</v>
      </c>
      <c r="AZ1217" s="293">
        <f>AZ1216-AZ1212</f>
        <v>623.33370000000014</v>
      </c>
      <c r="BA1217" s="293">
        <f>BA1216-BA1212</f>
        <v>908.33336999999983</v>
      </c>
      <c r="BB1217" s="293">
        <f>AZ1217+BA1217</f>
        <v>1531.66707</v>
      </c>
      <c r="BD1217" s="293">
        <f>BD1216-BD1212</f>
        <v>510.32956000000013</v>
      </c>
      <c r="BE1217" s="293">
        <f>BE1216-BE1212</f>
        <v>970.83420000000024</v>
      </c>
      <c r="BF1217" s="293">
        <f>BD1217+BE1217</f>
        <v>1481.1637600000004</v>
      </c>
      <c r="BH1217" s="293">
        <f>BH1216-BH1212</f>
        <v>829</v>
      </c>
      <c r="BI1217" s="293">
        <f>BI1216-BI1212</f>
        <v>1174</v>
      </c>
      <c r="BJ1217" s="293">
        <f>BH1217+BI1217</f>
        <v>2003</v>
      </c>
      <c r="BL1217" s="293">
        <f>BL1216-BL1212</f>
        <v>1004</v>
      </c>
      <c r="BM1217" s="293">
        <f>BM1216-BM1212</f>
        <v>1603</v>
      </c>
      <c r="BN1217" s="293">
        <f>BL1217+BM1217</f>
        <v>2607</v>
      </c>
      <c r="BP1217" s="293">
        <f>BP1216-BP1212</f>
        <v>1284</v>
      </c>
      <c r="BQ1217" s="293">
        <f>BQ1216-BQ1212</f>
        <v>2019</v>
      </c>
      <c r="BR1217" s="293">
        <f>BP1217+BQ1217</f>
        <v>3303</v>
      </c>
      <c r="BT1217" s="293">
        <f>BT1216-BT1212</f>
        <v>2047</v>
      </c>
      <c r="BU1217" s="293">
        <f>BU1216-BU1212</f>
        <v>1736</v>
      </c>
      <c r="BV1217" s="293">
        <f>BT1217+BU1217</f>
        <v>3783</v>
      </c>
      <c r="BX1217" s="293">
        <f>BX1216-BX1212</f>
        <v>1779</v>
      </c>
      <c r="BY1217" s="293">
        <f>BY1216-BY1212</f>
        <v>1783</v>
      </c>
      <c r="BZ1217" s="293">
        <f>BX1217+BY1217</f>
        <v>3562</v>
      </c>
      <c r="CB1217" s="293">
        <f>CB1216-CB1212</f>
        <v>1846</v>
      </c>
      <c r="CC1217" s="293">
        <f>CC1216-CC1212</f>
        <v>1976</v>
      </c>
      <c r="CD1217" s="293">
        <f>CB1217+CC1217</f>
        <v>3822</v>
      </c>
      <c r="CF1217" s="293">
        <f>CF1216-CF1212</f>
        <v>1781</v>
      </c>
      <c r="CG1217" s="293">
        <f>CG1216-CG1212</f>
        <v>2638</v>
      </c>
      <c r="CH1217" s="293">
        <f>CF1217+CG1217</f>
        <v>4419</v>
      </c>
      <c r="CJ1217" s="293">
        <f>CJ1216-CJ1212</f>
        <v>1979</v>
      </c>
      <c r="CK1217" s="293">
        <f>CK1216-CK1212</f>
        <v>2515</v>
      </c>
      <c r="CL1217" s="293">
        <f>CJ1217+CK1217</f>
        <v>4494</v>
      </c>
      <c r="CN1217" s="293">
        <f>CN1216-CN1212</f>
        <v>1700</v>
      </c>
      <c r="CO1217" s="293">
        <f>CO1216-CO1212</f>
        <v>2731</v>
      </c>
      <c r="CP1217" s="293">
        <f>CN1217+CO1217</f>
        <v>4431</v>
      </c>
      <c r="CR1217" s="293">
        <f>CR1216-CR1212</f>
        <v>2965</v>
      </c>
      <c r="CS1217" s="293">
        <f>CS1216-CS1212</f>
        <v>4083</v>
      </c>
      <c r="CT1217" s="293">
        <f>CR1217+CS1217</f>
        <v>7048</v>
      </c>
      <c r="CV1217" s="293">
        <f>CV1216-CV1212</f>
        <v>3392</v>
      </c>
      <c r="CW1217" s="293">
        <f>CW1216-CW1212</f>
        <v>4054</v>
      </c>
      <c r="CX1217" s="293">
        <f>CV1217+CW1217</f>
        <v>7446</v>
      </c>
      <c r="CZ1217" s="293">
        <f>CZ1216-CZ1212</f>
        <v>1874</v>
      </c>
      <c r="DA1217" s="293">
        <f>DA1216-DA1212</f>
        <v>2583</v>
      </c>
      <c r="DB1217" s="293">
        <f>CZ1217+DA1217</f>
        <v>4457</v>
      </c>
      <c r="DD1217" s="293">
        <f>DD1216-DD1212</f>
        <v>2372</v>
      </c>
      <c r="DE1217" s="293">
        <f ca="1">DE1216-DE1212</f>
        <v>3057</v>
      </c>
      <c r="DF1217" s="293">
        <f ca="1">DD1217+DE1217</f>
        <v>5429</v>
      </c>
      <c r="DH1217" s="293">
        <f>DH1216-DH1212</f>
        <v>2481</v>
      </c>
      <c r="DI1217" s="293">
        <f>DI1216-DI1212</f>
        <v>3714.6418694521531</v>
      </c>
      <c r="DJ1217" s="293">
        <f>DH1217+DI1217</f>
        <v>6195.6418694521526</v>
      </c>
      <c r="DL1217" s="293">
        <f>DL1216-DL1212</f>
        <v>2880.9527836564284</v>
      </c>
      <c r="DM1217" s="293">
        <f>DM1216-DM1212</f>
        <v>3800.1506043268641</v>
      </c>
      <c r="DN1217" s="293">
        <f>DL1217+DM1217</f>
        <v>6681.1033879832921</v>
      </c>
      <c r="DO1217" s="293"/>
      <c r="DP1217" s="293">
        <f>DP1216-DP1212</f>
        <v>3124.8635373893676</v>
      </c>
      <c r="DQ1217" s="293">
        <f>DQ1216-DQ1212</f>
        <v>4050.3139460536445</v>
      </c>
      <c r="DR1217" s="293">
        <f>DP1217+DQ1217</f>
        <v>7175.1774834430125</v>
      </c>
      <c r="DS1217" s="293"/>
      <c r="DU1217" s="293"/>
      <c r="DV1217" s="293"/>
      <c r="DW1217" s="293"/>
      <c r="DX1217" s="293"/>
      <c r="DZ1217" s="293"/>
      <c r="EA1217" s="293"/>
      <c r="EB1217" s="293"/>
      <c r="ED1217" s="293"/>
      <c r="EE1217" s="293"/>
      <c r="EF1217" s="293"/>
    </row>
    <row r="1218" spans="1:273" s="296" customFormat="1">
      <c r="A1218" s="296" t="s">
        <v>801</v>
      </c>
      <c r="B1218" s="298"/>
      <c r="AN1218" s="1026"/>
      <c r="AO1218" s="1026"/>
      <c r="AP1218" s="298"/>
      <c r="AQ1218" s="298"/>
      <c r="AR1218" s="1026"/>
      <c r="AS1218" s="1026"/>
      <c r="AT1218" s="298"/>
      <c r="AU1218" s="298"/>
      <c r="AV1218" s="311">
        <f>-AV1219/AV1217</f>
        <v>0.19148375768217735</v>
      </c>
      <c r="AW1218" s="311">
        <f>-AW1219/AW1217</f>
        <v>0.22464454976303316</v>
      </c>
      <c r="AX1218" s="311">
        <f>-AX1219/AX1217</f>
        <v>0.20559757942511345</v>
      </c>
      <c r="AY1218" s="311"/>
      <c r="AZ1218" s="311">
        <f>-AZ1219/AZ1217</f>
        <v>0.1974865148475046</v>
      </c>
      <c r="BA1218" s="311">
        <f>-BA1219/BA1217</f>
        <v>0.26080732892153907</v>
      </c>
      <c r="BB1218" s="311">
        <f>-BB1219/BB1217</f>
        <v>0.23503802298237045</v>
      </c>
      <c r="BC1218" s="311"/>
      <c r="BD1218" s="311">
        <f>-BD1219/BD1217</f>
        <v>0.26610255537617689</v>
      </c>
      <c r="BE1218" s="311">
        <f>-BE1219/BE1217</f>
        <v>0.28923579330023597</v>
      </c>
      <c r="BF1218" s="311">
        <f>-BF1219/BF1217</f>
        <v>0.28126532072321286</v>
      </c>
      <c r="BG1218" s="311"/>
      <c r="BH1218" s="311">
        <f>-BH1219/BH1217</f>
        <v>0.30108564535585042</v>
      </c>
      <c r="BI1218" s="311">
        <f>-BI1219/BI1217</f>
        <v>0.39420783645655877</v>
      </c>
      <c r="BJ1218" s="311">
        <f>-BJ1219/BJ1217</f>
        <v>0.35566650024962554</v>
      </c>
      <c r="BK1218" s="311"/>
      <c r="BL1218" s="311">
        <f>-BL1219/BL1217</f>
        <v>0.36374501992031871</v>
      </c>
      <c r="BM1218" s="311">
        <f>-BM1219/BM1217</f>
        <v>0.3814722395508422</v>
      </c>
      <c r="BN1218" s="311">
        <f>-BN1219/BN1217</f>
        <v>0.37464518603759112</v>
      </c>
      <c r="BO1218" s="311"/>
      <c r="BP1218" s="311">
        <f>-BP1219/BP1217</f>
        <v>0.37453271028037383</v>
      </c>
      <c r="BQ1218" s="311">
        <f>-BQ1219/BQ1217</f>
        <v>0.32313026250619115</v>
      </c>
      <c r="BR1218" s="311">
        <f>-BR1219/BR1217</f>
        <v>0.3431123221313957</v>
      </c>
      <c r="BS1218" s="311"/>
      <c r="BT1218" s="311">
        <f>-BT1219/BT1217</f>
        <v>0.32164142647777233</v>
      </c>
      <c r="BU1218" s="311">
        <f>-BU1219/BU1217</f>
        <v>0.28744239631336405</v>
      </c>
      <c r="BV1218" s="311">
        <f>-BV1219/BV1217</f>
        <v>0.30594766058683587</v>
      </c>
      <c r="BW1218" s="311"/>
      <c r="BX1218" s="311">
        <f>-BX1219/BX1217</f>
        <v>0.2957841483979764</v>
      </c>
      <c r="BY1218" s="311">
        <f>-BY1219/BY1217</f>
        <v>0.26876051598429612</v>
      </c>
      <c r="BZ1218" s="311">
        <f>-BZ1219/BZ1217</f>
        <v>0.28225715889949471</v>
      </c>
      <c r="CA1218" s="311"/>
      <c r="CB1218" s="311">
        <f>-CB1219/CB1217</f>
        <v>0.2657638136511376</v>
      </c>
      <c r="CC1218" s="311">
        <f>-CC1219/CC1217</f>
        <v>0.25293522267206481</v>
      </c>
      <c r="CD1218" s="311">
        <f>-CD1219/CD1217</f>
        <v>0.25913134484563061</v>
      </c>
      <c r="CE1218" s="897"/>
      <c r="CF1218" s="311">
        <f ca="1">-CF1219/CF1217</f>
        <v>0.25912408759124034</v>
      </c>
      <c r="CG1218" s="311">
        <f>-CG1219/CG1217</f>
        <v>0.24556482183472325</v>
      </c>
      <c r="CH1218" s="311">
        <f ca="1">-CH1219/CH1217</f>
        <v>0.25102964471599887</v>
      </c>
      <c r="CI1218" s="897"/>
      <c r="CJ1218" s="311">
        <f ca="1">-CJ1219/CJ1217</f>
        <v>0.2331985851440119</v>
      </c>
      <c r="CK1218" s="311">
        <f>-CK1219/CK1217</f>
        <v>0.24743538767395623</v>
      </c>
      <c r="CL1218" s="311">
        <f ca="1">-CL1219/CL1217</f>
        <v>0.24116599910992423</v>
      </c>
      <c r="CM1218" s="897"/>
      <c r="CN1218" s="311">
        <f ca="1">-CN1219/CN1217</f>
        <v>0.27147058823529407</v>
      </c>
      <c r="CO1218" s="311">
        <f>-CO1219/CO1217</f>
        <v>0.23694617356279751</v>
      </c>
      <c r="CP1218" s="311">
        <f ca="1">-CP1219/CP1217</f>
        <v>0.25019183028661701</v>
      </c>
      <c r="CQ1218" s="897"/>
      <c r="CR1218" s="311">
        <f>-CR1219/CR1217</f>
        <v>0.22664418212478921</v>
      </c>
      <c r="CS1218" s="311">
        <f>-CS1219/CS1217</f>
        <v>0.26125397991672789</v>
      </c>
      <c r="CT1218" s="311">
        <f>-CT1219/CT1217</f>
        <v>0.24669409761634506</v>
      </c>
      <c r="CU1218" s="311"/>
      <c r="CV1218" s="311">
        <f>-CV1219/CV1217</f>
        <v>0.24198113207547167</v>
      </c>
      <c r="CW1218" s="311">
        <f>-CW1219/CW1217</f>
        <v>0.28105574740996547</v>
      </c>
      <c r="CX1218" s="311">
        <f>-CX1219/CX1217</f>
        <v>0.26325543916196614</v>
      </c>
      <c r="CY1218" s="311"/>
      <c r="CZ1218" s="311">
        <f>-CZ1219/CZ1217</f>
        <v>0.29450373532550694</v>
      </c>
      <c r="DA1218" s="311">
        <f>-DA1219/DA1217</f>
        <v>0.24328300425861402</v>
      </c>
      <c r="DB1218" s="311">
        <f>-DB1219/DB1217</f>
        <v>0.26481938523670628</v>
      </c>
      <c r="DC1218" s="311"/>
      <c r="DD1218" s="311">
        <f>-DD1219/DD1217</f>
        <v>0.29869308600337269</v>
      </c>
      <c r="DE1218" s="311">
        <f ca="1">-DE1219/DE1217</f>
        <v>0.23742230945371279</v>
      </c>
      <c r="DF1218" s="311">
        <f ca="1">-DF1219/DF1217</f>
        <v>0.26419230060784676</v>
      </c>
      <c r="DG1218" s="311"/>
      <c r="DH1218" s="311">
        <f>-DH1219/DH1217</f>
        <v>0.3142684401451028</v>
      </c>
      <c r="DI1218" s="1027">
        <v>0.29499999999999998</v>
      </c>
      <c r="DJ1218" s="311">
        <f>-DJ1219/DJ1217</f>
        <v>0.30271590756975553</v>
      </c>
      <c r="DK1218" s="311"/>
      <c r="DL1218" s="1027">
        <v>0.28499999999999998</v>
      </c>
      <c r="DM1218" s="1027">
        <v>0.26</v>
      </c>
      <c r="DN1218" s="311">
        <f>-DN1219/DN1217</f>
        <v>0.27078022826603065</v>
      </c>
      <c r="DO1218" s="311"/>
      <c r="DP1218" s="1027">
        <v>0.28499999999999998</v>
      </c>
      <c r="DQ1218" s="1027">
        <v>0.26</v>
      </c>
      <c r="DR1218" s="311">
        <f>-DR1219/DR1217</f>
        <v>0.27088775693911438</v>
      </c>
      <c r="DS1218" s="311"/>
      <c r="DT1218" s="311"/>
      <c r="DU1218" s="1027"/>
      <c r="DV1218" s="1027"/>
      <c r="DW1218" s="1027"/>
      <c r="DX1218" s="311"/>
      <c r="DY1218" s="311"/>
      <c r="DZ1218" s="1027"/>
      <c r="EA1218" s="1027"/>
      <c r="EB1218" s="311"/>
      <c r="EC1218" s="311"/>
      <c r="ED1218" s="1027"/>
      <c r="EE1218" s="1027"/>
      <c r="EF1218" s="311"/>
      <c r="EG1218" s="298"/>
      <c r="EH1218" s="298"/>
      <c r="EI1218" s="298"/>
      <c r="EJ1218" s="298"/>
      <c r="EK1218" s="298"/>
      <c r="EL1218" s="298"/>
      <c r="EM1218" s="298"/>
      <c r="EN1218" s="298"/>
      <c r="EO1218" s="298"/>
      <c r="EP1218" s="298"/>
      <c r="FL1218" s="289"/>
      <c r="FM1218" s="289"/>
      <c r="FN1218" s="289"/>
      <c r="FO1218" s="289"/>
      <c r="FP1218" s="289"/>
      <c r="FQ1218" s="289"/>
      <c r="FR1218" s="289"/>
      <c r="FS1218" s="289"/>
      <c r="FT1218" s="289"/>
      <c r="FU1218" s="289"/>
      <c r="FV1218" s="289"/>
      <c r="FW1218" s="289"/>
      <c r="FX1218" s="289"/>
      <c r="FY1218" s="289"/>
      <c r="FZ1218" s="289"/>
      <c r="GA1218" s="289"/>
      <c r="GB1218" s="289"/>
      <c r="GC1218" s="289"/>
      <c r="GD1218" s="289"/>
      <c r="GE1218" s="289"/>
      <c r="GF1218" s="289"/>
      <c r="GG1218" s="289"/>
      <c r="GH1218" s="289"/>
      <c r="GI1218" s="289"/>
      <c r="GJ1218" s="289"/>
      <c r="GK1218" s="289"/>
      <c r="GL1218" s="289"/>
      <c r="GM1218" s="289"/>
      <c r="GN1218" s="289"/>
      <c r="GO1218" s="289"/>
      <c r="GP1218" s="289"/>
      <c r="GQ1218" s="289"/>
      <c r="GR1218" s="289"/>
      <c r="GS1218" s="289"/>
      <c r="GT1218" s="289"/>
      <c r="GU1218" s="289"/>
      <c r="GV1218" s="289"/>
      <c r="GW1218" s="289"/>
      <c r="GX1218" s="289"/>
      <c r="GY1218" s="289"/>
      <c r="GZ1218" s="289"/>
      <c r="HA1218" s="289"/>
      <c r="HB1218" s="289"/>
      <c r="HC1218" s="289"/>
      <c r="HD1218" s="289"/>
      <c r="HE1218" s="289"/>
      <c r="HF1218" s="289"/>
      <c r="HG1218" s="289"/>
      <c r="HH1218" s="289"/>
      <c r="HI1218" s="289"/>
      <c r="HJ1218" s="289"/>
      <c r="HK1218" s="289"/>
      <c r="HL1218" s="289"/>
      <c r="HM1218" s="289"/>
      <c r="HN1218" s="289"/>
      <c r="HO1218" s="289"/>
      <c r="HP1218" s="289"/>
      <c r="HQ1218" s="289"/>
      <c r="HR1218" s="289"/>
      <c r="HS1218" s="289"/>
      <c r="HT1218" s="289"/>
      <c r="HU1218" s="289"/>
      <c r="HV1218" s="289"/>
      <c r="HW1218" s="289"/>
      <c r="HX1218" s="289"/>
      <c r="HY1218" s="289"/>
      <c r="HZ1218" s="289"/>
      <c r="IA1218" s="289"/>
      <c r="IB1218" s="289"/>
      <c r="IC1218" s="289"/>
      <c r="ID1218" s="289"/>
      <c r="IE1218" s="289"/>
      <c r="IF1218" s="289"/>
      <c r="IG1218" s="289"/>
      <c r="IH1218" s="289"/>
      <c r="II1218" s="289"/>
      <c r="IJ1218" s="289"/>
      <c r="IK1218" s="289"/>
      <c r="IL1218" s="289"/>
      <c r="IM1218" s="289"/>
      <c r="IN1218" s="289"/>
      <c r="IO1218" s="289"/>
      <c r="IP1218" s="289"/>
      <c r="IQ1218" s="289"/>
      <c r="IR1218" s="289"/>
      <c r="IS1218" s="289"/>
      <c r="IT1218" s="289"/>
      <c r="IU1218" s="289"/>
      <c r="IV1218" s="289"/>
      <c r="IW1218" s="289"/>
      <c r="IX1218" s="289"/>
      <c r="IY1218" s="289"/>
      <c r="IZ1218" s="289"/>
      <c r="JA1218" s="289"/>
      <c r="JB1218" s="289"/>
      <c r="JC1218" s="289"/>
      <c r="JD1218" s="289"/>
      <c r="JE1218" s="289"/>
      <c r="JF1218" s="289"/>
      <c r="JG1218" s="289"/>
      <c r="JH1218" s="289"/>
      <c r="JI1218" s="289"/>
      <c r="JJ1218" s="289"/>
      <c r="JK1218" s="289"/>
      <c r="JL1218" s="289"/>
      <c r="JM1218"/>
    </row>
    <row r="1219" spans="1:273">
      <c r="A1219" s="289" t="s">
        <v>803</v>
      </c>
      <c r="AN1219" s="295"/>
      <c r="AO1219" s="295"/>
      <c r="AR1219" s="295"/>
      <c r="AS1219" s="295"/>
      <c r="AV1219" s="295">
        <f>AV1221-AV1214</f>
        <v>-218.1</v>
      </c>
      <c r="AW1219" s="295">
        <f>AW1221-AW1214</f>
        <v>-189.6</v>
      </c>
      <c r="AX1219" s="295">
        <f>AV1219+AW1219</f>
        <v>-407.7</v>
      </c>
      <c r="AZ1219" s="295">
        <f>AZ1221-AZ1214</f>
        <v>-123.1</v>
      </c>
      <c r="BA1219" s="295">
        <f>BA1221-BA1214</f>
        <v>-236.9</v>
      </c>
      <c r="BB1219" s="295">
        <f>AZ1219+BA1219</f>
        <v>-360</v>
      </c>
      <c r="BD1219" s="295">
        <f>BD1221-BD1214</f>
        <v>-135.80000000000001</v>
      </c>
      <c r="BE1219" s="295">
        <f>BE1221-BE1214</f>
        <v>-280.8</v>
      </c>
      <c r="BF1219" s="295">
        <f>BD1219+BE1219</f>
        <v>-416.6</v>
      </c>
      <c r="BH1219" s="295">
        <f>BH1221-BH1214</f>
        <v>-249.6</v>
      </c>
      <c r="BI1219" s="295">
        <f>BI1221-BI1214</f>
        <v>-462.8</v>
      </c>
      <c r="BJ1219" s="295">
        <f>BH1219+BI1219</f>
        <v>-712.4</v>
      </c>
      <c r="BL1219" s="295">
        <f>BL1221-BL1214</f>
        <v>-365.2</v>
      </c>
      <c r="BM1219" s="295">
        <f>BM1221-BM1214</f>
        <v>-611.5</v>
      </c>
      <c r="BN1219" s="295">
        <f>BL1219+BM1219</f>
        <v>-976.7</v>
      </c>
      <c r="BP1219" s="295">
        <f>BP1221-BP1214</f>
        <v>-480.9</v>
      </c>
      <c r="BQ1219" s="295">
        <f>BQ1221-BQ1214</f>
        <v>-652.4</v>
      </c>
      <c r="BR1219" s="295">
        <f>BP1219+BQ1219</f>
        <v>-1133.3</v>
      </c>
      <c r="BT1219" s="295">
        <f>BT1221-BT1214</f>
        <v>-658.4</v>
      </c>
      <c r="BU1219" s="295">
        <f>BU1221-BU1214</f>
        <v>-499</v>
      </c>
      <c r="BV1219" s="295">
        <f>BT1219+BU1219</f>
        <v>-1157.4000000000001</v>
      </c>
      <c r="BX1219" s="295">
        <f>BX1221-BX1214</f>
        <v>-526.20000000000005</v>
      </c>
      <c r="BY1219" s="295">
        <f>BY1221-BY1214</f>
        <v>-479.2</v>
      </c>
      <c r="BZ1219" s="295">
        <f>BX1219+BY1219</f>
        <v>-1005.4000000000001</v>
      </c>
      <c r="CB1219" s="295">
        <f>CB1221-CB1214</f>
        <v>-490.6</v>
      </c>
      <c r="CC1219" s="295">
        <f>CC1221-CC1214</f>
        <v>-499.8</v>
      </c>
      <c r="CD1219" s="295">
        <f>CB1219+CC1219</f>
        <v>-990.40000000000009</v>
      </c>
      <c r="CF1219" s="295">
        <f ca="1">-CF1217*CF1218</f>
        <v>-461.49999999999903</v>
      </c>
      <c r="CG1219" s="295">
        <f>CG1221-CG1214</f>
        <v>-647.79999999999995</v>
      </c>
      <c r="CH1219" s="295">
        <f ca="1">CF1219+CG1219</f>
        <v>-1109.299999999999</v>
      </c>
      <c r="CJ1219" s="295">
        <f ca="1">CJ1221-CJ1214</f>
        <v>-461.49999999999955</v>
      </c>
      <c r="CK1219" s="295">
        <f>CK1221-CK1214</f>
        <v>-622.29999999999995</v>
      </c>
      <c r="CL1219" s="295">
        <f ca="1">CJ1219+CK1219</f>
        <v>-1083.7999999999995</v>
      </c>
      <c r="CN1219" s="295">
        <f ca="1">CN1221-CN1214</f>
        <v>-461.49999999999989</v>
      </c>
      <c r="CO1219" s="295">
        <f>CO1221-CO1214</f>
        <v>-647.1</v>
      </c>
      <c r="CP1219" s="295">
        <f ca="1">CN1219+CO1219</f>
        <v>-1108.5999999999999</v>
      </c>
      <c r="CR1219" s="295">
        <f>CR1221-CR1214</f>
        <v>-672</v>
      </c>
      <c r="CS1219" s="295">
        <f>CS1221-CS1214</f>
        <v>-1066.7</v>
      </c>
      <c r="CT1219" s="295">
        <f>CR1219+CS1219</f>
        <v>-1738.7</v>
      </c>
      <c r="CV1219" s="295">
        <f>CV1221-CV1214</f>
        <v>-820.8</v>
      </c>
      <c r="CW1219" s="295">
        <f>CW1221-CW1214</f>
        <v>-1139.4000000000001</v>
      </c>
      <c r="CX1219" s="295">
        <f>CV1219+CW1219</f>
        <v>-1960.2</v>
      </c>
      <c r="CZ1219" s="295">
        <f>CZ1221-CZ1214</f>
        <v>-551.9</v>
      </c>
      <c r="DA1219" s="295">
        <f>DA1221-DA1214</f>
        <v>-628.4</v>
      </c>
      <c r="DB1219" s="295">
        <f>CZ1219+DA1219</f>
        <v>-1180.3</v>
      </c>
      <c r="DD1219" s="295">
        <f>DD1221-DD1214</f>
        <v>-708.5</v>
      </c>
      <c r="DE1219" s="295">
        <f>DE1221-DE1214</f>
        <v>-725.8</v>
      </c>
      <c r="DF1219" s="295">
        <f>DD1219+DE1219</f>
        <v>-1434.3</v>
      </c>
      <c r="DH1219" s="295">
        <f>DH1221-DH1214</f>
        <v>-779.7</v>
      </c>
      <c r="DI1219" s="295">
        <f>-DI1217*DI1218</f>
        <v>-1095.8193514883851</v>
      </c>
      <c r="DJ1219" s="295">
        <f>DH1219+DI1219</f>
        <v>-1875.5193514883852</v>
      </c>
      <c r="DL1219" s="295">
        <f>-DL1217*DL1218</f>
        <v>-821.07154334208201</v>
      </c>
      <c r="DM1219" s="295">
        <f>-DM1217*DM1218</f>
        <v>-988.03915712498474</v>
      </c>
      <c r="DN1219" s="295">
        <f>DL1219+DM1219</f>
        <v>-1809.1107004670666</v>
      </c>
      <c r="DO1219" s="295"/>
      <c r="DP1219" s="295">
        <f>-DP1217*DP1218</f>
        <v>-890.58610815596967</v>
      </c>
      <c r="DQ1219" s="295">
        <f>-DQ1217*DQ1218</f>
        <v>-1053.0816259739477</v>
      </c>
      <c r="DR1219" s="295">
        <f>DP1219+DQ1219</f>
        <v>-1943.6677341299173</v>
      </c>
      <c r="DS1219" s="295"/>
      <c r="DU1219" s="295"/>
      <c r="DV1219" s="295"/>
      <c r="DW1219" s="295"/>
      <c r="DX1219" s="295"/>
      <c r="DZ1219" s="295"/>
      <c r="EA1219" s="295"/>
      <c r="EB1219" s="295"/>
      <c r="ED1219" s="295"/>
      <c r="EE1219" s="295"/>
      <c r="EF1219" s="295"/>
    </row>
    <row r="1221" spans="1:273" s="289" customFormat="1">
      <c r="A1221" s="289" t="s">
        <v>570</v>
      </c>
      <c r="B1221" s="290"/>
      <c r="AN1221" s="295"/>
      <c r="AO1221" s="295"/>
      <c r="AP1221" s="290"/>
      <c r="AQ1221" s="290"/>
      <c r="AR1221" s="295"/>
      <c r="AS1221" s="295"/>
      <c r="AT1221" s="290"/>
      <c r="AU1221" s="290"/>
      <c r="AV1221" s="295">
        <f>DIVISIONS!AV724</f>
        <v>-36</v>
      </c>
      <c r="AW1221" s="295">
        <f>DIVISIONS!AW724</f>
        <v>-165</v>
      </c>
      <c r="AX1221" s="295">
        <f>DIVISIONS!AX724</f>
        <v>-201</v>
      </c>
      <c r="AY1221" s="655"/>
      <c r="AZ1221" s="295">
        <f>DIVISIONS!AZ724</f>
        <v>-85</v>
      </c>
      <c r="BA1221" s="295">
        <f>DIVISIONS!BA724</f>
        <v>-197</v>
      </c>
      <c r="BB1221" s="295">
        <f>DIVISIONS!BB724</f>
        <v>-282</v>
      </c>
      <c r="BC1221" s="290"/>
      <c r="BD1221" s="295">
        <f>DIVISIONS!BD724</f>
        <v>-107</v>
      </c>
      <c r="BE1221" s="295">
        <f>DIVISIONS!BE724</f>
        <v>-180</v>
      </c>
      <c r="BF1221" s="295">
        <f>BE1221+BD1221</f>
        <v>-287</v>
      </c>
      <c r="BG1221" s="290"/>
      <c r="BH1221" s="295">
        <f>DIVISIONS!BH724</f>
        <v>-156</v>
      </c>
      <c r="BI1221" s="295">
        <f>DIVISIONS!BI724</f>
        <v>-377</v>
      </c>
      <c r="BJ1221" s="295">
        <f>BI1221+BH1221</f>
        <v>-533</v>
      </c>
      <c r="BK1221" s="290"/>
      <c r="BL1221" s="295">
        <f>DIVISIONS!BL724</f>
        <v>-307</v>
      </c>
      <c r="BM1221" s="295">
        <f>DIVISIONS!BM724</f>
        <v>-520</v>
      </c>
      <c r="BN1221" s="295">
        <f>BM1221+BL1221</f>
        <v>-827</v>
      </c>
      <c r="BO1221" s="290"/>
      <c r="BP1221" s="295">
        <f>DIVISIONS!BP724</f>
        <v>-432</v>
      </c>
      <c r="BQ1221" s="295">
        <f>DIVISIONS!BQ724</f>
        <v>-467</v>
      </c>
      <c r="BR1221" s="295">
        <f>BQ1221+BP1221</f>
        <v>-899</v>
      </c>
      <c r="BS1221" s="290"/>
      <c r="BT1221" s="295">
        <f>DIVISIONS!BT724</f>
        <v>-530</v>
      </c>
      <c r="BU1221" s="295">
        <f>DIVISIONS!BU724</f>
        <v>-397</v>
      </c>
      <c r="BV1221" s="295">
        <f>BU1221+BT1221</f>
        <v>-927</v>
      </c>
      <c r="BW1221" s="290"/>
      <c r="BX1221" s="295">
        <f>DIVISIONS!BX724</f>
        <v>-438</v>
      </c>
      <c r="BY1221" s="295">
        <f>DIVISIONS!BY724</f>
        <v>-430</v>
      </c>
      <c r="BZ1221" s="295">
        <f>BY1221+BX1221</f>
        <v>-868</v>
      </c>
      <c r="CA1221" s="290"/>
      <c r="CB1221" s="295">
        <f>DIVISIONS!CB724</f>
        <v>-448</v>
      </c>
      <c r="CC1221" s="295">
        <f>DIVISIONS!CC724</f>
        <v>-435</v>
      </c>
      <c r="CD1221" s="295">
        <f>CC1221+CB1221</f>
        <v>-883</v>
      </c>
      <c r="CE1221" s="581"/>
      <c r="CF1221" s="295">
        <f ca="1">CF1219+CF1214</f>
        <v>-438.69999999999902</v>
      </c>
      <c r="CG1221" s="295">
        <f>DIVISIONS!CG724</f>
        <v>-505</v>
      </c>
      <c r="CH1221" s="295">
        <f ca="1">CG1221+CF1221</f>
        <v>-943.69999999999902</v>
      </c>
      <c r="CI1221" s="581"/>
      <c r="CJ1221" s="295">
        <f ca="1">CJ1219+CJ1214</f>
        <v>-419.79999999999956</v>
      </c>
      <c r="CK1221" s="295">
        <f>DIVISIONS!CK724</f>
        <v>-352</v>
      </c>
      <c r="CL1221" s="295">
        <f ca="1">CK1221+CJ1221</f>
        <v>-771.7999999999995</v>
      </c>
      <c r="CM1221" s="581"/>
      <c r="CN1221" s="295">
        <f ca="1">CN1219+CN1214</f>
        <v>-327.39999999999986</v>
      </c>
      <c r="CO1221" s="295">
        <f>DIVISIONS!CO724</f>
        <v>-624</v>
      </c>
      <c r="CP1221" s="295">
        <f ca="1">CO1221+CN1221</f>
        <v>-951.39999999999986</v>
      </c>
      <c r="CQ1221" s="581"/>
      <c r="CR1221" s="295">
        <f>DIVISIONS!CR724</f>
        <v>-603</v>
      </c>
      <c r="CS1221" s="295">
        <f>DIVISIONS!CS724</f>
        <v>-983</v>
      </c>
      <c r="CT1221" s="295">
        <f>CS1221+CR1221</f>
        <v>-1586</v>
      </c>
      <c r="CU1221" s="290"/>
      <c r="CV1221" s="295">
        <f>DIVISIONS!CV724</f>
        <v>-735</v>
      </c>
      <c r="CW1221" s="295">
        <f>DIVISIONS!CW724</f>
        <v>-1089</v>
      </c>
      <c r="CX1221" s="295">
        <f>CW1221+CV1221</f>
        <v>-1824</v>
      </c>
      <c r="CY1221" s="290"/>
      <c r="CZ1221" s="295">
        <f>DIVISIONS!CZ724</f>
        <v>-587</v>
      </c>
      <c r="DA1221" s="295">
        <f>DIVISIONS!DA724</f>
        <v>-704</v>
      </c>
      <c r="DB1221" s="295">
        <f>DA1221+CZ1221</f>
        <v>-1291</v>
      </c>
      <c r="DC1221" s="290"/>
      <c r="DD1221" s="295">
        <f>DIVISIONS!DD724</f>
        <v>-686</v>
      </c>
      <c r="DE1221" s="295">
        <f>DIVISIONS!DE724</f>
        <v>-640</v>
      </c>
      <c r="DF1221" s="295">
        <f>DE1221+DD1221</f>
        <v>-1326</v>
      </c>
      <c r="DG1221" s="290"/>
      <c r="DH1221" s="295">
        <f>DIVISIONS!DH724</f>
        <v>-771</v>
      </c>
      <c r="DI1221" s="295">
        <f>DI1219+DI1214</f>
        <v>-1053.334071488385</v>
      </c>
      <c r="DJ1221" s="295">
        <f>DI1221+DH1221</f>
        <v>-1824.334071488385</v>
      </c>
      <c r="DK1221" s="290"/>
      <c r="DL1221" s="295">
        <f>DL1219+DL1214</f>
        <v>-760.19554334208203</v>
      </c>
      <c r="DM1221" s="295">
        <f>DM1219+DM1214</f>
        <v>-922.36555712498478</v>
      </c>
      <c r="DN1221" s="295">
        <f>DM1221+DL1221</f>
        <v>-1682.5611004670668</v>
      </c>
      <c r="DO1221" s="295"/>
      <c r="DP1221" s="295">
        <f>DP1219+DP1214</f>
        <v>-827.56306815596963</v>
      </c>
      <c r="DQ1221" s="295">
        <f>DQ1219+DQ1214</f>
        <v>-985.50108197394763</v>
      </c>
      <c r="DR1221" s="295">
        <f>DQ1221+DP1221</f>
        <v>-1813.0641501299174</v>
      </c>
      <c r="DS1221" s="295"/>
      <c r="DT1221" s="290"/>
      <c r="DU1221" s="295"/>
      <c r="DV1221" s="295"/>
      <c r="DW1221" s="295"/>
      <c r="DX1221" s="295"/>
      <c r="DY1221" s="290"/>
      <c r="DZ1221" s="295"/>
      <c r="EA1221" s="295"/>
      <c r="EB1221" s="295"/>
      <c r="EC1221" s="290"/>
      <c r="ED1221" s="295"/>
      <c r="EE1221" s="295"/>
      <c r="EF1221" s="295"/>
      <c r="EG1221" s="290"/>
      <c r="EH1221" s="290"/>
      <c r="EI1221" s="290"/>
      <c r="EJ1221" s="290"/>
      <c r="EK1221" s="290"/>
      <c r="EL1221" s="290"/>
      <c r="EM1221" s="290"/>
      <c r="EN1221" s="290"/>
      <c r="EO1221" s="290"/>
      <c r="EP1221" s="290"/>
      <c r="JM1221"/>
    </row>
    <row r="1222" spans="1:273" s="289" customFormat="1">
      <c r="A1222" s="289" t="s">
        <v>154</v>
      </c>
      <c r="B1222" s="290"/>
      <c r="AN1222" s="290"/>
      <c r="AO1222" s="290"/>
      <c r="AP1222" s="290"/>
      <c r="AQ1222" s="290"/>
      <c r="AR1222" s="290"/>
      <c r="AS1222" s="290"/>
      <c r="AT1222" s="290"/>
      <c r="AU1222" s="290"/>
      <c r="AV1222" s="290"/>
      <c r="AW1222" s="290"/>
      <c r="AX1222" s="290"/>
      <c r="AY1222" s="290"/>
      <c r="AZ1222" s="290"/>
      <c r="BA1222" s="290"/>
      <c r="BB1222" s="290"/>
      <c r="BC1222" s="290"/>
      <c r="BD1222" s="649">
        <f>-BD1221/BD1216</f>
        <v>0.25824853046932006</v>
      </c>
      <c r="BE1222" s="649">
        <f>-BE1221/BE1216</f>
        <v>0.28353859952724653</v>
      </c>
      <c r="BF1222" s="649">
        <f>-BF1221/BF1216</f>
        <v>0.27355119471530343</v>
      </c>
      <c r="BG1222" s="290"/>
      <c r="BH1222" s="649">
        <f>-BH1221/BH1216</f>
        <v>0.30174081237911027</v>
      </c>
      <c r="BI1222" s="649">
        <f>-BI1221/BI1216</f>
        <v>0.42454954954954954</v>
      </c>
      <c r="BJ1222" s="649">
        <f>-BJ1221/BJ1216</f>
        <v>0.37935943060498223</v>
      </c>
      <c r="BK1222" s="290"/>
      <c r="BL1222" s="649">
        <f>-BL1221/BL1216</f>
        <v>0.37901234567901232</v>
      </c>
      <c r="BM1222" s="649">
        <f>-BM1221/BM1216</f>
        <v>0.40061633281972264</v>
      </c>
      <c r="BN1222" s="649">
        <f>-BN1221/BN1216</f>
        <v>0.39231499051233398</v>
      </c>
      <c r="BO1222" s="290"/>
      <c r="BP1222" s="649">
        <f>-BP1221/BP1216</f>
        <v>0.38537020517395182</v>
      </c>
      <c r="BQ1222" s="649">
        <f>-BQ1221/BQ1216</f>
        <v>0.33333333333333331</v>
      </c>
      <c r="BR1222" s="649">
        <f>-BR1221/BR1216</f>
        <v>0.35646312450436163</v>
      </c>
      <c r="BS1222" s="290"/>
      <c r="BT1222" s="649">
        <f>-BT1221/BT1216</f>
        <v>0.32736256948733788</v>
      </c>
      <c r="BU1222" s="649">
        <f>-BU1221/BU1216</f>
        <v>0.28438395415472778</v>
      </c>
      <c r="BV1222" s="649">
        <f>-BV1221/BV1216</f>
        <v>0.30746268656716419</v>
      </c>
      <c r="BW1222" s="290"/>
      <c r="BX1222" s="649">
        <f>-BX1221/BX1216</f>
        <v>0.29494949494949496</v>
      </c>
      <c r="BY1222" s="649">
        <f>-BY1221/BY1216</f>
        <v>0.26559604694255712</v>
      </c>
      <c r="BZ1222" s="649">
        <f>-BZ1221/BZ1216</f>
        <v>0.27963917525773196</v>
      </c>
      <c r="CA1222" s="290"/>
      <c r="CB1222" s="649">
        <f>-CB1221/CB1216</f>
        <v>0.26291079812206575</v>
      </c>
      <c r="CC1222" s="649">
        <f>-CC1221/CC1216</f>
        <v>0.24715909090909091</v>
      </c>
      <c r="CD1222" s="649">
        <f>-CD1221/CD1216</f>
        <v>0.25490762124711314</v>
      </c>
      <c r="CE1222" s="581"/>
      <c r="CF1222" s="649">
        <f ca="1">-CF1221/CF1216</f>
        <v>0.25730205278592316</v>
      </c>
      <c r="CG1222" s="649">
        <f>-CG1221/CG1216</f>
        <v>0.2335800185013876</v>
      </c>
      <c r="CH1222" s="649">
        <f ca="1">-CH1221/CH1216</f>
        <v>0.24403930695629661</v>
      </c>
      <c r="CI1222" s="581"/>
      <c r="CJ1222" s="649">
        <f ca="1">-CJ1221/CJ1216</f>
        <v>0.22815217391304324</v>
      </c>
      <c r="CK1222" s="649">
        <f>-CK1221/CK1216</f>
        <v>0.21809169764560099</v>
      </c>
      <c r="CL1222" s="649">
        <f ca="1">-CL1221/CL1216</f>
        <v>0.22345107122177171</v>
      </c>
      <c r="CM1222" s="581"/>
      <c r="CN1222" s="649">
        <f ca="1">-CN1221/CN1216</f>
        <v>0.26129289704708686</v>
      </c>
      <c r="CO1222" s="649">
        <f>-CO1221/CO1216</f>
        <v>0.23511680482290881</v>
      </c>
      <c r="CP1222" s="649">
        <f ca="1">-CP1221/CP1216</f>
        <v>0.24351164576401327</v>
      </c>
      <c r="CQ1222" s="581"/>
      <c r="CR1222" s="649">
        <f>-CR1221/CR1216</f>
        <v>0.22047531992687386</v>
      </c>
      <c r="CS1222" s="649">
        <f>-CS1221/CS1216</f>
        <v>0.25841219768664564</v>
      </c>
      <c r="CT1222" s="649">
        <f>-CT1221/CT1216</f>
        <v>0.24254473161033796</v>
      </c>
      <c r="CU1222" s="290"/>
      <c r="CV1222" s="649">
        <f>-CV1221/CV1216</f>
        <v>0.23663876368319381</v>
      </c>
      <c r="CW1222" s="649">
        <f>-CW1221/CW1216</f>
        <v>0.28023674729799281</v>
      </c>
      <c r="CX1222" s="649">
        <f>-CX1221/CX1216</f>
        <v>0.2608695652173913</v>
      </c>
      <c r="CY1222" s="290"/>
      <c r="CZ1222" s="649">
        <f>-CZ1221/CZ1216</f>
        <v>0.29482672024108486</v>
      </c>
      <c r="DA1222" s="649">
        <f>-DA1221/DA1216</f>
        <v>0.24832451499118166</v>
      </c>
      <c r="DB1222" s="649">
        <f>-DB1221/DB1216</f>
        <v>0.26750932449233322</v>
      </c>
      <c r="DC1222" s="290"/>
      <c r="DD1222" s="649">
        <f>-DD1221/DD1216</f>
        <v>0.29865041358293426</v>
      </c>
      <c r="DE1222" s="649">
        <f ca="1">-DE1221/DE1216</f>
        <v>0.23096355106459762</v>
      </c>
      <c r="DF1222" s="649">
        <f ca="1">-DF1221/DF1216</f>
        <v>0.26164167324388321</v>
      </c>
      <c r="DG1222" s="290"/>
      <c r="DH1222" s="649">
        <f>-DH1221/DH1216</f>
        <v>0.31443719412724308</v>
      </c>
      <c r="DI1222" s="649">
        <f>-DI1221/DI1216</f>
        <v>0.2948018239041772</v>
      </c>
      <c r="DJ1222" s="649">
        <f>-DJ1221/DJ1216</f>
        <v>0.30279281707429023</v>
      </c>
      <c r="DK1222" s="290"/>
      <c r="DL1222" s="649">
        <f>-DL1221/DL1216</f>
        <v>0.28386341944035343</v>
      </c>
      <c r="DM1222" s="649">
        <f>-DM1221/DM1216</f>
        <v>0.25755490181820884</v>
      </c>
      <c r="DN1222" s="649">
        <f>-DN1221/DN1216</f>
        <v>0.26881101587914691</v>
      </c>
      <c r="DO1222" s="649"/>
      <c r="DP1222" s="649">
        <f>-DP1221/DP1216</f>
        <v>0.28391890821390847</v>
      </c>
      <c r="DQ1222" s="649">
        <f>-DQ1221/DQ1216</f>
        <v>0.25764427919093563</v>
      </c>
      <c r="DR1222" s="649">
        <f>-DR1221/DR1216</f>
        <v>0.2690073128532372</v>
      </c>
      <c r="DS1222" s="649"/>
      <c r="DT1222" s="290"/>
      <c r="DU1222" s="649"/>
      <c r="DV1222" s="649"/>
      <c r="DW1222" s="649"/>
      <c r="DX1222" s="649"/>
      <c r="DY1222" s="290"/>
      <c r="DZ1222" s="649"/>
      <c r="EA1222" s="649"/>
      <c r="EB1222" s="649"/>
      <c r="EC1222" s="290"/>
      <c r="ED1222" s="649"/>
      <c r="EE1222" s="649"/>
      <c r="EF1222" s="649"/>
      <c r="EG1222" s="290"/>
      <c r="EH1222" s="290"/>
      <c r="EI1222" s="290"/>
      <c r="EJ1222" s="290"/>
      <c r="EK1222" s="290"/>
      <c r="EL1222" s="290"/>
      <c r="EM1222" s="290"/>
      <c r="EN1222" s="290"/>
      <c r="EO1222" s="290"/>
      <c r="EP1222" s="290"/>
      <c r="JM1222"/>
    </row>
    <row r="1223" spans="1:273">
      <c r="A1223" s="815"/>
    </row>
    <row r="1224" spans="1:273">
      <c r="A1224" s="289" t="s">
        <v>55</v>
      </c>
      <c r="AN1224" s="293">
        <f>-AN27</f>
        <v>273</v>
      </c>
      <c r="AO1224" s="293">
        <f>-AO27</f>
        <v>44</v>
      </c>
      <c r="AP1224" s="293">
        <f>-AP27</f>
        <v>317</v>
      </c>
      <c r="AR1224" s="293">
        <f>-AR27</f>
        <v>79</v>
      </c>
      <c r="AS1224" s="293">
        <f>-AS27</f>
        <v>-64</v>
      </c>
      <c r="AT1224" s="293">
        <f>-AT27</f>
        <v>15</v>
      </c>
      <c r="AV1224" s="293">
        <f>-AV27</f>
        <v>36</v>
      </c>
      <c r="AW1224" s="293">
        <f>-AW27</f>
        <v>165</v>
      </c>
      <c r="AX1224" s="293">
        <f>-AX27</f>
        <v>201</v>
      </c>
      <c r="AZ1224" s="293">
        <f>-AZ27</f>
        <v>85</v>
      </c>
      <c r="BA1224" s="293">
        <f>-BA27</f>
        <v>197</v>
      </c>
      <c r="BB1224" s="293">
        <f>-BB27</f>
        <v>282</v>
      </c>
      <c r="BD1224" s="293">
        <f>-BD27</f>
        <v>107</v>
      </c>
      <c r="BE1224" s="293">
        <f>-BE27</f>
        <v>180</v>
      </c>
      <c r="BF1224" s="293">
        <f>-BF27</f>
        <v>287</v>
      </c>
      <c r="BH1224" s="293">
        <f>-BH27</f>
        <v>156</v>
      </c>
      <c r="BI1224" s="293">
        <f>-BI27</f>
        <v>377</v>
      </c>
      <c r="BJ1224" s="293">
        <f>-BJ27</f>
        <v>533</v>
      </c>
      <c r="BL1224" s="293">
        <f>-BL27</f>
        <v>307</v>
      </c>
      <c r="BM1224" s="293">
        <f>-BM27</f>
        <v>520</v>
      </c>
      <c r="BN1224" s="293">
        <f>-BN27</f>
        <v>827</v>
      </c>
      <c r="BP1224" s="293">
        <f>-BP27</f>
        <v>432</v>
      </c>
      <c r="BQ1224" s="293">
        <f>-BQ27</f>
        <v>467</v>
      </c>
      <c r="BR1224" s="293">
        <f>-BR27</f>
        <v>899</v>
      </c>
      <c r="BT1224" s="293">
        <f>-BT27</f>
        <v>530</v>
      </c>
      <c r="BU1224" s="293">
        <f>-BU27</f>
        <v>397</v>
      </c>
      <c r="BV1224" s="293">
        <f>-BV27</f>
        <v>927</v>
      </c>
      <c r="BX1224" s="293">
        <f>-BX27</f>
        <v>438</v>
      </c>
      <c r="BY1224" s="293">
        <f>-BY27</f>
        <v>430</v>
      </c>
      <c r="BZ1224" s="293">
        <f>-BZ27</f>
        <v>868</v>
      </c>
      <c r="CB1224" s="293">
        <f>-CB27</f>
        <v>448</v>
      </c>
      <c r="CC1224" s="293">
        <f>-CC27</f>
        <v>435</v>
      </c>
      <c r="CD1224" s="293">
        <f>-CD27</f>
        <v>883</v>
      </c>
      <c r="CF1224" s="293">
        <f>-CF27</f>
        <v>374</v>
      </c>
      <c r="CG1224" s="293">
        <f>-CG27</f>
        <v>505</v>
      </c>
      <c r="CH1224" s="293">
        <f>-CH27</f>
        <v>879</v>
      </c>
      <c r="CJ1224" s="293">
        <f>-CJ27</f>
        <v>376</v>
      </c>
      <c r="CK1224" s="293">
        <f>-CK27</f>
        <v>352</v>
      </c>
      <c r="CL1224" s="293">
        <f>-CL27</f>
        <v>728</v>
      </c>
      <c r="CN1224" s="293">
        <f>-CN27</f>
        <v>275</v>
      </c>
      <c r="CO1224" s="293">
        <f>-CO27</f>
        <v>624</v>
      </c>
      <c r="CP1224" s="293">
        <f>-CP27</f>
        <v>899</v>
      </c>
      <c r="CR1224" s="293">
        <f>-CR27</f>
        <v>603</v>
      </c>
      <c r="CS1224" s="293">
        <f>-CS27</f>
        <v>983</v>
      </c>
      <c r="CT1224" s="293">
        <f>-CT27</f>
        <v>1586</v>
      </c>
      <c r="CV1224" s="293">
        <f>-CV27</f>
        <v>735</v>
      </c>
      <c r="CW1224" s="293">
        <f>-CW27</f>
        <v>1089</v>
      </c>
      <c r="CX1224" s="293">
        <f>-CX27</f>
        <v>1824</v>
      </c>
      <c r="CZ1224" s="293">
        <f>-CZ27</f>
        <v>587</v>
      </c>
      <c r="DA1224" s="293">
        <f>-DA27</f>
        <v>704</v>
      </c>
      <c r="DB1224" s="293">
        <f>-DB27</f>
        <v>1291</v>
      </c>
      <c r="DD1224" s="293">
        <f>-DD27</f>
        <v>686</v>
      </c>
      <c r="DE1224" s="293">
        <f>-DE27</f>
        <v>640</v>
      </c>
      <c r="DF1224" s="293">
        <f>-DF27</f>
        <v>1326</v>
      </c>
      <c r="DH1224" s="293">
        <f>-DH27</f>
        <v>771</v>
      </c>
      <c r="DI1224" s="293">
        <f>-DI27</f>
        <v>1053.334071488385</v>
      </c>
      <c r="DJ1224" s="293">
        <f>-DJ27</f>
        <v>1824.334071488385</v>
      </c>
      <c r="DL1224" s="293">
        <f>-DL27</f>
        <v>760.19554334208203</v>
      </c>
      <c r="DM1224" s="293">
        <f>-DM27</f>
        <v>922.36555712498478</v>
      </c>
      <c r="DN1224" s="293">
        <f>-DN27</f>
        <v>1682.5611004670668</v>
      </c>
      <c r="DO1224" s="293"/>
      <c r="DP1224" s="293">
        <f>-DP27</f>
        <v>827.56306815596963</v>
      </c>
      <c r="DQ1224" s="293">
        <f>-DQ27</f>
        <v>985.50108197394763</v>
      </c>
      <c r="DR1224" s="293">
        <f>-DR27</f>
        <v>1813.0641501299174</v>
      </c>
      <c r="DS1224" s="293"/>
      <c r="DU1224" s="293"/>
      <c r="DV1224" s="293"/>
      <c r="DW1224" s="293"/>
      <c r="DX1224" s="293"/>
      <c r="DZ1224" s="293"/>
      <c r="EA1224" s="293"/>
      <c r="EB1224" s="293"/>
      <c r="ED1224" s="293"/>
      <c r="EE1224" s="293"/>
      <c r="EF1224" s="293"/>
    </row>
    <row r="1225" spans="1:273">
      <c r="A1225" s="289" t="s">
        <v>914</v>
      </c>
      <c r="AN1225" s="293">
        <f>AN26+AN28+AN29</f>
        <v>-40</v>
      </c>
      <c r="AO1225" s="293">
        <f>AO26+AO28+AO29</f>
        <v>-45</v>
      </c>
      <c r="AP1225" s="293">
        <f>AO1225+AN1225</f>
        <v>-85</v>
      </c>
      <c r="AR1225" s="293">
        <f>AR26+AR28+AR29</f>
        <v>-44</v>
      </c>
      <c r="AS1225" s="293">
        <f>AS26+AS28+AS29</f>
        <v>-59</v>
      </c>
      <c r="AT1225" s="293">
        <f>AS1225+AR1225</f>
        <v>-103</v>
      </c>
      <c r="AV1225" s="293">
        <f>AV26+AV28+AV29</f>
        <v>-17</v>
      </c>
      <c r="AW1225" s="293">
        <f>AW26+AW28+AW29</f>
        <v>-26</v>
      </c>
      <c r="AX1225" s="293">
        <f>AW1225+AV1225</f>
        <v>-43</v>
      </c>
      <c r="AZ1225" s="293">
        <f>AZ26+AZ28+AZ29</f>
        <v>-8</v>
      </c>
      <c r="BA1225" s="293">
        <f>BA26+BA28+BA29</f>
        <v>-25</v>
      </c>
      <c r="BB1225" s="293">
        <f>BA1225+AZ1225</f>
        <v>-33</v>
      </c>
      <c r="BD1225" s="293">
        <f>BD26+BD28+BD29</f>
        <v>-3</v>
      </c>
      <c r="BE1225" s="293">
        <f>BE26+BE28+BE29</f>
        <v>-29</v>
      </c>
      <c r="BF1225" s="293">
        <f>BE1225+BD1225</f>
        <v>-32</v>
      </c>
      <c r="BH1225" s="293">
        <f>BH26+BH28+BH29</f>
        <v>0</v>
      </c>
      <c r="BI1225" s="293">
        <f>BI26+BI28+BI29</f>
        <v>-21</v>
      </c>
      <c r="BJ1225" s="293">
        <f>BI1225+BH1225</f>
        <v>-21</v>
      </c>
      <c r="BL1225" s="293">
        <f>BL26+BL28+BL29</f>
        <v>-2</v>
      </c>
      <c r="BM1225" s="293">
        <f>BM26+BM28+BM29</f>
        <v>-12</v>
      </c>
      <c r="BN1225" s="293">
        <f>BM1225+BL1225</f>
        <v>-14</v>
      </c>
      <c r="BP1225" s="293">
        <f>BP26+BP28+BP29</f>
        <v>-11</v>
      </c>
      <c r="BQ1225" s="293">
        <f>BQ26+BQ28+BQ29</f>
        <v>-8</v>
      </c>
      <c r="BR1225" s="293">
        <f>BQ1225+BP1225</f>
        <v>-19</v>
      </c>
      <c r="BT1225" s="293">
        <f>BT26+BT28+BT29</f>
        <v>-19</v>
      </c>
      <c r="BU1225" s="293">
        <f>BU26+BU28+BU29</f>
        <v>-6</v>
      </c>
      <c r="BV1225" s="293">
        <f>BU1225+BT1225</f>
        <v>-25</v>
      </c>
      <c r="BX1225" s="293">
        <f>BX26+BX28+BX29</f>
        <v>3</v>
      </c>
      <c r="BY1225" s="293">
        <f>BY26+BY28+BY29</f>
        <v>-22</v>
      </c>
      <c r="BZ1225" s="293">
        <f>BY1225+BX1225</f>
        <v>-19</v>
      </c>
      <c r="CB1225" s="293">
        <f>CB26+CB28+CB29</f>
        <v>-8</v>
      </c>
      <c r="CC1225" s="293">
        <f>CC26+CC28+CC29</f>
        <v>-16</v>
      </c>
      <c r="CD1225" s="293">
        <f>CC1225+CB1225</f>
        <v>-24</v>
      </c>
      <c r="CF1225" s="293">
        <f>CF26+CF28+CF29</f>
        <v>-21</v>
      </c>
      <c r="CG1225" s="293">
        <f>CG26+CG28+CG29</f>
        <v>15</v>
      </c>
      <c r="CH1225" s="293">
        <f>CG1225+CF1225</f>
        <v>-6</v>
      </c>
      <c r="CJ1225" s="293">
        <f>CJ26+CJ28+CJ29</f>
        <v>-7</v>
      </c>
      <c r="CK1225" s="293">
        <f>CK26+CK28+CK29</f>
        <v>12</v>
      </c>
      <c r="CL1225" s="293">
        <f>CK1225+CJ1225</f>
        <v>5</v>
      </c>
      <c r="CN1225" s="293">
        <f>CN26+CN28+CN29</f>
        <v>7</v>
      </c>
      <c r="CO1225" s="293">
        <f>CO26+CO28+CO29</f>
        <v>0</v>
      </c>
      <c r="CP1225" s="293">
        <f>CO1225+CN1225</f>
        <v>7</v>
      </c>
      <c r="CR1225" s="293">
        <f>CR26+CR28+CR29</f>
        <v>-89</v>
      </c>
      <c r="CS1225" s="293">
        <f>CS26+CS28+CS29</f>
        <v>-158</v>
      </c>
      <c r="CT1225" s="293">
        <f>CS1225+CR1225</f>
        <v>-247</v>
      </c>
      <c r="CV1225" s="293">
        <f>CV26+CV28+CV29</f>
        <v>12</v>
      </c>
      <c r="CW1225" s="293">
        <f>CW26+CW28+CW29</f>
        <v>2</v>
      </c>
      <c r="CX1225" s="293">
        <f>CW1225+CV1225</f>
        <v>14</v>
      </c>
      <c r="CZ1225" s="293">
        <f>CZ26+CZ28+CZ29</f>
        <v>11</v>
      </c>
      <c r="DA1225" s="293">
        <f>DA26+DA28+DA29</f>
        <v>-24</v>
      </c>
      <c r="DB1225" s="293">
        <f>DA1225+CZ1225</f>
        <v>-13</v>
      </c>
      <c r="DD1225" s="293">
        <f>DD26+DD28+DD29</f>
        <v>1</v>
      </c>
      <c r="DE1225" s="293">
        <f>DE26+DE28+DE29</f>
        <v>-28</v>
      </c>
      <c r="DF1225" s="293">
        <f>DE1225+DD1225</f>
        <v>-27</v>
      </c>
      <c r="DH1225" s="293">
        <f>DH26+DH28+DH29</f>
        <v>-26</v>
      </c>
      <c r="DI1225" s="293">
        <f>DI26+DI28+DI29</f>
        <v>-2</v>
      </c>
      <c r="DJ1225" s="293">
        <f>DI1225+DH1225</f>
        <v>-28</v>
      </c>
      <c r="DL1225" s="293">
        <f>DL26+DL28+DL29</f>
        <v>-2</v>
      </c>
      <c r="DM1225" s="293">
        <f>DM26+DM28+DM29</f>
        <v>-2</v>
      </c>
      <c r="DN1225" s="293">
        <f>DM1225+DL1225</f>
        <v>-4</v>
      </c>
      <c r="DO1225" s="293"/>
      <c r="DP1225" s="293">
        <f>DP26+DP28+DP29</f>
        <v>-2</v>
      </c>
      <c r="DQ1225" s="293">
        <f>DQ26+DQ28+DQ29</f>
        <v>-2</v>
      </c>
      <c r="DR1225" s="293">
        <f>DQ1225+DP1225</f>
        <v>-4</v>
      </c>
      <c r="DS1225" s="293"/>
      <c r="DU1225" s="293"/>
      <c r="DV1225" s="293"/>
      <c r="DW1225" s="293"/>
      <c r="DX1225" s="293"/>
      <c r="DZ1225" s="293"/>
      <c r="EA1225" s="293"/>
      <c r="EB1225" s="293"/>
      <c r="ED1225" s="293"/>
      <c r="EE1225" s="293"/>
      <c r="EF1225" s="293"/>
    </row>
    <row r="1226" spans="1:273">
      <c r="A1226" s="289" t="s">
        <v>962</v>
      </c>
      <c r="AN1226" s="293">
        <f>AN25+AN1225</f>
        <v>1333</v>
      </c>
      <c r="AO1226" s="293">
        <f>AO25+AO1225</f>
        <v>787</v>
      </c>
      <c r="AP1226" s="293">
        <f>AN1226+AO1226</f>
        <v>2120</v>
      </c>
      <c r="AR1226" s="293">
        <f>AR25+AR1225</f>
        <v>682.89224302636603</v>
      </c>
      <c r="AS1226" s="293">
        <f>AS25+AS1225</f>
        <v>202.82766526557134</v>
      </c>
      <c r="AT1226" s="293">
        <f>AR1226+AS1226</f>
        <v>885.71990829193737</v>
      </c>
      <c r="AV1226" s="293">
        <f>AV25+AV1225</f>
        <v>515</v>
      </c>
      <c r="AW1226" s="293">
        <f>AW25+AW1225</f>
        <v>736</v>
      </c>
      <c r="AX1226" s="293">
        <f>AV1226+AW1226</f>
        <v>1251</v>
      </c>
      <c r="AZ1226" s="293">
        <f>AZ25+AZ1225</f>
        <v>488.33370000000014</v>
      </c>
      <c r="BA1226" s="293">
        <f>BA25+BA1225</f>
        <v>750.33336999999983</v>
      </c>
      <c r="BB1226" s="293">
        <f>AZ1226+BA1226</f>
        <v>1238.66707</v>
      </c>
      <c r="BD1226" s="293">
        <f>BD25+BD1225</f>
        <v>411.32956000000013</v>
      </c>
      <c r="BE1226" s="293">
        <f>BE25+BE1225</f>
        <v>605.83420000000024</v>
      </c>
      <c r="BF1226" s="293">
        <f>BD1226+BE1226</f>
        <v>1017.1637600000004</v>
      </c>
      <c r="BH1226" s="293">
        <f>BH25+BH1225</f>
        <v>517</v>
      </c>
      <c r="BI1226" s="293">
        <f>BI25+BI1225</f>
        <v>867</v>
      </c>
      <c r="BJ1226" s="293">
        <f>BH1226+BI1226</f>
        <v>1384</v>
      </c>
      <c r="BL1226" s="293">
        <f>BL25+BL1225</f>
        <v>808</v>
      </c>
      <c r="BM1226" s="293">
        <f>BM25+BM1225</f>
        <v>1286</v>
      </c>
      <c r="BN1226" s="293">
        <f>BL1226+BM1226</f>
        <v>2094</v>
      </c>
      <c r="BP1226" s="293">
        <f>BP25+BP1225</f>
        <v>1110</v>
      </c>
      <c r="BQ1226" s="293">
        <f>BQ25+BQ1225</f>
        <v>1393</v>
      </c>
      <c r="BR1226" s="293">
        <f>BP1226+BQ1226</f>
        <v>2503</v>
      </c>
      <c r="BT1226" s="293">
        <f>BT25+BT1225</f>
        <v>1600</v>
      </c>
      <c r="BU1226" s="293">
        <f>BU25+BU1225</f>
        <v>1390</v>
      </c>
      <c r="BV1226" s="293">
        <f>BT1226+BU1226</f>
        <v>2990</v>
      </c>
      <c r="BX1226" s="293">
        <f>BX25+BX1225</f>
        <v>1488</v>
      </c>
      <c r="BY1226" s="293">
        <f>BY25+BY1225</f>
        <v>1597</v>
      </c>
      <c r="BZ1226" s="293">
        <f>BX1226+BY1226</f>
        <v>3085</v>
      </c>
      <c r="CB1226" s="293">
        <f>CB25+CB1225</f>
        <v>1696</v>
      </c>
      <c r="CC1226" s="293">
        <f>CC25+CC1225</f>
        <v>1744</v>
      </c>
      <c r="CD1226" s="293">
        <f>CB1226+CC1226</f>
        <v>3440</v>
      </c>
      <c r="CF1226" s="293">
        <f>CF25+CF1225</f>
        <v>1684</v>
      </c>
      <c r="CG1226" s="293">
        <f>CG25+CG1225</f>
        <v>2177</v>
      </c>
      <c r="CH1226" s="293">
        <f>CF1226+CG1226</f>
        <v>3861</v>
      </c>
      <c r="CJ1226" s="293">
        <f>CJ25+CJ1225</f>
        <v>1833</v>
      </c>
      <c r="CK1226" s="293">
        <f>CK25+CK1225</f>
        <v>1626</v>
      </c>
      <c r="CL1226" s="293">
        <f>CJ1226+CK1226</f>
        <v>3459</v>
      </c>
      <c r="CN1226" s="293">
        <f>CN25+CN1225</f>
        <v>1260</v>
      </c>
      <c r="CO1226" s="293">
        <f>CO25+CO1225</f>
        <v>2654</v>
      </c>
      <c r="CP1226" s="293">
        <f>CN1226+CO1226</f>
        <v>3914</v>
      </c>
      <c r="CR1226" s="293">
        <f>CR25+CR1225</f>
        <v>2646</v>
      </c>
      <c r="CS1226" s="293">
        <f>CS25+CS1225</f>
        <v>3646</v>
      </c>
      <c r="CT1226" s="293">
        <f>CR1226+CS1226</f>
        <v>6292</v>
      </c>
      <c r="CV1226" s="293">
        <f>CV25+CV1225</f>
        <v>3118</v>
      </c>
      <c r="CW1226" s="293">
        <f>CW25+CW1225</f>
        <v>3888</v>
      </c>
      <c r="CX1226" s="293">
        <f>CV1226+CW1226</f>
        <v>7006</v>
      </c>
      <c r="CZ1226" s="293">
        <f>CZ25+CZ1225</f>
        <v>2002</v>
      </c>
      <c r="DA1226" s="293">
        <f>DA25+DA1225</f>
        <v>2811</v>
      </c>
      <c r="DB1226" s="293">
        <f>CZ1226+DA1226</f>
        <v>4813</v>
      </c>
      <c r="DD1226" s="293">
        <f>DD25+DD1225</f>
        <v>2298</v>
      </c>
      <c r="DE1226" s="293">
        <f ca="1">DE25+DE1225</f>
        <v>2743</v>
      </c>
      <c r="DF1226" s="293">
        <f ca="1">DD1226+DE1226</f>
        <v>5041</v>
      </c>
      <c r="DH1226" s="293">
        <f>DH25+DH1225</f>
        <v>2426</v>
      </c>
      <c r="DI1226" s="293">
        <f>DI25+DI1225</f>
        <v>3571.024269452153</v>
      </c>
      <c r="DJ1226" s="293">
        <f>DH1226+DI1226</f>
        <v>5997.024269452153</v>
      </c>
      <c r="DL1226" s="293">
        <f>DL25+DL1225</f>
        <v>2676.0327836564284</v>
      </c>
      <c r="DM1226" s="293">
        <f>DM25+DM1225</f>
        <v>3579.2386043268643</v>
      </c>
      <c r="DN1226" s="293">
        <f>DL1226+DM1226</f>
        <v>6255.2713879832927</v>
      </c>
      <c r="DO1226" s="293"/>
      <c r="DP1226" s="293">
        <f>DP25+DP1225</f>
        <v>2912.7867373893678</v>
      </c>
      <c r="DQ1226" s="293">
        <f>DQ25+DQ1225</f>
        <v>3823.0454660536443</v>
      </c>
      <c r="DR1226" s="293">
        <f>DP1226+DQ1226</f>
        <v>6735.8322034430121</v>
      </c>
      <c r="DS1226" s="293"/>
      <c r="DU1226" s="293"/>
      <c r="DV1226" s="293"/>
      <c r="DW1226" s="293"/>
      <c r="DX1226" s="293"/>
      <c r="DZ1226" s="293"/>
      <c r="EA1226" s="293"/>
      <c r="EB1226" s="293"/>
      <c r="ED1226" s="293"/>
      <c r="EE1226" s="293"/>
      <c r="EF1226" s="293"/>
    </row>
    <row r="1227" spans="1:273" s="1028" customFormat="1" ht="14.4">
      <c r="A1227" s="1028" t="s">
        <v>907</v>
      </c>
      <c r="B1227" s="1029"/>
      <c r="AN1227" s="1030">
        <f>AN1224/AN1226</f>
        <v>0.20480120030007501</v>
      </c>
      <c r="AO1227" s="1030">
        <f>AO1224/AO1226</f>
        <v>5.5908513341804321E-2</v>
      </c>
      <c r="AP1227" s="1030">
        <f>AP1224/AP1226</f>
        <v>0.14952830188679245</v>
      </c>
      <c r="AQ1227" s="1029"/>
      <c r="AR1227" s="1030">
        <f>AR1224/AR1226</f>
        <v>0.11568443016704447</v>
      </c>
      <c r="AS1227" s="1030">
        <f>AS1224/AS1226</f>
        <v>-0.31553880934438572</v>
      </c>
      <c r="AT1227" s="1030">
        <f>AT1224/AT1226</f>
        <v>1.6935376363986988E-2</v>
      </c>
      <c r="AU1227" s="1031"/>
      <c r="AV1227" s="1030">
        <f>AV1224/AV1226</f>
        <v>6.9902912621359226E-2</v>
      </c>
      <c r="AW1227" s="1030">
        <f>AW1224/AW1226</f>
        <v>0.22418478260869565</v>
      </c>
      <c r="AX1227" s="1030">
        <f>AX1224/AX1226</f>
        <v>0.16067146282973621</v>
      </c>
      <c r="AY1227" s="1031"/>
      <c r="AZ1227" s="1030">
        <f>AZ1224/AZ1226</f>
        <v>0.1740613027526054</v>
      </c>
      <c r="BA1227" s="1030">
        <f>BA1224/BA1226</f>
        <v>0.26254996495757621</v>
      </c>
      <c r="BB1227" s="1030">
        <f>BB1224/BB1226</f>
        <v>0.22766408087364429</v>
      </c>
      <c r="BC1227" s="1029"/>
      <c r="BD1227" s="1030">
        <f>BD1224/BD1226</f>
        <v>0.26013204594388978</v>
      </c>
      <c r="BE1227" s="1030">
        <f>BE1224/BE1226</f>
        <v>0.29711099175318911</v>
      </c>
      <c r="BF1227" s="1030">
        <f>BF1224/BF1226</f>
        <v>0.28215712286092448</v>
      </c>
      <c r="BG1227" s="1029"/>
      <c r="BH1227" s="1030">
        <f>BH1224/BH1226</f>
        <v>0.30174081237911027</v>
      </c>
      <c r="BI1227" s="1030">
        <f>BI1224/BI1226</f>
        <v>0.43483275663206461</v>
      </c>
      <c r="BJ1227" s="1030">
        <f>BJ1224/BJ1226</f>
        <v>0.38511560693641617</v>
      </c>
      <c r="BK1227" s="1029"/>
      <c r="BL1227" s="1030">
        <f>BL1224/BL1226</f>
        <v>0.37995049504950495</v>
      </c>
      <c r="BM1227" s="1030">
        <f>BM1224/BM1226</f>
        <v>0.40435458786936235</v>
      </c>
      <c r="BN1227" s="1030">
        <f>BN1224/BN1226</f>
        <v>0.39493791786055399</v>
      </c>
      <c r="BO1227" s="1029"/>
      <c r="BP1227" s="1030">
        <f>BP1224/BP1226</f>
        <v>0.38918918918918921</v>
      </c>
      <c r="BQ1227" s="1030">
        <f>BQ1224/BQ1226</f>
        <v>0.33524766690595836</v>
      </c>
      <c r="BR1227" s="1030">
        <f>BR1224/BR1226</f>
        <v>0.35916899720335599</v>
      </c>
      <c r="BS1227" s="1029"/>
      <c r="BT1227" s="1030">
        <f>BT1224/BT1226</f>
        <v>0.33124999999999999</v>
      </c>
      <c r="BU1227" s="1030">
        <f>BU1224/BU1226</f>
        <v>0.28561151079136693</v>
      </c>
      <c r="BV1227" s="1030">
        <f>BV1224/BV1226</f>
        <v>0.31003344481605349</v>
      </c>
      <c r="BW1227" s="1029"/>
      <c r="BX1227" s="1030">
        <f>BX1224/BX1226</f>
        <v>0.29435483870967744</v>
      </c>
      <c r="BY1227" s="1030">
        <f>BY1224/BY1226</f>
        <v>0.26925485284909206</v>
      </c>
      <c r="BZ1227" s="1030">
        <f>BZ1224/BZ1226</f>
        <v>0.2813614262560778</v>
      </c>
      <c r="CA1227" s="1029"/>
      <c r="CB1227" s="1030">
        <f>CB1224/CB1226</f>
        <v>0.26415094339622641</v>
      </c>
      <c r="CC1227" s="1030">
        <f>CC1224/CC1226</f>
        <v>0.24942660550458715</v>
      </c>
      <c r="CD1227" s="1030">
        <f>CD1224/CD1226</f>
        <v>0.25668604651162791</v>
      </c>
      <c r="CE1227" s="1631"/>
      <c r="CF1227" s="1030">
        <f>CF1224/CF1226</f>
        <v>0.22209026128266032</v>
      </c>
      <c r="CG1227" s="1030">
        <f>CG1224/CG1226</f>
        <v>0.23197060174552137</v>
      </c>
      <c r="CH1227" s="1030">
        <f>CH1224/CH1226</f>
        <v>0.22766122766122765</v>
      </c>
      <c r="CI1227" s="1631"/>
      <c r="CJ1227" s="1030">
        <f>CJ1224/CJ1226</f>
        <v>0.20512820512820512</v>
      </c>
      <c r="CK1227" s="1030">
        <f>CK1224/CK1226</f>
        <v>0.21648216482164823</v>
      </c>
      <c r="CL1227" s="1030">
        <f>CL1224/CL1226</f>
        <v>0.21046545244290257</v>
      </c>
      <c r="CM1227" s="1631"/>
      <c r="CN1227" s="1030">
        <f>CN1224/CN1226</f>
        <v>0.21825396825396826</v>
      </c>
      <c r="CO1227" s="1030">
        <f>CO1224/CO1226</f>
        <v>0.23511680482290881</v>
      </c>
      <c r="CP1227" s="1030">
        <f>CP1224/CP1226</f>
        <v>0.22968829841594277</v>
      </c>
      <c r="CQ1227" s="1631"/>
      <c r="CR1227" s="1030">
        <f>CR1224/CR1226</f>
        <v>0.22789115646258504</v>
      </c>
      <c r="CS1227" s="1030">
        <f>CS1224/CS1226</f>
        <v>0.26961053208996161</v>
      </c>
      <c r="CT1227" s="1030">
        <f>CT1224/CT1226</f>
        <v>0.25206611570247933</v>
      </c>
      <c r="CU1227" s="1029"/>
      <c r="CV1227" s="1030">
        <f>CV1224/CV1226</f>
        <v>0.23572803078896729</v>
      </c>
      <c r="CW1227" s="1030">
        <f>CW1224/CW1226</f>
        <v>0.28009259259259262</v>
      </c>
      <c r="CX1227" s="1030">
        <f>CX1224/CX1226</f>
        <v>0.2603482729089352</v>
      </c>
      <c r="CY1227" s="1029"/>
      <c r="CZ1227" s="1030">
        <f>CZ1224/CZ1226</f>
        <v>0.29320679320679321</v>
      </c>
      <c r="DA1227" s="1030">
        <f>DA1224/DA1226</f>
        <v>0.25044468160796868</v>
      </c>
      <c r="DB1227" s="1030">
        <f>DB1224/DB1226</f>
        <v>0.26823187201329735</v>
      </c>
      <c r="DC1227" s="1029"/>
      <c r="DD1227" s="1030">
        <f>DD1224/DD1226</f>
        <v>0.29852045256744997</v>
      </c>
      <c r="DE1227" s="1030">
        <f ca="1">DE1224/DE1226</f>
        <v>0.23332118118847978</v>
      </c>
      <c r="DF1227" s="1030">
        <f ca="1">DF1224/DF1226</f>
        <v>0.26304304701448128</v>
      </c>
      <c r="DG1227" s="1029"/>
      <c r="DH1227" s="1030">
        <f>DH1224/DH1226</f>
        <v>0.31780708985985162</v>
      </c>
      <c r="DI1227" s="1030">
        <f>DI1224/DI1226</f>
        <v>0.29496693161650839</v>
      </c>
      <c r="DJ1227" s="1030">
        <f>DJ1224/DJ1226</f>
        <v>0.30420655136935831</v>
      </c>
      <c r="DK1227" s="1029"/>
      <c r="DL1227" s="1030">
        <f>DL1224/DL1226</f>
        <v>0.28407557186327892</v>
      </c>
      <c r="DM1227" s="1030">
        <f>DM1224/DM1226</f>
        <v>0.25769881784633103</v>
      </c>
      <c r="DN1227" s="1030">
        <f>DN1224/DN1226</f>
        <v>0.26898290995005519</v>
      </c>
      <c r="DO1227" s="1030"/>
      <c r="DP1227" s="1030">
        <f>DP1224/DP1226</f>
        <v>0.28411385479518025</v>
      </c>
      <c r="DQ1227" s="1030">
        <f>DQ1224/DQ1226</f>
        <v>0.25777906402751616</v>
      </c>
      <c r="DR1227" s="1030">
        <f>DR1224/DR1226</f>
        <v>0.2691670598924914</v>
      </c>
      <c r="DS1227" s="1030"/>
      <c r="DT1227" s="1029"/>
      <c r="DU1227" s="1030"/>
      <c r="DV1227" s="1030"/>
      <c r="DW1227" s="1030"/>
      <c r="DX1227" s="1030"/>
      <c r="DY1227" s="1029"/>
      <c r="DZ1227" s="1030"/>
      <c r="EA1227" s="1030"/>
      <c r="EB1227" s="1030"/>
      <c r="EC1227" s="1029"/>
      <c r="ED1227" s="1030"/>
      <c r="EE1227" s="1030"/>
      <c r="EF1227" s="1030"/>
      <c r="EG1227" s="1029"/>
      <c r="EH1227" s="1029"/>
      <c r="EI1227" s="1029"/>
      <c r="EJ1227" s="1029"/>
      <c r="EK1227" s="1029"/>
      <c r="EL1227" s="1029"/>
      <c r="EM1227" s="1029"/>
      <c r="EN1227" s="1029"/>
      <c r="EO1227" s="1029"/>
      <c r="EP1227" s="1029"/>
      <c r="JM1227"/>
    </row>
    <row r="1228" spans="1:273">
      <c r="AO1228" s="293"/>
      <c r="AR1228" s="293"/>
      <c r="AS1228" s="293"/>
      <c r="AV1228" s="293"/>
      <c r="AW1228" s="293"/>
      <c r="AZ1228" s="293"/>
      <c r="BA1228" s="293"/>
      <c r="BD1228" s="293"/>
      <c r="BE1228" s="293"/>
      <c r="BH1228" s="293"/>
      <c r="BI1228" s="293"/>
      <c r="BL1228" s="293"/>
      <c r="BM1228" s="293"/>
      <c r="BP1228" s="293"/>
      <c r="BQ1228" s="293"/>
      <c r="BT1228" s="293"/>
      <c r="BU1228" s="293"/>
      <c r="BX1228" s="293"/>
      <c r="BY1228" s="293"/>
      <c r="CB1228" s="293"/>
      <c r="CC1228" s="293"/>
      <c r="CF1228" s="293"/>
      <c r="CG1228" s="293"/>
      <c r="CJ1228" s="293"/>
      <c r="CK1228" s="293"/>
      <c r="CN1228" s="293"/>
      <c r="CO1228" s="293"/>
      <c r="CR1228" s="293"/>
      <c r="CS1228" s="293"/>
      <c r="CV1228" s="293"/>
      <c r="CW1228" s="293"/>
      <c r="CZ1228" s="293"/>
      <c r="DA1228" s="293"/>
      <c r="DD1228" s="293"/>
      <c r="DE1228" s="293"/>
      <c r="DH1228" s="293"/>
      <c r="DI1228" s="293"/>
      <c r="DL1228" s="293"/>
      <c r="DM1228" s="293"/>
      <c r="DP1228" s="293"/>
      <c r="DQ1228" s="293"/>
      <c r="DU1228" s="293"/>
      <c r="DV1228" s="293"/>
      <c r="DW1228" s="293"/>
    </row>
    <row r="1229" spans="1:273">
      <c r="AN1229" s="626"/>
      <c r="AO1229" s="626"/>
      <c r="AR1229" s="730"/>
      <c r="AS1229" s="730"/>
      <c r="AT1229" s="730"/>
      <c r="AU1229" s="730"/>
      <c r="AV1229" s="730"/>
      <c r="AW1229" s="730"/>
      <c r="AX1229" s="730"/>
      <c r="AY1229" s="730"/>
      <c r="AZ1229" s="730"/>
    </row>
    <row r="1230" spans="1:273" s="838" customFormat="1">
      <c r="A1230" s="837" t="s">
        <v>537</v>
      </c>
      <c r="B1230" s="825"/>
      <c r="AN1230" s="825"/>
      <c r="AO1230" s="825"/>
      <c r="AP1230" s="825"/>
      <c r="AQ1230" s="825"/>
      <c r="AR1230" s="825"/>
      <c r="AS1230" s="825"/>
      <c r="AT1230" s="825"/>
      <c r="AU1230" s="825"/>
      <c r="AV1230" s="825"/>
      <c r="AW1230" s="825"/>
      <c r="AX1230" s="825"/>
      <c r="AY1230" s="825"/>
      <c r="AZ1230" s="825"/>
      <c r="BA1230" s="825"/>
      <c r="BB1230" s="825"/>
      <c r="BC1230" s="825"/>
      <c r="BD1230" s="825"/>
      <c r="BE1230" s="825"/>
      <c r="BF1230" s="825"/>
      <c r="BG1230" s="825"/>
      <c r="BH1230" s="825"/>
      <c r="BI1230" s="825"/>
      <c r="BJ1230" s="825"/>
      <c r="BK1230" s="825"/>
      <c r="BL1230" s="825"/>
      <c r="BM1230" s="825"/>
      <c r="BN1230" s="825"/>
      <c r="BO1230" s="825"/>
      <c r="BP1230" s="825"/>
      <c r="BQ1230" s="825"/>
      <c r="BR1230" s="825"/>
      <c r="BS1230" s="825"/>
      <c r="BT1230" s="825"/>
      <c r="BU1230" s="825"/>
      <c r="BV1230" s="825"/>
      <c r="BW1230" s="825"/>
      <c r="BX1230" s="825"/>
      <c r="BY1230" s="825"/>
      <c r="BZ1230" s="825"/>
      <c r="CA1230" s="825"/>
      <c r="CB1230" s="825"/>
      <c r="CC1230" s="825"/>
      <c r="CD1230" s="825"/>
      <c r="CE1230" s="1606"/>
      <c r="CF1230" s="825"/>
      <c r="CG1230" s="825"/>
      <c r="CH1230" s="825"/>
      <c r="CI1230" s="1606"/>
      <c r="CJ1230" s="825"/>
      <c r="CK1230" s="825"/>
      <c r="CL1230" s="825"/>
      <c r="CM1230" s="1606"/>
      <c r="CN1230" s="825"/>
      <c r="CO1230" s="825"/>
      <c r="CP1230" s="825"/>
      <c r="CQ1230" s="1606"/>
      <c r="CR1230" s="825"/>
      <c r="CS1230" s="825"/>
      <c r="CT1230" s="825"/>
      <c r="CU1230" s="825"/>
      <c r="CV1230" s="825"/>
      <c r="CW1230" s="825"/>
      <c r="CX1230" s="825"/>
      <c r="CY1230" s="825"/>
      <c r="CZ1230" s="825"/>
      <c r="DA1230" s="825"/>
      <c r="DB1230" s="825"/>
      <c r="DC1230" s="825"/>
      <c r="DD1230" s="825"/>
      <c r="DE1230" s="825"/>
      <c r="DF1230" s="825"/>
      <c r="DG1230" s="825"/>
      <c r="DH1230" s="825"/>
      <c r="DI1230" s="825"/>
      <c r="DJ1230" s="825"/>
      <c r="DK1230" s="825"/>
      <c r="DL1230" s="825"/>
      <c r="DM1230" s="825"/>
      <c r="DN1230" s="825"/>
      <c r="DO1230" s="825"/>
      <c r="DP1230" s="825"/>
      <c r="DQ1230" s="825"/>
      <c r="DR1230" s="825"/>
      <c r="DS1230" s="825"/>
      <c r="DT1230" s="825"/>
      <c r="DU1230" s="825"/>
      <c r="DV1230" s="825"/>
      <c r="DW1230" s="825"/>
      <c r="DX1230" s="825"/>
      <c r="DY1230" s="825"/>
      <c r="DZ1230" s="825"/>
      <c r="EA1230" s="825"/>
      <c r="EB1230" s="825"/>
      <c r="EC1230" s="825"/>
      <c r="ED1230" s="825"/>
      <c r="EE1230" s="825"/>
      <c r="EF1230" s="825"/>
      <c r="EG1230" s="825"/>
      <c r="EH1230" s="825"/>
      <c r="EI1230" s="825"/>
      <c r="EJ1230" s="825"/>
      <c r="EK1230" s="825"/>
      <c r="EL1230" s="825"/>
      <c r="EM1230" s="825"/>
      <c r="EN1230" s="825"/>
      <c r="EO1230" s="825"/>
      <c r="EP1230" s="825"/>
      <c r="FL1230" s="839"/>
      <c r="FM1230" s="839"/>
      <c r="FN1230" s="839"/>
      <c r="FO1230" s="839"/>
      <c r="FP1230" s="839"/>
      <c r="FQ1230" s="839"/>
      <c r="FR1230" s="839"/>
      <c r="FS1230" s="839"/>
      <c r="FT1230" s="839"/>
      <c r="FU1230" s="839"/>
      <c r="FV1230" s="839"/>
      <c r="FW1230" s="839"/>
      <c r="FX1230" s="839"/>
      <c r="FY1230" s="839"/>
      <c r="FZ1230" s="839"/>
      <c r="GA1230" s="839"/>
      <c r="GB1230" s="839"/>
      <c r="GC1230" s="839"/>
      <c r="GD1230" s="839"/>
      <c r="GE1230" s="839"/>
      <c r="GF1230" s="839"/>
      <c r="GG1230" s="839"/>
      <c r="GH1230" s="839"/>
      <c r="GI1230" s="839"/>
      <c r="GJ1230" s="839"/>
      <c r="GK1230" s="839"/>
      <c r="GL1230" s="839"/>
      <c r="GM1230" s="839"/>
      <c r="GN1230" s="839"/>
      <c r="GO1230" s="839"/>
      <c r="GP1230" s="839"/>
      <c r="GQ1230" s="839"/>
      <c r="GR1230" s="839"/>
      <c r="GS1230" s="839"/>
      <c r="GT1230" s="839"/>
      <c r="GU1230" s="839"/>
      <c r="GV1230" s="839"/>
      <c r="GW1230" s="839"/>
      <c r="GX1230" s="839"/>
      <c r="GY1230" s="839"/>
      <c r="GZ1230" s="839"/>
      <c r="HA1230" s="839"/>
      <c r="HB1230" s="839"/>
      <c r="HC1230" s="839"/>
      <c r="HD1230" s="839"/>
      <c r="HE1230" s="839"/>
      <c r="HF1230" s="839"/>
      <c r="HG1230" s="839"/>
      <c r="HH1230" s="839"/>
      <c r="HI1230" s="839"/>
      <c r="HJ1230" s="839"/>
      <c r="HK1230" s="839"/>
      <c r="HL1230" s="839"/>
      <c r="HM1230" s="839"/>
      <c r="HN1230" s="839"/>
      <c r="HO1230" s="839"/>
      <c r="HP1230" s="839"/>
      <c r="HQ1230" s="839"/>
      <c r="HR1230" s="839"/>
      <c r="HS1230" s="839"/>
      <c r="HT1230" s="839"/>
      <c r="HU1230" s="839"/>
      <c r="HV1230" s="839"/>
      <c r="HW1230" s="839"/>
      <c r="HX1230" s="839"/>
      <c r="HY1230" s="839"/>
      <c r="HZ1230" s="839"/>
      <c r="IA1230" s="839"/>
      <c r="IB1230" s="839"/>
      <c r="IC1230" s="839"/>
      <c r="ID1230" s="839"/>
      <c r="IE1230" s="839"/>
      <c r="IF1230" s="839"/>
      <c r="IG1230" s="839"/>
      <c r="IH1230" s="839"/>
      <c r="II1230" s="839"/>
      <c r="IJ1230" s="839"/>
      <c r="IK1230" s="839"/>
      <c r="IL1230" s="839"/>
      <c r="IM1230" s="839"/>
      <c r="IN1230" s="839"/>
      <c r="IO1230" s="839"/>
      <c r="IP1230" s="839"/>
      <c r="IQ1230" s="839"/>
      <c r="IR1230" s="839"/>
      <c r="IS1230" s="839"/>
      <c r="IT1230" s="839"/>
      <c r="IU1230" s="839"/>
      <c r="IV1230" s="839"/>
      <c r="IW1230" s="839"/>
      <c r="IX1230" s="839"/>
      <c r="IY1230" s="839"/>
      <c r="IZ1230" s="839"/>
      <c r="JA1230" s="839"/>
      <c r="JB1230" s="839"/>
      <c r="JC1230" s="839"/>
      <c r="JD1230" s="839"/>
      <c r="JE1230" s="839"/>
      <c r="JF1230" s="839"/>
      <c r="JG1230" s="839"/>
      <c r="JH1230" s="839"/>
      <c r="JI1230" s="839"/>
      <c r="JJ1230" s="839"/>
      <c r="JK1230" s="839"/>
      <c r="JL1230" s="839"/>
      <c r="JM1230"/>
    </row>
    <row r="1231" spans="1:273">
      <c r="AN1231" s="626"/>
      <c r="AO1231" s="626"/>
      <c r="AP1231" s="626"/>
      <c r="AQ1231" s="626"/>
      <c r="AR1231" s="626"/>
      <c r="AS1231" s="626"/>
      <c r="AT1231" s="626"/>
      <c r="AU1231" s="626"/>
      <c r="AV1231" s="626"/>
      <c r="AW1231" s="626"/>
      <c r="AX1231" s="626"/>
      <c r="AZ1231" s="626"/>
    </row>
    <row r="1232" spans="1:273" s="289" customFormat="1">
      <c r="A1232" s="289" t="s">
        <v>474</v>
      </c>
      <c r="B1232" s="290"/>
      <c r="CE1232" s="328"/>
      <c r="CI1232" s="328"/>
      <c r="CM1232" s="328"/>
      <c r="CN1232" s="1032"/>
      <c r="CQ1232" s="328"/>
      <c r="CR1232" s="290"/>
      <c r="JM1232"/>
    </row>
    <row r="1233" spans="1:273" s="302" customFormat="1">
      <c r="A1233" s="102" t="s">
        <v>915</v>
      </c>
      <c r="B1233" s="103"/>
      <c r="C1233" s="102"/>
      <c r="D1233" s="102"/>
      <c r="E1233" s="102"/>
      <c r="F1233" s="102"/>
      <c r="G1233" s="102"/>
      <c r="H1233" s="102"/>
      <c r="I1233" s="102"/>
      <c r="J1233" s="102"/>
      <c r="K1233" s="102"/>
      <c r="L1233" s="102"/>
      <c r="M1233" s="102"/>
      <c r="N1233" s="102"/>
      <c r="O1233" s="102"/>
      <c r="P1233" s="102"/>
      <c r="Q1233" s="102"/>
      <c r="R1233" s="102"/>
      <c r="S1233" s="102"/>
      <c r="T1233" s="102"/>
      <c r="U1233" s="102"/>
      <c r="V1233" s="102"/>
      <c r="W1233" s="102"/>
      <c r="X1233" s="102"/>
      <c r="Y1233" s="102"/>
      <c r="Z1233" s="102"/>
      <c r="AA1233" s="102"/>
      <c r="AB1233" s="102"/>
      <c r="AC1233" s="102"/>
      <c r="AD1233" s="102"/>
      <c r="AE1233" s="102"/>
      <c r="AF1233" s="102"/>
      <c r="AG1233" s="102"/>
      <c r="AH1233" s="102"/>
      <c r="AI1233" s="102"/>
      <c r="AJ1233" s="102"/>
      <c r="AK1233" s="102"/>
      <c r="AL1233" s="102"/>
      <c r="AM1233" s="102"/>
      <c r="AN1233" s="102"/>
      <c r="AO1233" s="102"/>
      <c r="AP1233" s="102"/>
      <c r="AQ1233" s="102"/>
      <c r="AR1233" s="102"/>
      <c r="AS1233" s="102"/>
      <c r="AT1233" s="102"/>
      <c r="AU1233" s="102"/>
      <c r="AV1233" s="102"/>
      <c r="AW1233" s="102"/>
      <c r="AX1233" s="102"/>
      <c r="AY1233" s="102"/>
      <c r="AZ1233" s="730">
        <v>0.96679999999999999</v>
      </c>
      <c r="BA1233" s="730">
        <v>1.0333000000000001</v>
      </c>
      <c r="BB1233" s="102"/>
      <c r="BC1233" s="102"/>
      <c r="BD1233" s="730">
        <v>0.97309999999999997</v>
      </c>
      <c r="BE1233" s="730">
        <v>1.0401</v>
      </c>
      <c r="BF1233" s="102"/>
      <c r="BG1233" s="102"/>
      <c r="BH1233" s="1986">
        <v>1.0462</v>
      </c>
      <c r="BI1233" s="1986">
        <v>1.0424</v>
      </c>
      <c r="BJ1233" s="102"/>
      <c r="BK1233" s="102"/>
      <c r="BL1233" s="1986">
        <v>0.93120000000000003</v>
      </c>
      <c r="BM1233" s="1986">
        <v>0.90610000000000002</v>
      </c>
      <c r="BN1233" s="102"/>
      <c r="BO1233" s="102"/>
      <c r="BP1233" s="1986">
        <v>0.87468999999999997</v>
      </c>
      <c r="BQ1233" s="1986">
        <v>0.76349999999999996</v>
      </c>
      <c r="BR1233" s="102"/>
      <c r="BS1233" s="102"/>
      <c r="BT1233" s="1986">
        <v>0.70130000000000003</v>
      </c>
      <c r="BU1233" s="1986">
        <v>0.7651</v>
      </c>
      <c r="BV1233" s="371"/>
      <c r="BW1233" s="1987"/>
      <c r="BX1233" s="1986">
        <v>0.76300000000000001</v>
      </c>
      <c r="BY1233" s="1986">
        <v>0.76439999999999997</v>
      </c>
      <c r="BZ1233" s="371"/>
      <c r="CA1233" s="1988"/>
      <c r="CB1233" s="1986">
        <v>0.78390000000000004</v>
      </c>
      <c r="CC1233" s="1986">
        <v>0.76719999999999999</v>
      </c>
      <c r="CD1233" s="371"/>
      <c r="CE1233" s="1989"/>
      <c r="CF1233" s="1986">
        <v>0.72220000000000006</v>
      </c>
      <c r="CG1233" s="1986">
        <v>0.70779999999999998</v>
      </c>
      <c r="CH1233" s="371"/>
      <c r="CI1233" s="1989"/>
      <c r="CJ1233" s="1986">
        <v>0.67490000000000006</v>
      </c>
      <c r="CK1233" s="1986">
        <v>0.61499999999999999</v>
      </c>
      <c r="CL1233" s="371"/>
      <c r="CM1233" s="1989"/>
      <c r="CN1233" s="1990">
        <v>0.71079999999999999</v>
      </c>
      <c r="CO1233" s="1990">
        <v>0.76019999999999999</v>
      </c>
      <c r="CP1233" s="1044"/>
      <c r="CQ1233" s="786"/>
      <c r="CR1233" s="1990">
        <v>0.72060000000000002</v>
      </c>
      <c r="CS1233" s="1990">
        <v>0.74819999999999998</v>
      </c>
      <c r="CT1233" s="1044"/>
      <c r="CU1233" s="786"/>
      <c r="CV1233" s="1990">
        <v>0.6502</v>
      </c>
      <c r="CW1233" s="1990">
        <v>0.67120000000000002</v>
      </c>
      <c r="CX1233" s="1044"/>
      <c r="CY1233" s="641"/>
      <c r="CZ1233" s="1990">
        <v>0.64580000000000004</v>
      </c>
      <c r="DA1233" s="1990">
        <v>0.6532</v>
      </c>
      <c r="DB1233" s="1044"/>
      <c r="DC1233" s="2097"/>
      <c r="DD1233" s="1990">
        <v>0.69320000000000004</v>
      </c>
      <c r="DE1233" s="1990">
        <v>0.628</v>
      </c>
      <c r="DF1233" s="1044"/>
      <c r="DG1233" s="2097"/>
      <c r="DH1233" s="1990">
        <v>0.66020000000000001</v>
      </c>
      <c r="DI1233" s="1033">
        <f>DH1233</f>
        <v>0.66020000000000001</v>
      </c>
      <c r="DJ1233" s="1033"/>
      <c r="DK1233" s="647"/>
      <c r="DL1233" s="1033">
        <f>DI1233</f>
        <v>0.66020000000000001</v>
      </c>
      <c r="DM1233" s="1033">
        <f>DL1233</f>
        <v>0.66020000000000001</v>
      </c>
      <c r="DN1233" s="1033"/>
      <c r="DO1233" s="647"/>
      <c r="DP1233" s="1033">
        <f>DM1233</f>
        <v>0.66020000000000001</v>
      </c>
      <c r="DQ1233" s="1033">
        <f>DP1233</f>
        <v>0.66020000000000001</v>
      </c>
      <c r="DR1233" s="1033"/>
      <c r="DS1233" s="647"/>
      <c r="DT1233" s="647"/>
      <c r="DU1233" s="1033"/>
      <c r="DV1233" s="1033"/>
      <c r="DW1233" s="1033"/>
      <c r="DX1233" s="647"/>
      <c r="DY1233" s="647"/>
      <c r="DZ1233" s="1033"/>
      <c r="EA1233" s="1033"/>
      <c r="EB1233" s="647"/>
      <c r="EC1233" s="647"/>
      <c r="ED1233" s="1033"/>
      <c r="EE1233" s="1033"/>
      <c r="EF1233" s="647"/>
      <c r="FL1233" s="102"/>
      <c r="FM1233" s="102"/>
      <c r="FN1233" s="102"/>
      <c r="FO1233" s="102"/>
      <c r="FP1233" s="102"/>
      <c r="FQ1233" s="102"/>
      <c r="FR1233" s="102"/>
      <c r="FS1233" s="102"/>
      <c r="FT1233" s="102"/>
      <c r="FU1233" s="102"/>
      <c r="FV1233" s="102"/>
      <c r="FW1233" s="102"/>
      <c r="FX1233" s="102"/>
      <c r="FY1233" s="102"/>
      <c r="FZ1233" s="102"/>
      <c r="GA1233" s="102"/>
      <c r="GB1233" s="102"/>
      <c r="GC1233" s="102"/>
      <c r="GD1233" s="102"/>
      <c r="GE1233" s="102"/>
      <c r="GF1233" s="102"/>
      <c r="GG1233" s="102"/>
      <c r="GH1233" s="102"/>
      <c r="GI1233" s="102"/>
      <c r="GJ1233" s="102"/>
      <c r="GK1233" s="102"/>
      <c r="GL1233" s="102"/>
      <c r="GM1233" s="102"/>
      <c r="GN1233" s="102"/>
      <c r="GO1233" s="102"/>
      <c r="GP1233" s="102"/>
      <c r="GQ1233" s="102"/>
      <c r="GR1233" s="102"/>
      <c r="GS1233" s="102"/>
      <c r="GT1233" s="102"/>
      <c r="GU1233" s="102"/>
      <c r="GV1233" s="102"/>
      <c r="GW1233" s="102"/>
      <c r="GX1233" s="102"/>
      <c r="GY1233" s="102"/>
      <c r="GZ1233" s="102"/>
      <c r="HA1233" s="102"/>
      <c r="HB1233" s="102"/>
      <c r="HC1233" s="102"/>
      <c r="HD1233" s="102"/>
      <c r="HE1233" s="102"/>
      <c r="HF1233" s="102"/>
      <c r="HG1233" s="102"/>
      <c r="HH1233" s="102"/>
      <c r="HI1233" s="102"/>
      <c r="HJ1233" s="102"/>
      <c r="HK1233" s="102"/>
      <c r="HL1233" s="102"/>
      <c r="HM1233" s="102"/>
      <c r="HN1233" s="102"/>
      <c r="HO1233" s="102"/>
      <c r="HP1233" s="102"/>
      <c r="HQ1233" s="102"/>
      <c r="HR1233" s="102"/>
      <c r="HS1233" s="102"/>
      <c r="HT1233" s="102"/>
      <c r="HU1233" s="102"/>
      <c r="HV1233" s="102"/>
      <c r="HW1233" s="102"/>
      <c r="HX1233" s="102"/>
      <c r="HY1233" s="102"/>
      <c r="HZ1233" s="102"/>
      <c r="IA1233" s="102"/>
      <c r="IB1233" s="102"/>
      <c r="IC1233" s="102"/>
      <c r="ID1233" s="102"/>
      <c r="IE1233" s="102"/>
      <c r="IF1233" s="102"/>
      <c r="IG1233" s="102"/>
      <c r="IH1233" s="102"/>
      <c r="II1233" s="102"/>
      <c r="IJ1233" s="102"/>
      <c r="IK1233" s="102"/>
      <c r="IL1233" s="102"/>
      <c r="IM1233" s="102"/>
      <c r="IN1233" s="102"/>
      <c r="IO1233" s="102"/>
      <c r="IP1233" s="102"/>
      <c r="IQ1233" s="102"/>
      <c r="IR1233" s="102"/>
      <c r="IS1233" s="102"/>
      <c r="IT1233" s="102"/>
      <c r="IU1233" s="102"/>
      <c r="IV1233" s="102"/>
      <c r="IW1233" s="102"/>
      <c r="IX1233" s="102"/>
      <c r="IY1233" s="102"/>
      <c r="IZ1233" s="102"/>
      <c r="JA1233" s="102"/>
      <c r="JB1233" s="102"/>
      <c r="JC1233" s="102"/>
      <c r="JD1233" s="102"/>
      <c r="JE1233" s="102"/>
      <c r="JF1233" s="102"/>
      <c r="JG1233" s="102"/>
      <c r="JH1233" s="102"/>
      <c r="JI1233" s="102"/>
      <c r="JJ1233" s="102"/>
      <c r="JK1233" s="102"/>
      <c r="JL1233" s="102"/>
      <c r="JM1233"/>
    </row>
    <row r="1234" spans="1:273" s="302" customFormat="1">
      <c r="A1234" s="102" t="s">
        <v>916</v>
      </c>
      <c r="B1234" s="103"/>
      <c r="C1234" s="102"/>
      <c r="D1234" s="102"/>
      <c r="E1234" s="102"/>
      <c r="F1234" s="102"/>
      <c r="G1234" s="102"/>
      <c r="H1234" s="102"/>
      <c r="I1234" s="102"/>
      <c r="J1234" s="102"/>
      <c r="K1234" s="102"/>
      <c r="L1234" s="102"/>
      <c r="M1234" s="102"/>
      <c r="N1234" s="102"/>
      <c r="O1234" s="102"/>
      <c r="P1234" s="102"/>
      <c r="Q1234" s="102"/>
      <c r="R1234" s="102"/>
      <c r="S1234" s="102"/>
      <c r="T1234" s="102"/>
      <c r="U1234" s="102"/>
      <c r="V1234" s="102"/>
      <c r="W1234" s="102"/>
      <c r="X1234" s="102"/>
      <c r="Y1234" s="102"/>
      <c r="Z1234" s="102"/>
      <c r="AA1234" s="102"/>
      <c r="AB1234" s="102"/>
      <c r="AC1234" s="102"/>
      <c r="AD1234" s="102"/>
      <c r="AE1234" s="102"/>
      <c r="AF1234" s="102"/>
      <c r="AG1234" s="102"/>
      <c r="AH1234" s="102"/>
      <c r="AI1234" s="102"/>
      <c r="AJ1234" s="102"/>
      <c r="AK1234" s="102"/>
      <c r="AL1234" s="102"/>
      <c r="AM1234" s="102"/>
      <c r="AN1234" s="102"/>
      <c r="AO1234" s="102"/>
      <c r="AP1234" s="102"/>
      <c r="AQ1234" s="102"/>
      <c r="AR1234" s="102"/>
      <c r="AS1234" s="102"/>
      <c r="AT1234" s="102"/>
      <c r="AU1234" s="102"/>
      <c r="AV1234" s="102"/>
      <c r="AW1234" s="102"/>
      <c r="AX1234" s="102"/>
      <c r="AY1234" s="102"/>
      <c r="AZ1234" s="102"/>
      <c r="BA1234" s="102"/>
      <c r="BB1234" s="102"/>
      <c r="BC1234" s="102"/>
      <c r="BD1234" s="102"/>
      <c r="BE1234" s="102"/>
      <c r="BF1234" s="102"/>
      <c r="BG1234" s="102"/>
      <c r="BH1234" s="1986">
        <v>0.64370000000000005</v>
      </c>
      <c r="BI1234" s="1986">
        <v>0.68859999999999999</v>
      </c>
      <c r="BJ1234" s="102"/>
      <c r="BK1234" s="102"/>
      <c r="BL1234" s="1986">
        <v>0.57599999999999996</v>
      </c>
      <c r="BM1234" s="1986">
        <v>0.5492180870408534</v>
      </c>
      <c r="BN1234" s="102"/>
      <c r="BO1234" s="102"/>
      <c r="BP1234" s="1986">
        <v>0.53940999999999995</v>
      </c>
      <c r="BQ1234" s="1986">
        <v>0.51670000000000005</v>
      </c>
      <c r="BR1234" s="102"/>
      <c r="BS1234" s="102"/>
      <c r="BT1234" s="1986">
        <v>0.46250000000000002</v>
      </c>
      <c r="BU1234" s="1986">
        <v>0.53349999999999997</v>
      </c>
      <c r="BV1234" s="371"/>
      <c r="BW1234" s="1987"/>
      <c r="BX1234" s="1986">
        <v>0.58624663849404535</v>
      </c>
      <c r="BY1234" s="1986">
        <v>0.60970000000000002</v>
      </c>
      <c r="BZ1234" s="371"/>
      <c r="CA1234" s="1988"/>
      <c r="CB1234" s="1986">
        <v>0.58491269959707504</v>
      </c>
      <c r="CC1234" s="1986">
        <v>0.54793000000000003</v>
      </c>
      <c r="CD1234" s="371"/>
      <c r="CE1234" s="1989"/>
      <c r="CF1234" s="1986">
        <v>0.55328277024438821</v>
      </c>
      <c r="CG1234" s="1986">
        <v>0.54793000000000003</v>
      </c>
      <c r="CH1234" s="371"/>
      <c r="CI1234" s="1989"/>
      <c r="CJ1234" s="1986">
        <v>0.54816439246263804</v>
      </c>
      <c r="CK1234" s="1986">
        <v>0.54816439246263804</v>
      </c>
      <c r="CL1234" s="371"/>
      <c r="CM1234" s="1989"/>
      <c r="CN1234" s="1990">
        <v>0.60614846714706005</v>
      </c>
      <c r="CO1234" s="1990">
        <v>0.646813579511614</v>
      </c>
      <c r="CP1234" s="1044"/>
      <c r="CQ1234" s="786"/>
      <c r="CR1234" s="1990">
        <v>0.62176970533672726</v>
      </c>
      <c r="CS1234" s="1990">
        <v>0.67244865860782821</v>
      </c>
      <c r="CT1234" s="1044"/>
      <c r="CU1234" s="786"/>
      <c r="CV1234" s="1990">
        <v>0.66370642576430361</v>
      </c>
      <c r="CW1234" s="1990">
        <v>0.6177918910212159</v>
      </c>
      <c r="CX1234" s="1044"/>
      <c r="CY1234" s="641"/>
      <c r="CZ1234" s="1990">
        <v>0.60996458087367178</v>
      </c>
      <c r="DA1234" s="1990">
        <v>0.60481481481481481</v>
      </c>
      <c r="DB1234" s="1044"/>
      <c r="DC1234" s="2097"/>
      <c r="DD1234" s="1990">
        <v>0.62111912548720938</v>
      </c>
      <c r="DE1234" s="1990">
        <v>0.58137381966302537</v>
      </c>
      <c r="DF1234" s="1044"/>
      <c r="DG1234" s="2097"/>
      <c r="DH1234" s="1990">
        <v>0.56187234042553191</v>
      </c>
      <c r="DI1234" s="1033">
        <f>DH1234</f>
        <v>0.56187234042553191</v>
      </c>
      <c r="DJ1234" s="1033"/>
      <c r="DK1234" s="647"/>
      <c r="DL1234" s="1033">
        <f>DI1234</f>
        <v>0.56187234042553191</v>
      </c>
      <c r="DM1234" s="1033">
        <f>DL1234</f>
        <v>0.56187234042553191</v>
      </c>
      <c r="DN1234" s="1033"/>
      <c r="DO1234" s="647"/>
      <c r="DP1234" s="1033">
        <f>DM1234</f>
        <v>0.56187234042553191</v>
      </c>
      <c r="DQ1234" s="1033">
        <f>DP1234</f>
        <v>0.56187234042553191</v>
      </c>
      <c r="DR1234" s="1033"/>
      <c r="DS1234" s="647"/>
      <c r="DT1234" s="647"/>
      <c r="DU1234" s="1033"/>
      <c r="DV1234" s="1033"/>
      <c r="DW1234" s="1033"/>
      <c r="DX1234" s="647"/>
      <c r="DY1234" s="647"/>
      <c r="DZ1234" s="1033"/>
      <c r="EA1234" s="1033"/>
      <c r="EB1234" s="647"/>
      <c r="EC1234" s="647"/>
      <c r="ED1234" s="1033"/>
      <c r="EE1234" s="1033"/>
      <c r="EF1234" s="647"/>
      <c r="FL1234" s="102"/>
      <c r="FM1234" s="102"/>
      <c r="FN1234" s="102"/>
      <c r="FO1234" s="102"/>
      <c r="FP1234" s="102"/>
      <c r="FQ1234" s="102"/>
      <c r="FR1234" s="102"/>
      <c r="FS1234" s="102"/>
      <c r="FT1234" s="102"/>
      <c r="FU1234" s="102"/>
      <c r="FV1234" s="102"/>
      <c r="FW1234" s="102"/>
      <c r="FX1234" s="102"/>
      <c r="FY1234" s="102"/>
      <c r="FZ1234" s="102"/>
      <c r="GA1234" s="102"/>
      <c r="GB1234" s="102"/>
      <c r="GC1234" s="102"/>
      <c r="GD1234" s="102"/>
      <c r="GE1234" s="102"/>
      <c r="GF1234" s="102"/>
      <c r="GG1234" s="102"/>
      <c r="GH1234" s="102"/>
      <c r="GI1234" s="102"/>
      <c r="GJ1234" s="102"/>
      <c r="GK1234" s="102"/>
      <c r="GL1234" s="102"/>
      <c r="GM1234" s="102"/>
      <c r="GN1234" s="102"/>
      <c r="GO1234" s="102"/>
      <c r="GP1234" s="102"/>
      <c r="GQ1234" s="102"/>
      <c r="GR1234" s="102"/>
      <c r="GS1234" s="102"/>
      <c r="GT1234" s="102"/>
      <c r="GU1234" s="102"/>
      <c r="GV1234" s="102"/>
      <c r="GW1234" s="102"/>
      <c r="GX1234" s="102"/>
      <c r="GY1234" s="102"/>
      <c r="GZ1234" s="102"/>
      <c r="HA1234" s="102"/>
      <c r="HB1234" s="102"/>
      <c r="HC1234" s="102"/>
      <c r="HD1234" s="102"/>
      <c r="HE1234" s="102"/>
      <c r="HF1234" s="102"/>
      <c r="HG1234" s="102"/>
      <c r="HH1234" s="102"/>
      <c r="HI1234" s="102"/>
      <c r="HJ1234" s="102"/>
      <c r="HK1234" s="102"/>
      <c r="HL1234" s="102"/>
      <c r="HM1234" s="102"/>
      <c r="HN1234" s="102"/>
      <c r="HO1234" s="102"/>
      <c r="HP1234" s="102"/>
      <c r="HQ1234" s="102"/>
      <c r="HR1234" s="102"/>
      <c r="HS1234" s="102"/>
      <c r="HT1234" s="102"/>
      <c r="HU1234" s="102"/>
      <c r="HV1234" s="102"/>
      <c r="HW1234" s="102"/>
      <c r="HX1234" s="102"/>
      <c r="HY1234" s="102"/>
      <c r="HZ1234" s="102"/>
      <c r="IA1234" s="102"/>
      <c r="IB1234" s="102"/>
      <c r="IC1234" s="102"/>
      <c r="ID1234" s="102"/>
      <c r="IE1234" s="102"/>
      <c r="IF1234" s="102"/>
      <c r="IG1234" s="102"/>
      <c r="IH1234" s="102"/>
      <c r="II1234" s="102"/>
      <c r="IJ1234" s="102"/>
      <c r="IK1234" s="102"/>
      <c r="IL1234" s="102"/>
      <c r="IM1234" s="102"/>
      <c r="IN1234" s="102"/>
      <c r="IO1234" s="102"/>
      <c r="IP1234" s="102"/>
      <c r="IQ1234" s="102"/>
      <c r="IR1234" s="102"/>
      <c r="IS1234" s="102"/>
      <c r="IT1234" s="102"/>
      <c r="IU1234" s="102"/>
      <c r="IV1234" s="102"/>
      <c r="IW1234" s="102"/>
      <c r="IX1234" s="102"/>
      <c r="IY1234" s="102"/>
      <c r="IZ1234" s="102"/>
      <c r="JA1234" s="102"/>
      <c r="JB1234" s="102"/>
      <c r="JC1234" s="102"/>
      <c r="JD1234" s="102"/>
      <c r="JE1234" s="102"/>
      <c r="JF1234" s="102"/>
      <c r="JG1234" s="102"/>
      <c r="JH1234" s="102"/>
      <c r="JI1234" s="102"/>
      <c r="JJ1234" s="102"/>
      <c r="JK1234" s="102"/>
      <c r="JL1234" s="102"/>
      <c r="JM1234"/>
    </row>
    <row r="1235" spans="1:273" s="302" customFormat="1">
      <c r="A1235" s="102" t="s">
        <v>861</v>
      </c>
      <c r="B1235" s="103"/>
      <c r="C1235" s="102"/>
      <c r="D1235" s="102"/>
      <c r="E1235" s="102"/>
      <c r="F1235" s="102"/>
      <c r="G1235" s="102"/>
      <c r="H1235" s="102"/>
      <c r="I1235" s="102"/>
      <c r="J1235" s="102"/>
      <c r="K1235" s="102"/>
      <c r="L1235" s="102"/>
      <c r="M1235" s="102"/>
      <c r="N1235" s="102"/>
      <c r="O1235" s="102"/>
      <c r="P1235" s="102"/>
      <c r="Q1235" s="102"/>
      <c r="R1235" s="102"/>
      <c r="S1235" s="102"/>
      <c r="T1235" s="102"/>
      <c r="U1235" s="102"/>
      <c r="V1235" s="102"/>
      <c r="W1235" s="102"/>
      <c r="X1235" s="102"/>
      <c r="Y1235" s="102"/>
      <c r="Z1235" s="102"/>
      <c r="AA1235" s="102"/>
      <c r="AB1235" s="102"/>
      <c r="AC1235" s="102"/>
      <c r="AD1235" s="102"/>
      <c r="AE1235" s="102"/>
      <c r="AF1235" s="102"/>
      <c r="AG1235" s="102"/>
      <c r="AH1235" s="102"/>
      <c r="AI1235" s="102"/>
      <c r="AJ1235" s="102"/>
      <c r="AK1235" s="102"/>
      <c r="AL1235" s="102"/>
      <c r="AM1235" s="102"/>
      <c r="AN1235" s="102"/>
      <c r="AO1235" s="102"/>
      <c r="AP1235" s="102"/>
      <c r="AQ1235" s="102"/>
      <c r="AR1235" s="102"/>
      <c r="AS1235" s="102"/>
      <c r="AT1235" s="102"/>
      <c r="AU1235" s="102"/>
      <c r="AV1235" s="102"/>
      <c r="AW1235" s="102"/>
      <c r="AX1235" s="102"/>
      <c r="AY1235" s="102"/>
      <c r="AZ1235" s="102"/>
      <c r="BA1235" s="102"/>
      <c r="BB1235" s="102"/>
      <c r="BC1235" s="102"/>
      <c r="BD1235" s="102"/>
      <c r="BE1235" s="102"/>
      <c r="BF1235" s="102"/>
      <c r="BG1235" s="102"/>
      <c r="BH1235" s="1986">
        <v>0.80920000000000003</v>
      </c>
      <c r="BI1235" s="1986">
        <v>0.81520000000000004</v>
      </c>
      <c r="BJ1235" s="102"/>
      <c r="BK1235" s="102"/>
      <c r="BL1235" s="1986">
        <v>0.68959999999999999</v>
      </c>
      <c r="BM1235" s="1986">
        <v>0.65742789769635401</v>
      </c>
      <c r="BN1235" s="102"/>
      <c r="BO1235" s="102"/>
      <c r="BP1235" s="1986">
        <v>0.69255999999999995</v>
      </c>
      <c r="BQ1235" s="1986">
        <v>0.70569999999999999</v>
      </c>
      <c r="BR1235" s="102"/>
      <c r="BS1235" s="102"/>
      <c r="BT1235" s="1986">
        <v>0.62290000000000001</v>
      </c>
      <c r="BU1235" s="1986">
        <v>0.67600000000000005</v>
      </c>
      <c r="BV1235" s="371"/>
      <c r="BW1235" s="1987"/>
      <c r="BX1235" s="1986">
        <v>0.67894643174942149</v>
      </c>
      <c r="BY1235" s="1986">
        <v>0.7147</v>
      </c>
      <c r="BZ1235" s="371"/>
      <c r="CA1235" s="1988"/>
      <c r="CB1235" s="1986">
        <v>0.66308577228895271</v>
      </c>
      <c r="CC1235" s="1986">
        <v>0.62429999999999997</v>
      </c>
      <c r="CD1235" s="371"/>
      <c r="CE1235" s="1989"/>
      <c r="CF1235" s="1986">
        <v>0.62178217821782178</v>
      </c>
      <c r="CG1235" s="1986">
        <v>0.63116177583826871</v>
      </c>
      <c r="CH1235" s="371"/>
      <c r="CI1235" s="1989"/>
      <c r="CJ1235" s="1986">
        <v>0.61906072280315538</v>
      </c>
      <c r="CK1235" s="1986">
        <v>0.61906072280315538</v>
      </c>
      <c r="CL1235" s="371"/>
      <c r="CM1235" s="1989"/>
      <c r="CN1235" s="1990">
        <v>1.1023000000000001</v>
      </c>
      <c r="CO1235" s="1990">
        <v>1.1738999999999999</v>
      </c>
      <c r="CP1235" s="1044"/>
      <c r="CQ1235" s="786"/>
      <c r="CR1235" s="1990">
        <v>1.1635</v>
      </c>
      <c r="CS1235" s="1990">
        <v>1.1835</v>
      </c>
      <c r="CT1235" s="1044"/>
      <c r="CU1235" s="786"/>
      <c r="CV1235" s="1990">
        <v>1.1404000000000001</v>
      </c>
      <c r="CW1235" s="1990">
        <v>1.1375</v>
      </c>
      <c r="CX1235" s="1044"/>
      <c r="CY1235" s="641"/>
      <c r="CZ1235" s="1990">
        <v>1.1528</v>
      </c>
      <c r="DA1235" s="1990">
        <v>1.1694</v>
      </c>
      <c r="DB1235" s="1044"/>
      <c r="DC1235" s="2097"/>
      <c r="DD1235" s="1990">
        <v>1.202</v>
      </c>
      <c r="DE1235" s="1990">
        <v>1.1951000000000001</v>
      </c>
      <c r="DF1235" s="1044"/>
      <c r="DG1235" s="2097"/>
      <c r="DH1235" s="1990">
        <v>1.1457999999999999</v>
      </c>
      <c r="DI1235" s="1033">
        <f>DH1235</f>
        <v>1.1457999999999999</v>
      </c>
      <c r="DJ1235" s="1033"/>
      <c r="DK1235" s="647"/>
      <c r="DL1235" s="1033">
        <f>DI1235</f>
        <v>1.1457999999999999</v>
      </c>
      <c r="DM1235" s="1033">
        <f>DL1235</f>
        <v>1.1457999999999999</v>
      </c>
      <c r="DN1235" s="1033"/>
      <c r="DO1235" s="647"/>
      <c r="DP1235" s="1033">
        <f>DM1235</f>
        <v>1.1457999999999999</v>
      </c>
      <c r="DQ1235" s="1033">
        <f>DP1235</f>
        <v>1.1457999999999999</v>
      </c>
      <c r="DR1235" s="1033"/>
      <c r="DS1235" s="647"/>
      <c r="DT1235" s="647"/>
      <c r="DU1235" s="1033"/>
      <c r="DV1235" s="1033"/>
      <c r="DW1235" s="1033"/>
      <c r="DX1235" s="647"/>
      <c r="DY1235" s="647"/>
      <c r="DZ1235" s="1033"/>
      <c r="EA1235" s="1033"/>
      <c r="EB1235" s="647"/>
      <c r="EC1235" s="647"/>
      <c r="ED1235" s="1033"/>
      <c r="EE1235" s="1033"/>
      <c r="EF1235" s="647"/>
      <c r="FL1235" s="102"/>
      <c r="FM1235" s="102"/>
      <c r="FN1235" s="102"/>
      <c r="FO1235" s="102"/>
      <c r="FP1235" s="102"/>
      <c r="FQ1235" s="102"/>
      <c r="FR1235" s="102"/>
      <c r="FS1235" s="102"/>
      <c r="FT1235" s="102"/>
      <c r="FU1235" s="102"/>
      <c r="FV1235" s="102"/>
      <c r="FW1235" s="102"/>
      <c r="FX1235" s="102"/>
      <c r="FY1235" s="102"/>
      <c r="FZ1235" s="102"/>
      <c r="GA1235" s="102"/>
      <c r="GB1235" s="102"/>
      <c r="GC1235" s="102"/>
      <c r="GD1235" s="102"/>
      <c r="GE1235" s="102"/>
      <c r="GF1235" s="102"/>
      <c r="GG1235" s="102"/>
      <c r="GH1235" s="102"/>
      <c r="GI1235" s="102"/>
      <c r="GJ1235" s="102"/>
      <c r="GK1235" s="102"/>
      <c r="GL1235" s="102"/>
      <c r="GM1235" s="102"/>
      <c r="GN1235" s="102"/>
      <c r="GO1235" s="102"/>
      <c r="GP1235" s="102"/>
      <c r="GQ1235" s="102"/>
      <c r="GR1235" s="102"/>
      <c r="GS1235" s="102"/>
      <c r="GT1235" s="102"/>
      <c r="GU1235" s="102"/>
      <c r="GV1235" s="102"/>
      <c r="GW1235" s="102"/>
      <c r="GX1235" s="102"/>
      <c r="GY1235" s="102"/>
      <c r="GZ1235" s="102"/>
      <c r="HA1235" s="102"/>
      <c r="HB1235" s="102"/>
      <c r="HC1235" s="102"/>
      <c r="HD1235" s="102"/>
      <c r="HE1235" s="102"/>
      <c r="HF1235" s="102"/>
      <c r="HG1235" s="102"/>
      <c r="HH1235" s="102"/>
      <c r="HI1235" s="102"/>
      <c r="HJ1235" s="102"/>
      <c r="HK1235" s="102"/>
      <c r="HL1235" s="102"/>
      <c r="HM1235" s="102"/>
      <c r="HN1235" s="102"/>
      <c r="HO1235" s="102"/>
      <c r="HP1235" s="102"/>
      <c r="HQ1235" s="102"/>
      <c r="HR1235" s="102"/>
      <c r="HS1235" s="102"/>
      <c r="HT1235" s="102"/>
      <c r="HU1235" s="102"/>
      <c r="HV1235" s="102"/>
      <c r="HW1235" s="102"/>
      <c r="HX1235" s="102"/>
      <c r="HY1235" s="102"/>
      <c r="HZ1235" s="102"/>
      <c r="IA1235" s="102"/>
      <c r="IB1235" s="102"/>
      <c r="IC1235" s="102"/>
      <c r="ID1235" s="102"/>
      <c r="IE1235" s="102"/>
      <c r="IF1235" s="102"/>
      <c r="IG1235" s="102"/>
      <c r="IH1235" s="102"/>
      <c r="II1235" s="102"/>
      <c r="IJ1235" s="102"/>
      <c r="IK1235" s="102"/>
      <c r="IL1235" s="102"/>
      <c r="IM1235" s="102"/>
      <c r="IN1235" s="102"/>
      <c r="IO1235" s="102"/>
      <c r="IP1235" s="102"/>
      <c r="IQ1235" s="102"/>
      <c r="IR1235" s="102"/>
      <c r="IS1235" s="102"/>
      <c r="IT1235" s="102"/>
      <c r="IU1235" s="102"/>
      <c r="IV1235" s="102"/>
      <c r="IW1235" s="102"/>
      <c r="IX1235" s="102"/>
      <c r="IY1235" s="102"/>
      <c r="IZ1235" s="102"/>
      <c r="JA1235" s="102"/>
      <c r="JB1235" s="102"/>
      <c r="JC1235" s="102"/>
      <c r="JD1235" s="102"/>
      <c r="JE1235" s="102"/>
      <c r="JF1235" s="102"/>
      <c r="JG1235" s="102"/>
      <c r="JH1235" s="102"/>
      <c r="JI1235" s="102"/>
      <c r="JJ1235" s="102"/>
      <c r="JK1235" s="102"/>
      <c r="JL1235" s="102"/>
      <c r="JM1235"/>
    </row>
    <row r="1236" spans="1:273" s="302" customFormat="1">
      <c r="A1236" s="102" t="s">
        <v>866</v>
      </c>
      <c r="B1236" s="103"/>
      <c r="C1236" s="102"/>
      <c r="D1236" s="102"/>
      <c r="E1236" s="102"/>
      <c r="F1236" s="102"/>
      <c r="G1236" s="102"/>
      <c r="H1236" s="102"/>
      <c r="I1236" s="102"/>
      <c r="J1236" s="102"/>
      <c r="K1236" s="102"/>
      <c r="L1236" s="102"/>
      <c r="M1236" s="102"/>
      <c r="N1236" s="102"/>
      <c r="O1236" s="102"/>
      <c r="P1236" s="102"/>
      <c r="Q1236" s="102"/>
      <c r="R1236" s="102"/>
      <c r="S1236" s="102"/>
      <c r="T1236" s="102"/>
      <c r="U1236" s="102"/>
      <c r="V1236" s="102"/>
      <c r="W1236" s="102"/>
      <c r="X1236" s="102"/>
      <c r="Y1236" s="102"/>
      <c r="Z1236" s="102"/>
      <c r="AA1236" s="102"/>
      <c r="AB1236" s="102"/>
      <c r="AC1236" s="102"/>
      <c r="AD1236" s="102"/>
      <c r="AE1236" s="102"/>
      <c r="AF1236" s="102"/>
      <c r="AG1236" s="102"/>
      <c r="AH1236" s="102"/>
      <c r="AI1236" s="102"/>
      <c r="AJ1236" s="102"/>
      <c r="AK1236" s="102"/>
      <c r="AL1236" s="102"/>
      <c r="AM1236" s="102"/>
      <c r="AN1236" s="102"/>
      <c r="AO1236" s="102"/>
      <c r="AP1236" s="102"/>
      <c r="AQ1236" s="102"/>
      <c r="AR1236" s="102"/>
      <c r="AS1236" s="102"/>
      <c r="AT1236" s="102"/>
      <c r="AU1236" s="102"/>
      <c r="AV1236" s="102"/>
      <c r="AW1236" s="102"/>
      <c r="AX1236" s="102"/>
      <c r="AY1236" s="102"/>
      <c r="AZ1236" s="102"/>
      <c r="BA1236" s="102"/>
      <c r="BB1236" s="102"/>
      <c r="BC1236" s="102"/>
      <c r="BD1236" s="102"/>
      <c r="BE1236" s="102"/>
      <c r="BF1236" s="102"/>
      <c r="BG1236" s="102"/>
      <c r="BH1236" s="1986"/>
      <c r="BI1236" s="1986"/>
      <c r="BJ1236" s="102"/>
      <c r="BK1236" s="102"/>
      <c r="BL1236" s="1986">
        <v>7.2</v>
      </c>
      <c r="BM1236" s="1986">
        <v>7.0295691050000011</v>
      </c>
      <c r="BN1236" s="102"/>
      <c r="BO1236" s="102"/>
      <c r="BP1236" s="1986">
        <v>6.7917800000000002</v>
      </c>
      <c r="BQ1236" s="1986">
        <v>5.9390000000000001</v>
      </c>
      <c r="BR1236" s="102"/>
      <c r="BS1236" s="102"/>
      <c r="BT1236" s="1986">
        <v>5.45</v>
      </c>
      <c r="BU1236" s="1986">
        <v>5.9474999999999998</v>
      </c>
      <c r="BV1236" s="371"/>
      <c r="BW1236" s="1991"/>
      <c r="BX1236" s="1986">
        <v>5.9180187500000008</v>
      </c>
      <c r="BY1236" s="1986">
        <v>5.9401000000000002</v>
      </c>
      <c r="BZ1236" s="371"/>
      <c r="CA1236" s="1988"/>
      <c r="CB1236" s="1986">
        <v>6.1232388750000002</v>
      </c>
      <c r="CC1236" s="1986">
        <v>6.0166000000000004</v>
      </c>
      <c r="CD1236" s="371"/>
      <c r="CE1236" s="1989"/>
      <c r="CF1236" s="1986">
        <v>5.6534177100000012</v>
      </c>
      <c r="CG1236" s="1986">
        <v>5.56322413</v>
      </c>
      <c r="CH1236" s="371"/>
      <c r="CI1236" s="1989"/>
      <c r="CJ1236" s="1986">
        <v>5.2903386300000008</v>
      </c>
      <c r="CK1236" s="1986">
        <v>5.2903386300000008</v>
      </c>
      <c r="CL1236" s="371"/>
      <c r="CM1236" s="1989"/>
      <c r="CN1236" s="1990">
        <v>5.5087000000000002</v>
      </c>
      <c r="CO1236" s="1990">
        <v>5.9098328100000002</v>
      </c>
      <c r="CP1236" s="1044"/>
      <c r="CQ1236" s="786"/>
      <c r="CR1236" s="1990">
        <v>5.6106636600000002</v>
      </c>
      <c r="CS1236" s="1990">
        <v>5.8600520400000002</v>
      </c>
      <c r="CT1236" s="1044"/>
      <c r="CU1236" s="786"/>
      <c r="CV1236" s="1990">
        <v>5.10400498</v>
      </c>
      <c r="CW1236" s="1990">
        <v>5.2687857600000001</v>
      </c>
      <c r="CX1236" s="1044"/>
      <c r="CY1236" s="641"/>
      <c r="CZ1236" s="1990">
        <v>5.0571629300000005</v>
      </c>
      <c r="DA1236" s="1990">
        <v>5.1116492599999992</v>
      </c>
      <c r="DB1236" s="1044"/>
      <c r="DC1236" s="2097"/>
      <c r="DD1236" s="1990">
        <v>5.3880702999999999</v>
      </c>
      <c r="DE1236" s="1990">
        <v>4.8860598000000008</v>
      </c>
      <c r="DF1236" s="1044"/>
      <c r="DG1236" s="2097"/>
      <c r="DH1236" s="1990">
        <v>5.1382045600000001</v>
      </c>
      <c r="DI1236" s="1033">
        <f>DH1236</f>
        <v>5.1382045600000001</v>
      </c>
      <c r="DJ1236" s="1033"/>
      <c r="DK1236" s="647"/>
      <c r="DL1236" s="1033">
        <f>DI1236</f>
        <v>5.1382045600000001</v>
      </c>
      <c r="DM1236" s="1033">
        <f>DL1236</f>
        <v>5.1382045600000001</v>
      </c>
      <c r="DN1236" s="1033"/>
      <c r="DO1236" s="647"/>
      <c r="DP1236" s="1033">
        <f>DM1236</f>
        <v>5.1382045600000001</v>
      </c>
      <c r="DQ1236" s="1033">
        <f>DP1236</f>
        <v>5.1382045600000001</v>
      </c>
      <c r="DR1236" s="1033"/>
      <c r="DS1236" s="647"/>
      <c r="DT1236" s="647"/>
      <c r="DU1236" s="1033"/>
      <c r="DV1236" s="1033"/>
      <c r="DW1236" s="1033"/>
      <c r="DX1236" s="647"/>
      <c r="DY1236" s="647"/>
      <c r="DZ1236" s="1033"/>
      <c r="EA1236" s="1033"/>
      <c r="EB1236" s="647"/>
      <c r="EC1236" s="647"/>
      <c r="ED1236" s="1033"/>
      <c r="EE1236" s="1033"/>
      <c r="EF1236" s="647"/>
      <c r="FL1236" s="102"/>
      <c r="FM1236" s="102"/>
      <c r="FN1236" s="102"/>
      <c r="FO1236" s="102"/>
      <c r="FP1236" s="102"/>
      <c r="FQ1236" s="102"/>
      <c r="FR1236" s="102"/>
      <c r="FS1236" s="102"/>
      <c r="FT1236" s="102"/>
      <c r="FU1236" s="102"/>
      <c r="FV1236" s="102"/>
      <c r="FW1236" s="102"/>
      <c r="FX1236" s="102"/>
      <c r="FY1236" s="102"/>
      <c r="FZ1236" s="102"/>
      <c r="GA1236" s="102"/>
      <c r="GB1236" s="102"/>
      <c r="GC1236" s="102"/>
      <c r="GD1236" s="102"/>
      <c r="GE1236" s="102"/>
      <c r="GF1236" s="102"/>
      <c r="GG1236" s="102"/>
      <c r="GH1236" s="102"/>
      <c r="GI1236" s="102"/>
      <c r="GJ1236" s="102"/>
      <c r="GK1236" s="102"/>
      <c r="GL1236" s="102"/>
      <c r="GM1236" s="102"/>
      <c r="GN1236" s="102"/>
      <c r="GO1236" s="102"/>
      <c r="GP1236" s="102"/>
      <c r="GQ1236" s="102"/>
      <c r="GR1236" s="102"/>
      <c r="GS1236" s="102"/>
      <c r="GT1236" s="102"/>
      <c r="GU1236" s="102"/>
      <c r="GV1236" s="102"/>
      <c r="GW1236" s="102"/>
      <c r="GX1236" s="102"/>
      <c r="GY1236" s="102"/>
      <c r="GZ1236" s="102"/>
      <c r="HA1236" s="102"/>
      <c r="HB1236" s="102"/>
      <c r="HC1236" s="102"/>
      <c r="HD1236" s="102"/>
      <c r="HE1236" s="102"/>
      <c r="HF1236" s="102"/>
      <c r="HG1236" s="102"/>
      <c r="HH1236" s="102"/>
      <c r="HI1236" s="102"/>
      <c r="HJ1236" s="102"/>
      <c r="HK1236" s="102"/>
      <c r="HL1236" s="102"/>
      <c r="HM1236" s="102"/>
      <c r="HN1236" s="102"/>
      <c r="HO1236" s="102"/>
      <c r="HP1236" s="102"/>
      <c r="HQ1236" s="102"/>
      <c r="HR1236" s="102"/>
      <c r="HS1236" s="102"/>
      <c r="HT1236" s="102"/>
      <c r="HU1236" s="102"/>
      <c r="HV1236" s="102"/>
      <c r="HW1236" s="102"/>
      <c r="HX1236" s="102"/>
      <c r="HY1236" s="102"/>
      <c r="HZ1236" s="102"/>
      <c r="IA1236" s="102"/>
      <c r="IB1236" s="102"/>
      <c r="IC1236" s="102"/>
      <c r="ID1236" s="102"/>
      <c r="IE1236" s="102"/>
      <c r="IF1236" s="102"/>
      <c r="IG1236" s="102"/>
      <c r="IH1236" s="102"/>
      <c r="II1236" s="102"/>
      <c r="IJ1236" s="102"/>
      <c r="IK1236" s="102"/>
      <c r="IL1236" s="102"/>
      <c r="IM1236" s="102"/>
      <c r="IN1236" s="102"/>
      <c r="IO1236" s="102"/>
      <c r="IP1236" s="102"/>
      <c r="IQ1236" s="102"/>
      <c r="IR1236" s="102"/>
      <c r="IS1236" s="102"/>
      <c r="IT1236" s="102"/>
      <c r="IU1236" s="102"/>
      <c r="IV1236" s="102"/>
      <c r="IW1236" s="102"/>
      <c r="IX1236" s="102"/>
      <c r="IY1236" s="102"/>
      <c r="IZ1236" s="102"/>
      <c r="JA1236" s="102"/>
      <c r="JB1236" s="102"/>
      <c r="JC1236" s="102"/>
      <c r="JD1236" s="102"/>
      <c r="JE1236" s="102"/>
      <c r="JF1236" s="102"/>
      <c r="JG1236" s="102"/>
      <c r="JH1236" s="102"/>
      <c r="JI1236" s="102"/>
      <c r="JJ1236" s="102"/>
      <c r="JK1236" s="102"/>
      <c r="JL1236" s="102"/>
      <c r="JM1236"/>
    </row>
    <row r="1237" spans="1:273" s="289" customFormat="1">
      <c r="A1237" s="289" t="s">
        <v>475</v>
      </c>
      <c r="B1237" s="290"/>
      <c r="CE1237" s="328"/>
      <c r="CI1237" s="328"/>
      <c r="CM1237" s="328"/>
      <c r="CQ1237" s="328"/>
      <c r="JM1237"/>
    </row>
    <row r="1238" spans="1:273" s="302" customFormat="1">
      <c r="A1238" s="102" t="s">
        <v>915</v>
      </c>
      <c r="B1238" s="103"/>
      <c r="C1238" s="102"/>
      <c r="D1238" s="102"/>
      <c r="E1238" s="102"/>
      <c r="F1238" s="102"/>
      <c r="G1238" s="102"/>
      <c r="H1238" s="102"/>
      <c r="I1238" s="102"/>
      <c r="J1238" s="102"/>
      <c r="K1238" s="102"/>
      <c r="L1238" s="102"/>
      <c r="M1238" s="102"/>
      <c r="N1238" s="102"/>
      <c r="O1238" s="102"/>
      <c r="P1238" s="102"/>
      <c r="Q1238" s="102"/>
      <c r="R1238" s="102"/>
      <c r="S1238" s="102"/>
      <c r="T1238" s="102"/>
      <c r="U1238" s="102"/>
      <c r="V1238" s="102"/>
      <c r="W1238" s="102"/>
      <c r="X1238" s="102"/>
      <c r="Y1238" s="102"/>
      <c r="Z1238" s="102"/>
      <c r="AA1238" s="102"/>
      <c r="AB1238" s="102"/>
      <c r="AC1238" s="102"/>
      <c r="AD1238" s="102"/>
      <c r="AE1238" s="102"/>
      <c r="AF1238" s="102"/>
      <c r="AG1238" s="102"/>
      <c r="AH1238" s="102"/>
      <c r="AI1238" s="102"/>
      <c r="AJ1238" s="102"/>
      <c r="AK1238" s="102"/>
      <c r="AL1238" s="102"/>
      <c r="AM1238" s="102"/>
      <c r="AN1238" s="102"/>
      <c r="AO1238" s="102"/>
      <c r="AP1238" s="102"/>
      <c r="AQ1238" s="102"/>
      <c r="AR1238" s="102"/>
      <c r="AS1238" s="102"/>
      <c r="AT1238" s="102"/>
      <c r="AU1238" s="102"/>
      <c r="AV1238" s="102"/>
      <c r="AW1238" s="102"/>
      <c r="AX1238" s="102"/>
      <c r="AY1238" s="102"/>
      <c r="AZ1238" s="102"/>
      <c r="BA1238" s="102"/>
      <c r="BB1238" s="102"/>
      <c r="BC1238" s="102"/>
      <c r="BD1238" s="102"/>
      <c r="BE1238" s="102"/>
      <c r="BF1238" s="102"/>
      <c r="BG1238" s="102"/>
      <c r="BH1238" s="1986">
        <v>1.0237000000000001</v>
      </c>
      <c r="BI1238" s="1986">
        <v>1.0387</v>
      </c>
      <c r="BJ1238" s="1044">
        <f>AVERAGE(BH1238:BI1238)</f>
        <v>1.0312000000000001</v>
      </c>
      <c r="BK1238" s="102"/>
      <c r="BL1238" s="1986">
        <v>0.94740000000000002</v>
      </c>
      <c r="BM1238" s="1986">
        <v>0.91230846153846201</v>
      </c>
      <c r="BN1238" s="1044">
        <f>AVERAGE(BL1238:BM1238)</f>
        <v>0.92985423076923102</v>
      </c>
      <c r="BO1238" s="648">
        <f>+BN1238/BJ1238-1</f>
        <v>-9.8279450378945921E-2</v>
      </c>
      <c r="BP1238" s="1986">
        <v>0.92889999999999995</v>
      </c>
      <c r="BQ1238" s="1986">
        <v>0.82250000000000001</v>
      </c>
      <c r="BR1238" s="1044">
        <f>AVERAGE(BP1238:BQ1238)</f>
        <v>0.87569999999999992</v>
      </c>
      <c r="BS1238" s="684">
        <f>+BR1238/BN1238-1</f>
        <v>-5.823948418714131E-2</v>
      </c>
      <c r="BT1238" s="1986">
        <v>0.748</v>
      </c>
      <c r="BU1238" s="1986">
        <v>0.72119999999999995</v>
      </c>
      <c r="BV1238" s="1044">
        <f>AVERAGE(BT1238:BU1238)</f>
        <v>0.73459999999999992</v>
      </c>
      <c r="BW1238" s="684">
        <f>+BV1238/BR1238-1</f>
        <v>-0.16112824026493089</v>
      </c>
      <c r="BX1238" s="1986">
        <v>0.752</v>
      </c>
      <c r="BY1238" s="1986">
        <v>0.75380000000000003</v>
      </c>
      <c r="BZ1238" s="1044">
        <f>AVERAGE(BX1238:BY1238)</f>
        <v>0.75290000000000001</v>
      </c>
      <c r="CA1238" s="103"/>
      <c r="CB1238" s="1986">
        <v>0.7702</v>
      </c>
      <c r="CC1238" s="1986">
        <v>0.78620000000000001</v>
      </c>
      <c r="CD1238" s="1044">
        <f>AVERAGE(CB1238:CC1238)</f>
        <v>0.7782</v>
      </c>
      <c r="CE1238" s="115"/>
      <c r="CF1238" s="1986">
        <v>0.74439999999999995</v>
      </c>
      <c r="CG1238" s="1986">
        <v>0.71479999999999999</v>
      </c>
      <c r="CH1238" s="1044">
        <f>AVERAGE(CF1238:CG1238)</f>
        <v>0.72960000000000003</v>
      </c>
      <c r="CI1238" s="115"/>
      <c r="CJ1238" s="1986">
        <v>0.69316850815850817</v>
      </c>
      <c r="CK1238" s="1986">
        <v>0.69316850815850817</v>
      </c>
      <c r="CL1238" s="1044">
        <f>AVERAGE(CJ1238:CK1238)</f>
        <v>0.69316850815850817</v>
      </c>
      <c r="CM1238" s="115"/>
      <c r="CN1238" s="1990">
        <v>0.68566136363636376</v>
      </c>
      <c r="CO1238" s="1990">
        <v>0.75164461538461547</v>
      </c>
      <c r="CP1238" s="1044">
        <f>AVERAGE(CN1238:CO1238)</f>
        <v>0.71865298951048961</v>
      </c>
      <c r="CQ1238" s="115"/>
      <c r="CR1238" s="1990">
        <v>0.75231450381679354</v>
      </c>
      <c r="CS1238" s="1990">
        <v>0.72631846153846169</v>
      </c>
      <c r="CT1238" s="1044">
        <f>AVERAGE(CR1238:CS1238)</f>
        <v>0.73931648267762762</v>
      </c>
      <c r="CU1238" s="103"/>
      <c r="CV1238" s="1990">
        <v>0.69961221374045801</v>
      </c>
      <c r="CW1238" s="1990">
        <v>0.67087153846153869</v>
      </c>
      <c r="CX1238" s="1044">
        <f>AVERAGE(CV1238:CW1238)</f>
        <v>0.6852418761009984</v>
      </c>
      <c r="CY1238" s="103"/>
      <c r="CZ1238" s="1990">
        <v>0.66164846153846102</v>
      </c>
      <c r="DA1238" s="1990">
        <v>0.65470999999999957</v>
      </c>
      <c r="DB1238" s="1044">
        <f>AVERAGE(CZ1238:DA1238)</f>
        <v>0.65817923076923024</v>
      </c>
      <c r="DC1238" s="103"/>
      <c r="DD1238" s="1990">
        <v>0.66450229007633577</v>
      </c>
      <c r="DE1238" s="1990">
        <v>0.64039846153846158</v>
      </c>
      <c r="DF1238" s="1044">
        <f>AVERAGE(DD1238:DE1238)</f>
        <v>0.65245037580739873</v>
      </c>
      <c r="DG1238" s="103"/>
      <c r="DH1238" s="1990">
        <v>0.64752137404580146</v>
      </c>
      <c r="DI1238" s="1034">
        <f>AVERAGE(DH1233:DI1233)</f>
        <v>0.66020000000000001</v>
      </c>
      <c r="DJ1238" s="1034">
        <f>AVERAGE(DH1238:DI1238)</f>
        <v>0.65386068702290068</v>
      </c>
      <c r="DK1238" s="304"/>
      <c r="DL1238" s="1034">
        <f>AVERAGE(DL1233,DI1233)</f>
        <v>0.66020000000000001</v>
      </c>
      <c r="DM1238" s="1034">
        <f>AVERAGE(DL1233:DM1233)</f>
        <v>0.66020000000000001</v>
      </c>
      <c r="DN1238" s="1034">
        <f>AVERAGE(DL1238:DM1238)</f>
        <v>0.66020000000000001</v>
      </c>
      <c r="DO1238" s="1034"/>
      <c r="DP1238" s="1034">
        <f>AVERAGE(DP1233,DM1233)</f>
        <v>0.66020000000000001</v>
      </c>
      <c r="DQ1238" s="1034">
        <f>AVERAGE(DP1233:DQ1233)</f>
        <v>0.66020000000000001</v>
      </c>
      <c r="DR1238" s="1034">
        <f>AVERAGE(DP1238:DQ1238)</f>
        <v>0.66020000000000001</v>
      </c>
      <c r="DS1238" s="1034"/>
      <c r="DT1238" s="304"/>
      <c r="DU1238" s="1034"/>
      <c r="DV1238" s="1034"/>
      <c r="DW1238" s="1034"/>
      <c r="DX1238" s="1035"/>
      <c r="DZ1238" s="1034"/>
      <c r="EA1238" s="1034"/>
      <c r="EB1238" s="1035"/>
      <c r="ED1238" s="1034"/>
      <c r="EE1238" s="1034"/>
      <c r="EF1238" s="1035"/>
      <c r="FL1238" s="102"/>
      <c r="FM1238" s="102"/>
      <c r="FN1238" s="102"/>
      <c r="FO1238" s="102"/>
      <c r="FP1238" s="102"/>
      <c r="FQ1238" s="102"/>
      <c r="FR1238" s="102"/>
      <c r="FS1238" s="102"/>
      <c r="FT1238" s="102"/>
      <c r="FU1238" s="102"/>
      <c r="FV1238" s="102"/>
      <c r="FW1238" s="102"/>
      <c r="FX1238" s="102"/>
      <c r="FY1238" s="102"/>
      <c r="FZ1238" s="102"/>
      <c r="GA1238" s="102"/>
      <c r="GB1238" s="102"/>
      <c r="GC1238" s="102"/>
      <c r="GD1238" s="102"/>
      <c r="GE1238" s="102"/>
      <c r="GF1238" s="102"/>
      <c r="GG1238" s="102"/>
      <c r="GH1238" s="102"/>
      <c r="GI1238" s="102"/>
      <c r="GJ1238" s="102"/>
      <c r="GK1238" s="102"/>
      <c r="GL1238" s="102"/>
      <c r="GM1238" s="102"/>
      <c r="GN1238" s="102"/>
      <c r="GO1238" s="102"/>
      <c r="GP1238" s="102"/>
      <c r="GQ1238" s="102"/>
      <c r="GR1238" s="102"/>
      <c r="GS1238" s="102"/>
      <c r="GT1238" s="102"/>
      <c r="GU1238" s="102"/>
      <c r="GV1238" s="102"/>
      <c r="GW1238" s="102"/>
      <c r="GX1238" s="102"/>
      <c r="GY1238" s="102"/>
      <c r="GZ1238" s="102"/>
      <c r="HA1238" s="102"/>
      <c r="HB1238" s="102"/>
      <c r="HC1238" s="102"/>
      <c r="HD1238" s="102"/>
      <c r="HE1238" s="102"/>
      <c r="HF1238" s="102"/>
      <c r="HG1238" s="102"/>
      <c r="HH1238" s="102"/>
      <c r="HI1238" s="102"/>
      <c r="HJ1238" s="102"/>
      <c r="HK1238" s="102"/>
      <c r="HL1238" s="102"/>
      <c r="HM1238" s="102"/>
      <c r="HN1238" s="102"/>
      <c r="HO1238" s="102"/>
      <c r="HP1238" s="102"/>
      <c r="HQ1238" s="102"/>
      <c r="HR1238" s="102"/>
      <c r="HS1238" s="102"/>
      <c r="HT1238" s="102"/>
      <c r="HU1238" s="102"/>
      <c r="HV1238" s="102"/>
      <c r="HW1238" s="102"/>
      <c r="HX1238" s="102"/>
      <c r="HY1238" s="102"/>
      <c r="HZ1238" s="102"/>
      <c r="IA1238" s="102"/>
      <c r="IB1238" s="102"/>
      <c r="IC1238" s="102"/>
      <c r="ID1238" s="102"/>
      <c r="IE1238" s="102"/>
      <c r="IF1238" s="102"/>
      <c r="IG1238" s="102"/>
      <c r="IH1238" s="102"/>
      <c r="II1238" s="102"/>
      <c r="IJ1238" s="102"/>
      <c r="IK1238" s="102"/>
      <c r="IL1238" s="102"/>
      <c r="IM1238" s="102"/>
      <c r="IN1238" s="102"/>
      <c r="IO1238" s="102"/>
      <c r="IP1238" s="102"/>
      <c r="IQ1238" s="102"/>
      <c r="IR1238" s="102"/>
      <c r="IS1238" s="102"/>
      <c r="IT1238" s="102"/>
      <c r="IU1238" s="102"/>
      <c r="IV1238" s="102"/>
      <c r="IW1238" s="102"/>
      <c r="IX1238" s="102"/>
      <c r="IY1238" s="102"/>
      <c r="IZ1238" s="102"/>
      <c r="JA1238" s="102"/>
      <c r="JB1238" s="102"/>
      <c r="JC1238" s="102"/>
      <c r="JD1238" s="102"/>
      <c r="JE1238" s="102"/>
      <c r="JF1238" s="102"/>
      <c r="JG1238" s="102"/>
      <c r="JH1238" s="102"/>
      <c r="JI1238" s="102"/>
      <c r="JJ1238" s="102"/>
      <c r="JK1238" s="102"/>
      <c r="JL1238" s="102"/>
      <c r="JM1238"/>
    </row>
    <row r="1239" spans="1:273" s="302" customFormat="1">
      <c r="A1239" s="102" t="s">
        <v>916</v>
      </c>
      <c r="B1239" s="103"/>
      <c r="C1239" s="102"/>
      <c r="D1239" s="102"/>
      <c r="E1239" s="102"/>
      <c r="F1239" s="102"/>
      <c r="G1239" s="102"/>
      <c r="H1239" s="102"/>
      <c r="I1239" s="102"/>
      <c r="J1239" s="102"/>
      <c r="K1239" s="102"/>
      <c r="L1239" s="102"/>
      <c r="M1239" s="102"/>
      <c r="N1239" s="102"/>
      <c r="O1239" s="102"/>
      <c r="P1239" s="102"/>
      <c r="Q1239" s="102"/>
      <c r="R1239" s="102"/>
      <c r="S1239" s="102"/>
      <c r="T1239" s="102"/>
      <c r="U1239" s="102"/>
      <c r="V1239" s="102"/>
      <c r="W1239" s="102"/>
      <c r="X1239" s="102"/>
      <c r="Y1239" s="102"/>
      <c r="Z1239" s="102"/>
      <c r="AA1239" s="102"/>
      <c r="AB1239" s="102"/>
      <c r="AC1239" s="102"/>
      <c r="AD1239" s="102"/>
      <c r="AE1239" s="102"/>
      <c r="AF1239" s="102"/>
      <c r="AG1239" s="102"/>
      <c r="AH1239" s="102"/>
      <c r="AI1239" s="102"/>
      <c r="AJ1239" s="102"/>
      <c r="AK1239" s="102"/>
      <c r="AL1239" s="102"/>
      <c r="AM1239" s="102"/>
      <c r="AN1239" s="102"/>
      <c r="AO1239" s="102"/>
      <c r="AP1239" s="102"/>
      <c r="AQ1239" s="102"/>
      <c r="AR1239" s="102"/>
      <c r="AS1239" s="102"/>
      <c r="AT1239" s="102"/>
      <c r="AU1239" s="102"/>
      <c r="AV1239" s="102"/>
      <c r="AW1239" s="102"/>
      <c r="AX1239" s="102"/>
      <c r="AY1239" s="102"/>
      <c r="AZ1239" s="102"/>
      <c r="BA1239" s="102"/>
      <c r="BB1239" s="102"/>
      <c r="BC1239" s="102"/>
      <c r="BD1239" s="102"/>
      <c r="BE1239" s="102"/>
      <c r="BF1239" s="102"/>
      <c r="BG1239" s="102"/>
      <c r="BH1239" s="1986">
        <v>0.64749999999999996</v>
      </c>
      <c r="BI1239" s="1986">
        <v>0.65739999999999998</v>
      </c>
      <c r="BJ1239" s="1044">
        <f>AVERAGE(BH1239:BI1239)</f>
        <v>0.65244999999999997</v>
      </c>
      <c r="BK1239" s="102"/>
      <c r="BL1239" s="1986">
        <v>0.61480000000000001</v>
      </c>
      <c r="BM1239" s="1986">
        <v>0.55732893986820575</v>
      </c>
      <c r="BN1239" s="1044">
        <f>AVERAGE(BL1239:BM1239)</f>
        <v>0.58606446993410288</v>
      </c>
      <c r="BO1239" s="648">
        <f>+BN1239/BJ1239-1</f>
        <v>-0.10174807275024456</v>
      </c>
      <c r="BP1239" s="1986">
        <v>0.55389999999999995</v>
      </c>
      <c r="BQ1239" s="1986">
        <v>0.5302</v>
      </c>
      <c r="BR1239" s="1044">
        <f>AVERAGE(BP1239:BQ1239)</f>
        <v>0.54204999999999992</v>
      </c>
      <c r="BS1239" s="684">
        <f>+BR1239/BN1239-1</f>
        <v>-7.5101754486246119E-2</v>
      </c>
      <c r="BT1239" s="1986">
        <v>0.48530000000000001</v>
      </c>
      <c r="BU1239" s="1986">
        <v>0.48859999999999998</v>
      </c>
      <c r="BV1239" s="1044">
        <f>AVERAGE(BT1239:BU1239)</f>
        <v>0.48694999999999999</v>
      </c>
      <c r="BW1239" s="684">
        <f>+BV1239/BR1239-1</f>
        <v>-0.1016511391938012</v>
      </c>
      <c r="BX1239" s="1986">
        <v>0.54900000000000004</v>
      </c>
      <c r="BY1239" s="1986">
        <v>0.60770000000000002</v>
      </c>
      <c r="BZ1239" s="1044">
        <f>AVERAGE(BX1239:BY1239)</f>
        <v>0.57835000000000003</v>
      </c>
      <c r="CA1239" s="103"/>
      <c r="CB1239" s="1986">
        <v>0.59509999999999996</v>
      </c>
      <c r="CC1239" s="1986">
        <v>0.56520000000000004</v>
      </c>
      <c r="CD1239" s="1044">
        <f>AVERAGE(CB1239:CC1239)</f>
        <v>0.58014999999999994</v>
      </c>
      <c r="CE1239" s="115"/>
      <c r="CF1239" s="1986">
        <v>0.55879999999999996</v>
      </c>
      <c r="CG1239" s="1986">
        <v>0.55249999999999999</v>
      </c>
      <c r="CH1239" s="1044">
        <f>AVERAGE(CF1239:CG1239)</f>
        <v>0.55564999999999998</v>
      </c>
      <c r="CI1239" s="115"/>
      <c r="CJ1239" s="1986">
        <v>0.55058148802782791</v>
      </c>
      <c r="CK1239" s="1986">
        <v>0.55058148802782791</v>
      </c>
      <c r="CL1239" s="1044">
        <f>AVERAGE(CJ1239:CK1239)</f>
        <v>0.55058148802782791</v>
      </c>
      <c r="CM1239" s="115"/>
      <c r="CN1239" s="1990">
        <v>0.54117566161610142</v>
      </c>
      <c r="CO1239" s="1990">
        <v>0.55680710241923304</v>
      </c>
      <c r="CP1239" s="1044">
        <f>AVERAGE(CN1239:CO1239)</f>
        <v>0.54899138201766728</v>
      </c>
      <c r="CQ1239" s="115"/>
      <c r="CR1239" s="1990">
        <v>0.54194328889231047</v>
      </c>
      <c r="CS1239" s="1990">
        <v>0.54001588796752431</v>
      </c>
      <c r="CT1239" s="1044">
        <f>AVERAGE(CR1239:CS1239)</f>
        <v>0.54097958842991734</v>
      </c>
      <c r="CU1239" s="103"/>
      <c r="CV1239" s="1990">
        <v>0.57531118235169676</v>
      </c>
      <c r="CW1239" s="1990">
        <v>0.56134168523574723</v>
      </c>
      <c r="CX1239" s="1044">
        <f>AVERAGE(CV1239:CW1239)</f>
        <v>0.56832643379372194</v>
      </c>
      <c r="CY1239" s="103"/>
      <c r="CZ1239" s="1990">
        <v>0.5254658916315138</v>
      </c>
      <c r="DA1239" s="1990">
        <v>0.52163139779463275</v>
      </c>
      <c r="DB1239" s="1044">
        <f>AVERAGE(CZ1239:DA1239)</f>
        <v>0.52354864471307327</v>
      </c>
      <c r="DC1239" s="103"/>
      <c r="DD1239" s="1990">
        <v>0.51858418150785912</v>
      </c>
      <c r="DE1239" s="1990">
        <v>0.50395619761919896</v>
      </c>
      <c r="DF1239" s="1044">
        <f>AVERAGE(DD1239:DE1239)</f>
        <v>0.51127018956352899</v>
      </c>
      <c r="DG1239" s="103"/>
      <c r="DH1239" s="1990">
        <v>0.48241501819606702</v>
      </c>
      <c r="DI1239" s="1034">
        <f>AVERAGE(DH1234:DI1234)</f>
        <v>0.56187234042553191</v>
      </c>
      <c r="DJ1239" s="1034">
        <f>AVERAGE(DH1239:DI1239)</f>
        <v>0.52214367931079941</v>
      </c>
      <c r="DK1239" s="304"/>
      <c r="DL1239" s="1034">
        <f>AVERAGE(DL1234,DI1234)</f>
        <v>0.56187234042553191</v>
      </c>
      <c r="DM1239" s="1034">
        <f>AVERAGE(DL1234:DM1234)</f>
        <v>0.56187234042553191</v>
      </c>
      <c r="DN1239" s="1034">
        <f>AVERAGE(DL1239:DM1239)</f>
        <v>0.56187234042553191</v>
      </c>
      <c r="DO1239" s="1034"/>
      <c r="DP1239" s="1034">
        <f>AVERAGE(DP1234,DM1234)</f>
        <v>0.56187234042553191</v>
      </c>
      <c r="DQ1239" s="1034">
        <f>AVERAGE(DP1234:DQ1234)</f>
        <v>0.56187234042553191</v>
      </c>
      <c r="DR1239" s="1034">
        <f>AVERAGE(DP1239:DQ1239)</f>
        <v>0.56187234042553191</v>
      </c>
      <c r="DS1239" s="1034"/>
      <c r="DT1239" s="304"/>
      <c r="DU1239" s="1034"/>
      <c r="DV1239" s="1034"/>
      <c r="DW1239" s="1034"/>
      <c r="DX1239" s="1035"/>
      <c r="DZ1239" s="1034"/>
      <c r="EA1239" s="1034"/>
      <c r="EB1239" s="1035"/>
      <c r="ED1239" s="1034"/>
      <c r="EE1239" s="1034"/>
      <c r="EF1239" s="1035"/>
      <c r="FL1239" s="102"/>
      <c r="FM1239" s="102"/>
      <c r="FN1239" s="102"/>
      <c r="FO1239" s="102"/>
      <c r="FP1239" s="102"/>
      <c r="FQ1239" s="102"/>
      <c r="FR1239" s="102"/>
      <c r="FS1239" s="102"/>
      <c r="FT1239" s="102"/>
      <c r="FU1239" s="102"/>
      <c r="FV1239" s="102"/>
      <c r="FW1239" s="102"/>
      <c r="FX1239" s="102"/>
      <c r="FY1239" s="102"/>
      <c r="FZ1239" s="102"/>
      <c r="GA1239" s="102"/>
      <c r="GB1239" s="102"/>
      <c r="GC1239" s="102"/>
      <c r="GD1239" s="102"/>
      <c r="GE1239" s="102"/>
      <c r="GF1239" s="102"/>
      <c r="GG1239" s="102"/>
      <c r="GH1239" s="102"/>
      <c r="GI1239" s="102"/>
      <c r="GJ1239" s="102"/>
      <c r="GK1239" s="102"/>
      <c r="GL1239" s="102"/>
      <c r="GM1239" s="102"/>
      <c r="GN1239" s="102"/>
      <c r="GO1239" s="102"/>
      <c r="GP1239" s="102"/>
      <c r="GQ1239" s="102"/>
      <c r="GR1239" s="102"/>
      <c r="GS1239" s="102"/>
      <c r="GT1239" s="102"/>
      <c r="GU1239" s="102"/>
      <c r="GV1239" s="102"/>
      <c r="GW1239" s="102"/>
      <c r="GX1239" s="102"/>
      <c r="GY1239" s="102"/>
      <c r="GZ1239" s="102"/>
      <c r="HA1239" s="102"/>
      <c r="HB1239" s="102"/>
      <c r="HC1239" s="102"/>
      <c r="HD1239" s="102"/>
      <c r="HE1239" s="102"/>
      <c r="HF1239" s="102"/>
      <c r="HG1239" s="102"/>
      <c r="HH1239" s="102"/>
      <c r="HI1239" s="102"/>
      <c r="HJ1239" s="102"/>
      <c r="HK1239" s="102"/>
      <c r="HL1239" s="102"/>
      <c r="HM1239" s="102"/>
      <c r="HN1239" s="102"/>
      <c r="HO1239" s="102"/>
      <c r="HP1239" s="102"/>
      <c r="HQ1239" s="102"/>
      <c r="HR1239" s="102"/>
      <c r="HS1239" s="102"/>
      <c r="HT1239" s="102"/>
      <c r="HU1239" s="102"/>
      <c r="HV1239" s="102"/>
      <c r="HW1239" s="102"/>
      <c r="HX1239" s="102"/>
      <c r="HY1239" s="102"/>
      <c r="HZ1239" s="102"/>
      <c r="IA1239" s="102"/>
      <c r="IB1239" s="102"/>
      <c r="IC1239" s="102"/>
      <c r="ID1239" s="102"/>
      <c r="IE1239" s="102"/>
      <c r="IF1239" s="102"/>
      <c r="IG1239" s="102"/>
      <c r="IH1239" s="102"/>
      <c r="II1239" s="102"/>
      <c r="IJ1239" s="102"/>
      <c r="IK1239" s="102"/>
      <c r="IL1239" s="102"/>
      <c r="IM1239" s="102"/>
      <c r="IN1239" s="102"/>
      <c r="IO1239" s="102"/>
      <c r="IP1239" s="102"/>
      <c r="IQ1239" s="102"/>
      <c r="IR1239" s="102"/>
      <c r="IS1239" s="102"/>
      <c r="IT1239" s="102"/>
      <c r="IU1239" s="102"/>
      <c r="IV1239" s="102"/>
      <c r="IW1239" s="102"/>
      <c r="IX1239" s="102"/>
      <c r="IY1239" s="102"/>
      <c r="IZ1239" s="102"/>
      <c r="JA1239" s="102"/>
      <c r="JB1239" s="102"/>
      <c r="JC1239" s="102"/>
      <c r="JD1239" s="102"/>
      <c r="JE1239" s="102"/>
      <c r="JF1239" s="102"/>
      <c r="JG1239" s="102"/>
      <c r="JH1239" s="102"/>
      <c r="JI1239" s="102"/>
      <c r="JJ1239" s="102"/>
      <c r="JK1239" s="102"/>
      <c r="JL1239" s="102"/>
      <c r="JM1239"/>
    </row>
    <row r="1240" spans="1:273" s="302" customFormat="1">
      <c r="A1240" s="102" t="s">
        <v>861</v>
      </c>
      <c r="B1240" s="103"/>
      <c r="C1240" s="102"/>
      <c r="D1240" s="102"/>
      <c r="E1240" s="102"/>
      <c r="F1240" s="102"/>
      <c r="G1240" s="102"/>
      <c r="H1240" s="102"/>
      <c r="I1240" s="102"/>
      <c r="J1240" s="102"/>
      <c r="K1240" s="102"/>
      <c r="L1240" s="102"/>
      <c r="M1240" s="102"/>
      <c r="N1240" s="102"/>
      <c r="O1240" s="102"/>
      <c r="P1240" s="102"/>
      <c r="Q1240" s="102"/>
      <c r="R1240" s="102"/>
      <c r="S1240" s="102"/>
      <c r="T1240" s="102"/>
      <c r="U1240" s="102"/>
      <c r="V1240" s="102"/>
      <c r="W1240" s="102"/>
      <c r="X1240" s="102"/>
      <c r="Y1240" s="102"/>
      <c r="Z1240" s="102"/>
      <c r="AA1240" s="102"/>
      <c r="AB1240" s="102"/>
      <c r="AC1240" s="102"/>
      <c r="AD1240" s="102"/>
      <c r="AE1240" s="102"/>
      <c r="AF1240" s="102"/>
      <c r="AG1240" s="102"/>
      <c r="AH1240" s="102"/>
      <c r="AI1240" s="102"/>
      <c r="AJ1240" s="102"/>
      <c r="AK1240" s="102"/>
      <c r="AL1240" s="102"/>
      <c r="AM1240" s="102"/>
      <c r="AN1240" s="102"/>
      <c r="AO1240" s="102"/>
      <c r="AP1240" s="102"/>
      <c r="AQ1240" s="102"/>
      <c r="AR1240" s="102"/>
      <c r="AS1240" s="102"/>
      <c r="AT1240" s="102"/>
      <c r="AU1240" s="102"/>
      <c r="AV1240" s="102"/>
      <c r="AW1240" s="102"/>
      <c r="AX1240" s="102"/>
      <c r="AY1240" s="102"/>
      <c r="AZ1240" s="102"/>
      <c r="BA1240" s="102"/>
      <c r="BB1240" s="102"/>
      <c r="BC1240" s="102"/>
      <c r="BD1240" s="102"/>
      <c r="BE1240" s="102"/>
      <c r="BF1240" s="102"/>
      <c r="BG1240" s="102"/>
      <c r="BH1240" s="1986">
        <v>0.80710000000000004</v>
      </c>
      <c r="BI1240" s="1986">
        <v>0.79379999999999995</v>
      </c>
      <c r="BJ1240" s="1044">
        <f>AVERAGE(BH1240:BI1240)</f>
        <v>0.80044999999999999</v>
      </c>
      <c r="BK1240" s="102"/>
      <c r="BL1240" s="1986">
        <v>0.71930000000000005</v>
      </c>
      <c r="BM1240" s="1986">
        <v>0.66793965570161506</v>
      </c>
      <c r="BN1240" s="1044">
        <f>AVERAGE(BL1240:BM1240)</f>
        <v>0.69361982785080756</v>
      </c>
      <c r="BO1240" s="648">
        <f>+BN1240/BJ1240-1</f>
        <v>-0.13346264245011241</v>
      </c>
      <c r="BP1240" s="1986">
        <v>0.6885</v>
      </c>
      <c r="BQ1240" s="1986">
        <v>0.69089999999999996</v>
      </c>
      <c r="BR1240" s="1044">
        <f>AVERAGE(BP1240:BQ1240)</f>
        <v>0.68969999999999998</v>
      </c>
      <c r="BS1240" s="684">
        <f>+BR1240/BN1240-1</f>
        <v>-5.6512626851416004E-3</v>
      </c>
      <c r="BT1240" s="1986">
        <v>0.67669999999999997</v>
      </c>
      <c r="BU1240" s="1986">
        <v>0.65580000000000005</v>
      </c>
      <c r="BV1240" s="1044">
        <f>AVERAGE(BT1240:BU1240)</f>
        <v>0.66625000000000001</v>
      </c>
      <c r="BW1240" s="684">
        <f>+BV1240/BR1240-1</f>
        <v>-3.4000289981151233E-2</v>
      </c>
      <c r="BX1240" s="1986">
        <v>0.67</v>
      </c>
      <c r="BY1240" s="1986">
        <v>0.70340000000000003</v>
      </c>
      <c r="BZ1240" s="1044">
        <f>AVERAGE(BX1240:BY1240)</f>
        <v>0.68670000000000009</v>
      </c>
      <c r="CA1240" s="103"/>
      <c r="CB1240" s="1986">
        <v>0.67700000000000005</v>
      </c>
      <c r="CC1240" s="1986">
        <v>0.63990000000000002</v>
      </c>
      <c r="CD1240" s="1044">
        <f>AVERAGE(CB1240:CC1240)</f>
        <v>0.65844999999999998</v>
      </c>
      <c r="CE1240" s="115"/>
      <c r="CF1240" s="1986">
        <v>0.63229999999999997</v>
      </c>
      <c r="CG1240" s="1986">
        <v>0.628</v>
      </c>
      <c r="CH1240" s="1044">
        <f>AVERAGE(CF1240:CG1240)</f>
        <v>0.63014999999999999</v>
      </c>
      <c r="CI1240" s="115"/>
      <c r="CJ1240" s="1986">
        <v>0.62009494682907196</v>
      </c>
      <c r="CK1240" s="1986">
        <v>0.62009494682907196</v>
      </c>
      <c r="CL1240" s="1044">
        <f>AVERAGE(CJ1240:CK1240)</f>
        <v>0.62009494682907196</v>
      </c>
      <c r="CM1240" s="115"/>
      <c r="CN1240" s="1990">
        <v>0.60395495193106552</v>
      </c>
      <c r="CO1240" s="1990">
        <v>0.62699046974331984</v>
      </c>
      <c r="CP1240" s="1044">
        <f>AVERAGE(CN1240:CO1240)</f>
        <v>0.61547271083719268</v>
      </c>
      <c r="CQ1240" s="115"/>
      <c r="CR1240" s="1990">
        <v>0.63117371763978758</v>
      </c>
      <c r="CS1240" s="1990">
        <v>0.64116399213394037</v>
      </c>
      <c r="CT1240" s="1044">
        <f>AVERAGE(CR1240:CS1240)</f>
        <v>0.63616885488686403</v>
      </c>
      <c r="CU1240" s="103"/>
      <c r="CV1240" s="1990">
        <v>0.67553531020351032</v>
      </c>
      <c r="CW1240" s="1990">
        <v>0.64053482376961934</v>
      </c>
      <c r="CX1240" s="1044">
        <f>AVERAGE(CV1240:CW1240)</f>
        <v>0.65803506698656489</v>
      </c>
      <c r="CY1240" s="103"/>
      <c r="CZ1240" s="1990">
        <v>0.60795504142418721</v>
      </c>
      <c r="DA1240" s="1990">
        <v>0.60573126854605941</v>
      </c>
      <c r="DB1240" s="1044">
        <f>AVERAGE(CZ1240:DA1240)</f>
        <v>0.60684315498512331</v>
      </c>
      <c r="DC1240" s="103"/>
      <c r="DD1240" s="1990">
        <v>0.61090665633632013</v>
      </c>
      <c r="DE1240" s="1990">
        <v>0.60428521500293397</v>
      </c>
      <c r="DF1240" s="1044">
        <f>AVERAGE(DD1240:DE1240)</f>
        <v>0.607595935669627</v>
      </c>
      <c r="DG1240" s="103"/>
      <c r="DH1240" s="1990">
        <v>0.56220112976676262</v>
      </c>
      <c r="DI1240" s="1034">
        <f>AVERAGE(DH1235:DI1235)</f>
        <v>1.1457999999999999</v>
      </c>
      <c r="DJ1240" s="1034">
        <f>AVERAGE(DH1240:DI1240)</f>
        <v>0.85400056488338127</v>
      </c>
      <c r="DK1240" s="304"/>
      <c r="DL1240" s="1034">
        <f>AVERAGE(DL1235,DI1235)</f>
        <v>1.1457999999999999</v>
      </c>
      <c r="DM1240" s="1034">
        <f>AVERAGE(DL1235:DM1235)</f>
        <v>1.1457999999999999</v>
      </c>
      <c r="DN1240" s="1034">
        <f>AVERAGE(DL1240:DM1240)</f>
        <v>1.1457999999999999</v>
      </c>
      <c r="DO1240" s="1034"/>
      <c r="DP1240" s="1034">
        <f>AVERAGE(DP1235,DM1235)</f>
        <v>1.1457999999999999</v>
      </c>
      <c r="DQ1240" s="1034">
        <f>AVERAGE(DP1235:DQ1235)</f>
        <v>1.1457999999999999</v>
      </c>
      <c r="DR1240" s="1034">
        <f>AVERAGE(DP1240:DQ1240)</f>
        <v>1.1457999999999999</v>
      </c>
      <c r="DS1240" s="1034"/>
      <c r="DT1240" s="304"/>
      <c r="DU1240" s="1034"/>
      <c r="DV1240" s="1034"/>
      <c r="DW1240" s="1034"/>
      <c r="DX1240" s="1035"/>
      <c r="DZ1240" s="1034"/>
      <c r="EA1240" s="1034"/>
      <c r="EB1240" s="1035"/>
      <c r="ED1240" s="1034"/>
      <c r="EE1240" s="1034"/>
      <c r="EF1240" s="1035"/>
      <c r="FL1240" s="102"/>
      <c r="FM1240" s="102"/>
      <c r="FN1240" s="102"/>
      <c r="FO1240" s="102"/>
      <c r="FP1240" s="102"/>
      <c r="FQ1240" s="102"/>
      <c r="FR1240" s="102"/>
      <c r="FS1240" s="102"/>
      <c r="FT1240" s="102"/>
      <c r="FU1240" s="102"/>
      <c r="FV1240" s="102"/>
      <c r="FW1240" s="102"/>
      <c r="FX1240" s="102"/>
      <c r="FY1240" s="102"/>
      <c r="FZ1240" s="102"/>
      <c r="GA1240" s="102"/>
      <c r="GB1240" s="102"/>
      <c r="GC1240" s="102"/>
      <c r="GD1240" s="102"/>
      <c r="GE1240" s="102"/>
      <c r="GF1240" s="102"/>
      <c r="GG1240" s="102"/>
      <c r="GH1240" s="102"/>
      <c r="GI1240" s="102"/>
      <c r="GJ1240" s="102"/>
      <c r="GK1240" s="102"/>
      <c r="GL1240" s="102"/>
      <c r="GM1240" s="102"/>
      <c r="GN1240" s="102"/>
      <c r="GO1240" s="102"/>
      <c r="GP1240" s="102"/>
      <c r="GQ1240" s="102"/>
      <c r="GR1240" s="102"/>
      <c r="GS1240" s="102"/>
      <c r="GT1240" s="102"/>
      <c r="GU1240" s="102"/>
      <c r="GV1240" s="102"/>
      <c r="GW1240" s="102"/>
      <c r="GX1240" s="102"/>
      <c r="GY1240" s="102"/>
      <c r="GZ1240" s="102"/>
      <c r="HA1240" s="102"/>
      <c r="HB1240" s="102"/>
      <c r="HC1240" s="102"/>
      <c r="HD1240" s="102"/>
      <c r="HE1240" s="102"/>
      <c r="HF1240" s="102"/>
      <c r="HG1240" s="102"/>
      <c r="HH1240" s="102"/>
      <c r="HI1240" s="102"/>
      <c r="HJ1240" s="102"/>
      <c r="HK1240" s="102"/>
      <c r="HL1240" s="102"/>
      <c r="HM1240" s="102"/>
      <c r="HN1240" s="102"/>
      <c r="HO1240" s="102"/>
      <c r="HP1240" s="102"/>
      <c r="HQ1240" s="102"/>
      <c r="HR1240" s="102"/>
      <c r="HS1240" s="102"/>
      <c r="HT1240" s="102"/>
      <c r="HU1240" s="102"/>
      <c r="HV1240" s="102"/>
      <c r="HW1240" s="102"/>
      <c r="HX1240" s="102"/>
      <c r="HY1240" s="102"/>
      <c r="HZ1240" s="102"/>
      <c r="IA1240" s="102"/>
      <c r="IB1240" s="102"/>
      <c r="IC1240" s="102"/>
      <c r="ID1240" s="102"/>
      <c r="IE1240" s="102"/>
      <c r="IF1240" s="102"/>
      <c r="IG1240" s="102"/>
      <c r="IH1240" s="102"/>
      <c r="II1240" s="102"/>
      <c r="IJ1240" s="102"/>
      <c r="IK1240" s="102"/>
      <c r="IL1240" s="102"/>
      <c r="IM1240" s="102"/>
      <c r="IN1240" s="102"/>
      <c r="IO1240" s="102"/>
      <c r="IP1240" s="102"/>
      <c r="IQ1240" s="102"/>
      <c r="IR1240" s="102"/>
      <c r="IS1240" s="102"/>
      <c r="IT1240" s="102"/>
      <c r="IU1240" s="102"/>
      <c r="IV1240" s="102"/>
      <c r="IW1240" s="102"/>
      <c r="IX1240" s="102"/>
      <c r="IY1240" s="102"/>
      <c r="IZ1240" s="102"/>
      <c r="JA1240" s="102"/>
      <c r="JB1240" s="102"/>
      <c r="JC1240" s="102"/>
      <c r="JD1240" s="102"/>
      <c r="JE1240" s="102"/>
      <c r="JF1240" s="102"/>
      <c r="JG1240" s="102"/>
      <c r="JH1240" s="102"/>
      <c r="JI1240" s="102"/>
      <c r="JJ1240" s="102"/>
      <c r="JK1240" s="102"/>
      <c r="JL1240" s="102"/>
      <c r="JM1240"/>
    </row>
    <row r="1241" spans="1:273" s="302" customFormat="1">
      <c r="A1241" s="102" t="s">
        <v>866</v>
      </c>
      <c r="B1241" s="103"/>
      <c r="C1241" s="102"/>
      <c r="D1241" s="102"/>
      <c r="E1241" s="102"/>
      <c r="F1241" s="102"/>
      <c r="G1241" s="102"/>
      <c r="H1241" s="102"/>
      <c r="I1241" s="102"/>
      <c r="J1241" s="102"/>
      <c r="K1241" s="102"/>
      <c r="L1241" s="102"/>
      <c r="M1241" s="102"/>
      <c r="N1241" s="102"/>
      <c r="O1241" s="102"/>
      <c r="P1241" s="102"/>
      <c r="Q1241" s="102"/>
      <c r="R1241" s="102"/>
      <c r="S1241" s="102"/>
      <c r="T1241" s="102"/>
      <c r="U1241" s="102"/>
      <c r="V1241" s="102"/>
      <c r="W1241" s="102"/>
      <c r="X1241" s="102"/>
      <c r="Y1241" s="102"/>
      <c r="Z1241" s="102"/>
      <c r="AA1241" s="102"/>
      <c r="AB1241" s="102"/>
      <c r="AC1241" s="102"/>
      <c r="AD1241" s="102"/>
      <c r="AE1241" s="102"/>
      <c r="AF1241" s="102"/>
      <c r="AG1241" s="102"/>
      <c r="AH1241" s="102"/>
      <c r="AI1241" s="102"/>
      <c r="AJ1241" s="102"/>
      <c r="AK1241" s="102"/>
      <c r="AL1241" s="102"/>
      <c r="AM1241" s="102"/>
      <c r="AN1241" s="102"/>
      <c r="AO1241" s="102"/>
      <c r="AP1241" s="102"/>
      <c r="AQ1241" s="102"/>
      <c r="AR1241" s="102"/>
      <c r="AS1241" s="102"/>
      <c r="AT1241" s="102"/>
      <c r="AU1241" s="102"/>
      <c r="AV1241" s="102"/>
      <c r="AW1241" s="102"/>
      <c r="AX1241" s="102"/>
      <c r="AY1241" s="102"/>
      <c r="AZ1241" s="102"/>
      <c r="BA1241" s="102"/>
      <c r="BB1241" s="102"/>
      <c r="BC1241" s="102"/>
      <c r="BD1241" s="102"/>
      <c r="BE1241" s="102"/>
      <c r="BF1241" s="102"/>
      <c r="BG1241" s="102"/>
      <c r="BH1241" s="1986">
        <v>7.9478621838461603</v>
      </c>
      <c r="BI1241" s="1986">
        <v>8.0543429797633177</v>
      </c>
      <c r="BJ1241" s="1044">
        <f>AVERAGE(BH1241:BI1241)</f>
        <v>8.001102581804739</v>
      </c>
      <c r="BK1241" s="102"/>
      <c r="BL1241" s="1986">
        <v>7.4027827147695335</v>
      </c>
      <c r="BM1241" s="1986">
        <v>7.0761251373795897</v>
      </c>
      <c r="BN1241" s="1044">
        <f>AVERAGE(BL1241:BM1241)</f>
        <v>7.2394539260745621</v>
      </c>
      <c r="BO1241" s="648">
        <f>+BN1241/BJ1241-1</f>
        <v>-9.5192962212762744E-2</v>
      </c>
      <c r="BP1241" s="1986">
        <v>7</v>
      </c>
      <c r="BQ1241" s="1986">
        <v>6.3653899999999997</v>
      </c>
      <c r="BR1241" s="1044">
        <f>AVERAGE(BP1241:BQ1241)</f>
        <v>6.6826949999999998</v>
      </c>
      <c r="BS1241" s="684">
        <f>+BR1241/BN1241-1</f>
        <v>-7.6906204771780784E-2</v>
      </c>
      <c r="BT1241" s="1986">
        <v>5.6944999999999997</v>
      </c>
      <c r="BU1241" s="1044">
        <f>AVERAGE(BT1236:BU1236)</f>
        <v>5.6987500000000004</v>
      </c>
      <c r="BV1241" s="1044">
        <f>AVERAGE(BT1241:BU1241)</f>
        <v>5.696625</v>
      </c>
      <c r="BW1241" s="684">
        <f>+BV1241/BR1241-1</f>
        <v>-0.14755573911423459</v>
      </c>
      <c r="BX1241" s="1986">
        <v>5.835</v>
      </c>
      <c r="BY1241" s="1986">
        <v>5.8487</v>
      </c>
      <c r="BZ1241" s="1044">
        <f>AVERAGE(BX1241:BY1241)</f>
        <v>5.84185</v>
      </c>
      <c r="CA1241" s="103"/>
      <c r="CB1241" s="1986">
        <v>6.0083000000000002</v>
      </c>
      <c r="CC1241" s="1986">
        <v>6.1540999999999997</v>
      </c>
      <c r="CD1241" s="1044">
        <f>AVERAGE(CB1241:CC1241)</f>
        <v>6.0811999999999999</v>
      </c>
      <c r="CE1241" s="115"/>
      <c r="CF1241" s="1986">
        <v>5.8407</v>
      </c>
      <c r="CG1241" s="1986">
        <v>5.6024000000000003</v>
      </c>
      <c r="CH1241" s="1044">
        <f>AVERAGE(CF1241:CG1241)</f>
        <v>5.7215500000000006</v>
      </c>
      <c r="CI1241" s="115"/>
      <c r="CJ1241" s="1986">
        <v>5.4309905451043115</v>
      </c>
      <c r="CK1241" s="1986">
        <v>5.4309905451043115</v>
      </c>
      <c r="CL1241" s="1044"/>
      <c r="CM1241" s="115"/>
      <c r="CN1241" s="1990">
        <v>5.3145264270368475</v>
      </c>
      <c r="CO1241" s="1990">
        <v>5.8286122698254443</v>
      </c>
      <c r="CP1241" s="1044">
        <f>AVERAGE(CN1241:CO1241)</f>
        <v>5.5715693484311455</v>
      </c>
      <c r="CQ1241" s="115"/>
      <c r="CR1241" s="1990">
        <v>5.8468550893397779</v>
      </c>
      <c r="CS1241" s="1990">
        <v>5.663415406081068</v>
      </c>
      <c r="CT1241" s="1044">
        <f>AVERAGE(CR1241:CS1241)</f>
        <v>5.755135247710423</v>
      </c>
      <c r="CU1241" s="103"/>
      <c r="CV1241" s="1990">
        <v>5.490055442700311</v>
      </c>
      <c r="CW1241" s="1990">
        <v>5.2530136817014803</v>
      </c>
      <c r="CX1241" s="1044">
        <f>AVERAGE(CV1241:CW1241)</f>
        <v>5.3715345622008961</v>
      </c>
      <c r="CY1241" s="103"/>
      <c r="CZ1241" s="1990">
        <v>5.1817912849221832</v>
      </c>
      <c r="DA1241" s="1990">
        <v>5.117848428699995</v>
      </c>
      <c r="DB1241" s="1044">
        <f>AVERAGE(CZ1241:DA1241)</f>
        <v>5.1498198568110887</v>
      </c>
      <c r="DC1241" s="103"/>
      <c r="DD1241" s="1990">
        <v>5.1887433056465211</v>
      </c>
      <c r="DE1241" s="1990">
        <v>4.980392874889354</v>
      </c>
      <c r="DF1241" s="1044">
        <f>AVERAGE(DD1241:DE1241)</f>
        <v>5.084568090267938</v>
      </c>
      <c r="DG1241" s="103"/>
      <c r="DH1241" s="1990">
        <v>5.0589433753035911</v>
      </c>
      <c r="DI1241" s="1034">
        <f>AVERAGE(DH1236:DI1236)</f>
        <v>5.1382045600000001</v>
      </c>
      <c r="DJ1241" s="1034">
        <f>AVERAGE(DH1241:DI1241)</f>
        <v>5.0985739676517952</v>
      </c>
      <c r="DK1241" s="304"/>
      <c r="DL1241" s="1034">
        <f>AVERAGE(DL1236,DI1236)</f>
        <v>5.1382045600000001</v>
      </c>
      <c r="DM1241" s="1034">
        <f>AVERAGE(DL1236:DM1236)</f>
        <v>5.1382045600000001</v>
      </c>
      <c r="DN1241" s="1034">
        <f>AVERAGE(DL1241:DM1241)</f>
        <v>5.1382045600000001</v>
      </c>
      <c r="DO1241" s="1034"/>
      <c r="DP1241" s="1034">
        <f>AVERAGE(DP1236,DM1236)</f>
        <v>5.1382045600000001</v>
      </c>
      <c r="DQ1241" s="1034">
        <f>AVERAGE(DP1236:DQ1236)</f>
        <v>5.1382045600000001</v>
      </c>
      <c r="DR1241" s="1034">
        <f>AVERAGE(DP1241:DQ1241)</f>
        <v>5.1382045600000001</v>
      </c>
      <c r="DS1241" s="1034"/>
      <c r="DT1241" s="304"/>
      <c r="DU1241" s="1034"/>
      <c r="DV1241" s="1034"/>
      <c r="DW1241" s="1034"/>
      <c r="DX1241" s="1035"/>
      <c r="DZ1241" s="1034"/>
      <c r="EA1241" s="1034"/>
      <c r="EB1241" s="1035"/>
      <c r="ED1241" s="1034"/>
      <c r="EE1241" s="1034"/>
      <c r="EF1241" s="1035"/>
      <c r="FL1241" s="102"/>
      <c r="FM1241" s="102"/>
      <c r="FN1241" s="102"/>
      <c r="FO1241" s="102"/>
      <c r="FP1241" s="102"/>
      <c r="FQ1241" s="102"/>
      <c r="FR1241" s="102"/>
      <c r="FS1241" s="102"/>
      <c r="FT1241" s="102"/>
      <c r="FU1241" s="102"/>
      <c r="FV1241" s="102"/>
      <c r="FW1241" s="102"/>
      <c r="FX1241" s="102"/>
      <c r="FY1241" s="102"/>
      <c r="FZ1241" s="102"/>
      <c r="GA1241" s="102"/>
      <c r="GB1241" s="102"/>
      <c r="GC1241" s="102"/>
      <c r="GD1241" s="102"/>
      <c r="GE1241" s="102"/>
      <c r="GF1241" s="102"/>
      <c r="GG1241" s="102"/>
      <c r="GH1241" s="102"/>
      <c r="GI1241" s="102"/>
      <c r="GJ1241" s="102"/>
      <c r="GK1241" s="102"/>
      <c r="GL1241" s="102"/>
      <c r="GM1241" s="102"/>
      <c r="GN1241" s="102"/>
      <c r="GO1241" s="102"/>
      <c r="GP1241" s="102"/>
      <c r="GQ1241" s="102"/>
      <c r="GR1241" s="102"/>
      <c r="GS1241" s="102"/>
      <c r="GT1241" s="102"/>
      <c r="GU1241" s="102"/>
      <c r="GV1241" s="102"/>
      <c r="GW1241" s="102"/>
      <c r="GX1241" s="102"/>
      <c r="GY1241" s="102"/>
      <c r="GZ1241" s="102"/>
      <c r="HA1241" s="102"/>
      <c r="HB1241" s="102"/>
      <c r="HC1241" s="102"/>
      <c r="HD1241" s="102"/>
      <c r="HE1241" s="102"/>
      <c r="HF1241" s="102"/>
      <c r="HG1241" s="102"/>
      <c r="HH1241" s="102"/>
      <c r="HI1241" s="102"/>
      <c r="HJ1241" s="102"/>
      <c r="HK1241" s="102"/>
      <c r="HL1241" s="102"/>
      <c r="HM1241" s="102"/>
      <c r="HN1241" s="102"/>
      <c r="HO1241" s="102"/>
      <c r="HP1241" s="102"/>
      <c r="HQ1241" s="102"/>
      <c r="HR1241" s="102"/>
      <c r="HS1241" s="102"/>
      <c r="HT1241" s="102"/>
      <c r="HU1241" s="102"/>
      <c r="HV1241" s="102"/>
      <c r="HW1241" s="102"/>
      <c r="HX1241" s="102"/>
      <c r="HY1241" s="102"/>
      <c r="HZ1241" s="102"/>
      <c r="IA1241" s="102"/>
      <c r="IB1241" s="102"/>
      <c r="IC1241" s="102"/>
      <c r="ID1241" s="102"/>
      <c r="IE1241" s="102"/>
      <c r="IF1241" s="102"/>
      <c r="IG1241" s="102"/>
      <c r="IH1241" s="102"/>
      <c r="II1241" s="102"/>
      <c r="IJ1241" s="102"/>
      <c r="IK1241" s="102"/>
      <c r="IL1241" s="102"/>
      <c r="IM1241" s="102"/>
      <c r="IN1241" s="102"/>
      <c r="IO1241" s="102"/>
      <c r="IP1241" s="102"/>
      <c r="IQ1241" s="102"/>
      <c r="IR1241" s="102"/>
      <c r="IS1241" s="102"/>
      <c r="IT1241" s="102"/>
      <c r="IU1241" s="102"/>
      <c r="IV1241" s="102"/>
      <c r="IW1241" s="102"/>
      <c r="IX1241" s="102"/>
      <c r="IY1241" s="102"/>
      <c r="IZ1241" s="102"/>
      <c r="JA1241" s="102"/>
      <c r="JB1241" s="102"/>
      <c r="JC1241" s="102"/>
      <c r="JD1241" s="102"/>
      <c r="JE1241" s="102"/>
      <c r="JF1241" s="102"/>
      <c r="JG1241" s="102"/>
      <c r="JH1241" s="102"/>
      <c r="JI1241" s="102"/>
      <c r="JJ1241" s="102"/>
      <c r="JK1241" s="102"/>
      <c r="JL1241" s="102"/>
      <c r="JM1241"/>
    </row>
    <row r="1242" spans="1:273">
      <c r="AN1242" s="102"/>
      <c r="AO1242" s="102"/>
      <c r="AP1242" s="102"/>
      <c r="AQ1242" s="102"/>
      <c r="AR1242" s="102"/>
      <c r="AS1242" s="102"/>
      <c r="AT1242" s="102"/>
      <c r="AU1242" s="102"/>
      <c r="AV1242" s="102"/>
      <c r="AW1242" s="102"/>
      <c r="AX1242" s="102"/>
      <c r="AY1242" s="102"/>
      <c r="AZ1242" s="102"/>
      <c r="BA1242" s="102"/>
      <c r="BB1242" s="102"/>
      <c r="BC1242" s="102"/>
      <c r="BD1242" s="102"/>
      <c r="BE1242" s="102"/>
      <c r="BF1242" s="102"/>
      <c r="BG1242" s="102"/>
      <c r="BH1242" s="102"/>
      <c r="BI1242" s="102"/>
      <c r="BJ1242" s="102"/>
      <c r="BK1242" s="102"/>
      <c r="BL1242" s="102"/>
      <c r="BM1242" s="102"/>
      <c r="BN1242" s="102"/>
      <c r="BO1242" s="102"/>
      <c r="BP1242" s="102"/>
      <c r="BQ1242" s="102"/>
      <c r="BR1242" s="102"/>
      <c r="BS1242" s="102"/>
      <c r="BT1242" s="102"/>
      <c r="BU1242" s="102"/>
      <c r="BV1242" s="102"/>
      <c r="BW1242" s="102"/>
      <c r="BX1242" s="102"/>
      <c r="BY1242" s="102"/>
      <c r="BZ1242" s="102"/>
      <c r="CA1242" s="102"/>
      <c r="CB1242" s="102"/>
      <c r="CC1242" s="102"/>
      <c r="CD1242" s="102"/>
      <c r="CE1242" s="323"/>
      <c r="CF1242" s="102"/>
      <c r="CG1242" s="102"/>
      <c r="CH1242" s="102"/>
      <c r="CI1242" s="323"/>
      <c r="CJ1242" s="102"/>
      <c r="CK1242" s="102"/>
      <c r="CL1242" s="102"/>
      <c r="CM1242" s="323"/>
      <c r="CN1242" s="102"/>
      <c r="CO1242" s="102"/>
      <c r="CP1242" s="102"/>
      <c r="CQ1242" s="323"/>
      <c r="CR1242" s="102"/>
      <c r="CS1242" s="1992"/>
      <c r="CT1242" s="102"/>
      <c r="CU1242" s="102"/>
      <c r="CV1242" s="102"/>
      <c r="CW1242" s="102"/>
      <c r="CX1242" s="102"/>
      <c r="CY1242" s="102"/>
      <c r="CZ1242" s="102"/>
      <c r="DA1242" s="102"/>
      <c r="DB1242" s="102"/>
      <c r="DC1242" s="102"/>
      <c r="DD1242" s="102"/>
      <c r="DE1242" s="102"/>
      <c r="DF1242" s="102"/>
      <c r="DG1242" s="102"/>
      <c r="DH1242" s="102"/>
      <c r="DI1242" s="102"/>
      <c r="DJ1242" s="102"/>
      <c r="DK1242" s="102"/>
      <c r="DL1242" s="102"/>
      <c r="DM1242" s="102"/>
      <c r="DN1242" s="102"/>
      <c r="DO1242" s="102"/>
      <c r="DP1242" s="102"/>
      <c r="DQ1242" s="102"/>
      <c r="DR1242" s="102"/>
      <c r="DS1242" s="102"/>
      <c r="DT1242" s="102"/>
      <c r="DU1242" s="102"/>
      <c r="DV1242" s="102"/>
      <c r="DW1242" s="102"/>
      <c r="DX1242" s="102"/>
      <c r="DY1242" s="102"/>
      <c r="DZ1242" s="102"/>
      <c r="EA1242" s="102"/>
      <c r="EB1242" s="102"/>
      <c r="EC1242" s="102"/>
      <c r="ED1242" s="102"/>
      <c r="EE1242" s="102"/>
      <c r="EF1242" s="102"/>
      <c r="EG1242" s="102"/>
      <c r="EH1242" s="102"/>
      <c r="EI1242" s="102"/>
      <c r="EJ1242" s="102"/>
      <c r="EK1242" s="102"/>
      <c r="EL1242" s="102"/>
      <c r="EM1242" s="102"/>
      <c r="EN1242" s="102"/>
      <c r="EO1242" s="102"/>
      <c r="EP1242" s="102"/>
    </row>
    <row r="1243" spans="1:273">
      <c r="AN1243" s="102"/>
      <c r="AO1243" s="102"/>
      <c r="AP1243" s="102"/>
      <c r="AQ1243" s="102"/>
      <c r="AR1243" s="102"/>
      <c r="AS1243" s="102"/>
      <c r="AT1243" s="102"/>
      <c r="AU1243" s="102"/>
      <c r="AV1243" s="102"/>
      <c r="AW1243" s="102"/>
      <c r="AX1243" s="102"/>
      <c r="AY1243" s="102"/>
      <c r="AZ1243" s="102"/>
      <c r="BA1243" s="102"/>
      <c r="BB1243" s="102"/>
      <c r="BC1243" s="102"/>
      <c r="BD1243" s="102"/>
      <c r="BE1243" s="102"/>
      <c r="BF1243" s="102"/>
      <c r="BG1243" s="102"/>
      <c r="BH1243" s="102"/>
      <c r="BI1243" s="102"/>
      <c r="BJ1243" s="102"/>
      <c r="BK1243" s="102"/>
      <c r="BL1243" s="102"/>
      <c r="BM1243" s="102"/>
      <c r="BN1243" s="102"/>
      <c r="BO1243" s="102"/>
      <c r="BP1243" s="102"/>
      <c r="BQ1243" s="102"/>
      <c r="BR1243" s="102"/>
      <c r="BS1243" s="102"/>
      <c r="BT1243" s="102"/>
      <c r="BU1243" s="102"/>
      <c r="BV1243" s="102"/>
      <c r="BW1243" s="102"/>
      <c r="BX1243" s="102"/>
      <c r="BY1243" s="102"/>
      <c r="BZ1243" s="102"/>
      <c r="CA1243" s="102"/>
      <c r="CB1243" s="102"/>
      <c r="CC1243" s="102"/>
      <c r="CD1243" s="102"/>
      <c r="CE1243" s="323"/>
      <c r="CF1243" s="102"/>
      <c r="CG1243" s="102"/>
      <c r="CH1243" s="102"/>
      <c r="CI1243" s="323"/>
      <c r="CJ1243" s="102"/>
      <c r="CK1243" s="102"/>
      <c r="CL1243" s="102"/>
      <c r="CM1243" s="323"/>
      <c r="CN1243" s="102"/>
      <c r="CO1243" s="102"/>
      <c r="CP1243" s="102"/>
      <c r="CQ1243" s="323"/>
      <c r="CR1243" s="102"/>
      <c r="CS1243" s="102"/>
      <c r="CT1243" s="102"/>
      <c r="CU1243" s="102"/>
      <c r="CV1243" s="102"/>
      <c r="CW1243" s="102"/>
      <c r="CX1243" s="102"/>
      <c r="CY1243" s="102"/>
      <c r="CZ1243" s="102"/>
      <c r="DA1243" s="102"/>
      <c r="DB1243" s="102"/>
      <c r="DC1243" s="102"/>
      <c r="DD1243" s="102"/>
      <c r="DE1243" s="102"/>
      <c r="DF1243" s="102"/>
      <c r="DG1243" s="102"/>
      <c r="DH1243" s="102"/>
      <c r="DI1243" s="102"/>
      <c r="DJ1243" s="102"/>
      <c r="DK1243" s="102"/>
      <c r="DL1243" s="102"/>
      <c r="DM1243" s="102"/>
      <c r="DN1243" s="102"/>
      <c r="DO1243" s="102"/>
      <c r="DP1243" s="102"/>
      <c r="DQ1243" s="102"/>
      <c r="DR1243" s="102"/>
      <c r="DS1243" s="102"/>
      <c r="DT1243" s="102"/>
      <c r="DU1243" s="102"/>
      <c r="DV1243" s="102"/>
      <c r="DW1243" s="102"/>
      <c r="DX1243" s="102"/>
      <c r="DY1243" s="102"/>
      <c r="DZ1243" s="102"/>
      <c r="EA1243" s="102"/>
      <c r="EB1243" s="102"/>
      <c r="EC1243" s="102"/>
      <c r="ED1243" s="102"/>
      <c r="EE1243" s="102"/>
      <c r="EF1243" s="102"/>
      <c r="EG1243" s="102"/>
      <c r="EH1243" s="102"/>
      <c r="EI1243" s="102"/>
      <c r="EJ1243" s="102"/>
      <c r="EK1243" s="102"/>
      <c r="EL1243" s="102"/>
      <c r="EM1243" s="102"/>
      <c r="EN1243" s="102"/>
      <c r="EO1243" s="102"/>
      <c r="EP1243" s="102"/>
    </row>
    <row r="1244" spans="1:273" s="839" customFormat="1">
      <c r="A1244" s="1036" t="s">
        <v>538</v>
      </c>
      <c r="B1244" s="1037"/>
      <c r="AN1244" s="1037"/>
      <c r="AO1244" s="1037"/>
      <c r="AP1244" s="1037"/>
      <c r="AQ1244" s="1037"/>
      <c r="AR1244" s="1037"/>
      <c r="AS1244" s="1037"/>
      <c r="AT1244" s="1037"/>
      <c r="AU1244" s="1037"/>
      <c r="AV1244" s="1037"/>
      <c r="AW1244" s="1037"/>
      <c r="AX1244" s="1037"/>
      <c r="AY1244" s="1037"/>
      <c r="AZ1244" s="1037"/>
      <c r="BA1244" s="1037"/>
      <c r="BB1244" s="1037"/>
      <c r="BC1244" s="1037"/>
      <c r="BD1244" s="1037"/>
      <c r="BE1244" s="1037"/>
      <c r="BF1244" s="1037"/>
      <c r="BG1244" s="1037"/>
      <c r="BH1244" s="1037"/>
      <c r="BI1244" s="1037"/>
      <c r="BJ1244" s="1037"/>
      <c r="BK1244" s="1037"/>
      <c r="BL1244" s="1037"/>
      <c r="BM1244" s="1037"/>
      <c r="BN1244" s="1037"/>
      <c r="BO1244" s="1037"/>
      <c r="BP1244" s="1037"/>
      <c r="BQ1244" s="1037"/>
      <c r="BR1244" s="1037"/>
      <c r="BS1244" s="1037"/>
      <c r="BT1244" s="1037"/>
      <c r="BU1244" s="1037"/>
      <c r="BV1244" s="1037"/>
      <c r="BW1244" s="1037"/>
      <c r="BX1244" s="1037"/>
      <c r="BY1244" s="1037"/>
      <c r="BZ1244" s="1037"/>
      <c r="CA1244" s="1037"/>
      <c r="CB1244" s="1037"/>
      <c r="CC1244" s="1037"/>
      <c r="CD1244" s="1037"/>
      <c r="CE1244" s="1632"/>
      <c r="CF1244" s="1037"/>
      <c r="CG1244" s="1037"/>
      <c r="CH1244" s="1037"/>
      <c r="CI1244" s="1632"/>
      <c r="CJ1244" s="1037"/>
      <c r="CK1244" s="1037"/>
      <c r="CL1244" s="1037"/>
      <c r="CM1244" s="1632"/>
      <c r="CN1244" s="1037"/>
      <c r="CO1244" s="1037"/>
      <c r="CP1244" s="1037"/>
      <c r="CQ1244" s="1632"/>
      <c r="CR1244" s="1037"/>
      <c r="CS1244" s="1037"/>
      <c r="CT1244" s="1037"/>
      <c r="CU1244" s="1037"/>
      <c r="CV1244" s="1037"/>
      <c r="CW1244" s="1037"/>
      <c r="CX1244" s="1037"/>
      <c r="CY1244" s="1037"/>
      <c r="CZ1244" s="1037"/>
      <c r="DA1244" s="1037"/>
      <c r="DB1244" s="1037"/>
      <c r="DC1244" s="1037"/>
      <c r="DD1244" s="1037"/>
      <c r="DE1244" s="1037"/>
      <c r="DF1244" s="1037"/>
      <c r="DG1244" s="1037"/>
      <c r="DH1244" s="1037"/>
      <c r="DI1244" s="1037"/>
      <c r="DJ1244" s="1037"/>
      <c r="DK1244" s="1037"/>
      <c r="DL1244" s="1037"/>
      <c r="DM1244" s="1037"/>
      <c r="DN1244" s="1037"/>
      <c r="DO1244" s="1037"/>
      <c r="DP1244" s="1037"/>
      <c r="DQ1244" s="1037"/>
      <c r="DR1244" s="1037"/>
      <c r="DS1244" s="1037"/>
      <c r="DT1244" s="1037"/>
      <c r="DU1244" s="1037"/>
      <c r="DV1244" s="1037"/>
      <c r="DW1244" s="1037"/>
      <c r="DX1244" s="1037"/>
      <c r="DY1244" s="1037"/>
      <c r="DZ1244" s="1037"/>
      <c r="EA1244" s="1037"/>
      <c r="EB1244" s="1037"/>
      <c r="EC1244" s="1037"/>
      <c r="ED1244" s="1037"/>
      <c r="EE1244" s="1037"/>
      <c r="EF1244" s="1037"/>
      <c r="EG1244" s="1037"/>
      <c r="EH1244" s="1037"/>
      <c r="EI1244" s="1037"/>
      <c r="EJ1244" s="1037"/>
      <c r="EK1244" s="1037"/>
      <c r="EL1244" s="1037"/>
      <c r="EM1244" s="1037"/>
      <c r="EN1244" s="1037"/>
      <c r="EO1244" s="1037"/>
      <c r="EP1244" s="1037"/>
      <c r="JM1244"/>
    </row>
    <row r="1245" spans="1:273" s="839" customFormat="1">
      <c r="A1245" s="1036"/>
      <c r="B1245" s="1037"/>
      <c r="AN1245" s="1037"/>
      <c r="AO1245" s="1037"/>
      <c r="AP1245" s="1037"/>
      <c r="AQ1245" s="1037"/>
      <c r="AR1245" s="1037"/>
      <c r="AS1245" s="1037"/>
      <c r="AT1245" s="1037"/>
      <c r="AU1245" s="1037"/>
      <c r="AV1245" s="1037"/>
      <c r="AW1245" s="1037"/>
      <c r="AX1245" s="1037"/>
      <c r="AY1245" s="1037"/>
      <c r="AZ1245" s="1037"/>
      <c r="BA1245" s="1037"/>
      <c r="BB1245" s="1037"/>
      <c r="BC1245" s="1037"/>
      <c r="BD1245" s="1037"/>
      <c r="BE1245" s="1037"/>
      <c r="BF1245" s="1037"/>
      <c r="BG1245" s="1037"/>
      <c r="BH1245" s="1037"/>
      <c r="BI1245" s="1037"/>
      <c r="BJ1245" s="1037"/>
      <c r="BK1245" s="1037"/>
      <c r="BL1245" s="1037"/>
      <c r="BM1245" s="1037"/>
      <c r="BN1245" s="1037"/>
      <c r="BO1245" s="1037"/>
      <c r="BP1245" s="1037"/>
      <c r="BQ1245" s="1037"/>
      <c r="BR1245" s="1037"/>
      <c r="BS1245" s="1037"/>
      <c r="BT1245" s="1037"/>
      <c r="BU1245" s="1037"/>
      <c r="BV1245" s="1037"/>
      <c r="BW1245" s="1037"/>
      <c r="BX1245" s="1037"/>
      <c r="BY1245" s="1037"/>
      <c r="BZ1245" s="1037"/>
      <c r="CA1245" s="1037"/>
      <c r="CB1245" s="1037"/>
      <c r="CC1245" s="1037"/>
      <c r="CD1245" s="1037"/>
      <c r="CE1245" s="1632"/>
      <c r="CF1245" s="1037"/>
      <c r="CG1245" s="1037"/>
      <c r="CH1245" s="1037"/>
      <c r="CI1245" s="1632"/>
      <c r="CJ1245" s="1037"/>
      <c r="CK1245" s="1037"/>
      <c r="CL1245" s="1037"/>
      <c r="CM1245" s="1632"/>
      <c r="CN1245" s="1037"/>
      <c r="CO1245" s="1037"/>
      <c r="CP1245" s="1037"/>
      <c r="CQ1245" s="1632"/>
      <c r="CR1245" s="1037"/>
      <c r="CS1245" s="1037"/>
      <c r="CT1245" s="1037"/>
      <c r="CU1245" s="1037"/>
      <c r="CV1245" s="1037"/>
      <c r="CW1245" s="1037"/>
      <c r="CX1245" s="1037"/>
      <c r="CY1245" s="1037"/>
      <c r="CZ1245" s="1037"/>
      <c r="DA1245" s="1037"/>
      <c r="DB1245" s="1037"/>
      <c r="DC1245" s="1037"/>
      <c r="DD1245" s="1037"/>
      <c r="DE1245" s="1037"/>
      <c r="DF1245" s="1037"/>
      <c r="DG1245" s="1037"/>
      <c r="DH1245" s="1037"/>
      <c r="DI1245" s="1037"/>
      <c r="DJ1245" s="1037"/>
      <c r="DK1245" s="1037"/>
      <c r="DL1245" s="1037"/>
      <c r="DM1245" s="1037"/>
      <c r="DN1245" s="1037"/>
      <c r="DO1245" s="1037"/>
      <c r="DP1245" s="1037"/>
      <c r="DQ1245" s="1037"/>
      <c r="DR1245" s="1037"/>
      <c r="DS1245" s="1037"/>
      <c r="DT1245" s="1037"/>
      <c r="DU1245" s="1037"/>
      <c r="DV1245" s="1037"/>
      <c r="DW1245" s="1037"/>
      <c r="DX1245" s="1037"/>
      <c r="DY1245" s="1037"/>
      <c r="DZ1245" s="1037"/>
      <c r="EA1245" s="1037"/>
      <c r="EB1245" s="1037"/>
      <c r="EC1245" s="1037"/>
      <c r="ED1245" s="1037"/>
      <c r="EE1245" s="1037"/>
      <c r="EF1245" s="1037"/>
      <c r="EG1245" s="1037"/>
      <c r="EH1245" s="1037"/>
      <c r="EI1245" s="1037"/>
      <c r="EJ1245" s="1037"/>
      <c r="EK1245" s="1037"/>
      <c r="EL1245" s="1037"/>
      <c r="EM1245" s="1037"/>
      <c r="EN1245" s="1037"/>
      <c r="EO1245" s="1037"/>
      <c r="EP1245" s="1037"/>
      <c r="JM1245"/>
    </row>
    <row r="1246" spans="1:273">
      <c r="A1246" s="289" t="s">
        <v>476</v>
      </c>
      <c r="AN1246" s="102"/>
      <c r="AO1246" s="102"/>
      <c r="AP1246" s="102"/>
      <c r="AQ1246" s="102"/>
      <c r="AR1246" s="102"/>
      <c r="AS1246" s="102"/>
      <c r="AT1246" s="102"/>
      <c r="AU1246" s="102"/>
      <c r="AV1246" s="102"/>
      <c r="AW1246" s="102"/>
      <c r="AX1246" s="102"/>
      <c r="AY1246" s="102"/>
      <c r="AZ1246" s="102"/>
      <c r="BA1246" s="102"/>
      <c r="BB1246" s="102"/>
      <c r="BC1246" s="102"/>
      <c r="BD1246" s="102"/>
      <c r="BE1246" s="102"/>
      <c r="BF1246" s="102"/>
      <c r="BG1246" s="102"/>
      <c r="BH1246" s="102"/>
      <c r="BI1246" s="102"/>
      <c r="BJ1246" s="102"/>
      <c r="BK1246" s="102"/>
      <c r="BL1246" s="102"/>
      <c r="BM1246" s="102"/>
      <c r="BN1246" s="102"/>
      <c r="BO1246" s="102"/>
      <c r="BP1246" s="102"/>
      <c r="BQ1246" s="102"/>
      <c r="BR1246" s="102"/>
      <c r="BS1246" s="102"/>
      <c r="BT1246" s="102"/>
      <c r="BU1246" s="102"/>
      <c r="BV1246" s="102"/>
      <c r="BW1246" s="102"/>
      <c r="BX1246" s="102"/>
      <c r="BY1246" s="102"/>
      <c r="BZ1246" s="102"/>
      <c r="CA1246" s="102"/>
      <c r="CB1246" s="102"/>
      <c r="CC1246" s="102"/>
      <c r="CD1246" s="102"/>
      <c r="CE1246" s="323"/>
      <c r="CF1246" s="102"/>
      <c r="CG1246" s="102"/>
      <c r="CH1246" s="102"/>
      <c r="CI1246" s="323"/>
      <c r="CJ1246" s="102"/>
      <c r="CK1246" s="102"/>
      <c r="CL1246" s="102"/>
      <c r="CM1246" s="323"/>
      <c r="CN1246" s="102"/>
      <c r="CO1246" s="102"/>
      <c r="CP1246" s="102"/>
      <c r="CQ1246" s="323"/>
      <c r="CR1246" s="102"/>
      <c r="CS1246" s="102"/>
      <c r="CT1246" s="102"/>
      <c r="CU1246" s="102"/>
      <c r="CV1246" s="102"/>
      <c r="CW1246" s="102"/>
      <c r="CX1246" s="102"/>
      <c r="CY1246" s="102"/>
      <c r="CZ1246" s="102"/>
      <c r="DA1246" s="102"/>
      <c r="DB1246" s="102"/>
      <c r="DC1246" s="102"/>
      <c r="DD1246" s="102"/>
      <c r="DE1246" s="102"/>
      <c r="DF1246" s="102"/>
      <c r="DG1246" s="102"/>
      <c r="DH1246" s="102"/>
      <c r="DI1246" s="102"/>
      <c r="DJ1246" s="102"/>
      <c r="DK1246" s="102"/>
      <c r="DL1246" s="102"/>
      <c r="DM1246" s="102"/>
      <c r="DN1246" s="102"/>
      <c r="DO1246" s="102"/>
      <c r="DP1246" s="102"/>
      <c r="DQ1246" s="102"/>
      <c r="DR1246" s="102"/>
      <c r="DS1246" s="102"/>
      <c r="DT1246" s="102"/>
      <c r="DU1246" s="102"/>
      <c r="DV1246" s="102"/>
      <c r="DW1246" s="102"/>
      <c r="DX1246" s="102"/>
      <c r="DY1246" s="102"/>
      <c r="DZ1246" s="102"/>
      <c r="EA1246" s="102"/>
      <c r="EB1246" s="102"/>
      <c r="EC1246" s="102"/>
      <c r="ED1246" s="102"/>
      <c r="EE1246" s="102"/>
      <c r="EF1246" s="102"/>
      <c r="EG1246" s="102"/>
      <c r="EH1246" s="102"/>
      <c r="EI1246" s="102"/>
      <c r="EJ1246" s="102"/>
      <c r="EK1246" s="102"/>
      <c r="EL1246" s="102"/>
      <c r="EM1246" s="102"/>
      <c r="EN1246" s="102"/>
      <c r="EO1246" s="102"/>
      <c r="EP1246" s="102"/>
    </row>
    <row r="1247" spans="1:273" s="302" customFormat="1">
      <c r="A1247" s="102" t="s">
        <v>477</v>
      </c>
      <c r="B1247" s="103"/>
      <c r="C1247" s="102"/>
      <c r="D1247" s="102"/>
      <c r="E1247" s="102"/>
      <c r="F1247" s="102"/>
      <c r="G1247" s="102"/>
      <c r="H1247" s="102"/>
      <c r="I1247" s="102"/>
      <c r="J1247" s="102"/>
      <c r="K1247" s="102"/>
      <c r="L1247" s="102"/>
      <c r="M1247" s="102"/>
      <c r="N1247" s="102"/>
      <c r="O1247" s="102"/>
      <c r="P1247" s="102"/>
      <c r="Q1247" s="102"/>
      <c r="R1247" s="102"/>
      <c r="S1247" s="102"/>
      <c r="T1247" s="102"/>
      <c r="U1247" s="102"/>
      <c r="V1247" s="102"/>
      <c r="W1247" s="102"/>
      <c r="X1247" s="102"/>
      <c r="Y1247" s="102"/>
      <c r="Z1247" s="102"/>
      <c r="AA1247" s="102"/>
      <c r="AB1247" s="102"/>
      <c r="AC1247" s="102"/>
      <c r="AD1247" s="102"/>
      <c r="AE1247" s="102"/>
      <c r="AF1247" s="102"/>
      <c r="AG1247" s="102"/>
      <c r="AH1247" s="102"/>
      <c r="AI1247" s="102"/>
      <c r="AJ1247" s="102"/>
      <c r="AK1247" s="102"/>
      <c r="AL1247" s="102"/>
      <c r="AM1247" s="102"/>
      <c r="AN1247" s="102"/>
      <c r="AO1247" s="102"/>
      <c r="AP1247" s="102"/>
      <c r="AQ1247" s="102"/>
      <c r="AR1247" s="102"/>
      <c r="AS1247" s="102"/>
      <c r="AT1247" s="102"/>
      <c r="AU1247" s="102"/>
      <c r="AV1247" s="102"/>
      <c r="AW1247" s="102"/>
      <c r="AX1247" s="102"/>
      <c r="AY1247" s="102"/>
      <c r="AZ1247" s="102"/>
      <c r="BA1247" s="102"/>
      <c r="BB1247" s="102"/>
      <c r="BC1247" s="102"/>
      <c r="BD1247" s="102"/>
      <c r="BE1247" s="102"/>
      <c r="BF1247" s="102"/>
      <c r="BG1247" s="102"/>
      <c r="BH1247" s="102"/>
      <c r="BI1247" s="766">
        <v>0.03</v>
      </c>
      <c r="BJ1247" s="102"/>
      <c r="BK1247" s="102"/>
      <c r="BL1247" s="766">
        <v>2.5000000000000001E-2</v>
      </c>
      <c r="BM1247" s="766">
        <v>2.5000000000000001E-2</v>
      </c>
      <c r="BN1247" s="102"/>
      <c r="BO1247" s="1093"/>
      <c r="BP1247" s="766">
        <v>2.5000000000000001E-2</v>
      </c>
      <c r="BQ1247" s="766">
        <v>2.2499999999999999E-2</v>
      </c>
      <c r="BR1247" s="102"/>
      <c r="BS1247" s="1093"/>
      <c r="BT1247" s="766">
        <v>0.02</v>
      </c>
      <c r="BU1247" s="766">
        <v>0.02</v>
      </c>
      <c r="BV1247" s="102"/>
      <c r="BW1247" s="1993"/>
      <c r="BX1247" s="766">
        <v>1.4999999999999999E-2</v>
      </c>
      <c r="BY1247" s="766">
        <v>1.4999999999999999E-2</v>
      </c>
      <c r="BZ1247" s="102"/>
      <c r="CA1247" s="1993"/>
      <c r="CB1247" s="766">
        <v>1.4999999999999999E-2</v>
      </c>
      <c r="CC1247" s="766">
        <v>1.4999999999999999E-2</v>
      </c>
      <c r="CD1247" s="102"/>
      <c r="CE1247" s="1994"/>
      <c r="CF1247" s="766">
        <v>1.4999999999999999E-2</v>
      </c>
      <c r="CG1247" s="766">
        <v>1.4999999999999999E-2</v>
      </c>
      <c r="CH1247" s="102"/>
      <c r="CI1247" s="1994"/>
      <c r="CJ1247" s="766">
        <v>7.4999999999999997E-3</v>
      </c>
      <c r="CK1247" s="766">
        <v>2.5000000000000001E-3</v>
      </c>
      <c r="CL1247" s="102"/>
      <c r="CM1247" s="1994"/>
      <c r="CN1247" s="766">
        <v>2.5000000000000001E-3</v>
      </c>
      <c r="CO1247" s="766">
        <v>1E-3</v>
      </c>
      <c r="CP1247" s="102"/>
      <c r="CQ1247" s="1994"/>
      <c r="CR1247" s="766">
        <v>1E-3</v>
      </c>
      <c r="CS1247" s="766">
        <v>1E-3</v>
      </c>
      <c r="CT1247" s="1993"/>
      <c r="CU1247" s="1993"/>
      <c r="CV1247" s="766">
        <v>2.35E-2</v>
      </c>
      <c r="CW1247" s="766">
        <v>3.5999999999999997E-2</v>
      </c>
      <c r="CX1247" s="1993"/>
      <c r="CY1247" s="1993"/>
      <c r="CZ1247" s="766">
        <v>4.1000000000000002E-2</v>
      </c>
      <c r="DA1247" s="766">
        <v>4.3499999999999997E-2</v>
      </c>
      <c r="DB1247" s="1993"/>
      <c r="DC1247" s="1993"/>
      <c r="DD1247" s="766">
        <v>4.3499999999999997E-2</v>
      </c>
      <c r="DE1247" s="847">
        <f>DD1247</f>
        <v>4.3499999999999997E-2</v>
      </c>
      <c r="DF1247" s="1040"/>
      <c r="DG1247" s="1040"/>
      <c r="DH1247" s="766">
        <v>4.3499999999999997E-2</v>
      </c>
      <c r="DI1247" s="847">
        <f>DH1247</f>
        <v>4.3499999999999997E-2</v>
      </c>
      <c r="DJ1247" s="1040"/>
      <c r="DK1247" s="1040"/>
      <c r="DL1247" s="847">
        <f>DI1247</f>
        <v>4.3499999999999997E-2</v>
      </c>
      <c r="DM1247" s="847">
        <f>DL1247</f>
        <v>4.3499999999999997E-2</v>
      </c>
      <c r="DN1247" s="1040"/>
      <c r="DO1247" s="1040"/>
      <c r="DP1247" s="847">
        <f>DM1247</f>
        <v>4.3499999999999997E-2</v>
      </c>
      <c r="DQ1247" s="847">
        <f>DP1247</f>
        <v>4.3499999999999997E-2</v>
      </c>
      <c r="DR1247" s="1040"/>
      <c r="DS1247" s="1040"/>
      <c r="DT1247" s="1040"/>
      <c r="DU1247" s="847"/>
      <c r="DV1247" s="847"/>
      <c r="DW1247" s="847"/>
      <c r="DX1247" s="1039"/>
      <c r="DY1247" s="1039"/>
      <c r="DZ1247" s="846"/>
      <c r="EA1247" s="846"/>
      <c r="EB1247" s="1039"/>
      <c r="EC1247" s="1039"/>
      <c r="ED1247" s="846"/>
      <c r="EE1247" s="846"/>
      <c r="EF1247" s="1039"/>
      <c r="EG1247" s="1039"/>
      <c r="FL1247" s="102"/>
      <c r="FM1247" s="102"/>
      <c r="FN1247" s="102"/>
      <c r="FO1247" s="102"/>
      <c r="FP1247" s="102"/>
      <c r="FQ1247" s="102"/>
      <c r="FR1247" s="102"/>
      <c r="FS1247" s="102"/>
      <c r="FT1247" s="102"/>
      <c r="FU1247" s="102"/>
      <c r="FV1247" s="102"/>
      <c r="FW1247" s="102"/>
      <c r="FX1247" s="102"/>
      <c r="FY1247" s="102"/>
      <c r="FZ1247" s="102"/>
      <c r="GA1247" s="102"/>
      <c r="GB1247" s="102"/>
      <c r="GC1247" s="102"/>
      <c r="GD1247" s="102"/>
      <c r="GE1247" s="102"/>
      <c r="GF1247" s="102"/>
      <c r="GG1247" s="102"/>
      <c r="GH1247" s="102"/>
      <c r="GI1247" s="102"/>
      <c r="GJ1247" s="102"/>
      <c r="GK1247" s="102"/>
      <c r="GL1247" s="102"/>
      <c r="GM1247" s="102"/>
      <c r="GN1247" s="102"/>
      <c r="GO1247" s="102"/>
      <c r="GP1247" s="102"/>
      <c r="GQ1247" s="102"/>
      <c r="GR1247" s="102"/>
      <c r="GS1247" s="102"/>
      <c r="GT1247" s="102"/>
      <c r="GU1247" s="102"/>
      <c r="GV1247" s="102"/>
      <c r="GW1247" s="102"/>
      <c r="GX1247" s="102"/>
      <c r="GY1247" s="102"/>
      <c r="GZ1247" s="102"/>
      <c r="HA1247" s="102"/>
      <c r="HB1247" s="102"/>
      <c r="HC1247" s="102"/>
      <c r="HD1247" s="102"/>
      <c r="HE1247" s="102"/>
      <c r="HF1247" s="102"/>
      <c r="HG1247" s="102"/>
      <c r="HH1247" s="102"/>
      <c r="HI1247" s="102"/>
      <c r="HJ1247" s="102"/>
      <c r="HK1247" s="102"/>
      <c r="HL1247" s="102"/>
      <c r="HM1247" s="102"/>
      <c r="HN1247" s="102"/>
      <c r="HO1247" s="102"/>
      <c r="HP1247" s="102"/>
      <c r="HQ1247" s="102"/>
      <c r="HR1247" s="102"/>
      <c r="HS1247" s="102"/>
      <c r="HT1247" s="102"/>
      <c r="HU1247" s="102"/>
      <c r="HV1247" s="102"/>
      <c r="HW1247" s="102"/>
      <c r="HX1247" s="102"/>
      <c r="HY1247" s="102"/>
      <c r="HZ1247" s="102"/>
      <c r="IA1247" s="102"/>
      <c r="IB1247" s="102"/>
      <c r="IC1247" s="102"/>
      <c r="ID1247" s="102"/>
      <c r="IE1247" s="102"/>
      <c r="IF1247" s="102"/>
      <c r="IG1247" s="102"/>
      <c r="IH1247" s="102"/>
      <c r="II1247" s="102"/>
      <c r="IJ1247" s="102"/>
      <c r="IK1247" s="102"/>
      <c r="IL1247" s="102"/>
      <c r="IM1247" s="102"/>
      <c r="IN1247" s="102"/>
      <c r="IO1247" s="102"/>
      <c r="IP1247" s="102"/>
      <c r="IQ1247" s="102"/>
      <c r="IR1247" s="102"/>
      <c r="IS1247" s="102"/>
      <c r="IT1247" s="102"/>
      <c r="IU1247" s="102"/>
      <c r="IV1247" s="102"/>
      <c r="IW1247" s="102"/>
      <c r="IX1247" s="102"/>
      <c r="IY1247" s="102"/>
      <c r="IZ1247" s="102"/>
      <c r="JA1247" s="102"/>
      <c r="JB1247" s="102"/>
      <c r="JC1247" s="102"/>
      <c r="JD1247" s="102"/>
      <c r="JE1247" s="102"/>
      <c r="JF1247" s="102"/>
      <c r="JG1247" s="102"/>
      <c r="JH1247" s="102"/>
      <c r="JI1247" s="102"/>
      <c r="JJ1247" s="102"/>
      <c r="JK1247" s="102"/>
      <c r="JL1247" s="102"/>
      <c r="JM1247"/>
    </row>
    <row r="1248" spans="1:273" s="302" customFormat="1">
      <c r="A1248" s="102" t="s">
        <v>124</v>
      </c>
      <c r="B1248" s="103"/>
      <c r="C1248" s="102"/>
      <c r="D1248" s="102"/>
      <c r="E1248" s="102"/>
      <c r="F1248" s="102"/>
      <c r="G1248" s="102"/>
      <c r="H1248" s="102"/>
      <c r="I1248" s="102"/>
      <c r="J1248" s="102"/>
      <c r="K1248" s="102"/>
      <c r="L1248" s="102"/>
      <c r="M1248" s="102"/>
      <c r="N1248" s="102"/>
      <c r="O1248" s="102"/>
      <c r="P1248" s="102"/>
      <c r="Q1248" s="102"/>
      <c r="R1248" s="102"/>
      <c r="S1248" s="102"/>
      <c r="T1248" s="102"/>
      <c r="U1248" s="102"/>
      <c r="V1248" s="102"/>
      <c r="W1248" s="102"/>
      <c r="X1248" s="102"/>
      <c r="Y1248" s="102"/>
      <c r="Z1248" s="102"/>
      <c r="AA1248" s="102"/>
      <c r="AB1248" s="102"/>
      <c r="AC1248" s="102"/>
      <c r="AD1248" s="102"/>
      <c r="AE1248" s="102"/>
      <c r="AF1248" s="102"/>
      <c r="AG1248" s="102"/>
      <c r="AH1248" s="102"/>
      <c r="AI1248" s="102"/>
      <c r="AJ1248" s="102"/>
      <c r="AK1248" s="102"/>
      <c r="AL1248" s="102"/>
      <c r="AM1248" s="102"/>
      <c r="AN1248" s="102"/>
      <c r="AO1248" s="102"/>
      <c r="AP1248" s="102"/>
      <c r="AQ1248" s="102"/>
      <c r="AR1248" s="102"/>
      <c r="AS1248" s="102"/>
      <c r="AT1248" s="102"/>
      <c r="AU1248" s="102"/>
      <c r="AV1248" s="102"/>
      <c r="AW1248" s="102"/>
      <c r="AX1248" s="102"/>
      <c r="AY1248" s="102"/>
      <c r="AZ1248" s="102"/>
      <c r="BA1248" s="102"/>
      <c r="BB1248" s="102"/>
      <c r="BC1248" s="102"/>
      <c r="BD1248" s="102"/>
      <c r="BE1248" s="102"/>
      <c r="BF1248" s="102"/>
      <c r="BG1248" s="102"/>
      <c r="BH1248" s="102"/>
      <c r="BI1248" s="766">
        <v>3.0499999999999999E-2</v>
      </c>
      <c r="BJ1248" s="102"/>
      <c r="BK1248" s="102"/>
      <c r="BL1248" s="766">
        <v>2.58E-2</v>
      </c>
      <c r="BM1248" s="766">
        <v>2.6599999999999999E-2</v>
      </c>
      <c r="BN1248" s="102"/>
      <c r="BO1248" s="1093"/>
      <c r="BP1248" s="766">
        <v>2.7400000000000001E-2</v>
      </c>
      <c r="BQ1248" s="766">
        <v>2.5899999999999999E-2</v>
      </c>
      <c r="BR1248" s="102"/>
      <c r="BS1248" s="1093"/>
      <c r="BT1248" s="766">
        <v>2.18E-2</v>
      </c>
      <c r="BU1248" s="766">
        <v>2.266E-2</v>
      </c>
      <c r="BV1248" s="102"/>
      <c r="BW1248" s="1993"/>
      <c r="BX1248" s="766">
        <v>1.7399999999999999E-2</v>
      </c>
      <c r="BY1248" s="766">
        <v>1.7950000000000001E-2</v>
      </c>
      <c r="BZ1248" s="102"/>
      <c r="CA1248" s="1993"/>
      <c r="CB1248" s="766">
        <v>1.7100000000000001E-2</v>
      </c>
      <c r="CC1248" s="766">
        <v>2.0299999999999999E-2</v>
      </c>
      <c r="CD1248" s="102"/>
      <c r="CE1248" s="1994"/>
      <c r="CF1248" s="766">
        <v>1.9400000000000001E-2</v>
      </c>
      <c r="CG1248" s="766">
        <v>1.55E-2</v>
      </c>
      <c r="CH1248" s="102"/>
      <c r="CI1248" s="1994"/>
      <c r="CJ1248" s="766">
        <v>9.4500000000000001E-3</v>
      </c>
      <c r="CK1248" s="766">
        <v>3.63E-3</v>
      </c>
      <c r="CL1248" s="102"/>
      <c r="CM1248" s="1994"/>
      <c r="CN1248" s="766">
        <v>8.0000000000000004E-4</v>
      </c>
      <c r="CO1248" s="766">
        <v>3.5E-4</v>
      </c>
      <c r="CP1248" s="102"/>
      <c r="CQ1248" s="1994"/>
      <c r="CR1248" s="766">
        <v>8.0000000000000004E-4</v>
      </c>
      <c r="CS1248" s="766">
        <v>6.9999999999999999E-4</v>
      </c>
      <c r="CT1248" s="1993"/>
      <c r="CU1248" s="1993"/>
      <c r="CV1248" s="1995">
        <v>3.0630999999999999E-2</v>
      </c>
      <c r="CW1248" s="1995">
        <v>3.7149999999999996E-2</v>
      </c>
      <c r="CX1248" s="1993"/>
      <c r="CY1248" s="1993"/>
      <c r="CZ1248" s="766">
        <v>4.1399999999999999E-2</v>
      </c>
      <c r="DA1248" s="766">
        <v>4.4499999999999998E-2</v>
      </c>
      <c r="DB1248" s="1993"/>
      <c r="DC1248" s="1993"/>
      <c r="DD1248" s="766">
        <v>4.4340999999999998E-2</v>
      </c>
      <c r="DE1248" s="847">
        <f>DD1248</f>
        <v>4.4340999999999998E-2</v>
      </c>
      <c r="DF1248" s="1040"/>
      <c r="DG1248" s="1040"/>
      <c r="DH1248" s="766">
        <v>4.4340999999999998E-2</v>
      </c>
      <c r="DI1248" s="847">
        <f>DH1248</f>
        <v>4.4340999999999998E-2</v>
      </c>
      <c r="DJ1248" s="1040"/>
      <c r="DK1248" s="1040"/>
      <c r="DL1248" s="847">
        <f>DI1248</f>
        <v>4.4340999999999998E-2</v>
      </c>
      <c r="DM1248" s="847">
        <f>DL1248</f>
        <v>4.4340999999999998E-2</v>
      </c>
      <c r="DN1248" s="1040"/>
      <c r="DO1248" s="1040"/>
      <c r="DP1248" s="847">
        <f>DM1248</f>
        <v>4.4340999999999998E-2</v>
      </c>
      <c r="DQ1248" s="847">
        <f>DP1248</f>
        <v>4.4340999999999998E-2</v>
      </c>
      <c r="DR1248" s="1040"/>
      <c r="DS1248" s="1040"/>
      <c r="DT1248" s="1040"/>
      <c r="DU1248" s="847"/>
      <c r="DV1248" s="847"/>
      <c r="DW1248" s="847"/>
      <c r="DX1248" s="1039"/>
      <c r="DY1248" s="1039"/>
      <c r="DZ1248" s="846"/>
      <c r="EA1248" s="846"/>
      <c r="EB1248" s="1039"/>
      <c r="EC1248" s="1039"/>
      <c r="ED1248" s="846"/>
      <c r="EE1248" s="846"/>
      <c r="EF1248" s="1039"/>
      <c r="EG1248" s="1039"/>
      <c r="FL1248" s="102"/>
      <c r="FM1248" s="102"/>
      <c r="FN1248" s="102"/>
      <c r="FO1248" s="102"/>
      <c r="FP1248" s="102"/>
      <c r="FQ1248" s="102"/>
      <c r="FR1248" s="102"/>
      <c r="FS1248" s="102"/>
      <c r="FT1248" s="102"/>
      <c r="FU1248" s="102"/>
      <c r="FV1248" s="102"/>
      <c r="FW1248" s="102"/>
      <c r="FX1248" s="102"/>
      <c r="FY1248" s="102"/>
      <c r="FZ1248" s="102"/>
      <c r="GA1248" s="102"/>
      <c r="GB1248" s="102"/>
      <c r="GC1248" s="102"/>
      <c r="GD1248" s="102"/>
      <c r="GE1248" s="102"/>
      <c r="GF1248" s="102"/>
      <c r="GG1248" s="102"/>
      <c r="GH1248" s="102"/>
      <c r="GI1248" s="102"/>
      <c r="GJ1248" s="102"/>
      <c r="GK1248" s="102"/>
      <c r="GL1248" s="102"/>
      <c r="GM1248" s="102"/>
      <c r="GN1248" s="102"/>
      <c r="GO1248" s="102"/>
      <c r="GP1248" s="102"/>
      <c r="GQ1248" s="102"/>
      <c r="GR1248" s="102"/>
      <c r="GS1248" s="102"/>
      <c r="GT1248" s="102"/>
      <c r="GU1248" s="102"/>
      <c r="GV1248" s="102"/>
      <c r="GW1248" s="102"/>
      <c r="GX1248" s="102"/>
      <c r="GY1248" s="102"/>
      <c r="GZ1248" s="102"/>
      <c r="HA1248" s="102"/>
      <c r="HB1248" s="102"/>
      <c r="HC1248" s="102"/>
      <c r="HD1248" s="102"/>
      <c r="HE1248" s="102"/>
      <c r="HF1248" s="102"/>
      <c r="HG1248" s="102"/>
      <c r="HH1248" s="102"/>
      <c r="HI1248" s="102"/>
      <c r="HJ1248" s="102"/>
      <c r="HK1248" s="102"/>
      <c r="HL1248" s="102"/>
      <c r="HM1248" s="102"/>
      <c r="HN1248" s="102"/>
      <c r="HO1248" s="102"/>
      <c r="HP1248" s="102"/>
      <c r="HQ1248" s="102"/>
      <c r="HR1248" s="102"/>
      <c r="HS1248" s="102"/>
      <c r="HT1248" s="102"/>
      <c r="HU1248" s="102"/>
      <c r="HV1248" s="102"/>
      <c r="HW1248" s="102"/>
      <c r="HX1248" s="102"/>
      <c r="HY1248" s="102"/>
      <c r="HZ1248" s="102"/>
      <c r="IA1248" s="102"/>
      <c r="IB1248" s="102"/>
      <c r="IC1248" s="102"/>
      <c r="ID1248" s="102"/>
      <c r="IE1248" s="102"/>
      <c r="IF1248" s="102"/>
      <c r="IG1248" s="102"/>
      <c r="IH1248" s="102"/>
      <c r="II1248" s="102"/>
      <c r="IJ1248" s="102"/>
      <c r="IK1248" s="102"/>
      <c r="IL1248" s="102"/>
      <c r="IM1248" s="102"/>
      <c r="IN1248" s="102"/>
      <c r="IO1248" s="102"/>
      <c r="IP1248" s="102"/>
      <c r="IQ1248" s="102"/>
      <c r="IR1248" s="102"/>
      <c r="IS1248" s="102"/>
      <c r="IT1248" s="102"/>
      <c r="IU1248" s="102"/>
      <c r="IV1248" s="102"/>
      <c r="IW1248" s="102"/>
      <c r="IX1248" s="102"/>
      <c r="IY1248" s="102"/>
      <c r="IZ1248" s="102"/>
      <c r="JA1248" s="102"/>
      <c r="JB1248" s="102"/>
      <c r="JC1248" s="102"/>
      <c r="JD1248" s="102"/>
      <c r="JE1248" s="102"/>
      <c r="JF1248" s="102"/>
      <c r="JG1248" s="102"/>
      <c r="JH1248" s="102"/>
      <c r="JI1248" s="102"/>
      <c r="JJ1248" s="102"/>
      <c r="JK1248" s="102"/>
      <c r="JL1248" s="102"/>
      <c r="JM1248"/>
    </row>
    <row r="1249" spans="1:146">
      <c r="AN1249" s="102"/>
      <c r="AO1249" s="102"/>
      <c r="AP1249" s="102"/>
      <c r="AQ1249" s="102"/>
      <c r="AR1249" s="102"/>
      <c r="AS1249" s="102"/>
      <c r="AT1249" s="102"/>
      <c r="AU1249" s="102"/>
      <c r="AV1249" s="102"/>
      <c r="AW1249" s="102"/>
      <c r="AX1249" s="102"/>
      <c r="AY1249" s="102"/>
      <c r="AZ1249" s="102"/>
      <c r="BA1249" s="102"/>
      <c r="BB1249" s="102"/>
      <c r="BC1249" s="102"/>
      <c r="BD1249" s="102"/>
      <c r="BE1249" s="102"/>
      <c r="BF1249" s="102"/>
      <c r="BG1249" s="102"/>
      <c r="BH1249" s="102"/>
      <c r="BI1249" s="102"/>
      <c r="BJ1249" s="102"/>
      <c r="BK1249" s="102"/>
      <c r="BL1249" s="1042"/>
      <c r="BM1249" s="1042"/>
      <c r="BN1249" s="1042"/>
      <c r="BO1249" s="1042"/>
      <c r="BP1249" s="1042"/>
      <c r="BQ1249" s="1042"/>
      <c r="BR1249" s="1042"/>
      <c r="BS1249" s="1042"/>
      <c r="BT1249" s="1042"/>
      <c r="BU1249" s="1042"/>
      <c r="BV1249" s="1042"/>
      <c r="BW1249" s="1042"/>
      <c r="BX1249" s="1042"/>
      <c r="BY1249" s="1042"/>
      <c r="BZ1249" s="1042"/>
      <c r="CA1249" s="1042"/>
      <c r="CB1249" s="1042"/>
      <c r="CC1249" s="1042"/>
      <c r="CD1249" s="1042"/>
      <c r="CE1249" s="1633"/>
      <c r="CF1249" s="1042"/>
      <c r="CG1249" s="1042"/>
      <c r="CH1249" s="1042"/>
      <c r="CI1249" s="1633"/>
      <c r="CJ1249" s="1042"/>
      <c r="CK1249" s="1042"/>
      <c r="CL1249" s="1042"/>
      <c r="CM1249" s="1633"/>
      <c r="CN1249" s="1042"/>
      <c r="CO1249" s="1042"/>
      <c r="CP1249" s="1042"/>
      <c r="CQ1249" s="1633"/>
      <c r="CR1249" s="1042"/>
      <c r="CS1249" s="1042"/>
      <c r="CT1249" s="1042"/>
      <c r="CU1249" s="1042"/>
      <c r="CV1249" s="1042"/>
      <c r="CW1249" s="1042"/>
      <c r="CX1249" s="1042"/>
      <c r="CY1249" s="1042"/>
      <c r="CZ1249" s="1042"/>
      <c r="DA1249" s="1042"/>
      <c r="DB1249" s="1042"/>
      <c r="DC1249" s="1042"/>
      <c r="DD1249" s="1042"/>
      <c r="DE1249" s="1042"/>
      <c r="DF1249" s="1042"/>
      <c r="DG1249" s="1042"/>
      <c r="DH1249" s="1042"/>
      <c r="DI1249" s="1042"/>
      <c r="DJ1249" s="1042"/>
      <c r="DK1249" s="1042"/>
      <c r="DL1249" s="1042"/>
      <c r="DM1249" s="1042"/>
      <c r="DN1249" s="1042"/>
      <c r="DO1249" s="1042"/>
      <c r="DP1249" s="1042"/>
      <c r="DQ1249" s="1042"/>
      <c r="DR1249" s="1042"/>
      <c r="DS1249" s="1042"/>
      <c r="DT1249" s="1042"/>
      <c r="DU1249" s="1042"/>
      <c r="DV1249" s="1042"/>
      <c r="DW1249" s="1042"/>
      <c r="DX1249" s="1042"/>
      <c r="DY1249" s="1042"/>
      <c r="DZ1249" s="1042"/>
      <c r="EA1249" s="1042"/>
      <c r="EB1249" s="1042"/>
      <c r="EC1249" s="1042"/>
      <c r="ED1249" s="1042"/>
      <c r="EE1249" s="1042"/>
      <c r="EF1249" s="1042"/>
      <c r="EG1249" s="1042"/>
      <c r="EH1249" s="102"/>
      <c r="EI1249" s="102"/>
      <c r="EJ1249" s="102"/>
      <c r="EK1249" s="102"/>
      <c r="EL1249" s="102"/>
      <c r="EM1249" s="102"/>
      <c r="EN1249" s="102"/>
      <c r="EO1249" s="102"/>
      <c r="EP1249" s="102"/>
    </row>
    <row r="1250" spans="1:146">
      <c r="A1250" s="289" t="s">
        <v>475</v>
      </c>
      <c r="AN1250" s="102"/>
      <c r="AO1250" s="102"/>
      <c r="AP1250" s="102"/>
      <c r="AQ1250" s="102"/>
      <c r="AR1250" s="102"/>
      <c r="AS1250" s="102"/>
      <c r="AT1250" s="102"/>
      <c r="AU1250" s="102"/>
      <c r="AV1250" s="102"/>
      <c r="AW1250" s="102"/>
      <c r="AX1250" s="102"/>
      <c r="AY1250" s="102"/>
      <c r="AZ1250" s="102"/>
      <c r="BA1250" s="102"/>
      <c r="BB1250" s="102"/>
      <c r="BC1250" s="102"/>
      <c r="BD1250" s="102"/>
      <c r="BE1250" s="102"/>
      <c r="BF1250" s="102"/>
      <c r="BG1250" s="102"/>
      <c r="BH1250" s="102"/>
      <c r="BI1250" s="102"/>
      <c r="BJ1250" s="102"/>
      <c r="BK1250" s="102"/>
      <c r="BL1250" s="1043"/>
      <c r="BM1250" s="1043"/>
      <c r="BN1250" s="1043"/>
      <c r="BO1250" s="1043"/>
      <c r="BP1250" s="1043"/>
      <c r="BQ1250" s="1043"/>
      <c r="BR1250" s="1043"/>
      <c r="BS1250" s="1043"/>
      <c r="BT1250" s="1043"/>
      <c r="BU1250" s="1043"/>
      <c r="BV1250" s="1043"/>
      <c r="BW1250" s="1043"/>
      <c r="BX1250" s="1043"/>
      <c r="BY1250" s="1043"/>
      <c r="BZ1250" s="1043"/>
      <c r="CA1250" s="1043"/>
      <c r="CB1250" s="1043"/>
      <c r="CC1250" s="1043"/>
      <c r="CD1250" s="1043"/>
      <c r="CE1250" s="1634"/>
      <c r="CF1250" s="1043"/>
      <c r="CG1250" s="1043"/>
      <c r="CH1250" s="1043"/>
      <c r="CI1250" s="1634"/>
      <c r="CJ1250" s="1043"/>
      <c r="CK1250" s="1043"/>
      <c r="CL1250" s="1043"/>
      <c r="CM1250" s="1634"/>
      <c r="CN1250" s="1043"/>
      <c r="CO1250" s="1043"/>
      <c r="CP1250" s="1043"/>
      <c r="CQ1250" s="1634"/>
      <c r="CR1250" s="1043"/>
      <c r="CS1250" s="1043"/>
      <c r="CT1250" s="1043"/>
      <c r="CU1250" s="1043"/>
      <c r="CV1250" s="1043"/>
      <c r="CW1250" s="1043"/>
      <c r="CX1250" s="1043"/>
      <c r="CY1250" s="1043"/>
      <c r="CZ1250" s="1043"/>
      <c r="DA1250" s="1043"/>
      <c r="DB1250" s="1043"/>
      <c r="DC1250" s="1043"/>
      <c r="DD1250" s="1043"/>
      <c r="DE1250" s="1043"/>
      <c r="DF1250" s="1043"/>
      <c r="DG1250" s="1043"/>
      <c r="DH1250" s="1043"/>
      <c r="DI1250" s="1043"/>
      <c r="DJ1250" s="1043"/>
      <c r="DK1250" s="1043"/>
      <c r="DL1250" s="1043"/>
      <c r="DM1250" s="1043"/>
      <c r="DN1250" s="1043"/>
      <c r="DO1250" s="1043"/>
      <c r="DP1250" s="1043"/>
      <c r="DQ1250" s="1043"/>
      <c r="DR1250" s="1043"/>
      <c r="DS1250" s="1043"/>
      <c r="DT1250" s="1043"/>
      <c r="DU1250" s="1043"/>
      <c r="DV1250" s="1043"/>
      <c r="DW1250" s="1043"/>
      <c r="DX1250" s="1043"/>
      <c r="DY1250" s="1043"/>
      <c r="DZ1250" s="1043"/>
      <c r="EA1250" s="1043"/>
      <c r="EB1250" s="1043"/>
      <c r="EC1250" s="1043"/>
      <c r="ED1250" s="1043"/>
      <c r="EE1250" s="1043"/>
      <c r="EF1250" s="1043"/>
      <c r="EG1250" s="1043"/>
      <c r="EH1250" s="102"/>
      <c r="EI1250" s="102"/>
      <c r="EJ1250" s="102"/>
      <c r="EK1250" s="102"/>
      <c r="EL1250" s="102"/>
      <c r="EM1250" s="102"/>
      <c r="EN1250" s="102"/>
      <c r="EO1250" s="102"/>
      <c r="EP1250" s="102"/>
    </row>
    <row r="1251" spans="1:146">
      <c r="A1251" s="102" t="s">
        <v>477</v>
      </c>
      <c r="AN1251" s="102"/>
      <c r="AO1251" s="102"/>
      <c r="AP1251" s="102"/>
      <c r="AQ1251" s="102"/>
      <c r="AR1251" s="102"/>
      <c r="AS1251" s="102"/>
      <c r="AT1251" s="102"/>
      <c r="AU1251" s="102"/>
      <c r="AV1251" s="102"/>
      <c r="AW1251" s="102"/>
      <c r="AX1251" s="102"/>
      <c r="AY1251" s="102"/>
      <c r="AZ1251" s="102"/>
      <c r="BA1251" s="102"/>
      <c r="BB1251" s="102"/>
      <c r="BC1251" s="102"/>
      <c r="BD1251" s="102"/>
      <c r="BE1251" s="102"/>
      <c r="BF1251" s="102"/>
      <c r="BG1251" s="102"/>
      <c r="BH1251" s="102"/>
      <c r="BI1251" s="102"/>
      <c r="BJ1251" s="102"/>
      <c r="BK1251" s="102"/>
      <c r="BL1251" s="763">
        <f>AVERAGE(BL1247,BI1247)</f>
        <v>2.75E-2</v>
      </c>
      <c r="BM1251" s="763">
        <f>AVERAGE(BL1247:BM1247)</f>
        <v>2.5000000000000001E-2</v>
      </c>
      <c r="BN1251" s="1042">
        <f>AVERAGE(BL1251:BM1251)</f>
        <v>2.6250000000000002E-2</v>
      </c>
      <c r="BO1251" s="1042"/>
      <c r="BP1251" s="763">
        <f>AVERAGE(BP1247,BM1247)</f>
        <v>2.5000000000000001E-2</v>
      </c>
      <c r="BQ1251" s="763">
        <f>AVERAGE(BP1247:BQ1247)</f>
        <v>2.375E-2</v>
      </c>
      <c r="BR1251" s="1042">
        <f>AVERAGE(BP1251:BQ1251)</f>
        <v>2.4375000000000001E-2</v>
      </c>
      <c r="BS1251" s="1042"/>
      <c r="BT1251" s="763">
        <f>AVERAGE(BT1247,BQ1247)</f>
        <v>2.1249999999999998E-2</v>
      </c>
      <c r="BU1251" s="763">
        <f>AVERAGE(BT1247:BU1247)</f>
        <v>0.02</v>
      </c>
      <c r="BV1251" s="1042">
        <f>AVERAGE(BT1251:BU1251)</f>
        <v>2.0624999999999998E-2</v>
      </c>
      <c r="BW1251" s="1042"/>
      <c r="BX1251" s="763">
        <f>AVERAGE(BX1247,BU1247)</f>
        <v>1.7500000000000002E-2</v>
      </c>
      <c r="BY1251" s="763">
        <f>AVERAGE(BX1247:BY1247)</f>
        <v>1.4999999999999999E-2</v>
      </c>
      <c r="BZ1251" s="1042">
        <f>AVERAGE(BX1251:BY1251)</f>
        <v>1.6250000000000001E-2</v>
      </c>
      <c r="CA1251" s="1042"/>
      <c r="CB1251" s="763">
        <f>AVERAGE(CB1247,BY1247)</f>
        <v>1.4999999999999999E-2</v>
      </c>
      <c r="CC1251" s="763">
        <f>AVERAGE(CB1247:CC1247)</f>
        <v>1.4999999999999999E-2</v>
      </c>
      <c r="CD1251" s="1042">
        <f>AVERAGE(CB1251:CC1251)</f>
        <v>1.4999999999999999E-2</v>
      </c>
      <c r="CE1251" s="1633"/>
      <c r="CF1251" s="763">
        <f>AVERAGE(CF1247,CC1247)</f>
        <v>1.4999999999999999E-2</v>
      </c>
      <c r="CG1251" s="763">
        <f>AVERAGE(CF1247:CG1247)</f>
        <v>1.4999999999999999E-2</v>
      </c>
      <c r="CH1251" s="1042">
        <f>AVERAGE(CF1251:CG1251)</f>
        <v>1.4999999999999999E-2</v>
      </c>
      <c r="CI1251" s="1633"/>
      <c r="CJ1251" s="763">
        <f>AVERAGE(CJ1247,CG1247)</f>
        <v>1.125E-2</v>
      </c>
      <c r="CK1251" s="763">
        <f>AVERAGE(CJ1247:CK1247)</f>
        <v>5.0000000000000001E-3</v>
      </c>
      <c r="CL1251" s="1042">
        <f>AVERAGE(CJ1251:CK1251)</f>
        <v>8.1250000000000003E-3</v>
      </c>
      <c r="CM1251" s="1633"/>
      <c r="CN1251" s="763">
        <f>AVERAGE(CN1247,CK1247)</f>
        <v>2.5000000000000001E-3</v>
      </c>
      <c r="CO1251" s="763">
        <f>AVERAGE(CN1247:CO1247)</f>
        <v>1.75E-3</v>
      </c>
      <c r="CP1251" s="1042">
        <f>AVERAGE(CN1251:CO1251)</f>
        <v>2.1250000000000002E-3</v>
      </c>
      <c r="CQ1251" s="1633"/>
      <c r="CR1251" s="763">
        <f>AVERAGE(CR1247,CO1247)</f>
        <v>1E-3</v>
      </c>
      <c r="CS1251" s="763">
        <f>AVERAGE(CR1247:CS1247)</f>
        <v>1E-3</v>
      </c>
      <c r="CT1251" s="1042">
        <f>AVERAGE(CR1251:CS1251)</f>
        <v>1E-3</v>
      </c>
      <c r="CU1251" s="1042"/>
      <c r="CV1251" s="763">
        <f>AVERAGE(CV1247,CS1247)</f>
        <v>1.225E-2</v>
      </c>
      <c r="CW1251" s="763">
        <f>AVERAGE(CV1247:CW1247)</f>
        <v>2.9749999999999999E-2</v>
      </c>
      <c r="CX1251" s="1042">
        <f>AVERAGE(CV1251:CW1251)</f>
        <v>2.0999999999999998E-2</v>
      </c>
      <c r="CY1251" s="1042"/>
      <c r="CZ1251" s="763">
        <f>AVERAGE(CZ1247,CW1247)</f>
        <v>3.85E-2</v>
      </c>
      <c r="DA1251" s="763">
        <f>AVERAGE(CZ1247:DA1247)</f>
        <v>4.2249999999999996E-2</v>
      </c>
      <c r="DB1251" s="1042">
        <f>AVERAGE(CZ1251:DA1251)</f>
        <v>4.0374999999999994E-2</v>
      </c>
      <c r="DC1251" s="1042"/>
      <c r="DD1251" s="763">
        <f>AVERAGE(DD1247,DA1247)</f>
        <v>4.3499999999999997E-2</v>
      </c>
      <c r="DE1251" s="763">
        <f>AVERAGE(DD1247:DE1247)</f>
        <v>4.3499999999999997E-2</v>
      </c>
      <c r="DF1251" s="1042">
        <f>AVERAGE(DD1251:DE1251)</f>
        <v>4.3499999999999997E-2</v>
      </c>
      <c r="DG1251" s="1042"/>
      <c r="DH1251" s="763">
        <f>AVERAGE(DH1247,DE1247)</f>
        <v>4.3499999999999997E-2</v>
      </c>
      <c r="DI1251" s="763">
        <f>AVERAGE(DH1247:DI1247)</f>
        <v>4.3499999999999997E-2</v>
      </c>
      <c r="DJ1251" s="1042">
        <f>AVERAGE(DH1251:DI1251)</f>
        <v>4.3499999999999997E-2</v>
      </c>
      <c r="DK1251" s="1042"/>
      <c r="DL1251" s="763">
        <f>AVERAGE(DL1247,DI1247)</f>
        <v>4.3499999999999997E-2</v>
      </c>
      <c r="DM1251" s="763">
        <f>AVERAGE(DL1247:DM1247)</f>
        <v>4.3499999999999997E-2</v>
      </c>
      <c r="DN1251" s="1042">
        <f>AVERAGE(DL1251:DM1251)</f>
        <v>4.3499999999999997E-2</v>
      </c>
      <c r="DO1251" s="1042"/>
      <c r="DP1251" s="763">
        <f>AVERAGE(DP1247,DM1247)</f>
        <v>4.3499999999999997E-2</v>
      </c>
      <c r="DQ1251" s="763">
        <f>AVERAGE(DP1247:DQ1247)</f>
        <v>4.3499999999999997E-2</v>
      </c>
      <c r="DR1251" s="1042">
        <f>AVERAGE(DP1251:DQ1251)</f>
        <v>4.3499999999999997E-2</v>
      </c>
      <c r="DS1251" s="1042"/>
      <c r="DT1251" s="1042"/>
      <c r="DU1251" s="763"/>
      <c r="DV1251" s="763"/>
      <c r="DW1251" s="763"/>
      <c r="DX1251" s="1042"/>
      <c r="DY1251" s="1042"/>
      <c r="DZ1251" s="763"/>
      <c r="EA1251" s="763"/>
      <c r="EB1251" s="1042"/>
      <c r="EC1251" s="1042"/>
      <c r="ED1251" s="763"/>
      <c r="EE1251" s="763"/>
      <c r="EF1251" s="1042"/>
      <c r="EG1251" s="1042"/>
      <c r="EH1251" s="102"/>
      <c r="EI1251" s="102"/>
      <c r="EJ1251" s="102"/>
      <c r="EK1251" s="102"/>
      <c r="EL1251" s="102"/>
      <c r="EM1251" s="102"/>
      <c r="EN1251" s="102"/>
      <c r="EO1251" s="102"/>
      <c r="EP1251" s="102"/>
    </row>
    <row r="1252" spans="1:146">
      <c r="A1252" s="102" t="s">
        <v>124</v>
      </c>
      <c r="AN1252" s="102"/>
      <c r="AO1252" s="102"/>
      <c r="AP1252" s="102"/>
      <c r="AQ1252" s="102"/>
      <c r="AR1252" s="102"/>
      <c r="AS1252" s="102"/>
      <c r="AT1252" s="102"/>
      <c r="AU1252" s="102"/>
      <c r="AV1252" s="102"/>
      <c r="AW1252" s="102"/>
      <c r="AX1252" s="102"/>
      <c r="AY1252" s="102"/>
      <c r="AZ1252" s="102"/>
      <c r="BA1252" s="102"/>
      <c r="BB1252" s="102"/>
      <c r="BC1252" s="102"/>
      <c r="BD1252" s="102"/>
      <c r="BE1252" s="102"/>
      <c r="BF1252" s="102"/>
      <c r="BG1252" s="102"/>
      <c r="BH1252" s="102"/>
      <c r="BI1252" s="102"/>
      <c r="BJ1252" s="102"/>
      <c r="BK1252" s="102"/>
      <c r="BL1252" s="763">
        <f>AVERAGE(BL1248,BI1248)</f>
        <v>2.8150000000000001E-2</v>
      </c>
      <c r="BM1252" s="763">
        <f>AVERAGE(BL1248:BM1248)</f>
        <v>2.6200000000000001E-2</v>
      </c>
      <c r="BN1252" s="1042">
        <f>AVERAGE(BL1252:BM1252)</f>
        <v>2.7175000000000001E-2</v>
      </c>
      <c r="BO1252" s="1042"/>
      <c r="BP1252" s="763">
        <f>AVERAGE(BP1248,BM1248)</f>
        <v>2.7E-2</v>
      </c>
      <c r="BQ1252" s="763">
        <f>AVERAGE(BP1248:BQ1248)</f>
        <v>2.665E-2</v>
      </c>
      <c r="BR1252" s="1042">
        <f>AVERAGE(BP1252:BQ1252)</f>
        <v>2.6825000000000002E-2</v>
      </c>
      <c r="BS1252" s="1042"/>
      <c r="BT1252" s="763">
        <f>AVERAGE(BT1248,BQ1248)</f>
        <v>2.385E-2</v>
      </c>
      <c r="BU1252" s="763">
        <f>AVERAGE(BT1248:BU1248)</f>
        <v>2.223E-2</v>
      </c>
      <c r="BV1252" s="1042">
        <f>AVERAGE(BT1252:BU1252)</f>
        <v>2.3039999999999998E-2</v>
      </c>
      <c r="BW1252" s="1042"/>
      <c r="BX1252" s="763">
        <f>AVERAGE(BX1248,BU1248)</f>
        <v>2.0029999999999999E-2</v>
      </c>
      <c r="BY1252" s="763">
        <f>AVERAGE(BX1248:BY1248)</f>
        <v>1.7675E-2</v>
      </c>
      <c r="BZ1252" s="1042">
        <f>AVERAGE(BX1252:BY1252)</f>
        <v>1.8852500000000001E-2</v>
      </c>
      <c r="CA1252" s="1042"/>
      <c r="CB1252" s="763">
        <f>AVERAGE(CB1248,BY1248)</f>
        <v>1.7524999999999999E-2</v>
      </c>
      <c r="CC1252" s="763">
        <f>AVERAGE(CB1248:CC1248)</f>
        <v>1.8700000000000001E-2</v>
      </c>
      <c r="CD1252" s="1042">
        <f>AVERAGE(CB1252:CC1252)</f>
        <v>1.81125E-2</v>
      </c>
      <c r="CE1252" s="1633"/>
      <c r="CF1252" s="763">
        <f>AVERAGE(CF1248,CC1248)</f>
        <v>1.985E-2</v>
      </c>
      <c r="CG1252" s="763">
        <f>AVERAGE(CF1248:CG1248)</f>
        <v>1.745E-2</v>
      </c>
      <c r="CH1252" s="1042">
        <f>AVERAGE(CF1252:CG1252)</f>
        <v>1.865E-2</v>
      </c>
      <c r="CI1252" s="1633"/>
      <c r="CJ1252" s="763">
        <f>AVERAGE(CJ1248,CG1248)</f>
        <v>1.2475E-2</v>
      </c>
      <c r="CK1252" s="763">
        <f>AVERAGE(CJ1248:CK1248)</f>
        <v>6.5399999999999998E-3</v>
      </c>
      <c r="CL1252" s="1042">
        <f>AVERAGE(CJ1252:CK1252)</f>
        <v>9.5075000000000003E-3</v>
      </c>
      <c r="CM1252" s="1633"/>
      <c r="CN1252" s="763">
        <f>AVERAGE(CN1248,CK1248)</f>
        <v>2.215E-3</v>
      </c>
      <c r="CO1252" s="763">
        <f>AVERAGE(CN1248:CO1248)</f>
        <v>5.7499999999999999E-4</v>
      </c>
      <c r="CP1252" s="1042">
        <f>AVERAGE(CN1252:CO1252)</f>
        <v>1.395E-3</v>
      </c>
      <c r="CQ1252" s="1633"/>
      <c r="CR1252" s="763">
        <f>AVERAGE(CR1248,CO1248)</f>
        <v>5.7499999999999999E-4</v>
      </c>
      <c r="CS1252" s="763">
        <f>AVERAGE(CR1248:CS1248)</f>
        <v>7.5000000000000002E-4</v>
      </c>
      <c r="CT1252" s="1042">
        <f>AVERAGE(CR1252:CS1252)</f>
        <v>6.625E-4</v>
      </c>
      <c r="CU1252" s="1042"/>
      <c r="CV1252" s="763">
        <f>AVERAGE(CV1248,CS1248)</f>
        <v>1.5665499999999999E-2</v>
      </c>
      <c r="CW1252" s="763">
        <f>AVERAGE(CV1248:CW1248)</f>
        <v>3.3890499999999997E-2</v>
      </c>
      <c r="CX1252" s="1042">
        <f>AVERAGE(CV1252:CW1252)</f>
        <v>2.4777999999999998E-2</v>
      </c>
      <c r="CY1252" s="1042"/>
      <c r="CZ1252" s="763">
        <f>AVERAGE(CZ1248,CW1248)</f>
        <v>3.9274999999999997E-2</v>
      </c>
      <c r="DA1252" s="763">
        <f>AVERAGE(CZ1248:DA1248)</f>
        <v>4.2950000000000002E-2</v>
      </c>
      <c r="DB1252" s="1042">
        <f>AVERAGE(CZ1252:DA1252)</f>
        <v>4.1112499999999996E-2</v>
      </c>
      <c r="DC1252" s="1042"/>
      <c r="DD1252" s="763">
        <f>AVERAGE(DD1248,DA1248)</f>
        <v>4.4420500000000002E-2</v>
      </c>
      <c r="DE1252" s="763">
        <f>AVERAGE(DD1248:DE1248)</f>
        <v>4.4340999999999998E-2</v>
      </c>
      <c r="DF1252" s="1042">
        <f>AVERAGE(DD1252:DE1252)</f>
        <v>4.4380749999999997E-2</v>
      </c>
      <c r="DG1252" s="1042"/>
      <c r="DH1252" s="763">
        <f>AVERAGE(DH1248,DE1248)</f>
        <v>4.4340999999999998E-2</v>
      </c>
      <c r="DI1252" s="763">
        <f>AVERAGE(DH1248:DI1248)</f>
        <v>4.4340999999999998E-2</v>
      </c>
      <c r="DJ1252" s="1042">
        <f>AVERAGE(DH1252:DI1252)</f>
        <v>4.4340999999999998E-2</v>
      </c>
      <c r="DK1252" s="1042"/>
      <c r="DL1252" s="763">
        <f>AVERAGE(DL1248,DI1248)</f>
        <v>4.4340999999999998E-2</v>
      </c>
      <c r="DM1252" s="763">
        <f>AVERAGE(DL1248:DM1248)</f>
        <v>4.4340999999999998E-2</v>
      </c>
      <c r="DN1252" s="1042">
        <f>AVERAGE(DL1252:DM1252)</f>
        <v>4.4340999999999998E-2</v>
      </c>
      <c r="DO1252" s="1042"/>
      <c r="DP1252" s="763">
        <f>AVERAGE(DP1248,DM1248)</f>
        <v>4.4340999999999998E-2</v>
      </c>
      <c r="DQ1252" s="763">
        <f>AVERAGE(DP1248:DQ1248)</f>
        <v>4.4340999999999998E-2</v>
      </c>
      <c r="DR1252" s="1042">
        <f>AVERAGE(DP1252:DQ1252)</f>
        <v>4.4340999999999998E-2</v>
      </c>
      <c r="DS1252" s="1042"/>
      <c r="DT1252" s="1042"/>
      <c r="DU1252" s="763"/>
      <c r="DV1252" s="763"/>
      <c r="DW1252" s="763"/>
      <c r="DX1252" s="1042"/>
      <c r="DY1252" s="1042"/>
      <c r="DZ1252" s="763"/>
      <c r="EA1252" s="763"/>
      <c r="EB1252" s="1042"/>
      <c r="EC1252" s="1042"/>
      <c r="ED1252" s="763"/>
      <c r="EE1252" s="763"/>
      <c r="EF1252" s="1042"/>
      <c r="EG1252" s="1042"/>
      <c r="EH1252" s="102"/>
      <c r="EI1252" s="102"/>
      <c r="EJ1252" s="102"/>
      <c r="EK1252" s="102"/>
      <c r="EL1252" s="102"/>
      <c r="EM1252" s="102"/>
      <c r="EN1252" s="102"/>
      <c r="EO1252" s="102"/>
      <c r="EP1252" s="102"/>
    </row>
    <row r="1254" spans="1:146">
      <c r="A1254" s="102" t="s">
        <v>978</v>
      </c>
    </row>
    <row r="1256" spans="1:146">
      <c r="A1256" s="102" t="s">
        <v>586</v>
      </c>
      <c r="BL1256" s="1044"/>
      <c r="BV1256" s="293">
        <f>BV11</f>
        <v>1582</v>
      </c>
      <c r="BW1256" s="325">
        <f>+BV1256/BV$1270</f>
        <v>0.15573931876353614</v>
      </c>
      <c r="BZ1256" s="293">
        <f>BZ11</f>
        <v>1580</v>
      </c>
      <c r="CD1256" s="293">
        <f>CD11</f>
        <v>1590</v>
      </c>
      <c r="CH1256" s="293">
        <f>CH11</f>
        <v>1815</v>
      </c>
      <c r="CL1256" s="293">
        <f>CL11</f>
        <v>2053</v>
      </c>
      <c r="CP1256" s="293">
        <f>CP11</f>
        <v>2011</v>
      </c>
    </row>
    <row r="1257" spans="1:146">
      <c r="A1257" s="102" t="s">
        <v>966</v>
      </c>
      <c r="BV1257" s="293">
        <f>DIVISIONS!BV68</f>
        <v>0</v>
      </c>
      <c r="BW1257" s="325">
        <f t="shared" ref="BW1257:BW1269" si="2560">+BV1257/BV$1270</f>
        <v>0</v>
      </c>
      <c r="BZ1257" s="293">
        <f>DIVISIONS!BZ68</f>
        <v>0</v>
      </c>
      <c r="CD1257" s="293">
        <f>DIVISIONS!CD68</f>
        <v>0</v>
      </c>
      <c r="CH1257" s="293">
        <f>DIVISIONS!CH68</f>
        <v>0</v>
      </c>
      <c r="CL1257" s="293">
        <f>DIVISIONS!CL68</f>
        <v>0</v>
      </c>
      <c r="CP1257" s="293">
        <f>DIVISIONS!CP68</f>
        <v>0</v>
      </c>
    </row>
    <row r="1258" spans="1:146">
      <c r="A1258" s="102" t="s">
        <v>968</v>
      </c>
      <c r="BV1258" s="293">
        <f>DIVISIONS!BV69</f>
        <v>0</v>
      </c>
      <c r="BW1258" s="325">
        <f t="shared" si="2560"/>
        <v>0</v>
      </c>
      <c r="BZ1258" s="293">
        <f>DIVISIONS!BZ69</f>
        <v>0</v>
      </c>
      <c r="CD1258" s="293">
        <f>DIVISIONS!CD69</f>
        <v>0</v>
      </c>
      <c r="CH1258" s="293">
        <f>DIVISIONS!CH69</f>
        <v>0</v>
      </c>
      <c r="CL1258" s="293">
        <f>DIVISIONS!CL69</f>
        <v>0</v>
      </c>
      <c r="CP1258" s="293">
        <f>DIVISIONS!CP69</f>
        <v>0</v>
      </c>
    </row>
    <row r="1259" spans="1:146">
      <c r="A1259" s="102" t="s">
        <v>967</v>
      </c>
      <c r="BV1259" s="293">
        <f>DIVISIONS!BV60</f>
        <v>0</v>
      </c>
      <c r="BW1259" s="325">
        <f t="shared" si="2560"/>
        <v>0</v>
      </c>
      <c r="BZ1259" s="293">
        <f>DIVISIONS!BZ60</f>
        <v>0</v>
      </c>
      <c r="CD1259" s="293">
        <f>DIVISIONS!CD60</f>
        <v>0</v>
      </c>
      <c r="CH1259" s="293">
        <f>DIVISIONS!CH60</f>
        <v>0</v>
      </c>
      <c r="CL1259" s="293">
        <f>DIVISIONS!CL60</f>
        <v>0</v>
      </c>
      <c r="CP1259" s="293">
        <f>DIVISIONS!CP60</f>
        <v>0</v>
      </c>
    </row>
    <row r="1260" spans="1:146">
      <c r="A1260" s="102" t="s">
        <v>969</v>
      </c>
      <c r="BV1260" s="293">
        <f>DIVISIONS!BV148</f>
        <v>799</v>
      </c>
      <c r="BW1260" s="325">
        <f t="shared" si="2560"/>
        <v>7.8657215987399096E-2</v>
      </c>
      <c r="BZ1260" s="293">
        <f>DIVISIONS!BZ148</f>
        <v>814.61264367816102</v>
      </c>
      <c r="CD1260" s="293">
        <f>DIVISIONS!CD148</f>
        <v>776.04022988505744</v>
      </c>
      <c r="CH1260" s="293">
        <f>DIVISIONS!CH148</f>
        <v>902</v>
      </c>
      <c r="CL1260" s="293">
        <f>DIVISIONS!CL148</f>
        <v>852</v>
      </c>
      <c r="CP1260" s="293">
        <f>DIVISIONS!CP148</f>
        <v>858</v>
      </c>
    </row>
    <row r="1261" spans="1:146">
      <c r="A1261" s="102" t="s">
        <v>982</v>
      </c>
      <c r="BV1261" s="293">
        <f>DIVISIONS!BV284</f>
        <v>1315</v>
      </c>
      <c r="BW1261" s="325">
        <f t="shared" si="2560"/>
        <v>0.12945461705060052</v>
      </c>
      <c r="BZ1261" s="293">
        <f>DIVISIONS!BZ284</f>
        <v>1132</v>
      </c>
      <c r="CD1261" s="293">
        <f>DIVISIONS!CD284</f>
        <v>1093</v>
      </c>
      <c r="CH1261" s="293">
        <f>DIVISIONS!CH284</f>
        <v>1983</v>
      </c>
      <c r="CL1261" s="293">
        <f>DIVISIONS!CL284</f>
        <v>1738</v>
      </c>
      <c r="CP1261" s="293">
        <f>DIVISIONS!CP284</f>
        <v>2671</v>
      </c>
    </row>
    <row r="1262" spans="1:146">
      <c r="A1262" s="102" t="s">
        <v>983</v>
      </c>
      <c r="BV1262" s="293">
        <f>DIVISIONS!BV285</f>
        <v>430</v>
      </c>
      <c r="BW1262" s="325">
        <f t="shared" si="2560"/>
        <v>4.2331167552667845E-2</v>
      </c>
      <c r="BZ1262" s="293">
        <f>DIVISIONS!BZ285</f>
        <v>621</v>
      </c>
      <c r="CD1262" s="293">
        <f>DIVISIONS!CD285</f>
        <v>508</v>
      </c>
      <c r="CH1262" s="293">
        <f>DIVISIONS!CH285</f>
        <v>564</v>
      </c>
      <c r="CL1262" s="293">
        <f>DIVISIONS!CL285</f>
        <v>682</v>
      </c>
      <c r="CP1262" s="293">
        <f>DIVISIONS!CP285</f>
        <v>702</v>
      </c>
    </row>
    <row r="1263" spans="1:146">
      <c r="A1263" s="102" t="s">
        <v>979</v>
      </c>
      <c r="BV1263" s="293">
        <f>BV659</f>
        <v>780</v>
      </c>
      <c r="BW1263" s="325">
        <f t="shared" si="2560"/>
        <v>7.67867690490254E-2</v>
      </c>
      <c r="BZ1263" s="293">
        <f>BZ659</f>
        <v>1382</v>
      </c>
      <c r="CD1263" s="293">
        <f>CD659</f>
        <v>1726</v>
      </c>
      <c r="CH1263" s="293">
        <f>CH659</f>
        <v>2642</v>
      </c>
      <c r="CL1263" s="293">
        <f>CL659</f>
        <v>1749</v>
      </c>
      <c r="CP1263" s="293">
        <f>CP659</f>
        <v>2118</v>
      </c>
    </row>
    <row r="1264" spans="1:146">
      <c r="BW1264" s="325">
        <f t="shared" si="2560"/>
        <v>0</v>
      </c>
    </row>
    <row r="1265" spans="1:273">
      <c r="A1265" s="102" t="s">
        <v>35</v>
      </c>
      <c r="BV1265" s="293">
        <f>BV658</f>
        <v>880</v>
      </c>
      <c r="BW1265" s="325">
        <f t="shared" si="2560"/>
        <v>8.6631226619413276E-2</v>
      </c>
      <c r="BZ1265" s="293">
        <f>BZ658</f>
        <v>921</v>
      </c>
      <c r="CD1265" s="293">
        <f>CD658</f>
        <v>935</v>
      </c>
      <c r="CH1265" s="293">
        <f>CH658</f>
        <v>950</v>
      </c>
      <c r="CL1265" s="293">
        <f>CL658</f>
        <v>745</v>
      </c>
      <c r="CP1265" s="293">
        <f>CP658</f>
        <v>466</v>
      </c>
    </row>
    <row r="1266" spans="1:273">
      <c r="A1266" s="102" t="s">
        <v>980</v>
      </c>
      <c r="BV1266" s="293">
        <f>DIVISIONS!BV469</f>
        <v>848</v>
      </c>
      <c r="BW1266" s="325">
        <f t="shared" si="2560"/>
        <v>8.3481000196889157E-2</v>
      </c>
      <c r="BZ1266" s="293">
        <f>DIVISIONS!BZ469</f>
        <v>712</v>
      </c>
      <c r="CD1266" s="293">
        <f>DIVISIONS!CD469</f>
        <v>289</v>
      </c>
      <c r="CH1266" s="293">
        <f>DIVISIONS!CH469</f>
        <v>0</v>
      </c>
      <c r="CL1266" s="293">
        <f>DIVISIONS!CL469</f>
        <v>0</v>
      </c>
      <c r="CP1266" s="293">
        <f>DIVISIONS!CP469</f>
        <v>0</v>
      </c>
    </row>
    <row r="1267" spans="1:273">
      <c r="A1267" s="102" t="s">
        <v>981</v>
      </c>
      <c r="BV1267" s="293">
        <f>DIVISIONS!BV544</f>
        <v>941</v>
      </c>
      <c r="BW1267" s="325">
        <f t="shared" si="2560"/>
        <v>9.2636345737349871E-2</v>
      </c>
      <c r="BZ1267" s="293">
        <f>DIVISIONS!BZ544</f>
        <v>1049</v>
      </c>
      <c r="CD1267" s="293">
        <f>DIVISIONS!CD544</f>
        <v>1584</v>
      </c>
      <c r="CH1267" s="293">
        <f>DIVISIONS!CH544</f>
        <v>1678</v>
      </c>
      <c r="CL1267" s="293">
        <f>DIVISIONS!CL544</f>
        <v>1728</v>
      </c>
      <c r="CP1267" s="293">
        <f>DIVISIONS!CP544</f>
        <v>1746</v>
      </c>
    </row>
    <row r="1268" spans="1:273">
      <c r="BV1268" s="293"/>
      <c r="BW1268" s="325">
        <f t="shared" si="2560"/>
        <v>0</v>
      </c>
      <c r="BZ1268" s="293"/>
      <c r="CD1268" s="293"/>
      <c r="CH1268" s="293"/>
      <c r="CL1268" s="293"/>
      <c r="CP1268" s="293"/>
    </row>
    <row r="1269" spans="1:273">
      <c r="A1269" s="102" t="s">
        <v>599</v>
      </c>
      <c r="BV1269" s="293">
        <f>BV1270-SUM(BV1256:BV1268)</f>
        <v>2583</v>
      </c>
      <c r="BW1269" s="325">
        <f t="shared" si="2560"/>
        <v>0.2542823390431187</v>
      </c>
      <c r="BZ1269" s="293">
        <f>BZ1270-SUM(BZ1256:BZ1268)</f>
        <v>2152.3873563218385</v>
      </c>
      <c r="CD1269" s="293">
        <f>CD1270-SUM(CD1256:CD1268)</f>
        <v>2418.9597701149432</v>
      </c>
      <c r="CH1269" s="293">
        <f>CH1270-SUM(CH1256:CH1268)</f>
        <v>2220</v>
      </c>
      <c r="CL1269" s="293">
        <f>CL1270-SUM(CL1256:CL1268)</f>
        <v>2778</v>
      </c>
      <c r="CP1269" s="293">
        <f>CP1270-SUM(CP1256:CP1268)</f>
        <v>2202</v>
      </c>
    </row>
    <row r="1270" spans="1:273">
      <c r="A1270" s="102" t="s">
        <v>34</v>
      </c>
      <c r="BV1270" s="295">
        <f>BV20</f>
        <v>10158</v>
      </c>
      <c r="BZ1270" s="295">
        <f>BZ20</f>
        <v>10364</v>
      </c>
      <c r="CD1270" s="295">
        <f>CD20</f>
        <v>10920</v>
      </c>
      <c r="CH1270" s="295">
        <f>CH20</f>
        <v>12754</v>
      </c>
      <c r="CL1270" s="295">
        <f>CL20</f>
        <v>12325</v>
      </c>
      <c r="CP1270" s="295">
        <f>CP20</f>
        <v>12774</v>
      </c>
    </row>
    <row r="1275" spans="1:273" s="1046" customFormat="1">
      <c r="A1275" s="292" t="s">
        <v>731</v>
      </c>
      <c r="B1275" s="1045"/>
      <c r="AN1275" s="1045"/>
      <c r="AO1275" s="1045"/>
      <c r="AP1275" s="1045"/>
      <c r="AQ1275" s="1045"/>
      <c r="AR1275" s="1045"/>
      <c r="AS1275" s="1045"/>
      <c r="AT1275" s="1045"/>
      <c r="AU1275" s="1045"/>
      <c r="AV1275" s="1045"/>
      <c r="AW1275" s="1045"/>
      <c r="AX1275" s="1045"/>
      <c r="AY1275" s="1045"/>
      <c r="AZ1275" s="1045"/>
      <c r="BA1275" s="1045"/>
      <c r="BB1275" s="1045"/>
      <c r="BC1275" s="1045"/>
      <c r="BD1275" s="1045"/>
      <c r="BE1275" s="1045"/>
      <c r="BF1275" s="1045"/>
      <c r="BG1275" s="1045"/>
      <c r="BH1275" s="1045"/>
      <c r="BI1275" s="1045"/>
      <c r="BJ1275" s="1045"/>
      <c r="BK1275" s="1045"/>
      <c r="BL1275" s="1045"/>
      <c r="BM1275" s="1045"/>
      <c r="BN1275" s="1045"/>
      <c r="BO1275" s="1045"/>
      <c r="BP1275" s="1045"/>
      <c r="BQ1275" s="1045"/>
      <c r="BR1275" s="1045"/>
      <c r="BS1275" s="1045"/>
      <c r="BT1275" s="1045"/>
      <c r="BU1275" s="1045"/>
      <c r="BV1275" s="1045"/>
      <c r="BW1275" s="1045"/>
      <c r="BX1275" s="1045"/>
      <c r="BY1275" s="1045"/>
      <c r="BZ1275" s="1045"/>
      <c r="CA1275" s="1045"/>
      <c r="CB1275" s="1045"/>
      <c r="CC1275" s="1045"/>
      <c r="CD1275" s="1045"/>
      <c r="CE1275" s="1081"/>
      <c r="CF1275" s="1045"/>
      <c r="CG1275" s="1045"/>
      <c r="CH1275" s="1045"/>
      <c r="CI1275" s="1081"/>
      <c r="CJ1275" s="1045"/>
      <c r="CK1275" s="1045"/>
      <c r="CL1275" s="1045"/>
      <c r="CM1275" s="1081"/>
      <c r="CN1275" s="1045"/>
      <c r="CO1275" s="1045"/>
      <c r="CP1275" s="1045"/>
      <c r="CQ1275" s="1081"/>
      <c r="CR1275" s="1045"/>
      <c r="CS1275" s="1045"/>
      <c r="CT1275" s="1045"/>
      <c r="CU1275" s="1045"/>
      <c r="CV1275" s="1045"/>
      <c r="CW1275" s="1045"/>
      <c r="CX1275" s="1045"/>
      <c r="CY1275" s="1045"/>
      <c r="CZ1275" s="1045"/>
      <c r="DA1275" s="1045"/>
      <c r="DB1275" s="1045"/>
      <c r="DC1275" s="1045"/>
      <c r="DD1275" s="1045"/>
      <c r="DE1275" s="1045"/>
      <c r="DF1275" s="1045"/>
      <c r="DG1275" s="1045"/>
      <c r="DH1275" s="1045"/>
      <c r="DI1275" s="1045"/>
      <c r="DJ1275" s="1045"/>
      <c r="DK1275" s="1045"/>
      <c r="DL1275" s="1045"/>
      <c r="DM1275" s="1045"/>
      <c r="DN1275" s="1045"/>
      <c r="DO1275" s="1045"/>
      <c r="DP1275" s="1045"/>
      <c r="DQ1275" s="1045"/>
      <c r="DR1275" s="1045"/>
      <c r="DS1275" s="1045"/>
      <c r="DT1275" s="1045"/>
      <c r="DU1275" s="1045"/>
      <c r="DV1275" s="1045"/>
      <c r="DW1275" s="1045"/>
      <c r="DX1275" s="1045"/>
      <c r="DY1275" s="1045"/>
      <c r="DZ1275" s="1045"/>
      <c r="EA1275" s="1045"/>
      <c r="EB1275" s="1045"/>
      <c r="EC1275" s="1045"/>
      <c r="ED1275" s="1045"/>
      <c r="EE1275" s="1045"/>
      <c r="EF1275" s="1045"/>
      <c r="EG1275" s="1045"/>
      <c r="EH1275" s="1045"/>
      <c r="EI1275" s="1045"/>
      <c r="EJ1275" s="1045"/>
      <c r="EK1275" s="1045"/>
      <c r="EL1275" s="1045"/>
      <c r="EM1275" s="1045"/>
      <c r="EN1275" s="1045"/>
      <c r="EO1275" s="1045"/>
      <c r="EP1275" s="1045"/>
      <c r="FL1275" s="102"/>
      <c r="FM1275" s="102"/>
      <c r="FN1275" s="102"/>
      <c r="FO1275" s="102"/>
      <c r="FP1275" s="102"/>
      <c r="FQ1275" s="102"/>
      <c r="FR1275" s="102"/>
      <c r="FS1275" s="102"/>
      <c r="FT1275" s="102"/>
      <c r="FU1275" s="102"/>
      <c r="FV1275" s="102"/>
      <c r="FW1275" s="102"/>
      <c r="FX1275" s="102"/>
      <c r="FY1275" s="102"/>
      <c r="FZ1275" s="102"/>
      <c r="GA1275" s="102"/>
      <c r="GB1275" s="102"/>
      <c r="GC1275" s="102"/>
      <c r="GD1275" s="102"/>
      <c r="GE1275" s="102"/>
      <c r="GF1275" s="102"/>
      <c r="GG1275" s="102"/>
      <c r="GH1275" s="102"/>
      <c r="GI1275" s="102"/>
      <c r="GJ1275" s="102"/>
      <c r="GK1275" s="102"/>
      <c r="GL1275" s="102"/>
      <c r="GM1275" s="102"/>
      <c r="GN1275" s="102"/>
      <c r="GO1275" s="102"/>
      <c r="GP1275" s="102"/>
      <c r="GQ1275" s="102"/>
      <c r="GR1275" s="102"/>
      <c r="GS1275" s="102"/>
      <c r="GT1275" s="102"/>
      <c r="GU1275" s="102"/>
      <c r="GV1275" s="102"/>
      <c r="GW1275" s="102"/>
      <c r="GX1275" s="102"/>
      <c r="GY1275" s="102"/>
      <c r="GZ1275" s="102"/>
      <c r="HA1275" s="102"/>
      <c r="HB1275" s="102"/>
      <c r="HC1275" s="102"/>
      <c r="HD1275" s="102"/>
      <c r="HE1275" s="102"/>
      <c r="HF1275" s="102"/>
      <c r="HG1275" s="102"/>
      <c r="HH1275" s="102"/>
      <c r="HI1275" s="102"/>
      <c r="HJ1275" s="102"/>
      <c r="HK1275" s="102"/>
      <c r="HL1275" s="102"/>
      <c r="HM1275" s="102"/>
      <c r="HN1275" s="102"/>
      <c r="HO1275" s="102"/>
      <c r="HP1275" s="102"/>
      <c r="HQ1275" s="102"/>
      <c r="HR1275" s="102"/>
      <c r="HS1275" s="102"/>
      <c r="HT1275" s="102"/>
      <c r="HU1275" s="102"/>
      <c r="HV1275" s="102"/>
      <c r="HW1275" s="102"/>
      <c r="HX1275" s="102"/>
      <c r="HY1275" s="102"/>
      <c r="HZ1275" s="102"/>
      <c r="IA1275" s="102"/>
      <c r="IB1275" s="102"/>
      <c r="IC1275" s="102"/>
      <c r="ID1275" s="102"/>
      <c r="IE1275" s="102"/>
      <c r="IF1275" s="102"/>
      <c r="IG1275" s="102"/>
      <c r="IH1275" s="102"/>
      <c r="II1275" s="102"/>
      <c r="IJ1275" s="102"/>
      <c r="IK1275" s="102"/>
      <c r="IL1275" s="102"/>
      <c r="IM1275" s="102"/>
      <c r="IN1275" s="102"/>
      <c r="IO1275" s="102"/>
      <c r="IP1275" s="102"/>
      <c r="IQ1275" s="102"/>
      <c r="IR1275" s="102"/>
      <c r="IS1275" s="102"/>
      <c r="IT1275" s="102"/>
      <c r="IU1275" s="102"/>
      <c r="IV1275" s="102"/>
      <c r="IW1275" s="102"/>
      <c r="IX1275" s="102"/>
      <c r="IY1275" s="102"/>
      <c r="IZ1275" s="102"/>
      <c r="JA1275" s="102"/>
      <c r="JB1275" s="102"/>
      <c r="JC1275" s="102"/>
      <c r="JD1275" s="102"/>
      <c r="JE1275" s="102"/>
      <c r="JF1275" s="102"/>
      <c r="JG1275" s="102"/>
      <c r="JH1275" s="102"/>
      <c r="JI1275" s="102"/>
      <c r="JJ1275" s="102"/>
      <c r="JK1275" s="102"/>
      <c r="JL1275" s="102"/>
      <c r="JM1275"/>
    </row>
    <row r="1276" spans="1:273" s="699" customFormat="1" hidden="1" outlineLevel="1">
      <c r="A1276" s="866" t="s">
        <v>598</v>
      </c>
      <c r="B1276" s="867"/>
      <c r="AN1276" s="867"/>
      <c r="AO1276" s="867"/>
      <c r="AP1276" s="867"/>
      <c r="AQ1276" s="867"/>
      <c r="AR1276" s="867"/>
      <c r="AS1276" s="867"/>
      <c r="AT1276" s="867"/>
      <c r="AU1276" s="867"/>
      <c r="AV1276" s="867"/>
      <c r="AW1276" s="867"/>
      <c r="AX1276" s="867"/>
      <c r="AY1276" s="867"/>
      <c r="AZ1276" s="867"/>
      <c r="BA1276" s="867"/>
      <c r="BB1276" s="867"/>
      <c r="BC1276" s="867"/>
      <c r="BD1276" s="878"/>
      <c r="BE1276" s="878"/>
      <c r="BF1276" s="867"/>
      <c r="BG1276" s="867"/>
      <c r="BH1276" s="878"/>
      <c r="BI1276" s="867"/>
      <c r="BJ1276" s="867"/>
      <c r="BK1276" s="867"/>
      <c r="BL1276" s="867"/>
      <c r="BM1276" s="867"/>
      <c r="BN1276" s="867"/>
      <c r="BO1276" s="867"/>
      <c r="BP1276" s="867"/>
      <c r="BQ1276" s="867"/>
      <c r="BR1276" s="867"/>
      <c r="BS1276" s="867"/>
      <c r="BT1276" s="867"/>
      <c r="BU1276" s="867"/>
      <c r="BV1276" s="867"/>
      <c r="BW1276" s="867"/>
      <c r="BX1276" s="867"/>
      <c r="BY1276" s="867"/>
      <c r="BZ1276" s="867"/>
      <c r="CA1276" s="867"/>
      <c r="CB1276" s="867"/>
      <c r="CC1276" s="867"/>
      <c r="CD1276" s="867"/>
      <c r="CE1276" s="1608"/>
      <c r="CF1276" s="867"/>
      <c r="CG1276" s="867"/>
      <c r="CH1276" s="867"/>
      <c r="CI1276" s="1608"/>
      <c r="CJ1276" s="867"/>
      <c r="CK1276" s="867"/>
      <c r="CL1276" s="867"/>
      <c r="CM1276" s="1608"/>
      <c r="CN1276" s="867"/>
      <c r="CO1276" s="867"/>
      <c r="CP1276" s="867"/>
      <c r="CQ1276" s="1608"/>
      <c r="CR1276" s="867"/>
      <c r="CS1276" s="867"/>
      <c r="CT1276" s="867"/>
      <c r="CU1276" s="867"/>
      <c r="CV1276" s="867"/>
      <c r="CW1276" s="867"/>
      <c r="CX1276" s="867"/>
      <c r="CY1276" s="867"/>
      <c r="CZ1276" s="867"/>
      <c r="DA1276" s="867"/>
      <c r="DB1276" s="867"/>
      <c r="DC1276" s="867"/>
      <c r="DD1276" s="867"/>
      <c r="DE1276" s="867"/>
      <c r="DF1276" s="867"/>
      <c r="DG1276" s="867"/>
      <c r="DH1276" s="867"/>
      <c r="DI1276" s="867"/>
      <c r="DJ1276" s="867"/>
      <c r="DK1276" s="867"/>
      <c r="DL1276" s="867"/>
      <c r="DM1276" s="867"/>
      <c r="DN1276" s="867"/>
      <c r="DO1276" s="867"/>
      <c r="DP1276" s="867"/>
      <c r="DQ1276" s="867"/>
      <c r="DR1276" s="867"/>
      <c r="DS1276" s="867"/>
      <c r="DT1276" s="867"/>
      <c r="DU1276" s="867"/>
      <c r="DV1276" s="867"/>
      <c r="DW1276" s="867"/>
      <c r="DX1276" s="867"/>
      <c r="DY1276" s="867"/>
      <c r="DZ1276" s="867"/>
      <c r="EA1276" s="867"/>
      <c r="EB1276" s="867"/>
      <c r="EC1276" s="867"/>
      <c r="ED1276" s="867"/>
      <c r="EE1276" s="867"/>
      <c r="EF1276" s="867"/>
      <c r="EG1276" s="867"/>
      <c r="EH1276" s="867"/>
      <c r="EI1276" s="867"/>
      <c r="EJ1276" s="867"/>
      <c r="EK1276" s="867"/>
      <c r="EL1276" s="867"/>
      <c r="EM1276" s="867"/>
      <c r="EN1276" s="867"/>
      <c r="EO1276" s="867"/>
      <c r="EP1276" s="867"/>
      <c r="FL1276" s="102"/>
      <c r="FM1276" s="102"/>
      <c r="FN1276" s="102"/>
      <c r="FO1276" s="102"/>
      <c r="FP1276" s="102"/>
      <c r="FQ1276" s="102"/>
      <c r="FR1276" s="102"/>
      <c r="FS1276" s="102"/>
      <c r="FT1276" s="102"/>
      <c r="FU1276" s="102"/>
      <c r="FV1276" s="102"/>
      <c r="FW1276" s="102"/>
      <c r="FX1276" s="102"/>
      <c r="FY1276" s="102"/>
      <c r="FZ1276" s="102"/>
      <c r="GA1276" s="102"/>
      <c r="GB1276" s="102"/>
      <c r="GC1276" s="102"/>
      <c r="GD1276" s="102"/>
      <c r="GE1276" s="102"/>
      <c r="GF1276" s="102"/>
      <c r="GG1276" s="102"/>
      <c r="GH1276" s="102"/>
      <c r="GI1276" s="102"/>
      <c r="GJ1276" s="102"/>
      <c r="GK1276" s="102"/>
      <c r="GL1276" s="102"/>
      <c r="GM1276" s="102"/>
      <c r="GN1276" s="102"/>
      <c r="GO1276" s="102"/>
      <c r="GP1276" s="102"/>
      <c r="GQ1276" s="102"/>
      <c r="GR1276" s="102"/>
      <c r="GS1276" s="102"/>
      <c r="GT1276" s="102"/>
      <c r="GU1276" s="102"/>
      <c r="GV1276" s="102"/>
      <c r="GW1276" s="102"/>
      <c r="GX1276" s="102"/>
      <c r="GY1276" s="102"/>
      <c r="GZ1276" s="102"/>
      <c r="HA1276" s="102"/>
      <c r="HB1276" s="102"/>
      <c r="HC1276" s="102"/>
      <c r="HD1276" s="102"/>
      <c r="HE1276" s="102"/>
      <c r="HF1276" s="102"/>
      <c r="HG1276" s="102"/>
      <c r="HH1276" s="102"/>
      <c r="HI1276" s="102"/>
      <c r="HJ1276" s="102"/>
      <c r="HK1276" s="102"/>
      <c r="HL1276" s="102"/>
      <c r="HM1276" s="102"/>
      <c r="HN1276" s="102"/>
      <c r="HO1276" s="102"/>
      <c r="HP1276" s="102"/>
      <c r="HQ1276" s="102"/>
      <c r="HR1276" s="102"/>
      <c r="HS1276" s="102"/>
      <c r="HT1276" s="102"/>
      <c r="HU1276" s="102"/>
      <c r="HV1276" s="102"/>
      <c r="HW1276" s="102"/>
      <c r="HX1276" s="102"/>
      <c r="HY1276" s="102"/>
      <c r="HZ1276" s="102"/>
      <c r="IA1276" s="102"/>
      <c r="IB1276" s="102"/>
      <c r="IC1276" s="102"/>
      <c r="ID1276" s="102"/>
      <c r="IE1276" s="102"/>
      <c r="IF1276" s="102"/>
      <c r="IG1276" s="102"/>
      <c r="IH1276" s="102"/>
      <c r="II1276" s="102"/>
      <c r="IJ1276" s="102"/>
      <c r="IK1276" s="102"/>
      <c r="IL1276" s="102"/>
      <c r="IM1276" s="102"/>
      <c r="IN1276" s="102"/>
      <c r="IO1276" s="102"/>
      <c r="IP1276" s="102"/>
      <c r="IQ1276" s="102"/>
      <c r="IR1276" s="102"/>
      <c r="IS1276" s="102"/>
      <c r="IT1276" s="102"/>
      <c r="IU1276" s="102"/>
      <c r="IV1276" s="102"/>
      <c r="IW1276" s="102"/>
      <c r="IX1276" s="102"/>
      <c r="IY1276" s="102"/>
      <c r="IZ1276" s="102"/>
      <c r="JA1276" s="102"/>
      <c r="JB1276" s="102"/>
      <c r="JC1276" s="102"/>
      <c r="JD1276" s="102"/>
      <c r="JE1276" s="102"/>
      <c r="JF1276" s="102"/>
      <c r="JG1276" s="102"/>
      <c r="JH1276" s="102"/>
      <c r="JI1276" s="102"/>
      <c r="JJ1276" s="102"/>
      <c r="JK1276" s="102"/>
      <c r="JL1276" s="102"/>
      <c r="JM1276"/>
    </row>
    <row r="1277" spans="1:273" hidden="1" outlineLevel="1">
      <c r="A1277" s="289"/>
      <c r="BD1277" s="293"/>
      <c r="BE1277" s="293"/>
      <c r="BH1277" s="293"/>
    </row>
    <row r="1278" spans="1:273" hidden="1" outlineLevel="1">
      <c r="A1278" s="815" t="s">
        <v>684</v>
      </c>
    </row>
    <row r="1279" spans="1:273" hidden="1" outlineLevel="1">
      <c r="A1279" s="102" t="s">
        <v>685</v>
      </c>
      <c r="AN1279" s="293"/>
      <c r="AO1279" s="293"/>
      <c r="AP1279" s="293"/>
      <c r="AQ1279" s="293"/>
      <c r="AR1279" s="293">
        <f>DIVISIONS!AR37</f>
        <v>0</v>
      </c>
      <c r="AS1279" s="293">
        <f>DIVISIONS!AS37</f>
        <v>0</v>
      </c>
      <c r="AT1279" s="626"/>
      <c r="AU1279" s="626"/>
      <c r="AV1279" s="293">
        <f>DIVISIONS!AV37</f>
        <v>0</v>
      </c>
      <c r="AW1279" s="293">
        <f>DIVISIONS!AW37</f>
        <v>0</v>
      </c>
      <c r="AX1279" s="626"/>
      <c r="AY1279" s="626"/>
      <c r="AZ1279" s="293">
        <f>DIVISIONS!AZ37</f>
        <v>0</v>
      </c>
      <c r="BA1279" s="293">
        <f>DIVISIONS!BA37</f>
        <v>0</v>
      </c>
      <c r="BD1279" s="293">
        <f>DIVISIONS!BD37</f>
        <v>0</v>
      </c>
      <c r="BE1279" s="293">
        <f>DIVISIONS!BE37</f>
        <v>0</v>
      </c>
      <c r="BG1279" s="850"/>
      <c r="BH1279" s="293"/>
      <c r="BI1279" s="293"/>
      <c r="BK1279" s="850"/>
      <c r="BL1279" s="293"/>
      <c r="BM1279" s="850"/>
      <c r="BN1279" s="818"/>
      <c r="BO1279" s="850"/>
      <c r="BP1279" s="293"/>
      <c r="BQ1279" s="850"/>
      <c r="BR1279" s="818"/>
      <c r="BS1279" s="850"/>
      <c r="BT1279" s="850"/>
      <c r="BU1279" s="850"/>
      <c r="BV1279" s="818"/>
      <c r="BW1279" s="850"/>
      <c r="BX1279" s="850"/>
      <c r="BY1279" s="850"/>
      <c r="BZ1279" s="818"/>
      <c r="CA1279" s="850"/>
      <c r="CB1279" s="850"/>
      <c r="CC1279" s="850"/>
      <c r="CD1279" s="818"/>
      <c r="CE1279" s="864"/>
      <c r="CF1279" s="850"/>
      <c r="CG1279" s="850"/>
      <c r="CH1279" s="818"/>
      <c r="CI1279" s="864"/>
      <c r="CJ1279" s="850"/>
      <c r="CK1279" s="850"/>
      <c r="CL1279" s="818"/>
      <c r="CM1279" s="864"/>
      <c r="CN1279" s="850"/>
      <c r="CO1279" s="850"/>
      <c r="CP1279" s="818"/>
      <c r="CQ1279" s="864"/>
      <c r="CR1279" s="850"/>
      <c r="CS1279" s="850"/>
      <c r="CT1279" s="818"/>
      <c r="CU1279" s="850"/>
      <c r="CV1279" s="850"/>
      <c r="CW1279" s="850"/>
      <c r="CX1279" s="850"/>
      <c r="CY1279" s="850"/>
      <c r="CZ1279" s="850"/>
      <c r="DA1279" s="850"/>
      <c r="DB1279" s="850"/>
      <c r="DC1279" s="850"/>
      <c r="DD1279" s="850"/>
      <c r="DE1279" s="850"/>
      <c r="DF1279" s="850"/>
      <c r="DG1279" s="850"/>
      <c r="DH1279" s="850"/>
      <c r="DI1279" s="850"/>
      <c r="DJ1279" s="850"/>
      <c r="DK1279" s="850"/>
      <c r="DL1279" s="850"/>
      <c r="DM1279" s="850"/>
      <c r="DN1279" s="850"/>
      <c r="DO1279" s="818"/>
      <c r="DP1279" s="850"/>
      <c r="DQ1279" s="850"/>
      <c r="DR1279" s="850"/>
      <c r="DS1279" s="818"/>
      <c r="DT1279" s="850"/>
      <c r="DU1279" s="850"/>
      <c r="DV1279" s="850"/>
      <c r="DW1279" s="850"/>
      <c r="DX1279" s="818"/>
      <c r="DZ1279" s="850"/>
      <c r="EA1279" s="850"/>
      <c r="EB1279" s="818"/>
      <c r="ED1279" s="850"/>
      <c r="EE1279" s="850"/>
      <c r="EF1279" s="818"/>
    </row>
    <row r="1280" spans="1:273" hidden="1" outlineLevel="1">
      <c r="A1280" s="102" t="s">
        <v>686</v>
      </c>
      <c r="AN1280" s="626"/>
      <c r="AO1280" s="626"/>
      <c r="AP1280" s="293"/>
      <c r="AQ1280" s="293"/>
      <c r="AR1280" s="293">
        <f>DIVISIONS!AR114</f>
        <v>-169</v>
      </c>
      <c r="AS1280" s="293">
        <f>DIVISIONS!AS114</f>
        <v>-212</v>
      </c>
      <c r="AT1280" s="293"/>
      <c r="AU1280" s="293"/>
      <c r="AV1280" s="293">
        <f>DIVISIONS!AV114</f>
        <v>-54</v>
      </c>
      <c r="AW1280" s="293">
        <f>DIVISIONS!AW114</f>
        <v>-59</v>
      </c>
      <c r="AX1280" s="626"/>
      <c r="AY1280" s="626"/>
      <c r="AZ1280" s="293">
        <f>DIVISIONS!AZ114</f>
        <v>-59</v>
      </c>
      <c r="BA1280" s="293">
        <f>DIVISIONS!BA114</f>
        <v>-55</v>
      </c>
      <c r="BD1280" s="293">
        <f>DIVISIONS!BD114</f>
        <v>-44</v>
      </c>
      <c r="BE1280" s="293">
        <f>DIVISIONS!BE114</f>
        <v>-33</v>
      </c>
      <c r="BG1280" s="850"/>
      <c r="BH1280" s="293"/>
      <c r="BI1280" s="293"/>
      <c r="BK1280" s="850"/>
      <c r="BL1280" s="293"/>
      <c r="BM1280" s="850"/>
      <c r="BN1280" s="818"/>
      <c r="BO1280" s="850"/>
      <c r="BP1280" s="293"/>
      <c r="BQ1280" s="850"/>
      <c r="BR1280" s="818"/>
      <c r="BS1280" s="850"/>
      <c r="BT1280" s="850"/>
      <c r="BU1280" s="850"/>
      <c r="BV1280" s="818"/>
      <c r="BW1280" s="850"/>
      <c r="BX1280" s="850"/>
      <c r="BY1280" s="850"/>
      <c r="BZ1280" s="818"/>
      <c r="CA1280" s="850"/>
      <c r="CB1280" s="850"/>
      <c r="CC1280" s="850"/>
      <c r="CD1280" s="818"/>
      <c r="CE1280" s="864"/>
      <c r="CF1280" s="850"/>
      <c r="CG1280" s="850"/>
      <c r="CH1280" s="818"/>
      <c r="CI1280" s="864"/>
      <c r="CJ1280" s="850"/>
      <c r="CK1280" s="850"/>
      <c r="CL1280" s="818"/>
      <c r="CM1280" s="864"/>
      <c r="CN1280" s="850"/>
      <c r="CO1280" s="850"/>
      <c r="CP1280" s="818"/>
      <c r="CQ1280" s="864"/>
      <c r="CR1280" s="850"/>
      <c r="CS1280" s="850"/>
      <c r="CT1280" s="818"/>
      <c r="CU1280" s="850"/>
      <c r="CV1280" s="850"/>
      <c r="CW1280" s="850"/>
      <c r="CX1280" s="850"/>
      <c r="CY1280" s="850"/>
      <c r="CZ1280" s="850"/>
      <c r="DA1280" s="850"/>
      <c r="DB1280" s="850"/>
      <c r="DC1280" s="850"/>
      <c r="DD1280" s="850"/>
      <c r="DE1280" s="850"/>
      <c r="DF1280" s="850"/>
      <c r="DG1280" s="850"/>
      <c r="DH1280" s="850"/>
      <c r="DI1280" s="850"/>
      <c r="DJ1280" s="850"/>
      <c r="DK1280" s="850"/>
      <c r="DL1280" s="850"/>
      <c r="DM1280" s="850"/>
      <c r="DN1280" s="850"/>
      <c r="DO1280" s="818"/>
      <c r="DP1280" s="850"/>
      <c r="DQ1280" s="850"/>
      <c r="DR1280" s="850"/>
      <c r="DS1280" s="818"/>
      <c r="DT1280" s="850"/>
      <c r="DU1280" s="850"/>
      <c r="DV1280" s="850"/>
      <c r="DW1280" s="850"/>
      <c r="DX1280" s="818"/>
      <c r="DZ1280" s="850"/>
      <c r="EA1280" s="850"/>
      <c r="EB1280" s="818"/>
      <c r="ED1280" s="850"/>
      <c r="EE1280" s="850"/>
      <c r="EF1280" s="818"/>
    </row>
    <row r="1281" spans="1:273" hidden="1" outlineLevel="1">
      <c r="A1281" s="102" t="s">
        <v>616</v>
      </c>
      <c r="AN1281" s="626"/>
      <c r="AO1281" s="626"/>
      <c r="AP1281" s="293"/>
      <c r="AQ1281" s="293"/>
      <c r="AR1281" s="293">
        <f>DIVISIONS!AR342</f>
        <v>32</v>
      </c>
      <c r="AS1281" s="293">
        <f>DIVISIONS!AS342</f>
        <v>33</v>
      </c>
      <c r="AT1281" s="626"/>
      <c r="AU1281" s="626"/>
      <c r="AV1281" s="293">
        <f>DIVISIONS!AV342</f>
        <v>-44</v>
      </c>
      <c r="AW1281" s="293">
        <f>DIVISIONS!AW342</f>
        <v>-53</v>
      </c>
      <c r="AX1281" s="626"/>
      <c r="AY1281" s="626"/>
      <c r="AZ1281" s="293">
        <f>DIVISIONS!AZ342</f>
        <v>-24</v>
      </c>
      <c r="BA1281" s="293">
        <f>DIVISIONS!BA342</f>
        <v>-5</v>
      </c>
      <c r="BD1281" s="293">
        <f>DIVISIONS!BD342</f>
        <v>0</v>
      </c>
      <c r="BE1281" s="293">
        <f>DIVISIONS!BE342</f>
        <v>0</v>
      </c>
      <c r="BG1281" s="850"/>
      <c r="BH1281" s="293"/>
      <c r="BI1281" s="293"/>
      <c r="BK1281" s="850"/>
      <c r="BL1281" s="293"/>
      <c r="BM1281" s="850"/>
      <c r="BN1281" s="818"/>
      <c r="BO1281" s="850"/>
      <c r="BP1281" s="293"/>
      <c r="BQ1281" s="850"/>
      <c r="BR1281" s="818"/>
      <c r="BS1281" s="850"/>
      <c r="BT1281" s="850"/>
      <c r="BU1281" s="850"/>
      <c r="BV1281" s="818"/>
      <c r="BW1281" s="850"/>
      <c r="BX1281" s="850"/>
      <c r="BY1281" s="850"/>
      <c r="BZ1281" s="818"/>
      <c r="CA1281" s="850"/>
      <c r="CB1281" s="850"/>
      <c r="CC1281" s="850"/>
      <c r="CD1281" s="818"/>
      <c r="CE1281" s="864"/>
      <c r="CF1281" s="850"/>
      <c r="CG1281" s="850"/>
      <c r="CH1281" s="818"/>
      <c r="CI1281" s="864"/>
      <c r="CJ1281" s="850"/>
      <c r="CK1281" s="850"/>
      <c r="CL1281" s="818"/>
      <c r="CM1281" s="864"/>
      <c r="CN1281" s="850"/>
      <c r="CO1281" s="850"/>
      <c r="CP1281" s="818"/>
      <c r="CQ1281" s="864"/>
      <c r="CR1281" s="850"/>
      <c r="CS1281" s="850"/>
      <c r="CT1281" s="818"/>
      <c r="CU1281" s="850"/>
      <c r="CV1281" s="850"/>
      <c r="CW1281" s="850"/>
      <c r="CX1281" s="850"/>
      <c r="CY1281" s="850"/>
      <c r="CZ1281" s="850"/>
      <c r="DA1281" s="850"/>
      <c r="DB1281" s="850"/>
      <c r="DC1281" s="850"/>
      <c r="DD1281" s="850"/>
      <c r="DE1281" s="850"/>
      <c r="DF1281" s="850"/>
      <c r="DG1281" s="850"/>
      <c r="DH1281" s="850"/>
      <c r="DI1281" s="850"/>
      <c r="DJ1281" s="850"/>
      <c r="DK1281" s="850"/>
      <c r="DL1281" s="850"/>
      <c r="DM1281" s="850"/>
      <c r="DN1281" s="850"/>
      <c r="DO1281" s="818"/>
      <c r="DP1281" s="850"/>
      <c r="DQ1281" s="850"/>
      <c r="DR1281" s="850"/>
      <c r="DS1281" s="818"/>
      <c r="DT1281" s="850"/>
      <c r="DU1281" s="850"/>
      <c r="DV1281" s="850"/>
      <c r="DW1281" s="850"/>
      <c r="DX1281" s="818"/>
      <c r="DZ1281" s="850"/>
      <c r="EA1281" s="850"/>
      <c r="EB1281" s="818"/>
      <c r="ED1281" s="850"/>
      <c r="EE1281" s="850"/>
      <c r="EF1281" s="818"/>
    </row>
    <row r="1282" spans="1:273" hidden="1" outlineLevel="1">
      <c r="A1282" s="102" t="s">
        <v>687</v>
      </c>
      <c r="AN1282" s="626"/>
      <c r="AO1282" s="626"/>
      <c r="AP1282" s="293"/>
      <c r="AQ1282" s="293"/>
      <c r="AR1282" s="293">
        <f>DIVISIONS!AR230</f>
        <v>26</v>
      </c>
      <c r="AS1282" s="293">
        <f>DIVISIONS!AS230</f>
        <v>21</v>
      </c>
      <c r="AT1282" s="626"/>
      <c r="AU1282" s="626"/>
      <c r="AV1282" s="293">
        <f>DIVISIONS!AV230</f>
        <v>21</v>
      </c>
      <c r="AW1282" s="293">
        <f>DIVISIONS!AW230</f>
        <v>49</v>
      </c>
      <c r="AX1282" s="626"/>
      <c r="AY1282" s="626"/>
      <c r="AZ1282" s="293">
        <f>DIVISIONS!AZ230</f>
        <v>-53</v>
      </c>
      <c r="BA1282" s="293">
        <f>DIVISIONS!BA230</f>
        <v>5</v>
      </c>
      <c r="BD1282" s="293">
        <f>DIVISIONS!BD230</f>
        <v>-23</v>
      </c>
      <c r="BE1282" s="293">
        <f>DIVISIONS!BE230</f>
        <v>18</v>
      </c>
      <c r="BG1282" s="850"/>
      <c r="BH1282" s="293"/>
      <c r="BI1282" s="293"/>
      <c r="BK1282" s="850"/>
      <c r="BL1282" s="293"/>
      <c r="BM1282" s="850"/>
      <c r="BN1282" s="818"/>
      <c r="BO1282" s="850"/>
      <c r="BP1282" s="293"/>
      <c r="BQ1282" s="850"/>
      <c r="BR1282" s="818"/>
      <c r="BS1282" s="850"/>
      <c r="BT1282" s="850"/>
      <c r="BU1282" s="850"/>
      <c r="BV1282" s="818"/>
      <c r="BW1282" s="850"/>
      <c r="BX1282" s="850"/>
      <c r="BY1282" s="850"/>
      <c r="BZ1282" s="818"/>
      <c r="CA1282" s="850"/>
      <c r="CB1282" s="850"/>
      <c r="CC1282" s="850"/>
      <c r="CD1282" s="818"/>
      <c r="CE1282" s="864"/>
      <c r="CF1282" s="850"/>
      <c r="CG1282" s="850"/>
      <c r="CH1282" s="818"/>
      <c r="CI1282" s="864"/>
      <c r="CJ1282" s="850"/>
      <c r="CK1282" s="850"/>
      <c r="CL1282" s="818"/>
      <c r="CM1282" s="864"/>
      <c r="CN1282" s="850"/>
      <c r="CO1282" s="850"/>
      <c r="CP1282" s="818"/>
      <c r="CQ1282" s="864"/>
      <c r="CR1282" s="850"/>
      <c r="CS1282" s="850"/>
      <c r="CT1282" s="818"/>
      <c r="CU1282" s="850"/>
      <c r="CV1282" s="850"/>
      <c r="CW1282" s="850"/>
      <c r="CX1282" s="850"/>
      <c r="CY1282" s="850"/>
      <c r="CZ1282" s="850"/>
      <c r="DA1282" s="850"/>
      <c r="DB1282" s="850"/>
      <c r="DC1282" s="850"/>
      <c r="DD1282" s="850"/>
      <c r="DE1282" s="850"/>
      <c r="DF1282" s="850"/>
      <c r="DG1282" s="850"/>
      <c r="DH1282" s="850"/>
      <c r="DI1282" s="850"/>
      <c r="DJ1282" s="850"/>
      <c r="DK1282" s="850"/>
      <c r="DL1282" s="850"/>
      <c r="DM1282" s="850"/>
      <c r="DN1282" s="850"/>
      <c r="DO1282" s="818"/>
      <c r="DP1282" s="850"/>
      <c r="DQ1282" s="850"/>
      <c r="DR1282" s="850"/>
      <c r="DS1282" s="818"/>
      <c r="DT1282" s="850"/>
      <c r="DU1282" s="850"/>
      <c r="DV1282" s="850"/>
      <c r="DW1282" s="850"/>
      <c r="DX1282" s="818"/>
      <c r="DZ1282" s="850"/>
      <c r="EA1282" s="850"/>
      <c r="EB1282" s="818"/>
      <c r="ED1282" s="850"/>
      <c r="EE1282" s="850"/>
      <c r="EF1282" s="818"/>
    </row>
    <row r="1283" spans="1:273" hidden="1" outlineLevel="1">
      <c r="A1283" s="102" t="s">
        <v>690</v>
      </c>
      <c r="AN1283" s="626"/>
      <c r="AO1283" s="626"/>
      <c r="AP1283" s="293"/>
      <c r="AQ1283" s="293"/>
      <c r="AR1283" s="293">
        <f>DIVISIONS!AR469</f>
        <v>48</v>
      </c>
      <c r="AS1283" s="293">
        <f>DIVISIONS!AS469</f>
        <v>81</v>
      </c>
      <c r="AT1283" s="626"/>
      <c r="AU1283" s="626"/>
      <c r="AV1283" s="293">
        <f>DIVISIONS!AV469</f>
        <v>160</v>
      </c>
      <c r="AW1283" s="293">
        <f>DIVISIONS!AW469</f>
        <v>222</v>
      </c>
      <c r="AX1283" s="626"/>
      <c r="AY1283" s="626"/>
      <c r="AZ1283" s="293">
        <f>DIVISIONS!AZ469</f>
        <v>277</v>
      </c>
      <c r="BA1283" s="293">
        <f>DIVISIONS!BA469</f>
        <v>284</v>
      </c>
      <c r="BD1283" s="293">
        <f>DIVISIONS!BD469</f>
        <v>296</v>
      </c>
      <c r="BE1283" s="293">
        <f>DIVISIONS!BE469</f>
        <v>295</v>
      </c>
      <c r="BG1283" s="850"/>
      <c r="BH1283" s="293"/>
      <c r="BI1283" s="293"/>
      <c r="BK1283" s="850"/>
      <c r="BL1283" s="293"/>
      <c r="BM1283" s="850"/>
      <c r="BN1283" s="818"/>
      <c r="BO1283" s="850"/>
      <c r="BP1283" s="293"/>
      <c r="BQ1283" s="850"/>
      <c r="BR1283" s="818"/>
      <c r="BS1283" s="850"/>
      <c r="BT1283" s="850"/>
      <c r="BU1283" s="850"/>
      <c r="BV1283" s="818"/>
      <c r="BW1283" s="850"/>
      <c r="BX1283" s="850"/>
      <c r="BY1283" s="850"/>
      <c r="BZ1283" s="818"/>
      <c r="CA1283" s="850"/>
      <c r="CB1283" s="850"/>
      <c r="CC1283" s="850"/>
      <c r="CD1283" s="818"/>
      <c r="CE1283" s="864"/>
      <c r="CF1283" s="850"/>
      <c r="CG1283" s="850"/>
      <c r="CH1283" s="818"/>
      <c r="CI1283" s="864"/>
      <c r="CJ1283" s="850"/>
      <c r="CK1283" s="850"/>
      <c r="CL1283" s="818"/>
      <c r="CM1283" s="864"/>
      <c r="CN1283" s="850"/>
      <c r="CO1283" s="850"/>
      <c r="CP1283" s="818"/>
      <c r="CQ1283" s="864"/>
      <c r="CR1283" s="850"/>
      <c r="CS1283" s="850"/>
      <c r="CT1283" s="818"/>
      <c r="CU1283" s="850"/>
      <c r="CV1283" s="850"/>
      <c r="CW1283" s="850"/>
      <c r="CX1283" s="850"/>
      <c r="CY1283" s="850"/>
      <c r="CZ1283" s="850"/>
      <c r="DA1283" s="850"/>
      <c r="DB1283" s="850"/>
      <c r="DC1283" s="850"/>
      <c r="DD1283" s="850"/>
      <c r="DE1283" s="850"/>
      <c r="DF1283" s="850"/>
      <c r="DG1283" s="850"/>
      <c r="DH1283" s="850"/>
      <c r="DI1283" s="850"/>
      <c r="DJ1283" s="850"/>
      <c r="DK1283" s="850"/>
      <c r="DL1283" s="850"/>
      <c r="DM1283" s="850"/>
      <c r="DN1283" s="850"/>
      <c r="DO1283" s="818"/>
      <c r="DP1283" s="850"/>
      <c r="DQ1283" s="850"/>
      <c r="DR1283" s="850"/>
      <c r="DS1283" s="818"/>
      <c r="DT1283" s="850"/>
      <c r="DU1283" s="850"/>
      <c r="DV1283" s="850"/>
      <c r="DW1283" s="850"/>
      <c r="DX1283" s="818"/>
      <c r="DZ1283" s="850"/>
      <c r="EA1283" s="850"/>
      <c r="EB1283" s="818"/>
      <c r="ED1283" s="850"/>
      <c r="EE1283" s="850"/>
      <c r="EF1283" s="818"/>
    </row>
    <row r="1284" spans="1:273" hidden="1" outlineLevel="1">
      <c r="A1284" s="102" t="s">
        <v>689</v>
      </c>
      <c r="AN1284" s="293"/>
      <c r="AO1284" s="293"/>
      <c r="AP1284" s="626"/>
      <c r="AQ1284" s="626"/>
      <c r="AR1284" s="293">
        <f>DIVISIONS!AR544</f>
        <v>202</v>
      </c>
      <c r="AS1284" s="293">
        <f>DIVISIONS!AS544</f>
        <v>223</v>
      </c>
      <c r="AT1284" s="626"/>
      <c r="AU1284" s="626"/>
      <c r="AV1284" s="293">
        <f>DIVISIONS!AV544</f>
        <v>254</v>
      </c>
      <c r="AW1284" s="293">
        <f>DIVISIONS!AW544</f>
        <v>297</v>
      </c>
      <c r="AX1284" s="626"/>
      <c r="AY1284" s="626"/>
      <c r="AZ1284" s="293">
        <f>DIVISIONS!AZ544</f>
        <v>344</v>
      </c>
      <c r="BA1284" s="293">
        <f>DIVISIONS!BA544</f>
        <v>369</v>
      </c>
      <c r="BD1284" s="293">
        <f>DIVISIONS!BD544</f>
        <v>355</v>
      </c>
      <c r="BE1284" s="293">
        <f>DIVISIONS!BE544</f>
        <v>350</v>
      </c>
      <c r="BG1284" s="850"/>
      <c r="BH1284" s="293"/>
      <c r="BI1284" s="293"/>
      <c r="BK1284" s="850"/>
      <c r="BL1284" s="293"/>
      <c r="BM1284" s="851"/>
      <c r="BN1284" s="818"/>
      <c r="BO1284" s="850"/>
      <c r="BP1284" s="293"/>
      <c r="BQ1284" s="851"/>
      <c r="BR1284" s="818"/>
      <c r="BS1284" s="850"/>
      <c r="BT1284" s="851"/>
      <c r="BU1284" s="851"/>
      <c r="BV1284" s="818"/>
      <c r="BW1284" s="850"/>
      <c r="BX1284" s="851"/>
      <c r="BY1284" s="851"/>
      <c r="BZ1284" s="818"/>
      <c r="CA1284" s="850"/>
      <c r="CB1284" s="851"/>
      <c r="CC1284" s="851"/>
      <c r="CD1284" s="818"/>
      <c r="CE1284" s="864"/>
      <c r="CF1284" s="851"/>
      <c r="CG1284" s="851"/>
      <c r="CH1284" s="818"/>
      <c r="CI1284" s="864"/>
      <c r="CJ1284" s="851"/>
      <c r="CK1284" s="851"/>
      <c r="CL1284" s="818"/>
      <c r="CM1284" s="864"/>
      <c r="CN1284" s="851"/>
      <c r="CO1284" s="851"/>
      <c r="CP1284" s="818"/>
      <c r="CQ1284" s="864"/>
      <c r="CR1284" s="851"/>
      <c r="CS1284" s="851"/>
      <c r="CT1284" s="818"/>
      <c r="CU1284" s="850"/>
      <c r="CV1284" s="850"/>
      <c r="CW1284" s="850"/>
      <c r="CX1284" s="850"/>
      <c r="CY1284" s="850"/>
      <c r="CZ1284" s="850"/>
      <c r="DA1284" s="850"/>
      <c r="DB1284" s="850"/>
      <c r="DC1284" s="850"/>
      <c r="DD1284" s="850"/>
      <c r="DE1284" s="850"/>
      <c r="DF1284" s="850"/>
      <c r="DG1284" s="850"/>
      <c r="DH1284" s="850"/>
      <c r="DI1284" s="850"/>
      <c r="DJ1284" s="850"/>
      <c r="DK1284" s="850"/>
      <c r="DL1284" s="850"/>
      <c r="DM1284" s="850"/>
      <c r="DN1284" s="850"/>
      <c r="DO1284" s="818"/>
      <c r="DP1284" s="850"/>
      <c r="DQ1284" s="850"/>
      <c r="DR1284" s="850"/>
      <c r="DS1284" s="818"/>
      <c r="DT1284" s="850"/>
      <c r="DU1284" s="851"/>
      <c r="DV1284" s="851"/>
      <c r="DW1284" s="851"/>
      <c r="DX1284" s="818"/>
      <c r="DZ1284" s="851"/>
      <c r="EA1284" s="851"/>
      <c r="EB1284" s="818"/>
      <c r="ED1284" s="851"/>
      <c r="EE1284" s="851"/>
      <c r="EF1284" s="818"/>
    </row>
    <row r="1285" spans="1:273" hidden="1" outlineLevel="1">
      <c r="A1285" s="102" t="s">
        <v>688</v>
      </c>
      <c r="AN1285" s="293"/>
      <c r="AO1285" s="293"/>
      <c r="AP1285" s="626"/>
      <c r="AQ1285" s="626"/>
      <c r="AR1285" s="293">
        <f>DIVISIONS!AR666</f>
        <v>-32</v>
      </c>
      <c r="AS1285" s="293">
        <f>DIVISIONS!AS666</f>
        <v>28</v>
      </c>
      <c r="AT1285" s="626"/>
      <c r="AU1285" s="626"/>
      <c r="AV1285" s="293">
        <f>DIVISIONS!AV666</f>
        <v>-25</v>
      </c>
      <c r="AW1285" s="293">
        <f>DIVISIONS!AW666</f>
        <v>-18</v>
      </c>
      <c r="AX1285" s="626"/>
      <c r="AY1285" s="626"/>
      <c r="AZ1285" s="293">
        <f>DIVISIONS!AZ666</f>
        <v>-6</v>
      </c>
      <c r="BA1285" s="293">
        <f>DIVISIONS!BA666</f>
        <v>-6</v>
      </c>
      <c r="BD1285" s="293">
        <f>DIVISIONS!BD666</f>
        <v>-3</v>
      </c>
      <c r="BE1285" s="293">
        <f>DIVISIONS!BE666</f>
        <v>-2</v>
      </c>
      <c r="BG1285" s="850"/>
      <c r="BH1285" s="293"/>
      <c r="BI1285" s="293"/>
      <c r="BK1285" s="850"/>
      <c r="BL1285" s="293"/>
      <c r="BM1285" s="850"/>
      <c r="BN1285" s="818"/>
      <c r="BO1285" s="850"/>
      <c r="BP1285" s="293"/>
      <c r="BQ1285" s="850"/>
      <c r="BR1285" s="818"/>
      <c r="BS1285" s="850"/>
      <c r="BT1285" s="850"/>
      <c r="BU1285" s="850"/>
      <c r="BV1285" s="818"/>
      <c r="BW1285" s="850"/>
      <c r="BX1285" s="850"/>
      <c r="BY1285" s="850"/>
      <c r="BZ1285" s="818"/>
      <c r="CA1285" s="850"/>
      <c r="CB1285" s="850"/>
      <c r="CC1285" s="850"/>
      <c r="CD1285" s="818"/>
      <c r="CE1285" s="864"/>
      <c r="CF1285" s="850"/>
      <c r="CG1285" s="850"/>
      <c r="CH1285" s="818"/>
      <c r="CI1285" s="864"/>
      <c r="CJ1285" s="850"/>
      <c r="CK1285" s="850"/>
      <c r="CL1285" s="818"/>
      <c r="CM1285" s="864"/>
      <c r="CN1285" s="850"/>
      <c r="CO1285" s="850"/>
      <c r="CP1285" s="818"/>
      <c r="CQ1285" s="864"/>
      <c r="CR1285" s="850"/>
      <c r="CS1285" s="850"/>
      <c r="CT1285" s="818"/>
      <c r="CU1285" s="850"/>
      <c r="CV1285" s="850"/>
      <c r="CW1285" s="850"/>
      <c r="CX1285" s="850"/>
      <c r="CY1285" s="850"/>
      <c r="CZ1285" s="850"/>
      <c r="DA1285" s="850"/>
      <c r="DB1285" s="850"/>
      <c r="DC1285" s="850"/>
      <c r="DD1285" s="850"/>
      <c r="DE1285" s="850"/>
      <c r="DF1285" s="850"/>
      <c r="DG1285" s="850"/>
      <c r="DH1285" s="850"/>
      <c r="DI1285" s="850"/>
      <c r="DJ1285" s="850"/>
      <c r="DK1285" s="850"/>
      <c r="DL1285" s="850"/>
      <c r="DM1285" s="850"/>
      <c r="DN1285" s="850"/>
      <c r="DO1285" s="818"/>
      <c r="DP1285" s="850"/>
      <c r="DQ1285" s="850"/>
      <c r="DR1285" s="850"/>
      <c r="DS1285" s="818"/>
      <c r="DT1285" s="850"/>
      <c r="DU1285" s="850"/>
      <c r="DV1285" s="850"/>
      <c r="DW1285" s="850"/>
      <c r="DX1285" s="818"/>
      <c r="DZ1285" s="850"/>
      <c r="EA1285" s="850"/>
      <c r="EB1285" s="818"/>
      <c r="ED1285" s="850"/>
      <c r="EE1285" s="850"/>
      <c r="EF1285" s="818"/>
    </row>
    <row r="1286" spans="1:273" hidden="1" outlineLevel="1">
      <c r="A1286" s="102" t="s">
        <v>691</v>
      </c>
      <c r="AN1286" s="293"/>
      <c r="AO1286" s="293"/>
      <c r="AP1286" s="626"/>
      <c r="AQ1286" s="626"/>
      <c r="AR1286" s="293">
        <f>DIVISIONS!AR710</f>
        <v>413</v>
      </c>
      <c r="AS1286" s="293">
        <f>DIVISIONS!AS710</f>
        <v>244</v>
      </c>
      <c r="AT1286" s="626"/>
      <c r="AU1286" s="626"/>
      <c r="AV1286" s="293">
        <f>DIVISIONS!AV710</f>
        <v>113</v>
      </c>
      <c r="AW1286" s="293">
        <f>DIVISIONS!AW710</f>
        <v>217</v>
      </c>
      <c r="AX1286" s="626"/>
      <c r="AY1286" s="626"/>
      <c r="AZ1286" s="293">
        <f>DIVISIONS!AZ710</f>
        <v>126</v>
      </c>
      <c r="BA1286" s="293">
        <f>DIVISIONS!BA710</f>
        <v>78</v>
      </c>
      <c r="BD1286" s="293">
        <f>DIVISIONS!BD710</f>
        <v>-56</v>
      </c>
      <c r="BE1286" s="293">
        <f>DIVISIONS!BE710</f>
        <v>36</v>
      </c>
      <c r="BG1286" s="850"/>
      <c r="BH1286" s="293"/>
      <c r="BI1286" s="293"/>
      <c r="BK1286" s="850"/>
      <c r="BL1286" s="293"/>
      <c r="BM1286" s="850"/>
      <c r="BN1286" s="818"/>
      <c r="BO1286" s="850"/>
      <c r="BP1286" s="293"/>
      <c r="BQ1286" s="850"/>
      <c r="BR1286" s="818"/>
      <c r="BS1286" s="850"/>
      <c r="BT1286" s="850"/>
      <c r="BU1286" s="850"/>
      <c r="BV1286" s="818"/>
      <c r="BW1286" s="850"/>
      <c r="BX1286" s="850"/>
      <c r="BY1286" s="850"/>
      <c r="BZ1286" s="818"/>
      <c r="CA1286" s="850"/>
      <c r="CB1286" s="850"/>
      <c r="CC1286" s="850"/>
      <c r="CD1286" s="818"/>
      <c r="CE1286" s="864"/>
      <c r="CF1286" s="850"/>
      <c r="CG1286" s="850"/>
      <c r="CH1286" s="818"/>
      <c r="CI1286" s="864"/>
      <c r="CJ1286" s="850"/>
      <c r="CK1286" s="850"/>
      <c r="CL1286" s="818"/>
      <c r="CM1286" s="864"/>
      <c r="CN1286" s="850"/>
      <c r="CO1286" s="850"/>
      <c r="CP1286" s="818"/>
      <c r="CQ1286" s="864"/>
      <c r="CR1286" s="850"/>
      <c r="CS1286" s="850"/>
      <c r="CT1286" s="818"/>
      <c r="CU1286" s="850"/>
      <c r="CV1286" s="850"/>
      <c r="CW1286" s="850"/>
      <c r="CX1286" s="850"/>
      <c r="CY1286" s="850"/>
      <c r="CZ1286" s="850"/>
      <c r="DA1286" s="850"/>
      <c r="DB1286" s="850"/>
      <c r="DC1286" s="850"/>
      <c r="DD1286" s="850"/>
      <c r="DE1286" s="850"/>
      <c r="DF1286" s="850"/>
      <c r="DG1286" s="850"/>
      <c r="DH1286" s="850"/>
      <c r="DI1286" s="850"/>
      <c r="DJ1286" s="850"/>
      <c r="DK1286" s="850"/>
      <c r="DL1286" s="850"/>
      <c r="DM1286" s="850"/>
      <c r="DN1286" s="850"/>
      <c r="DO1286" s="818"/>
      <c r="DP1286" s="850"/>
      <c r="DQ1286" s="850"/>
      <c r="DR1286" s="850"/>
      <c r="DS1286" s="818"/>
      <c r="DT1286" s="850"/>
      <c r="DU1286" s="850"/>
      <c r="DV1286" s="850"/>
      <c r="DW1286" s="850"/>
      <c r="DX1286" s="818"/>
      <c r="DZ1286" s="850"/>
      <c r="EA1286" s="850"/>
      <c r="EB1286" s="818"/>
      <c r="ED1286" s="850"/>
      <c r="EE1286" s="850"/>
      <c r="EF1286" s="818"/>
    </row>
    <row r="1287" spans="1:273" s="289" customFormat="1" hidden="1" outlineLevel="1">
      <c r="A1287" s="289" t="s">
        <v>613</v>
      </c>
      <c r="B1287" s="290"/>
      <c r="AN1287" s="295"/>
      <c r="AO1287" s="295"/>
      <c r="AP1287" s="290"/>
      <c r="AQ1287" s="290"/>
      <c r="AR1287" s="295">
        <f>SUM(AR1279:AR1286)</f>
        <v>520</v>
      </c>
      <c r="AS1287" s="295">
        <f>SUM(AS1279:AS1286)</f>
        <v>418</v>
      </c>
      <c r="AT1287" s="290"/>
      <c r="AU1287" s="290"/>
      <c r="AV1287" s="295">
        <f>SUM(AV1279:AV1286)</f>
        <v>425</v>
      </c>
      <c r="AW1287" s="295">
        <f>SUM(AW1279:AW1286)</f>
        <v>655</v>
      </c>
      <c r="AX1287" s="290"/>
      <c r="AY1287" s="290"/>
      <c r="AZ1287" s="295">
        <f>SUM(AZ1279:AZ1286)</f>
        <v>605</v>
      </c>
      <c r="BA1287" s="295">
        <f>SUM(BA1279:BA1286)</f>
        <v>670</v>
      </c>
      <c r="BB1287" s="295">
        <f>+BA1287+AZ1287</f>
        <v>1275</v>
      </c>
      <c r="BC1287" s="290"/>
      <c r="BD1287" s="295">
        <f>SUM(BD1279:BD1286)</f>
        <v>525</v>
      </c>
      <c r="BE1287" s="295">
        <f>SUM(BE1279:BE1286)</f>
        <v>664</v>
      </c>
      <c r="BF1287" s="295">
        <f>+BE1287+BD1287</f>
        <v>1189</v>
      </c>
      <c r="BG1287" s="290"/>
      <c r="BH1287" s="295"/>
      <c r="BI1287" s="295"/>
      <c r="BJ1287" s="295"/>
      <c r="BK1287" s="290"/>
      <c r="BL1287" s="295"/>
      <c r="BM1287" s="295"/>
      <c r="BN1287" s="295"/>
      <c r="BO1287" s="290"/>
      <c r="BP1287" s="295"/>
      <c r="BQ1287" s="295"/>
      <c r="BR1287" s="295"/>
      <c r="BS1287" s="290"/>
      <c r="BT1287" s="295"/>
      <c r="BU1287" s="295"/>
      <c r="BV1287" s="295"/>
      <c r="BW1287" s="290"/>
      <c r="BX1287" s="295"/>
      <c r="BY1287" s="295"/>
      <c r="BZ1287" s="295"/>
      <c r="CA1287" s="290"/>
      <c r="CB1287" s="295"/>
      <c r="CC1287" s="295"/>
      <c r="CD1287" s="295"/>
      <c r="CE1287" s="581"/>
      <c r="CF1287" s="295"/>
      <c r="CG1287" s="295"/>
      <c r="CH1287" s="295"/>
      <c r="CI1287" s="581"/>
      <c r="CJ1287" s="295"/>
      <c r="CK1287" s="295"/>
      <c r="CL1287" s="295"/>
      <c r="CM1287" s="581"/>
      <c r="CN1287" s="295"/>
      <c r="CO1287" s="295"/>
      <c r="CP1287" s="295"/>
      <c r="CQ1287" s="581"/>
      <c r="CR1287" s="295"/>
      <c r="CS1287" s="295"/>
      <c r="CT1287" s="295"/>
      <c r="CU1287" s="290"/>
      <c r="CV1287" s="290"/>
      <c r="CW1287" s="290"/>
      <c r="CX1287" s="290"/>
      <c r="CY1287" s="290"/>
      <c r="CZ1287" s="290"/>
      <c r="DA1287" s="290"/>
      <c r="DB1287" s="290"/>
      <c r="DC1287" s="290"/>
      <c r="DD1287" s="290"/>
      <c r="DE1287" s="290"/>
      <c r="DF1287" s="290"/>
      <c r="DG1287" s="290"/>
      <c r="DH1287" s="290"/>
      <c r="DI1287" s="290"/>
      <c r="DJ1287" s="290"/>
      <c r="DK1287" s="290"/>
      <c r="DL1287" s="290"/>
      <c r="DM1287" s="290"/>
      <c r="DN1287" s="290"/>
      <c r="DO1287" s="295"/>
      <c r="DP1287" s="290"/>
      <c r="DQ1287" s="290"/>
      <c r="DR1287" s="290"/>
      <c r="DS1287" s="295"/>
      <c r="DT1287" s="290"/>
      <c r="DU1287" s="295"/>
      <c r="DV1287" s="295"/>
      <c r="DW1287" s="295"/>
      <c r="DX1287" s="295"/>
      <c r="DY1287" s="290"/>
      <c r="DZ1287" s="295"/>
      <c r="EA1287" s="295"/>
      <c r="EB1287" s="295"/>
      <c r="EC1287" s="290"/>
      <c r="ED1287" s="295"/>
      <c r="EE1287" s="295"/>
      <c r="EF1287" s="295"/>
      <c r="EG1287" s="290"/>
      <c r="EH1287" s="290"/>
      <c r="EI1287" s="290"/>
      <c r="EJ1287" s="290"/>
      <c r="EK1287" s="290"/>
      <c r="EL1287" s="290"/>
      <c r="EM1287" s="290"/>
      <c r="EN1287" s="290"/>
      <c r="EO1287" s="290"/>
      <c r="EP1287" s="290"/>
      <c r="JM1287"/>
    </row>
    <row r="1288" spans="1:273" hidden="1" outlineLevel="1"/>
    <row r="1289" spans="1:273" s="1048" customFormat="1" hidden="1" outlineLevel="1">
      <c r="A1289" s="866" t="s">
        <v>651</v>
      </c>
      <c r="B1289" s="867"/>
      <c r="C1289" s="699"/>
      <c r="D1289" s="699"/>
      <c r="E1289" s="699"/>
      <c r="F1289" s="699"/>
      <c r="G1289" s="699"/>
      <c r="H1289" s="699"/>
      <c r="I1289" s="699"/>
      <c r="J1289" s="699"/>
      <c r="K1289" s="699"/>
      <c r="L1289" s="699"/>
      <c r="M1289" s="699"/>
      <c r="N1289" s="699"/>
      <c r="O1289" s="699"/>
      <c r="P1289" s="699"/>
      <c r="Q1289" s="699"/>
      <c r="R1289" s="699"/>
      <c r="S1289" s="699"/>
      <c r="T1289" s="699"/>
      <c r="U1289" s="699"/>
      <c r="V1289" s="699"/>
      <c r="W1289" s="699"/>
      <c r="X1289" s="699"/>
      <c r="Y1289" s="699"/>
      <c r="Z1289" s="699"/>
      <c r="AA1289" s="699"/>
      <c r="AB1289" s="699"/>
      <c r="AC1289" s="699"/>
      <c r="AD1289" s="699"/>
      <c r="AE1289" s="699"/>
      <c r="AF1289" s="699"/>
      <c r="AG1289" s="699"/>
      <c r="AH1289" s="699"/>
      <c r="AI1289" s="699"/>
      <c r="AJ1289" s="699"/>
      <c r="AK1289" s="699"/>
      <c r="AL1289" s="699"/>
      <c r="AM1289" s="699"/>
      <c r="AN1289" s="925"/>
      <c r="AO1289" s="925"/>
      <c r="AP1289" s="925"/>
      <c r="AQ1289" s="925"/>
      <c r="AR1289" s="925"/>
      <c r="AS1289" s="925"/>
      <c r="AT1289" s="925"/>
      <c r="AU1289" s="925"/>
      <c r="AV1289" s="985"/>
      <c r="AW1289" s="985"/>
      <c r="AX1289" s="968"/>
      <c r="AY1289" s="968"/>
      <c r="AZ1289" s="985"/>
      <c r="BA1289" s="1047"/>
      <c r="BB1289" s="968"/>
      <c r="BC1289" s="968"/>
      <c r="BD1289" s="985"/>
      <c r="BE1289" s="1047"/>
      <c r="BF1289" s="968"/>
      <c r="BG1289" s="968"/>
      <c r="BH1289" s="1047"/>
      <c r="BI1289" s="1047"/>
      <c r="BJ1289" s="968"/>
      <c r="BK1289" s="968"/>
      <c r="BL1289" s="1047"/>
      <c r="BM1289" s="1047"/>
      <c r="BN1289" s="968"/>
      <c r="BO1289" s="968"/>
      <c r="BP1289" s="1047"/>
      <c r="BQ1289" s="1047"/>
      <c r="BR1289" s="968"/>
      <c r="BS1289" s="968"/>
      <c r="BT1289" s="1047"/>
      <c r="BU1289" s="1047"/>
      <c r="BV1289" s="968"/>
      <c r="BW1289" s="968"/>
      <c r="BX1289" s="1047"/>
      <c r="BY1289" s="1047"/>
      <c r="BZ1289" s="968"/>
      <c r="CA1289" s="968"/>
      <c r="CB1289" s="1047"/>
      <c r="CC1289" s="1047"/>
      <c r="CD1289" s="968"/>
      <c r="CE1289" s="1617"/>
      <c r="CF1289" s="1047"/>
      <c r="CG1289" s="1047"/>
      <c r="CH1289" s="968"/>
      <c r="CI1289" s="1617"/>
      <c r="CJ1289" s="1047"/>
      <c r="CK1289" s="1047"/>
      <c r="CL1289" s="968"/>
      <c r="CM1289" s="1617"/>
      <c r="CN1289" s="1047"/>
      <c r="CO1289" s="1047"/>
      <c r="CP1289" s="968"/>
      <c r="CQ1289" s="1617"/>
      <c r="CR1289" s="1047"/>
      <c r="CS1289" s="1047"/>
      <c r="CT1289" s="968"/>
      <c r="CU1289" s="968"/>
      <c r="CV1289" s="968"/>
      <c r="CW1289" s="968"/>
      <c r="CX1289" s="968"/>
      <c r="CY1289" s="968"/>
      <c r="CZ1289" s="968"/>
      <c r="DA1289" s="968"/>
      <c r="DB1289" s="968"/>
      <c r="DC1289" s="968"/>
      <c r="DD1289" s="968"/>
      <c r="DE1289" s="968"/>
      <c r="DF1289" s="968"/>
      <c r="DG1289" s="968"/>
      <c r="DH1289" s="968"/>
      <c r="DI1289" s="968"/>
      <c r="DJ1289" s="968"/>
      <c r="DK1289" s="968"/>
      <c r="DL1289" s="968"/>
      <c r="DM1289" s="968"/>
      <c r="DN1289" s="968"/>
      <c r="DO1289" s="968"/>
      <c r="DP1289" s="968"/>
      <c r="DQ1289" s="968"/>
      <c r="DR1289" s="968"/>
      <c r="DS1289" s="968"/>
      <c r="DT1289" s="968"/>
      <c r="DU1289" s="1047"/>
      <c r="DV1289" s="1047"/>
      <c r="DW1289" s="1047"/>
      <c r="DX1289" s="968"/>
      <c r="DY1289" s="968"/>
      <c r="DZ1289" s="1047"/>
      <c r="EA1289" s="1047"/>
      <c r="EB1289" s="968"/>
      <c r="EC1289" s="968"/>
      <c r="ED1289" s="1047"/>
      <c r="EE1289" s="1047"/>
      <c r="EF1289" s="968"/>
      <c r="EG1289" s="968"/>
      <c r="EH1289" s="968"/>
      <c r="EI1289" s="968"/>
      <c r="EJ1289" s="968"/>
      <c r="EK1289" s="968"/>
      <c r="EL1289" s="968"/>
      <c r="EM1289" s="968"/>
      <c r="EN1289" s="968"/>
      <c r="EO1289" s="968"/>
      <c r="EP1289" s="968"/>
      <c r="EQ1289" s="971"/>
      <c r="ER1289" s="971"/>
      <c r="ES1289" s="971"/>
      <c r="ET1289" s="971"/>
      <c r="EU1289" s="971"/>
      <c r="EV1289" s="971"/>
      <c r="EW1289" s="971"/>
      <c r="EX1289" s="971"/>
      <c r="EY1289" s="971"/>
      <c r="EZ1289" s="971"/>
      <c r="FA1289" s="971"/>
      <c r="FB1289" s="971"/>
      <c r="FC1289" s="971"/>
      <c r="FD1289" s="971"/>
      <c r="FE1289" s="971"/>
      <c r="FF1289" s="971"/>
      <c r="FG1289" s="971"/>
      <c r="FH1289" s="971"/>
      <c r="FI1289" s="971"/>
      <c r="FJ1289" s="971"/>
      <c r="FK1289" s="971"/>
      <c r="FL1289" s="855"/>
      <c r="FM1289" s="855"/>
      <c r="FN1289" s="855"/>
      <c r="FO1289" s="855"/>
      <c r="FP1289" s="855"/>
      <c r="FQ1289" s="855"/>
      <c r="FR1289" s="855"/>
      <c r="FS1289" s="855"/>
      <c r="FT1289" s="855"/>
      <c r="FU1289" s="855"/>
      <c r="FV1289" s="855"/>
      <c r="FW1289" s="855"/>
      <c r="FX1289" s="855"/>
      <c r="FY1289" s="855"/>
      <c r="FZ1289" s="855"/>
      <c r="GA1289" s="855"/>
      <c r="GB1289" s="855"/>
      <c r="GC1289" s="855"/>
      <c r="GD1289" s="855"/>
      <c r="GE1289" s="855"/>
      <c r="GF1289" s="855"/>
      <c r="GG1289" s="855"/>
      <c r="GH1289" s="855"/>
      <c r="GI1289" s="855"/>
      <c r="GJ1289" s="855"/>
      <c r="GK1289" s="855"/>
      <c r="GL1289" s="855"/>
      <c r="GM1289" s="855"/>
      <c r="GN1289" s="855"/>
      <c r="GO1289" s="855"/>
      <c r="GP1289" s="855"/>
      <c r="GQ1289" s="855"/>
      <c r="GR1289" s="855"/>
      <c r="GS1289" s="855"/>
      <c r="GT1289" s="855"/>
      <c r="GU1289" s="855"/>
      <c r="GV1289" s="855"/>
      <c r="GW1289" s="855"/>
      <c r="GX1289" s="855"/>
      <c r="GY1289" s="855"/>
      <c r="GZ1289" s="855"/>
      <c r="HA1289" s="855"/>
      <c r="HB1289" s="855"/>
      <c r="HC1289" s="855"/>
      <c r="HD1289" s="855"/>
      <c r="HE1289" s="855"/>
      <c r="HF1289" s="855"/>
      <c r="HG1289" s="855"/>
      <c r="HH1289" s="855"/>
      <c r="HI1289" s="855"/>
      <c r="HJ1289" s="855"/>
      <c r="HK1289" s="855"/>
      <c r="HL1289" s="855"/>
      <c r="HM1289" s="855"/>
      <c r="HN1289" s="855"/>
      <c r="HO1289" s="855"/>
      <c r="HP1289" s="855"/>
      <c r="HQ1289" s="855"/>
      <c r="HR1289" s="855"/>
      <c r="HS1289" s="855"/>
      <c r="HT1289" s="855"/>
      <c r="HU1289" s="855"/>
      <c r="HV1289" s="855"/>
      <c r="HW1289" s="855"/>
      <c r="HX1289" s="855"/>
      <c r="HY1289" s="855"/>
      <c r="HZ1289" s="855"/>
      <c r="IA1289" s="855"/>
      <c r="IB1289" s="855"/>
      <c r="IC1289" s="855"/>
      <c r="ID1289" s="855"/>
      <c r="IE1289" s="855"/>
      <c r="IF1289" s="855"/>
      <c r="IG1289" s="855"/>
      <c r="IH1289" s="855"/>
      <c r="II1289" s="855"/>
      <c r="IJ1289" s="855"/>
      <c r="IK1289" s="855"/>
      <c r="IL1289" s="855"/>
      <c r="IM1289" s="855"/>
      <c r="IN1289" s="855"/>
      <c r="IO1289" s="855"/>
      <c r="IP1289" s="855"/>
      <c r="IQ1289" s="855"/>
      <c r="IR1289" s="855"/>
      <c r="IS1289" s="855"/>
      <c r="IT1289" s="855"/>
      <c r="IU1289" s="855"/>
      <c r="IV1289" s="855"/>
      <c r="IW1289" s="855"/>
      <c r="IX1289" s="855"/>
      <c r="IY1289" s="855"/>
      <c r="IZ1289" s="855"/>
      <c r="JA1289" s="855"/>
      <c r="JB1289" s="855"/>
      <c r="JC1289" s="855"/>
      <c r="JD1289" s="855"/>
      <c r="JE1289" s="855"/>
      <c r="JF1289" s="855"/>
      <c r="JG1289" s="855"/>
      <c r="JH1289" s="855"/>
      <c r="JI1289" s="855"/>
      <c r="JJ1289" s="855"/>
      <c r="JK1289" s="855"/>
      <c r="JL1289" s="855"/>
      <c r="JM1289"/>
    </row>
    <row r="1290" spans="1:273" s="854" customFormat="1" hidden="1" outlineLevel="1">
      <c r="A1290" s="102"/>
      <c r="B1290" s="103"/>
      <c r="C1290" s="102"/>
      <c r="D1290" s="102"/>
      <c r="E1290" s="102"/>
      <c r="F1290" s="102"/>
      <c r="G1290" s="102"/>
      <c r="H1290" s="102"/>
      <c r="I1290" s="102"/>
      <c r="J1290" s="102"/>
      <c r="K1290" s="102"/>
      <c r="L1290" s="102"/>
      <c r="M1290" s="102"/>
      <c r="N1290" s="102"/>
      <c r="O1290" s="102"/>
      <c r="P1290" s="102"/>
      <c r="Q1290" s="102"/>
      <c r="R1290" s="102"/>
      <c r="S1290" s="102"/>
      <c r="T1290" s="102"/>
      <c r="U1290" s="102"/>
      <c r="V1290" s="102"/>
      <c r="W1290" s="102"/>
      <c r="X1290" s="102"/>
      <c r="Y1290" s="102"/>
      <c r="Z1290" s="102"/>
      <c r="AA1290" s="102"/>
      <c r="AB1290" s="102"/>
      <c r="AC1290" s="102"/>
      <c r="AD1290" s="102"/>
      <c r="AE1290" s="102"/>
      <c r="AF1290" s="102"/>
      <c r="AG1290" s="102"/>
      <c r="AH1290" s="102"/>
      <c r="AI1290" s="102"/>
      <c r="AJ1290" s="102"/>
      <c r="AK1290" s="102"/>
      <c r="AL1290" s="102"/>
      <c r="AM1290" s="102"/>
      <c r="AN1290" s="290"/>
      <c r="AO1290" s="290"/>
      <c r="AP1290" s="290"/>
      <c r="AQ1290" s="290"/>
      <c r="AR1290" s="290"/>
      <c r="AS1290" s="290"/>
      <c r="AT1290" s="290"/>
      <c r="AU1290" s="290"/>
      <c r="AV1290" s="818"/>
      <c r="AW1290" s="818"/>
      <c r="AX1290" s="853"/>
      <c r="AY1290" s="853"/>
      <c r="AZ1290" s="818"/>
      <c r="BA1290" s="850"/>
      <c r="BB1290" s="853"/>
      <c r="BC1290" s="853"/>
      <c r="BD1290" s="818"/>
      <c r="BE1290" s="850"/>
      <c r="BF1290" s="853"/>
      <c r="BG1290" s="853"/>
      <c r="BH1290" s="850"/>
      <c r="BI1290" s="850"/>
      <c r="BJ1290" s="853"/>
      <c r="BK1290" s="853"/>
      <c r="BL1290" s="850"/>
      <c r="BM1290" s="850"/>
      <c r="BN1290" s="853"/>
      <c r="BO1290" s="853"/>
      <c r="BP1290" s="850"/>
      <c r="BQ1290" s="850"/>
      <c r="BR1290" s="853"/>
      <c r="BS1290" s="853"/>
      <c r="BT1290" s="850"/>
      <c r="BU1290" s="850"/>
      <c r="BV1290" s="853"/>
      <c r="BW1290" s="853"/>
      <c r="BX1290" s="850"/>
      <c r="BY1290" s="850"/>
      <c r="BZ1290" s="853"/>
      <c r="CA1290" s="853"/>
      <c r="CB1290" s="850"/>
      <c r="CC1290" s="850"/>
      <c r="CD1290" s="853"/>
      <c r="CE1290" s="862"/>
      <c r="CF1290" s="850"/>
      <c r="CG1290" s="850"/>
      <c r="CH1290" s="853"/>
      <c r="CI1290" s="862"/>
      <c r="CJ1290" s="850"/>
      <c r="CK1290" s="850"/>
      <c r="CL1290" s="853"/>
      <c r="CM1290" s="862"/>
      <c r="CN1290" s="850"/>
      <c r="CO1290" s="850"/>
      <c r="CP1290" s="853"/>
      <c r="CQ1290" s="862"/>
      <c r="CR1290" s="850"/>
      <c r="CS1290" s="850"/>
      <c r="CT1290" s="853"/>
      <c r="CU1290" s="853"/>
      <c r="CV1290" s="853"/>
      <c r="CW1290" s="853"/>
      <c r="CX1290" s="853"/>
      <c r="CY1290" s="853"/>
      <c r="CZ1290" s="853"/>
      <c r="DA1290" s="853"/>
      <c r="DB1290" s="853"/>
      <c r="DC1290" s="853"/>
      <c r="DD1290" s="853"/>
      <c r="DE1290" s="853"/>
      <c r="DF1290" s="853"/>
      <c r="DG1290" s="853"/>
      <c r="DH1290" s="853"/>
      <c r="DI1290" s="853"/>
      <c r="DJ1290" s="853"/>
      <c r="DK1290" s="853"/>
      <c r="DL1290" s="853"/>
      <c r="DM1290" s="853"/>
      <c r="DN1290" s="853"/>
      <c r="DO1290" s="853"/>
      <c r="DP1290" s="853"/>
      <c r="DQ1290" s="853"/>
      <c r="DR1290" s="853"/>
      <c r="DS1290" s="853"/>
      <c r="DT1290" s="853"/>
      <c r="DU1290" s="850"/>
      <c r="DV1290" s="850"/>
      <c r="DW1290" s="850"/>
      <c r="DX1290" s="853"/>
      <c r="DY1290" s="853"/>
      <c r="DZ1290" s="850"/>
      <c r="EA1290" s="850"/>
      <c r="EB1290" s="853"/>
      <c r="EC1290" s="853"/>
      <c r="ED1290" s="850"/>
      <c r="EE1290" s="850"/>
      <c r="EF1290" s="853"/>
      <c r="EG1290" s="853"/>
      <c r="EH1290" s="853"/>
      <c r="EI1290" s="853"/>
      <c r="EJ1290" s="853"/>
      <c r="EK1290" s="853"/>
      <c r="EL1290" s="853"/>
      <c r="EM1290" s="853"/>
      <c r="EN1290" s="853"/>
      <c r="EO1290" s="853"/>
      <c r="EP1290" s="853"/>
      <c r="EQ1290" s="855"/>
      <c r="ER1290" s="855"/>
      <c r="ES1290" s="855"/>
      <c r="ET1290" s="855"/>
      <c r="EU1290" s="855"/>
      <c r="EV1290" s="855"/>
      <c r="EW1290" s="855"/>
      <c r="EX1290" s="855"/>
      <c r="EY1290" s="855"/>
      <c r="EZ1290" s="855"/>
      <c r="FA1290" s="855"/>
      <c r="FB1290" s="855"/>
      <c r="FC1290" s="855"/>
      <c r="FD1290" s="855"/>
      <c r="FE1290" s="855"/>
      <c r="FF1290" s="855"/>
      <c r="FG1290" s="855"/>
      <c r="FH1290" s="855"/>
      <c r="FI1290" s="855"/>
      <c r="FJ1290" s="855"/>
      <c r="FK1290" s="855"/>
      <c r="FL1290" s="855"/>
      <c r="FM1290" s="855"/>
      <c r="FN1290" s="855"/>
      <c r="FO1290" s="855"/>
      <c r="FP1290" s="855"/>
      <c r="FQ1290" s="855"/>
      <c r="FR1290" s="855"/>
      <c r="FS1290" s="855"/>
      <c r="FT1290" s="855"/>
      <c r="FU1290" s="855"/>
      <c r="FV1290" s="855"/>
      <c r="FW1290" s="855"/>
      <c r="FX1290" s="855"/>
      <c r="FY1290" s="855"/>
      <c r="FZ1290" s="855"/>
      <c r="GA1290" s="855"/>
      <c r="GB1290" s="855"/>
      <c r="GC1290" s="855"/>
      <c r="GD1290" s="855"/>
      <c r="GE1290" s="855"/>
      <c r="GF1290" s="855"/>
      <c r="GG1290" s="855"/>
      <c r="GH1290" s="855"/>
      <c r="GI1290" s="855"/>
      <c r="GJ1290" s="855"/>
      <c r="GK1290" s="855"/>
      <c r="GL1290" s="855"/>
      <c r="GM1290" s="855"/>
      <c r="GN1290" s="855"/>
      <c r="GO1290" s="855"/>
      <c r="GP1290" s="855"/>
      <c r="GQ1290" s="855"/>
      <c r="GR1290" s="855"/>
      <c r="GS1290" s="855"/>
      <c r="GT1290" s="855"/>
      <c r="GU1290" s="855"/>
      <c r="GV1290" s="855"/>
      <c r="GW1290" s="855"/>
      <c r="GX1290" s="855"/>
      <c r="GY1290" s="855"/>
      <c r="GZ1290" s="855"/>
      <c r="HA1290" s="855"/>
      <c r="HB1290" s="855"/>
      <c r="HC1290" s="855"/>
      <c r="HD1290" s="855"/>
      <c r="HE1290" s="855"/>
      <c r="HF1290" s="855"/>
      <c r="HG1290" s="855"/>
      <c r="HH1290" s="855"/>
      <c r="HI1290" s="855"/>
      <c r="HJ1290" s="855"/>
      <c r="HK1290" s="855"/>
      <c r="HL1290" s="855"/>
      <c r="HM1290" s="855"/>
      <c r="HN1290" s="855"/>
      <c r="HO1290" s="855"/>
      <c r="HP1290" s="855"/>
      <c r="HQ1290" s="855"/>
      <c r="HR1290" s="855"/>
      <c r="HS1290" s="855"/>
      <c r="HT1290" s="855"/>
      <c r="HU1290" s="855"/>
      <c r="HV1290" s="855"/>
      <c r="HW1290" s="855"/>
      <c r="HX1290" s="855"/>
      <c r="HY1290" s="855"/>
      <c r="HZ1290" s="855"/>
      <c r="IA1290" s="855"/>
      <c r="IB1290" s="855"/>
      <c r="IC1290" s="855"/>
      <c r="ID1290" s="855"/>
      <c r="IE1290" s="855"/>
      <c r="IF1290" s="855"/>
      <c r="IG1290" s="855"/>
      <c r="IH1290" s="855"/>
      <c r="II1290" s="855"/>
      <c r="IJ1290" s="855"/>
      <c r="IK1290" s="855"/>
      <c r="IL1290" s="855"/>
      <c r="IM1290" s="855"/>
      <c r="IN1290" s="855"/>
      <c r="IO1290" s="855"/>
      <c r="IP1290" s="855"/>
      <c r="IQ1290" s="855"/>
      <c r="IR1290" s="855"/>
      <c r="IS1290" s="855"/>
      <c r="IT1290" s="855"/>
      <c r="IU1290" s="855"/>
      <c r="IV1290" s="855"/>
      <c r="IW1290" s="855"/>
      <c r="IX1290" s="855"/>
      <c r="IY1290" s="855"/>
      <c r="IZ1290" s="855"/>
      <c r="JA1290" s="855"/>
      <c r="JB1290" s="855"/>
      <c r="JC1290" s="855"/>
      <c r="JD1290" s="855"/>
      <c r="JE1290" s="855"/>
      <c r="JF1290" s="855"/>
      <c r="JG1290" s="855"/>
      <c r="JH1290" s="855"/>
      <c r="JI1290" s="855"/>
      <c r="JJ1290" s="855"/>
      <c r="JK1290" s="855"/>
      <c r="JL1290" s="855"/>
      <c r="JM1290"/>
    </row>
    <row r="1291" spans="1:273" s="332" customFormat="1" hidden="1" outlineLevel="1">
      <c r="A1291" s="815" t="s">
        <v>651</v>
      </c>
      <c r="B1291" s="293"/>
      <c r="AN1291" s="293"/>
      <c r="AO1291" s="293"/>
      <c r="AP1291" s="293"/>
      <c r="AQ1291" s="293"/>
      <c r="AR1291" s="293"/>
      <c r="AS1291" s="293"/>
      <c r="AT1291" s="293"/>
      <c r="AU1291" s="293"/>
      <c r="AV1291" s="626"/>
      <c r="AW1291" s="626"/>
      <c r="AX1291" s="626"/>
      <c r="AY1291" s="626"/>
      <c r="AZ1291" s="626"/>
      <c r="BA1291" s="293"/>
      <c r="BB1291" s="293"/>
      <c r="BC1291" s="293"/>
      <c r="BD1291" s="626"/>
      <c r="BE1291" s="293"/>
      <c r="BF1291" s="293"/>
      <c r="BG1291" s="293"/>
      <c r="BH1291" s="293"/>
      <c r="BI1291" s="293"/>
      <c r="BJ1291" s="293"/>
      <c r="BK1291" s="293"/>
      <c r="BL1291" s="293"/>
      <c r="BM1291" s="293"/>
      <c r="BN1291" s="293"/>
      <c r="BO1291" s="293"/>
      <c r="BP1291" s="293"/>
      <c r="BQ1291" s="293"/>
      <c r="BR1291" s="293"/>
      <c r="BS1291" s="293"/>
      <c r="BT1291" s="293"/>
      <c r="BU1291" s="293"/>
      <c r="BV1291" s="293"/>
      <c r="BW1291" s="293"/>
      <c r="BX1291" s="293"/>
      <c r="BY1291" s="293"/>
      <c r="BZ1291" s="293"/>
      <c r="CA1291" s="293"/>
      <c r="CB1291" s="293"/>
      <c r="CC1291" s="293"/>
      <c r="CD1291" s="293"/>
      <c r="CE1291" s="331"/>
      <c r="CF1291" s="293"/>
      <c r="CG1291" s="293"/>
      <c r="CH1291" s="293"/>
      <c r="CI1291" s="331"/>
      <c r="CJ1291" s="293"/>
      <c r="CK1291" s="293"/>
      <c r="CL1291" s="293"/>
      <c r="CM1291" s="331"/>
      <c r="CN1291" s="293"/>
      <c r="CO1291" s="293"/>
      <c r="CP1291" s="293"/>
      <c r="CQ1291" s="331"/>
      <c r="CR1291" s="293"/>
      <c r="CS1291" s="293"/>
      <c r="CT1291" s="293"/>
      <c r="CU1291" s="293"/>
      <c r="CV1291" s="293"/>
      <c r="CW1291" s="293"/>
      <c r="CX1291" s="293"/>
      <c r="CY1291" s="293"/>
      <c r="CZ1291" s="293"/>
      <c r="DA1291" s="293"/>
      <c r="DB1291" s="293"/>
      <c r="DC1291" s="293"/>
      <c r="DD1291" s="293"/>
      <c r="DE1291" s="293"/>
      <c r="DF1291" s="293"/>
      <c r="DG1291" s="293"/>
      <c r="DH1291" s="293"/>
      <c r="DI1291" s="293"/>
      <c r="DJ1291" s="293"/>
      <c r="DK1291" s="293"/>
      <c r="DL1291" s="293"/>
      <c r="DM1291" s="293"/>
      <c r="DN1291" s="293"/>
      <c r="DO1291" s="293"/>
      <c r="DP1291" s="293"/>
      <c r="DQ1291" s="293"/>
      <c r="DR1291" s="293"/>
      <c r="DS1291" s="293"/>
      <c r="DT1291" s="293"/>
      <c r="DU1291" s="293"/>
      <c r="DV1291" s="293"/>
      <c r="DW1291" s="293"/>
      <c r="DX1291" s="293"/>
      <c r="DY1291" s="293"/>
      <c r="DZ1291" s="293"/>
      <c r="EA1291" s="293"/>
      <c r="EB1291" s="293"/>
      <c r="EC1291" s="293"/>
      <c r="ED1291" s="293"/>
      <c r="EE1291" s="293"/>
      <c r="EF1291" s="293"/>
      <c r="EG1291" s="293"/>
      <c r="EH1291" s="293"/>
      <c r="EI1291" s="293"/>
      <c r="EJ1291" s="293"/>
      <c r="EK1291" s="293"/>
      <c r="EL1291" s="293"/>
      <c r="EM1291" s="293"/>
      <c r="EN1291" s="293"/>
      <c r="EO1291" s="293"/>
      <c r="EP1291" s="293"/>
      <c r="JM1291"/>
    </row>
    <row r="1292" spans="1:273" s="332" customFormat="1" hidden="1" outlineLevel="1">
      <c r="A1292" s="102" t="s">
        <v>685</v>
      </c>
      <c r="B1292" s="293"/>
      <c r="AN1292" s="293"/>
      <c r="AO1292" s="293"/>
      <c r="AP1292" s="293"/>
      <c r="AQ1292" s="293"/>
      <c r="AR1292" s="293">
        <f>DIVISIONS!AR39</f>
        <v>0</v>
      </c>
      <c r="AS1292" s="293">
        <f>DIVISIONS!AS39</f>
        <v>0</v>
      </c>
      <c r="AT1292" s="626"/>
      <c r="AU1292" s="626"/>
      <c r="AV1292" s="293">
        <f>DIVISIONS!AV39</f>
        <v>0</v>
      </c>
      <c r="AW1292" s="293">
        <f>DIVISIONS!AW39</f>
        <v>0</v>
      </c>
      <c r="AX1292" s="294">
        <f t="shared" ref="AX1292:AY1299" si="2561">AV1292/AV$1300</f>
        <v>0</v>
      </c>
      <c r="AY1292" s="294">
        <f t="shared" si="2561"/>
        <v>0</v>
      </c>
      <c r="AZ1292" s="293">
        <f>DIVISIONS!AZ39</f>
        <v>0</v>
      </c>
      <c r="BA1292" s="293">
        <f>DIVISIONS!BA39</f>
        <v>0</v>
      </c>
      <c r="BB1292" s="294">
        <f t="shared" ref="BB1292:BC1299" si="2562">AZ1292/AZ$1300</f>
        <v>0</v>
      </c>
      <c r="BC1292" s="294">
        <f t="shared" si="2562"/>
        <v>0</v>
      </c>
      <c r="BD1292" s="293">
        <f>DIVISIONS!BD39</f>
        <v>0</v>
      </c>
      <c r="BE1292" s="293">
        <f>DIVISIONS!BE39</f>
        <v>0</v>
      </c>
      <c r="BF1292" s="294">
        <f t="shared" ref="BF1292:BF1299" si="2563">BD1292/BD$1300</f>
        <v>0</v>
      </c>
      <c r="BG1292" s="294"/>
      <c r="BH1292" s="293"/>
      <c r="BI1292" s="293"/>
      <c r="BJ1292" s="294"/>
      <c r="BK1292" s="294"/>
      <c r="BL1292" s="293"/>
      <c r="BM1292" s="487"/>
      <c r="BN1292" s="293"/>
      <c r="BO1292" s="293"/>
      <c r="BP1292" s="293"/>
      <c r="BQ1292" s="487"/>
      <c r="BR1292" s="293"/>
      <c r="BS1292" s="293"/>
      <c r="BT1292" s="487"/>
      <c r="BU1292" s="487"/>
      <c r="BV1292" s="293"/>
      <c r="BW1292" s="293"/>
      <c r="BX1292" s="487"/>
      <c r="BY1292" s="487"/>
      <c r="BZ1292" s="293"/>
      <c r="CA1292" s="293"/>
      <c r="CB1292" s="487"/>
      <c r="CC1292" s="487"/>
      <c r="CD1292" s="293"/>
      <c r="CE1292" s="331"/>
      <c r="CF1292" s="487"/>
      <c r="CG1292" s="487"/>
      <c r="CH1292" s="293"/>
      <c r="CI1292" s="331"/>
      <c r="CJ1292" s="487"/>
      <c r="CK1292" s="487"/>
      <c r="CL1292" s="293"/>
      <c r="CM1292" s="331"/>
      <c r="CN1292" s="487"/>
      <c r="CO1292" s="487"/>
      <c r="CP1292" s="293"/>
      <c r="CQ1292" s="331"/>
      <c r="CR1292" s="487"/>
      <c r="CS1292" s="487"/>
      <c r="CT1292" s="293"/>
      <c r="CU1292" s="293"/>
      <c r="CV1292" s="293"/>
      <c r="CW1292" s="293"/>
      <c r="CX1292" s="293"/>
      <c r="CY1292" s="293"/>
      <c r="CZ1292" s="293"/>
      <c r="DA1292" s="293"/>
      <c r="DB1292" s="293"/>
      <c r="DC1292" s="293"/>
      <c r="DD1292" s="293"/>
      <c r="DE1292" s="293"/>
      <c r="DF1292" s="293"/>
      <c r="DG1292" s="293"/>
      <c r="DH1292" s="293"/>
      <c r="DI1292" s="293"/>
      <c r="DJ1292" s="293"/>
      <c r="DK1292" s="293"/>
      <c r="DL1292" s="293"/>
      <c r="DM1292" s="293"/>
      <c r="DN1292" s="293"/>
      <c r="DO1292" s="293"/>
      <c r="DP1292" s="293"/>
      <c r="DQ1292" s="293"/>
      <c r="DR1292" s="293"/>
      <c r="DS1292" s="293"/>
      <c r="DT1292" s="293"/>
      <c r="DU1292" s="487"/>
      <c r="DV1292" s="487"/>
      <c r="DW1292" s="487"/>
      <c r="DX1292" s="293"/>
      <c r="DY1292" s="293"/>
      <c r="DZ1292" s="487"/>
      <c r="EA1292" s="487"/>
      <c r="EB1292" s="293"/>
      <c r="EC1292" s="293"/>
      <c r="ED1292" s="487"/>
      <c r="EE1292" s="487"/>
      <c r="EF1292" s="293"/>
      <c r="EG1292" s="293"/>
      <c r="EH1292" s="293"/>
      <c r="EI1292" s="293"/>
      <c r="EJ1292" s="293"/>
      <c r="EK1292" s="293"/>
      <c r="EL1292" s="293"/>
      <c r="EM1292" s="293"/>
      <c r="EN1292" s="293"/>
      <c r="EO1292" s="293"/>
      <c r="EP1292" s="293"/>
      <c r="JM1292"/>
    </row>
    <row r="1293" spans="1:273" s="332" customFormat="1" hidden="1" outlineLevel="1">
      <c r="A1293" s="102" t="s">
        <v>686</v>
      </c>
      <c r="B1293" s="293"/>
      <c r="AN1293" s="626"/>
      <c r="AO1293" s="626"/>
      <c r="AP1293" s="293"/>
      <c r="AQ1293" s="293"/>
      <c r="AR1293" s="293">
        <f>DIVISIONS!AR116</f>
        <v>-66</v>
      </c>
      <c r="AS1293" s="293">
        <f>DIVISIONS!AS116</f>
        <v>-173</v>
      </c>
      <c r="AT1293" s="626"/>
      <c r="AU1293" s="626"/>
      <c r="AV1293" s="293">
        <f>DIVISIONS!AV116</f>
        <v>70</v>
      </c>
      <c r="AW1293" s="293">
        <f>DIVISIONS!AW116</f>
        <v>7</v>
      </c>
      <c r="AX1293" s="294">
        <f t="shared" si="2561"/>
        <v>0.11058451816745656</v>
      </c>
      <c r="AY1293" s="294">
        <f t="shared" si="2561"/>
        <v>1.0510510510510511E-2</v>
      </c>
      <c r="AZ1293" s="293">
        <f>DIVISIONS!AZ116</f>
        <v>28</v>
      </c>
      <c r="BA1293" s="293">
        <f>DIVISIONS!BA116</f>
        <v>4</v>
      </c>
      <c r="BB1293" s="294">
        <f t="shared" si="2562"/>
        <v>4.6204620462046202E-2</v>
      </c>
      <c r="BC1293" s="294">
        <f t="shared" si="2562"/>
        <v>5.2493438320209973E-3</v>
      </c>
      <c r="BD1293" s="293">
        <f>DIVISIONS!BD116</f>
        <v>-27</v>
      </c>
      <c r="BE1293" s="293">
        <f>DIVISIONS!BE116</f>
        <v>-17</v>
      </c>
      <c r="BF1293" s="294">
        <f t="shared" si="2563"/>
        <v>-4.9723756906077346E-2</v>
      </c>
      <c r="BG1293" s="294"/>
      <c r="BH1293" s="293"/>
      <c r="BI1293" s="293"/>
      <c r="BJ1293" s="294"/>
      <c r="BK1293" s="294"/>
      <c r="BL1293" s="293"/>
      <c r="BM1293" s="487"/>
      <c r="BN1293" s="293"/>
      <c r="BO1293" s="293"/>
      <c r="BP1293" s="293"/>
      <c r="BQ1293" s="487"/>
      <c r="BR1293" s="293"/>
      <c r="BS1293" s="293"/>
      <c r="BT1293" s="487"/>
      <c r="BU1293" s="487"/>
      <c r="BV1293" s="293"/>
      <c r="BW1293" s="293"/>
      <c r="BX1293" s="487"/>
      <c r="BY1293" s="487"/>
      <c r="BZ1293" s="293"/>
      <c r="CA1293" s="293"/>
      <c r="CB1293" s="487"/>
      <c r="CC1293" s="487"/>
      <c r="CD1293" s="293"/>
      <c r="CE1293" s="331"/>
      <c r="CF1293" s="487"/>
      <c r="CG1293" s="487"/>
      <c r="CH1293" s="293"/>
      <c r="CI1293" s="331"/>
      <c r="CJ1293" s="487"/>
      <c r="CK1293" s="487"/>
      <c r="CL1293" s="293"/>
      <c r="CM1293" s="331"/>
      <c r="CN1293" s="487"/>
      <c r="CO1293" s="487"/>
      <c r="CP1293" s="293"/>
      <c r="CQ1293" s="331"/>
      <c r="CR1293" s="487"/>
      <c r="CS1293" s="487"/>
      <c r="CT1293" s="293"/>
      <c r="CU1293" s="293"/>
      <c r="CV1293" s="293"/>
      <c r="CW1293" s="293"/>
      <c r="CX1293" s="293"/>
      <c r="CY1293" s="293"/>
      <c r="CZ1293" s="293"/>
      <c r="DA1293" s="293"/>
      <c r="DB1293" s="293"/>
      <c r="DC1293" s="293"/>
      <c r="DD1293" s="293"/>
      <c r="DE1293" s="293"/>
      <c r="DF1293" s="293"/>
      <c r="DG1293" s="293"/>
      <c r="DH1293" s="293"/>
      <c r="DI1293" s="293"/>
      <c r="DJ1293" s="293"/>
      <c r="DK1293" s="293"/>
      <c r="DL1293" s="293"/>
      <c r="DM1293" s="293"/>
      <c r="DN1293" s="293"/>
      <c r="DO1293" s="293"/>
      <c r="DP1293" s="293"/>
      <c r="DQ1293" s="293"/>
      <c r="DR1293" s="293"/>
      <c r="DS1293" s="293"/>
      <c r="DT1293" s="293"/>
      <c r="DU1293" s="487"/>
      <c r="DV1293" s="487"/>
      <c r="DW1293" s="487"/>
      <c r="DX1293" s="293"/>
      <c r="DY1293" s="293"/>
      <c r="DZ1293" s="487"/>
      <c r="EA1293" s="487"/>
      <c r="EB1293" s="293"/>
      <c r="EC1293" s="293"/>
      <c r="ED1293" s="487"/>
      <c r="EE1293" s="487"/>
      <c r="EF1293" s="293"/>
      <c r="EG1293" s="293"/>
      <c r="EH1293" s="293"/>
      <c r="EI1293" s="293"/>
      <c r="EJ1293" s="293"/>
      <c r="EK1293" s="293"/>
      <c r="EL1293" s="293"/>
      <c r="EM1293" s="293"/>
      <c r="EN1293" s="293"/>
      <c r="EO1293" s="293"/>
      <c r="EP1293" s="293"/>
      <c r="JM1293"/>
    </row>
    <row r="1294" spans="1:273" s="332" customFormat="1" hidden="1" outlineLevel="1">
      <c r="A1294" s="102" t="s">
        <v>616</v>
      </c>
      <c r="B1294" s="293"/>
      <c r="AN1294" s="626"/>
      <c r="AO1294" s="626"/>
      <c r="AP1294" s="293"/>
      <c r="AQ1294" s="293"/>
      <c r="AR1294" s="293">
        <f>DIVISIONS!AR344</f>
        <v>-4</v>
      </c>
      <c r="AS1294" s="293">
        <f>DIVISIONS!AS344</f>
        <v>-6</v>
      </c>
      <c r="AT1294" s="626"/>
      <c r="AU1294" s="626"/>
      <c r="AV1294" s="293">
        <f>DIVISIONS!AV344</f>
        <v>3</v>
      </c>
      <c r="AW1294" s="293">
        <f>DIVISIONS!AW344</f>
        <v>-1</v>
      </c>
      <c r="AX1294" s="294">
        <f t="shared" si="2561"/>
        <v>4.7393364928909956E-3</v>
      </c>
      <c r="AY1294" s="294">
        <f t="shared" si="2561"/>
        <v>-1.5015015015015015E-3</v>
      </c>
      <c r="AZ1294" s="293">
        <f>DIVISIONS!AZ344</f>
        <v>-1</v>
      </c>
      <c r="BA1294" s="293">
        <f>DIVISIONS!BA344</f>
        <v>12</v>
      </c>
      <c r="BB1294" s="294">
        <f t="shared" si="2562"/>
        <v>-1.6501650165016502E-3</v>
      </c>
      <c r="BC1294" s="294">
        <f t="shared" si="2562"/>
        <v>1.5748031496062992E-2</v>
      </c>
      <c r="BD1294" s="293">
        <f>DIVISIONS!BD344</f>
        <v>92</v>
      </c>
      <c r="BE1294" s="293">
        <f>DIVISIONS!BE344</f>
        <v>18</v>
      </c>
      <c r="BF1294" s="294">
        <f t="shared" si="2563"/>
        <v>0.1694290976058932</v>
      </c>
      <c r="BG1294" s="294"/>
      <c r="BH1294" s="293"/>
      <c r="BI1294" s="293"/>
      <c r="BJ1294" s="294"/>
      <c r="BK1294" s="294"/>
      <c r="BL1294" s="293"/>
      <c r="BM1294" s="487"/>
      <c r="BN1294" s="293"/>
      <c r="BO1294" s="293"/>
      <c r="BP1294" s="293"/>
      <c r="BQ1294" s="487"/>
      <c r="BR1294" s="293"/>
      <c r="BS1294" s="293"/>
      <c r="BT1294" s="487"/>
      <c r="BU1294" s="487"/>
      <c r="BV1294" s="293"/>
      <c r="BW1294" s="293"/>
      <c r="BX1294" s="487"/>
      <c r="BY1294" s="487"/>
      <c r="BZ1294" s="293"/>
      <c r="CA1294" s="293"/>
      <c r="CB1294" s="850"/>
      <c r="CC1294" s="850"/>
      <c r="CD1294" s="293"/>
      <c r="CE1294" s="331"/>
      <c r="CF1294" s="850"/>
      <c r="CG1294" s="850"/>
      <c r="CH1294" s="293"/>
      <c r="CI1294" s="331"/>
      <c r="CJ1294" s="850"/>
      <c r="CK1294" s="850"/>
      <c r="CL1294" s="293"/>
      <c r="CM1294" s="331"/>
      <c r="CN1294" s="850"/>
      <c r="CO1294" s="850"/>
      <c r="CP1294" s="293"/>
      <c r="CQ1294" s="331"/>
      <c r="CR1294" s="850"/>
      <c r="CS1294" s="850"/>
      <c r="CT1294" s="293"/>
      <c r="CU1294" s="293"/>
      <c r="CV1294" s="293"/>
      <c r="CW1294" s="293"/>
      <c r="CX1294" s="293"/>
      <c r="CY1294" s="293"/>
      <c r="CZ1294" s="293"/>
      <c r="DA1294" s="293"/>
      <c r="DB1294" s="293"/>
      <c r="DC1294" s="293"/>
      <c r="DD1294" s="293"/>
      <c r="DE1294" s="293"/>
      <c r="DF1294" s="293"/>
      <c r="DG1294" s="293"/>
      <c r="DH1294" s="293"/>
      <c r="DI1294" s="293"/>
      <c r="DJ1294" s="293"/>
      <c r="DK1294" s="293"/>
      <c r="DL1294" s="293"/>
      <c r="DM1294" s="293"/>
      <c r="DN1294" s="293"/>
      <c r="DO1294" s="293"/>
      <c r="DP1294" s="293"/>
      <c r="DQ1294" s="293"/>
      <c r="DR1294" s="293"/>
      <c r="DS1294" s="293"/>
      <c r="DT1294" s="293"/>
      <c r="DU1294" s="850"/>
      <c r="DV1294" s="850"/>
      <c r="DW1294" s="850"/>
      <c r="DX1294" s="293"/>
      <c r="DY1294" s="293"/>
      <c r="DZ1294" s="850"/>
      <c r="EA1294" s="850"/>
      <c r="EB1294" s="293"/>
      <c r="EC1294" s="293"/>
      <c r="ED1294" s="850"/>
      <c r="EE1294" s="850"/>
      <c r="EF1294" s="293"/>
      <c r="EG1294" s="293"/>
      <c r="EH1294" s="293"/>
      <c r="EI1294" s="293"/>
      <c r="EJ1294" s="293"/>
      <c r="EK1294" s="293"/>
      <c r="EL1294" s="293"/>
      <c r="EM1294" s="293"/>
      <c r="EN1294" s="293"/>
      <c r="EO1294" s="293"/>
      <c r="EP1294" s="293"/>
      <c r="JM1294"/>
    </row>
    <row r="1295" spans="1:273" s="332" customFormat="1" hidden="1" outlineLevel="1">
      <c r="A1295" s="102" t="s">
        <v>687</v>
      </c>
      <c r="B1295" s="293"/>
      <c r="AN1295" s="293"/>
      <c r="AO1295" s="293"/>
      <c r="AP1295" s="293"/>
      <c r="AQ1295" s="293"/>
      <c r="AR1295" s="293"/>
      <c r="AS1295" s="293"/>
      <c r="AT1295" s="293"/>
      <c r="AU1295" s="293"/>
      <c r="AV1295" s="293">
        <f>DIVISIONS!AV232</f>
        <v>805</v>
      </c>
      <c r="AW1295" s="293">
        <f>DIVISIONS!AW232</f>
        <v>762</v>
      </c>
      <c r="AX1295" s="294">
        <f t="shared" si="2561"/>
        <v>1.2717219589257505</v>
      </c>
      <c r="AY1295" s="294">
        <f t="shared" si="2561"/>
        <v>1.1441441441441442</v>
      </c>
      <c r="AZ1295" s="293">
        <f>DIVISIONS!AZ232</f>
        <v>534</v>
      </c>
      <c r="BA1295" s="293">
        <f>DIVISIONS!BA232</f>
        <v>814</v>
      </c>
      <c r="BB1295" s="294">
        <f t="shared" si="2562"/>
        <v>0.88118811881188119</v>
      </c>
      <c r="BC1295" s="294">
        <f t="shared" si="2562"/>
        <v>1.068241469816273</v>
      </c>
      <c r="BD1295" s="293">
        <f>DIVISIONS!BD232</f>
        <v>480</v>
      </c>
      <c r="BE1295" s="293">
        <f>DIVISIONS!BE232</f>
        <v>635</v>
      </c>
      <c r="BF1295" s="294">
        <f t="shared" si="2563"/>
        <v>0.88397790055248615</v>
      </c>
      <c r="BG1295" s="294"/>
      <c r="BH1295" s="293"/>
      <c r="BI1295" s="293"/>
      <c r="BJ1295" s="294"/>
      <c r="BK1295" s="294"/>
      <c r="BL1295" s="293"/>
      <c r="BM1295" s="293"/>
      <c r="BN1295" s="293"/>
      <c r="BO1295" s="293"/>
      <c r="BP1295" s="293"/>
      <c r="BQ1295" s="293"/>
      <c r="BR1295" s="293"/>
      <c r="BS1295" s="293"/>
      <c r="BT1295" s="293"/>
      <c r="BU1295" s="293"/>
      <c r="BV1295" s="293"/>
      <c r="BW1295" s="293"/>
      <c r="BX1295" s="293"/>
      <c r="BY1295" s="293"/>
      <c r="BZ1295" s="293"/>
      <c r="CA1295" s="293"/>
      <c r="CB1295" s="293"/>
      <c r="CC1295" s="293"/>
      <c r="CD1295" s="293"/>
      <c r="CE1295" s="331"/>
      <c r="CF1295" s="293"/>
      <c r="CG1295" s="293"/>
      <c r="CH1295" s="293"/>
      <c r="CI1295" s="331"/>
      <c r="CJ1295" s="293"/>
      <c r="CK1295" s="293"/>
      <c r="CL1295" s="293"/>
      <c r="CM1295" s="331"/>
      <c r="CN1295" s="293"/>
      <c r="CO1295" s="293"/>
      <c r="CP1295" s="293"/>
      <c r="CQ1295" s="331"/>
      <c r="CR1295" s="293"/>
      <c r="CS1295" s="293"/>
      <c r="CT1295" s="293"/>
      <c r="CU1295" s="293"/>
      <c r="CV1295" s="293"/>
      <c r="CW1295" s="293"/>
      <c r="CX1295" s="293"/>
      <c r="CY1295" s="293"/>
      <c r="CZ1295" s="293"/>
      <c r="DA1295" s="293"/>
      <c r="DB1295" s="293"/>
      <c r="DC1295" s="293"/>
      <c r="DD1295" s="293"/>
      <c r="DE1295" s="293"/>
      <c r="DF1295" s="293"/>
      <c r="DG1295" s="293"/>
      <c r="DH1295" s="293"/>
      <c r="DI1295" s="293"/>
      <c r="DJ1295" s="293"/>
      <c r="DK1295" s="293"/>
      <c r="DL1295" s="293"/>
      <c r="DM1295" s="293"/>
      <c r="DN1295" s="293"/>
      <c r="DO1295" s="293"/>
      <c r="DP1295" s="293"/>
      <c r="DQ1295" s="293"/>
      <c r="DR1295" s="293"/>
      <c r="DS1295" s="293"/>
      <c r="DT1295" s="293"/>
      <c r="DU1295" s="293"/>
      <c r="DV1295" s="293"/>
      <c r="DW1295" s="293"/>
      <c r="DX1295" s="293"/>
      <c r="DY1295" s="293"/>
      <c r="DZ1295" s="293"/>
      <c r="EA1295" s="293"/>
      <c r="EB1295" s="293"/>
      <c r="EC1295" s="293"/>
      <c r="ED1295" s="293"/>
      <c r="EE1295" s="293"/>
      <c r="EF1295" s="293"/>
      <c r="EG1295" s="293"/>
      <c r="EH1295" s="293"/>
      <c r="EI1295" s="293"/>
      <c r="EJ1295" s="293"/>
      <c r="EK1295" s="293"/>
      <c r="EL1295" s="293"/>
      <c r="EM1295" s="293"/>
      <c r="EN1295" s="293"/>
      <c r="EO1295" s="293"/>
      <c r="EP1295" s="293"/>
      <c r="JM1295"/>
    </row>
    <row r="1296" spans="1:273" s="854" customFormat="1" hidden="1" outlineLevel="1">
      <c r="A1296" s="102" t="s">
        <v>690</v>
      </c>
      <c r="B1296" s="103"/>
      <c r="C1296" s="102"/>
      <c r="D1296" s="102"/>
      <c r="E1296" s="102"/>
      <c r="F1296" s="102"/>
      <c r="G1296" s="102"/>
      <c r="H1296" s="102"/>
      <c r="I1296" s="102"/>
      <c r="J1296" s="102"/>
      <c r="K1296" s="102"/>
      <c r="L1296" s="102"/>
      <c r="M1296" s="102"/>
      <c r="N1296" s="102"/>
      <c r="O1296" s="102"/>
      <c r="P1296" s="102"/>
      <c r="Q1296" s="102"/>
      <c r="R1296" s="102"/>
      <c r="S1296" s="102"/>
      <c r="T1296" s="102"/>
      <c r="U1296" s="102"/>
      <c r="V1296" s="102"/>
      <c r="W1296" s="102"/>
      <c r="X1296" s="102"/>
      <c r="Y1296" s="102"/>
      <c r="Z1296" s="102"/>
      <c r="AA1296" s="102"/>
      <c r="AB1296" s="102"/>
      <c r="AC1296" s="102"/>
      <c r="AD1296" s="102"/>
      <c r="AE1296" s="102"/>
      <c r="AF1296" s="102"/>
      <c r="AG1296" s="102"/>
      <c r="AH1296" s="102"/>
      <c r="AI1296" s="102"/>
      <c r="AJ1296" s="102"/>
      <c r="AK1296" s="102"/>
      <c r="AL1296" s="102"/>
      <c r="AM1296" s="102"/>
      <c r="AN1296" s="626"/>
      <c r="AO1296" s="626"/>
      <c r="AP1296" s="293"/>
      <c r="AQ1296" s="293"/>
      <c r="AR1296" s="293">
        <f>DIVISIONS!AR471</f>
        <v>0</v>
      </c>
      <c r="AS1296" s="293">
        <f>DIVISIONS!AS471</f>
        <v>-9</v>
      </c>
      <c r="AT1296" s="626"/>
      <c r="AU1296" s="626"/>
      <c r="AV1296" s="293">
        <f>DIVISIONS!AV471</f>
        <v>32</v>
      </c>
      <c r="AW1296" s="293">
        <f>DIVISIONS!AW471</f>
        <v>9</v>
      </c>
      <c r="AX1296" s="294">
        <f t="shared" si="2561"/>
        <v>5.0552922590837282E-2</v>
      </c>
      <c r="AY1296" s="294">
        <f t="shared" si="2561"/>
        <v>1.3513513513513514E-2</v>
      </c>
      <c r="AZ1296" s="293">
        <f>DIVISIONS!AZ471</f>
        <v>0</v>
      </c>
      <c r="BA1296" s="293">
        <f>DIVISIONS!BA471</f>
        <v>1</v>
      </c>
      <c r="BB1296" s="294">
        <f t="shared" si="2562"/>
        <v>0</v>
      </c>
      <c r="BC1296" s="294">
        <f t="shared" si="2562"/>
        <v>1.3123359580052493E-3</v>
      </c>
      <c r="BD1296" s="293">
        <f>DIVISIONS!BD471</f>
        <v>-3</v>
      </c>
      <c r="BE1296" s="293">
        <f>DIVISIONS!BE471</f>
        <v>-2</v>
      </c>
      <c r="BF1296" s="294">
        <f t="shared" si="2563"/>
        <v>-5.5248618784530384E-3</v>
      </c>
      <c r="BG1296" s="294"/>
      <c r="BH1296" s="293"/>
      <c r="BI1296" s="293"/>
      <c r="BJ1296" s="294"/>
      <c r="BK1296" s="294"/>
      <c r="BL1296" s="293"/>
      <c r="BM1296" s="850"/>
      <c r="BN1296" s="853"/>
      <c r="BO1296" s="853"/>
      <c r="BP1296" s="293"/>
      <c r="BQ1296" s="850"/>
      <c r="BR1296" s="853"/>
      <c r="BS1296" s="853"/>
      <c r="BT1296" s="850"/>
      <c r="BU1296" s="850"/>
      <c r="BV1296" s="853"/>
      <c r="BW1296" s="853"/>
      <c r="BX1296" s="850"/>
      <c r="BY1296" s="850"/>
      <c r="BZ1296" s="853"/>
      <c r="CA1296" s="853"/>
      <c r="CB1296" s="850"/>
      <c r="CC1296" s="850"/>
      <c r="CD1296" s="853"/>
      <c r="CE1296" s="862"/>
      <c r="CF1296" s="850"/>
      <c r="CG1296" s="850"/>
      <c r="CH1296" s="853"/>
      <c r="CI1296" s="862"/>
      <c r="CJ1296" s="850"/>
      <c r="CK1296" s="850"/>
      <c r="CL1296" s="853"/>
      <c r="CM1296" s="862"/>
      <c r="CN1296" s="850"/>
      <c r="CO1296" s="850"/>
      <c r="CP1296" s="853"/>
      <c r="CQ1296" s="862"/>
      <c r="CR1296" s="850"/>
      <c r="CS1296" s="850"/>
      <c r="CT1296" s="853"/>
      <c r="CU1296" s="853"/>
      <c r="CV1296" s="853"/>
      <c r="CW1296" s="853"/>
      <c r="CX1296" s="853"/>
      <c r="CY1296" s="853"/>
      <c r="CZ1296" s="853"/>
      <c r="DA1296" s="853"/>
      <c r="DB1296" s="853"/>
      <c r="DC1296" s="853"/>
      <c r="DD1296" s="853"/>
      <c r="DE1296" s="853"/>
      <c r="DF1296" s="853"/>
      <c r="DG1296" s="853"/>
      <c r="DH1296" s="853"/>
      <c r="DI1296" s="853"/>
      <c r="DJ1296" s="853"/>
      <c r="DK1296" s="853"/>
      <c r="DL1296" s="853"/>
      <c r="DM1296" s="853"/>
      <c r="DN1296" s="853"/>
      <c r="DO1296" s="853"/>
      <c r="DP1296" s="853"/>
      <c r="DQ1296" s="853"/>
      <c r="DR1296" s="853"/>
      <c r="DS1296" s="853"/>
      <c r="DT1296" s="853"/>
      <c r="DU1296" s="850"/>
      <c r="DV1296" s="850"/>
      <c r="DW1296" s="850"/>
      <c r="DX1296" s="853"/>
      <c r="DY1296" s="853"/>
      <c r="DZ1296" s="850"/>
      <c r="EA1296" s="850"/>
      <c r="EB1296" s="853"/>
      <c r="EC1296" s="853"/>
      <c r="ED1296" s="850"/>
      <c r="EE1296" s="850"/>
      <c r="EF1296" s="853"/>
      <c r="EG1296" s="853"/>
      <c r="EH1296" s="853"/>
      <c r="EI1296" s="853"/>
      <c r="EJ1296" s="853"/>
      <c r="EK1296" s="853"/>
      <c r="EL1296" s="853"/>
      <c r="EM1296" s="853"/>
      <c r="EN1296" s="853"/>
      <c r="EO1296" s="853"/>
      <c r="EP1296" s="853"/>
      <c r="EQ1296" s="855"/>
      <c r="ER1296" s="855"/>
      <c r="ES1296" s="855"/>
      <c r="ET1296" s="855"/>
      <c r="EU1296" s="855"/>
      <c r="EV1296" s="855"/>
      <c r="EW1296" s="855"/>
      <c r="EX1296" s="855"/>
      <c r="EY1296" s="855"/>
      <c r="EZ1296" s="855"/>
      <c r="FA1296" s="855"/>
      <c r="FB1296" s="855"/>
      <c r="FC1296" s="855"/>
      <c r="FD1296" s="855"/>
      <c r="FE1296" s="855"/>
      <c r="FF1296" s="855"/>
      <c r="FG1296" s="855"/>
      <c r="FH1296" s="855"/>
      <c r="FI1296" s="855"/>
      <c r="FJ1296" s="855"/>
      <c r="FK1296" s="855"/>
      <c r="FL1296" s="855"/>
      <c r="FM1296" s="855"/>
      <c r="FN1296" s="855"/>
      <c r="FO1296" s="855"/>
      <c r="FP1296" s="855"/>
      <c r="FQ1296" s="855"/>
      <c r="FR1296" s="855"/>
      <c r="FS1296" s="855"/>
      <c r="FT1296" s="855"/>
      <c r="FU1296" s="855"/>
      <c r="FV1296" s="855"/>
      <c r="FW1296" s="855"/>
      <c r="FX1296" s="855"/>
      <c r="FY1296" s="855"/>
      <c r="FZ1296" s="855"/>
      <c r="GA1296" s="855"/>
      <c r="GB1296" s="855"/>
      <c r="GC1296" s="855"/>
      <c r="GD1296" s="855"/>
      <c r="GE1296" s="855"/>
      <c r="GF1296" s="855"/>
      <c r="GG1296" s="855"/>
      <c r="GH1296" s="855"/>
      <c r="GI1296" s="855"/>
      <c r="GJ1296" s="855"/>
      <c r="GK1296" s="855"/>
      <c r="GL1296" s="855"/>
      <c r="GM1296" s="855"/>
      <c r="GN1296" s="855"/>
      <c r="GO1296" s="855"/>
      <c r="GP1296" s="855"/>
      <c r="GQ1296" s="855"/>
      <c r="GR1296" s="855"/>
      <c r="GS1296" s="855"/>
      <c r="GT1296" s="855"/>
      <c r="GU1296" s="855"/>
      <c r="GV1296" s="855"/>
      <c r="GW1296" s="855"/>
      <c r="GX1296" s="855"/>
      <c r="GY1296" s="855"/>
      <c r="GZ1296" s="855"/>
      <c r="HA1296" s="855"/>
      <c r="HB1296" s="855"/>
      <c r="HC1296" s="855"/>
      <c r="HD1296" s="855"/>
      <c r="HE1296" s="855"/>
      <c r="HF1296" s="855"/>
      <c r="HG1296" s="855"/>
      <c r="HH1296" s="855"/>
      <c r="HI1296" s="855"/>
      <c r="HJ1296" s="855"/>
      <c r="HK1296" s="855"/>
      <c r="HL1296" s="855"/>
      <c r="HM1296" s="855"/>
      <c r="HN1296" s="855"/>
      <c r="HO1296" s="855"/>
      <c r="HP1296" s="855"/>
      <c r="HQ1296" s="855"/>
      <c r="HR1296" s="855"/>
      <c r="HS1296" s="855"/>
      <c r="HT1296" s="855"/>
      <c r="HU1296" s="855"/>
      <c r="HV1296" s="855"/>
      <c r="HW1296" s="855"/>
      <c r="HX1296" s="855"/>
      <c r="HY1296" s="855"/>
      <c r="HZ1296" s="855"/>
      <c r="IA1296" s="855"/>
      <c r="IB1296" s="855"/>
      <c r="IC1296" s="855"/>
      <c r="ID1296" s="855"/>
      <c r="IE1296" s="855"/>
      <c r="IF1296" s="855"/>
      <c r="IG1296" s="855"/>
      <c r="IH1296" s="855"/>
      <c r="II1296" s="855"/>
      <c r="IJ1296" s="855"/>
      <c r="IK1296" s="855"/>
      <c r="IL1296" s="855"/>
      <c r="IM1296" s="855"/>
      <c r="IN1296" s="855"/>
      <c r="IO1296" s="855"/>
      <c r="IP1296" s="855"/>
      <c r="IQ1296" s="855"/>
      <c r="IR1296" s="855"/>
      <c r="IS1296" s="855"/>
      <c r="IT1296" s="855"/>
      <c r="IU1296" s="855"/>
      <c r="IV1296" s="855"/>
      <c r="IW1296" s="855"/>
      <c r="IX1296" s="855"/>
      <c r="IY1296" s="855"/>
      <c r="IZ1296" s="855"/>
      <c r="JA1296" s="855"/>
      <c r="JB1296" s="855"/>
      <c r="JC1296" s="855"/>
      <c r="JD1296" s="855"/>
      <c r="JE1296" s="855"/>
      <c r="JF1296" s="855"/>
      <c r="JG1296" s="855"/>
      <c r="JH1296" s="855"/>
      <c r="JI1296" s="855"/>
      <c r="JJ1296" s="855"/>
      <c r="JK1296" s="855"/>
      <c r="JL1296" s="855"/>
      <c r="JM1296"/>
    </row>
    <row r="1297" spans="1:273" s="854" customFormat="1" hidden="1" outlineLevel="1">
      <c r="A1297" s="102" t="s">
        <v>689</v>
      </c>
      <c r="B1297" s="103"/>
      <c r="C1297" s="102"/>
      <c r="D1297" s="102"/>
      <c r="E1297" s="102"/>
      <c r="F1297" s="102"/>
      <c r="G1297" s="102"/>
      <c r="H1297" s="102"/>
      <c r="I1297" s="102"/>
      <c r="J1297" s="102"/>
      <c r="K1297" s="102"/>
      <c r="L1297" s="102"/>
      <c r="M1297" s="102"/>
      <c r="N1297" s="102"/>
      <c r="O1297" s="102"/>
      <c r="P1297" s="102"/>
      <c r="Q1297" s="102"/>
      <c r="R1297" s="102"/>
      <c r="S1297" s="102"/>
      <c r="T1297" s="102"/>
      <c r="U1297" s="102"/>
      <c r="V1297" s="102"/>
      <c r="W1297" s="102"/>
      <c r="X1297" s="102"/>
      <c r="Y1297" s="102"/>
      <c r="Z1297" s="102"/>
      <c r="AA1297" s="102"/>
      <c r="AB1297" s="102"/>
      <c r="AC1297" s="102"/>
      <c r="AD1297" s="102"/>
      <c r="AE1297" s="102"/>
      <c r="AF1297" s="102"/>
      <c r="AG1297" s="102"/>
      <c r="AH1297" s="102"/>
      <c r="AI1297" s="102"/>
      <c r="AJ1297" s="102"/>
      <c r="AK1297" s="102"/>
      <c r="AL1297" s="102"/>
      <c r="AM1297" s="102"/>
      <c r="AN1297" s="293"/>
      <c r="AO1297" s="293"/>
      <c r="AP1297" s="626"/>
      <c r="AQ1297" s="626"/>
      <c r="AR1297" s="293">
        <f>DIVISIONS!AR546</f>
        <v>-10</v>
      </c>
      <c r="AS1297" s="293">
        <f>DIVISIONS!AS546</f>
        <v>-28</v>
      </c>
      <c r="AT1297" s="626"/>
      <c r="AU1297" s="626"/>
      <c r="AV1297" s="293">
        <f>DIVISIONS!AV546</f>
        <v>-1</v>
      </c>
      <c r="AW1297" s="293">
        <f>DIVISIONS!AW546</f>
        <v>2</v>
      </c>
      <c r="AX1297" s="294">
        <f t="shared" si="2561"/>
        <v>-1.5797788309636651E-3</v>
      </c>
      <c r="AY1297" s="294">
        <f t="shared" si="2561"/>
        <v>3.003003003003003E-3</v>
      </c>
      <c r="AZ1297" s="293">
        <f>DIVISIONS!AZ546</f>
        <v>-2</v>
      </c>
      <c r="BA1297" s="293">
        <f>DIVISIONS!BA546</f>
        <v>8</v>
      </c>
      <c r="BB1297" s="294">
        <f t="shared" si="2562"/>
        <v>-3.3003300330033004E-3</v>
      </c>
      <c r="BC1297" s="294">
        <f t="shared" si="2562"/>
        <v>1.0498687664041995E-2</v>
      </c>
      <c r="BD1297" s="293">
        <f>DIVISIONS!BD546</f>
        <v>2</v>
      </c>
      <c r="BE1297" s="293">
        <f>DIVISIONS!BE546</f>
        <v>-4</v>
      </c>
      <c r="BF1297" s="294">
        <f t="shared" si="2563"/>
        <v>3.6832412523020259E-3</v>
      </c>
      <c r="BG1297" s="294"/>
      <c r="BH1297" s="293"/>
      <c r="BI1297" s="293"/>
      <c r="BJ1297" s="294"/>
      <c r="BK1297" s="294"/>
      <c r="BL1297" s="293"/>
      <c r="BM1297" s="850"/>
      <c r="BN1297" s="853"/>
      <c r="BO1297" s="853"/>
      <c r="BP1297" s="293"/>
      <c r="BQ1297" s="850"/>
      <c r="BR1297" s="853"/>
      <c r="BS1297" s="853"/>
      <c r="BT1297" s="850"/>
      <c r="BU1297" s="850"/>
      <c r="BV1297" s="853"/>
      <c r="BW1297" s="853"/>
      <c r="BX1297" s="850"/>
      <c r="BY1297" s="850"/>
      <c r="BZ1297" s="853"/>
      <c r="CA1297" s="853"/>
      <c r="CB1297" s="850"/>
      <c r="CC1297" s="850"/>
      <c r="CD1297" s="853"/>
      <c r="CE1297" s="862"/>
      <c r="CF1297" s="850"/>
      <c r="CG1297" s="850"/>
      <c r="CH1297" s="853"/>
      <c r="CI1297" s="862"/>
      <c r="CJ1297" s="850"/>
      <c r="CK1297" s="850"/>
      <c r="CL1297" s="853"/>
      <c r="CM1297" s="862"/>
      <c r="CN1297" s="850"/>
      <c r="CO1297" s="850"/>
      <c r="CP1297" s="853"/>
      <c r="CQ1297" s="862"/>
      <c r="CR1297" s="850"/>
      <c r="CS1297" s="850"/>
      <c r="CT1297" s="853"/>
      <c r="CU1297" s="853"/>
      <c r="CV1297" s="853"/>
      <c r="CW1297" s="853"/>
      <c r="CX1297" s="853"/>
      <c r="CY1297" s="853"/>
      <c r="CZ1297" s="853"/>
      <c r="DA1297" s="853"/>
      <c r="DB1297" s="853"/>
      <c r="DC1297" s="853"/>
      <c r="DD1297" s="853"/>
      <c r="DE1297" s="853"/>
      <c r="DF1297" s="853"/>
      <c r="DG1297" s="853"/>
      <c r="DH1297" s="853"/>
      <c r="DI1297" s="853"/>
      <c r="DJ1297" s="853"/>
      <c r="DK1297" s="853"/>
      <c r="DL1297" s="853"/>
      <c r="DM1297" s="853"/>
      <c r="DN1297" s="853"/>
      <c r="DO1297" s="853"/>
      <c r="DP1297" s="853"/>
      <c r="DQ1297" s="853"/>
      <c r="DR1297" s="853"/>
      <c r="DS1297" s="853"/>
      <c r="DT1297" s="853"/>
      <c r="DU1297" s="850"/>
      <c r="DV1297" s="850"/>
      <c r="DW1297" s="850"/>
      <c r="DX1297" s="853"/>
      <c r="DY1297" s="853"/>
      <c r="DZ1297" s="850"/>
      <c r="EA1297" s="850"/>
      <c r="EB1297" s="853"/>
      <c r="EC1297" s="853"/>
      <c r="ED1297" s="850"/>
      <c r="EE1297" s="850"/>
      <c r="EF1297" s="853"/>
      <c r="EG1297" s="853"/>
      <c r="EH1297" s="853"/>
      <c r="EI1297" s="853"/>
      <c r="EJ1297" s="853"/>
      <c r="EK1297" s="853"/>
      <c r="EL1297" s="853"/>
      <c r="EM1297" s="853"/>
      <c r="EN1297" s="853"/>
      <c r="EO1297" s="853"/>
      <c r="EP1297" s="853"/>
      <c r="EQ1297" s="855"/>
      <c r="ER1297" s="855"/>
      <c r="ES1297" s="855"/>
      <c r="ET1297" s="855"/>
      <c r="EU1297" s="855"/>
      <c r="EV1297" s="855"/>
      <c r="EW1297" s="855"/>
      <c r="EX1297" s="855"/>
      <c r="EY1297" s="855"/>
      <c r="EZ1297" s="855"/>
      <c r="FA1297" s="855"/>
      <c r="FB1297" s="855"/>
      <c r="FC1297" s="855"/>
      <c r="FD1297" s="855"/>
      <c r="FE1297" s="855"/>
      <c r="FF1297" s="855"/>
      <c r="FG1297" s="855"/>
      <c r="FH1297" s="855"/>
      <c r="FI1297" s="855"/>
      <c r="FJ1297" s="855"/>
      <c r="FK1297" s="855"/>
      <c r="FL1297" s="855"/>
      <c r="FM1297" s="855"/>
      <c r="FN1297" s="855"/>
      <c r="FO1297" s="855"/>
      <c r="FP1297" s="855"/>
      <c r="FQ1297" s="855"/>
      <c r="FR1297" s="855"/>
      <c r="FS1297" s="855"/>
      <c r="FT1297" s="855"/>
      <c r="FU1297" s="855"/>
      <c r="FV1297" s="855"/>
      <c r="FW1297" s="855"/>
      <c r="FX1297" s="855"/>
      <c r="FY1297" s="855"/>
      <c r="FZ1297" s="855"/>
      <c r="GA1297" s="855"/>
      <c r="GB1297" s="855"/>
      <c r="GC1297" s="855"/>
      <c r="GD1297" s="855"/>
      <c r="GE1297" s="855"/>
      <c r="GF1297" s="855"/>
      <c r="GG1297" s="855"/>
      <c r="GH1297" s="855"/>
      <c r="GI1297" s="855"/>
      <c r="GJ1297" s="855"/>
      <c r="GK1297" s="855"/>
      <c r="GL1297" s="855"/>
      <c r="GM1297" s="855"/>
      <c r="GN1297" s="855"/>
      <c r="GO1297" s="855"/>
      <c r="GP1297" s="855"/>
      <c r="GQ1297" s="855"/>
      <c r="GR1297" s="855"/>
      <c r="GS1297" s="855"/>
      <c r="GT1297" s="855"/>
      <c r="GU1297" s="855"/>
      <c r="GV1297" s="855"/>
      <c r="GW1297" s="855"/>
      <c r="GX1297" s="855"/>
      <c r="GY1297" s="855"/>
      <c r="GZ1297" s="855"/>
      <c r="HA1297" s="855"/>
      <c r="HB1297" s="855"/>
      <c r="HC1297" s="855"/>
      <c r="HD1297" s="855"/>
      <c r="HE1297" s="855"/>
      <c r="HF1297" s="855"/>
      <c r="HG1297" s="855"/>
      <c r="HH1297" s="855"/>
      <c r="HI1297" s="855"/>
      <c r="HJ1297" s="855"/>
      <c r="HK1297" s="855"/>
      <c r="HL1297" s="855"/>
      <c r="HM1297" s="855"/>
      <c r="HN1297" s="855"/>
      <c r="HO1297" s="855"/>
      <c r="HP1297" s="855"/>
      <c r="HQ1297" s="855"/>
      <c r="HR1297" s="855"/>
      <c r="HS1297" s="855"/>
      <c r="HT1297" s="855"/>
      <c r="HU1297" s="855"/>
      <c r="HV1297" s="855"/>
      <c r="HW1297" s="855"/>
      <c r="HX1297" s="855"/>
      <c r="HY1297" s="855"/>
      <c r="HZ1297" s="855"/>
      <c r="IA1297" s="855"/>
      <c r="IB1297" s="855"/>
      <c r="IC1297" s="855"/>
      <c r="ID1297" s="855"/>
      <c r="IE1297" s="855"/>
      <c r="IF1297" s="855"/>
      <c r="IG1297" s="855"/>
      <c r="IH1297" s="855"/>
      <c r="II1297" s="855"/>
      <c r="IJ1297" s="855"/>
      <c r="IK1297" s="855"/>
      <c r="IL1297" s="855"/>
      <c r="IM1297" s="855"/>
      <c r="IN1297" s="855"/>
      <c r="IO1297" s="855"/>
      <c r="IP1297" s="855"/>
      <c r="IQ1297" s="855"/>
      <c r="IR1297" s="855"/>
      <c r="IS1297" s="855"/>
      <c r="IT1297" s="855"/>
      <c r="IU1297" s="855"/>
      <c r="IV1297" s="855"/>
      <c r="IW1297" s="855"/>
      <c r="IX1297" s="855"/>
      <c r="IY1297" s="855"/>
      <c r="IZ1297" s="855"/>
      <c r="JA1297" s="855"/>
      <c r="JB1297" s="855"/>
      <c r="JC1297" s="855"/>
      <c r="JD1297" s="855"/>
      <c r="JE1297" s="855"/>
      <c r="JF1297" s="855"/>
      <c r="JG1297" s="855"/>
      <c r="JH1297" s="855"/>
      <c r="JI1297" s="855"/>
      <c r="JJ1297" s="855"/>
      <c r="JK1297" s="855"/>
      <c r="JL1297" s="855"/>
      <c r="JM1297"/>
    </row>
    <row r="1298" spans="1:273" s="854" customFormat="1" hidden="1" outlineLevel="1">
      <c r="A1298" s="102" t="s">
        <v>688</v>
      </c>
      <c r="B1298" s="103"/>
      <c r="C1298" s="102"/>
      <c r="D1298" s="102"/>
      <c r="E1298" s="102"/>
      <c r="F1298" s="102"/>
      <c r="G1298" s="102"/>
      <c r="H1298" s="102"/>
      <c r="I1298" s="102"/>
      <c r="J1298" s="102"/>
      <c r="K1298" s="102"/>
      <c r="L1298" s="102"/>
      <c r="M1298" s="102"/>
      <c r="N1298" s="102"/>
      <c r="O1298" s="102"/>
      <c r="P1298" s="102"/>
      <c r="Q1298" s="102"/>
      <c r="R1298" s="102"/>
      <c r="S1298" s="102"/>
      <c r="T1298" s="102"/>
      <c r="U1298" s="102"/>
      <c r="V1298" s="102"/>
      <c r="W1298" s="102"/>
      <c r="X1298" s="102"/>
      <c r="Y1298" s="102"/>
      <c r="Z1298" s="102"/>
      <c r="AA1298" s="102"/>
      <c r="AB1298" s="102"/>
      <c r="AC1298" s="102"/>
      <c r="AD1298" s="102"/>
      <c r="AE1298" s="102"/>
      <c r="AF1298" s="102"/>
      <c r="AG1298" s="102"/>
      <c r="AH1298" s="102"/>
      <c r="AI1298" s="102"/>
      <c r="AJ1298" s="102"/>
      <c r="AK1298" s="102"/>
      <c r="AL1298" s="102"/>
      <c r="AM1298" s="102"/>
      <c r="AN1298" s="293"/>
      <c r="AO1298" s="293"/>
      <c r="AP1298" s="626"/>
      <c r="AQ1298" s="626"/>
      <c r="AR1298" s="293">
        <f>DIVISIONS!AR668</f>
        <v>-1</v>
      </c>
      <c r="AS1298" s="293">
        <f>DIVISIONS!AS668</f>
        <v>-5</v>
      </c>
      <c r="AT1298" s="626"/>
      <c r="AU1298" s="626"/>
      <c r="AV1298" s="293">
        <f>DIVISIONS!AV668</f>
        <v>-1</v>
      </c>
      <c r="AW1298" s="293">
        <f>DIVISIONS!AW668</f>
        <v>-5</v>
      </c>
      <c r="AX1298" s="294">
        <f t="shared" si="2561"/>
        <v>-1.5797788309636651E-3</v>
      </c>
      <c r="AY1298" s="294">
        <f t="shared" si="2561"/>
        <v>-7.5075075075075074E-3</v>
      </c>
      <c r="AZ1298" s="293">
        <f>DIVISIONS!AZ668</f>
        <v>-1</v>
      </c>
      <c r="BA1298" s="293">
        <f>DIVISIONS!BA668</f>
        <v>0</v>
      </c>
      <c r="BB1298" s="294">
        <f t="shared" si="2562"/>
        <v>-1.6501650165016502E-3</v>
      </c>
      <c r="BC1298" s="294">
        <f t="shared" si="2562"/>
        <v>0</v>
      </c>
      <c r="BD1298" s="293">
        <f>DIVISIONS!BD668</f>
        <v>-1</v>
      </c>
      <c r="BE1298" s="293">
        <f>DIVISIONS!BE668</f>
        <v>0</v>
      </c>
      <c r="BF1298" s="294">
        <f t="shared" si="2563"/>
        <v>-1.841620626151013E-3</v>
      </c>
      <c r="BG1298" s="294"/>
      <c r="BH1298" s="293"/>
      <c r="BI1298" s="293"/>
      <c r="BJ1298" s="294"/>
      <c r="BK1298" s="294"/>
      <c r="BL1298" s="293"/>
      <c r="BM1298" s="850"/>
      <c r="BN1298" s="853"/>
      <c r="BO1298" s="853"/>
      <c r="BP1298" s="293"/>
      <c r="BQ1298" s="850"/>
      <c r="BR1298" s="853"/>
      <c r="BS1298" s="853"/>
      <c r="BT1298" s="850"/>
      <c r="BU1298" s="850"/>
      <c r="BV1298" s="853"/>
      <c r="BW1298" s="853"/>
      <c r="BX1298" s="850"/>
      <c r="BY1298" s="850"/>
      <c r="BZ1298" s="853"/>
      <c r="CA1298" s="853"/>
      <c r="CB1298" s="850"/>
      <c r="CC1298" s="850"/>
      <c r="CD1298" s="853"/>
      <c r="CE1298" s="862"/>
      <c r="CF1298" s="850"/>
      <c r="CG1298" s="850"/>
      <c r="CH1298" s="853"/>
      <c r="CI1298" s="862"/>
      <c r="CJ1298" s="850"/>
      <c r="CK1298" s="850"/>
      <c r="CL1298" s="853"/>
      <c r="CM1298" s="862"/>
      <c r="CN1298" s="850"/>
      <c r="CO1298" s="850"/>
      <c r="CP1298" s="853"/>
      <c r="CQ1298" s="862"/>
      <c r="CR1298" s="850"/>
      <c r="CS1298" s="850"/>
      <c r="CT1298" s="853"/>
      <c r="CU1298" s="853"/>
      <c r="CV1298" s="853"/>
      <c r="CW1298" s="853"/>
      <c r="CX1298" s="853"/>
      <c r="CY1298" s="853"/>
      <c r="CZ1298" s="853"/>
      <c r="DA1298" s="853"/>
      <c r="DB1298" s="853"/>
      <c r="DC1298" s="853"/>
      <c r="DD1298" s="853"/>
      <c r="DE1298" s="853"/>
      <c r="DF1298" s="853"/>
      <c r="DG1298" s="853"/>
      <c r="DH1298" s="853"/>
      <c r="DI1298" s="853"/>
      <c r="DJ1298" s="853"/>
      <c r="DK1298" s="853"/>
      <c r="DL1298" s="853"/>
      <c r="DM1298" s="853"/>
      <c r="DN1298" s="853"/>
      <c r="DO1298" s="853"/>
      <c r="DP1298" s="853"/>
      <c r="DQ1298" s="853"/>
      <c r="DR1298" s="853"/>
      <c r="DS1298" s="853"/>
      <c r="DT1298" s="853"/>
      <c r="DU1298" s="850"/>
      <c r="DV1298" s="850"/>
      <c r="DW1298" s="850"/>
      <c r="DX1298" s="853"/>
      <c r="DY1298" s="853"/>
      <c r="DZ1298" s="850"/>
      <c r="EA1298" s="850"/>
      <c r="EB1298" s="853"/>
      <c r="EC1298" s="853"/>
      <c r="ED1298" s="850"/>
      <c r="EE1298" s="850"/>
      <c r="EF1298" s="853"/>
      <c r="EG1298" s="853"/>
      <c r="EH1298" s="853"/>
      <c r="EI1298" s="853"/>
      <c r="EJ1298" s="853"/>
      <c r="EK1298" s="853"/>
      <c r="EL1298" s="853"/>
      <c r="EM1298" s="853"/>
      <c r="EN1298" s="853"/>
      <c r="EO1298" s="853"/>
      <c r="EP1298" s="853"/>
      <c r="EQ1298" s="855"/>
      <c r="ER1298" s="855"/>
      <c r="ES1298" s="855"/>
      <c r="ET1298" s="855"/>
      <c r="EU1298" s="855"/>
      <c r="EV1298" s="855"/>
      <c r="EW1298" s="855"/>
      <c r="EX1298" s="855"/>
      <c r="EY1298" s="855"/>
      <c r="EZ1298" s="855"/>
      <c r="FA1298" s="855"/>
      <c r="FB1298" s="855"/>
      <c r="FC1298" s="855"/>
      <c r="FD1298" s="855"/>
      <c r="FE1298" s="855"/>
      <c r="FF1298" s="855"/>
      <c r="FG1298" s="855"/>
      <c r="FH1298" s="855"/>
      <c r="FI1298" s="855"/>
      <c r="FJ1298" s="855"/>
      <c r="FK1298" s="855"/>
      <c r="FL1298" s="855"/>
      <c r="FM1298" s="855"/>
      <c r="FN1298" s="855"/>
      <c r="FO1298" s="855"/>
      <c r="FP1298" s="855"/>
      <c r="FQ1298" s="855"/>
      <c r="FR1298" s="855"/>
      <c r="FS1298" s="855"/>
      <c r="FT1298" s="855"/>
      <c r="FU1298" s="855"/>
      <c r="FV1298" s="855"/>
      <c r="FW1298" s="855"/>
      <c r="FX1298" s="855"/>
      <c r="FY1298" s="855"/>
      <c r="FZ1298" s="855"/>
      <c r="GA1298" s="855"/>
      <c r="GB1298" s="855"/>
      <c r="GC1298" s="855"/>
      <c r="GD1298" s="855"/>
      <c r="GE1298" s="855"/>
      <c r="GF1298" s="855"/>
      <c r="GG1298" s="855"/>
      <c r="GH1298" s="855"/>
      <c r="GI1298" s="855"/>
      <c r="GJ1298" s="855"/>
      <c r="GK1298" s="855"/>
      <c r="GL1298" s="855"/>
      <c r="GM1298" s="855"/>
      <c r="GN1298" s="855"/>
      <c r="GO1298" s="855"/>
      <c r="GP1298" s="855"/>
      <c r="GQ1298" s="855"/>
      <c r="GR1298" s="855"/>
      <c r="GS1298" s="855"/>
      <c r="GT1298" s="855"/>
      <c r="GU1298" s="855"/>
      <c r="GV1298" s="855"/>
      <c r="GW1298" s="855"/>
      <c r="GX1298" s="855"/>
      <c r="GY1298" s="855"/>
      <c r="GZ1298" s="855"/>
      <c r="HA1298" s="855"/>
      <c r="HB1298" s="855"/>
      <c r="HC1298" s="855"/>
      <c r="HD1298" s="855"/>
      <c r="HE1298" s="855"/>
      <c r="HF1298" s="855"/>
      <c r="HG1298" s="855"/>
      <c r="HH1298" s="855"/>
      <c r="HI1298" s="855"/>
      <c r="HJ1298" s="855"/>
      <c r="HK1298" s="855"/>
      <c r="HL1298" s="855"/>
      <c r="HM1298" s="855"/>
      <c r="HN1298" s="855"/>
      <c r="HO1298" s="855"/>
      <c r="HP1298" s="855"/>
      <c r="HQ1298" s="855"/>
      <c r="HR1298" s="855"/>
      <c r="HS1298" s="855"/>
      <c r="HT1298" s="855"/>
      <c r="HU1298" s="855"/>
      <c r="HV1298" s="855"/>
      <c r="HW1298" s="855"/>
      <c r="HX1298" s="855"/>
      <c r="HY1298" s="855"/>
      <c r="HZ1298" s="855"/>
      <c r="IA1298" s="855"/>
      <c r="IB1298" s="855"/>
      <c r="IC1298" s="855"/>
      <c r="ID1298" s="855"/>
      <c r="IE1298" s="855"/>
      <c r="IF1298" s="855"/>
      <c r="IG1298" s="855"/>
      <c r="IH1298" s="855"/>
      <c r="II1298" s="855"/>
      <c r="IJ1298" s="855"/>
      <c r="IK1298" s="855"/>
      <c r="IL1298" s="855"/>
      <c r="IM1298" s="855"/>
      <c r="IN1298" s="855"/>
      <c r="IO1298" s="855"/>
      <c r="IP1298" s="855"/>
      <c r="IQ1298" s="855"/>
      <c r="IR1298" s="855"/>
      <c r="IS1298" s="855"/>
      <c r="IT1298" s="855"/>
      <c r="IU1298" s="855"/>
      <c r="IV1298" s="855"/>
      <c r="IW1298" s="855"/>
      <c r="IX1298" s="855"/>
      <c r="IY1298" s="855"/>
      <c r="IZ1298" s="855"/>
      <c r="JA1298" s="855"/>
      <c r="JB1298" s="855"/>
      <c r="JC1298" s="855"/>
      <c r="JD1298" s="855"/>
      <c r="JE1298" s="855"/>
      <c r="JF1298" s="855"/>
      <c r="JG1298" s="855"/>
      <c r="JH1298" s="855"/>
      <c r="JI1298" s="855"/>
      <c r="JJ1298" s="855"/>
      <c r="JK1298" s="855"/>
      <c r="JL1298" s="855"/>
      <c r="JM1298"/>
    </row>
    <row r="1299" spans="1:273" s="854" customFormat="1" hidden="1" outlineLevel="1">
      <c r="A1299" s="102" t="s">
        <v>691</v>
      </c>
      <c r="B1299" s="103"/>
      <c r="C1299" s="102"/>
      <c r="D1299" s="102"/>
      <c r="E1299" s="102"/>
      <c r="F1299" s="102"/>
      <c r="G1299" s="102"/>
      <c r="H1299" s="102"/>
      <c r="I1299" s="102"/>
      <c r="J1299" s="102"/>
      <c r="K1299" s="102"/>
      <c r="L1299" s="102"/>
      <c r="M1299" s="102"/>
      <c r="N1299" s="102"/>
      <c r="O1299" s="102"/>
      <c r="P1299" s="102"/>
      <c r="Q1299" s="102"/>
      <c r="R1299" s="102"/>
      <c r="S1299" s="102"/>
      <c r="T1299" s="102"/>
      <c r="U1299" s="102"/>
      <c r="V1299" s="102"/>
      <c r="W1299" s="102"/>
      <c r="X1299" s="102"/>
      <c r="Y1299" s="102"/>
      <c r="Z1299" s="102"/>
      <c r="AA1299" s="102"/>
      <c r="AB1299" s="102"/>
      <c r="AC1299" s="102"/>
      <c r="AD1299" s="102"/>
      <c r="AE1299" s="102"/>
      <c r="AF1299" s="102"/>
      <c r="AG1299" s="102"/>
      <c r="AH1299" s="102"/>
      <c r="AI1299" s="102"/>
      <c r="AJ1299" s="102"/>
      <c r="AK1299" s="102"/>
      <c r="AL1299" s="102"/>
      <c r="AM1299" s="102"/>
      <c r="AN1299" s="293"/>
      <c r="AO1299" s="293"/>
      <c r="AP1299" s="626"/>
      <c r="AQ1299" s="626"/>
      <c r="AR1299" s="293">
        <f>DIVISIONS!AR712</f>
        <v>16</v>
      </c>
      <c r="AS1299" s="293">
        <f>DIVISIONS!AS712</f>
        <v>188</v>
      </c>
      <c r="AT1299" s="626"/>
      <c r="AU1299" s="626"/>
      <c r="AV1299" s="293">
        <f>DIVISIONS!AV712</f>
        <v>-275</v>
      </c>
      <c r="AW1299" s="293">
        <f>DIVISIONS!AW712</f>
        <v>-108</v>
      </c>
      <c r="AX1299" s="294">
        <f t="shared" si="2561"/>
        <v>-0.43443917851500791</v>
      </c>
      <c r="AY1299" s="294">
        <f t="shared" si="2561"/>
        <v>-0.16216216216216217</v>
      </c>
      <c r="AZ1299" s="293">
        <f>DIVISIONS!AZ712</f>
        <v>48</v>
      </c>
      <c r="BA1299" s="293">
        <f>DIVISIONS!BA712</f>
        <v>-77</v>
      </c>
      <c r="BB1299" s="294">
        <f t="shared" si="2562"/>
        <v>7.9207920792079209E-2</v>
      </c>
      <c r="BC1299" s="294">
        <f t="shared" si="2562"/>
        <v>-0.10104986876640421</v>
      </c>
      <c r="BD1299" s="293">
        <f>DIVISIONS!BD712</f>
        <v>0</v>
      </c>
      <c r="BE1299" s="293">
        <f>DIVISIONS!BE712</f>
        <v>0</v>
      </c>
      <c r="BF1299" s="294">
        <f t="shared" si="2563"/>
        <v>0</v>
      </c>
      <c r="BG1299" s="294"/>
      <c r="BH1299" s="293"/>
      <c r="BI1299" s="293"/>
      <c r="BJ1299" s="294"/>
      <c r="BK1299" s="294"/>
      <c r="BL1299" s="293"/>
      <c r="BM1299" s="850"/>
      <c r="BN1299" s="853"/>
      <c r="BO1299" s="853"/>
      <c r="BP1299" s="293"/>
      <c r="BQ1299" s="850"/>
      <c r="BR1299" s="853"/>
      <c r="BS1299" s="853"/>
      <c r="BT1299" s="850"/>
      <c r="BU1299" s="850"/>
      <c r="BV1299" s="853"/>
      <c r="BW1299" s="853"/>
      <c r="BX1299" s="850"/>
      <c r="BY1299" s="850"/>
      <c r="BZ1299" s="853"/>
      <c r="CA1299" s="853"/>
      <c r="CB1299" s="850"/>
      <c r="CC1299" s="850"/>
      <c r="CD1299" s="853"/>
      <c r="CE1299" s="862"/>
      <c r="CF1299" s="850"/>
      <c r="CG1299" s="850"/>
      <c r="CH1299" s="853"/>
      <c r="CI1299" s="862"/>
      <c r="CJ1299" s="850"/>
      <c r="CK1299" s="850"/>
      <c r="CL1299" s="853"/>
      <c r="CM1299" s="862"/>
      <c r="CN1299" s="850"/>
      <c r="CO1299" s="850"/>
      <c r="CP1299" s="853"/>
      <c r="CQ1299" s="862"/>
      <c r="CR1299" s="850"/>
      <c r="CS1299" s="850"/>
      <c r="CT1299" s="853"/>
      <c r="CU1299" s="853"/>
      <c r="CV1299" s="853"/>
      <c r="CW1299" s="853"/>
      <c r="CX1299" s="853"/>
      <c r="CY1299" s="853"/>
      <c r="CZ1299" s="853"/>
      <c r="DA1299" s="853"/>
      <c r="DB1299" s="853"/>
      <c r="DC1299" s="853"/>
      <c r="DD1299" s="853"/>
      <c r="DE1299" s="853"/>
      <c r="DF1299" s="853"/>
      <c r="DG1299" s="853"/>
      <c r="DH1299" s="853"/>
      <c r="DI1299" s="853"/>
      <c r="DJ1299" s="853"/>
      <c r="DK1299" s="853"/>
      <c r="DL1299" s="853"/>
      <c r="DM1299" s="853"/>
      <c r="DN1299" s="853"/>
      <c r="DO1299" s="853"/>
      <c r="DP1299" s="853"/>
      <c r="DQ1299" s="853"/>
      <c r="DR1299" s="853"/>
      <c r="DS1299" s="853"/>
      <c r="DT1299" s="853"/>
      <c r="DU1299" s="850"/>
      <c r="DV1299" s="850"/>
      <c r="DW1299" s="850"/>
      <c r="DX1299" s="853"/>
      <c r="DY1299" s="853"/>
      <c r="DZ1299" s="850"/>
      <c r="EA1299" s="850"/>
      <c r="EB1299" s="853"/>
      <c r="EC1299" s="853"/>
      <c r="ED1299" s="850"/>
      <c r="EE1299" s="850"/>
      <c r="EF1299" s="853"/>
      <c r="EG1299" s="853"/>
      <c r="EH1299" s="853"/>
      <c r="EI1299" s="853"/>
      <c r="EJ1299" s="853"/>
      <c r="EK1299" s="853"/>
      <c r="EL1299" s="853"/>
      <c r="EM1299" s="853"/>
      <c r="EN1299" s="853"/>
      <c r="EO1299" s="853"/>
      <c r="EP1299" s="853"/>
      <c r="EQ1299" s="855"/>
      <c r="ER1299" s="855"/>
      <c r="ES1299" s="855"/>
      <c r="ET1299" s="855"/>
      <c r="EU1299" s="855"/>
      <c r="EV1299" s="855"/>
      <c r="EW1299" s="855"/>
      <c r="EX1299" s="855"/>
      <c r="EY1299" s="855"/>
      <c r="EZ1299" s="855"/>
      <c r="FA1299" s="855"/>
      <c r="FB1299" s="855"/>
      <c r="FC1299" s="855"/>
      <c r="FD1299" s="855"/>
      <c r="FE1299" s="855"/>
      <c r="FF1299" s="855"/>
      <c r="FG1299" s="855"/>
      <c r="FH1299" s="855"/>
      <c r="FI1299" s="855"/>
      <c r="FJ1299" s="855"/>
      <c r="FK1299" s="855"/>
      <c r="FL1299" s="855"/>
      <c r="FM1299" s="855"/>
      <c r="FN1299" s="855"/>
      <c r="FO1299" s="855"/>
      <c r="FP1299" s="855"/>
      <c r="FQ1299" s="855"/>
      <c r="FR1299" s="855"/>
      <c r="FS1299" s="855"/>
      <c r="FT1299" s="855"/>
      <c r="FU1299" s="855"/>
      <c r="FV1299" s="855"/>
      <c r="FW1299" s="855"/>
      <c r="FX1299" s="855"/>
      <c r="FY1299" s="855"/>
      <c r="FZ1299" s="855"/>
      <c r="GA1299" s="855"/>
      <c r="GB1299" s="855"/>
      <c r="GC1299" s="855"/>
      <c r="GD1299" s="855"/>
      <c r="GE1299" s="855"/>
      <c r="GF1299" s="855"/>
      <c r="GG1299" s="855"/>
      <c r="GH1299" s="855"/>
      <c r="GI1299" s="855"/>
      <c r="GJ1299" s="855"/>
      <c r="GK1299" s="855"/>
      <c r="GL1299" s="855"/>
      <c r="GM1299" s="855"/>
      <c r="GN1299" s="855"/>
      <c r="GO1299" s="855"/>
      <c r="GP1299" s="855"/>
      <c r="GQ1299" s="855"/>
      <c r="GR1299" s="855"/>
      <c r="GS1299" s="855"/>
      <c r="GT1299" s="855"/>
      <c r="GU1299" s="855"/>
      <c r="GV1299" s="855"/>
      <c r="GW1299" s="855"/>
      <c r="GX1299" s="855"/>
      <c r="GY1299" s="855"/>
      <c r="GZ1299" s="855"/>
      <c r="HA1299" s="855"/>
      <c r="HB1299" s="855"/>
      <c r="HC1299" s="855"/>
      <c r="HD1299" s="855"/>
      <c r="HE1299" s="855"/>
      <c r="HF1299" s="855"/>
      <c r="HG1299" s="855"/>
      <c r="HH1299" s="855"/>
      <c r="HI1299" s="855"/>
      <c r="HJ1299" s="855"/>
      <c r="HK1299" s="855"/>
      <c r="HL1299" s="855"/>
      <c r="HM1299" s="855"/>
      <c r="HN1299" s="855"/>
      <c r="HO1299" s="855"/>
      <c r="HP1299" s="855"/>
      <c r="HQ1299" s="855"/>
      <c r="HR1299" s="855"/>
      <c r="HS1299" s="855"/>
      <c r="HT1299" s="855"/>
      <c r="HU1299" s="855"/>
      <c r="HV1299" s="855"/>
      <c r="HW1299" s="855"/>
      <c r="HX1299" s="855"/>
      <c r="HY1299" s="855"/>
      <c r="HZ1299" s="855"/>
      <c r="IA1299" s="855"/>
      <c r="IB1299" s="855"/>
      <c r="IC1299" s="855"/>
      <c r="ID1299" s="855"/>
      <c r="IE1299" s="855"/>
      <c r="IF1299" s="855"/>
      <c r="IG1299" s="855"/>
      <c r="IH1299" s="855"/>
      <c r="II1299" s="855"/>
      <c r="IJ1299" s="855"/>
      <c r="IK1299" s="855"/>
      <c r="IL1299" s="855"/>
      <c r="IM1299" s="855"/>
      <c r="IN1299" s="855"/>
      <c r="IO1299" s="855"/>
      <c r="IP1299" s="855"/>
      <c r="IQ1299" s="855"/>
      <c r="IR1299" s="855"/>
      <c r="IS1299" s="855"/>
      <c r="IT1299" s="855"/>
      <c r="IU1299" s="855"/>
      <c r="IV1299" s="855"/>
      <c r="IW1299" s="855"/>
      <c r="IX1299" s="855"/>
      <c r="IY1299" s="855"/>
      <c r="IZ1299" s="855"/>
      <c r="JA1299" s="855"/>
      <c r="JB1299" s="855"/>
      <c r="JC1299" s="855"/>
      <c r="JD1299" s="855"/>
      <c r="JE1299" s="855"/>
      <c r="JF1299" s="855"/>
      <c r="JG1299" s="855"/>
      <c r="JH1299" s="855"/>
      <c r="JI1299" s="855"/>
      <c r="JJ1299" s="855"/>
      <c r="JK1299" s="855"/>
      <c r="JL1299" s="855"/>
      <c r="JM1299"/>
    </row>
    <row r="1300" spans="1:273" s="855" customFormat="1" hidden="1" outlineLevel="1">
      <c r="A1300" s="289" t="s">
        <v>613</v>
      </c>
      <c r="B1300" s="290"/>
      <c r="C1300" s="289"/>
      <c r="D1300" s="289"/>
      <c r="E1300" s="289"/>
      <c r="F1300" s="289"/>
      <c r="G1300" s="289"/>
      <c r="H1300" s="289"/>
      <c r="I1300" s="289"/>
      <c r="J1300" s="289"/>
      <c r="K1300" s="289"/>
      <c r="L1300" s="289"/>
      <c r="M1300" s="289"/>
      <c r="N1300" s="289"/>
      <c r="O1300" s="289"/>
      <c r="P1300" s="289"/>
      <c r="Q1300" s="289"/>
      <c r="R1300" s="289"/>
      <c r="S1300" s="289"/>
      <c r="T1300" s="289"/>
      <c r="U1300" s="289"/>
      <c r="V1300" s="289"/>
      <c r="W1300" s="289"/>
      <c r="X1300" s="289"/>
      <c r="Y1300" s="289"/>
      <c r="Z1300" s="289"/>
      <c r="AA1300" s="289"/>
      <c r="AB1300" s="289"/>
      <c r="AC1300" s="289"/>
      <c r="AD1300" s="289"/>
      <c r="AE1300" s="289"/>
      <c r="AF1300" s="289"/>
      <c r="AG1300" s="289"/>
      <c r="AH1300" s="289"/>
      <c r="AI1300" s="289"/>
      <c r="AJ1300" s="289"/>
      <c r="AK1300" s="289"/>
      <c r="AL1300" s="289"/>
      <c r="AM1300" s="289"/>
      <c r="AN1300" s="290"/>
      <c r="AO1300" s="290"/>
      <c r="AP1300" s="290"/>
      <c r="AQ1300" s="290"/>
      <c r="AR1300" s="290"/>
      <c r="AS1300" s="290"/>
      <c r="AT1300" s="290"/>
      <c r="AU1300" s="290"/>
      <c r="AV1300" s="853">
        <f>SUM(AV1292:AV1299)</f>
        <v>633</v>
      </c>
      <c r="AW1300" s="853">
        <f>SUM(AW1292:AW1299)</f>
        <v>666</v>
      </c>
      <c r="AX1300" s="853"/>
      <c r="AY1300" s="853"/>
      <c r="AZ1300" s="853">
        <f>SUM(AZ1292:AZ1299)</f>
        <v>606</v>
      </c>
      <c r="BA1300" s="853">
        <f>SUM(BA1292:BA1299)</f>
        <v>762</v>
      </c>
      <c r="BB1300" s="853"/>
      <c r="BC1300" s="853"/>
      <c r="BD1300" s="853">
        <f>SUM(BD1292:BD1299)</f>
        <v>543</v>
      </c>
      <c r="BE1300" s="853">
        <f>SUM(BE1292:BE1299)</f>
        <v>630</v>
      </c>
      <c r="BF1300" s="853"/>
      <c r="BG1300" s="853"/>
      <c r="BH1300" s="853"/>
      <c r="BI1300" s="853"/>
      <c r="BJ1300" s="853"/>
      <c r="BK1300" s="853"/>
      <c r="BL1300" s="853"/>
      <c r="BM1300" s="853"/>
      <c r="BN1300" s="853"/>
      <c r="BO1300" s="853"/>
      <c r="BP1300" s="853"/>
      <c r="BQ1300" s="853"/>
      <c r="BR1300" s="853"/>
      <c r="BS1300" s="853"/>
      <c r="BT1300" s="853"/>
      <c r="BU1300" s="853"/>
      <c r="BV1300" s="853"/>
      <c r="BW1300" s="853"/>
      <c r="BX1300" s="853"/>
      <c r="BY1300" s="853"/>
      <c r="BZ1300" s="853"/>
      <c r="CA1300" s="853"/>
      <c r="CB1300" s="853"/>
      <c r="CC1300" s="853"/>
      <c r="CD1300" s="853"/>
      <c r="CE1300" s="862"/>
      <c r="CF1300" s="853"/>
      <c r="CG1300" s="853"/>
      <c r="CH1300" s="853"/>
      <c r="CI1300" s="862"/>
      <c r="CJ1300" s="853"/>
      <c r="CK1300" s="853"/>
      <c r="CL1300" s="853"/>
      <c r="CM1300" s="862"/>
      <c r="CN1300" s="853"/>
      <c r="CO1300" s="853"/>
      <c r="CP1300" s="853"/>
      <c r="CQ1300" s="862"/>
      <c r="CR1300" s="853"/>
      <c r="CS1300" s="853"/>
      <c r="CT1300" s="853"/>
      <c r="CU1300" s="853"/>
      <c r="CV1300" s="853"/>
      <c r="CW1300" s="853"/>
      <c r="CX1300" s="853"/>
      <c r="CY1300" s="853"/>
      <c r="CZ1300" s="853"/>
      <c r="DA1300" s="853"/>
      <c r="DB1300" s="853"/>
      <c r="DC1300" s="853"/>
      <c r="DD1300" s="853"/>
      <c r="DE1300" s="853"/>
      <c r="DF1300" s="853"/>
      <c r="DG1300" s="853"/>
      <c r="DH1300" s="853"/>
      <c r="DI1300" s="853"/>
      <c r="DJ1300" s="853"/>
      <c r="DK1300" s="853"/>
      <c r="DL1300" s="853"/>
      <c r="DM1300" s="853"/>
      <c r="DN1300" s="853"/>
      <c r="DO1300" s="853"/>
      <c r="DP1300" s="853"/>
      <c r="DQ1300" s="853"/>
      <c r="DR1300" s="853"/>
      <c r="DS1300" s="853"/>
      <c r="DT1300" s="853"/>
      <c r="DU1300" s="853"/>
      <c r="DV1300" s="853"/>
      <c r="DW1300" s="853"/>
      <c r="DX1300" s="853"/>
      <c r="DY1300" s="853"/>
      <c r="DZ1300" s="853"/>
      <c r="EA1300" s="853"/>
      <c r="EB1300" s="853"/>
      <c r="EC1300" s="853"/>
      <c r="ED1300" s="853"/>
      <c r="EE1300" s="853"/>
      <c r="EF1300" s="853"/>
      <c r="EG1300" s="853"/>
      <c r="EH1300" s="853"/>
      <c r="EI1300" s="853"/>
      <c r="EJ1300" s="853"/>
      <c r="EK1300" s="853"/>
      <c r="EL1300" s="853"/>
      <c r="EM1300" s="853"/>
      <c r="EN1300" s="853"/>
      <c r="EO1300" s="853"/>
      <c r="EP1300" s="853"/>
      <c r="JM1300"/>
    </row>
    <row r="1301" spans="1:273" s="854" customFormat="1" hidden="1" outlineLevel="1">
      <c r="A1301" s="102"/>
      <c r="B1301" s="103"/>
      <c r="C1301" s="102"/>
      <c r="D1301" s="102"/>
      <c r="E1301" s="102"/>
      <c r="F1301" s="102"/>
      <c r="G1301" s="102"/>
      <c r="H1301" s="102"/>
      <c r="I1301" s="102"/>
      <c r="J1301" s="102"/>
      <c r="K1301" s="102"/>
      <c r="L1301" s="102"/>
      <c r="M1301" s="102"/>
      <c r="N1301" s="102"/>
      <c r="O1301" s="102"/>
      <c r="P1301" s="102"/>
      <c r="Q1301" s="102"/>
      <c r="R1301" s="102"/>
      <c r="S1301" s="102"/>
      <c r="T1301" s="102"/>
      <c r="U1301" s="102"/>
      <c r="V1301" s="102"/>
      <c r="W1301" s="102"/>
      <c r="X1301" s="102"/>
      <c r="Y1301" s="102"/>
      <c r="Z1301" s="102"/>
      <c r="AA1301" s="102"/>
      <c r="AB1301" s="102"/>
      <c r="AC1301" s="102"/>
      <c r="AD1301" s="102"/>
      <c r="AE1301" s="102"/>
      <c r="AF1301" s="102"/>
      <c r="AG1301" s="102"/>
      <c r="AH1301" s="102"/>
      <c r="AI1301" s="102"/>
      <c r="AJ1301" s="102"/>
      <c r="AK1301" s="102"/>
      <c r="AL1301" s="102"/>
      <c r="AM1301" s="102"/>
      <c r="AN1301" s="290"/>
      <c r="AO1301" s="290"/>
      <c r="AP1301" s="290"/>
      <c r="AQ1301" s="290"/>
      <c r="AR1301" s="290"/>
      <c r="AS1301" s="290"/>
      <c r="AT1301" s="290"/>
      <c r="AU1301" s="290"/>
      <c r="AV1301" s="818"/>
      <c r="AW1301" s="818"/>
      <c r="AX1301" s="853"/>
      <c r="AY1301" s="853"/>
      <c r="AZ1301" s="818"/>
      <c r="BA1301" s="850"/>
      <c r="BB1301" s="853"/>
      <c r="BC1301" s="853"/>
      <c r="BD1301" s="818">
        <f>BD1300-SUM(BD1292:BD1299)</f>
        <v>0</v>
      </c>
      <c r="BE1301" s="818">
        <f>BE1300-SUM(BE1292:BE1299)</f>
        <v>0</v>
      </c>
      <c r="BF1301" s="853"/>
      <c r="BG1301" s="853"/>
      <c r="BH1301" s="818"/>
      <c r="BI1301" s="818"/>
      <c r="BJ1301" s="853"/>
      <c r="BK1301" s="853"/>
      <c r="BL1301" s="818"/>
      <c r="BM1301" s="818"/>
      <c r="BN1301" s="853"/>
      <c r="BO1301" s="853"/>
      <c r="BP1301" s="818"/>
      <c r="BQ1301" s="818"/>
      <c r="BR1301" s="853"/>
      <c r="BS1301" s="853"/>
      <c r="BT1301" s="818"/>
      <c r="BU1301" s="818"/>
      <c r="BV1301" s="853"/>
      <c r="BW1301" s="853"/>
      <c r="BX1301" s="818"/>
      <c r="BY1301" s="818"/>
      <c r="BZ1301" s="853"/>
      <c r="CA1301" s="853"/>
      <c r="CB1301" s="818"/>
      <c r="CC1301" s="818"/>
      <c r="CD1301" s="853"/>
      <c r="CE1301" s="862"/>
      <c r="CF1301" s="818"/>
      <c r="CG1301" s="818"/>
      <c r="CH1301" s="853"/>
      <c r="CI1301" s="862"/>
      <c r="CJ1301" s="818"/>
      <c r="CK1301" s="818"/>
      <c r="CL1301" s="853"/>
      <c r="CM1301" s="862"/>
      <c r="CN1301" s="818"/>
      <c r="CO1301" s="818"/>
      <c r="CP1301" s="853"/>
      <c r="CQ1301" s="862"/>
      <c r="CR1301" s="818"/>
      <c r="CS1301" s="818"/>
      <c r="CT1301" s="853"/>
      <c r="CU1301" s="853"/>
      <c r="CV1301" s="853"/>
      <c r="CW1301" s="853"/>
      <c r="CX1301" s="853"/>
      <c r="CY1301" s="853"/>
      <c r="CZ1301" s="853"/>
      <c r="DA1301" s="853"/>
      <c r="DB1301" s="853"/>
      <c r="DC1301" s="853"/>
      <c r="DD1301" s="853"/>
      <c r="DE1301" s="853"/>
      <c r="DF1301" s="853"/>
      <c r="DG1301" s="853"/>
      <c r="DH1301" s="853"/>
      <c r="DI1301" s="853"/>
      <c r="DJ1301" s="853"/>
      <c r="DK1301" s="853"/>
      <c r="DL1301" s="853"/>
      <c r="DM1301" s="853"/>
      <c r="DN1301" s="853"/>
      <c r="DO1301" s="853"/>
      <c r="DP1301" s="853"/>
      <c r="DQ1301" s="853"/>
      <c r="DR1301" s="853"/>
      <c r="DS1301" s="853"/>
      <c r="DT1301" s="853"/>
      <c r="DU1301" s="818"/>
      <c r="DV1301" s="818"/>
      <c r="DW1301" s="818"/>
      <c r="DX1301" s="853"/>
      <c r="DY1301" s="853"/>
      <c r="DZ1301" s="818"/>
      <c r="EA1301" s="818"/>
      <c r="EB1301" s="853"/>
      <c r="EC1301" s="853"/>
      <c r="ED1301" s="818"/>
      <c r="EE1301" s="818"/>
      <c r="EF1301" s="853"/>
      <c r="EG1301" s="853"/>
      <c r="EH1301" s="853"/>
      <c r="EI1301" s="853"/>
      <c r="EJ1301" s="853"/>
      <c r="EK1301" s="853"/>
      <c r="EL1301" s="853"/>
      <c r="EM1301" s="853"/>
      <c r="EN1301" s="853"/>
      <c r="EO1301" s="853"/>
      <c r="EP1301" s="853"/>
      <c r="EQ1301" s="855"/>
      <c r="ER1301" s="855"/>
      <c r="ES1301" s="855"/>
      <c r="ET1301" s="855"/>
      <c r="EU1301" s="855"/>
      <c r="EV1301" s="855"/>
      <c r="EW1301" s="855"/>
      <c r="EX1301" s="855"/>
      <c r="EY1301" s="855"/>
      <c r="EZ1301" s="855"/>
      <c r="FA1301" s="855"/>
      <c r="FB1301" s="855"/>
      <c r="FC1301" s="855"/>
      <c r="FD1301" s="855"/>
      <c r="FE1301" s="855"/>
      <c r="FF1301" s="855"/>
      <c r="FG1301" s="855"/>
      <c r="FH1301" s="855"/>
      <c r="FI1301" s="855"/>
      <c r="FJ1301" s="855"/>
      <c r="FK1301" s="855"/>
      <c r="FL1301" s="855"/>
      <c r="FM1301" s="855"/>
      <c r="FN1301" s="855"/>
      <c r="FO1301" s="855"/>
      <c r="FP1301" s="855"/>
      <c r="FQ1301" s="855"/>
      <c r="FR1301" s="855"/>
      <c r="FS1301" s="855"/>
      <c r="FT1301" s="855"/>
      <c r="FU1301" s="855"/>
      <c r="FV1301" s="855"/>
      <c r="FW1301" s="855"/>
      <c r="FX1301" s="855"/>
      <c r="FY1301" s="855"/>
      <c r="FZ1301" s="855"/>
      <c r="GA1301" s="855"/>
      <c r="GB1301" s="855"/>
      <c r="GC1301" s="855"/>
      <c r="GD1301" s="855"/>
      <c r="GE1301" s="855"/>
      <c r="GF1301" s="855"/>
      <c r="GG1301" s="855"/>
      <c r="GH1301" s="855"/>
      <c r="GI1301" s="855"/>
      <c r="GJ1301" s="855"/>
      <c r="GK1301" s="855"/>
      <c r="GL1301" s="855"/>
      <c r="GM1301" s="855"/>
      <c r="GN1301" s="855"/>
      <c r="GO1301" s="855"/>
      <c r="GP1301" s="855"/>
      <c r="GQ1301" s="855"/>
      <c r="GR1301" s="855"/>
      <c r="GS1301" s="855"/>
      <c r="GT1301" s="855"/>
      <c r="GU1301" s="855"/>
      <c r="GV1301" s="855"/>
      <c r="GW1301" s="855"/>
      <c r="GX1301" s="855"/>
      <c r="GY1301" s="855"/>
      <c r="GZ1301" s="855"/>
      <c r="HA1301" s="855"/>
      <c r="HB1301" s="855"/>
      <c r="HC1301" s="855"/>
      <c r="HD1301" s="855"/>
      <c r="HE1301" s="855"/>
      <c r="HF1301" s="855"/>
      <c r="HG1301" s="855"/>
      <c r="HH1301" s="855"/>
      <c r="HI1301" s="855"/>
      <c r="HJ1301" s="855"/>
      <c r="HK1301" s="855"/>
      <c r="HL1301" s="855"/>
      <c r="HM1301" s="855"/>
      <c r="HN1301" s="855"/>
      <c r="HO1301" s="855"/>
      <c r="HP1301" s="855"/>
      <c r="HQ1301" s="855"/>
      <c r="HR1301" s="855"/>
      <c r="HS1301" s="855"/>
      <c r="HT1301" s="855"/>
      <c r="HU1301" s="855"/>
      <c r="HV1301" s="855"/>
      <c r="HW1301" s="855"/>
      <c r="HX1301" s="855"/>
      <c r="HY1301" s="855"/>
      <c r="HZ1301" s="855"/>
      <c r="IA1301" s="855"/>
      <c r="IB1301" s="855"/>
      <c r="IC1301" s="855"/>
      <c r="ID1301" s="855"/>
      <c r="IE1301" s="855"/>
      <c r="IF1301" s="855"/>
      <c r="IG1301" s="855"/>
      <c r="IH1301" s="855"/>
      <c r="II1301" s="855"/>
      <c r="IJ1301" s="855"/>
      <c r="IK1301" s="855"/>
      <c r="IL1301" s="855"/>
      <c r="IM1301" s="855"/>
      <c r="IN1301" s="855"/>
      <c r="IO1301" s="855"/>
      <c r="IP1301" s="855"/>
      <c r="IQ1301" s="855"/>
      <c r="IR1301" s="855"/>
      <c r="IS1301" s="855"/>
      <c r="IT1301" s="855"/>
      <c r="IU1301" s="855"/>
      <c r="IV1301" s="855"/>
      <c r="IW1301" s="855"/>
      <c r="IX1301" s="855"/>
      <c r="IY1301" s="855"/>
      <c r="IZ1301" s="855"/>
      <c r="JA1301" s="855"/>
      <c r="JB1301" s="855"/>
      <c r="JC1301" s="855"/>
      <c r="JD1301" s="855"/>
      <c r="JE1301" s="855"/>
      <c r="JF1301" s="855"/>
      <c r="JG1301" s="855"/>
      <c r="JH1301" s="855"/>
      <c r="JI1301" s="855"/>
      <c r="JJ1301" s="855"/>
      <c r="JK1301" s="855"/>
      <c r="JL1301" s="855"/>
      <c r="JM1301"/>
    </row>
    <row r="1302" spans="1:273" s="854" customFormat="1" hidden="1" outlineLevel="1">
      <c r="A1302" s="815" t="s">
        <v>745</v>
      </c>
      <c r="B1302" s="103"/>
      <c r="C1302" s="102"/>
      <c r="D1302" s="102"/>
      <c r="E1302" s="102"/>
      <c r="F1302" s="102"/>
      <c r="G1302" s="102"/>
      <c r="H1302" s="102"/>
      <c r="I1302" s="102"/>
      <c r="J1302" s="102"/>
      <c r="K1302" s="102"/>
      <c r="L1302" s="102"/>
      <c r="M1302" s="102"/>
      <c r="N1302" s="102"/>
      <c r="O1302" s="102"/>
      <c r="P1302" s="102"/>
      <c r="Q1302" s="102"/>
      <c r="R1302" s="102"/>
      <c r="S1302" s="102"/>
      <c r="T1302" s="102"/>
      <c r="U1302" s="102"/>
      <c r="V1302" s="102"/>
      <c r="W1302" s="102"/>
      <c r="X1302" s="102"/>
      <c r="Y1302" s="102"/>
      <c r="Z1302" s="102"/>
      <c r="AA1302" s="102"/>
      <c r="AB1302" s="102"/>
      <c r="AC1302" s="102"/>
      <c r="AD1302" s="102"/>
      <c r="AE1302" s="102"/>
      <c r="AF1302" s="102"/>
      <c r="AG1302" s="102"/>
      <c r="AH1302" s="102"/>
      <c r="AI1302" s="102"/>
      <c r="AJ1302" s="102"/>
      <c r="AK1302" s="102"/>
      <c r="AL1302" s="102"/>
      <c r="AM1302" s="102"/>
      <c r="AN1302" s="290"/>
      <c r="AO1302" s="290"/>
      <c r="AP1302" s="290"/>
      <c r="AQ1302" s="290"/>
      <c r="AR1302" s="290"/>
      <c r="AS1302" s="290"/>
      <c r="AT1302" s="290"/>
      <c r="AU1302" s="290"/>
      <c r="AV1302" s="818"/>
      <c r="AW1302" s="818"/>
      <c r="AX1302" s="853"/>
      <c r="AY1302" s="853"/>
      <c r="AZ1302" s="818"/>
      <c r="BA1302" s="850"/>
      <c r="BB1302" s="853"/>
      <c r="BC1302" s="853"/>
      <c r="BD1302" s="818"/>
      <c r="BE1302" s="850"/>
      <c r="BF1302" s="853"/>
      <c r="BG1302" s="853"/>
      <c r="BH1302" s="818"/>
      <c r="BI1302" s="850"/>
      <c r="BJ1302" s="853"/>
      <c r="BK1302" s="853"/>
      <c r="BL1302" s="850"/>
      <c r="BM1302" s="850"/>
      <c r="BN1302" s="853"/>
      <c r="BO1302" s="853"/>
      <c r="BP1302" s="850"/>
      <c r="BQ1302" s="850"/>
      <c r="BR1302" s="853"/>
      <c r="BS1302" s="853"/>
      <c r="BT1302" s="850"/>
      <c r="BU1302" s="850"/>
      <c r="BV1302" s="853"/>
      <c r="BW1302" s="853"/>
      <c r="BX1302" s="850"/>
      <c r="BY1302" s="850"/>
      <c r="BZ1302" s="853"/>
      <c r="CA1302" s="853"/>
      <c r="CB1302" s="850"/>
      <c r="CC1302" s="850"/>
      <c r="CD1302" s="853"/>
      <c r="CE1302" s="862"/>
      <c r="CF1302" s="850"/>
      <c r="CG1302" s="850"/>
      <c r="CH1302" s="853"/>
      <c r="CI1302" s="862"/>
      <c r="CJ1302" s="850"/>
      <c r="CK1302" s="850"/>
      <c r="CL1302" s="853"/>
      <c r="CM1302" s="862"/>
      <c r="CN1302" s="850"/>
      <c r="CO1302" s="850"/>
      <c r="CP1302" s="853"/>
      <c r="CQ1302" s="862"/>
      <c r="CR1302" s="850"/>
      <c r="CS1302" s="850"/>
      <c r="CT1302" s="853"/>
      <c r="CU1302" s="853"/>
      <c r="CV1302" s="853"/>
      <c r="CW1302" s="853"/>
      <c r="CX1302" s="853"/>
      <c r="CY1302" s="853"/>
      <c r="CZ1302" s="853"/>
      <c r="DA1302" s="853"/>
      <c r="DB1302" s="853"/>
      <c r="DC1302" s="853"/>
      <c r="DD1302" s="853"/>
      <c r="DE1302" s="853"/>
      <c r="DF1302" s="853"/>
      <c r="DG1302" s="853"/>
      <c r="DH1302" s="853"/>
      <c r="DI1302" s="853"/>
      <c r="DJ1302" s="853"/>
      <c r="DK1302" s="853"/>
      <c r="DL1302" s="853"/>
      <c r="DM1302" s="853"/>
      <c r="DN1302" s="853"/>
      <c r="DO1302" s="853"/>
      <c r="DP1302" s="853"/>
      <c r="DQ1302" s="853"/>
      <c r="DR1302" s="853"/>
      <c r="DS1302" s="853"/>
      <c r="DT1302" s="853"/>
      <c r="DU1302" s="850"/>
      <c r="DV1302" s="850"/>
      <c r="DW1302" s="850"/>
      <c r="DX1302" s="853"/>
      <c r="DY1302" s="853"/>
      <c r="DZ1302" s="850"/>
      <c r="EA1302" s="850"/>
      <c r="EB1302" s="853"/>
      <c r="EC1302" s="853"/>
      <c r="ED1302" s="850"/>
      <c r="EE1302" s="850"/>
      <c r="EF1302" s="853"/>
      <c r="EG1302" s="853"/>
      <c r="EH1302" s="853"/>
      <c r="EI1302" s="853"/>
      <c r="EJ1302" s="853"/>
      <c r="EK1302" s="853"/>
      <c r="EL1302" s="853"/>
      <c r="EM1302" s="853"/>
      <c r="EN1302" s="853"/>
      <c r="EO1302" s="853"/>
      <c r="EP1302" s="853"/>
      <c r="EQ1302" s="855"/>
      <c r="ER1302" s="855"/>
      <c r="ES1302" s="855"/>
      <c r="ET1302" s="855"/>
      <c r="EU1302" s="855"/>
      <c r="EV1302" s="855"/>
      <c r="EW1302" s="855"/>
      <c r="EX1302" s="855"/>
      <c r="EY1302" s="855"/>
      <c r="EZ1302" s="855"/>
      <c r="FA1302" s="855"/>
      <c r="FB1302" s="855"/>
      <c r="FC1302" s="855"/>
      <c r="FD1302" s="855"/>
      <c r="FE1302" s="855"/>
      <c r="FF1302" s="855"/>
      <c r="FG1302" s="855"/>
      <c r="FH1302" s="855"/>
      <c r="FI1302" s="855"/>
      <c r="FJ1302" s="855"/>
      <c r="FK1302" s="855"/>
      <c r="FL1302" s="855"/>
      <c r="FM1302" s="855"/>
      <c r="FN1302" s="855"/>
      <c r="FO1302" s="855"/>
      <c r="FP1302" s="855"/>
      <c r="FQ1302" s="855"/>
      <c r="FR1302" s="855"/>
      <c r="FS1302" s="855"/>
      <c r="FT1302" s="855"/>
      <c r="FU1302" s="855"/>
      <c r="FV1302" s="855"/>
      <c r="FW1302" s="855"/>
      <c r="FX1302" s="855"/>
      <c r="FY1302" s="855"/>
      <c r="FZ1302" s="855"/>
      <c r="GA1302" s="855"/>
      <c r="GB1302" s="855"/>
      <c r="GC1302" s="855"/>
      <c r="GD1302" s="855"/>
      <c r="GE1302" s="855"/>
      <c r="GF1302" s="855"/>
      <c r="GG1302" s="855"/>
      <c r="GH1302" s="855"/>
      <c r="GI1302" s="855"/>
      <c r="GJ1302" s="855"/>
      <c r="GK1302" s="855"/>
      <c r="GL1302" s="855"/>
      <c r="GM1302" s="855"/>
      <c r="GN1302" s="855"/>
      <c r="GO1302" s="855"/>
      <c r="GP1302" s="855"/>
      <c r="GQ1302" s="855"/>
      <c r="GR1302" s="855"/>
      <c r="GS1302" s="855"/>
      <c r="GT1302" s="855"/>
      <c r="GU1302" s="855"/>
      <c r="GV1302" s="855"/>
      <c r="GW1302" s="855"/>
      <c r="GX1302" s="855"/>
      <c r="GY1302" s="855"/>
      <c r="GZ1302" s="855"/>
      <c r="HA1302" s="855"/>
      <c r="HB1302" s="855"/>
      <c r="HC1302" s="855"/>
      <c r="HD1302" s="855"/>
      <c r="HE1302" s="855"/>
      <c r="HF1302" s="855"/>
      <c r="HG1302" s="855"/>
      <c r="HH1302" s="855"/>
      <c r="HI1302" s="855"/>
      <c r="HJ1302" s="855"/>
      <c r="HK1302" s="855"/>
      <c r="HL1302" s="855"/>
      <c r="HM1302" s="855"/>
      <c r="HN1302" s="855"/>
      <c r="HO1302" s="855"/>
      <c r="HP1302" s="855"/>
      <c r="HQ1302" s="855"/>
      <c r="HR1302" s="855"/>
      <c r="HS1302" s="855"/>
      <c r="HT1302" s="855"/>
      <c r="HU1302" s="855"/>
      <c r="HV1302" s="855"/>
      <c r="HW1302" s="855"/>
      <c r="HX1302" s="855"/>
      <c r="HY1302" s="855"/>
      <c r="HZ1302" s="855"/>
      <c r="IA1302" s="855"/>
      <c r="IB1302" s="855"/>
      <c r="IC1302" s="855"/>
      <c r="ID1302" s="855"/>
      <c r="IE1302" s="855"/>
      <c r="IF1302" s="855"/>
      <c r="IG1302" s="855"/>
      <c r="IH1302" s="855"/>
      <c r="II1302" s="855"/>
      <c r="IJ1302" s="855"/>
      <c r="IK1302" s="855"/>
      <c r="IL1302" s="855"/>
      <c r="IM1302" s="855"/>
      <c r="IN1302" s="855"/>
      <c r="IO1302" s="855"/>
      <c r="IP1302" s="855"/>
      <c r="IQ1302" s="855"/>
      <c r="IR1302" s="855"/>
      <c r="IS1302" s="855"/>
      <c r="IT1302" s="855"/>
      <c r="IU1302" s="855"/>
      <c r="IV1302" s="855"/>
      <c r="IW1302" s="855"/>
      <c r="IX1302" s="855"/>
      <c r="IY1302" s="855"/>
      <c r="IZ1302" s="855"/>
      <c r="JA1302" s="855"/>
      <c r="JB1302" s="855"/>
      <c r="JC1302" s="855"/>
      <c r="JD1302" s="855"/>
      <c r="JE1302" s="855"/>
      <c r="JF1302" s="855"/>
      <c r="JG1302" s="855"/>
      <c r="JH1302" s="855"/>
      <c r="JI1302" s="855"/>
      <c r="JJ1302" s="855"/>
      <c r="JK1302" s="855"/>
      <c r="JL1302" s="855"/>
      <c r="JM1302"/>
    </row>
    <row r="1303" spans="1:273" s="854" customFormat="1" hidden="1" outlineLevel="1">
      <c r="A1303" s="102" t="s">
        <v>713</v>
      </c>
      <c r="B1303" s="103"/>
      <c r="C1303" s="102"/>
      <c r="D1303" s="102"/>
      <c r="E1303" s="102"/>
      <c r="F1303" s="102"/>
      <c r="G1303" s="102"/>
      <c r="H1303" s="102"/>
      <c r="I1303" s="102"/>
      <c r="J1303" s="102"/>
      <c r="K1303" s="102"/>
      <c r="L1303" s="102"/>
      <c r="M1303" s="102"/>
      <c r="N1303" s="102"/>
      <c r="O1303" s="102"/>
      <c r="P1303" s="102"/>
      <c r="Q1303" s="102"/>
      <c r="R1303" s="102"/>
      <c r="S1303" s="102"/>
      <c r="T1303" s="102"/>
      <c r="U1303" s="102"/>
      <c r="V1303" s="102"/>
      <c r="W1303" s="102"/>
      <c r="X1303" s="102"/>
      <c r="Y1303" s="102"/>
      <c r="Z1303" s="102"/>
      <c r="AA1303" s="102"/>
      <c r="AB1303" s="102"/>
      <c r="AC1303" s="102"/>
      <c r="AD1303" s="102"/>
      <c r="AE1303" s="102"/>
      <c r="AF1303" s="102"/>
      <c r="AG1303" s="102"/>
      <c r="AH1303" s="102"/>
      <c r="AI1303" s="102"/>
      <c r="AJ1303" s="102"/>
      <c r="AK1303" s="102"/>
      <c r="AL1303" s="102"/>
      <c r="AM1303" s="102"/>
      <c r="AN1303" s="818"/>
      <c r="AO1303" s="818"/>
      <c r="AP1303" s="290"/>
      <c r="AQ1303" s="290"/>
      <c r="AR1303" s="818">
        <f t="shared" ref="AR1303:AS1306" si="2564">AR1311+AR1318</f>
        <v>0</v>
      </c>
      <c r="AS1303" s="818">
        <f t="shared" si="2564"/>
        <v>0</v>
      </c>
      <c r="AT1303" s="290"/>
      <c r="AU1303" s="290"/>
      <c r="AV1303" s="818">
        <f t="shared" ref="AV1303:AW1306" si="2565">AV1311+AV1318</f>
        <v>407</v>
      </c>
      <c r="AW1303" s="818">
        <f t="shared" si="2565"/>
        <v>183</v>
      </c>
      <c r="AX1303" s="853"/>
      <c r="AY1303" s="853"/>
      <c r="AZ1303" s="818">
        <f t="shared" ref="AZ1303:BA1306" si="2566">AZ1311+AZ1318</f>
        <v>178</v>
      </c>
      <c r="BA1303" s="818">
        <f t="shared" si="2566"/>
        <v>214</v>
      </c>
      <c r="BB1303" s="853"/>
      <c r="BC1303" s="853"/>
      <c r="BD1303" s="818">
        <f t="shared" ref="BD1303:BE1306" si="2567">BD1311+BD1318</f>
        <v>129</v>
      </c>
      <c r="BE1303" s="818">
        <f t="shared" si="2567"/>
        <v>89</v>
      </c>
      <c r="BF1303" s="853" t="s">
        <v>832</v>
      </c>
      <c r="BG1303" s="853"/>
      <c r="BH1303" s="818">
        <f t="shared" ref="BH1303:BI1306" si="2568">BH1311+BH1318</f>
        <v>555</v>
      </c>
      <c r="BI1303" s="818">
        <f t="shared" si="2568"/>
        <v>679</v>
      </c>
      <c r="BJ1303" s="853"/>
      <c r="BK1303" s="853"/>
      <c r="BL1303" s="818">
        <f>BL1311+BL1318</f>
        <v>591</v>
      </c>
      <c r="BM1303" s="818"/>
      <c r="BN1303" s="818"/>
      <c r="BO1303" s="818"/>
      <c r="BP1303" s="818"/>
      <c r="BQ1303" s="818"/>
      <c r="BR1303" s="853"/>
      <c r="BS1303" s="853"/>
      <c r="BT1303" s="818"/>
      <c r="BU1303" s="818"/>
      <c r="BV1303" s="853"/>
      <c r="BW1303" s="853"/>
      <c r="BX1303" s="818"/>
      <c r="BY1303" s="818"/>
      <c r="BZ1303" s="853"/>
      <c r="CA1303" s="853"/>
      <c r="CB1303" s="818"/>
      <c r="CC1303" s="818"/>
      <c r="CD1303" s="853"/>
      <c r="CE1303" s="862"/>
      <c r="CF1303" s="818"/>
      <c r="CG1303" s="818"/>
      <c r="CH1303" s="853"/>
      <c r="CI1303" s="862"/>
      <c r="CJ1303" s="818"/>
      <c r="CK1303" s="818"/>
      <c r="CL1303" s="853"/>
      <c r="CM1303" s="862"/>
      <c r="CN1303" s="818"/>
      <c r="CO1303" s="818"/>
      <c r="CP1303" s="853"/>
      <c r="CQ1303" s="862"/>
      <c r="CR1303" s="818"/>
      <c r="CS1303" s="818"/>
      <c r="CT1303" s="853"/>
      <c r="CU1303" s="853"/>
      <c r="CV1303" s="853"/>
      <c r="CW1303" s="853"/>
      <c r="CX1303" s="853"/>
      <c r="CY1303" s="853"/>
      <c r="CZ1303" s="853"/>
      <c r="DA1303" s="853"/>
      <c r="DB1303" s="853"/>
      <c r="DC1303" s="853"/>
      <c r="DD1303" s="853"/>
      <c r="DE1303" s="853"/>
      <c r="DF1303" s="853"/>
      <c r="DG1303" s="853"/>
      <c r="DH1303" s="853"/>
      <c r="DI1303" s="853"/>
      <c r="DJ1303" s="853"/>
      <c r="DK1303" s="853"/>
      <c r="DL1303" s="853"/>
      <c r="DM1303" s="853"/>
      <c r="DN1303" s="853"/>
      <c r="DO1303" s="853"/>
      <c r="DP1303" s="853"/>
      <c r="DQ1303" s="853"/>
      <c r="DR1303" s="853"/>
      <c r="DS1303" s="853"/>
      <c r="DT1303" s="853"/>
      <c r="DU1303" s="818"/>
      <c r="DV1303" s="818"/>
      <c r="DW1303" s="818"/>
      <c r="DX1303" s="853"/>
      <c r="DY1303" s="853"/>
      <c r="DZ1303" s="818"/>
      <c r="EA1303" s="818"/>
      <c r="EB1303" s="853"/>
      <c r="EC1303" s="853"/>
      <c r="ED1303" s="818"/>
      <c r="EE1303" s="818"/>
      <c r="EF1303" s="853"/>
      <c r="EG1303" s="853"/>
      <c r="EH1303" s="853"/>
      <c r="EI1303" s="853"/>
      <c r="EJ1303" s="853"/>
      <c r="EK1303" s="853"/>
      <c r="EL1303" s="853"/>
      <c r="EM1303" s="853"/>
      <c r="EN1303" s="853"/>
      <c r="EO1303" s="853"/>
      <c r="EP1303" s="853"/>
      <c r="EQ1303" s="855"/>
      <c r="ER1303" s="855"/>
      <c r="ES1303" s="855"/>
      <c r="ET1303" s="855"/>
      <c r="EU1303" s="855"/>
      <c r="EV1303" s="855"/>
      <c r="EW1303" s="855"/>
      <c r="EX1303" s="855"/>
      <c r="EY1303" s="855"/>
      <c r="EZ1303" s="855"/>
      <c r="FA1303" s="855"/>
      <c r="FB1303" s="855"/>
      <c r="FC1303" s="855"/>
      <c r="FD1303" s="855"/>
      <c r="FE1303" s="855"/>
      <c r="FF1303" s="855"/>
      <c r="FG1303" s="855"/>
      <c r="FH1303" s="855"/>
      <c r="FI1303" s="855"/>
      <c r="FJ1303" s="855"/>
      <c r="FK1303" s="855"/>
      <c r="FL1303" s="855"/>
      <c r="FM1303" s="855"/>
      <c r="FN1303" s="855"/>
      <c r="FO1303" s="855"/>
      <c r="FP1303" s="855"/>
      <c r="FQ1303" s="855"/>
      <c r="FR1303" s="855"/>
      <c r="FS1303" s="855"/>
      <c r="FT1303" s="855"/>
      <c r="FU1303" s="855"/>
      <c r="FV1303" s="855"/>
      <c r="FW1303" s="855"/>
      <c r="FX1303" s="855"/>
      <c r="FY1303" s="855"/>
      <c r="FZ1303" s="855"/>
      <c r="GA1303" s="855"/>
      <c r="GB1303" s="855"/>
      <c r="GC1303" s="855"/>
      <c r="GD1303" s="855"/>
      <c r="GE1303" s="855"/>
      <c r="GF1303" s="855"/>
      <c r="GG1303" s="855"/>
      <c r="GH1303" s="855"/>
      <c r="GI1303" s="855"/>
      <c r="GJ1303" s="855"/>
      <c r="GK1303" s="855"/>
      <c r="GL1303" s="855"/>
      <c r="GM1303" s="855"/>
      <c r="GN1303" s="855"/>
      <c r="GO1303" s="855"/>
      <c r="GP1303" s="855"/>
      <c r="GQ1303" s="855"/>
      <c r="GR1303" s="855"/>
      <c r="GS1303" s="855"/>
      <c r="GT1303" s="855"/>
      <c r="GU1303" s="855"/>
      <c r="GV1303" s="855"/>
      <c r="GW1303" s="855"/>
      <c r="GX1303" s="855"/>
      <c r="GY1303" s="855"/>
      <c r="GZ1303" s="855"/>
      <c r="HA1303" s="855"/>
      <c r="HB1303" s="855"/>
      <c r="HC1303" s="855"/>
      <c r="HD1303" s="855"/>
      <c r="HE1303" s="855"/>
      <c r="HF1303" s="855"/>
      <c r="HG1303" s="855"/>
      <c r="HH1303" s="855"/>
      <c r="HI1303" s="855"/>
      <c r="HJ1303" s="855"/>
      <c r="HK1303" s="855"/>
      <c r="HL1303" s="855"/>
      <c r="HM1303" s="855"/>
      <c r="HN1303" s="855"/>
      <c r="HO1303" s="855"/>
      <c r="HP1303" s="855"/>
      <c r="HQ1303" s="855"/>
      <c r="HR1303" s="855"/>
      <c r="HS1303" s="855"/>
      <c r="HT1303" s="855"/>
      <c r="HU1303" s="855"/>
      <c r="HV1303" s="855"/>
      <c r="HW1303" s="855"/>
      <c r="HX1303" s="855"/>
      <c r="HY1303" s="855"/>
      <c r="HZ1303" s="855"/>
      <c r="IA1303" s="855"/>
      <c r="IB1303" s="855"/>
      <c r="IC1303" s="855"/>
      <c r="ID1303" s="855"/>
      <c r="IE1303" s="855"/>
      <c r="IF1303" s="855"/>
      <c r="IG1303" s="855"/>
      <c r="IH1303" s="855"/>
      <c r="II1303" s="855"/>
      <c r="IJ1303" s="855"/>
      <c r="IK1303" s="855"/>
      <c r="IL1303" s="855"/>
      <c r="IM1303" s="855"/>
      <c r="IN1303" s="855"/>
      <c r="IO1303" s="855"/>
      <c r="IP1303" s="855"/>
      <c r="IQ1303" s="855"/>
      <c r="IR1303" s="855"/>
      <c r="IS1303" s="855"/>
      <c r="IT1303" s="855"/>
      <c r="IU1303" s="855"/>
      <c r="IV1303" s="855"/>
      <c r="IW1303" s="855"/>
      <c r="IX1303" s="855"/>
      <c r="IY1303" s="855"/>
      <c r="IZ1303" s="855"/>
      <c r="JA1303" s="855"/>
      <c r="JB1303" s="855"/>
      <c r="JC1303" s="855"/>
      <c r="JD1303" s="855"/>
      <c r="JE1303" s="855"/>
      <c r="JF1303" s="855"/>
      <c r="JG1303" s="855"/>
      <c r="JH1303" s="855"/>
      <c r="JI1303" s="855"/>
      <c r="JJ1303" s="855"/>
      <c r="JK1303" s="855"/>
      <c r="JL1303" s="855"/>
      <c r="JM1303"/>
    </row>
    <row r="1304" spans="1:273" s="854" customFormat="1" hidden="1" outlineLevel="1">
      <c r="A1304" s="102" t="s">
        <v>668</v>
      </c>
      <c r="B1304" s="103"/>
      <c r="C1304" s="102"/>
      <c r="D1304" s="102"/>
      <c r="E1304" s="102"/>
      <c r="F1304" s="102"/>
      <c r="G1304" s="102"/>
      <c r="H1304" s="102"/>
      <c r="I1304" s="102"/>
      <c r="J1304" s="102"/>
      <c r="K1304" s="102"/>
      <c r="L1304" s="102"/>
      <c r="M1304" s="102"/>
      <c r="N1304" s="102"/>
      <c r="O1304" s="102"/>
      <c r="P1304" s="102"/>
      <c r="Q1304" s="102"/>
      <c r="R1304" s="102"/>
      <c r="S1304" s="102"/>
      <c r="T1304" s="102"/>
      <c r="U1304" s="102"/>
      <c r="V1304" s="102"/>
      <c r="W1304" s="102"/>
      <c r="X1304" s="102"/>
      <c r="Y1304" s="102"/>
      <c r="Z1304" s="102"/>
      <c r="AA1304" s="102"/>
      <c r="AB1304" s="102"/>
      <c r="AC1304" s="102"/>
      <c r="AD1304" s="102"/>
      <c r="AE1304" s="102"/>
      <c r="AF1304" s="102"/>
      <c r="AG1304" s="102"/>
      <c r="AH1304" s="102"/>
      <c r="AI1304" s="102"/>
      <c r="AJ1304" s="102"/>
      <c r="AK1304" s="102"/>
      <c r="AL1304" s="102"/>
      <c r="AM1304" s="102"/>
      <c r="AN1304" s="818"/>
      <c r="AO1304" s="818"/>
      <c r="AP1304" s="290"/>
      <c r="AQ1304" s="290"/>
      <c r="AR1304" s="818">
        <f t="shared" si="2564"/>
        <v>0</v>
      </c>
      <c r="AS1304" s="818">
        <f t="shared" si="2564"/>
        <v>0</v>
      </c>
      <c r="AT1304" s="290"/>
      <c r="AU1304" s="290"/>
      <c r="AV1304" s="818">
        <f t="shared" si="2565"/>
        <v>353</v>
      </c>
      <c r="AW1304" s="818">
        <f t="shared" si="2565"/>
        <v>312</v>
      </c>
      <c r="AX1304" s="853"/>
      <c r="AY1304" s="853"/>
      <c r="AZ1304" s="818">
        <f t="shared" si="2566"/>
        <v>156</v>
      </c>
      <c r="BA1304" s="818">
        <f t="shared" si="2566"/>
        <v>397</v>
      </c>
      <c r="BB1304" s="853"/>
      <c r="BC1304" s="853"/>
      <c r="BD1304" s="818">
        <f t="shared" si="2567"/>
        <v>207</v>
      </c>
      <c r="BE1304" s="818">
        <f t="shared" si="2567"/>
        <v>349</v>
      </c>
      <c r="BF1304" s="853" t="s">
        <v>833</v>
      </c>
      <c r="BG1304" s="853"/>
      <c r="BH1304" s="818">
        <f t="shared" si="2568"/>
        <v>0</v>
      </c>
      <c r="BI1304" s="818">
        <f t="shared" si="2568"/>
        <v>0</v>
      </c>
      <c r="BJ1304" s="853"/>
      <c r="BK1304" s="853"/>
      <c r="BL1304" s="818">
        <f>BL1312+BL1319</f>
        <v>0</v>
      </c>
      <c r="BM1304" s="818"/>
      <c r="BN1304" s="818"/>
      <c r="BO1304" s="818"/>
      <c r="BP1304" s="818"/>
      <c r="BQ1304" s="818"/>
      <c r="BR1304" s="853"/>
      <c r="BS1304" s="853"/>
      <c r="BT1304" s="818"/>
      <c r="BU1304" s="818"/>
      <c r="BV1304" s="853"/>
      <c r="BW1304" s="853"/>
      <c r="BX1304" s="818"/>
      <c r="BY1304" s="818"/>
      <c r="BZ1304" s="853"/>
      <c r="CA1304" s="853"/>
      <c r="CB1304" s="818"/>
      <c r="CC1304" s="818"/>
      <c r="CD1304" s="853"/>
      <c r="CE1304" s="862"/>
      <c r="CF1304" s="818"/>
      <c r="CG1304" s="818"/>
      <c r="CH1304" s="853"/>
      <c r="CI1304" s="862"/>
      <c r="CJ1304" s="818"/>
      <c r="CK1304" s="818"/>
      <c r="CL1304" s="853"/>
      <c r="CM1304" s="862"/>
      <c r="CN1304" s="818"/>
      <c r="CO1304" s="818"/>
      <c r="CP1304" s="853"/>
      <c r="CQ1304" s="862"/>
      <c r="CR1304" s="818"/>
      <c r="CS1304" s="818"/>
      <c r="CT1304" s="853"/>
      <c r="CU1304" s="853"/>
      <c r="CV1304" s="853"/>
      <c r="CW1304" s="853"/>
      <c r="CX1304" s="853"/>
      <c r="CY1304" s="853"/>
      <c r="CZ1304" s="853"/>
      <c r="DA1304" s="853"/>
      <c r="DB1304" s="853"/>
      <c r="DC1304" s="853"/>
      <c r="DD1304" s="853"/>
      <c r="DE1304" s="853"/>
      <c r="DF1304" s="853"/>
      <c r="DG1304" s="853"/>
      <c r="DH1304" s="853"/>
      <c r="DI1304" s="853"/>
      <c r="DJ1304" s="853"/>
      <c r="DK1304" s="853"/>
      <c r="DL1304" s="853"/>
      <c r="DM1304" s="853"/>
      <c r="DN1304" s="853"/>
      <c r="DO1304" s="853"/>
      <c r="DP1304" s="853"/>
      <c r="DQ1304" s="853"/>
      <c r="DR1304" s="853"/>
      <c r="DS1304" s="853"/>
      <c r="DT1304" s="853"/>
      <c r="DU1304" s="818"/>
      <c r="DV1304" s="818"/>
      <c r="DW1304" s="818"/>
      <c r="DX1304" s="853"/>
      <c r="DY1304" s="853"/>
      <c r="DZ1304" s="818"/>
      <c r="EA1304" s="818"/>
      <c r="EB1304" s="853"/>
      <c r="EC1304" s="853"/>
      <c r="ED1304" s="818"/>
      <c r="EE1304" s="818"/>
      <c r="EF1304" s="853"/>
      <c r="EG1304" s="853"/>
      <c r="EH1304" s="853"/>
      <c r="EI1304" s="853"/>
      <c r="EJ1304" s="853"/>
      <c r="EK1304" s="853"/>
      <c r="EL1304" s="853"/>
      <c r="EM1304" s="853"/>
      <c r="EN1304" s="853"/>
      <c r="EO1304" s="853"/>
      <c r="EP1304" s="853"/>
      <c r="EQ1304" s="855"/>
      <c r="ER1304" s="855"/>
      <c r="ES1304" s="855"/>
      <c r="ET1304" s="855"/>
      <c r="EU1304" s="855"/>
      <c r="EV1304" s="855"/>
      <c r="EW1304" s="855"/>
      <c r="EX1304" s="855"/>
      <c r="EY1304" s="855"/>
      <c r="EZ1304" s="855"/>
      <c r="FA1304" s="855"/>
      <c r="FB1304" s="855"/>
      <c r="FC1304" s="855"/>
      <c r="FD1304" s="855"/>
      <c r="FE1304" s="855"/>
      <c r="FF1304" s="855"/>
      <c r="FG1304" s="855"/>
      <c r="FH1304" s="855"/>
      <c r="FI1304" s="855"/>
      <c r="FJ1304" s="855"/>
      <c r="FK1304" s="855"/>
      <c r="FL1304" s="855"/>
      <c r="FM1304" s="855"/>
      <c r="FN1304" s="855"/>
      <c r="FO1304" s="855"/>
      <c r="FP1304" s="855"/>
      <c r="FQ1304" s="855"/>
      <c r="FR1304" s="855"/>
      <c r="FS1304" s="855"/>
      <c r="FT1304" s="855"/>
      <c r="FU1304" s="855"/>
      <c r="FV1304" s="855"/>
      <c r="FW1304" s="855"/>
      <c r="FX1304" s="855"/>
      <c r="FY1304" s="855"/>
      <c r="FZ1304" s="855"/>
      <c r="GA1304" s="855"/>
      <c r="GB1304" s="855"/>
      <c r="GC1304" s="855"/>
      <c r="GD1304" s="855"/>
      <c r="GE1304" s="855"/>
      <c r="GF1304" s="855"/>
      <c r="GG1304" s="855"/>
      <c r="GH1304" s="855"/>
      <c r="GI1304" s="855"/>
      <c r="GJ1304" s="855"/>
      <c r="GK1304" s="855"/>
      <c r="GL1304" s="855"/>
      <c r="GM1304" s="855"/>
      <c r="GN1304" s="855"/>
      <c r="GO1304" s="855"/>
      <c r="GP1304" s="855"/>
      <c r="GQ1304" s="855"/>
      <c r="GR1304" s="855"/>
      <c r="GS1304" s="855"/>
      <c r="GT1304" s="855"/>
      <c r="GU1304" s="855"/>
      <c r="GV1304" s="855"/>
      <c r="GW1304" s="855"/>
      <c r="GX1304" s="855"/>
      <c r="GY1304" s="855"/>
      <c r="GZ1304" s="855"/>
      <c r="HA1304" s="855"/>
      <c r="HB1304" s="855"/>
      <c r="HC1304" s="855"/>
      <c r="HD1304" s="855"/>
      <c r="HE1304" s="855"/>
      <c r="HF1304" s="855"/>
      <c r="HG1304" s="855"/>
      <c r="HH1304" s="855"/>
      <c r="HI1304" s="855"/>
      <c r="HJ1304" s="855"/>
      <c r="HK1304" s="855"/>
      <c r="HL1304" s="855"/>
      <c r="HM1304" s="855"/>
      <c r="HN1304" s="855"/>
      <c r="HO1304" s="855"/>
      <c r="HP1304" s="855"/>
      <c r="HQ1304" s="855"/>
      <c r="HR1304" s="855"/>
      <c r="HS1304" s="855"/>
      <c r="HT1304" s="855"/>
      <c r="HU1304" s="855"/>
      <c r="HV1304" s="855"/>
      <c r="HW1304" s="855"/>
      <c r="HX1304" s="855"/>
      <c r="HY1304" s="855"/>
      <c r="HZ1304" s="855"/>
      <c r="IA1304" s="855"/>
      <c r="IB1304" s="855"/>
      <c r="IC1304" s="855"/>
      <c r="ID1304" s="855"/>
      <c r="IE1304" s="855"/>
      <c r="IF1304" s="855"/>
      <c r="IG1304" s="855"/>
      <c r="IH1304" s="855"/>
      <c r="II1304" s="855"/>
      <c r="IJ1304" s="855"/>
      <c r="IK1304" s="855"/>
      <c r="IL1304" s="855"/>
      <c r="IM1304" s="855"/>
      <c r="IN1304" s="855"/>
      <c r="IO1304" s="855"/>
      <c r="IP1304" s="855"/>
      <c r="IQ1304" s="855"/>
      <c r="IR1304" s="855"/>
      <c r="IS1304" s="855"/>
      <c r="IT1304" s="855"/>
      <c r="IU1304" s="855"/>
      <c r="IV1304" s="855"/>
      <c r="IW1304" s="855"/>
      <c r="IX1304" s="855"/>
      <c r="IY1304" s="855"/>
      <c r="IZ1304" s="855"/>
      <c r="JA1304" s="855"/>
      <c r="JB1304" s="855"/>
      <c r="JC1304" s="855"/>
      <c r="JD1304" s="855"/>
      <c r="JE1304" s="855"/>
      <c r="JF1304" s="855"/>
      <c r="JG1304" s="855"/>
      <c r="JH1304" s="855"/>
      <c r="JI1304" s="855"/>
      <c r="JJ1304" s="855"/>
      <c r="JK1304" s="855"/>
      <c r="JL1304" s="855"/>
      <c r="JM1304"/>
    </row>
    <row r="1305" spans="1:273" s="854" customFormat="1" hidden="1" outlineLevel="1">
      <c r="A1305" s="102" t="s">
        <v>669</v>
      </c>
      <c r="B1305" s="103"/>
      <c r="C1305" s="102"/>
      <c r="D1305" s="102"/>
      <c r="E1305" s="102"/>
      <c r="F1305" s="102"/>
      <c r="G1305" s="102"/>
      <c r="H1305" s="102"/>
      <c r="I1305" s="102"/>
      <c r="J1305" s="102"/>
      <c r="K1305" s="102"/>
      <c r="L1305" s="102"/>
      <c r="M1305" s="102"/>
      <c r="N1305" s="102"/>
      <c r="O1305" s="102"/>
      <c r="P1305" s="102"/>
      <c r="Q1305" s="102"/>
      <c r="R1305" s="102"/>
      <c r="S1305" s="102"/>
      <c r="T1305" s="102"/>
      <c r="U1305" s="102"/>
      <c r="V1305" s="102"/>
      <c r="W1305" s="102"/>
      <c r="X1305" s="102"/>
      <c r="Y1305" s="102"/>
      <c r="Z1305" s="102"/>
      <c r="AA1305" s="102"/>
      <c r="AB1305" s="102"/>
      <c r="AC1305" s="102"/>
      <c r="AD1305" s="102"/>
      <c r="AE1305" s="102"/>
      <c r="AF1305" s="102"/>
      <c r="AG1305" s="102"/>
      <c r="AH1305" s="102"/>
      <c r="AI1305" s="102"/>
      <c r="AJ1305" s="102"/>
      <c r="AK1305" s="102"/>
      <c r="AL1305" s="102"/>
      <c r="AM1305" s="102"/>
      <c r="AN1305" s="818"/>
      <c r="AO1305" s="818"/>
      <c r="AP1305" s="290"/>
      <c r="AQ1305" s="290"/>
      <c r="AR1305" s="818">
        <f t="shared" si="2564"/>
        <v>0</v>
      </c>
      <c r="AS1305" s="818">
        <f t="shared" si="2564"/>
        <v>0</v>
      </c>
      <c r="AT1305" s="290"/>
      <c r="AU1305" s="290"/>
      <c r="AV1305" s="818">
        <f t="shared" si="2565"/>
        <v>108</v>
      </c>
      <c r="AW1305" s="818">
        <f t="shared" si="2565"/>
        <v>37</v>
      </c>
      <c r="AX1305" s="853"/>
      <c r="AY1305" s="853"/>
      <c r="AZ1305" s="818">
        <f t="shared" si="2566"/>
        <v>83</v>
      </c>
      <c r="BA1305" s="818">
        <f t="shared" si="2566"/>
        <v>109</v>
      </c>
      <c r="BB1305" s="853"/>
      <c r="BC1305" s="853"/>
      <c r="BD1305" s="818">
        <f t="shared" si="2567"/>
        <v>119</v>
      </c>
      <c r="BE1305" s="818">
        <f t="shared" si="2567"/>
        <v>166</v>
      </c>
      <c r="BF1305" s="853" t="s">
        <v>834</v>
      </c>
      <c r="BG1305" s="853"/>
      <c r="BH1305" s="818">
        <f t="shared" si="2568"/>
        <v>0</v>
      </c>
      <c r="BI1305" s="818">
        <f t="shared" si="2568"/>
        <v>0</v>
      </c>
      <c r="BJ1305" s="853"/>
      <c r="BK1305" s="853"/>
      <c r="BL1305" s="818">
        <f>BL1313+BL1320</f>
        <v>0</v>
      </c>
      <c r="BM1305" s="818"/>
      <c r="BN1305" s="818"/>
      <c r="BO1305" s="818"/>
      <c r="BP1305" s="818"/>
      <c r="BQ1305" s="818"/>
      <c r="BR1305" s="853"/>
      <c r="BS1305" s="853"/>
      <c r="BT1305" s="818"/>
      <c r="BU1305" s="818"/>
      <c r="BV1305" s="853"/>
      <c r="BW1305" s="853"/>
      <c r="BX1305" s="818"/>
      <c r="BY1305" s="818"/>
      <c r="BZ1305" s="853"/>
      <c r="CA1305" s="853"/>
      <c r="CB1305" s="818"/>
      <c r="CC1305" s="818"/>
      <c r="CD1305" s="853"/>
      <c r="CE1305" s="862"/>
      <c r="CF1305" s="818"/>
      <c r="CG1305" s="818"/>
      <c r="CH1305" s="853"/>
      <c r="CI1305" s="862"/>
      <c r="CJ1305" s="818"/>
      <c r="CK1305" s="818"/>
      <c r="CL1305" s="853"/>
      <c r="CM1305" s="862"/>
      <c r="CN1305" s="818"/>
      <c r="CO1305" s="818"/>
      <c r="CP1305" s="853"/>
      <c r="CQ1305" s="862"/>
      <c r="CR1305" s="818"/>
      <c r="CS1305" s="818"/>
      <c r="CT1305" s="853"/>
      <c r="CU1305" s="853"/>
      <c r="CV1305" s="853"/>
      <c r="CW1305" s="853"/>
      <c r="CX1305" s="853"/>
      <c r="CY1305" s="853"/>
      <c r="CZ1305" s="853"/>
      <c r="DA1305" s="853"/>
      <c r="DB1305" s="853"/>
      <c r="DC1305" s="853"/>
      <c r="DD1305" s="853"/>
      <c r="DE1305" s="853"/>
      <c r="DF1305" s="853"/>
      <c r="DG1305" s="853"/>
      <c r="DH1305" s="853"/>
      <c r="DI1305" s="853"/>
      <c r="DJ1305" s="853"/>
      <c r="DK1305" s="853"/>
      <c r="DL1305" s="853"/>
      <c r="DM1305" s="853"/>
      <c r="DN1305" s="853"/>
      <c r="DO1305" s="853"/>
      <c r="DP1305" s="853"/>
      <c r="DQ1305" s="853"/>
      <c r="DR1305" s="853"/>
      <c r="DS1305" s="853"/>
      <c r="DT1305" s="853"/>
      <c r="DU1305" s="818"/>
      <c r="DV1305" s="818"/>
      <c r="DW1305" s="818"/>
      <c r="DX1305" s="853"/>
      <c r="DY1305" s="853"/>
      <c r="DZ1305" s="818"/>
      <c r="EA1305" s="818"/>
      <c r="EB1305" s="853"/>
      <c r="EC1305" s="853"/>
      <c r="ED1305" s="818"/>
      <c r="EE1305" s="818"/>
      <c r="EF1305" s="853"/>
      <c r="EG1305" s="853"/>
      <c r="EH1305" s="853"/>
      <c r="EI1305" s="853"/>
      <c r="EJ1305" s="853"/>
      <c r="EK1305" s="853"/>
      <c r="EL1305" s="853"/>
      <c r="EM1305" s="853"/>
      <c r="EN1305" s="853"/>
      <c r="EO1305" s="853"/>
      <c r="EP1305" s="853"/>
      <c r="EQ1305" s="855"/>
      <c r="ER1305" s="855"/>
      <c r="ES1305" s="855"/>
      <c r="ET1305" s="855"/>
      <c r="EU1305" s="855"/>
      <c r="EV1305" s="855"/>
      <c r="EW1305" s="855"/>
      <c r="EX1305" s="855"/>
      <c r="EY1305" s="855"/>
      <c r="EZ1305" s="855"/>
      <c r="FA1305" s="855"/>
      <c r="FB1305" s="855"/>
      <c r="FC1305" s="855"/>
      <c r="FD1305" s="855"/>
      <c r="FE1305" s="855"/>
      <c r="FF1305" s="855"/>
      <c r="FG1305" s="855"/>
      <c r="FH1305" s="855"/>
      <c r="FI1305" s="855"/>
      <c r="FJ1305" s="855"/>
      <c r="FK1305" s="855"/>
      <c r="FL1305" s="855"/>
      <c r="FM1305" s="855"/>
      <c r="FN1305" s="855"/>
      <c r="FO1305" s="855"/>
      <c r="FP1305" s="855"/>
      <c r="FQ1305" s="855"/>
      <c r="FR1305" s="855"/>
      <c r="FS1305" s="855"/>
      <c r="FT1305" s="855"/>
      <c r="FU1305" s="855"/>
      <c r="FV1305" s="855"/>
      <c r="FW1305" s="855"/>
      <c r="FX1305" s="855"/>
      <c r="FY1305" s="855"/>
      <c r="FZ1305" s="855"/>
      <c r="GA1305" s="855"/>
      <c r="GB1305" s="855"/>
      <c r="GC1305" s="855"/>
      <c r="GD1305" s="855"/>
      <c r="GE1305" s="855"/>
      <c r="GF1305" s="855"/>
      <c r="GG1305" s="855"/>
      <c r="GH1305" s="855"/>
      <c r="GI1305" s="855"/>
      <c r="GJ1305" s="855"/>
      <c r="GK1305" s="855"/>
      <c r="GL1305" s="855"/>
      <c r="GM1305" s="855"/>
      <c r="GN1305" s="855"/>
      <c r="GO1305" s="855"/>
      <c r="GP1305" s="855"/>
      <c r="GQ1305" s="855"/>
      <c r="GR1305" s="855"/>
      <c r="GS1305" s="855"/>
      <c r="GT1305" s="855"/>
      <c r="GU1305" s="855"/>
      <c r="GV1305" s="855"/>
      <c r="GW1305" s="855"/>
      <c r="GX1305" s="855"/>
      <c r="GY1305" s="855"/>
      <c r="GZ1305" s="855"/>
      <c r="HA1305" s="855"/>
      <c r="HB1305" s="855"/>
      <c r="HC1305" s="855"/>
      <c r="HD1305" s="855"/>
      <c r="HE1305" s="855"/>
      <c r="HF1305" s="855"/>
      <c r="HG1305" s="855"/>
      <c r="HH1305" s="855"/>
      <c r="HI1305" s="855"/>
      <c r="HJ1305" s="855"/>
      <c r="HK1305" s="855"/>
      <c r="HL1305" s="855"/>
      <c r="HM1305" s="855"/>
      <c r="HN1305" s="855"/>
      <c r="HO1305" s="855"/>
      <c r="HP1305" s="855"/>
      <c r="HQ1305" s="855"/>
      <c r="HR1305" s="855"/>
      <c r="HS1305" s="855"/>
      <c r="HT1305" s="855"/>
      <c r="HU1305" s="855"/>
      <c r="HV1305" s="855"/>
      <c r="HW1305" s="855"/>
      <c r="HX1305" s="855"/>
      <c r="HY1305" s="855"/>
      <c r="HZ1305" s="855"/>
      <c r="IA1305" s="855"/>
      <c r="IB1305" s="855"/>
      <c r="IC1305" s="855"/>
      <c r="ID1305" s="855"/>
      <c r="IE1305" s="855"/>
      <c r="IF1305" s="855"/>
      <c r="IG1305" s="855"/>
      <c r="IH1305" s="855"/>
      <c r="II1305" s="855"/>
      <c r="IJ1305" s="855"/>
      <c r="IK1305" s="855"/>
      <c r="IL1305" s="855"/>
      <c r="IM1305" s="855"/>
      <c r="IN1305" s="855"/>
      <c r="IO1305" s="855"/>
      <c r="IP1305" s="855"/>
      <c r="IQ1305" s="855"/>
      <c r="IR1305" s="855"/>
      <c r="IS1305" s="855"/>
      <c r="IT1305" s="855"/>
      <c r="IU1305" s="855"/>
      <c r="IV1305" s="855"/>
      <c r="IW1305" s="855"/>
      <c r="IX1305" s="855"/>
      <c r="IY1305" s="855"/>
      <c r="IZ1305" s="855"/>
      <c r="JA1305" s="855"/>
      <c r="JB1305" s="855"/>
      <c r="JC1305" s="855"/>
      <c r="JD1305" s="855"/>
      <c r="JE1305" s="855"/>
      <c r="JF1305" s="855"/>
      <c r="JG1305" s="855"/>
      <c r="JH1305" s="855"/>
      <c r="JI1305" s="855"/>
      <c r="JJ1305" s="855"/>
      <c r="JK1305" s="855"/>
      <c r="JL1305" s="855"/>
      <c r="JM1305"/>
    </row>
    <row r="1306" spans="1:273" s="854" customFormat="1" hidden="1" outlineLevel="1">
      <c r="A1306" s="102" t="s">
        <v>670</v>
      </c>
      <c r="B1306" s="103"/>
      <c r="C1306" s="102"/>
      <c r="D1306" s="102"/>
      <c r="E1306" s="102"/>
      <c r="F1306" s="102"/>
      <c r="G1306" s="102"/>
      <c r="H1306" s="102"/>
      <c r="I1306" s="102"/>
      <c r="J1306" s="102"/>
      <c r="K1306" s="102"/>
      <c r="L1306" s="102"/>
      <c r="M1306" s="102"/>
      <c r="N1306" s="102"/>
      <c r="O1306" s="102"/>
      <c r="P1306" s="102"/>
      <c r="Q1306" s="102"/>
      <c r="R1306" s="102"/>
      <c r="S1306" s="102"/>
      <c r="T1306" s="102"/>
      <c r="U1306" s="102"/>
      <c r="V1306" s="102"/>
      <c r="W1306" s="102"/>
      <c r="X1306" s="102"/>
      <c r="Y1306" s="102"/>
      <c r="Z1306" s="102"/>
      <c r="AA1306" s="102"/>
      <c r="AB1306" s="102"/>
      <c r="AC1306" s="102"/>
      <c r="AD1306" s="102"/>
      <c r="AE1306" s="102"/>
      <c r="AF1306" s="102"/>
      <c r="AG1306" s="102"/>
      <c r="AH1306" s="102"/>
      <c r="AI1306" s="102"/>
      <c r="AJ1306" s="102"/>
      <c r="AK1306" s="102"/>
      <c r="AL1306" s="102"/>
      <c r="AM1306" s="102"/>
      <c r="AN1306" s="818"/>
      <c r="AO1306" s="818"/>
      <c r="AP1306" s="290"/>
      <c r="AQ1306" s="290"/>
      <c r="AR1306" s="818">
        <f t="shared" si="2564"/>
        <v>0</v>
      </c>
      <c r="AS1306" s="818">
        <f t="shared" si="2564"/>
        <v>0</v>
      </c>
      <c r="AT1306" s="290"/>
      <c r="AU1306" s="290"/>
      <c r="AV1306" s="818">
        <f t="shared" si="2565"/>
        <v>-190</v>
      </c>
      <c r="AW1306" s="818">
        <f t="shared" si="2565"/>
        <v>206</v>
      </c>
      <c r="AX1306" s="853"/>
      <c r="AY1306" s="853"/>
      <c r="AZ1306" s="818">
        <f t="shared" si="2566"/>
        <v>193</v>
      </c>
      <c r="BA1306" s="818">
        <f t="shared" si="2566"/>
        <v>83</v>
      </c>
      <c r="BB1306" s="853"/>
      <c r="BC1306" s="853"/>
      <c r="BD1306" s="818">
        <f t="shared" si="2567"/>
        <v>-78</v>
      </c>
      <c r="BE1306" s="818">
        <f t="shared" si="2567"/>
        <v>75</v>
      </c>
      <c r="BF1306" s="853" t="s">
        <v>833</v>
      </c>
      <c r="BG1306" s="853"/>
      <c r="BH1306" s="818">
        <f t="shared" si="2568"/>
        <v>0</v>
      </c>
      <c r="BI1306" s="818">
        <f t="shared" si="2568"/>
        <v>0</v>
      </c>
      <c r="BJ1306" s="853"/>
      <c r="BK1306" s="853"/>
      <c r="BL1306" s="818">
        <f>BL1314+BL1321</f>
        <v>0</v>
      </c>
      <c r="BM1306" s="818"/>
      <c r="BN1306" s="818"/>
      <c r="BO1306" s="818"/>
      <c r="BP1306" s="818"/>
      <c r="BQ1306" s="818"/>
      <c r="BR1306" s="853"/>
      <c r="BS1306" s="853"/>
      <c r="BT1306" s="818"/>
      <c r="BU1306" s="818"/>
      <c r="BV1306" s="853"/>
      <c r="BW1306" s="853"/>
      <c r="BX1306" s="818"/>
      <c r="BY1306" s="818"/>
      <c r="BZ1306" s="853"/>
      <c r="CA1306" s="853"/>
      <c r="CB1306" s="818"/>
      <c r="CC1306" s="818"/>
      <c r="CD1306" s="853"/>
      <c r="CE1306" s="862"/>
      <c r="CF1306" s="818"/>
      <c r="CG1306" s="818"/>
      <c r="CH1306" s="853"/>
      <c r="CI1306" s="862"/>
      <c r="CJ1306" s="818"/>
      <c r="CK1306" s="818"/>
      <c r="CL1306" s="853"/>
      <c r="CM1306" s="862"/>
      <c r="CN1306" s="818"/>
      <c r="CO1306" s="818"/>
      <c r="CP1306" s="853"/>
      <c r="CQ1306" s="862"/>
      <c r="CR1306" s="818"/>
      <c r="CS1306" s="818"/>
      <c r="CT1306" s="853"/>
      <c r="CU1306" s="853"/>
      <c r="CV1306" s="853"/>
      <c r="CW1306" s="853"/>
      <c r="CX1306" s="853"/>
      <c r="CY1306" s="853"/>
      <c r="CZ1306" s="853"/>
      <c r="DA1306" s="853"/>
      <c r="DB1306" s="853"/>
      <c r="DC1306" s="853"/>
      <c r="DD1306" s="853"/>
      <c r="DE1306" s="853"/>
      <c r="DF1306" s="853"/>
      <c r="DG1306" s="853"/>
      <c r="DH1306" s="853"/>
      <c r="DI1306" s="853"/>
      <c r="DJ1306" s="853"/>
      <c r="DK1306" s="853"/>
      <c r="DL1306" s="853"/>
      <c r="DM1306" s="853"/>
      <c r="DN1306" s="853"/>
      <c r="DO1306" s="853"/>
      <c r="DP1306" s="853"/>
      <c r="DQ1306" s="853"/>
      <c r="DR1306" s="853"/>
      <c r="DS1306" s="853"/>
      <c r="DT1306" s="853"/>
      <c r="DU1306" s="818"/>
      <c r="DV1306" s="818"/>
      <c r="DW1306" s="818"/>
      <c r="DX1306" s="853"/>
      <c r="DY1306" s="853"/>
      <c r="DZ1306" s="818"/>
      <c r="EA1306" s="818"/>
      <c r="EB1306" s="853"/>
      <c r="EC1306" s="853"/>
      <c r="ED1306" s="818"/>
      <c r="EE1306" s="818"/>
      <c r="EF1306" s="853"/>
      <c r="EG1306" s="853"/>
      <c r="EH1306" s="853"/>
      <c r="EI1306" s="853"/>
      <c r="EJ1306" s="853"/>
      <c r="EK1306" s="853"/>
      <c r="EL1306" s="853"/>
      <c r="EM1306" s="853"/>
      <c r="EN1306" s="853"/>
      <c r="EO1306" s="853"/>
      <c r="EP1306" s="853"/>
      <c r="EQ1306" s="855"/>
      <c r="ER1306" s="855"/>
      <c r="ES1306" s="855"/>
      <c r="ET1306" s="855"/>
      <c r="EU1306" s="855"/>
      <c r="EV1306" s="855"/>
      <c r="EW1306" s="855"/>
      <c r="EX1306" s="855"/>
      <c r="EY1306" s="855"/>
      <c r="EZ1306" s="855"/>
      <c r="FA1306" s="855"/>
      <c r="FB1306" s="855"/>
      <c r="FC1306" s="855"/>
      <c r="FD1306" s="855"/>
      <c r="FE1306" s="855"/>
      <c r="FF1306" s="855"/>
      <c r="FG1306" s="855"/>
      <c r="FH1306" s="855"/>
      <c r="FI1306" s="855"/>
      <c r="FJ1306" s="855"/>
      <c r="FK1306" s="855"/>
      <c r="FL1306" s="855"/>
      <c r="FM1306" s="855"/>
      <c r="FN1306" s="855"/>
      <c r="FO1306" s="855"/>
      <c r="FP1306" s="855"/>
      <c r="FQ1306" s="855"/>
      <c r="FR1306" s="855"/>
      <c r="FS1306" s="855"/>
      <c r="FT1306" s="855"/>
      <c r="FU1306" s="855"/>
      <c r="FV1306" s="855"/>
      <c r="FW1306" s="855"/>
      <c r="FX1306" s="855"/>
      <c r="FY1306" s="855"/>
      <c r="FZ1306" s="855"/>
      <c r="GA1306" s="855"/>
      <c r="GB1306" s="855"/>
      <c r="GC1306" s="855"/>
      <c r="GD1306" s="855"/>
      <c r="GE1306" s="855"/>
      <c r="GF1306" s="855"/>
      <c r="GG1306" s="855"/>
      <c r="GH1306" s="855"/>
      <c r="GI1306" s="855"/>
      <c r="GJ1306" s="855"/>
      <c r="GK1306" s="855"/>
      <c r="GL1306" s="855"/>
      <c r="GM1306" s="855"/>
      <c r="GN1306" s="855"/>
      <c r="GO1306" s="855"/>
      <c r="GP1306" s="855"/>
      <c r="GQ1306" s="855"/>
      <c r="GR1306" s="855"/>
      <c r="GS1306" s="855"/>
      <c r="GT1306" s="855"/>
      <c r="GU1306" s="855"/>
      <c r="GV1306" s="855"/>
      <c r="GW1306" s="855"/>
      <c r="GX1306" s="855"/>
      <c r="GY1306" s="855"/>
      <c r="GZ1306" s="855"/>
      <c r="HA1306" s="855"/>
      <c r="HB1306" s="855"/>
      <c r="HC1306" s="855"/>
      <c r="HD1306" s="855"/>
      <c r="HE1306" s="855"/>
      <c r="HF1306" s="855"/>
      <c r="HG1306" s="855"/>
      <c r="HH1306" s="855"/>
      <c r="HI1306" s="855"/>
      <c r="HJ1306" s="855"/>
      <c r="HK1306" s="855"/>
      <c r="HL1306" s="855"/>
      <c r="HM1306" s="855"/>
      <c r="HN1306" s="855"/>
      <c r="HO1306" s="855"/>
      <c r="HP1306" s="855"/>
      <c r="HQ1306" s="855"/>
      <c r="HR1306" s="855"/>
      <c r="HS1306" s="855"/>
      <c r="HT1306" s="855"/>
      <c r="HU1306" s="855"/>
      <c r="HV1306" s="855"/>
      <c r="HW1306" s="855"/>
      <c r="HX1306" s="855"/>
      <c r="HY1306" s="855"/>
      <c r="HZ1306" s="855"/>
      <c r="IA1306" s="855"/>
      <c r="IB1306" s="855"/>
      <c r="IC1306" s="855"/>
      <c r="ID1306" s="855"/>
      <c r="IE1306" s="855"/>
      <c r="IF1306" s="855"/>
      <c r="IG1306" s="855"/>
      <c r="IH1306" s="855"/>
      <c r="II1306" s="855"/>
      <c r="IJ1306" s="855"/>
      <c r="IK1306" s="855"/>
      <c r="IL1306" s="855"/>
      <c r="IM1306" s="855"/>
      <c r="IN1306" s="855"/>
      <c r="IO1306" s="855"/>
      <c r="IP1306" s="855"/>
      <c r="IQ1306" s="855"/>
      <c r="IR1306" s="855"/>
      <c r="IS1306" s="855"/>
      <c r="IT1306" s="855"/>
      <c r="IU1306" s="855"/>
      <c r="IV1306" s="855"/>
      <c r="IW1306" s="855"/>
      <c r="IX1306" s="855"/>
      <c r="IY1306" s="855"/>
      <c r="IZ1306" s="855"/>
      <c r="JA1306" s="855"/>
      <c r="JB1306" s="855"/>
      <c r="JC1306" s="855"/>
      <c r="JD1306" s="855"/>
      <c r="JE1306" s="855"/>
      <c r="JF1306" s="855"/>
      <c r="JG1306" s="855"/>
      <c r="JH1306" s="855"/>
      <c r="JI1306" s="855"/>
      <c r="JJ1306" s="855"/>
      <c r="JK1306" s="855"/>
      <c r="JL1306" s="855"/>
      <c r="JM1306"/>
    </row>
    <row r="1307" spans="1:273" s="858" customFormat="1" hidden="1" outlineLevel="1">
      <c r="A1307" s="302" t="s">
        <v>716</v>
      </c>
      <c r="B1307" s="304"/>
      <c r="C1307" s="302"/>
      <c r="D1307" s="302"/>
      <c r="E1307" s="302"/>
      <c r="F1307" s="302"/>
      <c r="G1307" s="302"/>
      <c r="H1307" s="302"/>
      <c r="I1307" s="302"/>
      <c r="J1307" s="302"/>
      <c r="K1307" s="302"/>
      <c r="L1307" s="302"/>
      <c r="M1307" s="302"/>
      <c r="N1307" s="302"/>
      <c r="O1307" s="302"/>
      <c r="P1307" s="302"/>
      <c r="Q1307" s="302"/>
      <c r="R1307" s="302"/>
      <c r="S1307" s="302"/>
      <c r="T1307" s="302"/>
      <c r="U1307" s="302"/>
      <c r="V1307" s="302"/>
      <c r="W1307" s="302"/>
      <c r="X1307" s="302"/>
      <c r="Y1307" s="302"/>
      <c r="Z1307" s="302"/>
      <c r="AA1307" s="302"/>
      <c r="AB1307" s="302"/>
      <c r="AC1307" s="302"/>
      <c r="AD1307" s="302"/>
      <c r="AE1307" s="302"/>
      <c r="AF1307" s="302"/>
      <c r="AG1307" s="302"/>
      <c r="AH1307" s="302"/>
      <c r="AI1307" s="302"/>
      <c r="AJ1307" s="302"/>
      <c r="AK1307" s="302"/>
      <c r="AL1307" s="302"/>
      <c r="AM1307" s="302"/>
      <c r="AN1307" s="929"/>
      <c r="AO1307" s="929"/>
      <c r="AP1307" s="298"/>
      <c r="AQ1307" s="298"/>
      <c r="AR1307" s="929"/>
      <c r="AS1307" s="929"/>
      <c r="AT1307" s="298"/>
      <c r="AU1307" s="298"/>
      <c r="AV1307" s="973">
        <v>45</v>
      </c>
      <c r="AW1307" s="973">
        <v>72</v>
      </c>
      <c r="AX1307" s="857"/>
      <c r="AY1307" s="857"/>
      <c r="AZ1307" s="973">
        <v>4</v>
      </c>
      <c r="BA1307" s="973">
        <v>41</v>
      </c>
      <c r="BB1307" s="857"/>
      <c r="BC1307" s="857"/>
      <c r="BD1307" s="973">
        <v>3</v>
      </c>
      <c r="BE1307" s="973">
        <v>18</v>
      </c>
      <c r="BF1307" s="857"/>
      <c r="BG1307" s="857"/>
      <c r="BH1307" s="973">
        <v>0</v>
      </c>
      <c r="BI1307" s="973">
        <v>0</v>
      </c>
      <c r="BJ1307" s="857"/>
      <c r="BK1307" s="857"/>
      <c r="BL1307" s="973">
        <v>0</v>
      </c>
      <c r="BM1307" s="859"/>
      <c r="BN1307" s="859"/>
      <c r="BO1307" s="859"/>
      <c r="BP1307" s="859"/>
      <c r="BQ1307" s="859"/>
      <c r="BR1307" s="857"/>
      <c r="BS1307" s="857"/>
      <c r="BT1307" s="859"/>
      <c r="BU1307" s="859"/>
      <c r="BV1307" s="857"/>
      <c r="BW1307" s="857"/>
      <c r="BX1307" s="859"/>
      <c r="BY1307" s="859"/>
      <c r="BZ1307" s="857"/>
      <c r="CA1307" s="857"/>
      <c r="CB1307" s="859"/>
      <c r="CC1307" s="859"/>
      <c r="CD1307" s="857"/>
      <c r="CE1307" s="931"/>
      <c r="CF1307" s="859"/>
      <c r="CG1307" s="859"/>
      <c r="CH1307" s="857"/>
      <c r="CI1307" s="931"/>
      <c r="CJ1307" s="859"/>
      <c r="CK1307" s="859"/>
      <c r="CL1307" s="857"/>
      <c r="CM1307" s="931"/>
      <c r="CN1307" s="859"/>
      <c r="CO1307" s="859"/>
      <c r="CP1307" s="857"/>
      <c r="CQ1307" s="931"/>
      <c r="CR1307" s="859"/>
      <c r="CS1307" s="859"/>
      <c r="CT1307" s="857"/>
      <c r="CU1307" s="857"/>
      <c r="CV1307" s="857"/>
      <c r="CW1307" s="857"/>
      <c r="CX1307" s="857"/>
      <c r="CY1307" s="857"/>
      <c r="CZ1307" s="857"/>
      <c r="DA1307" s="857"/>
      <c r="DB1307" s="857"/>
      <c r="DC1307" s="857"/>
      <c r="DD1307" s="857"/>
      <c r="DE1307" s="857"/>
      <c r="DF1307" s="857"/>
      <c r="DG1307" s="857"/>
      <c r="DH1307" s="857"/>
      <c r="DI1307" s="857"/>
      <c r="DJ1307" s="857"/>
      <c r="DK1307" s="857"/>
      <c r="DL1307" s="857"/>
      <c r="DM1307" s="857"/>
      <c r="DN1307" s="857"/>
      <c r="DO1307" s="857"/>
      <c r="DP1307" s="857"/>
      <c r="DQ1307" s="857"/>
      <c r="DR1307" s="857"/>
      <c r="DS1307" s="857"/>
      <c r="DT1307" s="857"/>
      <c r="DU1307" s="859"/>
      <c r="DV1307" s="859"/>
      <c r="DW1307" s="859"/>
      <c r="DX1307" s="857"/>
      <c r="DY1307" s="857"/>
      <c r="DZ1307" s="859"/>
      <c r="EA1307" s="859"/>
      <c r="EB1307" s="857"/>
      <c r="EC1307" s="857"/>
      <c r="ED1307" s="859"/>
      <c r="EE1307" s="859"/>
      <c r="EF1307" s="857"/>
      <c r="EG1307" s="857"/>
      <c r="EH1307" s="857"/>
      <c r="EI1307" s="857"/>
      <c r="EJ1307" s="857"/>
      <c r="EK1307" s="857"/>
      <c r="EL1307" s="857"/>
      <c r="EM1307" s="857"/>
      <c r="EN1307" s="857"/>
      <c r="EO1307" s="857"/>
      <c r="EP1307" s="857"/>
      <c r="EQ1307" s="860"/>
      <c r="ER1307" s="860"/>
      <c r="ES1307" s="860"/>
      <c r="ET1307" s="860"/>
      <c r="EU1307" s="860"/>
      <c r="EV1307" s="860"/>
      <c r="EW1307" s="860"/>
      <c r="EX1307" s="860"/>
      <c r="EY1307" s="860"/>
      <c r="EZ1307" s="860"/>
      <c r="FA1307" s="860"/>
      <c r="FB1307" s="860"/>
      <c r="FC1307" s="860"/>
      <c r="FD1307" s="860"/>
      <c r="FE1307" s="860"/>
      <c r="FF1307" s="860"/>
      <c r="FG1307" s="860"/>
      <c r="FH1307" s="860"/>
      <c r="FI1307" s="860"/>
      <c r="FJ1307" s="860"/>
      <c r="FK1307" s="860"/>
      <c r="FL1307" s="855"/>
      <c r="FM1307" s="855"/>
      <c r="FN1307" s="855"/>
      <c r="FO1307" s="855"/>
      <c r="FP1307" s="855"/>
      <c r="FQ1307" s="855"/>
      <c r="FR1307" s="855"/>
      <c r="FS1307" s="855"/>
      <c r="FT1307" s="855"/>
      <c r="FU1307" s="855"/>
      <c r="FV1307" s="855"/>
      <c r="FW1307" s="855"/>
      <c r="FX1307" s="855"/>
      <c r="FY1307" s="855"/>
      <c r="FZ1307" s="855"/>
      <c r="GA1307" s="855"/>
      <c r="GB1307" s="855"/>
      <c r="GC1307" s="855"/>
      <c r="GD1307" s="855"/>
      <c r="GE1307" s="855"/>
      <c r="GF1307" s="855"/>
      <c r="GG1307" s="855"/>
      <c r="GH1307" s="855"/>
      <c r="GI1307" s="855"/>
      <c r="GJ1307" s="855"/>
      <c r="GK1307" s="855"/>
      <c r="GL1307" s="855"/>
      <c r="GM1307" s="855"/>
      <c r="GN1307" s="855"/>
      <c r="GO1307" s="855"/>
      <c r="GP1307" s="855"/>
      <c r="GQ1307" s="855"/>
      <c r="GR1307" s="855"/>
      <c r="GS1307" s="855"/>
      <c r="GT1307" s="855"/>
      <c r="GU1307" s="855"/>
      <c r="GV1307" s="855"/>
      <c r="GW1307" s="855"/>
      <c r="GX1307" s="855"/>
      <c r="GY1307" s="855"/>
      <c r="GZ1307" s="855"/>
      <c r="HA1307" s="855"/>
      <c r="HB1307" s="855"/>
      <c r="HC1307" s="855"/>
      <c r="HD1307" s="855"/>
      <c r="HE1307" s="855"/>
      <c r="HF1307" s="855"/>
      <c r="HG1307" s="855"/>
      <c r="HH1307" s="855"/>
      <c r="HI1307" s="855"/>
      <c r="HJ1307" s="855"/>
      <c r="HK1307" s="855"/>
      <c r="HL1307" s="855"/>
      <c r="HM1307" s="855"/>
      <c r="HN1307" s="855"/>
      <c r="HO1307" s="855"/>
      <c r="HP1307" s="855"/>
      <c r="HQ1307" s="855"/>
      <c r="HR1307" s="855"/>
      <c r="HS1307" s="855"/>
      <c r="HT1307" s="855"/>
      <c r="HU1307" s="855"/>
      <c r="HV1307" s="855"/>
      <c r="HW1307" s="855"/>
      <c r="HX1307" s="855"/>
      <c r="HY1307" s="855"/>
      <c r="HZ1307" s="855"/>
      <c r="IA1307" s="855"/>
      <c r="IB1307" s="855"/>
      <c r="IC1307" s="855"/>
      <c r="ID1307" s="855"/>
      <c r="IE1307" s="855"/>
      <c r="IF1307" s="855"/>
      <c r="IG1307" s="855"/>
      <c r="IH1307" s="855"/>
      <c r="II1307" s="855"/>
      <c r="IJ1307" s="855"/>
      <c r="IK1307" s="855"/>
      <c r="IL1307" s="855"/>
      <c r="IM1307" s="855"/>
      <c r="IN1307" s="855"/>
      <c r="IO1307" s="855"/>
      <c r="IP1307" s="855"/>
      <c r="IQ1307" s="855"/>
      <c r="IR1307" s="855"/>
      <c r="IS1307" s="855"/>
      <c r="IT1307" s="855"/>
      <c r="IU1307" s="855"/>
      <c r="IV1307" s="855"/>
      <c r="IW1307" s="855"/>
      <c r="IX1307" s="855"/>
      <c r="IY1307" s="855"/>
      <c r="IZ1307" s="855"/>
      <c r="JA1307" s="855"/>
      <c r="JB1307" s="855"/>
      <c r="JC1307" s="855"/>
      <c r="JD1307" s="855"/>
      <c r="JE1307" s="855"/>
      <c r="JF1307" s="855"/>
      <c r="JG1307" s="855"/>
      <c r="JH1307" s="855"/>
      <c r="JI1307" s="855"/>
      <c r="JJ1307" s="855"/>
      <c r="JK1307" s="855"/>
      <c r="JL1307" s="855"/>
      <c r="JM1307"/>
    </row>
    <row r="1308" spans="1:273" s="855" customFormat="1" hidden="1" outlineLevel="1">
      <c r="A1308" s="289" t="s">
        <v>613</v>
      </c>
      <c r="B1308" s="290"/>
      <c r="C1308" s="289"/>
      <c r="D1308" s="289"/>
      <c r="E1308" s="289"/>
      <c r="F1308" s="289"/>
      <c r="G1308" s="289"/>
      <c r="H1308" s="289"/>
      <c r="I1308" s="289"/>
      <c r="J1308" s="289"/>
      <c r="K1308" s="289"/>
      <c r="L1308" s="289"/>
      <c r="M1308" s="289"/>
      <c r="N1308" s="289"/>
      <c r="O1308" s="289"/>
      <c r="P1308" s="289"/>
      <c r="Q1308" s="289"/>
      <c r="R1308" s="289"/>
      <c r="S1308" s="289"/>
      <c r="T1308" s="289"/>
      <c r="U1308" s="289"/>
      <c r="V1308" s="289"/>
      <c r="W1308" s="289"/>
      <c r="X1308" s="289"/>
      <c r="Y1308" s="289"/>
      <c r="Z1308" s="289"/>
      <c r="AA1308" s="289"/>
      <c r="AB1308" s="289"/>
      <c r="AC1308" s="289"/>
      <c r="AD1308" s="289"/>
      <c r="AE1308" s="289"/>
      <c r="AF1308" s="289"/>
      <c r="AG1308" s="289"/>
      <c r="AH1308" s="289"/>
      <c r="AI1308" s="289"/>
      <c r="AJ1308" s="289"/>
      <c r="AK1308" s="289"/>
      <c r="AL1308" s="289"/>
      <c r="AM1308" s="289"/>
      <c r="AN1308" s="853"/>
      <c r="AO1308" s="853"/>
      <c r="AP1308" s="290"/>
      <c r="AQ1308" s="290"/>
      <c r="AR1308" s="853">
        <f>SUM(AR1303:AR1306)-AR1307</f>
        <v>0</v>
      </c>
      <c r="AS1308" s="853">
        <f>SUM(AS1303:AS1306)-AS1307</f>
        <v>0</v>
      </c>
      <c r="AT1308" s="290"/>
      <c r="AU1308" s="290"/>
      <c r="AV1308" s="853">
        <f>SUM(AV1303:AV1306)-AV1307</f>
        <v>633</v>
      </c>
      <c r="AW1308" s="853">
        <f>SUM(AW1303:AW1306)-AW1307</f>
        <v>666</v>
      </c>
      <c r="AX1308" s="853"/>
      <c r="AY1308" s="853"/>
      <c r="AZ1308" s="853">
        <f>SUM(AZ1303:AZ1306)-AZ1307</f>
        <v>606</v>
      </c>
      <c r="BA1308" s="853">
        <f>SUM(BA1303:BA1306)-BA1307</f>
        <v>762</v>
      </c>
      <c r="BB1308" s="853"/>
      <c r="BC1308" s="853"/>
      <c r="BD1308" s="853">
        <f>SUM(BD1303:BD1306)-BD1307</f>
        <v>374</v>
      </c>
      <c r="BE1308" s="853">
        <f>SUM(BE1303:BE1306)-BE1307</f>
        <v>661</v>
      </c>
      <c r="BF1308" s="853"/>
      <c r="BG1308" s="853"/>
      <c r="BH1308" s="853">
        <f>SUM(BH1303:BH1306)-BH1307</f>
        <v>555</v>
      </c>
      <c r="BI1308" s="853">
        <f>SUM(BI1303:BI1306)-BI1307</f>
        <v>679</v>
      </c>
      <c r="BJ1308" s="853"/>
      <c r="BK1308" s="853"/>
      <c r="BL1308" s="853">
        <f>SUM(BL1303:BL1306)-BL1307</f>
        <v>591</v>
      </c>
      <c r="BM1308" s="853"/>
      <c r="BN1308" s="853"/>
      <c r="BO1308" s="853"/>
      <c r="BP1308" s="853"/>
      <c r="BQ1308" s="853"/>
      <c r="BR1308" s="853"/>
      <c r="BS1308" s="853"/>
      <c r="BT1308" s="853"/>
      <c r="BU1308" s="853"/>
      <c r="BV1308" s="853"/>
      <c r="BW1308" s="853"/>
      <c r="BX1308" s="853"/>
      <c r="BY1308" s="853"/>
      <c r="BZ1308" s="853"/>
      <c r="CA1308" s="853"/>
      <c r="CB1308" s="853"/>
      <c r="CC1308" s="853"/>
      <c r="CD1308" s="853"/>
      <c r="CE1308" s="862"/>
      <c r="CF1308" s="853"/>
      <c r="CG1308" s="853"/>
      <c r="CH1308" s="853"/>
      <c r="CI1308" s="862"/>
      <c r="CJ1308" s="853"/>
      <c r="CK1308" s="853"/>
      <c r="CL1308" s="853"/>
      <c r="CM1308" s="862"/>
      <c r="CN1308" s="853"/>
      <c r="CO1308" s="853"/>
      <c r="CP1308" s="853"/>
      <c r="CQ1308" s="862"/>
      <c r="CR1308" s="853"/>
      <c r="CS1308" s="853"/>
      <c r="CT1308" s="853"/>
      <c r="CU1308" s="853"/>
      <c r="CV1308" s="853"/>
      <c r="CW1308" s="853"/>
      <c r="CX1308" s="853"/>
      <c r="CY1308" s="853"/>
      <c r="CZ1308" s="853"/>
      <c r="DA1308" s="853"/>
      <c r="DB1308" s="853"/>
      <c r="DC1308" s="853"/>
      <c r="DD1308" s="853"/>
      <c r="DE1308" s="853"/>
      <c r="DF1308" s="853"/>
      <c r="DG1308" s="853"/>
      <c r="DH1308" s="853"/>
      <c r="DI1308" s="853"/>
      <c r="DJ1308" s="853"/>
      <c r="DK1308" s="853"/>
      <c r="DL1308" s="853"/>
      <c r="DM1308" s="853"/>
      <c r="DN1308" s="853"/>
      <c r="DO1308" s="853"/>
      <c r="DP1308" s="853"/>
      <c r="DQ1308" s="853"/>
      <c r="DR1308" s="853"/>
      <c r="DS1308" s="853"/>
      <c r="DT1308" s="853"/>
      <c r="DU1308" s="853"/>
      <c r="DV1308" s="853"/>
      <c r="DW1308" s="853"/>
      <c r="DX1308" s="853"/>
      <c r="DY1308" s="853"/>
      <c r="DZ1308" s="853"/>
      <c r="EA1308" s="853"/>
      <c r="EB1308" s="853"/>
      <c r="EC1308" s="853"/>
      <c r="ED1308" s="853"/>
      <c r="EE1308" s="853"/>
      <c r="EF1308" s="853"/>
      <c r="EG1308" s="853"/>
      <c r="EH1308" s="853"/>
      <c r="EI1308" s="853"/>
      <c r="EJ1308" s="853"/>
      <c r="EK1308" s="853"/>
      <c r="EL1308" s="853"/>
      <c r="EM1308" s="853"/>
      <c r="EN1308" s="853"/>
      <c r="EO1308" s="853"/>
      <c r="EP1308" s="853"/>
      <c r="JM1308"/>
    </row>
    <row r="1309" spans="1:273" s="854" customFormat="1" hidden="1" outlineLevel="1">
      <c r="A1309" s="102"/>
      <c r="B1309" s="103"/>
      <c r="C1309" s="102"/>
      <c r="D1309" s="102"/>
      <c r="E1309" s="102"/>
      <c r="F1309" s="102"/>
      <c r="G1309" s="102"/>
      <c r="H1309" s="102"/>
      <c r="I1309" s="102"/>
      <c r="J1309" s="102"/>
      <c r="K1309" s="102"/>
      <c r="L1309" s="102"/>
      <c r="M1309" s="102"/>
      <c r="N1309" s="102"/>
      <c r="O1309" s="102"/>
      <c r="P1309" s="102"/>
      <c r="Q1309" s="102"/>
      <c r="R1309" s="102"/>
      <c r="S1309" s="102"/>
      <c r="T1309" s="102"/>
      <c r="U1309" s="102"/>
      <c r="V1309" s="102"/>
      <c r="W1309" s="102"/>
      <c r="X1309" s="102"/>
      <c r="Y1309" s="102"/>
      <c r="Z1309" s="102"/>
      <c r="AA1309" s="102"/>
      <c r="AB1309" s="102"/>
      <c r="AC1309" s="102"/>
      <c r="AD1309" s="102"/>
      <c r="AE1309" s="102"/>
      <c r="AF1309" s="102"/>
      <c r="AG1309" s="102"/>
      <c r="AH1309" s="102"/>
      <c r="AI1309" s="102"/>
      <c r="AJ1309" s="102"/>
      <c r="AK1309" s="102"/>
      <c r="AL1309" s="102"/>
      <c r="AM1309" s="102"/>
      <c r="AN1309" s="290"/>
      <c r="AO1309" s="290"/>
      <c r="AP1309" s="290"/>
      <c r="AQ1309" s="290"/>
      <c r="AR1309" s="290"/>
      <c r="AS1309" s="290"/>
      <c r="AT1309" s="290"/>
      <c r="AU1309" s="290"/>
      <c r="AV1309" s="818"/>
      <c r="AW1309" s="818"/>
      <c r="AX1309" s="853"/>
      <c r="AY1309" s="853"/>
      <c r="AZ1309" s="818"/>
      <c r="BA1309" s="850">
        <f>BA1307+BA1308</f>
        <v>803</v>
      </c>
      <c r="BB1309" s="853"/>
      <c r="BC1309" s="853"/>
      <c r="BD1309" s="850">
        <f>BD1307+BD1308</f>
        <v>377</v>
      </c>
      <c r="BE1309" s="850">
        <f>BE1307+BE1308</f>
        <v>679</v>
      </c>
      <c r="BF1309" s="853"/>
      <c r="BG1309" s="853"/>
      <c r="BH1309" s="850">
        <f>BH1307+BH1308</f>
        <v>555</v>
      </c>
      <c r="BI1309" s="850">
        <f>BI1307+BI1308</f>
        <v>679</v>
      </c>
      <c r="BJ1309" s="853"/>
      <c r="BK1309" s="853"/>
      <c r="BL1309" s="850">
        <f>BL1307+BL1308</f>
        <v>591</v>
      </c>
      <c r="BM1309" s="850"/>
      <c r="BN1309" s="850"/>
      <c r="BO1309" s="850"/>
      <c r="BP1309" s="850"/>
      <c r="BQ1309" s="850"/>
      <c r="BR1309" s="853"/>
      <c r="BS1309" s="853"/>
      <c r="BT1309" s="850"/>
      <c r="BU1309" s="850"/>
      <c r="BV1309" s="853"/>
      <c r="BW1309" s="853"/>
      <c r="BX1309" s="850"/>
      <c r="BY1309" s="850"/>
      <c r="BZ1309" s="853"/>
      <c r="CA1309" s="853"/>
      <c r="CB1309" s="850"/>
      <c r="CC1309" s="850"/>
      <c r="CD1309" s="853"/>
      <c r="CE1309" s="862"/>
      <c r="CF1309" s="850"/>
      <c r="CG1309" s="850"/>
      <c r="CH1309" s="853"/>
      <c r="CI1309" s="862"/>
      <c r="CJ1309" s="850"/>
      <c r="CK1309" s="850"/>
      <c r="CL1309" s="853"/>
      <c r="CM1309" s="862"/>
      <c r="CN1309" s="850"/>
      <c r="CO1309" s="850"/>
      <c r="CP1309" s="853"/>
      <c r="CQ1309" s="862"/>
      <c r="CR1309" s="850"/>
      <c r="CS1309" s="850"/>
      <c r="CT1309" s="853"/>
      <c r="CU1309" s="853"/>
      <c r="CV1309" s="853"/>
      <c r="CW1309" s="853"/>
      <c r="CX1309" s="853"/>
      <c r="CY1309" s="853"/>
      <c r="CZ1309" s="853"/>
      <c r="DA1309" s="853"/>
      <c r="DB1309" s="853"/>
      <c r="DC1309" s="853"/>
      <c r="DD1309" s="853"/>
      <c r="DE1309" s="853"/>
      <c r="DF1309" s="853"/>
      <c r="DG1309" s="853"/>
      <c r="DH1309" s="853"/>
      <c r="DI1309" s="853"/>
      <c r="DJ1309" s="853"/>
      <c r="DK1309" s="853"/>
      <c r="DL1309" s="853"/>
      <c r="DM1309" s="853"/>
      <c r="DN1309" s="853"/>
      <c r="DO1309" s="853"/>
      <c r="DP1309" s="853"/>
      <c r="DQ1309" s="853"/>
      <c r="DR1309" s="853"/>
      <c r="DS1309" s="853"/>
      <c r="DT1309" s="853"/>
      <c r="DU1309" s="850"/>
      <c r="DV1309" s="850"/>
      <c r="DW1309" s="850"/>
      <c r="DX1309" s="853"/>
      <c r="DY1309" s="853"/>
      <c r="DZ1309" s="850"/>
      <c r="EA1309" s="850"/>
      <c r="EB1309" s="853"/>
      <c r="EC1309" s="853"/>
      <c r="ED1309" s="850"/>
      <c r="EE1309" s="850"/>
      <c r="EF1309" s="853"/>
      <c r="EG1309" s="853"/>
      <c r="EH1309" s="853"/>
      <c r="EI1309" s="853"/>
      <c r="EJ1309" s="853"/>
      <c r="EK1309" s="853"/>
      <c r="EL1309" s="853"/>
      <c r="EM1309" s="853"/>
      <c r="EN1309" s="853"/>
      <c r="EO1309" s="853"/>
      <c r="EP1309" s="853"/>
      <c r="EQ1309" s="855"/>
      <c r="ER1309" s="855"/>
      <c r="ES1309" s="855"/>
      <c r="ET1309" s="855"/>
      <c r="EU1309" s="855"/>
      <c r="EV1309" s="855"/>
      <c r="EW1309" s="855"/>
      <c r="EX1309" s="855"/>
      <c r="EY1309" s="855"/>
      <c r="EZ1309" s="855"/>
      <c r="FA1309" s="855"/>
      <c r="FB1309" s="855"/>
      <c r="FC1309" s="855"/>
      <c r="FD1309" s="855"/>
      <c r="FE1309" s="855"/>
      <c r="FF1309" s="855"/>
      <c r="FG1309" s="855"/>
      <c r="FH1309" s="855"/>
      <c r="FI1309" s="855"/>
      <c r="FJ1309" s="855"/>
      <c r="FK1309" s="855"/>
      <c r="FL1309" s="855"/>
      <c r="FM1309" s="855"/>
      <c r="FN1309" s="855"/>
      <c r="FO1309" s="855"/>
      <c r="FP1309" s="855"/>
      <c r="FQ1309" s="855"/>
      <c r="FR1309" s="855"/>
      <c r="FS1309" s="855"/>
      <c r="FT1309" s="855"/>
      <c r="FU1309" s="855"/>
      <c r="FV1309" s="855"/>
      <c r="FW1309" s="855"/>
      <c r="FX1309" s="855"/>
      <c r="FY1309" s="855"/>
      <c r="FZ1309" s="855"/>
      <c r="GA1309" s="855"/>
      <c r="GB1309" s="855"/>
      <c r="GC1309" s="855"/>
      <c r="GD1309" s="855"/>
      <c r="GE1309" s="855"/>
      <c r="GF1309" s="855"/>
      <c r="GG1309" s="855"/>
      <c r="GH1309" s="855"/>
      <c r="GI1309" s="855"/>
      <c r="GJ1309" s="855"/>
      <c r="GK1309" s="855"/>
      <c r="GL1309" s="855"/>
      <c r="GM1309" s="855"/>
      <c r="GN1309" s="855"/>
      <c r="GO1309" s="855"/>
      <c r="GP1309" s="855"/>
      <c r="GQ1309" s="855"/>
      <c r="GR1309" s="855"/>
      <c r="GS1309" s="855"/>
      <c r="GT1309" s="855"/>
      <c r="GU1309" s="855"/>
      <c r="GV1309" s="855"/>
      <c r="GW1309" s="855"/>
      <c r="GX1309" s="855"/>
      <c r="GY1309" s="855"/>
      <c r="GZ1309" s="855"/>
      <c r="HA1309" s="855"/>
      <c r="HB1309" s="855"/>
      <c r="HC1309" s="855"/>
      <c r="HD1309" s="855"/>
      <c r="HE1309" s="855"/>
      <c r="HF1309" s="855"/>
      <c r="HG1309" s="855"/>
      <c r="HH1309" s="855"/>
      <c r="HI1309" s="855"/>
      <c r="HJ1309" s="855"/>
      <c r="HK1309" s="855"/>
      <c r="HL1309" s="855"/>
      <c r="HM1309" s="855"/>
      <c r="HN1309" s="855"/>
      <c r="HO1309" s="855"/>
      <c r="HP1309" s="855"/>
      <c r="HQ1309" s="855"/>
      <c r="HR1309" s="855"/>
      <c r="HS1309" s="855"/>
      <c r="HT1309" s="855"/>
      <c r="HU1309" s="855"/>
      <c r="HV1309" s="855"/>
      <c r="HW1309" s="855"/>
      <c r="HX1309" s="855"/>
      <c r="HY1309" s="855"/>
      <c r="HZ1309" s="855"/>
      <c r="IA1309" s="855"/>
      <c r="IB1309" s="855"/>
      <c r="IC1309" s="855"/>
      <c r="ID1309" s="855"/>
      <c r="IE1309" s="855"/>
      <c r="IF1309" s="855"/>
      <c r="IG1309" s="855"/>
      <c r="IH1309" s="855"/>
      <c r="II1309" s="855"/>
      <c r="IJ1309" s="855"/>
      <c r="IK1309" s="855"/>
      <c r="IL1309" s="855"/>
      <c r="IM1309" s="855"/>
      <c r="IN1309" s="855"/>
      <c r="IO1309" s="855"/>
      <c r="IP1309" s="855"/>
      <c r="IQ1309" s="855"/>
      <c r="IR1309" s="855"/>
      <c r="IS1309" s="855"/>
      <c r="IT1309" s="855"/>
      <c r="IU1309" s="855"/>
      <c r="IV1309" s="855"/>
      <c r="IW1309" s="855"/>
      <c r="IX1309" s="855"/>
      <c r="IY1309" s="855"/>
      <c r="IZ1309" s="855"/>
      <c r="JA1309" s="855"/>
      <c r="JB1309" s="855"/>
      <c r="JC1309" s="855"/>
      <c r="JD1309" s="855"/>
      <c r="JE1309" s="855"/>
      <c r="JF1309" s="855"/>
      <c r="JG1309" s="855"/>
      <c r="JH1309" s="855"/>
      <c r="JI1309" s="855"/>
      <c r="JJ1309" s="855"/>
      <c r="JK1309" s="855"/>
      <c r="JL1309" s="855"/>
      <c r="JM1309"/>
    </row>
    <row r="1310" spans="1:273" s="854" customFormat="1" hidden="1" outlineLevel="1">
      <c r="A1310" s="815" t="s">
        <v>714</v>
      </c>
      <c r="B1310" s="103"/>
      <c r="C1310" s="102"/>
      <c r="D1310" s="102"/>
      <c r="E1310" s="102"/>
      <c r="F1310" s="102"/>
      <c r="G1310" s="102"/>
      <c r="H1310" s="102"/>
      <c r="I1310" s="102"/>
      <c r="J1310" s="102"/>
      <c r="K1310" s="102"/>
      <c r="L1310" s="102"/>
      <c r="M1310" s="102"/>
      <c r="N1310" s="102"/>
      <c r="O1310" s="102"/>
      <c r="P1310" s="102"/>
      <c r="Q1310" s="102"/>
      <c r="R1310" s="102"/>
      <c r="S1310" s="102"/>
      <c r="T1310" s="102"/>
      <c r="U1310" s="102"/>
      <c r="V1310" s="102"/>
      <c r="W1310" s="102"/>
      <c r="X1310" s="102"/>
      <c r="Y1310" s="102"/>
      <c r="Z1310" s="102"/>
      <c r="AA1310" s="102"/>
      <c r="AB1310" s="102"/>
      <c r="AC1310" s="102"/>
      <c r="AD1310" s="102"/>
      <c r="AE1310" s="102"/>
      <c r="AF1310" s="102"/>
      <c r="AG1310" s="102"/>
      <c r="AH1310" s="102"/>
      <c r="AI1310" s="102"/>
      <c r="AJ1310" s="102"/>
      <c r="AK1310" s="102"/>
      <c r="AL1310" s="102"/>
      <c r="AM1310" s="102"/>
      <c r="AN1310" s="290"/>
      <c r="AO1310" s="290"/>
      <c r="AP1310" s="290"/>
      <c r="AQ1310" s="290"/>
      <c r="AR1310" s="290"/>
      <c r="AS1310" s="290"/>
      <c r="AT1310" s="290"/>
      <c r="AU1310" s="290"/>
      <c r="AV1310" s="818"/>
      <c r="AW1310" s="818"/>
      <c r="AX1310" s="853"/>
      <c r="AY1310" s="853"/>
      <c r="AZ1310" s="818"/>
      <c r="BA1310" s="850"/>
      <c r="BB1310" s="853"/>
      <c r="BC1310" s="853"/>
      <c r="BD1310" s="850"/>
      <c r="BE1310" s="850"/>
      <c r="BF1310" s="853"/>
      <c r="BG1310" s="853"/>
      <c r="BH1310" s="850"/>
      <c r="BI1310" s="850"/>
      <c r="BJ1310" s="853"/>
      <c r="BK1310" s="853"/>
      <c r="BL1310" s="850"/>
      <c r="BM1310" s="850"/>
      <c r="BN1310" s="850"/>
      <c r="BO1310" s="850"/>
      <c r="BP1310" s="850"/>
      <c r="BQ1310" s="850"/>
      <c r="BR1310" s="853"/>
      <c r="BS1310" s="853"/>
      <c r="BT1310" s="850"/>
      <c r="BU1310" s="850"/>
      <c r="BV1310" s="853"/>
      <c r="BW1310" s="853"/>
      <c r="BX1310" s="850"/>
      <c r="BY1310" s="850"/>
      <c r="BZ1310" s="853"/>
      <c r="CA1310" s="853"/>
      <c r="CB1310" s="850"/>
      <c r="CC1310" s="850"/>
      <c r="CD1310" s="853"/>
      <c r="CE1310" s="862"/>
      <c r="CF1310" s="850"/>
      <c r="CG1310" s="850"/>
      <c r="CH1310" s="853"/>
      <c r="CI1310" s="862"/>
      <c r="CJ1310" s="850"/>
      <c r="CK1310" s="850"/>
      <c r="CL1310" s="853"/>
      <c r="CM1310" s="862"/>
      <c r="CN1310" s="850"/>
      <c r="CO1310" s="850"/>
      <c r="CP1310" s="853"/>
      <c r="CQ1310" s="862"/>
      <c r="CR1310" s="850"/>
      <c r="CS1310" s="850"/>
      <c r="CT1310" s="853"/>
      <c r="CU1310" s="853"/>
      <c r="CV1310" s="853"/>
      <c r="CW1310" s="853"/>
      <c r="CX1310" s="853"/>
      <c r="CY1310" s="853"/>
      <c r="CZ1310" s="853"/>
      <c r="DA1310" s="853"/>
      <c r="DB1310" s="853"/>
      <c r="DC1310" s="853"/>
      <c r="DD1310" s="853"/>
      <c r="DE1310" s="853"/>
      <c r="DF1310" s="853"/>
      <c r="DG1310" s="853"/>
      <c r="DH1310" s="853"/>
      <c r="DI1310" s="853"/>
      <c r="DJ1310" s="853"/>
      <c r="DK1310" s="853"/>
      <c r="DL1310" s="853"/>
      <c r="DM1310" s="853"/>
      <c r="DN1310" s="853"/>
      <c r="DO1310" s="853"/>
      <c r="DP1310" s="853"/>
      <c r="DQ1310" s="853"/>
      <c r="DR1310" s="853"/>
      <c r="DS1310" s="853"/>
      <c r="DT1310" s="853"/>
      <c r="DU1310" s="850"/>
      <c r="DV1310" s="850"/>
      <c r="DW1310" s="850"/>
      <c r="DX1310" s="853"/>
      <c r="DY1310" s="853"/>
      <c r="DZ1310" s="850"/>
      <c r="EA1310" s="850"/>
      <c r="EB1310" s="853"/>
      <c r="EC1310" s="853"/>
      <c r="ED1310" s="850"/>
      <c r="EE1310" s="850"/>
      <c r="EF1310" s="853"/>
      <c r="EG1310" s="853"/>
      <c r="EH1310" s="853"/>
      <c r="EI1310" s="853"/>
      <c r="EJ1310" s="853"/>
      <c r="EK1310" s="853"/>
      <c r="EL1310" s="853"/>
      <c r="EM1310" s="853"/>
      <c r="EN1310" s="853"/>
      <c r="EO1310" s="853"/>
      <c r="EP1310" s="853"/>
      <c r="EQ1310" s="855"/>
      <c r="ER1310" s="855"/>
      <c r="ES1310" s="855"/>
      <c r="ET1310" s="855"/>
      <c r="EU1310" s="855"/>
      <c r="EV1310" s="855"/>
      <c r="EW1310" s="855"/>
      <c r="EX1310" s="855"/>
      <c r="EY1310" s="855"/>
      <c r="EZ1310" s="855"/>
      <c r="FA1310" s="855"/>
      <c r="FB1310" s="855"/>
      <c r="FC1310" s="855"/>
      <c r="FD1310" s="855"/>
      <c r="FE1310" s="855"/>
      <c r="FF1310" s="855"/>
      <c r="FG1310" s="855"/>
      <c r="FH1310" s="855"/>
      <c r="FI1310" s="855"/>
      <c r="FJ1310" s="855"/>
      <c r="FK1310" s="855"/>
      <c r="FL1310" s="855"/>
      <c r="FM1310" s="855"/>
      <c r="FN1310" s="855"/>
      <c r="FO1310" s="855"/>
      <c r="FP1310" s="855"/>
      <c r="FQ1310" s="855"/>
      <c r="FR1310" s="855"/>
      <c r="FS1310" s="855"/>
      <c r="FT1310" s="855"/>
      <c r="FU1310" s="855"/>
      <c r="FV1310" s="855"/>
      <c r="FW1310" s="855"/>
      <c r="FX1310" s="855"/>
      <c r="FY1310" s="855"/>
      <c r="FZ1310" s="855"/>
      <c r="GA1310" s="855"/>
      <c r="GB1310" s="855"/>
      <c r="GC1310" s="855"/>
      <c r="GD1310" s="855"/>
      <c r="GE1310" s="855"/>
      <c r="GF1310" s="855"/>
      <c r="GG1310" s="855"/>
      <c r="GH1310" s="855"/>
      <c r="GI1310" s="855"/>
      <c r="GJ1310" s="855"/>
      <c r="GK1310" s="855"/>
      <c r="GL1310" s="855"/>
      <c r="GM1310" s="855"/>
      <c r="GN1310" s="855"/>
      <c r="GO1310" s="855"/>
      <c r="GP1310" s="855"/>
      <c r="GQ1310" s="855"/>
      <c r="GR1310" s="855"/>
      <c r="GS1310" s="855"/>
      <c r="GT1310" s="855"/>
      <c r="GU1310" s="855"/>
      <c r="GV1310" s="855"/>
      <c r="GW1310" s="855"/>
      <c r="GX1310" s="855"/>
      <c r="GY1310" s="855"/>
      <c r="GZ1310" s="855"/>
      <c r="HA1310" s="855"/>
      <c r="HB1310" s="855"/>
      <c r="HC1310" s="855"/>
      <c r="HD1310" s="855"/>
      <c r="HE1310" s="855"/>
      <c r="HF1310" s="855"/>
      <c r="HG1310" s="855"/>
      <c r="HH1310" s="855"/>
      <c r="HI1310" s="855"/>
      <c r="HJ1310" s="855"/>
      <c r="HK1310" s="855"/>
      <c r="HL1310" s="855"/>
      <c r="HM1310" s="855"/>
      <c r="HN1310" s="855"/>
      <c r="HO1310" s="855"/>
      <c r="HP1310" s="855"/>
      <c r="HQ1310" s="855"/>
      <c r="HR1310" s="855"/>
      <c r="HS1310" s="855"/>
      <c r="HT1310" s="855"/>
      <c r="HU1310" s="855"/>
      <c r="HV1310" s="855"/>
      <c r="HW1310" s="855"/>
      <c r="HX1310" s="855"/>
      <c r="HY1310" s="855"/>
      <c r="HZ1310" s="855"/>
      <c r="IA1310" s="855"/>
      <c r="IB1310" s="855"/>
      <c r="IC1310" s="855"/>
      <c r="ID1310" s="855"/>
      <c r="IE1310" s="855"/>
      <c r="IF1310" s="855"/>
      <c r="IG1310" s="855"/>
      <c r="IH1310" s="855"/>
      <c r="II1310" s="855"/>
      <c r="IJ1310" s="855"/>
      <c r="IK1310" s="855"/>
      <c r="IL1310" s="855"/>
      <c r="IM1310" s="855"/>
      <c r="IN1310" s="855"/>
      <c r="IO1310" s="855"/>
      <c r="IP1310" s="855"/>
      <c r="IQ1310" s="855"/>
      <c r="IR1310" s="855"/>
      <c r="IS1310" s="855"/>
      <c r="IT1310" s="855"/>
      <c r="IU1310" s="855"/>
      <c r="IV1310" s="855"/>
      <c r="IW1310" s="855"/>
      <c r="IX1310" s="855"/>
      <c r="IY1310" s="855"/>
      <c r="IZ1310" s="855"/>
      <c r="JA1310" s="855"/>
      <c r="JB1310" s="855"/>
      <c r="JC1310" s="855"/>
      <c r="JD1310" s="855"/>
      <c r="JE1310" s="855"/>
      <c r="JF1310" s="855"/>
      <c r="JG1310" s="855"/>
      <c r="JH1310" s="855"/>
      <c r="JI1310" s="855"/>
      <c r="JJ1310" s="855"/>
      <c r="JK1310" s="855"/>
      <c r="JL1310" s="855"/>
      <c r="JM1310"/>
    </row>
    <row r="1311" spans="1:273" s="854" customFormat="1" hidden="1" outlineLevel="1">
      <c r="A1311" s="102" t="s">
        <v>713</v>
      </c>
      <c r="B1311" s="103"/>
      <c r="C1311" s="102"/>
      <c r="D1311" s="102"/>
      <c r="E1311" s="102"/>
      <c r="F1311" s="102"/>
      <c r="G1311" s="102"/>
      <c r="H1311" s="102"/>
      <c r="I1311" s="102"/>
      <c r="J1311" s="102"/>
      <c r="K1311" s="102"/>
      <c r="L1311" s="102"/>
      <c r="M1311" s="102"/>
      <c r="N1311" s="102"/>
      <c r="O1311" s="102"/>
      <c r="P1311" s="102"/>
      <c r="Q1311" s="102"/>
      <c r="R1311" s="102"/>
      <c r="S1311" s="102"/>
      <c r="T1311" s="102"/>
      <c r="U1311" s="102"/>
      <c r="V1311" s="102"/>
      <c r="W1311" s="102"/>
      <c r="X1311" s="102"/>
      <c r="Y1311" s="102"/>
      <c r="Z1311" s="102"/>
      <c r="AA1311" s="102"/>
      <c r="AB1311" s="102"/>
      <c r="AC1311" s="102"/>
      <c r="AD1311" s="102"/>
      <c r="AE1311" s="102"/>
      <c r="AF1311" s="102"/>
      <c r="AG1311" s="102"/>
      <c r="AH1311" s="102"/>
      <c r="AI1311" s="102"/>
      <c r="AJ1311" s="102"/>
      <c r="AK1311" s="102"/>
      <c r="AL1311" s="102"/>
      <c r="AM1311" s="102"/>
      <c r="AN1311" s="674"/>
      <c r="AO1311" s="674"/>
      <c r="AP1311" s="674"/>
      <c r="AQ1311" s="674"/>
      <c r="AR1311" s="674"/>
      <c r="AS1311" s="674"/>
      <c r="AT1311" s="674"/>
      <c r="AU1311" s="674"/>
      <c r="AV1311" s="927">
        <v>407</v>
      </c>
      <c r="AW1311" s="927">
        <v>183</v>
      </c>
      <c r="AX1311" s="818">
        <f>AV1311+AW1311</f>
        <v>590</v>
      </c>
      <c r="AY1311" s="928"/>
      <c r="AZ1311" s="927">
        <v>178</v>
      </c>
      <c r="BA1311" s="927">
        <v>214</v>
      </c>
      <c r="BB1311" s="818">
        <f>AZ1311+BA1311</f>
        <v>392</v>
      </c>
      <c r="BC1311" s="853"/>
      <c r="BD1311" s="927">
        <v>129</v>
      </c>
      <c r="BE1311" s="927">
        <v>89</v>
      </c>
      <c r="BF1311" s="818">
        <f>BD1311+BE1311</f>
        <v>218</v>
      </c>
      <c r="BG1311" s="853"/>
      <c r="BH1311" s="927">
        <v>555</v>
      </c>
      <c r="BI1311" s="927">
        <v>679</v>
      </c>
      <c r="BJ1311" s="818">
        <f>BH1311+BI1311</f>
        <v>1234</v>
      </c>
      <c r="BK1311" s="853"/>
      <c r="BL1311" s="927">
        <v>591</v>
      </c>
      <c r="BM1311" s="991"/>
      <c r="BN1311" s="991"/>
      <c r="BO1311" s="991"/>
      <c r="BP1311" s="991"/>
      <c r="BQ1311" s="991"/>
      <c r="BR1311" s="853"/>
      <c r="BS1311" s="853"/>
      <c r="BT1311" s="991"/>
      <c r="BU1311" s="991"/>
      <c r="BV1311" s="853"/>
      <c r="BW1311" s="853"/>
      <c r="BX1311" s="991"/>
      <c r="BY1311" s="991"/>
      <c r="BZ1311" s="853"/>
      <c r="CA1311" s="853"/>
      <c r="CB1311" s="991"/>
      <c r="CC1311" s="991"/>
      <c r="CD1311" s="853"/>
      <c r="CE1311" s="862"/>
      <c r="CF1311" s="991"/>
      <c r="CG1311" s="991"/>
      <c r="CH1311" s="853"/>
      <c r="CI1311" s="862"/>
      <c r="CJ1311" s="991"/>
      <c r="CK1311" s="991"/>
      <c r="CL1311" s="853"/>
      <c r="CM1311" s="862"/>
      <c r="CN1311" s="991"/>
      <c r="CO1311" s="991"/>
      <c r="CP1311" s="853"/>
      <c r="CQ1311" s="862"/>
      <c r="CR1311" s="991"/>
      <c r="CS1311" s="991"/>
      <c r="CT1311" s="853"/>
      <c r="CU1311" s="853"/>
      <c r="CV1311" s="853"/>
      <c r="CW1311" s="853"/>
      <c r="CX1311" s="853"/>
      <c r="CY1311" s="853"/>
      <c r="CZ1311" s="853"/>
      <c r="DA1311" s="853"/>
      <c r="DB1311" s="853"/>
      <c r="DC1311" s="853"/>
      <c r="DD1311" s="853"/>
      <c r="DE1311" s="853"/>
      <c r="DF1311" s="853"/>
      <c r="DG1311" s="853"/>
      <c r="DH1311" s="853"/>
      <c r="DI1311" s="853"/>
      <c r="DJ1311" s="853"/>
      <c r="DK1311" s="853"/>
      <c r="DL1311" s="853"/>
      <c r="DM1311" s="853"/>
      <c r="DN1311" s="853"/>
      <c r="DO1311" s="853"/>
      <c r="DP1311" s="853"/>
      <c r="DQ1311" s="853"/>
      <c r="DR1311" s="853"/>
      <c r="DS1311" s="853"/>
      <c r="DT1311" s="853"/>
      <c r="DU1311" s="991"/>
      <c r="DV1311" s="991"/>
      <c r="DW1311" s="991"/>
      <c r="DX1311" s="853"/>
      <c r="DY1311" s="853"/>
      <c r="DZ1311" s="991"/>
      <c r="EA1311" s="991"/>
      <c r="EB1311" s="853"/>
      <c r="EC1311" s="853"/>
      <c r="ED1311" s="991"/>
      <c r="EE1311" s="991"/>
      <c r="EF1311" s="853"/>
      <c r="EG1311" s="853"/>
      <c r="EH1311" s="853"/>
      <c r="EI1311" s="853"/>
      <c r="EJ1311" s="853"/>
      <c r="EK1311" s="853"/>
      <c r="EL1311" s="853"/>
      <c r="EM1311" s="853"/>
      <c r="EN1311" s="853"/>
      <c r="EO1311" s="853"/>
      <c r="EP1311" s="853"/>
      <c r="EQ1311" s="855"/>
      <c r="ER1311" s="855"/>
      <c r="ES1311" s="855"/>
      <c r="ET1311" s="855"/>
      <c r="EU1311" s="855"/>
      <c r="EV1311" s="855"/>
      <c r="EW1311" s="855"/>
      <c r="EX1311" s="855"/>
      <c r="EY1311" s="855"/>
      <c r="EZ1311" s="855"/>
      <c r="FA1311" s="855"/>
      <c r="FB1311" s="855"/>
      <c r="FC1311" s="855"/>
      <c r="FD1311" s="855"/>
      <c r="FE1311" s="855"/>
      <c r="FF1311" s="855"/>
      <c r="FG1311" s="855"/>
      <c r="FH1311" s="855"/>
      <c r="FI1311" s="855"/>
      <c r="FJ1311" s="855"/>
      <c r="FK1311" s="855"/>
      <c r="FL1311" s="855"/>
      <c r="FM1311" s="855"/>
      <c r="FN1311" s="855"/>
      <c r="FO1311" s="855"/>
      <c r="FP1311" s="855"/>
      <c r="FQ1311" s="855"/>
      <c r="FR1311" s="855"/>
      <c r="FS1311" s="855"/>
      <c r="FT1311" s="855"/>
      <c r="FU1311" s="855"/>
      <c r="FV1311" s="855"/>
      <c r="FW1311" s="855"/>
      <c r="FX1311" s="855"/>
      <c r="FY1311" s="855"/>
      <c r="FZ1311" s="855"/>
      <c r="GA1311" s="855"/>
      <c r="GB1311" s="855"/>
      <c r="GC1311" s="855"/>
      <c r="GD1311" s="855"/>
      <c r="GE1311" s="855"/>
      <c r="GF1311" s="855"/>
      <c r="GG1311" s="855"/>
      <c r="GH1311" s="855"/>
      <c r="GI1311" s="855"/>
      <c r="GJ1311" s="855"/>
      <c r="GK1311" s="855"/>
      <c r="GL1311" s="855"/>
      <c r="GM1311" s="855"/>
      <c r="GN1311" s="855"/>
      <c r="GO1311" s="855"/>
      <c r="GP1311" s="855"/>
      <c r="GQ1311" s="855"/>
      <c r="GR1311" s="855"/>
      <c r="GS1311" s="855"/>
      <c r="GT1311" s="855"/>
      <c r="GU1311" s="855"/>
      <c r="GV1311" s="855"/>
      <c r="GW1311" s="855"/>
      <c r="GX1311" s="855"/>
      <c r="GY1311" s="855"/>
      <c r="GZ1311" s="855"/>
      <c r="HA1311" s="855"/>
      <c r="HB1311" s="855"/>
      <c r="HC1311" s="855"/>
      <c r="HD1311" s="855"/>
      <c r="HE1311" s="855"/>
      <c r="HF1311" s="855"/>
      <c r="HG1311" s="855"/>
      <c r="HH1311" s="855"/>
      <c r="HI1311" s="855"/>
      <c r="HJ1311" s="855"/>
      <c r="HK1311" s="855"/>
      <c r="HL1311" s="855"/>
      <c r="HM1311" s="855"/>
      <c r="HN1311" s="855"/>
      <c r="HO1311" s="855"/>
      <c r="HP1311" s="855"/>
      <c r="HQ1311" s="855"/>
      <c r="HR1311" s="855"/>
      <c r="HS1311" s="855"/>
      <c r="HT1311" s="855"/>
      <c r="HU1311" s="855"/>
      <c r="HV1311" s="855"/>
      <c r="HW1311" s="855"/>
      <c r="HX1311" s="855"/>
      <c r="HY1311" s="855"/>
      <c r="HZ1311" s="855"/>
      <c r="IA1311" s="855"/>
      <c r="IB1311" s="855"/>
      <c r="IC1311" s="855"/>
      <c r="ID1311" s="855"/>
      <c r="IE1311" s="855"/>
      <c r="IF1311" s="855"/>
      <c r="IG1311" s="855"/>
      <c r="IH1311" s="855"/>
      <c r="II1311" s="855"/>
      <c r="IJ1311" s="855"/>
      <c r="IK1311" s="855"/>
      <c r="IL1311" s="855"/>
      <c r="IM1311" s="855"/>
      <c r="IN1311" s="855"/>
      <c r="IO1311" s="855"/>
      <c r="IP1311" s="855"/>
      <c r="IQ1311" s="855"/>
      <c r="IR1311" s="855"/>
      <c r="IS1311" s="855"/>
      <c r="IT1311" s="855"/>
      <c r="IU1311" s="855"/>
      <c r="IV1311" s="855"/>
      <c r="IW1311" s="855"/>
      <c r="IX1311" s="855"/>
      <c r="IY1311" s="855"/>
      <c r="IZ1311" s="855"/>
      <c r="JA1311" s="855"/>
      <c r="JB1311" s="855"/>
      <c r="JC1311" s="855"/>
      <c r="JD1311" s="855"/>
      <c r="JE1311" s="855"/>
      <c r="JF1311" s="855"/>
      <c r="JG1311" s="855"/>
      <c r="JH1311" s="855"/>
      <c r="JI1311" s="855"/>
      <c r="JJ1311" s="855"/>
      <c r="JK1311" s="855"/>
      <c r="JL1311" s="855"/>
      <c r="JM1311"/>
    </row>
    <row r="1312" spans="1:273" s="854" customFormat="1" hidden="1" outlineLevel="1">
      <c r="A1312" s="102" t="s">
        <v>668</v>
      </c>
      <c r="B1312" s="103"/>
      <c r="C1312" s="102"/>
      <c r="D1312" s="102"/>
      <c r="E1312" s="102"/>
      <c r="F1312" s="102"/>
      <c r="G1312" s="102"/>
      <c r="H1312" s="102"/>
      <c r="I1312" s="102"/>
      <c r="J1312" s="102"/>
      <c r="K1312" s="102"/>
      <c r="L1312" s="102"/>
      <c r="M1312" s="102"/>
      <c r="N1312" s="102"/>
      <c r="O1312" s="102"/>
      <c r="P1312" s="102"/>
      <c r="Q1312" s="102"/>
      <c r="R1312" s="102"/>
      <c r="S1312" s="102"/>
      <c r="T1312" s="102"/>
      <c r="U1312" s="102"/>
      <c r="V1312" s="102"/>
      <c r="W1312" s="102"/>
      <c r="X1312" s="102"/>
      <c r="Y1312" s="102"/>
      <c r="Z1312" s="102"/>
      <c r="AA1312" s="102"/>
      <c r="AB1312" s="102"/>
      <c r="AC1312" s="102"/>
      <c r="AD1312" s="102"/>
      <c r="AE1312" s="102"/>
      <c r="AF1312" s="102"/>
      <c r="AG1312" s="102"/>
      <c r="AH1312" s="102"/>
      <c r="AI1312" s="102"/>
      <c r="AJ1312" s="102"/>
      <c r="AK1312" s="102"/>
      <c r="AL1312" s="102"/>
      <c r="AM1312" s="102"/>
      <c r="AN1312" s="674"/>
      <c r="AO1312" s="674"/>
      <c r="AP1312" s="674"/>
      <c r="AQ1312" s="674"/>
      <c r="AR1312" s="674"/>
      <c r="AS1312" s="674"/>
      <c r="AT1312" s="674"/>
      <c r="AU1312" s="674"/>
      <c r="AV1312" s="927">
        <v>320</v>
      </c>
      <c r="AW1312" s="927">
        <v>303</v>
      </c>
      <c r="AX1312" s="818">
        <f>AV1312+AW1312</f>
        <v>623</v>
      </c>
      <c r="AY1312" s="928"/>
      <c r="AZ1312" s="927">
        <v>188</v>
      </c>
      <c r="BA1312" s="927">
        <v>382</v>
      </c>
      <c r="BB1312" s="818">
        <f>AZ1312+BA1312</f>
        <v>570</v>
      </c>
      <c r="BC1312" s="853"/>
      <c r="BD1312" s="927">
        <v>226</v>
      </c>
      <c r="BE1312" s="927">
        <v>333</v>
      </c>
      <c r="BF1312" s="818">
        <f>BD1312+BE1312</f>
        <v>559</v>
      </c>
      <c r="BG1312" s="853"/>
      <c r="BH1312" s="927">
        <v>0</v>
      </c>
      <c r="BI1312" s="927">
        <v>0</v>
      </c>
      <c r="BJ1312" s="818">
        <f>BH1312+BI1312</f>
        <v>0</v>
      </c>
      <c r="BK1312" s="853"/>
      <c r="BL1312" s="927">
        <v>0</v>
      </c>
      <c r="BM1312" s="991"/>
      <c r="BN1312" s="991"/>
      <c r="BO1312" s="991"/>
      <c r="BP1312" s="991"/>
      <c r="BQ1312" s="991"/>
      <c r="BR1312" s="853"/>
      <c r="BS1312" s="853"/>
      <c r="BT1312" s="991"/>
      <c r="BU1312" s="991"/>
      <c r="BV1312" s="853"/>
      <c r="BW1312" s="853"/>
      <c r="BX1312" s="991"/>
      <c r="BY1312" s="991"/>
      <c r="BZ1312" s="853"/>
      <c r="CA1312" s="853"/>
      <c r="CB1312" s="991"/>
      <c r="CC1312" s="991"/>
      <c r="CD1312" s="853"/>
      <c r="CE1312" s="862"/>
      <c r="CF1312" s="991"/>
      <c r="CG1312" s="991"/>
      <c r="CH1312" s="853"/>
      <c r="CI1312" s="862"/>
      <c r="CJ1312" s="991"/>
      <c r="CK1312" s="991"/>
      <c r="CL1312" s="853"/>
      <c r="CM1312" s="862"/>
      <c r="CN1312" s="991"/>
      <c r="CO1312" s="991"/>
      <c r="CP1312" s="853"/>
      <c r="CQ1312" s="862"/>
      <c r="CR1312" s="991"/>
      <c r="CS1312" s="991"/>
      <c r="CT1312" s="853"/>
      <c r="CU1312" s="853"/>
      <c r="CV1312" s="853"/>
      <c r="CW1312" s="853"/>
      <c r="CX1312" s="853"/>
      <c r="CY1312" s="853"/>
      <c r="CZ1312" s="853"/>
      <c r="DA1312" s="853"/>
      <c r="DB1312" s="853"/>
      <c r="DC1312" s="853"/>
      <c r="DD1312" s="853"/>
      <c r="DE1312" s="853"/>
      <c r="DF1312" s="853"/>
      <c r="DG1312" s="853"/>
      <c r="DH1312" s="853"/>
      <c r="DI1312" s="853"/>
      <c r="DJ1312" s="853"/>
      <c r="DK1312" s="853"/>
      <c r="DL1312" s="853"/>
      <c r="DM1312" s="853"/>
      <c r="DN1312" s="853"/>
      <c r="DO1312" s="853"/>
      <c r="DP1312" s="853"/>
      <c r="DQ1312" s="853"/>
      <c r="DR1312" s="853"/>
      <c r="DS1312" s="853"/>
      <c r="DT1312" s="853"/>
      <c r="DU1312" s="991"/>
      <c r="DV1312" s="991"/>
      <c r="DW1312" s="991"/>
      <c r="DX1312" s="853"/>
      <c r="DY1312" s="853"/>
      <c r="DZ1312" s="991"/>
      <c r="EA1312" s="991"/>
      <c r="EB1312" s="853"/>
      <c r="EC1312" s="853"/>
      <c r="ED1312" s="991"/>
      <c r="EE1312" s="991"/>
      <c r="EF1312" s="853"/>
      <c r="EG1312" s="853"/>
      <c r="EH1312" s="853"/>
      <c r="EI1312" s="853"/>
      <c r="EJ1312" s="853"/>
      <c r="EK1312" s="853"/>
      <c r="EL1312" s="853"/>
      <c r="EM1312" s="853"/>
      <c r="EN1312" s="853"/>
      <c r="EO1312" s="853"/>
      <c r="EP1312" s="853"/>
      <c r="EQ1312" s="855"/>
      <c r="ER1312" s="855"/>
      <c r="ES1312" s="855"/>
      <c r="ET1312" s="855"/>
      <c r="EU1312" s="855"/>
      <c r="EV1312" s="855"/>
      <c r="EW1312" s="855"/>
      <c r="EX1312" s="855"/>
      <c r="EY1312" s="855"/>
      <c r="EZ1312" s="855"/>
      <c r="FA1312" s="855"/>
      <c r="FB1312" s="855"/>
      <c r="FC1312" s="855"/>
      <c r="FD1312" s="855"/>
      <c r="FE1312" s="855"/>
      <c r="FF1312" s="855"/>
      <c r="FG1312" s="855"/>
      <c r="FH1312" s="855"/>
      <c r="FI1312" s="855"/>
      <c r="FJ1312" s="855"/>
      <c r="FK1312" s="855"/>
      <c r="FL1312" s="855"/>
      <c r="FM1312" s="855"/>
      <c r="FN1312" s="855"/>
      <c r="FO1312" s="855"/>
      <c r="FP1312" s="855"/>
      <c r="FQ1312" s="855"/>
      <c r="FR1312" s="855"/>
      <c r="FS1312" s="855"/>
      <c r="FT1312" s="855"/>
      <c r="FU1312" s="855"/>
      <c r="FV1312" s="855"/>
      <c r="FW1312" s="855"/>
      <c r="FX1312" s="855"/>
      <c r="FY1312" s="855"/>
      <c r="FZ1312" s="855"/>
      <c r="GA1312" s="855"/>
      <c r="GB1312" s="855"/>
      <c r="GC1312" s="855"/>
      <c r="GD1312" s="855"/>
      <c r="GE1312" s="855"/>
      <c r="GF1312" s="855"/>
      <c r="GG1312" s="855"/>
      <c r="GH1312" s="855"/>
      <c r="GI1312" s="855"/>
      <c r="GJ1312" s="855"/>
      <c r="GK1312" s="855"/>
      <c r="GL1312" s="855"/>
      <c r="GM1312" s="855"/>
      <c r="GN1312" s="855"/>
      <c r="GO1312" s="855"/>
      <c r="GP1312" s="855"/>
      <c r="GQ1312" s="855"/>
      <c r="GR1312" s="855"/>
      <c r="GS1312" s="855"/>
      <c r="GT1312" s="855"/>
      <c r="GU1312" s="855"/>
      <c r="GV1312" s="855"/>
      <c r="GW1312" s="855"/>
      <c r="GX1312" s="855"/>
      <c r="GY1312" s="855"/>
      <c r="GZ1312" s="855"/>
      <c r="HA1312" s="855"/>
      <c r="HB1312" s="855"/>
      <c r="HC1312" s="855"/>
      <c r="HD1312" s="855"/>
      <c r="HE1312" s="855"/>
      <c r="HF1312" s="855"/>
      <c r="HG1312" s="855"/>
      <c r="HH1312" s="855"/>
      <c r="HI1312" s="855"/>
      <c r="HJ1312" s="855"/>
      <c r="HK1312" s="855"/>
      <c r="HL1312" s="855"/>
      <c r="HM1312" s="855"/>
      <c r="HN1312" s="855"/>
      <c r="HO1312" s="855"/>
      <c r="HP1312" s="855"/>
      <c r="HQ1312" s="855"/>
      <c r="HR1312" s="855"/>
      <c r="HS1312" s="855"/>
      <c r="HT1312" s="855"/>
      <c r="HU1312" s="855"/>
      <c r="HV1312" s="855"/>
      <c r="HW1312" s="855"/>
      <c r="HX1312" s="855"/>
      <c r="HY1312" s="855"/>
      <c r="HZ1312" s="855"/>
      <c r="IA1312" s="855"/>
      <c r="IB1312" s="855"/>
      <c r="IC1312" s="855"/>
      <c r="ID1312" s="855"/>
      <c r="IE1312" s="855"/>
      <c r="IF1312" s="855"/>
      <c r="IG1312" s="855"/>
      <c r="IH1312" s="855"/>
      <c r="II1312" s="855"/>
      <c r="IJ1312" s="855"/>
      <c r="IK1312" s="855"/>
      <c r="IL1312" s="855"/>
      <c r="IM1312" s="855"/>
      <c r="IN1312" s="855"/>
      <c r="IO1312" s="855"/>
      <c r="IP1312" s="855"/>
      <c r="IQ1312" s="855"/>
      <c r="IR1312" s="855"/>
      <c r="IS1312" s="855"/>
      <c r="IT1312" s="855"/>
      <c r="IU1312" s="855"/>
      <c r="IV1312" s="855"/>
      <c r="IW1312" s="855"/>
      <c r="IX1312" s="855"/>
      <c r="IY1312" s="855"/>
      <c r="IZ1312" s="855"/>
      <c r="JA1312" s="855"/>
      <c r="JB1312" s="855"/>
      <c r="JC1312" s="855"/>
      <c r="JD1312" s="855"/>
      <c r="JE1312" s="855"/>
      <c r="JF1312" s="855"/>
      <c r="JG1312" s="855"/>
      <c r="JH1312" s="855"/>
      <c r="JI1312" s="855"/>
      <c r="JJ1312" s="855"/>
      <c r="JK1312" s="855"/>
      <c r="JL1312" s="855"/>
      <c r="JM1312"/>
    </row>
    <row r="1313" spans="1:273" s="854" customFormat="1" hidden="1" outlineLevel="1">
      <c r="A1313" s="102" t="s">
        <v>669</v>
      </c>
      <c r="B1313" s="103"/>
      <c r="C1313" s="102"/>
      <c r="D1313" s="102"/>
      <c r="E1313" s="102"/>
      <c r="F1313" s="102"/>
      <c r="G1313" s="102"/>
      <c r="H1313" s="102"/>
      <c r="I1313" s="102"/>
      <c r="J1313" s="102"/>
      <c r="K1313" s="102"/>
      <c r="L1313" s="102"/>
      <c r="M1313" s="102"/>
      <c r="N1313" s="102"/>
      <c r="O1313" s="102"/>
      <c r="P1313" s="102"/>
      <c r="Q1313" s="102"/>
      <c r="R1313" s="102"/>
      <c r="S1313" s="102"/>
      <c r="T1313" s="102"/>
      <c r="U1313" s="102"/>
      <c r="V1313" s="102"/>
      <c r="W1313" s="102"/>
      <c r="X1313" s="102"/>
      <c r="Y1313" s="102"/>
      <c r="Z1313" s="102"/>
      <c r="AA1313" s="102"/>
      <c r="AB1313" s="102"/>
      <c r="AC1313" s="102"/>
      <c r="AD1313" s="102"/>
      <c r="AE1313" s="102"/>
      <c r="AF1313" s="102"/>
      <c r="AG1313" s="102"/>
      <c r="AH1313" s="102"/>
      <c r="AI1313" s="102"/>
      <c r="AJ1313" s="102"/>
      <c r="AK1313" s="102"/>
      <c r="AL1313" s="102"/>
      <c r="AM1313" s="102"/>
      <c r="AN1313" s="674"/>
      <c r="AO1313" s="674"/>
      <c r="AP1313" s="674"/>
      <c r="AQ1313" s="674"/>
      <c r="AR1313" s="674"/>
      <c r="AS1313" s="674"/>
      <c r="AT1313" s="674"/>
      <c r="AU1313" s="674"/>
      <c r="AV1313" s="927">
        <v>108</v>
      </c>
      <c r="AW1313" s="927">
        <v>37</v>
      </c>
      <c r="AX1313" s="818">
        <f>AV1313+AW1313</f>
        <v>145</v>
      </c>
      <c r="AY1313" s="928"/>
      <c r="AZ1313" s="927">
        <v>83</v>
      </c>
      <c r="BA1313" s="927">
        <v>109</v>
      </c>
      <c r="BB1313" s="818">
        <f>AZ1313+BA1313</f>
        <v>192</v>
      </c>
      <c r="BC1313" s="853"/>
      <c r="BD1313" s="927">
        <v>119</v>
      </c>
      <c r="BE1313" s="927">
        <v>166</v>
      </c>
      <c r="BF1313" s="818">
        <f>BD1313+BE1313</f>
        <v>285</v>
      </c>
      <c r="BG1313" s="853"/>
      <c r="BH1313" s="927">
        <v>0</v>
      </c>
      <c r="BI1313" s="927">
        <v>0</v>
      </c>
      <c r="BJ1313" s="818">
        <f>BH1313+BI1313</f>
        <v>0</v>
      </c>
      <c r="BK1313" s="853"/>
      <c r="BL1313" s="927">
        <v>0</v>
      </c>
      <c r="BM1313" s="991"/>
      <c r="BN1313" s="991"/>
      <c r="BO1313" s="991"/>
      <c r="BP1313" s="991"/>
      <c r="BQ1313" s="991"/>
      <c r="BR1313" s="853"/>
      <c r="BS1313" s="853"/>
      <c r="BT1313" s="991"/>
      <c r="BU1313" s="991"/>
      <c r="BV1313" s="853"/>
      <c r="BW1313" s="853"/>
      <c r="BX1313" s="991"/>
      <c r="BY1313" s="991"/>
      <c r="BZ1313" s="853"/>
      <c r="CA1313" s="853"/>
      <c r="CB1313" s="991"/>
      <c r="CC1313" s="991"/>
      <c r="CD1313" s="853"/>
      <c r="CE1313" s="862"/>
      <c r="CF1313" s="991"/>
      <c r="CG1313" s="991"/>
      <c r="CH1313" s="853"/>
      <c r="CI1313" s="862"/>
      <c r="CJ1313" s="991"/>
      <c r="CK1313" s="991"/>
      <c r="CL1313" s="853"/>
      <c r="CM1313" s="862"/>
      <c r="CN1313" s="991"/>
      <c r="CO1313" s="991"/>
      <c r="CP1313" s="853"/>
      <c r="CQ1313" s="862"/>
      <c r="CR1313" s="991"/>
      <c r="CS1313" s="991"/>
      <c r="CT1313" s="853"/>
      <c r="CU1313" s="853"/>
      <c r="CV1313" s="853"/>
      <c r="CW1313" s="853"/>
      <c r="CX1313" s="853"/>
      <c r="CY1313" s="853"/>
      <c r="CZ1313" s="853"/>
      <c r="DA1313" s="853"/>
      <c r="DB1313" s="853"/>
      <c r="DC1313" s="853"/>
      <c r="DD1313" s="853"/>
      <c r="DE1313" s="853"/>
      <c r="DF1313" s="853"/>
      <c r="DG1313" s="853"/>
      <c r="DH1313" s="853"/>
      <c r="DI1313" s="853"/>
      <c r="DJ1313" s="853"/>
      <c r="DK1313" s="853"/>
      <c r="DL1313" s="853"/>
      <c r="DM1313" s="853"/>
      <c r="DN1313" s="853"/>
      <c r="DO1313" s="853"/>
      <c r="DP1313" s="853"/>
      <c r="DQ1313" s="853"/>
      <c r="DR1313" s="853"/>
      <c r="DS1313" s="853"/>
      <c r="DT1313" s="853"/>
      <c r="DU1313" s="991"/>
      <c r="DV1313" s="991"/>
      <c r="DW1313" s="991"/>
      <c r="DX1313" s="853"/>
      <c r="DY1313" s="853"/>
      <c r="DZ1313" s="991"/>
      <c r="EA1313" s="991"/>
      <c r="EB1313" s="853"/>
      <c r="EC1313" s="853"/>
      <c r="ED1313" s="991"/>
      <c r="EE1313" s="991"/>
      <c r="EF1313" s="853"/>
      <c r="EG1313" s="853"/>
      <c r="EH1313" s="853"/>
      <c r="EI1313" s="853"/>
      <c r="EJ1313" s="853"/>
      <c r="EK1313" s="853"/>
      <c r="EL1313" s="853"/>
      <c r="EM1313" s="853"/>
      <c r="EN1313" s="853"/>
      <c r="EO1313" s="853"/>
      <c r="EP1313" s="853"/>
      <c r="EQ1313" s="855"/>
      <c r="ER1313" s="855"/>
      <c r="ES1313" s="855"/>
      <c r="ET1313" s="855"/>
      <c r="EU1313" s="855"/>
      <c r="EV1313" s="855"/>
      <c r="EW1313" s="855"/>
      <c r="EX1313" s="855"/>
      <c r="EY1313" s="855"/>
      <c r="EZ1313" s="855"/>
      <c r="FA1313" s="855"/>
      <c r="FB1313" s="855"/>
      <c r="FC1313" s="855"/>
      <c r="FD1313" s="855"/>
      <c r="FE1313" s="855"/>
      <c r="FF1313" s="855"/>
      <c r="FG1313" s="855"/>
      <c r="FH1313" s="855"/>
      <c r="FI1313" s="855"/>
      <c r="FJ1313" s="855"/>
      <c r="FK1313" s="855"/>
      <c r="FL1313" s="855"/>
      <c r="FM1313" s="855"/>
      <c r="FN1313" s="855"/>
      <c r="FO1313" s="855"/>
      <c r="FP1313" s="855"/>
      <c r="FQ1313" s="855"/>
      <c r="FR1313" s="855"/>
      <c r="FS1313" s="855"/>
      <c r="FT1313" s="855"/>
      <c r="FU1313" s="855"/>
      <c r="FV1313" s="855"/>
      <c r="FW1313" s="855"/>
      <c r="FX1313" s="855"/>
      <c r="FY1313" s="855"/>
      <c r="FZ1313" s="855"/>
      <c r="GA1313" s="855"/>
      <c r="GB1313" s="855"/>
      <c r="GC1313" s="855"/>
      <c r="GD1313" s="855"/>
      <c r="GE1313" s="855"/>
      <c r="GF1313" s="855"/>
      <c r="GG1313" s="855"/>
      <c r="GH1313" s="855"/>
      <c r="GI1313" s="855"/>
      <c r="GJ1313" s="855"/>
      <c r="GK1313" s="855"/>
      <c r="GL1313" s="855"/>
      <c r="GM1313" s="855"/>
      <c r="GN1313" s="855"/>
      <c r="GO1313" s="855"/>
      <c r="GP1313" s="855"/>
      <c r="GQ1313" s="855"/>
      <c r="GR1313" s="855"/>
      <c r="GS1313" s="855"/>
      <c r="GT1313" s="855"/>
      <c r="GU1313" s="855"/>
      <c r="GV1313" s="855"/>
      <c r="GW1313" s="855"/>
      <c r="GX1313" s="855"/>
      <c r="GY1313" s="855"/>
      <c r="GZ1313" s="855"/>
      <c r="HA1313" s="855"/>
      <c r="HB1313" s="855"/>
      <c r="HC1313" s="855"/>
      <c r="HD1313" s="855"/>
      <c r="HE1313" s="855"/>
      <c r="HF1313" s="855"/>
      <c r="HG1313" s="855"/>
      <c r="HH1313" s="855"/>
      <c r="HI1313" s="855"/>
      <c r="HJ1313" s="855"/>
      <c r="HK1313" s="855"/>
      <c r="HL1313" s="855"/>
      <c r="HM1313" s="855"/>
      <c r="HN1313" s="855"/>
      <c r="HO1313" s="855"/>
      <c r="HP1313" s="855"/>
      <c r="HQ1313" s="855"/>
      <c r="HR1313" s="855"/>
      <c r="HS1313" s="855"/>
      <c r="HT1313" s="855"/>
      <c r="HU1313" s="855"/>
      <c r="HV1313" s="855"/>
      <c r="HW1313" s="855"/>
      <c r="HX1313" s="855"/>
      <c r="HY1313" s="855"/>
      <c r="HZ1313" s="855"/>
      <c r="IA1313" s="855"/>
      <c r="IB1313" s="855"/>
      <c r="IC1313" s="855"/>
      <c r="ID1313" s="855"/>
      <c r="IE1313" s="855"/>
      <c r="IF1313" s="855"/>
      <c r="IG1313" s="855"/>
      <c r="IH1313" s="855"/>
      <c r="II1313" s="855"/>
      <c r="IJ1313" s="855"/>
      <c r="IK1313" s="855"/>
      <c r="IL1313" s="855"/>
      <c r="IM1313" s="855"/>
      <c r="IN1313" s="855"/>
      <c r="IO1313" s="855"/>
      <c r="IP1313" s="855"/>
      <c r="IQ1313" s="855"/>
      <c r="IR1313" s="855"/>
      <c r="IS1313" s="855"/>
      <c r="IT1313" s="855"/>
      <c r="IU1313" s="855"/>
      <c r="IV1313" s="855"/>
      <c r="IW1313" s="855"/>
      <c r="IX1313" s="855"/>
      <c r="IY1313" s="855"/>
      <c r="IZ1313" s="855"/>
      <c r="JA1313" s="855"/>
      <c r="JB1313" s="855"/>
      <c r="JC1313" s="855"/>
      <c r="JD1313" s="855"/>
      <c r="JE1313" s="855"/>
      <c r="JF1313" s="855"/>
      <c r="JG1313" s="855"/>
      <c r="JH1313" s="855"/>
      <c r="JI1313" s="855"/>
      <c r="JJ1313" s="855"/>
      <c r="JK1313" s="855"/>
      <c r="JL1313" s="855"/>
      <c r="JM1313"/>
    </row>
    <row r="1314" spans="1:273" s="854" customFormat="1" hidden="1" outlineLevel="1">
      <c r="A1314" s="102" t="s">
        <v>670</v>
      </c>
      <c r="B1314" s="103"/>
      <c r="C1314" s="102"/>
      <c r="D1314" s="102"/>
      <c r="E1314" s="102"/>
      <c r="F1314" s="102"/>
      <c r="G1314" s="102"/>
      <c r="H1314" s="102"/>
      <c r="I1314" s="102"/>
      <c r="J1314" s="102"/>
      <c r="K1314" s="102"/>
      <c r="L1314" s="102"/>
      <c r="M1314" s="102"/>
      <c r="N1314" s="102"/>
      <c r="O1314" s="102"/>
      <c r="P1314" s="102"/>
      <c r="Q1314" s="102"/>
      <c r="R1314" s="102"/>
      <c r="S1314" s="102"/>
      <c r="T1314" s="102"/>
      <c r="U1314" s="102"/>
      <c r="V1314" s="102"/>
      <c r="W1314" s="102"/>
      <c r="X1314" s="102"/>
      <c r="Y1314" s="102"/>
      <c r="Z1314" s="102"/>
      <c r="AA1314" s="102"/>
      <c r="AB1314" s="102"/>
      <c r="AC1314" s="102"/>
      <c r="AD1314" s="102"/>
      <c r="AE1314" s="102"/>
      <c r="AF1314" s="102"/>
      <c r="AG1314" s="102"/>
      <c r="AH1314" s="102"/>
      <c r="AI1314" s="102"/>
      <c r="AJ1314" s="102"/>
      <c r="AK1314" s="102"/>
      <c r="AL1314" s="102"/>
      <c r="AM1314" s="102"/>
      <c r="AN1314" s="674"/>
      <c r="AO1314" s="674"/>
      <c r="AP1314" s="674"/>
      <c r="AQ1314" s="674"/>
      <c r="AR1314" s="674"/>
      <c r="AS1314" s="674"/>
      <c r="AT1314" s="674"/>
      <c r="AU1314" s="674"/>
      <c r="AV1314" s="927">
        <v>62</v>
      </c>
      <c r="AW1314" s="927">
        <v>209</v>
      </c>
      <c r="AX1314" s="818">
        <f>AV1314+AW1314</f>
        <v>271</v>
      </c>
      <c r="AY1314" s="928"/>
      <c r="AZ1314" s="927">
        <v>187</v>
      </c>
      <c r="BA1314" s="927">
        <v>80</v>
      </c>
      <c r="BB1314" s="818">
        <f>AZ1314+BA1314</f>
        <v>267</v>
      </c>
      <c r="BC1314" s="853"/>
      <c r="BD1314" s="927">
        <v>-78</v>
      </c>
      <c r="BE1314" s="927">
        <v>75</v>
      </c>
      <c r="BF1314" s="818">
        <f>BD1314+BE1314</f>
        <v>-3</v>
      </c>
      <c r="BG1314" s="853"/>
      <c r="BH1314" s="927">
        <v>0</v>
      </c>
      <c r="BI1314" s="927">
        <v>0</v>
      </c>
      <c r="BJ1314" s="818">
        <f>BH1314+BI1314</f>
        <v>0</v>
      </c>
      <c r="BK1314" s="853"/>
      <c r="BL1314" s="927">
        <v>0</v>
      </c>
      <c r="BM1314" s="991"/>
      <c r="BN1314" s="991"/>
      <c r="BO1314" s="991"/>
      <c r="BP1314" s="991"/>
      <c r="BQ1314" s="991"/>
      <c r="BR1314" s="853"/>
      <c r="BS1314" s="853"/>
      <c r="BT1314" s="991"/>
      <c r="BU1314" s="991"/>
      <c r="BV1314" s="853"/>
      <c r="BW1314" s="853"/>
      <c r="BX1314" s="991"/>
      <c r="BY1314" s="991"/>
      <c r="BZ1314" s="853"/>
      <c r="CA1314" s="853"/>
      <c r="CB1314" s="991"/>
      <c r="CC1314" s="991"/>
      <c r="CD1314" s="853"/>
      <c r="CE1314" s="862"/>
      <c r="CF1314" s="991"/>
      <c r="CG1314" s="991"/>
      <c r="CH1314" s="853"/>
      <c r="CI1314" s="862"/>
      <c r="CJ1314" s="991"/>
      <c r="CK1314" s="991"/>
      <c r="CL1314" s="853"/>
      <c r="CM1314" s="862"/>
      <c r="CN1314" s="991"/>
      <c r="CO1314" s="991"/>
      <c r="CP1314" s="853"/>
      <c r="CQ1314" s="862"/>
      <c r="CR1314" s="991"/>
      <c r="CS1314" s="991"/>
      <c r="CT1314" s="853"/>
      <c r="CU1314" s="853"/>
      <c r="CV1314" s="853"/>
      <c r="CW1314" s="853"/>
      <c r="CX1314" s="853"/>
      <c r="CY1314" s="853"/>
      <c r="CZ1314" s="853"/>
      <c r="DA1314" s="853"/>
      <c r="DB1314" s="853"/>
      <c r="DC1314" s="853"/>
      <c r="DD1314" s="853"/>
      <c r="DE1314" s="853"/>
      <c r="DF1314" s="853"/>
      <c r="DG1314" s="853"/>
      <c r="DH1314" s="853"/>
      <c r="DI1314" s="853"/>
      <c r="DJ1314" s="853"/>
      <c r="DK1314" s="853"/>
      <c r="DL1314" s="853"/>
      <c r="DM1314" s="853"/>
      <c r="DN1314" s="853"/>
      <c r="DO1314" s="853"/>
      <c r="DP1314" s="853"/>
      <c r="DQ1314" s="853"/>
      <c r="DR1314" s="853"/>
      <c r="DS1314" s="853"/>
      <c r="DT1314" s="853"/>
      <c r="DU1314" s="991"/>
      <c r="DV1314" s="991"/>
      <c r="DW1314" s="991"/>
      <c r="DX1314" s="853"/>
      <c r="DY1314" s="853"/>
      <c r="DZ1314" s="991"/>
      <c r="EA1314" s="991"/>
      <c r="EB1314" s="853"/>
      <c r="EC1314" s="853"/>
      <c r="ED1314" s="991"/>
      <c r="EE1314" s="991"/>
      <c r="EF1314" s="853"/>
      <c r="EG1314" s="853"/>
      <c r="EH1314" s="853"/>
      <c r="EI1314" s="853"/>
      <c r="EJ1314" s="853"/>
      <c r="EK1314" s="853"/>
      <c r="EL1314" s="853"/>
      <c r="EM1314" s="853"/>
      <c r="EN1314" s="853"/>
      <c r="EO1314" s="853"/>
      <c r="EP1314" s="853"/>
      <c r="EQ1314" s="855"/>
      <c r="ER1314" s="855"/>
      <c r="ES1314" s="855"/>
      <c r="ET1314" s="855"/>
      <c r="EU1314" s="855"/>
      <c r="EV1314" s="855"/>
      <c r="EW1314" s="855"/>
      <c r="EX1314" s="855"/>
      <c r="EY1314" s="855"/>
      <c r="EZ1314" s="855"/>
      <c r="FA1314" s="855"/>
      <c r="FB1314" s="855"/>
      <c r="FC1314" s="855"/>
      <c r="FD1314" s="855"/>
      <c r="FE1314" s="855"/>
      <c r="FF1314" s="855"/>
      <c r="FG1314" s="855"/>
      <c r="FH1314" s="855"/>
      <c r="FI1314" s="855"/>
      <c r="FJ1314" s="855"/>
      <c r="FK1314" s="855"/>
      <c r="FL1314" s="855"/>
      <c r="FM1314" s="855"/>
      <c r="FN1314" s="855"/>
      <c r="FO1314" s="855"/>
      <c r="FP1314" s="855"/>
      <c r="FQ1314" s="855"/>
      <c r="FR1314" s="855"/>
      <c r="FS1314" s="855"/>
      <c r="FT1314" s="855"/>
      <c r="FU1314" s="855"/>
      <c r="FV1314" s="855"/>
      <c r="FW1314" s="855"/>
      <c r="FX1314" s="855"/>
      <c r="FY1314" s="855"/>
      <c r="FZ1314" s="855"/>
      <c r="GA1314" s="855"/>
      <c r="GB1314" s="855"/>
      <c r="GC1314" s="855"/>
      <c r="GD1314" s="855"/>
      <c r="GE1314" s="855"/>
      <c r="GF1314" s="855"/>
      <c r="GG1314" s="855"/>
      <c r="GH1314" s="855"/>
      <c r="GI1314" s="855"/>
      <c r="GJ1314" s="855"/>
      <c r="GK1314" s="855"/>
      <c r="GL1314" s="855"/>
      <c r="GM1314" s="855"/>
      <c r="GN1314" s="855"/>
      <c r="GO1314" s="855"/>
      <c r="GP1314" s="855"/>
      <c r="GQ1314" s="855"/>
      <c r="GR1314" s="855"/>
      <c r="GS1314" s="855"/>
      <c r="GT1314" s="855"/>
      <c r="GU1314" s="855"/>
      <c r="GV1314" s="855"/>
      <c r="GW1314" s="855"/>
      <c r="GX1314" s="855"/>
      <c r="GY1314" s="855"/>
      <c r="GZ1314" s="855"/>
      <c r="HA1314" s="855"/>
      <c r="HB1314" s="855"/>
      <c r="HC1314" s="855"/>
      <c r="HD1314" s="855"/>
      <c r="HE1314" s="855"/>
      <c r="HF1314" s="855"/>
      <c r="HG1314" s="855"/>
      <c r="HH1314" s="855"/>
      <c r="HI1314" s="855"/>
      <c r="HJ1314" s="855"/>
      <c r="HK1314" s="855"/>
      <c r="HL1314" s="855"/>
      <c r="HM1314" s="855"/>
      <c r="HN1314" s="855"/>
      <c r="HO1314" s="855"/>
      <c r="HP1314" s="855"/>
      <c r="HQ1314" s="855"/>
      <c r="HR1314" s="855"/>
      <c r="HS1314" s="855"/>
      <c r="HT1314" s="855"/>
      <c r="HU1314" s="855"/>
      <c r="HV1314" s="855"/>
      <c r="HW1314" s="855"/>
      <c r="HX1314" s="855"/>
      <c r="HY1314" s="855"/>
      <c r="HZ1314" s="855"/>
      <c r="IA1314" s="855"/>
      <c r="IB1314" s="855"/>
      <c r="IC1314" s="855"/>
      <c r="ID1314" s="855"/>
      <c r="IE1314" s="855"/>
      <c r="IF1314" s="855"/>
      <c r="IG1314" s="855"/>
      <c r="IH1314" s="855"/>
      <c r="II1314" s="855"/>
      <c r="IJ1314" s="855"/>
      <c r="IK1314" s="855"/>
      <c r="IL1314" s="855"/>
      <c r="IM1314" s="855"/>
      <c r="IN1314" s="855"/>
      <c r="IO1314" s="855"/>
      <c r="IP1314" s="855"/>
      <c r="IQ1314" s="855"/>
      <c r="IR1314" s="855"/>
      <c r="IS1314" s="855"/>
      <c r="IT1314" s="855"/>
      <c r="IU1314" s="855"/>
      <c r="IV1314" s="855"/>
      <c r="IW1314" s="855"/>
      <c r="IX1314" s="855"/>
      <c r="IY1314" s="855"/>
      <c r="IZ1314" s="855"/>
      <c r="JA1314" s="855"/>
      <c r="JB1314" s="855"/>
      <c r="JC1314" s="855"/>
      <c r="JD1314" s="855"/>
      <c r="JE1314" s="855"/>
      <c r="JF1314" s="855"/>
      <c r="JG1314" s="855"/>
      <c r="JH1314" s="855"/>
      <c r="JI1314" s="855"/>
      <c r="JJ1314" s="855"/>
      <c r="JK1314" s="855"/>
      <c r="JL1314" s="855"/>
      <c r="JM1314"/>
    </row>
    <row r="1315" spans="1:273" s="855" customFormat="1" hidden="1" outlineLevel="1">
      <c r="A1315" s="289" t="s">
        <v>613</v>
      </c>
      <c r="B1315" s="290"/>
      <c r="C1315" s="289"/>
      <c r="D1315" s="289"/>
      <c r="E1315" s="289"/>
      <c r="F1315" s="289"/>
      <c r="G1315" s="289"/>
      <c r="H1315" s="289"/>
      <c r="I1315" s="289"/>
      <c r="J1315" s="289"/>
      <c r="K1315" s="289"/>
      <c r="L1315" s="289"/>
      <c r="M1315" s="289"/>
      <c r="N1315" s="289"/>
      <c r="O1315" s="289"/>
      <c r="P1315" s="289"/>
      <c r="Q1315" s="289"/>
      <c r="R1315" s="289"/>
      <c r="S1315" s="289"/>
      <c r="T1315" s="289"/>
      <c r="U1315" s="289"/>
      <c r="V1315" s="289"/>
      <c r="W1315" s="289"/>
      <c r="X1315" s="289"/>
      <c r="Y1315" s="289"/>
      <c r="Z1315" s="289"/>
      <c r="AA1315" s="289"/>
      <c r="AB1315" s="289"/>
      <c r="AC1315" s="289"/>
      <c r="AD1315" s="289"/>
      <c r="AE1315" s="289"/>
      <c r="AF1315" s="289"/>
      <c r="AG1315" s="289"/>
      <c r="AH1315" s="289"/>
      <c r="AI1315" s="289"/>
      <c r="AJ1315" s="289"/>
      <c r="AK1315" s="289"/>
      <c r="AL1315" s="289"/>
      <c r="AM1315" s="289"/>
      <c r="AN1315" s="290"/>
      <c r="AO1315" s="290"/>
      <c r="AP1315" s="290"/>
      <c r="AQ1315" s="290"/>
      <c r="AR1315" s="290">
        <f>SUM(AR1311:AR1314)</f>
        <v>0</v>
      </c>
      <c r="AS1315" s="290">
        <f>SUM(AS1311:AS1314)</f>
        <v>0</v>
      </c>
      <c r="AT1315" s="290"/>
      <c r="AU1315" s="290"/>
      <c r="AV1315" s="290">
        <f>SUM(AV1311:AV1314)</f>
        <v>897</v>
      </c>
      <c r="AW1315" s="290">
        <f>SUM(AW1311:AW1314)</f>
        <v>732</v>
      </c>
      <c r="AX1315" s="295">
        <f>AV1315+AW1315</f>
        <v>1629</v>
      </c>
      <c r="AY1315" s="853"/>
      <c r="AZ1315" s="295">
        <f>SUM(AZ1311:AZ1314)</f>
        <v>636</v>
      </c>
      <c r="BA1315" s="295">
        <f>SUM(BA1311:BA1314)</f>
        <v>785</v>
      </c>
      <c r="BB1315" s="295">
        <f>AZ1315+BA1315</f>
        <v>1421</v>
      </c>
      <c r="BC1315" s="295"/>
      <c r="BD1315" s="295">
        <f>SUM(BD1311:BD1314)</f>
        <v>396</v>
      </c>
      <c r="BE1315" s="295">
        <f>SUM(BE1311:BE1314)</f>
        <v>663</v>
      </c>
      <c r="BF1315" s="295">
        <f>BD1315+BE1315</f>
        <v>1059</v>
      </c>
      <c r="BG1315" s="295"/>
      <c r="BH1315" s="295">
        <f>SUM(BH1311:BH1314)</f>
        <v>555</v>
      </c>
      <c r="BI1315" s="295">
        <f>SUM(BI1311:BI1314)</f>
        <v>679</v>
      </c>
      <c r="BJ1315" s="295">
        <f>BH1315+BI1315</f>
        <v>1234</v>
      </c>
      <c r="BK1315" s="295"/>
      <c r="BL1315" s="295">
        <f>SUM(BL1311:BL1314)</f>
        <v>591</v>
      </c>
      <c r="BM1315" s="295"/>
      <c r="BN1315" s="295"/>
      <c r="BO1315" s="295"/>
      <c r="BP1315" s="295"/>
      <c r="BQ1315" s="295"/>
      <c r="BR1315" s="295"/>
      <c r="BS1315" s="295"/>
      <c r="BT1315" s="295"/>
      <c r="BU1315" s="295"/>
      <c r="BV1315" s="295"/>
      <c r="BW1315" s="295"/>
      <c r="BX1315" s="295"/>
      <c r="BY1315" s="295"/>
      <c r="BZ1315" s="295"/>
      <c r="CA1315" s="295"/>
      <c r="CB1315" s="295"/>
      <c r="CC1315" s="295"/>
      <c r="CD1315" s="295"/>
      <c r="CE1315" s="791"/>
      <c r="CF1315" s="295"/>
      <c r="CG1315" s="295"/>
      <c r="CH1315" s="295"/>
      <c r="CI1315" s="791"/>
      <c r="CJ1315" s="295"/>
      <c r="CK1315" s="295"/>
      <c r="CL1315" s="295"/>
      <c r="CM1315" s="791"/>
      <c r="CN1315" s="295"/>
      <c r="CO1315" s="295"/>
      <c r="CP1315" s="295"/>
      <c r="CQ1315" s="791"/>
      <c r="CR1315" s="295"/>
      <c r="CS1315" s="295"/>
      <c r="CT1315" s="295"/>
      <c r="CU1315" s="295"/>
      <c r="CV1315" s="295"/>
      <c r="CW1315" s="295"/>
      <c r="CX1315" s="295"/>
      <c r="CY1315" s="295"/>
      <c r="CZ1315" s="295"/>
      <c r="DA1315" s="295"/>
      <c r="DB1315" s="295"/>
      <c r="DC1315" s="295"/>
      <c r="DD1315" s="295"/>
      <c r="DE1315" s="295"/>
      <c r="DF1315" s="295"/>
      <c r="DG1315" s="295"/>
      <c r="DH1315" s="295"/>
      <c r="DI1315" s="295"/>
      <c r="DJ1315" s="295"/>
      <c r="DK1315" s="295"/>
      <c r="DL1315" s="295"/>
      <c r="DM1315" s="295"/>
      <c r="DN1315" s="295"/>
      <c r="DO1315" s="295"/>
      <c r="DP1315" s="295"/>
      <c r="DQ1315" s="295"/>
      <c r="DR1315" s="295"/>
      <c r="DS1315" s="295"/>
      <c r="DT1315" s="295"/>
      <c r="DU1315" s="295"/>
      <c r="DV1315" s="295"/>
      <c r="DW1315" s="295"/>
      <c r="DX1315" s="853"/>
      <c r="DY1315" s="853"/>
      <c r="DZ1315" s="295"/>
      <c r="EA1315" s="295"/>
      <c r="EB1315" s="853"/>
      <c r="EC1315" s="853"/>
      <c r="ED1315" s="295"/>
      <c r="EE1315" s="295"/>
      <c r="EF1315" s="853"/>
      <c r="EG1315" s="853"/>
      <c r="EH1315" s="853"/>
      <c r="EI1315" s="853"/>
      <c r="EJ1315" s="853"/>
      <c r="EK1315" s="853"/>
      <c r="EL1315" s="853"/>
      <c r="EM1315" s="853"/>
      <c r="EN1315" s="853"/>
      <c r="EO1315" s="853"/>
      <c r="EP1315" s="853"/>
      <c r="JM1315"/>
    </row>
    <row r="1316" spans="1:273" s="854" customFormat="1" hidden="1" outlineLevel="1">
      <c r="A1316" s="102"/>
      <c r="B1316" s="103"/>
      <c r="C1316" s="102"/>
      <c r="D1316" s="102"/>
      <c r="E1316" s="102"/>
      <c r="F1316" s="102"/>
      <c r="G1316" s="102"/>
      <c r="H1316" s="102"/>
      <c r="I1316" s="102"/>
      <c r="J1316" s="102"/>
      <c r="K1316" s="102"/>
      <c r="L1316" s="102"/>
      <c r="M1316" s="102"/>
      <c r="N1316" s="102"/>
      <c r="O1316" s="102"/>
      <c r="P1316" s="102"/>
      <c r="Q1316" s="102"/>
      <c r="R1316" s="102"/>
      <c r="S1316" s="102"/>
      <c r="T1316" s="102"/>
      <c r="U1316" s="102"/>
      <c r="V1316" s="102"/>
      <c r="W1316" s="102"/>
      <c r="X1316" s="102"/>
      <c r="Y1316" s="102"/>
      <c r="Z1316" s="102"/>
      <c r="AA1316" s="102"/>
      <c r="AB1316" s="102"/>
      <c r="AC1316" s="102"/>
      <c r="AD1316" s="102"/>
      <c r="AE1316" s="102"/>
      <c r="AF1316" s="102"/>
      <c r="AG1316" s="102"/>
      <c r="AH1316" s="102"/>
      <c r="AI1316" s="102"/>
      <c r="AJ1316" s="102"/>
      <c r="AK1316" s="102"/>
      <c r="AL1316" s="102"/>
      <c r="AM1316" s="102"/>
      <c r="AN1316" s="290"/>
      <c r="AO1316" s="290"/>
      <c r="AP1316" s="290"/>
      <c r="AQ1316" s="290"/>
      <c r="AR1316" s="290"/>
      <c r="AS1316" s="290"/>
      <c r="AT1316" s="290"/>
      <c r="AU1316" s="290"/>
      <c r="AV1316" s="818"/>
      <c r="AW1316" s="818"/>
      <c r="AX1316" s="853"/>
      <c r="AY1316" s="853"/>
      <c r="AZ1316" s="818"/>
      <c r="BA1316" s="850"/>
      <c r="BB1316" s="853"/>
      <c r="BC1316" s="853"/>
      <c r="BD1316" s="850"/>
      <c r="BE1316" s="850"/>
      <c r="BF1316" s="853"/>
      <c r="BG1316" s="853"/>
      <c r="BH1316" s="850"/>
      <c r="BI1316" s="850"/>
      <c r="BJ1316" s="853"/>
      <c r="BK1316" s="853"/>
      <c r="BL1316" s="850"/>
      <c r="BM1316" s="850"/>
      <c r="BN1316" s="850"/>
      <c r="BO1316" s="850"/>
      <c r="BP1316" s="850"/>
      <c r="BQ1316" s="850"/>
      <c r="BR1316" s="853"/>
      <c r="BS1316" s="853"/>
      <c r="BT1316" s="850"/>
      <c r="BU1316" s="850"/>
      <c r="BV1316" s="853"/>
      <c r="BW1316" s="853"/>
      <c r="BX1316" s="850"/>
      <c r="BY1316" s="850"/>
      <c r="BZ1316" s="853"/>
      <c r="CA1316" s="853"/>
      <c r="CB1316" s="850"/>
      <c r="CC1316" s="850"/>
      <c r="CD1316" s="853"/>
      <c r="CE1316" s="862"/>
      <c r="CF1316" s="850"/>
      <c r="CG1316" s="850"/>
      <c r="CH1316" s="853"/>
      <c r="CI1316" s="862"/>
      <c r="CJ1316" s="850"/>
      <c r="CK1316" s="850"/>
      <c r="CL1316" s="853"/>
      <c r="CM1316" s="862"/>
      <c r="CN1316" s="850"/>
      <c r="CO1316" s="850"/>
      <c r="CP1316" s="853"/>
      <c r="CQ1316" s="862"/>
      <c r="CR1316" s="850"/>
      <c r="CS1316" s="850"/>
      <c r="CT1316" s="853"/>
      <c r="CU1316" s="853"/>
      <c r="CV1316" s="853"/>
      <c r="CW1316" s="853"/>
      <c r="CX1316" s="853"/>
      <c r="CY1316" s="853"/>
      <c r="CZ1316" s="853"/>
      <c r="DA1316" s="853"/>
      <c r="DB1316" s="853"/>
      <c r="DC1316" s="853"/>
      <c r="DD1316" s="853"/>
      <c r="DE1316" s="853"/>
      <c r="DF1316" s="853"/>
      <c r="DG1316" s="853"/>
      <c r="DH1316" s="853"/>
      <c r="DI1316" s="853"/>
      <c r="DJ1316" s="853"/>
      <c r="DK1316" s="853"/>
      <c r="DL1316" s="853"/>
      <c r="DM1316" s="853"/>
      <c r="DN1316" s="853"/>
      <c r="DO1316" s="853"/>
      <c r="DP1316" s="853"/>
      <c r="DQ1316" s="853"/>
      <c r="DR1316" s="853"/>
      <c r="DS1316" s="853"/>
      <c r="DT1316" s="853"/>
      <c r="DU1316" s="850"/>
      <c r="DV1316" s="850"/>
      <c r="DW1316" s="850"/>
      <c r="DX1316" s="853"/>
      <c r="DY1316" s="853"/>
      <c r="DZ1316" s="850"/>
      <c r="EA1316" s="850"/>
      <c r="EB1316" s="853"/>
      <c r="EC1316" s="853"/>
      <c r="ED1316" s="850"/>
      <c r="EE1316" s="850"/>
      <c r="EF1316" s="853"/>
      <c r="EG1316" s="853"/>
      <c r="EH1316" s="853"/>
      <c r="EI1316" s="853"/>
      <c r="EJ1316" s="853"/>
      <c r="EK1316" s="853"/>
      <c r="EL1316" s="853"/>
      <c r="EM1316" s="853"/>
      <c r="EN1316" s="853"/>
      <c r="EO1316" s="853"/>
      <c r="EP1316" s="853"/>
      <c r="EQ1316" s="855"/>
      <c r="ER1316" s="855"/>
      <c r="ES1316" s="855"/>
      <c r="ET1316" s="855"/>
      <c r="EU1316" s="855"/>
      <c r="EV1316" s="855"/>
      <c r="EW1316" s="855"/>
      <c r="EX1316" s="855"/>
      <c r="EY1316" s="855"/>
      <c r="EZ1316" s="855"/>
      <c r="FA1316" s="855"/>
      <c r="FB1316" s="855"/>
      <c r="FC1316" s="855"/>
      <c r="FD1316" s="855"/>
      <c r="FE1316" s="855"/>
      <c r="FF1316" s="855"/>
      <c r="FG1316" s="855"/>
      <c r="FH1316" s="855"/>
      <c r="FI1316" s="855"/>
      <c r="FJ1316" s="855"/>
      <c r="FK1316" s="855"/>
      <c r="FL1316" s="855"/>
      <c r="FM1316" s="855"/>
      <c r="FN1316" s="855"/>
      <c r="FO1316" s="855"/>
      <c r="FP1316" s="855"/>
      <c r="FQ1316" s="855"/>
      <c r="FR1316" s="855"/>
      <c r="FS1316" s="855"/>
      <c r="FT1316" s="855"/>
      <c r="FU1316" s="855"/>
      <c r="FV1316" s="855"/>
      <c r="FW1316" s="855"/>
      <c r="FX1316" s="855"/>
      <c r="FY1316" s="855"/>
      <c r="FZ1316" s="855"/>
      <c r="GA1316" s="855"/>
      <c r="GB1316" s="855"/>
      <c r="GC1316" s="855"/>
      <c r="GD1316" s="855"/>
      <c r="GE1316" s="855"/>
      <c r="GF1316" s="855"/>
      <c r="GG1316" s="855"/>
      <c r="GH1316" s="855"/>
      <c r="GI1316" s="855"/>
      <c r="GJ1316" s="855"/>
      <c r="GK1316" s="855"/>
      <c r="GL1316" s="855"/>
      <c r="GM1316" s="855"/>
      <c r="GN1316" s="855"/>
      <c r="GO1316" s="855"/>
      <c r="GP1316" s="855"/>
      <c r="GQ1316" s="855"/>
      <c r="GR1316" s="855"/>
      <c r="GS1316" s="855"/>
      <c r="GT1316" s="855"/>
      <c r="GU1316" s="855"/>
      <c r="GV1316" s="855"/>
      <c r="GW1316" s="855"/>
      <c r="GX1316" s="855"/>
      <c r="GY1316" s="855"/>
      <c r="GZ1316" s="855"/>
      <c r="HA1316" s="855"/>
      <c r="HB1316" s="855"/>
      <c r="HC1316" s="855"/>
      <c r="HD1316" s="855"/>
      <c r="HE1316" s="855"/>
      <c r="HF1316" s="855"/>
      <c r="HG1316" s="855"/>
      <c r="HH1316" s="855"/>
      <c r="HI1316" s="855"/>
      <c r="HJ1316" s="855"/>
      <c r="HK1316" s="855"/>
      <c r="HL1316" s="855"/>
      <c r="HM1316" s="855"/>
      <c r="HN1316" s="855"/>
      <c r="HO1316" s="855"/>
      <c r="HP1316" s="855"/>
      <c r="HQ1316" s="855"/>
      <c r="HR1316" s="855"/>
      <c r="HS1316" s="855"/>
      <c r="HT1316" s="855"/>
      <c r="HU1316" s="855"/>
      <c r="HV1316" s="855"/>
      <c r="HW1316" s="855"/>
      <c r="HX1316" s="855"/>
      <c r="HY1316" s="855"/>
      <c r="HZ1316" s="855"/>
      <c r="IA1316" s="855"/>
      <c r="IB1316" s="855"/>
      <c r="IC1316" s="855"/>
      <c r="ID1316" s="855"/>
      <c r="IE1316" s="855"/>
      <c r="IF1316" s="855"/>
      <c r="IG1316" s="855"/>
      <c r="IH1316" s="855"/>
      <c r="II1316" s="855"/>
      <c r="IJ1316" s="855"/>
      <c r="IK1316" s="855"/>
      <c r="IL1316" s="855"/>
      <c r="IM1316" s="855"/>
      <c r="IN1316" s="855"/>
      <c r="IO1316" s="855"/>
      <c r="IP1316" s="855"/>
      <c r="IQ1316" s="855"/>
      <c r="IR1316" s="855"/>
      <c r="IS1316" s="855"/>
      <c r="IT1316" s="855"/>
      <c r="IU1316" s="855"/>
      <c r="IV1316" s="855"/>
      <c r="IW1316" s="855"/>
      <c r="IX1316" s="855"/>
      <c r="IY1316" s="855"/>
      <c r="IZ1316" s="855"/>
      <c r="JA1316" s="855"/>
      <c r="JB1316" s="855"/>
      <c r="JC1316" s="855"/>
      <c r="JD1316" s="855"/>
      <c r="JE1316" s="855"/>
      <c r="JF1316" s="855"/>
      <c r="JG1316" s="855"/>
      <c r="JH1316" s="855"/>
      <c r="JI1316" s="855"/>
      <c r="JJ1316" s="855"/>
      <c r="JK1316" s="855"/>
      <c r="JL1316" s="855"/>
      <c r="JM1316"/>
    </row>
    <row r="1317" spans="1:273" s="854" customFormat="1" hidden="1" outlineLevel="1">
      <c r="A1317" s="815" t="s">
        <v>715</v>
      </c>
      <c r="B1317" s="103"/>
      <c r="C1317" s="102"/>
      <c r="D1317" s="102"/>
      <c r="E1317" s="102"/>
      <c r="F1317" s="102"/>
      <c r="G1317" s="102"/>
      <c r="H1317" s="102"/>
      <c r="I1317" s="102"/>
      <c r="J1317" s="102"/>
      <c r="K1317" s="102"/>
      <c r="L1317" s="102"/>
      <c r="M1317" s="102"/>
      <c r="N1317" s="102"/>
      <c r="O1317" s="102"/>
      <c r="P1317" s="102"/>
      <c r="Q1317" s="102"/>
      <c r="R1317" s="102"/>
      <c r="S1317" s="102"/>
      <c r="T1317" s="102"/>
      <c r="U1317" s="102"/>
      <c r="V1317" s="102"/>
      <c r="W1317" s="102"/>
      <c r="X1317" s="102"/>
      <c r="Y1317" s="102"/>
      <c r="Z1317" s="102"/>
      <c r="AA1317" s="102"/>
      <c r="AB1317" s="102"/>
      <c r="AC1317" s="102"/>
      <c r="AD1317" s="102"/>
      <c r="AE1317" s="102"/>
      <c r="AF1317" s="102"/>
      <c r="AG1317" s="102"/>
      <c r="AH1317" s="102"/>
      <c r="AI1317" s="102"/>
      <c r="AJ1317" s="102"/>
      <c r="AK1317" s="102"/>
      <c r="AL1317" s="102"/>
      <c r="AM1317" s="102"/>
      <c r="AN1317" s="290"/>
      <c r="AO1317" s="290"/>
      <c r="AP1317" s="290"/>
      <c r="AQ1317" s="290"/>
      <c r="AR1317" s="290"/>
      <c r="AS1317" s="290"/>
      <c r="AT1317" s="290"/>
      <c r="AU1317" s="290"/>
      <c r="AV1317" s="818"/>
      <c r="AW1317" s="818"/>
      <c r="AX1317" s="853"/>
      <c r="AY1317" s="853"/>
      <c r="AZ1317" s="818"/>
      <c r="BA1317" s="850"/>
      <c r="BB1317" s="853"/>
      <c r="BC1317" s="853"/>
      <c r="BD1317" s="850"/>
      <c r="BE1317" s="850"/>
      <c r="BF1317" s="853"/>
      <c r="BG1317" s="853"/>
      <c r="BH1317" s="850"/>
      <c r="BI1317" s="850"/>
      <c r="BJ1317" s="853"/>
      <c r="BK1317" s="853"/>
      <c r="BL1317" s="850"/>
      <c r="BM1317" s="850"/>
      <c r="BN1317" s="850"/>
      <c r="BO1317" s="850"/>
      <c r="BP1317" s="850"/>
      <c r="BQ1317" s="850"/>
      <c r="BR1317" s="853"/>
      <c r="BS1317" s="853"/>
      <c r="BT1317" s="850"/>
      <c r="BU1317" s="850"/>
      <c r="BV1317" s="853"/>
      <c r="BW1317" s="853"/>
      <c r="BX1317" s="850"/>
      <c r="BY1317" s="850"/>
      <c r="BZ1317" s="853"/>
      <c r="CA1317" s="853"/>
      <c r="CB1317" s="850"/>
      <c r="CC1317" s="850"/>
      <c r="CD1317" s="853"/>
      <c r="CE1317" s="862"/>
      <c r="CF1317" s="850"/>
      <c r="CG1317" s="850"/>
      <c r="CH1317" s="853"/>
      <c r="CI1317" s="862"/>
      <c r="CJ1317" s="850"/>
      <c r="CK1317" s="850"/>
      <c r="CL1317" s="853"/>
      <c r="CM1317" s="862"/>
      <c r="CN1317" s="850"/>
      <c r="CO1317" s="850"/>
      <c r="CP1317" s="853"/>
      <c r="CQ1317" s="862"/>
      <c r="CR1317" s="850"/>
      <c r="CS1317" s="850"/>
      <c r="CT1317" s="853"/>
      <c r="CU1317" s="853"/>
      <c r="CV1317" s="853"/>
      <c r="CW1317" s="853"/>
      <c r="CX1317" s="853"/>
      <c r="CY1317" s="853"/>
      <c r="CZ1317" s="853"/>
      <c r="DA1317" s="853"/>
      <c r="DB1317" s="853"/>
      <c r="DC1317" s="853"/>
      <c r="DD1317" s="853"/>
      <c r="DE1317" s="853"/>
      <c r="DF1317" s="853"/>
      <c r="DG1317" s="853"/>
      <c r="DH1317" s="853"/>
      <c r="DI1317" s="853"/>
      <c r="DJ1317" s="853"/>
      <c r="DK1317" s="853"/>
      <c r="DL1317" s="853"/>
      <c r="DM1317" s="853"/>
      <c r="DN1317" s="853"/>
      <c r="DO1317" s="853"/>
      <c r="DP1317" s="853"/>
      <c r="DQ1317" s="853"/>
      <c r="DR1317" s="853"/>
      <c r="DS1317" s="853"/>
      <c r="DT1317" s="853"/>
      <c r="DU1317" s="850"/>
      <c r="DV1317" s="850"/>
      <c r="DW1317" s="850"/>
      <c r="DX1317" s="853"/>
      <c r="DY1317" s="853"/>
      <c r="DZ1317" s="850"/>
      <c r="EA1317" s="850"/>
      <c r="EB1317" s="853"/>
      <c r="EC1317" s="853"/>
      <c r="ED1317" s="850"/>
      <c r="EE1317" s="850"/>
      <c r="EF1317" s="853"/>
      <c r="EG1317" s="853"/>
      <c r="EH1317" s="853"/>
      <c r="EI1317" s="853"/>
      <c r="EJ1317" s="853"/>
      <c r="EK1317" s="853"/>
      <c r="EL1317" s="853"/>
      <c r="EM1317" s="853"/>
      <c r="EN1317" s="853"/>
      <c r="EO1317" s="853"/>
      <c r="EP1317" s="853"/>
      <c r="EQ1317" s="855"/>
      <c r="ER1317" s="855"/>
      <c r="ES1317" s="855"/>
      <c r="ET1317" s="855"/>
      <c r="EU1317" s="855"/>
      <c r="EV1317" s="855"/>
      <c r="EW1317" s="855"/>
      <c r="EX1317" s="855"/>
      <c r="EY1317" s="855"/>
      <c r="EZ1317" s="855"/>
      <c r="FA1317" s="855"/>
      <c r="FB1317" s="855"/>
      <c r="FC1317" s="855"/>
      <c r="FD1317" s="855"/>
      <c r="FE1317" s="855"/>
      <c r="FF1317" s="855"/>
      <c r="FG1317" s="855"/>
      <c r="FH1317" s="855"/>
      <c r="FI1317" s="855"/>
      <c r="FJ1317" s="855"/>
      <c r="FK1317" s="855"/>
      <c r="FL1317" s="855"/>
      <c r="FM1317" s="855"/>
      <c r="FN1317" s="855"/>
      <c r="FO1317" s="855"/>
      <c r="FP1317" s="855"/>
      <c r="FQ1317" s="855"/>
      <c r="FR1317" s="855"/>
      <c r="FS1317" s="855"/>
      <c r="FT1317" s="855"/>
      <c r="FU1317" s="855"/>
      <c r="FV1317" s="855"/>
      <c r="FW1317" s="855"/>
      <c r="FX1317" s="855"/>
      <c r="FY1317" s="855"/>
      <c r="FZ1317" s="855"/>
      <c r="GA1317" s="855"/>
      <c r="GB1317" s="855"/>
      <c r="GC1317" s="855"/>
      <c r="GD1317" s="855"/>
      <c r="GE1317" s="855"/>
      <c r="GF1317" s="855"/>
      <c r="GG1317" s="855"/>
      <c r="GH1317" s="855"/>
      <c r="GI1317" s="855"/>
      <c r="GJ1317" s="855"/>
      <c r="GK1317" s="855"/>
      <c r="GL1317" s="855"/>
      <c r="GM1317" s="855"/>
      <c r="GN1317" s="855"/>
      <c r="GO1317" s="855"/>
      <c r="GP1317" s="855"/>
      <c r="GQ1317" s="855"/>
      <c r="GR1317" s="855"/>
      <c r="GS1317" s="855"/>
      <c r="GT1317" s="855"/>
      <c r="GU1317" s="855"/>
      <c r="GV1317" s="855"/>
      <c r="GW1317" s="855"/>
      <c r="GX1317" s="855"/>
      <c r="GY1317" s="855"/>
      <c r="GZ1317" s="855"/>
      <c r="HA1317" s="855"/>
      <c r="HB1317" s="855"/>
      <c r="HC1317" s="855"/>
      <c r="HD1317" s="855"/>
      <c r="HE1317" s="855"/>
      <c r="HF1317" s="855"/>
      <c r="HG1317" s="855"/>
      <c r="HH1317" s="855"/>
      <c r="HI1317" s="855"/>
      <c r="HJ1317" s="855"/>
      <c r="HK1317" s="855"/>
      <c r="HL1317" s="855"/>
      <c r="HM1317" s="855"/>
      <c r="HN1317" s="855"/>
      <c r="HO1317" s="855"/>
      <c r="HP1317" s="855"/>
      <c r="HQ1317" s="855"/>
      <c r="HR1317" s="855"/>
      <c r="HS1317" s="855"/>
      <c r="HT1317" s="855"/>
      <c r="HU1317" s="855"/>
      <c r="HV1317" s="855"/>
      <c r="HW1317" s="855"/>
      <c r="HX1317" s="855"/>
      <c r="HY1317" s="855"/>
      <c r="HZ1317" s="855"/>
      <c r="IA1317" s="855"/>
      <c r="IB1317" s="855"/>
      <c r="IC1317" s="855"/>
      <c r="ID1317" s="855"/>
      <c r="IE1317" s="855"/>
      <c r="IF1317" s="855"/>
      <c r="IG1317" s="855"/>
      <c r="IH1317" s="855"/>
      <c r="II1317" s="855"/>
      <c r="IJ1317" s="855"/>
      <c r="IK1317" s="855"/>
      <c r="IL1317" s="855"/>
      <c r="IM1317" s="855"/>
      <c r="IN1317" s="855"/>
      <c r="IO1317" s="855"/>
      <c r="IP1317" s="855"/>
      <c r="IQ1317" s="855"/>
      <c r="IR1317" s="855"/>
      <c r="IS1317" s="855"/>
      <c r="IT1317" s="855"/>
      <c r="IU1317" s="855"/>
      <c r="IV1317" s="855"/>
      <c r="IW1317" s="855"/>
      <c r="IX1317" s="855"/>
      <c r="IY1317" s="855"/>
      <c r="IZ1317" s="855"/>
      <c r="JA1317" s="855"/>
      <c r="JB1317" s="855"/>
      <c r="JC1317" s="855"/>
      <c r="JD1317" s="855"/>
      <c r="JE1317" s="855"/>
      <c r="JF1317" s="855"/>
      <c r="JG1317" s="855"/>
      <c r="JH1317" s="855"/>
      <c r="JI1317" s="855"/>
      <c r="JJ1317" s="855"/>
      <c r="JK1317" s="855"/>
      <c r="JL1317" s="855"/>
      <c r="JM1317"/>
    </row>
    <row r="1318" spans="1:273" s="858" customFormat="1" hidden="1" outlineLevel="1">
      <c r="A1318" s="302" t="s">
        <v>713</v>
      </c>
      <c r="B1318" s="304"/>
      <c r="C1318" s="302"/>
      <c r="D1318" s="302"/>
      <c r="E1318" s="302"/>
      <c r="F1318" s="302"/>
      <c r="G1318" s="302"/>
      <c r="H1318" s="302"/>
      <c r="I1318" s="302"/>
      <c r="J1318" s="302"/>
      <c r="K1318" s="302"/>
      <c r="L1318" s="302"/>
      <c r="M1318" s="302"/>
      <c r="N1318" s="302"/>
      <c r="O1318" s="302"/>
      <c r="P1318" s="302"/>
      <c r="Q1318" s="302"/>
      <c r="R1318" s="302"/>
      <c r="S1318" s="302"/>
      <c r="T1318" s="302"/>
      <c r="U1318" s="302"/>
      <c r="V1318" s="302"/>
      <c r="W1318" s="302"/>
      <c r="X1318" s="302"/>
      <c r="Y1318" s="302"/>
      <c r="Z1318" s="302"/>
      <c r="AA1318" s="302"/>
      <c r="AB1318" s="302"/>
      <c r="AC1318" s="302"/>
      <c r="AD1318" s="302"/>
      <c r="AE1318" s="302"/>
      <c r="AF1318" s="302"/>
      <c r="AG1318" s="302"/>
      <c r="AH1318" s="302"/>
      <c r="AI1318" s="302"/>
      <c r="AJ1318" s="302"/>
      <c r="AK1318" s="302"/>
      <c r="AL1318" s="302"/>
      <c r="AM1318" s="302"/>
      <c r="AN1318" s="1049"/>
      <c r="AO1318" s="1049"/>
      <c r="AP1318" s="1049"/>
      <c r="AQ1318" s="1049"/>
      <c r="AR1318" s="1049"/>
      <c r="AS1318" s="1049"/>
      <c r="AT1318" s="1049"/>
      <c r="AU1318" s="1049"/>
      <c r="AV1318" s="973">
        <v>0</v>
      </c>
      <c r="AW1318" s="973">
        <v>0</v>
      </c>
      <c r="AX1318" s="980"/>
      <c r="AY1318" s="980"/>
      <c r="AZ1318" s="973">
        <v>0</v>
      </c>
      <c r="BA1318" s="973">
        <v>0</v>
      </c>
      <c r="BB1318" s="857"/>
      <c r="BC1318" s="857"/>
      <c r="BD1318" s="973">
        <v>0</v>
      </c>
      <c r="BE1318" s="973">
        <v>0</v>
      </c>
      <c r="BF1318" s="857"/>
      <c r="BG1318" s="857"/>
      <c r="BH1318" s="973">
        <v>0</v>
      </c>
      <c r="BI1318" s="973">
        <v>0</v>
      </c>
      <c r="BJ1318" s="857"/>
      <c r="BK1318" s="857"/>
      <c r="BL1318" s="973">
        <v>0</v>
      </c>
      <c r="BM1318" s="859"/>
      <c r="BN1318" s="859"/>
      <c r="BO1318" s="859"/>
      <c r="BP1318" s="859"/>
      <c r="BQ1318" s="859"/>
      <c r="BR1318" s="857"/>
      <c r="BS1318" s="857"/>
      <c r="BT1318" s="859"/>
      <c r="BU1318" s="859"/>
      <c r="BV1318" s="857"/>
      <c r="BW1318" s="857"/>
      <c r="BX1318" s="859"/>
      <c r="BY1318" s="859"/>
      <c r="BZ1318" s="857"/>
      <c r="CA1318" s="857"/>
      <c r="CB1318" s="859"/>
      <c r="CC1318" s="859"/>
      <c r="CD1318" s="857"/>
      <c r="CE1318" s="931"/>
      <c r="CF1318" s="859"/>
      <c r="CG1318" s="859"/>
      <c r="CH1318" s="857"/>
      <c r="CI1318" s="931"/>
      <c r="CJ1318" s="859"/>
      <c r="CK1318" s="859"/>
      <c r="CL1318" s="857"/>
      <c r="CM1318" s="931"/>
      <c r="CN1318" s="859"/>
      <c r="CO1318" s="859"/>
      <c r="CP1318" s="857"/>
      <c r="CQ1318" s="931"/>
      <c r="CR1318" s="859"/>
      <c r="CS1318" s="859"/>
      <c r="CT1318" s="857"/>
      <c r="CU1318" s="857"/>
      <c r="CV1318" s="857"/>
      <c r="CW1318" s="857"/>
      <c r="CX1318" s="857"/>
      <c r="CY1318" s="857"/>
      <c r="CZ1318" s="857"/>
      <c r="DA1318" s="857"/>
      <c r="DB1318" s="857"/>
      <c r="DC1318" s="857"/>
      <c r="DD1318" s="857"/>
      <c r="DE1318" s="857"/>
      <c r="DF1318" s="857"/>
      <c r="DG1318" s="857"/>
      <c r="DH1318" s="857"/>
      <c r="DI1318" s="857"/>
      <c r="DJ1318" s="857"/>
      <c r="DK1318" s="857"/>
      <c r="DL1318" s="857"/>
      <c r="DM1318" s="857"/>
      <c r="DN1318" s="857"/>
      <c r="DO1318" s="857"/>
      <c r="DP1318" s="857"/>
      <c r="DQ1318" s="857"/>
      <c r="DR1318" s="857"/>
      <c r="DS1318" s="857"/>
      <c r="DT1318" s="857"/>
      <c r="DU1318" s="859"/>
      <c r="DV1318" s="859"/>
      <c r="DW1318" s="859"/>
      <c r="DX1318" s="857"/>
      <c r="DY1318" s="857"/>
      <c r="DZ1318" s="859"/>
      <c r="EA1318" s="859"/>
      <c r="EB1318" s="857"/>
      <c r="EC1318" s="857"/>
      <c r="ED1318" s="859"/>
      <c r="EE1318" s="859"/>
      <c r="EF1318" s="857"/>
      <c r="EG1318" s="857"/>
      <c r="EH1318" s="857"/>
      <c r="EI1318" s="857"/>
      <c r="EJ1318" s="857"/>
      <c r="EK1318" s="857"/>
      <c r="EL1318" s="857"/>
      <c r="EM1318" s="857"/>
      <c r="EN1318" s="857"/>
      <c r="EO1318" s="857"/>
      <c r="EP1318" s="857"/>
      <c r="EQ1318" s="860"/>
      <c r="ER1318" s="860"/>
      <c r="ES1318" s="860"/>
      <c r="ET1318" s="860"/>
      <c r="EU1318" s="860"/>
      <c r="EV1318" s="860"/>
      <c r="EW1318" s="860"/>
      <c r="EX1318" s="860"/>
      <c r="EY1318" s="860"/>
      <c r="EZ1318" s="860"/>
      <c r="FA1318" s="860"/>
      <c r="FB1318" s="860"/>
      <c r="FC1318" s="860"/>
      <c r="FD1318" s="860"/>
      <c r="FE1318" s="860"/>
      <c r="FF1318" s="860"/>
      <c r="FG1318" s="860"/>
      <c r="FH1318" s="860"/>
      <c r="FI1318" s="860"/>
      <c r="FJ1318" s="860"/>
      <c r="FK1318" s="860"/>
      <c r="FL1318" s="855"/>
      <c r="FM1318" s="855"/>
      <c r="FN1318" s="855"/>
      <c r="FO1318" s="855"/>
      <c r="FP1318" s="855"/>
      <c r="FQ1318" s="855"/>
      <c r="FR1318" s="855"/>
      <c r="FS1318" s="855"/>
      <c r="FT1318" s="855"/>
      <c r="FU1318" s="855"/>
      <c r="FV1318" s="855"/>
      <c r="FW1318" s="855"/>
      <c r="FX1318" s="855"/>
      <c r="FY1318" s="855"/>
      <c r="FZ1318" s="855"/>
      <c r="GA1318" s="855"/>
      <c r="GB1318" s="855"/>
      <c r="GC1318" s="855"/>
      <c r="GD1318" s="855"/>
      <c r="GE1318" s="855"/>
      <c r="GF1318" s="855"/>
      <c r="GG1318" s="855"/>
      <c r="GH1318" s="855"/>
      <c r="GI1318" s="855"/>
      <c r="GJ1318" s="855"/>
      <c r="GK1318" s="855"/>
      <c r="GL1318" s="855"/>
      <c r="GM1318" s="855"/>
      <c r="GN1318" s="855"/>
      <c r="GO1318" s="855"/>
      <c r="GP1318" s="855"/>
      <c r="GQ1318" s="855"/>
      <c r="GR1318" s="855"/>
      <c r="GS1318" s="855"/>
      <c r="GT1318" s="855"/>
      <c r="GU1318" s="855"/>
      <c r="GV1318" s="855"/>
      <c r="GW1318" s="855"/>
      <c r="GX1318" s="855"/>
      <c r="GY1318" s="855"/>
      <c r="GZ1318" s="855"/>
      <c r="HA1318" s="855"/>
      <c r="HB1318" s="855"/>
      <c r="HC1318" s="855"/>
      <c r="HD1318" s="855"/>
      <c r="HE1318" s="855"/>
      <c r="HF1318" s="855"/>
      <c r="HG1318" s="855"/>
      <c r="HH1318" s="855"/>
      <c r="HI1318" s="855"/>
      <c r="HJ1318" s="855"/>
      <c r="HK1318" s="855"/>
      <c r="HL1318" s="855"/>
      <c r="HM1318" s="855"/>
      <c r="HN1318" s="855"/>
      <c r="HO1318" s="855"/>
      <c r="HP1318" s="855"/>
      <c r="HQ1318" s="855"/>
      <c r="HR1318" s="855"/>
      <c r="HS1318" s="855"/>
      <c r="HT1318" s="855"/>
      <c r="HU1318" s="855"/>
      <c r="HV1318" s="855"/>
      <c r="HW1318" s="855"/>
      <c r="HX1318" s="855"/>
      <c r="HY1318" s="855"/>
      <c r="HZ1318" s="855"/>
      <c r="IA1318" s="855"/>
      <c r="IB1318" s="855"/>
      <c r="IC1318" s="855"/>
      <c r="ID1318" s="855"/>
      <c r="IE1318" s="855"/>
      <c r="IF1318" s="855"/>
      <c r="IG1318" s="855"/>
      <c r="IH1318" s="855"/>
      <c r="II1318" s="855"/>
      <c r="IJ1318" s="855"/>
      <c r="IK1318" s="855"/>
      <c r="IL1318" s="855"/>
      <c r="IM1318" s="855"/>
      <c r="IN1318" s="855"/>
      <c r="IO1318" s="855"/>
      <c r="IP1318" s="855"/>
      <c r="IQ1318" s="855"/>
      <c r="IR1318" s="855"/>
      <c r="IS1318" s="855"/>
      <c r="IT1318" s="855"/>
      <c r="IU1318" s="855"/>
      <c r="IV1318" s="855"/>
      <c r="IW1318" s="855"/>
      <c r="IX1318" s="855"/>
      <c r="IY1318" s="855"/>
      <c r="IZ1318" s="855"/>
      <c r="JA1318" s="855"/>
      <c r="JB1318" s="855"/>
      <c r="JC1318" s="855"/>
      <c r="JD1318" s="855"/>
      <c r="JE1318" s="855"/>
      <c r="JF1318" s="855"/>
      <c r="JG1318" s="855"/>
      <c r="JH1318" s="855"/>
      <c r="JI1318" s="855"/>
      <c r="JJ1318" s="855"/>
      <c r="JK1318" s="855"/>
      <c r="JL1318" s="855"/>
      <c r="JM1318"/>
    </row>
    <row r="1319" spans="1:273" s="858" customFormat="1" hidden="1" outlineLevel="1">
      <c r="A1319" s="302" t="s">
        <v>668</v>
      </c>
      <c r="B1319" s="304"/>
      <c r="C1319" s="302"/>
      <c r="D1319" s="302"/>
      <c r="E1319" s="302"/>
      <c r="F1319" s="302"/>
      <c r="G1319" s="302"/>
      <c r="H1319" s="302"/>
      <c r="I1319" s="302"/>
      <c r="J1319" s="302"/>
      <c r="K1319" s="302"/>
      <c r="L1319" s="302"/>
      <c r="M1319" s="302"/>
      <c r="N1319" s="302"/>
      <c r="O1319" s="302"/>
      <c r="P1319" s="302"/>
      <c r="Q1319" s="302"/>
      <c r="R1319" s="302"/>
      <c r="S1319" s="302"/>
      <c r="T1319" s="302"/>
      <c r="U1319" s="302"/>
      <c r="V1319" s="302"/>
      <c r="W1319" s="302"/>
      <c r="X1319" s="302"/>
      <c r="Y1319" s="302"/>
      <c r="Z1319" s="302"/>
      <c r="AA1319" s="302"/>
      <c r="AB1319" s="302"/>
      <c r="AC1319" s="302"/>
      <c r="AD1319" s="302"/>
      <c r="AE1319" s="302"/>
      <c r="AF1319" s="302"/>
      <c r="AG1319" s="302"/>
      <c r="AH1319" s="302"/>
      <c r="AI1319" s="302"/>
      <c r="AJ1319" s="302"/>
      <c r="AK1319" s="302"/>
      <c r="AL1319" s="302"/>
      <c r="AM1319" s="302"/>
      <c r="AN1319" s="1049"/>
      <c r="AO1319" s="1049"/>
      <c r="AP1319" s="1049"/>
      <c r="AQ1319" s="1049"/>
      <c r="AR1319" s="1049"/>
      <c r="AS1319" s="1049"/>
      <c r="AT1319" s="1049"/>
      <c r="AU1319" s="1049"/>
      <c r="AV1319" s="927">
        <v>33</v>
      </c>
      <c r="AW1319" s="927">
        <v>9</v>
      </c>
      <c r="AX1319" s="928"/>
      <c r="AY1319" s="928"/>
      <c r="AZ1319" s="927">
        <v>-32</v>
      </c>
      <c r="BA1319" s="973">
        <v>15</v>
      </c>
      <c r="BB1319" s="857"/>
      <c r="BC1319" s="857"/>
      <c r="BD1319" s="973">
        <v>-19</v>
      </c>
      <c r="BE1319" s="973">
        <v>16</v>
      </c>
      <c r="BF1319" s="857"/>
      <c r="BG1319" s="857"/>
      <c r="BH1319" s="973">
        <v>0</v>
      </c>
      <c r="BI1319" s="973">
        <v>0</v>
      </c>
      <c r="BJ1319" s="857"/>
      <c r="BK1319" s="857"/>
      <c r="BL1319" s="973">
        <v>0</v>
      </c>
      <c r="BM1319" s="859"/>
      <c r="BN1319" s="859"/>
      <c r="BO1319" s="859"/>
      <c r="BP1319" s="859"/>
      <c r="BQ1319" s="859"/>
      <c r="BR1319" s="857"/>
      <c r="BS1319" s="857"/>
      <c r="BT1319" s="859"/>
      <c r="BU1319" s="859"/>
      <c r="BV1319" s="857"/>
      <c r="BW1319" s="857"/>
      <c r="BX1319" s="859"/>
      <c r="BY1319" s="859"/>
      <c r="BZ1319" s="857"/>
      <c r="CA1319" s="857"/>
      <c r="CB1319" s="859"/>
      <c r="CC1319" s="859"/>
      <c r="CD1319" s="857"/>
      <c r="CE1319" s="931"/>
      <c r="CF1319" s="859"/>
      <c r="CG1319" s="859"/>
      <c r="CH1319" s="857"/>
      <c r="CI1319" s="931"/>
      <c r="CJ1319" s="859"/>
      <c r="CK1319" s="859"/>
      <c r="CL1319" s="857"/>
      <c r="CM1319" s="931"/>
      <c r="CN1319" s="859"/>
      <c r="CO1319" s="859"/>
      <c r="CP1319" s="857"/>
      <c r="CQ1319" s="931"/>
      <c r="CR1319" s="859"/>
      <c r="CS1319" s="859"/>
      <c r="CT1319" s="857"/>
      <c r="CU1319" s="857"/>
      <c r="CV1319" s="857"/>
      <c r="CW1319" s="857"/>
      <c r="CX1319" s="857"/>
      <c r="CY1319" s="857"/>
      <c r="CZ1319" s="857"/>
      <c r="DA1319" s="857"/>
      <c r="DB1319" s="857"/>
      <c r="DC1319" s="857"/>
      <c r="DD1319" s="857"/>
      <c r="DE1319" s="857"/>
      <c r="DF1319" s="857"/>
      <c r="DG1319" s="857"/>
      <c r="DH1319" s="857"/>
      <c r="DI1319" s="857"/>
      <c r="DJ1319" s="857"/>
      <c r="DK1319" s="857"/>
      <c r="DL1319" s="857"/>
      <c r="DM1319" s="857"/>
      <c r="DN1319" s="857"/>
      <c r="DO1319" s="857"/>
      <c r="DP1319" s="857"/>
      <c r="DQ1319" s="857"/>
      <c r="DR1319" s="857"/>
      <c r="DS1319" s="857"/>
      <c r="DT1319" s="857"/>
      <c r="DU1319" s="859"/>
      <c r="DV1319" s="859"/>
      <c r="DW1319" s="859"/>
      <c r="DX1319" s="857"/>
      <c r="DY1319" s="857"/>
      <c r="DZ1319" s="859"/>
      <c r="EA1319" s="859"/>
      <c r="EB1319" s="857"/>
      <c r="EC1319" s="857"/>
      <c r="ED1319" s="859"/>
      <c r="EE1319" s="859"/>
      <c r="EF1319" s="857"/>
      <c r="EG1319" s="857"/>
      <c r="EH1319" s="857"/>
      <c r="EI1319" s="857"/>
      <c r="EJ1319" s="857"/>
      <c r="EK1319" s="857"/>
      <c r="EL1319" s="857"/>
      <c r="EM1319" s="857"/>
      <c r="EN1319" s="857"/>
      <c r="EO1319" s="857"/>
      <c r="EP1319" s="857"/>
      <c r="EQ1319" s="860"/>
      <c r="ER1319" s="860"/>
      <c r="ES1319" s="860"/>
      <c r="ET1319" s="860"/>
      <c r="EU1319" s="860"/>
      <c r="EV1319" s="860"/>
      <c r="EW1319" s="860"/>
      <c r="EX1319" s="860"/>
      <c r="EY1319" s="860"/>
      <c r="EZ1319" s="860"/>
      <c r="FA1319" s="860"/>
      <c r="FB1319" s="860"/>
      <c r="FC1319" s="860"/>
      <c r="FD1319" s="860"/>
      <c r="FE1319" s="860"/>
      <c r="FF1319" s="860"/>
      <c r="FG1319" s="860"/>
      <c r="FH1319" s="860"/>
      <c r="FI1319" s="860"/>
      <c r="FJ1319" s="860"/>
      <c r="FK1319" s="860"/>
      <c r="FL1319" s="855"/>
      <c r="FM1319" s="855"/>
      <c r="FN1319" s="855"/>
      <c r="FO1319" s="855"/>
      <c r="FP1319" s="855"/>
      <c r="FQ1319" s="855"/>
      <c r="FR1319" s="855"/>
      <c r="FS1319" s="855"/>
      <c r="FT1319" s="855"/>
      <c r="FU1319" s="855"/>
      <c r="FV1319" s="855"/>
      <c r="FW1319" s="855"/>
      <c r="FX1319" s="855"/>
      <c r="FY1319" s="855"/>
      <c r="FZ1319" s="855"/>
      <c r="GA1319" s="855"/>
      <c r="GB1319" s="855"/>
      <c r="GC1319" s="855"/>
      <c r="GD1319" s="855"/>
      <c r="GE1319" s="855"/>
      <c r="GF1319" s="855"/>
      <c r="GG1319" s="855"/>
      <c r="GH1319" s="855"/>
      <c r="GI1319" s="855"/>
      <c r="GJ1319" s="855"/>
      <c r="GK1319" s="855"/>
      <c r="GL1319" s="855"/>
      <c r="GM1319" s="855"/>
      <c r="GN1319" s="855"/>
      <c r="GO1319" s="855"/>
      <c r="GP1319" s="855"/>
      <c r="GQ1319" s="855"/>
      <c r="GR1319" s="855"/>
      <c r="GS1319" s="855"/>
      <c r="GT1319" s="855"/>
      <c r="GU1319" s="855"/>
      <c r="GV1319" s="855"/>
      <c r="GW1319" s="855"/>
      <c r="GX1319" s="855"/>
      <c r="GY1319" s="855"/>
      <c r="GZ1319" s="855"/>
      <c r="HA1319" s="855"/>
      <c r="HB1319" s="855"/>
      <c r="HC1319" s="855"/>
      <c r="HD1319" s="855"/>
      <c r="HE1319" s="855"/>
      <c r="HF1319" s="855"/>
      <c r="HG1319" s="855"/>
      <c r="HH1319" s="855"/>
      <c r="HI1319" s="855"/>
      <c r="HJ1319" s="855"/>
      <c r="HK1319" s="855"/>
      <c r="HL1319" s="855"/>
      <c r="HM1319" s="855"/>
      <c r="HN1319" s="855"/>
      <c r="HO1319" s="855"/>
      <c r="HP1319" s="855"/>
      <c r="HQ1319" s="855"/>
      <c r="HR1319" s="855"/>
      <c r="HS1319" s="855"/>
      <c r="HT1319" s="855"/>
      <c r="HU1319" s="855"/>
      <c r="HV1319" s="855"/>
      <c r="HW1319" s="855"/>
      <c r="HX1319" s="855"/>
      <c r="HY1319" s="855"/>
      <c r="HZ1319" s="855"/>
      <c r="IA1319" s="855"/>
      <c r="IB1319" s="855"/>
      <c r="IC1319" s="855"/>
      <c r="ID1319" s="855"/>
      <c r="IE1319" s="855"/>
      <c r="IF1319" s="855"/>
      <c r="IG1319" s="855"/>
      <c r="IH1319" s="855"/>
      <c r="II1319" s="855"/>
      <c r="IJ1319" s="855"/>
      <c r="IK1319" s="855"/>
      <c r="IL1319" s="855"/>
      <c r="IM1319" s="855"/>
      <c r="IN1319" s="855"/>
      <c r="IO1319" s="855"/>
      <c r="IP1319" s="855"/>
      <c r="IQ1319" s="855"/>
      <c r="IR1319" s="855"/>
      <c r="IS1319" s="855"/>
      <c r="IT1319" s="855"/>
      <c r="IU1319" s="855"/>
      <c r="IV1319" s="855"/>
      <c r="IW1319" s="855"/>
      <c r="IX1319" s="855"/>
      <c r="IY1319" s="855"/>
      <c r="IZ1319" s="855"/>
      <c r="JA1319" s="855"/>
      <c r="JB1319" s="855"/>
      <c r="JC1319" s="855"/>
      <c r="JD1319" s="855"/>
      <c r="JE1319" s="855"/>
      <c r="JF1319" s="855"/>
      <c r="JG1319" s="855"/>
      <c r="JH1319" s="855"/>
      <c r="JI1319" s="855"/>
      <c r="JJ1319" s="855"/>
      <c r="JK1319" s="855"/>
      <c r="JL1319" s="855"/>
      <c r="JM1319"/>
    </row>
    <row r="1320" spans="1:273" s="858" customFormat="1" hidden="1" outlineLevel="1">
      <c r="A1320" s="302" t="s">
        <v>669</v>
      </c>
      <c r="B1320" s="304"/>
      <c r="C1320" s="302"/>
      <c r="D1320" s="302"/>
      <c r="E1320" s="302"/>
      <c r="F1320" s="302"/>
      <c r="G1320" s="302"/>
      <c r="H1320" s="302"/>
      <c r="I1320" s="302"/>
      <c r="J1320" s="302"/>
      <c r="K1320" s="302"/>
      <c r="L1320" s="302"/>
      <c r="M1320" s="302"/>
      <c r="N1320" s="302"/>
      <c r="O1320" s="302"/>
      <c r="P1320" s="302"/>
      <c r="Q1320" s="302"/>
      <c r="R1320" s="302"/>
      <c r="S1320" s="302"/>
      <c r="T1320" s="302"/>
      <c r="U1320" s="302"/>
      <c r="V1320" s="302"/>
      <c r="W1320" s="302"/>
      <c r="X1320" s="302"/>
      <c r="Y1320" s="302"/>
      <c r="Z1320" s="302"/>
      <c r="AA1320" s="302"/>
      <c r="AB1320" s="302"/>
      <c r="AC1320" s="302"/>
      <c r="AD1320" s="302"/>
      <c r="AE1320" s="302"/>
      <c r="AF1320" s="302"/>
      <c r="AG1320" s="302"/>
      <c r="AH1320" s="302"/>
      <c r="AI1320" s="302"/>
      <c r="AJ1320" s="302"/>
      <c r="AK1320" s="302"/>
      <c r="AL1320" s="302"/>
      <c r="AM1320" s="302"/>
      <c r="AN1320" s="1049"/>
      <c r="AO1320" s="1049"/>
      <c r="AP1320" s="1049"/>
      <c r="AQ1320" s="1049"/>
      <c r="AR1320" s="1049"/>
      <c r="AS1320" s="1049"/>
      <c r="AT1320" s="1049"/>
      <c r="AU1320" s="1049"/>
      <c r="AV1320" s="973">
        <v>0</v>
      </c>
      <c r="AW1320" s="973">
        <v>0</v>
      </c>
      <c r="AX1320" s="980"/>
      <c r="AY1320" s="980"/>
      <c r="AZ1320" s="973">
        <v>0</v>
      </c>
      <c r="BA1320" s="973">
        <v>0</v>
      </c>
      <c r="BB1320" s="857"/>
      <c r="BC1320" s="857"/>
      <c r="BD1320" s="973">
        <v>0</v>
      </c>
      <c r="BE1320" s="973">
        <v>0</v>
      </c>
      <c r="BF1320" s="857"/>
      <c r="BG1320" s="857"/>
      <c r="BH1320" s="973">
        <v>0</v>
      </c>
      <c r="BI1320" s="973">
        <v>0</v>
      </c>
      <c r="BJ1320" s="857"/>
      <c r="BK1320" s="857"/>
      <c r="BL1320" s="973">
        <v>0</v>
      </c>
      <c r="BM1320" s="859"/>
      <c r="BN1320" s="859"/>
      <c r="BO1320" s="859"/>
      <c r="BP1320" s="859"/>
      <c r="BQ1320" s="859"/>
      <c r="BR1320" s="857"/>
      <c r="BS1320" s="857"/>
      <c r="BT1320" s="859"/>
      <c r="BU1320" s="859"/>
      <c r="BV1320" s="857"/>
      <c r="BW1320" s="857"/>
      <c r="BX1320" s="859"/>
      <c r="BY1320" s="859"/>
      <c r="BZ1320" s="857"/>
      <c r="CA1320" s="857"/>
      <c r="CB1320" s="859"/>
      <c r="CC1320" s="859"/>
      <c r="CD1320" s="857"/>
      <c r="CE1320" s="931"/>
      <c r="CF1320" s="859"/>
      <c r="CG1320" s="859"/>
      <c r="CH1320" s="857"/>
      <c r="CI1320" s="931"/>
      <c r="CJ1320" s="859"/>
      <c r="CK1320" s="859"/>
      <c r="CL1320" s="857"/>
      <c r="CM1320" s="931"/>
      <c r="CN1320" s="859"/>
      <c r="CO1320" s="859"/>
      <c r="CP1320" s="857"/>
      <c r="CQ1320" s="931"/>
      <c r="CR1320" s="859"/>
      <c r="CS1320" s="859"/>
      <c r="CT1320" s="857"/>
      <c r="CU1320" s="857"/>
      <c r="CV1320" s="857"/>
      <c r="CW1320" s="857"/>
      <c r="CX1320" s="857"/>
      <c r="CY1320" s="857"/>
      <c r="CZ1320" s="857"/>
      <c r="DA1320" s="857"/>
      <c r="DB1320" s="857"/>
      <c r="DC1320" s="857"/>
      <c r="DD1320" s="857"/>
      <c r="DE1320" s="857"/>
      <c r="DF1320" s="857"/>
      <c r="DG1320" s="857"/>
      <c r="DH1320" s="857"/>
      <c r="DI1320" s="857"/>
      <c r="DJ1320" s="857"/>
      <c r="DK1320" s="857"/>
      <c r="DL1320" s="857"/>
      <c r="DM1320" s="857"/>
      <c r="DN1320" s="857"/>
      <c r="DO1320" s="857"/>
      <c r="DP1320" s="857"/>
      <c r="DQ1320" s="857"/>
      <c r="DR1320" s="857"/>
      <c r="DS1320" s="857"/>
      <c r="DT1320" s="857"/>
      <c r="DU1320" s="859"/>
      <c r="DV1320" s="859"/>
      <c r="DW1320" s="859"/>
      <c r="DX1320" s="857"/>
      <c r="DY1320" s="857"/>
      <c r="DZ1320" s="859"/>
      <c r="EA1320" s="859"/>
      <c r="EB1320" s="857"/>
      <c r="EC1320" s="857"/>
      <c r="ED1320" s="859"/>
      <c r="EE1320" s="859"/>
      <c r="EF1320" s="857"/>
      <c r="EG1320" s="857"/>
      <c r="EH1320" s="857"/>
      <c r="EI1320" s="857"/>
      <c r="EJ1320" s="857"/>
      <c r="EK1320" s="857"/>
      <c r="EL1320" s="857"/>
      <c r="EM1320" s="857"/>
      <c r="EN1320" s="857"/>
      <c r="EO1320" s="857"/>
      <c r="EP1320" s="857"/>
      <c r="EQ1320" s="860"/>
      <c r="ER1320" s="860"/>
      <c r="ES1320" s="860"/>
      <c r="ET1320" s="860"/>
      <c r="EU1320" s="860"/>
      <c r="EV1320" s="860"/>
      <c r="EW1320" s="860"/>
      <c r="EX1320" s="860"/>
      <c r="EY1320" s="860"/>
      <c r="EZ1320" s="860"/>
      <c r="FA1320" s="860"/>
      <c r="FB1320" s="860"/>
      <c r="FC1320" s="860"/>
      <c r="FD1320" s="860"/>
      <c r="FE1320" s="860"/>
      <c r="FF1320" s="860"/>
      <c r="FG1320" s="860"/>
      <c r="FH1320" s="860"/>
      <c r="FI1320" s="860"/>
      <c r="FJ1320" s="860"/>
      <c r="FK1320" s="860"/>
      <c r="FL1320" s="855"/>
      <c r="FM1320" s="855"/>
      <c r="FN1320" s="855"/>
      <c r="FO1320" s="855"/>
      <c r="FP1320" s="855"/>
      <c r="FQ1320" s="855"/>
      <c r="FR1320" s="855"/>
      <c r="FS1320" s="855"/>
      <c r="FT1320" s="855"/>
      <c r="FU1320" s="855"/>
      <c r="FV1320" s="855"/>
      <c r="FW1320" s="855"/>
      <c r="FX1320" s="855"/>
      <c r="FY1320" s="855"/>
      <c r="FZ1320" s="855"/>
      <c r="GA1320" s="855"/>
      <c r="GB1320" s="855"/>
      <c r="GC1320" s="855"/>
      <c r="GD1320" s="855"/>
      <c r="GE1320" s="855"/>
      <c r="GF1320" s="855"/>
      <c r="GG1320" s="855"/>
      <c r="GH1320" s="855"/>
      <c r="GI1320" s="855"/>
      <c r="GJ1320" s="855"/>
      <c r="GK1320" s="855"/>
      <c r="GL1320" s="855"/>
      <c r="GM1320" s="855"/>
      <c r="GN1320" s="855"/>
      <c r="GO1320" s="855"/>
      <c r="GP1320" s="855"/>
      <c r="GQ1320" s="855"/>
      <c r="GR1320" s="855"/>
      <c r="GS1320" s="855"/>
      <c r="GT1320" s="855"/>
      <c r="GU1320" s="855"/>
      <c r="GV1320" s="855"/>
      <c r="GW1320" s="855"/>
      <c r="GX1320" s="855"/>
      <c r="GY1320" s="855"/>
      <c r="GZ1320" s="855"/>
      <c r="HA1320" s="855"/>
      <c r="HB1320" s="855"/>
      <c r="HC1320" s="855"/>
      <c r="HD1320" s="855"/>
      <c r="HE1320" s="855"/>
      <c r="HF1320" s="855"/>
      <c r="HG1320" s="855"/>
      <c r="HH1320" s="855"/>
      <c r="HI1320" s="855"/>
      <c r="HJ1320" s="855"/>
      <c r="HK1320" s="855"/>
      <c r="HL1320" s="855"/>
      <c r="HM1320" s="855"/>
      <c r="HN1320" s="855"/>
      <c r="HO1320" s="855"/>
      <c r="HP1320" s="855"/>
      <c r="HQ1320" s="855"/>
      <c r="HR1320" s="855"/>
      <c r="HS1320" s="855"/>
      <c r="HT1320" s="855"/>
      <c r="HU1320" s="855"/>
      <c r="HV1320" s="855"/>
      <c r="HW1320" s="855"/>
      <c r="HX1320" s="855"/>
      <c r="HY1320" s="855"/>
      <c r="HZ1320" s="855"/>
      <c r="IA1320" s="855"/>
      <c r="IB1320" s="855"/>
      <c r="IC1320" s="855"/>
      <c r="ID1320" s="855"/>
      <c r="IE1320" s="855"/>
      <c r="IF1320" s="855"/>
      <c r="IG1320" s="855"/>
      <c r="IH1320" s="855"/>
      <c r="II1320" s="855"/>
      <c r="IJ1320" s="855"/>
      <c r="IK1320" s="855"/>
      <c r="IL1320" s="855"/>
      <c r="IM1320" s="855"/>
      <c r="IN1320" s="855"/>
      <c r="IO1320" s="855"/>
      <c r="IP1320" s="855"/>
      <c r="IQ1320" s="855"/>
      <c r="IR1320" s="855"/>
      <c r="IS1320" s="855"/>
      <c r="IT1320" s="855"/>
      <c r="IU1320" s="855"/>
      <c r="IV1320" s="855"/>
      <c r="IW1320" s="855"/>
      <c r="IX1320" s="855"/>
      <c r="IY1320" s="855"/>
      <c r="IZ1320" s="855"/>
      <c r="JA1320" s="855"/>
      <c r="JB1320" s="855"/>
      <c r="JC1320" s="855"/>
      <c r="JD1320" s="855"/>
      <c r="JE1320" s="855"/>
      <c r="JF1320" s="855"/>
      <c r="JG1320" s="855"/>
      <c r="JH1320" s="855"/>
      <c r="JI1320" s="855"/>
      <c r="JJ1320" s="855"/>
      <c r="JK1320" s="855"/>
      <c r="JL1320" s="855"/>
      <c r="JM1320"/>
    </row>
    <row r="1321" spans="1:273" s="858" customFormat="1" hidden="1" outlineLevel="1">
      <c r="A1321" s="302" t="s">
        <v>670</v>
      </c>
      <c r="B1321" s="304"/>
      <c r="C1321" s="302"/>
      <c r="D1321" s="302"/>
      <c r="E1321" s="302"/>
      <c r="F1321" s="302"/>
      <c r="G1321" s="302"/>
      <c r="H1321" s="302"/>
      <c r="I1321" s="302"/>
      <c r="J1321" s="302"/>
      <c r="K1321" s="302"/>
      <c r="L1321" s="302"/>
      <c r="M1321" s="302"/>
      <c r="N1321" s="302"/>
      <c r="O1321" s="302"/>
      <c r="P1321" s="302"/>
      <c r="Q1321" s="302"/>
      <c r="R1321" s="302"/>
      <c r="S1321" s="302"/>
      <c r="T1321" s="302"/>
      <c r="U1321" s="302"/>
      <c r="V1321" s="302"/>
      <c r="W1321" s="302"/>
      <c r="X1321" s="302"/>
      <c r="Y1321" s="302"/>
      <c r="Z1321" s="302"/>
      <c r="AA1321" s="302"/>
      <c r="AB1321" s="302"/>
      <c r="AC1321" s="302"/>
      <c r="AD1321" s="302"/>
      <c r="AE1321" s="302"/>
      <c r="AF1321" s="302"/>
      <c r="AG1321" s="302"/>
      <c r="AH1321" s="302"/>
      <c r="AI1321" s="302"/>
      <c r="AJ1321" s="302"/>
      <c r="AK1321" s="302"/>
      <c r="AL1321" s="302"/>
      <c r="AM1321" s="302"/>
      <c r="AN1321" s="1049"/>
      <c r="AO1321" s="1049"/>
      <c r="AP1321" s="1049"/>
      <c r="AQ1321" s="1049"/>
      <c r="AR1321" s="1049"/>
      <c r="AS1321" s="1049"/>
      <c r="AT1321" s="1049"/>
      <c r="AU1321" s="1049"/>
      <c r="AV1321" s="973">
        <v>-252</v>
      </c>
      <c r="AW1321" s="973">
        <v>-3</v>
      </c>
      <c r="AX1321" s="980"/>
      <c r="AY1321" s="980"/>
      <c r="AZ1321" s="973">
        <v>6</v>
      </c>
      <c r="BA1321" s="973">
        <v>3</v>
      </c>
      <c r="BB1321" s="857"/>
      <c r="BC1321" s="857"/>
      <c r="BD1321" s="973">
        <v>0</v>
      </c>
      <c r="BE1321" s="973">
        <v>0</v>
      </c>
      <c r="BF1321" s="857"/>
      <c r="BG1321" s="857"/>
      <c r="BH1321" s="973">
        <v>0</v>
      </c>
      <c r="BI1321" s="973">
        <v>0</v>
      </c>
      <c r="BJ1321" s="857"/>
      <c r="BK1321" s="857"/>
      <c r="BL1321" s="973">
        <v>0</v>
      </c>
      <c r="BM1321" s="859"/>
      <c r="BN1321" s="859"/>
      <c r="BO1321" s="859"/>
      <c r="BP1321" s="859"/>
      <c r="BQ1321" s="859"/>
      <c r="BR1321" s="857"/>
      <c r="BS1321" s="857"/>
      <c r="BT1321" s="859"/>
      <c r="BU1321" s="859"/>
      <c r="BV1321" s="857"/>
      <c r="BW1321" s="857"/>
      <c r="BX1321" s="859"/>
      <c r="BY1321" s="859"/>
      <c r="BZ1321" s="857"/>
      <c r="CA1321" s="857"/>
      <c r="CB1321" s="859"/>
      <c r="CC1321" s="859"/>
      <c r="CD1321" s="857"/>
      <c r="CE1321" s="931"/>
      <c r="CF1321" s="859"/>
      <c r="CG1321" s="859"/>
      <c r="CH1321" s="857"/>
      <c r="CI1321" s="931"/>
      <c r="CJ1321" s="859"/>
      <c r="CK1321" s="859"/>
      <c r="CL1321" s="857"/>
      <c r="CM1321" s="931"/>
      <c r="CN1321" s="859"/>
      <c r="CO1321" s="859"/>
      <c r="CP1321" s="857"/>
      <c r="CQ1321" s="931"/>
      <c r="CR1321" s="859"/>
      <c r="CS1321" s="859"/>
      <c r="CT1321" s="857"/>
      <c r="CU1321" s="857"/>
      <c r="CV1321" s="857"/>
      <c r="CW1321" s="857"/>
      <c r="CX1321" s="857"/>
      <c r="CY1321" s="857"/>
      <c r="CZ1321" s="857"/>
      <c r="DA1321" s="857"/>
      <c r="DB1321" s="857"/>
      <c r="DC1321" s="857"/>
      <c r="DD1321" s="857"/>
      <c r="DE1321" s="857"/>
      <c r="DF1321" s="857"/>
      <c r="DG1321" s="857"/>
      <c r="DH1321" s="857"/>
      <c r="DI1321" s="857"/>
      <c r="DJ1321" s="857"/>
      <c r="DK1321" s="857"/>
      <c r="DL1321" s="857"/>
      <c r="DM1321" s="857"/>
      <c r="DN1321" s="857"/>
      <c r="DO1321" s="857"/>
      <c r="DP1321" s="857"/>
      <c r="DQ1321" s="857"/>
      <c r="DR1321" s="857"/>
      <c r="DS1321" s="857"/>
      <c r="DT1321" s="857"/>
      <c r="DU1321" s="859"/>
      <c r="DV1321" s="859"/>
      <c r="DW1321" s="859"/>
      <c r="DX1321" s="857"/>
      <c r="DY1321" s="857"/>
      <c r="DZ1321" s="859"/>
      <c r="EA1321" s="859"/>
      <c r="EB1321" s="857"/>
      <c r="EC1321" s="857"/>
      <c r="ED1321" s="859"/>
      <c r="EE1321" s="859"/>
      <c r="EF1321" s="857"/>
      <c r="EG1321" s="857"/>
      <c r="EH1321" s="857"/>
      <c r="EI1321" s="857"/>
      <c r="EJ1321" s="857"/>
      <c r="EK1321" s="857"/>
      <c r="EL1321" s="857"/>
      <c r="EM1321" s="857"/>
      <c r="EN1321" s="857"/>
      <c r="EO1321" s="857"/>
      <c r="EP1321" s="857"/>
      <c r="EQ1321" s="860"/>
      <c r="ER1321" s="860"/>
      <c r="ES1321" s="860"/>
      <c r="ET1321" s="860"/>
      <c r="EU1321" s="860"/>
      <c r="EV1321" s="860"/>
      <c r="EW1321" s="860"/>
      <c r="EX1321" s="860"/>
      <c r="EY1321" s="860"/>
      <c r="EZ1321" s="860"/>
      <c r="FA1321" s="860"/>
      <c r="FB1321" s="860"/>
      <c r="FC1321" s="860"/>
      <c r="FD1321" s="860"/>
      <c r="FE1321" s="860"/>
      <c r="FF1321" s="860"/>
      <c r="FG1321" s="860"/>
      <c r="FH1321" s="860"/>
      <c r="FI1321" s="860"/>
      <c r="FJ1321" s="860"/>
      <c r="FK1321" s="860"/>
      <c r="FL1321" s="855"/>
      <c r="FM1321" s="855"/>
      <c r="FN1321" s="855"/>
      <c r="FO1321" s="855"/>
      <c r="FP1321" s="855"/>
      <c r="FQ1321" s="855"/>
      <c r="FR1321" s="855"/>
      <c r="FS1321" s="855"/>
      <c r="FT1321" s="855"/>
      <c r="FU1321" s="855"/>
      <c r="FV1321" s="855"/>
      <c r="FW1321" s="855"/>
      <c r="FX1321" s="855"/>
      <c r="FY1321" s="855"/>
      <c r="FZ1321" s="855"/>
      <c r="GA1321" s="855"/>
      <c r="GB1321" s="855"/>
      <c r="GC1321" s="855"/>
      <c r="GD1321" s="855"/>
      <c r="GE1321" s="855"/>
      <c r="GF1321" s="855"/>
      <c r="GG1321" s="855"/>
      <c r="GH1321" s="855"/>
      <c r="GI1321" s="855"/>
      <c r="GJ1321" s="855"/>
      <c r="GK1321" s="855"/>
      <c r="GL1321" s="855"/>
      <c r="GM1321" s="855"/>
      <c r="GN1321" s="855"/>
      <c r="GO1321" s="855"/>
      <c r="GP1321" s="855"/>
      <c r="GQ1321" s="855"/>
      <c r="GR1321" s="855"/>
      <c r="GS1321" s="855"/>
      <c r="GT1321" s="855"/>
      <c r="GU1321" s="855"/>
      <c r="GV1321" s="855"/>
      <c r="GW1321" s="855"/>
      <c r="GX1321" s="855"/>
      <c r="GY1321" s="855"/>
      <c r="GZ1321" s="855"/>
      <c r="HA1321" s="855"/>
      <c r="HB1321" s="855"/>
      <c r="HC1321" s="855"/>
      <c r="HD1321" s="855"/>
      <c r="HE1321" s="855"/>
      <c r="HF1321" s="855"/>
      <c r="HG1321" s="855"/>
      <c r="HH1321" s="855"/>
      <c r="HI1321" s="855"/>
      <c r="HJ1321" s="855"/>
      <c r="HK1321" s="855"/>
      <c r="HL1321" s="855"/>
      <c r="HM1321" s="855"/>
      <c r="HN1321" s="855"/>
      <c r="HO1321" s="855"/>
      <c r="HP1321" s="855"/>
      <c r="HQ1321" s="855"/>
      <c r="HR1321" s="855"/>
      <c r="HS1321" s="855"/>
      <c r="HT1321" s="855"/>
      <c r="HU1321" s="855"/>
      <c r="HV1321" s="855"/>
      <c r="HW1321" s="855"/>
      <c r="HX1321" s="855"/>
      <c r="HY1321" s="855"/>
      <c r="HZ1321" s="855"/>
      <c r="IA1321" s="855"/>
      <c r="IB1321" s="855"/>
      <c r="IC1321" s="855"/>
      <c r="ID1321" s="855"/>
      <c r="IE1321" s="855"/>
      <c r="IF1321" s="855"/>
      <c r="IG1321" s="855"/>
      <c r="IH1321" s="855"/>
      <c r="II1321" s="855"/>
      <c r="IJ1321" s="855"/>
      <c r="IK1321" s="855"/>
      <c r="IL1321" s="855"/>
      <c r="IM1321" s="855"/>
      <c r="IN1321" s="855"/>
      <c r="IO1321" s="855"/>
      <c r="IP1321" s="855"/>
      <c r="IQ1321" s="855"/>
      <c r="IR1321" s="855"/>
      <c r="IS1321" s="855"/>
      <c r="IT1321" s="855"/>
      <c r="IU1321" s="855"/>
      <c r="IV1321" s="855"/>
      <c r="IW1321" s="855"/>
      <c r="IX1321" s="855"/>
      <c r="IY1321" s="855"/>
      <c r="IZ1321" s="855"/>
      <c r="JA1321" s="855"/>
      <c r="JB1321" s="855"/>
      <c r="JC1321" s="855"/>
      <c r="JD1321" s="855"/>
      <c r="JE1321" s="855"/>
      <c r="JF1321" s="855"/>
      <c r="JG1321" s="855"/>
      <c r="JH1321" s="855"/>
      <c r="JI1321" s="855"/>
      <c r="JJ1321" s="855"/>
      <c r="JK1321" s="855"/>
      <c r="JL1321" s="855"/>
      <c r="JM1321"/>
    </row>
    <row r="1322" spans="1:273" s="855" customFormat="1" hidden="1" outlineLevel="1">
      <c r="A1322" s="289" t="s">
        <v>613</v>
      </c>
      <c r="B1322" s="290"/>
      <c r="C1322" s="289"/>
      <c r="D1322" s="289"/>
      <c r="E1322" s="289"/>
      <c r="F1322" s="289"/>
      <c r="G1322" s="289"/>
      <c r="H1322" s="289"/>
      <c r="I1322" s="289"/>
      <c r="J1322" s="289"/>
      <c r="K1322" s="289"/>
      <c r="L1322" s="289"/>
      <c r="M1322" s="289"/>
      <c r="N1322" s="289"/>
      <c r="O1322" s="289"/>
      <c r="P1322" s="289"/>
      <c r="Q1322" s="289"/>
      <c r="R1322" s="289"/>
      <c r="S1322" s="289"/>
      <c r="T1322" s="289"/>
      <c r="U1322" s="289"/>
      <c r="V1322" s="289"/>
      <c r="W1322" s="289"/>
      <c r="X1322" s="289"/>
      <c r="Y1322" s="289"/>
      <c r="Z1322" s="289"/>
      <c r="AA1322" s="289"/>
      <c r="AB1322" s="289"/>
      <c r="AC1322" s="289"/>
      <c r="AD1322" s="289"/>
      <c r="AE1322" s="289"/>
      <c r="AF1322" s="289"/>
      <c r="AG1322" s="289"/>
      <c r="AH1322" s="289"/>
      <c r="AI1322" s="289"/>
      <c r="AJ1322" s="289"/>
      <c r="AK1322" s="289"/>
      <c r="AL1322" s="289"/>
      <c r="AM1322" s="289"/>
      <c r="AN1322" s="290"/>
      <c r="AO1322" s="290"/>
      <c r="AP1322" s="290"/>
      <c r="AQ1322" s="290"/>
      <c r="AR1322" s="290">
        <f>SUM(AR1318:AR1321)</f>
        <v>0</v>
      </c>
      <c r="AS1322" s="290">
        <f>SUM(AS1318:AS1321)</f>
        <v>0</v>
      </c>
      <c r="AT1322" s="290"/>
      <c r="AU1322" s="290"/>
      <c r="AV1322" s="290">
        <f>SUM(AV1318:AV1321)</f>
        <v>-219</v>
      </c>
      <c r="AW1322" s="290">
        <f>SUM(AW1318:AW1321)</f>
        <v>6</v>
      </c>
      <c r="AX1322" s="853"/>
      <c r="AY1322" s="853"/>
      <c r="AZ1322" s="290">
        <f>SUM(AZ1318:AZ1321)</f>
        <v>-26</v>
      </c>
      <c r="BA1322" s="290">
        <f>SUM(BA1318:BA1321)</f>
        <v>18</v>
      </c>
      <c r="BB1322" s="853"/>
      <c r="BC1322" s="853"/>
      <c r="BD1322" s="290">
        <f>SUM(BD1318:BD1321)</f>
        <v>-19</v>
      </c>
      <c r="BE1322" s="290">
        <f>SUM(BE1318:BE1321)</f>
        <v>16</v>
      </c>
      <c r="BF1322" s="853"/>
      <c r="BG1322" s="853"/>
      <c r="BH1322" s="290">
        <f>SUM(BH1318:BH1321)</f>
        <v>0</v>
      </c>
      <c r="BI1322" s="290">
        <f>SUM(BI1318:BI1321)</f>
        <v>0</v>
      </c>
      <c r="BJ1322" s="853"/>
      <c r="BK1322" s="853"/>
      <c r="BL1322" s="290">
        <f>SUM(BL1318:BL1321)</f>
        <v>0</v>
      </c>
      <c r="BM1322" s="290"/>
      <c r="BN1322" s="290"/>
      <c r="BO1322" s="290"/>
      <c r="BP1322" s="290"/>
      <c r="BQ1322" s="290"/>
      <c r="BR1322" s="853"/>
      <c r="BS1322" s="853"/>
      <c r="BT1322" s="290"/>
      <c r="BU1322" s="290"/>
      <c r="BV1322" s="853"/>
      <c r="BW1322" s="853"/>
      <c r="BX1322" s="290"/>
      <c r="BY1322" s="290"/>
      <c r="BZ1322" s="853"/>
      <c r="CA1322" s="853"/>
      <c r="CB1322" s="290"/>
      <c r="CC1322" s="290"/>
      <c r="CD1322" s="853"/>
      <c r="CE1322" s="862"/>
      <c r="CF1322" s="290"/>
      <c r="CG1322" s="290"/>
      <c r="CH1322" s="853"/>
      <c r="CI1322" s="862"/>
      <c r="CJ1322" s="290"/>
      <c r="CK1322" s="290"/>
      <c r="CL1322" s="853"/>
      <c r="CM1322" s="862"/>
      <c r="CN1322" s="290"/>
      <c r="CO1322" s="290"/>
      <c r="CP1322" s="853"/>
      <c r="CQ1322" s="862"/>
      <c r="CR1322" s="290"/>
      <c r="CS1322" s="290"/>
      <c r="CT1322" s="853"/>
      <c r="CU1322" s="853"/>
      <c r="CV1322" s="853"/>
      <c r="CW1322" s="853"/>
      <c r="CX1322" s="853"/>
      <c r="CY1322" s="853"/>
      <c r="CZ1322" s="853"/>
      <c r="DA1322" s="853"/>
      <c r="DB1322" s="853"/>
      <c r="DC1322" s="853"/>
      <c r="DD1322" s="853"/>
      <c r="DE1322" s="853"/>
      <c r="DF1322" s="853"/>
      <c r="DG1322" s="853"/>
      <c r="DH1322" s="853"/>
      <c r="DI1322" s="853"/>
      <c r="DJ1322" s="853"/>
      <c r="DK1322" s="853"/>
      <c r="DL1322" s="853"/>
      <c r="DM1322" s="853"/>
      <c r="DN1322" s="853"/>
      <c r="DO1322" s="853"/>
      <c r="DP1322" s="853"/>
      <c r="DQ1322" s="853"/>
      <c r="DR1322" s="853"/>
      <c r="DS1322" s="853"/>
      <c r="DT1322" s="853"/>
      <c r="DU1322" s="290"/>
      <c r="DV1322" s="290"/>
      <c r="DW1322" s="290"/>
      <c r="DX1322" s="853"/>
      <c r="DY1322" s="853"/>
      <c r="DZ1322" s="290"/>
      <c r="EA1322" s="290"/>
      <c r="EB1322" s="853"/>
      <c r="EC1322" s="853"/>
      <c r="ED1322" s="290"/>
      <c r="EE1322" s="290"/>
      <c r="EF1322" s="853"/>
      <c r="EG1322" s="853"/>
      <c r="EH1322" s="853"/>
      <c r="EI1322" s="853"/>
      <c r="EJ1322" s="853"/>
      <c r="EK1322" s="853"/>
      <c r="EL1322" s="853"/>
      <c r="EM1322" s="853"/>
      <c r="EN1322" s="853"/>
      <c r="EO1322" s="853"/>
      <c r="EP1322" s="853"/>
      <c r="JM1322"/>
    </row>
    <row r="1323" spans="1:273" s="854" customFormat="1" collapsed="1">
      <c r="A1323" s="102"/>
      <c r="B1323" s="103"/>
      <c r="C1323" s="102"/>
      <c r="D1323" s="102"/>
      <c r="E1323" s="102"/>
      <c r="F1323" s="102"/>
      <c r="G1323" s="102"/>
      <c r="H1323" s="102"/>
      <c r="I1323" s="102"/>
      <c r="J1323" s="102"/>
      <c r="K1323" s="102"/>
      <c r="L1323" s="102"/>
      <c r="M1323" s="102"/>
      <c r="N1323" s="102"/>
      <c r="O1323" s="102"/>
      <c r="P1323" s="102"/>
      <c r="Q1323" s="102"/>
      <c r="R1323" s="102"/>
      <c r="S1323" s="102"/>
      <c r="T1323" s="102"/>
      <c r="U1323" s="102"/>
      <c r="V1323" s="102"/>
      <c r="W1323" s="102"/>
      <c r="X1323" s="102"/>
      <c r="Y1323" s="102"/>
      <c r="Z1323" s="102"/>
      <c r="AA1323" s="102"/>
      <c r="AB1323" s="102"/>
      <c r="AC1323" s="102"/>
      <c r="AD1323" s="102"/>
      <c r="AE1323" s="102"/>
      <c r="AF1323" s="102"/>
      <c r="AG1323" s="102"/>
      <c r="AH1323" s="102"/>
      <c r="AI1323" s="102"/>
      <c r="AJ1323" s="102"/>
      <c r="AK1323" s="102"/>
      <c r="AL1323" s="102"/>
      <c r="AM1323" s="102"/>
      <c r="AN1323" s="103"/>
      <c r="AO1323" s="103"/>
      <c r="AP1323" s="290"/>
      <c r="AQ1323" s="290"/>
      <c r="AR1323" s="103"/>
      <c r="AS1323" s="103"/>
      <c r="AT1323" s="290"/>
      <c r="AU1323" s="290"/>
      <c r="AV1323" s="103"/>
      <c r="AW1323" s="103"/>
      <c r="AX1323" s="853"/>
      <c r="AY1323" s="853"/>
      <c r="AZ1323" s="103"/>
      <c r="BA1323" s="103"/>
      <c r="BB1323" s="853"/>
      <c r="BC1323" s="853"/>
      <c r="BD1323" s="103"/>
      <c r="BE1323" s="103"/>
      <c r="BF1323" s="853"/>
      <c r="BG1323" s="853"/>
      <c r="BH1323" s="103"/>
      <c r="BI1323" s="103"/>
      <c r="BJ1323" s="853"/>
      <c r="BK1323" s="853"/>
      <c r="BL1323" s="103"/>
      <c r="BM1323" s="103"/>
      <c r="BN1323" s="103"/>
      <c r="BO1323" s="103"/>
      <c r="BP1323" s="103"/>
      <c r="BQ1323" s="103"/>
      <c r="BR1323" s="853"/>
      <c r="BS1323" s="853"/>
      <c r="BT1323" s="103"/>
      <c r="BU1323" s="103"/>
      <c r="BV1323" s="853"/>
      <c r="BW1323" s="853"/>
      <c r="BX1323" s="103"/>
      <c r="BY1323" s="103"/>
      <c r="BZ1323" s="853"/>
      <c r="CA1323" s="853"/>
      <c r="CB1323" s="103"/>
      <c r="CC1323" s="103"/>
      <c r="CD1323" s="853"/>
      <c r="CE1323" s="862"/>
      <c r="CF1323" s="103"/>
      <c r="CG1323" s="103"/>
      <c r="CH1323" s="853"/>
      <c r="CI1323" s="862"/>
      <c r="CJ1323" s="103"/>
      <c r="CK1323" s="103"/>
      <c r="CL1323" s="853"/>
      <c r="CM1323" s="862"/>
      <c r="CN1323" s="103"/>
      <c r="CO1323" s="103"/>
      <c r="CP1323" s="853"/>
      <c r="CQ1323" s="862"/>
      <c r="CR1323" s="103"/>
      <c r="CS1323" s="103"/>
      <c r="CT1323" s="853"/>
      <c r="CU1323" s="853"/>
      <c r="CV1323" s="853"/>
      <c r="CW1323" s="853"/>
      <c r="CX1323" s="853"/>
      <c r="CY1323" s="853"/>
      <c r="CZ1323" s="853"/>
      <c r="DA1323" s="853"/>
      <c r="DB1323" s="853"/>
      <c r="DC1323" s="853"/>
      <c r="DD1323" s="853"/>
      <c r="DE1323" s="853"/>
      <c r="DF1323" s="853"/>
      <c r="DG1323" s="853"/>
      <c r="DH1323" s="853"/>
      <c r="DI1323" s="853"/>
      <c r="DJ1323" s="853"/>
      <c r="DK1323" s="853"/>
      <c r="DL1323" s="853"/>
      <c r="DM1323" s="853"/>
      <c r="DN1323" s="853"/>
      <c r="DO1323" s="853"/>
      <c r="DP1323" s="853"/>
      <c r="DQ1323" s="853"/>
      <c r="DR1323" s="853"/>
      <c r="DS1323" s="853"/>
      <c r="DT1323" s="853"/>
      <c r="DU1323" s="103"/>
      <c r="DV1323" s="103"/>
      <c r="DW1323" s="103"/>
      <c r="DX1323" s="853"/>
      <c r="DY1323" s="853"/>
      <c r="DZ1323" s="103"/>
      <c r="EA1323" s="103"/>
      <c r="EB1323" s="853"/>
      <c r="EC1323" s="853"/>
      <c r="ED1323" s="103"/>
      <c r="EE1323" s="103"/>
      <c r="EF1323" s="853"/>
      <c r="EG1323" s="853"/>
      <c r="EH1323" s="853"/>
      <c r="EI1323" s="853"/>
      <c r="EJ1323" s="853"/>
      <c r="EK1323" s="853"/>
      <c r="EL1323" s="853"/>
      <c r="EM1323" s="853"/>
      <c r="EN1323" s="853"/>
      <c r="EO1323" s="853"/>
      <c r="EP1323" s="853"/>
      <c r="EQ1323" s="855"/>
      <c r="ER1323" s="855"/>
      <c r="ES1323" s="855"/>
      <c r="ET1323" s="855"/>
      <c r="EU1323" s="855"/>
      <c r="EV1323" s="855"/>
      <c r="EW1323" s="855"/>
      <c r="EX1323" s="855"/>
      <c r="EY1323" s="855"/>
      <c r="EZ1323" s="855"/>
      <c r="FA1323" s="855"/>
      <c r="FB1323" s="855"/>
      <c r="FC1323" s="855"/>
      <c r="FD1323" s="855"/>
      <c r="FE1323" s="855"/>
      <c r="FF1323" s="855"/>
      <c r="FG1323" s="855"/>
      <c r="FH1323" s="855"/>
      <c r="FI1323" s="855"/>
      <c r="FJ1323" s="855"/>
      <c r="FK1323" s="855"/>
      <c r="FL1323" s="855"/>
      <c r="FM1323" s="855"/>
      <c r="FN1323" s="855"/>
      <c r="FO1323" s="855"/>
      <c r="FP1323" s="855"/>
      <c r="FQ1323" s="855"/>
      <c r="FR1323" s="855"/>
      <c r="FS1323" s="855"/>
      <c r="FT1323" s="855"/>
      <c r="FU1323" s="855"/>
      <c r="FV1323" s="855"/>
      <c r="FW1323" s="855"/>
      <c r="FX1323" s="855"/>
      <c r="FY1323" s="855"/>
      <c r="FZ1323" s="855"/>
      <c r="GA1323" s="855"/>
      <c r="GB1323" s="855"/>
      <c r="GC1323" s="855"/>
      <c r="GD1323" s="855"/>
      <c r="GE1323" s="855"/>
      <c r="GF1323" s="855"/>
      <c r="GG1323" s="855"/>
      <c r="GH1323" s="855"/>
      <c r="GI1323" s="855"/>
      <c r="GJ1323" s="855"/>
      <c r="GK1323" s="855"/>
      <c r="GL1323" s="855"/>
      <c r="GM1323" s="855"/>
      <c r="GN1323" s="855"/>
      <c r="GO1323" s="855"/>
      <c r="GP1323" s="855"/>
      <c r="GQ1323" s="855"/>
      <c r="GR1323" s="855"/>
      <c r="GS1323" s="855"/>
      <c r="GT1323" s="855"/>
      <c r="GU1323" s="855"/>
      <c r="GV1323" s="855"/>
      <c r="GW1323" s="855"/>
      <c r="GX1323" s="855"/>
      <c r="GY1323" s="855"/>
      <c r="GZ1323" s="855"/>
      <c r="HA1323" s="855"/>
      <c r="HB1323" s="855"/>
      <c r="HC1323" s="855"/>
      <c r="HD1323" s="855"/>
      <c r="HE1323" s="855"/>
      <c r="HF1323" s="855"/>
      <c r="HG1323" s="855"/>
      <c r="HH1323" s="855"/>
      <c r="HI1323" s="855"/>
      <c r="HJ1323" s="855"/>
      <c r="HK1323" s="855"/>
      <c r="HL1323" s="855"/>
      <c r="HM1323" s="855"/>
      <c r="HN1323" s="855"/>
      <c r="HO1323" s="855"/>
      <c r="HP1323" s="855"/>
      <c r="HQ1323" s="855"/>
      <c r="HR1323" s="855"/>
      <c r="HS1323" s="855"/>
      <c r="HT1323" s="855"/>
      <c r="HU1323" s="855"/>
      <c r="HV1323" s="855"/>
      <c r="HW1323" s="855"/>
      <c r="HX1323" s="855"/>
      <c r="HY1323" s="855"/>
      <c r="HZ1323" s="855"/>
      <c r="IA1323" s="855"/>
      <c r="IB1323" s="855"/>
      <c r="IC1323" s="855"/>
      <c r="ID1323" s="855"/>
      <c r="IE1323" s="855"/>
      <c r="IF1323" s="855"/>
      <c r="IG1323" s="855"/>
      <c r="IH1323" s="855"/>
      <c r="II1323" s="855"/>
      <c r="IJ1323" s="855"/>
      <c r="IK1323" s="855"/>
      <c r="IL1323" s="855"/>
      <c r="IM1323" s="855"/>
      <c r="IN1323" s="855"/>
      <c r="IO1323" s="855"/>
      <c r="IP1323" s="855"/>
      <c r="IQ1323" s="855"/>
      <c r="IR1323" s="855"/>
      <c r="IS1323" s="855"/>
      <c r="IT1323" s="855"/>
      <c r="IU1323" s="855"/>
      <c r="IV1323" s="855"/>
      <c r="IW1323" s="855"/>
      <c r="IX1323" s="855"/>
      <c r="IY1323" s="855"/>
      <c r="IZ1323" s="855"/>
      <c r="JA1323" s="855"/>
      <c r="JB1323" s="855"/>
      <c r="JC1323" s="855"/>
      <c r="JD1323" s="855"/>
      <c r="JE1323" s="855"/>
      <c r="JF1323" s="855"/>
      <c r="JG1323" s="855"/>
      <c r="JH1323" s="855"/>
      <c r="JI1323" s="855"/>
      <c r="JJ1323" s="855"/>
      <c r="JK1323" s="855"/>
      <c r="JL1323" s="855"/>
      <c r="JM1323"/>
    </row>
    <row r="1324" spans="1:273">
      <c r="BN1324" s="850"/>
      <c r="BP1324" s="850"/>
    </row>
    <row r="1325" spans="1:273">
      <c r="BN1325" s="850"/>
      <c r="BP1325" s="850"/>
    </row>
    <row r="1326" spans="1:273">
      <c r="BN1326" s="850"/>
      <c r="BP1326" s="850"/>
    </row>
    <row r="1327" spans="1:273">
      <c r="BN1327" s="850"/>
      <c r="BP1327" s="850"/>
    </row>
  </sheetData>
  <phoneticPr fontId="9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3">
    <tabColor indexed="13"/>
  </sheetPr>
  <dimension ref="A1:EH561"/>
  <sheetViews>
    <sheetView showGridLines="0" zoomScale="115" zoomScaleNormal="115" workbookViewId="0">
      <pane xSplit="3" ySplit="6" topLeftCell="CY117" activePane="bottomRight" state="frozen"/>
      <selection activeCell="JH1" sqref="JH1"/>
      <selection pane="topRight" activeCell="JH1" sqref="JH1"/>
      <selection pane="bottomLeft" activeCell="JH1" sqref="JH1"/>
      <selection pane="bottomRight" activeCell="DI133" sqref="DI133"/>
    </sheetView>
  </sheetViews>
  <sheetFormatPr defaultColWidth="9.109375" defaultRowHeight="13.8" outlineLevelRow="1" outlineLevelCol="1"/>
  <cols>
    <col min="1" max="1" width="55" style="102" customWidth="1"/>
    <col min="2" max="2" width="9.33203125" style="102" customWidth="1"/>
    <col min="3" max="3" width="9.109375" style="103"/>
    <col min="4" max="6" width="9.33203125" style="102" hidden="1" customWidth="1"/>
    <col min="7" max="7" width="0" style="102" hidden="1" customWidth="1"/>
    <col min="8" max="10" width="9.33203125" style="102" hidden="1" customWidth="1"/>
    <col min="11" max="11" width="0" style="102" hidden="1" customWidth="1"/>
    <col min="12" max="14" width="9.33203125" style="102" hidden="1" customWidth="1"/>
    <col min="15" max="15" width="9.109375" style="102" customWidth="1" outlineLevel="1"/>
    <col min="16" max="18" width="9.33203125" style="103" customWidth="1" outlineLevel="1"/>
    <col min="19" max="19" width="9.109375" style="103" customWidth="1" outlineLevel="1"/>
    <col min="20" max="22" width="9.33203125" style="103" customWidth="1" outlineLevel="1"/>
    <col min="23" max="23" width="9.109375" style="103" customWidth="1" outlineLevel="1"/>
    <col min="24" max="26" width="9.33203125" style="103" customWidth="1" outlineLevel="1"/>
    <col min="27" max="27" width="9.109375" style="103" customWidth="1" outlineLevel="1"/>
    <col min="28" max="30" width="9.33203125" style="103" customWidth="1" outlineLevel="1"/>
    <col min="31" max="31" width="9.109375" style="103" customWidth="1" outlineLevel="1"/>
    <col min="32" max="34" width="9.33203125" style="103" customWidth="1" outlineLevel="1"/>
    <col min="35" max="35" width="9.109375" style="103" customWidth="1" outlineLevel="1"/>
    <col min="36" max="38" width="9.33203125" style="103" customWidth="1" outlineLevel="1"/>
    <col min="39" max="39" width="9.109375" style="103" customWidth="1" outlineLevel="1"/>
    <col min="40" max="42" width="9.33203125" style="103" customWidth="1" outlineLevel="1"/>
    <col min="43" max="43" width="9.109375" style="103" customWidth="1" outlineLevel="1"/>
    <col min="44" max="46" width="9.33203125" style="103" customWidth="1" outlineLevel="1"/>
    <col min="47" max="47" width="9.109375" style="103" customWidth="1" outlineLevel="1"/>
    <col min="48" max="50" width="9.33203125" style="103" customWidth="1" outlineLevel="1"/>
    <col min="51" max="51" width="9.109375" style="103" customWidth="1" outlineLevel="1"/>
    <col min="52" max="54" width="9.33203125" style="103" customWidth="1" outlineLevel="1"/>
    <col min="55" max="55" width="9.109375" style="103" customWidth="1" outlineLevel="1"/>
    <col min="56" max="58" width="9.33203125" style="103" customWidth="1" outlineLevel="1"/>
    <col min="59" max="59" width="9.109375" style="103" customWidth="1" outlineLevel="1"/>
    <col min="60" max="60" width="9.44140625" style="103" customWidth="1" outlineLevel="1"/>
    <col min="61" max="62" width="9.33203125" style="103" customWidth="1" outlineLevel="1"/>
    <col min="63" max="63" width="9.109375" style="103" customWidth="1" outlineLevel="1"/>
    <col min="64" max="66" width="9.33203125" style="103" customWidth="1" outlineLevel="1"/>
    <col min="67" max="67" width="9.109375" style="103" customWidth="1" outlineLevel="1"/>
    <col min="68" max="70" width="9.33203125" style="103" customWidth="1" outlineLevel="1"/>
    <col min="71" max="71" width="9.109375" style="103" customWidth="1" outlineLevel="1"/>
    <col min="72" max="77" width="9.33203125" style="103" customWidth="1" outlineLevel="1"/>
    <col min="78" max="79" width="9.109375" style="103" customWidth="1" outlineLevel="1"/>
    <col min="80" max="82" width="9.33203125" style="103" customWidth="1" outlineLevel="1"/>
    <col min="83" max="83" width="9.109375" style="103" customWidth="1" outlineLevel="1"/>
    <col min="84" max="86" width="9.33203125" style="103" customWidth="1"/>
    <col min="87" max="87" width="9.109375" style="103"/>
    <col min="88" max="88" width="13.44140625" style="103" customWidth="1"/>
    <col min="89" max="90" width="9.109375" style="103"/>
    <col min="91" max="91" width="6.88671875" style="103" customWidth="1"/>
    <col min="92" max="93" width="9.33203125" style="103" customWidth="1"/>
    <col min="94" max="94" width="7.44140625" style="103" customWidth="1"/>
    <col min="95" max="95" width="9.109375" style="103"/>
    <col min="96" max="98" width="9.33203125" style="103" customWidth="1"/>
    <col min="99" max="99" width="9.109375" style="103"/>
    <col min="100" max="100" width="9.6640625" style="103" customWidth="1"/>
    <col min="101" max="101" width="9.6640625" style="1408" customWidth="1"/>
    <col min="102" max="102" width="9.6640625" style="103" customWidth="1"/>
    <col min="103" max="103" width="9.109375" style="103"/>
    <col min="104" max="104" width="9.6640625" style="103" customWidth="1"/>
    <col min="105" max="105" width="12" style="103" customWidth="1"/>
    <col min="106" max="106" width="9.6640625" style="103" customWidth="1"/>
    <col min="107" max="107" width="9.109375" style="103"/>
    <col min="108" max="110" width="9.6640625" style="103" customWidth="1"/>
    <col min="111" max="111" width="9.109375" style="103"/>
    <col min="112" max="114" width="9.6640625" style="103" customWidth="1"/>
    <col min="115" max="115" width="9.109375" style="103"/>
    <col min="116" max="118" width="9.6640625" style="103" customWidth="1"/>
    <col min="119" max="119" width="9.109375" style="103"/>
    <col min="120" max="122" width="9.6640625" style="103" customWidth="1"/>
    <col min="123" max="128" width="9.109375" style="103"/>
    <col min="129" max="129" width="9.109375" style="102"/>
    <col min="130" max="130" width="8.88671875" style="100" customWidth="1"/>
    <col min="131" max="137" width="9.109375" style="102"/>
    <col min="139" max="16384" width="9.109375" style="102"/>
  </cols>
  <sheetData>
    <row r="1" spans="1:138" s="103" customFormat="1">
      <c r="D1" s="103">
        <f>EOMONTH(D3,0)-EOMONTH(D3,-6)</f>
        <v>183</v>
      </c>
      <c r="E1" s="103">
        <f>EOMONTH(E3,0)-EOMONTH(E3,-6)</f>
        <v>183</v>
      </c>
      <c r="F1" s="103">
        <f>+E1+D1</f>
        <v>366</v>
      </c>
      <c r="H1" s="103">
        <f>EOMONTH(H3,0)-EOMONTH(H3,-6)</f>
        <v>183</v>
      </c>
      <c r="I1" s="103">
        <f>EOMONTH(I3,0)-EOMONTH(I3,-6)</f>
        <v>182</v>
      </c>
      <c r="J1" s="103">
        <f>+I1+H1</f>
        <v>365</v>
      </c>
      <c r="L1" s="103">
        <f>EOMONTH(L3,0)-EOMONTH(L3,-6)</f>
        <v>183</v>
      </c>
      <c r="M1" s="103">
        <f>EOMONTH(M3,0)-EOMONTH(M3,-6)</f>
        <v>182</v>
      </c>
      <c r="N1" s="103">
        <f>+M1+L1</f>
        <v>365</v>
      </c>
      <c r="P1" s="103">
        <f>EOMONTH(P3,0)-EOMONTH(P3,-6)</f>
        <v>183</v>
      </c>
      <c r="Q1" s="103">
        <f>EOMONTH(Q3,0)-EOMONTH(Q3,-6)</f>
        <v>182</v>
      </c>
      <c r="R1" s="103">
        <f>+Q1+P1</f>
        <v>365</v>
      </c>
      <c r="T1" s="103">
        <f>EOMONTH(T3,0)-EOMONTH(T3,-6)</f>
        <v>183</v>
      </c>
      <c r="U1" s="103">
        <f>EOMONTH(U3,0)-EOMONTH(U3,-6)</f>
        <v>183</v>
      </c>
      <c r="V1" s="103">
        <f>+U1+T1</f>
        <v>366</v>
      </c>
      <c r="X1" s="103">
        <f>EOMONTH(X3,0)-EOMONTH(X3,-6)</f>
        <v>183</v>
      </c>
      <c r="Y1" s="103">
        <f>EOMONTH(Y3,0)-EOMONTH(Y3,-6)</f>
        <v>182</v>
      </c>
      <c r="Z1" s="103">
        <f>+Y1+X1</f>
        <v>365</v>
      </c>
      <c r="AB1" s="103">
        <f>EOMONTH(AB3,0)-EOMONTH(AB3,-6)</f>
        <v>183</v>
      </c>
      <c r="AC1" s="103">
        <f>EOMONTH(AC3,0)-EOMONTH(AC3,-6)</f>
        <v>182</v>
      </c>
      <c r="AD1" s="103">
        <f>+AC1+AB1</f>
        <v>365</v>
      </c>
      <c r="AF1" s="103">
        <f>EOMONTH(AF3,0)-EOMONTH(AF3,-6)</f>
        <v>183</v>
      </c>
      <c r="AG1" s="103">
        <f>EOMONTH(AG3,0)-EOMONTH(AG3,-6)</f>
        <v>182</v>
      </c>
      <c r="AH1" s="103">
        <f>+AG1+AF1</f>
        <v>365</v>
      </c>
      <c r="AJ1" s="103">
        <f>EOMONTH(AJ3,0)-EOMONTH(AJ3,-6)</f>
        <v>183</v>
      </c>
      <c r="AK1" s="103">
        <f>EOMONTH(AK3,0)-EOMONTH(AK3,-6)</f>
        <v>182</v>
      </c>
      <c r="AL1" s="103">
        <f>+AK1+AJ1</f>
        <v>365</v>
      </c>
      <c r="AN1" s="103">
        <f>EOMONTH(AN3,0)-EOMONTH(AN3,-6)</f>
        <v>183</v>
      </c>
      <c r="AO1" s="103">
        <f>EOMONTH(AO3,0)-EOMONTH(AO3,-6)</f>
        <v>183</v>
      </c>
      <c r="AP1" s="103">
        <f>+AO1+AN1</f>
        <v>366</v>
      </c>
      <c r="AR1" s="103">
        <f>EOMONTH(AR3,0)-EOMONTH(AR3,-6)</f>
        <v>183</v>
      </c>
      <c r="AS1" s="103">
        <f>EOMONTH(AS3,0)-EOMONTH(AS3,-6)</f>
        <v>182</v>
      </c>
      <c r="AT1" s="103">
        <f>+AS1+AR1</f>
        <v>365</v>
      </c>
      <c r="AV1" s="103">
        <f>EOMONTH(AV3,0)-EOMONTH(AV3,-6)</f>
        <v>183</v>
      </c>
      <c r="AW1" s="103">
        <f>EOMONTH(AW3,0)-EOMONTH(AW3,-6)</f>
        <v>182</v>
      </c>
      <c r="AX1" s="103">
        <f>+AW1+AV1</f>
        <v>365</v>
      </c>
      <c r="AZ1" s="103">
        <f>EOMONTH(AZ3,0)-EOMONTH(AZ3,-6)</f>
        <v>183</v>
      </c>
      <c r="BA1" s="103">
        <f>EOMONTH(BA3,0)-EOMONTH(BA3,-6)</f>
        <v>182</v>
      </c>
      <c r="BB1" s="103">
        <f>+BA1+AZ1</f>
        <v>365</v>
      </c>
      <c r="BD1" s="103">
        <f>EOMONTH(BD3,0)-EOMONTH(BD3,-6)</f>
        <v>183</v>
      </c>
      <c r="BE1" s="103">
        <f>EOMONTH(BE3,0)-EOMONTH(BE3,-6)</f>
        <v>183</v>
      </c>
      <c r="BF1" s="103">
        <f>+BE1+BD1</f>
        <v>366</v>
      </c>
      <c r="BH1" s="103">
        <f>EOMONTH(BH3,0)-EOMONTH(BH3,-6)</f>
        <v>183</v>
      </c>
      <c r="BI1" s="103">
        <f>EOMONTH(BI3,0)-EOMONTH(BI3,-6)</f>
        <v>182</v>
      </c>
      <c r="BJ1" s="103">
        <f>+BI1+BH1</f>
        <v>365</v>
      </c>
      <c r="BL1" s="103">
        <f>EOMONTH(BL3,0)-EOMONTH(BL3,-6)</f>
        <v>183</v>
      </c>
      <c r="BM1" s="103">
        <f>EOMONTH(BM3,0)-EOMONTH(BM3,-6)</f>
        <v>182</v>
      </c>
      <c r="BN1" s="103">
        <f>+BM1+BL1</f>
        <v>365</v>
      </c>
      <c r="BP1" s="103">
        <f>EOMONTH(BP3,0)-EOMONTH(BP3,-6)</f>
        <v>183</v>
      </c>
      <c r="BQ1" s="103">
        <f>EOMONTH(BQ3,0)-EOMONTH(BQ3,-6)</f>
        <v>182</v>
      </c>
      <c r="BR1" s="103">
        <f>+BQ1+BP1</f>
        <v>365</v>
      </c>
      <c r="BT1" s="103">
        <f>EOMONTH(BT3,0)-EOMONTH(BT3,-6)</f>
        <v>183</v>
      </c>
      <c r="BU1" s="103">
        <f>EOMONTH(BU3,0)-EOMONTH(BU3,-6)</f>
        <v>183</v>
      </c>
      <c r="BV1" s="103">
        <f>+BU1+BT1</f>
        <v>366</v>
      </c>
      <c r="BX1" s="103">
        <f>EOMONTH(BX3,0)-EOMONTH(BX3,-6)</f>
        <v>183</v>
      </c>
      <c r="BY1" s="103">
        <f>EOMONTH(BY3,0)-EOMONTH(BY3,-6)</f>
        <v>182</v>
      </c>
      <c r="BZ1" s="103">
        <f>+BY1+BX1</f>
        <v>365</v>
      </c>
      <c r="CB1" s="103">
        <f>EOMONTH(CB3,0)-EOMONTH(CB3,-6)</f>
        <v>183</v>
      </c>
      <c r="CC1" s="103">
        <f>EOMONTH(CC3,0)-EOMONTH(CC3,-6)</f>
        <v>182</v>
      </c>
      <c r="CD1" s="103">
        <f>+CC1+CB1</f>
        <v>365</v>
      </c>
      <c r="CF1" s="103">
        <f>EOMONTH(CF3,0)-EOMONTH(CF3,-6)</f>
        <v>183</v>
      </c>
      <c r="CG1" s="103">
        <f>EOMONTH(CG3,0)-EOMONTH(CG3,-6)</f>
        <v>182</v>
      </c>
      <c r="CH1" s="103">
        <f>+CG1+CF1</f>
        <v>365</v>
      </c>
      <c r="CJ1" s="103">
        <f>EOMONTH(CJ3,0)-EOMONTH(CJ3,-6)</f>
        <v>183</v>
      </c>
      <c r="CK1" s="103">
        <f>EOMONTH(CK3,0)-EOMONTH(CK3,-6)</f>
        <v>183</v>
      </c>
      <c r="CL1" s="103">
        <f>+CK1+CJ1</f>
        <v>366</v>
      </c>
      <c r="CN1" s="103">
        <f>EOMONTH(CN3,0)-EOMONTH(CN3,-6)</f>
        <v>183</v>
      </c>
      <c r="CO1" s="103">
        <f>EOMONTH(CO3,0)-EOMONTH(CO3,-6)</f>
        <v>182</v>
      </c>
      <c r="CP1" s="103">
        <f>+CO1+CN1</f>
        <v>365</v>
      </c>
      <c r="CR1" s="103">
        <f>EOMONTH(CR3,0)-EOMONTH(CR3,-6)</f>
        <v>183</v>
      </c>
      <c r="CS1" s="103">
        <f>EOMONTH(CS3,0)-EOMONTH(CS3,-6)</f>
        <v>182</v>
      </c>
      <c r="CT1" s="103">
        <f>+CS1+CR1</f>
        <v>365</v>
      </c>
      <c r="CV1" s="103">
        <f>EOMONTH(CV3,0)-EOMONTH(CV3,-6)</f>
        <v>183</v>
      </c>
      <c r="CW1" s="1408">
        <f>EOMONTH(CW3,0)-EOMONTH(CW3,-6)</f>
        <v>182</v>
      </c>
      <c r="CX1" s="103">
        <f>+CW1+CV1</f>
        <v>365</v>
      </c>
      <c r="CZ1" s="103">
        <f>EOMONTH(CZ3,0)-EOMONTH(CZ3,-6)</f>
        <v>183</v>
      </c>
      <c r="DA1" s="103">
        <f>EOMONTH(DA3,0)-EOMONTH(DA3,-6)</f>
        <v>183</v>
      </c>
      <c r="DB1" s="103">
        <f>+DA1+CZ1</f>
        <v>366</v>
      </c>
      <c r="DD1" s="103">
        <f>EOMONTH(DD3,0)-EOMONTH(DD3,-6)</f>
        <v>183</v>
      </c>
      <c r="DE1" s="103">
        <f>EOMONTH(DE3,0)-EOMONTH(DE3,-6)</f>
        <v>182</v>
      </c>
      <c r="DF1" s="103">
        <f>+DE1+DD1</f>
        <v>365</v>
      </c>
      <c r="DH1" s="103">
        <f>EOMONTH(DH3,0)-EOMONTH(DH3,-6)</f>
        <v>183</v>
      </c>
      <c r="DI1" s="103">
        <f>EOMONTH(DI3,0)-EOMONTH(DI3,-6)</f>
        <v>182</v>
      </c>
      <c r="DJ1" s="103">
        <f>+DI1+DH1</f>
        <v>365</v>
      </c>
      <c r="DL1" s="103">
        <f>EOMONTH(DL3,0)-EOMONTH(DL3,-6)</f>
        <v>183</v>
      </c>
      <c r="DM1" s="103">
        <f>EOMONTH(DM3,0)-EOMONTH(DM3,-6)</f>
        <v>182</v>
      </c>
      <c r="DN1" s="103">
        <f>+DM1+DL1</f>
        <v>365</v>
      </c>
      <c r="DP1" s="103">
        <f>EOMONTH(DP3,0)-EOMONTH(DP3,-6)</f>
        <v>183</v>
      </c>
      <c r="DQ1" s="103">
        <f>EOMONTH(DQ3,0)-EOMONTH(DQ3,-6)</f>
        <v>183</v>
      </c>
      <c r="DR1" s="103">
        <f>+DQ1+DP1</f>
        <v>366</v>
      </c>
      <c r="EH1"/>
    </row>
    <row r="2" spans="1:138" s="103" customFormat="1">
      <c r="D2" s="103">
        <f>+D1+D1</f>
        <v>366</v>
      </c>
      <c r="E2" s="103">
        <f>+E1+E1</f>
        <v>366</v>
      </c>
      <c r="F2" s="103">
        <f>F1</f>
        <v>366</v>
      </c>
      <c r="H2" s="103">
        <f>+H1+H1</f>
        <v>366</v>
      </c>
      <c r="I2" s="103">
        <f>+I1+I1</f>
        <v>364</v>
      </c>
      <c r="J2" s="103">
        <f>J1</f>
        <v>365</v>
      </c>
      <c r="L2" s="103">
        <f>+L1+L1</f>
        <v>366</v>
      </c>
      <c r="M2" s="103">
        <f>+M1+M1</f>
        <v>364</v>
      </c>
      <c r="N2" s="103">
        <f>N1</f>
        <v>365</v>
      </c>
      <c r="P2" s="103">
        <f>+P1+P1</f>
        <v>366</v>
      </c>
      <c r="Q2" s="103">
        <f>+Q1+Q1</f>
        <v>364</v>
      </c>
      <c r="R2" s="103">
        <f>R1</f>
        <v>365</v>
      </c>
      <c r="T2" s="103">
        <f>+T1+T1</f>
        <v>366</v>
      </c>
      <c r="U2" s="103">
        <f>+U1+U1</f>
        <v>366</v>
      </c>
      <c r="V2" s="103">
        <f>V1</f>
        <v>366</v>
      </c>
      <c r="X2" s="103">
        <f>+X1+X1</f>
        <v>366</v>
      </c>
      <c r="Y2" s="103">
        <f>+Y1+Y1</f>
        <v>364</v>
      </c>
      <c r="Z2" s="103">
        <f>Z1</f>
        <v>365</v>
      </c>
      <c r="AB2" s="103">
        <f>+AB1+AB1</f>
        <v>366</v>
      </c>
      <c r="AC2" s="103">
        <f>+AC1+AC1</f>
        <v>364</v>
      </c>
      <c r="AD2" s="103">
        <f>AD1</f>
        <v>365</v>
      </c>
      <c r="AF2" s="103">
        <f>+AF1+AF1</f>
        <v>366</v>
      </c>
      <c r="AG2" s="103">
        <f>+AG1+AG1</f>
        <v>364</v>
      </c>
      <c r="AH2" s="103">
        <f>AH1</f>
        <v>365</v>
      </c>
      <c r="AJ2" s="103">
        <f>+AJ1+AJ1</f>
        <v>366</v>
      </c>
      <c r="AK2" s="103">
        <f>+AK1+AK1</f>
        <v>364</v>
      </c>
      <c r="AL2" s="103">
        <f>AL1</f>
        <v>365</v>
      </c>
      <c r="AN2" s="103">
        <f>+AN1+AN1</f>
        <v>366</v>
      </c>
      <c r="AO2" s="103">
        <f>+AO1+AO1</f>
        <v>366</v>
      </c>
      <c r="AP2" s="103">
        <f>AP1</f>
        <v>366</v>
      </c>
      <c r="AR2" s="103">
        <f>+AR1+AR1</f>
        <v>366</v>
      </c>
      <c r="AS2" s="103">
        <f>+AS1+AS1</f>
        <v>364</v>
      </c>
      <c r="AT2" s="103">
        <f>AT1</f>
        <v>365</v>
      </c>
      <c r="AV2" s="103">
        <f>+AV1+AV1</f>
        <v>366</v>
      </c>
      <c r="AW2" s="103">
        <f>+AW1+AW1</f>
        <v>364</v>
      </c>
      <c r="AX2" s="103">
        <f>AX1</f>
        <v>365</v>
      </c>
      <c r="AZ2" s="103">
        <f>+AZ1+AZ1</f>
        <v>366</v>
      </c>
      <c r="BA2" s="103">
        <f>+BA1+BA1</f>
        <v>364</v>
      </c>
      <c r="BB2" s="103">
        <f>BB1</f>
        <v>365</v>
      </c>
      <c r="BD2" s="103">
        <f>+BD1+BD1</f>
        <v>366</v>
      </c>
      <c r="BE2" s="103">
        <f>+BE1+BE1</f>
        <v>366</v>
      </c>
      <c r="BF2" s="103">
        <f>BF1</f>
        <v>366</v>
      </c>
      <c r="BH2" s="103">
        <f>+BH1+BH1</f>
        <v>366</v>
      </c>
      <c r="BI2" s="103">
        <f>+BI1+BI1</f>
        <v>364</v>
      </c>
      <c r="BJ2" s="103">
        <f>BJ1</f>
        <v>365</v>
      </c>
      <c r="BL2" s="103">
        <f>+BL1+BL1</f>
        <v>366</v>
      </c>
      <c r="BM2" s="103">
        <f>+BM1+BM1</f>
        <v>364</v>
      </c>
      <c r="BN2" s="103">
        <f>BN1</f>
        <v>365</v>
      </c>
      <c r="BP2" s="103">
        <f>+BP1+BP1</f>
        <v>366</v>
      </c>
      <c r="BQ2" s="103">
        <f>+BQ1+BQ1</f>
        <v>364</v>
      </c>
      <c r="BR2" s="103">
        <f>BR1</f>
        <v>365</v>
      </c>
      <c r="BT2" s="103">
        <f>+BT1+BT1</f>
        <v>366</v>
      </c>
      <c r="BU2" s="103">
        <f>+BU1+BU1</f>
        <v>366</v>
      </c>
      <c r="BV2" s="103">
        <f>BV1</f>
        <v>366</v>
      </c>
      <c r="BX2" s="103">
        <f>+BX1+BX1</f>
        <v>366</v>
      </c>
      <c r="BY2" s="103">
        <f>+BY1+BY1</f>
        <v>364</v>
      </c>
      <c r="BZ2" s="103">
        <f>BZ1</f>
        <v>365</v>
      </c>
      <c r="CB2" s="103">
        <f>+CB1+CB1</f>
        <v>366</v>
      </c>
      <c r="CC2" s="103">
        <f>+CC1+CC1</f>
        <v>364</v>
      </c>
      <c r="CD2" s="103">
        <f>CD1</f>
        <v>365</v>
      </c>
      <c r="CF2" s="103">
        <f>+CF1+CF1</f>
        <v>366</v>
      </c>
      <c r="CG2" s="103">
        <f>+CG1+CG1</f>
        <v>364</v>
      </c>
      <c r="CH2" s="103">
        <f>CH1</f>
        <v>365</v>
      </c>
      <c r="CJ2" s="103">
        <f>+CJ1+CJ1</f>
        <v>366</v>
      </c>
      <c r="CK2" s="103">
        <f>+CK1+CK1</f>
        <v>366</v>
      </c>
      <c r="CL2" s="103">
        <f>CL1</f>
        <v>366</v>
      </c>
      <c r="CN2" s="103">
        <f>+CN1+CN1</f>
        <v>366</v>
      </c>
      <c r="CO2" s="103">
        <f>+CO1+CO1</f>
        <v>364</v>
      </c>
      <c r="CP2" s="103">
        <f>CP1</f>
        <v>365</v>
      </c>
      <c r="CR2" s="103">
        <f>+CR1+CR1</f>
        <v>366</v>
      </c>
      <c r="CS2" s="103">
        <f>+CS1+CS1</f>
        <v>364</v>
      </c>
      <c r="CT2" s="103">
        <f>CT1</f>
        <v>365</v>
      </c>
      <c r="CV2" s="103">
        <f>+CV1+CV1</f>
        <v>366</v>
      </c>
      <c r="CW2" s="1408">
        <f>+CW1+CW1</f>
        <v>364</v>
      </c>
      <c r="CX2" s="103">
        <f>CX1</f>
        <v>365</v>
      </c>
      <c r="CZ2" s="103">
        <f>+CZ1+CZ1</f>
        <v>366</v>
      </c>
      <c r="DA2" s="103">
        <f>+DA1+DA1</f>
        <v>366</v>
      </c>
      <c r="DB2" s="103">
        <f>DB1</f>
        <v>366</v>
      </c>
      <c r="DD2" s="103">
        <f>+DD1+DD1</f>
        <v>366</v>
      </c>
      <c r="DE2" s="103">
        <f>+DE1+DE1</f>
        <v>364</v>
      </c>
      <c r="DF2" s="103">
        <f>DF1</f>
        <v>365</v>
      </c>
      <c r="DH2" s="103">
        <f>+DH1+DH1</f>
        <v>366</v>
      </c>
      <c r="DI2" s="103">
        <f>+DI1+DI1</f>
        <v>364</v>
      </c>
      <c r="DJ2" s="103">
        <f>DJ1</f>
        <v>365</v>
      </c>
      <c r="DL2" s="103">
        <f>+DL1+DL1</f>
        <v>366</v>
      </c>
      <c r="DM2" s="103">
        <f>+DM1+DM1</f>
        <v>364</v>
      </c>
      <c r="DN2" s="103">
        <f>DN1</f>
        <v>365</v>
      </c>
      <c r="DP2" s="103">
        <f>+DP1+DP1</f>
        <v>366</v>
      </c>
      <c r="DQ2" s="103">
        <f>+DQ1+DQ1</f>
        <v>366</v>
      </c>
      <c r="DR2" s="103">
        <f>DR1</f>
        <v>366</v>
      </c>
      <c r="EH2"/>
    </row>
    <row r="3" spans="1:138" s="103" customFormat="1">
      <c r="D3" s="613">
        <v>36404</v>
      </c>
      <c r="E3" s="613">
        <v>36586</v>
      </c>
      <c r="F3" s="613"/>
      <c r="G3" s="613"/>
      <c r="H3" s="613">
        <v>36770</v>
      </c>
      <c r="I3" s="613">
        <v>36951</v>
      </c>
      <c r="J3" s="613"/>
      <c r="K3" s="613"/>
      <c r="L3" s="613">
        <v>37135</v>
      </c>
      <c r="M3" s="613">
        <v>37316</v>
      </c>
      <c r="N3" s="613"/>
      <c r="O3" s="613"/>
      <c r="P3" s="613">
        <v>37500</v>
      </c>
      <c r="Q3" s="613">
        <v>37681</v>
      </c>
      <c r="R3" s="613"/>
      <c r="S3" s="613"/>
      <c r="T3" s="613">
        <v>37865</v>
      </c>
      <c r="U3" s="613">
        <v>38047</v>
      </c>
      <c r="V3" s="613"/>
      <c r="W3" s="613"/>
      <c r="X3" s="613">
        <v>38231</v>
      </c>
      <c r="Y3" s="613">
        <v>38412</v>
      </c>
      <c r="Z3" s="613"/>
      <c r="AA3" s="613"/>
      <c r="AB3" s="613">
        <v>38231</v>
      </c>
      <c r="AC3" s="613">
        <v>38412</v>
      </c>
      <c r="AD3" s="613"/>
      <c r="AE3" s="613"/>
      <c r="AF3" s="613">
        <v>38596</v>
      </c>
      <c r="AG3" s="613">
        <v>38777</v>
      </c>
      <c r="AH3" s="613"/>
      <c r="AI3" s="613"/>
      <c r="AJ3" s="613">
        <v>38961</v>
      </c>
      <c r="AK3" s="613">
        <v>39142</v>
      </c>
      <c r="AL3" s="613"/>
      <c r="AM3" s="613"/>
      <c r="AN3" s="613">
        <v>39326</v>
      </c>
      <c r="AO3" s="613">
        <f>DATE(YEAR(AN3),MONTH(AN3)+6,1)</f>
        <v>39508</v>
      </c>
      <c r="AP3" s="613"/>
      <c r="AQ3" s="613"/>
      <c r="AR3" s="613">
        <f>DATE(YEAR(AO3),MONTH(AO3)+6,1)</f>
        <v>39692</v>
      </c>
      <c r="AS3" s="613">
        <f>DATE(YEAR(AR3),MONTH(AR3)+6,1)</f>
        <v>39873</v>
      </c>
      <c r="AT3" s="613"/>
      <c r="AU3" s="613"/>
      <c r="AV3" s="613">
        <f>DATE(YEAR(AS3),MONTH(AS3)+6,1)</f>
        <v>40057</v>
      </c>
      <c r="AW3" s="613">
        <f>DATE(YEAR(AV3),MONTH(AV3)+6,1)</f>
        <v>40238</v>
      </c>
      <c r="AX3" s="613"/>
      <c r="AY3" s="613"/>
      <c r="AZ3" s="613">
        <f>DATE(YEAR(AW3),MONTH(AW3)+6,1)</f>
        <v>40422</v>
      </c>
      <c r="BA3" s="613">
        <f>DATE(YEAR(AZ3),MONTH(AZ3)+6,1)</f>
        <v>40603</v>
      </c>
      <c r="BB3" s="613"/>
      <c r="BC3" s="613"/>
      <c r="BD3" s="613">
        <f>DATE(YEAR(BA3),MONTH(BA3)+6,1)</f>
        <v>40787</v>
      </c>
      <c r="BE3" s="613">
        <f>DATE(YEAR(BD3),MONTH(BD3)+6,1)</f>
        <v>40969</v>
      </c>
      <c r="BF3" s="613"/>
      <c r="BG3" s="613"/>
      <c r="BH3" s="613">
        <f>DATE(YEAR(BE3),MONTH(BE3)+6,1)</f>
        <v>41153</v>
      </c>
      <c r="BI3" s="613">
        <f>DATE(YEAR(BH3),MONTH(BH3)+6,1)</f>
        <v>41334</v>
      </c>
      <c r="BJ3" s="613"/>
      <c r="BK3" s="613"/>
      <c r="BL3" s="613">
        <f>DATE(YEAR(BI3),MONTH(BI3)+6,1)</f>
        <v>41518</v>
      </c>
      <c r="BM3" s="613">
        <f>DATE(YEAR(BL3),MONTH(BL3)+6,1)</f>
        <v>41699</v>
      </c>
      <c r="BN3" s="613"/>
      <c r="BO3" s="613"/>
      <c r="BP3" s="613">
        <f>DATE(YEAR(BM3),MONTH(BM3)+6,1)</f>
        <v>41883</v>
      </c>
      <c r="BQ3" s="613">
        <f>DATE(YEAR(BP3),MONTH(BP3)+6,1)</f>
        <v>42064</v>
      </c>
      <c r="BR3" s="613"/>
      <c r="BS3" s="613"/>
      <c r="BT3" s="613">
        <f>DATE(YEAR(BQ3),MONTH(BQ3)+6,1)</f>
        <v>42248</v>
      </c>
      <c r="BU3" s="613">
        <f>DATE(YEAR(BT3),MONTH(BT3)+6,1)</f>
        <v>42430</v>
      </c>
      <c r="BV3" s="613"/>
      <c r="BW3" s="613"/>
      <c r="BX3" s="613">
        <f>DATE(YEAR(BU3),MONTH(BU3)+6,1)</f>
        <v>42614</v>
      </c>
      <c r="BY3" s="613">
        <f>DATE(YEAR(BX3),MONTH(BX3)+6,1)</f>
        <v>42795</v>
      </c>
      <c r="BZ3" s="613"/>
      <c r="CA3" s="613"/>
      <c r="CB3" s="613">
        <f>DATE(YEAR(BY3),MONTH(BY3)+6,1)</f>
        <v>42979</v>
      </c>
      <c r="CC3" s="613">
        <f>DATE(YEAR(CB3),MONTH(CB3)+6,1)</f>
        <v>43160</v>
      </c>
      <c r="CD3" s="613"/>
      <c r="CE3" s="613"/>
      <c r="CF3" s="613">
        <f>DATE(YEAR(CC3),MONTH(CC3)+6,1)</f>
        <v>43344</v>
      </c>
      <c r="CG3" s="613">
        <f>DATE(YEAR(CF3),MONTH(CF3)+6,1)</f>
        <v>43525</v>
      </c>
      <c r="CH3" s="613"/>
      <c r="CI3" s="613"/>
      <c r="CJ3" s="613">
        <f>DATE(YEAR(CG3),MONTH(CG3)+6,1)</f>
        <v>43709</v>
      </c>
      <c r="CK3" s="613">
        <f>DATE(YEAR(CJ3),MONTH(CJ3)+6,1)</f>
        <v>43891</v>
      </c>
      <c r="CL3" s="613"/>
      <c r="CM3" s="613"/>
      <c r="CN3" s="613">
        <f>DATE(YEAR(CK3),MONTH(CK3)+6,1)</f>
        <v>44075</v>
      </c>
      <c r="CO3" s="613">
        <f>DATE(YEAR(CN3),MONTH(CN3)+6,1)</f>
        <v>44256</v>
      </c>
      <c r="CP3" s="613"/>
      <c r="CQ3" s="613"/>
      <c r="CR3" s="613">
        <f>DATE(YEAR(CO3),MONTH(CO3)+6,1)</f>
        <v>44440</v>
      </c>
      <c r="CS3" s="613">
        <f>DATE(YEAR(CR3),MONTH(CR3)+6,1)</f>
        <v>44621</v>
      </c>
      <c r="CT3" s="613"/>
      <c r="CU3" s="613"/>
      <c r="CV3" s="613">
        <f>DATE(YEAR(CS3),MONTH(CS3)+6,1)</f>
        <v>44805</v>
      </c>
      <c r="CW3" s="1790">
        <f>DATE(YEAR(CV3),MONTH(CV3)+6,1)</f>
        <v>44986</v>
      </c>
      <c r="CX3" s="613"/>
      <c r="CY3" s="613"/>
      <c r="CZ3" s="613">
        <f>DATE(YEAR(CW3),MONTH(CW3)+6,1)</f>
        <v>45170</v>
      </c>
      <c r="DA3" s="613">
        <f>DATE(YEAR(CZ3),MONTH(CZ3)+6,1)</f>
        <v>45352</v>
      </c>
      <c r="DB3" s="613"/>
      <c r="DC3" s="613"/>
      <c r="DD3" s="613">
        <f>DATE(YEAR(DA3),MONTH(DA3)+6,1)</f>
        <v>45536</v>
      </c>
      <c r="DE3" s="613">
        <f>DATE(YEAR(DD3),MONTH(DD3)+6,1)</f>
        <v>45717</v>
      </c>
      <c r="DF3" s="613"/>
      <c r="DG3" s="613"/>
      <c r="DH3" s="613">
        <f>DATE(YEAR(DE3),MONTH(DE3)+6,1)</f>
        <v>45901</v>
      </c>
      <c r="DI3" s="613">
        <f>DATE(YEAR(DH3),MONTH(DH3)+6,1)</f>
        <v>46082</v>
      </c>
      <c r="DJ3" s="613"/>
      <c r="DK3" s="613"/>
      <c r="DL3" s="613">
        <f>DATE(YEAR(DI3),MONTH(DI3)+6,1)</f>
        <v>46266</v>
      </c>
      <c r="DM3" s="613">
        <f>DATE(YEAR(DL3),MONTH(DL3)+6,1)</f>
        <v>46447</v>
      </c>
      <c r="DN3" s="613"/>
      <c r="DO3" s="613"/>
      <c r="DP3" s="613">
        <f>DATE(YEAR(DM3),MONTH(DM3)+6,1)</f>
        <v>46631</v>
      </c>
      <c r="DQ3" s="613">
        <f>DATE(YEAR(DP3),MONTH(DP3)+6,1)</f>
        <v>46813</v>
      </c>
      <c r="DR3" s="613"/>
      <c r="DS3" s="613"/>
      <c r="DT3" s="613"/>
      <c r="DU3" s="613"/>
      <c r="DV3" s="613"/>
      <c r="DW3" s="613"/>
      <c r="DX3" s="613"/>
      <c r="EH3"/>
    </row>
    <row r="4" spans="1:138" s="103" customFormat="1">
      <c r="D4" s="613"/>
      <c r="E4" s="613"/>
      <c r="F4" s="613"/>
      <c r="G4" s="613"/>
      <c r="H4" s="613"/>
      <c r="I4" s="613"/>
      <c r="J4" s="613"/>
      <c r="K4" s="613"/>
      <c r="L4" s="613"/>
      <c r="M4" s="613"/>
      <c r="N4" s="613"/>
      <c r="O4" s="613"/>
      <c r="P4" s="613"/>
      <c r="Q4" s="613"/>
      <c r="R4" s="613"/>
      <c r="S4" s="613"/>
      <c r="T4" s="613"/>
      <c r="U4" s="613"/>
      <c r="V4" s="613"/>
      <c r="W4" s="613"/>
      <c r="X4" s="613"/>
      <c r="Y4" s="613"/>
      <c r="Z4" s="613"/>
      <c r="AA4" s="613"/>
      <c r="AB4" s="613"/>
      <c r="AC4" s="613"/>
      <c r="AD4" s="613"/>
      <c r="AE4" s="613"/>
      <c r="AF4" s="613"/>
      <c r="AG4" s="613"/>
      <c r="AH4" s="613"/>
      <c r="AI4" s="613"/>
      <c r="AJ4" s="613"/>
      <c r="AK4" s="613"/>
      <c r="AL4" s="613"/>
      <c r="AM4" s="613"/>
      <c r="AN4" s="613"/>
      <c r="AO4" s="613"/>
      <c r="AP4" s="613"/>
      <c r="AQ4" s="613"/>
      <c r="AR4" s="613"/>
      <c r="AS4" s="613"/>
      <c r="AT4" s="613"/>
      <c r="AU4" s="613"/>
      <c r="AV4" s="613"/>
      <c r="AW4" s="613"/>
      <c r="AX4" s="613"/>
      <c r="AY4" s="613"/>
      <c r="AZ4" s="613"/>
      <c r="BA4" s="613"/>
      <c r="BB4" s="613"/>
      <c r="BC4" s="613"/>
      <c r="BD4" s="613"/>
      <c r="BE4" s="613"/>
      <c r="BF4" s="613"/>
      <c r="BG4" s="613"/>
      <c r="BH4" s="613"/>
      <c r="BI4" s="613"/>
      <c r="BJ4" s="613"/>
      <c r="BK4" s="613"/>
      <c r="BL4" s="613"/>
      <c r="BM4" s="613"/>
      <c r="BN4" s="613"/>
      <c r="BO4" s="613"/>
      <c r="BP4" s="613"/>
      <c r="BQ4" s="613"/>
      <c r="BR4" s="613"/>
      <c r="BS4" s="613"/>
      <c r="BT4" s="613"/>
      <c r="BU4" s="613"/>
      <c r="BV4" s="613"/>
      <c r="BW4" s="613"/>
      <c r="BX4" s="613"/>
      <c r="BY4" s="613"/>
      <c r="BZ4" s="613"/>
      <c r="CA4" s="613"/>
      <c r="CB4" s="613"/>
      <c r="CC4" s="613"/>
      <c r="CD4" s="613"/>
      <c r="CE4" s="613"/>
      <c r="CF4" s="613"/>
      <c r="CG4" s="613"/>
      <c r="CH4" s="613"/>
      <c r="CI4" s="613"/>
      <c r="CJ4" s="613"/>
      <c r="CK4" s="613"/>
      <c r="CL4" s="613"/>
      <c r="CM4" s="613"/>
      <c r="CN4" s="2099" t="s">
        <v>1256</v>
      </c>
      <c r="CO4" s="613"/>
      <c r="CP4" s="613"/>
      <c r="CQ4" s="613"/>
      <c r="CR4" s="613"/>
      <c r="CS4" s="613"/>
      <c r="CT4" s="613"/>
      <c r="CU4" s="613"/>
      <c r="CV4" s="613"/>
      <c r="CW4" s="1790"/>
      <c r="CX4" s="613"/>
      <c r="CY4" s="613"/>
      <c r="CZ4" s="613"/>
      <c r="DA4" s="613"/>
      <c r="DB4" s="613"/>
      <c r="DC4" s="613"/>
      <c r="DD4" s="613"/>
      <c r="DE4" s="613"/>
      <c r="DF4" s="613"/>
      <c r="DG4" s="613"/>
      <c r="DH4" s="613"/>
      <c r="DI4" s="613"/>
      <c r="DJ4" s="613"/>
      <c r="DK4" s="613"/>
      <c r="DL4" s="613"/>
      <c r="DM4" s="613"/>
      <c r="DN4" s="613"/>
      <c r="DO4" s="613"/>
      <c r="DP4" s="613"/>
      <c r="DQ4" s="613"/>
      <c r="DR4" s="613"/>
      <c r="DS4" s="613"/>
      <c r="DT4" s="613"/>
      <c r="DU4" s="613"/>
      <c r="DV4" s="613"/>
      <c r="DW4" s="613"/>
      <c r="DX4" s="613"/>
      <c r="EH4"/>
    </row>
    <row r="5" spans="1:138" ht="13.5" customHeight="1">
      <c r="A5" s="1571" t="s">
        <v>622</v>
      </c>
      <c r="B5" s="1572"/>
      <c r="C5" s="1573"/>
      <c r="D5" s="1574" t="s">
        <v>623</v>
      </c>
      <c r="E5" s="1574" t="s">
        <v>624</v>
      </c>
      <c r="F5" s="1572" t="s">
        <v>625</v>
      </c>
      <c r="G5" s="1572" t="s">
        <v>626</v>
      </c>
      <c r="H5" s="1574" t="s">
        <v>627</v>
      </c>
      <c r="I5" s="1574" t="s">
        <v>628</v>
      </c>
      <c r="J5" s="1572" t="s">
        <v>629</v>
      </c>
      <c r="K5" s="1572" t="s">
        <v>626</v>
      </c>
      <c r="L5" s="1574" t="s">
        <v>630</v>
      </c>
      <c r="M5" s="1574" t="s">
        <v>631</v>
      </c>
      <c r="N5" s="1572" t="s">
        <v>632</v>
      </c>
      <c r="O5" s="1572" t="s">
        <v>626</v>
      </c>
      <c r="P5" s="1574" t="s">
        <v>633</v>
      </c>
      <c r="Q5" s="1574" t="s">
        <v>634</v>
      </c>
      <c r="R5" s="1572" t="s">
        <v>635</v>
      </c>
      <c r="S5" s="1572" t="s">
        <v>626</v>
      </c>
      <c r="T5" s="1574" t="s">
        <v>636</v>
      </c>
      <c r="U5" s="1574" t="s">
        <v>637</v>
      </c>
      <c r="V5" s="1572" t="s">
        <v>638</v>
      </c>
      <c r="W5" s="1572" t="s">
        <v>626</v>
      </c>
      <c r="X5" s="1574" t="s">
        <v>639</v>
      </c>
      <c r="Y5" s="1574" t="s">
        <v>640</v>
      </c>
      <c r="Z5" s="1575">
        <v>2005</v>
      </c>
      <c r="AA5" s="1576" t="s">
        <v>626</v>
      </c>
      <c r="AB5" s="1574" t="s">
        <v>639</v>
      </c>
      <c r="AC5" s="1574" t="s">
        <v>640</v>
      </c>
      <c r="AD5" s="1572" t="s">
        <v>641</v>
      </c>
      <c r="AE5" s="1576" t="s">
        <v>626</v>
      </c>
      <c r="AF5" s="1574" t="s">
        <v>642</v>
      </c>
      <c r="AG5" s="1574" t="s">
        <v>643</v>
      </c>
      <c r="AH5" s="1572" t="s">
        <v>644</v>
      </c>
      <c r="AI5" s="1576" t="s">
        <v>626</v>
      </c>
      <c r="AJ5" s="1572" t="s">
        <v>645</v>
      </c>
      <c r="AK5" s="1572" t="s">
        <v>646</v>
      </c>
      <c r="AL5" s="1572" t="s">
        <v>647</v>
      </c>
      <c r="AM5" s="1576" t="s">
        <v>626</v>
      </c>
      <c r="AN5" s="1572" t="s">
        <v>609</v>
      </c>
      <c r="AO5" s="1572" t="s">
        <v>610</v>
      </c>
      <c r="AP5" s="1572" t="s">
        <v>611</v>
      </c>
      <c r="AQ5" s="1576" t="s">
        <v>626</v>
      </c>
      <c r="AR5" s="1572" t="s">
        <v>573</v>
      </c>
      <c r="AS5" s="1572" t="s">
        <v>574</v>
      </c>
      <c r="AT5" s="1572" t="s">
        <v>583</v>
      </c>
      <c r="AU5" s="1576" t="s">
        <v>626</v>
      </c>
      <c r="AV5" s="1572" t="s">
        <v>575</v>
      </c>
      <c r="AW5" s="1572" t="s">
        <v>582</v>
      </c>
      <c r="AX5" s="1572" t="s">
        <v>584</v>
      </c>
      <c r="AY5" s="1576" t="s">
        <v>626</v>
      </c>
      <c r="AZ5" s="1572" t="s">
        <v>603</v>
      </c>
      <c r="BA5" s="1572" t="s">
        <v>813</v>
      </c>
      <c r="BB5" s="1572" t="s">
        <v>814</v>
      </c>
      <c r="BC5" s="1576" t="s">
        <v>626</v>
      </c>
      <c r="BD5" s="1572" t="s">
        <v>826</v>
      </c>
      <c r="BE5" s="1572" t="s">
        <v>885</v>
      </c>
      <c r="BF5" s="1572" t="s">
        <v>886</v>
      </c>
      <c r="BG5" s="1576" t="s">
        <v>626</v>
      </c>
      <c r="BH5" s="1572" t="s">
        <v>893</v>
      </c>
      <c r="BI5" s="1572" t="s">
        <v>901</v>
      </c>
      <c r="BJ5" s="1572" t="s">
        <v>902</v>
      </c>
      <c r="BK5" s="1572" t="s">
        <v>626</v>
      </c>
      <c r="BL5" s="1572" t="s">
        <v>69</v>
      </c>
      <c r="BM5" s="1572" t="s">
        <v>1</v>
      </c>
      <c r="BN5" s="1572" t="s">
        <v>2</v>
      </c>
      <c r="BO5" s="1572" t="s">
        <v>626</v>
      </c>
      <c r="BP5" s="1572" t="s">
        <v>944</v>
      </c>
      <c r="BQ5" s="1572" t="s">
        <v>894</v>
      </c>
      <c r="BR5" s="1572" t="s">
        <v>501</v>
      </c>
      <c r="BS5" s="1572" t="s">
        <v>626</v>
      </c>
      <c r="BT5" s="1572" t="str">
        <f>'P&amp;L'!BT4</f>
        <v>1H16</v>
      </c>
      <c r="BU5" s="1572" t="str">
        <f>'P&amp;L'!BU4</f>
        <v>2H16</v>
      </c>
      <c r="BV5" s="1572" t="str">
        <f>'P&amp;L'!BV4</f>
        <v>FY16</v>
      </c>
      <c r="BW5" s="1576" t="str">
        <f>'P&amp;L'!BW4</f>
        <v>Ch</v>
      </c>
      <c r="BX5" s="1572" t="str">
        <f>'P&amp;L'!BX4</f>
        <v>1H17</v>
      </c>
      <c r="BY5" s="1572" t="str">
        <f>'P&amp;L'!BY4</f>
        <v>2H17</v>
      </c>
      <c r="BZ5" s="1572" t="str">
        <f>'P&amp;L'!BZ4</f>
        <v>FY17</v>
      </c>
      <c r="CA5" s="1576" t="str">
        <f>'P&amp;L'!CA4</f>
        <v>Ch</v>
      </c>
      <c r="CB5" s="1572" t="str">
        <f>'P&amp;L'!CB4</f>
        <v>1H18</v>
      </c>
      <c r="CC5" s="1572" t="str">
        <f>'P&amp;L'!CC4</f>
        <v>2H18</v>
      </c>
      <c r="CD5" s="1572" t="str">
        <f>'P&amp;L'!CD4</f>
        <v>FY18</v>
      </c>
      <c r="CE5" s="1576" t="str">
        <f>'P&amp;L'!CE4</f>
        <v>Ch</v>
      </c>
      <c r="CF5" s="1572" t="str">
        <f>'P&amp;L'!CF4</f>
        <v>1H19</v>
      </c>
      <c r="CG5" s="1572" t="str">
        <f>'P&amp;L'!CG4</f>
        <v>2H19</v>
      </c>
      <c r="CH5" s="1572" t="str">
        <f>'P&amp;L'!CH4</f>
        <v>FY19</v>
      </c>
      <c r="CI5" s="1576" t="str">
        <f>'P&amp;L'!CI4</f>
        <v>Ch</v>
      </c>
      <c r="CJ5" s="1572" t="s">
        <v>1185</v>
      </c>
      <c r="CK5" s="1572" t="s">
        <v>1209</v>
      </c>
      <c r="CL5" s="1572" t="s">
        <v>1204</v>
      </c>
      <c r="CM5" s="1576" t="str">
        <f>'P&amp;L'!CM4</f>
        <v>Ch</v>
      </c>
      <c r="CN5" s="1572" t="str">
        <f>'P&amp;L'!CN4</f>
        <v>1H21</v>
      </c>
      <c r="CO5" s="1572" t="str">
        <f>'P&amp;L'!CO4</f>
        <v>2H21</v>
      </c>
      <c r="CP5" s="1572" t="str">
        <f>'P&amp;L'!CP4</f>
        <v>FY21</v>
      </c>
      <c r="CQ5" s="1576" t="str">
        <f>'P&amp;L'!CQ4</f>
        <v>Ch</v>
      </c>
      <c r="CR5" s="1572" t="str">
        <f>'P&amp;L'!CR4</f>
        <v>1H22</v>
      </c>
      <c r="CS5" s="1572" t="str">
        <f>'P&amp;L'!CS4</f>
        <v>2H22</v>
      </c>
      <c r="CT5" s="1572" t="str">
        <f>'P&amp;L'!CT4</f>
        <v>FY22</v>
      </c>
      <c r="CU5" s="1576" t="str">
        <f>'P&amp;L'!CU4</f>
        <v>Ch</v>
      </c>
      <c r="CV5" s="1572" t="str">
        <f>'P&amp;L'!CV4</f>
        <v>1H23</v>
      </c>
      <c r="CW5" s="1572" t="str">
        <f>'P&amp;L'!CW4</f>
        <v>2H23</v>
      </c>
      <c r="CX5" s="1572" t="str">
        <f>'P&amp;L'!CX4</f>
        <v>FY23</v>
      </c>
      <c r="CY5" s="1576" t="str">
        <f>'P&amp;L'!CY4</f>
        <v>Ch</v>
      </c>
      <c r="CZ5" s="1572" t="str">
        <f>'P&amp;L'!CZ4</f>
        <v>1H24</v>
      </c>
      <c r="DA5" s="1572" t="str">
        <f>'P&amp;L'!DA4</f>
        <v>2H24</v>
      </c>
      <c r="DB5" s="1572" t="str">
        <f>'P&amp;L'!DB4</f>
        <v>FY24</v>
      </c>
      <c r="DC5" s="1576" t="str">
        <f>'P&amp;L'!DC4</f>
        <v>Ch</v>
      </c>
      <c r="DD5" s="1572" t="str">
        <f>'P&amp;L'!DD4</f>
        <v>1H25</v>
      </c>
      <c r="DE5" s="1572" t="str">
        <f>'P&amp;L'!DE4</f>
        <v>2H25</v>
      </c>
      <c r="DF5" s="1572" t="str">
        <f>'P&amp;L'!DF4</f>
        <v>FY25</v>
      </c>
      <c r="DG5" s="1576" t="str">
        <f>'P&amp;L'!DG4</f>
        <v>Ch</v>
      </c>
      <c r="DH5" s="1572" t="str">
        <f>'P&amp;L'!DH4</f>
        <v>1H26</v>
      </c>
      <c r="DI5" s="614" t="str">
        <f>'P&amp;L'!DI4</f>
        <v>2H26E</v>
      </c>
      <c r="DJ5" s="614" t="str">
        <f>'P&amp;L'!DJ4</f>
        <v>FY26E</v>
      </c>
      <c r="DK5" s="615" t="str">
        <f>'P&amp;L'!DK4</f>
        <v>Ch</v>
      </c>
      <c r="DL5" s="614" t="str">
        <f>'P&amp;L'!DL4</f>
        <v>1H27E</v>
      </c>
      <c r="DM5" s="614" t="str">
        <f>'P&amp;L'!DM4</f>
        <v>2H27E</v>
      </c>
      <c r="DN5" s="614" t="str">
        <f>'P&amp;L'!DN4</f>
        <v>FY27E</v>
      </c>
      <c r="DO5" s="615" t="str">
        <f>'P&amp;L'!DO4</f>
        <v>Ch</v>
      </c>
      <c r="DP5" s="614" t="str">
        <f>'P&amp;L'!DP4</f>
        <v>1H28E</v>
      </c>
      <c r="DQ5" s="614" t="str">
        <f>'P&amp;L'!DQ4</f>
        <v>2H28E</v>
      </c>
      <c r="DR5" s="614" t="str">
        <f>'P&amp;L'!DR4</f>
        <v>FY28E</v>
      </c>
      <c r="DS5" s="615" t="str">
        <f>'P&amp;L'!DS4</f>
        <v>Ch</v>
      </c>
      <c r="DT5" s="1112"/>
      <c r="DU5" s="1109"/>
      <c r="DV5" s="1109"/>
      <c r="DW5" s="1109"/>
      <c r="DX5" s="1112"/>
      <c r="DY5" s="103"/>
      <c r="DZ5" s="102"/>
      <c r="EA5" s="103"/>
      <c r="EB5" s="103"/>
      <c r="EC5" s="103"/>
      <c r="ED5" s="103"/>
      <c r="EE5" s="103"/>
      <c r="EF5" s="103"/>
      <c r="EG5" s="103"/>
    </row>
    <row r="6" spans="1:138" ht="13.5" customHeight="1">
      <c r="A6" s="1577" t="s">
        <v>648</v>
      </c>
      <c r="B6" s="1578"/>
      <c r="C6" s="1578"/>
      <c r="D6" s="1579" t="s">
        <v>649</v>
      </c>
      <c r="E6" s="1579" t="s">
        <v>649</v>
      </c>
      <c r="F6" s="1579" t="s">
        <v>649</v>
      </c>
      <c r="G6" s="1578"/>
      <c r="H6" s="1579" t="s">
        <v>649</v>
      </c>
      <c r="I6" s="1579" t="s">
        <v>649</v>
      </c>
      <c r="J6" s="1579" t="s">
        <v>649</v>
      </c>
      <c r="K6" s="1578"/>
      <c r="L6" s="1579" t="s">
        <v>649</v>
      </c>
      <c r="M6" s="1579" t="s">
        <v>649</v>
      </c>
      <c r="N6" s="1579" t="s">
        <v>649</v>
      </c>
      <c r="O6" s="1578"/>
      <c r="P6" s="1579" t="s">
        <v>649</v>
      </c>
      <c r="Q6" s="1579" t="s">
        <v>649</v>
      </c>
      <c r="R6" s="1579" t="s">
        <v>649</v>
      </c>
      <c r="S6" s="1578"/>
      <c r="T6" s="1579" t="s">
        <v>649</v>
      </c>
      <c r="U6" s="1579" t="s">
        <v>649</v>
      </c>
      <c r="V6" s="1579" t="s">
        <v>649</v>
      </c>
      <c r="W6" s="1578"/>
      <c r="X6" s="1579" t="s">
        <v>649</v>
      </c>
      <c r="Y6" s="1579" t="s">
        <v>649</v>
      </c>
      <c r="Z6" s="1579" t="s">
        <v>649</v>
      </c>
      <c r="AA6" s="1580"/>
      <c r="AB6" s="1579" t="s">
        <v>650</v>
      </c>
      <c r="AC6" s="1579" t="s">
        <v>650</v>
      </c>
      <c r="AD6" s="1579" t="s">
        <v>650</v>
      </c>
      <c r="AE6" s="1580"/>
      <c r="AF6" s="1579" t="s">
        <v>650</v>
      </c>
      <c r="AG6" s="1579" t="s">
        <v>650</v>
      </c>
      <c r="AH6" s="1579" t="s">
        <v>650</v>
      </c>
      <c r="AI6" s="1580"/>
      <c r="AJ6" s="1579" t="s">
        <v>650</v>
      </c>
      <c r="AK6" s="1579" t="s">
        <v>650</v>
      </c>
      <c r="AL6" s="1579" t="s">
        <v>650</v>
      </c>
      <c r="AM6" s="1580"/>
      <c r="AN6" s="1579" t="s">
        <v>650</v>
      </c>
      <c r="AO6" s="1579" t="s">
        <v>650</v>
      </c>
      <c r="AP6" s="1579" t="s">
        <v>650</v>
      </c>
      <c r="AQ6" s="1580"/>
      <c r="AR6" s="1579" t="s">
        <v>650</v>
      </c>
      <c r="AS6" s="1579" t="s">
        <v>650</v>
      </c>
      <c r="AT6" s="1579" t="s">
        <v>650</v>
      </c>
      <c r="AU6" s="1580"/>
      <c r="AV6" s="1579" t="s">
        <v>650</v>
      </c>
      <c r="AW6" s="1579" t="s">
        <v>650</v>
      </c>
      <c r="AX6" s="1579" t="s">
        <v>650</v>
      </c>
      <c r="AY6" s="1580"/>
      <c r="AZ6" s="1579" t="s">
        <v>650</v>
      </c>
      <c r="BA6" s="1579" t="s">
        <v>650</v>
      </c>
      <c r="BB6" s="1579" t="s">
        <v>650</v>
      </c>
      <c r="BC6" s="1580"/>
      <c r="BD6" s="1579" t="s">
        <v>650</v>
      </c>
      <c r="BE6" s="1579" t="s">
        <v>650</v>
      </c>
      <c r="BF6" s="1579" t="s">
        <v>650</v>
      </c>
      <c r="BG6" s="1580"/>
      <c r="BH6" s="1579" t="s">
        <v>650</v>
      </c>
      <c r="BI6" s="1579" t="s">
        <v>650</v>
      </c>
      <c r="BJ6" s="1579" t="s">
        <v>650</v>
      </c>
      <c r="BK6" s="1579"/>
      <c r="BL6" s="1579" t="s">
        <v>650</v>
      </c>
      <c r="BM6" s="1579" t="s">
        <v>650</v>
      </c>
      <c r="BN6" s="1579" t="s">
        <v>650</v>
      </c>
      <c r="BO6" s="1579"/>
      <c r="BP6" s="1579" t="s">
        <v>650</v>
      </c>
      <c r="BQ6" s="1579" t="s">
        <v>650</v>
      </c>
      <c r="BR6" s="1579" t="s">
        <v>650</v>
      </c>
      <c r="BS6" s="1579"/>
      <c r="BT6" s="1579" t="str">
        <f>'P&amp;L'!BT5</f>
        <v>AIFRS</v>
      </c>
      <c r="BU6" s="1579" t="str">
        <f>'P&amp;L'!BU5</f>
        <v>AIFRS</v>
      </c>
      <c r="BV6" s="1579" t="str">
        <f>'P&amp;L'!BV5</f>
        <v>AIFRS</v>
      </c>
      <c r="BW6" s="1580"/>
      <c r="BX6" s="1579" t="str">
        <f>'P&amp;L'!BX5</f>
        <v>AIFRS</v>
      </c>
      <c r="BY6" s="1579" t="str">
        <f>'P&amp;L'!BY5</f>
        <v>AIFRS</v>
      </c>
      <c r="BZ6" s="1579" t="str">
        <f>'P&amp;L'!BZ5</f>
        <v>AIFRS</v>
      </c>
      <c r="CA6" s="1580"/>
      <c r="CB6" s="1579" t="str">
        <f>'P&amp;L'!CB5</f>
        <v>AIFRS</v>
      </c>
      <c r="CC6" s="1579" t="str">
        <f>'P&amp;L'!CC5</f>
        <v>AIFRS</v>
      </c>
      <c r="CD6" s="1579" t="str">
        <f>'P&amp;L'!CD5</f>
        <v>AIFRS</v>
      </c>
      <c r="CE6" s="1580"/>
      <c r="CF6" s="1579" t="str">
        <f>'P&amp;L'!CF5</f>
        <v>AIFRS</v>
      </c>
      <c r="CG6" s="1579" t="str">
        <f>'P&amp;L'!CG5</f>
        <v>AIFRS</v>
      </c>
      <c r="CH6" s="1579" t="str">
        <f>'P&amp;L'!CH5</f>
        <v>AIFRS</v>
      </c>
      <c r="CI6" s="1580"/>
      <c r="CJ6" s="1579" t="s">
        <v>650</v>
      </c>
      <c r="CK6" s="1579" t="s">
        <v>650</v>
      </c>
      <c r="CL6" s="1579" t="s">
        <v>650</v>
      </c>
      <c r="CM6" s="1580"/>
      <c r="CN6" s="1579" t="str">
        <f>'P&amp;L'!CN5</f>
        <v>AIFRS</v>
      </c>
      <c r="CO6" s="1579" t="str">
        <f>'P&amp;L'!CO5</f>
        <v>AIFRS</v>
      </c>
      <c r="CP6" s="1579" t="str">
        <f>'P&amp;L'!CP5</f>
        <v>AIFRS</v>
      </c>
      <c r="CQ6" s="1580"/>
      <c r="CR6" s="1579" t="str">
        <f>'P&amp;L'!CR5</f>
        <v>AIFRS</v>
      </c>
      <c r="CS6" s="1579" t="str">
        <f>'P&amp;L'!CS5</f>
        <v>AIFRS</v>
      </c>
      <c r="CT6" s="1579" t="str">
        <f>'P&amp;L'!CT5</f>
        <v>AIFRS</v>
      </c>
      <c r="CU6" s="1580"/>
      <c r="CV6" s="1579" t="str">
        <f>'P&amp;L'!CV5</f>
        <v>AIFRS</v>
      </c>
      <c r="CW6" s="1579" t="str">
        <f>'P&amp;L'!CW5</f>
        <v>AIFRS</v>
      </c>
      <c r="CX6" s="1579" t="str">
        <f>'P&amp;L'!CX5</f>
        <v>AIFRS</v>
      </c>
      <c r="CY6" s="1580"/>
      <c r="CZ6" s="1579" t="str">
        <f>'P&amp;L'!CZ5</f>
        <v>AIFRS</v>
      </c>
      <c r="DA6" s="1579" t="str">
        <f>'P&amp;L'!DA5</f>
        <v>AIFRS</v>
      </c>
      <c r="DB6" s="1579" t="str">
        <f>'P&amp;L'!DB5</f>
        <v>AIFRS</v>
      </c>
      <c r="DC6" s="1580"/>
      <c r="DD6" s="1579" t="str">
        <f>'P&amp;L'!DD5</f>
        <v>AIFRS</v>
      </c>
      <c r="DE6" s="1579" t="str">
        <f>'P&amp;L'!DE5</f>
        <v>AIFRS</v>
      </c>
      <c r="DF6" s="1579" t="str">
        <f>'P&amp;L'!DF5</f>
        <v>AIFRS</v>
      </c>
      <c r="DG6" s="1580"/>
      <c r="DH6" s="1579" t="str">
        <f>'P&amp;L'!DH5</f>
        <v>AIFRS</v>
      </c>
      <c r="DI6" s="618" t="str">
        <f>'P&amp;L'!DI5</f>
        <v>AIFRS</v>
      </c>
      <c r="DJ6" s="618" t="str">
        <f>'P&amp;L'!DJ5</f>
        <v>AIFRS</v>
      </c>
      <c r="DK6" s="619"/>
      <c r="DL6" s="618" t="str">
        <f>'P&amp;L'!DL5</f>
        <v>AIFRS</v>
      </c>
      <c r="DM6" s="618" t="str">
        <f>'P&amp;L'!DM5</f>
        <v>AIFRS</v>
      </c>
      <c r="DN6" s="618" t="str">
        <f>'P&amp;L'!DN5</f>
        <v>AIFRS</v>
      </c>
      <c r="DO6" s="619"/>
      <c r="DP6" s="618" t="str">
        <f>'P&amp;L'!DP5</f>
        <v>AIFRS</v>
      </c>
      <c r="DQ6" s="618" t="str">
        <f>'P&amp;L'!DQ5</f>
        <v>AIFRS</v>
      </c>
      <c r="DR6" s="618" t="str">
        <f>'P&amp;L'!DR5</f>
        <v>AIFRS</v>
      </c>
      <c r="DS6" s="619"/>
      <c r="DT6" s="1113"/>
      <c r="DU6" s="1109"/>
      <c r="DV6" s="1109"/>
      <c r="DW6" s="1109"/>
      <c r="DX6" s="1113"/>
      <c r="DY6" s="103"/>
      <c r="DZ6" s="102"/>
      <c r="EA6" s="103"/>
      <c r="EB6" s="103"/>
      <c r="EC6" s="103"/>
      <c r="ED6" s="103"/>
      <c r="EE6" s="103"/>
      <c r="EF6" s="103"/>
      <c r="EG6" s="103"/>
    </row>
    <row r="7" spans="1:138">
      <c r="DY7" s="103"/>
      <c r="EA7" s="103"/>
      <c r="EB7" s="103"/>
      <c r="EC7" s="103"/>
      <c r="ED7" s="103"/>
      <c r="EE7" s="103"/>
      <c r="EF7" s="103"/>
      <c r="EG7" s="103"/>
    </row>
    <row r="8" spans="1:138">
      <c r="DY8" s="103"/>
      <c r="EA8" s="103"/>
      <c r="EB8" s="103"/>
      <c r="EC8" s="103"/>
      <c r="ED8" s="103"/>
      <c r="EE8" s="103"/>
      <c r="EF8" s="103"/>
      <c r="EG8" s="103"/>
    </row>
    <row r="9" spans="1:138">
      <c r="A9" s="620" t="s">
        <v>225</v>
      </c>
      <c r="B9" s="621"/>
      <c r="C9" s="622"/>
      <c r="D9" s="621"/>
      <c r="E9" s="621"/>
      <c r="F9" s="621"/>
      <c r="G9" s="621"/>
      <c r="H9" s="621"/>
      <c r="I9" s="621"/>
      <c r="J9" s="621"/>
      <c r="K9" s="621"/>
      <c r="L9" s="621"/>
      <c r="M9" s="621"/>
      <c r="N9" s="621"/>
      <c r="O9" s="621"/>
      <c r="P9" s="622"/>
      <c r="Q9" s="622"/>
      <c r="R9" s="622"/>
      <c r="S9" s="622"/>
      <c r="T9" s="622"/>
      <c r="U9" s="622"/>
      <c r="V9" s="622"/>
      <c r="W9" s="622"/>
      <c r="X9" s="623"/>
      <c r="Y9" s="624"/>
      <c r="Z9" s="623"/>
      <c r="AA9" s="622"/>
      <c r="AB9" s="623"/>
      <c r="AC9" s="624"/>
      <c r="AD9" s="623"/>
      <c r="AE9" s="622"/>
      <c r="AF9" s="623"/>
      <c r="AG9" s="623"/>
      <c r="AH9" s="624"/>
      <c r="AI9" s="625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4"/>
      <c r="AX9" s="622"/>
      <c r="AY9" s="622"/>
      <c r="AZ9" s="622"/>
      <c r="BA9" s="622"/>
      <c r="BB9" s="622"/>
      <c r="BC9" s="622"/>
      <c r="BD9" s="622"/>
      <c r="BE9" s="622"/>
      <c r="BF9" s="622"/>
      <c r="BG9" s="622"/>
      <c r="BH9" s="622"/>
      <c r="BI9" s="622"/>
      <c r="BJ9" s="622"/>
      <c r="BK9" s="622"/>
      <c r="BL9" s="622"/>
      <c r="BM9" s="622"/>
      <c r="BN9" s="622"/>
      <c r="BO9" s="622"/>
      <c r="BP9" s="622"/>
      <c r="BQ9" s="622"/>
      <c r="BR9" s="622"/>
      <c r="BS9" s="622"/>
      <c r="BT9" s="622"/>
      <c r="BU9" s="622"/>
      <c r="BV9" s="622"/>
      <c r="BW9" s="622"/>
      <c r="BX9" s="622"/>
      <c r="BY9" s="622"/>
      <c r="BZ9" s="622"/>
      <c r="CA9" s="622"/>
      <c r="CB9" s="622"/>
      <c r="CC9" s="622"/>
      <c r="CD9" s="622"/>
      <c r="CE9" s="622"/>
      <c r="CF9" s="622"/>
      <c r="CG9" s="622"/>
      <c r="CH9" s="622"/>
      <c r="CI9" s="622"/>
      <c r="CJ9" s="622"/>
      <c r="CK9" s="622"/>
      <c r="CL9" s="622"/>
      <c r="CM9" s="622"/>
      <c r="CN9" s="622"/>
      <c r="CO9" s="622"/>
      <c r="CP9" s="622"/>
      <c r="CQ9" s="622"/>
      <c r="CR9" s="622"/>
      <c r="CS9" s="622"/>
      <c r="CT9" s="622"/>
      <c r="CU9" s="622"/>
      <c r="CV9" s="622"/>
      <c r="CW9" s="1791"/>
      <c r="CX9" s="622"/>
      <c r="CY9" s="622"/>
      <c r="CZ9" s="622"/>
      <c r="DA9" s="622"/>
      <c r="DB9" s="622"/>
      <c r="DC9" s="622"/>
      <c r="DD9" s="622"/>
      <c r="DE9" s="622"/>
      <c r="DF9" s="622"/>
      <c r="DG9" s="622"/>
      <c r="DH9" s="622"/>
      <c r="DI9" s="622"/>
      <c r="DJ9" s="622"/>
      <c r="DK9" s="622"/>
      <c r="DL9" s="622"/>
      <c r="DM9" s="622"/>
      <c r="DN9" s="622"/>
      <c r="DO9" s="622"/>
      <c r="DP9" s="622"/>
      <c r="DQ9" s="622"/>
      <c r="DR9" s="622"/>
      <c r="DS9" s="622"/>
      <c r="DZ9" s="102"/>
    </row>
    <row r="10" spans="1:138">
      <c r="A10" s="289"/>
      <c r="X10" s="626"/>
      <c r="Y10" s="293"/>
      <c r="Z10" s="626"/>
      <c r="AB10" s="626"/>
      <c r="AC10" s="293"/>
      <c r="AD10" s="626"/>
      <c r="AF10" s="626"/>
      <c r="AG10" s="626"/>
      <c r="AH10" s="293"/>
      <c r="AI10" s="320"/>
      <c r="AW10" s="293"/>
      <c r="CN10" s="103" t="s">
        <v>1242</v>
      </c>
    </row>
    <row r="11" spans="1:138" outlineLevel="1">
      <c r="A11" s="102" t="s">
        <v>226</v>
      </c>
      <c r="C11" s="103" t="s">
        <v>612</v>
      </c>
      <c r="P11" s="626">
        <v>360</v>
      </c>
      <c r="Q11" s="626">
        <v>311</v>
      </c>
      <c r="R11" s="293">
        <f t="shared" ref="R11:R25" si="0">Q11</f>
        <v>311</v>
      </c>
      <c r="T11" s="626">
        <v>691</v>
      </c>
      <c r="U11" s="626">
        <v>647</v>
      </c>
      <c r="V11" s="293">
        <f t="shared" ref="V11:V25" si="1">U11</f>
        <v>647</v>
      </c>
      <c r="X11" s="626">
        <v>690</v>
      </c>
      <c r="Y11" s="626">
        <v>859</v>
      </c>
      <c r="Z11" s="293">
        <f t="shared" ref="Z11:Z25" si="2">Y11</f>
        <v>859</v>
      </c>
      <c r="AB11" s="626">
        <v>1</v>
      </c>
      <c r="AC11" s="626">
        <v>4</v>
      </c>
      <c r="AD11" s="293">
        <f t="shared" ref="AD11:AD25" si="3">AC11</f>
        <v>4</v>
      </c>
      <c r="AF11" s="626">
        <v>4</v>
      </c>
      <c r="AG11" s="626">
        <v>5</v>
      </c>
      <c r="AH11" s="293">
        <f t="shared" ref="AH11:AH26" si="4">AG11</f>
        <v>5</v>
      </c>
      <c r="AI11" s="632"/>
      <c r="AJ11" s="626">
        <v>9</v>
      </c>
      <c r="AK11" s="626">
        <v>3</v>
      </c>
      <c r="AL11" s="293">
        <f t="shared" ref="AL11:AL25" si="5">AK11</f>
        <v>3</v>
      </c>
      <c r="AN11" s="626">
        <v>3</v>
      </c>
      <c r="AO11" s="626">
        <v>7</v>
      </c>
      <c r="AP11" s="293">
        <f t="shared" ref="AP11:AP25" si="6">AO11</f>
        <v>7</v>
      </c>
      <c r="AR11" s="626">
        <v>225</v>
      </c>
      <c r="AS11" s="626">
        <v>141</v>
      </c>
      <c r="AT11" s="293">
        <f t="shared" ref="AT11:AT25" si="7">AS11</f>
        <v>141</v>
      </c>
      <c r="AV11" s="626">
        <v>3</v>
      </c>
      <c r="AW11" s="626">
        <v>0</v>
      </c>
      <c r="AX11" s="293">
        <f t="shared" ref="AX11:AX25" si="8">AW11</f>
        <v>0</v>
      </c>
      <c r="AZ11" s="626">
        <v>9</v>
      </c>
      <c r="BA11" s="626">
        <v>0</v>
      </c>
      <c r="BB11" s="293">
        <f t="shared" ref="BB11:BB25" si="9">BA11</f>
        <v>0</v>
      </c>
      <c r="BD11" s="626">
        <v>0</v>
      </c>
      <c r="BE11" s="626">
        <v>0</v>
      </c>
      <c r="BF11" s="293">
        <f t="shared" ref="BF11:BF25" si="10">BE11</f>
        <v>0</v>
      </c>
      <c r="BH11" s="626">
        <v>0</v>
      </c>
      <c r="BI11" s="626">
        <v>0</v>
      </c>
      <c r="BJ11" s="293">
        <f t="shared" ref="BJ11:BJ25" si="11">BI11</f>
        <v>0</v>
      </c>
      <c r="BL11" s="626">
        <v>0</v>
      </c>
      <c r="BM11" s="626">
        <v>0</v>
      </c>
      <c r="BN11" s="293">
        <f t="shared" ref="BN11:BN25" si="12">BM11</f>
        <v>0</v>
      </c>
      <c r="BP11" s="626">
        <v>0</v>
      </c>
      <c r="BQ11" s="626">
        <v>0</v>
      </c>
      <c r="BR11" s="293">
        <f t="shared" ref="BR11:BR25" si="13">BQ11</f>
        <v>0</v>
      </c>
      <c r="BT11" s="626">
        <v>0</v>
      </c>
      <c r="BU11" s="626">
        <v>0</v>
      </c>
      <c r="BV11" s="293">
        <f t="shared" ref="BV11:BV25" si="14">BU11</f>
        <v>0</v>
      </c>
      <c r="BX11" s="626">
        <v>0</v>
      </c>
      <c r="BY11" s="626">
        <v>0</v>
      </c>
      <c r="BZ11" s="293">
        <f t="shared" ref="BZ11:BZ25" si="15">BY11</f>
        <v>0</v>
      </c>
      <c r="CB11" s="626">
        <v>0</v>
      </c>
      <c r="CC11" s="626">
        <v>0</v>
      </c>
      <c r="CD11" s="293">
        <f t="shared" ref="CD11:CD25" si="16">CC11</f>
        <v>0</v>
      </c>
      <c r="CF11" s="626">
        <v>0</v>
      </c>
      <c r="CG11" s="626">
        <v>0</v>
      </c>
      <c r="CH11" s="293">
        <f t="shared" ref="CH11:CH25" si="17">CG11</f>
        <v>0</v>
      </c>
      <c r="CJ11" s="626">
        <v>0</v>
      </c>
      <c r="CK11" s="626">
        <v>0</v>
      </c>
      <c r="CL11" s="293">
        <f t="shared" ref="CL11:CL25" si="18">CK11</f>
        <v>0</v>
      </c>
      <c r="CN11" s="626">
        <v>0</v>
      </c>
      <c r="CO11" s="626">
        <v>0</v>
      </c>
      <c r="CP11" s="293">
        <f t="shared" ref="CP11:CP25" si="19">CO11</f>
        <v>0</v>
      </c>
      <c r="CR11" s="626">
        <v>0</v>
      </c>
      <c r="CS11" s="626">
        <v>0</v>
      </c>
      <c r="CT11" s="293">
        <f t="shared" ref="CT11:CT25" si="20">CS11</f>
        <v>0</v>
      </c>
      <c r="CV11" s="626">
        <v>0</v>
      </c>
      <c r="CW11" s="1497">
        <v>0</v>
      </c>
      <c r="CX11" s="293">
        <f t="shared" ref="CX11:CX25" si="21">CW11</f>
        <v>0</v>
      </c>
      <c r="CZ11" s="626">
        <v>0</v>
      </c>
      <c r="DA11" s="1488">
        <v>0</v>
      </c>
      <c r="DB11" s="293">
        <f t="shared" ref="DB11:DB25" si="22">DA11</f>
        <v>0</v>
      </c>
      <c r="DD11" s="626">
        <v>0</v>
      </c>
      <c r="DE11" s="1497">
        <v>0</v>
      </c>
      <c r="DF11" s="293">
        <f t="shared" ref="DF11:DF25" si="23">DE11</f>
        <v>0</v>
      </c>
      <c r="DH11" s="626">
        <v>0</v>
      </c>
      <c r="DI11" s="626">
        <v>0</v>
      </c>
      <c r="DJ11" s="293">
        <f>DI11</f>
        <v>0</v>
      </c>
      <c r="DL11" s="626">
        <v>0</v>
      </c>
      <c r="DM11" s="626">
        <v>0</v>
      </c>
      <c r="DN11" s="293">
        <f>DM11</f>
        <v>0</v>
      </c>
      <c r="DP11" s="626">
        <v>0</v>
      </c>
      <c r="DQ11" s="626">
        <v>0</v>
      </c>
      <c r="DR11" s="293">
        <f>DQ11</f>
        <v>0</v>
      </c>
      <c r="DU11" s="626"/>
      <c r="DV11" s="626"/>
      <c r="DW11" s="293"/>
    </row>
    <row r="12" spans="1:138">
      <c r="A12" s="102" t="s">
        <v>227</v>
      </c>
      <c r="C12" s="103" t="s">
        <v>612</v>
      </c>
      <c r="P12" s="626">
        <v>0</v>
      </c>
      <c r="Q12" s="626">
        <v>0</v>
      </c>
      <c r="R12" s="293">
        <f t="shared" si="0"/>
        <v>0</v>
      </c>
      <c r="T12" s="626">
        <v>0</v>
      </c>
      <c r="U12" s="626">
        <v>0</v>
      </c>
      <c r="V12" s="293">
        <f t="shared" si="1"/>
        <v>0</v>
      </c>
      <c r="X12" s="626">
        <v>0</v>
      </c>
      <c r="Y12" s="626">
        <v>0</v>
      </c>
      <c r="Z12" s="293">
        <f t="shared" si="2"/>
        <v>0</v>
      </c>
      <c r="AB12" s="626">
        <v>1010</v>
      </c>
      <c r="AC12" s="626">
        <v>3969</v>
      </c>
      <c r="AD12" s="293">
        <f t="shared" si="3"/>
        <v>3969</v>
      </c>
      <c r="AF12" s="626">
        <v>2734</v>
      </c>
      <c r="AG12" s="626">
        <v>6394</v>
      </c>
      <c r="AH12" s="293">
        <f t="shared" si="4"/>
        <v>6394</v>
      </c>
      <c r="AI12" s="632"/>
      <c r="AJ12" s="626">
        <v>4086</v>
      </c>
      <c r="AK12" s="626">
        <v>6120</v>
      </c>
      <c r="AL12" s="293">
        <f t="shared" si="5"/>
        <v>6120</v>
      </c>
      <c r="AN12" s="626">
        <v>6887</v>
      </c>
      <c r="AO12" s="626">
        <v>10110</v>
      </c>
      <c r="AP12" s="293">
        <f t="shared" si="6"/>
        <v>10110</v>
      </c>
      <c r="AR12" s="626">
        <v>13441</v>
      </c>
      <c r="AS12" s="626">
        <v>12271</v>
      </c>
      <c r="AT12" s="293">
        <f t="shared" si="7"/>
        <v>12271</v>
      </c>
      <c r="AV12" s="626">
        <v>8936</v>
      </c>
      <c r="AW12" s="626">
        <v>8251</v>
      </c>
      <c r="AX12" s="293">
        <f t="shared" si="8"/>
        <v>8251</v>
      </c>
      <c r="AZ12" s="626">
        <v>9757</v>
      </c>
      <c r="BA12" s="626">
        <v>9817</v>
      </c>
      <c r="BB12" s="293">
        <f t="shared" si="9"/>
        <v>9817</v>
      </c>
      <c r="BD12" s="626">
        <v>11525</v>
      </c>
      <c r="BE12" s="626">
        <v>10912</v>
      </c>
      <c r="BF12" s="293">
        <f t="shared" si="10"/>
        <v>10912</v>
      </c>
      <c r="BH12" s="626">
        <v>18226</v>
      </c>
      <c r="BI12" s="626">
        <v>14806</v>
      </c>
      <c r="BJ12" s="293">
        <f t="shared" si="11"/>
        <v>14806</v>
      </c>
      <c r="BL12" s="626">
        <v>18384</v>
      </c>
      <c r="BM12" s="626">
        <v>19457</v>
      </c>
      <c r="BN12" s="293">
        <f t="shared" si="12"/>
        <v>19457</v>
      </c>
      <c r="BP12" s="626">
        <v>20775</v>
      </c>
      <c r="BQ12" s="626">
        <v>28705</v>
      </c>
      <c r="BR12" s="293">
        <f t="shared" si="13"/>
        <v>28705</v>
      </c>
      <c r="BT12" s="626">
        <v>36954</v>
      </c>
      <c r="BU12" s="626">
        <v>33128</v>
      </c>
      <c r="BV12" s="293">
        <f t="shared" si="14"/>
        <v>33128</v>
      </c>
      <c r="BX12" s="626">
        <v>33260</v>
      </c>
      <c r="BY12" s="626">
        <v>27471</v>
      </c>
      <c r="BZ12" s="293">
        <f t="shared" si="15"/>
        <v>27471</v>
      </c>
      <c r="CB12" s="626">
        <v>40345</v>
      </c>
      <c r="CC12" s="626">
        <v>38559</v>
      </c>
      <c r="CD12" s="293">
        <f t="shared" si="16"/>
        <v>38559</v>
      </c>
      <c r="CF12" s="626">
        <f>9625+27837</f>
        <v>37462</v>
      </c>
      <c r="CG12" s="626">
        <f>9787+29348</f>
        <v>39135</v>
      </c>
      <c r="CH12" s="293">
        <f t="shared" si="17"/>
        <v>39135</v>
      </c>
      <c r="CJ12" s="626">
        <f>9579+30201</f>
        <v>39780</v>
      </c>
      <c r="CK12" s="626">
        <f>9717+37710</f>
        <v>47427</v>
      </c>
      <c r="CL12" s="293">
        <f t="shared" si="18"/>
        <v>47427</v>
      </c>
      <c r="CN12" s="626">
        <f>8681+42933</f>
        <v>51614</v>
      </c>
      <c r="CO12" s="626">
        <f>18425+36681</f>
        <v>55106</v>
      </c>
      <c r="CP12" s="293">
        <f t="shared" si="19"/>
        <v>55106</v>
      </c>
      <c r="CR12" s="626">
        <f>32221+39444</f>
        <v>71665</v>
      </c>
      <c r="CS12" s="626">
        <f>52754+51197</f>
        <v>103951</v>
      </c>
      <c r="CT12" s="293">
        <f t="shared" si="20"/>
        <v>103951</v>
      </c>
      <c r="CV12" s="626">
        <v>129913</v>
      </c>
      <c r="CW12" s="1497">
        <f>45656+54323</f>
        <v>99979</v>
      </c>
      <c r="CX12" s="293">
        <f t="shared" si="21"/>
        <v>99979</v>
      </c>
      <c r="CZ12" s="626">
        <f>29587+66119</f>
        <v>95706</v>
      </c>
      <c r="DA12" s="1488">
        <f>31855+58416</f>
        <v>90271</v>
      </c>
      <c r="DB12" s="293">
        <f t="shared" si="22"/>
        <v>90271</v>
      </c>
      <c r="DD12" s="626">
        <f>19109+69671</f>
        <v>88780</v>
      </c>
      <c r="DE12" s="2176">
        <f>26385+66579</f>
        <v>92964</v>
      </c>
      <c r="DF12" s="293">
        <f t="shared" si="23"/>
        <v>92964</v>
      </c>
      <c r="DH12" s="2258">
        <f>23455+71498</f>
        <v>94953</v>
      </c>
      <c r="DI12" s="293">
        <f>+DH12*(1+DI31)</f>
        <v>97801.59</v>
      </c>
      <c r="DJ12" s="293">
        <f>DI12</f>
        <v>97801.59</v>
      </c>
      <c r="DL12" s="293">
        <f>+DI12*(1+DL31)</f>
        <v>100735.63769999999</v>
      </c>
      <c r="DM12" s="293">
        <f>+DL12*(1+DM31)</f>
        <v>103757.70683099999</v>
      </c>
      <c r="DN12" s="293">
        <f>DM12</f>
        <v>103757.70683099999</v>
      </c>
      <c r="DP12" s="293">
        <f>+DM12*(1+DP31)</f>
        <v>106870.43803593</v>
      </c>
      <c r="DQ12" s="293">
        <f>+DP12*(1+DQ31)</f>
        <v>110076.5511770079</v>
      </c>
      <c r="DR12" s="293">
        <f>DQ12</f>
        <v>110076.5511770079</v>
      </c>
      <c r="DU12" s="293"/>
      <c r="DV12" s="293"/>
      <c r="DW12" s="293"/>
    </row>
    <row r="13" spans="1:138" outlineLevel="1">
      <c r="A13" s="102" t="s">
        <v>228</v>
      </c>
      <c r="C13" s="103" t="s">
        <v>612</v>
      </c>
      <c r="P13" s="626">
        <v>2895</v>
      </c>
      <c r="Q13" s="626">
        <v>5155</v>
      </c>
      <c r="R13" s="293">
        <f t="shared" si="0"/>
        <v>5155</v>
      </c>
      <c r="T13" s="626">
        <v>6747</v>
      </c>
      <c r="U13" s="626">
        <v>8598</v>
      </c>
      <c r="V13" s="293">
        <f t="shared" si="1"/>
        <v>8598</v>
      </c>
      <c r="X13" s="626">
        <v>7398</v>
      </c>
      <c r="Y13" s="626">
        <v>8927</v>
      </c>
      <c r="Z13" s="293">
        <f t="shared" si="2"/>
        <v>8927</v>
      </c>
      <c r="AB13" s="626">
        <v>7398</v>
      </c>
      <c r="AC13" s="626">
        <v>8927</v>
      </c>
      <c r="AD13" s="293">
        <f t="shared" si="3"/>
        <v>8927</v>
      </c>
      <c r="AF13" s="626">
        <v>10651</v>
      </c>
      <c r="AG13" s="626">
        <v>13570</v>
      </c>
      <c r="AH13" s="293">
        <f t="shared" si="4"/>
        <v>13570</v>
      </c>
      <c r="AI13" s="632"/>
      <c r="AJ13" s="626">
        <v>13039</v>
      </c>
      <c r="AK13" s="626">
        <v>25909</v>
      </c>
      <c r="AL13" s="293">
        <f t="shared" si="5"/>
        <v>25909</v>
      </c>
      <c r="AN13" s="626">
        <v>22367</v>
      </c>
      <c r="AO13" s="626">
        <v>22906</v>
      </c>
      <c r="AP13" s="293">
        <f t="shared" si="6"/>
        <v>22906</v>
      </c>
      <c r="AR13" s="626">
        <v>14690</v>
      </c>
      <c r="AS13" s="626">
        <v>5096</v>
      </c>
      <c r="AT13" s="293">
        <f t="shared" si="7"/>
        <v>5096</v>
      </c>
      <c r="AV13" s="626">
        <v>4493</v>
      </c>
      <c r="AW13" s="626">
        <v>7149</v>
      </c>
      <c r="AX13" s="293">
        <f t="shared" si="8"/>
        <v>7149</v>
      </c>
      <c r="AZ13" s="626">
        <v>9266</v>
      </c>
      <c r="BA13" s="626">
        <v>8790</v>
      </c>
      <c r="BB13" s="293">
        <f t="shared" si="9"/>
        <v>8790</v>
      </c>
      <c r="BD13" s="626">
        <v>6696</v>
      </c>
      <c r="BE13" s="626">
        <v>7598</v>
      </c>
      <c r="BF13" s="293">
        <f t="shared" si="10"/>
        <v>7598</v>
      </c>
      <c r="BH13" s="626">
        <v>0</v>
      </c>
      <c r="BI13" s="626">
        <v>0</v>
      </c>
      <c r="BJ13" s="293">
        <f t="shared" si="11"/>
        <v>0</v>
      </c>
      <c r="BL13" s="626">
        <v>0</v>
      </c>
      <c r="BM13" s="626">
        <v>0</v>
      </c>
      <c r="BN13" s="293">
        <f t="shared" si="12"/>
        <v>0</v>
      </c>
      <c r="BP13" s="626">
        <v>0</v>
      </c>
      <c r="BQ13" s="626">
        <v>0</v>
      </c>
      <c r="BR13" s="293">
        <f t="shared" si="13"/>
        <v>0</v>
      </c>
      <c r="BT13" s="626">
        <v>0</v>
      </c>
      <c r="BU13" s="626">
        <v>0</v>
      </c>
      <c r="BV13" s="293">
        <f t="shared" si="14"/>
        <v>0</v>
      </c>
      <c r="BX13" s="626">
        <v>0</v>
      </c>
      <c r="BY13" s="626">
        <v>0</v>
      </c>
      <c r="BZ13" s="293">
        <f t="shared" si="15"/>
        <v>0</v>
      </c>
      <c r="CB13" s="626">
        <v>0</v>
      </c>
      <c r="CC13" s="626">
        <v>0</v>
      </c>
      <c r="CD13" s="293">
        <f t="shared" si="16"/>
        <v>0</v>
      </c>
      <c r="CF13" s="626">
        <v>0</v>
      </c>
      <c r="CG13" s="626">
        <v>0</v>
      </c>
      <c r="CH13" s="293">
        <f t="shared" si="17"/>
        <v>0</v>
      </c>
      <c r="CJ13" s="626">
        <v>0</v>
      </c>
      <c r="CK13" s="626">
        <v>0</v>
      </c>
      <c r="CL13" s="293">
        <f t="shared" si="18"/>
        <v>0</v>
      </c>
      <c r="CN13" s="626">
        <v>0</v>
      </c>
      <c r="CO13" s="626">
        <v>0</v>
      </c>
      <c r="CP13" s="293">
        <f t="shared" si="19"/>
        <v>0</v>
      </c>
      <c r="CR13" s="626">
        <v>0</v>
      </c>
      <c r="CS13" s="626">
        <v>0</v>
      </c>
      <c r="CT13" s="293">
        <f t="shared" si="20"/>
        <v>0</v>
      </c>
      <c r="CV13" s="626">
        <v>0</v>
      </c>
      <c r="CW13" s="1497">
        <v>0</v>
      </c>
      <c r="CX13" s="293">
        <f t="shared" si="21"/>
        <v>0</v>
      </c>
      <c r="CZ13" s="626">
        <v>0</v>
      </c>
      <c r="DA13" s="1488">
        <v>0</v>
      </c>
      <c r="DB13" s="293">
        <f t="shared" si="22"/>
        <v>0</v>
      </c>
      <c r="DD13" s="626">
        <v>0</v>
      </c>
      <c r="DE13" s="1497">
        <v>0</v>
      </c>
      <c r="DF13" s="293">
        <f t="shared" si="23"/>
        <v>0</v>
      </c>
      <c r="DH13" s="626">
        <v>0</v>
      </c>
      <c r="DI13" s="487">
        <v>0</v>
      </c>
      <c r="DJ13" s="293">
        <f>DI13</f>
        <v>0</v>
      </c>
      <c r="DL13" s="487">
        <v>0</v>
      </c>
      <c r="DM13" s="487">
        <v>0</v>
      </c>
      <c r="DN13" s="293">
        <f>DM13</f>
        <v>0</v>
      </c>
      <c r="DP13" s="487">
        <v>0</v>
      </c>
      <c r="DQ13" s="487">
        <v>0</v>
      </c>
      <c r="DR13" s="293">
        <f>DQ13</f>
        <v>0</v>
      </c>
      <c r="DU13" s="487"/>
      <c r="DV13" s="487"/>
      <c r="DW13" s="293"/>
    </row>
    <row r="14" spans="1:138">
      <c r="A14" s="102" t="s">
        <v>229</v>
      </c>
      <c r="C14" s="103" t="s">
        <v>612</v>
      </c>
      <c r="P14" s="626">
        <v>5513</v>
      </c>
      <c r="Q14" s="626">
        <v>4780</v>
      </c>
      <c r="R14" s="293">
        <f t="shared" si="0"/>
        <v>4780</v>
      </c>
      <c r="T14" s="626">
        <v>5150</v>
      </c>
      <c r="U14" s="626">
        <v>6891</v>
      </c>
      <c r="V14" s="293">
        <f t="shared" si="1"/>
        <v>6891</v>
      </c>
      <c r="X14" s="626">
        <v>6342</v>
      </c>
      <c r="Y14" s="626">
        <v>7175</v>
      </c>
      <c r="Z14" s="293">
        <f t="shared" si="2"/>
        <v>7175</v>
      </c>
      <c r="AB14" s="626">
        <v>7039</v>
      </c>
      <c r="AC14" s="626">
        <v>7800</v>
      </c>
      <c r="AD14" s="293">
        <f t="shared" si="3"/>
        <v>7800</v>
      </c>
      <c r="AF14" s="626">
        <v>12439</v>
      </c>
      <c r="AG14" s="626">
        <v>14246</v>
      </c>
      <c r="AH14" s="293">
        <f t="shared" si="4"/>
        <v>14246</v>
      </c>
      <c r="AI14" s="632"/>
      <c r="AJ14" s="626">
        <v>13756</v>
      </c>
      <c r="AK14" s="626">
        <v>15518</v>
      </c>
      <c r="AL14" s="293">
        <f t="shared" si="5"/>
        <v>15518</v>
      </c>
      <c r="AN14" s="626">
        <v>16693</v>
      </c>
      <c r="AO14" s="626">
        <v>15807</v>
      </c>
      <c r="AP14" s="293">
        <f t="shared" si="6"/>
        <v>15807</v>
      </c>
      <c r="AR14" s="626">
        <v>17059</v>
      </c>
      <c r="AS14" s="626">
        <v>9260</v>
      </c>
      <c r="AT14" s="293">
        <f t="shared" si="7"/>
        <v>9260</v>
      </c>
      <c r="AV14" s="626">
        <v>14502</v>
      </c>
      <c r="AW14" s="626">
        <v>12138</v>
      </c>
      <c r="AX14" s="293">
        <f t="shared" si="8"/>
        <v>12138</v>
      </c>
      <c r="AZ14" s="626">
        <v>15938</v>
      </c>
      <c r="BA14" s="626">
        <v>14898</v>
      </c>
      <c r="BB14" s="293">
        <f t="shared" si="9"/>
        <v>14898</v>
      </c>
      <c r="BD14" s="626">
        <v>14616</v>
      </c>
      <c r="BE14" s="626">
        <v>12689</v>
      </c>
      <c r="BF14" s="293">
        <f t="shared" si="10"/>
        <v>12689</v>
      </c>
      <c r="BH14" s="626">
        <v>15546</v>
      </c>
      <c r="BI14" s="626">
        <v>19776</v>
      </c>
      <c r="BJ14" s="293">
        <f t="shared" si="11"/>
        <v>19776</v>
      </c>
      <c r="BL14" s="626">
        <v>22489</v>
      </c>
      <c r="BM14" s="626">
        <v>22462</v>
      </c>
      <c r="BN14" s="293">
        <f t="shared" si="12"/>
        <v>22462</v>
      </c>
      <c r="BP14" s="626">
        <v>26310</v>
      </c>
      <c r="BQ14" s="626">
        <v>30406</v>
      </c>
      <c r="BR14" s="293">
        <f t="shared" si="13"/>
        <v>30406</v>
      </c>
      <c r="BT14" s="626">
        <v>31337</v>
      </c>
      <c r="BU14" s="626">
        <v>23537</v>
      </c>
      <c r="BV14" s="293">
        <f t="shared" si="14"/>
        <v>23537</v>
      </c>
      <c r="BX14" s="626">
        <v>27207</v>
      </c>
      <c r="BY14" s="626">
        <v>26933</v>
      </c>
      <c r="BZ14" s="293">
        <f t="shared" si="15"/>
        <v>26933</v>
      </c>
      <c r="CB14" s="626">
        <v>18596</v>
      </c>
      <c r="CC14" s="626">
        <v>15341</v>
      </c>
      <c r="CD14" s="293">
        <f t="shared" si="16"/>
        <v>15341</v>
      </c>
      <c r="CF14" s="626">
        <v>20158</v>
      </c>
      <c r="CG14" s="626">
        <v>18670</v>
      </c>
      <c r="CH14" s="293">
        <f t="shared" si="17"/>
        <v>18670</v>
      </c>
      <c r="CJ14" s="626">
        <v>24320</v>
      </c>
      <c r="CK14" s="626">
        <v>16855</v>
      </c>
      <c r="CL14" s="293">
        <f t="shared" si="18"/>
        <v>16855</v>
      </c>
      <c r="CN14" s="626">
        <v>19252</v>
      </c>
      <c r="CO14" s="626">
        <v>21746</v>
      </c>
      <c r="CP14" s="293">
        <f t="shared" si="19"/>
        <v>21746</v>
      </c>
      <c r="CR14" s="626">
        <v>21783</v>
      </c>
      <c r="CS14" s="626">
        <v>13578</v>
      </c>
      <c r="CT14" s="293">
        <f t="shared" si="20"/>
        <v>13578</v>
      </c>
      <c r="CV14" s="626">
        <v>13310</v>
      </c>
      <c r="CW14" s="1497">
        <v>16881</v>
      </c>
      <c r="CX14" s="293">
        <f t="shared" si="21"/>
        <v>16881</v>
      </c>
      <c r="CZ14" s="626">
        <v>20224</v>
      </c>
      <c r="DA14" s="1488">
        <v>27924</v>
      </c>
      <c r="DB14" s="293">
        <f t="shared" si="22"/>
        <v>27924</v>
      </c>
      <c r="DD14" s="626">
        <v>35303</v>
      </c>
      <c r="DE14" s="2176">
        <v>35036</v>
      </c>
      <c r="DF14" s="293">
        <f t="shared" si="23"/>
        <v>35036</v>
      </c>
      <c r="DH14" s="2255">
        <v>46998</v>
      </c>
      <c r="DI14" s="293">
        <f>+DH14*(1+DI33)</f>
        <v>48407.94</v>
      </c>
      <c r="DJ14" s="293">
        <f>DI14</f>
        <v>48407.94</v>
      </c>
      <c r="DL14" s="293">
        <f>+DI14*(1+DL33)</f>
        <v>49860.178200000002</v>
      </c>
      <c r="DM14" s="293">
        <f>+DL14*(1+DM33)</f>
        <v>51355.983546000003</v>
      </c>
      <c r="DN14" s="293">
        <f>DM14</f>
        <v>51355.983546000003</v>
      </c>
      <c r="DP14" s="293">
        <f>+DM14*(1+DP33)</f>
        <v>52896.663052380005</v>
      </c>
      <c r="DQ14" s="293">
        <f>+DP14*(1+DQ33)</f>
        <v>54483.562943951409</v>
      </c>
      <c r="DR14" s="293">
        <f>DQ14</f>
        <v>54483.562943951409</v>
      </c>
      <c r="DU14" s="293"/>
      <c r="DV14" s="293"/>
      <c r="DW14" s="293"/>
    </row>
    <row r="15" spans="1:138" outlineLevel="1">
      <c r="A15" s="102" t="s">
        <v>230</v>
      </c>
      <c r="C15" s="103" t="s">
        <v>612</v>
      </c>
      <c r="P15" s="626">
        <v>2288</v>
      </c>
      <c r="Q15" s="626">
        <v>2181</v>
      </c>
      <c r="R15" s="293">
        <f t="shared" si="0"/>
        <v>2181</v>
      </c>
      <c r="T15" s="626">
        <v>2583</v>
      </c>
      <c r="U15" s="626">
        <v>1847</v>
      </c>
      <c r="V15" s="293">
        <f t="shared" si="1"/>
        <v>1847</v>
      </c>
      <c r="X15" s="626">
        <v>2288</v>
      </c>
      <c r="Y15" s="626">
        <v>2520</v>
      </c>
      <c r="Z15" s="293">
        <f t="shared" si="2"/>
        <v>2520</v>
      </c>
      <c r="AB15" s="626">
        <v>2216</v>
      </c>
      <c r="AC15" s="626">
        <v>1712</v>
      </c>
      <c r="AD15" s="293">
        <f t="shared" si="3"/>
        <v>1712</v>
      </c>
      <c r="AF15" s="626">
        <v>0</v>
      </c>
      <c r="AG15" s="626">
        <v>0</v>
      </c>
      <c r="AH15" s="293">
        <f t="shared" si="4"/>
        <v>0</v>
      </c>
      <c r="AI15" s="632"/>
      <c r="AJ15" s="626">
        <v>0</v>
      </c>
      <c r="AK15" s="626">
        <v>0</v>
      </c>
      <c r="AL15" s="293">
        <f t="shared" si="5"/>
        <v>0</v>
      </c>
      <c r="AN15" s="626">
        <v>0</v>
      </c>
      <c r="AO15" s="626">
        <v>0</v>
      </c>
      <c r="AP15" s="293">
        <f t="shared" si="6"/>
        <v>0</v>
      </c>
      <c r="AR15" s="626">
        <v>0</v>
      </c>
      <c r="AS15" s="626">
        <v>0</v>
      </c>
      <c r="AT15" s="293">
        <f t="shared" si="7"/>
        <v>0</v>
      </c>
      <c r="AV15" s="626">
        <v>0</v>
      </c>
      <c r="AW15" s="626">
        <v>0</v>
      </c>
      <c r="AX15" s="293">
        <f t="shared" si="8"/>
        <v>0</v>
      </c>
      <c r="AZ15" s="626">
        <v>0</v>
      </c>
      <c r="BA15" s="626">
        <v>0</v>
      </c>
      <c r="BB15" s="293">
        <f t="shared" si="9"/>
        <v>0</v>
      </c>
      <c r="BD15" s="626">
        <v>0</v>
      </c>
      <c r="BE15" s="626">
        <v>0</v>
      </c>
      <c r="BF15" s="293">
        <f t="shared" si="10"/>
        <v>0</v>
      </c>
      <c r="BH15" s="626">
        <v>0</v>
      </c>
      <c r="BI15" s="626">
        <v>0</v>
      </c>
      <c r="BJ15" s="293">
        <f t="shared" si="11"/>
        <v>0</v>
      </c>
      <c r="BL15" s="626">
        <v>0</v>
      </c>
      <c r="BM15" s="626">
        <v>0</v>
      </c>
      <c r="BN15" s="293">
        <f t="shared" si="12"/>
        <v>0</v>
      </c>
      <c r="BP15" s="626">
        <v>0</v>
      </c>
      <c r="BQ15" s="626">
        <v>0</v>
      </c>
      <c r="BR15" s="293">
        <f t="shared" si="13"/>
        <v>0</v>
      </c>
      <c r="BT15" s="626">
        <v>0</v>
      </c>
      <c r="BU15" s="626">
        <v>0</v>
      </c>
      <c r="BV15" s="293">
        <f t="shared" si="14"/>
        <v>0</v>
      </c>
      <c r="BX15" s="626">
        <v>0</v>
      </c>
      <c r="BY15" s="626">
        <v>0</v>
      </c>
      <c r="BZ15" s="293">
        <f t="shared" si="15"/>
        <v>0</v>
      </c>
      <c r="CB15" s="626">
        <v>0</v>
      </c>
      <c r="CC15" s="626">
        <v>0</v>
      </c>
      <c r="CD15" s="293">
        <f t="shared" si="16"/>
        <v>0</v>
      </c>
      <c r="CF15" s="626">
        <v>0</v>
      </c>
      <c r="CG15" s="626">
        <v>0</v>
      </c>
      <c r="CH15" s="293">
        <f t="shared" si="17"/>
        <v>0</v>
      </c>
      <c r="CJ15" s="626">
        <v>0</v>
      </c>
      <c r="CK15" s="626">
        <v>0</v>
      </c>
      <c r="CL15" s="293">
        <f t="shared" si="18"/>
        <v>0</v>
      </c>
      <c r="CN15" s="626">
        <v>0</v>
      </c>
      <c r="CO15" s="626">
        <v>0</v>
      </c>
      <c r="CP15" s="293">
        <f t="shared" si="19"/>
        <v>0</v>
      </c>
      <c r="CR15" s="626">
        <v>0</v>
      </c>
      <c r="CS15" s="626">
        <v>0</v>
      </c>
      <c r="CT15" s="293">
        <f t="shared" si="20"/>
        <v>0</v>
      </c>
      <c r="CV15" s="626">
        <v>0</v>
      </c>
      <c r="CW15" s="1497">
        <v>0</v>
      </c>
      <c r="CX15" s="293">
        <f t="shared" si="21"/>
        <v>0</v>
      </c>
      <c r="CZ15" s="626">
        <v>0</v>
      </c>
      <c r="DA15" s="1488">
        <v>0</v>
      </c>
      <c r="DB15" s="293">
        <f t="shared" si="22"/>
        <v>0</v>
      </c>
      <c r="DD15" s="626">
        <v>0</v>
      </c>
      <c r="DE15" s="1497">
        <v>0</v>
      </c>
      <c r="DF15" s="293">
        <f t="shared" si="23"/>
        <v>0</v>
      </c>
      <c r="DH15" s="626">
        <v>0</v>
      </c>
      <c r="DI15" s="487">
        <v>0</v>
      </c>
      <c r="DJ15" s="293">
        <f>DI15</f>
        <v>0</v>
      </c>
      <c r="DL15" s="487">
        <v>0</v>
      </c>
      <c r="DM15" s="487">
        <v>0</v>
      </c>
      <c r="DN15" s="293">
        <f>DM15</f>
        <v>0</v>
      </c>
      <c r="DP15" s="487">
        <v>0</v>
      </c>
      <c r="DQ15" s="487">
        <v>0</v>
      </c>
      <c r="DR15" s="293">
        <f>DQ15</f>
        <v>0</v>
      </c>
      <c r="DU15" s="487"/>
      <c r="DV15" s="487"/>
      <c r="DW15" s="293"/>
    </row>
    <row r="16" spans="1:138" s="289" customFormat="1">
      <c r="A16" s="102" t="s">
        <v>728</v>
      </c>
      <c r="C16" s="103" t="s">
        <v>612</v>
      </c>
      <c r="P16" s="626">
        <v>11031</v>
      </c>
      <c r="Q16" s="626">
        <v>9839</v>
      </c>
      <c r="R16" s="293">
        <f t="shared" si="0"/>
        <v>9839</v>
      </c>
      <c r="S16" s="290"/>
      <c r="T16" s="626">
        <v>10914</v>
      </c>
      <c r="U16" s="626">
        <v>10777</v>
      </c>
      <c r="V16" s="293">
        <f t="shared" si="1"/>
        <v>10777</v>
      </c>
      <c r="W16" s="290"/>
      <c r="X16" s="626">
        <v>12110</v>
      </c>
      <c r="Y16" s="626">
        <v>16463</v>
      </c>
      <c r="Z16" s="293">
        <f t="shared" si="2"/>
        <v>16463</v>
      </c>
      <c r="AA16" s="290"/>
      <c r="AB16" s="626">
        <v>25108</v>
      </c>
      <c r="AC16" s="626">
        <v>28425</v>
      </c>
      <c r="AD16" s="293">
        <f t="shared" si="3"/>
        <v>28425</v>
      </c>
      <c r="AE16" s="290"/>
      <c r="AF16" s="626">
        <v>31410</v>
      </c>
      <c r="AG16" s="626">
        <v>34999</v>
      </c>
      <c r="AH16" s="293">
        <f t="shared" si="4"/>
        <v>34999</v>
      </c>
      <c r="AI16" s="744"/>
      <c r="AJ16" s="626">
        <v>42631</v>
      </c>
      <c r="AK16" s="626">
        <v>45796</v>
      </c>
      <c r="AL16" s="293">
        <f t="shared" si="5"/>
        <v>45796</v>
      </c>
      <c r="AM16" s="290"/>
      <c r="AN16" s="626">
        <v>49911</v>
      </c>
      <c r="AO16" s="626">
        <v>52407</v>
      </c>
      <c r="AP16" s="293">
        <f t="shared" si="6"/>
        <v>52407</v>
      </c>
      <c r="AQ16" s="290"/>
      <c r="AR16" s="626">
        <v>51783</v>
      </c>
      <c r="AS16" s="626">
        <v>44751</v>
      </c>
      <c r="AT16" s="293">
        <f t="shared" si="7"/>
        <v>44751</v>
      </c>
      <c r="AU16" s="290"/>
      <c r="AV16" s="626">
        <v>42504</v>
      </c>
      <c r="AW16" s="626">
        <v>44267</v>
      </c>
      <c r="AX16" s="293">
        <f t="shared" si="8"/>
        <v>44267</v>
      </c>
      <c r="AY16" s="1961"/>
      <c r="AZ16" s="626">
        <v>45130</v>
      </c>
      <c r="BA16" s="626">
        <v>46016</v>
      </c>
      <c r="BB16" s="293">
        <f t="shared" si="9"/>
        <v>46016</v>
      </c>
      <c r="BC16" s="1961"/>
      <c r="BD16" s="626">
        <v>45843</v>
      </c>
      <c r="BE16" s="626">
        <v>45218</v>
      </c>
      <c r="BF16" s="293">
        <f t="shared" si="10"/>
        <v>45218</v>
      </c>
      <c r="BG16" s="1961"/>
      <c r="BH16" s="626">
        <v>47559</v>
      </c>
      <c r="BI16" s="626">
        <v>50793</v>
      </c>
      <c r="BJ16" s="293">
        <f t="shared" si="11"/>
        <v>50793</v>
      </c>
      <c r="BK16" s="667"/>
      <c r="BL16" s="626">
        <v>56093</v>
      </c>
      <c r="BM16" s="626">
        <v>58712</v>
      </c>
      <c r="BN16" s="293">
        <f t="shared" si="12"/>
        <v>58712</v>
      </c>
      <c r="BO16" s="1961"/>
      <c r="BP16" s="626">
        <v>64435</v>
      </c>
      <c r="BQ16" s="626">
        <v>72762</v>
      </c>
      <c r="BR16" s="293">
        <f t="shared" si="13"/>
        <v>72762</v>
      </c>
      <c r="BS16" s="1961"/>
      <c r="BT16" s="626">
        <v>76690</v>
      </c>
      <c r="BU16" s="626">
        <v>80366</v>
      </c>
      <c r="BV16" s="293">
        <f t="shared" si="14"/>
        <v>80366</v>
      </c>
      <c r="BW16" s="1961"/>
      <c r="BX16" s="626">
        <v>77976</v>
      </c>
      <c r="BY16" s="626">
        <v>76663</v>
      </c>
      <c r="BZ16" s="293">
        <f t="shared" si="15"/>
        <v>76663</v>
      </c>
      <c r="CA16" s="1961"/>
      <c r="CB16" s="626">
        <v>70387</v>
      </c>
      <c r="CC16" s="626">
        <v>73509</v>
      </c>
      <c r="CD16" s="293">
        <f t="shared" si="16"/>
        <v>73509</v>
      </c>
      <c r="CE16" s="1961"/>
      <c r="CF16" s="626">
        <v>76953</v>
      </c>
      <c r="CG16" s="626">
        <v>78474</v>
      </c>
      <c r="CH16" s="293">
        <f t="shared" si="17"/>
        <v>78474</v>
      </c>
      <c r="CI16" s="1961"/>
      <c r="CJ16" s="626">
        <v>85066</v>
      </c>
      <c r="CK16" s="626">
        <v>94117</v>
      </c>
      <c r="CL16" s="293">
        <f t="shared" si="18"/>
        <v>94117</v>
      </c>
      <c r="CM16" s="1961"/>
      <c r="CN16" s="626">
        <v>93414</v>
      </c>
      <c r="CO16" s="626">
        <v>105026</v>
      </c>
      <c r="CP16" s="293">
        <f t="shared" si="19"/>
        <v>105026</v>
      </c>
      <c r="CQ16" s="1961"/>
      <c r="CR16" s="626">
        <v>118359</v>
      </c>
      <c r="CS16" s="626">
        <v>134744</v>
      </c>
      <c r="CT16" s="293">
        <f t="shared" si="20"/>
        <v>134744</v>
      </c>
      <c r="CU16" s="1961"/>
      <c r="CV16" s="626">
        <v>148874</v>
      </c>
      <c r="CW16" s="1497">
        <v>158572</v>
      </c>
      <c r="CX16" s="293">
        <f t="shared" si="21"/>
        <v>158572</v>
      </c>
      <c r="CY16" s="1961"/>
      <c r="CZ16" s="626">
        <v>167495</v>
      </c>
      <c r="DA16" s="1488">
        <v>176371</v>
      </c>
      <c r="DB16" s="293">
        <f t="shared" si="22"/>
        <v>176371</v>
      </c>
      <c r="DC16" s="1961"/>
      <c r="DD16" s="626">
        <v>187064</v>
      </c>
      <c r="DE16" s="2176">
        <v>205648</v>
      </c>
      <c r="DF16" s="293">
        <f t="shared" si="23"/>
        <v>205648</v>
      </c>
      <c r="DG16" s="1961"/>
      <c r="DH16" s="2255">
        <v>224042</v>
      </c>
      <c r="DI16" s="293">
        <f>DI122*1000</f>
        <v>249795.42</v>
      </c>
      <c r="DJ16" s="293">
        <f>DJ122*1000</f>
        <v>249795.42</v>
      </c>
      <c r="DK16" s="1961"/>
      <c r="DL16" s="293">
        <f>DL122*1000</f>
        <v>269002.86420000001</v>
      </c>
      <c r="DM16" s="293">
        <f>DM122*1000</f>
        <v>283780.26184200001</v>
      </c>
      <c r="DN16" s="293">
        <f>DN122*1000</f>
        <v>283780.26184200001</v>
      </c>
      <c r="DO16" s="1961"/>
      <c r="DP16" s="293">
        <f>DP122*1000</f>
        <v>299389.85664042004</v>
      </c>
      <c r="DQ16" s="293">
        <f>DQ122*1000</f>
        <v>315879.40319922427</v>
      </c>
      <c r="DR16" s="293">
        <f>DR122*1000</f>
        <v>315879.40319922427</v>
      </c>
      <c r="DS16" s="1961"/>
      <c r="DT16" s="290"/>
      <c r="DU16" s="293"/>
      <c r="DV16" s="293"/>
      <c r="DW16" s="293"/>
      <c r="DX16" s="290"/>
      <c r="EH16"/>
    </row>
    <row r="17" spans="1:130">
      <c r="A17" s="102" t="s">
        <v>1173</v>
      </c>
      <c r="C17" s="103" t="s">
        <v>612</v>
      </c>
      <c r="P17" s="626">
        <v>5550</v>
      </c>
      <c r="Q17" s="626">
        <v>5309</v>
      </c>
      <c r="R17" s="293">
        <f t="shared" si="0"/>
        <v>5309</v>
      </c>
      <c r="T17" s="626">
        <v>5434</v>
      </c>
      <c r="U17" s="626">
        <v>6694</v>
      </c>
      <c r="V17" s="293">
        <f t="shared" si="1"/>
        <v>6694</v>
      </c>
      <c r="X17" s="626">
        <v>5677</v>
      </c>
      <c r="Y17" s="626">
        <v>5651</v>
      </c>
      <c r="Z17" s="293">
        <f t="shared" si="2"/>
        <v>5651</v>
      </c>
      <c r="AB17" s="626">
        <v>0</v>
      </c>
      <c r="AC17" s="626">
        <v>0</v>
      </c>
      <c r="AD17" s="293">
        <f t="shared" si="3"/>
        <v>0</v>
      </c>
      <c r="AF17" s="626">
        <v>1870</v>
      </c>
      <c r="AG17" s="626">
        <v>2104</v>
      </c>
      <c r="AH17" s="293">
        <f t="shared" si="4"/>
        <v>2104</v>
      </c>
      <c r="AI17" s="632"/>
      <c r="AJ17" s="626">
        <v>2893</v>
      </c>
      <c r="AK17" s="626">
        <v>2779</v>
      </c>
      <c r="AL17" s="293">
        <f t="shared" si="5"/>
        <v>2779</v>
      </c>
      <c r="AN17" s="626">
        <v>4412</v>
      </c>
      <c r="AO17" s="626">
        <v>4131</v>
      </c>
      <c r="AP17" s="293">
        <f t="shared" si="6"/>
        <v>4131</v>
      </c>
      <c r="AR17" s="626">
        <v>3974</v>
      </c>
      <c r="AS17" s="626">
        <v>7910</v>
      </c>
      <c r="AT17" s="293">
        <f t="shared" si="7"/>
        <v>7910</v>
      </c>
      <c r="AV17" s="626">
        <v>5249</v>
      </c>
      <c r="AW17" s="626">
        <v>9172</v>
      </c>
      <c r="AX17" s="293">
        <f t="shared" si="8"/>
        <v>9172</v>
      </c>
      <c r="AZ17" s="626">
        <v>11025</v>
      </c>
      <c r="BA17" s="626">
        <v>11668</v>
      </c>
      <c r="BB17" s="293">
        <f t="shared" si="9"/>
        <v>11668</v>
      </c>
      <c r="BD17" s="626">
        <v>9998</v>
      </c>
      <c r="BE17" s="626">
        <v>6715</v>
      </c>
      <c r="BF17" s="293">
        <f t="shared" si="10"/>
        <v>6715</v>
      </c>
      <c r="BH17" s="626">
        <v>5327</v>
      </c>
      <c r="BI17" s="626">
        <v>5033</v>
      </c>
      <c r="BJ17" s="293">
        <f t="shared" si="11"/>
        <v>5033</v>
      </c>
      <c r="BL17" s="626">
        <v>3116</v>
      </c>
      <c r="BM17" s="626">
        <v>2854</v>
      </c>
      <c r="BN17" s="293">
        <f t="shared" si="12"/>
        <v>2854</v>
      </c>
      <c r="BP17" s="626">
        <v>2752</v>
      </c>
      <c r="BQ17" s="626">
        <v>2125</v>
      </c>
      <c r="BR17" s="293">
        <f t="shared" si="13"/>
        <v>2125</v>
      </c>
      <c r="BT17" s="626">
        <v>2101</v>
      </c>
      <c r="BU17" s="626">
        <v>1649</v>
      </c>
      <c r="BV17" s="293">
        <f t="shared" si="14"/>
        <v>1649</v>
      </c>
      <c r="BX17" s="626">
        <v>1378</v>
      </c>
      <c r="BY17" s="626">
        <v>1502</v>
      </c>
      <c r="BZ17" s="293">
        <f t="shared" si="15"/>
        <v>1502</v>
      </c>
      <c r="CB17" s="626">
        <v>1510</v>
      </c>
      <c r="CC17" s="626">
        <v>1434</v>
      </c>
      <c r="CD17" s="293">
        <f t="shared" si="16"/>
        <v>1434</v>
      </c>
      <c r="CF17" s="626">
        <v>6633</v>
      </c>
      <c r="CG17" s="626">
        <v>7161</v>
      </c>
      <c r="CH17" s="293">
        <f t="shared" si="17"/>
        <v>7161</v>
      </c>
      <c r="CJ17" s="626">
        <v>7937</v>
      </c>
      <c r="CK17" s="626">
        <v>8930</v>
      </c>
      <c r="CL17" s="293">
        <f t="shared" si="18"/>
        <v>8930</v>
      </c>
      <c r="CN17" s="626">
        <v>8977</v>
      </c>
      <c r="CO17" s="626">
        <v>9566</v>
      </c>
      <c r="CP17" s="293">
        <f t="shared" si="19"/>
        <v>9566</v>
      </c>
      <c r="CR17" s="626">
        <v>13142</v>
      </c>
      <c r="CS17" s="626">
        <v>12127</v>
      </c>
      <c r="CT17" s="293">
        <f t="shared" si="20"/>
        <v>12127</v>
      </c>
      <c r="CV17" s="626">
        <v>25046</v>
      </c>
      <c r="CW17" s="1497">
        <v>21874</v>
      </c>
      <c r="CX17" s="293">
        <f t="shared" si="21"/>
        <v>21874</v>
      </c>
      <c r="CZ17" s="1497">
        <v>22862</v>
      </c>
      <c r="DA17" s="1488">
        <v>24378</v>
      </c>
      <c r="DB17" s="293">
        <f t="shared" si="22"/>
        <v>24378</v>
      </c>
      <c r="DD17" s="1497">
        <v>18887</v>
      </c>
      <c r="DE17" s="2176">
        <v>21455</v>
      </c>
      <c r="DF17" s="293">
        <f t="shared" si="23"/>
        <v>21455</v>
      </c>
      <c r="DH17" s="2259">
        <v>26241</v>
      </c>
      <c r="DI17" s="293">
        <f>DI198</f>
        <v>27389.707772867281</v>
      </c>
      <c r="DJ17" s="293">
        <f>DJ198</f>
        <v>27389.707772867281</v>
      </c>
      <c r="DL17" s="293">
        <f>DL198</f>
        <v>27975.473108182669</v>
      </c>
      <c r="DM17" s="293">
        <f>DM198</f>
        <v>28576.013107375922</v>
      </c>
      <c r="DN17" s="293">
        <f>DN198</f>
        <v>28576.013107375922</v>
      </c>
      <c r="DP17" s="293">
        <f>DP198</f>
        <v>29191.884136765973</v>
      </c>
      <c r="DQ17" s="293">
        <f>DQ198</f>
        <v>29823.677524168495</v>
      </c>
      <c r="DR17" s="293">
        <f>DR198</f>
        <v>29823.677524168495</v>
      </c>
      <c r="DU17" s="293"/>
      <c r="DV17" s="293"/>
      <c r="DW17" s="293"/>
    </row>
    <row r="18" spans="1:130">
      <c r="A18" s="102" t="s">
        <v>231</v>
      </c>
      <c r="C18" s="103" t="s">
        <v>612</v>
      </c>
      <c r="P18" s="626">
        <v>1795</v>
      </c>
      <c r="Q18" s="626">
        <v>1828</v>
      </c>
      <c r="R18" s="293">
        <f t="shared" si="0"/>
        <v>1828</v>
      </c>
      <c r="T18" s="626">
        <v>2108</v>
      </c>
      <c r="U18" s="626">
        <v>3531</v>
      </c>
      <c r="V18" s="293">
        <f t="shared" si="1"/>
        <v>3531</v>
      </c>
      <c r="X18" s="626">
        <v>3613</v>
      </c>
      <c r="Y18" s="626">
        <v>4065</v>
      </c>
      <c r="Z18" s="293">
        <f t="shared" si="2"/>
        <v>4065</v>
      </c>
      <c r="AB18" s="626">
        <v>5679</v>
      </c>
      <c r="AC18" s="626">
        <v>5690</v>
      </c>
      <c r="AD18" s="293">
        <f t="shared" si="3"/>
        <v>5690</v>
      </c>
      <c r="AF18" s="626">
        <v>6899</v>
      </c>
      <c r="AG18" s="626">
        <v>10978</v>
      </c>
      <c r="AH18" s="293">
        <f t="shared" si="4"/>
        <v>10978</v>
      </c>
      <c r="AI18" s="632"/>
      <c r="AJ18" s="626">
        <v>11216</v>
      </c>
      <c r="AK18" s="626">
        <v>11913</v>
      </c>
      <c r="AL18" s="293">
        <f t="shared" si="5"/>
        <v>11913</v>
      </c>
      <c r="AN18" s="626">
        <v>16991</v>
      </c>
      <c r="AO18" s="626">
        <v>21136</v>
      </c>
      <c r="AP18" s="293">
        <f t="shared" si="6"/>
        <v>21136</v>
      </c>
      <c r="AR18" s="626">
        <v>22508</v>
      </c>
      <c r="AS18" s="626">
        <v>27428</v>
      </c>
      <c r="AT18" s="293">
        <f t="shared" si="7"/>
        <v>27428</v>
      </c>
      <c r="AV18" s="626">
        <v>21441</v>
      </c>
      <c r="AW18" s="626">
        <v>21561</v>
      </c>
      <c r="AX18" s="293">
        <f t="shared" si="8"/>
        <v>21561</v>
      </c>
      <c r="AZ18" s="626">
        <v>23430</v>
      </c>
      <c r="BA18" s="626">
        <v>21185</v>
      </c>
      <c r="BB18" s="293">
        <f t="shared" si="9"/>
        <v>21185</v>
      </c>
      <c r="BD18" s="626">
        <v>34201</v>
      </c>
      <c r="BE18" s="626">
        <v>22078</v>
      </c>
      <c r="BF18" s="293">
        <f t="shared" si="10"/>
        <v>22078</v>
      </c>
      <c r="BH18" s="626">
        <v>21691</v>
      </c>
      <c r="BI18" s="626">
        <v>14704</v>
      </c>
      <c r="BJ18" s="293">
        <f t="shared" si="11"/>
        <v>14704</v>
      </c>
      <c r="BL18" s="626">
        <v>14647</v>
      </c>
      <c r="BM18" s="626">
        <v>12633</v>
      </c>
      <c r="BN18" s="293">
        <f t="shared" si="12"/>
        <v>12633</v>
      </c>
      <c r="BP18" s="626">
        <v>14648</v>
      </c>
      <c r="BQ18" s="626">
        <v>20080</v>
      </c>
      <c r="BR18" s="293">
        <f t="shared" si="13"/>
        <v>20080</v>
      </c>
      <c r="BT18" s="626">
        <v>22307</v>
      </c>
      <c r="BU18" s="626">
        <v>17983</v>
      </c>
      <c r="BV18" s="293">
        <f t="shared" si="14"/>
        <v>17983</v>
      </c>
      <c r="BX18" s="626">
        <v>15233</v>
      </c>
      <c r="BY18" s="626">
        <v>12106</v>
      </c>
      <c r="BZ18" s="293">
        <f t="shared" si="15"/>
        <v>12106</v>
      </c>
      <c r="CB18" s="626">
        <v>12360</v>
      </c>
      <c r="CC18" s="626">
        <v>12937</v>
      </c>
      <c r="CD18" s="293">
        <f t="shared" si="16"/>
        <v>12937</v>
      </c>
      <c r="CF18" s="626">
        <v>18115</v>
      </c>
      <c r="CG18" s="626">
        <v>14457</v>
      </c>
      <c r="CH18" s="293">
        <f t="shared" si="17"/>
        <v>14457</v>
      </c>
      <c r="CJ18" s="626">
        <v>18221</v>
      </c>
      <c r="CK18" s="626">
        <v>45607</v>
      </c>
      <c r="CL18" s="293">
        <f t="shared" si="18"/>
        <v>45607</v>
      </c>
      <c r="CN18" s="626">
        <v>22055</v>
      </c>
      <c r="CO18" s="626">
        <v>20642</v>
      </c>
      <c r="CP18" s="293">
        <f t="shared" si="19"/>
        <v>20642</v>
      </c>
      <c r="CR18" s="626">
        <v>77186</v>
      </c>
      <c r="CS18" s="626">
        <v>84891</v>
      </c>
      <c r="CT18" s="293">
        <f t="shared" si="20"/>
        <v>84891</v>
      </c>
      <c r="CV18" s="626">
        <v>111913</v>
      </c>
      <c r="CW18" s="1497">
        <v>36114</v>
      </c>
      <c r="CX18" s="293">
        <f t="shared" si="21"/>
        <v>36114</v>
      </c>
      <c r="CZ18" s="1497">
        <v>29121</v>
      </c>
      <c r="DA18" s="1488">
        <v>24067</v>
      </c>
      <c r="DB18" s="293">
        <f t="shared" si="22"/>
        <v>24067</v>
      </c>
      <c r="DD18" s="1497">
        <v>23855</v>
      </c>
      <c r="DE18" s="2176">
        <v>24269</v>
      </c>
      <c r="DF18" s="293">
        <f t="shared" si="23"/>
        <v>24269</v>
      </c>
      <c r="DH18" s="2259">
        <v>25348</v>
      </c>
      <c r="DI18" s="293">
        <f>+DH18*(1+DI37)</f>
        <v>26108.440000000002</v>
      </c>
      <c r="DJ18" s="293">
        <f>DI18</f>
        <v>26108.440000000002</v>
      </c>
      <c r="DL18" s="293">
        <f>+DI18*(1+DL37)</f>
        <v>26891.693200000002</v>
      </c>
      <c r="DM18" s="293">
        <f>+DL18*(1+DM37)</f>
        <v>27698.443996000002</v>
      </c>
      <c r="DN18" s="293">
        <f>DM18</f>
        <v>27698.443996000002</v>
      </c>
      <c r="DP18" s="293">
        <f>+DM18*(1+DP37)</f>
        <v>28529.397315880004</v>
      </c>
      <c r="DQ18" s="293">
        <f>+DP18*(1+DQ37)</f>
        <v>29385.279235356404</v>
      </c>
      <c r="DR18" s="293">
        <f>DQ18</f>
        <v>29385.279235356404</v>
      </c>
      <c r="DU18" s="293"/>
      <c r="DV18" s="293"/>
      <c r="DW18" s="293"/>
    </row>
    <row r="19" spans="1:130">
      <c r="A19" s="102" t="s">
        <v>233</v>
      </c>
      <c r="C19" s="103" t="s">
        <v>612</v>
      </c>
      <c r="P19" s="626">
        <v>0</v>
      </c>
      <c r="Q19" s="626">
        <v>0</v>
      </c>
      <c r="R19" s="293">
        <f t="shared" si="0"/>
        <v>0</v>
      </c>
      <c r="T19" s="626">
        <v>0</v>
      </c>
      <c r="U19" s="626">
        <v>0</v>
      </c>
      <c r="V19" s="293">
        <f t="shared" si="1"/>
        <v>0</v>
      </c>
      <c r="X19" s="626">
        <v>0</v>
      </c>
      <c r="Y19" s="626">
        <v>0</v>
      </c>
      <c r="Z19" s="293">
        <f t="shared" si="2"/>
        <v>0</v>
      </c>
      <c r="AB19" s="626">
        <v>0</v>
      </c>
      <c r="AC19" s="626">
        <v>0</v>
      </c>
      <c r="AD19" s="293">
        <f t="shared" si="3"/>
        <v>0</v>
      </c>
      <c r="AF19" s="626">
        <v>3517</v>
      </c>
      <c r="AG19" s="626">
        <v>3746</v>
      </c>
      <c r="AH19" s="293">
        <f t="shared" si="4"/>
        <v>3746</v>
      </c>
      <c r="AI19" s="632"/>
      <c r="AJ19" s="626">
        <v>4139</v>
      </c>
      <c r="AK19" s="626">
        <v>6060</v>
      </c>
      <c r="AL19" s="293">
        <f t="shared" si="5"/>
        <v>6060</v>
      </c>
      <c r="AN19" s="626">
        <v>12092</v>
      </c>
      <c r="AO19" s="626">
        <v>16454</v>
      </c>
      <c r="AP19" s="293">
        <f t="shared" si="6"/>
        <v>16454</v>
      </c>
      <c r="AR19" s="626">
        <v>18025</v>
      </c>
      <c r="AS19" s="626">
        <v>18123</v>
      </c>
      <c r="AT19" s="293">
        <f t="shared" si="7"/>
        <v>18123</v>
      </c>
      <c r="AV19" s="626">
        <v>23152</v>
      </c>
      <c r="AW19" s="626">
        <v>18221</v>
      </c>
      <c r="AX19" s="293">
        <f t="shared" si="8"/>
        <v>18221</v>
      </c>
      <c r="AZ19" s="626">
        <v>18576</v>
      </c>
      <c r="BA19" s="626">
        <v>17051</v>
      </c>
      <c r="BB19" s="293">
        <f t="shared" si="9"/>
        <v>17051</v>
      </c>
      <c r="BD19" s="626">
        <v>21334</v>
      </c>
      <c r="BE19" s="626">
        <v>18266</v>
      </c>
      <c r="BF19" s="293">
        <f t="shared" si="10"/>
        <v>18266</v>
      </c>
      <c r="BH19" s="626">
        <v>20506</v>
      </c>
      <c r="BI19" s="626">
        <v>17057</v>
      </c>
      <c r="BJ19" s="293">
        <f t="shared" si="11"/>
        <v>17057</v>
      </c>
      <c r="BL19" s="626">
        <v>16578</v>
      </c>
      <c r="BM19" s="626">
        <v>14051</v>
      </c>
      <c r="BN19" s="293">
        <f t="shared" si="12"/>
        <v>14051</v>
      </c>
      <c r="BP19" s="626">
        <v>9299</v>
      </c>
      <c r="BQ19" s="626">
        <v>8896</v>
      </c>
      <c r="BR19" s="293">
        <f t="shared" si="13"/>
        <v>8896</v>
      </c>
      <c r="BT19" s="626">
        <v>10707</v>
      </c>
      <c r="BU19" s="626">
        <v>11456</v>
      </c>
      <c r="BV19" s="293">
        <f t="shared" si="14"/>
        <v>11456</v>
      </c>
      <c r="BX19" s="626">
        <v>7857</v>
      </c>
      <c r="BY19" s="626">
        <v>6893</v>
      </c>
      <c r="BZ19" s="293">
        <f t="shared" si="15"/>
        <v>6893</v>
      </c>
      <c r="CB19" s="626">
        <v>4752</v>
      </c>
      <c r="CC19" s="626">
        <v>6166</v>
      </c>
      <c r="CD19" s="293">
        <f t="shared" si="16"/>
        <v>6166</v>
      </c>
      <c r="CF19" s="626">
        <v>2153</v>
      </c>
      <c r="CG19" s="626">
        <v>9023</v>
      </c>
      <c r="CH19" s="293">
        <f t="shared" si="17"/>
        <v>9023</v>
      </c>
      <c r="CJ19" s="626">
        <v>608</v>
      </c>
      <c r="CK19" s="626">
        <v>1634</v>
      </c>
      <c r="CL19" s="293">
        <f t="shared" si="18"/>
        <v>1634</v>
      </c>
      <c r="CN19" s="626">
        <v>2176</v>
      </c>
      <c r="CO19" s="626">
        <v>279</v>
      </c>
      <c r="CP19" s="293">
        <f t="shared" si="19"/>
        <v>279</v>
      </c>
      <c r="CR19" s="626">
        <v>1940</v>
      </c>
      <c r="CS19" s="626">
        <v>1297</v>
      </c>
      <c r="CT19" s="293">
        <f t="shared" si="20"/>
        <v>1297</v>
      </c>
      <c r="CV19" s="626">
        <v>707</v>
      </c>
      <c r="CW19" s="1497">
        <v>921</v>
      </c>
      <c r="CX19" s="293">
        <f t="shared" si="21"/>
        <v>921</v>
      </c>
      <c r="CZ19" s="1497">
        <v>1802</v>
      </c>
      <c r="DA19" s="1488">
        <v>2204</v>
      </c>
      <c r="DB19" s="293">
        <f t="shared" si="22"/>
        <v>2204</v>
      </c>
      <c r="DD19" s="1497">
        <v>3020</v>
      </c>
      <c r="DE19" s="2176">
        <v>6612</v>
      </c>
      <c r="DF19" s="293">
        <f t="shared" si="23"/>
        <v>6612</v>
      </c>
      <c r="DH19" s="2259">
        <v>11533</v>
      </c>
      <c r="DI19" s="293">
        <f>DI207</f>
        <v>11763.66</v>
      </c>
      <c r="DJ19" s="293">
        <f>DJ207</f>
        <v>11763.66</v>
      </c>
      <c r="DL19" s="293">
        <f>DL207</f>
        <v>11998.933199999999</v>
      </c>
      <c r="DM19" s="293">
        <f>DM207</f>
        <v>12238.911864</v>
      </c>
      <c r="DN19" s="293">
        <f>DN207</f>
        <v>12238.911864</v>
      </c>
      <c r="DP19" s="293">
        <f>DP207</f>
        <v>12483.690101279999</v>
      </c>
      <c r="DQ19" s="293">
        <f>DQ207</f>
        <v>12733.363903305599</v>
      </c>
      <c r="DR19" s="293">
        <f>DR207</f>
        <v>12733.363903305599</v>
      </c>
      <c r="DU19" s="293"/>
      <c r="DV19" s="293"/>
      <c r="DW19" s="293"/>
    </row>
    <row r="20" spans="1:130">
      <c r="A20" s="102" t="s">
        <v>222</v>
      </c>
      <c r="C20" s="103" t="s">
        <v>612</v>
      </c>
      <c r="P20" s="626">
        <v>0</v>
      </c>
      <c r="Q20" s="626">
        <v>0</v>
      </c>
      <c r="R20" s="293">
        <f t="shared" si="0"/>
        <v>0</v>
      </c>
      <c r="T20" s="626">
        <v>0</v>
      </c>
      <c r="U20" s="626">
        <v>0</v>
      </c>
      <c r="V20" s="293">
        <f t="shared" si="1"/>
        <v>0</v>
      </c>
      <c r="X20" s="626">
        <v>706</v>
      </c>
      <c r="Y20" s="626">
        <v>339</v>
      </c>
      <c r="Z20" s="293">
        <f t="shared" si="2"/>
        <v>339</v>
      </c>
      <c r="AB20" s="626">
        <v>382</v>
      </c>
      <c r="AC20" s="626">
        <v>371</v>
      </c>
      <c r="AD20" s="293">
        <f t="shared" si="3"/>
        <v>371</v>
      </c>
      <c r="AF20" s="626">
        <v>122</v>
      </c>
      <c r="AG20" s="626">
        <v>150</v>
      </c>
      <c r="AH20" s="293">
        <f t="shared" si="4"/>
        <v>150</v>
      </c>
      <c r="AI20" s="632"/>
      <c r="AJ20" s="626">
        <v>168</v>
      </c>
      <c r="AK20" s="626">
        <v>100</v>
      </c>
      <c r="AL20" s="293">
        <f t="shared" si="5"/>
        <v>100</v>
      </c>
      <c r="AN20" s="626">
        <v>101</v>
      </c>
      <c r="AO20" s="626">
        <v>494</v>
      </c>
      <c r="AP20" s="293">
        <f t="shared" si="6"/>
        <v>494</v>
      </c>
      <c r="AR20" s="626">
        <v>566</v>
      </c>
      <c r="AS20" s="626">
        <v>759</v>
      </c>
      <c r="AT20" s="293">
        <f t="shared" si="7"/>
        <v>759</v>
      </c>
      <c r="AV20" s="626">
        <v>715</v>
      </c>
      <c r="AW20" s="626">
        <v>1456</v>
      </c>
      <c r="AX20" s="293">
        <f t="shared" si="8"/>
        <v>1456</v>
      </c>
      <c r="AZ20" s="626">
        <v>1411</v>
      </c>
      <c r="BA20" s="626">
        <v>1317</v>
      </c>
      <c r="BB20" s="293">
        <f t="shared" si="9"/>
        <v>1317</v>
      </c>
      <c r="BD20" s="626">
        <v>1393</v>
      </c>
      <c r="BE20" s="626">
        <v>1351</v>
      </c>
      <c r="BF20" s="293">
        <f t="shared" si="10"/>
        <v>1351</v>
      </c>
      <c r="BH20" s="626">
        <v>1304</v>
      </c>
      <c r="BI20" s="626">
        <v>1221</v>
      </c>
      <c r="BJ20" s="293">
        <f t="shared" si="11"/>
        <v>1221</v>
      </c>
      <c r="BL20" s="626">
        <v>1276</v>
      </c>
      <c r="BM20" s="626">
        <v>1221</v>
      </c>
      <c r="BN20" s="293">
        <f t="shared" si="12"/>
        <v>1221</v>
      </c>
      <c r="BP20" s="626">
        <v>1237</v>
      </c>
      <c r="BQ20" s="626">
        <v>1164</v>
      </c>
      <c r="BR20" s="293">
        <f t="shared" si="13"/>
        <v>1164</v>
      </c>
      <c r="BT20" s="626">
        <v>1182</v>
      </c>
      <c r="BU20" s="626">
        <v>1078</v>
      </c>
      <c r="BV20" s="293">
        <f t="shared" si="14"/>
        <v>1078</v>
      </c>
      <c r="BX20" s="626">
        <v>993</v>
      </c>
      <c r="BY20" s="626">
        <v>1009</v>
      </c>
      <c r="BZ20" s="293">
        <f t="shared" si="15"/>
        <v>1009</v>
      </c>
      <c r="CB20" s="626">
        <v>991</v>
      </c>
      <c r="CC20" s="626">
        <v>993</v>
      </c>
      <c r="CD20" s="293">
        <f t="shared" si="16"/>
        <v>993</v>
      </c>
      <c r="CF20" s="626">
        <v>1894</v>
      </c>
      <c r="CG20" s="626">
        <v>2031</v>
      </c>
      <c r="CH20" s="293">
        <f t="shared" si="17"/>
        <v>2031</v>
      </c>
      <c r="CJ20" s="626">
        <v>2666</v>
      </c>
      <c r="CK20" s="626">
        <v>3268</v>
      </c>
      <c r="CL20" s="293">
        <f t="shared" si="18"/>
        <v>3268</v>
      </c>
      <c r="CN20" s="626">
        <v>2816</v>
      </c>
      <c r="CO20" s="626">
        <v>2543</v>
      </c>
      <c r="CP20" s="293">
        <f t="shared" si="19"/>
        <v>2543</v>
      </c>
      <c r="CR20" s="626">
        <v>3497</v>
      </c>
      <c r="CS20" s="626">
        <v>3780</v>
      </c>
      <c r="CT20" s="293">
        <f t="shared" si="20"/>
        <v>3780</v>
      </c>
      <c r="CV20" s="626">
        <v>4170</v>
      </c>
      <c r="CW20" s="1497">
        <v>3827</v>
      </c>
      <c r="CX20" s="293">
        <f t="shared" si="21"/>
        <v>3827</v>
      </c>
      <c r="CZ20" s="1497">
        <v>4249</v>
      </c>
      <c r="DA20" s="1488">
        <v>4254</v>
      </c>
      <c r="DB20" s="293">
        <f t="shared" si="22"/>
        <v>4254</v>
      </c>
      <c r="DD20" s="1497">
        <v>3482</v>
      </c>
      <c r="DE20" s="2176">
        <v>1671</v>
      </c>
      <c r="DF20" s="293">
        <f t="shared" si="23"/>
        <v>1671</v>
      </c>
      <c r="DH20" s="2259">
        <v>1786</v>
      </c>
      <c r="DI20" s="293">
        <f>+DH20*(1+DI39)</f>
        <v>1786</v>
      </c>
      <c r="DJ20" s="293">
        <f>DI20</f>
        <v>1786</v>
      </c>
      <c r="DL20" s="293">
        <f>+DI20*(1+DL39)</f>
        <v>1786</v>
      </c>
      <c r="DM20" s="293">
        <f>+DL20*(1+DM39)</f>
        <v>1786</v>
      </c>
      <c r="DN20" s="293">
        <f>DM20</f>
        <v>1786</v>
      </c>
      <c r="DP20" s="293">
        <f>+DM20*(1+DP39)</f>
        <v>1786</v>
      </c>
      <c r="DQ20" s="293">
        <f>+DP20*(1+DQ39)</f>
        <v>1786</v>
      </c>
      <c r="DR20" s="293">
        <f>DQ20</f>
        <v>1786</v>
      </c>
      <c r="DU20" s="293"/>
      <c r="DV20" s="293"/>
      <c r="DW20" s="293"/>
    </row>
    <row r="21" spans="1:130" outlineLevel="1">
      <c r="A21" s="102" t="s">
        <v>234</v>
      </c>
      <c r="C21" s="103" t="s">
        <v>612</v>
      </c>
      <c r="P21" s="626">
        <v>2473</v>
      </c>
      <c r="Q21" s="626">
        <v>2516</v>
      </c>
      <c r="R21" s="293">
        <f t="shared" si="0"/>
        <v>2516</v>
      </c>
      <c r="T21" s="626">
        <v>2693</v>
      </c>
      <c r="U21" s="626">
        <v>2350</v>
      </c>
      <c r="V21" s="293">
        <f t="shared" si="1"/>
        <v>2350</v>
      </c>
      <c r="X21" s="626">
        <v>2184</v>
      </c>
      <c r="Y21" s="626">
        <v>2129</v>
      </c>
      <c r="Z21" s="293">
        <f t="shared" si="2"/>
        <v>2129</v>
      </c>
      <c r="AB21" s="626">
        <v>4533</v>
      </c>
      <c r="AC21" s="626">
        <v>4473</v>
      </c>
      <c r="AD21" s="293">
        <f t="shared" si="3"/>
        <v>4473</v>
      </c>
      <c r="AF21" s="626">
        <v>5170</v>
      </c>
      <c r="AG21" s="626">
        <v>5183</v>
      </c>
      <c r="AH21" s="293">
        <f t="shared" si="4"/>
        <v>5183</v>
      </c>
      <c r="AI21" s="632"/>
      <c r="AJ21" s="626">
        <v>5610</v>
      </c>
      <c r="AK21" s="626">
        <v>5847</v>
      </c>
      <c r="AL21" s="293">
        <f t="shared" si="5"/>
        <v>5847</v>
      </c>
      <c r="AN21" s="626">
        <v>6363</v>
      </c>
      <c r="AO21" s="626">
        <v>5699</v>
      </c>
      <c r="AP21" s="293">
        <f t="shared" si="6"/>
        <v>5699</v>
      </c>
      <c r="AR21" s="626">
        <v>5645</v>
      </c>
      <c r="AS21" s="626">
        <v>4314</v>
      </c>
      <c r="AT21" s="293">
        <f t="shared" si="7"/>
        <v>4314</v>
      </c>
      <c r="AV21" s="626">
        <v>5066</v>
      </c>
      <c r="AW21" s="626">
        <v>4846</v>
      </c>
      <c r="AX21" s="293">
        <f t="shared" si="8"/>
        <v>4846</v>
      </c>
      <c r="AZ21" s="626">
        <v>5047</v>
      </c>
      <c r="BA21" s="626">
        <v>5059</v>
      </c>
      <c r="BB21" s="293">
        <f t="shared" si="9"/>
        <v>5059</v>
      </c>
      <c r="BD21" s="626">
        <v>4758</v>
      </c>
      <c r="BE21" s="626">
        <v>5904</v>
      </c>
      <c r="BF21" s="293">
        <f t="shared" si="10"/>
        <v>5904</v>
      </c>
      <c r="BH21" s="626">
        <v>0</v>
      </c>
      <c r="BI21" s="626">
        <v>0</v>
      </c>
      <c r="BJ21" s="293">
        <f t="shared" si="11"/>
        <v>0</v>
      </c>
      <c r="BL21" s="626">
        <v>0</v>
      </c>
      <c r="BM21" s="626">
        <v>0</v>
      </c>
      <c r="BN21" s="293">
        <f t="shared" si="12"/>
        <v>0</v>
      </c>
      <c r="BP21" s="626">
        <v>0</v>
      </c>
      <c r="BQ21" s="626">
        <v>0</v>
      </c>
      <c r="BR21" s="293">
        <f t="shared" si="13"/>
        <v>0</v>
      </c>
      <c r="BT21" s="626">
        <v>0</v>
      </c>
      <c r="BU21" s="626">
        <v>0</v>
      </c>
      <c r="BV21" s="293">
        <f t="shared" si="14"/>
        <v>0</v>
      </c>
      <c r="BX21" s="626">
        <v>0</v>
      </c>
      <c r="BY21" s="626">
        <v>0</v>
      </c>
      <c r="BZ21" s="293">
        <f t="shared" si="15"/>
        <v>0</v>
      </c>
      <c r="CB21" s="626">
        <v>0</v>
      </c>
      <c r="CC21" s="626">
        <v>0</v>
      </c>
      <c r="CD21" s="293">
        <f t="shared" si="16"/>
        <v>0</v>
      </c>
      <c r="CF21" s="626">
        <v>0</v>
      </c>
      <c r="CG21" s="626">
        <v>0</v>
      </c>
      <c r="CH21" s="293">
        <f t="shared" si="17"/>
        <v>0</v>
      </c>
      <c r="CJ21" s="626">
        <v>0</v>
      </c>
      <c r="CK21" s="626">
        <v>0</v>
      </c>
      <c r="CL21" s="293">
        <f t="shared" si="18"/>
        <v>0</v>
      </c>
      <c r="CN21" s="626">
        <v>0</v>
      </c>
      <c r="CO21" s="626">
        <v>0</v>
      </c>
      <c r="CP21" s="293">
        <f t="shared" si="19"/>
        <v>0</v>
      </c>
      <c r="CR21" s="626">
        <v>0</v>
      </c>
      <c r="CS21" s="626">
        <v>0</v>
      </c>
      <c r="CT21" s="293">
        <f t="shared" si="20"/>
        <v>0</v>
      </c>
      <c r="CV21" s="626">
        <v>0</v>
      </c>
      <c r="CW21" s="1497">
        <v>0</v>
      </c>
      <c r="CX21" s="293">
        <f t="shared" si="21"/>
        <v>0</v>
      </c>
      <c r="CZ21" s="1497">
        <v>0</v>
      </c>
      <c r="DA21" s="1488">
        <v>0</v>
      </c>
      <c r="DB21" s="293">
        <f t="shared" si="22"/>
        <v>0</v>
      </c>
      <c r="DD21" s="1497">
        <v>0</v>
      </c>
      <c r="DE21" s="1497">
        <v>0</v>
      </c>
      <c r="DF21" s="293">
        <f t="shared" si="23"/>
        <v>0</v>
      </c>
      <c r="DH21" s="1497">
        <v>0</v>
      </c>
      <c r="DI21" s="487">
        <v>0</v>
      </c>
      <c r="DJ21" s="293">
        <f>DI21</f>
        <v>0</v>
      </c>
      <c r="DL21" s="487">
        <v>0</v>
      </c>
      <c r="DM21" s="487">
        <v>0</v>
      </c>
      <c r="DN21" s="293">
        <f>DM21</f>
        <v>0</v>
      </c>
      <c r="DP21" s="487">
        <v>0</v>
      </c>
      <c r="DQ21" s="487">
        <v>0</v>
      </c>
      <c r="DR21" s="293">
        <f>DQ21</f>
        <v>0</v>
      </c>
      <c r="DU21" s="487"/>
      <c r="DV21" s="487"/>
      <c r="DW21" s="293"/>
    </row>
    <row r="22" spans="1:130" outlineLevel="1">
      <c r="A22" s="102" t="s">
        <v>235</v>
      </c>
      <c r="C22" s="103" t="s">
        <v>612</v>
      </c>
      <c r="P22" s="626">
        <v>115</v>
      </c>
      <c r="Q22" s="626">
        <v>130</v>
      </c>
      <c r="R22" s="293">
        <f t="shared" si="0"/>
        <v>130</v>
      </c>
      <c r="T22" s="626">
        <v>114</v>
      </c>
      <c r="U22" s="626">
        <v>138</v>
      </c>
      <c r="V22" s="293">
        <f t="shared" si="1"/>
        <v>138</v>
      </c>
      <c r="X22" s="626">
        <v>169</v>
      </c>
      <c r="Y22" s="626">
        <v>152</v>
      </c>
      <c r="Z22" s="293">
        <f t="shared" si="2"/>
        <v>152</v>
      </c>
      <c r="AB22" s="626">
        <v>138</v>
      </c>
      <c r="AC22" s="626">
        <v>116</v>
      </c>
      <c r="AD22" s="293">
        <f t="shared" si="3"/>
        <v>116</v>
      </c>
      <c r="AF22" s="626">
        <v>0</v>
      </c>
      <c r="AG22" s="626">
        <v>0</v>
      </c>
      <c r="AH22" s="293">
        <f t="shared" si="4"/>
        <v>0</v>
      </c>
      <c r="AI22" s="632"/>
      <c r="AJ22" s="626">
        <v>0</v>
      </c>
      <c r="AK22" s="626">
        <v>0</v>
      </c>
      <c r="AL22" s="293">
        <f t="shared" si="5"/>
        <v>0</v>
      </c>
      <c r="AN22" s="626">
        <v>0</v>
      </c>
      <c r="AO22" s="626">
        <v>0</v>
      </c>
      <c r="AP22" s="293">
        <f t="shared" si="6"/>
        <v>0</v>
      </c>
      <c r="AR22" s="626">
        <v>0</v>
      </c>
      <c r="AS22" s="626">
        <v>0</v>
      </c>
      <c r="AT22" s="293">
        <f t="shared" si="7"/>
        <v>0</v>
      </c>
      <c r="AV22" s="626">
        <v>0</v>
      </c>
      <c r="AW22" s="626">
        <v>0</v>
      </c>
      <c r="AX22" s="293">
        <f t="shared" si="8"/>
        <v>0</v>
      </c>
      <c r="AZ22" s="626">
        <v>0</v>
      </c>
      <c r="BA22" s="626">
        <v>0</v>
      </c>
      <c r="BB22" s="293">
        <f t="shared" si="9"/>
        <v>0</v>
      </c>
      <c r="BD22" s="626">
        <v>0</v>
      </c>
      <c r="BE22" s="626">
        <v>0</v>
      </c>
      <c r="BF22" s="293">
        <f t="shared" si="10"/>
        <v>0</v>
      </c>
      <c r="BH22" s="626">
        <v>0</v>
      </c>
      <c r="BI22" s="626">
        <v>0</v>
      </c>
      <c r="BJ22" s="293">
        <f t="shared" si="11"/>
        <v>0</v>
      </c>
      <c r="BL22" s="626">
        <v>0</v>
      </c>
      <c r="BM22" s="626">
        <v>0</v>
      </c>
      <c r="BN22" s="293">
        <f t="shared" si="12"/>
        <v>0</v>
      </c>
      <c r="BP22" s="626">
        <v>0</v>
      </c>
      <c r="BQ22" s="626">
        <v>0</v>
      </c>
      <c r="BR22" s="293">
        <f t="shared" si="13"/>
        <v>0</v>
      </c>
      <c r="BT22" s="626">
        <v>0</v>
      </c>
      <c r="BU22" s="626">
        <v>0</v>
      </c>
      <c r="BV22" s="293">
        <f t="shared" si="14"/>
        <v>0</v>
      </c>
      <c r="BX22" s="626">
        <v>0</v>
      </c>
      <c r="BY22" s="626">
        <v>0</v>
      </c>
      <c r="BZ22" s="293">
        <f t="shared" si="15"/>
        <v>0</v>
      </c>
      <c r="CB22" s="626">
        <v>0</v>
      </c>
      <c r="CC22" s="626">
        <v>0</v>
      </c>
      <c r="CD22" s="293">
        <f t="shared" si="16"/>
        <v>0</v>
      </c>
      <c r="CF22" s="626">
        <v>0</v>
      </c>
      <c r="CG22" s="626">
        <v>0</v>
      </c>
      <c r="CH22" s="293">
        <f t="shared" si="17"/>
        <v>0</v>
      </c>
      <c r="CJ22" s="626">
        <v>0</v>
      </c>
      <c r="CK22" s="626">
        <v>0</v>
      </c>
      <c r="CL22" s="293">
        <f t="shared" si="18"/>
        <v>0</v>
      </c>
      <c r="CN22" s="626">
        <v>0</v>
      </c>
      <c r="CO22" s="626">
        <v>0</v>
      </c>
      <c r="CP22" s="293">
        <f t="shared" si="19"/>
        <v>0</v>
      </c>
      <c r="CR22" s="626">
        <v>0</v>
      </c>
      <c r="CS22" s="626">
        <v>0</v>
      </c>
      <c r="CT22" s="293">
        <f t="shared" si="20"/>
        <v>0</v>
      </c>
      <c r="CV22" s="626">
        <v>0</v>
      </c>
      <c r="CW22" s="1497">
        <v>0</v>
      </c>
      <c r="CX22" s="293">
        <f t="shared" si="21"/>
        <v>0</v>
      </c>
      <c r="CZ22" s="1497">
        <v>0</v>
      </c>
      <c r="DA22" s="1488">
        <v>0</v>
      </c>
      <c r="DB22" s="293">
        <f t="shared" si="22"/>
        <v>0</v>
      </c>
      <c r="DD22" s="1497">
        <v>0</v>
      </c>
      <c r="DE22" s="1497">
        <v>0</v>
      </c>
      <c r="DF22" s="293">
        <f t="shared" si="23"/>
        <v>0</v>
      </c>
      <c r="DH22" s="1497">
        <v>0</v>
      </c>
      <c r="DI22" s="487">
        <v>0</v>
      </c>
      <c r="DJ22" s="293">
        <f>DI22</f>
        <v>0</v>
      </c>
      <c r="DL22" s="487">
        <v>0</v>
      </c>
      <c r="DM22" s="487">
        <v>0</v>
      </c>
      <c r="DN22" s="293">
        <f>DM22</f>
        <v>0</v>
      </c>
      <c r="DP22" s="487">
        <v>0</v>
      </c>
      <c r="DQ22" s="487">
        <v>0</v>
      </c>
      <c r="DR22" s="293">
        <f>DQ22</f>
        <v>0</v>
      </c>
      <c r="DU22" s="487"/>
      <c r="DV22" s="487"/>
      <c r="DW22" s="293"/>
    </row>
    <row r="23" spans="1:130">
      <c r="A23" s="102" t="s">
        <v>236</v>
      </c>
      <c r="C23" s="103" t="s">
        <v>612</v>
      </c>
      <c r="P23" s="626">
        <v>109</v>
      </c>
      <c r="Q23" s="626">
        <v>142</v>
      </c>
      <c r="R23" s="293">
        <f t="shared" si="0"/>
        <v>142</v>
      </c>
      <c r="T23" s="626">
        <v>134</v>
      </c>
      <c r="U23" s="626">
        <v>169</v>
      </c>
      <c r="V23" s="293">
        <f t="shared" si="1"/>
        <v>169</v>
      </c>
      <c r="X23" s="626">
        <v>273</v>
      </c>
      <c r="Y23" s="626">
        <v>664</v>
      </c>
      <c r="Z23" s="293">
        <f t="shared" si="2"/>
        <v>664</v>
      </c>
      <c r="AB23" s="626">
        <v>1239</v>
      </c>
      <c r="AC23" s="626">
        <v>2117</v>
      </c>
      <c r="AD23" s="293">
        <f t="shared" si="3"/>
        <v>2117</v>
      </c>
      <c r="AF23" s="626">
        <v>2935</v>
      </c>
      <c r="AG23" s="626">
        <v>3463</v>
      </c>
      <c r="AH23" s="293">
        <f t="shared" si="4"/>
        <v>3463</v>
      </c>
      <c r="AI23" s="632"/>
      <c r="AJ23" s="626">
        <v>3571</v>
      </c>
      <c r="AK23" s="626">
        <v>4071</v>
      </c>
      <c r="AL23" s="293">
        <f t="shared" si="5"/>
        <v>4071</v>
      </c>
      <c r="AN23" s="626">
        <v>4784</v>
      </c>
      <c r="AO23" s="626">
        <v>5500</v>
      </c>
      <c r="AP23" s="293">
        <f t="shared" si="6"/>
        <v>5500</v>
      </c>
      <c r="AR23" s="626">
        <v>5921</v>
      </c>
      <c r="AS23" s="626">
        <v>6123</v>
      </c>
      <c r="AT23" s="293">
        <f t="shared" si="7"/>
        <v>6123</v>
      </c>
      <c r="AV23" s="626">
        <v>4931</v>
      </c>
      <c r="AW23" s="626">
        <v>3927</v>
      </c>
      <c r="AX23" s="293">
        <f t="shared" si="8"/>
        <v>3927</v>
      </c>
      <c r="AY23" s="654"/>
      <c r="AZ23" s="626">
        <v>2719</v>
      </c>
      <c r="BA23" s="626">
        <v>2790</v>
      </c>
      <c r="BB23" s="293">
        <f t="shared" si="9"/>
        <v>2790</v>
      </c>
      <c r="BC23" s="654"/>
      <c r="BD23" s="626">
        <v>2891</v>
      </c>
      <c r="BE23" s="626">
        <v>2664</v>
      </c>
      <c r="BF23" s="293">
        <f t="shared" si="10"/>
        <v>2664</v>
      </c>
      <c r="BG23" s="654"/>
      <c r="BH23" s="626">
        <v>2285</v>
      </c>
      <c r="BI23" s="626">
        <v>2048</v>
      </c>
      <c r="BJ23" s="293">
        <f t="shared" si="11"/>
        <v>2048</v>
      </c>
      <c r="BK23" s="654"/>
      <c r="BL23" s="626">
        <v>2497</v>
      </c>
      <c r="BM23" s="626">
        <v>2447</v>
      </c>
      <c r="BN23" s="293">
        <f t="shared" si="12"/>
        <v>2447</v>
      </c>
      <c r="BO23" s="654"/>
      <c r="BP23" s="626">
        <v>2483</v>
      </c>
      <c r="BQ23" s="626">
        <v>2328</v>
      </c>
      <c r="BR23" s="293">
        <f t="shared" si="13"/>
        <v>2328</v>
      </c>
      <c r="BS23" s="654"/>
      <c r="BT23" s="626">
        <v>2779</v>
      </c>
      <c r="BU23" s="626">
        <v>2691</v>
      </c>
      <c r="BV23" s="293">
        <f t="shared" si="14"/>
        <v>2691</v>
      </c>
      <c r="BW23" s="654"/>
      <c r="BX23" s="626">
        <v>2048</v>
      </c>
      <c r="BY23" s="626">
        <v>2095</v>
      </c>
      <c r="BZ23" s="293">
        <f t="shared" si="15"/>
        <v>2095</v>
      </c>
      <c r="CA23" s="654"/>
      <c r="CB23" s="626">
        <v>3622</v>
      </c>
      <c r="CC23" s="626">
        <v>4055</v>
      </c>
      <c r="CD23" s="293">
        <f t="shared" si="16"/>
        <v>4055</v>
      </c>
      <c r="CE23" s="654"/>
      <c r="CF23" s="626">
        <v>4143</v>
      </c>
      <c r="CG23" s="626">
        <v>4219</v>
      </c>
      <c r="CH23" s="293">
        <f t="shared" si="17"/>
        <v>4219</v>
      </c>
      <c r="CI23" s="654"/>
      <c r="CJ23" s="626">
        <v>8500</v>
      </c>
      <c r="CK23" s="626">
        <v>8319</v>
      </c>
      <c r="CL23" s="293">
        <f t="shared" si="18"/>
        <v>8319</v>
      </c>
      <c r="CM23" s="654"/>
      <c r="CN23" s="626">
        <v>6012</v>
      </c>
      <c r="CO23" s="626">
        <v>4194</v>
      </c>
      <c r="CP23" s="293">
        <f t="shared" si="19"/>
        <v>4194</v>
      </c>
      <c r="CQ23" s="654"/>
      <c r="CR23" s="626">
        <v>4675</v>
      </c>
      <c r="CS23" s="626">
        <v>4373</v>
      </c>
      <c r="CT23" s="293">
        <f t="shared" si="20"/>
        <v>4373</v>
      </c>
      <c r="CU23" s="654"/>
      <c r="CV23" s="626">
        <v>4840</v>
      </c>
      <c r="CW23" s="1497">
        <v>5574</v>
      </c>
      <c r="CX23" s="293">
        <f t="shared" si="21"/>
        <v>5574</v>
      </c>
      <c r="CY23" s="654"/>
      <c r="CZ23" s="1497">
        <v>6174</v>
      </c>
      <c r="DA23" s="1488">
        <v>6969</v>
      </c>
      <c r="DB23" s="293">
        <f t="shared" si="22"/>
        <v>6969</v>
      </c>
      <c r="DC23" s="654"/>
      <c r="DD23" s="1497">
        <v>7151</v>
      </c>
      <c r="DE23" s="2176">
        <v>7720</v>
      </c>
      <c r="DF23" s="293">
        <f t="shared" si="23"/>
        <v>7720</v>
      </c>
      <c r="DG23" s="654"/>
      <c r="DH23" s="2259">
        <v>6950</v>
      </c>
      <c r="DI23" s="293">
        <f>DI216</f>
        <v>8495.226730949511</v>
      </c>
      <c r="DJ23" s="293">
        <f>DJ216</f>
        <v>8495.226730949511</v>
      </c>
      <c r="DK23" s="654"/>
      <c r="DL23" s="293">
        <f>DL216</f>
        <v>8781.7570322753454</v>
      </c>
      <c r="DM23" s="293">
        <f>DM216</f>
        <v>9083.4145366546145</v>
      </c>
      <c r="DN23" s="293">
        <f>DN216</f>
        <v>9083.4145366546145</v>
      </c>
      <c r="DO23" s="654"/>
      <c r="DP23" s="293">
        <f>DP216</f>
        <v>9401.3030410612027</v>
      </c>
      <c r="DQ23" s="293">
        <f>DQ216</f>
        <v>9736.6216233602645</v>
      </c>
      <c r="DR23" s="293">
        <f>DR216</f>
        <v>9736.6216233602645</v>
      </c>
      <c r="DS23" s="654"/>
      <c r="DU23" s="293"/>
      <c r="DV23" s="293"/>
      <c r="DW23" s="293"/>
    </row>
    <row r="24" spans="1:130">
      <c r="A24" s="102" t="s">
        <v>237</v>
      </c>
      <c r="C24" s="103" t="s">
        <v>612</v>
      </c>
      <c r="P24" s="626">
        <v>133</v>
      </c>
      <c r="Q24" s="626">
        <v>125</v>
      </c>
      <c r="R24" s="293">
        <f t="shared" si="0"/>
        <v>125</v>
      </c>
      <c r="T24" s="626">
        <v>117</v>
      </c>
      <c r="U24" s="626">
        <v>1945</v>
      </c>
      <c r="V24" s="293">
        <f t="shared" si="1"/>
        <v>1945</v>
      </c>
      <c r="X24" s="626">
        <v>503</v>
      </c>
      <c r="Y24" s="626">
        <v>168</v>
      </c>
      <c r="Z24" s="293">
        <f t="shared" si="2"/>
        <v>168</v>
      </c>
      <c r="AB24" s="626">
        <v>106</v>
      </c>
      <c r="AC24" s="626">
        <v>148</v>
      </c>
      <c r="AD24" s="293">
        <f t="shared" si="3"/>
        <v>148</v>
      </c>
      <c r="AF24" s="626">
        <v>267</v>
      </c>
      <c r="AG24" s="626">
        <v>292</v>
      </c>
      <c r="AH24" s="293">
        <f t="shared" si="4"/>
        <v>292</v>
      </c>
      <c r="AI24" s="632"/>
      <c r="AJ24" s="626">
        <v>337</v>
      </c>
      <c r="AK24" s="626">
        <v>378</v>
      </c>
      <c r="AL24" s="293">
        <f t="shared" si="5"/>
        <v>378</v>
      </c>
      <c r="AN24" s="626">
        <v>277</v>
      </c>
      <c r="AO24" s="626">
        <v>375</v>
      </c>
      <c r="AP24" s="293">
        <f t="shared" si="6"/>
        <v>375</v>
      </c>
      <c r="AR24" s="626">
        <v>433</v>
      </c>
      <c r="AS24" s="626">
        <v>605</v>
      </c>
      <c r="AT24" s="293">
        <f t="shared" si="7"/>
        <v>605</v>
      </c>
      <c r="AV24" s="626">
        <v>647</v>
      </c>
      <c r="AW24" s="626">
        <v>1900</v>
      </c>
      <c r="AX24" s="293">
        <f t="shared" si="8"/>
        <v>1900</v>
      </c>
      <c r="AZ24" s="626">
        <v>2899</v>
      </c>
      <c r="BA24" s="626">
        <v>5007</v>
      </c>
      <c r="BB24" s="293">
        <f t="shared" si="9"/>
        <v>5007</v>
      </c>
      <c r="BD24" s="626">
        <v>5133</v>
      </c>
      <c r="BE24" s="626">
        <v>5235</v>
      </c>
      <c r="BF24" s="293">
        <f t="shared" si="10"/>
        <v>5235</v>
      </c>
      <c r="BH24" s="626">
        <v>5134</v>
      </c>
      <c r="BI24" s="626">
        <v>5643</v>
      </c>
      <c r="BJ24" s="293">
        <f t="shared" si="11"/>
        <v>5643</v>
      </c>
      <c r="BL24" s="626">
        <v>6175</v>
      </c>
      <c r="BM24" s="626">
        <v>6311</v>
      </c>
      <c r="BN24" s="293">
        <f t="shared" si="12"/>
        <v>6311</v>
      </c>
      <c r="BP24" s="626">
        <v>6636</v>
      </c>
      <c r="BQ24" s="626">
        <v>7079</v>
      </c>
      <c r="BR24" s="293">
        <f t="shared" si="13"/>
        <v>7079</v>
      </c>
      <c r="BT24" s="626">
        <v>10383</v>
      </c>
      <c r="BU24" s="626">
        <v>11521</v>
      </c>
      <c r="BV24" s="293">
        <f t="shared" si="14"/>
        <v>11521</v>
      </c>
      <c r="BX24" s="626">
        <v>10957</v>
      </c>
      <c r="BY24" s="626">
        <v>11009</v>
      </c>
      <c r="BZ24" s="293">
        <f t="shared" si="15"/>
        <v>11009</v>
      </c>
      <c r="CB24" s="626">
        <v>10960</v>
      </c>
      <c r="CC24" s="626">
        <v>11426</v>
      </c>
      <c r="CD24" s="293">
        <f t="shared" si="16"/>
        <v>11426</v>
      </c>
      <c r="CF24" s="626">
        <v>11361</v>
      </c>
      <c r="CG24" s="626">
        <v>4701</v>
      </c>
      <c r="CH24" s="293">
        <f t="shared" si="17"/>
        <v>4701</v>
      </c>
      <c r="CJ24" s="626">
        <v>11361</v>
      </c>
      <c r="CK24" s="626">
        <v>5044</v>
      </c>
      <c r="CL24" s="293">
        <f t="shared" si="18"/>
        <v>5044</v>
      </c>
      <c r="CN24" s="626">
        <v>4519</v>
      </c>
      <c r="CO24" s="626">
        <v>4676</v>
      </c>
      <c r="CP24" s="293">
        <f t="shared" si="19"/>
        <v>4676</v>
      </c>
      <c r="CR24" s="626">
        <v>4961</v>
      </c>
      <c r="CS24" s="626">
        <v>5143</v>
      </c>
      <c r="CT24" s="293">
        <f t="shared" si="20"/>
        <v>5143</v>
      </c>
      <c r="CV24" s="626">
        <v>5511</v>
      </c>
      <c r="CW24" s="1497">
        <v>6639</v>
      </c>
      <c r="CX24" s="293">
        <f t="shared" si="21"/>
        <v>6639</v>
      </c>
      <c r="CZ24" s="1497">
        <v>7531</v>
      </c>
      <c r="DA24" s="1488">
        <v>8134</v>
      </c>
      <c r="DB24" s="293">
        <f t="shared" si="22"/>
        <v>8134</v>
      </c>
      <c r="DD24" s="1497">
        <v>8128</v>
      </c>
      <c r="DE24" s="2176">
        <v>6928</v>
      </c>
      <c r="DF24" s="293">
        <f t="shared" si="23"/>
        <v>6928</v>
      </c>
      <c r="DH24" s="2259">
        <v>6089</v>
      </c>
      <c r="DI24" s="293">
        <f>+DH24*(1+DI43)</f>
        <v>6271.67</v>
      </c>
      <c r="DJ24" s="293">
        <f>DI24</f>
        <v>6271.67</v>
      </c>
      <c r="DL24" s="293">
        <f>+DI24*(1+DL43)</f>
        <v>6459.8200999999999</v>
      </c>
      <c r="DM24" s="293">
        <f>+DL24*(1+DM43)</f>
        <v>6653.6147030000002</v>
      </c>
      <c r="DN24" s="293">
        <f>DM24</f>
        <v>6653.6147030000002</v>
      </c>
      <c r="DP24" s="293">
        <f>+DM24*(1+DP43)</f>
        <v>6853.2231440900005</v>
      </c>
      <c r="DQ24" s="293">
        <f>+DP24*(1+DQ43)</f>
        <v>7058.8198384127008</v>
      </c>
      <c r="DR24" s="293">
        <f>DQ24</f>
        <v>7058.8198384127008</v>
      </c>
      <c r="DU24" s="293"/>
      <c r="DV24" s="293"/>
      <c r="DW24" s="293"/>
    </row>
    <row r="25" spans="1:130">
      <c r="A25" s="102" t="s">
        <v>224</v>
      </c>
      <c r="C25" s="103" t="s">
        <v>612</v>
      </c>
      <c r="P25" s="626">
        <v>213</v>
      </c>
      <c r="Q25" s="626">
        <v>146</v>
      </c>
      <c r="R25" s="293">
        <f t="shared" si="0"/>
        <v>146</v>
      </c>
      <c r="T25" s="626">
        <v>117</v>
      </c>
      <c r="U25" s="626">
        <v>184</v>
      </c>
      <c r="V25" s="293">
        <f t="shared" si="1"/>
        <v>184</v>
      </c>
      <c r="X25" s="626">
        <v>161</v>
      </c>
      <c r="Y25" s="626">
        <v>201</v>
      </c>
      <c r="Z25" s="293">
        <f t="shared" si="2"/>
        <v>201</v>
      </c>
      <c r="AB25" s="626">
        <v>178</v>
      </c>
      <c r="AC25" s="626">
        <v>203</v>
      </c>
      <c r="AD25" s="293">
        <f t="shared" si="3"/>
        <v>203</v>
      </c>
      <c r="AF25" s="626">
        <v>238</v>
      </c>
      <c r="AG25" s="626">
        <v>240</v>
      </c>
      <c r="AH25" s="293">
        <f t="shared" si="4"/>
        <v>240</v>
      </c>
      <c r="AI25" s="632"/>
      <c r="AJ25" s="626">
        <v>393</v>
      </c>
      <c r="AK25" s="626">
        <v>457</v>
      </c>
      <c r="AL25" s="293">
        <f t="shared" si="5"/>
        <v>457</v>
      </c>
      <c r="AN25" s="626">
        <v>639</v>
      </c>
      <c r="AO25" s="626">
        <v>718</v>
      </c>
      <c r="AP25" s="293">
        <f t="shared" si="6"/>
        <v>718</v>
      </c>
      <c r="AR25" s="626">
        <v>825</v>
      </c>
      <c r="AS25" s="626">
        <v>1186</v>
      </c>
      <c r="AT25" s="293">
        <f t="shared" si="7"/>
        <v>1186</v>
      </c>
      <c r="AV25" s="626">
        <v>1401</v>
      </c>
      <c r="AW25" s="626">
        <v>1124</v>
      </c>
      <c r="AX25" s="293">
        <f t="shared" si="8"/>
        <v>1124</v>
      </c>
      <c r="AZ25" s="626">
        <v>1107</v>
      </c>
      <c r="BA25" s="626">
        <v>1245</v>
      </c>
      <c r="BB25" s="293">
        <f t="shared" si="9"/>
        <v>1245</v>
      </c>
      <c r="BD25" s="626">
        <v>1251</v>
      </c>
      <c r="BE25" s="626">
        <v>1279</v>
      </c>
      <c r="BF25" s="293">
        <f t="shared" si="10"/>
        <v>1279</v>
      </c>
      <c r="BH25" s="626">
        <v>1248</v>
      </c>
      <c r="BI25" s="626">
        <v>1270</v>
      </c>
      <c r="BJ25" s="293">
        <f t="shared" si="11"/>
        <v>1270</v>
      </c>
      <c r="BL25" s="626">
        <v>1010</v>
      </c>
      <c r="BM25" s="626">
        <v>766</v>
      </c>
      <c r="BN25" s="293">
        <f t="shared" si="12"/>
        <v>766</v>
      </c>
      <c r="BP25" s="626">
        <v>733</v>
      </c>
      <c r="BQ25" s="626">
        <v>874</v>
      </c>
      <c r="BR25" s="293">
        <f t="shared" si="13"/>
        <v>874</v>
      </c>
      <c r="BT25" s="626">
        <v>908</v>
      </c>
      <c r="BU25" s="626">
        <v>850</v>
      </c>
      <c r="BV25" s="293">
        <f t="shared" si="14"/>
        <v>850</v>
      </c>
      <c r="BX25" s="626">
        <v>763</v>
      </c>
      <c r="BY25" s="626">
        <v>638</v>
      </c>
      <c r="BZ25" s="293">
        <f t="shared" si="15"/>
        <v>638</v>
      </c>
      <c r="CB25" s="626">
        <v>689</v>
      </c>
      <c r="CC25" s="626">
        <v>650</v>
      </c>
      <c r="CD25" s="293">
        <f t="shared" si="16"/>
        <v>650</v>
      </c>
      <c r="CF25" s="626">
        <v>775</v>
      </c>
      <c r="CG25" s="626">
        <v>1031</v>
      </c>
      <c r="CH25" s="293">
        <f t="shared" si="17"/>
        <v>1031</v>
      </c>
      <c r="CJ25" s="626">
        <v>1079</v>
      </c>
      <c r="CK25" s="626">
        <v>1340</v>
      </c>
      <c r="CL25" s="293">
        <f t="shared" si="18"/>
        <v>1340</v>
      </c>
      <c r="CN25" s="626">
        <v>1231</v>
      </c>
      <c r="CO25" s="626">
        <v>1472</v>
      </c>
      <c r="CP25" s="293">
        <f t="shared" si="19"/>
        <v>1472</v>
      </c>
      <c r="CR25" s="626">
        <v>1411</v>
      </c>
      <c r="CS25" s="626">
        <v>1552</v>
      </c>
      <c r="CT25" s="293">
        <f t="shared" si="20"/>
        <v>1552</v>
      </c>
      <c r="CV25" s="626">
        <v>1452</v>
      </c>
      <c r="CW25" s="1497">
        <v>1797</v>
      </c>
      <c r="CX25" s="293">
        <f t="shared" si="21"/>
        <v>1797</v>
      </c>
      <c r="CZ25" s="1497">
        <v>1586</v>
      </c>
      <c r="DA25" s="1488">
        <v>2077</v>
      </c>
      <c r="DB25" s="293">
        <f t="shared" si="22"/>
        <v>2077</v>
      </c>
      <c r="DD25" s="1497">
        <v>1741</v>
      </c>
      <c r="DE25" s="2176">
        <v>2085</v>
      </c>
      <c r="DF25" s="293">
        <f t="shared" si="23"/>
        <v>2085</v>
      </c>
      <c r="DH25" s="2259">
        <v>1744</v>
      </c>
      <c r="DI25" s="293">
        <f>+DH25*(1+DI44)</f>
        <v>1796.32</v>
      </c>
      <c r="DJ25" s="293">
        <f>DI25</f>
        <v>1796.32</v>
      </c>
      <c r="DL25" s="293">
        <f>+DI25*(1+DL44)</f>
        <v>1850.2095999999999</v>
      </c>
      <c r="DM25" s="293">
        <f>+DL25*(1+DM44)</f>
        <v>1905.7158879999999</v>
      </c>
      <c r="DN25" s="293">
        <f>DM25</f>
        <v>1905.7158879999999</v>
      </c>
      <c r="DP25" s="293">
        <f>+DM25*(1+DP44)</f>
        <v>1962.88736464</v>
      </c>
      <c r="DQ25" s="293">
        <f>+DP25*(1+DQ44)</f>
        <v>2021.7739855792001</v>
      </c>
      <c r="DR25" s="293">
        <f>DQ25</f>
        <v>2021.7739855792001</v>
      </c>
      <c r="DU25" s="293"/>
      <c r="DV25" s="293"/>
      <c r="DW25" s="293"/>
    </row>
    <row r="26" spans="1:130">
      <c r="A26" s="102" t="s">
        <v>232</v>
      </c>
      <c r="C26" s="103" t="s">
        <v>612</v>
      </c>
      <c r="P26" s="626">
        <v>0</v>
      </c>
      <c r="Q26" s="626">
        <v>0</v>
      </c>
      <c r="R26" s="293">
        <f>Q26</f>
        <v>0</v>
      </c>
      <c r="T26" s="626">
        <v>0</v>
      </c>
      <c r="U26" s="626">
        <v>0</v>
      </c>
      <c r="V26" s="293">
        <f>U26</f>
        <v>0</v>
      </c>
      <c r="X26" s="626">
        <v>0</v>
      </c>
      <c r="Y26" s="626">
        <v>0</v>
      </c>
      <c r="Z26" s="293">
        <f>Y26</f>
        <v>0</v>
      </c>
      <c r="AB26" s="492">
        <f>AB27-SUM(AB11:AB25)</f>
        <v>4123</v>
      </c>
      <c r="AC26" s="492">
        <f>AC27-SUM(AC11:AC25)</f>
        <v>4025</v>
      </c>
      <c r="AD26" s="293">
        <f>AC26</f>
        <v>4025</v>
      </c>
      <c r="AF26" s="492">
        <f>AF27-SUM(AF11:AF25)</f>
        <v>5964</v>
      </c>
      <c r="AG26" s="492">
        <f>AG27-SUM(AG11:AG25)</f>
        <v>10841</v>
      </c>
      <c r="AH26" s="293">
        <f t="shared" si="4"/>
        <v>10841</v>
      </c>
      <c r="AI26" s="632"/>
      <c r="AJ26" s="492">
        <f>AJ27-SUM(AJ11:AJ25)</f>
        <v>10789</v>
      </c>
      <c r="AK26" s="492">
        <f>AK27-SUM(AK11:AK25)</f>
        <v>11438</v>
      </c>
      <c r="AL26" s="293">
        <f>AK26</f>
        <v>11438</v>
      </c>
      <c r="AN26" s="492">
        <f>AN27-SUM(AN11:AN25)</f>
        <v>10938</v>
      </c>
      <c r="AO26" s="492">
        <f>AO27-SUM(AO11:AO25)</f>
        <v>11506</v>
      </c>
      <c r="AP26" s="293">
        <f>AO26</f>
        <v>11506</v>
      </c>
      <c r="AR26" s="492">
        <f>AR27-SUM(AR11:AR25)</f>
        <v>12340</v>
      </c>
      <c r="AS26" s="492">
        <f>AS27-SUM(AS11:AS25)</f>
        <v>11177</v>
      </c>
      <c r="AT26" s="293">
        <f>AS26</f>
        <v>11177</v>
      </c>
      <c r="AV26" s="492">
        <f>AV27-SUM(AV11:AV25)</f>
        <v>13891</v>
      </c>
      <c r="AW26" s="492">
        <f>AW27-SUM(AW11:AW25)</f>
        <v>11928</v>
      </c>
      <c r="AX26" s="293">
        <f>AW26</f>
        <v>11928</v>
      </c>
      <c r="AZ26" s="492">
        <f>AZ27-SUM(AZ11:AZ25)</f>
        <v>11746</v>
      </c>
      <c r="BA26" s="492">
        <f>BA27-SUM(BA11:BA25)</f>
        <v>12725</v>
      </c>
      <c r="BB26" s="293">
        <f>BA26</f>
        <v>12725</v>
      </c>
      <c r="BD26" s="492">
        <f>BD27-SUM(BD11:BD25)</f>
        <v>15049</v>
      </c>
      <c r="BE26" s="492">
        <f>BE27-SUM(BE11:BE25)</f>
        <v>13717</v>
      </c>
      <c r="BF26" s="293">
        <f>BE26</f>
        <v>13717</v>
      </c>
      <c r="BH26" s="492">
        <f>BH27-SUM(BH11:BH25)</f>
        <v>13354</v>
      </c>
      <c r="BI26" s="492">
        <f>BI27-SUM(BI11:BI25)</f>
        <v>12397</v>
      </c>
      <c r="BJ26" s="293">
        <f>BI26</f>
        <v>12397</v>
      </c>
      <c r="BL26" s="492">
        <f>BL27-SUM(BL11:BL25)</f>
        <v>12335</v>
      </c>
      <c r="BM26" s="492">
        <f>BM27-SUM(BM11:BM25)</f>
        <v>12990</v>
      </c>
      <c r="BN26" s="293">
        <f>BM26</f>
        <v>12990</v>
      </c>
      <c r="BP26" s="492">
        <f>BP27-SUM(BP11:BP25)</f>
        <v>13024</v>
      </c>
      <c r="BQ26" s="492">
        <f>BQ27-SUM(BQ11:BQ25)</f>
        <v>13557</v>
      </c>
      <c r="BR26" s="293">
        <f>BQ26</f>
        <v>13557</v>
      </c>
      <c r="BT26" s="492">
        <f>BT27-SUM(BT11:BT25)</f>
        <v>13742</v>
      </c>
      <c r="BU26" s="492">
        <f>BU27-SUM(BU11:BU25)</f>
        <v>12496</v>
      </c>
      <c r="BV26" s="293">
        <f>BU26</f>
        <v>12496</v>
      </c>
      <c r="BX26" s="492">
        <f>BX27-SUM(BX11:BX25)</f>
        <v>15421</v>
      </c>
      <c r="BY26" s="492">
        <f>BY27-SUM(BY11:BY25)</f>
        <v>16558</v>
      </c>
      <c r="BZ26" s="293">
        <f>BY26</f>
        <v>16558</v>
      </c>
      <c r="CB26" s="492">
        <f>CB27-SUM(CB11:CB25)</f>
        <v>25548</v>
      </c>
      <c r="CC26" s="492">
        <f>CC27-SUM(CC11:CC25)</f>
        <v>26255</v>
      </c>
      <c r="CD26" s="293">
        <f>CC26</f>
        <v>26255</v>
      </c>
      <c r="CF26" s="492">
        <f>CF27-SUM(CF11:CF25)</f>
        <v>25951</v>
      </c>
      <c r="CG26" s="492">
        <f>CG27-SUM(CG11:CG25)</f>
        <v>24280</v>
      </c>
      <c r="CH26" s="293">
        <f>CG26</f>
        <v>24280</v>
      </c>
      <c r="CJ26" s="492">
        <f>CJ27-SUM(CJ11:CJ25)</f>
        <v>19957</v>
      </c>
      <c r="CK26" s="492">
        <f>CK27-SUM(CK11:CK25)</f>
        <v>23261</v>
      </c>
      <c r="CL26" s="293">
        <f>CK26</f>
        <v>23261</v>
      </c>
      <c r="CN26" s="492">
        <f>CN27-SUM(CN11:CN25)</f>
        <v>18669</v>
      </c>
      <c r="CO26" s="492">
        <f>CO27-SUM(CO11:CO25)</f>
        <v>20403</v>
      </c>
      <c r="CP26" s="293">
        <f>CO26</f>
        <v>20403</v>
      </c>
      <c r="CR26" s="492">
        <f>CR27-SUM(CR11:CR25)</f>
        <v>29948</v>
      </c>
      <c r="CS26" s="492">
        <f>CS27-SUM(CS11:CS25)</f>
        <v>33740</v>
      </c>
      <c r="CT26" s="293">
        <f>CS26</f>
        <v>33740</v>
      </c>
      <c r="CV26" s="492">
        <v>40838</v>
      </c>
      <c r="CW26" s="1503">
        <f>CW27-SUM(CW11:CW25)</f>
        <v>35694</v>
      </c>
      <c r="CX26" s="293">
        <f>CW26</f>
        <v>35694</v>
      </c>
      <c r="CZ26" s="1503">
        <f>+CZ27-SUM(CZ11:CZ25)</f>
        <v>37844</v>
      </c>
      <c r="DA26" s="1865">
        <f>DA27-SUM(DA11:DA25)</f>
        <v>36755</v>
      </c>
      <c r="DB26" s="293">
        <f>DA26</f>
        <v>36755</v>
      </c>
      <c r="DD26" s="1503">
        <f>+DD27-SUM(DD11:DD25)</f>
        <v>36904</v>
      </c>
      <c r="DE26" s="1865">
        <f>DE27-SUM(DE11:DE25)</f>
        <v>40833</v>
      </c>
      <c r="DF26" s="293">
        <f>DE26</f>
        <v>40833</v>
      </c>
      <c r="DH26" s="1503">
        <f>+DH27-SUM(DH11:DH25)</f>
        <v>38532</v>
      </c>
      <c r="DI26" s="293">
        <f>+DH26*(1+DI45)</f>
        <v>39687.96</v>
      </c>
      <c r="DJ26" s="293">
        <f>DI26</f>
        <v>39687.96</v>
      </c>
      <c r="DL26" s="293">
        <f>+DI26*(1+DL45)</f>
        <v>40878.5988</v>
      </c>
      <c r="DM26" s="293">
        <f>+DL26*(1+DM45)</f>
        <v>42104.956764000002</v>
      </c>
      <c r="DN26" s="293">
        <f>DM26</f>
        <v>42104.956764000002</v>
      </c>
      <c r="DP26" s="293">
        <f>+DM26*(1+DP45)</f>
        <v>43368.105466920002</v>
      </c>
      <c r="DQ26" s="293">
        <f>+DP26*(1+DQ45)</f>
        <v>44669.148630927601</v>
      </c>
      <c r="DR26" s="293">
        <f>DQ26</f>
        <v>44669.148630927601</v>
      </c>
      <c r="DU26" s="293"/>
      <c r="DV26" s="293"/>
      <c r="DW26" s="293"/>
    </row>
    <row r="27" spans="1:130">
      <c r="A27" s="289" t="s">
        <v>9</v>
      </c>
      <c r="C27" s="103" t="s">
        <v>612</v>
      </c>
      <c r="P27" s="655">
        <v>32475</v>
      </c>
      <c r="Q27" s="655">
        <v>32462</v>
      </c>
      <c r="R27" s="655">
        <v>32462</v>
      </c>
      <c r="S27" s="730"/>
      <c r="T27" s="655">
        <v>36802</v>
      </c>
      <c r="U27" s="655">
        <v>43771</v>
      </c>
      <c r="V27" s="655">
        <v>43771</v>
      </c>
      <c r="W27" s="730"/>
      <c r="X27" s="655">
        <v>42114</v>
      </c>
      <c r="Y27" s="655">
        <v>49313</v>
      </c>
      <c r="Z27" s="655">
        <v>49313</v>
      </c>
      <c r="AA27" s="730"/>
      <c r="AB27" s="655">
        <v>59150</v>
      </c>
      <c r="AC27" s="655">
        <v>67980</v>
      </c>
      <c r="AD27" s="295">
        <f>SUM(AD11:AD26)</f>
        <v>67980</v>
      </c>
      <c r="AE27" s="730"/>
      <c r="AF27" s="655">
        <v>84220</v>
      </c>
      <c r="AG27" s="655">
        <v>106211</v>
      </c>
      <c r="AH27" s="295">
        <f>SUM(AH11:AH26)</f>
        <v>106211</v>
      </c>
      <c r="AI27" s="733"/>
      <c r="AJ27" s="655">
        <v>112637</v>
      </c>
      <c r="AK27" s="655">
        <v>136389</v>
      </c>
      <c r="AL27" s="295">
        <f>SUM(AL11:AL26)</f>
        <v>136389</v>
      </c>
      <c r="AM27" s="730"/>
      <c r="AN27" s="655">
        <v>152458</v>
      </c>
      <c r="AO27" s="655">
        <v>167250</v>
      </c>
      <c r="AP27" s="295">
        <f>SUM(AP11:AP26)</f>
        <v>167250</v>
      </c>
      <c r="AQ27" s="730"/>
      <c r="AR27" s="655">
        <v>167435</v>
      </c>
      <c r="AS27" s="655">
        <v>149144</v>
      </c>
      <c r="AT27" s="295">
        <f>SUM(AT11:AT26)</f>
        <v>149144</v>
      </c>
      <c r="AU27" s="730"/>
      <c r="AV27" s="655">
        <v>146931</v>
      </c>
      <c r="AW27" s="655">
        <v>145940</v>
      </c>
      <c r="AX27" s="295">
        <f>SUM(AX11:AX26)</f>
        <v>145940</v>
      </c>
      <c r="AY27" s="730"/>
      <c r="AZ27" s="655">
        <v>158060</v>
      </c>
      <c r="BA27" s="655">
        <v>157568</v>
      </c>
      <c r="BB27" s="295">
        <f>SUM(BB11:BB26)</f>
        <v>157568</v>
      </c>
      <c r="BC27" s="730"/>
      <c r="BD27" s="655">
        <v>174688</v>
      </c>
      <c r="BE27" s="655">
        <v>153626</v>
      </c>
      <c r="BF27" s="295">
        <f>SUM(BF11:BF26)</f>
        <v>153626</v>
      </c>
      <c r="BH27" s="655">
        <v>152180</v>
      </c>
      <c r="BI27" s="655">
        <v>144748</v>
      </c>
      <c r="BJ27" s="295">
        <f>SUM(BJ11:BJ26)</f>
        <v>144748</v>
      </c>
      <c r="BL27" s="655">
        <v>154600</v>
      </c>
      <c r="BM27" s="655">
        <v>153904</v>
      </c>
      <c r="BN27" s="295">
        <f>SUM(BN11:BN26)</f>
        <v>153904</v>
      </c>
      <c r="BP27" s="655">
        <v>162332</v>
      </c>
      <c r="BQ27" s="655">
        <v>187976</v>
      </c>
      <c r="BR27" s="295">
        <f>SUM(BR11:BR26)</f>
        <v>187976</v>
      </c>
      <c r="BT27" s="655">
        <v>209090</v>
      </c>
      <c r="BU27" s="655">
        <v>196755</v>
      </c>
      <c r="BV27" s="295">
        <f>SUM(BV11:BV26)</f>
        <v>196755</v>
      </c>
      <c r="BX27" s="655">
        <v>193093</v>
      </c>
      <c r="BY27" s="655">
        <v>182877</v>
      </c>
      <c r="BZ27" s="295">
        <f>SUM(BZ11:BZ26)</f>
        <v>182877</v>
      </c>
      <c r="CB27" s="655">
        <v>189760</v>
      </c>
      <c r="CC27" s="655">
        <v>191325</v>
      </c>
      <c r="CD27" s="295">
        <f>SUM(CD11:CD26)</f>
        <v>191325</v>
      </c>
      <c r="CF27" s="655">
        <v>205598</v>
      </c>
      <c r="CG27" s="655">
        <v>203182</v>
      </c>
      <c r="CH27" s="295">
        <f>SUM(CH11:CH26)</f>
        <v>203182</v>
      </c>
      <c r="CJ27" s="655">
        <v>219495</v>
      </c>
      <c r="CK27" s="655">
        <v>255802</v>
      </c>
      <c r="CL27" s="295">
        <f>SUM(CL11:CL26)</f>
        <v>255802</v>
      </c>
      <c r="CN27" s="655">
        <v>230735</v>
      </c>
      <c r="CO27" s="655">
        <v>245653</v>
      </c>
      <c r="CP27" s="295">
        <f>SUM(CP11:CP26)</f>
        <v>245653</v>
      </c>
      <c r="CR27" s="655">
        <v>348567</v>
      </c>
      <c r="CS27" s="655">
        <v>399176</v>
      </c>
      <c r="CT27" s="295">
        <f>SUM(CT11:CT26)</f>
        <v>399176</v>
      </c>
      <c r="CV27" s="655">
        <v>486574</v>
      </c>
      <c r="CW27" s="1505">
        <v>387872</v>
      </c>
      <c r="CX27" s="295">
        <f>SUM(CX11:CX26)</f>
        <v>387872</v>
      </c>
      <c r="CZ27" s="1505">
        <v>394594</v>
      </c>
      <c r="DA27" s="1489">
        <v>403404</v>
      </c>
      <c r="DB27" s="295">
        <f>SUM(DB11:DB26)</f>
        <v>403404</v>
      </c>
      <c r="DD27" s="1505">
        <v>414315</v>
      </c>
      <c r="DE27" s="2175">
        <v>445221</v>
      </c>
      <c r="DF27" s="295">
        <f>SUM(DF11:DF26)</f>
        <v>445221</v>
      </c>
      <c r="DH27" s="2260">
        <v>484216</v>
      </c>
      <c r="DI27" s="295">
        <f>SUM(DI11:DI26)</f>
        <v>519303.93450381682</v>
      </c>
      <c r="DJ27" s="295">
        <f>SUM(DJ11:DJ26)</f>
        <v>519303.93450381682</v>
      </c>
      <c r="DL27" s="295">
        <f>SUM(DL11:DL26)</f>
        <v>546221.16514045792</v>
      </c>
      <c r="DM27" s="295">
        <f>SUM(DM11:DM26)</f>
        <v>568941.02307803056</v>
      </c>
      <c r="DN27" s="295">
        <f>SUM(DN11:DN26)</f>
        <v>568941.02307803056</v>
      </c>
      <c r="DP27" s="295">
        <f>SUM(DP11:DP26)</f>
        <v>592733.44829936721</v>
      </c>
      <c r="DQ27" s="295">
        <f>SUM(DQ11:DQ26)</f>
        <v>617654.20206129376</v>
      </c>
      <c r="DR27" s="295">
        <f>SUM(DR11:DR26)</f>
        <v>617654.20206129376</v>
      </c>
      <c r="DU27" s="295"/>
      <c r="DV27" s="295"/>
      <c r="DW27" s="295"/>
    </row>
    <row r="28" spans="1:130">
      <c r="A28" s="289"/>
      <c r="P28" s="295"/>
      <c r="Q28" s="295"/>
      <c r="R28" s="295"/>
      <c r="T28" s="295"/>
      <c r="U28" s="295"/>
      <c r="V28" s="295"/>
      <c r="X28" s="295"/>
      <c r="Y28" s="295"/>
      <c r="Z28" s="295"/>
      <c r="AB28" s="295"/>
      <c r="AC28" s="295"/>
      <c r="AD28" s="295"/>
      <c r="AF28" s="295"/>
      <c r="AG28" s="295"/>
      <c r="AH28" s="295"/>
      <c r="AI28" s="320"/>
      <c r="AJ28" s="295"/>
      <c r="AK28" s="295"/>
      <c r="AL28" s="295"/>
      <c r="AN28" s="295"/>
      <c r="AO28" s="295"/>
      <c r="AP28" s="295"/>
      <c r="AR28" s="295"/>
      <c r="AS28" s="295"/>
      <c r="AT28" s="295"/>
      <c r="AV28" s="295"/>
      <c r="AW28" s="295"/>
      <c r="AX28" s="295"/>
      <c r="AZ28" s="295"/>
      <c r="BA28" s="295"/>
      <c r="BB28" s="295"/>
      <c r="BD28" s="295"/>
      <c r="BE28" s="295"/>
      <c r="BF28" s="295"/>
      <c r="BH28" s="295"/>
      <c r="BI28" s="295"/>
      <c r="BJ28" s="295"/>
      <c r="BL28" s="295"/>
      <c r="BM28" s="295"/>
      <c r="BN28" s="295"/>
      <c r="BP28" s="295"/>
      <c r="BQ28" s="295"/>
      <c r="BR28" s="295"/>
      <c r="BT28" s="295"/>
      <c r="BU28" s="295"/>
      <c r="BV28" s="295"/>
      <c r="BX28" s="295"/>
      <c r="BY28" s="295"/>
      <c r="BZ28" s="295"/>
      <c r="CB28" s="295"/>
      <c r="CC28" s="295"/>
      <c r="CD28" s="295"/>
      <c r="CF28" s="295"/>
      <c r="CG28" s="295"/>
      <c r="CH28" s="295"/>
      <c r="CJ28" s="295"/>
      <c r="CK28" s="295"/>
      <c r="CL28" s="295"/>
      <c r="CN28" s="295"/>
      <c r="CO28" s="295"/>
      <c r="CP28" s="295"/>
      <c r="CR28" s="295"/>
      <c r="CS28" s="295"/>
      <c r="CT28" s="295"/>
      <c r="CV28" s="295"/>
      <c r="CW28" s="1390"/>
      <c r="CX28" s="295"/>
      <c r="CZ28" s="295"/>
      <c r="DA28" s="295"/>
      <c r="DB28" s="295"/>
      <c r="DD28" s="295"/>
      <c r="DE28" s="295"/>
      <c r="DF28" s="295"/>
      <c r="DH28" s="295"/>
      <c r="DI28" s="295"/>
      <c r="DJ28" s="295"/>
      <c r="DL28" s="295"/>
      <c r="DM28" s="295"/>
      <c r="DN28" s="295"/>
      <c r="DP28" s="295"/>
      <c r="DQ28" s="295"/>
      <c r="DR28" s="295"/>
      <c r="DU28" s="295"/>
      <c r="DV28" s="295"/>
      <c r="DW28" s="295"/>
    </row>
    <row r="29" spans="1:130">
      <c r="A29" s="328" t="s">
        <v>382</v>
      </c>
      <c r="P29" s="295"/>
      <c r="Q29" s="295"/>
      <c r="R29" s="295"/>
      <c r="T29" s="295"/>
      <c r="U29" s="295"/>
      <c r="V29" s="295"/>
      <c r="X29" s="295"/>
      <c r="Y29" s="295"/>
      <c r="Z29" s="295"/>
      <c r="AB29" s="295"/>
      <c r="AC29" s="295"/>
      <c r="AD29" s="295"/>
      <c r="AF29" s="295"/>
      <c r="AG29" s="295"/>
      <c r="AH29" s="295"/>
      <c r="AI29" s="320"/>
      <c r="AJ29" s="295"/>
      <c r="AK29" s="295"/>
      <c r="AL29" s="295"/>
      <c r="AN29" s="295"/>
      <c r="AO29" s="295"/>
      <c r="AP29" s="295"/>
      <c r="AR29" s="295"/>
      <c r="AS29" s="295"/>
      <c r="AT29" s="295"/>
      <c r="AV29" s="295"/>
      <c r="AW29" s="295"/>
      <c r="AX29" s="295"/>
      <c r="AZ29" s="295"/>
      <c r="BA29" s="295"/>
      <c r="BB29" s="295"/>
      <c r="BD29" s="295"/>
      <c r="BE29" s="295"/>
      <c r="BF29" s="295"/>
      <c r="BH29" s="295"/>
      <c r="BI29" s="295"/>
      <c r="BJ29" s="295"/>
      <c r="BL29" s="295"/>
      <c r="BM29" s="295"/>
      <c r="BN29" s="295"/>
      <c r="BP29" s="295"/>
      <c r="BQ29" s="295"/>
      <c r="BR29" s="295"/>
      <c r="BT29" s="295"/>
      <c r="BU29" s="295"/>
      <c r="BV29" s="295"/>
      <c r="BX29" s="295"/>
      <c r="BY29" s="295"/>
      <c r="BZ29" s="295"/>
      <c r="CB29" s="295"/>
      <c r="CC29" s="295"/>
      <c r="CD29" s="295"/>
      <c r="CF29" s="295"/>
      <c r="CG29" s="295"/>
      <c r="CH29" s="295"/>
      <c r="CJ29" s="295"/>
      <c r="CK29" s="295"/>
      <c r="CL29" s="295"/>
      <c r="CN29" s="295"/>
      <c r="CO29" s="295"/>
      <c r="CP29" s="295"/>
      <c r="CR29" s="295"/>
      <c r="CS29" s="295"/>
      <c r="CT29" s="295"/>
      <c r="CV29" s="295"/>
      <c r="CW29" s="1390"/>
      <c r="CX29" s="295"/>
      <c r="CZ29" s="295"/>
      <c r="DA29" s="295"/>
      <c r="DB29" s="295"/>
      <c r="DD29" s="295"/>
      <c r="DE29" s="295"/>
      <c r="DF29" s="295"/>
      <c r="DH29" s="295"/>
      <c r="DI29" s="295"/>
      <c r="DJ29" s="295"/>
      <c r="DL29" s="295"/>
      <c r="DM29" s="295"/>
      <c r="DN29" s="295"/>
      <c r="DP29" s="295"/>
      <c r="DQ29" s="295"/>
      <c r="DR29" s="295"/>
      <c r="DU29" s="295"/>
      <c r="DV29" s="295"/>
      <c r="DW29" s="295"/>
    </row>
    <row r="30" spans="1:130" outlineLevel="1">
      <c r="A30" s="323" t="str">
        <f>+A11</f>
        <v>Cash and Balances with Central Banks</v>
      </c>
      <c r="P30" s="295"/>
      <c r="Q30" s="295"/>
      <c r="R30" s="295"/>
      <c r="T30" s="295"/>
      <c r="U30" s="295"/>
      <c r="V30" s="295"/>
      <c r="X30" s="295"/>
      <c r="Y30" s="295"/>
      <c r="Z30" s="295"/>
      <c r="AB30" s="295"/>
      <c r="AC30" s="295"/>
      <c r="AD30" s="295"/>
      <c r="AF30" s="295"/>
      <c r="AG30" s="295"/>
      <c r="AH30" s="295"/>
      <c r="AI30" s="320"/>
      <c r="AJ30" s="295"/>
      <c r="AK30" s="295"/>
      <c r="AL30" s="295"/>
      <c r="AN30" s="295"/>
      <c r="AO30" s="295"/>
      <c r="AP30" s="295"/>
      <c r="AR30" s="295"/>
      <c r="AS30" s="295"/>
      <c r="AT30" s="295"/>
      <c r="AV30" s="295"/>
      <c r="AW30" s="295"/>
      <c r="AX30" s="295"/>
      <c r="AZ30" s="295"/>
      <c r="BA30" s="295"/>
      <c r="BB30" s="295"/>
      <c r="BD30" s="295"/>
      <c r="BE30" s="295"/>
      <c r="BF30" s="295"/>
      <c r="BH30" s="637" t="s">
        <v>97</v>
      </c>
      <c r="BI30" s="637" t="s">
        <v>97</v>
      </c>
      <c r="BJ30" s="295"/>
      <c r="BL30" s="637" t="s">
        <v>97</v>
      </c>
      <c r="BM30" s="637" t="s">
        <v>97</v>
      </c>
      <c r="BN30" s="295"/>
      <c r="BP30" s="637" t="s">
        <v>97</v>
      </c>
      <c r="BQ30" s="637" t="s">
        <v>97</v>
      </c>
      <c r="BR30" s="295"/>
      <c r="BS30" s="638"/>
      <c r="BT30" s="637" t="s">
        <v>97</v>
      </c>
      <c r="BU30" s="637" t="s">
        <v>97</v>
      </c>
      <c r="BV30" s="295"/>
      <c r="BW30" s="638"/>
      <c r="BX30" s="637" t="s">
        <v>97</v>
      </c>
      <c r="BY30" s="637" t="s">
        <v>97</v>
      </c>
      <c r="BZ30" s="295"/>
      <c r="CA30" s="638"/>
      <c r="CB30" s="637" t="s">
        <v>97</v>
      </c>
      <c r="CC30" s="637" t="s">
        <v>97</v>
      </c>
      <c r="CD30" s="295"/>
      <c r="CE30" s="638"/>
      <c r="CF30" s="637" t="s">
        <v>97</v>
      </c>
      <c r="CG30" s="637" t="s">
        <v>97</v>
      </c>
      <c r="CH30" s="295"/>
      <c r="CI30" s="638"/>
      <c r="CJ30" s="637" t="s">
        <v>97</v>
      </c>
      <c r="CK30" s="637" t="s">
        <v>97</v>
      </c>
      <c r="CL30" s="295"/>
      <c r="CM30" s="638"/>
      <c r="CN30" s="637" t="s">
        <v>97</v>
      </c>
      <c r="CO30" s="637" t="s">
        <v>97</v>
      </c>
      <c r="CP30" s="295"/>
      <c r="CQ30" s="638"/>
      <c r="CR30" s="637" t="s">
        <v>97</v>
      </c>
      <c r="CS30" s="637" t="s">
        <v>97</v>
      </c>
      <c r="CT30" s="295"/>
      <c r="CU30" s="638"/>
      <c r="CV30" s="637" t="s">
        <v>97</v>
      </c>
      <c r="CW30" s="637" t="s">
        <v>97</v>
      </c>
      <c r="CX30" s="295"/>
      <c r="CY30" s="638"/>
      <c r="CZ30" s="637" t="s">
        <v>97</v>
      </c>
      <c r="DA30" s="637" t="s">
        <v>97</v>
      </c>
      <c r="DB30" s="295"/>
      <c r="DC30" s="638"/>
      <c r="DD30" s="637" t="s">
        <v>97</v>
      </c>
      <c r="DE30" s="637" t="s">
        <v>97</v>
      </c>
      <c r="DF30" s="295"/>
      <c r="DG30" s="638"/>
      <c r="DH30" s="637" t="s">
        <v>97</v>
      </c>
      <c r="DI30" s="639" t="s">
        <v>97</v>
      </c>
      <c r="DJ30" s="640"/>
      <c r="DK30" s="638"/>
      <c r="DL30" s="639" t="s">
        <v>97</v>
      </c>
      <c r="DM30" s="639" t="s">
        <v>97</v>
      </c>
      <c r="DN30" s="640"/>
      <c r="DO30" s="638"/>
      <c r="DP30" s="639" t="s">
        <v>97</v>
      </c>
      <c r="DQ30" s="639" t="s">
        <v>97</v>
      </c>
      <c r="DR30" s="640"/>
      <c r="DS30" s="638"/>
      <c r="DU30" s="1077"/>
      <c r="DV30" s="1077"/>
      <c r="DW30" s="295"/>
    </row>
    <row r="31" spans="1:130">
      <c r="A31" s="642" t="str">
        <f t="shared" ref="A31:A46" si="24">+A12</f>
        <v>Due from Banks</v>
      </c>
      <c r="B31" s="302"/>
      <c r="C31" s="304"/>
      <c r="D31" s="302"/>
      <c r="E31" s="302"/>
      <c r="F31" s="302"/>
      <c r="G31" s="302"/>
      <c r="H31" s="302"/>
      <c r="I31" s="302"/>
      <c r="J31" s="302"/>
      <c r="K31" s="302"/>
      <c r="L31" s="302"/>
      <c r="M31" s="302"/>
      <c r="N31" s="302"/>
      <c r="O31" s="302"/>
      <c r="P31" s="297"/>
      <c r="Q31" s="297"/>
      <c r="R31" s="297"/>
      <c r="S31" s="304"/>
      <c r="T31" s="297"/>
      <c r="U31" s="297"/>
      <c r="V31" s="297"/>
      <c r="W31" s="304"/>
      <c r="X31" s="297"/>
      <c r="Y31" s="297"/>
      <c r="Z31" s="297"/>
      <c r="AA31" s="304"/>
      <c r="AB31" s="297"/>
      <c r="AC31" s="297"/>
      <c r="AD31" s="297"/>
      <c r="AE31" s="304"/>
      <c r="AF31" s="297"/>
      <c r="AG31" s="297"/>
      <c r="AH31" s="297"/>
      <c r="AI31" s="628"/>
      <c r="AJ31" s="297"/>
      <c r="AK31" s="297"/>
      <c r="AL31" s="297"/>
      <c r="AM31" s="304"/>
      <c r="AN31" s="297"/>
      <c r="AO31" s="297"/>
      <c r="AP31" s="297"/>
      <c r="AQ31" s="304"/>
      <c r="AR31" s="297"/>
      <c r="AS31" s="297"/>
      <c r="AT31" s="297"/>
      <c r="AU31" s="304"/>
      <c r="AV31" s="297"/>
      <c r="AW31" s="297"/>
      <c r="AX31" s="297"/>
      <c r="AY31" s="304"/>
      <c r="AZ31" s="297"/>
      <c r="BA31" s="297"/>
      <c r="BB31" s="297"/>
      <c r="BC31" s="304"/>
      <c r="BD31" s="297"/>
      <c r="BE31" s="297"/>
      <c r="BF31" s="297"/>
      <c r="BG31" s="304"/>
      <c r="BH31" s="643">
        <f>+BH12/BE12-1</f>
        <v>0.67027126099706735</v>
      </c>
      <c r="BI31" s="643">
        <f>+BI12/BH12-1</f>
        <v>-0.1876440250192033</v>
      </c>
      <c r="BJ31" s="297"/>
      <c r="BK31" s="304"/>
      <c r="BL31" s="643">
        <f>+BL12/BI12-1</f>
        <v>0.24165878697825205</v>
      </c>
      <c r="BM31" s="643">
        <f>+BM12/BL12-1</f>
        <v>5.8365970409051338E-2</v>
      </c>
      <c r="BN31" s="297"/>
      <c r="BO31" s="304"/>
      <c r="BP31" s="643">
        <f>+BP12/BM12-1</f>
        <v>6.7739117027290963E-2</v>
      </c>
      <c r="BQ31" s="643">
        <f>+BQ12/BP12-1</f>
        <v>0.38170878459687119</v>
      </c>
      <c r="BR31" s="297"/>
      <c r="BS31" s="644"/>
      <c r="BT31" s="643">
        <f>+BT12/BQ12-1</f>
        <v>0.28737153805957161</v>
      </c>
      <c r="BU31" s="643">
        <f>+BU12/BT12-1</f>
        <v>-0.10353412350489799</v>
      </c>
      <c r="BV31" s="297"/>
      <c r="BW31" s="644"/>
      <c r="BX31" s="643">
        <f>+BX12/BU12-1</f>
        <v>3.9845447959430125E-3</v>
      </c>
      <c r="BY31" s="643">
        <f>+BY12/BX12-1</f>
        <v>-0.17405291641611542</v>
      </c>
      <c r="BZ31" s="297"/>
      <c r="CA31" s="644"/>
      <c r="CB31" s="643">
        <f>+CB12/BY12-1</f>
        <v>0.4686396563648938</v>
      </c>
      <c r="CC31" s="643">
        <f>+CC12/CB12-1</f>
        <v>-4.42681868880902E-2</v>
      </c>
      <c r="CD31" s="297"/>
      <c r="CE31" s="644"/>
      <c r="CF31" s="643">
        <f>+CF12/CC12-1</f>
        <v>-2.8449907933297047E-2</v>
      </c>
      <c r="CG31" s="643">
        <f>+CG12/CF12-1</f>
        <v>4.4658587368533453E-2</v>
      </c>
      <c r="CH31" s="297"/>
      <c r="CI31" s="644"/>
      <c r="CJ31" s="643">
        <f>+CJ12/CG12-1</f>
        <v>1.6481410502108051E-2</v>
      </c>
      <c r="CK31" s="643">
        <f>+CK12/CJ12-1</f>
        <v>0.19223227752639516</v>
      </c>
      <c r="CL31" s="297"/>
      <c r="CM31" s="644"/>
      <c r="CN31" s="643">
        <f>+CN12/CK12-1</f>
        <v>8.8283045522592696E-2</v>
      </c>
      <c r="CO31" s="643">
        <f>+CO12/CN12-1</f>
        <v>6.7656062308675935E-2</v>
      </c>
      <c r="CP31" s="297"/>
      <c r="CQ31" s="644"/>
      <c r="CR31" s="643">
        <f>+CR12/CO12-1</f>
        <v>0.30049359416397481</v>
      </c>
      <c r="CS31" s="643">
        <f>+CS12/CR12-1</f>
        <v>0.45051280262331672</v>
      </c>
      <c r="CT31" s="297"/>
      <c r="CU31" s="644"/>
      <c r="CV31" s="643">
        <f>+CV12/CS12-1</f>
        <v>0.24975228713528486</v>
      </c>
      <c r="CW31" s="643">
        <f>+CW12/CV12-1</f>
        <v>-0.23041573976430385</v>
      </c>
      <c r="CX31" s="297"/>
      <c r="CY31" s="644"/>
      <c r="CZ31" s="643">
        <f>+CZ12/CW12-1</f>
        <v>-4.2738975184788752E-2</v>
      </c>
      <c r="DA31" s="643">
        <f>+DA12/CZ12-1</f>
        <v>-5.6788498108791496E-2</v>
      </c>
      <c r="DB31" s="297"/>
      <c r="DC31" s="644"/>
      <c r="DD31" s="643">
        <f>+DD12/DA12-1</f>
        <v>-1.6516932348151658E-2</v>
      </c>
      <c r="DE31" s="643">
        <f>+DE12/DD12-1</f>
        <v>4.7127731471052092E-2</v>
      </c>
      <c r="DF31" s="297"/>
      <c r="DG31" s="644"/>
      <c r="DH31" s="643">
        <f>+DH12/DE12-1</f>
        <v>2.1395378856331471E-2</v>
      </c>
      <c r="DI31" s="645">
        <v>0.03</v>
      </c>
      <c r="DJ31" s="646"/>
      <c r="DK31" s="644"/>
      <c r="DL31" s="645">
        <v>0.03</v>
      </c>
      <c r="DM31" s="645">
        <v>0.03</v>
      </c>
      <c r="DN31" s="646"/>
      <c r="DO31" s="644"/>
      <c r="DP31" s="645">
        <v>0.03</v>
      </c>
      <c r="DQ31" s="645">
        <v>0.03</v>
      </c>
      <c r="DR31" s="646"/>
      <c r="DS31" s="644"/>
      <c r="DU31" s="1114"/>
      <c r="DV31" s="1114"/>
      <c r="DW31" s="295"/>
      <c r="DZ31" s="102"/>
    </row>
    <row r="32" spans="1:130" outlineLevel="1">
      <c r="A32" s="323" t="str">
        <f t="shared" si="24"/>
        <v>Cash Collateral and Reverse Repurchase Agreements</v>
      </c>
      <c r="P32" s="295"/>
      <c r="Q32" s="295"/>
      <c r="R32" s="295"/>
      <c r="T32" s="295"/>
      <c r="U32" s="295"/>
      <c r="V32" s="295"/>
      <c r="X32" s="295"/>
      <c r="Y32" s="295"/>
      <c r="Z32" s="295"/>
      <c r="AB32" s="295"/>
      <c r="AC32" s="295"/>
      <c r="AD32" s="295"/>
      <c r="AF32" s="295"/>
      <c r="AG32" s="295"/>
      <c r="AH32" s="295"/>
      <c r="AI32" s="320"/>
      <c r="AJ32" s="295"/>
      <c r="AK32" s="295"/>
      <c r="AL32" s="295"/>
      <c r="AN32" s="295"/>
      <c r="AO32" s="295"/>
      <c r="AP32" s="295"/>
      <c r="AR32" s="295"/>
      <c r="AS32" s="295"/>
      <c r="AT32" s="295"/>
      <c r="AV32" s="295"/>
      <c r="AW32" s="295"/>
      <c r="AX32" s="295"/>
      <c r="AZ32" s="295"/>
      <c r="BA32" s="295"/>
      <c r="BB32" s="295"/>
      <c r="BD32" s="295"/>
      <c r="BE32" s="295"/>
      <c r="BF32" s="295"/>
      <c r="BH32" s="648">
        <f>IFERROR(+BH13/BE13-1,"na")</f>
        <v>-1</v>
      </c>
      <c r="BI32" s="648" t="str">
        <f>IFERROR(+BI13/BH13-1,"na")</f>
        <v>na</v>
      </c>
      <c r="BJ32" s="295"/>
      <c r="BL32" s="648" t="str">
        <f>IFERROR(+BL13/BI13-1,"na")</f>
        <v>na</v>
      </c>
      <c r="BM32" s="648" t="str">
        <f>IFERROR(+BM13/BL13-1,"na")</f>
        <v>na</v>
      </c>
      <c r="BN32" s="295"/>
      <c r="BP32" s="648" t="str">
        <f>IFERROR(+BP13/BM13-1,"na")</f>
        <v>na</v>
      </c>
      <c r="BQ32" s="648" t="str">
        <f>IFERROR(+BQ13/BP13-1,"na")</f>
        <v>na</v>
      </c>
      <c r="BR32" s="295"/>
      <c r="BS32" s="638"/>
      <c r="BT32" s="648" t="str">
        <f>IFERROR(+BT13/BQ13-1,"na")</f>
        <v>na</v>
      </c>
      <c r="BU32" s="648" t="str">
        <f>IFERROR(+BU13/BT13-1,"na")</f>
        <v>na</v>
      </c>
      <c r="BV32" s="295"/>
      <c r="BW32" s="638"/>
      <c r="BX32" s="648" t="str">
        <f>IFERROR(+BX13/BU13-1,"na")</f>
        <v>na</v>
      </c>
      <c r="BY32" s="648" t="str">
        <f>IFERROR(+BY13/BX13-1,"na")</f>
        <v>na</v>
      </c>
      <c r="BZ32" s="295"/>
      <c r="CA32" s="638"/>
      <c r="CB32" s="648" t="str">
        <f>IFERROR(+CB13/BY13-1,"na")</f>
        <v>na</v>
      </c>
      <c r="CC32" s="648" t="str">
        <f>IFERROR(+CC13/CB13-1,"na")</f>
        <v>na</v>
      </c>
      <c r="CD32" s="295"/>
      <c r="CE32" s="638"/>
      <c r="CF32" s="648" t="str">
        <f>IFERROR(+CF13/CC13-1,"na")</f>
        <v>na</v>
      </c>
      <c r="CG32" s="648" t="str">
        <f>IFERROR(+CG13/CF13-1,"na")</f>
        <v>na</v>
      </c>
      <c r="CH32" s="295"/>
      <c r="CI32" s="638"/>
      <c r="CJ32" s="648" t="str">
        <f>IFERROR(+CJ13/CG13-1,"na")</f>
        <v>na</v>
      </c>
      <c r="CK32" s="648" t="str">
        <f>IFERROR(+CK13/CJ13-1,"na")</f>
        <v>na</v>
      </c>
      <c r="CL32" s="295"/>
      <c r="CM32" s="638"/>
      <c r="CN32" s="648" t="str">
        <f>IFERROR(+CN13/CK13-1,"na")</f>
        <v>na</v>
      </c>
      <c r="CO32" s="648" t="str">
        <f>IFERROR(+CO13/CN13-1,"na")</f>
        <v>na</v>
      </c>
      <c r="CP32" s="295"/>
      <c r="CQ32" s="638"/>
      <c r="CR32" s="648" t="str">
        <f>IFERROR(+CR13/CO13-1,"na")</f>
        <v>na</v>
      </c>
      <c r="CS32" s="648" t="str">
        <f>IFERROR(+CS13/CR13-1,"na")</f>
        <v>na</v>
      </c>
      <c r="CT32" s="295"/>
      <c r="CU32" s="638"/>
      <c r="CV32" s="648" t="str">
        <f>IFERROR(+CV13/CS13-1,"na")</f>
        <v>na</v>
      </c>
      <c r="CW32" s="648" t="str">
        <f>IFERROR(+CW13/CV13-1,"na")</f>
        <v>na</v>
      </c>
      <c r="CX32" s="295"/>
      <c r="CY32" s="638"/>
      <c r="CZ32" s="648" t="str">
        <f>IFERROR(+CZ13/CW13-1,"na")</f>
        <v>na</v>
      </c>
      <c r="DA32" s="648" t="str">
        <f>IFERROR(+DA13/CZ13-1,"na")</f>
        <v>na</v>
      </c>
      <c r="DB32" s="295"/>
      <c r="DC32" s="638"/>
      <c r="DD32" s="648" t="str">
        <f>IFERROR(+DD13/DA13-1,"na")</f>
        <v>na</v>
      </c>
      <c r="DE32" s="648" t="str">
        <f>IFERROR(+DE13/DD13-1,"na")</f>
        <v>na</v>
      </c>
      <c r="DF32" s="295"/>
      <c r="DG32" s="638"/>
      <c r="DH32" s="648" t="str">
        <f>IFERROR(+DH13/DE13-1,"na")</f>
        <v>na</v>
      </c>
      <c r="DI32" s="639" t="s">
        <v>97</v>
      </c>
      <c r="DJ32" s="640"/>
      <c r="DK32" s="638"/>
      <c r="DL32" s="639" t="s">
        <v>97</v>
      </c>
      <c r="DM32" s="639" t="s">
        <v>97</v>
      </c>
      <c r="DN32" s="640"/>
      <c r="DO32" s="638"/>
      <c r="DP32" s="639" t="s">
        <v>97</v>
      </c>
      <c r="DQ32" s="639" t="s">
        <v>97</v>
      </c>
      <c r="DR32" s="640"/>
      <c r="DS32" s="638"/>
      <c r="DU32" s="1077"/>
      <c r="DV32" s="1077"/>
      <c r="DW32" s="295"/>
    </row>
    <row r="33" spans="1:138">
      <c r="A33" s="642" t="str">
        <f t="shared" si="24"/>
        <v>Trading Portfolio Assets</v>
      </c>
      <c r="B33" s="302"/>
      <c r="C33" s="304"/>
      <c r="D33" s="302"/>
      <c r="E33" s="302"/>
      <c r="F33" s="302"/>
      <c r="G33" s="302"/>
      <c r="H33" s="302"/>
      <c r="I33" s="302"/>
      <c r="J33" s="302"/>
      <c r="K33" s="302"/>
      <c r="L33" s="302"/>
      <c r="M33" s="302"/>
      <c r="N33" s="302"/>
      <c r="O33" s="302"/>
      <c r="P33" s="297"/>
      <c r="Q33" s="297"/>
      <c r="R33" s="297"/>
      <c r="S33" s="304"/>
      <c r="T33" s="297"/>
      <c r="U33" s="297"/>
      <c r="V33" s="297"/>
      <c r="W33" s="304"/>
      <c r="X33" s="297"/>
      <c r="Y33" s="297"/>
      <c r="Z33" s="297"/>
      <c r="AA33" s="304"/>
      <c r="AB33" s="297"/>
      <c r="AC33" s="297"/>
      <c r="AD33" s="297"/>
      <c r="AE33" s="304"/>
      <c r="AF33" s="297"/>
      <c r="AG33" s="297"/>
      <c r="AH33" s="297"/>
      <c r="AI33" s="628"/>
      <c r="AJ33" s="297"/>
      <c r="AK33" s="297"/>
      <c r="AL33" s="297"/>
      <c r="AM33" s="304"/>
      <c r="AN33" s="297"/>
      <c r="AO33" s="297"/>
      <c r="AP33" s="297"/>
      <c r="AQ33" s="304"/>
      <c r="AR33" s="297"/>
      <c r="AS33" s="297"/>
      <c r="AT33" s="297"/>
      <c r="AU33" s="304"/>
      <c r="AV33" s="297"/>
      <c r="AW33" s="297"/>
      <c r="AX33" s="297"/>
      <c r="AY33" s="304"/>
      <c r="AZ33" s="297"/>
      <c r="BA33" s="297"/>
      <c r="BB33" s="297"/>
      <c r="BC33" s="304"/>
      <c r="BD33" s="297"/>
      <c r="BE33" s="297"/>
      <c r="BF33" s="297"/>
      <c r="BG33" s="304"/>
      <c r="BH33" s="643">
        <f t="shared" ref="BH33:BH46" si="25">+BH14/BE14-1</f>
        <v>0.22515564662305931</v>
      </c>
      <c r="BI33" s="643">
        <f t="shared" ref="BI33:BI46" si="26">+BI14/BH14-1</f>
        <v>0.27209571593979165</v>
      </c>
      <c r="BJ33" s="297"/>
      <c r="BK33" s="304"/>
      <c r="BL33" s="643">
        <f t="shared" ref="BL33:BL46" si="27">+BL14/BI14-1</f>
        <v>0.1371864886731391</v>
      </c>
      <c r="BM33" s="643">
        <f>+BM14/BL14-1</f>
        <v>-1.2005869536217961E-3</v>
      </c>
      <c r="BN33" s="297"/>
      <c r="BO33" s="304"/>
      <c r="BP33" s="643">
        <f t="shared" ref="BP33:BP46" si="28">+BP14/BM14-1</f>
        <v>0.17131154839284135</v>
      </c>
      <c r="BQ33" s="643">
        <f>+BQ14/BP14-1</f>
        <v>0.15568225009502101</v>
      </c>
      <c r="BR33" s="297"/>
      <c r="BS33" s="644"/>
      <c r="BT33" s="643">
        <f t="shared" ref="BT33:BT46" si="29">+BT14/BQ14-1</f>
        <v>3.0618956784845164E-2</v>
      </c>
      <c r="BU33" s="643">
        <f>+BU14/BT14-1</f>
        <v>-0.24890704279286469</v>
      </c>
      <c r="BV33" s="297"/>
      <c r="BW33" s="644"/>
      <c r="BX33" s="643">
        <f t="shared" ref="BX33:BX46" si="30">+BX14/BU14-1</f>
        <v>0.15592471427964472</v>
      </c>
      <c r="BY33" s="643">
        <f>+BY14/BX14-1</f>
        <v>-1.0070937626346144E-2</v>
      </c>
      <c r="BZ33" s="297"/>
      <c r="CA33" s="644"/>
      <c r="CB33" s="643">
        <f t="shared" ref="CB33:CB46" si="31">+CB14/BY14-1</f>
        <v>-0.30954591022166111</v>
      </c>
      <c r="CC33" s="643">
        <f>+CC14/CB14-1</f>
        <v>-0.1750376425037643</v>
      </c>
      <c r="CD33" s="297"/>
      <c r="CE33" s="644"/>
      <c r="CF33" s="643">
        <f t="shared" ref="CF33:CF46" si="32">+CF14/CC14-1</f>
        <v>0.31399517632488094</v>
      </c>
      <c r="CG33" s="643">
        <f>+CG14/CF14-1</f>
        <v>-7.381684690941559E-2</v>
      </c>
      <c r="CH33" s="297"/>
      <c r="CI33" s="644"/>
      <c r="CJ33" s="643">
        <f t="shared" ref="CJ33:CJ46" si="33">+CJ14/CG14-1</f>
        <v>0.30262453133369038</v>
      </c>
      <c r="CK33" s="643">
        <f>+CK14/CJ14-1</f>
        <v>-0.30694901315789469</v>
      </c>
      <c r="CL33" s="297"/>
      <c r="CM33" s="644"/>
      <c r="CN33" s="643">
        <f t="shared" ref="CN33:CN46" si="34">+CN14/CK14-1</f>
        <v>0.14221299317709879</v>
      </c>
      <c r="CO33" s="643">
        <f>+CO14/CN14-1</f>
        <v>0.12954498233949718</v>
      </c>
      <c r="CP33" s="297"/>
      <c r="CQ33" s="644"/>
      <c r="CR33" s="643">
        <f t="shared" ref="CR33:CR46" si="35">+CR14/CO14-1</f>
        <v>1.7014623379012495E-3</v>
      </c>
      <c r="CS33" s="643">
        <f>+CS14/CR14-1</f>
        <v>-0.37666988018179315</v>
      </c>
      <c r="CT33" s="297"/>
      <c r="CU33" s="644"/>
      <c r="CV33" s="643">
        <f t="shared" ref="CV33:CV46" si="36">+CV14/CS14-1</f>
        <v>-1.9737811165120078E-2</v>
      </c>
      <c r="CW33" s="643">
        <f>+CW14/CV14-1</f>
        <v>0.26829451540195337</v>
      </c>
      <c r="CX33" s="297"/>
      <c r="CY33" s="644"/>
      <c r="CZ33" s="643">
        <f t="shared" ref="CZ33" si="37">+CZ14/CW14-1</f>
        <v>0.19803329186659568</v>
      </c>
      <c r="DA33" s="643">
        <f>+DA14/CZ14-1</f>
        <v>0.38073575949367089</v>
      </c>
      <c r="DB33" s="297"/>
      <c r="DC33" s="644"/>
      <c r="DD33" s="643">
        <f t="shared" ref="DD33" si="38">+DD14/DA14-1</f>
        <v>0.26425297235353096</v>
      </c>
      <c r="DE33" s="643">
        <f>+DE14/DD14-1</f>
        <v>-7.5630966206837735E-3</v>
      </c>
      <c r="DF33" s="297"/>
      <c r="DG33" s="644"/>
      <c r="DH33" s="643">
        <f t="shared" ref="DH33" si="39">+DH14/DE14-1</f>
        <v>0.34142025345359062</v>
      </c>
      <c r="DI33" s="645">
        <v>0.03</v>
      </c>
      <c r="DJ33" s="646"/>
      <c r="DK33" s="644"/>
      <c r="DL33" s="645">
        <v>0.03</v>
      </c>
      <c r="DM33" s="645">
        <v>0.03</v>
      </c>
      <c r="DN33" s="646"/>
      <c r="DO33" s="644"/>
      <c r="DP33" s="645">
        <v>0.03</v>
      </c>
      <c r="DQ33" s="645">
        <v>0.03</v>
      </c>
      <c r="DR33" s="646"/>
      <c r="DS33" s="644"/>
      <c r="DU33" s="1114"/>
      <c r="DV33" s="1114"/>
      <c r="DW33" s="295"/>
      <c r="DZ33" s="102"/>
    </row>
    <row r="34" spans="1:138" outlineLevel="1">
      <c r="A34" s="323" t="str">
        <f t="shared" si="24"/>
        <v>Other Securities</v>
      </c>
      <c r="P34" s="295"/>
      <c r="Q34" s="295"/>
      <c r="R34" s="295"/>
      <c r="T34" s="295"/>
      <c r="U34" s="295"/>
      <c r="V34" s="295"/>
      <c r="X34" s="295"/>
      <c r="Y34" s="295"/>
      <c r="Z34" s="295"/>
      <c r="AB34" s="295"/>
      <c r="AC34" s="295"/>
      <c r="AD34" s="295"/>
      <c r="AF34" s="295"/>
      <c r="AG34" s="295"/>
      <c r="AH34" s="295"/>
      <c r="AI34" s="320"/>
      <c r="AJ34" s="295"/>
      <c r="AK34" s="295"/>
      <c r="AL34" s="295"/>
      <c r="AN34" s="295"/>
      <c r="AO34" s="295"/>
      <c r="AP34" s="295"/>
      <c r="AR34" s="295"/>
      <c r="AS34" s="295"/>
      <c r="AT34" s="295"/>
      <c r="AV34" s="295"/>
      <c r="AW34" s="295"/>
      <c r="AX34" s="295"/>
      <c r="AZ34" s="295"/>
      <c r="BA34" s="295"/>
      <c r="BB34" s="295"/>
      <c r="BD34" s="295"/>
      <c r="BE34" s="295"/>
      <c r="BF34" s="295"/>
      <c r="BH34" s="637" t="s">
        <v>97</v>
      </c>
      <c r="BI34" s="637" t="s">
        <v>97</v>
      </c>
      <c r="BJ34" s="295"/>
      <c r="BL34" s="637" t="s">
        <v>97</v>
      </c>
      <c r="BM34" s="637" t="s">
        <v>97</v>
      </c>
      <c r="BN34" s="295"/>
      <c r="BP34" s="637" t="s">
        <v>97</v>
      </c>
      <c r="BQ34" s="637" t="s">
        <v>97</v>
      </c>
      <c r="BR34" s="295"/>
      <c r="BS34" s="638"/>
      <c r="BT34" s="637" t="s">
        <v>97</v>
      </c>
      <c r="BU34" s="637" t="s">
        <v>97</v>
      </c>
      <c r="BV34" s="295"/>
      <c r="BW34" s="638"/>
      <c r="BX34" s="637" t="s">
        <v>97</v>
      </c>
      <c r="BY34" s="637" t="s">
        <v>97</v>
      </c>
      <c r="BZ34" s="295"/>
      <c r="CA34" s="638"/>
      <c r="CB34" s="637" t="s">
        <v>97</v>
      </c>
      <c r="CC34" s="637" t="s">
        <v>97</v>
      </c>
      <c r="CD34" s="295"/>
      <c r="CE34" s="638"/>
      <c r="CF34" s="637" t="s">
        <v>97</v>
      </c>
      <c r="CG34" s="637" t="s">
        <v>97</v>
      </c>
      <c r="CH34" s="295"/>
      <c r="CI34" s="638"/>
      <c r="CJ34" s="637" t="s">
        <v>97</v>
      </c>
      <c r="CK34" s="637" t="s">
        <v>97</v>
      </c>
      <c r="CL34" s="295"/>
      <c r="CM34" s="638"/>
      <c r="CN34" s="637" t="s">
        <v>97</v>
      </c>
      <c r="CO34" s="637" t="s">
        <v>97</v>
      </c>
      <c r="CP34" s="295"/>
      <c r="CQ34" s="638"/>
      <c r="CR34" s="637" t="s">
        <v>97</v>
      </c>
      <c r="CS34" s="637" t="s">
        <v>97</v>
      </c>
      <c r="CT34" s="295"/>
      <c r="CU34" s="638"/>
      <c r="CV34" s="637" t="s">
        <v>97</v>
      </c>
      <c r="CW34" s="637" t="s">
        <v>97</v>
      </c>
      <c r="CX34" s="295"/>
      <c r="CY34" s="638"/>
      <c r="CZ34" s="637" t="s">
        <v>97</v>
      </c>
      <c r="DA34" s="637" t="s">
        <v>97</v>
      </c>
      <c r="DB34" s="295"/>
      <c r="DC34" s="638"/>
      <c r="DD34" s="637" t="s">
        <v>97</v>
      </c>
      <c r="DE34" s="637" t="s">
        <v>97</v>
      </c>
      <c r="DF34" s="295"/>
      <c r="DG34" s="638"/>
      <c r="DH34" s="637" t="s">
        <v>97</v>
      </c>
      <c r="DI34" s="639" t="s">
        <v>97</v>
      </c>
      <c r="DJ34" s="640"/>
      <c r="DK34" s="638"/>
      <c r="DL34" s="639" t="s">
        <v>97</v>
      </c>
      <c r="DM34" s="639" t="s">
        <v>97</v>
      </c>
      <c r="DN34" s="640"/>
      <c r="DO34" s="638"/>
      <c r="DP34" s="639" t="s">
        <v>97</v>
      </c>
      <c r="DQ34" s="639" t="s">
        <v>97</v>
      </c>
      <c r="DR34" s="640"/>
      <c r="DS34" s="638"/>
      <c r="DU34" s="1077"/>
      <c r="DV34" s="1077"/>
      <c r="DW34" s="295"/>
    </row>
    <row r="35" spans="1:138">
      <c r="A35" s="323" t="str">
        <f t="shared" si="24"/>
        <v>Loans</v>
      </c>
      <c r="P35" s="295"/>
      <c r="Q35" s="295"/>
      <c r="R35" s="295"/>
      <c r="T35" s="295"/>
      <c r="U35" s="295"/>
      <c r="V35" s="295"/>
      <c r="X35" s="295"/>
      <c r="Y35" s="295"/>
      <c r="Z35" s="295"/>
      <c r="AB35" s="295"/>
      <c r="AC35" s="295"/>
      <c r="AD35" s="295"/>
      <c r="AF35" s="295"/>
      <c r="AG35" s="295"/>
      <c r="AH35" s="295"/>
      <c r="AI35" s="320"/>
      <c r="AJ35" s="295"/>
      <c r="AK35" s="295"/>
      <c r="AL35" s="295"/>
      <c r="AN35" s="295"/>
      <c r="AO35" s="295"/>
      <c r="AP35" s="295"/>
      <c r="AR35" s="295"/>
      <c r="AS35" s="295"/>
      <c r="AT35" s="295"/>
      <c r="AV35" s="295"/>
      <c r="AW35" s="295"/>
      <c r="AX35" s="295"/>
      <c r="AZ35" s="295"/>
      <c r="BA35" s="295"/>
      <c r="BB35" s="295"/>
      <c r="BD35" s="295"/>
      <c r="BE35" s="295"/>
      <c r="BF35" s="295"/>
      <c r="BH35" s="648">
        <f t="shared" si="25"/>
        <v>5.1771418461674656E-2</v>
      </c>
      <c r="BI35" s="648">
        <f t="shared" si="26"/>
        <v>6.7999747681826817E-2</v>
      </c>
      <c r="BJ35" s="295"/>
      <c r="BL35" s="648">
        <f t="shared" si="27"/>
        <v>0.10434508692142619</v>
      </c>
      <c r="BM35" s="648">
        <f>+BM16/BL16-1</f>
        <v>4.669031786497424E-2</v>
      </c>
      <c r="BN35" s="295"/>
      <c r="BP35" s="648">
        <f t="shared" si="28"/>
        <v>9.7475814143616279E-2</v>
      </c>
      <c r="BQ35" s="648">
        <f>+BQ16/BP16-1</f>
        <v>0.12923100799255072</v>
      </c>
      <c r="BR35" s="295"/>
      <c r="BT35" s="648">
        <f t="shared" si="29"/>
        <v>5.3984222533740134E-2</v>
      </c>
      <c r="BU35" s="648">
        <f>+BU16/BT16-1</f>
        <v>4.7933237710262144E-2</v>
      </c>
      <c r="BV35" s="295"/>
      <c r="BX35" s="648">
        <f t="shared" si="30"/>
        <v>-2.9738944329691708E-2</v>
      </c>
      <c r="BY35" s="648">
        <f>+BY16/BX16-1</f>
        <v>-1.6838514414691752E-2</v>
      </c>
      <c r="BZ35" s="295"/>
      <c r="CB35" s="648">
        <f t="shared" si="31"/>
        <v>-8.1864784837535676E-2</v>
      </c>
      <c r="CC35" s="648">
        <f>+CC16/CB16-1</f>
        <v>4.435478142270588E-2</v>
      </c>
      <c r="CD35" s="295"/>
      <c r="CF35" s="648">
        <f t="shared" si="32"/>
        <v>4.6851405950291802E-2</v>
      </c>
      <c r="CG35" s="648">
        <f>+CG16/CF16-1</f>
        <v>1.9765311293906684E-2</v>
      </c>
      <c r="CH35" s="295"/>
      <c r="CJ35" s="648">
        <f t="shared" si="33"/>
        <v>8.400234472564172E-2</v>
      </c>
      <c r="CK35" s="648">
        <f>+CK16/CJ16-1</f>
        <v>0.1063997366750522</v>
      </c>
      <c r="CL35" s="295"/>
      <c r="CN35" s="648">
        <f t="shared" si="34"/>
        <v>-7.4694263523061855E-3</v>
      </c>
      <c r="CO35" s="648">
        <f>+CO16/CN16-1</f>
        <v>0.12430684908043754</v>
      </c>
      <c r="CP35" s="295"/>
      <c r="CR35" s="648">
        <f t="shared" si="35"/>
        <v>0.12694951726239223</v>
      </c>
      <c r="CS35" s="648">
        <f>+CS16/CR16-1</f>
        <v>0.13843476203752991</v>
      </c>
      <c r="CT35" s="295"/>
      <c r="CV35" s="648">
        <f t="shared" si="36"/>
        <v>0.10486552276910288</v>
      </c>
      <c r="CW35" s="648">
        <f>+CW16/CV16-1</f>
        <v>6.5142335129035223E-2</v>
      </c>
      <c r="CX35" s="295"/>
      <c r="CZ35" s="648">
        <f t="shared" ref="CZ35:CZ39" si="40">+CZ16/CW16-1</f>
        <v>5.6270968392906795E-2</v>
      </c>
      <c r="DA35" s="648">
        <f>+DA16/CZ16-1</f>
        <v>5.2992626645571583E-2</v>
      </c>
      <c r="DB35" s="295"/>
      <c r="DD35" s="648">
        <f t="shared" ref="DD35:DD39" si="41">+DD16/DA16-1</f>
        <v>6.0627881000844708E-2</v>
      </c>
      <c r="DE35" s="648">
        <f>+DE16/DD16-1</f>
        <v>9.9345678484368927E-2</v>
      </c>
      <c r="DF35" s="295"/>
      <c r="DH35" s="648">
        <f t="shared" ref="DH35:DH39" si="42">+DH16/DE16-1</f>
        <v>8.9444098654010817E-2</v>
      </c>
      <c r="DI35" s="648">
        <f>+DI16/DH16-1</f>
        <v>0.11494907204899096</v>
      </c>
      <c r="DJ35" s="295"/>
      <c r="DL35" s="648">
        <f>+DL16/DI16-1</f>
        <v>7.6892699633964501E-2</v>
      </c>
      <c r="DM35" s="648">
        <f>+DM16/DL16-1</f>
        <v>5.4933978810772777E-2</v>
      </c>
      <c r="DN35" s="295"/>
      <c r="DP35" s="648">
        <f>+DP16/DM16-1</f>
        <v>5.5005921472829344E-2</v>
      </c>
      <c r="DQ35" s="648">
        <f>+DQ16/DP16-1</f>
        <v>5.5077171764736477E-2</v>
      </c>
      <c r="DR35" s="295"/>
      <c r="DU35" s="1072"/>
      <c r="DV35" s="1072"/>
      <c r="DW35" s="295"/>
    </row>
    <row r="36" spans="1:138">
      <c r="A36" s="323" t="str">
        <f t="shared" si="24"/>
        <v>Financial Investmetns (used to be Other Financial Assets at fair value)</v>
      </c>
      <c r="P36" s="295"/>
      <c r="Q36" s="295"/>
      <c r="R36" s="295"/>
      <c r="T36" s="295"/>
      <c r="U36" s="295"/>
      <c r="V36" s="295"/>
      <c r="X36" s="295"/>
      <c r="Y36" s="295"/>
      <c r="Z36" s="295"/>
      <c r="AB36" s="295"/>
      <c r="AC36" s="295"/>
      <c r="AD36" s="295"/>
      <c r="AF36" s="295"/>
      <c r="AG36" s="295"/>
      <c r="AH36" s="295"/>
      <c r="AI36" s="320"/>
      <c r="AJ36" s="295"/>
      <c r="AK36" s="295"/>
      <c r="AL36" s="295"/>
      <c r="AN36" s="295"/>
      <c r="AO36" s="295"/>
      <c r="AP36" s="295"/>
      <c r="AR36" s="295"/>
      <c r="AS36" s="295"/>
      <c r="AT36" s="295"/>
      <c r="AV36" s="295"/>
      <c r="AW36" s="295"/>
      <c r="AX36" s="295"/>
      <c r="AZ36" s="295"/>
      <c r="BA36" s="295"/>
      <c r="BB36" s="295"/>
      <c r="BD36" s="295"/>
      <c r="BE36" s="295"/>
      <c r="BF36" s="295"/>
      <c r="BH36" s="648">
        <f t="shared" si="25"/>
        <v>-0.20670141474311243</v>
      </c>
      <c r="BI36" s="648">
        <f t="shared" si="26"/>
        <v>-5.5190538764783192E-2</v>
      </c>
      <c r="BJ36" s="295"/>
      <c r="BL36" s="648">
        <f t="shared" si="27"/>
        <v>-0.38088615140075499</v>
      </c>
      <c r="BM36" s="648">
        <f>+BM17/BL17-1</f>
        <v>-8.4082156611039793E-2</v>
      </c>
      <c r="BN36" s="295"/>
      <c r="BP36" s="648">
        <f t="shared" si="28"/>
        <v>-3.5739313244569026E-2</v>
      </c>
      <c r="BQ36" s="648">
        <f>+BQ17/BP17-1</f>
        <v>-0.22783430232558144</v>
      </c>
      <c r="BR36" s="295"/>
      <c r="BT36" s="648">
        <f t="shared" si="29"/>
        <v>-1.1294117647058788E-2</v>
      </c>
      <c r="BU36" s="648">
        <f>+BU17/BT17-1</f>
        <v>-0.21513564969062349</v>
      </c>
      <c r="BV36" s="295"/>
      <c r="BX36" s="648">
        <f t="shared" si="30"/>
        <v>-0.16434202546998178</v>
      </c>
      <c r="BY36" s="648">
        <f>+BY17/BX17-1</f>
        <v>8.9985486211901389E-2</v>
      </c>
      <c r="BZ36" s="295"/>
      <c r="CB36" s="648">
        <f t="shared" si="31"/>
        <v>5.3262316910784868E-3</v>
      </c>
      <c r="CC36" s="648">
        <f>+CC17/CB17-1</f>
        <v>-5.0331125827814516E-2</v>
      </c>
      <c r="CD36" s="295"/>
      <c r="CF36" s="648">
        <f t="shared" si="32"/>
        <v>3.6255230125523017</v>
      </c>
      <c r="CG36" s="648">
        <f>+CG17/CF17-1</f>
        <v>7.9601990049751326E-2</v>
      </c>
      <c r="CH36" s="295"/>
      <c r="CJ36" s="648">
        <f t="shared" si="33"/>
        <v>0.10836475352604391</v>
      </c>
      <c r="CK36" s="648">
        <f>+CK17/CJ17-1</f>
        <v>0.12511024316492381</v>
      </c>
      <c r="CL36" s="295"/>
      <c r="CN36" s="648">
        <f t="shared" si="34"/>
        <v>5.2631578947368585E-3</v>
      </c>
      <c r="CO36" s="648">
        <f>+CO17/CN17-1</f>
        <v>6.5612119861869322E-2</v>
      </c>
      <c r="CP36" s="295"/>
      <c r="CR36" s="648">
        <f t="shared" si="35"/>
        <v>0.3738239598578299</v>
      </c>
      <c r="CS36" s="648">
        <f>+CS17/CR17-1</f>
        <v>-7.7233297823771085E-2</v>
      </c>
      <c r="CT36" s="295"/>
      <c r="CV36" s="648">
        <f t="shared" si="36"/>
        <v>1.0653088150408179</v>
      </c>
      <c r="CW36" s="648">
        <f>+CW17/CV17-1</f>
        <v>-0.12664696957598021</v>
      </c>
      <c r="CX36" s="295"/>
      <c r="CZ36" s="648">
        <f t="shared" si="40"/>
        <v>4.5167779098473027E-2</v>
      </c>
      <c r="DA36" s="648">
        <f>+DA17/CZ17-1</f>
        <v>6.6310908931851875E-2</v>
      </c>
      <c r="DB36" s="295"/>
      <c r="DD36" s="648">
        <f t="shared" si="41"/>
        <v>-0.22524407252440726</v>
      </c>
      <c r="DE36" s="648">
        <f>+DE17/DD17-1</f>
        <v>0.1359665378302537</v>
      </c>
      <c r="DF36" s="295"/>
      <c r="DH36" s="648">
        <f t="shared" si="42"/>
        <v>0.22307154509438365</v>
      </c>
      <c r="DI36" s="648">
        <f>+DI17/DH17-1</f>
        <v>4.3775304785156122E-2</v>
      </c>
      <c r="DJ36" s="295"/>
      <c r="DL36" s="648">
        <f>+DL17/DI17-1</f>
        <v>2.1386330229330008E-2</v>
      </c>
      <c r="DM36" s="648">
        <f>+DM17/DL17-1</f>
        <v>2.1466661059526437E-2</v>
      </c>
      <c r="DN36" s="295"/>
      <c r="DP36" s="648">
        <f>+DP17/DM17-1</f>
        <v>2.1552027817032471E-2</v>
      </c>
      <c r="DQ36" s="648">
        <f>+DQ17/DP17-1</f>
        <v>2.1642775246795587E-2</v>
      </c>
      <c r="DR36" s="295"/>
      <c r="DU36" s="1072"/>
      <c r="DV36" s="1072"/>
      <c r="DW36" s="295"/>
    </row>
    <row r="37" spans="1:138">
      <c r="A37" s="642" t="str">
        <f t="shared" si="24"/>
        <v>Derivative Financial Instruments (positive values)</v>
      </c>
      <c r="B37" s="302"/>
      <c r="C37" s="304"/>
      <c r="D37" s="302"/>
      <c r="E37" s="302"/>
      <c r="F37" s="302"/>
      <c r="G37" s="302"/>
      <c r="H37" s="302"/>
      <c r="I37" s="302"/>
      <c r="J37" s="302"/>
      <c r="K37" s="302"/>
      <c r="L37" s="302"/>
      <c r="M37" s="302"/>
      <c r="N37" s="302"/>
      <c r="O37" s="302"/>
      <c r="P37" s="297"/>
      <c r="Q37" s="297"/>
      <c r="R37" s="297"/>
      <c r="S37" s="304"/>
      <c r="T37" s="297"/>
      <c r="U37" s="297"/>
      <c r="V37" s="297"/>
      <c r="W37" s="304"/>
      <c r="X37" s="297"/>
      <c r="Y37" s="297"/>
      <c r="Z37" s="297"/>
      <c r="AA37" s="304"/>
      <c r="AB37" s="297"/>
      <c r="AC37" s="297"/>
      <c r="AD37" s="297"/>
      <c r="AE37" s="304"/>
      <c r="AF37" s="297"/>
      <c r="AG37" s="297"/>
      <c r="AH37" s="297"/>
      <c r="AI37" s="628"/>
      <c r="AJ37" s="297"/>
      <c r="AK37" s="297"/>
      <c r="AL37" s="297"/>
      <c r="AM37" s="304"/>
      <c r="AN37" s="297"/>
      <c r="AO37" s="297"/>
      <c r="AP37" s="297"/>
      <c r="AQ37" s="304"/>
      <c r="AR37" s="297"/>
      <c r="AS37" s="297"/>
      <c r="AT37" s="297"/>
      <c r="AU37" s="304"/>
      <c r="AV37" s="297"/>
      <c r="AW37" s="297"/>
      <c r="AX37" s="297"/>
      <c r="AY37" s="304"/>
      <c r="AZ37" s="297"/>
      <c r="BA37" s="297"/>
      <c r="BB37" s="297"/>
      <c r="BC37" s="304"/>
      <c r="BD37" s="297"/>
      <c r="BE37" s="297"/>
      <c r="BF37" s="297"/>
      <c r="BG37" s="304"/>
      <c r="BH37" s="643">
        <f t="shared" si="25"/>
        <v>-1.752876166319417E-2</v>
      </c>
      <c r="BI37" s="643">
        <f t="shared" si="26"/>
        <v>-0.32211516297081744</v>
      </c>
      <c r="BJ37" s="297"/>
      <c r="BK37" s="304"/>
      <c r="BL37" s="643">
        <f t="shared" si="27"/>
        <v>-3.8764961915125351E-3</v>
      </c>
      <c r="BM37" s="643">
        <f>+BM18/BL18-1</f>
        <v>-0.13750256025124596</v>
      </c>
      <c r="BN37" s="297"/>
      <c r="BO37" s="304"/>
      <c r="BP37" s="643">
        <f t="shared" si="28"/>
        <v>0.1595028892582917</v>
      </c>
      <c r="BQ37" s="643">
        <f>+BQ18/BP18-1</f>
        <v>0.37083560895685408</v>
      </c>
      <c r="BR37" s="297"/>
      <c r="BS37" s="304"/>
      <c r="BT37" s="643">
        <f t="shared" si="29"/>
        <v>0.11090637450199203</v>
      </c>
      <c r="BU37" s="643">
        <f>+BU18/BT18-1</f>
        <v>-0.19384049849822926</v>
      </c>
      <c r="BV37" s="297"/>
      <c r="BW37" s="304"/>
      <c r="BX37" s="643">
        <f t="shared" si="30"/>
        <v>-0.152922204304065</v>
      </c>
      <c r="BY37" s="643">
        <f>+BY18/BX18-1</f>
        <v>-0.20527801483621089</v>
      </c>
      <c r="BZ37" s="297"/>
      <c r="CA37" s="304"/>
      <c r="CB37" s="643">
        <f t="shared" si="31"/>
        <v>2.0981331571121808E-2</v>
      </c>
      <c r="CC37" s="643">
        <f>+CC18/CB18-1</f>
        <v>4.6682847896440061E-2</v>
      </c>
      <c r="CD37" s="297"/>
      <c r="CE37" s="304"/>
      <c r="CF37" s="643">
        <f t="shared" si="32"/>
        <v>0.40024735255468813</v>
      </c>
      <c r="CG37" s="643">
        <f>+CG18/CF18-1</f>
        <v>-0.20193210046922438</v>
      </c>
      <c r="CH37" s="297"/>
      <c r="CI37" s="304"/>
      <c r="CJ37" s="643">
        <f t="shared" si="33"/>
        <v>0.26035830393580972</v>
      </c>
      <c r="CK37" s="643">
        <f>+CK18/CJ18-1</f>
        <v>1.5029910542780307</v>
      </c>
      <c r="CL37" s="297"/>
      <c r="CM37" s="304"/>
      <c r="CN37" s="643">
        <f t="shared" si="34"/>
        <v>-0.5164119543052601</v>
      </c>
      <c r="CO37" s="643">
        <f>+CO18/CN18-1</f>
        <v>-6.4067104964860566E-2</v>
      </c>
      <c r="CP37" s="297"/>
      <c r="CQ37" s="304"/>
      <c r="CR37" s="643">
        <f t="shared" si="35"/>
        <v>2.7392694506346285</v>
      </c>
      <c r="CS37" s="643">
        <f>+CS18/CR18-1</f>
        <v>9.9823802243930171E-2</v>
      </c>
      <c r="CT37" s="297"/>
      <c r="CU37" s="304"/>
      <c r="CV37" s="643">
        <f t="shared" si="36"/>
        <v>0.31831407334110806</v>
      </c>
      <c r="CW37" s="643">
        <f>+CW18/CV18-1</f>
        <v>-0.67730290493508349</v>
      </c>
      <c r="CX37" s="297"/>
      <c r="CY37" s="304"/>
      <c r="CZ37" s="643">
        <f t="shared" si="40"/>
        <v>-0.19363681674696798</v>
      </c>
      <c r="DA37" s="643">
        <f>+DA18/CZ18-1</f>
        <v>-0.17355173242677102</v>
      </c>
      <c r="DB37" s="297"/>
      <c r="DC37" s="304"/>
      <c r="DD37" s="643">
        <f t="shared" si="41"/>
        <v>-8.8087422611875521E-3</v>
      </c>
      <c r="DE37" s="643">
        <f>+DE18/DD18-1</f>
        <v>1.7354852232236428E-2</v>
      </c>
      <c r="DF37" s="297"/>
      <c r="DG37" s="304"/>
      <c r="DH37" s="643">
        <f t="shared" si="42"/>
        <v>4.446001071325556E-2</v>
      </c>
      <c r="DI37" s="645">
        <v>0.03</v>
      </c>
      <c r="DJ37" s="297"/>
      <c r="DK37" s="304"/>
      <c r="DL37" s="645">
        <v>0.03</v>
      </c>
      <c r="DM37" s="645">
        <v>0.03</v>
      </c>
      <c r="DN37" s="297"/>
      <c r="DO37" s="304"/>
      <c r="DP37" s="645">
        <v>0.03</v>
      </c>
      <c r="DQ37" s="645">
        <v>0.03</v>
      </c>
      <c r="DR37" s="297"/>
      <c r="DS37" s="304"/>
      <c r="DU37" s="1114"/>
      <c r="DV37" s="1114"/>
      <c r="DW37" s="295"/>
      <c r="DZ37" s="102"/>
    </row>
    <row r="38" spans="1:138">
      <c r="A38" s="323" t="str">
        <f t="shared" si="24"/>
        <v>Investment Securities Available for Sale</v>
      </c>
      <c r="P38" s="295"/>
      <c r="Q38" s="295"/>
      <c r="R38" s="295"/>
      <c r="T38" s="295"/>
      <c r="U38" s="295"/>
      <c r="V38" s="295"/>
      <c r="X38" s="295"/>
      <c r="Y38" s="295"/>
      <c r="Z38" s="295"/>
      <c r="AB38" s="295"/>
      <c r="AC38" s="295"/>
      <c r="AD38" s="295"/>
      <c r="AF38" s="295"/>
      <c r="AG38" s="295"/>
      <c r="AH38" s="295"/>
      <c r="AI38" s="320"/>
      <c r="AJ38" s="295"/>
      <c r="AK38" s="295"/>
      <c r="AL38" s="295"/>
      <c r="AN38" s="295"/>
      <c r="AO38" s="295"/>
      <c r="AP38" s="295"/>
      <c r="AR38" s="295"/>
      <c r="AS38" s="295"/>
      <c r="AT38" s="295"/>
      <c r="AV38" s="295"/>
      <c r="AW38" s="295"/>
      <c r="AX38" s="295"/>
      <c r="AZ38" s="295"/>
      <c r="BA38" s="295"/>
      <c r="BB38" s="295"/>
      <c r="BD38" s="295"/>
      <c r="BE38" s="295"/>
      <c r="BF38" s="295"/>
      <c r="BH38" s="648">
        <f t="shared" si="25"/>
        <v>0.12263221285448367</v>
      </c>
      <c r="BI38" s="648">
        <f t="shared" si="26"/>
        <v>-0.16819467472934746</v>
      </c>
      <c r="BJ38" s="295"/>
      <c r="BL38" s="648">
        <f t="shared" si="27"/>
        <v>-2.8082312247171282E-2</v>
      </c>
      <c r="BM38" s="648">
        <f>+BM19/BL19-1</f>
        <v>-0.15243093256122575</v>
      </c>
      <c r="BN38" s="295"/>
      <c r="BP38" s="648">
        <f t="shared" si="28"/>
        <v>-0.33819656963917155</v>
      </c>
      <c r="BQ38" s="648">
        <f>+BQ19/BP19-1</f>
        <v>-4.3337993332616453E-2</v>
      </c>
      <c r="BR38" s="295"/>
      <c r="BT38" s="648">
        <f t="shared" si="29"/>
        <v>0.20357464028776984</v>
      </c>
      <c r="BU38" s="648">
        <f>+BU19/BT19-1</f>
        <v>6.995423554683855E-2</v>
      </c>
      <c r="BV38" s="295"/>
      <c r="BX38" s="648">
        <f t="shared" si="30"/>
        <v>-0.31415851955307261</v>
      </c>
      <c r="BY38" s="648">
        <f>+BY19/BX19-1</f>
        <v>-0.12269313987527042</v>
      </c>
      <c r="BZ38" s="295"/>
      <c r="CB38" s="648">
        <f t="shared" si="31"/>
        <v>-0.3106049615552009</v>
      </c>
      <c r="CC38" s="648">
        <f>+CC19/CB19-1</f>
        <v>0.29755892255892258</v>
      </c>
      <c r="CD38" s="295"/>
      <c r="CF38" s="648">
        <f t="shared" si="32"/>
        <v>-0.650827116445021</v>
      </c>
      <c r="CG38" s="648">
        <f>+CG19/CF19-1</f>
        <v>3.1908964235949835</v>
      </c>
      <c r="CH38" s="295"/>
      <c r="CJ38" s="648">
        <f t="shared" si="33"/>
        <v>-0.93261664634822117</v>
      </c>
      <c r="CK38" s="648">
        <f>+CK19/CJ19-1</f>
        <v>1.6875</v>
      </c>
      <c r="CL38" s="295"/>
      <c r="CN38" s="648">
        <f t="shared" si="34"/>
        <v>0.33170134638922888</v>
      </c>
      <c r="CO38" s="648">
        <f>+CO19/CN19-1</f>
        <v>-0.87178308823529416</v>
      </c>
      <c r="CP38" s="295"/>
      <c r="CR38" s="648">
        <f t="shared" si="35"/>
        <v>5.9534050179211473</v>
      </c>
      <c r="CS38" s="648">
        <f>+CS19/CR19-1</f>
        <v>-0.33144329896907221</v>
      </c>
      <c r="CT38" s="295"/>
      <c r="CV38" s="648">
        <f t="shared" si="36"/>
        <v>-0.45489591364687743</v>
      </c>
      <c r="CW38" s="648">
        <f>+CW19/CV19-1</f>
        <v>0.3026874115983027</v>
      </c>
      <c r="CX38" s="295"/>
      <c r="CZ38" s="648">
        <f t="shared" si="40"/>
        <v>0.95656894679695981</v>
      </c>
      <c r="DA38" s="648">
        <f>+DA19/CZ19-1</f>
        <v>0.22308546059933398</v>
      </c>
      <c r="DB38" s="295"/>
      <c r="DD38" s="648">
        <f t="shared" si="41"/>
        <v>0.37023593466424676</v>
      </c>
      <c r="DE38" s="648">
        <f>+DE19/DD19-1</f>
        <v>1.189403973509934</v>
      </c>
      <c r="DF38" s="295"/>
      <c r="DH38" s="648">
        <f t="shared" si="42"/>
        <v>0.74425287356321834</v>
      </c>
      <c r="DI38" s="648">
        <f>+DI19/DH19-1</f>
        <v>2.0000000000000018E-2</v>
      </c>
      <c r="DJ38" s="295"/>
      <c r="DL38" s="648">
        <f>+DL19/DI19-1</f>
        <v>2.0000000000000018E-2</v>
      </c>
      <c r="DM38" s="648">
        <f>+DM19/DL19-1</f>
        <v>2.0000000000000018E-2</v>
      </c>
      <c r="DN38" s="295"/>
      <c r="DP38" s="648">
        <f>+DP19/DM19-1</f>
        <v>2.0000000000000018E-2</v>
      </c>
      <c r="DQ38" s="648">
        <f>+DQ19/DP19-1</f>
        <v>2.0000000000000018E-2</v>
      </c>
      <c r="DR38" s="295"/>
      <c r="DU38" s="1072"/>
      <c r="DV38" s="1072"/>
      <c r="DW38" s="295"/>
    </row>
    <row r="39" spans="1:138">
      <c r="A39" s="642" t="str">
        <f t="shared" si="24"/>
        <v>Intangible Assets</v>
      </c>
      <c r="B39" s="302"/>
      <c r="C39" s="304"/>
      <c r="D39" s="302"/>
      <c r="E39" s="302"/>
      <c r="F39" s="302"/>
      <c r="G39" s="302"/>
      <c r="H39" s="302"/>
      <c r="I39" s="302"/>
      <c r="J39" s="302"/>
      <c r="K39" s="302"/>
      <c r="L39" s="302"/>
      <c r="M39" s="302"/>
      <c r="N39" s="302"/>
      <c r="O39" s="302"/>
      <c r="P39" s="297"/>
      <c r="Q39" s="297"/>
      <c r="R39" s="297"/>
      <c r="S39" s="304"/>
      <c r="T39" s="297"/>
      <c r="U39" s="297"/>
      <c r="V39" s="297"/>
      <c r="W39" s="304"/>
      <c r="X39" s="297"/>
      <c r="Y39" s="297"/>
      <c r="Z39" s="297"/>
      <c r="AA39" s="304"/>
      <c r="AB39" s="297"/>
      <c r="AC39" s="297"/>
      <c r="AD39" s="297"/>
      <c r="AE39" s="304"/>
      <c r="AF39" s="297"/>
      <c r="AG39" s="297"/>
      <c r="AH39" s="297"/>
      <c r="AI39" s="628"/>
      <c r="AJ39" s="297"/>
      <c r="AK39" s="297"/>
      <c r="AL39" s="297"/>
      <c r="AM39" s="304"/>
      <c r="AN39" s="297"/>
      <c r="AO39" s="297"/>
      <c r="AP39" s="297"/>
      <c r="AQ39" s="304"/>
      <c r="AR39" s="297"/>
      <c r="AS39" s="297"/>
      <c r="AT39" s="297"/>
      <c r="AU39" s="304"/>
      <c r="AV39" s="297"/>
      <c r="AW39" s="297"/>
      <c r="AX39" s="297"/>
      <c r="AY39" s="304"/>
      <c r="AZ39" s="297"/>
      <c r="BA39" s="297"/>
      <c r="BB39" s="297"/>
      <c r="BC39" s="304"/>
      <c r="BD39" s="297"/>
      <c r="BE39" s="297"/>
      <c r="BF39" s="297"/>
      <c r="BG39" s="304"/>
      <c r="BH39" s="643">
        <f t="shared" si="25"/>
        <v>-3.4789045151739417E-2</v>
      </c>
      <c r="BI39" s="643">
        <f t="shared" si="26"/>
        <v>-6.3650306748466279E-2</v>
      </c>
      <c r="BJ39" s="297"/>
      <c r="BK39" s="304"/>
      <c r="BL39" s="643">
        <f t="shared" si="27"/>
        <v>4.5045045045045029E-2</v>
      </c>
      <c r="BM39" s="643">
        <f>+BM20/BL20-1</f>
        <v>-4.31034482758621E-2</v>
      </c>
      <c r="BN39" s="297"/>
      <c r="BO39" s="304"/>
      <c r="BP39" s="643">
        <f t="shared" si="28"/>
        <v>1.3104013104013212E-2</v>
      </c>
      <c r="BQ39" s="643">
        <f>+BQ20/BP20-1</f>
        <v>-5.9013742926434909E-2</v>
      </c>
      <c r="BR39" s="297"/>
      <c r="BS39" s="304"/>
      <c r="BT39" s="643">
        <f t="shared" si="29"/>
        <v>1.5463917525773141E-2</v>
      </c>
      <c r="BU39" s="643">
        <f>+BU20/BT20-1</f>
        <v>-8.7986463620981392E-2</v>
      </c>
      <c r="BV39" s="297"/>
      <c r="BW39" s="304"/>
      <c r="BX39" s="643">
        <f t="shared" si="30"/>
        <v>-7.8849721706864551E-2</v>
      </c>
      <c r="BY39" s="643">
        <f>+BY20/BX20-1</f>
        <v>1.6112789526686822E-2</v>
      </c>
      <c r="BZ39" s="297"/>
      <c r="CA39" s="304"/>
      <c r="CB39" s="643">
        <f t="shared" si="31"/>
        <v>-1.783944499504464E-2</v>
      </c>
      <c r="CC39" s="643">
        <f>+CC20/CB20-1</f>
        <v>2.0181634712410634E-3</v>
      </c>
      <c r="CD39" s="297"/>
      <c r="CE39" s="304"/>
      <c r="CF39" s="643">
        <f t="shared" si="32"/>
        <v>0.90735146022155089</v>
      </c>
      <c r="CG39" s="643">
        <f>+CG20/CF20-1</f>
        <v>7.2333685322069741E-2</v>
      </c>
      <c r="CH39" s="297"/>
      <c r="CI39" s="304"/>
      <c r="CJ39" s="643">
        <f t="shared" si="33"/>
        <v>0.31265386509108817</v>
      </c>
      <c r="CK39" s="643">
        <f>+CK20/CJ20-1</f>
        <v>0.22580645161290325</v>
      </c>
      <c r="CL39" s="297"/>
      <c r="CM39" s="304"/>
      <c r="CN39" s="643">
        <f t="shared" si="34"/>
        <v>-0.13831089351285186</v>
      </c>
      <c r="CO39" s="643">
        <f>+CO20/CN20-1</f>
        <v>-9.6946022727272707E-2</v>
      </c>
      <c r="CP39" s="297"/>
      <c r="CQ39" s="304"/>
      <c r="CR39" s="643">
        <f t="shared" si="35"/>
        <v>0.37514746362563911</v>
      </c>
      <c r="CS39" s="643">
        <f>+CS20/CR20-1</f>
        <v>8.092650843580218E-2</v>
      </c>
      <c r="CT39" s="297"/>
      <c r="CU39" s="304"/>
      <c r="CV39" s="643">
        <f t="shared" si="36"/>
        <v>0.10317460317460325</v>
      </c>
      <c r="CW39" s="643">
        <f>+CW20/CV20-1</f>
        <v>-8.2254196642685851E-2</v>
      </c>
      <c r="CX39" s="297"/>
      <c r="CY39" s="304"/>
      <c r="CZ39" s="643">
        <f t="shared" si="40"/>
        <v>0.11026914031878765</v>
      </c>
      <c r="DA39" s="643">
        <f>+DA20/CZ20-1</f>
        <v>1.176747469992856E-3</v>
      </c>
      <c r="DB39" s="297"/>
      <c r="DC39" s="304"/>
      <c r="DD39" s="643">
        <f t="shared" si="41"/>
        <v>-0.18147625763986841</v>
      </c>
      <c r="DE39" s="643">
        <f>+DE20/DD20-1</f>
        <v>-0.52010338885697882</v>
      </c>
      <c r="DF39" s="297"/>
      <c r="DG39" s="304"/>
      <c r="DH39" s="643">
        <f t="shared" si="42"/>
        <v>6.882106523040088E-2</v>
      </c>
      <c r="DI39" s="645">
        <v>0</v>
      </c>
      <c r="DJ39" s="297"/>
      <c r="DK39" s="304"/>
      <c r="DL39" s="645">
        <v>0</v>
      </c>
      <c r="DM39" s="645">
        <v>0</v>
      </c>
      <c r="DN39" s="297"/>
      <c r="DO39" s="304"/>
      <c r="DP39" s="645">
        <v>0</v>
      </c>
      <c r="DQ39" s="645">
        <v>0</v>
      </c>
      <c r="DR39" s="297"/>
      <c r="DS39" s="304"/>
      <c r="DU39" s="1114"/>
      <c r="DV39" s="1114"/>
      <c r="DW39" s="295"/>
      <c r="DZ39" s="102"/>
    </row>
    <row r="40" spans="1:138" outlineLevel="1">
      <c r="A40" s="323" t="str">
        <f t="shared" si="24"/>
        <v>Life Insurance Contracts</v>
      </c>
      <c r="P40" s="295"/>
      <c r="Q40" s="295"/>
      <c r="R40" s="295"/>
      <c r="T40" s="295"/>
      <c r="U40" s="295"/>
      <c r="V40" s="295"/>
      <c r="X40" s="295"/>
      <c r="Y40" s="295"/>
      <c r="Z40" s="295"/>
      <c r="AB40" s="295"/>
      <c r="AC40" s="295"/>
      <c r="AD40" s="295"/>
      <c r="AF40" s="295"/>
      <c r="AG40" s="295"/>
      <c r="AH40" s="295"/>
      <c r="AI40" s="632"/>
      <c r="AJ40" s="295"/>
      <c r="AK40" s="295"/>
      <c r="AL40" s="295"/>
      <c r="AN40" s="295"/>
      <c r="AO40" s="295"/>
      <c r="AP40" s="295"/>
      <c r="AR40" s="295"/>
      <c r="AS40" s="295"/>
      <c r="AT40" s="295"/>
      <c r="AV40" s="295"/>
      <c r="AW40" s="295"/>
      <c r="AX40" s="295"/>
      <c r="AZ40" s="295"/>
      <c r="BA40" s="295"/>
      <c r="BB40" s="295"/>
      <c r="BD40" s="295"/>
      <c r="BE40" s="295"/>
      <c r="BF40" s="295"/>
      <c r="BH40" s="648">
        <f>IFERROR(+BH21/BE21-1,"na")</f>
        <v>-1</v>
      </c>
      <c r="BI40" s="648" t="str">
        <f>IFERROR(+BI21/BH21-1,"na")</f>
        <v>na</v>
      </c>
      <c r="BJ40" s="295"/>
      <c r="BL40" s="648" t="str">
        <f>IFERROR(+BL21/BI21-1,"na")</f>
        <v>na</v>
      </c>
      <c r="BM40" s="648" t="str">
        <f>IFERROR(+BM21/BL21-1,"na")</f>
        <v>na</v>
      </c>
      <c r="BN40" s="295"/>
      <c r="BP40" s="648" t="str">
        <f>IFERROR(+BP21/BM21-1,"na")</f>
        <v>na</v>
      </c>
      <c r="BQ40" s="648" t="str">
        <f>IFERROR(+BQ21/BP21-1,"na")</f>
        <v>na</v>
      </c>
      <c r="BR40" s="295"/>
      <c r="BS40" s="638"/>
      <c r="BT40" s="648" t="str">
        <f>IFERROR(+BT21/BQ21-1,"na")</f>
        <v>na</v>
      </c>
      <c r="BU40" s="648" t="str">
        <f>IFERROR(+BU21/BT21-1,"na")</f>
        <v>na</v>
      </c>
      <c r="BV40" s="295"/>
      <c r="BW40" s="638"/>
      <c r="BX40" s="648" t="str">
        <f>IFERROR(+BX21/BU21-1,"na")</f>
        <v>na</v>
      </c>
      <c r="BY40" s="648" t="str">
        <f>IFERROR(+BY21/BX21-1,"na")</f>
        <v>na</v>
      </c>
      <c r="BZ40" s="295"/>
      <c r="CA40" s="638"/>
      <c r="CB40" s="648" t="str">
        <f>IFERROR(+CB21/BY21-1,"na")</f>
        <v>na</v>
      </c>
      <c r="CC40" s="648" t="str">
        <f>IFERROR(+CC21/CB21-1,"na")</f>
        <v>na</v>
      </c>
      <c r="CD40" s="295"/>
      <c r="CE40" s="638"/>
      <c r="CF40" s="648" t="str">
        <f>IFERROR(+CF21/CC21-1,"na")</f>
        <v>na</v>
      </c>
      <c r="CG40" s="648" t="str">
        <f>IFERROR(+CG21/CF21-1,"na")</f>
        <v>na</v>
      </c>
      <c r="CH40" s="295"/>
      <c r="CI40" s="638"/>
      <c r="CJ40" s="648" t="str">
        <f>IFERROR(+CJ21/CG21-1,"na")</f>
        <v>na</v>
      </c>
      <c r="CK40" s="648" t="str">
        <f>IFERROR(+CK21/CJ21-1,"na")</f>
        <v>na</v>
      </c>
      <c r="CL40" s="295"/>
      <c r="CM40" s="638"/>
      <c r="CN40" s="648" t="str">
        <f>IFERROR(+CN21/CK21-1,"na")</f>
        <v>na</v>
      </c>
      <c r="CO40" s="648" t="str">
        <f>IFERROR(+CO21/CN21-1,"na")</f>
        <v>na</v>
      </c>
      <c r="CP40" s="295"/>
      <c r="CQ40" s="638"/>
      <c r="CR40" s="648" t="str">
        <f>IFERROR(+CR21/CO21-1,"na")</f>
        <v>na</v>
      </c>
      <c r="CS40" s="648" t="str">
        <f>IFERROR(+CS21/CR21-1,"na")</f>
        <v>na</v>
      </c>
      <c r="CT40" s="295"/>
      <c r="CU40" s="638"/>
      <c r="CV40" s="648" t="str">
        <f>IFERROR(+CV21/CS21-1,"na")</f>
        <v>na</v>
      </c>
      <c r="CW40" s="648" t="str">
        <f>IFERROR(+CW21/CV21-1,"na")</f>
        <v>na</v>
      </c>
      <c r="CX40" s="295"/>
      <c r="CY40" s="638"/>
      <c r="CZ40" s="648" t="str">
        <f>IFERROR(+CZ21/CW21-1,"na")</f>
        <v>na</v>
      </c>
      <c r="DA40" s="648" t="str">
        <f>IFERROR(+DA21/CZ21-1,"na")</f>
        <v>na</v>
      </c>
      <c r="DB40" s="295"/>
      <c r="DC40" s="638"/>
      <c r="DD40" s="648" t="str">
        <f>IFERROR(+DD21/DA21-1,"na")</f>
        <v>na</v>
      </c>
      <c r="DE40" s="648" t="str">
        <f>IFERROR(+DE21/DD21-1,"na")</f>
        <v>na</v>
      </c>
      <c r="DF40" s="295"/>
      <c r="DG40" s="638"/>
      <c r="DH40" s="648" t="str">
        <f>IFERROR(+DH21/DE21-1,"na")</f>
        <v>na</v>
      </c>
      <c r="DI40" s="639">
        <v>0.03</v>
      </c>
      <c r="DJ40" s="640"/>
      <c r="DK40" s="638"/>
      <c r="DL40" s="639">
        <v>0.03</v>
      </c>
      <c r="DM40" s="639">
        <v>0.03</v>
      </c>
      <c r="DN40" s="640"/>
      <c r="DO40" s="638"/>
      <c r="DP40" s="639">
        <v>0.03</v>
      </c>
      <c r="DQ40" s="639">
        <v>0.03</v>
      </c>
      <c r="DR40" s="640"/>
      <c r="DS40" s="638"/>
      <c r="DU40" s="1077"/>
      <c r="DV40" s="1077"/>
      <c r="DW40" s="295"/>
      <c r="DZ40" s="102"/>
    </row>
    <row r="41" spans="1:138" outlineLevel="1">
      <c r="A41" s="323" t="str">
        <f t="shared" si="24"/>
        <v>Equity Investments</v>
      </c>
      <c r="P41" s="295"/>
      <c r="Q41" s="295"/>
      <c r="R41" s="295"/>
      <c r="T41" s="295"/>
      <c r="U41" s="295"/>
      <c r="V41" s="295"/>
      <c r="X41" s="295"/>
      <c r="Y41" s="295"/>
      <c r="Z41" s="295"/>
      <c r="AB41" s="295"/>
      <c r="AC41" s="295"/>
      <c r="AD41" s="295"/>
      <c r="AF41" s="295"/>
      <c r="AG41" s="295"/>
      <c r="AH41" s="295"/>
      <c r="AI41" s="320"/>
      <c r="AJ41" s="295"/>
      <c r="AK41" s="295"/>
      <c r="AL41" s="295"/>
      <c r="AN41" s="295"/>
      <c r="AO41" s="295"/>
      <c r="AP41" s="295"/>
      <c r="AR41" s="295"/>
      <c r="AS41" s="295"/>
      <c r="AT41" s="295"/>
      <c r="AV41" s="295"/>
      <c r="AW41" s="295"/>
      <c r="AX41" s="295"/>
      <c r="AZ41" s="295"/>
      <c r="BA41" s="295"/>
      <c r="BB41" s="295"/>
      <c r="BD41" s="295"/>
      <c r="BE41" s="295"/>
      <c r="BF41" s="295"/>
      <c r="BH41" s="637" t="s">
        <v>97</v>
      </c>
      <c r="BI41" s="637" t="s">
        <v>97</v>
      </c>
      <c r="BJ41" s="295"/>
      <c r="BL41" s="637" t="s">
        <v>97</v>
      </c>
      <c r="BM41" s="637" t="s">
        <v>97</v>
      </c>
      <c r="BN41" s="295"/>
      <c r="BP41" s="637" t="s">
        <v>97</v>
      </c>
      <c r="BQ41" s="637" t="s">
        <v>97</v>
      </c>
      <c r="BR41" s="295"/>
      <c r="BS41" s="638"/>
      <c r="BT41" s="637" t="s">
        <v>97</v>
      </c>
      <c r="BU41" s="637" t="s">
        <v>97</v>
      </c>
      <c r="BV41" s="295"/>
      <c r="BW41" s="638"/>
      <c r="BX41" s="637" t="s">
        <v>97</v>
      </c>
      <c r="BY41" s="637" t="s">
        <v>97</v>
      </c>
      <c r="BZ41" s="295"/>
      <c r="CA41" s="638"/>
      <c r="CB41" s="637" t="s">
        <v>97</v>
      </c>
      <c r="CC41" s="637" t="s">
        <v>97</v>
      </c>
      <c r="CD41" s="295"/>
      <c r="CE41" s="638"/>
      <c r="CF41" s="637" t="s">
        <v>97</v>
      </c>
      <c r="CG41" s="637" t="s">
        <v>97</v>
      </c>
      <c r="CH41" s="295"/>
      <c r="CI41" s="638"/>
      <c r="CJ41" s="637" t="s">
        <v>97</v>
      </c>
      <c r="CK41" s="637" t="s">
        <v>97</v>
      </c>
      <c r="CL41" s="295"/>
      <c r="CM41" s="638"/>
      <c r="CN41" s="637" t="s">
        <v>97</v>
      </c>
      <c r="CO41" s="637" t="s">
        <v>97</v>
      </c>
      <c r="CP41" s="295"/>
      <c r="CQ41" s="638"/>
      <c r="CR41" s="637" t="s">
        <v>97</v>
      </c>
      <c r="CS41" s="637" t="s">
        <v>97</v>
      </c>
      <c r="CT41" s="295"/>
      <c r="CU41" s="638"/>
      <c r="CV41" s="637" t="s">
        <v>97</v>
      </c>
      <c r="CW41" s="637" t="s">
        <v>97</v>
      </c>
      <c r="CX41" s="295"/>
      <c r="CY41" s="638"/>
      <c r="CZ41" s="637" t="s">
        <v>97</v>
      </c>
      <c r="DA41" s="637" t="s">
        <v>97</v>
      </c>
      <c r="DB41" s="295"/>
      <c r="DC41" s="638"/>
      <c r="DD41" s="637" t="s">
        <v>97</v>
      </c>
      <c r="DE41" s="637" t="s">
        <v>97</v>
      </c>
      <c r="DF41" s="295"/>
      <c r="DG41" s="638"/>
      <c r="DH41" s="637" t="s">
        <v>97</v>
      </c>
      <c r="DI41" s="639" t="s">
        <v>97</v>
      </c>
      <c r="DJ41" s="640"/>
      <c r="DK41" s="638"/>
      <c r="DL41" s="639" t="s">
        <v>97</v>
      </c>
      <c r="DM41" s="639" t="s">
        <v>97</v>
      </c>
      <c r="DN41" s="640"/>
      <c r="DO41" s="638"/>
      <c r="DP41" s="639" t="s">
        <v>97</v>
      </c>
      <c r="DQ41" s="639" t="s">
        <v>97</v>
      </c>
      <c r="DR41" s="640"/>
      <c r="DS41" s="638"/>
      <c r="DU41" s="1077"/>
      <c r="DV41" s="1077"/>
      <c r="DW41" s="295"/>
    </row>
    <row r="42" spans="1:138">
      <c r="A42" s="323" t="str">
        <f t="shared" si="24"/>
        <v>Interests in Associates and Joint Ventures</v>
      </c>
      <c r="P42" s="295"/>
      <c r="Q42" s="295"/>
      <c r="R42" s="295"/>
      <c r="T42" s="295"/>
      <c r="U42" s="295"/>
      <c r="V42" s="295"/>
      <c r="X42" s="295"/>
      <c r="Y42" s="295"/>
      <c r="Z42" s="295"/>
      <c r="AB42" s="295"/>
      <c r="AC42" s="295"/>
      <c r="AD42" s="295"/>
      <c r="AF42" s="295"/>
      <c r="AG42" s="295"/>
      <c r="AH42" s="295"/>
      <c r="AI42" s="320"/>
      <c r="AJ42" s="295"/>
      <c r="AK42" s="295"/>
      <c r="AL42" s="295"/>
      <c r="AN42" s="295"/>
      <c r="AO42" s="295"/>
      <c r="AP42" s="295"/>
      <c r="AR42" s="295"/>
      <c r="AS42" s="295"/>
      <c r="AT42" s="295"/>
      <c r="AV42" s="295"/>
      <c r="AW42" s="295"/>
      <c r="AX42" s="295"/>
      <c r="AZ42" s="295"/>
      <c r="BA42" s="295"/>
      <c r="BB42" s="295"/>
      <c r="BD42" s="295"/>
      <c r="BE42" s="295"/>
      <c r="BF42" s="295"/>
      <c r="BH42" s="648">
        <f t="shared" si="25"/>
        <v>-0.14226726726726724</v>
      </c>
      <c r="BI42" s="648">
        <f t="shared" si="26"/>
        <v>-0.10371991247264767</v>
      </c>
      <c r="BJ42" s="295"/>
      <c r="BL42" s="648">
        <f t="shared" si="27"/>
        <v>0.21923828125</v>
      </c>
      <c r="BM42" s="648">
        <f>+BM23/BL23-1</f>
        <v>-2.0024028834601526E-2</v>
      </c>
      <c r="BN42" s="295"/>
      <c r="BP42" s="648">
        <f t="shared" si="28"/>
        <v>1.4711892112791114E-2</v>
      </c>
      <c r="BQ42" s="648">
        <f>+BQ23/BP23-1</f>
        <v>-6.2424486508256161E-2</v>
      </c>
      <c r="BR42" s="295"/>
      <c r="BT42" s="648">
        <f t="shared" si="29"/>
        <v>0.19372852233676974</v>
      </c>
      <c r="BU42" s="648">
        <f>+BU23/BT23-1</f>
        <v>-3.1666066930550518E-2</v>
      </c>
      <c r="BV42" s="295"/>
      <c r="BX42" s="648">
        <f t="shared" si="30"/>
        <v>-0.23894463024897805</v>
      </c>
      <c r="BY42" s="648">
        <f>+BY23/BX23-1</f>
        <v>2.294921875E-2</v>
      </c>
      <c r="BZ42" s="295"/>
      <c r="CB42" s="648">
        <f t="shared" si="31"/>
        <v>0.72887828162291179</v>
      </c>
      <c r="CC42" s="648">
        <f>+CC23/CB23-1</f>
        <v>0.11954721148536729</v>
      </c>
      <c r="CD42" s="295"/>
      <c r="CF42" s="648">
        <f t="shared" si="32"/>
        <v>2.1701602959309563E-2</v>
      </c>
      <c r="CG42" s="648">
        <f>+CG23/CF23-1</f>
        <v>1.8344195027757637E-2</v>
      </c>
      <c r="CH42" s="295"/>
      <c r="CJ42" s="648">
        <f t="shared" si="33"/>
        <v>1.0146954254562695</v>
      </c>
      <c r="CK42" s="648">
        <f>+CK23/CJ23-1</f>
        <v>-2.1294117647058797E-2</v>
      </c>
      <c r="CL42" s="295"/>
      <c r="CN42" s="648">
        <f t="shared" si="34"/>
        <v>-0.27731698521456905</v>
      </c>
      <c r="CO42" s="648">
        <f>+CO23/CN23-1</f>
        <v>-0.30239520958083832</v>
      </c>
      <c r="CP42" s="295"/>
      <c r="CR42" s="648">
        <f t="shared" si="35"/>
        <v>0.11468764902241291</v>
      </c>
      <c r="CS42" s="648">
        <f>+CS23/CR23-1</f>
        <v>-6.4598930481283401E-2</v>
      </c>
      <c r="CT42" s="295"/>
      <c r="CV42" s="648">
        <f t="shared" si="36"/>
        <v>0.10679167619483199</v>
      </c>
      <c r="CW42" s="648">
        <f>+CW23/CV23-1</f>
        <v>0.15165289256198355</v>
      </c>
      <c r="CX42" s="295"/>
      <c r="CZ42" s="648">
        <f t="shared" ref="CZ42:CZ46" si="43">+CZ23/CW23-1</f>
        <v>0.10764262648008605</v>
      </c>
      <c r="DA42" s="648">
        <f>+DA23/CZ23-1</f>
        <v>0.12876579203109806</v>
      </c>
      <c r="DB42" s="295"/>
      <c r="DD42" s="648">
        <f t="shared" ref="DD42:DD46" si="44">+DD23/DA23-1</f>
        <v>2.611565504376534E-2</v>
      </c>
      <c r="DE42" s="648">
        <f>+DE23/DD23-1</f>
        <v>7.9569291008250609E-2</v>
      </c>
      <c r="DF42" s="295"/>
      <c r="DH42" s="648">
        <f t="shared" ref="DH42:DH46" si="45">+DH23/DE23-1</f>
        <v>-9.9740932642487068E-2</v>
      </c>
      <c r="DI42" s="648">
        <f>+DI23/DH23-1</f>
        <v>0.22233478143158436</v>
      </c>
      <c r="DJ42" s="295"/>
      <c r="DL42" s="648">
        <f>+DL23/DI23-1</f>
        <v>3.3728387764149659E-2</v>
      </c>
      <c r="DM42" s="648">
        <f>+DM23/DL23-1</f>
        <v>3.4350472607087124E-2</v>
      </c>
      <c r="DN42" s="295"/>
      <c r="DP42" s="648">
        <f>+DP23/DM23-1</f>
        <v>3.4996586704680421E-2</v>
      </c>
      <c r="DQ42" s="648">
        <f>+DQ23/DP23-1</f>
        <v>3.5667245363171673E-2</v>
      </c>
      <c r="DR42" s="295"/>
      <c r="DU42" s="1072"/>
      <c r="DV42" s="1072"/>
      <c r="DW42" s="295"/>
    </row>
    <row r="43" spans="1:138">
      <c r="A43" s="642" t="str">
        <f t="shared" si="24"/>
        <v>Property, Plant and Equipment</v>
      </c>
      <c r="B43" s="302"/>
      <c r="C43" s="304"/>
      <c r="D43" s="302"/>
      <c r="E43" s="302"/>
      <c r="F43" s="302"/>
      <c r="G43" s="302"/>
      <c r="H43" s="302"/>
      <c r="I43" s="302"/>
      <c r="J43" s="302"/>
      <c r="K43" s="302"/>
      <c r="L43" s="302"/>
      <c r="M43" s="302"/>
      <c r="N43" s="302"/>
      <c r="O43" s="302"/>
      <c r="P43" s="297"/>
      <c r="Q43" s="297"/>
      <c r="R43" s="297"/>
      <c r="S43" s="304"/>
      <c r="T43" s="297"/>
      <c r="U43" s="297"/>
      <c r="V43" s="297"/>
      <c r="W43" s="304"/>
      <c r="X43" s="297"/>
      <c r="Y43" s="297"/>
      <c r="Z43" s="297"/>
      <c r="AA43" s="304"/>
      <c r="AB43" s="297"/>
      <c r="AC43" s="297"/>
      <c r="AD43" s="297"/>
      <c r="AE43" s="304"/>
      <c r="AF43" s="297"/>
      <c r="AG43" s="297"/>
      <c r="AH43" s="297"/>
      <c r="AI43" s="628"/>
      <c r="AJ43" s="297"/>
      <c r="AK43" s="297"/>
      <c r="AL43" s="297"/>
      <c r="AM43" s="304"/>
      <c r="AN43" s="297"/>
      <c r="AO43" s="297"/>
      <c r="AP43" s="297"/>
      <c r="AQ43" s="304"/>
      <c r="AR43" s="297"/>
      <c r="AS43" s="297"/>
      <c r="AT43" s="297"/>
      <c r="AU43" s="304"/>
      <c r="AV43" s="297"/>
      <c r="AW43" s="297"/>
      <c r="AX43" s="297"/>
      <c r="AY43" s="304"/>
      <c r="AZ43" s="297"/>
      <c r="BA43" s="297"/>
      <c r="BB43" s="297"/>
      <c r="BC43" s="304"/>
      <c r="BD43" s="297"/>
      <c r="BE43" s="297"/>
      <c r="BF43" s="297"/>
      <c r="BG43" s="304"/>
      <c r="BH43" s="643">
        <f t="shared" si="25"/>
        <v>-1.9293218720152772E-2</v>
      </c>
      <c r="BI43" s="643">
        <f t="shared" si="26"/>
        <v>9.9142968445656399E-2</v>
      </c>
      <c r="BJ43" s="297"/>
      <c r="BK43" s="304"/>
      <c r="BL43" s="643">
        <f t="shared" si="27"/>
        <v>9.4276094276094291E-2</v>
      </c>
      <c r="BM43" s="643">
        <f>+BM24/BL24-1</f>
        <v>2.2024291497975801E-2</v>
      </c>
      <c r="BN43" s="297"/>
      <c r="BO43" s="304"/>
      <c r="BP43" s="643">
        <f t="shared" si="28"/>
        <v>5.1497385517350613E-2</v>
      </c>
      <c r="BQ43" s="643">
        <f>+BQ24/BP24-1</f>
        <v>6.6757082579867344E-2</v>
      </c>
      <c r="BR43" s="297"/>
      <c r="BS43" s="304"/>
      <c r="BT43" s="643">
        <f t="shared" si="29"/>
        <v>0.46673258934877815</v>
      </c>
      <c r="BU43" s="643">
        <f>+BU24/BT24-1</f>
        <v>0.10960223442165073</v>
      </c>
      <c r="BV43" s="297"/>
      <c r="BW43" s="304"/>
      <c r="BX43" s="643">
        <f t="shared" si="30"/>
        <v>-4.8954083846888263E-2</v>
      </c>
      <c r="BY43" s="643">
        <f>+BY24/BX24-1</f>
        <v>4.7458245870219962E-3</v>
      </c>
      <c r="BZ43" s="297"/>
      <c r="CA43" s="304"/>
      <c r="CB43" s="643">
        <f t="shared" si="31"/>
        <v>-4.4509038059769024E-3</v>
      </c>
      <c r="CC43" s="643">
        <f>+CC24/CB24-1</f>
        <v>4.251824817518246E-2</v>
      </c>
      <c r="CD43" s="297"/>
      <c r="CE43" s="304"/>
      <c r="CF43" s="643">
        <f t="shared" si="32"/>
        <v>-5.6887799754944401E-3</v>
      </c>
      <c r="CG43" s="643">
        <f>+CG24/CF24-1</f>
        <v>-0.58621600211249003</v>
      </c>
      <c r="CH43" s="297"/>
      <c r="CI43" s="304"/>
      <c r="CJ43" s="643">
        <f t="shared" si="33"/>
        <v>1.4167198468410978</v>
      </c>
      <c r="CK43" s="643">
        <f>+CK24/CJ24-1</f>
        <v>-0.55602499779948955</v>
      </c>
      <c r="CL43" s="297"/>
      <c r="CM43" s="304"/>
      <c r="CN43" s="643">
        <f t="shared" si="34"/>
        <v>-0.10408406026962724</v>
      </c>
      <c r="CO43" s="643">
        <f>+CO24/CN24-1</f>
        <v>3.4742199601681678E-2</v>
      </c>
      <c r="CP43" s="297"/>
      <c r="CQ43" s="304"/>
      <c r="CR43" s="643">
        <f t="shared" si="35"/>
        <v>6.0949529512403844E-2</v>
      </c>
      <c r="CS43" s="643">
        <f>+CS24/CR24-1</f>
        <v>3.6686151985486859E-2</v>
      </c>
      <c r="CT43" s="297"/>
      <c r="CU43" s="304"/>
      <c r="CV43" s="643">
        <f t="shared" si="36"/>
        <v>7.155356795644563E-2</v>
      </c>
      <c r="CW43" s="643">
        <f>+CW24/CV24-1</f>
        <v>0.20468154599891131</v>
      </c>
      <c r="CX43" s="297"/>
      <c r="CY43" s="304"/>
      <c r="CZ43" s="643">
        <f t="shared" si="43"/>
        <v>0.13435758397349007</v>
      </c>
      <c r="DA43" s="643">
        <f>+DA24/CZ24-1</f>
        <v>8.0069047935201088E-2</v>
      </c>
      <c r="DB43" s="297"/>
      <c r="DC43" s="304"/>
      <c r="DD43" s="643">
        <f t="shared" si="44"/>
        <v>-7.3764445537249923E-4</v>
      </c>
      <c r="DE43" s="643">
        <f>+DE24/DD24-1</f>
        <v>-0.14763779527559051</v>
      </c>
      <c r="DF43" s="297"/>
      <c r="DG43" s="304"/>
      <c r="DH43" s="643">
        <f t="shared" si="45"/>
        <v>-0.12110277136258663</v>
      </c>
      <c r="DI43" s="645">
        <v>0.03</v>
      </c>
      <c r="DJ43" s="297"/>
      <c r="DK43" s="304"/>
      <c r="DL43" s="645">
        <v>0.03</v>
      </c>
      <c r="DM43" s="645">
        <v>0.03</v>
      </c>
      <c r="DN43" s="297"/>
      <c r="DO43" s="304"/>
      <c r="DP43" s="645">
        <v>0.03</v>
      </c>
      <c r="DQ43" s="645">
        <v>0.03</v>
      </c>
      <c r="DR43" s="297"/>
      <c r="DS43" s="304"/>
      <c r="DU43" s="1114"/>
      <c r="DV43" s="1114"/>
      <c r="DW43" s="295"/>
      <c r="DZ43" s="102"/>
    </row>
    <row r="44" spans="1:138">
      <c r="A44" s="642" t="str">
        <f t="shared" si="24"/>
        <v>Deferred Income Tax Assets</v>
      </c>
      <c r="B44" s="302"/>
      <c r="C44" s="304"/>
      <c r="D44" s="302"/>
      <c r="E44" s="302"/>
      <c r="F44" s="302"/>
      <c r="G44" s="302"/>
      <c r="H44" s="302"/>
      <c r="I44" s="302"/>
      <c r="J44" s="302"/>
      <c r="K44" s="302"/>
      <c r="L44" s="302"/>
      <c r="M44" s="302"/>
      <c r="N44" s="302"/>
      <c r="O44" s="302"/>
      <c r="P44" s="297"/>
      <c r="Q44" s="297"/>
      <c r="R44" s="297"/>
      <c r="S44" s="304"/>
      <c r="T44" s="297"/>
      <c r="U44" s="297"/>
      <c r="V44" s="297"/>
      <c r="W44" s="304"/>
      <c r="X44" s="297"/>
      <c r="Y44" s="297"/>
      <c r="Z44" s="297"/>
      <c r="AA44" s="304"/>
      <c r="AB44" s="297"/>
      <c r="AC44" s="297"/>
      <c r="AD44" s="297"/>
      <c r="AE44" s="304"/>
      <c r="AF44" s="297"/>
      <c r="AG44" s="297"/>
      <c r="AH44" s="297"/>
      <c r="AI44" s="628"/>
      <c r="AJ44" s="297"/>
      <c r="AK44" s="297"/>
      <c r="AL44" s="297"/>
      <c r="AM44" s="304"/>
      <c r="AN44" s="297"/>
      <c r="AO44" s="297"/>
      <c r="AP44" s="297"/>
      <c r="AQ44" s="304"/>
      <c r="AR44" s="297"/>
      <c r="AS44" s="297"/>
      <c r="AT44" s="297"/>
      <c r="AU44" s="304"/>
      <c r="AV44" s="297"/>
      <c r="AW44" s="297"/>
      <c r="AX44" s="297"/>
      <c r="AY44" s="304"/>
      <c r="AZ44" s="297"/>
      <c r="BA44" s="297"/>
      <c r="BB44" s="297"/>
      <c r="BC44" s="304"/>
      <c r="BD44" s="297"/>
      <c r="BE44" s="297"/>
      <c r="BF44" s="297"/>
      <c r="BG44" s="304"/>
      <c r="BH44" s="643">
        <f t="shared" si="25"/>
        <v>-2.4237685691946842E-2</v>
      </c>
      <c r="BI44" s="643">
        <f t="shared" si="26"/>
        <v>1.7628205128205066E-2</v>
      </c>
      <c r="BJ44" s="297"/>
      <c r="BK44" s="304"/>
      <c r="BL44" s="643">
        <f t="shared" si="27"/>
        <v>-0.20472440944881887</v>
      </c>
      <c r="BM44" s="643">
        <f>+BM25/BL25-1</f>
        <v>-0.24158415841584158</v>
      </c>
      <c r="BN44" s="297"/>
      <c r="BO44" s="304"/>
      <c r="BP44" s="643">
        <f t="shared" si="28"/>
        <v>-4.3080939947780728E-2</v>
      </c>
      <c r="BQ44" s="643">
        <f>+BQ25/BP25-1</f>
        <v>0.19236016371077769</v>
      </c>
      <c r="BR44" s="297"/>
      <c r="BS44" s="304"/>
      <c r="BT44" s="643">
        <f t="shared" si="29"/>
        <v>3.8901601830663601E-2</v>
      </c>
      <c r="BU44" s="643">
        <f>+BU25/BT25-1</f>
        <v>-6.3876651982378907E-2</v>
      </c>
      <c r="BV44" s="297"/>
      <c r="BW44" s="304"/>
      <c r="BX44" s="643">
        <f t="shared" si="30"/>
        <v>-0.10235294117647054</v>
      </c>
      <c r="BY44" s="643">
        <f>+BY25/BX25-1</f>
        <v>-0.163826998689384</v>
      </c>
      <c r="BZ44" s="297"/>
      <c r="CA44" s="304"/>
      <c r="CB44" s="643">
        <f t="shared" si="31"/>
        <v>7.9937304075235138E-2</v>
      </c>
      <c r="CC44" s="643">
        <f>+CC25/CB25-1</f>
        <v>-5.6603773584905648E-2</v>
      </c>
      <c r="CD44" s="297"/>
      <c r="CE44" s="304"/>
      <c r="CF44" s="643">
        <f t="shared" si="32"/>
        <v>0.19230769230769229</v>
      </c>
      <c r="CG44" s="643">
        <f>+CG25/CF25-1</f>
        <v>0.33032258064516129</v>
      </c>
      <c r="CH44" s="297"/>
      <c r="CI44" s="304"/>
      <c r="CJ44" s="643">
        <f t="shared" si="33"/>
        <v>4.6556741028128013E-2</v>
      </c>
      <c r="CK44" s="643">
        <f>+CK25/CJ25-1</f>
        <v>0.24189063948100098</v>
      </c>
      <c r="CL44" s="297"/>
      <c r="CM44" s="304"/>
      <c r="CN44" s="643">
        <f t="shared" si="34"/>
        <v>-8.1343283582089532E-2</v>
      </c>
      <c r="CO44" s="643">
        <f>+CO25/CN25-1</f>
        <v>0.19577579203899265</v>
      </c>
      <c r="CP44" s="297"/>
      <c r="CQ44" s="304"/>
      <c r="CR44" s="643">
        <f t="shared" si="35"/>
        <v>-4.1440217391304324E-2</v>
      </c>
      <c r="CS44" s="643">
        <f>+CS25/CR25-1</f>
        <v>9.9929128277817192E-2</v>
      </c>
      <c r="CT44" s="297"/>
      <c r="CU44" s="304"/>
      <c r="CV44" s="643">
        <f t="shared" si="36"/>
        <v>-6.4432989690721643E-2</v>
      </c>
      <c r="CW44" s="643">
        <f>+CW25/CV25-1</f>
        <v>0.2376033057851239</v>
      </c>
      <c r="CX44" s="297"/>
      <c r="CY44" s="304"/>
      <c r="CZ44" s="643">
        <f t="shared" si="43"/>
        <v>-0.11741791875347807</v>
      </c>
      <c r="DA44" s="643">
        <f>+DA25/CZ25-1</f>
        <v>0.30958385876418659</v>
      </c>
      <c r="DB44" s="297"/>
      <c r="DC44" s="304"/>
      <c r="DD44" s="643">
        <f t="shared" si="44"/>
        <v>-0.16177178623013966</v>
      </c>
      <c r="DE44" s="643">
        <f>+DE25/DD25-1</f>
        <v>0.19758759333716247</v>
      </c>
      <c r="DF44" s="297"/>
      <c r="DG44" s="304"/>
      <c r="DH44" s="643">
        <f t="shared" si="45"/>
        <v>-0.16354916067146286</v>
      </c>
      <c r="DI44" s="645">
        <v>0.03</v>
      </c>
      <c r="DJ44" s="297"/>
      <c r="DK44" s="304"/>
      <c r="DL44" s="645">
        <v>0.03</v>
      </c>
      <c r="DM44" s="645">
        <v>0.03</v>
      </c>
      <c r="DN44" s="297"/>
      <c r="DO44" s="304"/>
      <c r="DP44" s="645">
        <v>0.03</v>
      </c>
      <c r="DQ44" s="645">
        <v>0.03</v>
      </c>
      <c r="DR44" s="297"/>
      <c r="DS44" s="304"/>
      <c r="DU44" s="1114"/>
      <c r="DV44" s="1114"/>
      <c r="DW44" s="295"/>
      <c r="DZ44" s="102"/>
    </row>
    <row r="45" spans="1:138">
      <c r="A45" s="642" t="str">
        <f t="shared" si="24"/>
        <v>Other Assets</v>
      </c>
      <c r="B45" s="302"/>
      <c r="C45" s="304"/>
      <c r="D45" s="302"/>
      <c r="E45" s="302"/>
      <c r="F45" s="302"/>
      <c r="G45" s="302"/>
      <c r="H45" s="302"/>
      <c r="I45" s="302"/>
      <c r="J45" s="302"/>
      <c r="K45" s="302"/>
      <c r="L45" s="302"/>
      <c r="M45" s="302"/>
      <c r="N45" s="302"/>
      <c r="O45" s="302"/>
      <c r="P45" s="297"/>
      <c r="Q45" s="297"/>
      <c r="R45" s="297"/>
      <c r="S45" s="304"/>
      <c r="T45" s="297"/>
      <c r="U45" s="297"/>
      <c r="V45" s="297"/>
      <c r="W45" s="304"/>
      <c r="X45" s="297"/>
      <c r="Y45" s="297"/>
      <c r="Z45" s="297"/>
      <c r="AA45" s="304"/>
      <c r="AB45" s="297"/>
      <c r="AC45" s="297"/>
      <c r="AD45" s="297"/>
      <c r="AE45" s="304"/>
      <c r="AF45" s="297"/>
      <c r="AG45" s="297"/>
      <c r="AH45" s="297"/>
      <c r="AI45" s="628"/>
      <c r="AJ45" s="297"/>
      <c r="AK45" s="297"/>
      <c r="AL45" s="297"/>
      <c r="AM45" s="304"/>
      <c r="AN45" s="297"/>
      <c r="AO45" s="297"/>
      <c r="AP45" s="297"/>
      <c r="AQ45" s="304"/>
      <c r="AR45" s="297"/>
      <c r="AS45" s="297"/>
      <c r="AT45" s="297"/>
      <c r="AU45" s="304"/>
      <c r="AV45" s="297"/>
      <c r="AW45" s="297"/>
      <c r="AX45" s="297"/>
      <c r="AY45" s="304"/>
      <c r="AZ45" s="297"/>
      <c r="BA45" s="297"/>
      <c r="BB45" s="297"/>
      <c r="BC45" s="304"/>
      <c r="BD45" s="297"/>
      <c r="BE45" s="297"/>
      <c r="BF45" s="297"/>
      <c r="BG45" s="304"/>
      <c r="BH45" s="643">
        <f t="shared" si="25"/>
        <v>-2.6463512429831582E-2</v>
      </c>
      <c r="BI45" s="643">
        <f t="shared" si="26"/>
        <v>-7.1663920922570012E-2</v>
      </c>
      <c r="BJ45" s="297"/>
      <c r="BK45" s="304"/>
      <c r="BL45" s="643">
        <f t="shared" si="27"/>
        <v>-5.0012099701540746E-3</v>
      </c>
      <c r="BM45" s="643">
        <f>+BM26/BL26-1</f>
        <v>5.3100932306445081E-2</v>
      </c>
      <c r="BN45" s="297"/>
      <c r="BO45" s="304"/>
      <c r="BP45" s="643">
        <f t="shared" si="28"/>
        <v>2.6173979984602802E-3</v>
      </c>
      <c r="BQ45" s="643">
        <f>+BQ26/BP26-1</f>
        <v>4.0924447174447209E-2</v>
      </c>
      <c r="BR45" s="297"/>
      <c r="BS45" s="304"/>
      <c r="BT45" s="643">
        <f t="shared" si="29"/>
        <v>1.3646086892380227E-2</v>
      </c>
      <c r="BU45" s="643">
        <f>+BU26/BT26-1</f>
        <v>-9.0670935817202758E-2</v>
      </c>
      <c r="BV45" s="297"/>
      <c r="BW45" s="304"/>
      <c r="BX45" s="643">
        <f t="shared" si="30"/>
        <v>0.23407490396927022</v>
      </c>
      <c r="BY45" s="643">
        <f>+BY26/BX26-1</f>
        <v>7.3730627066986631E-2</v>
      </c>
      <c r="BZ45" s="297"/>
      <c r="CA45" s="304"/>
      <c r="CB45" s="643">
        <f t="shared" si="31"/>
        <v>0.54293996859524096</v>
      </c>
      <c r="CC45" s="643">
        <f>+CC26/CB26-1</f>
        <v>2.767339909190536E-2</v>
      </c>
      <c r="CD45" s="297"/>
      <c r="CE45" s="304"/>
      <c r="CF45" s="643">
        <f t="shared" si="32"/>
        <v>-1.1578746905351323E-2</v>
      </c>
      <c r="CG45" s="643">
        <f>+CG26/CF26-1</f>
        <v>-6.4390582251165673E-2</v>
      </c>
      <c r="CH45" s="297"/>
      <c r="CI45" s="304"/>
      <c r="CJ45" s="643">
        <f t="shared" si="33"/>
        <v>-0.17804777594728172</v>
      </c>
      <c r="CK45" s="643">
        <f>+CK26/CJ26-1</f>
        <v>0.16555594528235718</v>
      </c>
      <c r="CL45" s="297"/>
      <c r="CM45" s="304"/>
      <c r="CN45" s="643">
        <f t="shared" si="34"/>
        <v>-0.19741197712910019</v>
      </c>
      <c r="CO45" s="643">
        <f>+CO26/CN26-1</f>
        <v>9.2881246986983745E-2</v>
      </c>
      <c r="CP45" s="297"/>
      <c r="CQ45" s="304"/>
      <c r="CR45" s="643">
        <f t="shared" si="35"/>
        <v>0.46782335930990548</v>
      </c>
      <c r="CS45" s="643">
        <f>+CS26/CR26-1</f>
        <v>0.12661947375450788</v>
      </c>
      <c r="CT45" s="297"/>
      <c r="CU45" s="304"/>
      <c r="CV45" s="643">
        <f t="shared" si="36"/>
        <v>0.21037344398340241</v>
      </c>
      <c r="CW45" s="643">
        <f>+CW26/CV26-1</f>
        <v>-0.12596111464812187</v>
      </c>
      <c r="CX45" s="297"/>
      <c r="CY45" s="304"/>
      <c r="CZ45" s="643">
        <f t="shared" si="43"/>
        <v>6.0234213033002693E-2</v>
      </c>
      <c r="DA45" s="643">
        <f>+DA26/CZ26-1</f>
        <v>-2.8776027904027113E-2</v>
      </c>
      <c r="DB45" s="297"/>
      <c r="DC45" s="304"/>
      <c r="DD45" s="643">
        <f t="shared" si="44"/>
        <v>4.0538702217385314E-3</v>
      </c>
      <c r="DE45" s="643">
        <f>+DE26/DD26-1</f>
        <v>0.10646542380229795</v>
      </c>
      <c r="DF45" s="297"/>
      <c r="DG45" s="304"/>
      <c r="DH45" s="643">
        <f t="shared" si="45"/>
        <v>-5.635148042024829E-2</v>
      </c>
      <c r="DI45" s="645">
        <v>0.03</v>
      </c>
      <c r="DJ45" s="297"/>
      <c r="DK45" s="304"/>
      <c r="DL45" s="645">
        <v>0.03</v>
      </c>
      <c r="DM45" s="645">
        <v>0.03</v>
      </c>
      <c r="DN45" s="297"/>
      <c r="DO45" s="304"/>
      <c r="DP45" s="645">
        <v>0.03</v>
      </c>
      <c r="DQ45" s="645">
        <v>0.03</v>
      </c>
      <c r="DR45" s="297"/>
      <c r="DS45" s="304"/>
      <c r="DU45" s="1114"/>
      <c r="DV45" s="1114"/>
      <c r="DW45" s="295"/>
      <c r="DZ45" s="102"/>
    </row>
    <row r="46" spans="1:138" s="289" customFormat="1">
      <c r="A46" s="328" t="str">
        <f t="shared" si="24"/>
        <v>Total Assets</v>
      </c>
      <c r="C46" s="290"/>
      <c r="P46" s="295"/>
      <c r="Q46" s="295"/>
      <c r="R46" s="295"/>
      <c r="S46" s="290"/>
      <c r="T46" s="295"/>
      <c r="U46" s="295"/>
      <c r="V46" s="295"/>
      <c r="W46" s="290"/>
      <c r="X46" s="295"/>
      <c r="Y46" s="295"/>
      <c r="Z46" s="295"/>
      <c r="AA46" s="290"/>
      <c r="AB46" s="295"/>
      <c r="AC46" s="295"/>
      <c r="AD46" s="295"/>
      <c r="AE46" s="290"/>
      <c r="AF46" s="295"/>
      <c r="AG46" s="295"/>
      <c r="AH46" s="295"/>
      <c r="AI46" s="649"/>
      <c r="AJ46" s="295"/>
      <c r="AK46" s="295"/>
      <c r="AL46" s="295"/>
      <c r="AM46" s="290"/>
      <c r="AN46" s="295"/>
      <c r="AO46" s="295"/>
      <c r="AP46" s="295"/>
      <c r="AQ46" s="290"/>
      <c r="AR46" s="295"/>
      <c r="AS46" s="295"/>
      <c r="AT46" s="295"/>
      <c r="AU46" s="290"/>
      <c r="AV46" s="295"/>
      <c r="AW46" s="295"/>
      <c r="AX46" s="295"/>
      <c r="AY46" s="290"/>
      <c r="AZ46" s="295"/>
      <c r="BA46" s="295"/>
      <c r="BB46" s="295"/>
      <c r="BC46" s="290"/>
      <c r="BD46" s="295"/>
      <c r="BE46" s="295"/>
      <c r="BF46" s="295"/>
      <c r="BG46" s="290"/>
      <c r="BH46" s="650">
        <f t="shared" si="25"/>
        <v>-9.4124692434873758E-3</v>
      </c>
      <c r="BI46" s="650">
        <f t="shared" si="26"/>
        <v>-4.8836903666710452E-2</v>
      </c>
      <c r="BJ46" s="295"/>
      <c r="BK46" s="290"/>
      <c r="BL46" s="650">
        <f t="shared" si="27"/>
        <v>6.8063116588830352E-2</v>
      </c>
      <c r="BM46" s="650">
        <f>+BM27/BL27-1</f>
        <v>-4.5019404915912498E-3</v>
      </c>
      <c r="BN46" s="295"/>
      <c r="BO46" s="290"/>
      <c r="BP46" s="650">
        <f t="shared" si="28"/>
        <v>5.4761409709949138E-2</v>
      </c>
      <c r="BQ46" s="650">
        <f>+BQ27/BP27-1</f>
        <v>0.15797255008254685</v>
      </c>
      <c r="BR46" s="295"/>
      <c r="BS46" s="290"/>
      <c r="BT46" s="650">
        <f t="shared" si="29"/>
        <v>0.11232284972549689</v>
      </c>
      <c r="BU46" s="650">
        <f>+BU27/BT27-1</f>
        <v>-5.899373475536851E-2</v>
      </c>
      <c r="BV46" s="295"/>
      <c r="BW46" s="290"/>
      <c r="BX46" s="650">
        <f t="shared" si="30"/>
        <v>-1.8611979365200426E-2</v>
      </c>
      <c r="BY46" s="650">
        <f>+BY27/BX27-1</f>
        <v>-5.2907148368920631E-2</v>
      </c>
      <c r="BZ46" s="295"/>
      <c r="CA46" s="290"/>
      <c r="CB46" s="650">
        <f t="shared" si="31"/>
        <v>3.7637319072381992E-2</v>
      </c>
      <c r="CC46" s="650">
        <f>+CC27/CB27-1</f>
        <v>8.2472596964586753E-3</v>
      </c>
      <c r="CD46" s="295"/>
      <c r="CE46" s="290"/>
      <c r="CF46" s="650">
        <f t="shared" si="32"/>
        <v>7.4600810139814344E-2</v>
      </c>
      <c r="CG46" s="650">
        <f>+CG27/CF27-1</f>
        <v>-1.1751087072831456E-2</v>
      </c>
      <c r="CH46" s="295"/>
      <c r="CI46" s="290"/>
      <c r="CJ46" s="650">
        <f t="shared" si="33"/>
        <v>8.0287623903692262E-2</v>
      </c>
      <c r="CK46" s="650">
        <f>+CK27/CJ27-1</f>
        <v>0.16541151279072408</v>
      </c>
      <c r="CL46" s="295"/>
      <c r="CM46" s="290"/>
      <c r="CN46" s="650">
        <f t="shared" si="34"/>
        <v>-9.7993760799368279E-2</v>
      </c>
      <c r="CO46" s="650">
        <f>+CO27/CN27-1</f>
        <v>6.4654257048128772E-2</v>
      </c>
      <c r="CP46" s="295"/>
      <c r="CQ46" s="290"/>
      <c r="CR46" s="650">
        <f t="shared" si="35"/>
        <v>0.41894053807606668</v>
      </c>
      <c r="CS46" s="650">
        <f>+CS27/CR27-1</f>
        <v>0.14519159874572174</v>
      </c>
      <c r="CT46" s="295"/>
      <c r="CU46" s="290"/>
      <c r="CV46" s="650">
        <f t="shared" si="36"/>
        <v>0.21894602881936787</v>
      </c>
      <c r="CW46" s="650">
        <f>+CW27/CV27-1</f>
        <v>-0.20285095381175322</v>
      </c>
      <c r="CX46" s="295"/>
      <c r="CY46" s="290"/>
      <c r="CZ46" s="650">
        <f t="shared" si="43"/>
        <v>1.7330459533041909E-2</v>
      </c>
      <c r="DA46" s="650">
        <f>+DA27/CZ27-1</f>
        <v>2.2326745971809059E-2</v>
      </c>
      <c r="DB46" s="295"/>
      <c r="DC46" s="290"/>
      <c r="DD46" s="650">
        <f t="shared" si="44"/>
        <v>2.7047327245143915E-2</v>
      </c>
      <c r="DE46" s="650">
        <f>+DE27/DD27-1</f>
        <v>7.4595416530900405E-2</v>
      </c>
      <c r="DF46" s="295"/>
      <c r="DG46" s="290"/>
      <c r="DH46" s="650">
        <f t="shared" si="45"/>
        <v>8.758571585796715E-2</v>
      </c>
      <c r="DI46" s="650">
        <f>+DI27/DH27-1</f>
        <v>7.2463393410826527E-2</v>
      </c>
      <c r="DJ46" s="295"/>
      <c r="DK46" s="290"/>
      <c r="DL46" s="650">
        <f>+DL27/DI27-1</f>
        <v>5.1833288462102445E-2</v>
      </c>
      <c r="DM46" s="650">
        <f>+DM27/DL27-1</f>
        <v>4.1594612928868013E-2</v>
      </c>
      <c r="DN46" s="295"/>
      <c r="DO46" s="290"/>
      <c r="DP46" s="650">
        <f>+DP27/DM27-1</f>
        <v>4.1818790096409542E-2</v>
      </c>
      <c r="DQ46" s="650">
        <f>+DQ27/DP27-1</f>
        <v>4.2043778419165623E-2</v>
      </c>
      <c r="DR46" s="295"/>
      <c r="DS46" s="290"/>
      <c r="DT46" s="290"/>
      <c r="DU46" s="1078"/>
      <c r="DV46" s="1078"/>
      <c r="DW46" s="295"/>
      <c r="DX46" s="290"/>
      <c r="EH46"/>
    </row>
    <row r="47" spans="1:138">
      <c r="A47" s="289"/>
      <c r="P47" s="295"/>
      <c r="Q47" s="295"/>
      <c r="R47" s="295"/>
      <c r="T47" s="295"/>
      <c r="U47" s="295"/>
      <c r="V47" s="295"/>
      <c r="X47" s="295"/>
      <c r="Y47" s="295"/>
      <c r="Z47" s="295"/>
      <c r="AB47" s="295"/>
      <c r="AC47" s="295"/>
      <c r="AD47" s="295"/>
      <c r="AF47" s="295"/>
      <c r="AG47" s="295"/>
      <c r="AH47" s="295"/>
      <c r="AI47" s="320"/>
      <c r="AJ47" s="295"/>
      <c r="AK47" s="295"/>
      <c r="AL47" s="295"/>
      <c r="AN47" s="295"/>
      <c r="AO47" s="295"/>
      <c r="AP47" s="295"/>
      <c r="AR47" s="295"/>
      <c r="AS47" s="295"/>
      <c r="AT47" s="295"/>
      <c r="AV47" s="295"/>
      <c r="AW47" s="295"/>
      <c r="AX47" s="295"/>
      <c r="AZ47" s="295"/>
      <c r="BA47" s="295"/>
      <c r="BB47" s="295"/>
      <c r="BD47" s="295"/>
      <c r="BE47" s="295"/>
      <c r="BF47" s="295"/>
      <c r="BH47" s="295"/>
      <c r="BI47" s="295"/>
      <c r="BJ47" s="295"/>
      <c r="BL47" s="295"/>
      <c r="BM47" s="295"/>
      <c r="BN47" s="295"/>
      <c r="BP47" s="295"/>
      <c r="BQ47" s="295"/>
      <c r="BR47" s="295"/>
      <c r="BT47" s="295"/>
      <c r="BU47" s="295"/>
      <c r="BV47" s="295"/>
      <c r="BX47" s="295"/>
      <c r="BY47" s="295"/>
      <c r="BZ47" s="295"/>
      <c r="CB47" s="295"/>
      <c r="CC47" s="295"/>
      <c r="CD47" s="295"/>
      <c r="CF47" s="295"/>
      <c r="CG47" s="295"/>
      <c r="CH47" s="295"/>
      <c r="CJ47" s="295"/>
      <c r="CK47" s="295"/>
      <c r="CL47" s="295"/>
      <c r="CN47" s="295"/>
      <c r="CO47" s="295"/>
      <c r="CP47" s="295"/>
      <c r="CR47" s="295"/>
      <c r="CS47" s="295"/>
      <c r="CT47" s="295"/>
      <c r="CV47" s="295"/>
      <c r="CW47" s="1390"/>
      <c r="CX47" s="295"/>
      <c r="CZ47" s="295"/>
      <c r="DA47" s="295"/>
      <c r="DB47" s="295"/>
      <c r="DD47" s="295"/>
      <c r="DE47" s="295"/>
      <c r="DF47" s="295"/>
      <c r="DH47" s="295"/>
      <c r="DI47" s="295"/>
      <c r="DJ47" s="295"/>
      <c r="DL47" s="295"/>
      <c r="DM47" s="295"/>
      <c r="DN47" s="295"/>
      <c r="DP47" s="295"/>
      <c r="DQ47" s="295"/>
      <c r="DR47" s="295"/>
      <c r="DU47" s="295"/>
      <c r="DV47" s="295"/>
      <c r="DW47" s="295"/>
    </row>
    <row r="48" spans="1:138" s="289" customFormat="1">
      <c r="A48" s="620" t="s">
        <v>238</v>
      </c>
      <c r="B48" s="620"/>
      <c r="C48" s="651"/>
      <c r="D48" s="620"/>
      <c r="E48" s="620"/>
      <c r="F48" s="620"/>
      <c r="G48" s="620"/>
      <c r="H48" s="620"/>
      <c r="I48" s="620"/>
      <c r="J48" s="620"/>
      <c r="K48" s="620"/>
      <c r="L48" s="620"/>
      <c r="M48" s="620"/>
      <c r="N48" s="620"/>
      <c r="O48" s="620"/>
      <c r="P48" s="652"/>
      <c r="Q48" s="652"/>
      <c r="R48" s="624"/>
      <c r="S48" s="651"/>
      <c r="T48" s="652"/>
      <c r="U48" s="652"/>
      <c r="V48" s="624"/>
      <c r="W48" s="651"/>
      <c r="X48" s="652"/>
      <c r="Y48" s="652"/>
      <c r="Z48" s="624"/>
      <c r="AA48" s="651"/>
      <c r="AB48" s="652"/>
      <c r="AC48" s="652"/>
      <c r="AD48" s="624"/>
      <c r="AE48" s="651"/>
      <c r="AF48" s="652"/>
      <c r="AG48" s="652"/>
      <c r="AH48" s="624"/>
      <c r="AI48" s="653"/>
      <c r="AJ48" s="652"/>
      <c r="AK48" s="652"/>
      <c r="AL48" s="624"/>
      <c r="AM48" s="651"/>
      <c r="AN48" s="652"/>
      <c r="AO48" s="652"/>
      <c r="AP48" s="624"/>
      <c r="AQ48" s="651"/>
      <c r="AR48" s="652"/>
      <c r="AS48" s="652"/>
      <c r="AT48" s="624"/>
      <c r="AU48" s="651"/>
      <c r="AV48" s="652"/>
      <c r="AW48" s="652"/>
      <c r="AX48" s="624"/>
      <c r="AY48" s="651"/>
      <c r="AZ48" s="652"/>
      <c r="BA48" s="652"/>
      <c r="BB48" s="624"/>
      <c r="BC48" s="651"/>
      <c r="BD48" s="652"/>
      <c r="BE48" s="652"/>
      <c r="BF48" s="624"/>
      <c r="BG48" s="651"/>
      <c r="BH48" s="652"/>
      <c r="BI48" s="652"/>
      <c r="BJ48" s="624"/>
      <c r="BK48" s="651"/>
      <c r="BL48" s="652"/>
      <c r="BM48" s="652"/>
      <c r="BN48" s="624"/>
      <c r="BO48" s="651"/>
      <c r="BP48" s="652"/>
      <c r="BQ48" s="652"/>
      <c r="BR48" s="624"/>
      <c r="BS48" s="651"/>
      <c r="BT48" s="652"/>
      <c r="BU48" s="652"/>
      <c r="BV48" s="624"/>
      <c r="BW48" s="651"/>
      <c r="BX48" s="652"/>
      <c r="BY48" s="652"/>
      <c r="BZ48" s="624"/>
      <c r="CA48" s="651"/>
      <c r="CB48" s="652"/>
      <c r="CC48" s="652"/>
      <c r="CD48" s="624"/>
      <c r="CE48" s="651"/>
      <c r="CF48" s="652"/>
      <c r="CG48" s="652"/>
      <c r="CH48" s="624"/>
      <c r="CI48" s="651"/>
      <c r="CJ48" s="652"/>
      <c r="CK48" s="652"/>
      <c r="CL48" s="624"/>
      <c r="CM48" s="651"/>
      <c r="CN48" s="652"/>
      <c r="CO48" s="652"/>
      <c r="CP48" s="624"/>
      <c r="CQ48" s="651"/>
      <c r="CR48" s="652"/>
      <c r="CS48" s="652"/>
      <c r="CT48" s="624"/>
      <c r="CU48" s="651"/>
      <c r="CV48" s="652"/>
      <c r="CW48" s="1792"/>
      <c r="CX48" s="624"/>
      <c r="CY48" s="651"/>
      <c r="CZ48" s="652"/>
      <c r="DA48" s="652"/>
      <c r="DB48" s="624"/>
      <c r="DC48" s="651"/>
      <c r="DD48" s="652"/>
      <c r="DE48" s="652"/>
      <c r="DF48" s="624"/>
      <c r="DG48" s="651"/>
      <c r="DH48" s="652"/>
      <c r="DI48" s="652"/>
      <c r="DJ48" s="624"/>
      <c r="DK48" s="651"/>
      <c r="DL48" s="652"/>
      <c r="DM48" s="652"/>
      <c r="DN48" s="624"/>
      <c r="DO48" s="651"/>
      <c r="DP48" s="652"/>
      <c r="DQ48" s="652"/>
      <c r="DR48" s="624"/>
      <c r="DS48" s="651"/>
      <c r="DT48" s="290"/>
      <c r="DU48" s="295"/>
      <c r="DV48" s="295"/>
      <c r="DW48" s="293"/>
      <c r="DX48" s="290"/>
      <c r="EH48"/>
    </row>
    <row r="49" spans="1:138" s="289" customFormat="1">
      <c r="C49" s="290"/>
      <c r="P49" s="295"/>
      <c r="Q49" s="295"/>
      <c r="R49" s="293"/>
      <c r="S49" s="290"/>
      <c r="T49" s="295"/>
      <c r="U49" s="295"/>
      <c r="V49" s="293"/>
      <c r="W49" s="290"/>
      <c r="X49" s="295"/>
      <c r="Y49" s="295"/>
      <c r="Z49" s="293"/>
      <c r="AA49" s="290"/>
      <c r="AB49" s="295"/>
      <c r="AC49" s="295"/>
      <c r="AD49" s="293"/>
      <c r="AE49" s="290"/>
      <c r="AF49" s="295"/>
      <c r="AG49" s="295"/>
      <c r="AH49" s="293"/>
      <c r="AI49" s="649"/>
      <c r="AJ49" s="295"/>
      <c r="AK49" s="295"/>
      <c r="AL49" s="293"/>
      <c r="AM49" s="290"/>
      <c r="AN49" s="295"/>
      <c r="AO49" s="295"/>
      <c r="AP49" s="293"/>
      <c r="AQ49" s="290"/>
      <c r="AR49" s="295"/>
      <c r="AS49" s="295"/>
      <c r="AT49" s="293"/>
      <c r="AU49" s="290"/>
      <c r="AV49" s="295"/>
      <c r="AW49" s="295"/>
      <c r="AX49" s="293"/>
      <c r="AY49" s="290"/>
      <c r="AZ49" s="295"/>
      <c r="BA49" s="295"/>
      <c r="BB49" s="293"/>
      <c r="BC49" s="290"/>
      <c r="BD49" s="295"/>
      <c r="BE49" s="295"/>
      <c r="BF49" s="293"/>
      <c r="BG49" s="290"/>
      <c r="BH49" s="295"/>
      <c r="BI49" s="295"/>
      <c r="BJ49" s="293"/>
      <c r="BK49" s="290"/>
      <c r="BL49" s="295"/>
      <c r="BM49" s="295"/>
      <c r="BN49" s="293"/>
      <c r="BO49" s="290"/>
      <c r="BP49" s="295"/>
      <c r="BQ49" s="295"/>
      <c r="BR49" s="293"/>
      <c r="BS49" s="290"/>
      <c r="BT49" s="295"/>
      <c r="BU49" s="295"/>
      <c r="BV49" s="293"/>
      <c r="BW49" s="290"/>
      <c r="BX49" s="295"/>
      <c r="BY49" s="295"/>
      <c r="BZ49" s="293"/>
      <c r="CA49" s="290"/>
      <c r="CB49" s="295"/>
      <c r="CC49" s="295"/>
      <c r="CD49" s="293"/>
      <c r="CE49" s="290"/>
      <c r="CF49" s="295"/>
      <c r="CG49" s="295"/>
      <c r="CH49" s="293"/>
      <c r="CI49" s="290"/>
      <c r="CJ49" s="295"/>
      <c r="CK49" s="295"/>
      <c r="CL49" s="293"/>
      <c r="CM49" s="290"/>
      <c r="CN49" s="295"/>
      <c r="CO49" s="295"/>
      <c r="CP49" s="293"/>
      <c r="CQ49" s="290"/>
      <c r="CR49" s="295"/>
      <c r="CS49" s="295"/>
      <c r="CT49" s="293"/>
      <c r="CU49" s="290"/>
      <c r="CV49" s="295"/>
      <c r="CW49" s="1390"/>
      <c r="CX49" s="293"/>
      <c r="CY49" s="290"/>
      <c r="CZ49" s="295"/>
      <c r="DA49" s="295"/>
      <c r="DB49" s="293"/>
      <c r="DC49" s="290"/>
      <c r="DD49" s="295"/>
      <c r="DE49" s="295"/>
      <c r="DF49" s="293"/>
      <c r="DG49" s="290"/>
      <c r="DH49" s="295"/>
      <c r="DI49" s="295"/>
      <c r="DJ49" s="293"/>
      <c r="DK49" s="290"/>
      <c r="DL49" s="295"/>
      <c r="DM49" s="295"/>
      <c r="DN49" s="293"/>
      <c r="DO49" s="290"/>
      <c r="DP49" s="295"/>
      <c r="DQ49" s="295"/>
      <c r="DR49" s="293"/>
      <c r="DS49" s="290"/>
      <c r="DT49" s="290"/>
      <c r="DU49" s="295"/>
      <c r="DV49" s="295"/>
      <c r="DW49" s="293"/>
      <c r="DX49" s="290"/>
      <c r="EH49"/>
    </row>
    <row r="50" spans="1:138" s="289" customFormat="1">
      <c r="A50" s="102" t="s">
        <v>239</v>
      </c>
      <c r="C50" s="103" t="s">
        <v>612</v>
      </c>
      <c r="P50" s="626">
        <v>627</v>
      </c>
      <c r="Q50" s="626">
        <v>517</v>
      </c>
      <c r="R50" s="293">
        <f t="shared" ref="R50:R61" si="46">Q50</f>
        <v>517</v>
      </c>
      <c r="S50" s="290"/>
      <c r="T50" s="626">
        <v>700</v>
      </c>
      <c r="U50" s="626">
        <v>1935</v>
      </c>
      <c r="V50" s="293">
        <f t="shared" ref="V50:V61" si="47">U50</f>
        <v>1935</v>
      </c>
      <c r="W50" s="290"/>
      <c r="X50" s="626">
        <v>1118</v>
      </c>
      <c r="Y50" s="626">
        <v>1553</v>
      </c>
      <c r="Z50" s="293">
        <f t="shared" ref="Z50:Z61" si="48">Y50</f>
        <v>1553</v>
      </c>
      <c r="AA50" s="290"/>
      <c r="AB50" s="626">
        <v>1113</v>
      </c>
      <c r="AC50" s="626">
        <v>1548</v>
      </c>
      <c r="AD50" s="293">
        <f t="shared" ref="AD50:AD61" si="49">AC50</f>
        <v>1548</v>
      </c>
      <c r="AE50" s="290"/>
      <c r="AF50" s="626">
        <v>1629</v>
      </c>
      <c r="AG50" s="626">
        <v>2118</v>
      </c>
      <c r="AH50" s="293">
        <f t="shared" ref="AH50:AH62" si="50">AG50</f>
        <v>2118</v>
      </c>
      <c r="AI50" s="649"/>
      <c r="AJ50" s="626">
        <v>3724</v>
      </c>
      <c r="AK50" s="626">
        <v>4127</v>
      </c>
      <c r="AL50" s="293">
        <f t="shared" ref="AL50:AL61" si="51">AK50</f>
        <v>4127</v>
      </c>
      <c r="AM50" s="290"/>
      <c r="AN50" s="626">
        <v>5016</v>
      </c>
      <c r="AO50" s="626">
        <v>10041</v>
      </c>
      <c r="AP50" s="293">
        <f t="shared" ref="AP50:AP61" si="52">AO50</f>
        <v>10041</v>
      </c>
      <c r="AQ50" s="290"/>
      <c r="AR50" s="626">
        <v>11349</v>
      </c>
      <c r="AS50" s="626">
        <v>11858</v>
      </c>
      <c r="AT50" s="293">
        <f t="shared" ref="AT50:AT61" si="53">AS50</f>
        <v>11858</v>
      </c>
      <c r="AU50" s="290"/>
      <c r="AV50" s="626">
        <v>10284</v>
      </c>
      <c r="AW50" s="626">
        <v>9927</v>
      </c>
      <c r="AX50" s="293">
        <f t="shared" ref="AX50:AX61" si="54">AW50</f>
        <v>9927</v>
      </c>
      <c r="AY50" s="290"/>
      <c r="AZ50" s="626">
        <v>9981</v>
      </c>
      <c r="BA50" s="626">
        <v>7810</v>
      </c>
      <c r="BB50" s="293">
        <f t="shared" ref="BB50:BB61" si="55">BA50</f>
        <v>7810</v>
      </c>
      <c r="BC50" s="290"/>
      <c r="BD50" s="626">
        <v>9557</v>
      </c>
      <c r="BE50" s="626">
        <v>7803</v>
      </c>
      <c r="BF50" s="293">
        <f t="shared" ref="BF50:BF61" si="56">BE50</f>
        <v>7803</v>
      </c>
      <c r="BG50" s="290"/>
      <c r="BH50" s="626">
        <v>16703</v>
      </c>
      <c r="BI50" s="626">
        <v>18075</v>
      </c>
      <c r="BJ50" s="293">
        <f t="shared" ref="BJ50:BJ61" si="57">BI50</f>
        <v>18075</v>
      </c>
      <c r="BK50" s="290"/>
      <c r="BL50" s="626">
        <v>19625</v>
      </c>
      <c r="BM50" s="626">
        <v>19654</v>
      </c>
      <c r="BN50" s="293">
        <f t="shared" ref="BN50:BN61" si="58">BM50</f>
        <v>19654</v>
      </c>
      <c r="BO50" s="290"/>
      <c r="BP50" s="626">
        <v>16961</v>
      </c>
      <c r="BQ50" s="626">
        <v>18645</v>
      </c>
      <c r="BR50" s="293">
        <f t="shared" ref="BR50:BR57" si="59">BQ50</f>
        <v>18645</v>
      </c>
      <c r="BS50" s="290"/>
      <c r="BT50" s="626">
        <v>23525</v>
      </c>
      <c r="BU50" s="626">
        <v>23860</v>
      </c>
      <c r="BV50" s="293">
        <f t="shared" ref="BV50:BV57" si="60">BU50</f>
        <v>23860</v>
      </c>
      <c r="BW50" s="290"/>
      <c r="BX50" s="626">
        <v>23736</v>
      </c>
      <c r="BY50" s="626">
        <v>17072</v>
      </c>
      <c r="BZ50" s="293">
        <f t="shared" ref="BZ50:BZ57" si="61">BY50</f>
        <v>17072</v>
      </c>
      <c r="CA50" s="290"/>
      <c r="CB50" s="626">
        <v>17799</v>
      </c>
      <c r="CC50" s="626">
        <v>14390</v>
      </c>
      <c r="CD50" s="293">
        <f t="shared" ref="CD50:CD57" si="62">CC50</f>
        <v>14390</v>
      </c>
      <c r="CE50" s="290"/>
      <c r="CF50" s="626">
        <f>13336+6916</f>
        <v>20252</v>
      </c>
      <c r="CG50" s="626">
        <f>9318+4838</f>
        <v>14156</v>
      </c>
      <c r="CH50" s="293">
        <f t="shared" ref="CH50:CH57" si="63">CG50</f>
        <v>14156</v>
      </c>
      <c r="CI50" s="290"/>
      <c r="CJ50" s="626">
        <f>14626+5803</f>
        <v>20429</v>
      </c>
      <c r="CK50" s="626">
        <f>2334+17093</f>
        <v>19427</v>
      </c>
      <c r="CL50" s="293">
        <f t="shared" ref="CL50:CL57" si="64">CK50</f>
        <v>19427</v>
      </c>
      <c r="CM50" s="290"/>
      <c r="CN50" s="626">
        <f>4961+12288</f>
        <v>17249</v>
      </c>
      <c r="CO50" s="626">
        <f>4542+9817</f>
        <v>14359</v>
      </c>
      <c r="CP50" s="293">
        <f t="shared" ref="CP50:CP57" si="65">CO50</f>
        <v>14359</v>
      </c>
      <c r="CQ50" s="290"/>
      <c r="CR50" s="1488">
        <f>13809+10109</f>
        <v>23918</v>
      </c>
      <c r="CS50" s="1488">
        <f>16947+13896</f>
        <v>30843</v>
      </c>
      <c r="CT50" s="293">
        <f t="shared" ref="CT50:CT57" si="66">CS50</f>
        <v>30843</v>
      </c>
      <c r="CU50" s="290"/>
      <c r="CV50" s="1488">
        <v>37312</v>
      </c>
      <c r="CW50" s="1497">
        <f>18737+18912</f>
        <v>37649</v>
      </c>
      <c r="CX50" s="293">
        <f t="shared" ref="CX50:CX57" si="67">CW50</f>
        <v>37649</v>
      </c>
      <c r="CY50" s="290"/>
      <c r="CZ50" s="1488">
        <f>13507+27136</f>
        <v>40643</v>
      </c>
      <c r="DA50" s="1488">
        <f>12599+21116</f>
        <v>33715</v>
      </c>
      <c r="DB50" s="293">
        <f t="shared" ref="DB50:DB57" si="68">DA50</f>
        <v>33715</v>
      </c>
      <c r="DC50" s="290"/>
      <c r="DD50" s="1488">
        <f>3146+32541</f>
        <v>35687</v>
      </c>
      <c r="DE50" s="2176">
        <f>4933+25094</f>
        <v>30027</v>
      </c>
      <c r="DF50" s="293">
        <f t="shared" ref="DF50:DF57" si="69">DE50</f>
        <v>30027</v>
      </c>
      <c r="DG50" s="290"/>
      <c r="DH50" s="1499">
        <f>8381+25187</f>
        <v>33568</v>
      </c>
      <c r="DI50" s="293">
        <f>+DH50*(1+DI73)</f>
        <v>34575.040000000001</v>
      </c>
      <c r="DJ50" s="293">
        <f t="shared" ref="DJ50:DJ62" si="70">DI50</f>
        <v>34575.040000000001</v>
      </c>
      <c r="DK50" s="290"/>
      <c r="DL50" s="293">
        <f>+DI50*(1+DL73)</f>
        <v>35612.2912</v>
      </c>
      <c r="DM50" s="293">
        <f>+DL50*(1+DM73)</f>
        <v>36680.659936000004</v>
      </c>
      <c r="DN50" s="293">
        <f t="shared" ref="DN50:DN62" si="71">DM50</f>
        <v>36680.659936000004</v>
      </c>
      <c r="DO50" s="290"/>
      <c r="DP50" s="293">
        <f>+DM50*(1+DP73)</f>
        <v>37781.079734080005</v>
      </c>
      <c r="DQ50" s="293">
        <f>+DP50*(1+DQ73)</f>
        <v>38914.512126102403</v>
      </c>
      <c r="DR50" s="293">
        <f t="shared" ref="DR50:DR62" si="72">DQ50</f>
        <v>38914.512126102403</v>
      </c>
      <c r="DS50" s="290"/>
      <c r="DT50" s="290"/>
      <c r="DU50" s="293"/>
      <c r="DV50" s="293"/>
      <c r="DW50" s="293"/>
      <c r="DX50" s="290"/>
      <c r="EH50"/>
    </row>
    <row r="51" spans="1:138" outlineLevel="1">
      <c r="A51" s="102" t="s">
        <v>240</v>
      </c>
      <c r="C51" s="103" t="s">
        <v>612</v>
      </c>
      <c r="P51" s="626">
        <v>2409</v>
      </c>
      <c r="Q51" s="626">
        <v>2221</v>
      </c>
      <c r="R51" s="293">
        <f t="shared" si="46"/>
        <v>2221</v>
      </c>
      <c r="T51" s="626">
        <v>3941</v>
      </c>
      <c r="U51" s="626">
        <v>2597</v>
      </c>
      <c r="V51" s="293">
        <f t="shared" si="47"/>
        <v>2597</v>
      </c>
      <c r="X51" s="626">
        <v>2715</v>
      </c>
      <c r="Y51" s="626">
        <v>1983</v>
      </c>
      <c r="Z51" s="293">
        <f t="shared" si="48"/>
        <v>1983</v>
      </c>
      <c r="AB51" s="626">
        <v>2715</v>
      </c>
      <c r="AC51" s="626">
        <v>1983</v>
      </c>
      <c r="AD51" s="293">
        <f t="shared" si="49"/>
        <v>1983</v>
      </c>
      <c r="AF51" s="626">
        <v>5098</v>
      </c>
      <c r="AG51" s="626">
        <v>6995</v>
      </c>
      <c r="AH51" s="293">
        <f t="shared" si="50"/>
        <v>6995</v>
      </c>
      <c r="AI51" s="320"/>
      <c r="AJ51" s="626">
        <v>8241</v>
      </c>
      <c r="AK51" s="626">
        <v>7489</v>
      </c>
      <c r="AL51" s="293">
        <f t="shared" si="51"/>
        <v>7489</v>
      </c>
      <c r="AN51" s="626">
        <v>16945</v>
      </c>
      <c r="AO51" s="626">
        <v>13781</v>
      </c>
      <c r="AP51" s="293">
        <f t="shared" si="52"/>
        <v>13781</v>
      </c>
      <c r="AR51" s="626">
        <v>14664</v>
      </c>
      <c r="AS51" s="626">
        <v>3953</v>
      </c>
      <c r="AT51" s="293">
        <f t="shared" si="53"/>
        <v>3953</v>
      </c>
      <c r="AV51" s="626">
        <v>5328</v>
      </c>
      <c r="AW51" s="626">
        <v>7490</v>
      </c>
      <c r="AX51" s="293">
        <f t="shared" si="54"/>
        <v>7490</v>
      </c>
      <c r="AZ51" s="626">
        <v>6482</v>
      </c>
      <c r="BA51" s="626">
        <v>6617</v>
      </c>
      <c r="BB51" s="293">
        <f t="shared" si="55"/>
        <v>6617</v>
      </c>
      <c r="BD51" s="626">
        <v>8844</v>
      </c>
      <c r="BE51" s="626">
        <v>4826</v>
      </c>
      <c r="BF51" s="293">
        <f t="shared" si="56"/>
        <v>4826</v>
      </c>
      <c r="BH51" s="626">
        <v>0</v>
      </c>
      <c r="BI51" s="626">
        <v>0</v>
      </c>
      <c r="BJ51" s="293">
        <f t="shared" si="57"/>
        <v>0</v>
      </c>
      <c r="BL51" s="626">
        <v>0</v>
      </c>
      <c r="BM51" s="626">
        <v>0</v>
      </c>
      <c r="BN51" s="293">
        <f t="shared" si="58"/>
        <v>0</v>
      </c>
      <c r="BO51" s="290"/>
      <c r="BP51" s="626">
        <v>0</v>
      </c>
      <c r="BQ51" s="626">
        <v>0</v>
      </c>
      <c r="BR51" s="293">
        <f t="shared" si="59"/>
        <v>0</v>
      </c>
      <c r="BS51" s="290"/>
      <c r="BT51" s="626">
        <v>0</v>
      </c>
      <c r="BU51" s="626">
        <v>0</v>
      </c>
      <c r="BV51" s="293">
        <f t="shared" si="60"/>
        <v>0</v>
      </c>
      <c r="BW51" s="290"/>
      <c r="BX51" s="626">
        <v>0</v>
      </c>
      <c r="BY51" s="626">
        <v>0</v>
      </c>
      <c r="BZ51" s="293">
        <f t="shared" si="61"/>
        <v>0</v>
      </c>
      <c r="CA51" s="290"/>
      <c r="CB51" s="626">
        <v>0</v>
      </c>
      <c r="CC51" s="626">
        <v>0</v>
      </c>
      <c r="CD51" s="293">
        <f t="shared" si="62"/>
        <v>0</v>
      </c>
      <c r="CE51" s="290"/>
      <c r="CF51" s="626">
        <v>0</v>
      </c>
      <c r="CG51" s="626">
        <v>0</v>
      </c>
      <c r="CH51" s="293">
        <f t="shared" si="63"/>
        <v>0</v>
      </c>
      <c r="CI51" s="290"/>
      <c r="CJ51" s="626">
        <v>0</v>
      </c>
      <c r="CK51" s="626">
        <v>0</v>
      </c>
      <c r="CL51" s="293">
        <f t="shared" si="64"/>
        <v>0</v>
      </c>
      <c r="CM51" s="290"/>
      <c r="CN51" s="626">
        <v>0</v>
      </c>
      <c r="CO51" s="626">
        <v>0</v>
      </c>
      <c r="CP51" s="293">
        <f t="shared" si="65"/>
        <v>0</v>
      </c>
      <c r="CQ51" s="290"/>
      <c r="CR51" s="1488">
        <v>0</v>
      </c>
      <c r="CS51" s="1488">
        <v>0</v>
      </c>
      <c r="CT51" s="293">
        <f t="shared" si="66"/>
        <v>0</v>
      </c>
      <c r="CU51" s="290"/>
      <c r="CV51" s="1488">
        <v>0</v>
      </c>
      <c r="CW51" s="1497">
        <v>0</v>
      </c>
      <c r="CX51" s="293">
        <f t="shared" si="67"/>
        <v>0</v>
      </c>
      <c r="CY51" s="290"/>
      <c r="CZ51" s="1488">
        <v>0</v>
      </c>
      <c r="DA51" s="1488">
        <v>0</v>
      </c>
      <c r="DB51" s="293">
        <f t="shared" si="68"/>
        <v>0</v>
      </c>
      <c r="DC51" s="290"/>
      <c r="DD51" s="1488">
        <v>0</v>
      </c>
      <c r="DE51" s="1497">
        <v>0</v>
      </c>
      <c r="DF51" s="293">
        <f t="shared" si="69"/>
        <v>0</v>
      </c>
      <c r="DG51" s="290"/>
      <c r="DH51" s="1488">
        <v>0</v>
      </c>
      <c r="DI51" s="487">
        <v>0</v>
      </c>
      <c r="DJ51" s="293">
        <f t="shared" si="70"/>
        <v>0</v>
      </c>
      <c r="DK51" s="290"/>
      <c r="DL51" s="487">
        <v>0</v>
      </c>
      <c r="DM51" s="487">
        <v>0</v>
      </c>
      <c r="DN51" s="293">
        <f t="shared" si="71"/>
        <v>0</v>
      </c>
      <c r="DO51" s="290"/>
      <c r="DP51" s="487">
        <v>0</v>
      </c>
      <c r="DQ51" s="487">
        <v>0</v>
      </c>
      <c r="DR51" s="293">
        <f t="shared" si="72"/>
        <v>0</v>
      </c>
      <c r="DS51" s="290"/>
      <c r="DT51" s="290"/>
      <c r="DU51" s="487"/>
      <c r="DV51" s="487"/>
      <c r="DW51" s="293"/>
    </row>
    <row r="52" spans="1:138">
      <c r="A52" s="102" t="s">
        <v>241</v>
      </c>
      <c r="C52" s="103" t="s">
        <v>612</v>
      </c>
      <c r="P52" s="626">
        <v>1092</v>
      </c>
      <c r="Q52" s="626">
        <v>2381</v>
      </c>
      <c r="R52" s="293">
        <f t="shared" si="46"/>
        <v>2381</v>
      </c>
      <c r="T52" s="626">
        <v>3275</v>
      </c>
      <c r="U52" s="626">
        <v>5750</v>
      </c>
      <c r="V52" s="293">
        <f t="shared" si="47"/>
        <v>5750</v>
      </c>
      <c r="X52" s="626">
        <v>4076</v>
      </c>
      <c r="Y52" s="626">
        <v>7681</v>
      </c>
      <c r="Z52" s="293">
        <f t="shared" si="48"/>
        <v>7681</v>
      </c>
      <c r="AB52" s="626">
        <v>4076</v>
      </c>
      <c r="AC52" s="626">
        <v>7681</v>
      </c>
      <c r="AD52" s="293">
        <f t="shared" si="49"/>
        <v>7681</v>
      </c>
      <c r="AF52" s="626">
        <v>8514</v>
      </c>
      <c r="AG52" s="626">
        <v>10057</v>
      </c>
      <c r="AH52" s="293">
        <f t="shared" si="50"/>
        <v>10057</v>
      </c>
      <c r="AI52" s="320"/>
      <c r="AJ52" s="626">
        <v>6500</v>
      </c>
      <c r="AK52" s="626">
        <v>15922</v>
      </c>
      <c r="AL52" s="293">
        <f t="shared" si="51"/>
        <v>15922</v>
      </c>
      <c r="AN52" s="626">
        <v>9875</v>
      </c>
      <c r="AO52" s="626">
        <v>11825</v>
      </c>
      <c r="AP52" s="293">
        <f t="shared" si="52"/>
        <v>11825</v>
      </c>
      <c r="AR52" s="626">
        <v>11079</v>
      </c>
      <c r="AS52" s="626">
        <v>2161</v>
      </c>
      <c r="AT52" s="293">
        <f t="shared" si="53"/>
        <v>2161</v>
      </c>
      <c r="AV52" s="626">
        <v>7368</v>
      </c>
      <c r="AW52" s="626">
        <v>5432</v>
      </c>
      <c r="AX52" s="293">
        <f t="shared" si="54"/>
        <v>5432</v>
      </c>
      <c r="AZ52" s="626">
        <v>5811</v>
      </c>
      <c r="BA52" s="626">
        <v>5808</v>
      </c>
      <c r="BB52" s="293">
        <f t="shared" si="55"/>
        <v>5808</v>
      </c>
      <c r="BD52" s="626">
        <v>4425</v>
      </c>
      <c r="BE52" s="626">
        <v>3615</v>
      </c>
      <c r="BF52" s="293">
        <f t="shared" si="56"/>
        <v>3615</v>
      </c>
      <c r="BH52" s="626">
        <v>3641</v>
      </c>
      <c r="BI52" s="626">
        <v>1497</v>
      </c>
      <c r="BJ52" s="293">
        <f t="shared" si="57"/>
        <v>1497</v>
      </c>
      <c r="BL52" s="626">
        <v>3485</v>
      </c>
      <c r="BM52" s="626">
        <v>2762</v>
      </c>
      <c r="BN52" s="293">
        <f t="shared" si="58"/>
        <v>2762</v>
      </c>
      <c r="BP52" s="626">
        <v>4118</v>
      </c>
      <c r="BQ52" s="626">
        <v>5295</v>
      </c>
      <c r="BR52" s="293">
        <f t="shared" si="59"/>
        <v>5295</v>
      </c>
      <c r="BT52" s="626">
        <v>8702</v>
      </c>
      <c r="BU52" s="626">
        <v>5030</v>
      </c>
      <c r="BV52" s="293">
        <f t="shared" si="60"/>
        <v>5030</v>
      </c>
      <c r="BX52" s="626">
        <v>5714</v>
      </c>
      <c r="BY52" s="626">
        <v>5067</v>
      </c>
      <c r="BZ52" s="293">
        <f t="shared" si="61"/>
        <v>5067</v>
      </c>
      <c r="CB52" s="626">
        <v>7451</v>
      </c>
      <c r="CC52" s="626">
        <v>8061</v>
      </c>
      <c r="CD52" s="293">
        <f t="shared" si="62"/>
        <v>8061</v>
      </c>
      <c r="CF52" s="626">
        <v>7197</v>
      </c>
      <c r="CG52" s="626">
        <v>8108</v>
      </c>
      <c r="CH52" s="293">
        <f t="shared" si="63"/>
        <v>8108</v>
      </c>
      <c r="CJ52" s="626">
        <v>8146</v>
      </c>
      <c r="CK52" s="626">
        <v>5544</v>
      </c>
      <c r="CL52" s="293">
        <f t="shared" si="64"/>
        <v>5544</v>
      </c>
      <c r="CN52" s="626">
        <v>6136</v>
      </c>
      <c r="CO52" s="626">
        <v>6205</v>
      </c>
      <c r="CP52" s="293">
        <f t="shared" si="65"/>
        <v>6205</v>
      </c>
      <c r="CR52" s="1488">
        <v>5495</v>
      </c>
      <c r="CS52" s="1488">
        <v>5290</v>
      </c>
      <c r="CT52" s="293">
        <f t="shared" si="66"/>
        <v>5290</v>
      </c>
      <c r="CV52" s="1488">
        <v>6443</v>
      </c>
      <c r="CW52" s="1497">
        <v>4810</v>
      </c>
      <c r="CX52" s="293">
        <f t="shared" si="67"/>
        <v>4810</v>
      </c>
      <c r="CZ52" s="1488">
        <v>8222</v>
      </c>
      <c r="DA52" s="1488">
        <v>5044</v>
      </c>
      <c r="DB52" s="293">
        <f t="shared" si="68"/>
        <v>5044</v>
      </c>
      <c r="DD52" s="1488">
        <v>5235</v>
      </c>
      <c r="DE52" s="2176">
        <v>5851</v>
      </c>
      <c r="DF52" s="293">
        <f t="shared" si="69"/>
        <v>5851</v>
      </c>
      <c r="DH52" s="2259">
        <v>11565</v>
      </c>
      <c r="DI52" s="293">
        <f>DI236</f>
        <v>11911.95</v>
      </c>
      <c r="DJ52" s="293">
        <f t="shared" si="70"/>
        <v>11911.95</v>
      </c>
      <c r="DL52" s="293">
        <f>DL236</f>
        <v>12269.308500000001</v>
      </c>
      <c r="DM52" s="293">
        <f>DM236</f>
        <v>12637.387755000002</v>
      </c>
      <c r="DN52" s="293">
        <f t="shared" si="71"/>
        <v>12637.387755000002</v>
      </c>
      <c r="DP52" s="293">
        <f>DP236</f>
        <v>13016.509387650001</v>
      </c>
      <c r="DQ52" s="293">
        <f>DQ236</f>
        <v>13407.004669279502</v>
      </c>
      <c r="DR52" s="293">
        <f t="shared" si="72"/>
        <v>13407.004669279502</v>
      </c>
      <c r="DU52" s="293"/>
      <c r="DV52" s="293"/>
      <c r="DW52" s="293"/>
    </row>
    <row r="53" spans="1:138">
      <c r="A53" s="102" t="s">
        <v>242</v>
      </c>
      <c r="C53" s="103" t="s">
        <v>612</v>
      </c>
      <c r="P53" s="626">
        <v>0</v>
      </c>
      <c r="Q53" s="626">
        <v>0</v>
      </c>
      <c r="R53" s="293">
        <f t="shared" si="46"/>
        <v>0</v>
      </c>
      <c r="T53" s="626">
        <v>0</v>
      </c>
      <c r="U53" s="626">
        <v>0</v>
      </c>
      <c r="V53" s="293">
        <f t="shared" si="47"/>
        <v>0</v>
      </c>
      <c r="X53" s="626">
        <v>0</v>
      </c>
      <c r="Y53" s="626">
        <v>0</v>
      </c>
      <c r="Z53" s="293">
        <f t="shared" si="48"/>
        <v>0</v>
      </c>
      <c r="AB53" s="626">
        <v>5359</v>
      </c>
      <c r="AC53" s="626">
        <v>6224</v>
      </c>
      <c r="AD53" s="293">
        <f t="shared" si="49"/>
        <v>6224</v>
      </c>
      <c r="AF53" s="626">
        <v>6877</v>
      </c>
      <c r="AG53" s="626">
        <v>10057</v>
      </c>
      <c r="AH53" s="293">
        <f t="shared" si="50"/>
        <v>10057</v>
      </c>
      <c r="AI53" s="320"/>
      <c r="AJ53" s="626">
        <v>10461</v>
      </c>
      <c r="AK53" s="626">
        <v>11069</v>
      </c>
      <c r="AL53" s="293">
        <f t="shared" si="51"/>
        <v>11069</v>
      </c>
      <c r="AN53" s="626">
        <v>15555</v>
      </c>
      <c r="AO53" s="626">
        <v>21399</v>
      </c>
      <c r="AP53" s="293">
        <f t="shared" si="52"/>
        <v>21399</v>
      </c>
      <c r="AR53" s="626">
        <v>24430</v>
      </c>
      <c r="AS53" s="626">
        <v>27371</v>
      </c>
      <c r="AT53" s="293">
        <f t="shared" si="53"/>
        <v>27371</v>
      </c>
      <c r="AV53" s="626">
        <v>21552</v>
      </c>
      <c r="AW53" s="626">
        <v>21706</v>
      </c>
      <c r="AX53" s="293">
        <f t="shared" si="54"/>
        <v>21706</v>
      </c>
      <c r="AZ53" s="626">
        <v>24326</v>
      </c>
      <c r="BA53" s="626">
        <v>21572</v>
      </c>
      <c r="BB53" s="293">
        <f t="shared" si="55"/>
        <v>21572</v>
      </c>
      <c r="BD53" s="626">
        <v>32240</v>
      </c>
      <c r="BE53" s="626">
        <v>21022</v>
      </c>
      <c r="BF53" s="293">
        <f t="shared" si="56"/>
        <v>21022</v>
      </c>
      <c r="BH53" s="626">
        <v>21047</v>
      </c>
      <c r="BI53" s="626">
        <v>14853</v>
      </c>
      <c r="BJ53" s="293">
        <f t="shared" si="57"/>
        <v>14853</v>
      </c>
      <c r="BL53" s="626">
        <v>14149</v>
      </c>
      <c r="BM53" s="626">
        <v>11973</v>
      </c>
      <c r="BN53" s="293">
        <f t="shared" si="58"/>
        <v>11973</v>
      </c>
      <c r="BP53" s="626">
        <v>14634</v>
      </c>
      <c r="BQ53" s="626">
        <v>18267</v>
      </c>
      <c r="BR53" s="293">
        <f t="shared" si="59"/>
        <v>18267</v>
      </c>
      <c r="BT53" s="626">
        <v>20018</v>
      </c>
      <c r="BU53" s="626">
        <v>14744</v>
      </c>
      <c r="BV53" s="293">
        <f t="shared" si="60"/>
        <v>14744</v>
      </c>
      <c r="BX53" s="626">
        <v>12949</v>
      </c>
      <c r="BY53" s="626">
        <v>11128</v>
      </c>
      <c r="BZ53" s="293">
        <f t="shared" si="61"/>
        <v>11128</v>
      </c>
      <c r="CB53" s="626">
        <v>10717</v>
      </c>
      <c r="CC53" s="626">
        <v>11925</v>
      </c>
      <c r="CD53" s="293">
        <f t="shared" si="62"/>
        <v>11925</v>
      </c>
      <c r="CF53" s="626">
        <v>18205</v>
      </c>
      <c r="CG53" s="626">
        <v>12666</v>
      </c>
      <c r="CH53" s="293">
        <f t="shared" si="63"/>
        <v>12666</v>
      </c>
      <c r="CJ53" s="626">
        <v>14514</v>
      </c>
      <c r="CK53" s="626">
        <v>38399</v>
      </c>
      <c r="CL53" s="293">
        <f t="shared" si="64"/>
        <v>38399</v>
      </c>
      <c r="CN53" s="626">
        <v>16467</v>
      </c>
      <c r="CO53" s="626">
        <v>17579</v>
      </c>
      <c r="CP53" s="293">
        <f t="shared" si="65"/>
        <v>17579</v>
      </c>
      <c r="CR53" s="1488">
        <v>77980</v>
      </c>
      <c r="CS53" s="1488">
        <v>84464</v>
      </c>
      <c r="CT53" s="293">
        <f t="shared" si="66"/>
        <v>84464</v>
      </c>
      <c r="CV53" s="1488">
        <v>111734</v>
      </c>
      <c r="CW53" s="1497">
        <v>32790</v>
      </c>
      <c r="CX53" s="293">
        <f t="shared" si="67"/>
        <v>32790</v>
      </c>
      <c r="CZ53" s="1488">
        <v>29527</v>
      </c>
      <c r="DA53" s="1488">
        <v>25585</v>
      </c>
      <c r="DB53" s="293">
        <f t="shared" si="68"/>
        <v>25585</v>
      </c>
      <c r="DD53" s="1488">
        <v>22340</v>
      </c>
      <c r="DE53" s="2176">
        <v>23368</v>
      </c>
      <c r="DF53" s="293">
        <f t="shared" si="69"/>
        <v>23368</v>
      </c>
      <c r="DH53" s="2259">
        <v>23528</v>
      </c>
      <c r="DI53" s="293">
        <f>DI240</f>
        <v>24233.840000000004</v>
      </c>
      <c r="DJ53" s="293">
        <f t="shared" si="70"/>
        <v>24233.840000000004</v>
      </c>
      <c r="DL53" s="293">
        <f>DL240</f>
        <v>24960.855200000002</v>
      </c>
      <c r="DM53" s="293">
        <f>DM240</f>
        <v>25709.680856000003</v>
      </c>
      <c r="DN53" s="293">
        <f t="shared" si="71"/>
        <v>25709.680856000003</v>
      </c>
      <c r="DP53" s="293">
        <f>DP240</f>
        <v>26480.971281680002</v>
      </c>
      <c r="DQ53" s="293">
        <f>DQ240</f>
        <v>27275.400420130405</v>
      </c>
      <c r="DR53" s="293">
        <f t="shared" si="72"/>
        <v>27275.400420130405</v>
      </c>
      <c r="DU53" s="293"/>
      <c r="DV53" s="293"/>
      <c r="DW53" s="293"/>
    </row>
    <row r="54" spans="1:138">
      <c r="A54" s="102" t="s">
        <v>243</v>
      </c>
      <c r="C54" s="103" t="s">
        <v>612</v>
      </c>
      <c r="P54" s="626">
        <v>4466</v>
      </c>
      <c r="Q54" s="626">
        <v>3966</v>
      </c>
      <c r="R54" s="293">
        <f t="shared" si="46"/>
        <v>3966</v>
      </c>
      <c r="T54" s="626">
        <v>3876</v>
      </c>
      <c r="U54" s="626">
        <v>4215</v>
      </c>
      <c r="V54" s="293">
        <f t="shared" si="47"/>
        <v>4215</v>
      </c>
      <c r="X54" s="626">
        <v>4738</v>
      </c>
      <c r="Y54" s="626">
        <v>5403</v>
      </c>
      <c r="Z54" s="293">
        <f t="shared" si="48"/>
        <v>5403</v>
      </c>
      <c r="AB54" s="626">
        <v>6503</v>
      </c>
      <c r="AC54" s="626">
        <v>7240</v>
      </c>
      <c r="AD54" s="293">
        <f t="shared" si="49"/>
        <v>7240</v>
      </c>
      <c r="AF54" s="626">
        <v>8545</v>
      </c>
      <c r="AG54" s="626">
        <v>9267</v>
      </c>
      <c r="AH54" s="293">
        <f t="shared" si="50"/>
        <v>9267</v>
      </c>
      <c r="AI54" s="320"/>
      <c r="AJ54" s="626">
        <v>10249</v>
      </c>
      <c r="AK54" s="626">
        <v>12403</v>
      </c>
      <c r="AL54" s="293">
        <f t="shared" si="51"/>
        <v>12403</v>
      </c>
      <c r="AN54" s="626">
        <v>12305</v>
      </c>
      <c r="AO54" s="626">
        <v>15783</v>
      </c>
      <c r="AP54" s="293">
        <f t="shared" si="52"/>
        <v>15783</v>
      </c>
      <c r="AR54" s="626">
        <v>16955</v>
      </c>
      <c r="AS54" s="626">
        <v>21868</v>
      </c>
      <c r="AT54" s="293">
        <f t="shared" si="53"/>
        <v>21868</v>
      </c>
      <c r="AV54" s="626">
        <v>20692</v>
      </c>
      <c r="AW54" s="626">
        <v>22484</v>
      </c>
      <c r="AX54" s="293">
        <f t="shared" si="54"/>
        <v>22484</v>
      </c>
      <c r="AY54" s="654"/>
      <c r="AZ54" s="626">
        <v>35047</v>
      </c>
      <c r="BA54" s="626">
        <v>35338</v>
      </c>
      <c r="BB54" s="293">
        <f t="shared" si="55"/>
        <v>35338</v>
      </c>
      <c r="BC54" s="654"/>
      <c r="BD54" s="626">
        <v>38050</v>
      </c>
      <c r="BE54" s="626">
        <v>37169</v>
      </c>
      <c r="BF54" s="293">
        <f t="shared" si="56"/>
        <v>37169</v>
      </c>
      <c r="BG54" s="654"/>
      <c r="BH54" s="626">
        <v>39959</v>
      </c>
      <c r="BI54" s="626">
        <v>41103</v>
      </c>
      <c r="BJ54" s="293">
        <f t="shared" si="57"/>
        <v>41103</v>
      </c>
      <c r="BK54" s="654"/>
      <c r="BL54" s="626">
        <v>42694</v>
      </c>
      <c r="BM54" s="626">
        <v>42401</v>
      </c>
      <c r="BN54" s="293">
        <f t="shared" si="58"/>
        <v>42401</v>
      </c>
      <c r="BO54" s="654"/>
      <c r="BP54" s="626">
        <v>44216</v>
      </c>
      <c r="BQ54" s="626">
        <v>47386</v>
      </c>
      <c r="BR54" s="293">
        <f t="shared" si="59"/>
        <v>47386</v>
      </c>
      <c r="BS54" s="654"/>
      <c r="BT54" s="626">
        <v>51915</v>
      </c>
      <c r="BU54" s="626">
        <v>52245</v>
      </c>
      <c r="BV54" s="293">
        <f t="shared" si="60"/>
        <v>52245</v>
      </c>
      <c r="BW54" s="654"/>
      <c r="BX54" s="626">
        <v>55438</v>
      </c>
      <c r="BY54" s="626">
        <v>57708</v>
      </c>
      <c r="BZ54" s="293">
        <f t="shared" si="61"/>
        <v>57708</v>
      </c>
      <c r="CA54" s="654"/>
      <c r="CB54" s="626">
        <v>49330</v>
      </c>
      <c r="CC54" s="626">
        <v>48395</v>
      </c>
      <c r="CD54" s="293">
        <f t="shared" si="62"/>
        <v>48395</v>
      </c>
      <c r="CE54" s="654"/>
      <c r="CF54" s="626">
        <v>52620</v>
      </c>
      <c r="CG54" s="626">
        <v>56191</v>
      </c>
      <c r="CH54" s="293">
        <f t="shared" si="63"/>
        <v>56191</v>
      </c>
      <c r="CI54" s="654"/>
      <c r="CJ54" s="626">
        <v>59042</v>
      </c>
      <c r="CK54" s="626">
        <v>67342</v>
      </c>
      <c r="CL54" s="293">
        <f t="shared" si="64"/>
        <v>67342</v>
      </c>
      <c r="CM54" s="654"/>
      <c r="CN54" s="626">
        <v>77258</v>
      </c>
      <c r="CO54" s="626">
        <v>84199</v>
      </c>
      <c r="CP54" s="293">
        <f t="shared" si="65"/>
        <v>84199</v>
      </c>
      <c r="CQ54" s="654"/>
      <c r="CR54" s="1488">
        <v>91736</v>
      </c>
      <c r="CS54" s="1488">
        <v>101667</v>
      </c>
      <c r="CT54" s="293">
        <f t="shared" si="66"/>
        <v>101667</v>
      </c>
      <c r="CU54" s="654"/>
      <c r="CV54" s="1488">
        <v>122227</v>
      </c>
      <c r="CW54" s="1497">
        <v>134714</v>
      </c>
      <c r="CX54" s="293">
        <f t="shared" si="67"/>
        <v>134714</v>
      </c>
      <c r="CY54" s="654"/>
      <c r="CZ54" s="1488">
        <v>135966</v>
      </c>
      <c r="DA54" s="1488">
        <v>148416</v>
      </c>
      <c r="DB54" s="293">
        <f t="shared" si="68"/>
        <v>148416</v>
      </c>
      <c r="DC54" s="654"/>
      <c r="DD54" s="1488">
        <v>158472</v>
      </c>
      <c r="DE54" s="2176">
        <v>177671</v>
      </c>
      <c r="DF54" s="293">
        <f t="shared" si="69"/>
        <v>177671</v>
      </c>
      <c r="DG54" s="654"/>
      <c r="DH54" s="2259">
        <v>198769</v>
      </c>
      <c r="DI54" s="293">
        <f>+DH54*(1+DI77)</f>
        <v>208707.45</v>
      </c>
      <c r="DJ54" s="293">
        <f t="shared" si="70"/>
        <v>208707.45</v>
      </c>
      <c r="DK54" s="654"/>
      <c r="DL54" s="293">
        <f>+DI54*(1+DL77)</f>
        <v>219142.82250000001</v>
      </c>
      <c r="DM54" s="293">
        <f>+DL54*(1+DM77)</f>
        <v>230099.96362500003</v>
      </c>
      <c r="DN54" s="293">
        <f t="shared" si="71"/>
        <v>230099.96362500003</v>
      </c>
      <c r="DO54" s="654"/>
      <c r="DP54" s="293">
        <f>+DM54*(1+DP77)</f>
        <v>241604.96180625004</v>
      </c>
      <c r="DQ54" s="293">
        <f>+DP54*(1+DQ77)</f>
        <v>253685.20989656256</v>
      </c>
      <c r="DR54" s="293">
        <f t="shared" si="72"/>
        <v>253685.20989656256</v>
      </c>
      <c r="DS54" s="654"/>
      <c r="DU54" s="293"/>
      <c r="DV54" s="293"/>
      <c r="DW54" s="293"/>
    </row>
    <row r="55" spans="1:138" outlineLevel="1">
      <c r="A55" s="102" t="s">
        <v>244</v>
      </c>
      <c r="C55" s="103" t="s">
        <v>612</v>
      </c>
      <c r="P55" s="626">
        <v>11412</v>
      </c>
      <c r="Q55" s="626">
        <v>10069</v>
      </c>
      <c r="R55" s="293">
        <f t="shared" si="46"/>
        <v>10069</v>
      </c>
      <c r="T55" s="626">
        <v>11120</v>
      </c>
      <c r="U55" s="626">
        <v>12608</v>
      </c>
      <c r="V55" s="293">
        <f t="shared" si="47"/>
        <v>12608</v>
      </c>
      <c r="X55" s="626">
        <v>13070</v>
      </c>
      <c r="Y55" s="626">
        <v>13866</v>
      </c>
      <c r="Z55" s="293">
        <f t="shared" si="48"/>
        <v>13866</v>
      </c>
      <c r="AB55" s="626">
        <v>25902</v>
      </c>
      <c r="AC55" s="626">
        <v>28161</v>
      </c>
      <c r="AD55" s="293">
        <f t="shared" si="49"/>
        <v>28161</v>
      </c>
      <c r="AF55" s="626">
        <v>0</v>
      </c>
      <c r="AG55" s="626">
        <v>0</v>
      </c>
      <c r="AH55" s="293">
        <f t="shared" si="50"/>
        <v>0</v>
      </c>
      <c r="AI55" s="320"/>
      <c r="AJ55" s="626">
        <v>0</v>
      </c>
      <c r="AK55" s="626">
        <v>0</v>
      </c>
      <c r="AL55" s="293">
        <f t="shared" si="51"/>
        <v>0</v>
      </c>
      <c r="AN55" s="626">
        <v>0</v>
      </c>
      <c r="AO55" s="626">
        <v>0</v>
      </c>
      <c r="AP55" s="293">
        <f t="shared" si="52"/>
        <v>0</v>
      </c>
      <c r="AR55" s="626">
        <v>0</v>
      </c>
      <c r="AS55" s="626">
        <v>0</v>
      </c>
      <c r="AT55" s="293">
        <f t="shared" si="53"/>
        <v>0</v>
      </c>
      <c r="AV55" s="626">
        <v>0</v>
      </c>
      <c r="AW55" s="626">
        <v>0</v>
      </c>
      <c r="AX55" s="293">
        <f t="shared" si="54"/>
        <v>0</v>
      </c>
      <c r="AZ55" s="626">
        <v>0</v>
      </c>
      <c r="BA55" s="626">
        <v>0</v>
      </c>
      <c r="BB55" s="293">
        <f t="shared" si="55"/>
        <v>0</v>
      </c>
      <c r="BD55" s="626">
        <v>0</v>
      </c>
      <c r="BE55" s="626">
        <v>0</v>
      </c>
      <c r="BF55" s="293">
        <f t="shared" si="56"/>
        <v>0</v>
      </c>
      <c r="BH55" s="626">
        <v>0</v>
      </c>
      <c r="BI55" s="626">
        <v>0</v>
      </c>
      <c r="BJ55" s="293">
        <f t="shared" si="57"/>
        <v>0</v>
      </c>
      <c r="BL55" s="626">
        <v>0</v>
      </c>
      <c r="BM55" s="626">
        <v>0</v>
      </c>
      <c r="BN55" s="293">
        <f t="shared" si="58"/>
        <v>0</v>
      </c>
      <c r="BO55" s="290"/>
      <c r="BP55" s="626">
        <v>0</v>
      </c>
      <c r="BQ55" s="626">
        <v>0</v>
      </c>
      <c r="BR55" s="293">
        <f t="shared" si="59"/>
        <v>0</v>
      </c>
      <c r="BS55" s="290"/>
      <c r="BT55" s="626">
        <v>0</v>
      </c>
      <c r="BU55" s="626">
        <v>0</v>
      </c>
      <c r="BV55" s="293">
        <f t="shared" si="60"/>
        <v>0</v>
      </c>
      <c r="BW55" s="290"/>
      <c r="BX55" s="626">
        <v>0</v>
      </c>
      <c r="BY55" s="626">
        <v>0</v>
      </c>
      <c r="BZ55" s="293">
        <f t="shared" si="61"/>
        <v>0</v>
      </c>
      <c r="CA55" s="290"/>
      <c r="CB55" s="626">
        <v>0</v>
      </c>
      <c r="CC55" s="626">
        <v>0</v>
      </c>
      <c r="CD55" s="293">
        <f t="shared" si="62"/>
        <v>0</v>
      </c>
      <c r="CE55" s="290"/>
      <c r="CF55" s="626">
        <v>0</v>
      </c>
      <c r="CG55" s="626">
        <v>0</v>
      </c>
      <c r="CH55" s="293">
        <f t="shared" si="63"/>
        <v>0</v>
      </c>
      <c r="CI55" s="290"/>
      <c r="CJ55" s="626">
        <v>0</v>
      </c>
      <c r="CK55" s="626">
        <v>0</v>
      </c>
      <c r="CL55" s="293">
        <f t="shared" si="64"/>
        <v>0</v>
      </c>
      <c r="CM55" s="290"/>
      <c r="CN55" s="626">
        <v>0</v>
      </c>
      <c r="CO55" s="626">
        <v>0</v>
      </c>
      <c r="CP55" s="293">
        <f t="shared" si="65"/>
        <v>0</v>
      </c>
      <c r="CQ55" s="290"/>
      <c r="CR55" s="1488">
        <v>0</v>
      </c>
      <c r="CS55" s="1488">
        <v>0</v>
      </c>
      <c r="CT55" s="293">
        <f t="shared" si="66"/>
        <v>0</v>
      </c>
      <c r="CU55" s="290"/>
      <c r="CV55" s="1488">
        <v>0</v>
      </c>
      <c r="CW55" s="1497">
        <v>0</v>
      </c>
      <c r="CX55" s="293">
        <f t="shared" si="67"/>
        <v>0</v>
      </c>
      <c r="CY55" s="290"/>
      <c r="CZ55" s="1488">
        <v>0</v>
      </c>
      <c r="DA55" s="1488">
        <v>0</v>
      </c>
      <c r="DB55" s="293">
        <f t="shared" si="68"/>
        <v>0</v>
      </c>
      <c r="DC55" s="290"/>
      <c r="DD55" s="1488">
        <v>0</v>
      </c>
      <c r="DE55" s="1497">
        <v>0</v>
      </c>
      <c r="DF55" s="293">
        <f t="shared" si="69"/>
        <v>0</v>
      </c>
      <c r="DG55" s="290"/>
      <c r="DH55" s="1488">
        <v>0</v>
      </c>
      <c r="DI55" s="487">
        <v>0</v>
      </c>
      <c r="DJ55" s="293">
        <f t="shared" si="70"/>
        <v>0</v>
      </c>
      <c r="DK55" s="290"/>
      <c r="DL55" s="487">
        <v>0</v>
      </c>
      <c r="DM55" s="487">
        <v>0</v>
      </c>
      <c r="DN55" s="293">
        <f t="shared" si="71"/>
        <v>0</v>
      </c>
      <c r="DO55" s="290"/>
      <c r="DP55" s="487">
        <v>0</v>
      </c>
      <c r="DQ55" s="487">
        <v>0</v>
      </c>
      <c r="DR55" s="293">
        <f t="shared" si="72"/>
        <v>0</v>
      </c>
      <c r="DS55" s="290"/>
      <c r="DT55" s="290"/>
      <c r="DU55" s="487"/>
      <c r="DV55" s="487"/>
      <c r="DW55" s="293"/>
    </row>
    <row r="56" spans="1:138">
      <c r="A56" s="102" t="s">
        <v>245</v>
      </c>
      <c r="C56" s="103" t="s">
        <v>612</v>
      </c>
      <c r="P56" s="626">
        <v>0</v>
      </c>
      <c r="Q56" s="626">
        <v>0</v>
      </c>
      <c r="R56" s="293">
        <f t="shared" si="46"/>
        <v>0</v>
      </c>
      <c r="T56" s="626">
        <v>0</v>
      </c>
      <c r="U56" s="626">
        <v>0</v>
      </c>
      <c r="V56" s="293">
        <f t="shared" si="47"/>
        <v>0</v>
      </c>
      <c r="X56" s="626">
        <v>0</v>
      </c>
      <c r="Y56" s="626">
        <v>0</v>
      </c>
      <c r="Z56" s="293">
        <f t="shared" si="48"/>
        <v>0</v>
      </c>
      <c r="AB56" s="626">
        <v>0</v>
      </c>
      <c r="AC56" s="626">
        <v>0</v>
      </c>
      <c r="AD56" s="293">
        <f t="shared" si="49"/>
        <v>0</v>
      </c>
      <c r="AF56" s="626">
        <v>30427</v>
      </c>
      <c r="AG56" s="626">
        <v>39022</v>
      </c>
      <c r="AH56" s="293">
        <f t="shared" si="50"/>
        <v>39022</v>
      </c>
      <c r="AI56" s="320"/>
      <c r="AJ56" s="626">
        <v>42317</v>
      </c>
      <c r="AK56" s="626">
        <v>51365</v>
      </c>
      <c r="AL56" s="293">
        <f t="shared" si="51"/>
        <v>51365</v>
      </c>
      <c r="AN56" s="626">
        <v>55304</v>
      </c>
      <c r="AO56" s="626">
        <v>57115</v>
      </c>
      <c r="AP56" s="293">
        <f t="shared" si="52"/>
        <v>57115</v>
      </c>
      <c r="AR56" s="626">
        <v>52485</v>
      </c>
      <c r="AS56" s="626">
        <v>48270</v>
      </c>
      <c r="AT56" s="293">
        <f t="shared" si="53"/>
        <v>48270</v>
      </c>
      <c r="AV56" s="626">
        <v>44896</v>
      </c>
      <c r="AW56" s="626">
        <v>42614</v>
      </c>
      <c r="AX56" s="293">
        <f t="shared" si="54"/>
        <v>42614</v>
      </c>
      <c r="AZ56" s="626">
        <v>39955</v>
      </c>
      <c r="BA56" s="626">
        <v>41177</v>
      </c>
      <c r="BB56" s="293">
        <f t="shared" si="55"/>
        <v>41177</v>
      </c>
      <c r="BD56" s="626">
        <v>42258</v>
      </c>
      <c r="BE56" s="626">
        <v>39713</v>
      </c>
      <c r="BF56" s="293">
        <f t="shared" si="56"/>
        <v>39713</v>
      </c>
      <c r="BH56" s="626">
        <v>40714</v>
      </c>
      <c r="BI56" s="626">
        <v>38014</v>
      </c>
      <c r="BJ56" s="293">
        <f t="shared" si="57"/>
        <v>38014</v>
      </c>
      <c r="BL56" s="626">
        <v>43755</v>
      </c>
      <c r="BM56" s="626">
        <v>45565</v>
      </c>
      <c r="BN56" s="293">
        <f t="shared" si="58"/>
        <v>45565</v>
      </c>
      <c r="BP56" s="626">
        <v>51076</v>
      </c>
      <c r="BQ56" s="626">
        <v>61463</v>
      </c>
      <c r="BR56" s="293">
        <f t="shared" si="59"/>
        <v>61463</v>
      </c>
      <c r="BT56" s="626">
        <v>65466</v>
      </c>
      <c r="BU56" s="626">
        <v>63685</v>
      </c>
      <c r="BV56" s="293">
        <f t="shared" si="60"/>
        <v>63685</v>
      </c>
      <c r="BX56" s="626">
        <v>57617</v>
      </c>
      <c r="BY56" s="626">
        <v>50828</v>
      </c>
      <c r="BZ56" s="293">
        <f t="shared" si="61"/>
        <v>50828</v>
      </c>
      <c r="CB56" s="626">
        <v>54551</v>
      </c>
      <c r="CC56" s="626">
        <v>55927</v>
      </c>
      <c r="CD56" s="293">
        <f t="shared" si="62"/>
        <v>55927</v>
      </c>
      <c r="CF56" s="626">
        <v>51665</v>
      </c>
      <c r="CG56" s="626">
        <v>50188</v>
      </c>
      <c r="CH56" s="293">
        <f t="shared" si="63"/>
        <v>50188</v>
      </c>
      <c r="CJ56" s="626">
        <v>56070</v>
      </c>
      <c r="CK56" s="626">
        <v>64556</v>
      </c>
      <c r="CL56" s="293">
        <f t="shared" si="64"/>
        <v>64556</v>
      </c>
      <c r="CN56" s="626">
        <v>56339</v>
      </c>
      <c r="CO56" s="626">
        <v>60980</v>
      </c>
      <c r="CP56" s="293">
        <f t="shared" si="65"/>
        <v>60980</v>
      </c>
      <c r="CR56" s="1488">
        <v>80043</v>
      </c>
      <c r="CS56" s="1488">
        <v>99527</v>
      </c>
      <c r="CT56" s="293">
        <f t="shared" si="66"/>
        <v>99527</v>
      </c>
      <c r="CV56" s="1488">
        <v>113719</v>
      </c>
      <c r="CW56" s="1497">
        <v>90549</v>
      </c>
      <c r="CX56" s="293">
        <f t="shared" si="67"/>
        <v>90549</v>
      </c>
      <c r="CZ56" s="1488">
        <v>119886</v>
      </c>
      <c r="DA56" s="1488">
        <v>119878</v>
      </c>
      <c r="DB56" s="293">
        <f t="shared" si="68"/>
        <v>119878</v>
      </c>
      <c r="DD56" s="1488">
        <v>130478</v>
      </c>
      <c r="DE56" s="2176">
        <v>135172</v>
      </c>
      <c r="DF56" s="293">
        <f t="shared" si="69"/>
        <v>135172</v>
      </c>
      <c r="DH56" s="2259">
        <v>144391</v>
      </c>
      <c r="DI56" s="293">
        <f>+DH56*(1+DI79)</f>
        <v>148722.73000000001</v>
      </c>
      <c r="DJ56" s="293">
        <f t="shared" si="70"/>
        <v>148722.73000000001</v>
      </c>
      <c r="DL56" s="293">
        <f>+DI56*(1+DL79)</f>
        <v>153184.41190000001</v>
      </c>
      <c r="DM56" s="293">
        <f>+DL56*(1+DM79)</f>
        <v>157779.94425700002</v>
      </c>
      <c r="DN56" s="293">
        <f t="shared" si="71"/>
        <v>157779.94425700002</v>
      </c>
      <c r="DP56" s="293">
        <f>+DM56*(1+DP79)</f>
        <v>162513.34258471002</v>
      </c>
      <c r="DQ56" s="293">
        <f>+DP56*(1+DQ79)</f>
        <v>167388.74286225133</v>
      </c>
      <c r="DR56" s="293">
        <f t="shared" si="72"/>
        <v>167388.74286225133</v>
      </c>
      <c r="DU56" s="293"/>
      <c r="DV56" s="293"/>
      <c r="DW56" s="293"/>
    </row>
    <row r="57" spans="1:138">
      <c r="A57" s="102" t="s">
        <v>1174</v>
      </c>
      <c r="C57" s="103" t="s">
        <v>612</v>
      </c>
      <c r="P57" s="626">
        <v>4711</v>
      </c>
      <c r="Q57" s="626">
        <v>4718</v>
      </c>
      <c r="R57" s="293">
        <f t="shared" si="46"/>
        <v>4718</v>
      </c>
      <c r="T57" s="626">
        <v>4830</v>
      </c>
      <c r="U57" s="626">
        <v>5821</v>
      </c>
      <c r="V57" s="293">
        <f t="shared" si="47"/>
        <v>5821</v>
      </c>
      <c r="X57" s="626">
        <v>4559</v>
      </c>
      <c r="Y57" s="626">
        <v>5226</v>
      </c>
      <c r="Z57" s="293">
        <f t="shared" si="48"/>
        <v>5226</v>
      </c>
      <c r="AB57" s="626">
        <v>0</v>
      </c>
      <c r="AC57" s="626">
        <v>0</v>
      </c>
      <c r="AD57" s="293">
        <f t="shared" si="49"/>
        <v>0</v>
      </c>
      <c r="AF57" s="626">
        <v>4627</v>
      </c>
      <c r="AG57" s="626">
        <v>5481</v>
      </c>
      <c r="AH57" s="293">
        <f t="shared" si="50"/>
        <v>5481</v>
      </c>
      <c r="AI57" s="320"/>
      <c r="AJ57" s="626">
        <v>5685</v>
      </c>
      <c r="AK57" s="626">
        <v>5552</v>
      </c>
      <c r="AL57" s="293">
        <f t="shared" si="51"/>
        <v>5552</v>
      </c>
      <c r="AN57" s="626">
        <v>5744</v>
      </c>
      <c r="AO57" s="626">
        <v>6288</v>
      </c>
      <c r="AP57" s="293">
        <f t="shared" si="52"/>
        <v>6288</v>
      </c>
      <c r="AR57" s="626">
        <v>6263</v>
      </c>
      <c r="AS57" s="626">
        <v>6203</v>
      </c>
      <c r="AT57" s="293">
        <f t="shared" si="53"/>
        <v>6203</v>
      </c>
      <c r="AV57" s="626">
        <v>5037</v>
      </c>
      <c r="AW57" s="626">
        <v>4413</v>
      </c>
      <c r="AX57" s="293">
        <f t="shared" si="54"/>
        <v>4413</v>
      </c>
      <c r="AZ57" s="626">
        <v>3710</v>
      </c>
      <c r="BA57" s="626">
        <v>4339</v>
      </c>
      <c r="BB57" s="293">
        <f t="shared" si="55"/>
        <v>4339</v>
      </c>
      <c r="BD57" s="626">
        <v>3334</v>
      </c>
      <c r="BE57" s="626">
        <v>2733</v>
      </c>
      <c r="BF57" s="293">
        <f t="shared" si="56"/>
        <v>2733</v>
      </c>
      <c r="BH57" s="626">
        <v>1593</v>
      </c>
      <c r="BI57" s="626">
        <v>1704</v>
      </c>
      <c r="BJ57" s="293">
        <f t="shared" si="57"/>
        <v>1704</v>
      </c>
      <c r="BL57" s="626">
        <v>1205</v>
      </c>
      <c r="BM57" s="626">
        <v>1464</v>
      </c>
      <c r="BN57" s="293">
        <f t="shared" si="58"/>
        <v>1464</v>
      </c>
      <c r="BP57" s="626">
        <v>1364</v>
      </c>
      <c r="BQ57" s="626">
        <v>1626</v>
      </c>
      <c r="BR57" s="293">
        <f t="shared" si="59"/>
        <v>1626</v>
      </c>
      <c r="BT57" s="626">
        <v>2309</v>
      </c>
      <c r="BU57" s="626">
        <v>2672</v>
      </c>
      <c r="BV57" s="293">
        <f t="shared" si="60"/>
        <v>2672</v>
      </c>
      <c r="BX57" s="626">
        <v>3018</v>
      </c>
      <c r="BY57" s="626">
        <v>2404</v>
      </c>
      <c r="BZ57" s="293">
        <f t="shared" si="61"/>
        <v>2404</v>
      </c>
      <c r="CB57" s="626">
        <v>2268</v>
      </c>
      <c r="CC57" s="626">
        <v>2363</v>
      </c>
      <c r="CD57" s="293">
        <f t="shared" si="62"/>
        <v>2363</v>
      </c>
      <c r="CF57" s="626">
        <v>504</v>
      </c>
      <c r="CG57" s="626">
        <v>6809</v>
      </c>
      <c r="CH57" s="293">
        <f t="shared" si="63"/>
        <v>6809</v>
      </c>
      <c r="CJ57" s="626">
        <v>94</v>
      </c>
      <c r="CK57" s="626">
        <v>260</v>
      </c>
      <c r="CL57" s="293">
        <f t="shared" si="64"/>
        <v>260</v>
      </c>
      <c r="CN57" s="626">
        <v>1267</v>
      </c>
      <c r="CO57" s="626">
        <v>18</v>
      </c>
      <c r="CP57" s="293">
        <f t="shared" si="65"/>
        <v>18</v>
      </c>
      <c r="CR57" s="1488">
        <v>404</v>
      </c>
      <c r="CS57" s="1488">
        <v>525</v>
      </c>
      <c r="CT57" s="293">
        <f t="shared" si="66"/>
        <v>525</v>
      </c>
      <c r="CV57" s="1488">
        <v>112</v>
      </c>
      <c r="CW57" s="1497">
        <v>173</v>
      </c>
      <c r="CX57" s="293">
        <f t="shared" si="67"/>
        <v>173</v>
      </c>
      <c r="CZ57" s="1488">
        <v>296</v>
      </c>
      <c r="DA57" s="1488">
        <v>407</v>
      </c>
      <c r="DB57" s="293">
        <f t="shared" si="68"/>
        <v>407</v>
      </c>
      <c r="DD57" s="1488">
        <v>826</v>
      </c>
      <c r="DE57" s="2176">
        <v>1946</v>
      </c>
      <c r="DF57" s="293">
        <f t="shared" si="69"/>
        <v>1946</v>
      </c>
      <c r="DH57" s="2259">
        <v>2649</v>
      </c>
      <c r="DI57" s="293">
        <f>DI244</f>
        <v>2764.9607823758784</v>
      </c>
      <c r="DJ57" s="293">
        <f t="shared" si="70"/>
        <v>2764.9607823758784</v>
      </c>
      <c r="DL57" s="293">
        <f>DL244</f>
        <v>2824.0931467389155</v>
      </c>
      <c r="DM57" s="293">
        <f>DM244</f>
        <v>2884.7169971204912</v>
      </c>
      <c r="DN57" s="293">
        <f t="shared" si="71"/>
        <v>2884.7169971204912</v>
      </c>
      <c r="DP57" s="293">
        <f>DP244</f>
        <v>2946.8884980866987</v>
      </c>
      <c r="DQ57" s="293">
        <f>DQ244</f>
        <v>3010.6673435281559</v>
      </c>
      <c r="DR57" s="293">
        <f t="shared" si="72"/>
        <v>3010.6673435281559</v>
      </c>
      <c r="DU57" s="293"/>
      <c r="DV57" s="293"/>
      <c r="DW57" s="293"/>
    </row>
    <row r="58" spans="1:138" s="289" customFormat="1" outlineLevel="1">
      <c r="A58" s="102" t="s">
        <v>248</v>
      </c>
      <c r="C58" s="103" t="s">
        <v>612</v>
      </c>
      <c r="P58" s="626">
        <v>68</v>
      </c>
      <c r="Q58" s="626">
        <v>67</v>
      </c>
      <c r="R58" s="293">
        <f>Q58</f>
        <v>67</v>
      </c>
      <c r="S58" s="290"/>
      <c r="T58" s="626">
        <v>68</v>
      </c>
      <c r="U58" s="626">
        <v>74</v>
      </c>
      <c r="V58" s="293">
        <f>U58</f>
        <v>74</v>
      </c>
      <c r="W58" s="290"/>
      <c r="X58" s="626">
        <v>80</v>
      </c>
      <c r="Y58" s="626">
        <v>85</v>
      </c>
      <c r="Z58" s="293">
        <f>Y58</f>
        <v>85</v>
      </c>
      <c r="AA58" s="290"/>
      <c r="AB58" s="626">
        <v>354</v>
      </c>
      <c r="AC58" s="626">
        <v>0</v>
      </c>
      <c r="AD58" s="293">
        <f>AC58</f>
        <v>0</v>
      </c>
      <c r="AE58" s="295"/>
      <c r="AF58" s="626">
        <v>644</v>
      </c>
      <c r="AG58" s="626">
        <v>1427</v>
      </c>
      <c r="AH58" s="293">
        <f t="shared" si="50"/>
        <v>1427</v>
      </c>
      <c r="AI58" s="320"/>
      <c r="AJ58" s="626">
        <v>2443</v>
      </c>
      <c r="AK58" s="626">
        <v>170</v>
      </c>
      <c r="AL58" s="293">
        <f>AK58</f>
        <v>170</v>
      </c>
      <c r="AM58" s="290"/>
      <c r="AN58" s="626">
        <v>272</v>
      </c>
      <c r="AO58" s="626">
        <v>215</v>
      </c>
      <c r="AP58" s="293">
        <f>AO58</f>
        <v>215</v>
      </c>
      <c r="AQ58" s="290"/>
      <c r="AR58" s="626">
        <v>153</v>
      </c>
      <c r="AS58" s="626">
        <v>328</v>
      </c>
      <c r="AT58" s="293">
        <f>AS58</f>
        <v>328</v>
      </c>
      <c r="AU58" s="290"/>
      <c r="AV58" s="626">
        <v>0</v>
      </c>
      <c r="AW58" s="626">
        <v>9</v>
      </c>
      <c r="AX58" s="293">
        <f>AW58</f>
        <v>9</v>
      </c>
      <c r="AY58" s="290"/>
      <c r="AZ58" s="626">
        <v>0</v>
      </c>
      <c r="BA58" s="626">
        <v>0</v>
      </c>
      <c r="BB58" s="293">
        <f>BA58</f>
        <v>0</v>
      </c>
      <c r="BC58" s="290"/>
      <c r="BD58" s="626">
        <v>0</v>
      </c>
      <c r="BE58" s="626">
        <v>0</v>
      </c>
      <c r="BF58" s="293">
        <f>BE58</f>
        <v>0</v>
      </c>
      <c r="BG58" s="290"/>
      <c r="BH58" s="626">
        <v>0</v>
      </c>
      <c r="BI58" s="626">
        <v>0</v>
      </c>
      <c r="BJ58" s="293">
        <f>BI58</f>
        <v>0</v>
      </c>
      <c r="BK58" s="290"/>
      <c r="BL58" s="626">
        <v>0</v>
      </c>
      <c r="BM58" s="626">
        <v>0</v>
      </c>
      <c r="BN58" s="293">
        <f>BM58</f>
        <v>0</v>
      </c>
      <c r="BO58" s="290"/>
      <c r="BP58" s="626">
        <v>0</v>
      </c>
      <c r="BQ58" s="626">
        <v>0</v>
      </c>
      <c r="BR58" s="293">
        <f>BQ58</f>
        <v>0</v>
      </c>
      <c r="BS58" s="290"/>
      <c r="BT58" s="626">
        <v>0</v>
      </c>
      <c r="BU58" s="626">
        <v>0</v>
      </c>
      <c r="BV58" s="293">
        <f>BU58</f>
        <v>0</v>
      </c>
      <c r="BW58" s="290"/>
      <c r="BX58" s="626">
        <v>0</v>
      </c>
      <c r="BY58" s="626">
        <v>0</v>
      </c>
      <c r="BZ58" s="293">
        <f>BY58</f>
        <v>0</v>
      </c>
      <c r="CA58" s="290"/>
      <c r="CB58" s="626">
        <v>0</v>
      </c>
      <c r="CC58" s="626">
        <v>0</v>
      </c>
      <c r="CD58" s="293">
        <f>CC58</f>
        <v>0</v>
      </c>
      <c r="CE58" s="290"/>
      <c r="CF58" s="626">
        <v>0</v>
      </c>
      <c r="CG58" s="626">
        <v>0</v>
      </c>
      <c r="CH58" s="293">
        <f>CG58</f>
        <v>0</v>
      </c>
      <c r="CI58" s="290"/>
      <c r="CJ58" s="626">
        <v>0</v>
      </c>
      <c r="CK58" s="626">
        <v>0</v>
      </c>
      <c r="CL58" s="293">
        <f>CK58</f>
        <v>0</v>
      </c>
      <c r="CM58" s="290"/>
      <c r="CN58" s="626">
        <v>0</v>
      </c>
      <c r="CO58" s="626">
        <v>0</v>
      </c>
      <c r="CP58" s="293">
        <f>CO58</f>
        <v>0</v>
      </c>
      <c r="CQ58" s="290"/>
      <c r="CR58" s="1488">
        <v>0</v>
      </c>
      <c r="CS58" s="1488">
        <v>0</v>
      </c>
      <c r="CT58" s="293">
        <f>CS58</f>
        <v>0</v>
      </c>
      <c r="CU58" s="290"/>
      <c r="CV58" s="1488">
        <v>0</v>
      </c>
      <c r="CW58" s="1497">
        <v>0</v>
      </c>
      <c r="CX58" s="293">
        <f>CW58</f>
        <v>0</v>
      </c>
      <c r="CY58" s="290"/>
      <c r="CZ58" s="1488">
        <v>0</v>
      </c>
      <c r="DA58" s="1488">
        <v>0</v>
      </c>
      <c r="DB58" s="293">
        <f>DA58</f>
        <v>0</v>
      </c>
      <c r="DC58" s="290"/>
      <c r="DD58" s="1488">
        <v>0</v>
      </c>
      <c r="DE58" s="1497">
        <v>0</v>
      </c>
      <c r="DF58" s="293">
        <f>DE58</f>
        <v>0</v>
      </c>
      <c r="DG58" s="290"/>
      <c r="DH58" s="1488">
        <v>0</v>
      </c>
      <c r="DI58" s="487">
        <v>0</v>
      </c>
      <c r="DJ58" s="293">
        <f t="shared" si="70"/>
        <v>0</v>
      </c>
      <c r="DK58" s="290"/>
      <c r="DL58" s="487">
        <v>0</v>
      </c>
      <c r="DM58" s="487">
        <v>0</v>
      </c>
      <c r="DN58" s="293">
        <f t="shared" si="71"/>
        <v>0</v>
      </c>
      <c r="DO58" s="290"/>
      <c r="DP58" s="487">
        <v>0</v>
      </c>
      <c r="DQ58" s="487">
        <v>0</v>
      </c>
      <c r="DR58" s="293">
        <f t="shared" si="72"/>
        <v>0</v>
      </c>
      <c r="DS58" s="290"/>
      <c r="DT58" s="290"/>
      <c r="DU58" s="487"/>
      <c r="DV58" s="487"/>
      <c r="DW58" s="293"/>
      <c r="DX58" s="290"/>
      <c r="EH58"/>
    </row>
    <row r="59" spans="1:138" outlineLevel="1">
      <c r="A59" s="102" t="s">
        <v>234</v>
      </c>
      <c r="C59" s="103" t="s">
        <v>612</v>
      </c>
      <c r="P59" s="626">
        <v>2429</v>
      </c>
      <c r="Q59" s="626">
        <v>2456</v>
      </c>
      <c r="R59" s="293">
        <f t="shared" si="46"/>
        <v>2456</v>
      </c>
      <c r="T59" s="626">
        <v>2483</v>
      </c>
      <c r="U59" s="626">
        <v>2291</v>
      </c>
      <c r="V59" s="293">
        <f t="shared" si="47"/>
        <v>2291</v>
      </c>
      <c r="X59" s="626">
        <v>2124</v>
      </c>
      <c r="Y59" s="626">
        <v>2081</v>
      </c>
      <c r="Z59" s="293">
        <f t="shared" si="48"/>
        <v>2081</v>
      </c>
      <c r="AB59" s="626">
        <v>4476</v>
      </c>
      <c r="AC59" s="626">
        <v>4429</v>
      </c>
      <c r="AD59" s="293">
        <f t="shared" si="49"/>
        <v>4429</v>
      </c>
      <c r="AE59" s="293"/>
      <c r="AF59" s="626">
        <v>5135</v>
      </c>
      <c r="AG59" s="626">
        <v>5130</v>
      </c>
      <c r="AH59" s="293">
        <f t="shared" si="50"/>
        <v>5130</v>
      </c>
      <c r="AI59" s="320"/>
      <c r="AJ59" s="626">
        <v>5530</v>
      </c>
      <c r="AK59" s="626">
        <v>5781</v>
      </c>
      <c r="AL59" s="293">
        <f t="shared" si="51"/>
        <v>5781</v>
      </c>
      <c r="AN59" s="626">
        <v>6355</v>
      </c>
      <c r="AO59" s="626">
        <v>5689</v>
      </c>
      <c r="AP59" s="293">
        <f t="shared" si="52"/>
        <v>5689</v>
      </c>
      <c r="AR59" s="626">
        <v>5634</v>
      </c>
      <c r="AS59" s="626">
        <v>4312</v>
      </c>
      <c r="AT59" s="293">
        <f t="shared" si="53"/>
        <v>4312</v>
      </c>
      <c r="AV59" s="626">
        <v>5062</v>
      </c>
      <c r="AW59" s="626">
        <v>4864</v>
      </c>
      <c r="AX59" s="293">
        <f t="shared" si="54"/>
        <v>4864</v>
      </c>
      <c r="AZ59" s="626">
        <v>5069</v>
      </c>
      <c r="BA59" s="626">
        <v>5055</v>
      </c>
      <c r="BB59" s="293">
        <f t="shared" si="55"/>
        <v>5055</v>
      </c>
      <c r="BD59" s="626">
        <v>4759</v>
      </c>
      <c r="BE59" s="626">
        <v>5897</v>
      </c>
      <c r="BF59" s="293">
        <f t="shared" si="56"/>
        <v>5897</v>
      </c>
      <c r="BH59" s="626">
        <v>0</v>
      </c>
      <c r="BI59" s="626">
        <v>0</v>
      </c>
      <c r="BJ59" s="293">
        <f t="shared" si="57"/>
        <v>0</v>
      </c>
      <c r="BL59" s="626">
        <v>0</v>
      </c>
      <c r="BM59" s="626">
        <v>0</v>
      </c>
      <c r="BN59" s="293">
        <f t="shared" si="58"/>
        <v>0</v>
      </c>
      <c r="BP59" s="626">
        <v>0</v>
      </c>
      <c r="BQ59" s="626">
        <v>0</v>
      </c>
      <c r="BR59" s="293">
        <f>BQ59</f>
        <v>0</v>
      </c>
      <c r="BT59" s="626">
        <v>0</v>
      </c>
      <c r="BU59" s="626">
        <v>0</v>
      </c>
      <c r="BV59" s="293">
        <f>BU59</f>
        <v>0</v>
      </c>
      <c r="BX59" s="626">
        <v>0</v>
      </c>
      <c r="BY59" s="626">
        <v>0</v>
      </c>
      <c r="BZ59" s="293">
        <f>BY59</f>
        <v>0</v>
      </c>
      <c r="CB59" s="626">
        <v>0</v>
      </c>
      <c r="CC59" s="626">
        <v>0</v>
      </c>
      <c r="CD59" s="293">
        <f>CC59</f>
        <v>0</v>
      </c>
      <c r="CF59" s="626">
        <v>0</v>
      </c>
      <c r="CG59" s="626">
        <v>0</v>
      </c>
      <c r="CH59" s="293">
        <f>CG59</f>
        <v>0</v>
      </c>
      <c r="CJ59" s="626">
        <v>0</v>
      </c>
      <c r="CK59" s="626">
        <v>0</v>
      </c>
      <c r="CL59" s="293">
        <f>CK59</f>
        <v>0</v>
      </c>
      <c r="CN59" s="626">
        <v>0</v>
      </c>
      <c r="CO59" s="626">
        <v>0</v>
      </c>
      <c r="CP59" s="293">
        <f>CO59</f>
        <v>0</v>
      </c>
      <c r="CR59" s="1488">
        <v>0</v>
      </c>
      <c r="CS59" s="1488">
        <v>0</v>
      </c>
      <c r="CT59" s="293">
        <f>CS59</f>
        <v>0</v>
      </c>
      <c r="CV59" s="1488">
        <v>0</v>
      </c>
      <c r="CW59" s="1497">
        <v>0</v>
      </c>
      <c r="CX59" s="293">
        <f>CW59</f>
        <v>0</v>
      </c>
      <c r="CZ59" s="1488">
        <v>0</v>
      </c>
      <c r="DA59" s="1488">
        <v>0</v>
      </c>
      <c r="DB59" s="293">
        <f>DA59</f>
        <v>0</v>
      </c>
      <c r="DD59" s="1488">
        <v>0</v>
      </c>
      <c r="DE59" s="1497">
        <v>0</v>
      </c>
      <c r="DF59" s="293">
        <f>DE59</f>
        <v>0</v>
      </c>
      <c r="DH59" s="1488">
        <v>0</v>
      </c>
      <c r="DI59" s="487">
        <v>0</v>
      </c>
      <c r="DJ59" s="293">
        <f t="shared" si="70"/>
        <v>0</v>
      </c>
      <c r="DL59" s="487">
        <v>0</v>
      </c>
      <c r="DM59" s="487">
        <v>0</v>
      </c>
      <c r="DN59" s="293">
        <f t="shared" si="71"/>
        <v>0</v>
      </c>
      <c r="DP59" s="487">
        <v>0</v>
      </c>
      <c r="DQ59" s="487">
        <v>0</v>
      </c>
      <c r="DR59" s="293">
        <f t="shared" si="72"/>
        <v>0</v>
      </c>
      <c r="DU59" s="487"/>
      <c r="DV59" s="487"/>
      <c r="DW59" s="293"/>
    </row>
    <row r="60" spans="1:138" outlineLevel="1">
      <c r="A60" s="102" t="s">
        <v>247</v>
      </c>
      <c r="C60" s="103" t="s">
        <v>612</v>
      </c>
      <c r="P60" s="626">
        <v>42</v>
      </c>
      <c r="Q60" s="626">
        <v>18</v>
      </c>
      <c r="R60" s="293">
        <f>Q60</f>
        <v>18</v>
      </c>
      <c r="T60" s="626">
        <v>38</v>
      </c>
      <c r="U60" s="626">
        <v>53</v>
      </c>
      <c r="V60" s="293">
        <f>U60</f>
        <v>53</v>
      </c>
      <c r="X60" s="626">
        <v>35</v>
      </c>
      <c r="Y60" s="626">
        <v>41</v>
      </c>
      <c r="Z60" s="293">
        <f>Y60</f>
        <v>41</v>
      </c>
      <c r="AB60" s="626">
        <v>33</v>
      </c>
      <c r="AC60" s="626">
        <v>41</v>
      </c>
      <c r="AD60" s="293">
        <f>AC60</f>
        <v>41</v>
      </c>
      <c r="AE60" s="293"/>
      <c r="AF60" s="626">
        <v>262</v>
      </c>
      <c r="AG60" s="626">
        <v>97</v>
      </c>
      <c r="AH60" s="293">
        <f t="shared" si="50"/>
        <v>97</v>
      </c>
      <c r="AI60" s="320"/>
      <c r="AJ60" s="626">
        <v>246</v>
      </c>
      <c r="AK60" s="626">
        <v>132</v>
      </c>
      <c r="AL60" s="293">
        <f>AK60</f>
        <v>132</v>
      </c>
      <c r="AN60" s="626">
        <v>222</v>
      </c>
      <c r="AO60" s="626">
        <v>193</v>
      </c>
      <c r="AP60" s="293">
        <f>AO60</f>
        <v>193</v>
      </c>
      <c r="AR60" s="626">
        <v>159</v>
      </c>
      <c r="AS60" s="626">
        <v>187</v>
      </c>
      <c r="AT60" s="293">
        <f>AS60</f>
        <v>187</v>
      </c>
      <c r="AV60" s="626">
        <v>103</v>
      </c>
      <c r="AW60" s="626">
        <v>119</v>
      </c>
      <c r="AX60" s="293">
        <f>AW60</f>
        <v>119</v>
      </c>
      <c r="AZ60" s="626">
        <v>94</v>
      </c>
      <c r="BA60" s="626">
        <v>197</v>
      </c>
      <c r="BB60" s="293">
        <f>BA60</f>
        <v>197</v>
      </c>
      <c r="BD60" s="626">
        <v>72</v>
      </c>
      <c r="BE60" s="626">
        <v>105</v>
      </c>
      <c r="BF60" s="293">
        <f>BE60</f>
        <v>105</v>
      </c>
      <c r="BH60" s="626">
        <v>0</v>
      </c>
      <c r="BI60" s="626">
        <v>0</v>
      </c>
      <c r="BJ60" s="293">
        <f>BI60</f>
        <v>0</v>
      </c>
      <c r="BL60" s="626">
        <v>0</v>
      </c>
      <c r="BM60" s="626">
        <v>0</v>
      </c>
      <c r="BN60" s="293">
        <f>BM60</f>
        <v>0</v>
      </c>
      <c r="BP60" s="626">
        <v>0</v>
      </c>
      <c r="BQ60" s="626">
        <v>0</v>
      </c>
      <c r="BR60" s="293">
        <f>BQ60</f>
        <v>0</v>
      </c>
      <c r="BT60" s="626">
        <v>0</v>
      </c>
      <c r="BU60" s="626">
        <v>0</v>
      </c>
      <c r="BV60" s="293">
        <f>BU60</f>
        <v>0</v>
      </c>
      <c r="BX60" s="626">
        <v>0</v>
      </c>
      <c r="BY60" s="626">
        <v>0</v>
      </c>
      <c r="BZ60" s="293">
        <f>BY60</f>
        <v>0</v>
      </c>
      <c r="CB60" s="626">
        <v>0</v>
      </c>
      <c r="CC60" s="626">
        <v>0</v>
      </c>
      <c r="CD60" s="293">
        <f>CC60</f>
        <v>0</v>
      </c>
      <c r="CF60" s="626">
        <v>0</v>
      </c>
      <c r="CG60" s="626">
        <v>0</v>
      </c>
      <c r="CH60" s="293">
        <f>CG60</f>
        <v>0</v>
      </c>
      <c r="CJ60" s="626">
        <v>0</v>
      </c>
      <c r="CK60" s="626">
        <v>0</v>
      </c>
      <c r="CL60" s="293">
        <f>CK60</f>
        <v>0</v>
      </c>
      <c r="CN60" s="626">
        <v>0</v>
      </c>
      <c r="CO60" s="626">
        <v>0</v>
      </c>
      <c r="CP60" s="293">
        <f>CO60</f>
        <v>0</v>
      </c>
      <c r="CR60" s="1488">
        <v>0</v>
      </c>
      <c r="CS60" s="1488">
        <v>0</v>
      </c>
      <c r="CT60" s="293">
        <f>CS60</f>
        <v>0</v>
      </c>
      <c r="CV60" s="1488">
        <v>0</v>
      </c>
      <c r="CW60" s="1497">
        <v>0</v>
      </c>
      <c r="CX60" s="293">
        <f>CW60</f>
        <v>0</v>
      </c>
      <c r="CZ60" s="1488">
        <v>0</v>
      </c>
      <c r="DA60" s="1488">
        <v>0</v>
      </c>
      <c r="DB60" s="293">
        <f>DA60</f>
        <v>0</v>
      </c>
      <c r="DD60" s="1488">
        <v>0</v>
      </c>
      <c r="DE60" s="1497">
        <v>0</v>
      </c>
      <c r="DF60" s="293">
        <f>DE60</f>
        <v>0</v>
      </c>
      <c r="DH60" s="1488">
        <v>0</v>
      </c>
      <c r="DI60" s="487">
        <v>0</v>
      </c>
      <c r="DJ60" s="293">
        <f t="shared" si="70"/>
        <v>0</v>
      </c>
      <c r="DL60" s="487">
        <v>0</v>
      </c>
      <c r="DM60" s="487">
        <v>0</v>
      </c>
      <c r="DN60" s="293">
        <f t="shared" si="71"/>
        <v>0</v>
      </c>
      <c r="DP60" s="487">
        <v>0</v>
      </c>
      <c r="DQ60" s="487">
        <v>0</v>
      </c>
      <c r="DR60" s="293">
        <f t="shared" si="72"/>
        <v>0</v>
      </c>
      <c r="DU60" s="487"/>
      <c r="DV60" s="487"/>
      <c r="DW60" s="293"/>
    </row>
    <row r="61" spans="1:138" s="289" customFormat="1">
      <c r="A61" s="102" t="s">
        <v>223</v>
      </c>
      <c r="C61" s="103" t="s">
        <v>612</v>
      </c>
      <c r="P61" s="626">
        <v>119</v>
      </c>
      <c r="Q61" s="626">
        <v>30</v>
      </c>
      <c r="R61" s="293">
        <f t="shared" si="46"/>
        <v>30</v>
      </c>
      <c r="S61" s="290"/>
      <c r="T61" s="626">
        <v>28</v>
      </c>
      <c r="U61" s="626">
        <v>413</v>
      </c>
      <c r="V61" s="293">
        <f t="shared" si="47"/>
        <v>413</v>
      </c>
      <c r="W61" s="290"/>
      <c r="X61" s="626">
        <v>258</v>
      </c>
      <c r="Y61" s="626">
        <v>189</v>
      </c>
      <c r="Z61" s="293">
        <f t="shared" si="48"/>
        <v>189</v>
      </c>
      <c r="AA61" s="290"/>
      <c r="AB61" s="626">
        <v>100</v>
      </c>
      <c r="AC61" s="626">
        <v>189</v>
      </c>
      <c r="AD61" s="293">
        <f t="shared" si="49"/>
        <v>189</v>
      </c>
      <c r="AE61" s="295"/>
      <c r="AF61" s="626">
        <v>116</v>
      </c>
      <c r="AG61" s="626">
        <v>157</v>
      </c>
      <c r="AH61" s="293">
        <f t="shared" si="50"/>
        <v>157</v>
      </c>
      <c r="AI61" s="320"/>
      <c r="AJ61" s="626">
        <v>53</v>
      </c>
      <c r="AK61" s="626">
        <v>78</v>
      </c>
      <c r="AL61" s="293">
        <f t="shared" si="51"/>
        <v>78</v>
      </c>
      <c r="AM61" s="290"/>
      <c r="AN61" s="626">
        <v>106</v>
      </c>
      <c r="AO61" s="626">
        <v>121</v>
      </c>
      <c r="AP61" s="293">
        <f t="shared" si="52"/>
        <v>121</v>
      </c>
      <c r="AQ61" s="290"/>
      <c r="AR61" s="626">
        <v>40</v>
      </c>
      <c r="AS61" s="626">
        <v>4</v>
      </c>
      <c r="AT61" s="293">
        <f t="shared" si="53"/>
        <v>4</v>
      </c>
      <c r="AU61" s="290"/>
      <c r="AV61" s="626">
        <v>210</v>
      </c>
      <c r="AW61" s="626">
        <v>235</v>
      </c>
      <c r="AX61" s="293">
        <f t="shared" si="54"/>
        <v>235</v>
      </c>
      <c r="AY61" s="290"/>
      <c r="AZ61" s="626">
        <v>235</v>
      </c>
      <c r="BA61" s="626">
        <v>287</v>
      </c>
      <c r="BB61" s="293">
        <f t="shared" si="55"/>
        <v>287</v>
      </c>
      <c r="BC61" s="290"/>
      <c r="BD61" s="626">
        <v>351</v>
      </c>
      <c r="BE61" s="626">
        <v>436</v>
      </c>
      <c r="BF61" s="293">
        <f t="shared" si="56"/>
        <v>436</v>
      </c>
      <c r="BG61" s="290"/>
      <c r="BH61" s="626">
        <v>514</v>
      </c>
      <c r="BI61" s="626">
        <v>542</v>
      </c>
      <c r="BJ61" s="293">
        <f t="shared" si="57"/>
        <v>542</v>
      </c>
      <c r="BK61" s="290"/>
      <c r="BL61" s="626">
        <v>667</v>
      </c>
      <c r="BM61" s="626">
        <v>551</v>
      </c>
      <c r="BN61" s="293">
        <f t="shared" si="58"/>
        <v>551</v>
      </c>
      <c r="BO61" s="290"/>
      <c r="BP61" s="626">
        <v>635</v>
      </c>
      <c r="BQ61" s="626">
        <v>464</v>
      </c>
      <c r="BR61" s="293">
        <f>BQ61</f>
        <v>464</v>
      </c>
      <c r="BS61" s="290"/>
      <c r="BT61" s="626">
        <v>546</v>
      </c>
      <c r="BU61" s="626">
        <v>543</v>
      </c>
      <c r="BV61" s="293">
        <f>BU61</f>
        <v>543</v>
      </c>
      <c r="BW61" s="290"/>
      <c r="BX61" s="626">
        <v>540</v>
      </c>
      <c r="BY61" s="626">
        <v>621</v>
      </c>
      <c r="BZ61" s="293">
        <f>BY61</f>
        <v>621</v>
      </c>
      <c r="CA61" s="290"/>
      <c r="CB61" s="626">
        <v>746</v>
      </c>
      <c r="CC61" s="626">
        <v>749</v>
      </c>
      <c r="CD61" s="293">
        <f>CC61</f>
        <v>749</v>
      </c>
      <c r="CE61" s="290"/>
      <c r="CF61" s="626">
        <v>800</v>
      </c>
      <c r="CG61" s="626">
        <v>425</v>
      </c>
      <c r="CH61" s="293">
        <f>CG61</f>
        <v>425</v>
      </c>
      <c r="CI61" s="290"/>
      <c r="CJ61" s="626">
        <v>297</v>
      </c>
      <c r="CK61" s="626">
        <v>234</v>
      </c>
      <c r="CL61" s="293">
        <f>CK61</f>
        <v>234</v>
      </c>
      <c r="CM61" s="290"/>
      <c r="CN61" s="626">
        <v>165</v>
      </c>
      <c r="CO61" s="626">
        <v>204</v>
      </c>
      <c r="CP61" s="293">
        <f>CO61</f>
        <v>204</v>
      </c>
      <c r="CQ61" s="290"/>
      <c r="CR61" s="1488">
        <v>320</v>
      </c>
      <c r="CS61" s="1488">
        <v>216</v>
      </c>
      <c r="CT61" s="293">
        <f>CS61</f>
        <v>216</v>
      </c>
      <c r="CU61" s="290"/>
      <c r="CV61" s="1488">
        <v>258</v>
      </c>
      <c r="CW61" s="1497">
        <v>196</v>
      </c>
      <c r="CX61" s="293">
        <f>CW61</f>
        <v>196</v>
      </c>
      <c r="CY61" s="290"/>
      <c r="CZ61" s="1488">
        <v>241</v>
      </c>
      <c r="DA61" s="1488">
        <v>383</v>
      </c>
      <c r="DB61" s="293">
        <f>DA61</f>
        <v>383</v>
      </c>
      <c r="DC61" s="290"/>
      <c r="DD61" s="1488">
        <v>304</v>
      </c>
      <c r="DE61" s="2176">
        <v>272</v>
      </c>
      <c r="DF61" s="293">
        <f>DE61</f>
        <v>272</v>
      </c>
      <c r="DG61" s="290"/>
      <c r="DH61" s="2259">
        <v>318</v>
      </c>
      <c r="DI61" s="293">
        <f>+DH61*(1+DI84)</f>
        <v>327.54000000000002</v>
      </c>
      <c r="DJ61" s="293">
        <f t="shared" si="70"/>
        <v>327.54000000000002</v>
      </c>
      <c r="DK61" s="290"/>
      <c r="DL61" s="293">
        <f>+DI61*(1+DL84)</f>
        <v>337.36620000000005</v>
      </c>
      <c r="DM61" s="293">
        <f>+DL61*(1+DM84)</f>
        <v>347.48718600000007</v>
      </c>
      <c r="DN61" s="293">
        <f t="shared" si="71"/>
        <v>347.48718600000007</v>
      </c>
      <c r="DO61" s="290"/>
      <c r="DP61" s="293">
        <f>+DM61*(1+DP84)</f>
        <v>357.91180158000009</v>
      </c>
      <c r="DQ61" s="293">
        <f>+DP61*(1+DQ84)</f>
        <v>368.64915562740009</v>
      </c>
      <c r="DR61" s="293">
        <f t="shared" si="72"/>
        <v>368.64915562740009</v>
      </c>
      <c r="DS61" s="290"/>
      <c r="DT61" s="290"/>
      <c r="DU61" s="293"/>
      <c r="DV61" s="293"/>
      <c r="DW61" s="293"/>
      <c r="DX61" s="290"/>
      <c r="EH61"/>
    </row>
    <row r="62" spans="1:138">
      <c r="A62" s="102" t="s">
        <v>246</v>
      </c>
      <c r="C62" s="103" t="s">
        <v>612</v>
      </c>
      <c r="P62" s="293">
        <f>P63-SUM(P50:P61)</f>
        <v>2106</v>
      </c>
      <c r="Q62" s="293">
        <f>Q63-SUM(Q50:Q61)</f>
        <v>2878</v>
      </c>
      <c r="R62" s="293">
        <f>Q62</f>
        <v>2878</v>
      </c>
      <c r="T62" s="293">
        <f>T63-SUM(T50:T61)</f>
        <v>2297</v>
      </c>
      <c r="U62" s="293">
        <f>U63-SUM(U50:U61)</f>
        <v>4221</v>
      </c>
      <c r="V62" s="293">
        <f>U62</f>
        <v>4221</v>
      </c>
      <c r="X62" s="293">
        <f>X63-SUM(X50:X61)</f>
        <v>4484</v>
      </c>
      <c r="Y62" s="293">
        <f>Y63-SUM(Y50:Y61)</f>
        <v>5414</v>
      </c>
      <c r="Z62" s="293">
        <f>Y62</f>
        <v>5414</v>
      </c>
      <c r="AB62" s="293">
        <f>AB63-SUM(AB50:AB61)</f>
        <v>3713</v>
      </c>
      <c r="AC62" s="293">
        <f>AC63-SUM(AC50:AC61)</f>
        <v>4700</v>
      </c>
      <c r="AD62" s="293">
        <f>AC62</f>
        <v>4700</v>
      </c>
      <c r="AF62" s="293">
        <f>AF63-SUM(AF50:AF61)</f>
        <v>6026</v>
      </c>
      <c r="AG62" s="293">
        <f>AG63-SUM(AG50:AG61)</f>
        <v>9685</v>
      </c>
      <c r="AH62" s="293">
        <f t="shared" si="50"/>
        <v>9685</v>
      </c>
      <c r="AI62" s="320"/>
      <c r="AJ62" s="293">
        <f>AJ63-SUM(AJ50:AJ61)</f>
        <v>8221</v>
      </c>
      <c r="AK62" s="293">
        <f>AK63-SUM(AK50:AK61)</f>
        <v>12111</v>
      </c>
      <c r="AL62" s="293">
        <f>AK62</f>
        <v>12111</v>
      </c>
      <c r="AN62" s="293">
        <f>AN63-SUM(AN50:AN61)</f>
        <v>12770</v>
      </c>
      <c r="AO62" s="293">
        <f>AO63-SUM(AO50:AO61)</f>
        <v>12389</v>
      </c>
      <c r="AP62" s="293">
        <f>AO62</f>
        <v>12389</v>
      </c>
      <c r="AR62" s="293">
        <f>AR63-SUM(AR50:AR61)</f>
        <v>11292</v>
      </c>
      <c r="AS62" s="293">
        <f>AS63-SUM(AS50:AS61)</f>
        <v>10531</v>
      </c>
      <c r="AT62" s="293">
        <f>AS62</f>
        <v>10531</v>
      </c>
      <c r="AV62" s="293">
        <f>AV63-SUM(AV50:AV61)</f>
        <v>13055</v>
      </c>
      <c r="AW62" s="293">
        <f>AW63-SUM(AW50:AW61)</f>
        <v>12870</v>
      </c>
      <c r="AX62" s="293">
        <f>AW62</f>
        <v>12870</v>
      </c>
      <c r="AZ62" s="293">
        <f>AZ63-SUM(AZ50:AZ61)</f>
        <v>13194</v>
      </c>
      <c r="BA62" s="293">
        <f>BA63-SUM(BA50:BA61)</f>
        <v>14542</v>
      </c>
      <c r="BB62" s="293">
        <f>BA62</f>
        <v>14542</v>
      </c>
      <c r="BD62" s="293">
        <f>BD63-SUM(BD50:BD61)</f>
        <v>15412</v>
      </c>
      <c r="BE62" s="293">
        <f>BE63-SUM(BE50:BE61)</f>
        <v>15232</v>
      </c>
      <c r="BF62" s="293">
        <f>BE62</f>
        <v>15232</v>
      </c>
      <c r="BH62" s="293">
        <f>BH63-SUM(BH50:BH61)</f>
        <v>13512</v>
      </c>
      <c r="BI62" s="293">
        <f>BI63-SUM(BI50:BI61)</f>
        <v>13785</v>
      </c>
      <c r="BJ62" s="293">
        <f>BI62</f>
        <v>13785</v>
      </c>
      <c r="BL62" s="293">
        <f>BL63-SUM(BL50:BL61)</f>
        <v>12863</v>
      </c>
      <c r="BM62" s="293">
        <f>BM63-SUM(BM50:BM61)</f>
        <v>14113</v>
      </c>
      <c r="BN62" s="293">
        <f>BM62</f>
        <v>14113</v>
      </c>
      <c r="BP62" s="293">
        <f>BP63-SUM(BP50:BP61)</f>
        <v>13508</v>
      </c>
      <c r="BQ62" s="293">
        <f>BQ63-SUM(BQ50:BQ61)</f>
        <v>16050</v>
      </c>
      <c r="BR62" s="293">
        <f>BQ62</f>
        <v>16050</v>
      </c>
      <c r="BT62" s="293">
        <f>BT63-SUM(BT50:BT61)</f>
        <v>15610</v>
      </c>
      <c r="BU62" s="293">
        <f>BU63-SUM(BU50:BU61)</f>
        <v>13103</v>
      </c>
      <c r="BV62" s="293">
        <f>BU62</f>
        <v>13103</v>
      </c>
      <c r="BX62" s="293">
        <f>BX63-SUM(BX50:BX61)</f>
        <v>13676</v>
      </c>
      <c r="BY62" s="293">
        <f>BY63-SUM(BY50:BY61)</f>
        <v>15031</v>
      </c>
      <c r="BZ62" s="293">
        <f>BY62</f>
        <v>15031</v>
      </c>
      <c r="CB62" s="293">
        <f>CB63-SUM(CB50:CB61)</f>
        <v>24419</v>
      </c>
      <c r="CC62" s="293">
        <f>CC63-SUM(CC50:CC61)</f>
        <v>25943</v>
      </c>
      <c r="CD62" s="293">
        <f>CC62</f>
        <v>25943</v>
      </c>
      <c r="CF62" s="293">
        <f>CF63-SUM(CF50:CF61)</f>
        <v>31313</v>
      </c>
      <c r="CG62" s="293">
        <f>CG63-SUM(CG50:CG61)</f>
        <v>29312</v>
      </c>
      <c r="CH62" s="293">
        <f>CG62</f>
        <v>29312</v>
      </c>
      <c r="CJ62" s="293">
        <f>CJ63-SUM(CJ50:CJ61)</f>
        <v>33345</v>
      </c>
      <c r="CK62" s="293">
        <f>CK63-SUM(CK50:CK61)</f>
        <v>30842</v>
      </c>
      <c r="CL62" s="293">
        <f>CK62</f>
        <v>30842</v>
      </c>
      <c r="CN62" s="293">
        <f>CN63-SUM(CN50:CN61)</f>
        <v>26654</v>
      </c>
      <c r="CO62" s="293">
        <f>CO63-SUM(CO50:CO61)</f>
        <v>30335</v>
      </c>
      <c r="CP62" s="293">
        <f>CO62</f>
        <v>30335</v>
      </c>
      <c r="CR62" s="1490">
        <f>CR63-SUM(CR50:CR61)</f>
        <v>34296</v>
      </c>
      <c r="CS62" s="1010">
        <f>CS63-SUM(CS50:CS61)</f>
        <v>38325</v>
      </c>
      <c r="CT62" s="293">
        <f>CS62</f>
        <v>38325</v>
      </c>
      <c r="CV62" s="1490">
        <v>51625</v>
      </c>
      <c r="CW62" s="1495">
        <f>CW63-SUM(CW50:CW61)</f>
        <v>39994</v>
      </c>
      <c r="CX62" s="293">
        <f>CW62</f>
        <v>39994</v>
      </c>
      <c r="CZ62" s="1490">
        <f>+CZ63-SUM(CZ50:CZ61)</f>
        <v>13842</v>
      </c>
      <c r="DA62" s="1490">
        <f>DA63-SUM(DA50:DA61)</f>
        <v>21779</v>
      </c>
      <c r="DB62" s="293">
        <f>DA62</f>
        <v>21779</v>
      </c>
      <c r="DD62" s="1490">
        <f>+DD63-SUM(DD50:DD61)</f>
        <v>11868</v>
      </c>
      <c r="DE62" s="1490">
        <f>DE63-SUM(DE50:DE61)</f>
        <v>18724</v>
      </c>
      <c r="DF62" s="293">
        <f>DE62</f>
        <v>18724</v>
      </c>
      <c r="DH62" s="1490">
        <f>+DH63-SUM(DH50:DH61)</f>
        <v>17188</v>
      </c>
      <c r="DI62" s="293">
        <f ca="1">DI63-SUM(DI50:DI61)</f>
        <v>33841.842807242589</v>
      </c>
      <c r="DJ62" s="293">
        <f t="shared" ca="1" si="70"/>
        <v>33841.842807242589</v>
      </c>
      <c r="DL62" s="293">
        <f ca="1">DL63-SUM(DL50:DL61)</f>
        <v>42751.911301821761</v>
      </c>
      <c r="DM62" s="293">
        <f ca="1">DM63-SUM(DM50:DM61)</f>
        <v>44335.472392215743</v>
      </c>
      <c r="DN62" s="293">
        <f t="shared" ca="1" si="71"/>
        <v>44335.472392215743</v>
      </c>
      <c r="DP62" s="293">
        <f ca="1">DP63-SUM(DP50:DP61)</f>
        <v>48513.11734515056</v>
      </c>
      <c r="DQ62" s="293">
        <f ca="1">DQ63-SUM(DQ50:DQ61)</f>
        <v>50526.027738010976</v>
      </c>
      <c r="DR62" s="293">
        <f t="shared" ca="1" si="72"/>
        <v>50526.027738010976</v>
      </c>
      <c r="DU62" s="293"/>
      <c r="DV62" s="293"/>
      <c r="DW62" s="293"/>
    </row>
    <row r="63" spans="1:138">
      <c r="A63" s="289" t="s">
        <v>249</v>
      </c>
      <c r="C63" s="103" t="s">
        <v>612</v>
      </c>
      <c r="P63" s="655">
        <v>29481</v>
      </c>
      <c r="Q63" s="655">
        <v>29321</v>
      </c>
      <c r="R63" s="295">
        <f>SUM(R50:R62)</f>
        <v>29321</v>
      </c>
      <c r="T63" s="655">
        <v>32656</v>
      </c>
      <c r="U63" s="655">
        <v>39978</v>
      </c>
      <c r="V63" s="295">
        <f>SUM(V50:V62)</f>
        <v>39978</v>
      </c>
      <c r="X63" s="655">
        <v>37257</v>
      </c>
      <c r="Y63" s="655">
        <v>43522</v>
      </c>
      <c r="Z63" s="295">
        <f>SUM(Z50:Z62)</f>
        <v>43522</v>
      </c>
      <c r="AB63" s="655">
        <v>54344</v>
      </c>
      <c r="AC63" s="655">
        <v>62196</v>
      </c>
      <c r="AD63" s="295">
        <f>SUM(AD50:AD62)</f>
        <v>62196</v>
      </c>
      <c r="AE63" s="293"/>
      <c r="AF63" s="655">
        <v>77900</v>
      </c>
      <c r="AG63" s="655">
        <v>99493</v>
      </c>
      <c r="AH63" s="295">
        <f>SUM(AH50:AH62)</f>
        <v>99493</v>
      </c>
      <c r="AI63" s="320"/>
      <c r="AJ63" s="655">
        <v>103670</v>
      </c>
      <c r="AK63" s="655">
        <v>126199</v>
      </c>
      <c r="AL63" s="295">
        <f>SUM(AL50:AL62)</f>
        <v>126199</v>
      </c>
      <c r="AN63" s="655">
        <v>140469</v>
      </c>
      <c r="AO63" s="655">
        <v>154839</v>
      </c>
      <c r="AP63" s="295">
        <f>SUM(AP50:AP62)</f>
        <v>154839</v>
      </c>
      <c r="AR63" s="655">
        <v>154503</v>
      </c>
      <c r="AS63" s="655">
        <v>137046</v>
      </c>
      <c r="AT63" s="295">
        <f>SUM(AT50:AT62)</f>
        <v>137046</v>
      </c>
      <c r="AV63" s="655">
        <v>133587</v>
      </c>
      <c r="AW63" s="655">
        <v>132163</v>
      </c>
      <c r="AX63" s="295">
        <f>SUM(AX50:AX62)</f>
        <v>132163</v>
      </c>
      <c r="AZ63" s="655">
        <v>143904</v>
      </c>
      <c r="BA63" s="655">
        <v>142742</v>
      </c>
      <c r="BB63" s="295">
        <f>SUM(BB50:BB62)</f>
        <v>142742</v>
      </c>
      <c r="BD63" s="655">
        <v>159302</v>
      </c>
      <c r="BE63" s="655">
        <v>138551</v>
      </c>
      <c r="BF63" s="295">
        <f>SUM(BF50:BF62)</f>
        <v>138551</v>
      </c>
      <c r="BH63" s="655">
        <v>137683</v>
      </c>
      <c r="BI63" s="655">
        <v>129573</v>
      </c>
      <c r="BJ63" s="295">
        <f>SUM(BJ50:BJ62)</f>
        <v>129573</v>
      </c>
      <c r="BL63" s="655">
        <v>138443</v>
      </c>
      <c r="BM63" s="655">
        <v>138483</v>
      </c>
      <c r="BN63" s="295">
        <f>SUM(BN50:BN62)</f>
        <v>138483</v>
      </c>
      <c r="BP63" s="655">
        <v>146512</v>
      </c>
      <c r="BQ63" s="655">
        <v>169196</v>
      </c>
      <c r="BR63" s="295">
        <f>SUM(BR50:BR62)</f>
        <v>169196</v>
      </c>
      <c r="BT63" s="655">
        <v>188091</v>
      </c>
      <c r="BU63" s="655">
        <v>175882</v>
      </c>
      <c r="BV63" s="295">
        <f>SUM(BV50:BV62)</f>
        <v>175882</v>
      </c>
      <c r="BX63" s="655">
        <v>172688</v>
      </c>
      <c r="BY63" s="655">
        <v>159859</v>
      </c>
      <c r="BZ63" s="295">
        <f>SUM(BZ50:BZ62)</f>
        <v>159859</v>
      </c>
      <c r="CB63" s="655">
        <v>167281</v>
      </c>
      <c r="CC63" s="655">
        <v>167753</v>
      </c>
      <c r="CD63" s="295">
        <f>SUM(CD50:CD62)</f>
        <v>167753</v>
      </c>
      <c r="CF63" s="655">
        <v>182556</v>
      </c>
      <c r="CG63" s="655">
        <v>177855</v>
      </c>
      <c r="CH63" s="295">
        <f>SUM(CH50:CH62)</f>
        <v>177855</v>
      </c>
      <c r="CJ63" s="655">
        <v>191937</v>
      </c>
      <c r="CK63" s="655">
        <v>226604</v>
      </c>
      <c r="CL63" s="295">
        <f>SUM(CL50:CL62)</f>
        <v>226604</v>
      </c>
      <c r="CN63" s="655">
        <v>201535</v>
      </c>
      <c r="CO63" s="655">
        <v>213879</v>
      </c>
      <c r="CP63" s="295">
        <f>SUM(CP50:CP62)</f>
        <v>213879</v>
      </c>
      <c r="CR63" s="1489">
        <v>314192</v>
      </c>
      <c r="CS63" s="1489">
        <v>360857</v>
      </c>
      <c r="CT63" s="295">
        <f>SUM(CT50:CT62)</f>
        <v>360857</v>
      </c>
      <c r="CV63" s="1489">
        <v>443430</v>
      </c>
      <c r="CW63" s="1505">
        <v>340875</v>
      </c>
      <c r="CX63" s="295">
        <f>SUM(CX50:CX62)</f>
        <v>340875</v>
      </c>
      <c r="CZ63" s="1489">
        <v>348623</v>
      </c>
      <c r="DA63" s="1489">
        <v>355207</v>
      </c>
      <c r="DB63" s="295">
        <f>SUM(DB50:DB62)</f>
        <v>355207</v>
      </c>
      <c r="DD63" s="1489">
        <v>365210</v>
      </c>
      <c r="DE63" s="2175">
        <v>393031</v>
      </c>
      <c r="DF63" s="295">
        <f>SUM(DF50:DF62)</f>
        <v>393031</v>
      </c>
      <c r="DH63" s="2260">
        <v>431976</v>
      </c>
      <c r="DI63" s="295">
        <f ca="1">+DI69-DI68</f>
        <v>465085.35358961846</v>
      </c>
      <c r="DJ63" s="295">
        <f ca="1">SUM(DJ50:DJ62)</f>
        <v>465085.35358961846</v>
      </c>
      <c r="DL63" s="295">
        <f ca="1">+DL69-DL68</f>
        <v>491083.05994856067</v>
      </c>
      <c r="DM63" s="295">
        <f ca="1">+DM69-DM68</f>
        <v>510475.31300433626</v>
      </c>
      <c r="DN63" s="295">
        <f ca="1">SUM(DN50:DN62)</f>
        <v>510475.31300433626</v>
      </c>
      <c r="DP63" s="295">
        <f ca="1">+DP69-DP68</f>
        <v>533214.78243918729</v>
      </c>
      <c r="DQ63" s="295">
        <f ca="1">+DQ69-DQ68</f>
        <v>554576.2142114928</v>
      </c>
      <c r="DR63" s="295">
        <f ca="1">SUM(DR50:DR62)</f>
        <v>554576.2142114928</v>
      </c>
      <c r="DU63" s="295"/>
      <c r="DV63" s="295"/>
      <c r="DW63" s="295"/>
    </row>
    <row r="64" spans="1:138">
      <c r="A64" s="289" t="s">
        <v>250</v>
      </c>
      <c r="P64" s="295"/>
      <c r="Q64" s="295"/>
      <c r="R64" s="295"/>
      <c r="T64" s="295"/>
      <c r="U64" s="295"/>
      <c r="V64" s="295"/>
      <c r="X64" s="295"/>
      <c r="Y64" s="295"/>
      <c r="Z64" s="295"/>
      <c r="AB64" s="295"/>
      <c r="AC64" s="295"/>
      <c r="AD64" s="295"/>
      <c r="AE64" s="293"/>
      <c r="AF64" s="295"/>
      <c r="AG64" s="295"/>
      <c r="AH64" s="295"/>
      <c r="AI64" s="320"/>
      <c r="AJ64" s="295"/>
      <c r="AK64" s="295"/>
      <c r="AL64" s="295"/>
      <c r="AN64" s="295"/>
      <c r="AO64" s="295"/>
      <c r="AP64" s="295"/>
      <c r="AR64" s="295"/>
      <c r="AS64" s="295"/>
      <c r="AT64" s="295"/>
      <c r="AV64" s="295"/>
      <c r="AW64" s="295"/>
      <c r="AX64" s="295"/>
      <c r="AZ64" s="295"/>
      <c r="BA64" s="295"/>
      <c r="BB64" s="295"/>
      <c r="BD64" s="295"/>
      <c r="BE64" s="295"/>
      <c r="BF64" s="295"/>
      <c r="BH64" s="295"/>
      <c r="BI64" s="295"/>
      <c r="BJ64" s="295"/>
      <c r="BL64" s="295"/>
      <c r="BM64" s="295"/>
      <c r="BN64" s="295"/>
      <c r="BP64" s="295"/>
      <c r="BQ64" s="295"/>
      <c r="BR64" s="295"/>
      <c r="BT64" s="295"/>
      <c r="BU64" s="295"/>
      <c r="BV64" s="295"/>
      <c r="BX64" s="295"/>
      <c r="BY64" s="295"/>
      <c r="BZ64" s="295"/>
      <c r="CB64" s="295"/>
      <c r="CC64" s="295"/>
      <c r="CD64" s="295"/>
      <c r="CF64" s="295"/>
      <c r="CG64" s="295"/>
      <c r="CH64" s="295"/>
      <c r="CJ64" s="295"/>
      <c r="CK64" s="295"/>
      <c r="CL64" s="295"/>
      <c r="CN64" s="295"/>
      <c r="CO64" s="295"/>
      <c r="CP64" s="295"/>
      <c r="CR64" s="1491"/>
      <c r="CS64" s="1412"/>
      <c r="CT64" s="295"/>
      <c r="CV64" s="1491"/>
      <c r="CW64" s="1390"/>
      <c r="CX64" s="295"/>
      <c r="CZ64" s="1491"/>
      <c r="DA64" s="1491"/>
      <c r="DB64" s="295"/>
      <c r="DD64" s="1491"/>
      <c r="DE64" s="1491"/>
      <c r="DF64" s="295"/>
      <c r="DH64" s="1491"/>
      <c r="DI64" s="295"/>
      <c r="DJ64" s="295"/>
      <c r="DL64" s="295"/>
      <c r="DM64" s="295"/>
      <c r="DN64" s="295"/>
      <c r="DP64" s="295"/>
      <c r="DQ64" s="295"/>
      <c r="DR64" s="295"/>
      <c r="DU64" s="295"/>
      <c r="DV64" s="295"/>
      <c r="DW64" s="295"/>
    </row>
    <row r="65" spans="1:138">
      <c r="A65" s="102" t="s">
        <v>502</v>
      </c>
      <c r="C65" s="103" t="s">
        <v>612</v>
      </c>
      <c r="P65" s="295"/>
      <c r="Q65" s="295"/>
      <c r="R65" s="295"/>
      <c r="T65" s="295"/>
      <c r="U65" s="295"/>
      <c r="V65" s="295"/>
      <c r="X65" s="295"/>
      <c r="Y65" s="295"/>
      <c r="Z65" s="295"/>
      <c r="AB65" s="295"/>
      <c r="AC65" s="295"/>
      <c r="AD65" s="295"/>
      <c r="AE65" s="293"/>
      <c r="AF65" s="295"/>
      <c r="AG65" s="295"/>
      <c r="AH65" s="295"/>
      <c r="AI65" s="320"/>
      <c r="AJ65" s="295"/>
      <c r="AK65" s="295"/>
      <c r="AL65" s="295"/>
      <c r="AN65" s="626">
        <v>0</v>
      </c>
      <c r="AO65" s="626">
        <v>0</v>
      </c>
      <c r="AP65" s="295">
        <f>+AO65</f>
        <v>0</v>
      </c>
      <c r="AR65" s="626">
        <v>591</v>
      </c>
      <c r="AS65" s="626">
        <v>591</v>
      </c>
      <c r="AT65" s="293">
        <f>+AS65</f>
        <v>591</v>
      </c>
      <c r="AV65" s="626">
        <v>591</v>
      </c>
      <c r="AW65" s="626">
        <v>593</v>
      </c>
      <c r="AX65" s="293">
        <f>+AW65</f>
        <v>593</v>
      </c>
      <c r="AZ65" s="626">
        <v>593</v>
      </c>
      <c r="BA65" s="626">
        <v>595</v>
      </c>
      <c r="BB65" s="293">
        <f>+BA65</f>
        <v>595</v>
      </c>
      <c r="BD65" s="626">
        <v>596</v>
      </c>
      <c r="BE65" s="626">
        <v>614</v>
      </c>
      <c r="BF65" s="293">
        <f>+BE65</f>
        <v>614</v>
      </c>
      <c r="BH65" s="626">
        <v>615</v>
      </c>
      <c r="BI65" s="626">
        <v>616</v>
      </c>
      <c r="BJ65" s="293">
        <f>BI65</f>
        <v>616</v>
      </c>
      <c r="BL65" s="626">
        <v>0</v>
      </c>
      <c r="BM65" s="626">
        <v>0</v>
      </c>
      <c r="BN65" s="293">
        <f>BM65</f>
        <v>0</v>
      </c>
      <c r="BP65" s="626">
        <v>0</v>
      </c>
      <c r="BQ65" s="626">
        <v>0</v>
      </c>
      <c r="BR65" s="293">
        <f>BQ65</f>
        <v>0</v>
      </c>
      <c r="BT65" s="626">
        <v>0</v>
      </c>
      <c r="BU65" s="626">
        <v>0</v>
      </c>
      <c r="BV65" s="293">
        <f>BU65</f>
        <v>0</v>
      </c>
      <c r="BX65" s="626">
        <v>0</v>
      </c>
      <c r="BY65" s="626">
        <v>0</v>
      </c>
      <c r="BZ65" s="293">
        <f>BY65</f>
        <v>0</v>
      </c>
      <c r="CB65" s="626">
        <v>0</v>
      </c>
      <c r="CC65" s="626">
        <v>0</v>
      </c>
      <c r="CD65" s="293">
        <f>CC65</f>
        <v>0</v>
      </c>
      <c r="CF65" s="626">
        <v>0</v>
      </c>
      <c r="CG65" s="626">
        <v>0</v>
      </c>
      <c r="CH65" s="293">
        <f>CG65</f>
        <v>0</v>
      </c>
      <c r="CJ65" s="626">
        <v>0</v>
      </c>
      <c r="CK65" s="626">
        <v>0</v>
      </c>
      <c r="CL65" s="293">
        <f>CK65</f>
        <v>0</v>
      </c>
      <c r="CN65" s="626">
        <v>0</v>
      </c>
      <c r="CO65" s="626">
        <v>0</v>
      </c>
      <c r="CP65" s="293">
        <f>CO65</f>
        <v>0</v>
      </c>
      <c r="CR65" s="1488">
        <v>0</v>
      </c>
      <c r="CS65" s="1488">
        <v>0</v>
      </c>
      <c r="CT65" s="293">
        <f>CS65</f>
        <v>0</v>
      </c>
      <c r="CV65" s="1488">
        <v>0</v>
      </c>
      <c r="CW65" s="1497">
        <v>0</v>
      </c>
      <c r="CX65" s="293">
        <f>CW65</f>
        <v>0</v>
      </c>
      <c r="CZ65" s="1488">
        <v>0</v>
      </c>
      <c r="DA65" s="1488">
        <v>0</v>
      </c>
      <c r="DB65" s="293">
        <f>DA65</f>
        <v>0</v>
      </c>
      <c r="DD65" s="1488">
        <v>0</v>
      </c>
      <c r="DE65" s="1497">
        <v>0</v>
      </c>
      <c r="DF65" s="293">
        <f>DE65</f>
        <v>0</v>
      </c>
      <c r="DH65" s="1488">
        <v>0</v>
      </c>
      <c r="DI65" s="487">
        <f>DH65</f>
        <v>0</v>
      </c>
      <c r="DJ65" s="293">
        <f>DI65</f>
        <v>0</v>
      </c>
      <c r="DL65" s="487">
        <f>DI65</f>
        <v>0</v>
      </c>
      <c r="DM65" s="487">
        <f>DL65</f>
        <v>0</v>
      </c>
      <c r="DN65" s="293">
        <f>DM65</f>
        <v>0</v>
      </c>
      <c r="DP65" s="487">
        <f>DM65</f>
        <v>0</v>
      </c>
      <c r="DQ65" s="487">
        <f>DP65</f>
        <v>0</v>
      </c>
      <c r="DR65" s="293">
        <f>DQ65</f>
        <v>0</v>
      </c>
      <c r="DU65" s="487"/>
      <c r="DV65" s="487"/>
      <c r="DW65" s="293"/>
    </row>
    <row r="66" spans="1:138">
      <c r="A66" s="102" t="s">
        <v>251</v>
      </c>
      <c r="C66" s="103" t="s">
        <v>612</v>
      </c>
      <c r="P66" s="626">
        <f>242+150</f>
        <v>392</v>
      </c>
      <c r="Q66" s="626">
        <f>406+150</f>
        <v>556</v>
      </c>
      <c r="R66" s="293">
        <f>Q66</f>
        <v>556</v>
      </c>
      <c r="T66" s="626">
        <v>805</v>
      </c>
      <c r="U66" s="626">
        <v>960</v>
      </c>
      <c r="V66" s="293">
        <f>U66</f>
        <v>960</v>
      </c>
      <c r="X66" s="626">
        <v>915</v>
      </c>
      <c r="Y66" s="626">
        <v>1359</v>
      </c>
      <c r="Z66" s="293">
        <f>Y66</f>
        <v>1359</v>
      </c>
      <c r="AB66" s="626">
        <v>915</v>
      </c>
      <c r="AC66" s="626">
        <v>1359</v>
      </c>
      <c r="AD66" s="293">
        <f>AC66</f>
        <v>1359</v>
      </c>
      <c r="AE66" s="293"/>
      <c r="AF66" s="626">
        <v>1061</v>
      </c>
      <c r="AG66" s="626">
        <v>1115</v>
      </c>
      <c r="AH66" s="293">
        <f>AG66</f>
        <v>1115</v>
      </c>
      <c r="AI66" s="320"/>
      <c r="AJ66" s="626">
        <v>1252</v>
      </c>
      <c r="AK66" s="626">
        <v>1783</v>
      </c>
      <c r="AL66" s="293">
        <f>AK66</f>
        <v>1783</v>
      </c>
      <c r="AN66" s="626">
        <v>1721</v>
      </c>
      <c r="AO66" s="626">
        <v>1704</v>
      </c>
      <c r="AP66" s="293">
        <f>AO66</f>
        <v>1704</v>
      </c>
      <c r="AR66" s="626">
        <v>1413</v>
      </c>
      <c r="AS66" s="626">
        <v>1496</v>
      </c>
      <c r="AT66" s="293">
        <f>AS66</f>
        <v>1496</v>
      </c>
      <c r="AV66" s="626">
        <v>1011</v>
      </c>
      <c r="AW66" s="626">
        <v>916</v>
      </c>
      <c r="AX66" s="293">
        <f>AW66</f>
        <v>916</v>
      </c>
      <c r="AZ66" s="626">
        <v>1483</v>
      </c>
      <c r="BA66" s="626">
        <v>1832</v>
      </c>
      <c r="BB66" s="293">
        <f>BA66</f>
        <v>1832</v>
      </c>
      <c r="BD66" s="626">
        <v>2877</v>
      </c>
      <c r="BE66" s="626">
        <v>2579</v>
      </c>
      <c r="BF66" s="293">
        <f>BE66</f>
        <v>2579</v>
      </c>
      <c r="BH66" s="626">
        <v>2378</v>
      </c>
      <c r="BI66" s="626">
        <v>2604</v>
      </c>
      <c r="BJ66" s="293">
        <f>BI66</f>
        <v>2604</v>
      </c>
      <c r="BL66" s="626">
        <v>3438</v>
      </c>
      <c r="BM66" s="626">
        <v>3507</v>
      </c>
      <c r="BN66" s="293">
        <f>BM66</f>
        <v>3507</v>
      </c>
      <c r="BP66" s="626">
        <v>3604</v>
      </c>
      <c r="BQ66" s="626">
        <v>4384</v>
      </c>
      <c r="BR66" s="293">
        <f>BQ66</f>
        <v>4384</v>
      </c>
      <c r="BT66" s="626">
        <v>5782</v>
      </c>
      <c r="BU66" s="626">
        <v>5209</v>
      </c>
      <c r="BV66" s="293">
        <f>BU66</f>
        <v>5209</v>
      </c>
      <c r="BX66" s="626">
        <v>4942</v>
      </c>
      <c r="BY66" s="626">
        <v>5748</v>
      </c>
      <c r="BZ66" s="293">
        <f>BY66</f>
        <v>5748</v>
      </c>
      <c r="CB66" s="626">
        <v>5380</v>
      </c>
      <c r="CC66" s="626">
        <v>5392</v>
      </c>
      <c r="CD66" s="293">
        <f>CC66</f>
        <v>5392</v>
      </c>
      <c r="CF66" s="626">
        <v>5883</v>
      </c>
      <c r="CG66" s="626">
        <v>6963</v>
      </c>
      <c r="CH66" s="293">
        <f>CG66</f>
        <v>6963</v>
      </c>
      <c r="CJ66" s="626">
        <v>7246</v>
      </c>
      <c r="CK66" s="626">
        <v>7414</v>
      </c>
      <c r="CL66" s="293">
        <f>CK66</f>
        <v>7414</v>
      </c>
      <c r="CN66" s="626">
        <v>8411</v>
      </c>
      <c r="CO66" s="626">
        <v>9423</v>
      </c>
      <c r="CP66" s="293">
        <f>CO66</f>
        <v>9423</v>
      </c>
      <c r="CR66" s="1488">
        <v>9961</v>
      </c>
      <c r="CS66" s="1488">
        <v>9513</v>
      </c>
      <c r="CT66" s="293">
        <f>CS66</f>
        <v>9513</v>
      </c>
      <c r="CV66" s="1488">
        <v>11457</v>
      </c>
      <c r="CW66" s="1497">
        <v>12891</v>
      </c>
      <c r="CX66" s="293">
        <f>CW66</f>
        <v>12891</v>
      </c>
      <c r="CZ66" s="1488">
        <v>12833</v>
      </c>
      <c r="DA66" s="1488">
        <v>14201</v>
      </c>
      <c r="DB66" s="293">
        <f>DA66</f>
        <v>14201</v>
      </c>
      <c r="DD66" s="1488">
        <v>16271</v>
      </c>
      <c r="DE66" s="2176">
        <v>16401</v>
      </c>
      <c r="DF66" s="293">
        <f>DE66</f>
        <v>16401</v>
      </c>
      <c r="DH66" s="2259">
        <v>17046</v>
      </c>
      <c r="DI66" s="293">
        <f>+DH66*(1+DI88)</f>
        <v>17557.38</v>
      </c>
      <c r="DJ66" s="293">
        <f>DI66</f>
        <v>17557.38</v>
      </c>
      <c r="DL66" s="293">
        <f>+DI66*(1+DL88)</f>
        <v>18084.101400000003</v>
      </c>
      <c r="DM66" s="293">
        <f>+DL66*(1+DM88)</f>
        <v>18626.624442000004</v>
      </c>
      <c r="DN66" s="293">
        <f>DM66</f>
        <v>18626.624442000004</v>
      </c>
      <c r="DP66" s="293">
        <f>+DM66*(1+DP88)</f>
        <v>19185.423175260006</v>
      </c>
      <c r="DQ66" s="293">
        <f>+DP66*(1+DQ88)</f>
        <v>19760.985870517809</v>
      </c>
      <c r="DR66" s="293">
        <f>DQ66</f>
        <v>19760.985870517809</v>
      </c>
      <c r="DU66" s="293"/>
      <c r="DV66" s="293"/>
      <c r="DW66" s="293"/>
    </row>
    <row r="67" spans="1:138">
      <c r="A67" s="102" t="s">
        <v>252</v>
      </c>
      <c r="C67" s="103" t="s">
        <v>612</v>
      </c>
      <c r="P67" s="626">
        <v>0</v>
      </c>
      <c r="Q67" s="626">
        <v>0</v>
      </c>
      <c r="R67" s="293">
        <f>Q67</f>
        <v>0</v>
      </c>
      <c r="T67" s="626">
        <v>0</v>
      </c>
      <c r="U67" s="626">
        <v>0</v>
      </c>
      <c r="V67" s="293">
        <f>U67</f>
        <v>0</v>
      </c>
      <c r="X67" s="626">
        <v>0</v>
      </c>
      <c r="Y67" s="626">
        <v>0</v>
      </c>
      <c r="Z67" s="293">
        <f>Y67</f>
        <v>0</v>
      </c>
      <c r="AB67" s="626">
        <v>0</v>
      </c>
      <c r="AC67" s="626">
        <v>0</v>
      </c>
      <c r="AD67" s="293">
        <f>AC67</f>
        <v>0</v>
      </c>
      <c r="AE67" s="293"/>
      <c r="AF67" s="626">
        <v>266</v>
      </c>
      <c r="AG67" s="626">
        <v>266</v>
      </c>
      <c r="AH67" s="293">
        <f>AG67</f>
        <v>266</v>
      </c>
      <c r="AI67" s="320"/>
      <c r="AJ67" s="626">
        <v>914</v>
      </c>
      <c r="AK67" s="626">
        <v>888</v>
      </c>
      <c r="AL67" s="293">
        <f>AK67</f>
        <v>888</v>
      </c>
      <c r="AN67" s="626">
        <v>853</v>
      </c>
      <c r="AO67" s="626">
        <v>646</v>
      </c>
      <c r="AP67" s="293">
        <f>AO67</f>
        <v>646</v>
      </c>
      <c r="AR67" s="626">
        <v>647</v>
      </c>
      <c r="AS67" s="626">
        <v>451</v>
      </c>
      <c r="AT67" s="293">
        <f>AS67</f>
        <v>451</v>
      </c>
      <c r="AV67" s="626">
        <v>522</v>
      </c>
      <c r="AW67" s="626">
        <v>499</v>
      </c>
      <c r="AX67" s="293">
        <f>AW67</f>
        <v>499</v>
      </c>
      <c r="AZ67" s="626">
        <v>487</v>
      </c>
      <c r="BA67" s="626">
        <v>467</v>
      </c>
      <c r="BB67" s="293">
        <f>BA67</f>
        <v>467</v>
      </c>
      <c r="BD67" s="626">
        <v>149</v>
      </c>
      <c r="BE67" s="626">
        <v>150</v>
      </c>
      <c r="BF67" s="293">
        <f>BE67</f>
        <v>150</v>
      </c>
      <c r="BH67" s="626">
        <v>0</v>
      </c>
      <c r="BI67" s="626">
        <v>0</v>
      </c>
      <c r="BJ67" s="293">
        <f>BI67</f>
        <v>0</v>
      </c>
      <c r="BL67" s="626">
        <v>0</v>
      </c>
      <c r="BM67" s="626">
        <v>0</v>
      </c>
      <c r="BN67" s="293">
        <f>BM67</f>
        <v>0</v>
      </c>
      <c r="BP67" s="626">
        <v>0</v>
      </c>
      <c r="BQ67" s="626">
        <v>0</v>
      </c>
      <c r="BR67" s="293">
        <f>BQ67</f>
        <v>0</v>
      </c>
      <c r="BT67" s="626">
        <v>0</v>
      </c>
      <c r="BU67" s="626">
        <v>0</v>
      </c>
      <c r="BV67" s="293">
        <f>BU67</f>
        <v>0</v>
      </c>
      <c r="BX67" s="626">
        <v>0</v>
      </c>
      <c r="BY67" s="626">
        <v>0</v>
      </c>
      <c r="BZ67" s="293">
        <f>BY67</f>
        <v>0</v>
      </c>
      <c r="CB67" s="626">
        <v>0</v>
      </c>
      <c r="CC67" s="626">
        <v>0</v>
      </c>
      <c r="CD67" s="293">
        <f>CC67</f>
        <v>0</v>
      </c>
      <c r="CF67" s="626">
        <v>0</v>
      </c>
      <c r="CG67" s="626">
        <v>0</v>
      </c>
      <c r="CH67" s="293">
        <f>CG67</f>
        <v>0</v>
      </c>
      <c r="CJ67" s="626">
        <v>0</v>
      </c>
      <c r="CK67" s="626">
        <v>0</v>
      </c>
      <c r="CL67" s="293">
        <f>CK67</f>
        <v>0</v>
      </c>
      <c r="CN67" s="626">
        <v>0</v>
      </c>
      <c r="CO67" s="626">
        <v>0</v>
      </c>
      <c r="CP67" s="293">
        <f>CO67</f>
        <v>0</v>
      </c>
      <c r="CR67" s="1488">
        <v>0</v>
      </c>
      <c r="CS67" s="1488">
        <v>0</v>
      </c>
      <c r="CT67" s="293">
        <f>CS67</f>
        <v>0</v>
      </c>
      <c r="CV67" s="1488">
        <v>0</v>
      </c>
      <c r="CW67" s="1497">
        <v>0</v>
      </c>
      <c r="CX67" s="293">
        <f>CW67</f>
        <v>0</v>
      </c>
      <c r="CZ67" s="1488">
        <v>0</v>
      </c>
      <c r="DA67" s="1488">
        <v>0</v>
      </c>
      <c r="DB67" s="293">
        <f>DA67</f>
        <v>0</v>
      </c>
      <c r="DD67" s="1488">
        <v>0</v>
      </c>
      <c r="DE67" s="1497">
        <v>0</v>
      </c>
      <c r="DF67" s="293">
        <f>DE67</f>
        <v>0</v>
      </c>
      <c r="DH67" s="1488">
        <v>0</v>
      </c>
      <c r="DI67" s="487">
        <f>DH67</f>
        <v>0</v>
      </c>
      <c r="DJ67" s="293">
        <f>DI67</f>
        <v>0</v>
      </c>
      <c r="DL67" s="487">
        <f>DI67</f>
        <v>0</v>
      </c>
      <c r="DM67" s="487">
        <f>DL67</f>
        <v>0</v>
      </c>
      <c r="DN67" s="293">
        <f>DM67</f>
        <v>0</v>
      </c>
      <c r="DP67" s="487">
        <f>DM67</f>
        <v>0</v>
      </c>
      <c r="DQ67" s="487">
        <f>DP67</f>
        <v>0</v>
      </c>
      <c r="DR67" s="293">
        <f>DQ67</f>
        <v>0</v>
      </c>
      <c r="DU67" s="487"/>
      <c r="DV67" s="487"/>
      <c r="DW67" s="293"/>
    </row>
    <row r="68" spans="1:138">
      <c r="A68" s="289" t="s">
        <v>253</v>
      </c>
      <c r="C68" s="290" t="s">
        <v>612</v>
      </c>
      <c r="P68" s="295">
        <f>SUM(P66:P67)</f>
        <v>392</v>
      </c>
      <c r="Q68" s="295">
        <f>SUM(Q66:Q67)</f>
        <v>556</v>
      </c>
      <c r="R68" s="295">
        <f>SUM(R66:R67)</f>
        <v>556</v>
      </c>
      <c r="T68" s="295">
        <f>SUM(T66:T67)</f>
        <v>805</v>
      </c>
      <c r="U68" s="295">
        <f>SUM(U66:U67)</f>
        <v>960</v>
      </c>
      <c r="V68" s="295">
        <f>SUM(V66:V67)</f>
        <v>960</v>
      </c>
      <c r="X68" s="295">
        <f>SUM(X66:X67)</f>
        <v>915</v>
      </c>
      <c r="Y68" s="295">
        <f>SUM(Y66:Y67)</f>
        <v>1359</v>
      </c>
      <c r="Z68" s="295">
        <f>SUM(Z66:Z67)</f>
        <v>1359</v>
      </c>
      <c r="AB68" s="295">
        <f>SUM(AB66:AB67)</f>
        <v>915</v>
      </c>
      <c r="AC68" s="295">
        <f>SUM(AC66:AC67)</f>
        <v>1359</v>
      </c>
      <c r="AD68" s="295">
        <f>SUM(AD66:AD67)</f>
        <v>1359</v>
      </c>
      <c r="AE68" s="293"/>
      <c r="AF68" s="295">
        <f>SUM(AF66:AF67)</f>
        <v>1327</v>
      </c>
      <c r="AG68" s="295">
        <f>SUM(AG66:AG67)</f>
        <v>1381</v>
      </c>
      <c r="AH68" s="295">
        <f>SUM(AH66:AH67)</f>
        <v>1381</v>
      </c>
      <c r="AI68" s="320"/>
      <c r="AJ68" s="295">
        <f>SUM(AJ66:AJ67)</f>
        <v>2166</v>
      </c>
      <c r="AK68" s="295">
        <f>SUM(AK66:AK67)</f>
        <v>2671</v>
      </c>
      <c r="AL68" s="295">
        <f>SUM(AL66:AL67)</f>
        <v>2671</v>
      </c>
      <c r="AN68" s="295">
        <f>SUM(AN66:AN67)</f>
        <v>2574</v>
      </c>
      <c r="AO68" s="295">
        <f>SUM(AO66:AO67)</f>
        <v>2350</v>
      </c>
      <c r="AP68" s="295">
        <f>SUM(AP66:AP67)</f>
        <v>2350</v>
      </c>
      <c r="AR68" s="295">
        <f>SUM(AR65:AR67)</f>
        <v>2651</v>
      </c>
      <c r="AS68" s="295">
        <f>SUM(AS65:AS67)</f>
        <v>2538</v>
      </c>
      <c r="AT68" s="295">
        <f>SUM(AT65:AT67)</f>
        <v>2538</v>
      </c>
      <c r="AV68" s="295">
        <f>SUM(AV65:AV67)</f>
        <v>2124</v>
      </c>
      <c r="AW68" s="295">
        <f>SUM(AW65:AW67)</f>
        <v>2008</v>
      </c>
      <c r="AX68" s="295">
        <f>SUM(AX65:AX67)</f>
        <v>2008</v>
      </c>
      <c r="AZ68" s="295">
        <f>SUM(AZ65:AZ67)</f>
        <v>2563</v>
      </c>
      <c r="BA68" s="295">
        <f>SUM(BA65:BA67)</f>
        <v>2894</v>
      </c>
      <c r="BB68" s="295">
        <f>SUM(BB65:BB67)</f>
        <v>2894</v>
      </c>
      <c r="BD68" s="295">
        <f>SUM(BD65:BD67)</f>
        <v>3622</v>
      </c>
      <c r="BE68" s="295">
        <f>SUM(BE65:BE67)</f>
        <v>3343</v>
      </c>
      <c r="BF68" s="295">
        <f>SUM(BF65:BF67)</f>
        <v>3343</v>
      </c>
      <c r="BH68" s="295">
        <f>SUM(BH65:BH67)</f>
        <v>2993</v>
      </c>
      <c r="BI68" s="295">
        <f>SUM(BI65:BI67)</f>
        <v>3220</v>
      </c>
      <c r="BJ68" s="295">
        <f>SUM(BJ65:BJ67)</f>
        <v>3220</v>
      </c>
      <c r="BL68" s="295">
        <f>SUM(BL65:BL67)</f>
        <v>3438</v>
      </c>
      <c r="BM68" s="295">
        <f>SUM(BM65:BM67)</f>
        <v>3507</v>
      </c>
      <c r="BN68" s="295">
        <f>SUM(BN65:BN67)</f>
        <v>3507</v>
      </c>
      <c r="BP68" s="295">
        <f>SUM(BP65:BP67)</f>
        <v>3604</v>
      </c>
      <c r="BQ68" s="295">
        <f>SUM(BQ65:BQ67)</f>
        <v>4384</v>
      </c>
      <c r="BR68" s="295">
        <f>SUM(BR65:BR67)</f>
        <v>4384</v>
      </c>
      <c r="BT68" s="295">
        <f>SUM(BT65:BT67)</f>
        <v>5782</v>
      </c>
      <c r="BU68" s="295">
        <f>SUM(BU65:BU67)</f>
        <v>5209</v>
      </c>
      <c r="BV68" s="295">
        <f>SUM(BV65:BV67)</f>
        <v>5209</v>
      </c>
      <c r="BX68" s="295">
        <f>SUM(BX65:BX67)</f>
        <v>4942</v>
      </c>
      <c r="BY68" s="295">
        <f>SUM(BY65:BY67)</f>
        <v>5748</v>
      </c>
      <c r="BZ68" s="295">
        <f>SUM(BZ65:BZ67)</f>
        <v>5748</v>
      </c>
      <c r="CB68" s="295">
        <f>SUM(CB65:CB67)</f>
        <v>5380</v>
      </c>
      <c r="CC68" s="295">
        <f>SUM(CC65:CC67)</f>
        <v>5392</v>
      </c>
      <c r="CD68" s="295">
        <f>SUM(CD65:CD67)</f>
        <v>5392</v>
      </c>
      <c r="CF68" s="295">
        <f>SUM(CF65:CF67)</f>
        <v>5883</v>
      </c>
      <c r="CG68" s="295">
        <f>SUM(CG65:CG67)</f>
        <v>6963</v>
      </c>
      <c r="CH68" s="295">
        <f>SUM(CH65:CH67)</f>
        <v>6963</v>
      </c>
      <c r="CJ68" s="295">
        <f>SUM(CJ65:CJ67)</f>
        <v>7246</v>
      </c>
      <c r="CK68" s="295">
        <f>SUM(CK65:CK67)</f>
        <v>7414</v>
      </c>
      <c r="CL68" s="295">
        <f>SUM(CL65:CL67)</f>
        <v>7414</v>
      </c>
      <c r="CN68" s="295">
        <f>SUM(CN65:CN67)</f>
        <v>8411</v>
      </c>
      <c r="CO68" s="295">
        <f>SUM(CO65:CO67)</f>
        <v>9423</v>
      </c>
      <c r="CP68" s="295">
        <f>SUM(CP65:CP67)</f>
        <v>9423</v>
      </c>
      <c r="CR68" s="295">
        <f>SUM(CR65:CR67)</f>
        <v>9961</v>
      </c>
      <c r="CS68" s="295">
        <f>SUM(CS65:CS67)</f>
        <v>9513</v>
      </c>
      <c r="CT68" s="295">
        <f>SUM(CT65:CT67)</f>
        <v>9513</v>
      </c>
      <c r="CV68" s="295">
        <f>SUM(CV65:CV67)</f>
        <v>11457</v>
      </c>
      <c r="CW68" s="1390">
        <f>SUM(CW65:CW67)</f>
        <v>12891</v>
      </c>
      <c r="CX68" s="295">
        <f>SUM(CX65:CX67)</f>
        <v>12891</v>
      </c>
      <c r="CZ68" s="295">
        <f>SUM(CZ65:CZ67)</f>
        <v>12833</v>
      </c>
      <c r="DA68" s="1491">
        <f>SUM(DA65:DA67)</f>
        <v>14201</v>
      </c>
      <c r="DB68" s="295">
        <f>SUM(DB65:DB67)</f>
        <v>14201</v>
      </c>
      <c r="DD68" s="295">
        <f>SUM(DD65:DD67)</f>
        <v>16271</v>
      </c>
      <c r="DE68" s="1491">
        <f>SUM(DE65:DE67)</f>
        <v>16401</v>
      </c>
      <c r="DF68" s="295">
        <f>SUM(DF65:DF67)</f>
        <v>16401</v>
      </c>
      <c r="DH68" s="295">
        <f>SUM(DH65:DH67)</f>
        <v>17046</v>
      </c>
      <c r="DI68" s="295">
        <f>SUM(DI65:DI67)</f>
        <v>17557.38</v>
      </c>
      <c r="DJ68" s="295">
        <f>SUM(DJ65:DJ67)</f>
        <v>17557.38</v>
      </c>
      <c r="DL68" s="295">
        <f>SUM(DL65:DL67)</f>
        <v>18084.101400000003</v>
      </c>
      <c r="DM68" s="295">
        <f>SUM(DM65:DM67)</f>
        <v>18626.624442000004</v>
      </c>
      <c r="DN68" s="295">
        <f>SUM(DN65:DN67)</f>
        <v>18626.624442000004</v>
      </c>
      <c r="DP68" s="295">
        <f>SUM(DP65:DP67)</f>
        <v>19185.423175260006</v>
      </c>
      <c r="DQ68" s="295">
        <f>SUM(DQ65:DQ67)</f>
        <v>19760.985870517809</v>
      </c>
      <c r="DR68" s="295">
        <f>SUM(DR65:DR67)</f>
        <v>19760.985870517809</v>
      </c>
      <c r="DU68" s="295"/>
      <c r="DV68" s="295"/>
      <c r="DW68" s="295"/>
    </row>
    <row r="69" spans="1:138">
      <c r="A69" s="289" t="s">
        <v>254</v>
      </c>
      <c r="C69" s="290" t="s">
        <v>612</v>
      </c>
      <c r="P69" s="295">
        <f>+P68+P63</f>
        <v>29873</v>
      </c>
      <c r="Q69" s="295">
        <f>+Q68+Q63</f>
        <v>29877</v>
      </c>
      <c r="R69" s="295">
        <f>+R68+R63</f>
        <v>29877</v>
      </c>
      <c r="T69" s="295">
        <f>+T68+T63</f>
        <v>33461</v>
      </c>
      <c r="U69" s="295">
        <f>+U68+U63</f>
        <v>40938</v>
      </c>
      <c r="V69" s="295">
        <f>+V68+V63</f>
        <v>40938</v>
      </c>
      <c r="X69" s="295">
        <f>+X68+X63</f>
        <v>38172</v>
      </c>
      <c r="Y69" s="295">
        <f>+Y68+Y63</f>
        <v>44881</v>
      </c>
      <c r="Z69" s="295">
        <f>+Z68+Z63</f>
        <v>44881</v>
      </c>
      <c r="AB69" s="295">
        <f>+AB68+AB63</f>
        <v>55259</v>
      </c>
      <c r="AC69" s="295">
        <f>+AC68+AC63</f>
        <v>63555</v>
      </c>
      <c r="AD69" s="295">
        <f>+AD68+AD63</f>
        <v>63555</v>
      </c>
      <c r="AE69" s="293"/>
      <c r="AF69" s="295">
        <f>+AF68+AF63</f>
        <v>79227</v>
      </c>
      <c r="AG69" s="295">
        <f>+AG68+AG63</f>
        <v>100874</v>
      </c>
      <c r="AH69" s="295">
        <f>+AH68+AH63</f>
        <v>100874</v>
      </c>
      <c r="AI69" s="320"/>
      <c r="AJ69" s="295">
        <f>+AJ68+AJ63</f>
        <v>105836</v>
      </c>
      <c r="AK69" s="295">
        <f>+AK68+AK63</f>
        <v>128870</v>
      </c>
      <c r="AL69" s="295">
        <f>+AL68+AL63</f>
        <v>128870</v>
      </c>
      <c r="AN69" s="295">
        <f>+AN68+AN63</f>
        <v>143043</v>
      </c>
      <c r="AO69" s="295">
        <f>+AO68+AO63</f>
        <v>157189</v>
      </c>
      <c r="AP69" s="295">
        <f>+AP68+AP63</f>
        <v>157189</v>
      </c>
      <c r="AR69" s="295">
        <f>+AR68+AR63</f>
        <v>157154</v>
      </c>
      <c r="AS69" s="295">
        <f>+AS68+AS63</f>
        <v>139584</v>
      </c>
      <c r="AT69" s="295">
        <f>+AT68+AT63</f>
        <v>139584</v>
      </c>
      <c r="AV69" s="295">
        <f>+AV68+AV63</f>
        <v>135711</v>
      </c>
      <c r="AW69" s="295">
        <f>+AW68+AW63</f>
        <v>134171</v>
      </c>
      <c r="AX69" s="295">
        <f>+AX68+AX63</f>
        <v>134171</v>
      </c>
      <c r="AZ69" s="295">
        <f>+AZ68+AZ63</f>
        <v>146467</v>
      </c>
      <c r="BA69" s="295">
        <f>+BA68+BA63</f>
        <v>145636</v>
      </c>
      <c r="BB69" s="295">
        <f>+BB68+BB63</f>
        <v>145636</v>
      </c>
      <c r="BD69" s="295">
        <f>+BD68+BD63</f>
        <v>162924</v>
      </c>
      <c r="BE69" s="295">
        <f>+BE68+BE63</f>
        <v>141894</v>
      </c>
      <c r="BF69" s="295">
        <f>+BF68+BF63</f>
        <v>141894</v>
      </c>
      <c r="BH69" s="295">
        <f>+BH68+BH63</f>
        <v>140676</v>
      </c>
      <c r="BI69" s="295">
        <f>+BI68+BI63</f>
        <v>132793</v>
      </c>
      <c r="BJ69" s="295">
        <f>+BJ68+BJ63</f>
        <v>132793</v>
      </c>
      <c r="BL69" s="295">
        <f>+BL68+BL63</f>
        <v>141881</v>
      </c>
      <c r="BM69" s="295">
        <f>+BM68+BM63</f>
        <v>141990</v>
      </c>
      <c r="BN69" s="295">
        <f>+BN68+BN63</f>
        <v>141990</v>
      </c>
      <c r="BP69" s="295">
        <f>+BP68+BP63</f>
        <v>150116</v>
      </c>
      <c r="BQ69" s="295">
        <f>+BQ68+BQ63</f>
        <v>173580</v>
      </c>
      <c r="BR69" s="295">
        <f>+BR68+BR63</f>
        <v>173580</v>
      </c>
      <c r="BT69" s="295">
        <f>+BT68+BT63</f>
        <v>193873</v>
      </c>
      <c r="BU69" s="295">
        <f>+BU68+BU63</f>
        <v>181091</v>
      </c>
      <c r="BV69" s="295">
        <f>+BV68+BV63</f>
        <v>181091</v>
      </c>
      <c r="BX69" s="295">
        <f>+BX68+BX63</f>
        <v>177630</v>
      </c>
      <c r="BY69" s="295">
        <f>+BY68+BY63</f>
        <v>165607</v>
      </c>
      <c r="BZ69" s="295">
        <f>+BZ68+BZ63</f>
        <v>165607</v>
      </c>
      <c r="CB69" s="295">
        <f>+CB68+CB63</f>
        <v>172661</v>
      </c>
      <c r="CC69" s="295">
        <f>+CC68+CC63</f>
        <v>173145</v>
      </c>
      <c r="CD69" s="295">
        <f>+CD68+CD63</f>
        <v>173145</v>
      </c>
      <c r="CF69" s="295">
        <f>+CF68+CF63</f>
        <v>188439</v>
      </c>
      <c r="CG69" s="295">
        <f>+CG68+CG63</f>
        <v>184818</v>
      </c>
      <c r="CH69" s="295">
        <f>+CH68+CH63</f>
        <v>184818</v>
      </c>
      <c r="CJ69" s="295">
        <f>+CJ68+CJ63</f>
        <v>199183</v>
      </c>
      <c r="CK69" s="295">
        <f>+CK68+CK63</f>
        <v>234018</v>
      </c>
      <c r="CL69" s="295">
        <f>+CL68+CL63</f>
        <v>234018</v>
      </c>
      <c r="CN69" s="295">
        <f>+CN68+CN63</f>
        <v>209946</v>
      </c>
      <c r="CO69" s="295">
        <f>+CO68+CO63</f>
        <v>223302</v>
      </c>
      <c r="CP69" s="295">
        <f>+CP68+CP63</f>
        <v>223302</v>
      </c>
      <c r="CR69" s="295">
        <f>+CR68+CR63</f>
        <v>324153</v>
      </c>
      <c r="CS69" s="295">
        <f>+CS68+CS63</f>
        <v>370370</v>
      </c>
      <c r="CT69" s="295">
        <f>+CT68+CT63</f>
        <v>370370</v>
      </c>
      <c r="CV69" s="295">
        <f>+CV68+CV63</f>
        <v>454887</v>
      </c>
      <c r="CW69" s="1390">
        <f>+CW68+CW63</f>
        <v>353766</v>
      </c>
      <c r="CX69" s="295">
        <f>+CX68+CX63</f>
        <v>353766</v>
      </c>
      <c r="CZ69" s="295">
        <f>+CZ68+CZ63</f>
        <v>361456</v>
      </c>
      <c r="DA69" s="1491">
        <f>+DA68+DA63</f>
        <v>369408</v>
      </c>
      <c r="DB69" s="295">
        <f>+DB68+DB63</f>
        <v>369408</v>
      </c>
      <c r="DD69" s="295">
        <f>+DD68+DD63</f>
        <v>381481</v>
      </c>
      <c r="DE69" s="1491">
        <f>+DE68+DE63</f>
        <v>409432</v>
      </c>
      <c r="DF69" s="295">
        <f>+DF68+DF63</f>
        <v>409432</v>
      </c>
      <c r="DH69" s="295">
        <f>+DH68+DH63</f>
        <v>449022</v>
      </c>
      <c r="DI69" s="295">
        <f ca="1">+DI27-DI70</f>
        <v>482642.73358961847</v>
      </c>
      <c r="DJ69" s="295">
        <f ca="1">+DJ68+DJ63</f>
        <v>482642.73358961847</v>
      </c>
      <c r="DL69" s="295">
        <f ca="1">+DL27-DL70</f>
        <v>509167.16134856065</v>
      </c>
      <c r="DM69" s="295">
        <f ca="1">+DM27-DM70</f>
        <v>529101.93744633626</v>
      </c>
      <c r="DN69" s="295">
        <f ca="1">+DN68+DN63</f>
        <v>529101.93744633626</v>
      </c>
      <c r="DP69" s="295">
        <f ca="1">+DP27-DP70</f>
        <v>552400.20561444724</v>
      </c>
      <c r="DQ69" s="295">
        <f ca="1">+DQ27-DQ70</f>
        <v>574337.20008201059</v>
      </c>
      <c r="DR69" s="295">
        <f ca="1">+DR68+DR63</f>
        <v>574337.20008201059</v>
      </c>
      <c r="DU69" s="295"/>
      <c r="DV69" s="295"/>
      <c r="DW69" s="295"/>
    </row>
    <row r="70" spans="1:138">
      <c r="A70" s="289" t="s">
        <v>172</v>
      </c>
      <c r="C70" s="290" t="s">
        <v>612</v>
      </c>
      <c r="P70" s="295">
        <f>+P27-P69</f>
        <v>2602</v>
      </c>
      <c r="Q70" s="295">
        <f>+Q27-Q69</f>
        <v>2585</v>
      </c>
      <c r="R70" s="295">
        <f>+R27-R69</f>
        <v>2585</v>
      </c>
      <c r="T70" s="295">
        <f>+T27-T69</f>
        <v>3341</v>
      </c>
      <c r="U70" s="295">
        <f>+U27-U69</f>
        <v>2833</v>
      </c>
      <c r="V70" s="295">
        <f>+V27-V69</f>
        <v>2833</v>
      </c>
      <c r="X70" s="295">
        <f>+X27-X69</f>
        <v>3942</v>
      </c>
      <c r="Y70" s="295">
        <f>+Y27-Y69</f>
        <v>4432</v>
      </c>
      <c r="Z70" s="295">
        <f>+Z27-Z69</f>
        <v>4432</v>
      </c>
      <c r="AB70" s="295">
        <f>+AB27-AB69</f>
        <v>3891</v>
      </c>
      <c r="AC70" s="295">
        <f>+AC27-AC69</f>
        <v>4425</v>
      </c>
      <c r="AD70" s="295">
        <f>+AD27-AD69</f>
        <v>4425</v>
      </c>
      <c r="AE70" s="293"/>
      <c r="AF70" s="295">
        <f>+AF27-AF69</f>
        <v>4993</v>
      </c>
      <c r="AG70" s="295">
        <f>+AG27-AG69</f>
        <v>5337</v>
      </c>
      <c r="AH70" s="295">
        <f>+AH27-AH69</f>
        <v>5337</v>
      </c>
      <c r="AI70" s="320"/>
      <c r="AJ70" s="295">
        <f>+AJ27-AJ69</f>
        <v>6801</v>
      </c>
      <c r="AK70" s="295">
        <f>+AK27-AK69</f>
        <v>7519</v>
      </c>
      <c r="AL70" s="295">
        <f>+AL27-AL69</f>
        <v>7519</v>
      </c>
      <c r="AN70" s="295">
        <f>+AN27-AN69</f>
        <v>9415</v>
      </c>
      <c r="AO70" s="295">
        <f>+AO27-AO69</f>
        <v>10061</v>
      </c>
      <c r="AP70" s="295">
        <f>+AP27-AP69</f>
        <v>10061</v>
      </c>
      <c r="AR70" s="295">
        <f>+AR27-AR69</f>
        <v>10281</v>
      </c>
      <c r="AS70" s="295">
        <f>+AS27-AS69</f>
        <v>9560</v>
      </c>
      <c r="AT70" s="295">
        <f>+AT27-AT69</f>
        <v>9560</v>
      </c>
      <c r="AV70" s="295">
        <f>+AV27-AV69</f>
        <v>11220</v>
      </c>
      <c r="AW70" s="295">
        <f>+AW27-AW69</f>
        <v>11769</v>
      </c>
      <c r="AX70" s="295">
        <f>+AX27-AX69</f>
        <v>11769</v>
      </c>
      <c r="AZ70" s="295">
        <f>+AZ27-AZ69</f>
        <v>11593</v>
      </c>
      <c r="BA70" s="295">
        <f>+BA27-BA69</f>
        <v>11932</v>
      </c>
      <c r="BB70" s="295">
        <f>+BB27-BB69</f>
        <v>11932</v>
      </c>
      <c r="BD70" s="295">
        <f>+BD27-BD69</f>
        <v>11764</v>
      </c>
      <c r="BE70" s="295">
        <f>+BE27-BE69</f>
        <v>11732</v>
      </c>
      <c r="BF70" s="295">
        <f>+BF27-BF69</f>
        <v>11732</v>
      </c>
      <c r="BH70" s="295">
        <f>+BH27-BH69</f>
        <v>11504</v>
      </c>
      <c r="BI70" s="295">
        <f>+BI27-BI69</f>
        <v>11955</v>
      </c>
      <c r="BJ70" s="295">
        <f>+BJ27-BJ69</f>
        <v>11955</v>
      </c>
      <c r="BL70" s="295">
        <f>+BL27-BL69</f>
        <v>12719</v>
      </c>
      <c r="BM70" s="295">
        <f>+BM27-BM69</f>
        <v>11914</v>
      </c>
      <c r="BN70" s="295">
        <f>+BN27-BN69</f>
        <v>11914</v>
      </c>
      <c r="BP70" s="295">
        <f>+BP27-BP69</f>
        <v>12216</v>
      </c>
      <c r="BQ70" s="295">
        <f>+BQ27-BQ69</f>
        <v>14396</v>
      </c>
      <c r="BR70" s="295">
        <f>+BR27-BR69</f>
        <v>14396</v>
      </c>
      <c r="BT70" s="295">
        <f>+BT27-BT69</f>
        <v>15217</v>
      </c>
      <c r="BU70" s="295">
        <f>+BU27-BU69</f>
        <v>15664</v>
      </c>
      <c r="BV70" s="295">
        <f>+BV27-BV69</f>
        <v>15664</v>
      </c>
      <c r="BX70" s="295">
        <f>+BX27-BX69</f>
        <v>15463</v>
      </c>
      <c r="BY70" s="295">
        <f>+BY27-BY69</f>
        <v>17270</v>
      </c>
      <c r="BZ70" s="295">
        <f>+BZ27-BZ69</f>
        <v>17270</v>
      </c>
      <c r="CB70" s="295">
        <f>+CB27-CB69</f>
        <v>17099</v>
      </c>
      <c r="CC70" s="295">
        <f>+CC27-CC69</f>
        <v>18180</v>
      </c>
      <c r="CD70" s="295">
        <f>+CD27-CD69</f>
        <v>18180</v>
      </c>
      <c r="CF70" s="295">
        <f>+CF27-CF69</f>
        <v>17159</v>
      </c>
      <c r="CG70" s="295">
        <f>+CG27-CG69</f>
        <v>18364</v>
      </c>
      <c r="CH70" s="295">
        <f>+CH27-CH69</f>
        <v>18364</v>
      </c>
      <c r="CJ70" s="295">
        <f>+CJ27-CJ69</f>
        <v>20312</v>
      </c>
      <c r="CK70" s="295">
        <f>+CK27-CK69</f>
        <v>21784</v>
      </c>
      <c r="CL70" s="295">
        <f>+CL27-CL69</f>
        <v>21784</v>
      </c>
      <c r="CN70" s="295">
        <f>+CN27-CN69</f>
        <v>20789</v>
      </c>
      <c r="CO70" s="295">
        <f>+CO27-CO69</f>
        <v>22351</v>
      </c>
      <c r="CP70" s="295">
        <f>+CP27-CP69</f>
        <v>22351</v>
      </c>
      <c r="CR70" s="295">
        <f>+CR27-CR69</f>
        <v>24414</v>
      </c>
      <c r="CS70" s="295">
        <f>+CS27-CS69</f>
        <v>28806</v>
      </c>
      <c r="CT70" s="295">
        <f>+CT27-CT69</f>
        <v>28806</v>
      </c>
      <c r="CV70" s="295">
        <f>+CV27-CV69</f>
        <v>31687</v>
      </c>
      <c r="CW70" s="1390">
        <f>+CW27-CW69</f>
        <v>34106</v>
      </c>
      <c r="CX70" s="295">
        <f>+CX27-CX69</f>
        <v>34106</v>
      </c>
      <c r="CZ70" s="295">
        <f>+CZ27-CZ69</f>
        <v>33138</v>
      </c>
      <c r="DA70" s="1491">
        <f>+DA27-DA69</f>
        <v>33996</v>
      </c>
      <c r="DB70" s="295">
        <f>+DB27-DB69</f>
        <v>33996</v>
      </c>
      <c r="DD70" s="295">
        <f>+DD27-DD69</f>
        <v>32834</v>
      </c>
      <c r="DE70" s="1491">
        <f>+DE27-DE69</f>
        <v>35789</v>
      </c>
      <c r="DF70" s="295">
        <f>+DF27-DF69</f>
        <v>35789</v>
      </c>
      <c r="DH70" s="295">
        <f>+DH27-DH69</f>
        <v>35194</v>
      </c>
      <c r="DI70" s="295">
        <f ca="1">DI114</f>
        <v>36661.200914198373</v>
      </c>
      <c r="DJ70" s="295">
        <f ca="1">+DJ27-DJ69</f>
        <v>36661.200914198358</v>
      </c>
      <c r="DL70" s="295">
        <f ca="1">DL114</f>
        <v>37054.003791897267</v>
      </c>
      <c r="DM70" s="295">
        <f ca="1">DM114</f>
        <v>39839.085631694339</v>
      </c>
      <c r="DN70" s="295">
        <f ca="1">+DN27-DN69</f>
        <v>39839.085631694295</v>
      </c>
      <c r="DP70" s="295">
        <f ca="1">DP114</f>
        <v>40333.242684919933</v>
      </c>
      <c r="DQ70" s="295">
        <f ca="1">DQ114</f>
        <v>43317.001979283232</v>
      </c>
      <c r="DR70" s="295">
        <f ca="1">+DR27-DR69</f>
        <v>43317.001979283174</v>
      </c>
      <c r="DU70" s="295"/>
      <c r="DV70" s="295"/>
      <c r="DW70" s="295"/>
    </row>
    <row r="71" spans="1:138" s="289" customFormat="1">
      <c r="A71" s="102"/>
      <c r="C71" s="103"/>
      <c r="P71" s="626"/>
      <c r="Q71" s="626"/>
      <c r="R71" s="293"/>
      <c r="S71" s="290"/>
      <c r="T71" s="626"/>
      <c r="U71" s="626"/>
      <c r="V71" s="293"/>
      <c r="W71" s="290"/>
      <c r="X71" s="626"/>
      <c r="Y71" s="626"/>
      <c r="Z71" s="293"/>
      <c r="AA71" s="290"/>
      <c r="AB71" s="626"/>
      <c r="AC71" s="626"/>
      <c r="AD71" s="293"/>
      <c r="AE71" s="295"/>
      <c r="AF71" s="626"/>
      <c r="AG71" s="626"/>
      <c r="AH71" s="293"/>
      <c r="AI71" s="320"/>
      <c r="AJ71" s="626"/>
      <c r="AK71" s="626"/>
      <c r="AL71" s="293"/>
      <c r="AM71" s="290"/>
      <c r="AN71" s="626"/>
      <c r="AO71" s="626"/>
      <c r="AP71" s="293"/>
      <c r="AQ71" s="290"/>
      <c r="AR71" s="626"/>
      <c r="AS71" s="626"/>
      <c r="AT71" s="293"/>
      <c r="AU71" s="290"/>
      <c r="AV71" s="626"/>
      <c r="AW71" s="626"/>
      <c r="AX71" s="293"/>
      <c r="AY71" s="290"/>
      <c r="AZ71" s="626"/>
      <c r="BA71" s="626"/>
      <c r="BB71" s="293"/>
      <c r="BC71" s="290"/>
      <c r="BD71" s="626"/>
      <c r="BE71" s="626"/>
      <c r="BF71" s="293"/>
      <c r="BG71" s="290"/>
      <c r="BH71" s="626"/>
      <c r="BI71" s="626"/>
      <c r="BJ71" s="293"/>
      <c r="BK71" s="290"/>
      <c r="BL71" s="293"/>
      <c r="BM71" s="293"/>
      <c r="BN71" s="293"/>
      <c r="BO71" s="290"/>
      <c r="BP71" s="293"/>
      <c r="BQ71" s="293"/>
      <c r="BR71" s="293"/>
      <c r="BS71" s="290"/>
      <c r="BT71" s="293"/>
      <c r="BU71" s="293"/>
      <c r="BV71" s="293"/>
      <c r="BW71" s="290"/>
      <c r="BX71" s="293"/>
      <c r="BY71" s="293"/>
      <c r="BZ71" s="293"/>
      <c r="CA71" s="290"/>
      <c r="CB71" s="293"/>
      <c r="CC71" s="293"/>
      <c r="CD71" s="293"/>
      <c r="CE71" s="290"/>
      <c r="CF71" s="293"/>
      <c r="CG71" s="293"/>
      <c r="CH71" s="293"/>
      <c r="CI71" s="290"/>
      <c r="CJ71" s="293"/>
      <c r="CK71" s="293"/>
      <c r="CL71" s="293"/>
      <c r="CM71" s="290"/>
      <c r="CN71" s="293"/>
      <c r="CO71" s="293"/>
      <c r="CP71" s="293"/>
      <c r="CQ71" s="290"/>
      <c r="CR71" s="293"/>
      <c r="CS71" s="293"/>
      <c r="CT71" s="293"/>
      <c r="CU71" s="290"/>
      <c r="CV71" s="293"/>
      <c r="CW71" s="1495"/>
      <c r="CX71" s="293"/>
      <c r="CY71" s="290"/>
      <c r="CZ71" s="293"/>
      <c r="DA71" s="1010"/>
      <c r="DB71" s="293"/>
      <c r="DC71" s="290"/>
      <c r="DD71" s="293"/>
      <c r="DE71" s="1010"/>
      <c r="DF71" s="293"/>
      <c r="DG71" s="290"/>
      <c r="DH71" s="293"/>
      <c r="DI71" s="293"/>
      <c r="DJ71" s="293"/>
      <c r="DK71" s="290"/>
      <c r="DL71" s="293"/>
      <c r="DM71" s="293"/>
      <c r="DN71" s="293"/>
      <c r="DO71" s="290"/>
      <c r="DP71" s="293"/>
      <c r="DQ71" s="293"/>
      <c r="DR71" s="293"/>
      <c r="DS71" s="290"/>
      <c r="DT71" s="290"/>
      <c r="DU71" s="293"/>
      <c r="DV71" s="293"/>
      <c r="DW71" s="293"/>
      <c r="DX71" s="290"/>
      <c r="EH71"/>
    </row>
    <row r="72" spans="1:138" s="289" customFormat="1">
      <c r="A72" s="328" t="s">
        <v>382</v>
      </c>
      <c r="C72" s="103"/>
      <c r="P72" s="626"/>
      <c r="Q72" s="626"/>
      <c r="R72" s="293"/>
      <c r="S72" s="290"/>
      <c r="T72" s="626"/>
      <c r="U72" s="626"/>
      <c r="V72" s="293"/>
      <c r="W72" s="290"/>
      <c r="X72" s="626"/>
      <c r="Y72" s="626"/>
      <c r="Z72" s="293"/>
      <c r="AA72" s="290"/>
      <c r="AB72" s="626"/>
      <c r="AC72" s="626"/>
      <c r="AD72" s="293"/>
      <c r="AE72" s="295"/>
      <c r="AF72" s="626"/>
      <c r="AG72" s="626"/>
      <c r="AH72" s="293"/>
      <c r="AI72" s="320"/>
      <c r="AJ72" s="626"/>
      <c r="AK72" s="626"/>
      <c r="AL72" s="293"/>
      <c r="AM72" s="290"/>
      <c r="AN72" s="626"/>
      <c r="AO72" s="626"/>
      <c r="AP72" s="293"/>
      <c r="AQ72" s="290"/>
      <c r="AR72" s="626"/>
      <c r="AS72" s="626"/>
      <c r="AT72" s="293"/>
      <c r="AU72" s="290"/>
      <c r="AV72" s="626"/>
      <c r="AW72" s="626"/>
      <c r="AX72" s="293"/>
      <c r="AY72" s="290"/>
      <c r="AZ72" s="626"/>
      <c r="BA72" s="626"/>
      <c r="BB72" s="293"/>
      <c r="BC72" s="290"/>
      <c r="BD72" s="626"/>
      <c r="BE72" s="626"/>
      <c r="BF72" s="293"/>
      <c r="BG72" s="290"/>
      <c r="BH72" s="626"/>
      <c r="BI72" s="626"/>
      <c r="BJ72" s="293"/>
      <c r="BK72" s="290"/>
      <c r="BL72" s="293"/>
      <c r="BM72" s="293"/>
      <c r="BN72" s="293"/>
      <c r="BO72" s="290"/>
      <c r="BP72" s="293"/>
      <c r="BQ72" s="293"/>
      <c r="BR72" s="293"/>
      <c r="BS72" s="290"/>
      <c r="BT72" s="293"/>
      <c r="BU72" s="293"/>
      <c r="BV72" s="293"/>
      <c r="BW72" s="290"/>
      <c r="BX72" s="293"/>
      <c r="BY72" s="293"/>
      <c r="BZ72" s="293"/>
      <c r="CA72" s="290"/>
      <c r="CB72" s="293"/>
      <c r="CC72" s="293"/>
      <c r="CD72" s="293"/>
      <c r="CE72" s="290"/>
      <c r="CF72" s="293"/>
      <c r="CG72" s="293"/>
      <c r="CH72" s="293"/>
      <c r="CI72" s="290"/>
      <c r="CJ72" s="293"/>
      <c r="CK72" s="293"/>
      <c r="CL72" s="293"/>
      <c r="CM72" s="290"/>
      <c r="CN72" s="293"/>
      <c r="CO72" s="293"/>
      <c r="CP72" s="293"/>
      <c r="CQ72" s="290"/>
      <c r="CR72" s="293"/>
      <c r="CS72" s="293"/>
      <c r="CT72" s="293"/>
      <c r="CU72" s="290"/>
      <c r="CV72" s="293"/>
      <c r="CW72" s="1495"/>
      <c r="CX72" s="293"/>
      <c r="CY72" s="290"/>
      <c r="CZ72" s="293"/>
      <c r="DA72" s="293"/>
      <c r="DB72" s="293"/>
      <c r="DC72" s="290"/>
      <c r="DD72" s="293"/>
      <c r="DE72" s="293"/>
      <c r="DF72" s="293"/>
      <c r="DG72" s="290"/>
      <c r="DH72" s="293"/>
      <c r="DI72" s="293"/>
      <c r="DJ72" s="293"/>
      <c r="DK72" s="290"/>
      <c r="DL72" s="293"/>
      <c r="DM72" s="293"/>
      <c r="DN72" s="293"/>
      <c r="DO72" s="290"/>
      <c r="DP72" s="293"/>
      <c r="DQ72" s="293"/>
      <c r="DR72" s="293"/>
      <c r="DS72" s="290"/>
      <c r="DT72" s="290"/>
      <c r="DU72" s="293"/>
      <c r="DV72" s="293"/>
      <c r="DW72" s="293"/>
      <c r="DX72" s="290"/>
      <c r="EH72"/>
    </row>
    <row r="73" spans="1:138" s="289" customFormat="1">
      <c r="A73" s="323" t="str">
        <f>A50</f>
        <v>Due to Banks</v>
      </c>
      <c r="C73" s="103"/>
      <c r="P73" s="626"/>
      <c r="Q73" s="626"/>
      <c r="R73" s="293"/>
      <c r="S73" s="290"/>
      <c r="T73" s="626"/>
      <c r="U73" s="626"/>
      <c r="V73" s="293"/>
      <c r="W73" s="290"/>
      <c r="X73" s="626"/>
      <c r="Y73" s="626"/>
      <c r="Z73" s="293"/>
      <c r="AA73" s="290"/>
      <c r="AB73" s="626"/>
      <c r="AC73" s="626"/>
      <c r="AD73" s="293"/>
      <c r="AE73" s="295"/>
      <c r="AF73" s="626"/>
      <c r="AG73" s="626"/>
      <c r="AH73" s="293"/>
      <c r="AI73" s="632"/>
      <c r="AJ73" s="626"/>
      <c r="AK73" s="626"/>
      <c r="AL73" s="293"/>
      <c r="AM73" s="290"/>
      <c r="AN73" s="626"/>
      <c r="AO73" s="626"/>
      <c r="AP73" s="293"/>
      <c r="AQ73" s="290"/>
      <c r="AR73" s="626"/>
      <c r="AS73" s="626"/>
      <c r="AT73" s="293"/>
      <c r="AU73" s="290"/>
      <c r="AV73" s="626"/>
      <c r="AW73" s="626"/>
      <c r="AX73" s="293"/>
      <c r="AY73" s="290"/>
      <c r="AZ73" s="626"/>
      <c r="BA73" s="626"/>
      <c r="BB73" s="293"/>
      <c r="BC73" s="290"/>
      <c r="BD73" s="626"/>
      <c r="BE73" s="626"/>
      <c r="BF73" s="293"/>
      <c r="BG73" s="290"/>
      <c r="BH73" s="626"/>
      <c r="BI73" s="626"/>
      <c r="BJ73" s="293"/>
      <c r="BK73" s="290"/>
      <c r="BL73" s="637"/>
      <c r="BM73" s="639"/>
      <c r="BN73" s="295"/>
      <c r="BO73" s="290"/>
      <c r="BP73" s="637"/>
      <c r="BQ73" s="639"/>
      <c r="BR73" s="295"/>
      <c r="BS73" s="290"/>
      <c r="BT73" s="637"/>
      <c r="BU73" s="639"/>
      <c r="BV73" s="295"/>
      <c r="BW73" s="290"/>
      <c r="BX73" s="637"/>
      <c r="BY73" s="639"/>
      <c r="BZ73" s="295"/>
      <c r="CA73" s="290"/>
      <c r="CB73" s="637"/>
      <c r="CC73" s="639"/>
      <c r="CD73" s="295"/>
      <c r="CE73" s="290"/>
      <c r="CF73" s="637"/>
      <c r="CG73" s="639"/>
      <c r="CH73" s="295"/>
      <c r="CI73" s="290"/>
      <c r="CJ73" s="637"/>
      <c r="CK73" s="639"/>
      <c r="CL73" s="295"/>
      <c r="CM73" s="290"/>
      <c r="CN73" s="637"/>
      <c r="CO73" s="639"/>
      <c r="CP73" s="295"/>
      <c r="CQ73" s="290"/>
      <c r="CR73" s="639"/>
      <c r="CS73" s="639"/>
      <c r="CT73" s="295"/>
      <c r="CU73" s="290"/>
      <c r="CV73" s="639"/>
      <c r="CW73" s="639"/>
      <c r="CX73" s="295"/>
      <c r="CY73" s="290"/>
      <c r="CZ73" s="639"/>
      <c r="DA73" s="639"/>
      <c r="DB73" s="295"/>
      <c r="DC73" s="290"/>
      <c r="DD73" s="639"/>
      <c r="DE73" s="639"/>
      <c r="DF73" s="295"/>
      <c r="DG73" s="290"/>
      <c r="DH73" s="639"/>
      <c r="DI73" s="639">
        <v>0.03</v>
      </c>
      <c r="DJ73" s="295"/>
      <c r="DK73" s="290"/>
      <c r="DL73" s="639">
        <v>0.03</v>
      </c>
      <c r="DM73" s="639">
        <v>0.03</v>
      </c>
      <c r="DN73" s="295"/>
      <c r="DO73" s="290"/>
      <c r="DP73" s="639">
        <v>0.03</v>
      </c>
      <c r="DQ73" s="639">
        <v>0.03</v>
      </c>
      <c r="DR73" s="295"/>
      <c r="DS73" s="290"/>
      <c r="DT73" s="290"/>
      <c r="DU73" s="1114"/>
      <c r="DV73" s="1114"/>
      <c r="DW73" s="295"/>
      <c r="DX73" s="290"/>
      <c r="EH73"/>
    </row>
    <row r="74" spans="1:138" s="289" customFormat="1">
      <c r="A74" s="323" t="str">
        <f t="shared" ref="A74:A86" si="73">A51</f>
        <v>Cash Collateral and Repurchase Agreements</v>
      </c>
      <c r="C74" s="103"/>
      <c r="P74" s="626"/>
      <c r="Q74" s="626"/>
      <c r="R74" s="293"/>
      <c r="S74" s="290"/>
      <c r="T74" s="626"/>
      <c r="U74" s="626"/>
      <c r="V74" s="293"/>
      <c r="W74" s="290"/>
      <c r="X74" s="626"/>
      <c r="Y74" s="626"/>
      <c r="Z74" s="293"/>
      <c r="AA74" s="290"/>
      <c r="AB74" s="626"/>
      <c r="AC74" s="626"/>
      <c r="AD74" s="293"/>
      <c r="AE74" s="295"/>
      <c r="AF74" s="626"/>
      <c r="AG74" s="626"/>
      <c r="AH74" s="293"/>
      <c r="AI74" s="632"/>
      <c r="AJ74" s="626"/>
      <c r="AK74" s="626"/>
      <c r="AL74" s="293"/>
      <c r="AM74" s="290"/>
      <c r="AN74" s="626"/>
      <c r="AO74" s="626"/>
      <c r="AP74" s="293"/>
      <c r="AQ74" s="290"/>
      <c r="AR74" s="626"/>
      <c r="AS74" s="626"/>
      <c r="AT74" s="293"/>
      <c r="AU74" s="290"/>
      <c r="AV74" s="626"/>
      <c r="AW74" s="626"/>
      <c r="AX74" s="293"/>
      <c r="AY74" s="290"/>
      <c r="AZ74" s="626"/>
      <c r="BA74" s="626"/>
      <c r="BB74" s="293"/>
      <c r="BC74" s="290"/>
      <c r="BD74" s="626"/>
      <c r="BE74" s="626"/>
      <c r="BF74" s="293"/>
      <c r="BG74" s="290"/>
      <c r="BH74" s="626"/>
      <c r="BI74" s="626"/>
      <c r="BJ74" s="293"/>
      <c r="BK74" s="290"/>
      <c r="BL74" s="637"/>
      <c r="BM74" s="637"/>
      <c r="BN74" s="295"/>
      <c r="BO74" s="290"/>
      <c r="BP74" s="637"/>
      <c r="BQ74" s="637"/>
      <c r="BR74" s="295"/>
      <c r="BS74" s="290"/>
      <c r="BT74" s="637"/>
      <c r="BU74" s="637"/>
      <c r="BV74" s="295"/>
      <c r="BW74" s="290"/>
      <c r="BX74" s="637"/>
      <c r="BY74" s="637"/>
      <c r="BZ74" s="295"/>
      <c r="CA74" s="290"/>
      <c r="CB74" s="637"/>
      <c r="CC74" s="637"/>
      <c r="CD74" s="295"/>
      <c r="CE74" s="290"/>
      <c r="CF74" s="637"/>
      <c r="CG74" s="637"/>
      <c r="CH74" s="295"/>
      <c r="CI74" s="290"/>
      <c r="CJ74" s="637"/>
      <c r="CK74" s="637"/>
      <c r="CL74" s="295"/>
      <c r="CM74" s="290"/>
      <c r="CN74" s="637"/>
      <c r="CO74" s="637"/>
      <c r="CP74" s="295"/>
      <c r="CQ74" s="290"/>
      <c r="CR74" s="637"/>
      <c r="CS74" s="637"/>
      <c r="CT74" s="295"/>
      <c r="CU74" s="290"/>
      <c r="CV74" s="637"/>
      <c r="CW74" s="637"/>
      <c r="CX74" s="295"/>
      <c r="CY74" s="290"/>
      <c r="CZ74" s="637"/>
      <c r="DA74" s="637"/>
      <c r="DB74" s="295"/>
      <c r="DC74" s="290"/>
      <c r="DD74" s="637"/>
      <c r="DE74" s="637"/>
      <c r="DF74" s="295"/>
      <c r="DG74" s="290"/>
      <c r="DH74" s="637"/>
      <c r="DI74" s="637" t="s">
        <v>97</v>
      </c>
      <c r="DJ74" s="295"/>
      <c r="DK74" s="290"/>
      <c r="DL74" s="637" t="s">
        <v>97</v>
      </c>
      <c r="DM74" s="637" t="s">
        <v>97</v>
      </c>
      <c r="DN74" s="295"/>
      <c r="DO74" s="290"/>
      <c r="DP74" s="637" t="s">
        <v>97</v>
      </c>
      <c r="DQ74" s="637" t="s">
        <v>97</v>
      </c>
      <c r="DR74" s="295"/>
      <c r="DS74" s="290"/>
      <c r="DT74" s="290"/>
      <c r="DU74" s="1077"/>
      <c r="DV74" s="1077"/>
      <c r="DW74" s="295"/>
      <c r="DX74" s="290"/>
      <c r="EH74"/>
    </row>
    <row r="75" spans="1:138" s="289" customFormat="1">
      <c r="A75" s="323" t="str">
        <f t="shared" si="73"/>
        <v>Trading Portfolio Liabilities</v>
      </c>
      <c r="C75" s="103"/>
      <c r="P75" s="626"/>
      <c r="Q75" s="626"/>
      <c r="R75" s="293"/>
      <c r="S75" s="290"/>
      <c r="T75" s="626"/>
      <c r="U75" s="626"/>
      <c r="V75" s="293"/>
      <c r="W75" s="290"/>
      <c r="X75" s="626"/>
      <c r="Y75" s="626"/>
      <c r="Z75" s="293"/>
      <c r="AA75" s="290"/>
      <c r="AB75" s="626"/>
      <c r="AC75" s="626"/>
      <c r="AD75" s="293"/>
      <c r="AE75" s="295"/>
      <c r="AF75" s="626"/>
      <c r="AG75" s="626"/>
      <c r="AH75" s="293"/>
      <c r="AI75" s="632"/>
      <c r="AJ75" s="626"/>
      <c r="AK75" s="626"/>
      <c r="AL75" s="293"/>
      <c r="AM75" s="290"/>
      <c r="AN75" s="626"/>
      <c r="AO75" s="626"/>
      <c r="AP75" s="293"/>
      <c r="AQ75" s="290"/>
      <c r="AR75" s="626"/>
      <c r="AS75" s="626"/>
      <c r="AT75" s="293"/>
      <c r="AU75" s="290"/>
      <c r="AV75" s="626"/>
      <c r="AW75" s="626"/>
      <c r="AX75" s="293"/>
      <c r="AY75" s="290"/>
      <c r="AZ75" s="626"/>
      <c r="BA75" s="626"/>
      <c r="BB75" s="293"/>
      <c r="BC75" s="290"/>
      <c r="BD75" s="626"/>
      <c r="BE75" s="626"/>
      <c r="BF75" s="293"/>
      <c r="BG75" s="290"/>
      <c r="BH75" s="626"/>
      <c r="BI75" s="626"/>
      <c r="BJ75" s="293"/>
      <c r="BK75" s="290"/>
      <c r="BL75" s="648"/>
      <c r="BM75" s="648"/>
      <c r="BN75" s="295"/>
      <c r="BO75" s="290"/>
      <c r="BP75" s="648"/>
      <c r="BQ75" s="648"/>
      <c r="BR75" s="295"/>
      <c r="BS75" s="290"/>
      <c r="BT75" s="648"/>
      <c r="BU75" s="648"/>
      <c r="BV75" s="295"/>
      <c r="BW75" s="290"/>
      <c r="BX75" s="648"/>
      <c r="BY75" s="648"/>
      <c r="BZ75" s="295"/>
      <c r="CA75" s="290"/>
      <c r="CB75" s="648"/>
      <c r="CC75" s="648"/>
      <c r="CD75" s="295"/>
      <c r="CE75" s="290"/>
      <c r="CF75" s="648"/>
      <c r="CG75" s="648"/>
      <c r="CH75" s="295"/>
      <c r="CI75" s="290"/>
      <c r="CJ75" s="648"/>
      <c r="CK75" s="648"/>
      <c r="CL75" s="295"/>
      <c r="CM75" s="290"/>
      <c r="CN75" s="648"/>
      <c r="CO75" s="648"/>
      <c r="CP75" s="295"/>
      <c r="CQ75" s="290"/>
      <c r="CR75" s="648"/>
      <c r="CS75" s="648"/>
      <c r="CT75" s="295"/>
      <c r="CU75" s="290"/>
      <c r="CV75" s="648"/>
      <c r="CW75" s="648"/>
      <c r="CX75" s="295"/>
      <c r="CY75" s="290"/>
      <c r="CZ75" s="648"/>
      <c r="DA75" s="648"/>
      <c r="DB75" s="295"/>
      <c r="DC75" s="290"/>
      <c r="DD75" s="648"/>
      <c r="DE75" s="648"/>
      <c r="DF75" s="295"/>
      <c r="DG75" s="290"/>
      <c r="DH75" s="648"/>
      <c r="DI75" s="648">
        <f>+DI52/DH52-1</f>
        <v>3.0000000000000027E-2</v>
      </c>
      <c r="DJ75" s="295"/>
      <c r="DK75" s="290"/>
      <c r="DL75" s="648">
        <f>+DL52/DI52-1</f>
        <v>3.0000000000000027E-2</v>
      </c>
      <c r="DM75" s="648">
        <f>+DM52/DL52-1</f>
        <v>3.0000000000000027E-2</v>
      </c>
      <c r="DN75" s="295"/>
      <c r="DO75" s="290"/>
      <c r="DP75" s="648">
        <f>+DP52/DM52-1</f>
        <v>3.0000000000000027E-2</v>
      </c>
      <c r="DQ75" s="648">
        <f>+DQ52/DP52-1</f>
        <v>3.0000000000000027E-2</v>
      </c>
      <c r="DR75" s="295"/>
      <c r="DS75" s="290"/>
      <c r="DT75" s="290"/>
      <c r="DU75" s="1072"/>
      <c r="DV75" s="1072"/>
      <c r="DW75" s="295"/>
      <c r="DX75" s="290"/>
      <c r="EH75"/>
    </row>
    <row r="76" spans="1:138" s="289" customFormat="1">
      <c r="A76" s="323" t="str">
        <f t="shared" si="73"/>
        <v>Derivative Financial Instruments (negative values)</v>
      </c>
      <c r="C76" s="103"/>
      <c r="P76" s="626"/>
      <c r="Q76" s="626"/>
      <c r="R76" s="293"/>
      <c r="S76" s="290"/>
      <c r="T76" s="626"/>
      <c r="U76" s="626"/>
      <c r="V76" s="293"/>
      <c r="W76" s="290"/>
      <c r="X76" s="626"/>
      <c r="Y76" s="626"/>
      <c r="Z76" s="293"/>
      <c r="AA76" s="290"/>
      <c r="AB76" s="626"/>
      <c r="AC76" s="626"/>
      <c r="AD76" s="293"/>
      <c r="AE76" s="295"/>
      <c r="AF76" s="626"/>
      <c r="AG76" s="626"/>
      <c r="AH76" s="293"/>
      <c r="AI76" s="632"/>
      <c r="AJ76" s="626"/>
      <c r="AK76" s="626"/>
      <c r="AL76" s="293"/>
      <c r="AM76" s="290"/>
      <c r="AN76" s="626"/>
      <c r="AO76" s="626"/>
      <c r="AP76" s="293"/>
      <c r="AQ76" s="290"/>
      <c r="AR76" s="626"/>
      <c r="AS76" s="626"/>
      <c r="AT76" s="293"/>
      <c r="AU76" s="290"/>
      <c r="AV76" s="626"/>
      <c r="AW76" s="626"/>
      <c r="AX76" s="293"/>
      <c r="AY76" s="290"/>
      <c r="AZ76" s="626"/>
      <c r="BA76" s="626"/>
      <c r="BB76" s="293"/>
      <c r="BC76" s="290"/>
      <c r="BD76" s="626"/>
      <c r="BE76" s="626"/>
      <c r="BF76" s="293"/>
      <c r="BG76" s="290"/>
      <c r="BH76" s="626"/>
      <c r="BI76" s="626"/>
      <c r="BJ76" s="293"/>
      <c r="BK76" s="290"/>
      <c r="BL76" s="648"/>
      <c r="BM76" s="648"/>
      <c r="BN76" s="295"/>
      <c r="BO76" s="290"/>
      <c r="BP76" s="648"/>
      <c r="BQ76" s="648"/>
      <c r="BR76" s="295"/>
      <c r="BS76" s="290"/>
      <c r="BT76" s="648"/>
      <c r="BU76" s="648"/>
      <c r="BV76" s="295"/>
      <c r="BW76" s="290"/>
      <c r="BX76" s="648"/>
      <c r="BY76" s="648"/>
      <c r="BZ76" s="295"/>
      <c r="CA76" s="290"/>
      <c r="CB76" s="648"/>
      <c r="CC76" s="648"/>
      <c r="CD76" s="295"/>
      <c r="CE76" s="290"/>
      <c r="CF76" s="648"/>
      <c r="CG76" s="648"/>
      <c r="CH76" s="295"/>
      <c r="CI76" s="290"/>
      <c r="CJ76" s="648"/>
      <c r="CK76" s="648"/>
      <c r="CL76" s="295"/>
      <c r="CM76" s="290"/>
      <c r="CN76" s="648"/>
      <c r="CO76" s="648"/>
      <c r="CP76" s="295"/>
      <c r="CQ76" s="290"/>
      <c r="CR76" s="648"/>
      <c r="CS76" s="648"/>
      <c r="CT76" s="295"/>
      <c r="CU76" s="290"/>
      <c r="CV76" s="648"/>
      <c r="CW76" s="648"/>
      <c r="CX76" s="295"/>
      <c r="CY76" s="290"/>
      <c r="CZ76" s="648"/>
      <c r="DA76" s="648"/>
      <c r="DB76" s="295"/>
      <c r="DC76" s="290"/>
      <c r="DD76" s="648"/>
      <c r="DE76" s="648"/>
      <c r="DF76" s="295"/>
      <c r="DG76" s="290"/>
      <c r="DH76" s="648"/>
      <c r="DI76" s="648">
        <f>+DI53/DH53-1</f>
        <v>3.0000000000000249E-2</v>
      </c>
      <c r="DJ76" s="295"/>
      <c r="DK76" s="290"/>
      <c r="DL76" s="648">
        <f>+DL53/DI53-1</f>
        <v>2.9999999999999805E-2</v>
      </c>
      <c r="DM76" s="648">
        <f>+DM53/DL53-1</f>
        <v>3.0000000000000027E-2</v>
      </c>
      <c r="DN76" s="295"/>
      <c r="DO76" s="290"/>
      <c r="DP76" s="648">
        <f>+DP53/DM53-1</f>
        <v>3.0000000000000027E-2</v>
      </c>
      <c r="DQ76" s="648">
        <f>+DQ53/DP53-1</f>
        <v>3.0000000000000027E-2</v>
      </c>
      <c r="DR76" s="295"/>
      <c r="DS76" s="290"/>
      <c r="DT76" s="290"/>
      <c r="DU76" s="1072"/>
      <c r="DV76" s="1072"/>
      <c r="DW76" s="295"/>
      <c r="DX76" s="290"/>
      <c r="EH76"/>
    </row>
    <row r="77" spans="1:138" s="289" customFormat="1">
      <c r="A77" s="323" t="str">
        <f t="shared" si="73"/>
        <v>Deposits</v>
      </c>
      <c r="C77" s="103"/>
      <c r="P77" s="626"/>
      <c r="Q77" s="626"/>
      <c r="R77" s="293"/>
      <c r="S77" s="290"/>
      <c r="T77" s="626"/>
      <c r="U77" s="626"/>
      <c r="V77" s="293"/>
      <c r="W77" s="290"/>
      <c r="X77" s="626"/>
      <c r="Y77" s="626"/>
      <c r="Z77" s="293"/>
      <c r="AA77" s="290"/>
      <c r="AB77" s="626"/>
      <c r="AC77" s="626"/>
      <c r="AD77" s="293"/>
      <c r="AE77" s="295"/>
      <c r="AF77" s="626"/>
      <c r="AG77" s="626"/>
      <c r="AH77" s="293"/>
      <c r="AI77" s="632"/>
      <c r="AJ77" s="626"/>
      <c r="AK77" s="626"/>
      <c r="AL77" s="293"/>
      <c r="AM77" s="290"/>
      <c r="AN77" s="626"/>
      <c r="AO77" s="626"/>
      <c r="AP77" s="293"/>
      <c r="AQ77" s="290"/>
      <c r="AR77" s="626"/>
      <c r="AS77" s="626"/>
      <c r="AT77" s="293"/>
      <c r="AU77" s="290"/>
      <c r="AV77" s="626"/>
      <c r="AW77" s="626"/>
      <c r="AX77" s="293"/>
      <c r="AY77" s="290"/>
      <c r="AZ77" s="626"/>
      <c r="BA77" s="626"/>
      <c r="BB77" s="293"/>
      <c r="BC77" s="290"/>
      <c r="BD77" s="626"/>
      <c r="BE77" s="626"/>
      <c r="BF77" s="293"/>
      <c r="BG77" s="290"/>
      <c r="BH77" s="626"/>
      <c r="BI77" s="626"/>
      <c r="BJ77" s="293"/>
      <c r="BK77" s="290"/>
      <c r="BL77" s="637"/>
      <c r="BM77" s="639"/>
      <c r="BN77" s="295"/>
      <c r="BO77" s="290"/>
      <c r="BP77" s="637"/>
      <c r="BQ77" s="639"/>
      <c r="BR77" s="295"/>
      <c r="BS77" s="290"/>
      <c r="BT77" s="637"/>
      <c r="BU77" s="639"/>
      <c r="BV77" s="295"/>
      <c r="BW77" s="290"/>
      <c r="BX77" s="637"/>
      <c r="BY77" s="639"/>
      <c r="BZ77" s="295"/>
      <c r="CA77" s="290"/>
      <c r="CB77" s="637"/>
      <c r="CC77" s="639"/>
      <c r="CD77" s="295"/>
      <c r="CE77" s="290"/>
      <c r="CF77" s="637"/>
      <c r="CG77" s="639"/>
      <c r="CH77" s="295"/>
      <c r="CI77" s="290"/>
      <c r="CJ77" s="637"/>
      <c r="CK77" s="639"/>
      <c r="CL77" s="295"/>
      <c r="CM77" s="290"/>
      <c r="CN77" s="637"/>
      <c r="CO77" s="639"/>
      <c r="CP77" s="295"/>
      <c r="CQ77" s="290"/>
      <c r="CR77" s="639"/>
      <c r="CS77" s="639"/>
      <c r="CT77" s="295"/>
      <c r="CU77" s="290"/>
      <c r="CV77" s="639"/>
      <c r="CW77" s="639"/>
      <c r="CX77" s="295"/>
      <c r="CY77" s="290"/>
      <c r="CZ77" s="639"/>
      <c r="DA77" s="639"/>
      <c r="DB77" s="295"/>
      <c r="DC77" s="290"/>
      <c r="DD77" s="639"/>
      <c r="DE77" s="639"/>
      <c r="DF77" s="295"/>
      <c r="DG77" s="290"/>
      <c r="DH77" s="639"/>
      <c r="DI77" s="639">
        <v>0.05</v>
      </c>
      <c r="DJ77" s="295"/>
      <c r="DK77" s="290"/>
      <c r="DL77" s="639">
        <v>0.05</v>
      </c>
      <c r="DM77" s="639">
        <v>0.05</v>
      </c>
      <c r="DN77" s="295"/>
      <c r="DO77" s="290"/>
      <c r="DP77" s="639">
        <v>0.05</v>
      </c>
      <c r="DQ77" s="639">
        <v>0.05</v>
      </c>
      <c r="DR77" s="295"/>
      <c r="DS77" s="290"/>
      <c r="DT77" s="290"/>
      <c r="DU77" s="1114"/>
      <c r="DV77" s="1114"/>
      <c r="DW77" s="295"/>
      <c r="DX77" s="290"/>
      <c r="EH77"/>
    </row>
    <row r="78" spans="1:138" s="289" customFormat="1">
      <c r="A78" s="323" t="str">
        <f t="shared" si="73"/>
        <v>Notes Payable</v>
      </c>
      <c r="C78" s="103"/>
      <c r="P78" s="626"/>
      <c r="Q78" s="626"/>
      <c r="R78" s="293"/>
      <c r="S78" s="290"/>
      <c r="T78" s="626"/>
      <c r="U78" s="626"/>
      <c r="V78" s="293"/>
      <c r="W78" s="290"/>
      <c r="X78" s="626"/>
      <c r="Y78" s="626"/>
      <c r="Z78" s="293"/>
      <c r="AA78" s="290"/>
      <c r="AB78" s="626"/>
      <c r="AC78" s="626"/>
      <c r="AD78" s="293"/>
      <c r="AE78" s="295"/>
      <c r="AF78" s="626"/>
      <c r="AG78" s="626"/>
      <c r="AH78" s="293"/>
      <c r="AI78" s="632"/>
      <c r="AJ78" s="626"/>
      <c r="AK78" s="626"/>
      <c r="AL78" s="293"/>
      <c r="AM78" s="290"/>
      <c r="AN78" s="626"/>
      <c r="AO78" s="626"/>
      <c r="AP78" s="293"/>
      <c r="AQ78" s="290"/>
      <c r="AR78" s="626"/>
      <c r="AS78" s="626"/>
      <c r="AT78" s="293"/>
      <c r="AU78" s="290"/>
      <c r="AV78" s="626"/>
      <c r="AW78" s="626"/>
      <c r="AX78" s="293"/>
      <c r="AY78" s="290"/>
      <c r="AZ78" s="626"/>
      <c r="BA78" s="626"/>
      <c r="BB78" s="293"/>
      <c r="BC78" s="290"/>
      <c r="BD78" s="626"/>
      <c r="BE78" s="626"/>
      <c r="BF78" s="293"/>
      <c r="BG78" s="290"/>
      <c r="BH78" s="626"/>
      <c r="BI78" s="626"/>
      <c r="BJ78" s="293"/>
      <c r="BK78" s="290"/>
      <c r="BL78" s="637"/>
      <c r="BM78" s="637"/>
      <c r="BN78" s="295"/>
      <c r="BO78" s="290"/>
      <c r="BP78" s="637"/>
      <c r="BQ78" s="637"/>
      <c r="BR78" s="295"/>
      <c r="BS78" s="290"/>
      <c r="BT78" s="637"/>
      <c r="BU78" s="637"/>
      <c r="BV78" s="295"/>
      <c r="BW78" s="290"/>
      <c r="BX78" s="637"/>
      <c r="BY78" s="637"/>
      <c r="BZ78" s="295"/>
      <c r="CA78" s="290"/>
      <c r="CB78" s="637"/>
      <c r="CC78" s="637"/>
      <c r="CD78" s="295"/>
      <c r="CE78" s="290"/>
      <c r="CF78" s="637"/>
      <c r="CG78" s="637"/>
      <c r="CH78" s="295"/>
      <c r="CI78" s="290"/>
      <c r="CJ78" s="637"/>
      <c r="CK78" s="637"/>
      <c r="CL78" s="295"/>
      <c r="CM78" s="290"/>
      <c r="CN78" s="637"/>
      <c r="CO78" s="637"/>
      <c r="CP78" s="295"/>
      <c r="CQ78" s="290"/>
      <c r="CR78" s="637"/>
      <c r="CS78" s="637"/>
      <c r="CT78" s="295"/>
      <c r="CU78" s="290"/>
      <c r="CV78" s="637"/>
      <c r="CW78" s="637"/>
      <c r="CX78" s="295"/>
      <c r="CY78" s="290"/>
      <c r="CZ78" s="637"/>
      <c r="DA78" s="637"/>
      <c r="DB78" s="295"/>
      <c r="DC78" s="290"/>
      <c r="DD78" s="637"/>
      <c r="DE78" s="637"/>
      <c r="DF78" s="295"/>
      <c r="DG78" s="290"/>
      <c r="DH78" s="637"/>
      <c r="DI78" s="637" t="s">
        <v>97</v>
      </c>
      <c r="DJ78" s="295"/>
      <c r="DK78" s="290"/>
      <c r="DL78" s="637" t="s">
        <v>97</v>
      </c>
      <c r="DM78" s="637" t="s">
        <v>97</v>
      </c>
      <c r="DN78" s="295"/>
      <c r="DO78" s="290"/>
      <c r="DP78" s="637" t="s">
        <v>97</v>
      </c>
      <c r="DQ78" s="637" t="s">
        <v>97</v>
      </c>
      <c r="DR78" s="295"/>
      <c r="DS78" s="290"/>
      <c r="DT78" s="290"/>
      <c r="DU78" s="1077"/>
      <c r="DV78" s="1077"/>
      <c r="DW78" s="295"/>
      <c r="DX78" s="290"/>
      <c r="EH78"/>
    </row>
    <row r="79" spans="1:138" s="289" customFormat="1">
      <c r="A79" s="323" t="str">
        <f t="shared" si="73"/>
        <v>Debt Issued (at amortised cost)</v>
      </c>
      <c r="C79" s="103"/>
      <c r="P79" s="626"/>
      <c r="Q79" s="626"/>
      <c r="R79" s="293"/>
      <c r="S79" s="290"/>
      <c r="T79" s="626"/>
      <c r="U79" s="626"/>
      <c r="V79" s="293"/>
      <c r="W79" s="290"/>
      <c r="X79" s="626"/>
      <c r="Y79" s="626"/>
      <c r="Z79" s="293"/>
      <c r="AA79" s="290"/>
      <c r="AB79" s="626"/>
      <c r="AC79" s="626"/>
      <c r="AD79" s="293"/>
      <c r="AE79" s="295"/>
      <c r="AF79" s="626"/>
      <c r="AG79" s="626"/>
      <c r="AH79" s="293"/>
      <c r="AI79" s="632"/>
      <c r="AJ79" s="626"/>
      <c r="AK79" s="626"/>
      <c r="AL79" s="293"/>
      <c r="AM79" s="290"/>
      <c r="AN79" s="626"/>
      <c r="AO79" s="626"/>
      <c r="AP79" s="293"/>
      <c r="AQ79" s="290"/>
      <c r="AR79" s="626"/>
      <c r="AS79" s="626"/>
      <c r="AT79" s="293"/>
      <c r="AU79" s="290"/>
      <c r="AV79" s="626"/>
      <c r="AW79" s="626"/>
      <c r="AX79" s="293"/>
      <c r="AY79" s="290"/>
      <c r="AZ79" s="626"/>
      <c r="BA79" s="626"/>
      <c r="BB79" s="293"/>
      <c r="BC79" s="290"/>
      <c r="BD79" s="626"/>
      <c r="BE79" s="626"/>
      <c r="BF79" s="293"/>
      <c r="BG79" s="290"/>
      <c r="BH79" s="626"/>
      <c r="BI79" s="626"/>
      <c r="BJ79" s="293"/>
      <c r="BK79" s="290"/>
      <c r="BL79" s="637"/>
      <c r="BM79" s="639"/>
      <c r="BN79" s="295"/>
      <c r="BO79" s="290"/>
      <c r="BP79" s="637"/>
      <c r="BQ79" s="639"/>
      <c r="BR79" s="295"/>
      <c r="BS79" s="290"/>
      <c r="BT79" s="637"/>
      <c r="BU79" s="639"/>
      <c r="BV79" s="295"/>
      <c r="BW79" s="290"/>
      <c r="BX79" s="637"/>
      <c r="BY79" s="639"/>
      <c r="BZ79" s="295"/>
      <c r="CA79" s="290"/>
      <c r="CB79" s="637"/>
      <c r="CC79" s="639"/>
      <c r="CD79" s="295"/>
      <c r="CE79" s="290"/>
      <c r="CF79" s="637"/>
      <c r="CG79" s="639"/>
      <c r="CH79" s="295"/>
      <c r="CI79" s="290"/>
      <c r="CJ79" s="637"/>
      <c r="CK79" s="639"/>
      <c r="CL79" s="295"/>
      <c r="CM79" s="290"/>
      <c r="CN79" s="637"/>
      <c r="CO79" s="639"/>
      <c r="CP79" s="295"/>
      <c r="CQ79" s="290"/>
      <c r="CR79" s="639"/>
      <c r="CS79" s="639"/>
      <c r="CT79" s="295"/>
      <c r="CU79" s="290"/>
      <c r="CV79" s="639"/>
      <c r="CW79" s="639"/>
      <c r="CX79" s="295"/>
      <c r="CY79" s="290"/>
      <c r="CZ79" s="639"/>
      <c r="DA79" s="639"/>
      <c r="DB79" s="295"/>
      <c r="DC79" s="290"/>
      <c r="DD79" s="639"/>
      <c r="DE79" s="639"/>
      <c r="DF79" s="295"/>
      <c r="DG79" s="290"/>
      <c r="DH79" s="639"/>
      <c r="DI79" s="639">
        <v>0.03</v>
      </c>
      <c r="DJ79" s="295"/>
      <c r="DK79" s="290"/>
      <c r="DL79" s="639">
        <v>0.03</v>
      </c>
      <c r="DM79" s="639">
        <v>0.03</v>
      </c>
      <c r="DN79" s="295"/>
      <c r="DO79" s="290"/>
      <c r="DP79" s="639">
        <v>0.03</v>
      </c>
      <c r="DQ79" s="639">
        <v>0.03</v>
      </c>
      <c r="DR79" s="295"/>
      <c r="DS79" s="290"/>
      <c r="DT79" s="290"/>
      <c r="DU79" s="1114"/>
      <c r="DV79" s="1114"/>
      <c r="DW79" s="295"/>
      <c r="DX79" s="290"/>
      <c r="EH79"/>
    </row>
    <row r="80" spans="1:138" s="289" customFormat="1">
      <c r="A80" s="323" t="str">
        <f t="shared" si="73"/>
        <v>Held for sale liabilities (used to be Other Financial Liabilities - at fair value)</v>
      </c>
      <c r="C80" s="103"/>
      <c r="P80" s="626"/>
      <c r="Q80" s="626"/>
      <c r="R80" s="293"/>
      <c r="S80" s="290"/>
      <c r="T80" s="626"/>
      <c r="U80" s="626"/>
      <c r="V80" s="293"/>
      <c r="W80" s="290"/>
      <c r="X80" s="626"/>
      <c r="Y80" s="626"/>
      <c r="Z80" s="293"/>
      <c r="AA80" s="290"/>
      <c r="AB80" s="626"/>
      <c r="AC80" s="626"/>
      <c r="AD80" s="293"/>
      <c r="AE80" s="295"/>
      <c r="AF80" s="626"/>
      <c r="AG80" s="626"/>
      <c r="AH80" s="293"/>
      <c r="AI80" s="632"/>
      <c r="AJ80" s="626"/>
      <c r="AK80" s="626"/>
      <c r="AL80" s="293"/>
      <c r="AM80" s="290"/>
      <c r="AN80" s="626"/>
      <c r="AO80" s="626"/>
      <c r="AP80" s="293"/>
      <c r="AQ80" s="290"/>
      <c r="AR80" s="626"/>
      <c r="AS80" s="626"/>
      <c r="AT80" s="293"/>
      <c r="AU80" s="290"/>
      <c r="AV80" s="626"/>
      <c r="AW80" s="626"/>
      <c r="AX80" s="293"/>
      <c r="AY80" s="290"/>
      <c r="AZ80" s="626"/>
      <c r="BA80" s="626"/>
      <c r="BB80" s="293"/>
      <c r="BC80" s="290"/>
      <c r="BD80" s="626"/>
      <c r="BE80" s="626"/>
      <c r="BF80" s="293"/>
      <c r="BG80" s="290"/>
      <c r="BH80" s="626"/>
      <c r="BI80" s="626"/>
      <c r="BJ80" s="293"/>
      <c r="BK80" s="290"/>
      <c r="BL80" s="648"/>
      <c r="BM80" s="648"/>
      <c r="BN80" s="295"/>
      <c r="BO80" s="290"/>
      <c r="BP80" s="648"/>
      <c r="BQ80" s="648"/>
      <c r="BR80" s="295"/>
      <c r="BS80" s="290"/>
      <c r="BT80" s="648"/>
      <c r="BU80" s="648"/>
      <c r="BV80" s="295"/>
      <c r="BW80" s="290"/>
      <c r="BX80" s="648"/>
      <c r="BY80" s="648"/>
      <c r="BZ80" s="295"/>
      <c r="CA80" s="290"/>
      <c r="CB80" s="648"/>
      <c r="CC80" s="648"/>
      <c r="CD80" s="295"/>
      <c r="CE80" s="290"/>
      <c r="CF80" s="648"/>
      <c r="CG80" s="648"/>
      <c r="CH80" s="295"/>
      <c r="CI80" s="290"/>
      <c r="CJ80" s="648"/>
      <c r="CK80" s="648"/>
      <c r="CL80" s="295"/>
      <c r="CM80" s="290"/>
      <c r="CN80" s="648"/>
      <c r="CO80" s="648"/>
      <c r="CP80" s="295"/>
      <c r="CQ80" s="290"/>
      <c r="CR80" s="648"/>
      <c r="CS80" s="648"/>
      <c r="CT80" s="295"/>
      <c r="CU80" s="290"/>
      <c r="CV80" s="648"/>
      <c r="CW80" s="648"/>
      <c r="CX80" s="295"/>
      <c r="CY80" s="290"/>
      <c r="CZ80" s="648"/>
      <c r="DA80" s="648"/>
      <c r="DB80" s="295"/>
      <c r="DC80" s="290"/>
      <c r="DD80" s="648"/>
      <c r="DE80" s="648"/>
      <c r="DF80" s="295"/>
      <c r="DG80" s="290"/>
      <c r="DH80" s="648"/>
      <c r="DI80" s="648">
        <f>+DI57/DH57-1</f>
        <v>4.3775304785156122E-2</v>
      </c>
      <c r="DJ80" s="295"/>
      <c r="DK80" s="290"/>
      <c r="DL80" s="648">
        <f>+DL57/DI57-1</f>
        <v>2.1386330229330008E-2</v>
      </c>
      <c r="DM80" s="648">
        <f>+DM57/DL57-1</f>
        <v>2.1466661059526437E-2</v>
      </c>
      <c r="DN80" s="295"/>
      <c r="DO80" s="290"/>
      <c r="DP80" s="648">
        <f>+DP57/DM57-1</f>
        <v>2.1552027817032693E-2</v>
      </c>
      <c r="DQ80" s="648">
        <f>+DQ57/DP57-1</f>
        <v>2.1642775246795587E-2</v>
      </c>
      <c r="DR80" s="295"/>
      <c r="DS80" s="290"/>
      <c r="DT80" s="290"/>
      <c r="DU80" s="1072"/>
      <c r="DV80" s="1072"/>
      <c r="DW80" s="295"/>
      <c r="DX80" s="290"/>
      <c r="EH80"/>
    </row>
    <row r="81" spans="1:138" s="289" customFormat="1">
      <c r="A81" s="323" t="str">
        <f t="shared" si="73"/>
        <v>Liabilities (held for resale)</v>
      </c>
      <c r="C81" s="103"/>
      <c r="P81" s="626"/>
      <c r="Q81" s="626"/>
      <c r="R81" s="293"/>
      <c r="S81" s="290"/>
      <c r="T81" s="626"/>
      <c r="U81" s="626"/>
      <c r="V81" s="293"/>
      <c r="W81" s="290"/>
      <c r="X81" s="626"/>
      <c r="Y81" s="626"/>
      <c r="Z81" s="293"/>
      <c r="AA81" s="290"/>
      <c r="AB81" s="626"/>
      <c r="AC81" s="626"/>
      <c r="AD81" s="293"/>
      <c r="AE81" s="295"/>
      <c r="AF81" s="626"/>
      <c r="AG81" s="626"/>
      <c r="AH81" s="293"/>
      <c r="AI81" s="632"/>
      <c r="AJ81" s="626"/>
      <c r="AK81" s="626"/>
      <c r="AL81" s="293"/>
      <c r="AM81" s="290"/>
      <c r="AN81" s="626"/>
      <c r="AO81" s="626"/>
      <c r="AP81" s="293"/>
      <c r="AQ81" s="290"/>
      <c r="AR81" s="626"/>
      <c r="AS81" s="626"/>
      <c r="AT81" s="293"/>
      <c r="AU81" s="290"/>
      <c r="AV81" s="626"/>
      <c r="AW81" s="626"/>
      <c r="AX81" s="293"/>
      <c r="AY81" s="290"/>
      <c r="AZ81" s="626"/>
      <c r="BA81" s="626"/>
      <c r="BB81" s="293"/>
      <c r="BC81" s="290"/>
      <c r="BD81" s="626"/>
      <c r="BE81" s="626"/>
      <c r="BF81" s="293"/>
      <c r="BG81" s="290"/>
      <c r="BH81" s="626"/>
      <c r="BI81" s="626"/>
      <c r="BJ81" s="293"/>
      <c r="BK81" s="290"/>
      <c r="BL81" s="637"/>
      <c r="BM81" s="637"/>
      <c r="BN81" s="295"/>
      <c r="BO81" s="290"/>
      <c r="BP81" s="637"/>
      <c r="BQ81" s="637"/>
      <c r="BR81" s="295"/>
      <c r="BS81" s="290"/>
      <c r="BT81" s="637"/>
      <c r="BU81" s="637"/>
      <c r="BV81" s="295"/>
      <c r="BW81" s="290"/>
      <c r="BX81" s="637"/>
      <c r="BY81" s="637"/>
      <c r="BZ81" s="295"/>
      <c r="CA81" s="290"/>
      <c r="CB81" s="637"/>
      <c r="CC81" s="637"/>
      <c r="CD81" s="295"/>
      <c r="CE81" s="290"/>
      <c r="CF81" s="637"/>
      <c r="CG81" s="637"/>
      <c r="CH81" s="295"/>
      <c r="CI81" s="290"/>
      <c r="CJ81" s="637"/>
      <c r="CK81" s="637"/>
      <c r="CL81" s="295"/>
      <c r="CM81" s="290"/>
      <c r="CN81" s="637"/>
      <c r="CO81" s="637"/>
      <c r="CP81" s="295"/>
      <c r="CQ81" s="290"/>
      <c r="CR81" s="637"/>
      <c r="CS81" s="637"/>
      <c r="CT81" s="295"/>
      <c r="CU81" s="290"/>
      <c r="CV81" s="637"/>
      <c r="CW81" s="637"/>
      <c r="CX81" s="295"/>
      <c r="CY81" s="290"/>
      <c r="CZ81" s="637"/>
      <c r="DA81" s="637"/>
      <c r="DB81" s="295"/>
      <c r="DC81" s="290"/>
      <c r="DD81" s="637"/>
      <c r="DE81" s="637"/>
      <c r="DF81" s="295"/>
      <c r="DG81" s="290"/>
      <c r="DH81" s="637"/>
      <c r="DI81" s="637" t="s">
        <v>97</v>
      </c>
      <c r="DJ81" s="295"/>
      <c r="DK81" s="290"/>
      <c r="DL81" s="637" t="s">
        <v>97</v>
      </c>
      <c r="DM81" s="637" t="s">
        <v>97</v>
      </c>
      <c r="DN81" s="295"/>
      <c r="DO81" s="290"/>
      <c r="DP81" s="637" t="s">
        <v>97</v>
      </c>
      <c r="DQ81" s="637" t="s">
        <v>97</v>
      </c>
      <c r="DR81" s="295"/>
      <c r="DS81" s="290"/>
      <c r="DT81" s="290"/>
      <c r="DU81" s="1077"/>
      <c r="DV81" s="1077"/>
      <c r="DW81" s="295"/>
      <c r="DX81" s="290"/>
      <c r="EH81"/>
    </row>
    <row r="82" spans="1:138" s="289" customFormat="1">
      <c r="A82" s="323" t="str">
        <f t="shared" si="73"/>
        <v>Life Insurance Contracts</v>
      </c>
      <c r="C82" s="103"/>
      <c r="P82" s="626"/>
      <c r="Q82" s="626"/>
      <c r="R82" s="293"/>
      <c r="S82" s="290"/>
      <c r="T82" s="626"/>
      <c r="U82" s="626"/>
      <c r="V82" s="293"/>
      <c r="W82" s="290"/>
      <c r="X82" s="626"/>
      <c r="Y82" s="626"/>
      <c r="Z82" s="293"/>
      <c r="AA82" s="290"/>
      <c r="AB82" s="626"/>
      <c r="AC82" s="626"/>
      <c r="AD82" s="293"/>
      <c r="AE82" s="295"/>
      <c r="AF82" s="626"/>
      <c r="AG82" s="626"/>
      <c r="AH82" s="293"/>
      <c r="AI82" s="632"/>
      <c r="AJ82" s="626"/>
      <c r="AK82" s="626"/>
      <c r="AL82" s="293"/>
      <c r="AM82" s="290"/>
      <c r="AN82" s="626"/>
      <c r="AO82" s="626"/>
      <c r="AP82" s="293"/>
      <c r="AQ82" s="290"/>
      <c r="AR82" s="626"/>
      <c r="AS82" s="626"/>
      <c r="AT82" s="293"/>
      <c r="AU82" s="290"/>
      <c r="AV82" s="626"/>
      <c r="AW82" s="626"/>
      <c r="AX82" s="293"/>
      <c r="AY82" s="290"/>
      <c r="AZ82" s="626"/>
      <c r="BA82" s="626"/>
      <c r="BB82" s="293"/>
      <c r="BC82" s="290"/>
      <c r="BD82" s="626"/>
      <c r="BE82" s="626"/>
      <c r="BF82" s="293"/>
      <c r="BG82" s="290"/>
      <c r="BH82" s="626"/>
      <c r="BI82" s="626"/>
      <c r="BJ82" s="293"/>
      <c r="BK82" s="290"/>
      <c r="BL82" s="648"/>
      <c r="BM82" s="648"/>
      <c r="BN82" s="295"/>
      <c r="BO82" s="290"/>
      <c r="BP82" s="648"/>
      <c r="BQ82" s="648"/>
      <c r="BR82" s="295"/>
      <c r="BS82" s="290"/>
      <c r="BT82" s="648"/>
      <c r="BU82" s="648"/>
      <c r="BV82" s="295"/>
      <c r="BW82" s="290"/>
      <c r="BX82" s="648"/>
      <c r="BY82" s="648"/>
      <c r="BZ82" s="295"/>
      <c r="CA82" s="290"/>
      <c r="CB82" s="648"/>
      <c r="CC82" s="648"/>
      <c r="CD82" s="295"/>
      <c r="CE82" s="290"/>
      <c r="CF82" s="648"/>
      <c r="CG82" s="648"/>
      <c r="CH82" s="295"/>
      <c r="CI82" s="290"/>
      <c r="CJ82" s="648"/>
      <c r="CK82" s="648"/>
      <c r="CL82" s="295"/>
      <c r="CM82" s="290"/>
      <c r="CN82" s="648"/>
      <c r="CO82" s="648"/>
      <c r="CP82" s="295"/>
      <c r="CQ82" s="290"/>
      <c r="CR82" s="648"/>
      <c r="CS82" s="648"/>
      <c r="CT82" s="295"/>
      <c r="CU82" s="290"/>
      <c r="CV82" s="648"/>
      <c r="CW82" s="648"/>
      <c r="CX82" s="295"/>
      <c r="CY82" s="290"/>
      <c r="CZ82" s="648"/>
      <c r="DA82" s="648"/>
      <c r="DB82" s="295"/>
      <c r="DC82" s="290"/>
      <c r="DD82" s="648"/>
      <c r="DE82" s="648"/>
      <c r="DF82" s="295"/>
      <c r="DG82" s="290"/>
      <c r="DH82" s="648"/>
      <c r="DI82" s="648"/>
      <c r="DJ82" s="295"/>
      <c r="DK82" s="290"/>
      <c r="DL82" s="648"/>
      <c r="DM82" s="648"/>
      <c r="DN82" s="295"/>
      <c r="DO82" s="290"/>
      <c r="DP82" s="648"/>
      <c r="DQ82" s="648"/>
      <c r="DR82" s="295"/>
      <c r="DS82" s="290"/>
      <c r="DT82" s="290"/>
      <c r="DU82" s="1072"/>
      <c r="DV82" s="1072"/>
      <c r="DW82" s="295"/>
      <c r="DX82" s="290"/>
      <c r="EH82"/>
    </row>
    <row r="83" spans="1:138" s="289" customFormat="1">
      <c r="A83" s="323" t="str">
        <f t="shared" si="73"/>
        <v>Current Tax Liabilities</v>
      </c>
      <c r="C83" s="103"/>
      <c r="P83" s="626"/>
      <c r="Q83" s="626"/>
      <c r="R83" s="293"/>
      <c r="S83" s="290"/>
      <c r="T83" s="626"/>
      <c r="U83" s="626"/>
      <c r="V83" s="293"/>
      <c r="W83" s="290"/>
      <c r="X83" s="626"/>
      <c r="Y83" s="626"/>
      <c r="Z83" s="293"/>
      <c r="AA83" s="290"/>
      <c r="AB83" s="626"/>
      <c r="AC83" s="626"/>
      <c r="AD83" s="293"/>
      <c r="AE83" s="295"/>
      <c r="AF83" s="626"/>
      <c r="AG83" s="626"/>
      <c r="AH83" s="293"/>
      <c r="AI83" s="632"/>
      <c r="AJ83" s="626"/>
      <c r="AK83" s="626"/>
      <c r="AL83" s="293"/>
      <c r="AM83" s="290"/>
      <c r="AN83" s="626"/>
      <c r="AO83" s="626"/>
      <c r="AP83" s="293"/>
      <c r="AQ83" s="290"/>
      <c r="AR83" s="626"/>
      <c r="AS83" s="626"/>
      <c r="AT83" s="293"/>
      <c r="AU83" s="290"/>
      <c r="AV83" s="626"/>
      <c r="AW83" s="626"/>
      <c r="AX83" s="293"/>
      <c r="AY83" s="290"/>
      <c r="AZ83" s="626"/>
      <c r="BA83" s="626"/>
      <c r="BB83" s="293"/>
      <c r="BC83" s="290"/>
      <c r="BD83" s="626"/>
      <c r="BE83" s="626"/>
      <c r="BF83" s="293"/>
      <c r="BG83" s="290"/>
      <c r="BH83" s="626"/>
      <c r="BI83" s="626"/>
      <c r="BJ83" s="293"/>
      <c r="BK83" s="290"/>
      <c r="BL83" s="637"/>
      <c r="BM83" s="637"/>
      <c r="BN83" s="295"/>
      <c r="BO83" s="290"/>
      <c r="BP83" s="637"/>
      <c r="BQ83" s="637"/>
      <c r="BR83" s="295"/>
      <c r="BS83" s="290"/>
      <c r="BT83" s="637"/>
      <c r="BU83" s="637"/>
      <c r="BV83" s="295"/>
      <c r="BW83" s="290"/>
      <c r="BX83" s="637"/>
      <c r="BY83" s="637"/>
      <c r="BZ83" s="295"/>
      <c r="CA83" s="290"/>
      <c r="CB83" s="637"/>
      <c r="CC83" s="637"/>
      <c r="CD83" s="295"/>
      <c r="CE83" s="290"/>
      <c r="CF83" s="637"/>
      <c r="CG83" s="637"/>
      <c r="CH83" s="295"/>
      <c r="CI83" s="290"/>
      <c r="CJ83" s="637"/>
      <c r="CK83" s="637"/>
      <c r="CL83" s="295"/>
      <c r="CM83" s="290"/>
      <c r="CN83" s="637"/>
      <c r="CO83" s="637"/>
      <c r="CP83" s="295"/>
      <c r="CQ83" s="290"/>
      <c r="CR83" s="637"/>
      <c r="CS83" s="637"/>
      <c r="CT83" s="295"/>
      <c r="CU83" s="290"/>
      <c r="CV83" s="637"/>
      <c r="CW83" s="637"/>
      <c r="CX83" s="295"/>
      <c r="CY83" s="290"/>
      <c r="CZ83" s="637"/>
      <c r="DA83" s="637"/>
      <c r="DB83" s="295"/>
      <c r="DC83" s="290"/>
      <c r="DD83" s="637"/>
      <c r="DE83" s="637"/>
      <c r="DF83" s="295"/>
      <c r="DG83" s="290"/>
      <c r="DH83" s="637"/>
      <c r="DI83" s="637" t="s">
        <v>97</v>
      </c>
      <c r="DJ83" s="295"/>
      <c r="DK83" s="290"/>
      <c r="DL83" s="637" t="s">
        <v>97</v>
      </c>
      <c r="DM83" s="637" t="s">
        <v>97</v>
      </c>
      <c r="DN83" s="295"/>
      <c r="DO83" s="290"/>
      <c r="DP83" s="637" t="s">
        <v>97</v>
      </c>
      <c r="DQ83" s="637" t="s">
        <v>97</v>
      </c>
      <c r="DR83" s="295"/>
      <c r="DS83" s="290"/>
      <c r="DT83" s="290"/>
      <c r="DU83" s="1077"/>
      <c r="DV83" s="1077"/>
      <c r="DW83" s="295"/>
      <c r="DX83" s="290"/>
      <c r="EH83"/>
    </row>
    <row r="84" spans="1:138" s="289" customFormat="1">
      <c r="A84" s="323" t="str">
        <f t="shared" si="73"/>
        <v>Deferred Tax Liabilities</v>
      </c>
      <c r="C84" s="103"/>
      <c r="P84" s="626"/>
      <c r="Q84" s="626"/>
      <c r="R84" s="293"/>
      <c r="S84" s="290"/>
      <c r="T84" s="626"/>
      <c r="U84" s="626"/>
      <c r="V84" s="293"/>
      <c r="W84" s="290"/>
      <c r="X84" s="626"/>
      <c r="Y84" s="626"/>
      <c r="Z84" s="293"/>
      <c r="AA84" s="290"/>
      <c r="AB84" s="626"/>
      <c r="AC84" s="626"/>
      <c r="AD84" s="293"/>
      <c r="AE84" s="295"/>
      <c r="AF84" s="626"/>
      <c r="AG84" s="626"/>
      <c r="AH84" s="293"/>
      <c r="AI84" s="632"/>
      <c r="AJ84" s="626"/>
      <c r="AK84" s="626"/>
      <c r="AL84" s="293"/>
      <c r="AM84" s="290"/>
      <c r="AN84" s="626"/>
      <c r="AO84" s="626"/>
      <c r="AP84" s="293"/>
      <c r="AQ84" s="290"/>
      <c r="AR84" s="626"/>
      <c r="AS84" s="626"/>
      <c r="AT84" s="293"/>
      <c r="AU84" s="290"/>
      <c r="AV84" s="626"/>
      <c r="AW84" s="626"/>
      <c r="AX84" s="293"/>
      <c r="AY84" s="290"/>
      <c r="AZ84" s="626"/>
      <c r="BA84" s="626"/>
      <c r="BB84" s="293"/>
      <c r="BC84" s="290"/>
      <c r="BD84" s="626"/>
      <c r="BE84" s="626"/>
      <c r="BF84" s="293"/>
      <c r="BG84" s="290"/>
      <c r="BH84" s="626"/>
      <c r="BI84" s="626"/>
      <c r="BJ84" s="293"/>
      <c r="BK84" s="290"/>
      <c r="BL84" s="637"/>
      <c r="BM84" s="639"/>
      <c r="BN84" s="295"/>
      <c r="BO84" s="290"/>
      <c r="BP84" s="637"/>
      <c r="BQ84" s="639"/>
      <c r="BR84" s="295"/>
      <c r="BS84" s="290"/>
      <c r="BT84" s="637"/>
      <c r="BU84" s="639"/>
      <c r="BV84" s="295"/>
      <c r="BW84" s="290"/>
      <c r="BX84" s="637"/>
      <c r="BY84" s="639"/>
      <c r="BZ84" s="295"/>
      <c r="CA84" s="290"/>
      <c r="CB84" s="637"/>
      <c r="CC84" s="639"/>
      <c r="CD84" s="295"/>
      <c r="CE84" s="290"/>
      <c r="CF84" s="637"/>
      <c r="CG84" s="639"/>
      <c r="CH84" s="295"/>
      <c r="CI84" s="290"/>
      <c r="CJ84" s="637"/>
      <c r="CK84" s="639"/>
      <c r="CL84" s="295"/>
      <c r="CM84" s="290"/>
      <c r="CN84" s="637"/>
      <c r="CO84" s="639"/>
      <c r="CP84" s="295"/>
      <c r="CQ84" s="290"/>
      <c r="CR84" s="639"/>
      <c r="CS84" s="639"/>
      <c r="CT84" s="295"/>
      <c r="CU84" s="290"/>
      <c r="CV84" s="639"/>
      <c r="CW84" s="639"/>
      <c r="CX84" s="295"/>
      <c r="CY84" s="290"/>
      <c r="CZ84" s="639"/>
      <c r="DA84" s="639"/>
      <c r="DB84" s="295"/>
      <c r="DC84" s="290"/>
      <c r="DD84" s="639"/>
      <c r="DE84" s="639"/>
      <c r="DF84" s="295"/>
      <c r="DG84" s="290"/>
      <c r="DH84" s="639"/>
      <c r="DI84" s="639">
        <v>0.03</v>
      </c>
      <c r="DJ84" s="295"/>
      <c r="DK84" s="290"/>
      <c r="DL84" s="639">
        <v>0.03</v>
      </c>
      <c r="DM84" s="639">
        <v>0.03</v>
      </c>
      <c r="DN84" s="295"/>
      <c r="DO84" s="290"/>
      <c r="DP84" s="639">
        <v>0.03</v>
      </c>
      <c r="DQ84" s="639">
        <v>0.03</v>
      </c>
      <c r="DR84" s="295"/>
      <c r="DS84" s="290"/>
      <c r="DT84" s="290"/>
      <c r="DU84" s="1114"/>
      <c r="DV84" s="1114"/>
      <c r="DW84" s="295"/>
      <c r="DX84" s="290"/>
      <c r="EH84"/>
    </row>
    <row r="85" spans="1:138" s="289" customFormat="1">
      <c r="A85" s="323" t="str">
        <f t="shared" si="73"/>
        <v>Other Liabilities</v>
      </c>
      <c r="C85" s="103"/>
      <c r="P85" s="626"/>
      <c r="Q85" s="626"/>
      <c r="R85" s="293"/>
      <c r="S85" s="290"/>
      <c r="T85" s="626"/>
      <c r="U85" s="626"/>
      <c r="V85" s="293"/>
      <c r="W85" s="290"/>
      <c r="X85" s="626"/>
      <c r="Y85" s="626"/>
      <c r="Z85" s="293"/>
      <c r="AA85" s="290"/>
      <c r="AB85" s="626"/>
      <c r="AC85" s="626"/>
      <c r="AD85" s="293"/>
      <c r="AE85" s="295"/>
      <c r="AF85" s="626"/>
      <c r="AG85" s="626"/>
      <c r="AH85" s="293"/>
      <c r="AI85" s="632"/>
      <c r="AJ85" s="626"/>
      <c r="AK85" s="626"/>
      <c r="AL85" s="293"/>
      <c r="AM85" s="290"/>
      <c r="AN85" s="626"/>
      <c r="AO85" s="626"/>
      <c r="AP85" s="293"/>
      <c r="AQ85" s="290"/>
      <c r="AR85" s="626"/>
      <c r="AS85" s="626"/>
      <c r="AT85" s="293"/>
      <c r="AU85" s="290"/>
      <c r="AV85" s="626"/>
      <c r="AW85" s="626"/>
      <c r="AX85" s="293"/>
      <c r="AY85" s="290"/>
      <c r="AZ85" s="626"/>
      <c r="BA85" s="626"/>
      <c r="BB85" s="293"/>
      <c r="BC85" s="290"/>
      <c r="BD85" s="626"/>
      <c r="BE85" s="626"/>
      <c r="BF85" s="293"/>
      <c r="BG85" s="290"/>
      <c r="BH85" s="626"/>
      <c r="BI85" s="626"/>
      <c r="BJ85" s="293"/>
      <c r="BK85" s="290"/>
      <c r="BL85" s="637"/>
      <c r="BM85" s="648"/>
      <c r="BN85" s="295"/>
      <c r="BO85" s="290"/>
      <c r="BP85" s="637"/>
      <c r="BQ85" s="648"/>
      <c r="BR85" s="295"/>
      <c r="BS85" s="290"/>
      <c r="BT85" s="637"/>
      <c r="BU85" s="648"/>
      <c r="BV85" s="295"/>
      <c r="BW85" s="290"/>
      <c r="BX85" s="637"/>
      <c r="BY85" s="648"/>
      <c r="BZ85" s="295"/>
      <c r="CA85" s="290"/>
      <c r="CB85" s="637"/>
      <c r="CC85" s="648"/>
      <c r="CD85" s="295"/>
      <c r="CE85" s="290"/>
      <c r="CF85" s="637"/>
      <c r="CG85" s="648"/>
      <c r="CH85" s="295"/>
      <c r="CI85" s="290"/>
      <c r="CJ85" s="637"/>
      <c r="CK85" s="648"/>
      <c r="CL85" s="295"/>
      <c r="CM85" s="290"/>
      <c r="CN85" s="637"/>
      <c r="CO85" s="648"/>
      <c r="CP85" s="295"/>
      <c r="CQ85" s="290"/>
      <c r="CR85" s="648"/>
      <c r="CS85" s="648"/>
      <c r="CT85" s="295"/>
      <c r="CU85" s="290"/>
      <c r="CV85" s="648"/>
      <c r="CW85" s="648"/>
      <c r="CX85" s="295"/>
      <c r="CY85" s="290"/>
      <c r="CZ85" s="648"/>
      <c r="DA85" s="648"/>
      <c r="DB85" s="295"/>
      <c r="DC85" s="290"/>
      <c r="DD85" s="648"/>
      <c r="DE85" s="648"/>
      <c r="DF85" s="295"/>
      <c r="DG85" s="290"/>
      <c r="DH85" s="648"/>
      <c r="DI85" s="648">
        <f ca="1">+DI62/DH62-1</f>
        <v>0.96892266739833532</v>
      </c>
      <c r="DJ85" s="295"/>
      <c r="DK85" s="290"/>
      <c r="DL85" s="648">
        <f ca="1">+DL62/DI62-1</f>
        <v>0.26328555880746252</v>
      </c>
      <c r="DM85" s="648">
        <f ca="1">+DM62/DL62-1</f>
        <v>3.7040708641405296E-2</v>
      </c>
      <c r="DN85" s="295"/>
      <c r="DO85" s="290"/>
      <c r="DP85" s="648">
        <f ca="1">+DP62/DM62-1</f>
        <v>9.4228046472068616E-2</v>
      </c>
      <c r="DQ85" s="648">
        <f ca="1">+DQ62/DP62-1</f>
        <v>4.1492085089881892E-2</v>
      </c>
      <c r="DR85" s="295"/>
      <c r="DS85" s="290"/>
      <c r="DT85" s="290"/>
      <c r="DU85" s="1072"/>
      <c r="DV85" s="1072"/>
      <c r="DW85" s="295"/>
      <c r="DX85" s="290"/>
      <c r="EH85"/>
    </row>
    <row r="86" spans="1:138" s="289" customFormat="1">
      <c r="A86" s="328" t="str">
        <f t="shared" si="73"/>
        <v>Total Liabilities (excluding Loan Capital)</v>
      </c>
      <c r="C86" s="290"/>
      <c r="P86" s="655"/>
      <c r="Q86" s="655"/>
      <c r="R86" s="295"/>
      <c r="S86" s="290"/>
      <c r="T86" s="655"/>
      <c r="U86" s="655"/>
      <c r="V86" s="295"/>
      <c r="W86" s="290"/>
      <c r="X86" s="655"/>
      <c r="Y86" s="655"/>
      <c r="Z86" s="295"/>
      <c r="AA86" s="290"/>
      <c r="AB86" s="655"/>
      <c r="AC86" s="655"/>
      <c r="AD86" s="295"/>
      <c r="AE86" s="295"/>
      <c r="AF86" s="655"/>
      <c r="AG86" s="655"/>
      <c r="AH86" s="295"/>
      <c r="AI86" s="744"/>
      <c r="AJ86" s="655"/>
      <c r="AK86" s="655"/>
      <c r="AL86" s="295"/>
      <c r="AM86" s="290"/>
      <c r="AN86" s="655"/>
      <c r="AO86" s="655"/>
      <c r="AP86" s="295"/>
      <c r="AQ86" s="290"/>
      <c r="AR86" s="655"/>
      <c r="AS86" s="655"/>
      <c r="AT86" s="295"/>
      <c r="AU86" s="290"/>
      <c r="AV86" s="655"/>
      <c r="AW86" s="655"/>
      <c r="AX86" s="295"/>
      <c r="AY86" s="290"/>
      <c r="AZ86" s="655"/>
      <c r="BA86" s="655"/>
      <c r="BB86" s="295"/>
      <c r="BC86" s="290"/>
      <c r="BD86" s="655"/>
      <c r="BE86" s="655"/>
      <c r="BF86" s="295"/>
      <c r="BG86" s="290"/>
      <c r="BH86" s="655"/>
      <c r="BI86" s="655"/>
      <c r="BJ86" s="295"/>
      <c r="BK86" s="290"/>
      <c r="BL86" s="650"/>
      <c r="BM86" s="650"/>
      <c r="BN86" s="295"/>
      <c r="BO86" s="290"/>
      <c r="BP86" s="650"/>
      <c r="BQ86" s="650"/>
      <c r="BR86" s="295"/>
      <c r="BS86" s="290"/>
      <c r="BT86" s="650"/>
      <c r="BU86" s="650"/>
      <c r="BV86" s="295"/>
      <c r="BW86" s="290"/>
      <c r="BX86" s="650"/>
      <c r="BY86" s="650"/>
      <c r="BZ86" s="295"/>
      <c r="CA86" s="290"/>
      <c r="CB86" s="650"/>
      <c r="CC86" s="650"/>
      <c r="CD86" s="295"/>
      <c r="CE86" s="290"/>
      <c r="CF86" s="650"/>
      <c r="CG86" s="650"/>
      <c r="CH86" s="295"/>
      <c r="CI86" s="290"/>
      <c r="CJ86" s="650"/>
      <c r="CK86" s="650"/>
      <c r="CL86" s="295"/>
      <c r="CM86" s="290"/>
      <c r="CN86" s="650"/>
      <c r="CO86" s="650"/>
      <c r="CP86" s="295"/>
      <c r="CQ86" s="290"/>
      <c r="CR86" s="650"/>
      <c r="CS86" s="650"/>
      <c r="CT86" s="295"/>
      <c r="CU86" s="290"/>
      <c r="CV86" s="650"/>
      <c r="CW86" s="650"/>
      <c r="CX86" s="295"/>
      <c r="CY86" s="290"/>
      <c r="CZ86" s="650"/>
      <c r="DA86" s="650"/>
      <c r="DB86" s="295"/>
      <c r="DC86" s="290"/>
      <c r="DD86" s="650"/>
      <c r="DE86" s="650"/>
      <c r="DF86" s="295"/>
      <c r="DG86" s="290"/>
      <c r="DH86" s="650"/>
      <c r="DI86" s="650">
        <f ca="1">+DI63/DH63-1</f>
        <v>7.6646280324875526E-2</v>
      </c>
      <c r="DJ86" s="295"/>
      <c r="DK86" s="290"/>
      <c r="DL86" s="650">
        <f ca="1">+DL63/DI63-1</f>
        <v>5.5898785369796977E-2</v>
      </c>
      <c r="DM86" s="650">
        <f ca="1">+DM63/DL63-1</f>
        <v>3.948874363087751E-2</v>
      </c>
      <c r="DN86" s="295"/>
      <c r="DO86" s="290"/>
      <c r="DP86" s="650">
        <f ca="1">+DP63/DM63-1</f>
        <v>4.4545679008492822E-2</v>
      </c>
      <c r="DQ86" s="650">
        <f ca="1">+DQ63/DP63-1</f>
        <v>4.0061589580445922E-2</v>
      </c>
      <c r="DR86" s="295"/>
      <c r="DS86" s="290"/>
      <c r="DT86" s="290"/>
      <c r="DU86" s="1078"/>
      <c r="DV86" s="1078"/>
      <c r="DW86" s="295"/>
      <c r="DX86" s="290"/>
      <c r="EH86"/>
    </row>
    <row r="87" spans="1:138" s="289" customFormat="1">
      <c r="A87" s="323" t="str">
        <f t="shared" ref="A87:A92" si="74">A65</f>
        <v>Convertible Preference Share</v>
      </c>
      <c r="C87" s="103"/>
      <c r="P87" s="626"/>
      <c r="Q87" s="626"/>
      <c r="R87" s="293"/>
      <c r="S87" s="290"/>
      <c r="T87" s="626"/>
      <c r="U87" s="626"/>
      <c r="V87" s="293"/>
      <c r="W87" s="290"/>
      <c r="X87" s="626"/>
      <c r="Y87" s="626"/>
      <c r="Z87" s="293"/>
      <c r="AA87" s="290"/>
      <c r="AB87" s="626"/>
      <c r="AC87" s="626"/>
      <c r="AD87" s="293"/>
      <c r="AE87" s="295"/>
      <c r="AF87" s="626"/>
      <c r="AG87" s="626"/>
      <c r="AH87" s="293"/>
      <c r="AI87" s="632"/>
      <c r="AJ87" s="626"/>
      <c r="AK87" s="626"/>
      <c r="AL87" s="293"/>
      <c r="AM87" s="290"/>
      <c r="AN87" s="626"/>
      <c r="AO87" s="626"/>
      <c r="AP87" s="293"/>
      <c r="AQ87" s="290"/>
      <c r="AR87" s="626"/>
      <c r="AS87" s="626"/>
      <c r="AT87" s="293"/>
      <c r="AU87" s="290"/>
      <c r="AV87" s="626"/>
      <c r="AW87" s="626"/>
      <c r="AX87" s="293"/>
      <c r="AY87" s="290"/>
      <c r="AZ87" s="626"/>
      <c r="BA87" s="626"/>
      <c r="BB87" s="293"/>
      <c r="BC87" s="290"/>
      <c r="BD87" s="626"/>
      <c r="BE87" s="626"/>
      <c r="BF87" s="293"/>
      <c r="BG87" s="290"/>
      <c r="BH87" s="626"/>
      <c r="BI87" s="626"/>
      <c r="BJ87" s="293"/>
      <c r="BK87" s="290"/>
      <c r="BL87" s="648"/>
      <c r="BM87" s="639"/>
      <c r="BN87" s="295"/>
      <c r="BO87" s="290"/>
      <c r="BP87" s="648"/>
      <c r="BQ87" s="639"/>
      <c r="BR87" s="295"/>
      <c r="BS87" s="290"/>
      <c r="BT87" s="648"/>
      <c r="BU87" s="639"/>
      <c r="BV87" s="295"/>
      <c r="BW87" s="290"/>
      <c r="BX87" s="648"/>
      <c r="BY87" s="639"/>
      <c r="BZ87" s="295"/>
      <c r="CA87" s="290"/>
      <c r="CB87" s="648"/>
      <c r="CC87" s="639"/>
      <c r="CD87" s="295"/>
      <c r="CE87" s="290"/>
      <c r="CF87" s="648"/>
      <c r="CG87" s="639"/>
      <c r="CH87" s="295"/>
      <c r="CI87" s="290"/>
      <c r="CJ87" s="648"/>
      <c r="CK87" s="639"/>
      <c r="CL87" s="295"/>
      <c r="CM87" s="290"/>
      <c r="CN87" s="648"/>
      <c r="CO87" s="639"/>
      <c r="CP87" s="295"/>
      <c r="CQ87" s="290"/>
      <c r="CR87" s="639"/>
      <c r="CS87" s="639"/>
      <c r="CT87" s="295"/>
      <c r="CU87" s="290"/>
      <c r="CV87" s="639"/>
      <c r="CW87" s="639"/>
      <c r="CX87" s="295"/>
      <c r="CY87" s="290"/>
      <c r="CZ87" s="639"/>
      <c r="DA87" s="639"/>
      <c r="DB87" s="295"/>
      <c r="DC87" s="290"/>
      <c r="DD87" s="639"/>
      <c r="DE87" s="639"/>
      <c r="DF87" s="295"/>
      <c r="DG87" s="290"/>
      <c r="DH87" s="639"/>
      <c r="DI87" s="639">
        <v>0</v>
      </c>
      <c r="DJ87" s="295"/>
      <c r="DK87" s="290"/>
      <c r="DL87" s="639">
        <v>0</v>
      </c>
      <c r="DM87" s="639">
        <v>0</v>
      </c>
      <c r="DN87" s="295"/>
      <c r="DO87" s="290"/>
      <c r="DP87" s="639">
        <v>0</v>
      </c>
      <c r="DQ87" s="639">
        <v>0</v>
      </c>
      <c r="DR87" s="295"/>
      <c r="DS87" s="290"/>
      <c r="DT87" s="290"/>
      <c r="DU87" s="1114"/>
      <c r="DV87" s="1114"/>
      <c r="DW87" s="295"/>
      <c r="DX87" s="290"/>
      <c r="EH87"/>
    </row>
    <row r="88" spans="1:138" s="289" customFormat="1">
      <c r="A88" s="323" t="str">
        <f t="shared" si="74"/>
        <v>Subordinated Debt (at amortised cost)</v>
      </c>
      <c r="C88" s="103"/>
      <c r="P88" s="626"/>
      <c r="Q88" s="626"/>
      <c r="R88" s="293"/>
      <c r="S88" s="290"/>
      <c r="T88" s="626"/>
      <c r="U88" s="626"/>
      <c r="V88" s="293"/>
      <c r="W88" s="290"/>
      <c r="X88" s="626"/>
      <c r="Y88" s="626"/>
      <c r="Z88" s="293"/>
      <c r="AA88" s="290"/>
      <c r="AB88" s="626"/>
      <c r="AC88" s="626"/>
      <c r="AD88" s="293"/>
      <c r="AE88" s="295"/>
      <c r="AF88" s="626"/>
      <c r="AG88" s="626"/>
      <c r="AH88" s="293"/>
      <c r="AI88" s="632"/>
      <c r="AJ88" s="626"/>
      <c r="AK88" s="626"/>
      <c r="AL88" s="293"/>
      <c r="AM88" s="290"/>
      <c r="AN88" s="626"/>
      <c r="AO88" s="626"/>
      <c r="AP88" s="293"/>
      <c r="AQ88" s="290"/>
      <c r="AR88" s="626"/>
      <c r="AS88" s="626"/>
      <c r="AT88" s="293"/>
      <c r="AU88" s="290"/>
      <c r="AV88" s="626"/>
      <c r="AW88" s="626"/>
      <c r="AX88" s="293"/>
      <c r="AY88" s="290"/>
      <c r="AZ88" s="626"/>
      <c r="BA88" s="626"/>
      <c r="BB88" s="293"/>
      <c r="BC88" s="290"/>
      <c r="BD88" s="626"/>
      <c r="BE88" s="626"/>
      <c r="BF88" s="293"/>
      <c r="BG88" s="290"/>
      <c r="BH88" s="626"/>
      <c r="BI88" s="626"/>
      <c r="BJ88" s="293"/>
      <c r="BK88" s="290"/>
      <c r="BL88" s="637"/>
      <c r="BM88" s="639"/>
      <c r="BN88" s="295"/>
      <c r="BO88" s="290"/>
      <c r="BP88" s="637"/>
      <c r="BQ88" s="639"/>
      <c r="BR88" s="295"/>
      <c r="BS88" s="290"/>
      <c r="BT88" s="637"/>
      <c r="BU88" s="639"/>
      <c r="BV88" s="295"/>
      <c r="BW88" s="290"/>
      <c r="BX88" s="637"/>
      <c r="BY88" s="639"/>
      <c r="BZ88" s="295"/>
      <c r="CA88" s="290"/>
      <c r="CB88" s="637"/>
      <c r="CC88" s="639"/>
      <c r="CD88" s="295"/>
      <c r="CE88" s="290"/>
      <c r="CF88" s="637"/>
      <c r="CG88" s="639"/>
      <c r="CH88" s="295"/>
      <c r="CI88" s="290"/>
      <c r="CJ88" s="637"/>
      <c r="CK88" s="639"/>
      <c r="CL88" s="295"/>
      <c r="CM88" s="290"/>
      <c r="CN88" s="637"/>
      <c r="CO88" s="639"/>
      <c r="CP88" s="295"/>
      <c r="CQ88" s="290"/>
      <c r="CR88" s="639"/>
      <c r="CS88" s="639"/>
      <c r="CT88" s="295"/>
      <c r="CU88" s="290"/>
      <c r="CV88" s="639"/>
      <c r="CW88" s="639"/>
      <c r="CX88" s="295"/>
      <c r="CY88" s="290"/>
      <c r="CZ88" s="639"/>
      <c r="DA88" s="639"/>
      <c r="DB88" s="295"/>
      <c r="DC88" s="290"/>
      <c r="DD88" s="639"/>
      <c r="DE88" s="639"/>
      <c r="DF88" s="295"/>
      <c r="DG88" s="290"/>
      <c r="DH88" s="639"/>
      <c r="DI88" s="639">
        <v>0.03</v>
      </c>
      <c r="DJ88" s="295"/>
      <c r="DK88" s="290"/>
      <c r="DL88" s="639">
        <v>0.03</v>
      </c>
      <c r="DM88" s="639">
        <v>0.03</v>
      </c>
      <c r="DN88" s="295"/>
      <c r="DO88" s="290"/>
      <c r="DP88" s="639">
        <v>0.03</v>
      </c>
      <c r="DQ88" s="639">
        <v>0.03</v>
      </c>
      <c r="DR88" s="295"/>
      <c r="DS88" s="290"/>
      <c r="DT88" s="290"/>
      <c r="DU88" s="1114"/>
      <c r="DV88" s="1114"/>
      <c r="DW88" s="295"/>
      <c r="DX88" s="290"/>
      <c r="EH88"/>
    </row>
    <row r="89" spans="1:138" s="289" customFormat="1">
      <c r="A89" s="323" t="str">
        <f t="shared" si="74"/>
        <v>Subordinated Debt (at fair value)</v>
      </c>
      <c r="C89" s="103"/>
      <c r="P89" s="626"/>
      <c r="Q89" s="626"/>
      <c r="R89" s="293"/>
      <c r="S89" s="290"/>
      <c r="T89" s="626"/>
      <c r="U89" s="626"/>
      <c r="V89" s="293"/>
      <c r="W89" s="290"/>
      <c r="X89" s="626"/>
      <c r="Y89" s="626"/>
      <c r="Z89" s="293"/>
      <c r="AA89" s="290"/>
      <c r="AB89" s="626"/>
      <c r="AC89" s="626"/>
      <c r="AD89" s="293"/>
      <c r="AE89" s="295"/>
      <c r="AF89" s="626"/>
      <c r="AG89" s="626"/>
      <c r="AH89" s="293"/>
      <c r="AI89" s="632"/>
      <c r="AJ89" s="626"/>
      <c r="AK89" s="626"/>
      <c r="AL89" s="293"/>
      <c r="AM89" s="290"/>
      <c r="AN89" s="626"/>
      <c r="AO89" s="626"/>
      <c r="AP89" s="293"/>
      <c r="AQ89" s="290"/>
      <c r="AR89" s="626"/>
      <c r="AS89" s="626"/>
      <c r="AT89" s="293"/>
      <c r="AU89" s="290"/>
      <c r="AV89" s="626"/>
      <c r="AW89" s="626"/>
      <c r="AX89" s="293"/>
      <c r="AY89" s="290"/>
      <c r="AZ89" s="626"/>
      <c r="BA89" s="626"/>
      <c r="BB89" s="293"/>
      <c r="BC89" s="290"/>
      <c r="BD89" s="626"/>
      <c r="BE89" s="626"/>
      <c r="BF89" s="293"/>
      <c r="BG89" s="290"/>
      <c r="BH89" s="626"/>
      <c r="BI89" s="626"/>
      <c r="BJ89" s="293"/>
      <c r="BK89" s="290"/>
      <c r="BL89" s="637"/>
      <c r="BM89" s="637"/>
      <c r="BN89" s="295"/>
      <c r="BO89" s="290"/>
      <c r="BP89" s="637"/>
      <c r="BQ89" s="637"/>
      <c r="BR89" s="295"/>
      <c r="BS89" s="290"/>
      <c r="BT89" s="637"/>
      <c r="BU89" s="637"/>
      <c r="BV89" s="295"/>
      <c r="BW89" s="290"/>
      <c r="BX89" s="637"/>
      <c r="BY89" s="637"/>
      <c r="BZ89" s="295"/>
      <c r="CA89" s="290"/>
      <c r="CB89" s="637"/>
      <c r="CC89" s="637"/>
      <c r="CD89" s="295"/>
      <c r="CE89" s="290"/>
      <c r="CF89" s="637"/>
      <c r="CG89" s="637"/>
      <c r="CH89" s="295"/>
      <c r="CI89" s="290"/>
      <c r="CJ89" s="637"/>
      <c r="CK89" s="637"/>
      <c r="CL89" s="295"/>
      <c r="CM89" s="290"/>
      <c r="CN89" s="637"/>
      <c r="CO89" s="637"/>
      <c r="CP89" s="295"/>
      <c r="CQ89" s="290"/>
      <c r="CR89" s="637"/>
      <c r="CS89" s="637"/>
      <c r="CT89" s="295"/>
      <c r="CU89" s="290"/>
      <c r="CV89" s="637"/>
      <c r="CW89" s="637"/>
      <c r="CX89" s="295"/>
      <c r="CY89" s="290"/>
      <c r="CZ89" s="637"/>
      <c r="DA89" s="637"/>
      <c r="DB89" s="295"/>
      <c r="DC89" s="290"/>
      <c r="DD89" s="637"/>
      <c r="DE89" s="637"/>
      <c r="DF89" s="295"/>
      <c r="DG89" s="290"/>
      <c r="DH89" s="637"/>
      <c r="DI89" s="637" t="s">
        <v>97</v>
      </c>
      <c r="DJ89" s="295"/>
      <c r="DK89" s="290"/>
      <c r="DL89" s="637" t="s">
        <v>97</v>
      </c>
      <c r="DM89" s="637" t="s">
        <v>97</v>
      </c>
      <c r="DN89" s="295"/>
      <c r="DO89" s="290"/>
      <c r="DP89" s="637" t="s">
        <v>97</v>
      </c>
      <c r="DQ89" s="637" t="s">
        <v>97</v>
      </c>
      <c r="DR89" s="295"/>
      <c r="DS89" s="290"/>
      <c r="DT89" s="290"/>
      <c r="DU89" s="1077"/>
      <c r="DV89" s="1077"/>
      <c r="DW89" s="295"/>
      <c r="DX89" s="290"/>
      <c r="EH89"/>
    </row>
    <row r="90" spans="1:138" s="289" customFormat="1">
      <c r="A90" s="323" t="str">
        <f t="shared" si="74"/>
        <v>Total Loan Capital</v>
      </c>
      <c r="C90" s="103"/>
      <c r="P90" s="626"/>
      <c r="Q90" s="626"/>
      <c r="R90" s="293"/>
      <c r="S90" s="290"/>
      <c r="T90" s="626"/>
      <c r="U90" s="626"/>
      <c r="V90" s="293"/>
      <c r="W90" s="290"/>
      <c r="X90" s="626"/>
      <c r="Y90" s="626"/>
      <c r="Z90" s="293"/>
      <c r="AA90" s="290"/>
      <c r="AB90" s="626"/>
      <c r="AC90" s="626"/>
      <c r="AD90" s="293"/>
      <c r="AE90" s="295"/>
      <c r="AF90" s="626"/>
      <c r="AG90" s="626"/>
      <c r="AH90" s="293"/>
      <c r="AI90" s="320"/>
      <c r="AJ90" s="626"/>
      <c r="AK90" s="626"/>
      <c r="AL90" s="293"/>
      <c r="AM90" s="290"/>
      <c r="AN90" s="626"/>
      <c r="AO90" s="626"/>
      <c r="AP90" s="293"/>
      <c r="AQ90" s="290"/>
      <c r="AR90" s="626"/>
      <c r="AS90" s="626"/>
      <c r="AT90" s="293"/>
      <c r="AU90" s="290"/>
      <c r="AV90" s="626"/>
      <c r="AW90" s="626"/>
      <c r="AX90" s="293"/>
      <c r="AY90" s="290"/>
      <c r="AZ90" s="626"/>
      <c r="BA90" s="626"/>
      <c r="BB90" s="293"/>
      <c r="BC90" s="290"/>
      <c r="BD90" s="626"/>
      <c r="BE90" s="626"/>
      <c r="BF90" s="293"/>
      <c r="BG90" s="290"/>
      <c r="BH90" s="626"/>
      <c r="BI90" s="626"/>
      <c r="BJ90" s="293"/>
      <c r="BK90" s="290"/>
      <c r="BL90" s="648"/>
      <c r="BM90" s="639"/>
      <c r="BN90" s="295"/>
      <c r="BO90" s="290"/>
      <c r="BP90" s="648"/>
      <c r="BQ90" s="639"/>
      <c r="BR90" s="295"/>
      <c r="BS90" s="290"/>
      <c r="BT90" s="648"/>
      <c r="BU90" s="639"/>
      <c r="BV90" s="295"/>
      <c r="BW90" s="290"/>
      <c r="BX90" s="648"/>
      <c r="BY90" s="639"/>
      <c r="BZ90" s="295"/>
      <c r="CA90" s="290"/>
      <c r="CB90" s="648"/>
      <c r="CC90" s="639"/>
      <c r="CD90" s="295"/>
      <c r="CE90" s="290"/>
      <c r="CF90" s="648"/>
      <c r="CG90" s="639"/>
      <c r="CH90" s="295"/>
      <c r="CI90" s="290"/>
      <c r="CJ90" s="648"/>
      <c r="CK90" s="639"/>
      <c r="CL90" s="295"/>
      <c r="CM90" s="290"/>
      <c r="CN90" s="648"/>
      <c r="CO90" s="639"/>
      <c r="CP90" s="295"/>
      <c r="CQ90" s="290"/>
      <c r="CR90" s="639"/>
      <c r="CS90" s="639"/>
      <c r="CT90" s="295"/>
      <c r="CU90" s="290"/>
      <c r="CV90" s="639"/>
      <c r="CW90" s="639"/>
      <c r="CX90" s="295"/>
      <c r="CY90" s="290"/>
      <c r="CZ90" s="639"/>
      <c r="DA90" s="639"/>
      <c r="DB90" s="295"/>
      <c r="DC90" s="290"/>
      <c r="DD90" s="639"/>
      <c r="DE90" s="639"/>
      <c r="DF90" s="295"/>
      <c r="DG90" s="290"/>
      <c r="DH90" s="639"/>
      <c r="DI90" s="639">
        <v>0</v>
      </c>
      <c r="DJ90" s="295"/>
      <c r="DK90" s="290"/>
      <c r="DL90" s="639">
        <v>0</v>
      </c>
      <c r="DM90" s="639">
        <v>0</v>
      </c>
      <c r="DN90" s="295"/>
      <c r="DO90" s="290"/>
      <c r="DP90" s="639">
        <v>0</v>
      </c>
      <c r="DQ90" s="639">
        <v>0</v>
      </c>
      <c r="DR90" s="295"/>
      <c r="DS90" s="290"/>
      <c r="DT90" s="290"/>
      <c r="DU90" s="1114"/>
      <c r="DV90" s="1114"/>
      <c r="DW90" s="295"/>
      <c r="DX90" s="290"/>
      <c r="EH90"/>
    </row>
    <row r="91" spans="1:138" s="289" customFormat="1">
      <c r="A91" s="328" t="str">
        <f t="shared" si="74"/>
        <v>Total Liabilities</v>
      </c>
      <c r="C91" s="290"/>
      <c r="P91" s="655"/>
      <c r="Q91" s="655"/>
      <c r="R91" s="295"/>
      <c r="S91" s="290"/>
      <c r="T91" s="655"/>
      <c r="U91" s="655"/>
      <c r="V91" s="295"/>
      <c r="W91" s="290"/>
      <c r="X91" s="655"/>
      <c r="Y91" s="655"/>
      <c r="Z91" s="295"/>
      <c r="AA91" s="290"/>
      <c r="AB91" s="655"/>
      <c r="AC91" s="655"/>
      <c r="AD91" s="295"/>
      <c r="AE91" s="295"/>
      <c r="AF91" s="655"/>
      <c r="AG91" s="655"/>
      <c r="AH91" s="295"/>
      <c r="AI91" s="649"/>
      <c r="AJ91" s="655"/>
      <c r="AK91" s="655"/>
      <c r="AL91" s="295"/>
      <c r="AM91" s="290"/>
      <c r="AN91" s="655"/>
      <c r="AO91" s="655"/>
      <c r="AP91" s="295"/>
      <c r="AQ91" s="290"/>
      <c r="AR91" s="655"/>
      <c r="AS91" s="655"/>
      <c r="AT91" s="295"/>
      <c r="AU91" s="290"/>
      <c r="AV91" s="655"/>
      <c r="AW91" s="655"/>
      <c r="AX91" s="295"/>
      <c r="AY91" s="290"/>
      <c r="AZ91" s="655"/>
      <c r="BA91" s="655"/>
      <c r="BB91" s="295"/>
      <c r="BC91" s="290"/>
      <c r="BD91" s="655"/>
      <c r="BE91" s="655"/>
      <c r="BF91" s="295"/>
      <c r="BG91" s="290"/>
      <c r="BH91" s="655"/>
      <c r="BI91" s="655"/>
      <c r="BJ91" s="295"/>
      <c r="BK91" s="290"/>
      <c r="BL91" s="650"/>
      <c r="BM91" s="650"/>
      <c r="BN91" s="295"/>
      <c r="BO91" s="290"/>
      <c r="BP91" s="650"/>
      <c r="BQ91" s="650"/>
      <c r="BR91" s="295"/>
      <c r="BS91" s="290"/>
      <c r="BT91" s="650"/>
      <c r="BU91" s="650"/>
      <c r="BV91" s="295"/>
      <c r="BW91" s="290"/>
      <c r="BX91" s="650"/>
      <c r="BY91" s="650"/>
      <c r="BZ91" s="295"/>
      <c r="CA91" s="290"/>
      <c r="CB91" s="650"/>
      <c r="CC91" s="650"/>
      <c r="CD91" s="295"/>
      <c r="CE91" s="290"/>
      <c r="CF91" s="650"/>
      <c r="CG91" s="650"/>
      <c r="CH91" s="295"/>
      <c r="CI91" s="290"/>
      <c r="CJ91" s="650"/>
      <c r="CK91" s="650"/>
      <c r="CL91" s="295"/>
      <c r="CM91" s="290"/>
      <c r="CN91" s="650"/>
      <c r="CO91" s="650"/>
      <c r="CP91" s="295"/>
      <c r="CQ91" s="290"/>
      <c r="CR91" s="650"/>
      <c r="CS91" s="650"/>
      <c r="CT91" s="295"/>
      <c r="CU91" s="290"/>
      <c r="CV91" s="650"/>
      <c r="CW91" s="650"/>
      <c r="CX91" s="295"/>
      <c r="CY91" s="290"/>
      <c r="CZ91" s="650"/>
      <c r="DA91" s="650"/>
      <c r="DB91" s="295"/>
      <c r="DC91" s="290"/>
      <c r="DD91" s="650"/>
      <c r="DE91" s="650"/>
      <c r="DF91" s="295"/>
      <c r="DG91" s="290"/>
      <c r="DH91" s="650"/>
      <c r="DI91" s="650">
        <f ca="1">+DI69/DH69-1</f>
        <v>7.487547066651179E-2</v>
      </c>
      <c r="DJ91" s="295"/>
      <c r="DK91" s="290"/>
      <c r="DL91" s="650">
        <f ca="1">+DL69/DI69-1</f>
        <v>5.4956649946159564E-2</v>
      </c>
      <c r="DM91" s="650">
        <f ca="1">+DM69/DL69-1</f>
        <v>3.9151731712188775E-2</v>
      </c>
      <c r="DN91" s="295"/>
      <c r="DO91" s="290"/>
      <c r="DP91" s="650">
        <f ca="1">+DP69/DM69-1</f>
        <v>4.4033609630231174E-2</v>
      </c>
      <c r="DQ91" s="650">
        <f ca="1">+DQ69/DP69-1</f>
        <v>3.9712140300821153E-2</v>
      </c>
      <c r="DR91" s="295"/>
      <c r="DS91" s="290"/>
      <c r="DT91" s="290"/>
      <c r="DU91" s="1078"/>
      <c r="DV91" s="1078"/>
      <c r="DW91" s="295"/>
      <c r="DX91" s="290"/>
      <c r="EH91"/>
    </row>
    <row r="92" spans="1:138" s="289" customFormat="1">
      <c r="A92" s="328" t="str">
        <f t="shared" si="74"/>
        <v>Net Assets</v>
      </c>
      <c r="C92" s="290"/>
      <c r="P92" s="655"/>
      <c r="Q92" s="655"/>
      <c r="R92" s="295"/>
      <c r="S92" s="290"/>
      <c r="T92" s="655"/>
      <c r="U92" s="655"/>
      <c r="V92" s="295"/>
      <c r="W92" s="290"/>
      <c r="X92" s="655"/>
      <c r="Y92" s="655"/>
      <c r="Z92" s="295"/>
      <c r="AA92" s="290"/>
      <c r="AB92" s="655"/>
      <c r="AC92" s="655"/>
      <c r="AD92" s="295"/>
      <c r="AE92" s="295"/>
      <c r="AF92" s="655"/>
      <c r="AG92" s="655"/>
      <c r="AH92" s="295"/>
      <c r="AI92" s="649"/>
      <c r="AJ92" s="655"/>
      <c r="AK92" s="655"/>
      <c r="AL92" s="295"/>
      <c r="AM92" s="290"/>
      <c r="AN92" s="655"/>
      <c r="AO92" s="655"/>
      <c r="AP92" s="295"/>
      <c r="AQ92" s="290"/>
      <c r="AR92" s="655"/>
      <c r="AS92" s="655"/>
      <c r="AT92" s="295"/>
      <c r="AU92" s="290"/>
      <c r="AV92" s="655"/>
      <c r="AW92" s="655"/>
      <c r="AX92" s="295"/>
      <c r="AY92" s="290"/>
      <c r="AZ92" s="655"/>
      <c r="BA92" s="655"/>
      <c r="BB92" s="295"/>
      <c r="BC92" s="290"/>
      <c r="BD92" s="655"/>
      <c r="BE92" s="655"/>
      <c r="BF92" s="295"/>
      <c r="BG92" s="290"/>
      <c r="BH92" s="655"/>
      <c r="BI92" s="655"/>
      <c r="BJ92" s="295"/>
      <c r="BK92" s="290"/>
      <c r="BL92" s="650"/>
      <c r="BM92" s="650"/>
      <c r="BN92" s="295"/>
      <c r="BO92" s="290"/>
      <c r="BP92" s="650"/>
      <c r="BQ92" s="650"/>
      <c r="BR92" s="295"/>
      <c r="BS92" s="290"/>
      <c r="BT92" s="650"/>
      <c r="BU92" s="650"/>
      <c r="BV92" s="295"/>
      <c r="BW92" s="290"/>
      <c r="BX92" s="650"/>
      <c r="BY92" s="650"/>
      <c r="BZ92" s="295"/>
      <c r="CA92" s="290"/>
      <c r="CB92" s="650"/>
      <c r="CC92" s="650"/>
      <c r="CD92" s="295"/>
      <c r="CE92" s="290"/>
      <c r="CF92" s="650"/>
      <c r="CG92" s="650"/>
      <c r="CH92" s="295"/>
      <c r="CI92" s="290"/>
      <c r="CJ92" s="650"/>
      <c r="CK92" s="650"/>
      <c r="CL92" s="295"/>
      <c r="CM92" s="290"/>
      <c r="CN92" s="650"/>
      <c r="CO92" s="650"/>
      <c r="CP92" s="295"/>
      <c r="CQ92" s="290"/>
      <c r="CR92" s="650"/>
      <c r="CS92" s="650"/>
      <c r="CT92" s="295"/>
      <c r="CU92" s="290"/>
      <c r="CV92" s="650"/>
      <c r="CW92" s="650"/>
      <c r="CX92" s="295"/>
      <c r="CY92" s="290"/>
      <c r="CZ92" s="650"/>
      <c r="DA92" s="650"/>
      <c r="DB92" s="295"/>
      <c r="DC92" s="290"/>
      <c r="DD92" s="650"/>
      <c r="DE92" s="650"/>
      <c r="DF92" s="295"/>
      <c r="DG92" s="290"/>
      <c r="DH92" s="650"/>
      <c r="DI92" s="650">
        <f ca="1">+DI70/DH70-1</f>
        <v>4.168895022442376E-2</v>
      </c>
      <c r="DJ92" s="295"/>
      <c r="DK92" s="290"/>
      <c r="DL92" s="650">
        <f ca="1">+DL70/DI70-1</f>
        <v>1.0714402908355458E-2</v>
      </c>
      <c r="DM92" s="650">
        <f ca="1">+DM70/DL70-1</f>
        <v>7.5162777427201899E-2</v>
      </c>
      <c r="DN92" s="295"/>
      <c r="DO92" s="290"/>
      <c r="DP92" s="650">
        <f ca="1">+DP70/DM70-1</f>
        <v>1.2403825172946803E-2</v>
      </c>
      <c r="DQ92" s="650">
        <f ca="1">+DQ70/DP70-1</f>
        <v>7.3977669429462711E-2</v>
      </c>
      <c r="DR92" s="295"/>
      <c r="DS92" s="290"/>
      <c r="DT92" s="290"/>
      <c r="DU92" s="1078"/>
      <c r="DV92" s="1078"/>
      <c r="DW92" s="295"/>
      <c r="DX92" s="290"/>
      <c r="EH92"/>
    </row>
    <row r="93" spans="1:138" s="289" customFormat="1">
      <c r="A93" s="328"/>
      <c r="C93" s="290"/>
      <c r="P93" s="655"/>
      <c r="Q93" s="655"/>
      <c r="R93" s="295"/>
      <c r="S93" s="290"/>
      <c r="T93" s="655"/>
      <c r="U93" s="655"/>
      <c r="V93" s="295"/>
      <c r="W93" s="290"/>
      <c r="X93" s="655"/>
      <c r="Y93" s="655"/>
      <c r="Z93" s="295"/>
      <c r="AA93" s="290"/>
      <c r="AB93" s="655"/>
      <c r="AC93" s="655"/>
      <c r="AD93" s="295"/>
      <c r="AE93" s="295"/>
      <c r="AF93" s="655"/>
      <c r="AG93" s="655"/>
      <c r="AH93" s="295"/>
      <c r="AI93" s="649"/>
      <c r="AJ93" s="655"/>
      <c r="AK93" s="655"/>
      <c r="AL93" s="295"/>
      <c r="AM93" s="290"/>
      <c r="AN93" s="655"/>
      <c r="AO93" s="655"/>
      <c r="AP93" s="295"/>
      <c r="AQ93" s="290"/>
      <c r="AR93" s="655"/>
      <c r="AS93" s="655"/>
      <c r="AT93" s="295"/>
      <c r="AU93" s="290"/>
      <c r="AV93" s="655"/>
      <c r="AW93" s="655"/>
      <c r="AX93" s="295"/>
      <c r="AY93" s="290"/>
      <c r="AZ93" s="655"/>
      <c r="BA93" s="655"/>
      <c r="BB93" s="295"/>
      <c r="BC93" s="290"/>
      <c r="BD93" s="655"/>
      <c r="BE93" s="655"/>
      <c r="BF93" s="295"/>
      <c r="BG93" s="290"/>
      <c r="BH93" s="655"/>
      <c r="BI93" s="655"/>
      <c r="BJ93" s="295"/>
      <c r="BK93" s="290"/>
      <c r="BL93" s="650"/>
      <c r="BM93" s="650"/>
      <c r="BN93" s="295"/>
      <c r="BO93" s="290"/>
      <c r="BP93" s="650"/>
      <c r="BQ93" s="295"/>
      <c r="BR93" s="295"/>
      <c r="BS93" s="290"/>
      <c r="BT93" s="650"/>
      <c r="BU93" s="295"/>
      <c r="BV93" s="295"/>
      <c r="BW93" s="290"/>
      <c r="BX93" s="650"/>
      <c r="BY93" s="295"/>
      <c r="BZ93" s="295"/>
      <c r="CA93" s="290"/>
      <c r="CB93" s="650"/>
      <c r="CC93" s="295"/>
      <c r="CD93" s="295"/>
      <c r="CE93" s="290"/>
      <c r="CF93" s="650"/>
      <c r="CG93" s="295"/>
      <c r="CH93" s="295"/>
      <c r="CI93" s="290"/>
      <c r="CJ93" s="650"/>
      <c r="CK93" s="295"/>
      <c r="CL93" s="295"/>
      <c r="CM93" s="290"/>
      <c r="CN93" s="295"/>
      <c r="CO93" s="295"/>
      <c r="CP93" s="295"/>
      <c r="CQ93" s="290"/>
      <c r="CR93" s="295"/>
      <c r="CS93" s="295"/>
      <c r="CT93" s="295"/>
      <c r="CU93" s="290"/>
      <c r="CV93" s="295"/>
      <c r="CW93" s="1390"/>
      <c r="CX93" s="295"/>
      <c r="CY93" s="290"/>
      <c r="CZ93" s="295"/>
      <c r="DA93" s="1390"/>
      <c r="DB93" s="295"/>
      <c r="DC93" s="290"/>
      <c r="DD93" s="295"/>
      <c r="DE93" s="295"/>
      <c r="DF93" s="295"/>
      <c r="DG93" s="290"/>
      <c r="DH93" s="295"/>
      <c r="DI93" s="295"/>
      <c r="DJ93" s="295"/>
      <c r="DK93" s="290"/>
      <c r="DL93" s="295"/>
      <c r="DM93" s="295"/>
      <c r="DN93" s="295"/>
      <c r="DO93" s="290"/>
      <c r="DP93" s="295"/>
      <c r="DQ93" s="295"/>
      <c r="DR93" s="295"/>
      <c r="DS93" s="290"/>
      <c r="DT93" s="290"/>
      <c r="DU93" s="295"/>
      <c r="DV93" s="295"/>
      <c r="DW93" s="295"/>
      <c r="DX93" s="290"/>
      <c r="EH93"/>
    </row>
    <row r="94" spans="1:138" s="289" customFormat="1">
      <c r="A94" s="620" t="s">
        <v>293</v>
      </c>
      <c r="B94" s="620"/>
      <c r="C94" s="651"/>
      <c r="D94" s="620"/>
      <c r="E94" s="620"/>
      <c r="F94" s="620"/>
      <c r="G94" s="620"/>
      <c r="H94" s="620"/>
      <c r="I94" s="620"/>
      <c r="J94" s="620"/>
      <c r="K94" s="620"/>
      <c r="L94" s="620"/>
      <c r="M94" s="620"/>
      <c r="N94" s="620"/>
      <c r="O94" s="620"/>
      <c r="P94" s="652"/>
      <c r="Q94" s="652"/>
      <c r="R94" s="624"/>
      <c r="S94" s="651"/>
      <c r="T94" s="652"/>
      <c r="U94" s="652"/>
      <c r="V94" s="624"/>
      <c r="W94" s="651"/>
      <c r="X94" s="652"/>
      <c r="Y94" s="652"/>
      <c r="Z94" s="624"/>
      <c r="AA94" s="651"/>
      <c r="AB94" s="652"/>
      <c r="AC94" s="652"/>
      <c r="AD94" s="624"/>
      <c r="AE94" s="651"/>
      <c r="AF94" s="652"/>
      <c r="AG94" s="652"/>
      <c r="AH94" s="624"/>
      <c r="AI94" s="653"/>
      <c r="AJ94" s="652"/>
      <c r="AK94" s="652"/>
      <c r="AL94" s="624"/>
      <c r="AM94" s="651"/>
      <c r="AN94" s="652"/>
      <c r="AO94" s="652"/>
      <c r="AP94" s="624"/>
      <c r="AQ94" s="651"/>
      <c r="AR94" s="652"/>
      <c r="AS94" s="652"/>
      <c r="AT94" s="624"/>
      <c r="AU94" s="651"/>
      <c r="AV94" s="652"/>
      <c r="AW94" s="652"/>
      <c r="AX94" s="624"/>
      <c r="AY94" s="651"/>
      <c r="AZ94" s="652"/>
      <c r="BA94" s="652"/>
      <c r="BB94" s="624"/>
      <c r="BC94" s="651"/>
      <c r="BD94" s="652"/>
      <c r="BE94" s="652"/>
      <c r="BF94" s="624"/>
      <c r="BG94" s="651"/>
      <c r="BH94" s="652"/>
      <c r="BI94" s="652"/>
      <c r="BJ94" s="624"/>
      <c r="BK94" s="651"/>
      <c r="BL94" s="652"/>
      <c r="BM94" s="652"/>
      <c r="BN94" s="624"/>
      <c r="BO94" s="651"/>
      <c r="BP94" s="652"/>
      <c r="BQ94" s="652"/>
      <c r="BR94" s="624"/>
      <c r="BS94" s="651"/>
      <c r="BT94" s="652"/>
      <c r="BU94" s="652"/>
      <c r="BV94" s="624"/>
      <c r="BW94" s="651"/>
      <c r="BX94" s="652"/>
      <c r="BY94" s="652"/>
      <c r="BZ94" s="624"/>
      <c r="CA94" s="651"/>
      <c r="CB94" s="652"/>
      <c r="CC94" s="652"/>
      <c r="CD94" s="624"/>
      <c r="CE94" s="651"/>
      <c r="CF94" s="652"/>
      <c r="CG94" s="652"/>
      <c r="CH94" s="624"/>
      <c r="CI94" s="651"/>
      <c r="CJ94" s="652"/>
      <c r="CK94" s="652"/>
      <c r="CL94" s="624"/>
      <c r="CM94" s="651"/>
      <c r="CN94" s="652"/>
      <c r="CO94" s="652"/>
      <c r="CP94" s="624"/>
      <c r="CQ94" s="651"/>
      <c r="CR94" s="652"/>
      <c r="CS94" s="652"/>
      <c r="CT94" s="624"/>
      <c r="CU94" s="651"/>
      <c r="CV94" s="652"/>
      <c r="CW94" s="1792"/>
      <c r="CX94" s="624"/>
      <c r="CY94" s="651"/>
      <c r="CZ94" s="652"/>
      <c r="DA94" s="652"/>
      <c r="DB94" s="624"/>
      <c r="DC94" s="651"/>
      <c r="DD94" s="652"/>
      <c r="DE94" s="652"/>
      <c r="DF94" s="624"/>
      <c r="DG94" s="651"/>
      <c r="DH94" s="652"/>
      <c r="DI94" s="652"/>
      <c r="DJ94" s="624"/>
      <c r="DK94" s="651"/>
      <c r="DL94" s="652"/>
      <c r="DM94" s="652"/>
      <c r="DN94" s="624"/>
      <c r="DO94" s="651"/>
      <c r="DP94" s="652"/>
      <c r="DQ94" s="652"/>
      <c r="DR94" s="624"/>
      <c r="DS94" s="651"/>
      <c r="DT94" s="290"/>
      <c r="DU94" s="295"/>
      <c r="DV94" s="295"/>
      <c r="DW94" s="293"/>
      <c r="DX94" s="290"/>
      <c r="EH94"/>
    </row>
    <row r="95" spans="1:138" s="289" customFormat="1">
      <c r="A95" s="102"/>
      <c r="C95" s="103"/>
      <c r="P95" s="626"/>
      <c r="Q95" s="626"/>
      <c r="R95" s="293"/>
      <c r="S95" s="290"/>
      <c r="T95" s="626"/>
      <c r="U95" s="626"/>
      <c r="V95" s="293"/>
      <c r="W95" s="290"/>
      <c r="X95" s="626"/>
      <c r="Y95" s="626"/>
      <c r="Z95" s="293"/>
      <c r="AA95" s="290"/>
      <c r="AB95" s="626"/>
      <c r="AC95" s="626"/>
      <c r="AD95" s="293"/>
      <c r="AE95" s="295"/>
      <c r="AF95" s="626"/>
      <c r="AG95" s="626"/>
      <c r="AH95" s="293"/>
      <c r="AI95" s="320"/>
      <c r="AJ95" s="626"/>
      <c r="AK95" s="626"/>
      <c r="AL95" s="293"/>
      <c r="AM95" s="290"/>
      <c r="AN95" s="626"/>
      <c r="AO95" s="626"/>
      <c r="AP95" s="293"/>
      <c r="AQ95" s="290"/>
      <c r="AR95" s="626"/>
      <c r="AS95" s="626"/>
      <c r="AT95" s="293"/>
      <c r="AU95" s="290"/>
      <c r="AV95" s="626"/>
      <c r="AW95" s="626"/>
      <c r="AX95" s="293"/>
      <c r="AY95" s="290"/>
      <c r="AZ95" s="626"/>
      <c r="BA95" s="626"/>
      <c r="BB95" s="293"/>
      <c r="BC95" s="290"/>
      <c r="BD95" s="626"/>
      <c r="BE95" s="626"/>
      <c r="BF95" s="293"/>
      <c r="BG95" s="290"/>
      <c r="BH95" s="626"/>
      <c r="BI95" s="626"/>
      <c r="BJ95" s="293"/>
      <c r="BK95" s="290"/>
      <c r="BL95" s="293"/>
      <c r="BM95" s="293"/>
      <c r="BN95" s="293"/>
      <c r="BO95" s="290"/>
      <c r="BP95" s="293"/>
      <c r="BQ95" s="293"/>
      <c r="BR95" s="293"/>
      <c r="BS95" s="290"/>
      <c r="BT95" s="293"/>
      <c r="BU95" s="293"/>
      <c r="BV95" s="293"/>
      <c r="BW95" s="290"/>
      <c r="BX95" s="293"/>
      <c r="BY95" s="293"/>
      <c r="BZ95" s="293"/>
      <c r="CA95" s="290"/>
      <c r="CB95" s="293"/>
      <c r="CC95" s="293"/>
      <c r="CD95" s="293"/>
      <c r="CE95" s="290"/>
      <c r="CF95" s="293"/>
      <c r="CG95" s="293"/>
      <c r="CH95" s="293"/>
      <c r="CI95" s="290"/>
      <c r="CJ95" s="293"/>
      <c r="CK95" s="293"/>
      <c r="CL95" s="293"/>
      <c r="CM95" s="290"/>
      <c r="CN95" s="293"/>
      <c r="CO95" s="293"/>
      <c r="CP95" s="293"/>
      <c r="CQ95" s="290"/>
      <c r="CR95" s="293"/>
      <c r="CS95" s="293"/>
      <c r="CT95" s="293"/>
      <c r="CU95" s="290"/>
      <c r="CV95" s="293"/>
      <c r="CW95" s="1495"/>
      <c r="CX95" s="293"/>
      <c r="CY95" s="290"/>
      <c r="CZ95" s="293"/>
      <c r="DA95" s="293"/>
      <c r="DB95" s="293"/>
      <c r="DC95" s="290"/>
      <c r="DD95" s="293"/>
      <c r="DE95" s="293"/>
      <c r="DF95" s="293"/>
      <c r="DG95" s="290"/>
      <c r="DH95" s="293"/>
      <c r="DI95" s="293"/>
      <c r="DJ95" s="293"/>
      <c r="DK95" s="290"/>
      <c r="DL95" s="293"/>
      <c r="DM95" s="293"/>
      <c r="DN95" s="293"/>
      <c r="DO95" s="290"/>
      <c r="DP95" s="293"/>
      <c r="DQ95" s="293"/>
      <c r="DR95" s="293"/>
      <c r="DS95" s="290"/>
      <c r="DT95" s="290"/>
      <c r="DU95" s="293"/>
      <c r="DV95" s="293"/>
      <c r="DW95" s="293"/>
      <c r="DX95" s="290"/>
      <c r="EH95"/>
    </row>
    <row r="96" spans="1:138">
      <c r="A96" s="102" t="s">
        <v>955</v>
      </c>
      <c r="C96" s="103" t="s">
        <v>612</v>
      </c>
      <c r="P96" s="293">
        <f>+P104+P105+P106</f>
        <v>1096</v>
      </c>
      <c r="Q96" s="293">
        <f>+Q104+Q105+Q106</f>
        <v>1137</v>
      </c>
      <c r="R96" s="293">
        <f>+R104+R105+R106</f>
        <v>1137</v>
      </c>
      <c r="T96" s="293">
        <f>+T104+T105+T106</f>
        <v>1465</v>
      </c>
      <c r="U96" s="293">
        <f>+U104+U105+U106</f>
        <v>1382</v>
      </c>
      <c r="V96" s="293">
        <f>+V104+V105+V106</f>
        <v>1382</v>
      </c>
      <c r="X96" s="293">
        <f>+X104+X105+X106</f>
        <v>1474</v>
      </c>
      <c r="Y96" s="293">
        <f>+Y104+Y105+Y106</f>
        <v>1600</v>
      </c>
      <c r="Z96" s="293">
        <f>+Z104+Z105+Z106</f>
        <v>1600</v>
      </c>
      <c r="AB96" s="293">
        <f>+AB104+AB105+AB106</f>
        <v>1460</v>
      </c>
      <c r="AC96" s="293">
        <f>+AC104+AC105+AC106</f>
        <v>1599</v>
      </c>
      <c r="AD96" s="293">
        <f>+AD104+AD105+AD106</f>
        <v>1599</v>
      </c>
      <c r="AF96" s="293">
        <f>+AF104+AF105+AF106</f>
        <v>1829</v>
      </c>
      <c r="AG96" s="293">
        <f>+AG104+AG105+AG106</f>
        <v>1914</v>
      </c>
      <c r="AH96" s="293">
        <f>+AH104+AH105+AH106</f>
        <v>1914</v>
      </c>
      <c r="AJ96" s="293">
        <f>+AJ104+AJ105+AJ106</f>
        <v>2887</v>
      </c>
      <c r="AK96" s="293">
        <f>+AK104+AK105+AK106</f>
        <v>3096</v>
      </c>
      <c r="AL96" s="293">
        <f>+AL104+AL105+AL106</f>
        <v>3096</v>
      </c>
      <c r="AN96" s="293">
        <f>+AN104+AN105+AN106</f>
        <v>4326</v>
      </c>
      <c r="AO96" s="293">
        <f>+AO104+AO105+AO106</f>
        <v>4655</v>
      </c>
      <c r="AP96" s="293">
        <f>+AP104+AP105+AP106</f>
        <v>4655</v>
      </c>
      <c r="AR96" s="293">
        <f>+AR104+AR105+AR106</f>
        <v>4952</v>
      </c>
      <c r="AS96" s="293">
        <f>+AS104+AS105+AS106</f>
        <v>5020</v>
      </c>
      <c r="AT96" s="293">
        <f>+AT104+AT105+AT106</f>
        <v>5020</v>
      </c>
      <c r="AV96" s="293">
        <f>+AV104+AV105+AV106</f>
        <v>6424</v>
      </c>
      <c r="AW96" s="293">
        <f>+AW104+AW105+AW106</f>
        <v>6684</v>
      </c>
      <c r="AX96" s="293">
        <f>+AX104+AX105+AX106</f>
        <v>6684</v>
      </c>
      <c r="AZ96" s="293">
        <f>+AZ104+AZ105+AZ106</f>
        <v>6473</v>
      </c>
      <c r="BA96" s="293">
        <f>+BA104+BA105+BA106</f>
        <v>6513</v>
      </c>
      <c r="BB96" s="293">
        <f>+BB104+BB105+BB106</f>
        <v>6513</v>
      </c>
      <c r="BD96" s="293">
        <f>+BD104+BD105+BD106</f>
        <v>6208</v>
      </c>
      <c r="BE96" s="293">
        <f>+BE104+BE105+BE106</f>
        <v>6235</v>
      </c>
      <c r="BF96" s="293">
        <f>+BF104+BF105+BF106</f>
        <v>6235</v>
      </c>
      <c r="BH96" s="293">
        <f>+BH104+BH105+BH106</f>
        <v>5887</v>
      </c>
      <c r="BI96" s="293">
        <f>+BI104+BI105+BI106</f>
        <v>5907</v>
      </c>
      <c r="BJ96" s="293">
        <f>+BJ104+BJ105+BJ106</f>
        <v>5907</v>
      </c>
      <c r="BL96" s="293">
        <f>+BL104+BL105+BL106</f>
        <v>5893</v>
      </c>
      <c r="BM96" s="293">
        <f>+BM104+BM105+BM106</f>
        <v>5112</v>
      </c>
      <c r="BN96" s="293">
        <f>+BN104+BN105+BN106</f>
        <v>5112</v>
      </c>
      <c r="BP96" s="293">
        <f>+BP104+BP105+BP106</f>
        <v>5063</v>
      </c>
      <c r="BQ96" s="293">
        <f>+BQ104+BQ105+BQ106</f>
        <v>5947</v>
      </c>
      <c r="BR96" s="293">
        <f>+BR104+BR105+BR106</f>
        <v>5947</v>
      </c>
      <c r="BT96" s="293">
        <f>+BT104+BT105+BT106</f>
        <v>5836</v>
      </c>
      <c r="BU96" s="293">
        <f>+BU104+BU105+BU106</f>
        <v>6422</v>
      </c>
      <c r="BV96" s="293">
        <f>+BV104+BV105+BV106</f>
        <v>6422</v>
      </c>
      <c r="BX96" s="293">
        <f>+BX104+BX105+BX106</f>
        <v>6234</v>
      </c>
      <c r="BY96" s="293">
        <f>+BY104+BY105+BY106</f>
        <v>6290</v>
      </c>
      <c r="BZ96" s="293">
        <f>+BZ104+BZ105+BZ106</f>
        <v>6290</v>
      </c>
      <c r="CB96" s="293">
        <f>+CB104+CB105+CB106</f>
        <v>6188</v>
      </c>
      <c r="CC96" s="293">
        <f>+CC104+CC105+CC106</f>
        <v>6243</v>
      </c>
      <c r="CD96" s="293">
        <f>+CD104+CD105+CD106</f>
        <v>6243</v>
      </c>
      <c r="CF96" s="293">
        <f>+CF104+CF105+CF106</f>
        <v>6144</v>
      </c>
      <c r="CG96" s="293">
        <f>+CG104+CG105+CG106</f>
        <v>6181</v>
      </c>
      <c r="CH96" s="293">
        <f>+CH104+CH105+CH106</f>
        <v>6181</v>
      </c>
      <c r="CJ96" s="293">
        <f>+CJ104+CJ105+CJ106</f>
        <v>7721</v>
      </c>
      <c r="CK96" s="293">
        <f>+CK104+CK105+CK106</f>
        <v>7851</v>
      </c>
      <c r="CL96" s="293">
        <f>+CL104+CL105+CL106</f>
        <v>7851</v>
      </c>
      <c r="CN96" s="293">
        <f>+CN104+CN105+CN106</f>
        <v>8434</v>
      </c>
      <c r="CO96" s="293">
        <f>+CO104+CO105+CO106</f>
        <v>8531</v>
      </c>
      <c r="CP96" s="293">
        <f>+CP104+CP105+CP106</f>
        <v>8531</v>
      </c>
      <c r="CR96" s="293">
        <f>+CR104+CR105+CR106</f>
        <v>9394</v>
      </c>
      <c r="CS96" s="293">
        <f>+CS104+CS105+CS106</f>
        <v>12298</v>
      </c>
      <c r="CT96" s="293">
        <f>+CT104+CT105+CT106</f>
        <v>12298</v>
      </c>
      <c r="CV96" s="293">
        <f>+CV104+CV105+CV106</f>
        <v>12352</v>
      </c>
      <c r="CW96" s="1495">
        <f>+CW104+CW105+CW106</f>
        <v>12407</v>
      </c>
      <c r="CX96" s="293">
        <f>+CX104+CX105+CX106</f>
        <v>12407</v>
      </c>
      <c r="CZ96" s="293">
        <f>+CZ104+CZ105+CZ106</f>
        <v>11941</v>
      </c>
      <c r="DA96" s="1495">
        <f>+DA104+DA105+DA106</f>
        <v>11372</v>
      </c>
      <c r="DB96" s="293">
        <f>+DB104+DB105+DB106</f>
        <v>11372</v>
      </c>
      <c r="DD96" s="293">
        <f>+DD104+DD105+DD106</f>
        <v>11014</v>
      </c>
      <c r="DE96" s="1495">
        <f>+DE104+DE105+DE106</f>
        <v>11070</v>
      </c>
      <c r="DF96" s="293">
        <f>+DF104+DF105+DF106</f>
        <v>11070</v>
      </c>
      <c r="DH96" s="293">
        <f>+DH104+DH105+DH106</f>
        <v>11153</v>
      </c>
      <c r="DI96" s="293">
        <f>+DI104+DI105+DI106</f>
        <v>11265.173437687499</v>
      </c>
      <c r="DJ96" s="293">
        <f>+DJ104+DJ105+DJ106</f>
        <v>11265.173437687499</v>
      </c>
      <c r="DL96" s="293">
        <f>+DL104+DL105+DL106</f>
        <v>11385.131497533304</v>
      </c>
      <c r="DM96" s="293">
        <f>+DM104+DM105+DM106</f>
        <v>11513.340290128495</v>
      </c>
      <c r="DN96" s="293">
        <f>+DN104+DN105+DN106</f>
        <v>11513.340290128494</v>
      </c>
      <c r="DP96" s="293">
        <f>+DP104+DP105+DP106</f>
        <v>11650.292148479506</v>
      </c>
      <c r="DQ96" s="293">
        <f>+DQ104+DQ105+DQ106</f>
        <v>11796.507058763105</v>
      </c>
      <c r="DR96" s="293">
        <f>+DR104+DR105+DR106</f>
        <v>11796.507058763105</v>
      </c>
      <c r="DU96" s="293"/>
      <c r="DV96" s="293"/>
      <c r="DW96" s="293"/>
      <c r="DY96" s="103"/>
      <c r="EA96" s="103"/>
      <c r="EB96" s="103"/>
      <c r="EC96" s="103"/>
      <c r="ED96" s="103"/>
      <c r="EE96" s="103"/>
      <c r="EF96" s="103"/>
      <c r="EG96" s="103"/>
    </row>
    <row r="97" spans="1:138">
      <c r="A97" s="102" t="s">
        <v>130</v>
      </c>
      <c r="C97" s="103" t="s">
        <v>612</v>
      </c>
      <c r="P97" s="293">
        <f t="shared" ref="P97:R98" si="75">P107</f>
        <v>0</v>
      </c>
      <c r="Q97" s="293">
        <f t="shared" si="75"/>
        <v>0</v>
      </c>
      <c r="R97" s="293">
        <f t="shared" si="75"/>
        <v>0</v>
      </c>
      <c r="T97" s="293">
        <f t="shared" ref="T97:V98" si="76">T107</f>
        <v>0</v>
      </c>
      <c r="U97" s="293">
        <f t="shared" si="76"/>
        <v>0</v>
      </c>
      <c r="V97" s="293">
        <f t="shared" si="76"/>
        <v>0</v>
      </c>
      <c r="X97" s="293">
        <f t="shared" ref="X97:Z98" si="77">X107</f>
        <v>0</v>
      </c>
      <c r="Y97" s="293">
        <f t="shared" si="77"/>
        <v>0</v>
      </c>
      <c r="Z97" s="293">
        <f t="shared" si="77"/>
        <v>0</v>
      </c>
      <c r="AB97" s="293">
        <f t="shared" ref="AB97:AD98" si="78">AB107</f>
        <v>35</v>
      </c>
      <c r="AC97" s="293">
        <f t="shared" si="78"/>
        <v>49</v>
      </c>
      <c r="AD97" s="293">
        <f t="shared" si="78"/>
        <v>49</v>
      </c>
      <c r="AF97" s="293">
        <f t="shared" ref="AF97:AH98" si="79">AF107</f>
        <v>125</v>
      </c>
      <c r="AG97" s="293">
        <f t="shared" si="79"/>
        <v>250</v>
      </c>
      <c r="AH97" s="293">
        <f t="shared" si="79"/>
        <v>250</v>
      </c>
      <c r="AJ97" s="293">
        <f t="shared" ref="AJ97:AL98" si="80">AJ107</f>
        <v>265</v>
      </c>
      <c r="AK97" s="293">
        <f t="shared" si="80"/>
        <v>380</v>
      </c>
      <c r="AL97" s="293">
        <f t="shared" si="80"/>
        <v>380</v>
      </c>
      <c r="AN97" s="293">
        <f t="shared" ref="AN97:AP98" si="81">AN107</f>
        <v>513</v>
      </c>
      <c r="AO97" s="293">
        <f t="shared" si="81"/>
        <v>456</v>
      </c>
      <c r="AP97" s="293">
        <f t="shared" si="81"/>
        <v>456</v>
      </c>
      <c r="AR97" s="293">
        <f t="shared" ref="AR97:AT98" si="82">AR107</f>
        <v>283</v>
      </c>
      <c r="AS97" s="293">
        <f t="shared" si="82"/>
        <v>17</v>
      </c>
      <c r="AT97" s="293">
        <f t="shared" si="82"/>
        <v>17</v>
      </c>
      <c r="AV97" s="293">
        <f t="shared" ref="AV97:AX98" si="83">AV107</f>
        <v>276</v>
      </c>
      <c r="AW97" s="293">
        <f t="shared" si="83"/>
        <v>280</v>
      </c>
      <c r="AX97" s="293">
        <f t="shared" si="83"/>
        <v>280</v>
      </c>
      <c r="AZ97" s="293">
        <f t="shared" ref="AZ97:BB98" si="84">AZ107</f>
        <v>263</v>
      </c>
      <c r="BA97" s="293">
        <f t="shared" si="84"/>
        <v>310</v>
      </c>
      <c r="BB97" s="293">
        <f t="shared" si="84"/>
        <v>310</v>
      </c>
      <c r="BD97" s="293">
        <f t="shared" ref="BD97:BF98" si="85">BD107</f>
        <v>504</v>
      </c>
      <c r="BE97" s="293">
        <f t="shared" si="85"/>
        <v>44</v>
      </c>
      <c r="BF97" s="293">
        <f t="shared" si="85"/>
        <v>44</v>
      </c>
      <c r="BH97" s="293">
        <f t="shared" ref="BH97:BJ98" si="86">BH107</f>
        <v>-50</v>
      </c>
      <c r="BI97" s="293">
        <f t="shared" si="86"/>
        <v>57</v>
      </c>
      <c r="BJ97" s="293">
        <f t="shared" si="86"/>
        <v>57</v>
      </c>
      <c r="BL97" s="293">
        <f t="shared" ref="BL97:BN98" si="87">BL107</f>
        <v>726</v>
      </c>
      <c r="BM97" s="293">
        <f t="shared" si="87"/>
        <v>669</v>
      </c>
      <c r="BN97" s="293">
        <f t="shared" si="87"/>
        <v>669</v>
      </c>
      <c r="BP97" s="293">
        <f t="shared" ref="BP97:BR98" si="88">BP107</f>
        <v>826</v>
      </c>
      <c r="BQ97" s="293">
        <f>BQ107</f>
        <v>1656</v>
      </c>
      <c r="BR97" s="293">
        <f t="shared" si="88"/>
        <v>1656</v>
      </c>
      <c r="BT97" s="293">
        <f t="shared" ref="BT97:BV98" si="89">BT107</f>
        <v>2090</v>
      </c>
      <c r="BU97" s="293">
        <f t="shared" si="89"/>
        <v>1536</v>
      </c>
      <c r="BV97" s="293">
        <f t="shared" si="89"/>
        <v>1536</v>
      </c>
      <c r="BX97" s="293">
        <f t="shared" ref="BX97:BZ98" si="90">BX107</f>
        <v>1295</v>
      </c>
      <c r="BY97" s="293">
        <f t="shared" si="90"/>
        <v>1396</v>
      </c>
      <c r="BZ97" s="293">
        <f t="shared" si="90"/>
        <v>1396</v>
      </c>
      <c r="CB97" s="293">
        <f t="shared" ref="CB97:CD98" si="91">CB107</f>
        <v>999</v>
      </c>
      <c r="CC97" s="293">
        <f t="shared" si="91"/>
        <v>1297</v>
      </c>
      <c r="CD97" s="293">
        <f t="shared" si="91"/>
        <v>1297</v>
      </c>
      <c r="CF97" s="293">
        <f t="shared" ref="CF97:CH97" si="92">CF107</f>
        <v>1567</v>
      </c>
      <c r="CG97" s="293">
        <f t="shared" si="92"/>
        <v>1773</v>
      </c>
      <c r="CH97" s="293">
        <f t="shared" si="92"/>
        <v>1773</v>
      </c>
      <c r="CJ97" s="293">
        <f t="shared" ref="CJ97:CL98" si="93">CJ107</f>
        <v>1927</v>
      </c>
      <c r="CK97" s="293">
        <f t="shared" si="93"/>
        <v>2773</v>
      </c>
      <c r="CL97" s="293">
        <f t="shared" si="93"/>
        <v>2773</v>
      </c>
      <c r="CN97" s="293">
        <f t="shared" ref="CN97:CP98" si="94">CN107</f>
        <v>1378</v>
      </c>
      <c r="CO97" s="293">
        <f t="shared" si="94"/>
        <v>1286</v>
      </c>
      <c r="CP97" s="293">
        <f t="shared" si="94"/>
        <v>1286</v>
      </c>
      <c r="CR97" s="293">
        <f t="shared" ref="CR97:CT97" si="95">CR107</f>
        <v>1613</v>
      </c>
      <c r="CS97" s="293">
        <f t="shared" si="95"/>
        <v>1523</v>
      </c>
      <c r="CT97" s="293">
        <f t="shared" si="95"/>
        <v>1523</v>
      </c>
      <c r="CV97" s="293">
        <f t="shared" ref="CV97:CX98" si="96">CV107</f>
        <v>3250</v>
      </c>
      <c r="CW97" s="1495">
        <f t="shared" si="96"/>
        <v>3302</v>
      </c>
      <c r="CX97" s="293">
        <f t="shared" si="96"/>
        <v>3302</v>
      </c>
      <c r="CZ97" s="293">
        <f t="shared" ref="CZ97:DB97" si="97">CZ107</f>
        <v>3590</v>
      </c>
      <c r="DA97" s="1495">
        <f t="shared" si="97"/>
        <v>3891</v>
      </c>
      <c r="DB97" s="293">
        <f t="shared" si="97"/>
        <v>3891</v>
      </c>
      <c r="DD97" s="293">
        <f t="shared" ref="DD97:DF97" si="98">DD107</f>
        <v>2920</v>
      </c>
      <c r="DE97" s="1495">
        <f t="shared" si="98"/>
        <v>4829</v>
      </c>
      <c r="DF97" s="293">
        <f t="shared" si="98"/>
        <v>4829</v>
      </c>
      <c r="DH97" s="293">
        <f t="shared" ref="DH97" si="99">DH107</f>
        <v>3779</v>
      </c>
      <c r="DI97" s="293">
        <f t="shared" ref="DI97:DJ97" si="100">DI107</f>
        <v>3779</v>
      </c>
      <c r="DJ97" s="293">
        <f t="shared" si="100"/>
        <v>3779</v>
      </c>
      <c r="DL97" s="293">
        <f t="shared" ref="DL97:DN97" si="101">DL107</f>
        <v>3779</v>
      </c>
      <c r="DM97" s="293">
        <f t="shared" si="101"/>
        <v>3779</v>
      </c>
      <c r="DN97" s="293">
        <f t="shared" si="101"/>
        <v>3779</v>
      </c>
      <c r="DP97" s="293">
        <f t="shared" ref="DP97:DR97" si="102">DP107</f>
        <v>3779</v>
      </c>
      <c r="DQ97" s="293">
        <f t="shared" si="102"/>
        <v>3779</v>
      </c>
      <c r="DR97" s="293">
        <f t="shared" si="102"/>
        <v>3779</v>
      </c>
      <c r="DU97" s="293"/>
      <c r="DV97" s="293"/>
      <c r="DW97" s="293"/>
      <c r="DY97" s="103"/>
      <c r="EA97" s="103"/>
      <c r="EB97" s="103"/>
      <c r="EC97" s="103"/>
      <c r="ED97" s="103"/>
      <c r="EE97" s="103"/>
      <c r="EF97" s="103"/>
      <c r="EG97" s="103"/>
    </row>
    <row r="98" spans="1:138">
      <c r="A98" s="102" t="s">
        <v>144</v>
      </c>
      <c r="C98" s="103" t="s">
        <v>612</v>
      </c>
      <c r="P98" s="293">
        <f t="shared" si="75"/>
        <v>717</v>
      </c>
      <c r="Q98" s="293">
        <f t="shared" si="75"/>
        <v>659</v>
      </c>
      <c r="R98" s="293">
        <f t="shared" si="75"/>
        <v>659</v>
      </c>
      <c r="T98" s="293">
        <f t="shared" si="76"/>
        <v>901</v>
      </c>
      <c r="U98" s="293">
        <f t="shared" si="76"/>
        <v>1040</v>
      </c>
      <c r="V98" s="293">
        <f t="shared" si="76"/>
        <v>1040</v>
      </c>
      <c r="X98" s="293">
        <f t="shared" si="77"/>
        <v>1173</v>
      </c>
      <c r="Y98" s="293">
        <f t="shared" si="77"/>
        <v>1578</v>
      </c>
      <c r="Z98" s="293">
        <f t="shared" si="77"/>
        <v>1578</v>
      </c>
      <c r="AB98" s="293">
        <f t="shared" si="78"/>
        <v>1101</v>
      </c>
      <c r="AC98" s="293">
        <f t="shared" si="78"/>
        <v>1523</v>
      </c>
      <c r="AD98" s="293">
        <f t="shared" si="78"/>
        <v>1523</v>
      </c>
      <c r="AF98" s="293">
        <f t="shared" si="79"/>
        <v>1708</v>
      </c>
      <c r="AG98" s="293">
        <f t="shared" si="79"/>
        <v>1934</v>
      </c>
      <c r="AH98" s="293">
        <f t="shared" si="79"/>
        <v>1934</v>
      </c>
      <c r="AJ98" s="293">
        <f t="shared" si="80"/>
        <v>2374</v>
      </c>
      <c r="AK98" s="293">
        <f t="shared" si="80"/>
        <v>2795</v>
      </c>
      <c r="AL98" s="293">
        <f t="shared" si="80"/>
        <v>2795</v>
      </c>
      <c r="AN98" s="293">
        <f t="shared" si="81"/>
        <v>3373</v>
      </c>
      <c r="AO98" s="293">
        <f t="shared" si="81"/>
        <v>3718</v>
      </c>
      <c r="AP98" s="293">
        <f t="shared" si="81"/>
        <v>3718</v>
      </c>
      <c r="AR98" s="293">
        <f t="shared" si="82"/>
        <v>3770</v>
      </c>
      <c r="AS98" s="293">
        <f t="shared" si="82"/>
        <v>3627</v>
      </c>
      <c r="AT98" s="293">
        <f t="shared" si="82"/>
        <v>3627</v>
      </c>
      <c r="AV98" s="293">
        <f t="shared" si="83"/>
        <v>3984</v>
      </c>
      <c r="AW98" s="293">
        <f t="shared" si="83"/>
        <v>4268</v>
      </c>
      <c r="AX98" s="293">
        <f t="shared" si="83"/>
        <v>4268</v>
      </c>
      <c r="AZ98" s="293">
        <f t="shared" si="84"/>
        <v>4325</v>
      </c>
      <c r="BA98" s="293">
        <f t="shared" si="84"/>
        <v>4581</v>
      </c>
      <c r="BB98" s="293">
        <f t="shared" si="84"/>
        <v>4581</v>
      </c>
      <c r="BD98" s="293">
        <f t="shared" si="85"/>
        <v>4539</v>
      </c>
      <c r="BE98" s="293">
        <f t="shared" si="85"/>
        <v>4924</v>
      </c>
      <c r="BF98" s="293">
        <f t="shared" si="85"/>
        <v>4924</v>
      </c>
      <c r="BH98" s="293">
        <f t="shared" si="86"/>
        <v>5155</v>
      </c>
      <c r="BI98" s="293">
        <f t="shared" si="86"/>
        <v>5439</v>
      </c>
      <c r="BJ98" s="293">
        <f t="shared" si="86"/>
        <v>5439</v>
      </c>
      <c r="BL98" s="293">
        <f t="shared" si="87"/>
        <v>5610</v>
      </c>
      <c r="BM98" s="293">
        <f t="shared" si="87"/>
        <v>5637</v>
      </c>
      <c r="BN98" s="293">
        <f t="shared" si="87"/>
        <v>5637</v>
      </c>
      <c r="BP98" s="293">
        <f t="shared" si="88"/>
        <v>5801</v>
      </c>
      <c r="BQ98" s="293">
        <f>BQ108</f>
        <v>6306</v>
      </c>
      <c r="BR98" s="293">
        <f t="shared" si="88"/>
        <v>6306</v>
      </c>
      <c r="BT98" s="293">
        <f t="shared" si="89"/>
        <v>6705</v>
      </c>
      <c r="BU98" s="293">
        <f t="shared" si="89"/>
        <v>7158</v>
      </c>
      <c r="BV98" s="293">
        <f t="shared" si="89"/>
        <v>7158</v>
      </c>
      <c r="BX98" s="293">
        <f t="shared" si="90"/>
        <v>7392</v>
      </c>
      <c r="BY98" s="293">
        <f t="shared" si="90"/>
        <v>7877</v>
      </c>
      <c r="BZ98" s="293">
        <f t="shared" si="90"/>
        <v>7877</v>
      </c>
      <c r="CB98" s="293">
        <f t="shared" si="91"/>
        <v>8170</v>
      </c>
      <c r="CC98" s="293">
        <f t="shared" si="91"/>
        <v>8817</v>
      </c>
      <c r="CD98" s="293">
        <f t="shared" si="91"/>
        <v>8817</v>
      </c>
      <c r="CF98" s="293">
        <f t="shared" ref="CF98:CH98" si="103">CF108</f>
        <v>8849</v>
      </c>
      <c r="CG98" s="293">
        <f t="shared" si="103"/>
        <v>9807</v>
      </c>
      <c r="CH98" s="293">
        <f t="shared" si="103"/>
        <v>9807</v>
      </c>
      <c r="CJ98" s="293">
        <f t="shared" si="93"/>
        <v>9969</v>
      </c>
      <c r="CK98" s="293">
        <f t="shared" si="93"/>
        <v>10439</v>
      </c>
      <c r="CL98" s="293">
        <f t="shared" si="93"/>
        <v>10439</v>
      </c>
      <c r="CN98" s="293">
        <f t="shared" si="94"/>
        <v>10696</v>
      </c>
      <c r="CO98" s="293">
        <f t="shared" si="94"/>
        <v>12231</v>
      </c>
      <c r="CP98" s="293">
        <f t="shared" si="94"/>
        <v>12231</v>
      </c>
      <c r="CR98" s="293">
        <f t="shared" ref="CR98:CT98" si="104">CR108</f>
        <v>13057</v>
      </c>
      <c r="CS98" s="293">
        <f t="shared" si="104"/>
        <v>14740</v>
      </c>
      <c r="CT98" s="293">
        <f t="shared" si="104"/>
        <v>14740</v>
      </c>
      <c r="CV98" s="293">
        <f t="shared" ref="CV98:CX98" si="105">CV108</f>
        <v>15735</v>
      </c>
      <c r="CW98" s="1495">
        <f t="shared" si="96"/>
        <v>17446</v>
      </c>
      <c r="CX98" s="293">
        <f t="shared" si="105"/>
        <v>17446</v>
      </c>
      <c r="CZ98" s="293">
        <f t="shared" ref="CZ98:DB98" si="106">CZ108</f>
        <v>17120</v>
      </c>
      <c r="DA98" s="1495">
        <f t="shared" si="106"/>
        <v>18218</v>
      </c>
      <c r="DB98" s="293">
        <f t="shared" si="106"/>
        <v>18218</v>
      </c>
      <c r="DD98" s="293">
        <f t="shared" ref="DD98:DF98" si="107">DD108</f>
        <v>18365</v>
      </c>
      <c r="DE98" s="1495">
        <f t="shared" si="107"/>
        <v>19457</v>
      </c>
      <c r="DF98" s="293">
        <f t="shared" si="107"/>
        <v>19457</v>
      </c>
      <c r="DH98" s="293">
        <f t="shared" ref="DH98" si="108">DH108</f>
        <v>19629</v>
      </c>
      <c r="DI98" s="293">
        <f t="shared" ref="DI98:DJ98" ca="1" si="109">DI108</f>
        <v>20984.02747651087</v>
      </c>
      <c r="DJ98" s="293">
        <f t="shared" ca="1" si="109"/>
        <v>20984.02747651087</v>
      </c>
      <c r="DL98" s="293">
        <f t="shared" ref="DL98:DN98" ca="1" si="110">DL108</f>
        <v>21256.872294363966</v>
      </c>
      <c r="DM98" s="293">
        <f t="shared" ca="1" si="110"/>
        <v>23913.745341565846</v>
      </c>
      <c r="DN98" s="293">
        <f t="shared" ca="1" si="110"/>
        <v>23913.745341565842</v>
      </c>
      <c r="DP98" s="293">
        <f t="shared" ref="DP98:DR98" ca="1" si="111">DP108</f>
        <v>24270.950536440429</v>
      </c>
      <c r="DQ98" s="293">
        <f t="shared" ca="1" si="111"/>
        <v>27108.494920520126</v>
      </c>
      <c r="DR98" s="293">
        <f t="shared" ca="1" si="111"/>
        <v>27108.494920520126</v>
      </c>
      <c r="DU98" s="293"/>
      <c r="DV98" s="293"/>
      <c r="DW98" s="293"/>
      <c r="DY98" s="103"/>
      <c r="EA98" s="103"/>
      <c r="EB98" s="103"/>
      <c r="EC98" s="103"/>
      <c r="ED98" s="103"/>
      <c r="EE98" s="103"/>
      <c r="EF98" s="103"/>
      <c r="EG98" s="103"/>
    </row>
    <row r="99" spans="1:138">
      <c r="A99" s="289" t="s">
        <v>150</v>
      </c>
      <c r="C99" s="290" t="s">
        <v>612</v>
      </c>
      <c r="P99" s="295">
        <f>SUM(P96:P98)</f>
        <v>1813</v>
      </c>
      <c r="Q99" s="295">
        <f>SUM(Q96:Q98)</f>
        <v>1796</v>
      </c>
      <c r="R99" s="295">
        <f>SUM(R96:R98)</f>
        <v>1796</v>
      </c>
      <c r="T99" s="295">
        <f>SUM(T96:T98)</f>
        <v>2366</v>
      </c>
      <c r="U99" s="295">
        <f>SUM(U96:U98)</f>
        <v>2422</v>
      </c>
      <c r="V99" s="295">
        <f>SUM(V96:V98)</f>
        <v>2422</v>
      </c>
      <c r="X99" s="295">
        <f>SUM(X96:X98)</f>
        <v>2647</v>
      </c>
      <c r="Y99" s="295">
        <f>SUM(Y96:Y98)</f>
        <v>3178</v>
      </c>
      <c r="Z99" s="295">
        <f>SUM(Z96:Z98)</f>
        <v>3178</v>
      </c>
      <c r="AB99" s="295">
        <f>SUM(AB96:AB98)</f>
        <v>2596</v>
      </c>
      <c r="AC99" s="295">
        <f>SUM(AC96:AC98)</f>
        <v>3171</v>
      </c>
      <c r="AD99" s="295">
        <f>SUM(AD96:AD98)</f>
        <v>3171</v>
      </c>
      <c r="AF99" s="295">
        <f>SUM(AF96:AF98)</f>
        <v>3662</v>
      </c>
      <c r="AG99" s="295">
        <f>SUM(AG96:AG98)</f>
        <v>4098</v>
      </c>
      <c r="AH99" s="295">
        <f>SUM(AH96:AH98)</f>
        <v>4098</v>
      </c>
      <c r="AJ99" s="295">
        <f>SUM(AJ96:AJ98)</f>
        <v>5526</v>
      </c>
      <c r="AK99" s="295">
        <f>SUM(AK96:AK98)</f>
        <v>6271</v>
      </c>
      <c r="AL99" s="295">
        <f>SUM(AL96:AL98)</f>
        <v>6271</v>
      </c>
      <c r="AN99" s="295">
        <f>SUM(AN96:AN98)</f>
        <v>8212</v>
      </c>
      <c r="AO99" s="295">
        <f>SUM(AO96:AO98)</f>
        <v>8829</v>
      </c>
      <c r="AP99" s="295">
        <f>SUM(AP96:AP98)</f>
        <v>8829</v>
      </c>
      <c r="AR99" s="295">
        <f>SUM(AR96:AR98)</f>
        <v>9005</v>
      </c>
      <c r="AS99" s="295">
        <f>SUM(AS96:AS98)</f>
        <v>8664</v>
      </c>
      <c r="AT99" s="295">
        <f>SUM(AT96:AT98)</f>
        <v>8664</v>
      </c>
      <c r="AV99" s="295">
        <f>SUM(AV96:AV98)</f>
        <v>10684</v>
      </c>
      <c r="AW99" s="295">
        <f>SUM(AW96:AW98)</f>
        <v>11232</v>
      </c>
      <c r="AX99" s="295">
        <f>SUM(AX96:AX98)</f>
        <v>11232</v>
      </c>
      <c r="AZ99" s="295">
        <f>SUM(AZ96:AZ98)</f>
        <v>11061</v>
      </c>
      <c r="BA99" s="295">
        <f>SUM(BA96:BA98)</f>
        <v>11404</v>
      </c>
      <c r="BB99" s="295">
        <f>SUM(BB96:BB98)</f>
        <v>11404</v>
      </c>
      <c r="BD99" s="295">
        <f>SUM(BD96:BD98)</f>
        <v>11251</v>
      </c>
      <c r="BE99" s="295">
        <f>SUM(BE96:BE98)</f>
        <v>11203</v>
      </c>
      <c r="BF99" s="295">
        <f>SUM(BF96:BF98)</f>
        <v>11203</v>
      </c>
      <c r="BH99" s="295">
        <f>SUM(BH96:BH98)</f>
        <v>10992</v>
      </c>
      <c r="BI99" s="295">
        <f>SUM(BI96:BI98)</f>
        <v>11403</v>
      </c>
      <c r="BJ99" s="295">
        <f>SUM(BJ96:BJ98)</f>
        <v>11403</v>
      </c>
      <c r="BL99" s="295">
        <f>SUM(BL96:BL98)</f>
        <v>12229</v>
      </c>
      <c r="BM99" s="295">
        <f>SUM(BM96:BM98)</f>
        <v>11418</v>
      </c>
      <c r="BN99" s="295">
        <f>SUM(BN96:BN98)</f>
        <v>11418</v>
      </c>
      <c r="BP99" s="295">
        <f>SUM(BP96:BP98)</f>
        <v>11690</v>
      </c>
      <c r="BQ99" s="295">
        <f>SUM(BQ96:BQ98)</f>
        <v>13909</v>
      </c>
      <c r="BR99" s="295">
        <f>SUM(BR96:BR98)</f>
        <v>13909</v>
      </c>
      <c r="BT99" s="295">
        <f>SUM(BT96:BT98)</f>
        <v>14631</v>
      </c>
      <c r="BU99" s="295">
        <f>SUM(BU96:BU98)</f>
        <v>15116</v>
      </c>
      <c r="BV99" s="295">
        <f>SUM(BV96:BV98)</f>
        <v>15116</v>
      </c>
      <c r="BX99" s="295">
        <f>SUM(BX96:BX98)</f>
        <v>14921</v>
      </c>
      <c r="BY99" s="295">
        <f>SUM(BY96:BY98)</f>
        <v>15563</v>
      </c>
      <c r="BZ99" s="295">
        <f>SUM(BZ96:BZ98)</f>
        <v>15563</v>
      </c>
      <c r="CB99" s="295">
        <f>SUM(CB96:CB98)</f>
        <v>15357</v>
      </c>
      <c r="CC99" s="295">
        <f>SUM(CC96:CC98)</f>
        <v>16357</v>
      </c>
      <c r="CD99" s="295">
        <f>SUM(CD96:CD98)</f>
        <v>16357</v>
      </c>
      <c r="CF99" s="295">
        <f>SUM(CF96:CF98)</f>
        <v>16560</v>
      </c>
      <c r="CG99" s="295">
        <f>SUM(CG96:CG98)</f>
        <v>17761</v>
      </c>
      <c r="CH99" s="295">
        <f>SUM(CH96:CH98)</f>
        <v>17761</v>
      </c>
      <c r="CJ99" s="295">
        <f>SUM(CJ96:CJ98)</f>
        <v>19617</v>
      </c>
      <c r="CK99" s="295">
        <f>SUM(CK96:CK98)</f>
        <v>21063</v>
      </c>
      <c r="CL99" s="295">
        <f>SUM(CL96:CL98)</f>
        <v>21063</v>
      </c>
      <c r="CN99" s="295">
        <f>SUM(CN96:CN98)</f>
        <v>20508</v>
      </c>
      <c r="CO99" s="295">
        <f>SUM(CO96:CO98)</f>
        <v>22048</v>
      </c>
      <c r="CP99" s="295">
        <f>SUM(CP96:CP98)</f>
        <v>22048</v>
      </c>
      <c r="CR99" s="295">
        <f>SUM(CR96:CR98)</f>
        <v>24064</v>
      </c>
      <c r="CS99" s="295">
        <f>SUM(CS96:CS98)</f>
        <v>28561</v>
      </c>
      <c r="CT99" s="295">
        <f>SUM(CT96:CT98)</f>
        <v>28561</v>
      </c>
      <c r="CV99" s="295">
        <f>SUM(CV96:CV98)</f>
        <v>31337</v>
      </c>
      <c r="CW99" s="1390">
        <f>SUM(CW96:CW98)</f>
        <v>33155</v>
      </c>
      <c r="CX99" s="295">
        <f>SUM(CX96:CX98)</f>
        <v>33155</v>
      </c>
      <c r="CZ99" s="295">
        <f>SUM(CZ96:CZ98)</f>
        <v>32651</v>
      </c>
      <c r="DA99" s="1390">
        <f>SUM(DA96:DA98)</f>
        <v>33481</v>
      </c>
      <c r="DB99" s="295">
        <f>SUM(DB96:DB98)</f>
        <v>33481</v>
      </c>
      <c r="DD99" s="295">
        <f>SUM(DD96:DD98)</f>
        <v>32299</v>
      </c>
      <c r="DE99" s="1390">
        <f>SUM(DE96:DE98)</f>
        <v>35356</v>
      </c>
      <c r="DF99" s="295">
        <f>SUM(DF96:DF98)</f>
        <v>35356</v>
      </c>
      <c r="DH99" s="295">
        <f>SUM(DH96:DH98)</f>
        <v>34561</v>
      </c>
      <c r="DI99" s="295">
        <f ca="1">SUM(DI96:DI98)</f>
        <v>36028.200914198373</v>
      </c>
      <c r="DJ99" s="295">
        <f ca="1">SUM(DJ96:DJ98)</f>
        <v>36028.200914198373</v>
      </c>
      <c r="DL99" s="295">
        <f ca="1">SUM(DL96:DL98)</f>
        <v>36421.003791897267</v>
      </c>
      <c r="DM99" s="295">
        <f ca="1">SUM(DM96:DM98)</f>
        <v>39206.085631694339</v>
      </c>
      <c r="DN99" s="295">
        <f ca="1">SUM(DN96:DN98)</f>
        <v>39206.085631694339</v>
      </c>
      <c r="DP99" s="295">
        <f ca="1">SUM(DP96:DP98)</f>
        <v>39700.242684919933</v>
      </c>
      <c r="DQ99" s="295">
        <f ca="1">SUM(DQ96:DQ98)</f>
        <v>42684.001979283232</v>
      </c>
      <c r="DR99" s="295">
        <f ca="1">SUM(DR96:DR98)</f>
        <v>42684.001979283232</v>
      </c>
      <c r="DU99" s="295"/>
      <c r="DV99" s="295"/>
      <c r="DW99" s="295"/>
      <c r="DY99" s="103"/>
      <c r="EA99" s="103"/>
      <c r="EB99" s="103"/>
      <c r="EC99" s="103"/>
      <c r="ED99" s="103"/>
      <c r="EE99" s="103"/>
      <c r="EF99" s="103"/>
      <c r="EG99" s="103"/>
    </row>
    <row r="100" spans="1:138">
      <c r="A100" s="102" t="s">
        <v>768</v>
      </c>
      <c r="C100" s="103" t="s">
        <v>612</v>
      </c>
      <c r="P100" s="293">
        <f>P110+P113+P111</f>
        <v>789</v>
      </c>
      <c r="Q100" s="293">
        <f>Q110+Q113+Q111</f>
        <v>789</v>
      </c>
      <c r="R100" s="293">
        <f>R110+R113+R111</f>
        <v>789</v>
      </c>
      <c r="T100" s="293">
        <f>T110+T113+T111</f>
        <v>975</v>
      </c>
      <c r="U100" s="293">
        <f>U110+U113+U111</f>
        <v>411</v>
      </c>
      <c r="V100" s="293">
        <f>V110+V113+V111</f>
        <v>411</v>
      </c>
      <c r="X100" s="293">
        <f>X110+X113+X111</f>
        <v>1295</v>
      </c>
      <c r="Y100" s="293">
        <f>Y110+Y113+Y111</f>
        <v>1254</v>
      </c>
      <c r="Z100" s="293">
        <f>Z110+Z113+Z111</f>
        <v>1254</v>
      </c>
      <c r="AB100" s="293">
        <f>AB110+AB113+AB111</f>
        <v>1295</v>
      </c>
      <c r="AC100" s="293">
        <f>AC110+AC113+AC111</f>
        <v>1254</v>
      </c>
      <c r="AD100" s="293">
        <f>AD110+AD113+AD111</f>
        <v>1254</v>
      </c>
      <c r="AF100" s="293">
        <f>AF110+AF113+AF111</f>
        <v>1331</v>
      </c>
      <c r="AG100" s="293">
        <f>AG110+AG113+AG111</f>
        <v>1239</v>
      </c>
      <c r="AH100" s="293">
        <f>AH110+AH113+AH111</f>
        <v>1239</v>
      </c>
      <c r="AJ100" s="293">
        <f>AJ110+AJ113+AJ111</f>
        <v>1275</v>
      </c>
      <c r="AK100" s="293">
        <f>AK110+AK113+AK111</f>
        <v>1248</v>
      </c>
      <c r="AL100" s="293">
        <f>AL110+AL113+AL111</f>
        <v>1248</v>
      </c>
      <c r="AN100" s="293">
        <f>AN110+AN113+AN111</f>
        <v>1203</v>
      </c>
      <c r="AO100" s="293">
        <f>AO110+AO113+AO111</f>
        <v>1232</v>
      </c>
      <c r="AP100" s="293">
        <f>AP110+AP113+AP111</f>
        <v>1232</v>
      </c>
      <c r="AR100" s="293">
        <f>AR110+AR113+AR111</f>
        <v>1276</v>
      </c>
      <c r="AS100" s="293">
        <f>AS110+AS113+AS111</f>
        <v>896</v>
      </c>
      <c r="AT100" s="293">
        <f>AT110+AT113+AT111</f>
        <v>896</v>
      </c>
      <c r="AV100" s="293">
        <f>AV110+AV113+AV111</f>
        <v>536</v>
      </c>
      <c r="AW100" s="293">
        <f>AW110+AW113+AW111</f>
        <v>537</v>
      </c>
      <c r="AX100" s="293">
        <f>AX110+AX113+AX111</f>
        <v>537</v>
      </c>
      <c r="AZ100" s="293">
        <f>AZ110+AZ113+AZ111</f>
        <v>532</v>
      </c>
      <c r="BA100" s="293">
        <f>BA110+BA113+BA111</f>
        <v>528</v>
      </c>
      <c r="BB100" s="293">
        <f>BB110+BB113+BB111</f>
        <v>528</v>
      </c>
      <c r="BD100" s="293">
        <f>BD110+BD113+BD111</f>
        <v>513</v>
      </c>
      <c r="BE100" s="293">
        <f>BE110+BE113+BE111</f>
        <v>529</v>
      </c>
      <c r="BF100" s="293">
        <f>BF110+BF113+BF111</f>
        <v>529</v>
      </c>
      <c r="BH100" s="293">
        <f>BH110+BH113+BH111</f>
        <v>512</v>
      </c>
      <c r="BI100" s="293">
        <f>BI110+BI113+BI111</f>
        <v>552</v>
      </c>
      <c r="BJ100" s="293">
        <f>BJ110+BJ113+BJ111</f>
        <v>552</v>
      </c>
      <c r="BL100" s="293">
        <f>BL110+BL113+BL111</f>
        <v>490</v>
      </c>
      <c r="BM100" s="293">
        <f>BM110+BM113+BM111</f>
        <v>496</v>
      </c>
      <c r="BN100" s="293">
        <f>BN110+BN113+BN111</f>
        <v>496</v>
      </c>
      <c r="BP100" s="293">
        <f>BP110+BP113+BP111</f>
        <v>526</v>
      </c>
      <c r="BQ100" s="293">
        <f>BQ110+BQ113+BQ111</f>
        <v>487</v>
      </c>
      <c r="BR100" s="293">
        <f>BR110+BR113+BR111</f>
        <v>487</v>
      </c>
      <c r="BT100" s="293">
        <f>BT110+BT113+BT111</f>
        <v>586</v>
      </c>
      <c r="BU100" s="293">
        <f>BU110+BU113+BU111</f>
        <v>548</v>
      </c>
      <c r="BV100" s="293">
        <f>BV110+BV113+BV111</f>
        <v>548</v>
      </c>
      <c r="BX100" s="293">
        <f>BX110+BX113+BX111</f>
        <v>542</v>
      </c>
      <c r="BY100" s="293">
        <f>BY110+BY113+BY111</f>
        <v>1707</v>
      </c>
      <c r="BZ100" s="293">
        <f>BZ110+BZ113+BZ111</f>
        <v>1707</v>
      </c>
      <c r="CB100" s="293">
        <f>CB110+CB113+CB111</f>
        <v>1742</v>
      </c>
      <c r="CC100" s="293">
        <f>CC110+CC113+CC111</f>
        <v>1823</v>
      </c>
      <c r="CD100" s="293">
        <f>CD110+CD113+CD111</f>
        <v>1823</v>
      </c>
      <c r="CF100" s="293">
        <f>CF110+CF113+CF111</f>
        <v>599</v>
      </c>
      <c r="CG100" s="293">
        <f>CG110+CG113+CG111</f>
        <v>603</v>
      </c>
      <c r="CH100" s="293">
        <f>CH110+CH113+CH111</f>
        <v>603</v>
      </c>
      <c r="CJ100" s="293">
        <f>CJ110+CJ113+CJ111</f>
        <v>695</v>
      </c>
      <c r="CK100" s="293">
        <f>CK110+CK113+CK111</f>
        <v>721</v>
      </c>
      <c r="CL100" s="293">
        <f>CL110+CL113+CL111</f>
        <v>721</v>
      </c>
      <c r="CN100" s="293">
        <f>CN110+CN113+CN111</f>
        <v>281</v>
      </c>
      <c r="CO100" s="293">
        <f>CO110+CO113+CO111</f>
        <v>303</v>
      </c>
      <c r="CP100" s="293">
        <f>CP110+CP113+CP111</f>
        <v>303</v>
      </c>
      <c r="CR100" s="293">
        <f>CR110+CR113+CR111</f>
        <v>350</v>
      </c>
      <c r="CS100" s="293">
        <f>CS110+CS113+CS111</f>
        <v>245</v>
      </c>
      <c r="CT100" s="293">
        <f>CT110+CT113+CT111</f>
        <v>245</v>
      </c>
      <c r="CV100" s="293">
        <f>CV110+CV113+CV111</f>
        <v>350</v>
      </c>
      <c r="CW100" s="1495">
        <f>CW110+CW113+CW111</f>
        <v>951</v>
      </c>
      <c r="CX100" s="293">
        <f>CX110+CX113+CX111</f>
        <v>951</v>
      </c>
      <c r="CZ100" s="293">
        <f>CZ110+CZ113+CZ111</f>
        <v>487</v>
      </c>
      <c r="DA100" s="1495">
        <f>DA110+DA113+DA111</f>
        <v>515</v>
      </c>
      <c r="DB100" s="293">
        <f>DB110+DB113+DB111</f>
        <v>515</v>
      </c>
      <c r="DD100" s="293">
        <f>DD110+DD113+DD111</f>
        <v>535</v>
      </c>
      <c r="DE100" s="1495">
        <f>DE110+DE113+DE111</f>
        <v>433</v>
      </c>
      <c r="DF100" s="293">
        <f>DF110+DF113+DF111</f>
        <v>433</v>
      </c>
      <c r="DH100" s="293">
        <f>DH110+DH113+DH111</f>
        <v>633</v>
      </c>
      <c r="DI100" s="293">
        <f>DI110+DI113+DI111</f>
        <v>633</v>
      </c>
      <c r="DJ100" s="293">
        <f>DJ110+DJ113+DJ111</f>
        <v>633</v>
      </c>
      <c r="DL100" s="293">
        <f>DL110+DL113+DL111</f>
        <v>633</v>
      </c>
      <c r="DM100" s="293">
        <f>DM110+DM113+DM111</f>
        <v>633</v>
      </c>
      <c r="DN100" s="293">
        <f>DN110+DN113+DN111</f>
        <v>633</v>
      </c>
      <c r="DP100" s="293">
        <f>DP110+DP113+DP111</f>
        <v>633</v>
      </c>
      <c r="DQ100" s="293">
        <f>DQ110+DQ113+DQ111</f>
        <v>633</v>
      </c>
      <c r="DR100" s="293">
        <f>DR110+DR113+DR111</f>
        <v>633</v>
      </c>
      <c r="DU100" s="293"/>
      <c r="DV100" s="293"/>
      <c r="DW100" s="293"/>
      <c r="DY100" s="103"/>
      <c r="EA100" s="103"/>
      <c r="EB100" s="103"/>
      <c r="EC100" s="103"/>
      <c r="ED100" s="103"/>
      <c r="EE100" s="103"/>
      <c r="EF100" s="103"/>
      <c r="EG100" s="103"/>
    </row>
    <row r="101" spans="1:138">
      <c r="A101" s="289" t="s">
        <v>151</v>
      </c>
      <c r="C101" s="290" t="s">
        <v>612</v>
      </c>
      <c r="P101" s="295">
        <f>SUM(P99:P100)</f>
        <v>2602</v>
      </c>
      <c r="Q101" s="295">
        <f>SUM(Q99:Q100)</f>
        <v>2585</v>
      </c>
      <c r="R101" s="295">
        <f>SUM(R99:R100)</f>
        <v>2585</v>
      </c>
      <c r="T101" s="295">
        <f>SUM(T99:T100)</f>
        <v>3341</v>
      </c>
      <c r="U101" s="295">
        <f>SUM(U99:U100)</f>
        <v>2833</v>
      </c>
      <c r="V101" s="295">
        <f>SUM(V99:V100)</f>
        <v>2833</v>
      </c>
      <c r="X101" s="295">
        <f>SUM(X99:X100)</f>
        <v>3942</v>
      </c>
      <c r="Y101" s="295">
        <f>SUM(Y99:Y100)</f>
        <v>4432</v>
      </c>
      <c r="Z101" s="295">
        <f>SUM(Z99:Z100)</f>
        <v>4432</v>
      </c>
      <c r="AB101" s="295">
        <f>SUM(AB99:AB100)</f>
        <v>3891</v>
      </c>
      <c r="AC101" s="295">
        <f>SUM(AC99:AC100)</f>
        <v>4425</v>
      </c>
      <c r="AD101" s="295">
        <f>SUM(AD99:AD100)</f>
        <v>4425</v>
      </c>
      <c r="AF101" s="295">
        <f>SUM(AF99:AF100)</f>
        <v>4993</v>
      </c>
      <c r="AG101" s="295">
        <f>SUM(AG99:AG100)</f>
        <v>5337</v>
      </c>
      <c r="AH101" s="295">
        <f>SUM(AH99:AH100)</f>
        <v>5337</v>
      </c>
      <c r="AJ101" s="295">
        <f>SUM(AJ99:AJ100)</f>
        <v>6801</v>
      </c>
      <c r="AK101" s="295">
        <f>SUM(AK99:AK100)</f>
        <v>7519</v>
      </c>
      <c r="AL101" s="295">
        <f>SUM(AL99:AL100)</f>
        <v>7519</v>
      </c>
      <c r="AN101" s="295">
        <f>SUM(AN99:AN100)</f>
        <v>9415</v>
      </c>
      <c r="AO101" s="295">
        <f>SUM(AO99:AO100)</f>
        <v>10061</v>
      </c>
      <c r="AP101" s="295">
        <f>SUM(AP99:AP100)</f>
        <v>10061</v>
      </c>
      <c r="AR101" s="295">
        <f>SUM(AR99:AR100)</f>
        <v>10281</v>
      </c>
      <c r="AS101" s="295">
        <f>SUM(AS99:AS100)</f>
        <v>9560</v>
      </c>
      <c r="AT101" s="295">
        <f>SUM(AT99:AT100)</f>
        <v>9560</v>
      </c>
      <c r="AV101" s="295">
        <f>SUM(AV99:AV100)</f>
        <v>11220</v>
      </c>
      <c r="AW101" s="295">
        <f>SUM(AW99:AW100)</f>
        <v>11769</v>
      </c>
      <c r="AX101" s="295">
        <f>SUM(AX99:AX100)</f>
        <v>11769</v>
      </c>
      <c r="AZ101" s="295">
        <f>SUM(AZ99:AZ100)</f>
        <v>11593</v>
      </c>
      <c r="BA101" s="295">
        <f>SUM(BA99:BA100)</f>
        <v>11932</v>
      </c>
      <c r="BB101" s="295">
        <f>SUM(BB99:BB100)</f>
        <v>11932</v>
      </c>
      <c r="BD101" s="295">
        <f>SUM(BD99:BD100)</f>
        <v>11764</v>
      </c>
      <c r="BE101" s="295">
        <f>SUM(BE99:BE100)</f>
        <v>11732</v>
      </c>
      <c r="BF101" s="295">
        <f>SUM(BF99:BF100)</f>
        <v>11732</v>
      </c>
      <c r="BH101" s="295">
        <f>SUM(BH99:BH100)</f>
        <v>11504</v>
      </c>
      <c r="BI101" s="295">
        <f>SUM(BI99:BI100)</f>
        <v>11955</v>
      </c>
      <c r="BJ101" s="295">
        <f>SUM(BJ99:BJ100)</f>
        <v>11955</v>
      </c>
      <c r="BL101" s="295">
        <f>SUM(BL99:BL100)</f>
        <v>12719</v>
      </c>
      <c r="BM101" s="295">
        <f>SUM(BM99:BM100)</f>
        <v>11914</v>
      </c>
      <c r="BN101" s="295">
        <f>SUM(BN99:BN100)</f>
        <v>11914</v>
      </c>
      <c r="BP101" s="295">
        <f>SUM(BP99:BP100)</f>
        <v>12216</v>
      </c>
      <c r="BQ101" s="295">
        <f>SUM(BQ99:BQ100)</f>
        <v>14396</v>
      </c>
      <c r="BR101" s="295">
        <f>SUM(BR99:BR100)</f>
        <v>14396</v>
      </c>
      <c r="BT101" s="295">
        <f>SUM(BT99:BT100)</f>
        <v>15217</v>
      </c>
      <c r="BU101" s="295">
        <f>SUM(BU99:BU100)</f>
        <v>15664</v>
      </c>
      <c r="BV101" s="295">
        <f>SUM(BV99:BV100)</f>
        <v>15664</v>
      </c>
      <c r="BX101" s="295">
        <f>SUM(BX99:BX100)</f>
        <v>15463</v>
      </c>
      <c r="BY101" s="295">
        <f>SUM(BY99:BY100)</f>
        <v>17270</v>
      </c>
      <c r="BZ101" s="295">
        <f>SUM(BZ99:BZ100)</f>
        <v>17270</v>
      </c>
      <c r="CB101" s="295">
        <f>SUM(CB99:CB100)</f>
        <v>17099</v>
      </c>
      <c r="CC101" s="295">
        <f>SUM(CC99:CC100)</f>
        <v>18180</v>
      </c>
      <c r="CD101" s="295">
        <f>SUM(CD99:CD100)</f>
        <v>18180</v>
      </c>
      <c r="CF101" s="295">
        <f>SUM(CF99:CF100)</f>
        <v>17159</v>
      </c>
      <c r="CG101" s="295">
        <f>SUM(CG99:CG100)</f>
        <v>18364</v>
      </c>
      <c r="CH101" s="295">
        <f>SUM(CH99:CH100)</f>
        <v>18364</v>
      </c>
      <c r="CJ101" s="295">
        <f>SUM(CJ99:CJ100)</f>
        <v>20312</v>
      </c>
      <c r="CK101" s="295">
        <f>SUM(CK99:CK100)</f>
        <v>21784</v>
      </c>
      <c r="CL101" s="295">
        <f>SUM(CL99:CL100)</f>
        <v>21784</v>
      </c>
      <c r="CN101" s="295">
        <f>SUM(CN99:CN100)</f>
        <v>20789</v>
      </c>
      <c r="CO101" s="295">
        <f>SUM(CO99:CO100)</f>
        <v>22351</v>
      </c>
      <c r="CP101" s="295">
        <f>SUM(CP99:CP100)</f>
        <v>22351</v>
      </c>
      <c r="CR101" s="295">
        <f>SUM(CR99:CR100)</f>
        <v>24414</v>
      </c>
      <c r="CS101" s="295">
        <f>SUM(CS99:CS100)</f>
        <v>28806</v>
      </c>
      <c r="CT101" s="295">
        <f>SUM(CT99:CT100)</f>
        <v>28806</v>
      </c>
      <c r="CV101" s="295">
        <f>SUM(CV99:CV100)</f>
        <v>31687</v>
      </c>
      <c r="CW101" s="1390">
        <f>SUM(CW99:CW100)</f>
        <v>34106</v>
      </c>
      <c r="CX101" s="295">
        <f>SUM(CX99:CX100)</f>
        <v>34106</v>
      </c>
      <c r="CZ101" s="295">
        <f>SUM(CZ99:CZ100)</f>
        <v>33138</v>
      </c>
      <c r="DA101" s="1390">
        <f>SUM(DA99:DA100)</f>
        <v>33996</v>
      </c>
      <c r="DB101" s="295">
        <f>SUM(DB99:DB100)</f>
        <v>33996</v>
      </c>
      <c r="DD101" s="295">
        <f>SUM(DD99:DD100)</f>
        <v>32834</v>
      </c>
      <c r="DE101" s="1390">
        <f>SUM(DE99:DE100)</f>
        <v>35789</v>
      </c>
      <c r="DF101" s="295">
        <f>SUM(DF99:DF100)</f>
        <v>35789</v>
      </c>
      <c r="DH101" s="295">
        <f>SUM(DH99:DH100)</f>
        <v>35194</v>
      </c>
      <c r="DI101" s="295">
        <f ca="1">SUM(DI99:DI100)</f>
        <v>36661.200914198373</v>
      </c>
      <c r="DJ101" s="295">
        <f ca="1">SUM(DJ99:DJ100)</f>
        <v>36661.200914198373</v>
      </c>
      <c r="DL101" s="295">
        <f ca="1">SUM(DL99:DL100)</f>
        <v>37054.003791897267</v>
      </c>
      <c r="DM101" s="295">
        <f ca="1">SUM(DM99:DM100)</f>
        <v>39839.085631694339</v>
      </c>
      <c r="DN101" s="295">
        <f ca="1">SUM(DN99:DN100)</f>
        <v>39839.085631694339</v>
      </c>
      <c r="DP101" s="295">
        <f ca="1">SUM(DP99:DP100)</f>
        <v>40333.242684919933</v>
      </c>
      <c r="DQ101" s="295">
        <f ca="1">SUM(DQ99:DQ100)</f>
        <v>43317.001979283232</v>
      </c>
      <c r="DR101" s="295">
        <f ca="1">SUM(DR99:DR100)</f>
        <v>43317.001979283232</v>
      </c>
      <c r="DU101" s="295"/>
      <c r="DV101" s="295"/>
      <c r="DW101" s="295"/>
      <c r="DY101" s="103"/>
      <c r="EA101" s="103"/>
      <c r="EB101" s="103"/>
      <c r="EC101" s="103"/>
      <c r="ED101" s="103"/>
      <c r="EE101" s="103"/>
      <c r="EF101" s="103"/>
      <c r="EG101" s="103"/>
    </row>
    <row r="102" spans="1:138">
      <c r="BD102" s="658"/>
      <c r="BE102" s="658">
        <v>11732</v>
      </c>
      <c r="BF102" s="658"/>
      <c r="BH102" s="658">
        <v>11504</v>
      </c>
      <c r="BI102" s="658">
        <v>11955</v>
      </c>
      <c r="BJ102" s="658"/>
      <c r="BL102" s="658">
        <v>12719</v>
      </c>
      <c r="BM102" s="658">
        <v>11914</v>
      </c>
      <c r="BN102" s="658"/>
      <c r="BP102" s="658">
        <v>12216</v>
      </c>
      <c r="BQ102" s="658">
        <v>14396</v>
      </c>
      <c r="BR102" s="658"/>
      <c r="BT102" s="658">
        <v>15217</v>
      </c>
      <c r="BU102" s="658">
        <v>15664</v>
      </c>
      <c r="BV102" s="658"/>
      <c r="BX102" s="1166">
        <f>BX70</f>
        <v>15463</v>
      </c>
      <c r="BY102" s="1166">
        <f>BY70</f>
        <v>17270</v>
      </c>
      <c r="BZ102" s="658"/>
      <c r="CB102" s="1166">
        <f>CB70</f>
        <v>17099</v>
      </c>
      <c r="CC102" s="1166">
        <f>CC70</f>
        <v>18180</v>
      </c>
      <c r="CD102" s="658"/>
      <c r="CF102" s="1166">
        <f>CF70</f>
        <v>17159</v>
      </c>
      <c r="CG102" s="1166">
        <f>CG70</f>
        <v>18364</v>
      </c>
      <c r="CH102" s="658"/>
      <c r="CJ102" s="1166">
        <f>CJ70</f>
        <v>20312</v>
      </c>
      <c r="CK102" s="1166">
        <f>CK70</f>
        <v>21784</v>
      </c>
      <c r="CL102" s="658"/>
      <c r="CN102" s="1166">
        <f>CN70</f>
        <v>20789</v>
      </c>
      <c r="CO102" s="1166">
        <f>CO70</f>
        <v>22351</v>
      </c>
      <c r="CP102" s="658"/>
      <c r="CR102" s="1166">
        <f>CR70</f>
        <v>24414</v>
      </c>
      <c r="CS102" s="1166">
        <f>CS70</f>
        <v>28806</v>
      </c>
      <c r="CT102" s="658"/>
      <c r="CV102" s="1189">
        <f>CV70</f>
        <v>31687</v>
      </c>
      <c r="CW102" s="2000">
        <f>CW70</f>
        <v>34106</v>
      </c>
      <c r="CX102" s="658"/>
      <c r="CZ102" s="1189">
        <f>CZ70</f>
        <v>33138</v>
      </c>
      <c r="DA102" s="2000">
        <f>DA70</f>
        <v>33996</v>
      </c>
      <c r="DB102" s="658"/>
      <c r="DD102" s="1189">
        <f>DD70</f>
        <v>32834</v>
      </c>
      <c r="DE102" s="2000">
        <f>DE70</f>
        <v>35789</v>
      </c>
      <c r="DF102" s="658"/>
      <c r="DH102" s="1189">
        <f>DH70</f>
        <v>35194</v>
      </c>
      <c r="DY102" s="103"/>
      <c r="EA102" s="103"/>
      <c r="EB102" s="103"/>
      <c r="EC102" s="103"/>
      <c r="ED102" s="103"/>
      <c r="EE102" s="103"/>
      <c r="EF102" s="103"/>
      <c r="EG102" s="103"/>
    </row>
    <row r="103" spans="1:138">
      <c r="BD103" s="658"/>
      <c r="BE103" s="658"/>
      <c r="BF103" s="658"/>
      <c r="BH103" s="658"/>
      <c r="BI103" s="658"/>
      <c r="BJ103" s="658"/>
      <c r="BM103" s="658"/>
      <c r="BN103" s="658"/>
      <c r="BQ103" s="658"/>
      <c r="BR103" s="658"/>
      <c r="BU103" s="658"/>
      <c r="BV103" s="658"/>
      <c r="BZ103" s="658"/>
      <c r="CD103" s="658"/>
      <c r="CH103" s="658"/>
      <c r="CL103" s="658"/>
      <c r="CP103" s="658"/>
      <c r="CT103" s="658"/>
      <c r="CX103" s="658"/>
      <c r="DA103" s="1408"/>
      <c r="DB103" s="658"/>
      <c r="DE103" s="1408"/>
      <c r="DF103" s="658"/>
      <c r="DY103" s="103"/>
      <c r="EA103" s="103"/>
      <c r="EB103" s="103"/>
      <c r="EC103" s="103"/>
      <c r="ED103" s="103"/>
      <c r="EE103" s="103"/>
      <c r="EF103" s="103"/>
      <c r="EG103" s="103"/>
    </row>
    <row r="104" spans="1:138" s="289" customFormat="1">
      <c r="A104" s="102" t="s">
        <v>100</v>
      </c>
      <c r="C104" s="103" t="s">
        <v>612</v>
      </c>
      <c r="P104" s="626">
        <v>1096</v>
      </c>
      <c r="Q104" s="626">
        <v>1137</v>
      </c>
      <c r="R104" s="293">
        <f t="shared" ref="R104:R114" si="112">Q104</f>
        <v>1137</v>
      </c>
      <c r="S104" s="290"/>
      <c r="T104" s="626">
        <v>1465</v>
      </c>
      <c r="U104" s="626">
        <v>1382</v>
      </c>
      <c r="V104" s="293">
        <f t="shared" ref="V104:V114" si="113">U104</f>
        <v>1382</v>
      </c>
      <c r="W104" s="290"/>
      <c r="X104" s="626">
        <v>1474</v>
      </c>
      <c r="Y104" s="626">
        <v>1600</v>
      </c>
      <c r="Z104" s="293">
        <f t="shared" ref="Z104:Z114" si="114">Y104</f>
        <v>1600</v>
      </c>
      <c r="AA104" s="290"/>
      <c r="AB104" s="626">
        <v>1474</v>
      </c>
      <c r="AC104" s="626">
        <v>1600</v>
      </c>
      <c r="AD104" s="293">
        <f t="shared" ref="AD104:AD113" si="115">AC104</f>
        <v>1600</v>
      </c>
      <c r="AE104" s="295"/>
      <c r="AF104" s="626">
        <v>1830</v>
      </c>
      <c r="AG104" s="626">
        <v>1916</v>
      </c>
      <c r="AH104" s="293">
        <f t="shared" ref="AH104:AH113" si="116">AG104</f>
        <v>1916</v>
      </c>
      <c r="AI104" s="632"/>
      <c r="AJ104" s="626">
        <v>2889</v>
      </c>
      <c r="AK104" s="626">
        <v>3103</v>
      </c>
      <c r="AL104" s="293">
        <f t="shared" ref="AL104:AL113" si="117">AK104</f>
        <v>3103</v>
      </c>
      <c r="AM104" s="290"/>
      <c r="AN104" s="626">
        <v>4336</v>
      </c>
      <c r="AO104" s="626">
        <v>4534</v>
      </c>
      <c r="AP104" s="293">
        <f t="shared" ref="AP104:AP113" si="118">AO104</f>
        <v>4534</v>
      </c>
      <c r="AQ104" s="290"/>
      <c r="AR104" s="626">
        <v>4832</v>
      </c>
      <c r="AS104" s="626">
        <v>4906</v>
      </c>
      <c r="AT104" s="293">
        <f t="shared" ref="AT104:AT113" si="119">AS104</f>
        <v>4906</v>
      </c>
      <c r="AU104" s="290"/>
      <c r="AV104" s="626">
        <v>6267</v>
      </c>
      <c r="AW104" s="626">
        <v>6990</v>
      </c>
      <c r="AX104" s="293">
        <f t="shared" ref="AX104:AX113" si="120">AW104</f>
        <v>6990</v>
      </c>
      <c r="AY104" s="290"/>
      <c r="AZ104" s="626">
        <v>7063</v>
      </c>
      <c r="BA104" s="626">
        <v>7140</v>
      </c>
      <c r="BB104" s="293">
        <f t="shared" ref="BB104:BB113" si="121">BA104</f>
        <v>7140</v>
      </c>
      <c r="BC104" s="290"/>
      <c r="BD104" s="626">
        <v>7103</v>
      </c>
      <c r="BE104" s="626">
        <v>7127</v>
      </c>
      <c r="BF104" s="293">
        <f t="shared" ref="BF104:BF113" si="122">BE104</f>
        <v>7127</v>
      </c>
      <c r="BG104" s="290"/>
      <c r="BH104" s="626">
        <v>6876</v>
      </c>
      <c r="BI104" s="626">
        <v>6882</v>
      </c>
      <c r="BJ104" s="293">
        <f t="shared" ref="BJ104:BJ113" si="123">BI104</f>
        <v>6882</v>
      </c>
      <c r="BK104" s="290"/>
      <c r="BL104" s="626">
        <v>6884</v>
      </c>
      <c r="BM104" s="626">
        <v>6075</v>
      </c>
      <c r="BN104" s="293">
        <f t="shared" ref="BN104:BN113" si="124">BM104</f>
        <v>6075</v>
      </c>
      <c r="BO104" s="290"/>
      <c r="BP104" s="626">
        <v>6041</v>
      </c>
      <c r="BQ104" s="626">
        <v>6901</v>
      </c>
      <c r="BR104" s="293">
        <f t="shared" ref="BR104:BR109" si="125">BQ104</f>
        <v>6901</v>
      </c>
      <c r="BS104" s="290"/>
      <c r="BT104" s="626">
        <v>6911</v>
      </c>
      <c r="BU104" s="626">
        <v>7446</v>
      </c>
      <c r="BV104" s="293">
        <f t="shared" ref="BV104:BV109" si="126">BU104</f>
        <v>7446</v>
      </c>
      <c r="BW104" s="290"/>
      <c r="BX104" s="626">
        <v>7444</v>
      </c>
      <c r="BY104" s="626">
        <v>7467</v>
      </c>
      <c r="BZ104" s="293">
        <f t="shared" ref="BZ104:BZ109" si="127">BY104</f>
        <v>7467</v>
      </c>
      <c r="CA104" s="290"/>
      <c r="CB104" s="626">
        <v>7485</v>
      </c>
      <c r="CC104" s="626">
        <v>7498</v>
      </c>
      <c r="CD104" s="293">
        <f t="shared" ref="CD104:CD109" si="128">CC104</f>
        <v>7498</v>
      </c>
      <c r="CE104" s="290"/>
      <c r="CF104" s="626">
        <v>7550</v>
      </c>
      <c r="CG104" s="626">
        <v>7546</v>
      </c>
      <c r="CH104" s="293">
        <f t="shared" ref="CH104:CH109" si="129">CG104</f>
        <v>7546</v>
      </c>
      <c r="CI104" s="290"/>
      <c r="CJ104" s="626">
        <v>9282</v>
      </c>
      <c r="CK104" s="626">
        <v>9290</v>
      </c>
      <c r="CL104" s="293">
        <f t="shared" ref="CL104:CL109" si="130">CK104</f>
        <v>9290</v>
      </c>
      <c r="CM104" s="290"/>
      <c r="CN104" s="626">
        <v>10138</v>
      </c>
      <c r="CO104" s="626">
        <v>10166</v>
      </c>
      <c r="CP104" s="293">
        <f t="shared" ref="CP104:CP109" si="131">CO104</f>
        <v>10166</v>
      </c>
      <c r="CQ104" s="290"/>
      <c r="CR104" s="626">
        <v>11290</v>
      </c>
      <c r="CS104" s="626">
        <v>14156</v>
      </c>
      <c r="CT104" s="293">
        <f t="shared" ref="CT104:CT109" si="132">CS104</f>
        <v>14156</v>
      </c>
      <c r="CU104" s="290"/>
      <c r="CV104" s="626">
        <v>14741</v>
      </c>
      <c r="CW104" s="1497">
        <v>14735</v>
      </c>
      <c r="CX104" s="293">
        <f t="shared" ref="CX104:CX109" si="133">CW104</f>
        <v>14735</v>
      </c>
      <c r="CY104" s="290"/>
      <c r="CZ104" s="626">
        <v>14812</v>
      </c>
      <c r="DA104" s="1488">
        <v>14156</v>
      </c>
      <c r="DB104" s="293">
        <f t="shared" ref="DB104:DB109" si="134">DA104</f>
        <v>14156</v>
      </c>
      <c r="DC104" s="290"/>
      <c r="DD104" s="626">
        <v>13887</v>
      </c>
      <c r="DE104" s="2176">
        <v>13834</v>
      </c>
      <c r="DF104" s="293">
        <f t="shared" ref="DF104:DF109" si="135">DE104</f>
        <v>13834</v>
      </c>
      <c r="DG104" s="290"/>
      <c r="DH104" s="626">
        <v>13925</v>
      </c>
      <c r="DI104" s="293">
        <f>DI287</f>
        <v>14120.333437687499</v>
      </c>
      <c r="DJ104" s="293">
        <f>DJ287</f>
        <v>14120.333437687499</v>
      </c>
      <c r="DK104" s="290"/>
      <c r="DL104" s="293">
        <f>DL287</f>
        <v>14325.946297533304</v>
      </c>
      <c r="DM104" s="293">
        <f>DM287</f>
        <v>14542.379534128495</v>
      </c>
      <c r="DN104" s="293">
        <f>DN287</f>
        <v>14542.379534128493</v>
      </c>
      <c r="DO104" s="290"/>
      <c r="DP104" s="293">
        <f>DP287</f>
        <v>14770.202569799505</v>
      </c>
      <c r="DQ104" s="293">
        <f>DQ287</f>
        <v>15010.014792722704</v>
      </c>
      <c r="DR104" s="293">
        <f>DR287</f>
        <v>15010.014792722704</v>
      </c>
      <c r="DS104" s="290"/>
      <c r="DT104" s="290"/>
      <c r="DU104" s="293"/>
      <c r="DV104" s="293"/>
      <c r="DW104" s="293"/>
      <c r="DX104" s="290"/>
      <c r="EH104"/>
    </row>
    <row r="105" spans="1:138" s="289" customFormat="1">
      <c r="A105" s="102" t="s">
        <v>128</v>
      </c>
      <c r="C105" s="103" t="s">
        <v>612</v>
      </c>
      <c r="P105" s="626">
        <v>0</v>
      </c>
      <c r="Q105" s="626">
        <v>0</v>
      </c>
      <c r="R105" s="293">
        <f t="shared" si="112"/>
        <v>0</v>
      </c>
      <c r="S105" s="290"/>
      <c r="T105" s="626">
        <v>0</v>
      </c>
      <c r="U105" s="626">
        <v>0</v>
      </c>
      <c r="V105" s="293">
        <f t="shared" si="113"/>
        <v>0</v>
      </c>
      <c r="W105" s="290"/>
      <c r="X105" s="626">
        <v>0</v>
      </c>
      <c r="Y105" s="626">
        <v>0</v>
      </c>
      <c r="Z105" s="293">
        <f t="shared" si="114"/>
        <v>0</v>
      </c>
      <c r="AA105" s="290"/>
      <c r="AB105" s="626">
        <v>-14</v>
      </c>
      <c r="AC105" s="626">
        <v>-1</v>
      </c>
      <c r="AD105" s="293">
        <f t="shared" si="115"/>
        <v>-1</v>
      </c>
      <c r="AE105" s="295"/>
      <c r="AF105" s="626">
        <v>-1</v>
      </c>
      <c r="AG105" s="626">
        <v>-2</v>
      </c>
      <c r="AH105" s="293">
        <f t="shared" si="116"/>
        <v>-2</v>
      </c>
      <c r="AI105" s="632"/>
      <c r="AJ105" s="626">
        <v>-2</v>
      </c>
      <c r="AK105" s="626">
        <v>-7</v>
      </c>
      <c r="AL105" s="293">
        <f t="shared" si="117"/>
        <v>-7</v>
      </c>
      <c r="AM105" s="290"/>
      <c r="AN105" s="626">
        <v>-10</v>
      </c>
      <c r="AO105" s="626">
        <v>-12</v>
      </c>
      <c r="AP105" s="293">
        <f t="shared" si="118"/>
        <v>-12</v>
      </c>
      <c r="AQ105" s="290"/>
      <c r="AR105" s="626">
        <v>-2</v>
      </c>
      <c r="AS105" s="626">
        <v>-2</v>
      </c>
      <c r="AT105" s="293">
        <f t="shared" si="119"/>
        <v>-2</v>
      </c>
      <c r="AU105" s="290"/>
      <c r="AV105" s="626">
        <v>-2</v>
      </c>
      <c r="AW105" s="626">
        <v>-443</v>
      </c>
      <c r="AX105" s="293">
        <f t="shared" si="120"/>
        <v>-443</v>
      </c>
      <c r="AY105" s="290"/>
      <c r="AZ105" s="626">
        <v>-719</v>
      </c>
      <c r="BA105" s="626">
        <v>-731</v>
      </c>
      <c r="BB105" s="293">
        <f t="shared" si="121"/>
        <v>-731</v>
      </c>
      <c r="BC105" s="290"/>
      <c r="BD105" s="626">
        <v>-993</v>
      </c>
      <c r="BE105" s="626">
        <v>-974</v>
      </c>
      <c r="BF105" s="293">
        <f t="shared" si="122"/>
        <v>-974</v>
      </c>
      <c r="BG105" s="290"/>
      <c r="BH105" s="626">
        <v>-1058</v>
      </c>
      <c r="BI105" s="626">
        <v>-1011</v>
      </c>
      <c r="BJ105" s="293">
        <f t="shared" si="123"/>
        <v>-1011</v>
      </c>
      <c r="BK105" s="290"/>
      <c r="BL105" s="626">
        <v>-1025</v>
      </c>
      <c r="BM105" s="626">
        <v>-990</v>
      </c>
      <c r="BN105" s="293">
        <f t="shared" si="124"/>
        <v>-990</v>
      </c>
      <c r="BO105" s="290"/>
      <c r="BP105" s="626">
        <v>-1003</v>
      </c>
      <c r="BQ105" s="626">
        <v>-971</v>
      </c>
      <c r="BR105" s="293">
        <f t="shared" si="125"/>
        <v>-971</v>
      </c>
      <c r="BS105" s="290"/>
      <c r="BT105" s="626">
        <v>-1088</v>
      </c>
      <c r="BU105" s="626">
        <v>-1036</v>
      </c>
      <c r="BV105" s="293">
        <f t="shared" si="126"/>
        <v>-1036</v>
      </c>
      <c r="BW105" s="290"/>
      <c r="BX105" s="626">
        <v>-1221</v>
      </c>
      <c r="BY105" s="626">
        <v>-1187</v>
      </c>
      <c r="BZ105" s="293">
        <f t="shared" si="127"/>
        <v>-1187</v>
      </c>
      <c r="CA105" s="290"/>
      <c r="CB105" s="626">
        <v>-1307</v>
      </c>
      <c r="CC105" s="626">
        <v>-1264</v>
      </c>
      <c r="CD105" s="293">
        <f t="shared" si="128"/>
        <v>-1264</v>
      </c>
      <c r="CE105" s="290"/>
      <c r="CF105" s="626">
        <v>-1413</v>
      </c>
      <c r="CG105" s="626">
        <v>-1372</v>
      </c>
      <c r="CH105" s="293">
        <f t="shared" si="129"/>
        <v>-1372</v>
      </c>
      <c r="CI105" s="290"/>
      <c r="CJ105" s="626">
        <v>-1568</v>
      </c>
      <c r="CK105" s="626">
        <v>-1446</v>
      </c>
      <c r="CL105" s="293">
        <f t="shared" si="130"/>
        <v>-1446</v>
      </c>
      <c r="CM105" s="290"/>
      <c r="CN105" s="626">
        <v>-1702</v>
      </c>
      <c r="CO105" s="626">
        <v>-1633</v>
      </c>
      <c r="CP105" s="293">
        <f t="shared" si="131"/>
        <v>-1633</v>
      </c>
      <c r="CQ105" s="290"/>
      <c r="CR105" s="626">
        <v>-1896</v>
      </c>
      <c r="CS105" s="626">
        <v>-1858</v>
      </c>
      <c r="CT105" s="293">
        <f t="shared" si="132"/>
        <v>-1858</v>
      </c>
      <c r="CU105" s="290"/>
      <c r="CV105" s="626">
        <v>-2389</v>
      </c>
      <c r="CW105" s="1497">
        <v>-2328</v>
      </c>
      <c r="CX105" s="293">
        <f t="shared" si="133"/>
        <v>-2328</v>
      </c>
      <c r="CY105" s="290"/>
      <c r="CZ105" s="626">
        <v>-2871</v>
      </c>
      <c r="DA105" s="1488">
        <v>-2784</v>
      </c>
      <c r="DB105" s="293">
        <f t="shared" si="134"/>
        <v>-2784</v>
      </c>
      <c r="DC105" s="290"/>
      <c r="DD105" s="626">
        <v>-2873</v>
      </c>
      <c r="DE105" s="2176">
        <v>-2764</v>
      </c>
      <c r="DF105" s="293">
        <f t="shared" si="135"/>
        <v>-2764</v>
      </c>
      <c r="DG105" s="290"/>
      <c r="DH105" s="626">
        <v>-2772</v>
      </c>
      <c r="DI105" s="293">
        <f>DI362</f>
        <v>-2855.16</v>
      </c>
      <c r="DJ105" s="293">
        <f>DJ362</f>
        <v>-2855.16</v>
      </c>
      <c r="DK105" s="290"/>
      <c r="DL105" s="293">
        <f>DL362</f>
        <v>-2940.8147999999997</v>
      </c>
      <c r="DM105" s="293">
        <f>DM362</f>
        <v>-3029.0392439999996</v>
      </c>
      <c r="DN105" s="293">
        <f>DN362</f>
        <v>-3029.0392439999996</v>
      </c>
      <c r="DO105" s="290"/>
      <c r="DP105" s="293">
        <f>DP362</f>
        <v>-3119.9104213199994</v>
      </c>
      <c r="DQ105" s="293">
        <f>DQ362</f>
        <v>-3213.5077339595991</v>
      </c>
      <c r="DR105" s="293">
        <f>DR362</f>
        <v>-3213.5077339595996</v>
      </c>
      <c r="DS105" s="290"/>
      <c r="DT105" s="290"/>
      <c r="DU105" s="293"/>
      <c r="DV105" s="293"/>
      <c r="DW105" s="293"/>
      <c r="DX105" s="290"/>
      <c r="EH105"/>
    </row>
    <row r="106" spans="1:138" s="289" customFormat="1">
      <c r="A106" s="102" t="s">
        <v>110</v>
      </c>
      <c r="C106" s="103" t="s">
        <v>612</v>
      </c>
      <c r="P106" s="626"/>
      <c r="Q106" s="626"/>
      <c r="R106" s="293"/>
      <c r="S106" s="290"/>
      <c r="T106" s="626"/>
      <c r="U106" s="626"/>
      <c r="V106" s="293"/>
      <c r="W106" s="290"/>
      <c r="X106" s="626"/>
      <c r="Y106" s="626"/>
      <c r="Z106" s="293"/>
      <c r="AA106" s="290"/>
      <c r="AB106" s="626"/>
      <c r="AC106" s="626"/>
      <c r="AD106" s="293"/>
      <c r="AE106" s="295"/>
      <c r="AF106" s="626"/>
      <c r="AG106" s="626"/>
      <c r="AH106" s="293"/>
      <c r="AI106" s="632"/>
      <c r="AJ106" s="626"/>
      <c r="AK106" s="626"/>
      <c r="AL106" s="293"/>
      <c r="AM106" s="290"/>
      <c r="AN106" s="626">
        <v>0</v>
      </c>
      <c r="AO106" s="626">
        <v>133</v>
      </c>
      <c r="AP106" s="293">
        <f>+AO106</f>
        <v>133</v>
      </c>
      <c r="AQ106" s="290"/>
      <c r="AR106" s="626">
        <v>122</v>
      </c>
      <c r="AS106" s="626">
        <v>116</v>
      </c>
      <c r="AT106" s="293">
        <f>+AS106</f>
        <v>116</v>
      </c>
      <c r="AU106" s="290"/>
      <c r="AV106" s="626">
        <v>159</v>
      </c>
      <c r="AW106" s="626">
        <v>137</v>
      </c>
      <c r="AX106" s="293">
        <f>+AW106</f>
        <v>137</v>
      </c>
      <c r="AY106" s="290"/>
      <c r="AZ106" s="626">
        <v>129</v>
      </c>
      <c r="BA106" s="626">
        <v>104</v>
      </c>
      <c r="BB106" s="293">
        <f t="shared" si="121"/>
        <v>104</v>
      </c>
      <c r="BC106" s="290"/>
      <c r="BD106" s="626">
        <v>98</v>
      </c>
      <c r="BE106" s="626">
        <v>82</v>
      </c>
      <c r="BF106" s="293">
        <f t="shared" si="122"/>
        <v>82</v>
      </c>
      <c r="BG106" s="290"/>
      <c r="BH106" s="626">
        <v>69</v>
      </c>
      <c r="BI106" s="626">
        <v>36</v>
      </c>
      <c r="BJ106" s="293">
        <f t="shared" si="123"/>
        <v>36</v>
      </c>
      <c r="BK106" s="290"/>
      <c r="BL106" s="626">
        <v>34</v>
      </c>
      <c r="BM106" s="626">
        <v>27</v>
      </c>
      <c r="BN106" s="293">
        <f t="shared" si="124"/>
        <v>27</v>
      </c>
      <c r="BO106" s="290"/>
      <c r="BP106" s="626">
        <v>25</v>
      </c>
      <c r="BQ106" s="626">
        <v>17</v>
      </c>
      <c r="BR106" s="293">
        <f t="shared" si="125"/>
        <v>17</v>
      </c>
      <c r="BS106" s="290"/>
      <c r="BT106" s="626">
        <v>13</v>
      </c>
      <c r="BU106" s="626">
        <v>12</v>
      </c>
      <c r="BV106" s="293">
        <f t="shared" si="126"/>
        <v>12</v>
      </c>
      <c r="BW106" s="290"/>
      <c r="BX106" s="626">
        <v>11</v>
      </c>
      <c r="BY106" s="626">
        <v>10</v>
      </c>
      <c r="BZ106" s="293">
        <f t="shared" si="127"/>
        <v>10</v>
      </c>
      <c r="CA106" s="290"/>
      <c r="CB106" s="626">
        <v>10</v>
      </c>
      <c r="CC106" s="626">
        <v>9</v>
      </c>
      <c r="CD106" s="293">
        <f t="shared" si="128"/>
        <v>9</v>
      </c>
      <c r="CE106" s="290"/>
      <c r="CF106" s="626">
        <v>7</v>
      </c>
      <c r="CG106" s="626">
        <v>7</v>
      </c>
      <c r="CH106" s="293">
        <f t="shared" si="129"/>
        <v>7</v>
      </c>
      <c r="CI106" s="290"/>
      <c r="CJ106" s="626">
        <v>7</v>
      </c>
      <c r="CK106" s="626">
        <v>7</v>
      </c>
      <c r="CL106" s="293">
        <f t="shared" si="130"/>
        <v>7</v>
      </c>
      <c r="CM106" s="290"/>
      <c r="CN106" s="626">
        <v>-2</v>
      </c>
      <c r="CO106" s="626">
        <v>-2</v>
      </c>
      <c r="CP106" s="293">
        <f t="shared" si="131"/>
        <v>-2</v>
      </c>
      <c r="CQ106" s="290"/>
      <c r="CR106" s="626">
        <v>0</v>
      </c>
      <c r="CS106" s="626">
        <v>0</v>
      </c>
      <c r="CT106" s="293">
        <f t="shared" si="132"/>
        <v>0</v>
      </c>
      <c r="CU106" s="290"/>
      <c r="CV106" s="626">
        <v>0</v>
      </c>
      <c r="CW106" s="1497">
        <v>0</v>
      </c>
      <c r="CX106" s="293">
        <f t="shared" si="133"/>
        <v>0</v>
      </c>
      <c r="CY106" s="290"/>
      <c r="CZ106" s="626">
        <v>0</v>
      </c>
      <c r="DA106" s="1488">
        <v>0</v>
      </c>
      <c r="DB106" s="293">
        <f t="shared" si="134"/>
        <v>0</v>
      </c>
      <c r="DC106" s="290"/>
      <c r="DD106" s="626">
        <v>0</v>
      </c>
      <c r="DE106" s="1497">
        <v>0</v>
      </c>
      <c r="DF106" s="293">
        <f t="shared" si="135"/>
        <v>0</v>
      </c>
      <c r="DG106" s="290"/>
      <c r="DH106" s="626">
        <v>0</v>
      </c>
      <c r="DI106" s="293">
        <f>DI336</f>
        <v>0</v>
      </c>
      <c r="DJ106" s="293">
        <f>DJ336</f>
        <v>0</v>
      </c>
      <c r="DK106" s="290"/>
      <c r="DL106" s="293">
        <f>DL336</f>
        <v>0</v>
      </c>
      <c r="DM106" s="293">
        <f>DM336</f>
        <v>0</v>
      </c>
      <c r="DN106" s="293">
        <f>DN336</f>
        <v>0</v>
      </c>
      <c r="DO106" s="290"/>
      <c r="DP106" s="293">
        <f>DP336</f>
        <v>0</v>
      </c>
      <c r="DQ106" s="293">
        <f>DQ336</f>
        <v>0</v>
      </c>
      <c r="DR106" s="293">
        <f>DR336</f>
        <v>0</v>
      </c>
      <c r="DS106" s="290"/>
      <c r="DT106" s="290"/>
      <c r="DU106" s="293"/>
      <c r="DV106" s="293"/>
      <c r="DW106" s="293"/>
      <c r="DX106" s="290"/>
      <c r="EH106"/>
    </row>
    <row r="107" spans="1:138" s="289" customFormat="1">
      <c r="A107" s="102" t="s">
        <v>130</v>
      </c>
      <c r="C107" s="103" t="s">
        <v>612</v>
      </c>
      <c r="P107" s="626">
        <v>0</v>
      </c>
      <c r="Q107" s="626">
        <v>0</v>
      </c>
      <c r="R107" s="293">
        <f t="shared" si="112"/>
        <v>0</v>
      </c>
      <c r="S107" s="290"/>
      <c r="T107" s="626">
        <v>0</v>
      </c>
      <c r="U107" s="626">
        <v>0</v>
      </c>
      <c r="V107" s="293">
        <f t="shared" si="113"/>
        <v>0</v>
      </c>
      <c r="W107" s="290"/>
      <c r="X107" s="626">
        <v>0</v>
      </c>
      <c r="Y107" s="626">
        <v>0</v>
      </c>
      <c r="Z107" s="293">
        <f t="shared" si="114"/>
        <v>0</v>
      </c>
      <c r="AA107" s="290"/>
      <c r="AB107" s="626">
        <v>35</v>
      </c>
      <c r="AC107" s="626">
        <v>49</v>
      </c>
      <c r="AD107" s="293">
        <f t="shared" si="115"/>
        <v>49</v>
      </c>
      <c r="AE107" s="295"/>
      <c r="AF107" s="626">
        <v>125</v>
      </c>
      <c r="AG107" s="626">
        <v>250</v>
      </c>
      <c r="AH107" s="293">
        <f t="shared" si="116"/>
        <v>250</v>
      </c>
      <c r="AI107" s="632"/>
      <c r="AJ107" s="626">
        <v>265</v>
      </c>
      <c r="AK107" s="626">
        <v>380</v>
      </c>
      <c r="AL107" s="293">
        <f t="shared" si="117"/>
        <v>380</v>
      </c>
      <c r="AM107" s="290"/>
      <c r="AN107" s="626">
        <v>513</v>
      </c>
      <c r="AO107" s="626">
        <v>456</v>
      </c>
      <c r="AP107" s="293">
        <f t="shared" si="118"/>
        <v>456</v>
      </c>
      <c r="AQ107" s="290"/>
      <c r="AR107" s="626">
        <v>283</v>
      </c>
      <c r="AS107" s="626">
        <v>17</v>
      </c>
      <c r="AT107" s="293">
        <f t="shared" si="119"/>
        <v>17</v>
      </c>
      <c r="AU107" s="290"/>
      <c r="AV107" s="626">
        <v>276</v>
      </c>
      <c r="AW107" s="626">
        <v>280</v>
      </c>
      <c r="AX107" s="293">
        <f t="shared" si="120"/>
        <v>280</v>
      </c>
      <c r="AY107" s="290"/>
      <c r="AZ107" s="626">
        <v>263</v>
      </c>
      <c r="BA107" s="626">
        <v>310</v>
      </c>
      <c r="BB107" s="293">
        <f t="shared" si="121"/>
        <v>310</v>
      </c>
      <c r="BC107" s="290"/>
      <c r="BD107" s="626">
        <v>504</v>
      </c>
      <c r="BE107" s="626">
        <v>44</v>
      </c>
      <c r="BF107" s="293">
        <f t="shared" si="122"/>
        <v>44</v>
      </c>
      <c r="BG107" s="290"/>
      <c r="BH107" s="626">
        <v>-50</v>
      </c>
      <c r="BI107" s="626">
        <v>57</v>
      </c>
      <c r="BJ107" s="293">
        <f t="shared" si="123"/>
        <v>57</v>
      </c>
      <c r="BK107" s="290"/>
      <c r="BL107" s="626">
        <v>726</v>
      </c>
      <c r="BM107" s="626">
        <v>669</v>
      </c>
      <c r="BN107" s="293">
        <f t="shared" si="124"/>
        <v>669</v>
      </c>
      <c r="BO107" s="290"/>
      <c r="BP107" s="626">
        <v>826</v>
      </c>
      <c r="BQ107" s="626">
        <v>1656</v>
      </c>
      <c r="BR107" s="293">
        <f t="shared" si="125"/>
        <v>1656</v>
      </c>
      <c r="BS107" s="290"/>
      <c r="BT107" s="626">
        <v>2090</v>
      </c>
      <c r="BU107" s="626">
        <v>1536</v>
      </c>
      <c r="BV107" s="293">
        <f t="shared" si="126"/>
        <v>1536</v>
      </c>
      <c r="BW107" s="290"/>
      <c r="BX107" s="626">
        <v>1295</v>
      </c>
      <c r="BY107" s="626">
        <v>1396</v>
      </c>
      <c r="BZ107" s="293">
        <f t="shared" si="127"/>
        <v>1396</v>
      </c>
      <c r="CA107" s="290"/>
      <c r="CB107" s="626">
        <v>999</v>
      </c>
      <c r="CC107" s="626">
        <v>1297</v>
      </c>
      <c r="CD107" s="293">
        <f t="shared" si="128"/>
        <v>1297</v>
      </c>
      <c r="CE107" s="290"/>
      <c r="CF107" s="626">
        <v>1567</v>
      </c>
      <c r="CG107" s="626">
        <v>1773</v>
      </c>
      <c r="CH107" s="293">
        <f t="shared" si="129"/>
        <v>1773</v>
      </c>
      <c r="CI107" s="290"/>
      <c r="CJ107" s="626">
        <v>1927</v>
      </c>
      <c r="CK107" s="626">
        <v>2773</v>
      </c>
      <c r="CL107" s="293">
        <f t="shared" si="130"/>
        <v>2773</v>
      </c>
      <c r="CM107" s="290"/>
      <c r="CN107" s="626">
        <v>1378</v>
      </c>
      <c r="CO107" s="626">
        <v>1286</v>
      </c>
      <c r="CP107" s="293">
        <f t="shared" si="131"/>
        <v>1286</v>
      </c>
      <c r="CQ107" s="290"/>
      <c r="CR107" s="626">
        <v>1613</v>
      </c>
      <c r="CS107" s="626">
        <v>1523</v>
      </c>
      <c r="CT107" s="293">
        <f t="shared" si="132"/>
        <v>1523</v>
      </c>
      <c r="CU107" s="290"/>
      <c r="CV107" s="626">
        <v>3250</v>
      </c>
      <c r="CW107" s="1497">
        <v>3302</v>
      </c>
      <c r="CX107" s="293">
        <f t="shared" si="133"/>
        <v>3302</v>
      </c>
      <c r="CY107" s="290"/>
      <c r="CZ107" s="626">
        <v>3590</v>
      </c>
      <c r="DA107" s="1488">
        <v>3891</v>
      </c>
      <c r="DB107" s="293">
        <f t="shared" si="134"/>
        <v>3891</v>
      </c>
      <c r="DC107" s="290"/>
      <c r="DD107" s="626">
        <v>2920</v>
      </c>
      <c r="DE107" s="2176">
        <v>4829</v>
      </c>
      <c r="DF107" s="293">
        <f t="shared" si="135"/>
        <v>4829</v>
      </c>
      <c r="DG107" s="290"/>
      <c r="DH107" s="2255">
        <v>3779</v>
      </c>
      <c r="DI107" s="293">
        <f>DI369</f>
        <v>3779</v>
      </c>
      <c r="DJ107" s="293">
        <f>DI107</f>
        <v>3779</v>
      </c>
      <c r="DK107" s="290"/>
      <c r="DL107" s="293">
        <f>DL369</f>
        <v>3779</v>
      </c>
      <c r="DM107" s="293">
        <f>DM369</f>
        <v>3779</v>
      </c>
      <c r="DN107" s="293">
        <f>DM107</f>
        <v>3779</v>
      </c>
      <c r="DO107" s="290"/>
      <c r="DP107" s="293">
        <f>DP369</f>
        <v>3779</v>
      </c>
      <c r="DQ107" s="293">
        <f>DQ369</f>
        <v>3779</v>
      </c>
      <c r="DR107" s="293">
        <f>DQ107</f>
        <v>3779</v>
      </c>
      <c r="DS107" s="290"/>
      <c r="DT107" s="290"/>
      <c r="DU107" s="293"/>
      <c r="DV107" s="293"/>
      <c r="DW107" s="293"/>
      <c r="DX107" s="290"/>
      <c r="EH107"/>
    </row>
    <row r="108" spans="1:138" s="289" customFormat="1">
      <c r="A108" s="102" t="s">
        <v>144</v>
      </c>
      <c r="C108" s="103" t="s">
        <v>612</v>
      </c>
      <c r="P108" s="626">
        <v>717</v>
      </c>
      <c r="Q108" s="626">
        <v>659</v>
      </c>
      <c r="R108" s="293">
        <f t="shared" si="112"/>
        <v>659</v>
      </c>
      <c r="S108" s="290"/>
      <c r="T108" s="626">
        <v>901</v>
      </c>
      <c r="U108" s="626">
        <v>1040</v>
      </c>
      <c r="V108" s="293">
        <f t="shared" si="113"/>
        <v>1040</v>
      </c>
      <c r="W108" s="290"/>
      <c r="X108" s="626">
        <v>1173</v>
      </c>
      <c r="Y108" s="626">
        <v>1578</v>
      </c>
      <c r="Z108" s="293">
        <f t="shared" si="114"/>
        <v>1578</v>
      </c>
      <c r="AA108" s="290"/>
      <c r="AB108" s="626">
        <v>1101</v>
      </c>
      <c r="AC108" s="626">
        <v>1523</v>
      </c>
      <c r="AD108" s="293">
        <f t="shared" si="115"/>
        <v>1523</v>
      </c>
      <c r="AE108" s="295"/>
      <c r="AF108" s="626">
        <v>1708</v>
      </c>
      <c r="AG108" s="626">
        <v>1934</v>
      </c>
      <c r="AH108" s="293">
        <f t="shared" si="116"/>
        <v>1934</v>
      </c>
      <c r="AI108" s="632"/>
      <c r="AJ108" s="626">
        <v>2374</v>
      </c>
      <c r="AK108" s="626">
        <v>2795</v>
      </c>
      <c r="AL108" s="293">
        <f t="shared" si="117"/>
        <v>2795</v>
      </c>
      <c r="AM108" s="290"/>
      <c r="AN108" s="626">
        <v>3373</v>
      </c>
      <c r="AO108" s="626">
        <v>3718</v>
      </c>
      <c r="AP108" s="293">
        <f t="shared" si="118"/>
        <v>3718</v>
      </c>
      <c r="AQ108" s="290"/>
      <c r="AR108" s="626">
        <v>3770</v>
      </c>
      <c r="AS108" s="626">
        <v>3627</v>
      </c>
      <c r="AT108" s="293">
        <f t="shared" si="119"/>
        <v>3627</v>
      </c>
      <c r="AU108" s="290"/>
      <c r="AV108" s="626">
        <v>3984</v>
      </c>
      <c r="AW108" s="626">
        <v>4268</v>
      </c>
      <c r="AX108" s="293">
        <f t="shared" si="120"/>
        <v>4268</v>
      </c>
      <c r="AY108" s="290"/>
      <c r="AZ108" s="626">
        <v>4325</v>
      </c>
      <c r="BA108" s="626">
        <v>4581</v>
      </c>
      <c r="BB108" s="293">
        <f t="shared" si="121"/>
        <v>4581</v>
      </c>
      <c r="BC108" s="290"/>
      <c r="BD108" s="626">
        <v>4539</v>
      </c>
      <c r="BE108" s="626">
        <v>4924</v>
      </c>
      <c r="BF108" s="293">
        <f t="shared" si="122"/>
        <v>4924</v>
      </c>
      <c r="BG108" s="290"/>
      <c r="BH108" s="626">
        <v>5155</v>
      </c>
      <c r="BI108" s="626">
        <v>5439</v>
      </c>
      <c r="BJ108" s="293">
        <f t="shared" si="123"/>
        <v>5439</v>
      </c>
      <c r="BK108" s="290"/>
      <c r="BL108" s="626">
        <v>5610</v>
      </c>
      <c r="BM108" s="626">
        <v>5637</v>
      </c>
      <c r="BN108" s="293">
        <f t="shared" si="124"/>
        <v>5637</v>
      </c>
      <c r="BO108" s="290"/>
      <c r="BP108" s="626">
        <v>5801</v>
      </c>
      <c r="BQ108" s="626">
        <v>6306</v>
      </c>
      <c r="BR108" s="293">
        <f t="shared" si="125"/>
        <v>6306</v>
      </c>
      <c r="BS108" s="290"/>
      <c r="BT108" s="626">
        <v>6705</v>
      </c>
      <c r="BU108" s="626">
        <v>7158</v>
      </c>
      <c r="BV108" s="293">
        <f t="shared" si="126"/>
        <v>7158</v>
      </c>
      <c r="BW108" s="290"/>
      <c r="BX108" s="626">
        <v>7392</v>
      </c>
      <c r="BY108" s="626">
        <v>7877</v>
      </c>
      <c r="BZ108" s="293">
        <f t="shared" si="127"/>
        <v>7877</v>
      </c>
      <c r="CA108" s="290"/>
      <c r="CB108" s="626">
        <v>8170</v>
      </c>
      <c r="CC108" s="626">
        <v>8817</v>
      </c>
      <c r="CD108" s="293">
        <f t="shared" si="128"/>
        <v>8817</v>
      </c>
      <c r="CE108" s="290"/>
      <c r="CF108" s="626">
        <v>8849</v>
      </c>
      <c r="CG108" s="626">
        <v>9807</v>
      </c>
      <c r="CH108" s="293">
        <f t="shared" si="129"/>
        <v>9807</v>
      </c>
      <c r="CI108" s="290"/>
      <c r="CJ108" s="626">
        <v>9969</v>
      </c>
      <c r="CK108" s="626">
        <v>10439</v>
      </c>
      <c r="CL108" s="293">
        <f t="shared" si="130"/>
        <v>10439</v>
      </c>
      <c r="CM108" s="290"/>
      <c r="CN108" s="626">
        <v>10696</v>
      </c>
      <c r="CO108" s="626">
        <v>12231</v>
      </c>
      <c r="CP108" s="293">
        <f t="shared" si="131"/>
        <v>12231</v>
      </c>
      <c r="CQ108" s="290"/>
      <c r="CR108" s="626">
        <v>13057</v>
      </c>
      <c r="CS108" s="626">
        <v>14740</v>
      </c>
      <c r="CT108" s="293">
        <f t="shared" si="132"/>
        <v>14740</v>
      </c>
      <c r="CU108" s="290"/>
      <c r="CV108" s="626">
        <v>15735</v>
      </c>
      <c r="CW108" s="1497">
        <v>17446</v>
      </c>
      <c r="CX108" s="293">
        <f t="shared" si="133"/>
        <v>17446</v>
      </c>
      <c r="CY108" s="290"/>
      <c r="CZ108" s="626">
        <v>17120</v>
      </c>
      <c r="DA108" s="1488">
        <v>18218</v>
      </c>
      <c r="DB108" s="293">
        <f t="shared" si="134"/>
        <v>18218</v>
      </c>
      <c r="DC108" s="290"/>
      <c r="DD108" s="626">
        <v>18365</v>
      </c>
      <c r="DE108" s="2176">
        <v>19457</v>
      </c>
      <c r="DF108" s="293">
        <f t="shared" si="135"/>
        <v>19457</v>
      </c>
      <c r="DG108" s="290"/>
      <c r="DH108" s="2255">
        <v>19629</v>
      </c>
      <c r="DI108" s="293">
        <f ca="1">DI448</f>
        <v>20984.02747651087</v>
      </c>
      <c r="DJ108" s="293">
        <f ca="1">DJ448</f>
        <v>20984.02747651087</v>
      </c>
      <c r="DK108" s="290"/>
      <c r="DL108" s="293">
        <f ca="1">DL448</f>
        <v>21256.872294363966</v>
      </c>
      <c r="DM108" s="293">
        <f ca="1">DM448</f>
        <v>23913.745341565846</v>
      </c>
      <c r="DN108" s="293">
        <f ca="1">DN448</f>
        <v>23913.745341565842</v>
      </c>
      <c r="DO108" s="290"/>
      <c r="DP108" s="293">
        <f ca="1">DP448</f>
        <v>24270.950536440429</v>
      </c>
      <c r="DQ108" s="293">
        <f ca="1">DQ448</f>
        <v>27108.494920520126</v>
      </c>
      <c r="DR108" s="293">
        <f ca="1">DR448</f>
        <v>27108.494920520126</v>
      </c>
      <c r="DS108" s="290"/>
      <c r="DT108" s="290"/>
      <c r="DU108" s="293"/>
      <c r="DV108" s="293"/>
      <c r="DW108" s="293"/>
      <c r="DX108" s="290"/>
      <c r="EH108"/>
    </row>
    <row r="109" spans="1:138" s="289" customFormat="1">
      <c r="A109" s="289" t="s">
        <v>150</v>
      </c>
      <c r="C109" s="290" t="s">
        <v>612</v>
      </c>
      <c r="P109" s="295">
        <f>+SUM(P104:P108)</f>
        <v>1813</v>
      </c>
      <c r="Q109" s="295">
        <f>+SUM(Q104:Q108)</f>
        <v>1796</v>
      </c>
      <c r="R109" s="295">
        <f t="shared" si="112"/>
        <v>1796</v>
      </c>
      <c r="S109" s="290"/>
      <c r="T109" s="295">
        <f>+SUM(T104:T108)</f>
        <v>2366</v>
      </c>
      <c r="U109" s="295">
        <f>+SUM(U104:U108)</f>
        <v>2422</v>
      </c>
      <c r="V109" s="295">
        <f t="shared" si="113"/>
        <v>2422</v>
      </c>
      <c r="W109" s="290"/>
      <c r="X109" s="295">
        <f>+SUM(X104:X108)</f>
        <v>2647</v>
      </c>
      <c r="Y109" s="295">
        <f>+SUM(Y104:Y108)</f>
        <v>3178</v>
      </c>
      <c r="Z109" s="295">
        <f t="shared" si="114"/>
        <v>3178</v>
      </c>
      <c r="AA109" s="290"/>
      <c r="AB109" s="295">
        <f>SUM(AB104:AB108)</f>
        <v>2596</v>
      </c>
      <c r="AC109" s="295">
        <f>SUM(AC104:AC108)</f>
        <v>3171</v>
      </c>
      <c r="AD109" s="295">
        <f t="shared" si="115"/>
        <v>3171</v>
      </c>
      <c r="AE109" s="295"/>
      <c r="AF109" s="295">
        <f>SUM(AF104:AF108)</f>
        <v>3662</v>
      </c>
      <c r="AG109" s="295">
        <f>SUM(AG104:AG108)</f>
        <v>4098</v>
      </c>
      <c r="AH109" s="295">
        <f t="shared" si="116"/>
        <v>4098</v>
      </c>
      <c r="AI109" s="632"/>
      <c r="AJ109" s="295">
        <f>SUM(AJ104:AJ108)</f>
        <v>5526</v>
      </c>
      <c r="AK109" s="295">
        <f>SUM(AK104:AK108)</f>
        <v>6271</v>
      </c>
      <c r="AL109" s="295">
        <f t="shared" si="117"/>
        <v>6271</v>
      </c>
      <c r="AM109" s="290"/>
      <c r="AN109" s="295">
        <f>SUM(AN104:AN108)</f>
        <v>8212</v>
      </c>
      <c r="AO109" s="295">
        <f>SUM(AO104:AO108)</f>
        <v>8829</v>
      </c>
      <c r="AP109" s="295">
        <f t="shared" si="118"/>
        <v>8829</v>
      </c>
      <c r="AQ109" s="290"/>
      <c r="AR109" s="295">
        <f>SUM(AR104:AR108)</f>
        <v>9005</v>
      </c>
      <c r="AS109" s="295">
        <f>SUM(AS104:AS108)</f>
        <v>8664</v>
      </c>
      <c r="AT109" s="295">
        <f t="shared" si="119"/>
        <v>8664</v>
      </c>
      <c r="AU109" s="290"/>
      <c r="AV109" s="295">
        <f>SUM(AV104:AV108)</f>
        <v>10684</v>
      </c>
      <c r="AW109" s="295">
        <f>SUM(AW104:AW108)</f>
        <v>11232</v>
      </c>
      <c r="AX109" s="295">
        <f t="shared" si="120"/>
        <v>11232</v>
      </c>
      <c r="AY109" s="290"/>
      <c r="AZ109" s="295">
        <f>SUM(AZ104:AZ108)</f>
        <v>11061</v>
      </c>
      <c r="BA109" s="295">
        <f>SUM(BA104:BA108)</f>
        <v>11404</v>
      </c>
      <c r="BB109" s="295">
        <f t="shared" si="121"/>
        <v>11404</v>
      </c>
      <c r="BC109" s="290"/>
      <c r="BD109" s="295">
        <f>SUM(BD104:BD108)</f>
        <v>11251</v>
      </c>
      <c r="BE109" s="295">
        <f>SUM(BE104:BE108)</f>
        <v>11203</v>
      </c>
      <c r="BF109" s="295">
        <f t="shared" si="122"/>
        <v>11203</v>
      </c>
      <c r="BG109" s="290"/>
      <c r="BH109" s="295">
        <f>SUM(BH104:BH108)</f>
        <v>10992</v>
      </c>
      <c r="BI109" s="295">
        <f>SUM(BI104:BI108)</f>
        <v>11403</v>
      </c>
      <c r="BJ109" s="295">
        <f t="shared" si="123"/>
        <v>11403</v>
      </c>
      <c r="BK109" s="290"/>
      <c r="BL109" s="295">
        <f>SUM(BL104:BL108)</f>
        <v>12229</v>
      </c>
      <c r="BM109" s="295">
        <f>SUM(BM104:BM108)</f>
        <v>11418</v>
      </c>
      <c r="BN109" s="295">
        <f t="shared" si="124"/>
        <v>11418</v>
      </c>
      <c r="BO109" s="290"/>
      <c r="BP109" s="295">
        <f>SUM(BP104:BP108)</f>
        <v>11690</v>
      </c>
      <c r="BQ109" s="295">
        <f>SUM(BQ104:BQ108)</f>
        <v>13909</v>
      </c>
      <c r="BR109" s="295">
        <f t="shared" si="125"/>
        <v>13909</v>
      </c>
      <c r="BS109" s="290"/>
      <c r="BT109" s="295">
        <f>SUM(BT104:BT108)</f>
        <v>14631</v>
      </c>
      <c r="BU109" s="295">
        <f>SUM(BU104:BU108)</f>
        <v>15116</v>
      </c>
      <c r="BV109" s="295">
        <f t="shared" si="126"/>
        <v>15116</v>
      </c>
      <c r="BW109" s="290"/>
      <c r="BX109" s="295">
        <f>SUM(BX104:BX108)</f>
        <v>14921</v>
      </c>
      <c r="BY109" s="295">
        <f>SUM(BY104:BY108)</f>
        <v>15563</v>
      </c>
      <c r="BZ109" s="295">
        <f t="shared" si="127"/>
        <v>15563</v>
      </c>
      <c r="CA109" s="290"/>
      <c r="CB109" s="295">
        <f>SUM(CB104:CB108)</f>
        <v>15357</v>
      </c>
      <c r="CC109" s="295">
        <f>SUM(CC104:CC108)</f>
        <v>16357</v>
      </c>
      <c r="CD109" s="295">
        <f t="shared" si="128"/>
        <v>16357</v>
      </c>
      <c r="CE109" s="290"/>
      <c r="CF109" s="295">
        <f>SUM(CF104:CF108)</f>
        <v>16560</v>
      </c>
      <c r="CG109" s="295">
        <f>SUM(CG104:CG108)</f>
        <v>17761</v>
      </c>
      <c r="CH109" s="295">
        <f t="shared" si="129"/>
        <v>17761</v>
      </c>
      <c r="CI109" s="290"/>
      <c r="CJ109" s="295">
        <f>SUM(CJ104:CJ108)</f>
        <v>19617</v>
      </c>
      <c r="CK109" s="295">
        <f>SUM(CK104:CK108)</f>
        <v>21063</v>
      </c>
      <c r="CL109" s="295">
        <f t="shared" si="130"/>
        <v>21063</v>
      </c>
      <c r="CM109" s="290"/>
      <c r="CN109" s="295">
        <f>SUM(CN104:CN108)</f>
        <v>20508</v>
      </c>
      <c r="CO109" s="295">
        <f>SUM(CO104:CO108)</f>
        <v>22048</v>
      </c>
      <c r="CP109" s="295">
        <f t="shared" si="131"/>
        <v>22048</v>
      </c>
      <c r="CQ109" s="290"/>
      <c r="CR109" s="295">
        <f>SUM(CR104:CR108)</f>
        <v>24064</v>
      </c>
      <c r="CS109" s="295">
        <f>SUM(CS104:CS108)</f>
        <v>28561</v>
      </c>
      <c r="CT109" s="295">
        <f t="shared" si="132"/>
        <v>28561</v>
      </c>
      <c r="CU109" s="290"/>
      <c r="CV109" s="295">
        <f>SUM(CV104:CV108)</f>
        <v>31337</v>
      </c>
      <c r="CW109" s="1390">
        <f>SUM(CW104:CW108)</f>
        <v>33155</v>
      </c>
      <c r="CX109" s="295">
        <f t="shared" si="133"/>
        <v>33155</v>
      </c>
      <c r="CY109" s="290"/>
      <c r="CZ109" s="295">
        <f>SUM(CZ104:CZ108)</f>
        <v>32651</v>
      </c>
      <c r="DA109" s="1491">
        <f>SUM(DA104:DA108)</f>
        <v>33481</v>
      </c>
      <c r="DB109" s="295">
        <f t="shared" si="134"/>
        <v>33481</v>
      </c>
      <c r="DC109" s="290"/>
      <c r="DD109" s="295">
        <f>SUM(DD104:DD108)</f>
        <v>32299</v>
      </c>
      <c r="DE109" s="1491">
        <f>SUM(DE104:DE108)</f>
        <v>35356</v>
      </c>
      <c r="DF109" s="295">
        <f t="shared" si="135"/>
        <v>35356</v>
      </c>
      <c r="DG109" s="290"/>
      <c r="DH109" s="295">
        <f>SUM(DH104:DH108)</f>
        <v>34561</v>
      </c>
      <c r="DI109" s="295">
        <f ca="1">SUM(DI104:DI108)</f>
        <v>36028.200914198373</v>
      </c>
      <c r="DJ109" s="295">
        <f ca="1">DI109</f>
        <v>36028.200914198373</v>
      </c>
      <c r="DK109" s="290"/>
      <c r="DL109" s="295">
        <f ca="1">SUM(DL104:DL108)</f>
        <v>36421.003791897267</v>
      </c>
      <c r="DM109" s="295">
        <f ca="1">SUM(DM104:DM108)</f>
        <v>39206.085631694339</v>
      </c>
      <c r="DN109" s="295">
        <f ca="1">DM109</f>
        <v>39206.085631694339</v>
      </c>
      <c r="DO109" s="290"/>
      <c r="DP109" s="295">
        <f ca="1">SUM(DP104:DP108)</f>
        <v>39700.242684919933</v>
      </c>
      <c r="DQ109" s="295">
        <f ca="1">SUM(DQ104:DQ108)</f>
        <v>42684.001979283232</v>
      </c>
      <c r="DR109" s="295">
        <f ca="1">DQ109</f>
        <v>42684.001979283232</v>
      </c>
      <c r="DS109" s="290"/>
      <c r="DT109" s="290"/>
      <c r="DU109" s="295"/>
      <c r="DV109" s="295"/>
      <c r="DW109" s="295"/>
      <c r="DX109" s="290"/>
      <c r="EH109"/>
    </row>
    <row r="110" spans="1:138" s="289" customFormat="1">
      <c r="A110" s="102" t="s">
        <v>119</v>
      </c>
      <c r="C110" s="103" t="s">
        <v>612</v>
      </c>
      <c r="P110" s="626">
        <v>391</v>
      </c>
      <c r="Q110" s="626">
        <v>391</v>
      </c>
      <c r="R110" s="293">
        <f>Q110</f>
        <v>391</v>
      </c>
      <c r="S110" s="290"/>
      <c r="T110" s="626">
        <v>391</v>
      </c>
      <c r="U110" s="626">
        <v>391</v>
      </c>
      <c r="V110" s="293">
        <f>U110</f>
        <v>391</v>
      </c>
      <c r="W110" s="290"/>
      <c r="X110" s="626">
        <v>391</v>
      </c>
      <c r="Y110" s="626">
        <v>391</v>
      </c>
      <c r="Z110" s="293">
        <f>Y110</f>
        <v>391</v>
      </c>
      <c r="AA110" s="290"/>
      <c r="AB110" s="626">
        <v>391</v>
      </c>
      <c r="AC110" s="626">
        <v>391</v>
      </c>
      <c r="AD110" s="293">
        <f>AC110</f>
        <v>391</v>
      </c>
      <c r="AE110" s="295"/>
      <c r="AF110" s="626">
        <v>391</v>
      </c>
      <c r="AG110" s="626">
        <v>391</v>
      </c>
      <c r="AH110" s="293">
        <f>AG110</f>
        <v>391</v>
      </c>
      <c r="AI110" s="632"/>
      <c r="AJ110" s="626">
        <v>391</v>
      </c>
      <c r="AK110" s="626">
        <v>391</v>
      </c>
      <c r="AL110" s="293">
        <f>AK110</f>
        <v>391</v>
      </c>
      <c r="AM110" s="290"/>
      <c r="AN110" s="626">
        <v>391</v>
      </c>
      <c r="AO110" s="626">
        <v>391</v>
      </c>
      <c r="AP110" s="293">
        <f>AO110</f>
        <v>391</v>
      </c>
      <c r="AQ110" s="290"/>
      <c r="AR110" s="626">
        <v>391</v>
      </c>
      <c r="AS110" s="626">
        <v>391</v>
      </c>
      <c r="AT110" s="293">
        <f>AS110</f>
        <v>391</v>
      </c>
      <c r="AU110" s="290"/>
      <c r="AV110" s="626">
        <v>391</v>
      </c>
      <c r="AW110" s="626">
        <v>391</v>
      </c>
      <c r="AX110" s="293">
        <f>AW110</f>
        <v>391</v>
      </c>
      <c r="AY110" s="290"/>
      <c r="AZ110" s="626">
        <v>391</v>
      </c>
      <c r="BA110" s="626">
        <v>391</v>
      </c>
      <c r="BB110" s="293">
        <f>BA110</f>
        <v>391</v>
      </c>
      <c r="BC110" s="290"/>
      <c r="BD110" s="626">
        <v>391</v>
      </c>
      <c r="BE110" s="626">
        <v>391</v>
      </c>
      <c r="BF110" s="293">
        <f>BE110</f>
        <v>391</v>
      </c>
      <c r="BG110" s="290"/>
      <c r="BH110" s="626">
        <v>391</v>
      </c>
      <c r="BI110" s="626">
        <v>391</v>
      </c>
      <c r="BJ110" s="293">
        <f>BI110</f>
        <v>391</v>
      </c>
      <c r="BK110" s="290"/>
      <c r="BL110" s="626">
        <v>391</v>
      </c>
      <c r="BM110" s="626">
        <v>391</v>
      </c>
      <c r="BN110" s="293">
        <f>BM110</f>
        <v>391</v>
      </c>
      <c r="BO110" s="290"/>
      <c r="BP110" s="626">
        <v>391</v>
      </c>
      <c r="BQ110" s="626">
        <v>391</v>
      </c>
      <c r="BR110" s="293">
        <f>BQ110</f>
        <v>391</v>
      </c>
      <c r="BS110" s="290"/>
      <c r="BT110" s="626">
        <v>391</v>
      </c>
      <c r="BU110" s="626">
        <v>391</v>
      </c>
      <c r="BV110" s="293">
        <f>BU110</f>
        <v>391</v>
      </c>
      <c r="BW110" s="290"/>
      <c r="BX110" s="626">
        <v>391</v>
      </c>
      <c r="BY110" s="626">
        <v>391</v>
      </c>
      <c r="BZ110" s="293">
        <f>BY110</f>
        <v>391</v>
      </c>
      <c r="CA110" s="290"/>
      <c r="CB110" s="626">
        <v>391</v>
      </c>
      <c r="CC110" s="626">
        <v>391</v>
      </c>
      <c r="CD110" s="293">
        <f>CC110</f>
        <v>391</v>
      </c>
      <c r="CE110" s="290"/>
      <c r="CF110" s="626">
        <v>391</v>
      </c>
      <c r="CG110" s="626">
        <v>391</v>
      </c>
      <c r="CH110" s="293">
        <f>CG110</f>
        <v>391</v>
      </c>
      <c r="CI110" s="290"/>
      <c r="CJ110" s="626">
        <v>391</v>
      </c>
      <c r="CK110" s="626">
        <v>391</v>
      </c>
      <c r="CL110" s="293">
        <f>CK110</f>
        <v>391</v>
      </c>
      <c r="CM110" s="290"/>
      <c r="CN110" s="626">
        <v>0</v>
      </c>
      <c r="CO110" s="626">
        <v>0</v>
      </c>
      <c r="CP110" s="293">
        <f>CO110</f>
        <v>0</v>
      </c>
      <c r="CQ110" s="290"/>
      <c r="CR110" s="626">
        <v>0</v>
      </c>
      <c r="CS110" s="626">
        <v>0</v>
      </c>
      <c r="CT110" s="293">
        <f>CS110</f>
        <v>0</v>
      </c>
      <c r="CU110" s="290"/>
      <c r="CV110" s="626">
        <v>0</v>
      </c>
      <c r="CW110" s="1497">
        <v>0</v>
      </c>
      <c r="CX110" s="293">
        <f>CW110</f>
        <v>0</v>
      </c>
      <c r="CY110" s="290"/>
      <c r="CZ110" s="626">
        <v>0</v>
      </c>
      <c r="DA110" s="1488">
        <v>0</v>
      </c>
      <c r="DB110" s="293">
        <f>DA110</f>
        <v>0</v>
      </c>
      <c r="DC110" s="290"/>
      <c r="DD110" s="626">
        <v>0</v>
      </c>
      <c r="DE110" s="1497">
        <v>0</v>
      </c>
      <c r="DF110" s="293">
        <f>DE110</f>
        <v>0</v>
      </c>
      <c r="DG110" s="290"/>
      <c r="DH110" s="626">
        <v>0</v>
      </c>
      <c r="DI110" s="293">
        <f>DI383</f>
        <v>0</v>
      </c>
      <c r="DJ110" s="293">
        <f>DI110</f>
        <v>0</v>
      </c>
      <c r="DK110" s="290"/>
      <c r="DL110" s="293">
        <f>DL383</f>
        <v>0</v>
      </c>
      <c r="DM110" s="293">
        <f>DM383</f>
        <v>0</v>
      </c>
      <c r="DN110" s="293">
        <f>DM110</f>
        <v>0</v>
      </c>
      <c r="DO110" s="290"/>
      <c r="DP110" s="293">
        <f>DP383</f>
        <v>0</v>
      </c>
      <c r="DQ110" s="293">
        <f>DQ383</f>
        <v>0</v>
      </c>
      <c r="DR110" s="293">
        <f>DQ110</f>
        <v>0</v>
      </c>
      <c r="DS110" s="290"/>
      <c r="DT110" s="290"/>
      <c r="DU110" s="293"/>
      <c r="DV110" s="293"/>
      <c r="DW110" s="293"/>
      <c r="DX110" s="290"/>
      <c r="EH110"/>
    </row>
    <row r="111" spans="1:138">
      <c r="A111" s="102" t="s">
        <v>133</v>
      </c>
      <c r="C111" s="103" t="s">
        <v>612</v>
      </c>
      <c r="P111" s="293"/>
      <c r="Q111" s="293"/>
      <c r="R111" s="293"/>
      <c r="T111" s="293"/>
      <c r="U111" s="293"/>
      <c r="V111" s="293"/>
      <c r="X111" s="293"/>
      <c r="Y111" s="293"/>
      <c r="Z111" s="293"/>
      <c r="AB111" s="293"/>
      <c r="AC111" s="293"/>
      <c r="AD111" s="293"/>
      <c r="AE111" s="293"/>
      <c r="AF111" s="293"/>
      <c r="AG111" s="293"/>
      <c r="AH111" s="293"/>
      <c r="AI111" s="632"/>
      <c r="AJ111" s="293"/>
      <c r="AK111" s="293"/>
      <c r="AL111" s="293"/>
      <c r="AN111" s="293"/>
      <c r="AO111" s="293"/>
      <c r="AP111" s="293"/>
      <c r="AR111" s="293"/>
      <c r="AS111" s="293"/>
      <c r="AT111" s="293"/>
      <c r="AV111" s="293"/>
      <c r="AW111" s="293"/>
      <c r="AX111" s="293"/>
      <c r="AZ111" s="293"/>
      <c r="BA111" s="293"/>
      <c r="BB111" s="293"/>
      <c r="BD111" s="293"/>
      <c r="BE111" s="293"/>
      <c r="BF111" s="293"/>
      <c r="BH111" s="626">
        <v>64</v>
      </c>
      <c r="BI111" s="626">
        <v>60</v>
      </c>
      <c r="BJ111" s="293">
        <f>BI111</f>
        <v>60</v>
      </c>
      <c r="BL111" s="626">
        <v>71</v>
      </c>
      <c r="BM111" s="626">
        <v>76</v>
      </c>
      <c r="BN111" s="293">
        <f>BM111</f>
        <v>76</v>
      </c>
      <c r="BP111" s="626">
        <v>78</v>
      </c>
      <c r="BQ111" s="626">
        <v>82</v>
      </c>
      <c r="BR111" s="293">
        <f>BQ111</f>
        <v>82</v>
      </c>
      <c r="BT111" s="626">
        <v>0</v>
      </c>
      <c r="BU111" s="626">
        <v>0</v>
      </c>
      <c r="BV111" s="293">
        <f>BU111</f>
        <v>0</v>
      </c>
      <c r="BX111" s="626">
        <v>0</v>
      </c>
      <c r="BY111" s="626">
        <v>0</v>
      </c>
      <c r="BZ111" s="293">
        <f>BY111</f>
        <v>0</v>
      </c>
      <c r="CB111" s="626">
        <v>0</v>
      </c>
      <c r="CC111" s="626">
        <v>0</v>
      </c>
      <c r="CD111" s="293">
        <f>CC111</f>
        <v>0</v>
      </c>
      <c r="CF111" s="626">
        <v>0</v>
      </c>
      <c r="CG111" s="626">
        <v>0</v>
      </c>
      <c r="CH111" s="293">
        <f>CG111</f>
        <v>0</v>
      </c>
      <c r="CJ111" s="626">
        <v>0</v>
      </c>
      <c r="CK111" s="626">
        <v>0</v>
      </c>
      <c r="CL111" s="293">
        <f>CK111</f>
        <v>0</v>
      </c>
      <c r="CN111" s="626">
        <v>0</v>
      </c>
      <c r="CO111" s="626">
        <v>0</v>
      </c>
      <c r="CP111" s="293">
        <f>CO111</f>
        <v>0</v>
      </c>
      <c r="CR111" s="626">
        <v>0</v>
      </c>
      <c r="CS111" s="626">
        <v>0</v>
      </c>
      <c r="CT111" s="293">
        <f>CS111</f>
        <v>0</v>
      </c>
      <c r="CV111" s="626">
        <v>0</v>
      </c>
      <c r="CW111" s="1497">
        <v>0</v>
      </c>
      <c r="CX111" s="293">
        <f>CW111</f>
        <v>0</v>
      </c>
      <c r="CZ111" s="626">
        <v>0</v>
      </c>
      <c r="DA111" s="1488">
        <v>0</v>
      </c>
      <c r="DB111" s="293">
        <f>DA111</f>
        <v>0</v>
      </c>
      <c r="DD111" s="626">
        <v>0</v>
      </c>
      <c r="DE111" s="1497">
        <v>0</v>
      </c>
      <c r="DF111" s="293">
        <f>DE111</f>
        <v>0</v>
      </c>
      <c r="DH111" s="626">
        <v>0</v>
      </c>
      <c r="DI111" s="293">
        <f>DI419</f>
        <v>0</v>
      </c>
      <c r="DJ111" s="293">
        <f>DJ419</f>
        <v>0</v>
      </c>
      <c r="DL111" s="293">
        <f>DL419</f>
        <v>0</v>
      </c>
      <c r="DM111" s="293">
        <f>DM419</f>
        <v>0</v>
      </c>
      <c r="DN111" s="293">
        <f>DN419</f>
        <v>0</v>
      </c>
      <c r="DP111" s="293">
        <f>DP419</f>
        <v>0</v>
      </c>
      <c r="DQ111" s="293">
        <f>DQ419</f>
        <v>0</v>
      </c>
      <c r="DR111" s="293">
        <f>DR419</f>
        <v>0</v>
      </c>
      <c r="DU111" s="293"/>
      <c r="DV111" s="293"/>
      <c r="DW111" s="293"/>
    </row>
    <row r="112" spans="1:138">
      <c r="A112" s="102" t="s">
        <v>698</v>
      </c>
      <c r="C112" s="103" t="s">
        <v>612</v>
      </c>
      <c r="P112" s="293"/>
      <c r="Q112" s="293"/>
      <c r="R112" s="293"/>
      <c r="T112" s="293"/>
      <c r="U112" s="293"/>
      <c r="V112" s="293"/>
      <c r="X112" s="293"/>
      <c r="Y112" s="293"/>
      <c r="Z112" s="293"/>
      <c r="AB112" s="293"/>
      <c r="AC112" s="293"/>
      <c r="AD112" s="293"/>
      <c r="AE112" s="293"/>
      <c r="AF112" s="293"/>
      <c r="AG112" s="293"/>
      <c r="AH112" s="293"/>
      <c r="AI112" s="632"/>
      <c r="AJ112" s="293"/>
      <c r="AK112" s="293"/>
      <c r="AL112" s="293"/>
      <c r="AN112" s="293"/>
      <c r="AO112" s="293"/>
      <c r="AP112" s="293"/>
      <c r="AR112" s="293"/>
      <c r="AS112" s="293"/>
      <c r="AT112" s="293"/>
      <c r="AV112" s="293"/>
      <c r="AW112" s="293"/>
      <c r="AX112" s="293"/>
      <c r="AZ112" s="293"/>
      <c r="BA112" s="293"/>
      <c r="BB112" s="293"/>
      <c r="BD112" s="293"/>
      <c r="BE112" s="293"/>
      <c r="BF112" s="293"/>
      <c r="BH112" s="626"/>
      <c r="BI112" s="626"/>
      <c r="BJ112" s="293"/>
      <c r="BL112" s="626"/>
      <c r="BM112" s="626"/>
      <c r="BN112" s="293"/>
      <c r="BP112" s="626"/>
      <c r="BQ112" s="626"/>
      <c r="BR112" s="293"/>
      <c r="BT112" s="626"/>
      <c r="BU112" s="626"/>
      <c r="BV112" s="293"/>
      <c r="BX112" s="626"/>
      <c r="BY112" s="626"/>
      <c r="BZ112" s="293"/>
      <c r="CB112" s="626"/>
      <c r="CC112" s="626"/>
      <c r="CD112" s="293"/>
      <c r="CF112" s="626"/>
      <c r="CG112" s="626"/>
      <c r="CH112" s="293"/>
      <c r="CJ112" s="626"/>
      <c r="CK112" s="626"/>
      <c r="CL112" s="293"/>
      <c r="CN112" s="626"/>
      <c r="CO112" s="626"/>
      <c r="CP112" s="293"/>
      <c r="CR112" s="626"/>
      <c r="CS112" s="626"/>
      <c r="CT112" s="293"/>
      <c r="CV112" s="626"/>
      <c r="CW112" s="1497"/>
      <c r="CX112" s="293"/>
      <c r="CZ112" s="626"/>
      <c r="DA112" s="1488"/>
      <c r="DB112" s="293"/>
      <c r="DD112" s="626"/>
      <c r="DE112" s="1488"/>
      <c r="DF112" s="293"/>
      <c r="DH112" s="626"/>
      <c r="DI112" s="293">
        <f>DI396</f>
        <v>0</v>
      </c>
      <c r="DJ112" s="293">
        <f>DJ396</f>
        <v>0</v>
      </c>
      <c r="DL112" s="293">
        <f>DL396</f>
        <v>0</v>
      </c>
      <c r="DM112" s="293">
        <f>DM396</f>
        <v>0</v>
      </c>
      <c r="DN112" s="293">
        <f>DN396</f>
        <v>0</v>
      </c>
      <c r="DP112" s="293">
        <f>DP396</f>
        <v>0</v>
      </c>
      <c r="DQ112" s="293">
        <f>DQ396</f>
        <v>0</v>
      </c>
      <c r="DR112" s="293">
        <f>DR396</f>
        <v>0</v>
      </c>
      <c r="DU112" s="293"/>
      <c r="DV112" s="293"/>
      <c r="DW112" s="293"/>
    </row>
    <row r="113" spans="1:138" s="289" customFormat="1">
      <c r="A113" s="102" t="s">
        <v>70</v>
      </c>
      <c r="C113" s="103" t="s">
        <v>612</v>
      </c>
      <c r="P113" s="626">
        <v>398</v>
      </c>
      <c r="Q113" s="626">
        <v>398</v>
      </c>
      <c r="R113" s="293">
        <f t="shared" si="112"/>
        <v>398</v>
      </c>
      <c r="S113" s="290"/>
      <c r="T113" s="626">
        <v>584</v>
      </c>
      <c r="U113" s="626">
        <v>20</v>
      </c>
      <c r="V113" s="293">
        <f t="shared" si="113"/>
        <v>20</v>
      </c>
      <c r="W113" s="290"/>
      <c r="X113" s="626">
        <f>861+43</f>
        <v>904</v>
      </c>
      <c r="Y113" s="626">
        <v>863</v>
      </c>
      <c r="Z113" s="293">
        <f t="shared" si="114"/>
        <v>863</v>
      </c>
      <c r="AA113" s="290"/>
      <c r="AB113" s="626">
        <v>904</v>
      </c>
      <c r="AC113" s="626">
        <v>863</v>
      </c>
      <c r="AD113" s="293">
        <f t="shared" si="115"/>
        <v>863</v>
      </c>
      <c r="AE113" s="295"/>
      <c r="AF113" s="626">
        <f>805+135</f>
        <v>940</v>
      </c>
      <c r="AG113" s="626">
        <v>848</v>
      </c>
      <c r="AH113" s="293">
        <f t="shared" si="116"/>
        <v>848</v>
      </c>
      <c r="AI113" s="632"/>
      <c r="AJ113" s="626">
        <v>884</v>
      </c>
      <c r="AK113" s="626">
        <v>857</v>
      </c>
      <c r="AL113" s="293">
        <f t="shared" si="117"/>
        <v>857</v>
      </c>
      <c r="AM113" s="290"/>
      <c r="AN113" s="626">
        <v>812</v>
      </c>
      <c r="AO113" s="626">
        <f>752+89</f>
        <v>841</v>
      </c>
      <c r="AP113" s="293">
        <f t="shared" si="118"/>
        <v>841</v>
      </c>
      <c r="AQ113" s="290"/>
      <c r="AR113" s="626">
        <f>780+105</f>
        <v>885</v>
      </c>
      <c r="AS113" s="626">
        <f>398+107</f>
        <v>505</v>
      </c>
      <c r="AT113" s="293">
        <f t="shared" si="119"/>
        <v>505</v>
      </c>
      <c r="AU113" s="290"/>
      <c r="AV113" s="626">
        <f>74+71</f>
        <v>145</v>
      </c>
      <c r="AW113" s="626">
        <f>67+79</f>
        <v>146</v>
      </c>
      <c r="AX113" s="293">
        <f t="shared" si="120"/>
        <v>146</v>
      </c>
      <c r="AY113" s="290"/>
      <c r="AZ113" s="626">
        <f>66+75</f>
        <v>141</v>
      </c>
      <c r="BA113" s="626">
        <f>63+74</f>
        <v>137</v>
      </c>
      <c r="BB113" s="293">
        <f t="shared" si="121"/>
        <v>137</v>
      </c>
      <c r="BC113" s="290"/>
      <c r="BD113" s="626">
        <f>66+56</f>
        <v>122</v>
      </c>
      <c r="BE113" s="626">
        <f>63+75</f>
        <v>138</v>
      </c>
      <c r="BF113" s="293">
        <f t="shared" si="122"/>
        <v>138</v>
      </c>
      <c r="BG113" s="290"/>
      <c r="BH113" s="626">
        <v>57</v>
      </c>
      <c r="BI113" s="626">
        <v>101</v>
      </c>
      <c r="BJ113" s="293">
        <f t="shared" si="123"/>
        <v>101</v>
      </c>
      <c r="BK113" s="290"/>
      <c r="BL113" s="626">
        <v>28</v>
      </c>
      <c r="BM113" s="626">
        <v>29</v>
      </c>
      <c r="BN113" s="293">
        <f t="shared" si="124"/>
        <v>29</v>
      </c>
      <c r="BO113" s="290"/>
      <c r="BP113" s="626">
        <v>57</v>
      </c>
      <c r="BQ113" s="626">
        <v>14</v>
      </c>
      <c r="BR113" s="293">
        <f>BQ113</f>
        <v>14</v>
      </c>
      <c r="BS113" s="290"/>
      <c r="BT113" s="626">
        <v>195</v>
      </c>
      <c r="BU113" s="626">
        <v>157</v>
      </c>
      <c r="BV113" s="293">
        <f>BU113</f>
        <v>157</v>
      </c>
      <c r="BW113" s="290"/>
      <c r="BX113" s="626">
        <v>151</v>
      </c>
      <c r="BY113" s="626">
        <v>1316</v>
      </c>
      <c r="BZ113" s="293">
        <f>BY113</f>
        <v>1316</v>
      </c>
      <c r="CA113" s="290"/>
      <c r="CB113" s="626">
        <v>1351</v>
      </c>
      <c r="CC113" s="626">
        <v>1432</v>
      </c>
      <c r="CD113" s="293">
        <f>CC113</f>
        <v>1432</v>
      </c>
      <c r="CE113" s="290"/>
      <c r="CF113" s="626">
        <v>208</v>
      </c>
      <c r="CG113" s="626">
        <v>212</v>
      </c>
      <c r="CH113" s="293">
        <f>CG113</f>
        <v>212</v>
      </c>
      <c r="CI113" s="290"/>
      <c r="CJ113" s="626">
        <v>304</v>
      </c>
      <c r="CK113" s="626">
        <v>330</v>
      </c>
      <c r="CL113" s="293">
        <f>CK113</f>
        <v>330</v>
      </c>
      <c r="CM113" s="290"/>
      <c r="CN113" s="626">
        <v>281</v>
      </c>
      <c r="CO113" s="626">
        <v>303</v>
      </c>
      <c r="CP113" s="293">
        <f>CO113</f>
        <v>303</v>
      </c>
      <c r="CQ113" s="290"/>
      <c r="CR113" s="626">
        <v>350</v>
      </c>
      <c r="CS113" s="626">
        <v>245</v>
      </c>
      <c r="CT113" s="293">
        <f>CS113</f>
        <v>245</v>
      </c>
      <c r="CU113" s="290"/>
      <c r="CV113" s="626">
        <v>350</v>
      </c>
      <c r="CW113" s="1497">
        <v>951</v>
      </c>
      <c r="CX113" s="293">
        <f>CW113</f>
        <v>951</v>
      </c>
      <c r="CY113" s="290"/>
      <c r="CZ113" s="626">
        <v>487</v>
      </c>
      <c r="DA113" s="1488">
        <v>515</v>
      </c>
      <c r="DB113" s="293">
        <f>DA113</f>
        <v>515</v>
      </c>
      <c r="DC113" s="290"/>
      <c r="DD113" s="626">
        <v>535</v>
      </c>
      <c r="DE113" s="2176">
        <v>433</v>
      </c>
      <c r="DF113" s="293">
        <f>DE113</f>
        <v>433</v>
      </c>
      <c r="DG113" s="290"/>
      <c r="DH113" s="2255">
        <v>633</v>
      </c>
      <c r="DI113" s="293">
        <f>DI402</f>
        <v>633</v>
      </c>
      <c r="DJ113" s="293">
        <f>DJ402</f>
        <v>633</v>
      </c>
      <c r="DK113" s="290"/>
      <c r="DL113" s="293">
        <f>DL402</f>
        <v>633</v>
      </c>
      <c r="DM113" s="293">
        <f>DM402</f>
        <v>633</v>
      </c>
      <c r="DN113" s="293">
        <f>DN402</f>
        <v>633</v>
      </c>
      <c r="DO113" s="290"/>
      <c r="DP113" s="293">
        <f>DP402</f>
        <v>633</v>
      </c>
      <c r="DQ113" s="293">
        <f>DQ402</f>
        <v>633</v>
      </c>
      <c r="DR113" s="293">
        <f>DR402</f>
        <v>633</v>
      </c>
      <c r="DS113" s="290"/>
      <c r="DT113" s="290"/>
      <c r="DU113" s="293"/>
      <c r="DV113" s="293"/>
      <c r="DW113" s="293"/>
      <c r="DX113" s="290"/>
      <c r="EH113"/>
    </row>
    <row r="114" spans="1:138" s="289" customFormat="1">
      <c r="A114" s="289" t="s">
        <v>151</v>
      </c>
      <c r="C114" s="290" t="s">
        <v>612</v>
      </c>
      <c r="P114" s="295">
        <f>+SUM(P109:P113)</f>
        <v>2602</v>
      </c>
      <c r="Q114" s="295">
        <f>+SUM(Q109:Q113)</f>
        <v>2585</v>
      </c>
      <c r="R114" s="295">
        <f t="shared" si="112"/>
        <v>2585</v>
      </c>
      <c r="S114" s="290"/>
      <c r="T114" s="295">
        <f>+SUM(T109:T113)</f>
        <v>3341</v>
      </c>
      <c r="U114" s="295">
        <f>+SUM(U109:U113)</f>
        <v>2833</v>
      </c>
      <c r="V114" s="295">
        <f t="shared" si="113"/>
        <v>2833</v>
      </c>
      <c r="W114" s="290"/>
      <c r="X114" s="295">
        <f>+SUM(X109:X113)</f>
        <v>3942</v>
      </c>
      <c r="Y114" s="295">
        <f>+SUM(Y109:Y113)</f>
        <v>4432</v>
      </c>
      <c r="Z114" s="295">
        <f t="shared" si="114"/>
        <v>4432</v>
      </c>
      <c r="AA114" s="290"/>
      <c r="AB114" s="295">
        <f>SUM(AB109:AB113)</f>
        <v>3891</v>
      </c>
      <c r="AC114" s="295">
        <f>SUM(AC109:AC113)</f>
        <v>4425</v>
      </c>
      <c r="AD114" s="295">
        <f>SUM(AD109:AD113)</f>
        <v>4425</v>
      </c>
      <c r="AE114" s="295"/>
      <c r="AF114" s="295">
        <f>SUM(AF109:AF113)</f>
        <v>4993</v>
      </c>
      <c r="AG114" s="295">
        <f>SUM(AG109:AG113)</f>
        <v>5337</v>
      </c>
      <c r="AH114" s="295">
        <f>SUM(AH109:AH113)</f>
        <v>5337</v>
      </c>
      <c r="AI114" s="290"/>
      <c r="AJ114" s="295">
        <f>SUM(AJ109:AJ113)</f>
        <v>6801</v>
      </c>
      <c r="AK114" s="295">
        <f>SUM(AK109:AK113)</f>
        <v>7519</v>
      </c>
      <c r="AL114" s="295">
        <f>SUM(AL109:AL113)</f>
        <v>7519</v>
      </c>
      <c r="AM114" s="290"/>
      <c r="AN114" s="295">
        <f>SUM(AN109:AN113)</f>
        <v>9415</v>
      </c>
      <c r="AO114" s="295">
        <f>SUM(AO109:AO113)</f>
        <v>10061</v>
      </c>
      <c r="AP114" s="295">
        <f>SUM(AP109:AP113)</f>
        <v>10061</v>
      </c>
      <c r="AQ114" s="290"/>
      <c r="AR114" s="295">
        <f>SUM(AR109:AR113)</f>
        <v>10281</v>
      </c>
      <c r="AS114" s="295">
        <f>SUM(AS109:AS113)</f>
        <v>9560</v>
      </c>
      <c r="AT114" s="295">
        <f>SUM(AT109:AT113)</f>
        <v>9560</v>
      </c>
      <c r="AU114" s="290"/>
      <c r="AV114" s="295">
        <f>SUM(AV109:AV113)</f>
        <v>11220</v>
      </c>
      <c r="AW114" s="295">
        <f>SUM(AW109:AW113)</f>
        <v>11769</v>
      </c>
      <c r="AX114" s="295">
        <f>SUM(AX109:AX113)</f>
        <v>11769</v>
      </c>
      <c r="AY114" s="290"/>
      <c r="AZ114" s="295">
        <f>SUM(AZ109:AZ113)</f>
        <v>11593</v>
      </c>
      <c r="BA114" s="295">
        <f>SUM(BA109:BA113)</f>
        <v>11932</v>
      </c>
      <c r="BB114" s="295">
        <f>SUM(BB109:BB113)</f>
        <v>11932</v>
      </c>
      <c r="BC114" s="290"/>
      <c r="BD114" s="295">
        <f>SUM(BD109:BD113)</f>
        <v>11764</v>
      </c>
      <c r="BE114" s="295">
        <f>SUM(BE109:BE113)</f>
        <v>11732</v>
      </c>
      <c r="BF114" s="295">
        <f>SUM(BF109:BF113)</f>
        <v>11732</v>
      </c>
      <c r="BG114" s="290"/>
      <c r="BH114" s="295">
        <f>SUM(BH109:BH113)</f>
        <v>11504</v>
      </c>
      <c r="BI114" s="295">
        <f>SUM(BI109:BI113)</f>
        <v>11955</v>
      </c>
      <c r="BJ114" s="295">
        <f>SUM(BJ109:BJ113)</f>
        <v>11955</v>
      </c>
      <c r="BK114" s="290"/>
      <c r="BL114" s="295">
        <f>SUM(BL109:BL113)</f>
        <v>12719</v>
      </c>
      <c r="BM114" s="295">
        <f>SUM(BM109:BM113)</f>
        <v>11914</v>
      </c>
      <c r="BN114" s="295">
        <f>SUM(BN109:BN113)</f>
        <v>11914</v>
      </c>
      <c r="BO114" s="290"/>
      <c r="BP114" s="295">
        <f>SUM(BP109:BP113)</f>
        <v>12216</v>
      </c>
      <c r="BQ114" s="295">
        <f>SUM(BQ109:BQ113)</f>
        <v>14396</v>
      </c>
      <c r="BR114" s="295">
        <f>SUM(BR109:BR113)</f>
        <v>14396</v>
      </c>
      <c r="BS114" s="290"/>
      <c r="BT114" s="295">
        <f>SUM(BT109:BT113)</f>
        <v>15217</v>
      </c>
      <c r="BU114" s="295">
        <f>SUM(BU109:BU113)</f>
        <v>15664</v>
      </c>
      <c r="BV114" s="295">
        <f>SUM(BV109:BV113)</f>
        <v>15664</v>
      </c>
      <c r="BW114" s="290"/>
      <c r="BX114" s="295">
        <f>SUM(BX109:BX113)</f>
        <v>15463</v>
      </c>
      <c r="BY114" s="295">
        <f>SUM(BY109:BY113)</f>
        <v>17270</v>
      </c>
      <c r="BZ114" s="295">
        <f>SUM(BZ109:BZ113)</f>
        <v>17270</v>
      </c>
      <c r="CA114" s="290"/>
      <c r="CB114" s="295">
        <f>SUM(CB109:CB113)</f>
        <v>17099</v>
      </c>
      <c r="CC114" s="295">
        <f>SUM(CC109:CC113)</f>
        <v>18180</v>
      </c>
      <c r="CD114" s="295">
        <f>SUM(CD109:CD113)</f>
        <v>18180</v>
      </c>
      <c r="CE114" s="290"/>
      <c r="CF114" s="295">
        <f>SUM(CF109:CF113)</f>
        <v>17159</v>
      </c>
      <c r="CG114" s="295">
        <f>SUM(CG109:CG113)</f>
        <v>18364</v>
      </c>
      <c r="CH114" s="295">
        <f>SUM(CH109:CH113)</f>
        <v>18364</v>
      </c>
      <c r="CI114" s="290"/>
      <c r="CJ114" s="295">
        <f>SUM(CJ109:CJ113)</f>
        <v>20312</v>
      </c>
      <c r="CK114" s="295">
        <f>SUM(CK109:CK113)</f>
        <v>21784</v>
      </c>
      <c r="CL114" s="295">
        <f>SUM(CL109:CL113)</f>
        <v>21784</v>
      </c>
      <c r="CM114" s="290"/>
      <c r="CN114" s="295">
        <f>SUM(CN109:CN113)</f>
        <v>20789</v>
      </c>
      <c r="CO114" s="295">
        <f>SUM(CO109:CO113)</f>
        <v>22351</v>
      </c>
      <c r="CP114" s="295">
        <f>SUM(CP109:CP113)</f>
        <v>22351</v>
      </c>
      <c r="CQ114" s="290"/>
      <c r="CR114" s="295">
        <f>SUM(CR109:CR113)</f>
        <v>24414</v>
      </c>
      <c r="CS114" s="295">
        <f>SUM(CS109:CS113)</f>
        <v>28806</v>
      </c>
      <c r="CT114" s="295">
        <f>SUM(CT109:CT113)</f>
        <v>28806</v>
      </c>
      <c r="CU114" s="290"/>
      <c r="CV114" s="295">
        <f>SUM(CV109:CV113)</f>
        <v>31687</v>
      </c>
      <c r="CW114" s="1390">
        <f>SUM(CW109:CW113)</f>
        <v>34106</v>
      </c>
      <c r="CX114" s="295">
        <f>SUM(CX109:CX113)</f>
        <v>34106</v>
      </c>
      <c r="CY114" s="290"/>
      <c r="CZ114" s="295">
        <f>SUM(CZ109:CZ113)</f>
        <v>33138</v>
      </c>
      <c r="DA114" s="1390">
        <f>SUM(DA109:DA113)</f>
        <v>33996</v>
      </c>
      <c r="DB114" s="295">
        <f>SUM(DB109:DB113)</f>
        <v>33996</v>
      </c>
      <c r="DC114" s="290"/>
      <c r="DD114" s="295">
        <f>SUM(DD109:DD113)</f>
        <v>32834</v>
      </c>
      <c r="DE114" s="1390">
        <f>SUM(DE109:DE113)</f>
        <v>35789</v>
      </c>
      <c r="DF114" s="295">
        <f>SUM(DF109:DF113)</f>
        <v>35789</v>
      </c>
      <c r="DG114" s="290"/>
      <c r="DH114" s="295">
        <f>SUM(DH109:DH113)</f>
        <v>35194</v>
      </c>
      <c r="DI114" s="295">
        <f ca="1">SUM(DI109:DI113)</f>
        <v>36661.200914198373</v>
      </c>
      <c r="DJ114" s="295">
        <f ca="1">SUM(DJ109:DJ113)</f>
        <v>36661.200914198373</v>
      </c>
      <c r="DK114" s="290"/>
      <c r="DL114" s="295">
        <f ca="1">SUM(DL109:DL113)</f>
        <v>37054.003791897267</v>
      </c>
      <c r="DM114" s="295">
        <f ca="1">SUM(DM109:DM113)</f>
        <v>39839.085631694339</v>
      </c>
      <c r="DN114" s="295">
        <f ca="1">SUM(DN109:DN113)</f>
        <v>39839.085631694339</v>
      </c>
      <c r="DO114" s="290"/>
      <c r="DP114" s="295">
        <f ca="1">SUM(DP109:DP113)</f>
        <v>40333.242684919933</v>
      </c>
      <c r="DQ114" s="295">
        <f ca="1">SUM(DQ109:DQ113)</f>
        <v>43317.001979283232</v>
      </c>
      <c r="DR114" s="295">
        <f ca="1">SUM(DR109:DR113)</f>
        <v>43317.001979283232</v>
      </c>
      <c r="DS114" s="290"/>
      <c r="DT114" s="290"/>
      <c r="DU114" s="295"/>
      <c r="DV114" s="295"/>
      <c r="DW114" s="295"/>
      <c r="DX114" s="290"/>
      <c r="EH114"/>
    </row>
    <row r="115" spans="1:138" s="659" customFormat="1">
      <c r="A115" s="659" t="s">
        <v>71</v>
      </c>
      <c r="C115" s="660"/>
      <c r="P115" s="661"/>
      <c r="Q115" s="661"/>
      <c r="R115" s="661"/>
      <c r="S115" s="660"/>
      <c r="T115" s="661"/>
      <c r="U115" s="661"/>
      <c r="V115" s="661"/>
      <c r="W115" s="660"/>
      <c r="X115" s="661"/>
      <c r="Y115" s="661"/>
      <c r="Z115" s="661"/>
      <c r="AA115" s="660"/>
      <c r="AB115" s="661"/>
      <c r="AC115" s="661"/>
      <c r="AD115" s="661"/>
      <c r="AE115" s="661"/>
      <c r="AF115" s="661"/>
      <c r="AG115" s="661"/>
      <c r="AH115" s="661"/>
      <c r="AI115" s="660"/>
      <c r="AJ115" s="661"/>
      <c r="AK115" s="661"/>
      <c r="AL115" s="661"/>
      <c r="AM115" s="660"/>
      <c r="AN115" s="661"/>
      <c r="AO115" s="661"/>
      <c r="AP115" s="661"/>
      <c r="AQ115" s="660"/>
      <c r="AR115" s="661"/>
      <c r="AS115" s="661"/>
      <c r="AT115" s="661"/>
      <c r="AU115" s="660"/>
      <c r="AV115" s="661"/>
      <c r="AW115" s="661"/>
      <c r="AX115" s="661"/>
      <c r="AY115" s="660"/>
      <c r="AZ115" s="661"/>
      <c r="BA115" s="661"/>
      <c r="BB115" s="661"/>
      <c r="BC115" s="660"/>
      <c r="BD115" s="661"/>
      <c r="BE115" s="661"/>
      <c r="BF115" s="661"/>
      <c r="BG115" s="660"/>
      <c r="BH115" s="661">
        <f>BH70-BH114</f>
        <v>0</v>
      </c>
      <c r="BI115" s="661">
        <f>BI70-BI114</f>
        <v>0</v>
      </c>
      <c r="BJ115" s="661">
        <f>BJ70-BJ114</f>
        <v>0</v>
      </c>
      <c r="BK115" s="660"/>
      <c r="BL115" s="661">
        <f>BL70-BL114</f>
        <v>0</v>
      </c>
      <c r="BM115" s="661">
        <f>BM70-BM114</f>
        <v>0</v>
      </c>
      <c r="BN115" s="661">
        <f>BN70-BN114</f>
        <v>0</v>
      </c>
      <c r="BO115" s="660"/>
      <c r="BP115" s="661">
        <f>BP70-BP114</f>
        <v>0</v>
      </c>
      <c r="BQ115" s="661">
        <f>BQ70-BQ114</f>
        <v>0</v>
      </c>
      <c r="BR115" s="661">
        <f>BR70-BR114</f>
        <v>0</v>
      </c>
      <c r="BS115" s="660"/>
      <c r="BT115" s="661">
        <f>BT70-BT114</f>
        <v>0</v>
      </c>
      <c r="BU115" s="661">
        <f>BU70-BU114</f>
        <v>0</v>
      </c>
      <c r="BV115" s="661">
        <f>BV70-BV114</f>
        <v>0</v>
      </c>
      <c r="BW115" s="660"/>
      <c r="BX115" s="661">
        <f>BX70-BX114</f>
        <v>0</v>
      </c>
      <c r="BY115" s="661">
        <f>BY70-BY114</f>
        <v>0</v>
      </c>
      <c r="BZ115" s="661">
        <f>BZ70-BZ114</f>
        <v>0</v>
      </c>
      <c r="CA115" s="660"/>
      <c r="CB115" s="661">
        <f>CB70-CB114</f>
        <v>0</v>
      </c>
      <c r="CC115" s="661">
        <f>CC70-CC114</f>
        <v>0</v>
      </c>
      <c r="CD115" s="661">
        <f>CD70-CD114</f>
        <v>0</v>
      </c>
      <c r="CE115" s="660"/>
      <c r="CF115" s="661">
        <f>CF70-CF114</f>
        <v>0</v>
      </c>
      <c r="CG115" s="661">
        <f>CG70-CG114</f>
        <v>0</v>
      </c>
      <c r="CH115" s="661">
        <f>CH70-CH114</f>
        <v>0</v>
      </c>
      <c r="CI115" s="660"/>
      <c r="CJ115" s="661">
        <f>CJ70-CJ114</f>
        <v>0</v>
      </c>
      <c r="CK115" s="661">
        <f>CK70-CK114</f>
        <v>0</v>
      </c>
      <c r="CL115" s="661">
        <f>CL70-CL114</f>
        <v>0</v>
      </c>
      <c r="CM115" s="660"/>
      <c r="CN115" s="661">
        <f>CN70-CN114</f>
        <v>0</v>
      </c>
      <c r="CO115" s="661">
        <f>CO70-CO114</f>
        <v>0</v>
      </c>
      <c r="CP115" s="661">
        <f>CP70-CP114</f>
        <v>0</v>
      </c>
      <c r="CQ115" s="660"/>
      <c r="CR115" s="661">
        <f>CR70-CR114</f>
        <v>0</v>
      </c>
      <c r="CS115" s="661">
        <f>CS70-CS114</f>
        <v>0</v>
      </c>
      <c r="CT115" s="661">
        <f>CT70-CT114</f>
        <v>0</v>
      </c>
      <c r="CU115" s="660"/>
      <c r="CV115" s="661">
        <f>CV70-CV114</f>
        <v>0</v>
      </c>
      <c r="CW115" s="1793">
        <f>CW70-CW114</f>
        <v>0</v>
      </c>
      <c r="CX115" s="661">
        <f>CX70-CX114</f>
        <v>0</v>
      </c>
      <c r="CY115" s="660"/>
      <c r="CZ115" s="661">
        <f>CZ70-CZ114</f>
        <v>0</v>
      </c>
      <c r="DA115" s="1793">
        <f>DA70-DA114</f>
        <v>0</v>
      </c>
      <c r="DB115" s="661">
        <f>DB70-DB114</f>
        <v>0</v>
      </c>
      <c r="DC115" s="660"/>
      <c r="DD115" s="661">
        <f>DD70-DD114</f>
        <v>0</v>
      </c>
      <c r="DE115" s="1793">
        <f>DE70-DE114</f>
        <v>0</v>
      </c>
      <c r="DF115" s="661">
        <f>DF70-DF114</f>
        <v>0</v>
      </c>
      <c r="DG115" s="660"/>
      <c r="DH115" s="661">
        <f>DH70-DH114</f>
        <v>0</v>
      </c>
      <c r="DI115" s="661">
        <f t="shared" ref="DI115:DJ115" ca="1" si="136">DI70-DI114</f>
        <v>0</v>
      </c>
      <c r="DJ115" s="661">
        <f t="shared" ca="1" si="136"/>
        <v>0</v>
      </c>
      <c r="DK115" s="660"/>
      <c r="DL115" s="661">
        <f t="shared" ref="DL115:DN115" ca="1" si="137">DL70-DL114</f>
        <v>0</v>
      </c>
      <c r="DM115" s="661">
        <f t="shared" ca="1" si="137"/>
        <v>0</v>
      </c>
      <c r="DN115" s="661">
        <f t="shared" ca="1" si="137"/>
        <v>0</v>
      </c>
      <c r="DO115" s="660"/>
      <c r="DP115" s="661">
        <f t="shared" ref="DP115:DR115" ca="1" si="138">DP70-DP114</f>
        <v>0</v>
      </c>
      <c r="DQ115" s="661">
        <f t="shared" ca="1" si="138"/>
        <v>0</v>
      </c>
      <c r="DR115" s="661">
        <f t="shared" ca="1" si="138"/>
        <v>-5.8207660913467407E-11</v>
      </c>
      <c r="DS115" s="660"/>
      <c r="DT115" s="660"/>
      <c r="DU115" s="661"/>
      <c r="DV115" s="661"/>
      <c r="DW115" s="661"/>
      <c r="DX115" s="660"/>
      <c r="EH115"/>
    </row>
    <row r="116" spans="1:138" s="659" customFormat="1">
      <c r="C116" s="660"/>
      <c r="P116" s="661"/>
      <c r="Q116" s="661"/>
      <c r="R116" s="661"/>
      <c r="S116" s="660"/>
      <c r="T116" s="661"/>
      <c r="U116" s="661"/>
      <c r="V116" s="661"/>
      <c r="W116" s="660"/>
      <c r="X116" s="661"/>
      <c r="Y116" s="661"/>
      <c r="Z116" s="661"/>
      <c r="AA116" s="660"/>
      <c r="AB116" s="661"/>
      <c r="AC116" s="661"/>
      <c r="AD116" s="661"/>
      <c r="AE116" s="661"/>
      <c r="AF116" s="661"/>
      <c r="AG116" s="661"/>
      <c r="AH116" s="661"/>
      <c r="AI116" s="660"/>
      <c r="AJ116" s="661"/>
      <c r="AK116" s="661"/>
      <c r="AL116" s="661"/>
      <c r="AM116" s="660"/>
      <c r="AN116" s="661"/>
      <c r="AO116" s="661"/>
      <c r="AP116" s="661"/>
      <c r="AQ116" s="660"/>
      <c r="AR116" s="661"/>
      <c r="AS116" s="661"/>
      <c r="AT116" s="661"/>
      <c r="AU116" s="660"/>
      <c r="AV116" s="661"/>
      <c r="AW116" s="661"/>
      <c r="AX116" s="661"/>
      <c r="AY116" s="660"/>
      <c r="AZ116" s="661"/>
      <c r="BA116" s="661"/>
      <c r="BB116" s="661"/>
      <c r="BC116" s="660"/>
      <c r="BD116" s="661"/>
      <c r="BE116" s="661"/>
      <c r="BF116" s="661"/>
      <c r="BG116" s="660"/>
      <c r="BH116" s="661"/>
      <c r="BI116" s="661"/>
      <c r="BJ116" s="661"/>
      <c r="BK116" s="660"/>
      <c r="BL116" s="661"/>
      <c r="BM116" s="661"/>
      <c r="BN116" s="661"/>
      <c r="BO116" s="660"/>
      <c r="BP116" s="661"/>
      <c r="BQ116" s="661"/>
      <c r="BR116" s="661"/>
      <c r="BS116" s="660"/>
      <c r="BT116" s="661"/>
      <c r="BU116" s="661"/>
      <c r="BV116" s="661"/>
      <c r="BW116" s="660"/>
      <c r="BX116" s="661"/>
      <c r="BY116" s="661"/>
      <c r="BZ116" s="661"/>
      <c r="CA116" s="660"/>
      <c r="CB116" s="661"/>
      <c r="CC116" s="661"/>
      <c r="CD116" s="661"/>
      <c r="CE116" s="660"/>
      <c r="CF116" s="661"/>
      <c r="CG116" s="661"/>
      <c r="CH116" s="661"/>
      <c r="CI116" s="660"/>
      <c r="CJ116" s="661"/>
      <c r="CK116" s="661"/>
      <c r="CL116" s="661"/>
      <c r="CM116" s="660"/>
      <c r="CN116" s="661"/>
      <c r="CO116" s="661"/>
      <c r="CP116" s="661"/>
      <c r="CQ116" s="660"/>
      <c r="CR116" s="661"/>
      <c r="CS116" s="661"/>
      <c r="CT116" s="661"/>
      <c r="CU116" s="660"/>
      <c r="CV116" s="661"/>
      <c r="CW116" s="1793"/>
      <c r="CX116" s="661"/>
      <c r="CY116" s="660"/>
      <c r="CZ116" s="661"/>
      <c r="DA116" s="661"/>
      <c r="DB116" s="661"/>
      <c r="DC116" s="660"/>
      <c r="DD116" s="661"/>
      <c r="DE116" s="661"/>
      <c r="DF116" s="661"/>
      <c r="DG116" s="660"/>
      <c r="DH116" s="661"/>
      <c r="DI116" s="661"/>
      <c r="DJ116" s="661"/>
      <c r="DK116" s="660"/>
      <c r="DL116" s="661"/>
      <c r="DM116" s="661"/>
      <c r="DN116" s="661"/>
      <c r="DO116" s="660"/>
      <c r="DP116" s="661"/>
      <c r="DQ116" s="661"/>
      <c r="DR116" s="661"/>
      <c r="DS116" s="660"/>
      <c r="DT116" s="660"/>
      <c r="DU116" s="661"/>
      <c r="DV116" s="661"/>
      <c r="DW116" s="661"/>
      <c r="DX116" s="660"/>
      <c r="EH116"/>
    </row>
    <row r="117" spans="1:138" s="659" customFormat="1">
      <c r="A117" s="289" t="s">
        <v>1064</v>
      </c>
      <c r="C117" s="290"/>
      <c r="P117" s="661"/>
      <c r="Q117" s="661"/>
      <c r="R117" s="661"/>
      <c r="S117" s="660"/>
      <c r="T117" s="661"/>
      <c r="U117" s="661"/>
      <c r="V117" s="661"/>
      <c r="W117" s="660"/>
      <c r="X117" s="661"/>
      <c r="Y117" s="661"/>
      <c r="Z117" s="661"/>
      <c r="AA117" s="660"/>
      <c r="AB117" s="661"/>
      <c r="AC117" s="661"/>
      <c r="AD117" s="661"/>
      <c r="AE117" s="661"/>
      <c r="AF117" s="661"/>
      <c r="AG117" s="661"/>
      <c r="AH117" s="661"/>
      <c r="AI117" s="660"/>
      <c r="AJ117" s="661"/>
      <c r="AK117" s="661"/>
      <c r="AL117" s="661"/>
      <c r="AM117" s="660"/>
      <c r="AN117" s="661"/>
      <c r="AO117" s="661"/>
      <c r="AP117" s="661"/>
      <c r="AQ117" s="660"/>
      <c r="AR117" s="661"/>
      <c r="AS117" s="661"/>
      <c r="AT117" s="661"/>
      <c r="AU117" s="660"/>
      <c r="AV117" s="661"/>
      <c r="AW117" s="661"/>
      <c r="AX117" s="661"/>
      <c r="AY117" s="660"/>
      <c r="AZ117" s="661"/>
      <c r="BA117" s="661"/>
      <c r="BB117" s="661"/>
      <c r="BC117" s="660"/>
      <c r="BD117" s="661"/>
      <c r="BE117" s="661"/>
      <c r="BF117" s="661"/>
      <c r="BG117" s="660"/>
      <c r="BH117" s="661"/>
      <c r="BI117" s="661"/>
      <c r="BJ117" s="661"/>
      <c r="BK117" s="660"/>
      <c r="BL117" s="661"/>
      <c r="BM117" s="661"/>
      <c r="BN117" s="661"/>
      <c r="BO117" s="660"/>
      <c r="BP117" s="661"/>
      <c r="BQ117" s="661"/>
      <c r="BR117" s="661"/>
      <c r="BS117" s="660"/>
      <c r="BT117" s="661"/>
      <c r="BU117" s="661"/>
      <c r="BV117" s="661"/>
      <c r="BW117" s="660"/>
      <c r="CE117" s="660"/>
      <c r="CI117" s="660"/>
      <c r="CM117" s="660"/>
      <c r="CQ117" s="660"/>
      <c r="CU117" s="660"/>
      <c r="CW117" s="1794"/>
      <c r="CY117" s="660"/>
      <c r="DA117" s="661"/>
      <c r="DB117" s="661"/>
      <c r="DC117" s="660"/>
      <c r="DE117" s="661"/>
      <c r="DF117" s="661"/>
      <c r="DG117" s="660"/>
      <c r="DI117" s="661"/>
      <c r="DJ117" s="661"/>
      <c r="DK117" s="660"/>
      <c r="DL117" s="661"/>
      <c r="DM117" s="661"/>
      <c r="DN117" s="661"/>
      <c r="DO117" s="660"/>
      <c r="DP117" s="661"/>
      <c r="DQ117" s="661"/>
      <c r="DR117" s="661"/>
      <c r="DS117" s="660"/>
      <c r="DT117" s="660"/>
      <c r="DU117" s="661"/>
      <c r="DV117" s="661"/>
      <c r="DW117" s="661"/>
      <c r="DX117" s="660"/>
      <c r="EH117"/>
    </row>
    <row r="118" spans="1:138" s="659" customFormat="1">
      <c r="A118" s="102" t="s">
        <v>1064</v>
      </c>
      <c r="C118" s="103" t="s">
        <v>612</v>
      </c>
      <c r="P118" s="661"/>
      <c r="Q118" s="661"/>
      <c r="R118" s="661"/>
      <c r="S118" s="660"/>
      <c r="T118" s="661"/>
      <c r="U118" s="661"/>
      <c r="V118" s="661"/>
      <c r="W118" s="660"/>
      <c r="X118" s="661"/>
      <c r="Y118" s="661"/>
      <c r="Z118" s="661"/>
      <c r="AA118" s="660"/>
      <c r="AB118" s="661"/>
      <c r="AC118" s="661"/>
      <c r="AD118" s="661"/>
      <c r="AE118" s="661"/>
      <c r="AF118" s="661"/>
      <c r="AG118" s="661"/>
      <c r="AH118" s="661"/>
      <c r="AI118" s="660"/>
      <c r="AJ118" s="661"/>
      <c r="AK118" s="661"/>
      <c r="AL118" s="661"/>
      <c r="AM118" s="660"/>
      <c r="AN118" s="661"/>
      <c r="AO118" s="661"/>
      <c r="AP118" s="661"/>
      <c r="AQ118" s="660"/>
      <c r="AR118" s="661"/>
      <c r="AS118" s="661"/>
      <c r="AT118" s="661"/>
      <c r="AU118" s="660"/>
      <c r="AV118" s="627">
        <v>178</v>
      </c>
      <c r="AW118" s="627">
        <v>126</v>
      </c>
      <c r="AX118" s="303">
        <f t="shared" ref="AX118" si="139">AW118</f>
        <v>126</v>
      </c>
      <c r="AY118" s="660"/>
      <c r="AZ118" s="627">
        <v>234</v>
      </c>
      <c r="BA118" s="627">
        <v>382</v>
      </c>
      <c r="BB118" s="303">
        <f t="shared" ref="BB118" si="140">BA118</f>
        <v>382</v>
      </c>
      <c r="BC118" s="660"/>
      <c r="BD118" s="627">
        <v>202</v>
      </c>
      <c r="BE118" s="627">
        <v>120</v>
      </c>
      <c r="BF118" s="303">
        <f t="shared" ref="BF118" si="141">BE118</f>
        <v>120</v>
      </c>
      <c r="BG118" s="660"/>
      <c r="BH118" s="627">
        <v>199</v>
      </c>
      <c r="BI118" s="627">
        <v>313</v>
      </c>
      <c r="BJ118" s="303">
        <f t="shared" ref="BJ118" si="142">BI118</f>
        <v>313</v>
      </c>
      <c r="BK118" s="660"/>
      <c r="BL118" s="627">
        <v>520</v>
      </c>
      <c r="BM118" s="627">
        <v>385</v>
      </c>
      <c r="BN118" s="303">
        <f t="shared" ref="BN118" si="143">BM118</f>
        <v>385</v>
      </c>
      <c r="BO118" s="660"/>
      <c r="BP118" s="627">
        <v>363</v>
      </c>
      <c r="BQ118" s="627">
        <v>443</v>
      </c>
      <c r="BR118" s="303">
        <f t="shared" ref="BR118" si="144">BQ118</f>
        <v>443</v>
      </c>
      <c r="BS118" s="660"/>
      <c r="BT118" s="627">
        <v>503</v>
      </c>
      <c r="BU118" s="627">
        <v>555</v>
      </c>
      <c r="BV118" s="303">
        <f t="shared" ref="BV118" si="145">BU118</f>
        <v>555</v>
      </c>
      <c r="BW118" s="660"/>
      <c r="BX118" s="627">
        <v>477</v>
      </c>
      <c r="BY118" s="627">
        <v>393</v>
      </c>
      <c r="BZ118" s="303">
        <f t="shared" ref="BZ118" si="146">BY118</f>
        <v>393</v>
      </c>
      <c r="CA118" s="298"/>
      <c r="CB118" s="629">
        <v>76</v>
      </c>
      <c r="CC118" s="629">
        <v>17</v>
      </c>
      <c r="CD118" s="303">
        <f t="shared" ref="CD118" si="147">CC118</f>
        <v>17</v>
      </c>
      <c r="CE118" s="660"/>
      <c r="CF118" s="629">
        <v>60</v>
      </c>
      <c r="CG118" s="629">
        <v>9</v>
      </c>
      <c r="CH118" s="303">
        <f t="shared" ref="CH118" si="148">CG118</f>
        <v>9</v>
      </c>
      <c r="CI118" s="660"/>
      <c r="CJ118" s="629">
        <v>35</v>
      </c>
      <c r="CK118" s="629">
        <v>-72</v>
      </c>
      <c r="CL118" s="303">
        <f t="shared" ref="CL118" si="149">CK118</f>
        <v>-72</v>
      </c>
      <c r="CM118" s="660"/>
      <c r="CN118" s="629">
        <v>42</v>
      </c>
      <c r="CO118" s="629">
        <v>-72</v>
      </c>
      <c r="CP118" s="303">
        <f t="shared" ref="CP118" si="150">CO118</f>
        <v>-72</v>
      </c>
      <c r="CQ118" s="660"/>
      <c r="CR118" s="629">
        <v>35</v>
      </c>
      <c r="CS118" s="629">
        <v>16</v>
      </c>
      <c r="CT118" s="303">
        <f t="shared" ref="CT118" si="151">CS118</f>
        <v>16</v>
      </c>
      <c r="CU118" s="660"/>
      <c r="CV118" s="1949">
        <v>11</v>
      </c>
      <c r="CW118" s="1954">
        <v>-19</v>
      </c>
      <c r="CX118" s="1950">
        <f t="shared" ref="CX118" si="152">CW118</f>
        <v>-19</v>
      </c>
      <c r="CY118" s="660"/>
      <c r="CZ118" s="1388">
        <v>14</v>
      </c>
      <c r="DA118" s="1912">
        <v>-2</v>
      </c>
      <c r="DB118" s="1950">
        <f t="shared" ref="DB118" si="153">DA118</f>
        <v>-2</v>
      </c>
      <c r="DC118" s="660"/>
      <c r="DD118" s="2176">
        <v>12</v>
      </c>
      <c r="DE118" s="1912">
        <v>-2</v>
      </c>
      <c r="DF118" s="1950">
        <f t="shared" ref="DF118" si="154">DE118</f>
        <v>-2</v>
      </c>
      <c r="DG118" s="660"/>
      <c r="DH118" s="2176">
        <v>-5</v>
      </c>
      <c r="DI118" s="661"/>
      <c r="DJ118" s="661"/>
      <c r="DK118" s="660"/>
      <c r="DL118" s="661"/>
      <c r="DM118" s="661"/>
      <c r="DN118" s="661"/>
      <c r="DO118" s="660"/>
      <c r="DP118" s="661"/>
      <c r="DQ118" s="661"/>
      <c r="DR118" s="661"/>
      <c r="DS118" s="660"/>
      <c r="DT118" s="660"/>
      <c r="DU118" s="661"/>
      <c r="DV118" s="661"/>
      <c r="DW118" s="661"/>
      <c r="DX118" s="660"/>
      <c r="EH118"/>
    </row>
    <row r="119" spans="1:138">
      <c r="DY119" s="103"/>
      <c r="EA119" s="103"/>
      <c r="EB119" s="103"/>
      <c r="EC119" s="103"/>
      <c r="ED119" s="103"/>
      <c r="EE119" s="103"/>
      <c r="EF119" s="103"/>
      <c r="EG119" s="103"/>
    </row>
    <row r="120" spans="1:138">
      <c r="A120" s="663" t="s">
        <v>728</v>
      </c>
      <c r="B120" s="664"/>
      <c r="C120" s="665"/>
      <c r="D120" s="664"/>
      <c r="E120" s="664"/>
      <c r="F120" s="664"/>
      <c r="G120" s="664"/>
      <c r="H120" s="664"/>
      <c r="I120" s="664"/>
      <c r="J120" s="664"/>
      <c r="K120" s="664"/>
      <c r="L120" s="664"/>
      <c r="M120" s="664"/>
      <c r="N120" s="664"/>
      <c r="O120" s="664"/>
      <c r="P120" s="665"/>
      <c r="Q120" s="665"/>
      <c r="R120" s="665"/>
      <c r="S120" s="665"/>
      <c r="T120" s="665"/>
      <c r="U120" s="665"/>
      <c r="V120" s="665"/>
      <c r="W120" s="665"/>
      <c r="X120" s="665"/>
      <c r="Y120" s="665"/>
      <c r="Z120" s="665"/>
      <c r="AA120" s="665"/>
      <c r="AB120" s="665"/>
      <c r="AC120" s="665"/>
      <c r="AD120" s="665"/>
      <c r="AE120" s="665"/>
      <c r="AF120" s="665"/>
      <c r="AG120" s="665"/>
      <c r="AH120" s="665"/>
      <c r="AI120" s="665"/>
      <c r="AJ120" s="665"/>
      <c r="AK120" s="665"/>
      <c r="AL120" s="665"/>
      <c r="AM120" s="665"/>
      <c r="AN120" s="665"/>
      <c r="AO120" s="665"/>
      <c r="AP120" s="665"/>
      <c r="AQ120" s="665"/>
      <c r="AR120" s="665"/>
      <c r="AS120" s="665"/>
      <c r="AT120" s="665"/>
      <c r="AU120" s="665"/>
      <c r="AV120" s="666"/>
      <c r="AW120" s="666"/>
      <c r="AX120" s="666"/>
      <c r="AY120" s="665"/>
      <c r="AZ120" s="666"/>
      <c r="BA120" s="666"/>
      <c r="BB120" s="666"/>
      <c r="BC120" s="665"/>
      <c r="BD120" s="666"/>
      <c r="BE120" s="666"/>
      <c r="BF120" s="666"/>
      <c r="BG120" s="665"/>
      <c r="BH120" s="666"/>
      <c r="BI120" s="666"/>
      <c r="BJ120" s="666"/>
      <c r="BK120" s="665"/>
      <c r="BL120" s="666"/>
      <c r="BM120" s="666"/>
      <c r="BN120" s="666"/>
      <c r="BO120" s="665"/>
      <c r="BP120" s="666"/>
      <c r="BQ120" s="666"/>
      <c r="BR120" s="666"/>
      <c r="BS120" s="665"/>
      <c r="BT120" s="666"/>
      <c r="BU120" s="666"/>
      <c r="BV120" s="666"/>
      <c r="BW120" s="665"/>
      <c r="BX120" s="666"/>
      <c r="BY120" s="666"/>
      <c r="BZ120" s="666"/>
      <c r="CA120" s="665"/>
      <c r="CB120" s="666"/>
      <c r="CC120" s="666"/>
      <c r="CD120" s="666"/>
      <c r="CE120" s="665"/>
      <c r="CF120" s="666"/>
      <c r="CG120" s="666"/>
      <c r="CH120" s="666"/>
      <c r="CI120" s="665"/>
      <c r="CJ120" s="666"/>
      <c r="CK120" s="666"/>
      <c r="CL120" s="666"/>
      <c r="CM120" s="665"/>
      <c r="CN120" s="666"/>
      <c r="CO120" s="666"/>
      <c r="CP120" s="666"/>
      <c r="CQ120" s="665"/>
      <c r="CR120" s="666"/>
      <c r="CS120" s="666"/>
      <c r="CT120" s="666"/>
      <c r="CU120" s="665"/>
      <c r="CV120" s="666"/>
      <c r="CW120" s="1795"/>
      <c r="CX120" s="666"/>
      <c r="CY120" s="665"/>
      <c r="CZ120" s="666"/>
      <c r="DA120" s="666"/>
      <c r="DB120" s="666"/>
      <c r="DC120" s="665"/>
      <c r="DD120" s="666"/>
      <c r="DE120" s="666"/>
      <c r="DF120" s="666"/>
      <c r="DG120" s="665"/>
      <c r="DH120" s="666"/>
      <c r="DI120" s="666"/>
      <c r="DJ120" s="666"/>
      <c r="DK120" s="665"/>
      <c r="DL120" s="666"/>
      <c r="DM120" s="666"/>
      <c r="DN120" s="666"/>
      <c r="DO120" s="665"/>
      <c r="DP120" s="666"/>
      <c r="DQ120" s="666"/>
      <c r="DR120" s="666"/>
      <c r="DS120" s="665"/>
      <c r="DU120" s="293"/>
      <c r="DV120" s="293"/>
      <c r="DW120" s="293"/>
      <c r="DZ120" s="102"/>
    </row>
    <row r="121" spans="1:138">
      <c r="DY121" s="103"/>
      <c r="EA121" s="103"/>
      <c r="EB121" s="103"/>
      <c r="EC121" s="103"/>
      <c r="ED121" s="103"/>
      <c r="EE121" s="103"/>
      <c r="EF121" s="103"/>
      <c r="EG121" s="103"/>
    </row>
    <row r="122" spans="1:138">
      <c r="A122" s="102" t="s">
        <v>363</v>
      </c>
      <c r="C122" s="103" t="s">
        <v>366</v>
      </c>
      <c r="BE122" s="309">
        <f>BE16/1000</f>
        <v>45.218000000000004</v>
      </c>
      <c r="BF122" s="309">
        <f>BE122</f>
        <v>45.218000000000004</v>
      </c>
      <c r="BH122" s="309">
        <f>BH16/1000</f>
        <v>47.558999999999997</v>
      </c>
      <c r="BI122" s="309">
        <f>BI16/1000</f>
        <v>50.792999999999999</v>
      </c>
      <c r="BJ122" s="309">
        <f>BI122</f>
        <v>50.792999999999999</v>
      </c>
      <c r="BL122" s="309">
        <f>BL16/1000</f>
        <v>56.093000000000004</v>
      </c>
      <c r="BM122" s="309">
        <f>BM16/1000</f>
        <v>58.712000000000003</v>
      </c>
      <c r="BN122" s="309">
        <f>BM122</f>
        <v>58.712000000000003</v>
      </c>
      <c r="BP122" s="309">
        <f>BP16/1000</f>
        <v>64.435000000000002</v>
      </c>
      <c r="BQ122" s="309">
        <f>BQ16/1000</f>
        <v>72.762</v>
      </c>
      <c r="BR122" s="309">
        <f>BQ122</f>
        <v>72.762</v>
      </c>
      <c r="BT122" s="309">
        <f>BT16/1000</f>
        <v>76.69</v>
      </c>
      <c r="BU122" s="309">
        <f>BU16/1000</f>
        <v>80.366</v>
      </c>
      <c r="BV122" s="309">
        <f>BU122</f>
        <v>80.366</v>
      </c>
      <c r="BW122" s="293">
        <f>'P&amp;L'!BZ58</f>
        <v>2185</v>
      </c>
      <c r="BX122" s="309">
        <f>BX16/1000</f>
        <v>77.975999999999999</v>
      </c>
      <c r="BY122" s="309">
        <f>BY16/1000</f>
        <v>76.662999999999997</v>
      </c>
      <c r="BZ122" s="309">
        <f>BY122</f>
        <v>76.662999999999997</v>
      </c>
      <c r="CB122" s="309">
        <f>CB16/1000</f>
        <v>70.387</v>
      </c>
      <c r="CC122" s="309">
        <f>CC16/1000</f>
        <v>73.509</v>
      </c>
      <c r="CD122" s="309">
        <f>CC122</f>
        <v>73.509</v>
      </c>
      <c r="CF122" s="309">
        <f>CF16/1000</f>
        <v>76.953000000000003</v>
      </c>
      <c r="CG122" s="309">
        <f>CG16/1000</f>
        <v>78.474000000000004</v>
      </c>
      <c r="CH122" s="309">
        <f>CG122</f>
        <v>78.474000000000004</v>
      </c>
      <c r="CJ122" s="309">
        <f>CJ16/1000</f>
        <v>85.066000000000003</v>
      </c>
      <c r="CK122" s="309">
        <f>CK16/1000</f>
        <v>94.117000000000004</v>
      </c>
      <c r="CL122" s="309">
        <f>CK122</f>
        <v>94.117000000000004</v>
      </c>
      <c r="CN122" s="309">
        <f>CN16/1000</f>
        <v>93.414000000000001</v>
      </c>
      <c r="CO122" s="309">
        <f>CO16/1000</f>
        <v>105.026</v>
      </c>
      <c r="CP122" s="309">
        <f>CO122</f>
        <v>105.026</v>
      </c>
      <c r="CR122" s="309">
        <f>CR16/1000</f>
        <v>118.35899999999999</v>
      </c>
      <c r="CS122" s="309">
        <f>CS16/1000</f>
        <v>134.744</v>
      </c>
      <c r="CT122" s="309">
        <f>CS122</f>
        <v>134.744</v>
      </c>
      <c r="CV122" s="309">
        <f>CV16/1000</f>
        <v>148.874</v>
      </c>
      <c r="CW122" s="1796">
        <f>CW16/1000</f>
        <v>158.572</v>
      </c>
      <c r="CX122" s="309">
        <f>CW122</f>
        <v>158.572</v>
      </c>
      <c r="CZ122" s="309">
        <f>CZ16/1000</f>
        <v>167.495</v>
      </c>
      <c r="DA122" s="1796">
        <f>DA16/1000</f>
        <v>176.37100000000001</v>
      </c>
      <c r="DB122" s="309">
        <f>DA122</f>
        <v>176.37100000000001</v>
      </c>
      <c r="DD122" s="309">
        <f>DD16/1000</f>
        <v>187.06399999999999</v>
      </c>
      <c r="DE122" s="1796">
        <f>DE16/1000</f>
        <v>205.648</v>
      </c>
      <c r="DF122" s="309">
        <f>DE122</f>
        <v>205.648</v>
      </c>
      <c r="DH122" s="309">
        <f>DH16/1000</f>
        <v>224.042</v>
      </c>
      <c r="DI122" s="309">
        <f>+DI124+DI123</f>
        <v>249.79542000000001</v>
      </c>
      <c r="DJ122" s="309">
        <f>DI122</f>
        <v>249.79542000000001</v>
      </c>
      <c r="DL122" s="309">
        <f>+DL124+DL123</f>
        <v>269.00286420000003</v>
      </c>
      <c r="DM122" s="309">
        <f>+DM124+DM123</f>
        <v>283.78026184200002</v>
      </c>
      <c r="DN122" s="309">
        <f>DM122</f>
        <v>283.78026184200002</v>
      </c>
      <c r="DP122" s="309">
        <f>+DP124+DP123</f>
        <v>299.38985664042002</v>
      </c>
      <c r="DQ122" s="309">
        <f>+DQ124+DQ123</f>
        <v>315.87940319922427</v>
      </c>
      <c r="DR122" s="309">
        <f>DQ122</f>
        <v>315.87940319922427</v>
      </c>
      <c r="DU122" s="309"/>
      <c r="DV122" s="309"/>
      <c r="DW122" s="309"/>
      <c r="DY122" s="103"/>
      <c r="EA122" s="103"/>
      <c r="EB122" s="103"/>
      <c r="EC122" s="103"/>
      <c r="ED122" s="103"/>
      <c r="EE122" s="103"/>
      <c r="EF122" s="103"/>
      <c r="EG122" s="103"/>
    </row>
    <row r="123" spans="1:138">
      <c r="A123" s="102" t="s">
        <v>364</v>
      </c>
      <c r="C123" s="103" t="s">
        <v>366</v>
      </c>
      <c r="BE123" s="309">
        <f>+BE122-BE124</f>
        <v>7.8180000000000049</v>
      </c>
      <c r="BH123" s="309">
        <f ca="1">+BH122-BH124</f>
        <v>7.4589999999999961</v>
      </c>
      <c r="BI123" s="309">
        <f ca="1">+BI122-BI124</f>
        <v>7.8930000000000007</v>
      </c>
      <c r="BL123" s="309">
        <f>+BL122-BL124</f>
        <v>10.193000000000005</v>
      </c>
      <c r="BM123" s="309">
        <f>+BM122-BM124</f>
        <v>11.512</v>
      </c>
      <c r="BP123" s="309">
        <f>+BP122-BP124</f>
        <v>14.535000000000004</v>
      </c>
      <c r="BQ123" s="309">
        <f>+BQ122-BQ124</f>
        <v>17.561999999999998</v>
      </c>
      <c r="BT123" s="309">
        <f>+BT122-BT124</f>
        <v>15.39</v>
      </c>
      <c r="BU123" s="309">
        <f>+BU122-BU124</f>
        <v>11.266000000000005</v>
      </c>
      <c r="BW123" s="293">
        <f>'P&amp;L'!BZ59</f>
        <v>1758</v>
      </c>
      <c r="BX123" s="309">
        <f>+BX122-BX124</f>
        <v>9.7759999999999962</v>
      </c>
      <c r="BY123" s="309">
        <f>+BY122-BY124</f>
        <v>9.1629999999999967</v>
      </c>
      <c r="CB123" s="309">
        <f>+CB122-CB124</f>
        <v>0.28700000000000614</v>
      </c>
      <c r="CC123" s="309">
        <f>+CC122-CC124</f>
        <v>-1.7909999999999968</v>
      </c>
      <c r="CF123" s="309">
        <f>+CF122-CF124</f>
        <v>-3.6469999999999914</v>
      </c>
      <c r="CG123" s="309">
        <f>+CG122-CG124</f>
        <v>-4.5259999999999962</v>
      </c>
      <c r="CJ123" s="309">
        <f>+CJ122-CJ124</f>
        <v>3.8659999999999997</v>
      </c>
      <c r="CK123" s="309">
        <f>+CK122-CK124</f>
        <v>7.6170000000000044</v>
      </c>
      <c r="CN123" s="309">
        <f>+CN122-CN124</f>
        <v>-2.8859999999999957</v>
      </c>
      <c r="CO123" s="309">
        <f>+CO122-CO124</f>
        <v>-2.3740000000000094</v>
      </c>
      <c r="CR123" s="309">
        <f>+CR122-CR124</f>
        <v>-3.7409999999999997</v>
      </c>
      <c r="CS123" s="309">
        <f>+CS122-CS124</f>
        <v>-3.8559999999999945</v>
      </c>
      <c r="CV123" s="309">
        <f>+CV122-CV124</f>
        <v>-4.2259999999999991</v>
      </c>
      <c r="CW123" s="1796">
        <f>+CW122-CW124</f>
        <v>-4.9279999999999973</v>
      </c>
      <c r="CZ123" s="309">
        <f>+CZ122-CZ124</f>
        <v>-5.1049999999999898</v>
      </c>
      <c r="DA123" s="1796">
        <f>+DA122-DA124</f>
        <v>-5.1289999999999907</v>
      </c>
      <c r="DD123" s="309">
        <f>+DD122-DD124</f>
        <v>-4.8360000000000127</v>
      </c>
      <c r="DE123" s="1796">
        <f>+DE122-DE124</f>
        <v>4.8000000000001819E-2</v>
      </c>
      <c r="DH123" s="309">
        <f>+DH122-DH124</f>
        <v>4.2000000000001592E-2</v>
      </c>
      <c r="DI123" s="309">
        <f>+DH123*(1+DI137)</f>
        <v>4.2420000000001609E-2</v>
      </c>
      <c r="DL123" s="309">
        <f>+DI123*(1+DL137)</f>
        <v>4.2844200000001623E-2</v>
      </c>
      <c r="DM123" s="309">
        <f>+DL123*(1+DM137)</f>
        <v>4.3272642000001638E-2</v>
      </c>
      <c r="DP123" s="309">
        <f>+DM123*(1+DP137)</f>
        <v>4.3705368420001653E-2</v>
      </c>
      <c r="DQ123" s="309">
        <f>+DP123*(1+DQ137)</f>
        <v>4.4142422104201669E-2</v>
      </c>
      <c r="DU123" s="309"/>
      <c r="DV123" s="309"/>
      <c r="DY123" s="103"/>
      <c r="EA123" s="103"/>
      <c r="EB123" s="103"/>
      <c r="EC123" s="103"/>
      <c r="ED123" s="103"/>
      <c r="EE123" s="103"/>
      <c r="EF123" s="103"/>
      <c r="EG123" s="103"/>
    </row>
    <row r="124" spans="1:138" s="289" customFormat="1">
      <c r="A124" s="289" t="s">
        <v>365</v>
      </c>
      <c r="C124" s="290" t="s">
        <v>366</v>
      </c>
      <c r="P124" s="290"/>
      <c r="Q124" s="290"/>
      <c r="R124" s="290"/>
      <c r="S124" s="290"/>
      <c r="T124" s="290"/>
      <c r="U124" s="290"/>
      <c r="V124" s="290"/>
      <c r="W124" s="290"/>
      <c r="X124" s="290"/>
      <c r="Y124" s="290"/>
      <c r="Z124" s="290"/>
      <c r="AA124" s="290"/>
      <c r="AB124" s="290"/>
      <c r="AC124" s="290"/>
      <c r="AD124" s="290"/>
      <c r="AE124" s="290"/>
      <c r="AF124" s="290"/>
      <c r="AG124" s="290"/>
      <c r="AH124" s="290"/>
      <c r="AI124" s="290"/>
      <c r="AJ124" s="290"/>
      <c r="AK124" s="290"/>
      <c r="AL124" s="290"/>
      <c r="AM124" s="290"/>
      <c r="AN124" s="290"/>
      <c r="AO124" s="290"/>
      <c r="AP124" s="290"/>
      <c r="AQ124" s="290"/>
      <c r="AR124" s="290"/>
      <c r="AS124" s="290"/>
      <c r="AT124" s="290"/>
      <c r="AU124" s="290"/>
      <c r="AV124" s="290"/>
      <c r="AW124" s="290"/>
      <c r="AX124" s="290"/>
      <c r="AY124" s="290"/>
      <c r="AZ124" s="290"/>
      <c r="BA124" s="290"/>
      <c r="BB124" s="290"/>
      <c r="BC124" s="290"/>
      <c r="BD124" s="290"/>
      <c r="BE124" s="310">
        <f>BE130</f>
        <v>37.4</v>
      </c>
      <c r="BF124" s="310">
        <f>BE124</f>
        <v>37.4</v>
      </c>
      <c r="BG124" s="290"/>
      <c r="BH124" s="310">
        <f ca="1">BH130</f>
        <v>40.1</v>
      </c>
      <c r="BI124" s="310">
        <f ca="1">BI130</f>
        <v>42.9</v>
      </c>
      <c r="BJ124" s="310">
        <f ca="1">BI124</f>
        <v>42.9</v>
      </c>
      <c r="BK124" s="290"/>
      <c r="BL124" s="310">
        <f>BL130</f>
        <v>45.9</v>
      </c>
      <c r="BM124" s="310">
        <f>BM130</f>
        <v>47.2</v>
      </c>
      <c r="BN124" s="310">
        <f>BM124</f>
        <v>47.2</v>
      </c>
      <c r="BO124" s="290"/>
      <c r="BP124" s="310">
        <f>BP130</f>
        <v>49.9</v>
      </c>
      <c r="BQ124" s="310">
        <f>BQ130</f>
        <v>55.2</v>
      </c>
      <c r="BR124" s="310">
        <f>BQ124</f>
        <v>55.2</v>
      </c>
      <c r="BS124" s="290"/>
      <c r="BT124" s="310">
        <f>BT130</f>
        <v>61.3</v>
      </c>
      <c r="BU124" s="310">
        <f>BU130</f>
        <v>69.099999999999994</v>
      </c>
      <c r="BV124" s="310">
        <f>BU124</f>
        <v>69.099999999999994</v>
      </c>
      <c r="BW124" s="293">
        <f>'P&amp;L'!BZ60</f>
        <v>3943</v>
      </c>
      <c r="BX124" s="310">
        <f>BX130</f>
        <v>68.2</v>
      </c>
      <c r="BY124" s="310">
        <f>BY130</f>
        <v>67.5</v>
      </c>
      <c r="BZ124" s="310">
        <f>BY124</f>
        <v>67.5</v>
      </c>
      <c r="CA124" s="290"/>
      <c r="CB124" s="310">
        <f>CB130</f>
        <v>70.099999999999994</v>
      </c>
      <c r="CC124" s="310">
        <f>CC130</f>
        <v>75.3</v>
      </c>
      <c r="CD124" s="310">
        <f>CC124</f>
        <v>75.3</v>
      </c>
      <c r="CE124" s="290"/>
      <c r="CF124" s="310">
        <f>CF130</f>
        <v>80.599999999999994</v>
      </c>
      <c r="CG124" s="310">
        <f>CG130</f>
        <v>83</v>
      </c>
      <c r="CH124" s="310">
        <f>CG124</f>
        <v>83</v>
      </c>
      <c r="CI124" s="290"/>
      <c r="CJ124" s="310">
        <f>CJ130</f>
        <v>81.2</v>
      </c>
      <c r="CK124" s="310">
        <f>CK130</f>
        <v>86.5</v>
      </c>
      <c r="CL124" s="310">
        <f>CK124</f>
        <v>86.5</v>
      </c>
      <c r="CM124" s="290"/>
      <c r="CN124" s="310">
        <f>CN130</f>
        <v>96.3</v>
      </c>
      <c r="CO124" s="310">
        <f>CO130</f>
        <v>107.4</v>
      </c>
      <c r="CP124" s="310">
        <f>CO124</f>
        <v>107.4</v>
      </c>
      <c r="CQ124" s="290"/>
      <c r="CR124" s="310">
        <f>CR130</f>
        <v>122.1</v>
      </c>
      <c r="CS124" s="310">
        <f>CS130</f>
        <v>138.6</v>
      </c>
      <c r="CT124" s="310">
        <f>CS124</f>
        <v>138.6</v>
      </c>
      <c r="CU124" s="290"/>
      <c r="CV124" s="310">
        <f>CV130</f>
        <v>153.1</v>
      </c>
      <c r="CW124" s="1797">
        <f>CW130</f>
        <v>163.5</v>
      </c>
      <c r="CX124" s="310">
        <f>CW124</f>
        <v>163.5</v>
      </c>
      <c r="CY124" s="290"/>
      <c r="CZ124" s="310">
        <f>CZ130</f>
        <v>172.6</v>
      </c>
      <c r="DA124" s="1797">
        <f>DA130</f>
        <v>181.5</v>
      </c>
      <c r="DB124" s="310">
        <f>DA124</f>
        <v>181.5</v>
      </c>
      <c r="DC124" s="290"/>
      <c r="DD124" s="310">
        <f>DD130</f>
        <v>191.9</v>
      </c>
      <c r="DE124" s="1797">
        <f>DE130</f>
        <v>205.6</v>
      </c>
      <c r="DF124" s="310">
        <f>DE124</f>
        <v>205.6</v>
      </c>
      <c r="DG124" s="290"/>
      <c r="DH124" s="310">
        <f>DH130</f>
        <v>224</v>
      </c>
      <c r="DI124" s="310">
        <f>DI130</f>
        <v>249.75300000000001</v>
      </c>
      <c r="DJ124" s="310">
        <f>DI124</f>
        <v>249.75300000000001</v>
      </c>
      <c r="DK124" s="290"/>
      <c r="DL124" s="310">
        <f>DL130</f>
        <v>268.96002000000004</v>
      </c>
      <c r="DM124" s="310">
        <f>DM130</f>
        <v>283.73698920000004</v>
      </c>
      <c r="DN124" s="310">
        <f>DM124</f>
        <v>283.73698920000004</v>
      </c>
      <c r="DO124" s="290"/>
      <c r="DP124" s="310">
        <f>DP130</f>
        <v>299.34615127200004</v>
      </c>
      <c r="DQ124" s="310">
        <f>DQ130</f>
        <v>315.83526077712008</v>
      </c>
      <c r="DR124" s="310">
        <f>DQ124</f>
        <v>315.83526077712008</v>
      </c>
      <c r="DS124" s="290"/>
      <c r="DT124" s="290"/>
      <c r="DU124" s="310"/>
      <c r="DV124" s="310"/>
      <c r="DW124" s="310"/>
      <c r="DX124" s="290"/>
      <c r="DY124" s="290"/>
      <c r="EA124" s="290"/>
      <c r="EB124" s="290"/>
      <c r="EC124" s="290"/>
      <c r="ED124" s="290"/>
      <c r="EE124" s="290"/>
      <c r="EF124" s="290"/>
      <c r="EG124" s="290"/>
      <c r="EH124"/>
    </row>
    <row r="125" spans="1:138">
      <c r="A125" s="323" t="s">
        <v>367</v>
      </c>
      <c r="DA125" s="1802"/>
      <c r="DE125" s="1802"/>
      <c r="DY125" s="103"/>
      <c r="EA125" s="103"/>
      <c r="EB125" s="103"/>
      <c r="EC125" s="103"/>
      <c r="ED125" s="103"/>
      <c r="EE125" s="103"/>
      <c r="EF125" s="103"/>
      <c r="EG125" s="103"/>
    </row>
    <row r="126" spans="1:138">
      <c r="A126" s="102" t="s">
        <v>368</v>
      </c>
      <c r="C126" s="103" t="s">
        <v>366</v>
      </c>
      <c r="BE126" s="796">
        <v>3</v>
      </c>
      <c r="BH126" s="796">
        <v>4.5</v>
      </c>
      <c r="BI126" s="796">
        <v>7.2</v>
      </c>
      <c r="BL126" s="796">
        <v>8.4</v>
      </c>
      <c r="BM126" s="796">
        <v>10.5</v>
      </c>
      <c r="BP126" s="796">
        <v>12.6</v>
      </c>
      <c r="BQ126" s="796">
        <v>16.7</v>
      </c>
      <c r="BT126" s="796">
        <v>19.100000000000001</v>
      </c>
      <c r="BU126" s="796">
        <v>21.6</v>
      </c>
      <c r="BX126" s="796">
        <v>22</v>
      </c>
      <c r="BY126" s="796">
        <v>23</v>
      </c>
      <c r="CB126" s="796">
        <v>25.4</v>
      </c>
      <c r="CC126" s="796">
        <v>28.7</v>
      </c>
      <c r="CF126" s="796">
        <v>32.700000000000003</v>
      </c>
      <c r="CG126" s="796">
        <v>35.6</v>
      </c>
      <c r="CJ126" s="796">
        <v>38.799999999999997</v>
      </c>
      <c r="CK126" s="796">
        <v>43.2</v>
      </c>
      <c r="CN126" s="796">
        <v>57.3</v>
      </c>
      <c r="CO126" s="796">
        <v>66.900000000000006</v>
      </c>
      <c r="CP126" s="796"/>
      <c r="CQ126" s="796"/>
      <c r="CR126" s="796">
        <v>76.8</v>
      </c>
      <c r="CS126" s="796">
        <v>89.9</v>
      </c>
      <c r="CV126" s="796">
        <v>108.1</v>
      </c>
      <c r="CW126" s="1830">
        <v>109</v>
      </c>
      <c r="CZ126" s="796">
        <v>115.2</v>
      </c>
      <c r="DA126" s="1461">
        <v>120.4</v>
      </c>
      <c r="DD126" s="796">
        <v>131</v>
      </c>
      <c r="DE126" s="2184">
        <v>143</v>
      </c>
      <c r="DH126" s="796">
        <v>161.69999999999999</v>
      </c>
      <c r="DI126" s="309">
        <f>+DH126*(1+DI132)</f>
        <v>184.33799999999999</v>
      </c>
      <c r="DL126" s="309">
        <f>+DI126*(1+DL132)</f>
        <v>200.92842000000002</v>
      </c>
      <c r="DM126" s="309">
        <f>+DL126*(1+DM132)</f>
        <v>212.98412520000002</v>
      </c>
      <c r="DP126" s="309">
        <f>+DM126*(1+DP132)</f>
        <v>225.76317271200003</v>
      </c>
      <c r="DQ126" s="309">
        <f>+DP126*(1+DQ132)</f>
        <v>239.30896307472005</v>
      </c>
      <c r="DU126" s="309"/>
      <c r="DV126" s="309"/>
      <c r="DY126" s="103"/>
      <c r="EA126" s="103"/>
      <c r="EB126" s="103"/>
      <c r="EC126" s="103"/>
      <c r="ED126" s="103"/>
      <c r="EE126" s="103"/>
      <c r="EF126" s="103"/>
      <c r="EG126" s="103"/>
    </row>
    <row r="127" spans="1:138">
      <c r="A127" s="102" t="s">
        <v>369</v>
      </c>
      <c r="C127" s="103" t="s">
        <v>366</v>
      </c>
      <c r="BE127" s="309">
        <f>+BE128-BE126</f>
        <v>9</v>
      </c>
      <c r="BH127" s="309">
        <f>+BH128-BH126</f>
        <v>8.6</v>
      </c>
      <c r="BI127" s="309">
        <f>+BI128-BI126</f>
        <v>7.6000000000000005</v>
      </c>
      <c r="BL127" s="309">
        <f>+BL128-BL126</f>
        <v>6.7999999999999989</v>
      </c>
      <c r="BM127" s="309">
        <f>+BM128-BM126</f>
        <v>5.6999999999999993</v>
      </c>
      <c r="BP127" s="309">
        <f>+BP128-BP126</f>
        <v>5.2000000000000011</v>
      </c>
      <c r="BQ127" s="309">
        <f>+BQ128-BQ126</f>
        <v>4.5</v>
      </c>
      <c r="BT127" s="309">
        <f>+BT128-BT126</f>
        <v>2.5</v>
      </c>
      <c r="BU127" s="309">
        <f>+BU128-BU126</f>
        <v>1.5</v>
      </c>
      <c r="BX127" s="309">
        <f>+BX128-BX126</f>
        <v>0.60000000000000142</v>
      </c>
      <c r="BY127" s="309">
        <f>+BY128-BY126</f>
        <v>0.5</v>
      </c>
      <c r="CB127" s="309">
        <f>+CB128-CB126</f>
        <v>0</v>
      </c>
      <c r="CC127" s="309">
        <f>+CC128-CC126</f>
        <v>0</v>
      </c>
      <c r="CF127" s="309">
        <f>+CF128-CF126</f>
        <v>0</v>
      </c>
      <c r="CG127" s="309">
        <f>+CG128-CG126</f>
        <v>0</v>
      </c>
      <c r="CJ127" s="309">
        <f>+CJ128-CJ126</f>
        <v>0</v>
      </c>
      <c r="CK127" s="309">
        <f>+CK128-CK126</f>
        <v>0</v>
      </c>
      <c r="CN127" s="309">
        <f>+CN128-CN126</f>
        <v>0</v>
      </c>
      <c r="CO127" s="309">
        <f>+CO128-CO126</f>
        <v>0</v>
      </c>
      <c r="CP127" s="309"/>
      <c r="CQ127" s="309"/>
      <c r="CR127" s="309">
        <f>+CR128-CR126</f>
        <v>0</v>
      </c>
      <c r="CS127" s="309">
        <f>+CS128-CS126</f>
        <v>0</v>
      </c>
      <c r="CV127" s="309">
        <f>+CV128-CV126</f>
        <v>0</v>
      </c>
      <c r="CW127" s="1796">
        <f>+CW128-CW126</f>
        <v>0</v>
      </c>
      <c r="CZ127" s="309">
        <f>+CZ128-CZ126</f>
        <v>0</v>
      </c>
      <c r="DA127" s="2029">
        <f>+DA128-DA126</f>
        <v>0</v>
      </c>
      <c r="DD127" s="309">
        <f>+DD128-DD126</f>
        <v>0</v>
      </c>
      <c r="DE127" s="2029">
        <f>+DE128-DE126</f>
        <v>0</v>
      </c>
      <c r="DH127" s="309">
        <f>+DH128-DH126</f>
        <v>0</v>
      </c>
      <c r="DI127" s="309">
        <f>+DH127*(1+DI133)</f>
        <v>0</v>
      </c>
      <c r="DL127" s="309">
        <f>+DI127*(1+DL133)</f>
        <v>0</v>
      </c>
      <c r="DM127" s="309">
        <f>+DL127*(1+DM133)</f>
        <v>0</v>
      </c>
      <c r="DP127" s="309">
        <f>+DM127*(1+DP133)</f>
        <v>0</v>
      </c>
      <c r="DQ127" s="309">
        <f>+DP127*(1+DQ133)</f>
        <v>0</v>
      </c>
      <c r="DU127" s="309"/>
      <c r="DV127" s="309"/>
      <c r="DY127" s="103"/>
      <c r="EA127" s="103"/>
      <c r="EB127" s="103"/>
      <c r="EC127" s="103"/>
      <c r="ED127" s="103"/>
      <c r="EE127" s="103"/>
      <c r="EF127" s="103"/>
      <c r="EG127" s="103"/>
    </row>
    <row r="128" spans="1:138" s="289" customFormat="1">
      <c r="A128" s="289" t="s">
        <v>370</v>
      </c>
      <c r="C128" s="290" t="s">
        <v>366</v>
      </c>
      <c r="P128" s="290"/>
      <c r="Q128" s="290"/>
      <c r="R128" s="290"/>
      <c r="S128" s="290"/>
      <c r="T128" s="290"/>
      <c r="U128" s="290"/>
      <c r="V128" s="290"/>
      <c r="W128" s="290"/>
      <c r="X128" s="290"/>
      <c r="Y128" s="290"/>
      <c r="Z128" s="290"/>
      <c r="AA128" s="290"/>
      <c r="AB128" s="290"/>
      <c r="AC128" s="290"/>
      <c r="AD128" s="290"/>
      <c r="AE128" s="290"/>
      <c r="AF128" s="290"/>
      <c r="AG128" s="290"/>
      <c r="AH128" s="290"/>
      <c r="AI128" s="290"/>
      <c r="AJ128" s="290"/>
      <c r="AK128" s="290"/>
      <c r="AL128" s="290"/>
      <c r="AM128" s="290"/>
      <c r="AN128" s="290"/>
      <c r="AO128" s="290"/>
      <c r="AP128" s="290"/>
      <c r="AQ128" s="290"/>
      <c r="AR128" s="290"/>
      <c r="AS128" s="290"/>
      <c r="AT128" s="290"/>
      <c r="AU128" s="290"/>
      <c r="AV128" s="290"/>
      <c r="AW128" s="290"/>
      <c r="AX128" s="290"/>
      <c r="AY128" s="290"/>
      <c r="AZ128" s="290"/>
      <c r="BA128" s="290"/>
      <c r="BB128" s="290"/>
      <c r="BC128" s="290"/>
      <c r="BD128" s="290"/>
      <c r="BE128" s="1958">
        <v>12</v>
      </c>
      <c r="BF128" s="310">
        <f>+BE128</f>
        <v>12</v>
      </c>
      <c r="BG128" s="290"/>
      <c r="BH128" s="1958">
        <v>13.1</v>
      </c>
      <c r="BI128" s="1958">
        <v>14.8</v>
      </c>
      <c r="BJ128" s="310">
        <f>+BI128</f>
        <v>14.8</v>
      </c>
      <c r="BK128" s="290"/>
      <c r="BL128" s="1958">
        <v>15.2</v>
      </c>
      <c r="BM128" s="1958">
        <v>16.2</v>
      </c>
      <c r="BN128" s="310">
        <f>+BM128</f>
        <v>16.2</v>
      </c>
      <c r="BO128" s="290"/>
      <c r="BP128" s="1958">
        <v>17.8</v>
      </c>
      <c r="BQ128" s="1958">
        <v>21.2</v>
      </c>
      <c r="BR128" s="310">
        <f>+BQ128</f>
        <v>21.2</v>
      </c>
      <c r="BS128" s="290"/>
      <c r="BT128" s="1958">
        <v>21.6</v>
      </c>
      <c r="BU128" s="1958">
        <v>23.1</v>
      </c>
      <c r="BV128" s="310">
        <f>+BU128</f>
        <v>23.1</v>
      </c>
      <c r="BW128" s="290"/>
      <c r="BX128" s="1958">
        <v>22.6</v>
      </c>
      <c r="BY128" s="1958">
        <v>23.5</v>
      </c>
      <c r="BZ128" s="310">
        <f>+BY128</f>
        <v>23.5</v>
      </c>
      <c r="CA128" s="290"/>
      <c r="CB128" s="1958">
        <v>25.4</v>
      </c>
      <c r="CC128" s="1958">
        <v>28.7</v>
      </c>
      <c r="CD128" s="310">
        <f>+CC128</f>
        <v>28.7</v>
      </c>
      <c r="CE128" s="290"/>
      <c r="CF128" s="1958">
        <v>32.700000000000003</v>
      </c>
      <c r="CG128" s="1958">
        <v>35.6</v>
      </c>
      <c r="CH128" s="310">
        <f>+CG128</f>
        <v>35.6</v>
      </c>
      <c r="CI128" s="290"/>
      <c r="CJ128" s="1958">
        <v>38.799999999999997</v>
      </c>
      <c r="CK128" s="1958">
        <v>43.2</v>
      </c>
      <c r="CL128" s="310">
        <f>+CK128</f>
        <v>43.2</v>
      </c>
      <c r="CM128" s="290"/>
      <c r="CN128" s="1958">
        <v>57.3</v>
      </c>
      <c r="CO128" s="1958">
        <v>66.900000000000006</v>
      </c>
      <c r="CP128" s="310">
        <f>+CO128</f>
        <v>66.900000000000006</v>
      </c>
      <c r="CQ128" s="1958"/>
      <c r="CR128" s="1958">
        <v>76.8</v>
      </c>
      <c r="CS128" s="1958">
        <v>89.9</v>
      </c>
      <c r="CT128" s="310">
        <f>+CS128</f>
        <v>89.9</v>
      </c>
      <c r="CU128" s="290"/>
      <c r="CV128" s="1958">
        <v>108.1</v>
      </c>
      <c r="CW128" s="1829">
        <v>109</v>
      </c>
      <c r="CX128" s="310">
        <f>+CW128</f>
        <v>109</v>
      </c>
      <c r="CY128" s="290"/>
      <c r="CZ128" s="1958">
        <v>115.2</v>
      </c>
      <c r="DA128" s="1456">
        <v>120.4</v>
      </c>
      <c r="DB128" s="310">
        <f>+DA128</f>
        <v>120.4</v>
      </c>
      <c r="DC128" s="290"/>
      <c r="DD128" s="1958">
        <v>131</v>
      </c>
      <c r="DE128" s="2185">
        <v>143</v>
      </c>
      <c r="DF128" s="310">
        <f>+DE128</f>
        <v>143</v>
      </c>
      <c r="DG128" s="290"/>
      <c r="DH128" s="1958">
        <v>161.69999999999999</v>
      </c>
      <c r="DI128" s="310">
        <f>SUM(DI126:DI127)</f>
        <v>184.33799999999999</v>
      </c>
      <c r="DJ128" s="290"/>
      <c r="DK128" s="290"/>
      <c r="DL128" s="310">
        <f>SUM(DL126:DL127)</f>
        <v>200.92842000000002</v>
      </c>
      <c r="DM128" s="310">
        <f>SUM(DM126:DM127)</f>
        <v>212.98412520000002</v>
      </c>
      <c r="DN128" s="290"/>
      <c r="DO128" s="290"/>
      <c r="DP128" s="310">
        <f>SUM(DP126:DP127)</f>
        <v>225.76317271200003</v>
      </c>
      <c r="DQ128" s="310">
        <f>SUM(DQ126:DQ127)</f>
        <v>239.30896307472005</v>
      </c>
      <c r="DR128" s="290"/>
      <c r="DS128" s="290"/>
      <c r="DT128" s="290"/>
      <c r="DU128" s="310"/>
      <c r="DV128" s="310"/>
      <c r="DW128" s="290"/>
      <c r="DX128" s="290"/>
      <c r="DY128" s="290"/>
      <c r="EA128" s="290"/>
      <c r="EB128" s="290"/>
      <c r="EC128" s="290"/>
      <c r="ED128" s="290"/>
      <c r="EE128" s="290"/>
      <c r="EF128" s="290"/>
      <c r="EG128" s="290"/>
      <c r="EH128"/>
    </row>
    <row r="129" spans="1:138">
      <c r="A129" s="102" t="s">
        <v>454</v>
      </c>
      <c r="C129" s="103" t="s">
        <v>366</v>
      </c>
      <c r="BE129" s="309">
        <f>+BE130-BE128</f>
        <v>25.4</v>
      </c>
      <c r="BH129" s="309">
        <f ca="1">+BH130-BH128</f>
        <v>27</v>
      </c>
      <c r="BI129" s="309">
        <f ca="1">+BI130-BI128</f>
        <v>28.099999999999998</v>
      </c>
      <c r="BL129" s="309">
        <f>+BL130-BL128</f>
        <v>30.7</v>
      </c>
      <c r="BM129" s="309">
        <f>+BM130-BM128</f>
        <v>31.000000000000004</v>
      </c>
      <c r="BP129" s="309">
        <f>+BP130-BP128</f>
        <v>32.099999999999994</v>
      </c>
      <c r="BQ129" s="309">
        <f>+BQ130-BQ128</f>
        <v>34</v>
      </c>
      <c r="BT129" s="309">
        <f>+BT130-BT128</f>
        <v>39.699999999999996</v>
      </c>
      <c r="BU129" s="309">
        <f>+BU130-BU128</f>
        <v>45.999999999999993</v>
      </c>
      <c r="BX129" s="309">
        <f>+BX130-BX128</f>
        <v>45.6</v>
      </c>
      <c r="BY129" s="309">
        <f>+BY130-BY128</f>
        <v>44</v>
      </c>
      <c r="CB129" s="309">
        <f>+CB130-CB128</f>
        <v>44.699999999999996</v>
      </c>
      <c r="CC129" s="309">
        <f>+CC130-CC128</f>
        <v>46.599999999999994</v>
      </c>
      <c r="CF129" s="309">
        <f>+CF130-CF128</f>
        <v>47.899999999999991</v>
      </c>
      <c r="CG129" s="309">
        <f>+CG130-CG128</f>
        <v>47.4</v>
      </c>
      <c r="CJ129" s="309">
        <f>+CJ130-CJ128</f>
        <v>42.400000000000006</v>
      </c>
      <c r="CK129" s="309">
        <f>+CK130-CK128</f>
        <v>43.3</v>
      </c>
      <c r="CN129" s="309">
        <f>+CN130-CN128</f>
        <v>39</v>
      </c>
      <c r="CO129" s="309">
        <f>+CO130-CO128</f>
        <v>40.5</v>
      </c>
      <c r="CP129" s="309"/>
      <c r="CQ129" s="309"/>
      <c r="CR129" s="309">
        <f>+CR130-CR128</f>
        <v>45.3</v>
      </c>
      <c r="CS129" s="309">
        <f>+CS130-CS128</f>
        <v>48.699999999999989</v>
      </c>
      <c r="CV129" s="309">
        <f>+CV130-CV128</f>
        <v>45</v>
      </c>
      <c r="CW129" s="1796">
        <f>+CW130-CW128</f>
        <v>54.5</v>
      </c>
      <c r="CZ129" s="309">
        <f>+CZ130-CZ128</f>
        <v>57.399999999999991</v>
      </c>
      <c r="DA129" s="2029">
        <f>+DA130-DA128</f>
        <v>61.099999999999994</v>
      </c>
      <c r="DD129" s="309">
        <f>+DD130-DD128</f>
        <v>60.900000000000006</v>
      </c>
      <c r="DE129" s="2029">
        <f>+DE130-DE128</f>
        <v>62.599999999999994</v>
      </c>
      <c r="DH129" s="309">
        <f>+DH130-DH128</f>
        <v>62.300000000000011</v>
      </c>
      <c r="DI129" s="309">
        <f>+DH129*(1+DI135)</f>
        <v>65.41500000000002</v>
      </c>
      <c r="DL129" s="309">
        <f>+DI129*(1+DL135)</f>
        <v>68.031600000000026</v>
      </c>
      <c r="DM129" s="309">
        <f>+DL129*(1+DM135)</f>
        <v>70.752864000000031</v>
      </c>
      <c r="DP129" s="309">
        <f>+DM129*(1+DP135)</f>
        <v>73.582978560000029</v>
      </c>
      <c r="DQ129" s="309">
        <f>+DP129*(1+DQ135)</f>
        <v>76.526297702400029</v>
      </c>
      <c r="DU129" s="309"/>
      <c r="DV129" s="309"/>
      <c r="DY129" s="103"/>
      <c r="EA129" s="103"/>
      <c r="EB129" s="103"/>
      <c r="EC129" s="103"/>
      <c r="ED129" s="103"/>
      <c r="EE129" s="103"/>
      <c r="EF129" s="103"/>
      <c r="EG129" s="103"/>
    </row>
    <row r="130" spans="1:138" s="289" customFormat="1">
      <c r="A130" s="289" t="s">
        <v>8</v>
      </c>
      <c r="C130" s="290" t="s">
        <v>366</v>
      </c>
      <c r="P130" s="290"/>
      <c r="Q130" s="290"/>
      <c r="R130" s="290"/>
      <c r="S130" s="290"/>
      <c r="T130" s="290"/>
      <c r="U130" s="290"/>
      <c r="V130" s="290"/>
      <c r="W130" s="290"/>
      <c r="X130" s="290"/>
      <c r="Y130" s="290"/>
      <c r="Z130" s="290"/>
      <c r="AA130" s="290"/>
      <c r="AB130" s="290"/>
      <c r="AC130" s="290"/>
      <c r="AD130" s="290"/>
      <c r="AE130" s="290"/>
      <c r="AF130" s="290"/>
      <c r="AG130" s="290"/>
      <c r="AH130" s="290"/>
      <c r="AI130" s="290"/>
      <c r="AJ130" s="290"/>
      <c r="AK130" s="290"/>
      <c r="AL130" s="290"/>
      <c r="AM130" s="290"/>
      <c r="AN130" s="290"/>
      <c r="AO130" s="290"/>
      <c r="AP130" s="290"/>
      <c r="AQ130" s="290"/>
      <c r="AR130" s="290"/>
      <c r="AS130" s="290"/>
      <c r="AT130" s="290"/>
      <c r="AU130" s="290"/>
      <c r="AV130" s="290"/>
      <c r="AW130" s="290"/>
      <c r="AX130" s="290"/>
      <c r="AY130" s="290"/>
      <c r="AZ130" s="290"/>
      <c r="BA130" s="290"/>
      <c r="BB130" s="290"/>
      <c r="BC130" s="290"/>
      <c r="BD130" s="290"/>
      <c r="BE130" s="1958">
        <v>37.4</v>
      </c>
      <c r="BF130" s="290"/>
      <c r="BG130" s="290"/>
      <c r="BH130" s="1958">
        <f ca="1">BH124</f>
        <v>40.1</v>
      </c>
      <c r="BI130" s="1958">
        <f ca="1">BI124</f>
        <v>42.9</v>
      </c>
      <c r="BJ130" s="290"/>
      <c r="BK130" s="290"/>
      <c r="BL130" s="1958">
        <v>45.9</v>
      </c>
      <c r="BM130" s="1958">
        <v>47.2</v>
      </c>
      <c r="BN130" s="290"/>
      <c r="BO130" s="290"/>
      <c r="BP130" s="1958">
        <v>49.9</v>
      </c>
      <c r="BQ130" s="1958">
        <v>55.2</v>
      </c>
      <c r="BR130" s="290"/>
      <c r="BS130" s="290"/>
      <c r="BT130" s="1958">
        <v>61.3</v>
      </c>
      <c r="BU130" s="1958">
        <v>69.099999999999994</v>
      </c>
      <c r="BV130" s="290"/>
      <c r="BW130" s="290"/>
      <c r="BX130" s="1958">
        <v>68.2</v>
      </c>
      <c r="BY130" s="1958">
        <v>67.5</v>
      </c>
      <c r="BZ130" s="290"/>
      <c r="CA130" s="290"/>
      <c r="CB130" s="1958">
        <v>70.099999999999994</v>
      </c>
      <c r="CC130" s="1958">
        <v>75.3</v>
      </c>
      <c r="CD130" s="290"/>
      <c r="CE130" s="290"/>
      <c r="CF130" s="1958">
        <v>80.599999999999994</v>
      </c>
      <c r="CG130" s="1958">
        <v>83</v>
      </c>
      <c r="CH130" s="290"/>
      <c r="CI130" s="290"/>
      <c r="CJ130" s="1958">
        <v>81.2</v>
      </c>
      <c r="CK130" s="1958">
        <v>86.5</v>
      </c>
      <c r="CL130" s="290"/>
      <c r="CM130" s="290"/>
      <c r="CN130" s="1958">
        <v>96.3</v>
      </c>
      <c r="CO130" s="1958">
        <v>107.4</v>
      </c>
      <c r="CP130" s="1958"/>
      <c r="CQ130" s="1958"/>
      <c r="CR130" s="1958">
        <v>122.1</v>
      </c>
      <c r="CS130" s="1958">
        <v>138.6</v>
      </c>
      <c r="CT130" s="290"/>
      <c r="CU130" s="290"/>
      <c r="CV130" s="1958">
        <v>153.1</v>
      </c>
      <c r="CW130" s="1829">
        <v>163.5</v>
      </c>
      <c r="CX130" s="290"/>
      <c r="CY130" s="290"/>
      <c r="CZ130" s="1958">
        <v>172.6</v>
      </c>
      <c r="DA130" s="1456">
        <v>181.5</v>
      </c>
      <c r="DB130" s="290"/>
      <c r="DC130" s="290"/>
      <c r="DD130" s="1958">
        <v>191.9</v>
      </c>
      <c r="DE130" s="2185">
        <v>205.6</v>
      </c>
      <c r="DF130" s="290"/>
      <c r="DG130" s="290"/>
      <c r="DH130" s="1958">
        <v>224</v>
      </c>
      <c r="DI130" s="310">
        <f>SUM(DI128:DI129)</f>
        <v>249.75300000000001</v>
      </c>
      <c r="DJ130" s="310">
        <f>DI130</f>
        <v>249.75300000000001</v>
      </c>
      <c r="DK130" s="290"/>
      <c r="DL130" s="310">
        <f>SUM(DL128:DL129)</f>
        <v>268.96002000000004</v>
      </c>
      <c r="DM130" s="310">
        <f>SUM(DM128:DM129)</f>
        <v>283.73698920000004</v>
      </c>
      <c r="DN130" s="310">
        <f>DM130</f>
        <v>283.73698920000004</v>
      </c>
      <c r="DO130" s="290"/>
      <c r="DP130" s="310">
        <f>SUM(DP128:DP129)</f>
        <v>299.34615127200004</v>
      </c>
      <c r="DQ130" s="310">
        <f>SUM(DQ128:DQ129)</f>
        <v>315.83526077712008</v>
      </c>
      <c r="DR130" s="310">
        <f>DQ130</f>
        <v>315.83526077712008</v>
      </c>
      <c r="DS130" s="290"/>
      <c r="DT130" s="290"/>
      <c r="DU130" s="310"/>
      <c r="DV130" s="310"/>
      <c r="DW130" s="290"/>
      <c r="DX130" s="290"/>
      <c r="DY130" s="290"/>
      <c r="EA130" s="290"/>
      <c r="EB130" s="290"/>
      <c r="EC130" s="290"/>
      <c r="ED130" s="290"/>
      <c r="EE130" s="290"/>
      <c r="EF130" s="290"/>
      <c r="EG130" s="290"/>
      <c r="EH130"/>
    </row>
    <row r="131" spans="1:138">
      <c r="A131" s="323" t="s">
        <v>155</v>
      </c>
      <c r="DA131" s="1802"/>
      <c r="DE131" s="1802"/>
      <c r="DY131" s="103"/>
      <c r="EA131" s="103"/>
      <c r="EB131" s="103"/>
      <c r="EC131" s="103"/>
      <c r="ED131" s="103"/>
      <c r="EE131" s="103"/>
      <c r="EF131" s="103"/>
      <c r="EG131" s="103"/>
    </row>
    <row r="132" spans="1:138">
      <c r="A132" s="323" t="s">
        <v>368</v>
      </c>
      <c r="C132" s="103" t="s">
        <v>917</v>
      </c>
      <c r="BH132" s="684">
        <f>+BH126/BE126-1</f>
        <v>0.5</v>
      </c>
      <c r="BI132" s="684">
        <f>+BI126/BH126-1</f>
        <v>0.60000000000000009</v>
      </c>
      <c r="BJ132" s="906">
        <f>+BI126/BE126-1</f>
        <v>1.4</v>
      </c>
      <c r="BL132" s="684">
        <f>+BL126/BI126-1</f>
        <v>0.16666666666666674</v>
      </c>
      <c r="BM132" s="684">
        <f>+BM126/BL126-1</f>
        <v>0.25</v>
      </c>
      <c r="BN132" s="906">
        <f>+BM126/BI126-1</f>
        <v>0.45833333333333326</v>
      </c>
      <c r="BP132" s="684">
        <f>+BP126/BM126-1</f>
        <v>0.19999999999999996</v>
      </c>
      <c r="BQ132" s="684">
        <f>+BQ126/BP126-1</f>
        <v>0.32539682539682535</v>
      </c>
      <c r="BR132" s="906">
        <f>+BQ126/BM126-1</f>
        <v>0.59047619047619038</v>
      </c>
      <c r="BT132" s="684">
        <f>+BT126/BQ126-1</f>
        <v>0.14371257485029965</v>
      </c>
      <c r="BU132" s="684">
        <f>+BU126/BT126-1</f>
        <v>0.13089005235602102</v>
      </c>
      <c r="BV132" s="906">
        <f>+BU126/BQ126-1</f>
        <v>0.29341317365269481</v>
      </c>
      <c r="BW132" s="638"/>
      <c r="BX132" s="684">
        <f>+BX126/BU126-1</f>
        <v>1.8518518518518379E-2</v>
      </c>
      <c r="BY132" s="684">
        <f>+BY126/BX126-1</f>
        <v>4.5454545454545414E-2</v>
      </c>
      <c r="BZ132" s="906">
        <f>+BY126/BU126-1</f>
        <v>6.4814814814814659E-2</v>
      </c>
      <c r="CA132" s="638"/>
      <c r="CB132" s="684">
        <f>+CB126/BY126-1</f>
        <v>0.10434782608695636</v>
      </c>
      <c r="CC132" s="684">
        <f>+CC126/CB126-1</f>
        <v>0.12992125984251968</v>
      </c>
      <c r="CD132" s="906">
        <f>+CC126/BY126-1</f>
        <v>0.24782608695652164</v>
      </c>
      <c r="CE132" s="638"/>
      <c r="CF132" s="684">
        <f>+CF126/CC126-1</f>
        <v>0.13937282229965176</v>
      </c>
      <c r="CG132" s="684">
        <f>+CG126/CF126-1</f>
        <v>8.8685015290519864E-2</v>
      </c>
      <c r="CH132" s="906">
        <f>+CG126/CC126-1</f>
        <v>0.24041811846689898</v>
      </c>
      <c r="CI132" s="638"/>
      <c r="CJ132" s="684">
        <f>+CJ126/CG126-1</f>
        <v>8.9887640449437978E-2</v>
      </c>
      <c r="CK132" s="684">
        <f>+CK126/CJ126-1</f>
        <v>0.11340206185567037</v>
      </c>
      <c r="CL132" s="906">
        <f>+CK126/CG126-1</f>
        <v>0.21348314606741581</v>
      </c>
      <c r="CM132" s="638"/>
      <c r="CN132" s="684">
        <f>+CN126/CK126-1</f>
        <v>0.32638888888888884</v>
      </c>
      <c r="CO132" s="684">
        <f>+CO126/CN126-1</f>
        <v>0.16753926701570698</v>
      </c>
      <c r="CP132" s="906">
        <f>+CO126/CK126-1</f>
        <v>0.54861111111111116</v>
      </c>
      <c r="CQ132" s="638"/>
      <c r="CR132" s="684">
        <f>+CR126/CO126-1</f>
        <v>0.14798206278026882</v>
      </c>
      <c r="CS132" s="684">
        <f>+CS126/CR126-1</f>
        <v>0.17057291666666674</v>
      </c>
      <c r="CT132" s="906">
        <f>+CS126/CO126-1</f>
        <v>0.34379671150971602</v>
      </c>
      <c r="CU132" s="638"/>
      <c r="CV132" s="684">
        <f>+CV126/CS126-1</f>
        <v>0.20244716351501646</v>
      </c>
      <c r="CW132" s="684">
        <f>+CW126/CV126-1</f>
        <v>8.3256244218317121E-3</v>
      </c>
      <c r="CX132" s="906">
        <f>+CW126/CS126-1</f>
        <v>0.21245828698553937</v>
      </c>
      <c r="CY132" s="638"/>
      <c r="CZ132" s="684">
        <f>+CZ126/CW126-1</f>
        <v>5.6880733944954187E-2</v>
      </c>
      <c r="DA132" s="1417">
        <f>+DA126/CZ126-1</f>
        <v>4.513888888888884E-2</v>
      </c>
      <c r="DB132" s="906">
        <f>+DA126/CW126-1</f>
        <v>0.1045871559633027</v>
      </c>
      <c r="DC132" s="638"/>
      <c r="DD132" s="684">
        <f>+DD126/DA126-1</f>
        <v>8.8039867109634518E-2</v>
      </c>
      <c r="DE132" s="1417">
        <f>+DE126/DD126-1</f>
        <v>9.1603053435114434E-2</v>
      </c>
      <c r="DF132" s="906">
        <f>+DE126/DA126-1</f>
        <v>0.18770764119601324</v>
      </c>
      <c r="DG132" s="638"/>
      <c r="DH132" s="684">
        <f>+DH126/DE126-1</f>
        <v>0.13076923076923075</v>
      </c>
      <c r="DI132" s="1536">
        <v>0.14000000000000001</v>
      </c>
      <c r="DJ132" s="906">
        <f>+DI126/DE126-1</f>
        <v>0.28907692307692301</v>
      </c>
      <c r="DK132" s="638"/>
      <c r="DL132" s="1536">
        <v>0.09</v>
      </c>
      <c r="DM132" s="1536">
        <v>0.06</v>
      </c>
      <c r="DN132" s="906">
        <f>+DM126/DI126-1</f>
        <v>0.1554000000000002</v>
      </c>
      <c r="DO132" s="638"/>
      <c r="DP132" s="1536">
        <v>0.06</v>
      </c>
      <c r="DQ132" s="1536">
        <v>0.06</v>
      </c>
      <c r="DR132" s="906">
        <f>+DQ126/DM126-1</f>
        <v>0.12360000000000015</v>
      </c>
      <c r="DS132" s="638"/>
      <c r="DU132" s="1129"/>
      <c r="DV132" s="1129"/>
      <c r="DY132" s="103"/>
      <c r="DZ132" s="102"/>
      <c r="EA132" s="103"/>
      <c r="EB132" s="103"/>
      <c r="EC132" s="103"/>
      <c r="ED132" s="103"/>
      <c r="EE132" s="103"/>
      <c r="EF132" s="103"/>
      <c r="EG132" s="103"/>
    </row>
    <row r="133" spans="1:138">
      <c r="A133" s="323" t="s">
        <v>369</v>
      </c>
      <c r="C133" s="103" t="s">
        <v>917</v>
      </c>
      <c r="BH133" s="684">
        <f>+BH127/BE127-1</f>
        <v>-4.4444444444444509E-2</v>
      </c>
      <c r="BI133" s="684">
        <f>+BI127/BH127-1</f>
        <v>-0.11627906976744173</v>
      </c>
      <c r="BL133" s="684">
        <f>+BL127/BI127-1</f>
        <v>-0.10526315789473706</v>
      </c>
      <c r="BM133" s="684">
        <f>+BM127/BL127-1</f>
        <v>-0.16176470588235292</v>
      </c>
      <c r="BP133" s="684">
        <f>+BP127/BM127-1</f>
        <v>-8.7719298245613753E-2</v>
      </c>
      <c r="BQ133" s="684">
        <f>+BQ127/BP127-1</f>
        <v>-0.1346153846153848</v>
      </c>
      <c r="BT133" s="684">
        <f>+BT127/BQ127-1</f>
        <v>-0.44444444444444442</v>
      </c>
      <c r="BU133" s="684">
        <f>+BU127/BT127-1</f>
        <v>-0.4</v>
      </c>
      <c r="BW133" s="638"/>
      <c r="BX133" s="684">
        <f>+BX127/BU127-1</f>
        <v>-0.59999999999999898</v>
      </c>
      <c r="BY133" s="684">
        <f>+BY127/BX127-1</f>
        <v>-0.16666666666666863</v>
      </c>
      <c r="CA133" s="638"/>
      <c r="CB133" s="684">
        <f>+CB127/BY127-1</f>
        <v>-1</v>
      </c>
      <c r="CC133" s="684"/>
      <c r="CE133" s="638"/>
      <c r="CF133" s="684" t="str">
        <f>IFERROR("NA",+CF127/CC127-1)</f>
        <v>NA</v>
      </c>
      <c r="CG133" s="684"/>
      <c r="CI133" s="638"/>
      <c r="CJ133" s="684" t="str">
        <f>IFERROR("NA",+CJ127/CG127-1)</f>
        <v>NA</v>
      </c>
      <c r="CK133" s="684"/>
      <c r="CM133" s="638"/>
      <c r="CN133" s="684" t="str">
        <f>IFERROR("NA",+CN127/CK127-1)</f>
        <v>NA</v>
      </c>
      <c r="CO133" s="684"/>
      <c r="CQ133" s="638"/>
      <c r="CR133" s="684" t="str">
        <f>IFERROR("NA",+CR127/CO127-1)</f>
        <v>NA</v>
      </c>
      <c r="CS133" s="684"/>
      <c r="CU133" s="638"/>
      <c r="CV133" s="684" t="str">
        <f>IFERROR("NA",+CV127/CS127-1)</f>
        <v>NA</v>
      </c>
      <c r="CW133" s="684"/>
      <c r="CY133" s="638"/>
      <c r="CZ133" s="684" t="str">
        <f>IFERROR("NA",+CZ127/CW127-1)</f>
        <v>NA</v>
      </c>
      <c r="DA133" s="1417"/>
      <c r="DC133" s="638"/>
      <c r="DD133" s="684" t="str">
        <f>IFERROR("NA",+DD127/DA127-1)</f>
        <v>NA</v>
      </c>
      <c r="DE133" s="1417"/>
      <c r="DG133" s="638"/>
      <c r="DH133" s="684" t="str">
        <f>IFERROR("NA",+DH127/DE127-1)</f>
        <v>NA</v>
      </c>
      <c r="DI133" s="1536">
        <v>0.01</v>
      </c>
      <c r="DJ133" s="638"/>
      <c r="DK133" s="638"/>
      <c r="DL133" s="1536">
        <v>0.01</v>
      </c>
      <c r="DM133" s="1536">
        <v>0.01</v>
      </c>
      <c r="DN133" s="638"/>
      <c r="DO133" s="638"/>
      <c r="DP133" s="1536">
        <v>0.01</v>
      </c>
      <c r="DQ133" s="1536">
        <v>0.01</v>
      </c>
      <c r="DR133" s="638"/>
      <c r="DS133" s="638"/>
      <c r="DU133" s="1129"/>
      <c r="DV133" s="1129"/>
      <c r="DY133" s="103"/>
      <c r="DZ133" s="102"/>
      <c r="EA133" s="103"/>
      <c r="EB133" s="103"/>
      <c r="EC133" s="103"/>
      <c r="ED133" s="103"/>
      <c r="EE133" s="103"/>
      <c r="EF133" s="103"/>
      <c r="EG133" s="103"/>
    </row>
    <row r="134" spans="1:138" s="289" customFormat="1">
      <c r="A134" s="328" t="s">
        <v>370</v>
      </c>
      <c r="C134" s="290" t="s">
        <v>917</v>
      </c>
      <c r="P134" s="290"/>
      <c r="Q134" s="290"/>
      <c r="R134" s="290"/>
      <c r="S134" s="290"/>
      <c r="T134" s="290"/>
      <c r="U134" s="290"/>
      <c r="V134" s="290"/>
      <c r="W134" s="290"/>
      <c r="X134" s="290"/>
      <c r="Y134" s="290"/>
      <c r="Z134" s="290"/>
      <c r="AA134" s="290"/>
      <c r="AB134" s="290"/>
      <c r="AC134" s="290"/>
      <c r="AD134" s="290"/>
      <c r="AE134" s="290"/>
      <c r="AF134" s="290"/>
      <c r="AG134" s="290"/>
      <c r="AH134" s="290"/>
      <c r="AI134" s="290"/>
      <c r="AJ134" s="290"/>
      <c r="AK134" s="290"/>
      <c r="AL134" s="290"/>
      <c r="AM134" s="290"/>
      <c r="AN134" s="290"/>
      <c r="AO134" s="290"/>
      <c r="AP134" s="290"/>
      <c r="AQ134" s="290"/>
      <c r="AR134" s="290"/>
      <c r="AS134" s="290"/>
      <c r="AT134" s="290"/>
      <c r="AU134" s="290"/>
      <c r="AV134" s="290"/>
      <c r="AW134" s="290"/>
      <c r="AX134" s="290"/>
      <c r="AY134" s="290"/>
      <c r="AZ134" s="290"/>
      <c r="BA134" s="290"/>
      <c r="BB134" s="290"/>
      <c r="BC134" s="290"/>
      <c r="BD134" s="290"/>
      <c r="BE134" s="290"/>
      <c r="BF134" s="290"/>
      <c r="BG134" s="290"/>
      <c r="BH134" s="905">
        <f>+BH128/BE128-1</f>
        <v>9.1666666666666563E-2</v>
      </c>
      <c r="BI134" s="905">
        <f>+BI128/BH128-1</f>
        <v>0.12977099236641232</v>
      </c>
      <c r="BJ134" s="290"/>
      <c r="BK134" s="290"/>
      <c r="BL134" s="905">
        <f>+BL128/BI128-1</f>
        <v>2.7027027027026973E-2</v>
      </c>
      <c r="BM134" s="905">
        <f>+BM128/BL128-1</f>
        <v>6.578947368421062E-2</v>
      </c>
      <c r="BN134" s="290"/>
      <c r="BO134" s="290"/>
      <c r="BP134" s="905">
        <f>+BP128/BM128-1</f>
        <v>9.8765432098765427E-2</v>
      </c>
      <c r="BQ134" s="905">
        <f>+BQ128/BP128-1</f>
        <v>0.1910112359550562</v>
      </c>
      <c r="BR134" s="290"/>
      <c r="BS134" s="290"/>
      <c r="BT134" s="905">
        <f>+BT128/BQ128-1</f>
        <v>1.8867924528301883E-2</v>
      </c>
      <c r="BU134" s="905">
        <f>+BU128/BT128-1</f>
        <v>6.944444444444442E-2</v>
      </c>
      <c r="BV134" s="290"/>
      <c r="BW134" s="290"/>
      <c r="BX134" s="905">
        <f>+BX128/BU128-1</f>
        <v>-2.1645021645021689E-2</v>
      </c>
      <c r="BY134" s="905">
        <f>+BY128/BX128-1</f>
        <v>3.9823008849557473E-2</v>
      </c>
      <c r="BZ134" s="290"/>
      <c r="CA134" s="290"/>
      <c r="CB134" s="905">
        <f>+CB128/BY128-1</f>
        <v>8.085106382978724E-2</v>
      </c>
      <c r="CC134" s="905">
        <f>+CC128/CB128-1</f>
        <v>0.12992125984251968</v>
      </c>
      <c r="CD134" s="290"/>
      <c r="CE134" s="290"/>
      <c r="CF134" s="905">
        <f>+CF128/CC128-1</f>
        <v>0.13937282229965176</v>
      </c>
      <c r="CG134" s="905">
        <f>+CG128/CF128-1</f>
        <v>8.8685015290519864E-2</v>
      </c>
      <c r="CH134" s="290"/>
      <c r="CI134" s="290"/>
      <c r="CJ134" s="905">
        <f>+CJ128/CG128-1</f>
        <v>8.9887640449437978E-2</v>
      </c>
      <c r="CK134" s="905">
        <f>+CK128/CJ128-1</f>
        <v>0.11340206185567037</v>
      </c>
      <c r="CL134" s="290"/>
      <c r="CM134" s="290"/>
      <c r="CN134" s="905">
        <f>+CN128/CK128-1</f>
        <v>0.32638888888888884</v>
      </c>
      <c r="CO134" s="905">
        <f>+CO128/CN128-1</f>
        <v>0.16753926701570698</v>
      </c>
      <c r="CP134" s="290"/>
      <c r="CQ134" s="290"/>
      <c r="CR134" s="905">
        <f>+CR128/CO128-1</f>
        <v>0.14798206278026882</v>
      </c>
      <c r="CS134" s="905">
        <f>+CS128/CR128-1</f>
        <v>0.17057291666666674</v>
      </c>
      <c r="CT134" s="290"/>
      <c r="CU134" s="290"/>
      <c r="CV134" s="905">
        <f>+CV128/CS128-1</f>
        <v>0.20244716351501646</v>
      </c>
      <c r="CW134" s="905">
        <f>+CW128/CV128-1</f>
        <v>8.3256244218317121E-3</v>
      </c>
      <c r="CX134" s="290"/>
      <c r="CY134" s="290"/>
      <c r="CZ134" s="905">
        <f>+CZ128/CW128-1</f>
        <v>5.6880733944954187E-2</v>
      </c>
      <c r="DA134" s="905">
        <f>+DA128/CZ128-1</f>
        <v>4.513888888888884E-2</v>
      </c>
      <c r="DB134" s="290"/>
      <c r="DC134" s="290"/>
      <c r="DD134" s="905">
        <f>+DD128/DA128-1</f>
        <v>8.8039867109634518E-2</v>
      </c>
      <c r="DE134" s="905">
        <f>+DE128/DD128-1</f>
        <v>9.1603053435114434E-2</v>
      </c>
      <c r="DF134" s="290"/>
      <c r="DG134" s="290"/>
      <c r="DH134" s="905">
        <f>+DH128/DE128-1</f>
        <v>0.13076923076923075</v>
      </c>
      <c r="DI134" s="905">
        <f>+DI128/DH128-1</f>
        <v>0.14000000000000012</v>
      </c>
      <c r="DJ134" s="290"/>
      <c r="DK134" s="290"/>
      <c r="DL134" s="905">
        <f>+DL128/DI128-1</f>
        <v>9.000000000000008E-2</v>
      </c>
      <c r="DM134" s="905">
        <f>+DM128/DL128-1</f>
        <v>6.0000000000000053E-2</v>
      </c>
      <c r="DN134" s="290"/>
      <c r="DO134" s="290"/>
      <c r="DP134" s="905">
        <f>+DP128/DM128-1</f>
        <v>6.0000000000000053E-2</v>
      </c>
      <c r="DQ134" s="905">
        <f>+DQ128/DP128-1</f>
        <v>6.0000000000000053E-2</v>
      </c>
      <c r="DR134" s="290"/>
      <c r="DS134" s="290"/>
      <c r="DT134" s="290"/>
      <c r="DU134" s="1057"/>
      <c r="DV134" s="1057"/>
      <c r="DW134" s="290"/>
      <c r="DX134" s="290"/>
      <c r="DY134" s="290"/>
      <c r="DZ134" s="771"/>
      <c r="EA134" s="290"/>
      <c r="EB134" s="290"/>
      <c r="EC134" s="290"/>
      <c r="ED134" s="290"/>
      <c r="EE134" s="290"/>
      <c r="EF134" s="290"/>
      <c r="EG134" s="290"/>
      <c r="EH134"/>
    </row>
    <row r="135" spans="1:138">
      <c r="A135" s="323" t="s">
        <v>454</v>
      </c>
      <c r="C135" s="103" t="s">
        <v>917</v>
      </c>
      <c r="BH135" s="684">
        <f ca="1">+BH129/BE129-1</f>
        <v>6.2992125984252079E-2</v>
      </c>
      <c r="BI135" s="684">
        <f ca="1">+BI129/BH129-1</f>
        <v>4.0740740740740744E-2</v>
      </c>
      <c r="BL135" s="684">
        <f ca="1">+BL129/BI129-1</f>
        <v>9.2526690391459221E-2</v>
      </c>
      <c r="BM135" s="684">
        <f>+BM129/BL129-1</f>
        <v>9.7719869706842655E-3</v>
      </c>
      <c r="BP135" s="684">
        <f>+BP129/BM129-1</f>
        <v>3.5483870967741638E-2</v>
      </c>
      <c r="BQ135" s="684">
        <f>+BQ129/BP129-1</f>
        <v>5.9190031152648093E-2</v>
      </c>
      <c r="BT135" s="684">
        <f>+BT129/BQ129-1</f>
        <v>0.16764705882352926</v>
      </c>
      <c r="BU135" s="684">
        <f>+BU129/BT129-1</f>
        <v>0.158690176322418</v>
      </c>
      <c r="BW135" s="638"/>
      <c r="BX135" s="684">
        <f>+BX129/BU129-1</f>
        <v>-8.6956521739128823E-3</v>
      </c>
      <c r="BY135" s="684">
        <f>+BY129/BX129-1</f>
        <v>-3.5087719298245612E-2</v>
      </c>
      <c r="CA135" s="638"/>
      <c r="CB135" s="684">
        <f>+CB129/BY129-1</f>
        <v>1.5909090909090873E-2</v>
      </c>
      <c r="CC135" s="684">
        <f>+CC129/CB129-1</f>
        <v>4.2505592841163287E-2</v>
      </c>
      <c r="CE135" s="638"/>
      <c r="CF135" s="684">
        <f>+CF129/CC129-1</f>
        <v>2.7896995708154515E-2</v>
      </c>
      <c r="CG135" s="684">
        <f>+CG129/CF129-1</f>
        <v>-1.0438413361168908E-2</v>
      </c>
      <c r="CI135" s="638"/>
      <c r="CJ135" s="684">
        <f>+CJ129/CG129-1</f>
        <v>-0.10548523206751037</v>
      </c>
      <c r="CK135" s="684">
        <f>+CK129/CJ129-1</f>
        <v>2.1226415094339313E-2</v>
      </c>
      <c r="CM135" s="638"/>
      <c r="CN135" s="684">
        <f>+CN129/CK129-1</f>
        <v>-9.9307159353348662E-2</v>
      </c>
      <c r="CO135" s="684">
        <f>+CO129/CN129-1</f>
        <v>3.8461538461538547E-2</v>
      </c>
      <c r="CP135" s="906">
        <f>+CO129/CK129-1</f>
        <v>-6.4665127020785196E-2</v>
      </c>
      <c r="CQ135" s="638"/>
      <c r="CR135" s="684">
        <f>+CR129/CO129-1</f>
        <v>0.11851851851851847</v>
      </c>
      <c r="CS135" s="684">
        <f>+CS129/CR129-1</f>
        <v>7.5055187637968812E-2</v>
      </c>
      <c r="CT135" s="906">
        <f>+CS129/CO129-1</f>
        <v>0.20246913580246884</v>
      </c>
      <c r="CU135" s="638"/>
      <c r="CV135" s="684">
        <f>+CV129/CS129-1</f>
        <v>-7.5975359342915549E-2</v>
      </c>
      <c r="CW135" s="684">
        <f>+CW129/CV129-1</f>
        <v>0.21111111111111103</v>
      </c>
      <c r="CX135" s="906">
        <f>+CW129/CS129-1</f>
        <v>0.11909650924024673</v>
      </c>
      <c r="CY135" s="638"/>
      <c r="CZ135" s="684">
        <f>+CZ129/CW129-1</f>
        <v>5.3211009174311874E-2</v>
      </c>
      <c r="DA135" s="684">
        <f>+DA129/CZ129-1</f>
        <v>6.4459930313588876E-2</v>
      </c>
      <c r="DB135" s="906">
        <f>+DA129/CW129-1</f>
        <v>0.12110091743119256</v>
      </c>
      <c r="DC135" s="638"/>
      <c r="DD135" s="684">
        <f>+DD129/DA129-1</f>
        <v>-3.2733224222584179E-3</v>
      </c>
      <c r="DE135" s="684">
        <f>+DE129/DD129-1</f>
        <v>2.7914614121510528E-2</v>
      </c>
      <c r="DF135" s="906">
        <f>+DE129/DA129-1</f>
        <v>2.4549918166939522E-2</v>
      </c>
      <c r="DG135" s="638"/>
      <c r="DH135" s="684">
        <f>+DH129/DE129-1</f>
        <v>-4.7923322683702807E-3</v>
      </c>
      <c r="DI135" s="1536">
        <v>0.05</v>
      </c>
      <c r="DJ135" s="906">
        <f>+DI129/DE129-1</f>
        <v>4.4968051118211338E-2</v>
      </c>
      <c r="DK135" s="638"/>
      <c r="DL135" s="1536">
        <v>0.04</v>
      </c>
      <c r="DM135" s="1536">
        <v>0.04</v>
      </c>
      <c r="DN135" s="906">
        <f>+DM129/DI129-1</f>
        <v>8.1600000000000117E-2</v>
      </c>
      <c r="DO135" s="638"/>
      <c r="DP135" s="1536">
        <v>0.04</v>
      </c>
      <c r="DQ135" s="1536">
        <v>0.04</v>
      </c>
      <c r="DR135" s="906">
        <f>+DQ129/DM129-1</f>
        <v>8.1599999999999895E-2</v>
      </c>
      <c r="DS135" s="638"/>
      <c r="DU135" s="1129"/>
      <c r="DV135" s="1129"/>
      <c r="DY135" s="103"/>
      <c r="DZ135" s="102"/>
      <c r="EA135" s="103"/>
      <c r="EB135" s="103"/>
      <c r="EC135" s="103"/>
      <c r="ED135" s="103"/>
      <c r="EE135" s="103"/>
      <c r="EF135" s="103"/>
      <c r="EG135" s="103"/>
    </row>
    <row r="136" spans="1:138">
      <c r="A136" s="328" t="s">
        <v>365</v>
      </c>
      <c r="C136" s="103" t="s">
        <v>917</v>
      </c>
      <c r="BH136" s="905">
        <f ca="1">+BH130/BE130-1</f>
        <v>7.2192513368984024E-2</v>
      </c>
      <c r="BI136" s="905">
        <f ca="1">+BI130/BH130-1</f>
        <v>6.9825436408977426E-2</v>
      </c>
      <c r="BL136" s="905">
        <f ca="1">+BL130/BI130-1</f>
        <v>6.9930069930070005E-2</v>
      </c>
      <c r="BM136" s="905">
        <f>+BM130/BL130-1</f>
        <v>2.8322440087146017E-2</v>
      </c>
      <c r="BP136" s="905">
        <f>+BP130/BM130-1</f>
        <v>5.7203389830508433E-2</v>
      </c>
      <c r="BQ136" s="905">
        <f>+BQ130/BP130-1</f>
        <v>0.10621242484969939</v>
      </c>
      <c r="BT136" s="905">
        <f>+BT130/BQ130-1</f>
        <v>0.11050724637681153</v>
      </c>
      <c r="BU136" s="905">
        <f>+BU130/BT130-1</f>
        <v>0.12724306688417619</v>
      </c>
      <c r="BX136" s="905">
        <f>+BX130/BU130-1</f>
        <v>-1.3024602026049048E-2</v>
      </c>
      <c r="BY136" s="905">
        <f>+BY130/BX130-1</f>
        <v>-1.0263929618768319E-2</v>
      </c>
      <c r="CB136" s="905">
        <f>+CB130/BY130-1</f>
        <v>3.8518518518518396E-2</v>
      </c>
      <c r="CC136" s="905">
        <f>+CC130/CB130-1</f>
        <v>7.41797432239657E-2</v>
      </c>
      <c r="CF136" s="905">
        <f>+CF130/CC130-1</f>
        <v>7.038512616201853E-2</v>
      </c>
      <c r="CG136" s="905">
        <f>+CG130/CF130-1</f>
        <v>2.977667493796532E-2</v>
      </c>
      <c r="CJ136" s="905">
        <f>+CJ130/CG130-1</f>
        <v>-2.168674698795181E-2</v>
      </c>
      <c r="CK136" s="905">
        <f>+CK130/CJ130-1</f>
        <v>6.5270935960591192E-2</v>
      </c>
      <c r="CN136" s="905">
        <f>+CN130/CK130-1</f>
        <v>0.11329479768786133</v>
      </c>
      <c r="CO136" s="905">
        <f>+CO130/CN130-1</f>
        <v>0.11526479750778829</v>
      </c>
      <c r="CR136" s="905">
        <f>+CR130/CO130-1</f>
        <v>0.13687150837988815</v>
      </c>
      <c r="CS136" s="905">
        <f>+CS130/CR130-1</f>
        <v>0.13513513513513509</v>
      </c>
      <c r="CV136" s="905">
        <f>+CV130/CS130-1</f>
        <v>0.10461760461760461</v>
      </c>
      <c r="CW136" s="905">
        <f>+CW130/CV130-1</f>
        <v>6.7929457870672838E-2</v>
      </c>
      <c r="CZ136" s="905">
        <f>+CZ130/CW130-1</f>
        <v>5.5657492354739935E-2</v>
      </c>
      <c r="DA136" s="905">
        <f>+DA130/CZ130-1</f>
        <v>5.1564310544611747E-2</v>
      </c>
      <c r="DD136" s="905">
        <f>+DD130/DA130-1</f>
        <v>5.730027548209371E-2</v>
      </c>
      <c r="DE136" s="905">
        <f>+DE130/DD130-1</f>
        <v>7.1391349661281911E-2</v>
      </c>
      <c r="DH136" s="905">
        <f>+DH130/DE130-1</f>
        <v>8.949416342412464E-2</v>
      </c>
      <c r="DI136" s="905">
        <f>+DI130/DH130-1</f>
        <v>0.11496875000000006</v>
      </c>
      <c r="DL136" s="905">
        <f>+DL130/DI130-1</f>
        <v>7.6904061212478059E-2</v>
      </c>
      <c r="DM136" s="905">
        <f>+DM130/DL130-1</f>
        <v>5.4941136604615082E-2</v>
      </c>
      <c r="DP136" s="905">
        <f>+DP130/DM130-1</f>
        <v>5.5012785312236634E-2</v>
      </c>
      <c r="DQ136" s="905">
        <f>+DQ130/DP130-1</f>
        <v>5.5083753156850435E-2</v>
      </c>
      <c r="DU136" s="1057"/>
      <c r="DV136" s="1057"/>
      <c r="DY136" s="103"/>
      <c r="EA136" s="103"/>
      <c r="EB136" s="103"/>
      <c r="EC136" s="103"/>
      <c r="ED136" s="103"/>
      <c r="EE136" s="103"/>
      <c r="EF136" s="103"/>
      <c r="EG136" s="103"/>
    </row>
    <row r="137" spans="1:138">
      <c r="A137" s="323" t="s">
        <v>364</v>
      </c>
      <c r="C137" s="103" t="s">
        <v>917</v>
      </c>
      <c r="BH137" s="684">
        <f ca="1">+BH123/BE123-1</f>
        <v>-4.5919672550525537E-2</v>
      </c>
      <c r="BI137" s="684">
        <f ca="1">+BI123/BH123-1</f>
        <v>5.8184743263172578E-2</v>
      </c>
      <c r="BL137" s="684">
        <f ca="1">+BL123/BI123-1</f>
        <v>0.29139744077030327</v>
      </c>
      <c r="BM137" s="684">
        <f>+BM123/BL123-1</f>
        <v>0.12940253114882716</v>
      </c>
      <c r="BP137" s="684">
        <f>+BP123/BM123-1</f>
        <v>0.26259555246699118</v>
      </c>
      <c r="BQ137" s="684">
        <f>+BQ123/BP123-1</f>
        <v>0.20825593395252784</v>
      </c>
      <c r="BT137" s="684">
        <f>+BT123/BQ123-1</f>
        <v>-0.1236761188930644</v>
      </c>
      <c r="BU137" s="684">
        <f>+BU123/BT123-1</f>
        <v>-0.26796621182586067</v>
      </c>
      <c r="BW137" s="638"/>
      <c r="BX137" s="684">
        <f>+BX123/BU123-1</f>
        <v>-0.13225634652938123</v>
      </c>
      <c r="BY137" s="684">
        <f>+BY123/BX123-1</f>
        <v>-6.2704582651391116E-2</v>
      </c>
      <c r="CA137" s="638"/>
      <c r="CB137" s="684">
        <f>+CB123/BY123-1</f>
        <v>-0.96867838044308563</v>
      </c>
      <c r="CC137" s="684">
        <f>+CC123/CB123-1</f>
        <v>-7.2404181184667546</v>
      </c>
      <c r="CE137" s="638"/>
      <c r="CF137" s="684">
        <f>+CF123/CC123-1</f>
        <v>1.0362925739810152</v>
      </c>
      <c r="CG137" s="684">
        <f>+CG123/CF123-1</f>
        <v>0.24102001645188009</v>
      </c>
      <c r="CI137" s="638"/>
      <c r="CJ137" s="684">
        <f>+CJ123/CG123-1</f>
        <v>-1.8541758727353077</v>
      </c>
      <c r="CK137" s="684">
        <f>+CK123/CJ123-1</f>
        <v>0.97025349198137745</v>
      </c>
      <c r="CM137" s="638"/>
      <c r="CN137" s="684">
        <f>+CN123/CK123-1</f>
        <v>-1.3788893265064979</v>
      </c>
      <c r="CO137" s="684">
        <f>+CO123/CN123-1</f>
        <v>-0.17740817740817294</v>
      </c>
      <c r="CQ137" s="638"/>
      <c r="CR137" s="684">
        <f>+CR123/CO123-1</f>
        <v>0.57582139848356562</v>
      </c>
      <c r="CS137" s="684">
        <f>+CS123/CR123-1</f>
        <v>3.0740443731621214E-2</v>
      </c>
      <c r="CU137" s="638"/>
      <c r="CV137" s="684">
        <f>+CV123/CS123-1</f>
        <v>9.5954356846474242E-2</v>
      </c>
      <c r="CW137" s="684">
        <f>+CW123/CV123-1</f>
        <v>0.16611452910553681</v>
      </c>
      <c r="CY137" s="638"/>
      <c r="CZ137" s="684">
        <f>+CZ123/CW123-1</f>
        <v>3.5917207792206307E-2</v>
      </c>
      <c r="DA137" s="684">
        <f>+DA123/CZ123-1</f>
        <v>4.7012732615085984E-3</v>
      </c>
      <c r="DC137" s="638"/>
      <c r="DD137" s="684">
        <f>+DD123/DA123-1</f>
        <v>-5.7126145447451426E-2</v>
      </c>
      <c r="DE137" s="684">
        <f>+DE123/DD123-1</f>
        <v>-1.0099255583126554</v>
      </c>
      <c r="DG137" s="638"/>
      <c r="DH137" s="684">
        <f>+DH123/DE123-1</f>
        <v>-0.125</v>
      </c>
      <c r="DI137" s="1536">
        <v>0.01</v>
      </c>
      <c r="DJ137" s="638"/>
      <c r="DK137" s="638"/>
      <c r="DL137" s="1536">
        <v>0.01</v>
      </c>
      <c r="DM137" s="1536">
        <v>0.01</v>
      </c>
      <c r="DN137" s="638"/>
      <c r="DO137" s="638"/>
      <c r="DP137" s="1536">
        <v>0.01</v>
      </c>
      <c r="DQ137" s="1536">
        <v>0.01</v>
      </c>
      <c r="DR137" s="638"/>
      <c r="DS137" s="638"/>
      <c r="DU137" s="1129"/>
      <c r="DV137" s="1129"/>
      <c r="DY137" s="103"/>
      <c r="DZ137" s="102"/>
      <c r="EA137" s="103"/>
      <c r="EB137" s="103"/>
      <c r="EC137" s="103"/>
      <c r="ED137" s="103"/>
      <c r="EE137" s="103"/>
      <c r="EF137" s="103"/>
      <c r="EG137" s="103"/>
    </row>
    <row r="138" spans="1:138">
      <c r="A138" s="328" t="s">
        <v>8</v>
      </c>
      <c r="C138" s="103" t="s">
        <v>917</v>
      </c>
      <c r="BH138" s="672">
        <f>+BH122/BE122-1</f>
        <v>5.1771418461674434E-2</v>
      </c>
      <c r="BI138" s="672">
        <f>+BI122/BH122-1</f>
        <v>6.7999747681826817E-2</v>
      </c>
      <c r="BL138" s="672">
        <f>+BL122/BI122-1</f>
        <v>0.10434508692142619</v>
      </c>
      <c r="BM138" s="672">
        <f>+BM122/BL122-1</f>
        <v>4.669031786497424E-2</v>
      </c>
      <c r="BP138" s="672">
        <f>+BP122/BM122-1</f>
        <v>9.7475814143616279E-2</v>
      </c>
      <c r="BQ138" s="672">
        <f>+BQ122/BP122-1</f>
        <v>0.1292310079925505</v>
      </c>
      <c r="BT138" s="672">
        <f>+BT122/BQ122-1</f>
        <v>5.3984222533740134E-2</v>
      </c>
      <c r="BU138" s="672">
        <f>+BU122/BT122-1</f>
        <v>4.7933237710262144E-2</v>
      </c>
      <c r="BX138" s="672">
        <f>+BX122/BU122-1</f>
        <v>-2.9738944329691708E-2</v>
      </c>
      <c r="BY138" s="672">
        <f>+BY122/BX122-1</f>
        <v>-1.6838514414691752E-2</v>
      </c>
      <c r="CB138" s="672">
        <f>+CB122/BY122-1</f>
        <v>-8.1864784837535676E-2</v>
      </c>
      <c r="CC138" s="672">
        <f>+CC122/CB122-1</f>
        <v>4.435478142270588E-2</v>
      </c>
      <c r="CF138" s="672">
        <f>+CF122/CC122-1</f>
        <v>4.6851405950291802E-2</v>
      </c>
      <c r="CG138" s="672">
        <f>+CG122/CF122-1</f>
        <v>1.9765311293906684E-2</v>
      </c>
      <c r="CJ138" s="672">
        <f>+CJ122/CG122-1</f>
        <v>8.4002344725641498E-2</v>
      </c>
      <c r="CK138" s="672">
        <f>+CK122/CJ122-1</f>
        <v>0.10639973667505243</v>
      </c>
      <c r="CN138" s="672">
        <f>+CN122/CK122-1</f>
        <v>-7.4694263523061855E-3</v>
      </c>
      <c r="CO138" s="672">
        <f>+CO122/CN122-1</f>
        <v>0.12430684908043754</v>
      </c>
      <c r="CR138" s="672">
        <f>+CR122/CO122-1</f>
        <v>0.12694951726239223</v>
      </c>
      <c r="CS138" s="672">
        <f>+CS122/CR122-1</f>
        <v>0.13843476203752991</v>
      </c>
      <c r="CV138" s="672">
        <f>+CV122/CS122-1</f>
        <v>0.10486552276910288</v>
      </c>
      <c r="CW138" s="672">
        <f>+CW122/CV122-1</f>
        <v>6.5142335129035445E-2</v>
      </c>
      <c r="CZ138" s="672">
        <f>+CZ122/CW122-1</f>
        <v>5.6270968392906795E-2</v>
      </c>
      <c r="DA138" s="905">
        <f>+DA122/CZ122-1</f>
        <v>5.2992626645571583E-2</v>
      </c>
      <c r="DD138" s="672">
        <f>+DD122/DA122-1</f>
        <v>6.0627881000844708E-2</v>
      </c>
      <c r="DE138" s="905">
        <f>+DE122/DD122-1</f>
        <v>9.9345678484368927E-2</v>
      </c>
      <c r="DH138" s="672">
        <f>+DH122/DE122-1</f>
        <v>8.9444098654010817E-2</v>
      </c>
      <c r="DI138" s="905">
        <f>+DI122/DH122-1</f>
        <v>0.11494907204899074</v>
      </c>
      <c r="DL138" s="905">
        <f>+DL122/DI122-1</f>
        <v>7.6892699633964501E-2</v>
      </c>
      <c r="DM138" s="905">
        <f>+DM122/DL122-1</f>
        <v>5.4933978810772777E-2</v>
      </c>
      <c r="DP138" s="905">
        <f>+DP122/DM122-1</f>
        <v>5.5005921472829344E-2</v>
      </c>
      <c r="DQ138" s="905">
        <f>+DQ122/DP122-1</f>
        <v>5.5077171764736477E-2</v>
      </c>
      <c r="DU138" s="1057"/>
      <c r="DV138" s="1057"/>
      <c r="DY138" s="103"/>
      <c r="EA138" s="103"/>
      <c r="EB138" s="103"/>
      <c r="EC138" s="103"/>
      <c r="ED138" s="103"/>
      <c r="EE138" s="103"/>
      <c r="EF138" s="103"/>
      <c r="EG138" s="103"/>
    </row>
    <row r="139" spans="1:138">
      <c r="DY139" s="103"/>
      <c r="EA139" s="103"/>
      <c r="EB139" s="103"/>
      <c r="EC139" s="103"/>
      <c r="ED139" s="103"/>
      <c r="EE139" s="103"/>
      <c r="EF139" s="103"/>
      <c r="EG139" s="103"/>
    </row>
    <row r="140" spans="1:138">
      <c r="A140" s="663" t="s">
        <v>371</v>
      </c>
      <c r="B140" s="664"/>
      <c r="C140" s="665"/>
      <c r="D140" s="664"/>
      <c r="E140" s="664"/>
      <c r="F140" s="664"/>
      <c r="G140" s="664"/>
      <c r="H140" s="664"/>
      <c r="I140" s="664"/>
      <c r="J140" s="664"/>
      <c r="K140" s="664"/>
      <c r="L140" s="664"/>
      <c r="M140" s="664"/>
      <c r="N140" s="664"/>
      <c r="O140" s="664"/>
      <c r="P140" s="665"/>
      <c r="Q140" s="665"/>
      <c r="R140" s="665"/>
      <c r="S140" s="665"/>
      <c r="T140" s="665"/>
      <c r="U140" s="665"/>
      <c r="V140" s="665"/>
      <c r="W140" s="665"/>
      <c r="X140" s="665"/>
      <c r="Y140" s="665"/>
      <c r="Z140" s="665"/>
      <c r="AA140" s="665"/>
      <c r="AB140" s="665"/>
      <c r="AC140" s="665"/>
      <c r="AD140" s="665"/>
      <c r="AE140" s="665"/>
      <c r="AF140" s="665"/>
      <c r="AG140" s="665"/>
      <c r="AH140" s="665"/>
      <c r="AI140" s="665"/>
      <c r="AJ140" s="665"/>
      <c r="AK140" s="665"/>
      <c r="AL140" s="665"/>
      <c r="AM140" s="665"/>
      <c r="AN140" s="665"/>
      <c r="AO140" s="665"/>
      <c r="AP140" s="665"/>
      <c r="AQ140" s="665"/>
      <c r="AR140" s="665"/>
      <c r="AS140" s="665"/>
      <c r="AT140" s="665"/>
      <c r="AU140" s="665"/>
      <c r="AV140" s="666"/>
      <c r="AW140" s="666"/>
      <c r="AX140" s="666"/>
      <c r="AY140" s="665"/>
      <c r="AZ140" s="666"/>
      <c r="BA140" s="666"/>
      <c r="BB140" s="666"/>
      <c r="BC140" s="665"/>
      <c r="BD140" s="666"/>
      <c r="BE140" s="666"/>
      <c r="BF140" s="666"/>
      <c r="BG140" s="665"/>
      <c r="BH140" s="666"/>
      <c r="BI140" s="666"/>
      <c r="BJ140" s="666"/>
      <c r="BK140" s="665"/>
      <c r="BL140" s="666"/>
      <c r="BM140" s="666"/>
      <c r="BN140" s="666"/>
      <c r="BO140" s="665"/>
      <c r="BP140" s="666"/>
      <c r="BQ140" s="666"/>
      <c r="BR140" s="666"/>
      <c r="BS140" s="665"/>
      <c r="BT140" s="666"/>
      <c r="BU140" s="666"/>
      <c r="BV140" s="666"/>
      <c r="BW140" s="665"/>
      <c r="BX140" s="666"/>
      <c r="BY140" s="666"/>
      <c r="BZ140" s="666"/>
      <c r="CA140" s="665"/>
      <c r="CB140" s="666"/>
      <c r="CC140" s="666"/>
      <c r="CD140" s="666"/>
      <c r="CE140" s="665"/>
      <c r="CF140" s="666"/>
      <c r="CG140" s="666"/>
      <c r="CH140" s="666"/>
      <c r="CI140" s="665"/>
      <c r="CJ140" s="666"/>
      <c r="CK140" s="666"/>
      <c r="CL140" s="666"/>
      <c r="CM140" s="665"/>
      <c r="CN140" s="666"/>
      <c r="CO140" s="666"/>
      <c r="CP140" s="666"/>
      <c r="CQ140" s="665"/>
      <c r="CR140" s="666"/>
      <c r="CS140" s="666"/>
      <c r="CT140" s="666"/>
      <c r="CU140" s="665"/>
      <c r="CV140" s="666"/>
      <c r="CW140" s="1795"/>
      <c r="CX140" s="666"/>
      <c r="CY140" s="665"/>
      <c r="CZ140" s="666"/>
      <c r="DA140" s="666"/>
      <c r="DB140" s="666"/>
      <c r="DC140" s="665"/>
      <c r="DD140" s="666"/>
      <c r="DE140" s="666"/>
      <c r="DF140" s="666"/>
      <c r="DG140" s="665"/>
      <c r="DH140" s="666"/>
      <c r="DI140" s="666"/>
      <c r="DJ140" s="666"/>
      <c r="DK140" s="665"/>
      <c r="DL140" s="666"/>
      <c r="DM140" s="666"/>
      <c r="DN140" s="666"/>
      <c r="DO140" s="665"/>
      <c r="DP140" s="666"/>
      <c r="DQ140" s="666"/>
      <c r="DR140" s="666"/>
      <c r="DS140" s="665"/>
      <c r="DU140" s="293"/>
      <c r="DV140" s="293"/>
      <c r="DW140" s="293"/>
      <c r="DZ140" s="102"/>
    </row>
    <row r="141" spans="1:138">
      <c r="DY141" s="103"/>
      <c r="EA141" s="103"/>
      <c r="EB141" s="103"/>
      <c r="EC141" s="103"/>
      <c r="ED141" s="103"/>
      <c r="EE141" s="103"/>
      <c r="EF141" s="103"/>
      <c r="EG141" s="103"/>
    </row>
    <row r="142" spans="1:138">
      <c r="A142" s="289" t="s">
        <v>235</v>
      </c>
      <c r="DY142" s="103"/>
      <c r="EA142" s="103"/>
      <c r="EB142" s="103"/>
      <c r="EC142" s="103"/>
      <c r="ED142" s="103"/>
      <c r="EE142" s="103"/>
      <c r="EF142" s="103"/>
      <c r="EG142" s="103"/>
    </row>
    <row r="143" spans="1:138">
      <c r="A143" s="302" t="s">
        <v>372</v>
      </c>
      <c r="B143" s="302"/>
      <c r="C143" s="304"/>
      <c r="D143" s="302"/>
      <c r="E143" s="302"/>
      <c r="F143" s="302"/>
      <c r="G143" s="302"/>
      <c r="H143" s="302"/>
      <c r="I143" s="302"/>
      <c r="J143" s="302"/>
      <c r="K143" s="302"/>
      <c r="L143" s="302"/>
      <c r="M143" s="302"/>
      <c r="N143" s="302"/>
      <c r="O143" s="302"/>
      <c r="P143" s="304"/>
      <c r="Q143" s="304"/>
      <c r="R143" s="304"/>
      <c r="S143" s="304"/>
      <c r="T143" s="304"/>
      <c r="U143" s="304"/>
      <c r="V143" s="304"/>
      <c r="W143" s="304"/>
      <c r="X143" s="304"/>
      <c r="Y143" s="304"/>
      <c r="Z143" s="304"/>
      <c r="AA143" s="304"/>
      <c r="AB143" s="304"/>
      <c r="AC143" s="304"/>
      <c r="AD143" s="304"/>
      <c r="AE143" s="304"/>
      <c r="AF143" s="304"/>
      <c r="AG143" s="304"/>
      <c r="AH143" s="304"/>
      <c r="AI143" s="304"/>
      <c r="AJ143" s="304"/>
      <c r="AK143" s="304"/>
      <c r="AL143" s="304"/>
      <c r="AM143" s="304"/>
      <c r="AN143" s="304"/>
      <c r="AO143" s="304"/>
      <c r="AP143" s="304"/>
      <c r="AQ143" s="304"/>
      <c r="AR143" s="304"/>
      <c r="AS143" s="304"/>
      <c r="AT143" s="304"/>
      <c r="AU143" s="304"/>
      <c r="AV143" s="304"/>
      <c r="AW143" s="304"/>
      <c r="AX143" s="304"/>
      <c r="AY143" s="304"/>
      <c r="AZ143" s="304"/>
      <c r="BA143" s="304"/>
      <c r="BB143" s="304"/>
      <c r="BC143" s="304"/>
      <c r="BD143" s="304"/>
      <c r="BE143" s="627">
        <v>2255</v>
      </c>
      <c r="BF143" s="304"/>
      <c r="BG143" s="304"/>
      <c r="BH143" s="627">
        <v>2415</v>
      </c>
      <c r="BI143" s="627">
        <v>2378</v>
      </c>
      <c r="BJ143" s="304"/>
      <c r="BK143" s="304"/>
      <c r="BL143" s="627">
        <v>1369</v>
      </c>
      <c r="BM143" s="627">
        <v>1342</v>
      </c>
      <c r="BN143" s="304"/>
      <c r="BO143" s="304"/>
      <c r="BP143" s="627">
        <v>1268</v>
      </c>
      <c r="BQ143" s="627">
        <v>1076</v>
      </c>
      <c r="BR143" s="304"/>
      <c r="BS143" s="304"/>
      <c r="BT143" s="627">
        <v>1239</v>
      </c>
      <c r="BU143" s="627">
        <v>1100</v>
      </c>
      <c r="BV143" s="304"/>
      <c r="BW143" s="304"/>
      <c r="BX143" s="627">
        <v>800</v>
      </c>
      <c r="BY143" s="627">
        <v>900</v>
      </c>
      <c r="BZ143" s="304"/>
      <c r="CA143" s="304"/>
      <c r="CB143" s="629">
        <v>1600</v>
      </c>
      <c r="CC143" s="629">
        <v>1400</v>
      </c>
      <c r="CD143" s="304"/>
      <c r="CE143" s="304"/>
      <c r="CF143" s="629">
        <v>1200</v>
      </c>
      <c r="CG143" s="629">
        <v>1300</v>
      </c>
      <c r="CH143" s="304"/>
      <c r="CI143" s="304"/>
      <c r="CJ143" s="629">
        <v>1300</v>
      </c>
      <c r="CK143" s="629">
        <v>1300</v>
      </c>
      <c r="CL143" s="629"/>
      <c r="CM143" s="629"/>
      <c r="CN143" s="629">
        <v>1200</v>
      </c>
      <c r="CO143" s="629">
        <v>1400</v>
      </c>
      <c r="CP143" s="629"/>
      <c r="CQ143" s="629"/>
      <c r="CR143" s="629">
        <v>1700</v>
      </c>
      <c r="CS143" s="629">
        <v>1500</v>
      </c>
      <c r="CT143" s="1945"/>
      <c r="CU143" s="1945"/>
      <c r="CV143" s="1949">
        <v>2200</v>
      </c>
      <c r="CW143" s="1954">
        <v>2200</v>
      </c>
      <c r="CX143" s="1945"/>
      <c r="CY143" s="1945"/>
      <c r="CZ143" s="1949">
        <v>1700</v>
      </c>
      <c r="DA143" s="1954">
        <v>2200</v>
      </c>
      <c r="DB143" s="1945"/>
      <c r="DC143" s="1945"/>
      <c r="DD143" s="1949">
        <v>1700</v>
      </c>
      <c r="DE143" s="2176">
        <v>1800</v>
      </c>
      <c r="DF143" s="1945"/>
      <c r="DG143" s="1945"/>
      <c r="DH143" s="1949">
        <v>2100</v>
      </c>
      <c r="DI143" s="1950">
        <f>+DI146*DI156</f>
        <v>2765.8877728672824</v>
      </c>
      <c r="DJ143" s="1945"/>
      <c r="DK143" s="1945"/>
      <c r="DL143" s="1950">
        <f>+DL146*DL156</f>
        <v>2859.1767081826702</v>
      </c>
      <c r="DM143" s="1950">
        <f>+DM146*DM156</f>
        <v>2957.3907793759208</v>
      </c>
      <c r="DN143" s="1945"/>
      <c r="DO143" s="1945"/>
      <c r="DP143" s="1950">
        <f>+DP146*DP156</f>
        <v>3060.8893622059727</v>
      </c>
      <c r="DQ143" s="1950">
        <f>+DQ146*DQ156</f>
        <v>3170.062854117295</v>
      </c>
      <c r="DR143" s="1945"/>
      <c r="DS143" s="1945"/>
      <c r="DU143" s="293"/>
      <c r="DV143" s="293"/>
      <c r="DY143" s="103"/>
      <c r="EA143" s="103"/>
      <c r="EB143" s="103"/>
      <c r="EC143" s="103"/>
      <c r="ED143" s="103"/>
      <c r="EE143" s="103"/>
      <c r="EF143" s="103"/>
      <c r="EG143" s="103"/>
    </row>
    <row r="144" spans="1:138">
      <c r="A144" s="302" t="s">
        <v>1157</v>
      </c>
      <c r="B144" s="302"/>
      <c r="C144" s="304"/>
      <c r="D144" s="302"/>
      <c r="E144" s="302"/>
      <c r="F144" s="302"/>
      <c r="G144" s="302"/>
      <c r="H144" s="302"/>
      <c r="I144" s="302"/>
      <c r="J144" s="302"/>
      <c r="K144" s="302"/>
      <c r="L144" s="302"/>
      <c r="M144" s="302"/>
      <c r="N144" s="302"/>
      <c r="O144" s="302"/>
      <c r="P144" s="304"/>
      <c r="Q144" s="304"/>
      <c r="R144" s="304"/>
      <c r="S144" s="304"/>
      <c r="T144" s="304"/>
      <c r="U144" s="304"/>
      <c r="V144" s="304"/>
      <c r="W144" s="304"/>
      <c r="X144" s="304"/>
      <c r="Y144" s="304"/>
      <c r="Z144" s="304"/>
      <c r="AA144" s="304"/>
      <c r="AB144" s="304"/>
      <c r="AC144" s="304"/>
      <c r="AD144" s="304"/>
      <c r="AE144" s="304"/>
      <c r="AF144" s="304"/>
      <c r="AG144" s="304"/>
      <c r="AH144" s="304"/>
      <c r="AI144" s="304"/>
      <c r="AJ144" s="304"/>
      <c r="AK144" s="304"/>
      <c r="AL144" s="304"/>
      <c r="AM144" s="304"/>
      <c r="AN144" s="304"/>
      <c r="AO144" s="304"/>
      <c r="AP144" s="304"/>
      <c r="AQ144" s="304"/>
      <c r="AR144" s="304"/>
      <c r="AS144" s="304"/>
      <c r="AT144" s="304"/>
      <c r="AU144" s="304"/>
      <c r="AV144" s="304"/>
      <c r="AW144" s="304"/>
      <c r="AX144" s="304"/>
      <c r="AY144" s="304"/>
      <c r="AZ144" s="304"/>
      <c r="BA144" s="304"/>
      <c r="BB144" s="304"/>
      <c r="BC144" s="304"/>
      <c r="BD144" s="304"/>
      <c r="BE144" s="627">
        <v>2456</v>
      </c>
      <c r="BF144" s="304"/>
      <c r="BG144" s="304"/>
      <c r="BH144" s="627">
        <v>2642</v>
      </c>
      <c r="BI144" s="627">
        <v>3156</v>
      </c>
      <c r="BJ144" s="304"/>
      <c r="BK144" s="304"/>
      <c r="BL144" s="627">
        <v>3367</v>
      </c>
      <c r="BM144" s="627">
        <v>2005</v>
      </c>
      <c r="BN144" s="304"/>
      <c r="BO144" s="304"/>
      <c r="BP144" s="627">
        <v>2024</v>
      </c>
      <c r="BQ144" s="627">
        <v>2444</v>
      </c>
      <c r="BR144" s="304"/>
      <c r="BS144" s="304"/>
      <c r="BT144" s="627">
        <f>2490+510</f>
        <v>3000</v>
      </c>
      <c r="BU144" s="627">
        <f>2400+600</f>
        <v>3000</v>
      </c>
      <c r="BV144" s="304"/>
      <c r="BW144" s="304"/>
      <c r="BX144" s="627">
        <v>2300</v>
      </c>
      <c r="BY144" s="627">
        <v>2000</v>
      </c>
      <c r="BZ144" s="304"/>
      <c r="CA144" s="304"/>
      <c r="CB144" s="629">
        <v>4100</v>
      </c>
      <c r="CC144" s="629">
        <v>3000</v>
      </c>
      <c r="CD144" s="304"/>
      <c r="CE144" s="304"/>
      <c r="CF144" s="629">
        <v>1200</v>
      </c>
      <c r="CG144" s="629">
        <v>600</v>
      </c>
      <c r="CH144" s="304"/>
      <c r="CI144" s="304"/>
      <c r="CJ144" s="629">
        <v>400</v>
      </c>
      <c r="CK144" s="629">
        <v>100</v>
      </c>
      <c r="CL144" s="629"/>
      <c r="CM144" s="629"/>
      <c r="CN144" s="629">
        <v>0</v>
      </c>
      <c r="CO144" s="629">
        <v>0</v>
      </c>
      <c r="CP144" s="629"/>
      <c r="CQ144" s="629"/>
      <c r="CR144" s="629">
        <v>0</v>
      </c>
      <c r="CS144" s="629">
        <v>0</v>
      </c>
      <c r="CT144" s="1945"/>
      <c r="CU144" s="1945"/>
      <c r="CV144" s="1949">
        <v>0</v>
      </c>
      <c r="CW144" s="1954">
        <v>0</v>
      </c>
      <c r="CX144" s="1945"/>
      <c r="CY144" s="1945"/>
      <c r="CZ144" s="1949">
        <v>0</v>
      </c>
      <c r="DA144" s="1954">
        <v>0</v>
      </c>
      <c r="DB144" s="1945"/>
      <c r="DC144" s="1945"/>
      <c r="DD144" s="1949">
        <v>0</v>
      </c>
      <c r="DE144" s="1497">
        <v>0</v>
      </c>
      <c r="DF144" s="1945"/>
      <c r="DG144" s="1945"/>
      <c r="DH144" s="1949">
        <v>0</v>
      </c>
      <c r="DI144" s="1950">
        <f>+DI146*DI157</f>
        <v>0</v>
      </c>
      <c r="DJ144" s="1945"/>
      <c r="DK144" s="1945"/>
      <c r="DL144" s="1950">
        <f>+DL146*DL157</f>
        <v>0</v>
      </c>
      <c r="DM144" s="1950">
        <f>+DM146*DM157</f>
        <v>0</v>
      </c>
      <c r="DN144" s="1945"/>
      <c r="DO144" s="1945"/>
      <c r="DP144" s="1950">
        <f>+DP146*DP157</f>
        <v>0</v>
      </c>
      <c r="DQ144" s="1950">
        <f>+DQ146*DQ157</f>
        <v>0</v>
      </c>
      <c r="DR144" s="1945"/>
      <c r="DS144" s="1945"/>
      <c r="DU144" s="293"/>
      <c r="DV144" s="293"/>
      <c r="DY144" s="103"/>
      <c r="EA144" s="103"/>
      <c r="EB144" s="103"/>
      <c r="EC144" s="103"/>
      <c r="ED144" s="103"/>
      <c r="EE144" s="103"/>
      <c r="EF144" s="103"/>
      <c r="EG144" s="103"/>
    </row>
    <row r="145" spans="1:138">
      <c r="A145" s="302" t="s">
        <v>373</v>
      </c>
      <c r="B145" s="302"/>
      <c r="C145" s="304"/>
      <c r="D145" s="302"/>
      <c r="E145" s="302"/>
      <c r="F145" s="302"/>
      <c r="G145" s="302"/>
      <c r="H145" s="302"/>
      <c r="I145" s="302"/>
      <c r="J145" s="302"/>
      <c r="K145" s="302"/>
      <c r="L145" s="302"/>
      <c r="M145" s="302"/>
      <c r="N145" s="302"/>
      <c r="O145" s="302"/>
      <c r="P145" s="304"/>
      <c r="Q145" s="304"/>
      <c r="R145" s="304"/>
      <c r="S145" s="304"/>
      <c r="T145" s="304"/>
      <c r="U145" s="304"/>
      <c r="V145" s="304"/>
      <c r="W145" s="304"/>
      <c r="X145" s="304"/>
      <c r="Y145" s="304"/>
      <c r="Z145" s="304"/>
      <c r="AA145" s="304"/>
      <c r="AB145" s="304"/>
      <c r="AC145" s="304"/>
      <c r="AD145" s="304"/>
      <c r="AE145" s="304"/>
      <c r="AF145" s="304"/>
      <c r="AG145" s="304"/>
      <c r="AH145" s="304"/>
      <c r="AI145" s="304"/>
      <c r="AJ145" s="304"/>
      <c r="AK145" s="304"/>
      <c r="AL145" s="304"/>
      <c r="AM145" s="304"/>
      <c r="AN145" s="304"/>
      <c r="AO145" s="304"/>
      <c r="AP145" s="304"/>
      <c r="AQ145" s="304"/>
      <c r="AR145" s="304"/>
      <c r="AS145" s="304"/>
      <c r="AT145" s="304"/>
      <c r="AU145" s="304"/>
      <c r="AV145" s="304"/>
      <c r="AW145" s="304"/>
      <c r="AX145" s="304"/>
      <c r="AY145" s="304"/>
      <c r="AZ145" s="304"/>
      <c r="BA145" s="304"/>
      <c r="BB145" s="304"/>
      <c r="BC145" s="304"/>
      <c r="BD145" s="304"/>
      <c r="BE145" s="627">
        <v>2664</v>
      </c>
      <c r="BF145" s="304"/>
      <c r="BG145" s="304"/>
      <c r="BH145" s="627">
        <v>2285</v>
      </c>
      <c r="BI145" s="627">
        <v>2048</v>
      </c>
      <c r="BJ145" s="304"/>
      <c r="BK145" s="304"/>
      <c r="BL145" s="627">
        <v>2497</v>
      </c>
      <c r="BM145" s="627">
        <v>2447</v>
      </c>
      <c r="BN145" s="304"/>
      <c r="BO145" s="304"/>
      <c r="BP145" s="627">
        <v>2483</v>
      </c>
      <c r="BQ145" s="627">
        <v>2328</v>
      </c>
      <c r="BR145" s="304"/>
      <c r="BS145" s="304"/>
      <c r="BT145" s="627">
        <v>2779</v>
      </c>
      <c r="BU145" s="627">
        <v>2700</v>
      </c>
      <c r="BV145" s="304"/>
      <c r="BW145" s="304"/>
      <c r="BX145" s="627">
        <f>2000+600</f>
        <v>2600</v>
      </c>
      <c r="BY145" s="627">
        <f>2100+2200</f>
        <v>4300</v>
      </c>
      <c r="BZ145" s="304"/>
      <c r="CA145" s="304"/>
      <c r="CB145" s="629">
        <v>3600</v>
      </c>
      <c r="CC145" s="629">
        <v>4100</v>
      </c>
      <c r="CD145" s="304"/>
      <c r="CE145" s="304"/>
      <c r="CF145" s="629">
        <v>4100</v>
      </c>
      <c r="CG145" s="629">
        <v>4200</v>
      </c>
      <c r="CH145" s="304"/>
      <c r="CI145" s="304"/>
      <c r="CJ145" s="629">
        <v>8500</v>
      </c>
      <c r="CK145" s="629">
        <v>8300</v>
      </c>
      <c r="CL145" s="629"/>
      <c r="CM145" s="629"/>
      <c r="CN145" s="629">
        <v>7400</v>
      </c>
      <c r="CO145" s="629">
        <v>4300</v>
      </c>
      <c r="CP145" s="629"/>
      <c r="CQ145" s="629"/>
      <c r="CR145" s="629">
        <v>5000</v>
      </c>
      <c r="CS145" s="629">
        <v>4900</v>
      </c>
      <c r="CT145" s="1945"/>
      <c r="CU145" s="1945"/>
      <c r="CV145" s="1949">
        <v>5300</v>
      </c>
      <c r="CW145" s="1954">
        <v>5900</v>
      </c>
      <c r="CX145" s="1945"/>
      <c r="CY145" s="1945"/>
      <c r="CZ145" s="1949">
        <v>6900</v>
      </c>
      <c r="DA145" s="1954">
        <v>8500</v>
      </c>
      <c r="DB145" s="1945"/>
      <c r="DC145" s="1945"/>
      <c r="DD145" s="1949">
        <v>8500</v>
      </c>
      <c r="DE145" s="2176">
        <v>9100</v>
      </c>
      <c r="DF145" s="1945"/>
      <c r="DG145" s="1945"/>
      <c r="DH145" s="1949">
        <v>8800</v>
      </c>
      <c r="DI145" s="1950">
        <f>+DI146*DI158</f>
        <v>8495.226730949511</v>
      </c>
      <c r="DJ145" s="1945"/>
      <c r="DK145" s="1945"/>
      <c r="DL145" s="1950">
        <f>+DL146*DL158</f>
        <v>8781.7570322753454</v>
      </c>
      <c r="DM145" s="1950">
        <f>+DM146*DM158</f>
        <v>9083.4145366546145</v>
      </c>
      <c r="DN145" s="1945"/>
      <c r="DO145" s="1945"/>
      <c r="DP145" s="1950">
        <f>+DP146*DP158</f>
        <v>9401.3030410612027</v>
      </c>
      <c r="DQ145" s="1950">
        <f>+DQ146*DQ158</f>
        <v>9736.6216233602645</v>
      </c>
      <c r="DR145" s="1945"/>
      <c r="DS145" s="1945"/>
      <c r="DU145" s="293"/>
      <c r="DV145" s="293"/>
      <c r="DY145" s="103"/>
      <c r="EA145" s="103"/>
      <c r="EB145" s="103"/>
      <c r="EC145" s="103"/>
      <c r="ED145" s="103"/>
      <c r="EE145" s="103"/>
      <c r="EF145" s="103"/>
      <c r="EG145" s="103"/>
    </row>
    <row r="146" spans="1:138">
      <c r="A146" s="289" t="s">
        <v>588</v>
      </c>
      <c r="BE146" s="295">
        <f>SUM(BE143:BE145)</f>
        <v>7375</v>
      </c>
      <c r="BH146" s="295">
        <f>SUM(BH143:BH145)</f>
        <v>7342</v>
      </c>
      <c r="BI146" s="295">
        <f>SUM(BI143:BI145)</f>
        <v>7582</v>
      </c>
      <c r="BL146" s="295">
        <f>SUM(BL143:BL145)</f>
        <v>7233</v>
      </c>
      <c r="BM146" s="295">
        <f>SUM(BM143:BM145)</f>
        <v>5794</v>
      </c>
      <c r="BP146" s="295">
        <f>SUM(BP143:BP145)</f>
        <v>5775</v>
      </c>
      <c r="BQ146" s="295">
        <f>SUM(BQ143:BQ145)</f>
        <v>5848</v>
      </c>
      <c r="BT146" s="295">
        <f>SUM(BT143:BT145)</f>
        <v>7018</v>
      </c>
      <c r="BU146" s="295">
        <f>SUM(BU143:BU145)</f>
        <v>6800</v>
      </c>
      <c r="BX146" s="295">
        <f>SUM(BX143:BX145)</f>
        <v>5700</v>
      </c>
      <c r="BY146" s="295">
        <f>SUM(BY143:BY145)</f>
        <v>7200</v>
      </c>
      <c r="CB146" s="295">
        <f>SUM(CB143:CB145)</f>
        <v>9300</v>
      </c>
      <c r="CC146" s="295">
        <f>SUM(CC143:CC145)</f>
        <v>8500</v>
      </c>
      <c r="CF146" s="295">
        <f>SUM(CF143:CF145)</f>
        <v>6500</v>
      </c>
      <c r="CG146" s="295">
        <f>SUM(CG143:CG145)</f>
        <v>6100</v>
      </c>
      <c r="CJ146" s="295">
        <f>SUM(CJ143:CJ145)</f>
        <v>10200</v>
      </c>
      <c r="CK146" s="295">
        <f>SUM(CK143:CK145)</f>
        <v>9700</v>
      </c>
      <c r="CL146" s="295"/>
      <c r="CM146" s="295"/>
      <c r="CN146" s="295">
        <f>SUM(CN143:CN145)</f>
        <v>8600</v>
      </c>
      <c r="CO146" s="295">
        <f>SUM(CO143:CO145)</f>
        <v>5700</v>
      </c>
      <c r="CP146" s="295"/>
      <c r="CQ146" s="295"/>
      <c r="CR146" s="295">
        <f>SUM(CR143:CR145)</f>
        <v>6700</v>
      </c>
      <c r="CS146" s="295">
        <f>SUM(CS143:CS145)</f>
        <v>6400</v>
      </c>
      <c r="CV146" s="295">
        <f>SUM(CV143:CV145)</f>
        <v>7500</v>
      </c>
      <c r="CW146" s="1390">
        <f>SUM(CW143:CW145)</f>
        <v>8100</v>
      </c>
      <c r="CZ146" s="295">
        <f>SUM(CZ143:CZ145)</f>
        <v>8600</v>
      </c>
      <c r="DA146" s="1390">
        <f>SUM(DA143:DA145)</f>
        <v>10700</v>
      </c>
      <c r="DD146" s="295">
        <f>SUM(DD143:DD145)</f>
        <v>10200</v>
      </c>
      <c r="DE146" s="1491">
        <f>SUM(DE143:DE145)</f>
        <v>10900</v>
      </c>
      <c r="DH146" s="295">
        <f>SUM(DH143:DH145)</f>
        <v>10900</v>
      </c>
      <c r="DI146" s="295">
        <f>+DI149-DI147-DI148</f>
        <v>11261.114503816792</v>
      </c>
      <c r="DL146" s="295">
        <f>+DL149-DL147-DL148</f>
        <v>11640.933740458015</v>
      </c>
      <c r="DM146" s="295">
        <f>+DM149-DM147-DM148</f>
        <v>12040.805316030535</v>
      </c>
      <c r="DP146" s="295">
        <f>+DP149-DP147-DP148</f>
        <v>12462.192403267176</v>
      </c>
      <c r="DQ146" s="295">
        <f>+DQ149-DQ147-DQ148</f>
        <v>12906.68447747756</v>
      </c>
      <c r="DU146" s="295"/>
      <c r="DV146" s="295"/>
      <c r="DY146" s="103"/>
      <c r="EA146" s="103"/>
      <c r="EB146" s="103"/>
      <c r="EC146" s="103"/>
      <c r="ED146" s="103"/>
      <c r="EE146" s="103"/>
      <c r="EF146" s="103"/>
      <c r="EG146" s="103"/>
    </row>
    <row r="147" spans="1:138">
      <c r="A147" s="302" t="s">
        <v>374</v>
      </c>
      <c r="B147" s="302"/>
      <c r="C147" s="304"/>
      <c r="D147" s="302"/>
      <c r="E147" s="302"/>
      <c r="F147" s="302"/>
      <c r="G147" s="302"/>
      <c r="H147" s="302"/>
      <c r="I147" s="302"/>
      <c r="J147" s="302"/>
      <c r="K147" s="302"/>
      <c r="L147" s="302"/>
      <c r="M147" s="302"/>
      <c r="N147" s="302"/>
      <c r="O147" s="302"/>
      <c r="P147" s="304"/>
      <c r="Q147" s="304"/>
      <c r="R147" s="304"/>
      <c r="S147" s="304"/>
      <c r="T147" s="304"/>
      <c r="U147" s="304"/>
      <c r="V147" s="304"/>
      <c r="W147" s="304"/>
      <c r="X147" s="304"/>
      <c r="Y147" s="304"/>
      <c r="Z147" s="304"/>
      <c r="AA147" s="304"/>
      <c r="AB147" s="304"/>
      <c r="AC147" s="304"/>
      <c r="AD147" s="304"/>
      <c r="AE147" s="304"/>
      <c r="AF147" s="304"/>
      <c r="AG147" s="304"/>
      <c r="AH147" s="304"/>
      <c r="AI147" s="304"/>
      <c r="AJ147" s="304"/>
      <c r="AK147" s="304"/>
      <c r="AL147" s="304"/>
      <c r="AM147" s="304"/>
      <c r="AN147" s="304"/>
      <c r="AO147" s="304"/>
      <c r="AP147" s="304"/>
      <c r="AQ147" s="304"/>
      <c r="AR147" s="304"/>
      <c r="AS147" s="304"/>
      <c r="AT147" s="304"/>
      <c r="AU147" s="304"/>
      <c r="AV147" s="304"/>
      <c r="AW147" s="304"/>
      <c r="AX147" s="304"/>
      <c r="AY147" s="304"/>
      <c r="AZ147" s="304"/>
      <c r="BA147" s="304"/>
      <c r="BB147" s="304"/>
      <c r="BC147" s="304"/>
      <c r="BD147" s="304"/>
      <c r="BE147" s="627">
        <v>-2071</v>
      </c>
      <c r="BF147" s="304"/>
      <c r="BG147" s="304"/>
      <c r="BH147" s="627">
        <v>-2193</v>
      </c>
      <c r="BI147" s="627">
        <v>-2114</v>
      </c>
      <c r="BJ147" s="304"/>
      <c r="BK147" s="304"/>
      <c r="BL147" s="627">
        <v>-1111</v>
      </c>
      <c r="BM147" s="627">
        <v>-1138</v>
      </c>
      <c r="BN147" s="304"/>
      <c r="BO147" s="304"/>
      <c r="BP147" s="627">
        <v>-1038</v>
      </c>
      <c r="BQ147" s="627">
        <v>-787</v>
      </c>
      <c r="BR147" s="304"/>
      <c r="BS147" s="304"/>
      <c r="BT147" s="627">
        <v>-860</v>
      </c>
      <c r="BU147" s="627">
        <v>-800</v>
      </c>
      <c r="BV147" s="304"/>
      <c r="BW147" s="304"/>
      <c r="BX147" s="627">
        <v>-400</v>
      </c>
      <c r="BY147" s="627">
        <v>-400</v>
      </c>
      <c r="BZ147" s="304"/>
      <c r="CA147" s="304"/>
      <c r="CB147" s="629">
        <v>-200</v>
      </c>
      <c r="CC147" s="629">
        <v>-300</v>
      </c>
      <c r="CD147" s="304"/>
      <c r="CE147" s="304"/>
      <c r="CF147" s="629">
        <v>-100</v>
      </c>
      <c r="CG147" s="629">
        <v>-100</v>
      </c>
      <c r="CH147" s="304"/>
      <c r="CI147" s="304"/>
      <c r="CJ147" s="629">
        <v>0</v>
      </c>
      <c r="CK147" s="629">
        <v>0</v>
      </c>
      <c r="CL147" s="629"/>
      <c r="CM147" s="629"/>
      <c r="CN147" s="629">
        <v>0</v>
      </c>
      <c r="CO147" s="629">
        <v>0</v>
      </c>
      <c r="CP147" s="629"/>
      <c r="CQ147" s="629"/>
      <c r="CR147" s="629">
        <v>0</v>
      </c>
      <c r="CS147" s="629">
        <v>0</v>
      </c>
      <c r="CT147" s="1945"/>
      <c r="CU147" s="1945"/>
      <c r="CV147" s="1949">
        <v>0</v>
      </c>
      <c r="CW147" s="1954">
        <v>0</v>
      </c>
      <c r="CX147" s="1945"/>
      <c r="CY147" s="1945"/>
      <c r="CZ147" s="1949">
        <v>0</v>
      </c>
      <c r="DA147" s="1954">
        <v>0</v>
      </c>
      <c r="DB147" s="1945"/>
      <c r="DC147" s="1945"/>
      <c r="DD147" s="1949">
        <v>0</v>
      </c>
      <c r="DE147" s="1497">
        <v>0</v>
      </c>
      <c r="DF147" s="1945"/>
      <c r="DG147" s="1945"/>
      <c r="DH147" s="1949">
        <v>0</v>
      </c>
      <c r="DI147" s="1955">
        <f>DH147/DH149*DI149</f>
        <v>0</v>
      </c>
      <c r="DJ147" s="1945"/>
      <c r="DK147" s="1945"/>
      <c r="DL147" s="1955">
        <f>DI147/DI149*DL149</f>
        <v>0</v>
      </c>
      <c r="DM147" s="1955">
        <f>DL147/DL149*DM149</f>
        <v>0</v>
      </c>
      <c r="DN147" s="1945"/>
      <c r="DO147" s="1945"/>
      <c r="DP147" s="1955">
        <f>DM147/DM149*DP149</f>
        <v>0</v>
      </c>
      <c r="DQ147" s="1955">
        <f>DP147/DP149*DQ149</f>
        <v>0</v>
      </c>
      <c r="DR147" s="1945"/>
      <c r="DS147" s="1945"/>
      <c r="DU147" s="492"/>
      <c r="DV147" s="492"/>
      <c r="DY147" s="103"/>
      <c r="EA147" s="103"/>
      <c r="EB147" s="103"/>
      <c r="EC147" s="103"/>
      <c r="ED147" s="103"/>
      <c r="EE147" s="103"/>
      <c r="EF147" s="103"/>
      <c r="EG147" s="103"/>
    </row>
    <row r="148" spans="1:138">
      <c r="A148" s="302" t="s">
        <v>1040</v>
      </c>
      <c r="B148" s="302"/>
      <c r="C148" s="304"/>
      <c r="D148" s="302"/>
      <c r="E148" s="302"/>
      <c r="F148" s="302"/>
      <c r="G148" s="302"/>
      <c r="H148" s="302"/>
      <c r="I148" s="302"/>
      <c r="J148" s="302"/>
      <c r="K148" s="302"/>
      <c r="L148" s="302"/>
      <c r="M148" s="302"/>
      <c r="N148" s="302"/>
      <c r="O148" s="302"/>
      <c r="P148" s="304"/>
      <c r="Q148" s="304"/>
      <c r="R148" s="304"/>
      <c r="S148" s="304"/>
      <c r="T148" s="304"/>
      <c r="U148" s="304"/>
      <c r="V148" s="304"/>
      <c r="W148" s="304"/>
      <c r="X148" s="304"/>
      <c r="Y148" s="304"/>
      <c r="Z148" s="304"/>
      <c r="AA148" s="304"/>
      <c r="AB148" s="304"/>
      <c r="AC148" s="304"/>
      <c r="AD148" s="304"/>
      <c r="AE148" s="304"/>
      <c r="AF148" s="304"/>
      <c r="AG148" s="304"/>
      <c r="AH148" s="304"/>
      <c r="AI148" s="304"/>
      <c r="AJ148" s="304"/>
      <c r="AK148" s="304"/>
      <c r="AL148" s="304"/>
      <c r="AM148" s="304"/>
      <c r="AN148" s="304"/>
      <c r="AO148" s="304"/>
      <c r="AP148" s="304"/>
      <c r="AQ148" s="304"/>
      <c r="AR148" s="304"/>
      <c r="AS148" s="304"/>
      <c r="AT148" s="304"/>
      <c r="AU148" s="304"/>
      <c r="AV148" s="304"/>
      <c r="AW148" s="304"/>
      <c r="AX148" s="304"/>
      <c r="AY148" s="304"/>
      <c r="AZ148" s="304"/>
      <c r="BA148" s="304"/>
      <c r="BB148" s="304"/>
      <c r="BC148" s="304"/>
      <c r="BD148" s="304"/>
      <c r="BE148" s="627"/>
      <c r="BF148" s="304"/>
      <c r="BG148" s="304"/>
      <c r="BH148" s="627"/>
      <c r="BI148" s="627"/>
      <c r="BJ148" s="304"/>
      <c r="BK148" s="304"/>
      <c r="BL148" s="627"/>
      <c r="BM148" s="627"/>
      <c r="BN148" s="304"/>
      <c r="BO148" s="304"/>
      <c r="BP148" s="627"/>
      <c r="BQ148" s="627"/>
      <c r="BR148" s="304"/>
      <c r="BS148" s="304"/>
      <c r="BT148" s="627"/>
      <c r="BU148" s="627"/>
      <c r="BV148" s="304"/>
      <c r="BW148" s="304"/>
      <c r="BX148" s="629">
        <v>-200</v>
      </c>
      <c r="BY148" s="629">
        <v>-1300</v>
      </c>
      <c r="BZ148" s="304"/>
      <c r="CA148" s="304"/>
      <c r="CB148" s="629">
        <v>-1400</v>
      </c>
      <c r="CC148" s="629">
        <v>-1400</v>
      </c>
      <c r="CD148" s="304"/>
      <c r="CE148" s="304"/>
      <c r="CF148" s="629">
        <v>-100</v>
      </c>
      <c r="CG148" s="629">
        <v>-100</v>
      </c>
      <c r="CH148" s="304"/>
      <c r="CI148" s="304"/>
      <c r="CJ148" s="629">
        <v>0</v>
      </c>
      <c r="CK148" s="629">
        <v>0</v>
      </c>
      <c r="CL148" s="629"/>
      <c r="CM148" s="629"/>
      <c r="CN148" s="629">
        <v>0</v>
      </c>
      <c r="CO148" s="629">
        <v>0</v>
      </c>
      <c r="CP148" s="629"/>
      <c r="CQ148" s="629"/>
      <c r="CR148" s="629">
        <v>-100</v>
      </c>
      <c r="CS148" s="629">
        <v>-100</v>
      </c>
      <c r="CT148" s="1945"/>
      <c r="CU148" s="1945"/>
      <c r="CV148" s="1949">
        <v>-100</v>
      </c>
      <c r="CW148" s="1954">
        <v>-700</v>
      </c>
      <c r="CX148" s="1945"/>
      <c r="CY148" s="1945"/>
      <c r="CZ148" s="1949">
        <v>-100</v>
      </c>
      <c r="DA148" s="1954">
        <v>-100</v>
      </c>
      <c r="DB148" s="1945"/>
      <c r="DC148" s="1945"/>
      <c r="DD148" s="1949">
        <v>-200</v>
      </c>
      <c r="DE148" s="2176">
        <v>-200</v>
      </c>
      <c r="DF148" s="1945"/>
      <c r="DG148" s="1945"/>
      <c r="DH148" s="1949">
        <v>-200</v>
      </c>
      <c r="DI148" s="1955">
        <f>DH148/DH149*DI149</f>
        <v>-206.62595419847324</v>
      </c>
      <c r="DJ148" s="1945"/>
      <c r="DK148" s="1945"/>
      <c r="DL148" s="1955">
        <f>DI148/DI149*DL149</f>
        <v>-213.59511450381677</v>
      </c>
      <c r="DM148" s="1955">
        <f>DL148/DL149*DM149</f>
        <v>-220.93220763358778</v>
      </c>
      <c r="DN148" s="1945"/>
      <c r="DO148" s="1945"/>
      <c r="DP148" s="1955">
        <f>DM148/DM149*DP149</f>
        <v>-228.66408079389313</v>
      </c>
      <c r="DQ148" s="1955">
        <f>DP148/DP149*DQ149</f>
        <v>-236.81989866931301</v>
      </c>
      <c r="DR148" s="1945"/>
      <c r="DS148" s="1945"/>
      <c r="DU148" s="492"/>
      <c r="DV148" s="492"/>
      <c r="DY148" s="103"/>
      <c r="EA148" s="103"/>
      <c r="EB148" s="103"/>
      <c r="EC148" s="103"/>
      <c r="ED148" s="103"/>
      <c r="EE148" s="103"/>
      <c r="EF148" s="103"/>
      <c r="EG148" s="103"/>
    </row>
    <row r="149" spans="1:138">
      <c r="A149" s="289" t="s">
        <v>375</v>
      </c>
      <c r="BE149" s="295">
        <f>SUM(BE146:BE147)</f>
        <v>5304</v>
      </c>
      <c r="BH149" s="295">
        <f>SUM(BH146:BH147)</f>
        <v>5149</v>
      </c>
      <c r="BI149" s="295">
        <f>SUM(BI146:BI147)</f>
        <v>5468</v>
      </c>
      <c r="BL149" s="295">
        <f>SUM(BL146:BL147)</f>
        <v>6122</v>
      </c>
      <c r="BM149" s="295">
        <f>SUM(BM146:BM147)</f>
        <v>4656</v>
      </c>
      <c r="BP149" s="295">
        <f>SUM(BP146:BP147)</f>
        <v>4737</v>
      </c>
      <c r="BQ149" s="295">
        <f>SUM(BQ146:BQ147)</f>
        <v>5061</v>
      </c>
      <c r="BT149" s="295">
        <f>SUM(BT146:BT147)</f>
        <v>6158</v>
      </c>
      <c r="BU149" s="295">
        <f>SUM(BU146:BU147)</f>
        <v>6000</v>
      </c>
      <c r="BX149" s="295">
        <f>SUM(BX146:BX148)</f>
        <v>5100</v>
      </c>
      <c r="BY149" s="295">
        <f>SUM(BY146:BY148)</f>
        <v>5500</v>
      </c>
      <c r="CB149" s="295">
        <f>SUM(CB146:CB148)</f>
        <v>7700</v>
      </c>
      <c r="CC149" s="295">
        <f>SUM(CC146:CC148)</f>
        <v>6800</v>
      </c>
      <c r="CF149" s="295">
        <f>SUM(CF146:CF148)</f>
        <v>6300</v>
      </c>
      <c r="CG149" s="295">
        <f>SUM(CG146:CG148)</f>
        <v>5900</v>
      </c>
      <c r="CJ149" s="295">
        <f>SUM(CJ146:CJ148)</f>
        <v>10200</v>
      </c>
      <c r="CK149" s="295">
        <f>SUM(CK146:CK148)</f>
        <v>9700</v>
      </c>
      <c r="CL149" s="295"/>
      <c r="CM149" s="295"/>
      <c r="CN149" s="295">
        <f>SUM(CN146:CN148)</f>
        <v>8600</v>
      </c>
      <c r="CO149" s="295">
        <f>SUM(CO146:CO148)</f>
        <v>5700</v>
      </c>
      <c r="CP149" s="295"/>
      <c r="CQ149" s="295"/>
      <c r="CR149" s="295">
        <f>SUM(CR146:CR148)</f>
        <v>6600</v>
      </c>
      <c r="CS149" s="295">
        <f>SUM(CS146:CS148)</f>
        <v>6300</v>
      </c>
      <c r="CV149" s="295">
        <f>SUM(CV146:CV148)</f>
        <v>7400</v>
      </c>
      <c r="CW149" s="1390">
        <f>SUM(CW146:CW148)</f>
        <v>7400</v>
      </c>
      <c r="CZ149" s="295">
        <f>SUM(CZ146:CZ148)</f>
        <v>8500</v>
      </c>
      <c r="DA149" s="1390">
        <f>SUM(DA146:DA148)</f>
        <v>10600</v>
      </c>
      <c r="DD149" s="295">
        <f>SUM(DD146:DD148)</f>
        <v>10000</v>
      </c>
      <c r="DE149" s="1491">
        <f>SUM(DE146:DE148)</f>
        <v>10700</v>
      </c>
      <c r="DH149" s="295">
        <f>SUM(DH146:DH148)</f>
        <v>10700</v>
      </c>
      <c r="DI149" s="295">
        <f>+DI152-DI151-DI150</f>
        <v>11054.48854961832</v>
      </c>
      <c r="DL149" s="295">
        <f>+DL152-DL151-DL150</f>
        <v>11427.338625954199</v>
      </c>
      <c r="DM149" s="295">
        <f>+DM152-DM151-DM150</f>
        <v>11819.873108396947</v>
      </c>
      <c r="DP149" s="295">
        <f>+DP152-DP151-DP150</f>
        <v>12233.528322473283</v>
      </c>
      <c r="DQ149" s="295">
        <f>+DQ152-DQ151-DQ150</f>
        <v>12669.864578808247</v>
      </c>
      <c r="DU149" s="295"/>
      <c r="DV149" s="295"/>
      <c r="DY149" s="103"/>
      <c r="EA149" s="103"/>
      <c r="EB149" s="103"/>
      <c r="EC149" s="103"/>
      <c r="ED149" s="103"/>
      <c r="EE149" s="103"/>
      <c r="EF149" s="103"/>
      <c r="EG149" s="103"/>
    </row>
    <row r="150" spans="1:138">
      <c r="A150" s="302" t="s">
        <v>1258</v>
      </c>
      <c r="B150" s="302"/>
      <c r="C150" s="304"/>
      <c r="D150" s="302"/>
      <c r="E150" s="302"/>
      <c r="F150" s="302"/>
      <c r="G150" s="302"/>
      <c r="H150" s="302"/>
      <c r="I150" s="302"/>
      <c r="J150" s="302"/>
      <c r="K150" s="302"/>
      <c r="L150" s="302"/>
      <c r="M150" s="302"/>
      <c r="N150" s="302"/>
      <c r="O150" s="302"/>
      <c r="P150" s="304"/>
      <c r="Q150" s="304"/>
      <c r="R150" s="304"/>
      <c r="S150" s="304"/>
      <c r="T150" s="304"/>
      <c r="U150" s="304"/>
      <c r="V150" s="304"/>
      <c r="W150" s="304"/>
      <c r="X150" s="304"/>
      <c r="Y150" s="304"/>
      <c r="Z150" s="304"/>
      <c r="AA150" s="304"/>
      <c r="AB150" s="304"/>
      <c r="AC150" s="304"/>
      <c r="AD150" s="304"/>
      <c r="AE150" s="304"/>
      <c r="AF150" s="304"/>
      <c r="AG150" s="304"/>
      <c r="AH150" s="304"/>
      <c r="AI150" s="304"/>
      <c r="AJ150" s="304"/>
      <c r="AK150" s="304"/>
      <c r="AL150" s="304"/>
      <c r="AM150" s="304"/>
      <c r="AN150" s="304"/>
      <c r="AO150" s="304"/>
      <c r="AP150" s="304"/>
      <c r="AQ150" s="304"/>
      <c r="AR150" s="304"/>
      <c r="AS150" s="304"/>
      <c r="AT150" s="304"/>
      <c r="AU150" s="304"/>
      <c r="AV150" s="304"/>
      <c r="AW150" s="304"/>
      <c r="AX150" s="304"/>
      <c r="AY150" s="304"/>
      <c r="AZ150" s="304"/>
      <c r="BA150" s="304"/>
      <c r="BB150" s="304"/>
      <c r="BC150" s="304"/>
      <c r="BD150" s="304"/>
      <c r="BE150" s="627">
        <v>134</v>
      </c>
      <c r="BF150" s="304"/>
      <c r="BG150" s="304"/>
      <c r="BH150" s="627">
        <v>77</v>
      </c>
      <c r="BI150" s="627">
        <v>122</v>
      </c>
      <c r="BJ150" s="304"/>
      <c r="BK150" s="304"/>
      <c r="BL150" s="627">
        <v>85</v>
      </c>
      <c r="BM150" s="627">
        <v>17</v>
      </c>
      <c r="BN150" s="304"/>
      <c r="BO150" s="304"/>
      <c r="BP150" s="627">
        <v>7</v>
      </c>
      <c r="BQ150" s="627">
        <v>9</v>
      </c>
      <c r="BR150" s="304"/>
      <c r="BS150" s="304"/>
      <c r="BT150" s="627">
        <v>0</v>
      </c>
      <c r="BU150" s="627">
        <v>0</v>
      </c>
      <c r="BV150" s="304"/>
      <c r="BW150" s="304"/>
      <c r="BX150" s="627">
        <v>0</v>
      </c>
      <c r="BY150" s="627">
        <v>0</v>
      </c>
      <c r="BZ150" s="304"/>
      <c r="CA150" s="304"/>
      <c r="CB150" s="627">
        <v>0</v>
      </c>
      <c r="CC150" s="629">
        <v>0</v>
      </c>
      <c r="CD150" s="304"/>
      <c r="CE150" s="304"/>
      <c r="CF150" s="627">
        <v>0</v>
      </c>
      <c r="CG150" s="629">
        <v>0</v>
      </c>
      <c r="CH150" s="304"/>
      <c r="CI150" s="304"/>
      <c r="CJ150" s="627">
        <v>0</v>
      </c>
      <c r="CK150" s="627">
        <v>0</v>
      </c>
      <c r="CL150" s="627"/>
      <c r="CM150" s="627"/>
      <c r="CN150" s="627">
        <v>0</v>
      </c>
      <c r="CO150" s="627">
        <v>1800</v>
      </c>
      <c r="CP150" s="627"/>
      <c r="CQ150" s="627"/>
      <c r="CR150" s="627">
        <v>2000</v>
      </c>
      <c r="CS150" s="627">
        <v>1900</v>
      </c>
      <c r="CT150" s="304"/>
      <c r="CU150" s="1945"/>
      <c r="CV150" s="1949">
        <v>1900</v>
      </c>
      <c r="CW150" s="1954">
        <v>2200</v>
      </c>
      <c r="CX150" s="1945"/>
      <c r="CY150" s="1945"/>
      <c r="CZ150" s="1949">
        <v>2900</v>
      </c>
      <c r="DA150" s="1954">
        <v>2700</v>
      </c>
      <c r="DB150" s="1945"/>
      <c r="DC150" s="1945"/>
      <c r="DD150" s="1949">
        <v>2300</v>
      </c>
      <c r="DE150" s="2176">
        <v>2700</v>
      </c>
      <c r="DF150" s="1945"/>
      <c r="DG150" s="1945"/>
      <c r="DH150" s="1949">
        <v>2400</v>
      </c>
      <c r="DI150" s="1955">
        <f>DH150/DH152*DI152</f>
        <v>2479.5114503816794</v>
      </c>
      <c r="DJ150" s="1945"/>
      <c r="DK150" s="1945"/>
      <c r="DL150" s="1955">
        <f>DI150/DI152*DL152</f>
        <v>2563.141374045802</v>
      </c>
      <c r="DM150" s="1955">
        <f>DL150/DL152*DM152</f>
        <v>2651.1864916030536</v>
      </c>
      <c r="DN150" s="1945"/>
      <c r="DO150" s="1945"/>
      <c r="DP150" s="1955">
        <f>DM150/DM152*DP152</f>
        <v>2743.9689695267175</v>
      </c>
      <c r="DQ150" s="1955">
        <f>DP150/DP152*DQ152</f>
        <v>2841.8387840317564</v>
      </c>
      <c r="DR150" s="1945"/>
      <c r="DS150" s="1945"/>
      <c r="DU150" s="492"/>
      <c r="DV150" s="492"/>
      <c r="DY150" s="103"/>
      <c r="EA150" s="103"/>
      <c r="EB150" s="103"/>
      <c r="EC150" s="103"/>
      <c r="ED150" s="103"/>
      <c r="EE150" s="103"/>
      <c r="EF150" s="103"/>
      <c r="EG150" s="103"/>
    </row>
    <row r="151" spans="1:138">
      <c r="A151" s="302" t="s">
        <v>1259</v>
      </c>
      <c r="B151" s="302"/>
      <c r="C151" s="304"/>
      <c r="D151" s="302"/>
      <c r="E151" s="302"/>
      <c r="F151" s="302"/>
      <c r="G151" s="302"/>
      <c r="H151" s="302"/>
      <c r="I151" s="302"/>
      <c r="J151" s="302"/>
      <c r="K151" s="302"/>
      <c r="L151" s="302"/>
      <c r="M151" s="302"/>
      <c r="N151" s="302"/>
      <c r="O151" s="302"/>
      <c r="P151" s="304"/>
      <c r="Q151" s="304"/>
      <c r="R151" s="304"/>
      <c r="S151" s="304"/>
      <c r="T151" s="304"/>
      <c r="U151" s="304"/>
      <c r="V151" s="304"/>
      <c r="W151" s="304"/>
      <c r="X151" s="304"/>
      <c r="Y151" s="304"/>
      <c r="Z151" s="304"/>
      <c r="AA151" s="304"/>
      <c r="AB151" s="304"/>
      <c r="AC151" s="304"/>
      <c r="AD151" s="304"/>
      <c r="AE151" s="304"/>
      <c r="AF151" s="304"/>
      <c r="AG151" s="304"/>
      <c r="AH151" s="304"/>
      <c r="AI151" s="304"/>
      <c r="AJ151" s="304"/>
      <c r="AK151" s="304"/>
      <c r="AL151" s="304"/>
      <c r="AM151" s="304"/>
      <c r="AN151" s="304"/>
      <c r="AO151" s="304"/>
      <c r="AP151" s="304"/>
      <c r="AQ151" s="304"/>
      <c r="AR151" s="304"/>
      <c r="AS151" s="304"/>
      <c r="AT151" s="304"/>
      <c r="AU151" s="304"/>
      <c r="AV151" s="304"/>
      <c r="AW151" s="304"/>
      <c r="AX151" s="304"/>
      <c r="AY151" s="304"/>
      <c r="AZ151" s="304"/>
      <c r="BA151" s="304"/>
      <c r="BB151" s="304"/>
      <c r="BC151" s="304"/>
      <c r="BD151" s="304"/>
      <c r="BE151" s="627">
        <f>-144+25</f>
        <v>-119</v>
      </c>
      <c r="BF151" s="304"/>
      <c r="BG151" s="304"/>
      <c r="BH151" s="627">
        <f>-244+3</f>
        <v>-241</v>
      </c>
      <c r="BI151" s="627">
        <v>-365</v>
      </c>
      <c r="BJ151" s="304"/>
      <c r="BK151" s="304"/>
      <c r="BL151" s="627">
        <v>-689</v>
      </c>
      <c r="BM151" s="627">
        <v>-493</v>
      </c>
      <c r="BN151" s="304"/>
      <c r="BO151" s="304"/>
      <c r="BP151" s="627">
        <v>-509</v>
      </c>
      <c r="BQ151" s="627">
        <v>-688</v>
      </c>
      <c r="BR151" s="304"/>
      <c r="BS151" s="304"/>
      <c r="BT151" s="627">
        <f>-688-2</f>
        <v>-690</v>
      </c>
      <c r="BU151" s="627">
        <v>-800</v>
      </c>
      <c r="BV151" s="304"/>
      <c r="BW151" s="304"/>
      <c r="BX151" s="627">
        <v>-600</v>
      </c>
      <c r="BY151" s="627">
        <v>-500</v>
      </c>
      <c r="BZ151" s="304"/>
      <c r="CA151" s="304"/>
      <c r="CB151" s="629">
        <v>-100</v>
      </c>
      <c r="CC151" s="629">
        <v>0</v>
      </c>
      <c r="CD151" s="304"/>
      <c r="CE151" s="304"/>
      <c r="CF151" s="629">
        <v>0</v>
      </c>
      <c r="CG151" s="629">
        <v>0</v>
      </c>
      <c r="CH151" s="304"/>
      <c r="CI151" s="304"/>
      <c r="CJ151" s="629">
        <v>0</v>
      </c>
      <c r="CK151" s="629">
        <v>0</v>
      </c>
      <c r="CL151" s="629"/>
      <c r="CM151" s="629"/>
      <c r="CN151" s="629">
        <v>0</v>
      </c>
      <c r="CO151" s="629">
        <v>200</v>
      </c>
      <c r="CP151" s="629"/>
      <c r="CQ151" s="629"/>
      <c r="CR151" s="629">
        <v>200</v>
      </c>
      <c r="CS151" s="629">
        <v>100</v>
      </c>
      <c r="CT151" s="304"/>
      <c r="CU151" s="1945"/>
      <c r="CV151" s="1949">
        <v>0</v>
      </c>
      <c r="CW151" s="1954">
        <v>0</v>
      </c>
      <c r="CX151" s="1945"/>
      <c r="CY151" s="1945"/>
      <c r="CZ151" s="1949">
        <v>0</v>
      </c>
      <c r="DA151" s="2176">
        <v>-100</v>
      </c>
      <c r="DB151" s="1945"/>
      <c r="DC151" s="1945"/>
      <c r="DD151" s="1949">
        <v>0</v>
      </c>
      <c r="DE151" s="1497">
        <v>0</v>
      </c>
      <c r="DF151" s="1945"/>
      <c r="DG151" s="1945"/>
      <c r="DH151" s="1949">
        <v>0</v>
      </c>
      <c r="DI151" s="1955">
        <f>DH151/DH152*DI152</f>
        <v>0</v>
      </c>
      <c r="DJ151" s="1945"/>
      <c r="DK151" s="1945"/>
      <c r="DL151" s="1955">
        <f>DI151/DI152*DL152</f>
        <v>0</v>
      </c>
      <c r="DM151" s="1955">
        <f>DL151/DL152*DM152</f>
        <v>0</v>
      </c>
      <c r="DN151" s="1945"/>
      <c r="DO151" s="1945"/>
      <c r="DP151" s="1955">
        <f>DM151/DM152*DP152</f>
        <v>0</v>
      </c>
      <c r="DQ151" s="1955">
        <f>DP151/DP152*DQ152</f>
        <v>0</v>
      </c>
      <c r="DR151" s="1945"/>
      <c r="DS151" s="1945"/>
      <c r="DU151" s="492"/>
      <c r="DV151" s="492"/>
      <c r="DY151" s="103"/>
      <c r="EA151" s="103"/>
      <c r="EB151" s="103"/>
      <c r="EC151" s="103"/>
      <c r="ED151" s="103"/>
      <c r="EE151" s="103"/>
      <c r="EF151" s="103"/>
      <c r="EG151" s="103"/>
    </row>
    <row r="152" spans="1:138">
      <c r="A152" s="289" t="s">
        <v>14</v>
      </c>
      <c r="BE152" s="295">
        <f>SUM(BE149:BE151)</f>
        <v>5319</v>
      </c>
      <c r="BH152" s="295">
        <f>SUM(BH149:BH151)</f>
        <v>4985</v>
      </c>
      <c r="BI152" s="295">
        <f>SUM(BI149:BI151)</f>
        <v>5225</v>
      </c>
      <c r="BJ152" s="295">
        <f>BI152</f>
        <v>5225</v>
      </c>
      <c r="BL152" s="295">
        <f>SUM(BL149:BL151)</f>
        <v>5518</v>
      </c>
      <c r="BM152" s="295">
        <f>SUM(BM149:BM151)</f>
        <v>4180</v>
      </c>
      <c r="BN152" s="295">
        <f>BM152</f>
        <v>4180</v>
      </c>
      <c r="BP152" s="295">
        <f>SUM(BP149:BP151)</f>
        <v>4235</v>
      </c>
      <c r="BQ152" s="295">
        <f>SUM(BQ149:BQ151)</f>
        <v>4382</v>
      </c>
      <c r="BR152" s="295">
        <f>BQ152</f>
        <v>4382</v>
      </c>
      <c r="BT152" s="295">
        <f>SUM(BT149:BT151)</f>
        <v>5468</v>
      </c>
      <c r="BU152" s="295">
        <f>SUM(BU149:BU151)</f>
        <v>5200</v>
      </c>
      <c r="BV152" s="295">
        <f>BU152</f>
        <v>5200</v>
      </c>
      <c r="BX152" s="295">
        <f>SUM(BX149:BX151)</f>
        <v>4500</v>
      </c>
      <c r="BY152" s="295">
        <f>SUM(BY149:BY151)</f>
        <v>5000</v>
      </c>
      <c r="BZ152" s="295">
        <f>BY152</f>
        <v>5000</v>
      </c>
      <c r="CB152" s="295">
        <f>SUM(CB149:CB151)</f>
        <v>7600</v>
      </c>
      <c r="CC152" s="295">
        <f>SUM(CC149:CC151)</f>
        <v>6800</v>
      </c>
      <c r="CD152" s="295">
        <f>CC152</f>
        <v>6800</v>
      </c>
      <c r="CF152" s="295">
        <f>SUM(CF149:CF151)</f>
        <v>6300</v>
      </c>
      <c r="CG152" s="295">
        <f>SUM(CG149:CG151)</f>
        <v>5900</v>
      </c>
      <c r="CH152" s="295">
        <f>CG152</f>
        <v>5900</v>
      </c>
      <c r="CJ152" s="295">
        <f>SUM(CJ149:CJ151)</f>
        <v>10200</v>
      </c>
      <c r="CK152" s="295">
        <f>SUM(CK149:CK151)</f>
        <v>9700</v>
      </c>
      <c r="CL152" s="295">
        <f>CK152</f>
        <v>9700</v>
      </c>
      <c r="CN152" s="295">
        <f>SUM(CN149:CN151)</f>
        <v>8600</v>
      </c>
      <c r="CO152" s="295">
        <f>SUM(CO149:CO151)</f>
        <v>7700</v>
      </c>
      <c r="CP152" s="295">
        <f>CO152</f>
        <v>7700</v>
      </c>
      <c r="CR152" s="295">
        <f>SUM(CR149:CR151)</f>
        <v>8800</v>
      </c>
      <c r="CS152" s="295">
        <f>SUM(CS149:CS151)</f>
        <v>8300</v>
      </c>
      <c r="CT152" s="295">
        <f>CS152</f>
        <v>8300</v>
      </c>
      <c r="CV152" s="295">
        <f>SUM(CV149:CV151)</f>
        <v>9300</v>
      </c>
      <c r="CW152" s="1390">
        <f>SUM(CW149:CW151)</f>
        <v>9600</v>
      </c>
      <c r="CX152" s="295">
        <f>CW152</f>
        <v>9600</v>
      </c>
      <c r="CZ152" s="295">
        <f>SUM(CZ149:CZ151)</f>
        <v>11400</v>
      </c>
      <c r="DA152" s="1390">
        <f>SUM(DA149:DA151)</f>
        <v>13200</v>
      </c>
      <c r="DB152" s="295">
        <f>DA152</f>
        <v>13200</v>
      </c>
      <c r="DD152" s="295">
        <f>SUM(DD149:DD151)</f>
        <v>12300</v>
      </c>
      <c r="DE152" s="1491">
        <f>SUM(DE149:DE151)</f>
        <v>13400</v>
      </c>
      <c r="DF152" s="295">
        <f>DE152</f>
        <v>13400</v>
      </c>
      <c r="DH152" s="295">
        <f>SUM(DH149:DH151)</f>
        <v>13100</v>
      </c>
      <c r="DI152" s="295">
        <f>DI172</f>
        <v>13534</v>
      </c>
      <c r="DJ152" s="295">
        <f>DI152</f>
        <v>13534</v>
      </c>
      <c r="DL152" s="295">
        <f>DL172</f>
        <v>13990.480000000001</v>
      </c>
      <c r="DM152" s="295">
        <f>DM172</f>
        <v>14471.059600000001</v>
      </c>
      <c r="DN152" s="295">
        <f>DM152</f>
        <v>14471.059600000001</v>
      </c>
      <c r="DP152" s="295">
        <f>DP172</f>
        <v>14977.497292</v>
      </c>
      <c r="DQ152" s="295">
        <f>DQ172</f>
        <v>15511.703362840004</v>
      </c>
      <c r="DR152" s="295">
        <f>DQ152</f>
        <v>15511.703362840004</v>
      </c>
      <c r="DU152" s="295"/>
      <c r="DV152" s="295"/>
      <c r="DW152" s="295"/>
      <c r="DY152" s="103"/>
      <c r="EA152" s="103"/>
      <c r="EB152" s="103"/>
      <c r="EC152" s="103"/>
      <c r="ED152" s="103"/>
      <c r="EE152" s="103"/>
      <c r="EF152" s="103"/>
      <c r="EG152" s="103"/>
    </row>
    <row r="153" spans="1:138">
      <c r="A153" s="289" t="s">
        <v>1044</v>
      </c>
      <c r="BE153" s="295"/>
      <c r="BH153" s="295">
        <f>AVERAGE(BE152,BH152)</f>
        <v>5152</v>
      </c>
      <c r="BI153" s="295">
        <f>AVERAGE(BH152,BI152)</f>
        <v>5105</v>
      </c>
      <c r="BJ153" s="295">
        <f>AVERAGE(BH153:BI153)</f>
        <v>5128.5</v>
      </c>
      <c r="BL153" s="295">
        <f>AVERAGE(BI152,BL152)</f>
        <v>5371.5</v>
      </c>
      <c r="BM153" s="295">
        <f>AVERAGE(BL152,BM152)</f>
        <v>4849</v>
      </c>
      <c r="BN153" s="295">
        <f>AVERAGE(BL153:BM153)</f>
        <v>5110.25</v>
      </c>
      <c r="BP153" s="295">
        <f>AVERAGE(BM152,BP152)</f>
        <v>4207.5</v>
      </c>
      <c r="BQ153" s="295">
        <f>AVERAGE(BP152,BQ152)</f>
        <v>4308.5</v>
      </c>
      <c r="BR153" s="295">
        <f>AVERAGE(BP153:BQ153)</f>
        <v>4258</v>
      </c>
      <c r="BT153" s="295">
        <f>AVERAGE(BQ152,BT152)</f>
        <v>4925</v>
      </c>
      <c r="BU153" s="295">
        <f>AVERAGE(BT152,BU152)</f>
        <v>5334</v>
      </c>
      <c r="BV153" s="295">
        <f>AVERAGE(BT153:BU153)</f>
        <v>5129.5</v>
      </c>
      <c r="BX153" s="295">
        <f>AVERAGE(BU152,BX152)</f>
        <v>4850</v>
      </c>
      <c r="BY153" s="295">
        <f>AVERAGE(BX152,BY152)</f>
        <v>4750</v>
      </c>
      <c r="BZ153" s="295">
        <f>AVERAGE(BX153:BY153)</f>
        <v>4800</v>
      </c>
      <c r="CB153" s="295">
        <f>AVERAGE(BY152,CB152)</f>
        <v>6300</v>
      </c>
      <c r="CC153" s="295">
        <f>AVERAGE(CB152,CC152)</f>
        <v>7200</v>
      </c>
      <c r="CD153" s="295">
        <f>AVERAGE(CB153:CC153)</f>
        <v>6750</v>
      </c>
      <c r="CF153" s="295">
        <f>AVERAGE(CC152,CF152)</f>
        <v>6550</v>
      </c>
      <c r="CG153" s="295">
        <f>AVERAGE(CF152,CG152)</f>
        <v>6100</v>
      </c>
      <c r="CH153" s="295">
        <f>AVERAGE(CF153:CG153)</f>
        <v>6325</v>
      </c>
      <c r="CJ153" s="295">
        <f>AVERAGE(CG152,CJ152)</f>
        <v>8050</v>
      </c>
      <c r="CK153" s="295">
        <f>AVERAGE(CJ152,CK152)</f>
        <v>9950</v>
      </c>
      <c r="CL153" s="295">
        <f>AVERAGE(CJ153:CK153)</f>
        <v>9000</v>
      </c>
      <c r="CN153" s="295">
        <f>AVERAGE(CK152,CN152)</f>
        <v>9150</v>
      </c>
      <c r="CO153" s="295">
        <f>AVERAGE(CN152,CO152)</f>
        <v>8150</v>
      </c>
      <c r="CP153" s="295">
        <f>AVERAGE(CN153:CO153)</f>
        <v>8650</v>
      </c>
      <c r="CR153" s="295">
        <f>AVERAGE(CO152,CR152)</f>
        <v>8250</v>
      </c>
      <c r="CS153" s="295">
        <f>AVERAGE(CR152,CS152)</f>
        <v>8550</v>
      </c>
      <c r="CT153" s="295">
        <f>AVERAGE(CR153:CS153)</f>
        <v>8400</v>
      </c>
      <c r="CV153" s="295">
        <f>AVERAGE(CS152,CV152)</f>
        <v>8800</v>
      </c>
      <c r="CW153" s="1390">
        <f>AVERAGE(CV152,CW152)</f>
        <v>9450</v>
      </c>
      <c r="CX153" s="295">
        <f>AVERAGE(CV153:CW153)</f>
        <v>9125</v>
      </c>
      <c r="CZ153" s="295">
        <f>AVERAGE(CW152,CZ152)</f>
        <v>10500</v>
      </c>
      <c r="DA153" s="1390">
        <f>AVERAGE(CZ152,DA152)</f>
        <v>12300</v>
      </c>
      <c r="DB153" s="295">
        <f>AVERAGE(CZ153:DA153)</f>
        <v>11400</v>
      </c>
      <c r="DD153" s="295">
        <f>AVERAGE(DA152,DD152)</f>
        <v>12750</v>
      </c>
      <c r="DE153" s="1390">
        <f>AVERAGE(DD152,DE152)</f>
        <v>12850</v>
      </c>
      <c r="DF153" s="295">
        <f>AVERAGE(DD153:DE153)</f>
        <v>12800</v>
      </c>
      <c r="DH153" s="295">
        <f>AVERAGE(DE152,DH152)</f>
        <v>13250</v>
      </c>
      <c r="DI153" s="295">
        <f>AVERAGE(DH152,DI152)</f>
        <v>13317</v>
      </c>
      <c r="DJ153" s="295">
        <f>AVERAGE(DH153:DI153)</f>
        <v>13283.5</v>
      </c>
      <c r="DL153" s="295">
        <f>AVERAGE(DI152,DL152)</f>
        <v>13762.240000000002</v>
      </c>
      <c r="DM153" s="295">
        <f>AVERAGE(DL152,DM152)</f>
        <v>14230.769800000002</v>
      </c>
      <c r="DN153" s="295">
        <f>AVERAGE(DL153:DM153)</f>
        <v>13996.504900000002</v>
      </c>
      <c r="DP153" s="295">
        <f>AVERAGE(DM152,DP152)</f>
        <v>14724.278446</v>
      </c>
      <c r="DQ153" s="295">
        <f>AVERAGE(DP152,DQ152)</f>
        <v>15244.600327420001</v>
      </c>
      <c r="DR153" s="295">
        <f>AVERAGE(DP153:DQ153)</f>
        <v>14984.439386710001</v>
      </c>
      <c r="DU153" s="295"/>
      <c r="DV153" s="295"/>
      <c r="DW153" s="295"/>
      <c r="DY153" s="103"/>
      <c r="EA153" s="103"/>
      <c r="EB153" s="103"/>
      <c r="EC153" s="103"/>
      <c r="ED153" s="103"/>
      <c r="EE153" s="103"/>
      <c r="EF153" s="103"/>
      <c r="EG153" s="103"/>
    </row>
    <row r="154" spans="1:138">
      <c r="A154" s="289"/>
      <c r="BE154" s="295"/>
      <c r="BH154" s="295"/>
      <c r="BI154" s="295"/>
      <c r="BJ154" s="295"/>
      <c r="BL154" s="295"/>
      <c r="BM154" s="295"/>
      <c r="BN154" s="295"/>
      <c r="BP154" s="295"/>
      <c r="BQ154" s="295"/>
      <c r="BR154" s="295"/>
      <c r="BT154" s="295"/>
      <c r="BU154" s="295"/>
      <c r="BV154" s="295"/>
      <c r="BX154" s="295"/>
      <c r="BY154" s="295"/>
      <c r="BZ154" s="295"/>
      <c r="CB154" s="295"/>
      <c r="CC154" s="295"/>
      <c r="CD154" s="295"/>
      <c r="CF154" s="295"/>
      <c r="CG154" s="295"/>
      <c r="CH154" s="295"/>
      <c r="CJ154" s="295"/>
      <c r="CK154" s="295"/>
      <c r="CL154" s="295"/>
      <c r="CN154" s="295"/>
      <c r="CO154" s="295"/>
      <c r="CP154" s="295"/>
      <c r="CR154" s="295"/>
      <c r="CS154" s="295"/>
      <c r="CT154" s="295"/>
      <c r="CV154" s="295"/>
      <c r="CW154" s="1390"/>
      <c r="CX154" s="295"/>
      <c r="CZ154" s="295"/>
      <c r="DA154" s="1390"/>
      <c r="DB154" s="295"/>
      <c r="DD154" s="295"/>
      <c r="DE154" s="1390"/>
      <c r="DF154" s="295"/>
      <c r="DH154" s="295"/>
      <c r="DI154" s="295"/>
      <c r="DJ154" s="295"/>
      <c r="DL154" s="295"/>
      <c r="DM154" s="295"/>
      <c r="DN154" s="295"/>
      <c r="DP154" s="295"/>
      <c r="DQ154" s="295"/>
      <c r="DR154" s="295"/>
      <c r="DU154" s="295"/>
      <c r="DV154" s="295"/>
      <c r="DW154" s="295"/>
      <c r="DY154" s="103"/>
      <c r="EA154" s="103"/>
      <c r="EB154" s="103"/>
      <c r="EC154" s="103"/>
      <c r="ED154" s="103"/>
      <c r="EE154" s="103"/>
      <c r="EF154" s="103"/>
      <c r="EG154" s="103"/>
    </row>
    <row r="155" spans="1:138">
      <c r="BX155" s="674"/>
      <c r="DA155" s="1408"/>
      <c r="DE155" s="1408"/>
      <c r="DY155" s="103"/>
      <c r="EA155" s="103"/>
      <c r="EB155" s="103"/>
      <c r="EC155" s="103"/>
      <c r="ED155" s="103"/>
      <c r="EE155" s="103"/>
      <c r="EF155" s="103"/>
      <c r="EG155" s="103"/>
    </row>
    <row r="156" spans="1:138" s="323" customFormat="1">
      <c r="A156" s="323" t="str">
        <f>A143</f>
        <v>Equity Investments: Financial Assets at Fair Value</v>
      </c>
      <c r="C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  <c r="AA156" s="115"/>
      <c r="AB156" s="115"/>
      <c r="AC156" s="115"/>
      <c r="AD156" s="115"/>
      <c r="AE156" s="115"/>
      <c r="AF156" s="115"/>
      <c r="AG156" s="115"/>
      <c r="AH156" s="115"/>
      <c r="AI156" s="115"/>
      <c r="AJ156" s="115"/>
      <c r="AK156" s="115"/>
      <c r="AL156" s="115"/>
      <c r="AM156" s="115"/>
      <c r="AN156" s="115"/>
      <c r="AO156" s="115"/>
      <c r="AP156" s="115"/>
      <c r="AQ156" s="115"/>
      <c r="AR156" s="115"/>
      <c r="AS156" s="115"/>
      <c r="AT156" s="115"/>
      <c r="AU156" s="115"/>
      <c r="AV156" s="115"/>
      <c r="AW156" s="115"/>
      <c r="AX156" s="115"/>
      <c r="AY156" s="115"/>
      <c r="AZ156" s="115"/>
      <c r="BA156" s="115"/>
      <c r="BB156" s="115"/>
      <c r="BC156" s="115"/>
      <c r="BD156" s="115"/>
      <c r="BE156" s="648">
        <f>BE143/BE146</f>
        <v>0.30576271186440679</v>
      </c>
      <c r="BF156" s="115"/>
      <c r="BG156" s="115"/>
      <c r="BH156" s="648">
        <f>BH143/BH146</f>
        <v>0.32892944701716154</v>
      </c>
      <c r="BI156" s="648">
        <f>BI143/BI146</f>
        <v>0.31363756264837772</v>
      </c>
      <c r="BJ156" s="115"/>
      <c r="BK156" s="115"/>
      <c r="BL156" s="648">
        <f>BL143/BL146</f>
        <v>0.18927139499516107</v>
      </c>
      <c r="BM156" s="648">
        <f>BM143/BM146</f>
        <v>0.23161891612012428</v>
      </c>
      <c r="BN156" s="115"/>
      <c r="BO156" s="115"/>
      <c r="BP156" s="648">
        <f>BP143/BP146</f>
        <v>0.21956709956709958</v>
      </c>
      <c r="BQ156" s="648">
        <f>BQ143/BQ146</f>
        <v>0.18399452804377564</v>
      </c>
      <c r="BR156" s="115"/>
      <c r="BS156" s="115"/>
      <c r="BT156" s="648">
        <f>BT143/BT146</f>
        <v>0.17654602450840695</v>
      </c>
      <c r="BU156" s="648">
        <f>BU143/BU146</f>
        <v>0.16176470588235295</v>
      </c>
      <c r="BV156" s="115"/>
      <c r="BW156" s="675"/>
      <c r="BX156" s="648">
        <f>BX143/BX146</f>
        <v>0.14035087719298245</v>
      </c>
      <c r="BY156" s="648">
        <f>BY143/BY146</f>
        <v>0.125</v>
      </c>
      <c r="BZ156" s="115"/>
      <c r="CA156" s="675"/>
      <c r="CB156" s="648">
        <f>CB143/CB146</f>
        <v>0.17204301075268819</v>
      </c>
      <c r="CC156" s="648">
        <f>CC143/CC146</f>
        <v>0.16470588235294117</v>
      </c>
      <c r="CD156" s="115"/>
      <c r="CE156" s="675"/>
      <c r="CF156" s="648">
        <f>CF143/CF146</f>
        <v>0.18461538461538463</v>
      </c>
      <c r="CG156" s="648">
        <f>CG143/CG146</f>
        <v>0.21311475409836064</v>
      </c>
      <c r="CH156" s="115"/>
      <c r="CI156" s="675"/>
      <c r="CJ156" s="648">
        <f>CJ143/CJ146</f>
        <v>0.12745098039215685</v>
      </c>
      <c r="CK156" s="648">
        <f>CK143/CK146</f>
        <v>0.13402061855670103</v>
      </c>
      <c r="CL156" s="115"/>
      <c r="CM156" s="675"/>
      <c r="CN156" s="648">
        <f>CN143/CN146</f>
        <v>0.13953488372093023</v>
      </c>
      <c r="CO156" s="648">
        <f>CO143/CO146</f>
        <v>0.24561403508771928</v>
      </c>
      <c r="CP156" s="115"/>
      <c r="CQ156" s="675"/>
      <c r="CR156" s="676">
        <f>100%-CR157-CR158</f>
        <v>0.24561403508771928</v>
      </c>
      <c r="CS156" s="676">
        <f>100%-CS157-CS158</f>
        <v>0.24561403508771928</v>
      </c>
      <c r="CT156" s="675"/>
      <c r="CU156" s="675"/>
      <c r="CV156" s="676">
        <f>100%-CV157-CV158</f>
        <v>0.24561403508771928</v>
      </c>
      <c r="CW156" s="676">
        <f>100%-CW157-CW158</f>
        <v>0.24561403508771928</v>
      </c>
      <c r="CX156" s="675"/>
      <c r="CY156" s="675"/>
      <c r="CZ156" s="676">
        <f>100%-CZ157-CZ158</f>
        <v>0.24561403508771928</v>
      </c>
      <c r="DA156" s="676">
        <f>100%-DA157-DA158</f>
        <v>0.24561403508771928</v>
      </c>
      <c r="DB156" s="675"/>
      <c r="DC156" s="675"/>
      <c r="DD156" s="676">
        <f>100%-DD157-DD158</f>
        <v>0.24561403508771928</v>
      </c>
      <c r="DE156" s="676">
        <f>100%-DE157-DE158</f>
        <v>0.24561403508771928</v>
      </c>
      <c r="DF156" s="675"/>
      <c r="DG156" s="675"/>
      <c r="DH156" s="676">
        <f>100%-DH157-DH158</f>
        <v>0.24561403508771928</v>
      </c>
      <c r="DI156" s="676">
        <f>100%-DI157-DI158</f>
        <v>0.24561403508771928</v>
      </c>
      <c r="DJ156" s="675"/>
      <c r="DK156" s="675"/>
      <c r="DL156" s="676">
        <f>100%-DL157-DL158</f>
        <v>0.24561403508771928</v>
      </c>
      <c r="DM156" s="676">
        <f>100%-DM157-DM158</f>
        <v>0.24561403508771928</v>
      </c>
      <c r="DN156" s="675"/>
      <c r="DO156" s="675"/>
      <c r="DP156" s="676">
        <f>100%-DP157-DP158</f>
        <v>0.24561403508771928</v>
      </c>
      <c r="DQ156" s="676">
        <f>100%-DQ157-DQ158</f>
        <v>0.24561403508771928</v>
      </c>
      <c r="DR156" s="675"/>
      <c r="DS156" s="675"/>
      <c r="DT156" s="115"/>
      <c r="DU156" s="1114"/>
      <c r="DV156" s="1114"/>
      <c r="DW156" s="115"/>
      <c r="DX156" s="115"/>
      <c r="DY156" s="115"/>
      <c r="EA156" s="115"/>
      <c r="EB156" s="115"/>
      <c r="EC156" s="115"/>
      <c r="ED156" s="115"/>
      <c r="EE156" s="115"/>
      <c r="EF156" s="115"/>
      <c r="EG156" s="115"/>
      <c r="EH156"/>
    </row>
    <row r="157" spans="1:138" s="323" customFormat="1">
      <c r="A157" s="323" t="str">
        <f>A144</f>
        <v>Equity Investments: Held for Sale</v>
      </c>
      <c r="C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648">
        <f>+BE144/BE146</f>
        <v>0.33301694915254237</v>
      </c>
      <c r="BF157" s="115"/>
      <c r="BG157" s="115"/>
      <c r="BH157" s="648">
        <f>+BH144/BH146</f>
        <v>0.35984745301007898</v>
      </c>
      <c r="BI157" s="648">
        <f>+BI144/BI146</f>
        <v>0.41624901081508836</v>
      </c>
      <c r="BJ157" s="115"/>
      <c r="BK157" s="115"/>
      <c r="BL157" s="648">
        <f>+BL144/BL146</f>
        <v>0.46550532282593665</v>
      </c>
      <c r="BM157" s="648">
        <f>+BM144/BM146</f>
        <v>0.34604763548498446</v>
      </c>
      <c r="BN157" s="115"/>
      <c r="BO157" s="115"/>
      <c r="BP157" s="648">
        <f>+BP144/BP146</f>
        <v>0.3504761904761905</v>
      </c>
      <c r="BQ157" s="648">
        <f>+BQ144/BQ146</f>
        <v>0.41792065663474692</v>
      </c>
      <c r="BR157" s="115"/>
      <c r="BS157" s="115"/>
      <c r="BT157" s="648">
        <f>+BT144/BT146</f>
        <v>0.42747221430607013</v>
      </c>
      <c r="BU157" s="648">
        <f>+BU144/BU146</f>
        <v>0.44117647058823528</v>
      </c>
      <c r="BV157" s="115"/>
      <c r="BW157" s="675"/>
      <c r="BX157" s="648">
        <f>+BX144/BX146</f>
        <v>0.40350877192982454</v>
      </c>
      <c r="BY157" s="648">
        <f>+BY144/BY146</f>
        <v>0.27777777777777779</v>
      </c>
      <c r="BZ157" s="115"/>
      <c r="CA157" s="675"/>
      <c r="CB157" s="648">
        <f>+CB144/CB146</f>
        <v>0.44086021505376344</v>
      </c>
      <c r="CC157" s="648">
        <f>+CC144/CC146</f>
        <v>0.35294117647058826</v>
      </c>
      <c r="CD157" s="115"/>
      <c r="CE157" s="675"/>
      <c r="CF157" s="648">
        <f>+CF144/CF146</f>
        <v>0.18461538461538463</v>
      </c>
      <c r="CG157" s="648">
        <f>+CG144/CG146</f>
        <v>9.8360655737704916E-2</v>
      </c>
      <c r="CH157" s="115"/>
      <c r="CI157" s="675"/>
      <c r="CJ157" s="648">
        <f>+CJ144/CJ146</f>
        <v>3.9215686274509803E-2</v>
      </c>
      <c r="CK157" s="648">
        <f>+CK144/CK146</f>
        <v>1.0309278350515464E-2</v>
      </c>
      <c r="CL157" s="115"/>
      <c r="CM157" s="675"/>
      <c r="CN157" s="648">
        <f>+CN144/CN146</f>
        <v>0</v>
      </c>
      <c r="CO157" s="648">
        <f>+CO144/CO146</f>
        <v>0</v>
      </c>
      <c r="CP157" s="115"/>
      <c r="CQ157" s="675"/>
      <c r="CR157" s="676">
        <f>CO157</f>
        <v>0</v>
      </c>
      <c r="CS157" s="676">
        <f>CR157</f>
        <v>0</v>
      </c>
      <c r="CT157" s="675"/>
      <c r="CU157" s="675"/>
      <c r="CV157" s="676">
        <f>CS157</f>
        <v>0</v>
      </c>
      <c r="CW157" s="676">
        <f>CV157</f>
        <v>0</v>
      </c>
      <c r="CX157" s="675"/>
      <c r="CY157" s="675"/>
      <c r="CZ157" s="676">
        <f>CW157</f>
        <v>0</v>
      </c>
      <c r="DA157" s="676">
        <f>CZ157</f>
        <v>0</v>
      </c>
      <c r="DB157" s="675"/>
      <c r="DC157" s="675"/>
      <c r="DD157" s="676">
        <f>DA157</f>
        <v>0</v>
      </c>
      <c r="DE157" s="676">
        <f>DD157</f>
        <v>0</v>
      </c>
      <c r="DF157" s="675"/>
      <c r="DG157" s="675"/>
      <c r="DH157" s="676">
        <f>DE157</f>
        <v>0</v>
      </c>
      <c r="DI157" s="676">
        <f>DH157</f>
        <v>0</v>
      </c>
      <c r="DJ157" s="675"/>
      <c r="DK157" s="675"/>
      <c r="DL157" s="676">
        <f>DI157</f>
        <v>0</v>
      </c>
      <c r="DM157" s="676">
        <f>DL157</f>
        <v>0</v>
      </c>
      <c r="DN157" s="675"/>
      <c r="DO157" s="675"/>
      <c r="DP157" s="676">
        <f>DM157</f>
        <v>0</v>
      </c>
      <c r="DQ157" s="676">
        <f>DP157</f>
        <v>0</v>
      </c>
      <c r="DR157" s="675"/>
      <c r="DS157" s="675"/>
      <c r="DT157" s="115"/>
      <c r="DU157" s="1114"/>
      <c r="DV157" s="1114"/>
      <c r="DW157" s="115"/>
      <c r="DX157" s="115"/>
      <c r="DY157" s="115"/>
      <c r="EA157" s="115"/>
      <c r="EB157" s="115"/>
      <c r="EC157" s="115"/>
      <c r="ED157" s="115"/>
      <c r="EE157" s="115"/>
      <c r="EF157" s="115"/>
      <c r="EG157" s="115"/>
      <c r="EH157"/>
    </row>
    <row r="158" spans="1:138" s="323" customFormat="1">
      <c r="A158" s="323" t="str">
        <f>A145</f>
        <v>Equity Investments: Associates and Joint Ventures</v>
      </c>
      <c r="C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648">
        <f>BE145/BE146</f>
        <v>0.36122033898305084</v>
      </c>
      <c r="BF158" s="115"/>
      <c r="BG158" s="115"/>
      <c r="BH158" s="648">
        <f>BH145/BH146</f>
        <v>0.31122309997275949</v>
      </c>
      <c r="BI158" s="648">
        <f>BI145/BI146</f>
        <v>0.27011342653653392</v>
      </c>
      <c r="BJ158" s="115"/>
      <c r="BK158" s="115"/>
      <c r="BL158" s="648">
        <f>BL145/BL146</f>
        <v>0.34522328217890225</v>
      </c>
      <c r="BM158" s="648">
        <f>BM145/BM146</f>
        <v>0.42233344839489129</v>
      </c>
      <c r="BN158" s="115"/>
      <c r="BO158" s="115"/>
      <c r="BP158" s="648">
        <f>BP145/BP146</f>
        <v>0.42995670995670998</v>
      </c>
      <c r="BQ158" s="648">
        <f>BQ145/BQ146</f>
        <v>0.39808481532147744</v>
      </c>
      <c r="BR158" s="115"/>
      <c r="BS158" s="115"/>
      <c r="BT158" s="648">
        <f>BT145/BT146</f>
        <v>0.39598176118552292</v>
      </c>
      <c r="BU158" s="648">
        <f>BU145/BU146</f>
        <v>0.39705882352941174</v>
      </c>
      <c r="BV158" s="115"/>
      <c r="BW158" s="675"/>
      <c r="BX158" s="648">
        <f>BX145/BX146</f>
        <v>0.45614035087719296</v>
      </c>
      <c r="BY158" s="648">
        <f>BY145/BY146</f>
        <v>0.59722222222222221</v>
      </c>
      <c r="BZ158" s="115"/>
      <c r="CA158" s="675"/>
      <c r="CB158" s="648">
        <f>CB145/CB146</f>
        <v>0.38709677419354838</v>
      </c>
      <c r="CC158" s="648">
        <f>CC145/CC146</f>
        <v>0.4823529411764706</v>
      </c>
      <c r="CD158" s="115"/>
      <c r="CE158" s="675"/>
      <c r="CF158" s="648">
        <f>CF145/CF146</f>
        <v>0.63076923076923075</v>
      </c>
      <c r="CG158" s="648">
        <f>CG145/CG146</f>
        <v>0.68852459016393441</v>
      </c>
      <c r="CH158" s="115"/>
      <c r="CI158" s="675"/>
      <c r="CJ158" s="648">
        <f>CJ145/CJ146</f>
        <v>0.83333333333333337</v>
      </c>
      <c r="CK158" s="648">
        <f>CK145/CK146</f>
        <v>0.85567010309278346</v>
      </c>
      <c r="CL158" s="115"/>
      <c r="CM158" s="675"/>
      <c r="CN158" s="648">
        <f>CN145/CN146</f>
        <v>0.86046511627906974</v>
      </c>
      <c r="CO158" s="648">
        <f>CO145/CO146</f>
        <v>0.75438596491228072</v>
      </c>
      <c r="CP158" s="115"/>
      <c r="CQ158" s="675"/>
      <c r="CR158" s="676">
        <f>CO158</f>
        <v>0.75438596491228072</v>
      </c>
      <c r="CS158" s="676">
        <f>CR158</f>
        <v>0.75438596491228072</v>
      </c>
      <c r="CT158" s="675"/>
      <c r="CU158" s="675"/>
      <c r="CV158" s="676">
        <f>CS158</f>
        <v>0.75438596491228072</v>
      </c>
      <c r="CW158" s="676">
        <f>CV158</f>
        <v>0.75438596491228072</v>
      </c>
      <c r="CX158" s="675"/>
      <c r="CY158" s="675"/>
      <c r="CZ158" s="676">
        <f>CW158</f>
        <v>0.75438596491228072</v>
      </c>
      <c r="DA158" s="676">
        <f>CZ158</f>
        <v>0.75438596491228072</v>
      </c>
      <c r="DB158" s="675"/>
      <c r="DC158" s="675"/>
      <c r="DD158" s="676">
        <f>DA158</f>
        <v>0.75438596491228072</v>
      </c>
      <c r="DE158" s="676">
        <f>DD158</f>
        <v>0.75438596491228072</v>
      </c>
      <c r="DF158" s="675"/>
      <c r="DG158" s="675"/>
      <c r="DH158" s="676">
        <f>DE158</f>
        <v>0.75438596491228072</v>
      </c>
      <c r="DI158" s="676">
        <f>DH158</f>
        <v>0.75438596491228072</v>
      </c>
      <c r="DJ158" s="675"/>
      <c r="DK158" s="675"/>
      <c r="DL158" s="676">
        <f>DI158</f>
        <v>0.75438596491228072</v>
      </c>
      <c r="DM158" s="676">
        <f>DL158</f>
        <v>0.75438596491228072</v>
      </c>
      <c r="DN158" s="675"/>
      <c r="DO158" s="675"/>
      <c r="DP158" s="676">
        <f>DM158</f>
        <v>0.75438596491228072</v>
      </c>
      <c r="DQ158" s="676">
        <f>DP158</f>
        <v>0.75438596491228072</v>
      </c>
      <c r="DR158" s="675"/>
      <c r="DS158" s="675"/>
      <c r="DT158" s="115"/>
      <c r="DU158" s="1114"/>
      <c r="DV158" s="1114"/>
      <c r="DW158" s="115"/>
      <c r="DX158" s="115"/>
      <c r="DY158" s="115"/>
      <c r="EA158" s="115"/>
      <c r="EB158" s="115"/>
      <c r="EC158" s="115"/>
      <c r="ED158" s="115"/>
      <c r="EE158" s="115"/>
      <c r="EF158" s="115"/>
      <c r="EG158" s="115"/>
      <c r="EH158"/>
    </row>
    <row r="159" spans="1:138">
      <c r="BW159" s="677"/>
      <c r="CA159" s="677"/>
      <c r="CE159" s="677"/>
      <c r="CI159" s="677"/>
      <c r="CM159" s="677"/>
      <c r="CQ159" s="677"/>
      <c r="CR159" s="677"/>
      <c r="CS159" s="677"/>
      <c r="CT159" s="677"/>
      <c r="CU159" s="677"/>
      <c r="CV159" s="677"/>
      <c r="CW159" s="1798"/>
      <c r="CX159" s="677"/>
      <c r="CY159" s="677"/>
      <c r="CZ159" s="677"/>
      <c r="DA159" s="2031"/>
      <c r="DB159" s="677"/>
      <c r="DC159" s="677"/>
      <c r="DD159" s="677"/>
      <c r="DE159" s="2031"/>
      <c r="DF159" s="677"/>
      <c r="DG159" s="677"/>
      <c r="DH159" s="677"/>
      <c r="DI159" s="677"/>
      <c r="DJ159" s="677"/>
      <c r="DK159" s="677"/>
      <c r="DL159" s="677"/>
      <c r="DM159" s="677"/>
      <c r="DN159" s="677"/>
      <c r="DO159" s="677"/>
      <c r="DP159" s="677"/>
      <c r="DQ159" s="677"/>
      <c r="DR159" s="677"/>
      <c r="DS159" s="677"/>
      <c r="DY159" s="103"/>
      <c r="EA159" s="103"/>
      <c r="EB159" s="103"/>
      <c r="EC159" s="103"/>
      <c r="ED159" s="103"/>
      <c r="EE159" s="103"/>
      <c r="EF159" s="103"/>
      <c r="EG159" s="103"/>
    </row>
    <row r="160" spans="1:138">
      <c r="A160" s="102" t="s">
        <v>376</v>
      </c>
      <c r="AN160" s="626"/>
      <c r="AO160" s="626"/>
      <c r="AP160" s="678"/>
      <c r="AR160" s="626">
        <v>181</v>
      </c>
      <c r="AS160" s="626">
        <v>266</v>
      </c>
      <c r="AT160" s="626">
        <f>AS160</f>
        <v>266</v>
      </c>
      <c r="AV160" s="626">
        <v>181</v>
      </c>
      <c r="AW160" s="626">
        <v>266</v>
      </c>
      <c r="AX160" s="626"/>
      <c r="AZ160" s="626">
        <v>267</v>
      </c>
      <c r="BA160" s="626">
        <v>265</v>
      </c>
      <c r="BB160" s="626"/>
      <c r="BD160" s="626">
        <v>301</v>
      </c>
      <c r="BE160" s="626">
        <v>307</v>
      </c>
      <c r="BH160" s="626">
        <v>338</v>
      </c>
      <c r="BI160" s="626">
        <v>579</v>
      </c>
      <c r="BL160" s="626">
        <v>522</v>
      </c>
      <c r="BM160" s="626">
        <v>492</v>
      </c>
      <c r="BP160" s="626">
        <v>529</v>
      </c>
      <c r="BQ160" s="626">
        <v>669</v>
      </c>
      <c r="BT160" s="626">
        <v>787</v>
      </c>
      <c r="BU160" s="626">
        <v>800</v>
      </c>
      <c r="BX160" s="626">
        <v>900</v>
      </c>
      <c r="BY160" s="626">
        <v>700</v>
      </c>
      <c r="CB160" s="626">
        <v>1000</v>
      </c>
      <c r="CC160" s="626">
        <v>500</v>
      </c>
      <c r="CF160" s="626">
        <v>900</v>
      </c>
      <c r="CG160" s="626">
        <v>900</v>
      </c>
      <c r="CJ160" s="626">
        <v>900</v>
      </c>
      <c r="CK160" s="1388">
        <v>900</v>
      </c>
      <c r="CL160" s="1009"/>
      <c r="CM160" s="1009"/>
      <c r="CN160" s="1388">
        <v>700</v>
      </c>
      <c r="CO160" s="1388">
        <v>700</v>
      </c>
      <c r="CP160" s="1009"/>
      <c r="CQ160" s="1009"/>
      <c r="CR160" s="1488">
        <v>1000</v>
      </c>
      <c r="CS160" s="1488">
        <v>200</v>
      </c>
      <c r="CV160" s="1488">
        <v>200</v>
      </c>
      <c r="CW160" s="1497">
        <v>200</v>
      </c>
      <c r="CZ160" s="1488">
        <v>200</v>
      </c>
      <c r="DA160" s="1488">
        <v>200</v>
      </c>
      <c r="DD160" s="2176">
        <v>200</v>
      </c>
      <c r="DE160" s="2149">
        <v>0</v>
      </c>
      <c r="DH160" s="2204">
        <v>0</v>
      </c>
      <c r="DI160" s="492">
        <f>+DH160*(1+DI181)</f>
        <v>0</v>
      </c>
      <c r="DL160" s="492">
        <f>+DI160*(1+DL181)</f>
        <v>0</v>
      </c>
      <c r="DM160" s="492">
        <f>+DL160*(1+DM181)</f>
        <v>0</v>
      </c>
      <c r="DP160" s="492">
        <f>+DM160*(1+DP181)</f>
        <v>0</v>
      </c>
      <c r="DQ160" s="492">
        <f>+DP160*(1+DQ181)</f>
        <v>0</v>
      </c>
      <c r="DU160" s="492"/>
      <c r="DV160" s="492"/>
      <c r="DY160" s="103"/>
      <c r="EA160" s="103"/>
      <c r="EB160" s="103"/>
      <c r="EC160" s="103"/>
      <c r="ED160" s="103"/>
      <c r="EE160" s="103"/>
      <c r="EF160" s="103"/>
      <c r="EG160" s="103"/>
    </row>
    <row r="161" spans="1:138">
      <c r="A161" s="102" t="s">
        <v>377</v>
      </c>
      <c r="AN161" s="626"/>
      <c r="AO161" s="626"/>
      <c r="AP161" s="678"/>
      <c r="AR161" s="626">
        <v>772</v>
      </c>
      <c r="AS161" s="626">
        <v>521</v>
      </c>
      <c r="AT161" s="626">
        <f>AS161</f>
        <v>521</v>
      </c>
      <c r="AV161" s="626">
        <v>772</v>
      </c>
      <c r="AW161" s="626">
        <v>521</v>
      </c>
      <c r="AX161" s="626"/>
      <c r="AZ161" s="626">
        <v>542</v>
      </c>
      <c r="BA161" s="626">
        <v>615</v>
      </c>
      <c r="BB161" s="626"/>
      <c r="BD161" s="626">
        <v>634</v>
      </c>
      <c r="BE161" s="626">
        <v>564</v>
      </c>
      <c r="BH161" s="626">
        <v>607</v>
      </c>
      <c r="BI161" s="626">
        <v>579</v>
      </c>
      <c r="BL161" s="626">
        <v>835</v>
      </c>
      <c r="BM161" s="626">
        <v>1036</v>
      </c>
      <c r="BP161" s="626">
        <v>993</v>
      </c>
      <c r="BQ161" s="626">
        <v>810</v>
      </c>
      <c r="BT161" s="626">
        <v>866</v>
      </c>
      <c r="BU161" s="626">
        <v>900</v>
      </c>
      <c r="BX161" s="626">
        <v>900</v>
      </c>
      <c r="BY161" s="626">
        <v>900</v>
      </c>
      <c r="CB161" s="626">
        <v>900</v>
      </c>
      <c r="CC161" s="626">
        <v>1000</v>
      </c>
      <c r="CF161" s="626">
        <v>1000</v>
      </c>
      <c r="CG161" s="626">
        <v>1000</v>
      </c>
      <c r="CJ161" s="626">
        <v>1000</v>
      </c>
      <c r="CK161" s="1388">
        <v>900</v>
      </c>
      <c r="CL161" s="1009"/>
      <c r="CM161" s="1009"/>
      <c r="CN161" s="1388">
        <v>900</v>
      </c>
      <c r="CO161" s="1388">
        <v>800</v>
      </c>
      <c r="CP161" s="1009"/>
      <c r="CQ161" s="1009"/>
      <c r="CR161" s="1488">
        <v>800</v>
      </c>
      <c r="CS161" s="1488">
        <v>1300</v>
      </c>
      <c r="CV161" s="1488">
        <v>1400</v>
      </c>
      <c r="CW161" s="1497">
        <v>1600</v>
      </c>
      <c r="CZ161" s="1488">
        <v>1700</v>
      </c>
      <c r="DA161" s="1488">
        <v>1800</v>
      </c>
      <c r="DD161" s="1488">
        <v>2000</v>
      </c>
      <c r="DE161" s="2176">
        <v>2600</v>
      </c>
      <c r="DH161" s="1497">
        <v>2800</v>
      </c>
      <c r="DI161" s="492">
        <f>+DH161*(1+DI182)</f>
        <v>2940</v>
      </c>
      <c r="DL161" s="492">
        <f>+DI161*(1+DL182)</f>
        <v>3087</v>
      </c>
      <c r="DM161" s="492">
        <f>+DL161*(1+DM182)</f>
        <v>3241.3500000000004</v>
      </c>
      <c r="DP161" s="492">
        <f>+DM161*(1+DP182)</f>
        <v>3403.4175000000005</v>
      </c>
      <c r="DQ161" s="492">
        <f>+DP161*(1+DQ182)</f>
        <v>3573.5883750000007</v>
      </c>
      <c r="DU161" s="492"/>
      <c r="DV161" s="492"/>
      <c r="DY161" s="103"/>
      <c r="EA161" s="103"/>
      <c r="EB161" s="103"/>
      <c r="EC161" s="103"/>
      <c r="ED161" s="103"/>
      <c r="EE161" s="103"/>
      <c r="EF161" s="103"/>
      <c r="EG161" s="103"/>
    </row>
    <row r="162" spans="1:138">
      <c r="A162" s="102" t="s">
        <v>379</v>
      </c>
      <c r="AN162" s="626"/>
      <c r="AO162" s="626"/>
      <c r="AP162" s="678"/>
      <c r="AR162" s="626">
        <v>301</v>
      </c>
      <c r="AS162" s="626">
        <v>388</v>
      </c>
      <c r="AT162" s="626">
        <f>AS162</f>
        <v>388</v>
      </c>
      <c r="AV162" s="626">
        <v>301</v>
      </c>
      <c r="AW162" s="626">
        <v>388</v>
      </c>
      <c r="AX162" s="626"/>
      <c r="AZ162" s="626">
        <v>368</v>
      </c>
      <c r="BA162" s="626">
        <v>361</v>
      </c>
      <c r="BB162" s="626"/>
      <c r="BD162" s="626">
        <v>337</v>
      </c>
      <c r="BE162" s="626">
        <v>222</v>
      </c>
      <c r="BH162" s="626">
        <v>256</v>
      </c>
      <c r="BI162" s="626">
        <v>302</v>
      </c>
      <c r="BL162" s="626">
        <v>302</v>
      </c>
      <c r="BM162" s="626">
        <v>414</v>
      </c>
      <c r="BP162" s="626">
        <v>481</v>
      </c>
      <c r="BQ162" s="626">
        <v>554</v>
      </c>
      <c r="BT162" s="626">
        <v>636</v>
      </c>
      <c r="BU162" s="626">
        <v>600</v>
      </c>
      <c r="BX162" s="626">
        <v>500</v>
      </c>
      <c r="BY162" s="626">
        <v>500</v>
      </c>
      <c r="CB162" s="626">
        <v>500</v>
      </c>
      <c r="CC162" s="626">
        <v>400</v>
      </c>
      <c r="CF162" s="626">
        <v>400</v>
      </c>
      <c r="CG162" s="626">
        <v>300</v>
      </c>
      <c r="CJ162" s="626">
        <v>300</v>
      </c>
      <c r="CK162" s="1388">
        <v>300</v>
      </c>
      <c r="CL162" s="1009"/>
      <c r="CM162" s="1009"/>
      <c r="CN162" s="1388">
        <v>400</v>
      </c>
      <c r="CO162" s="1388">
        <v>300</v>
      </c>
      <c r="CP162" s="1009"/>
      <c r="CQ162" s="1009"/>
      <c r="CR162" s="1488">
        <v>400</v>
      </c>
      <c r="CS162" s="1488">
        <v>300</v>
      </c>
      <c r="CV162" s="1488">
        <v>500</v>
      </c>
      <c r="CW162" s="1497">
        <v>500</v>
      </c>
      <c r="CZ162" s="1488">
        <v>400</v>
      </c>
      <c r="DA162" s="1488">
        <v>500</v>
      </c>
      <c r="DD162" s="2176">
        <v>400</v>
      </c>
      <c r="DE162" s="2149">
        <f>DD162</f>
        <v>400</v>
      </c>
      <c r="DH162" s="2204">
        <f>DE162</f>
        <v>400</v>
      </c>
      <c r="DI162" s="492">
        <f>+DH162*(1+DI183)</f>
        <v>400</v>
      </c>
      <c r="DL162" s="492">
        <f>+DI162*(1+DL183)</f>
        <v>400</v>
      </c>
      <c r="DM162" s="492">
        <f>+DL162*(1+DM183)</f>
        <v>400</v>
      </c>
      <c r="DP162" s="492">
        <f>+DM162*(1+DP183)</f>
        <v>400</v>
      </c>
      <c r="DQ162" s="492">
        <f>+DP162*(1+DQ183)</f>
        <v>400</v>
      </c>
      <c r="DU162" s="492"/>
      <c r="DV162" s="492"/>
      <c r="DY162" s="103"/>
      <c r="EA162" s="103"/>
      <c r="EB162" s="103"/>
      <c r="EC162" s="103"/>
      <c r="ED162" s="103"/>
      <c r="EE162" s="103"/>
      <c r="EF162" s="103"/>
      <c r="EG162" s="103"/>
    </row>
    <row r="163" spans="1:138">
      <c r="A163" s="289" t="s">
        <v>378</v>
      </c>
      <c r="AN163" s="295"/>
      <c r="AO163" s="295"/>
      <c r="AP163" s="295">
        <f>SUM(AP160:AP162)</f>
        <v>0</v>
      </c>
      <c r="AR163" s="295">
        <f>SUM(AR160:AR162)</f>
        <v>1254</v>
      </c>
      <c r="AS163" s="295">
        <f>SUM(AS160:AS162)</f>
        <v>1175</v>
      </c>
      <c r="AT163" s="295">
        <f>SUM(AT160:AT162)</f>
        <v>1175</v>
      </c>
      <c r="AV163" s="295">
        <f>SUM(AV160:AV162)</f>
        <v>1254</v>
      </c>
      <c r="AW163" s="295">
        <f>SUM(AW160:AW162)</f>
        <v>1175</v>
      </c>
      <c r="AX163" s="295"/>
      <c r="AZ163" s="295">
        <f>SUM(AZ160:AZ162)</f>
        <v>1177</v>
      </c>
      <c r="BA163" s="295">
        <f>SUM(BA160:BA162)</f>
        <v>1241</v>
      </c>
      <c r="BB163" s="295"/>
      <c r="BD163" s="295">
        <f>SUM(BD160:BD162)</f>
        <v>1272</v>
      </c>
      <c r="BE163" s="295">
        <f>SUM(BE160:BE162)</f>
        <v>1093</v>
      </c>
      <c r="BH163" s="295">
        <f>SUM(BH160:BH162)</f>
        <v>1201</v>
      </c>
      <c r="BI163" s="295">
        <f>SUM(BI160:BI162)</f>
        <v>1460</v>
      </c>
      <c r="BJ163" s="295">
        <f>BI163</f>
        <v>1460</v>
      </c>
      <c r="BL163" s="295">
        <f>SUM(BL160:BL162)</f>
        <v>1659</v>
      </c>
      <c r="BM163" s="295">
        <f>SUM(BM160:BM162)</f>
        <v>1942</v>
      </c>
      <c r="BN163" s="295">
        <f>BM163</f>
        <v>1942</v>
      </c>
      <c r="BP163" s="295">
        <f>SUM(BP160:BP162)</f>
        <v>2003</v>
      </c>
      <c r="BQ163" s="295">
        <f>SUM(BQ160:BQ162)</f>
        <v>2033</v>
      </c>
      <c r="BR163" s="295">
        <f>BQ163</f>
        <v>2033</v>
      </c>
      <c r="BT163" s="295">
        <f>SUM(BT160:BT162)</f>
        <v>2289</v>
      </c>
      <c r="BU163" s="295">
        <f>SUM(BU160:BU162)</f>
        <v>2300</v>
      </c>
      <c r="BV163" s="295">
        <f>BU163</f>
        <v>2300</v>
      </c>
      <c r="BX163" s="295">
        <f>SUM(BX160:BX162)</f>
        <v>2300</v>
      </c>
      <c r="BY163" s="295">
        <f>SUM(BY160:BY162)</f>
        <v>2100</v>
      </c>
      <c r="BZ163" s="295">
        <f>BY163</f>
        <v>2100</v>
      </c>
      <c r="CB163" s="295">
        <f>SUM(CB160:CB162)</f>
        <v>2400</v>
      </c>
      <c r="CC163" s="295">
        <f>SUM(CC160:CC162)</f>
        <v>1900</v>
      </c>
      <c r="CD163" s="295">
        <f>CC163</f>
        <v>1900</v>
      </c>
      <c r="CF163" s="295">
        <f>SUM(CF160:CF162)</f>
        <v>2300</v>
      </c>
      <c r="CG163" s="295">
        <f>SUM(CG160:CG162)</f>
        <v>2200</v>
      </c>
      <c r="CH163" s="295">
        <f>CG163</f>
        <v>2200</v>
      </c>
      <c r="CJ163" s="295">
        <f>SUM(CJ160:CJ162)</f>
        <v>2200</v>
      </c>
      <c r="CK163" s="1412">
        <f>SUM(CK160:CK162)</f>
        <v>2100</v>
      </c>
      <c r="CL163" s="1412">
        <f>CK163</f>
        <v>2100</v>
      </c>
      <c r="CM163" s="1009"/>
      <c r="CN163" s="1412">
        <f>SUM(CN160:CN162)</f>
        <v>2000</v>
      </c>
      <c r="CO163" s="1412">
        <f>SUM(CO160:CO162)</f>
        <v>1800</v>
      </c>
      <c r="CP163" s="1412">
        <f>CO163</f>
        <v>1800</v>
      </c>
      <c r="CQ163" s="1009"/>
      <c r="CR163" s="1491">
        <f>SUM(CR160:CR162)</f>
        <v>2200</v>
      </c>
      <c r="CS163" s="1491">
        <f>SUM(CS160:CS162)</f>
        <v>1800</v>
      </c>
      <c r="CT163" s="295">
        <f>CS163</f>
        <v>1800</v>
      </c>
      <c r="CV163" s="1491">
        <f>SUM(CV160:CV162)</f>
        <v>2100</v>
      </c>
      <c r="CW163" s="1390">
        <f>SUM(CW160:CW162)</f>
        <v>2300</v>
      </c>
      <c r="CX163" s="295">
        <f>CW163</f>
        <v>2300</v>
      </c>
      <c r="CZ163" s="1491">
        <f>SUM(CZ160:CZ162)</f>
        <v>2300</v>
      </c>
      <c r="DA163" s="1491">
        <f>SUM(DA160:DA162)</f>
        <v>2500</v>
      </c>
      <c r="DB163" s="295">
        <f>DA163</f>
        <v>2500</v>
      </c>
      <c r="DD163" s="1491">
        <f>SUM(DD160:DD162)</f>
        <v>2600</v>
      </c>
      <c r="DE163" s="1491">
        <f>SUM(DE160:DE162)</f>
        <v>3000</v>
      </c>
      <c r="DF163" s="295">
        <f>DE163</f>
        <v>3000</v>
      </c>
      <c r="DH163" s="1390">
        <f>SUM(DH160:DH162)</f>
        <v>3200</v>
      </c>
      <c r="DI163" s="295">
        <f>SUM(DI160:DI162)</f>
        <v>3340</v>
      </c>
      <c r="DJ163" s="295">
        <f>DI163</f>
        <v>3340</v>
      </c>
      <c r="DL163" s="295">
        <f>SUM(DL160:DL162)</f>
        <v>3487</v>
      </c>
      <c r="DM163" s="295">
        <f>SUM(DM160:DM162)</f>
        <v>3641.3500000000004</v>
      </c>
      <c r="DN163" s="295">
        <f>DM163</f>
        <v>3641.3500000000004</v>
      </c>
      <c r="DP163" s="295">
        <f>SUM(DP160:DP162)</f>
        <v>3803.4175000000005</v>
      </c>
      <c r="DQ163" s="295">
        <f>SUM(DQ160:DQ162)</f>
        <v>3973.5883750000007</v>
      </c>
      <c r="DR163" s="295">
        <f>DQ163</f>
        <v>3973.5883750000007</v>
      </c>
      <c r="DU163" s="295"/>
      <c r="DV163" s="295"/>
      <c r="DW163" s="295"/>
      <c r="DY163" s="103"/>
      <c r="EA163" s="103"/>
      <c r="EB163" s="103"/>
      <c r="EC163" s="103"/>
      <c r="ED163" s="103"/>
      <c r="EE163" s="103"/>
      <c r="EF163" s="103"/>
      <c r="EG163" s="103"/>
    </row>
    <row r="164" spans="1:138">
      <c r="A164" s="102" t="s">
        <v>1055</v>
      </c>
      <c r="AN164" s="626"/>
      <c r="AO164" s="626"/>
      <c r="AP164" s="678"/>
      <c r="AR164" s="626">
        <v>2302</v>
      </c>
      <c r="AS164" s="626">
        <v>2242</v>
      </c>
      <c r="AT164" s="626">
        <f>AS164</f>
        <v>2242</v>
      </c>
      <c r="AV164" s="626">
        <v>2302</v>
      </c>
      <c r="AW164" s="626">
        <v>2242</v>
      </c>
      <c r="AX164" s="626"/>
      <c r="AZ164" s="626">
        <v>2202</v>
      </c>
      <c r="BA164" s="626">
        <v>1862</v>
      </c>
      <c r="BB164" s="626"/>
      <c r="BD164" s="626">
        <v>1920</v>
      </c>
      <c r="BE164" s="626">
        <v>1818</v>
      </c>
      <c r="BH164" s="626">
        <v>1500</v>
      </c>
      <c r="BI164" s="626">
        <v>1558</v>
      </c>
      <c r="BL164" s="626">
        <v>1771</v>
      </c>
      <c r="BM164" s="626">
        <v>364</v>
      </c>
      <c r="BP164" s="626">
        <v>335</v>
      </c>
      <c r="BQ164" s="626">
        <v>381</v>
      </c>
      <c r="BT164" s="626">
        <v>730</v>
      </c>
      <c r="BU164" s="626">
        <v>1000</v>
      </c>
      <c r="BX164" s="626">
        <v>600</v>
      </c>
      <c r="BY164" s="626">
        <v>600</v>
      </c>
      <c r="CB164" s="626">
        <v>600</v>
      </c>
      <c r="CC164" s="626">
        <v>600</v>
      </c>
      <c r="CF164" s="626">
        <v>700</v>
      </c>
      <c r="CG164" s="626">
        <v>600</v>
      </c>
      <c r="CJ164" s="626">
        <v>700</v>
      </c>
      <c r="CK164" s="1388">
        <v>1300</v>
      </c>
      <c r="CL164" s="1009"/>
      <c r="CM164" s="1009"/>
      <c r="CN164" s="1388">
        <v>1000</v>
      </c>
      <c r="CO164" s="1388">
        <v>1400</v>
      </c>
      <c r="CP164" s="1009"/>
      <c r="CQ164" s="1009"/>
      <c r="CR164" s="1488">
        <v>1500</v>
      </c>
      <c r="CS164" s="1488">
        <v>1400</v>
      </c>
      <c r="CV164" s="1488">
        <v>1600</v>
      </c>
      <c r="CW164" s="1497">
        <v>1700</v>
      </c>
      <c r="CZ164" s="1488">
        <v>2100</v>
      </c>
      <c r="DA164" s="1488">
        <v>2900</v>
      </c>
      <c r="DD164" s="1488">
        <v>3300</v>
      </c>
      <c r="DE164" s="2176">
        <f>2100+1800</f>
        <v>3900</v>
      </c>
      <c r="DH164" s="1499">
        <f>2100+1800</f>
        <v>3900</v>
      </c>
      <c r="DI164" s="492">
        <f t="shared" ref="DI164:DI170" si="155">+DH164*(1+DI185)</f>
        <v>3978</v>
      </c>
      <c r="DL164" s="492">
        <f t="shared" ref="DL164:DL170" si="156">+DI164*(1+DL185)</f>
        <v>4057.56</v>
      </c>
      <c r="DM164" s="492">
        <f t="shared" ref="DM164:DM170" si="157">+DL164*(1+DM185)</f>
        <v>4138.7111999999997</v>
      </c>
      <c r="DP164" s="492">
        <f t="shared" ref="DP164:DP170" si="158">+DM164*(1+DP185)</f>
        <v>4221.4854239999995</v>
      </c>
      <c r="DQ164" s="492">
        <f t="shared" ref="DQ164:DQ170" si="159">+DP164*(1+DQ185)</f>
        <v>4305.9151324799996</v>
      </c>
      <c r="DU164" s="492"/>
      <c r="DV164" s="492"/>
      <c r="DY164" s="103"/>
      <c r="EA164" s="103"/>
      <c r="EB164" s="103"/>
      <c r="EC164" s="103"/>
      <c r="ED164" s="103"/>
      <c r="EE164" s="103"/>
      <c r="EF164" s="103"/>
      <c r="EG164" s="103"/>
    </row>
    <row r="165" spans="1:138">
      <c r="A165" s="102" t="s">
        <v>1054</v>
      </c>
      <c r="AN165" s="626"/>
      <c r="AO165" s="626"/>
      <c r="AP165" s="678"/>
      <c r="AR165" s="626">
        <v>237</v>
      </c>
      <c r="AS165" s="626">
        <v>271</v>
      </c>
      <c r="AT165" s="626">
        <f t="shared" ref="AT165:AT170" si="160">AS165</f>
        <v>271</v>
      </c>
      <c r="AV165" s="626">
        <v>237</v>
      </c>
      <c r="AW165" s="626">
        <v>271</v>
      </c>
      <c r="AX165" s="626"/>
      <c r="AZ165" s="626">
        <v>314</v>
      </c>
      <c r="BA165" s="626">
        <v>369</v>
      </c>
      <c r="BB165" s="626"/>
      <c r="BD165" s="626">
        <v>642</v>
      </c>
      <c r="BE165" s="626">
        <v>686</v>
      </c>
      <c r="BH165" s="626">
        <v>660</v>
      </c>
      <c r="BI165" s="626">
        <v>646</v>
      </c>
      <c r="BL165" s="626">
        <v>610</v>
      </c>
      <c r="BM165" s="626">
        <v>549</v>
      </c>
      <c r="BP165" s="626">
        <v>603</v>
      </c>
      <c r="BQ165" s="626">
        <v>759</v>
      </c>
      <c r="BT165" s="626">
        <v>1176</v>
      </c>
      <c r="BU165" s="626">
        <v>700</v>
      </c>
      <c r="BX165" s="626">
        <v>500</v>
      </c>
      <c r="BY165" s="626">
        <v>600</v>
      </c>
      <c r="CB165" s="626">
        <v>700</v>
      </c>
      <c r="CC165" s="626">
        <v>700</v>
      </c>
      <c r="CF165" s="626">
        <v>600</v>
      </c>
      <c r="CG165" s="626">
        <v>500</v>
      </c>
      <c r="CJ165" s="626">
        <v>1000</v>
      </c>
      <c r="CK165" s="1388">
        <v>1200</v>
      </c>
      <c r="CL165" s="1009"/>
      <c r="CM165" s="1009"/>
      <c r="CN165" s="1388">
        <v>1000</v>
      </c>
      <c r="CO165" s="1388">
        <v>1200</v>
      </c>
      <c r="CP165" s="1009"/>
      <c r="CQ165" s="1009"/>
      <c r="CR165" s="1488">
        <v>1300</v>
      </c>
      <c r="CS165" s="1488">
        <v>1200</v>
      </c>
      <c r="CV165" s="1488">
        <v>1300</v>
      </c>
      <c r="CW165" s="1497">
        <v>1300</v>
      </c>
      <c r="CZ165" s="1488">
        <v>1600</v>
      </c>
      <c r="DA165" s="1488">
        <v>1700</v>
      </c>
      <c r="DD165" s="1488">
        <v>2000</v>
      </c>
      <c r="DE165" s="2176">
        <v>1900</v>
      </c>
      <c r="DH165" s="1497">
        <v>1900</v>
      </c>
      <c r="DI165" s="492">
        <f t="shared" si="155"/>
        <v>1938</v>
      </c>
      <c r="DL165" s="492">
        <f t="shared" si="156"/>
        <v>1976.76</v>
      </c>
      <c r="DM165" s="492">
        <f t="shared" si="157"/>
        <v>2016.2952</v>
      </c>
      <c r="DP165" s="492">
        <f t="shared" si="158"/>
        <v>2056.6211039999998</v>
      </c>
      <c r="DQ165" s="492">
        <f t="shared" si="159"/>
        <v>2097.75352608</v>
      </c>
      <c r="DU165" s="492"/>
      <c r="DV165" s="492"/>
      <c r="DY165" s="103"/>
      <c r="EA165" s="103"/>
      <c r="EB165" s="103"/>
      <c r="EC165" s="103"/>
      <c r="ED165" s="103"/>
      <c r="EE165" s="103"/>
      <c r="EF165" s="103"/>
      <c r="EG165" s="103"/>
    </row>
    <row r="166" spans="1:138">
      <c r="A166" s="102" t="s">
        <v>1260</v>
      </c>
      <c r="AN166" s="626"/>
      <c r="AO166" s="626"/>
      <c r="AP166" s="678"/>
      <c r="AR166" s="626"/>
      <c r="AS166" s="626"/>
      <c r="AT166" s="626"/>
      <c r="AV166" s="626"/>
      <c r="AW166" s="626"/>
      <c r="AX166" s="626"/>
      <c r="AZ166" s="626"/>
      <c r="BA166" s="626"/>
      <c r="BB166" s="626"/>
      <c r="BD166" s="626"/>
      <c r="BE166" s="626"/>
      <c r="BH166" s="626"/>
      <c r="BI166" s="626"/>
      <c r="BL166" s="626"/>
      <c r="BM166" s="626"/>
      <c r="BP166" s="626"/>
      <c r="BQ166" s="626"/>
      <c r="BT166" s="626"/>
      <c r="BU166" s="626"/>
      <c r="BX166" s="626"/>
      <c r="BY166" s="626"/>
      <c r="CB166" s="626"/>
      <c r="CC166" s="626"/>
      <c r="CF166" s="626"/>
      <c r="CG166" s="626"/>
      <c r="CJ166" s="626">
        <v>1000</v>
      </c>
      <c r="CK166" s="1388">
        <v>1000</v>
      </c>
      <c r="CL166" s="1009"/>
      <c r="CM166" s="1009"/>
      <c r="CN166" s="1388">
        <v>900</v>
      </c>
      <c r="CO166" s="1388">
        <v>1300</v>
      </c>
      <c r="CP166" s="1009"/>
      <c r="CQ166" s="1009"/>
      <c r="CR166" s="1488">
        <v>1800</v>
      </c>
      <c r="CS166" s="1488">
        <v>1600</v>
      </c>
      <c r="CV166" s="1488">
        <v>1300</v>
      </c>
      <c r="CW166" s="1497">
        <v>1400</v>
      </c>
      <c r="CZ166" s="1488">
        <v>2100</v>
      </c>
      <c r="DA166" s="1488">
        <v>2400</v>
      </c>
      <c r="DD166" s="1488">
        <v>2200</v>
      </c>
      <c r="DE166" s="2176">
        <v>1300</v>
      </c>
      <c r="DH166" s="1497">
        <v>1200</v>
      </c>
      <c r="DI166" s="492">
        <f t="shared" si="155"/>
        <v>1320</v>
      </c>
      <c r="DL166" s="492">
        <f t="shared" si="156"/>
        <v>1452.0000000000002</v>
      </c>
      <c r="DM166" s="492">
        <f t="shared" si="157"/>
        <v>1597.2000000000003</v>
      </c>
      <c r="DP166" s="492">
        <f t="shared" si="158"/>
        <v>1756.9200000000005</v>
      </c>
      <c r="DQ166" s="492">
        <f t="shared" si="159"/>
        <v>1932.6120000000008</v>
      </c>
      <c r="DU166" s="492"/>
      <c r="DV166" s="492"/>
      <c r="DY166" s="103"/>
      <c r="EA166" s="103"/>
      <c r="EB166" s="103"/>
      <c r="EC166" s="103"/>
      <c r="ED166" s="103"/>
      <c r="EE166" s="103"/>
      <c r="EF166" s="103"/>
      <c r="EG166" s="103"/>
    </row>
    <row r="167" spans="1:138">
      <c r="A167" s="102" t="s">
        <v>950</v>
      </c>
      <c r="AN167" s="626"/>
      <c r="AO167" s="626"/>
      <c r="AP167" s="678"/>
      <c r="AR167" s="626">
        <v>230</v>
      </c>
      <c r="AS167" s="626">
        <v>289</v>
      </c>
      <c r="AT167" s="626">
        <f t="shared" si="160"/>
        <v>289</v>
      </c>
      <c r="AV167" s="626">
        <v>230</v>
      </c>
      <c r="AW167" s="626">
        <v>289</v>
      </c>
      <c r="AX167" s="626"/>
      <c r="AZ167" s="626">
        <v>362</v>
      </c>
      <c r="BA167" s="626">
        <v>509</v>
      </c>
      <c r="BB167" s="626"/>
      <c r="BD167" s="626">
        <v>575</v>
      </c>
      <c r="BE167" s="626">
        <v>621</v>
      </c>
      <c r="BH167" s="626">
        <v>555</v>
      </c>
      <c r="BI167" s="626">
        <v>588</v>
      </c>
      <c r="BL167" s="626">
        <v>434</v>
      </c>
      <c r="BM167" s="626">
        <v>445</v>
      </c>
      <c r="BP167" s="626">
        <v>416</v>
      </c>
      <c r="BQ167" s="626">
        <v>372</v>
      </c>
      <c r="BT167" s="626">
        <v>616</v>
      </c>
      <c r="BU167" s="626">
        <v>500</v>
      </c>
      <c r="BX167" s="626">
        <v>400</v>
      </c>
      <c r="BY167" s="626">
        <v>600</v>
      </c>
      <c r="CB167" s="626">
        <v>2000</v>
      </c>
      <c r="CC167" s="626">
        <f>600+1400</f>
        <v>2000</v>
      </c>
      <c r="CF167" s="626">
        <f>1200+600</f>
        <v>1800</v>
      </c>
      <c r="CG167" s="626">
        <f>1000+400</f>
        <v>1400</v>
      </c>
      <c r="CJ167" s="626">
        <v>400</v>
      </c>
      <c r="CK167" s="1388">
        <v>400</v>
      </c>
      <c r="CL167" s="1009"/>
      <c r="CM167" s="1009"/>
      <c r="CN167" s="1388">
        <v>400</v>
      </c>
      <c r="CO167" s="1388">
        <v>400</v>
      </c>
      <c r="CP167" s="1009"/>
      <c r="CQ167" s="1009"/>
      <c r="CR167" s="1488">
        <v>400</v>
      </c>
      <c r="CS167" s="1488">
        <v>500</v>
      </c>
      <c r="CV167" s="1488">
        <v>500</v>
      </c>
      <c r="CW167" s="1497">
        <v>500</v>
      </c>
      <c r="CZ167" s="1488">
        <v>500</v>
      </c>
      <c r="DA167" s="1488">
        <v>800</v>
      </c>
      <c r="DD167" s="2176">
        <v>700</v>
      </c>
      <c r="DE167" s="2149">
        <f>1700*50%</f>
        <v>850</v>
      </c>
      <c r="DH167" s="2204">
        <f>1800*0.5</f>
        <v>900</v>
      </c>
      <c r="DI167" s="492">
        <f t="shared" si="155"/>
        <v>918</v>
      </c>
      <c r="DL167" s="492">
        <f t="shared" si="156"/>
        <v>936.36</v>
      </c>
      <c r="DM167" s="492">
        <f t="shared" si="157"/>
        <v>955.08720000000005</v>
      </c>
      <c r="DP167" s="492">
        <f t="shared" si="158"/>
        <v>974.18894400000011</v>
      </c>
      <c r="DQ167" s="492">
        <f t="shared" si="159"/>
        <v>993.67272288000015</v>
      </c>
      <c r="DU167" s="492"/>
      <c r="DV167" s="492"/>
      <c r="DY167" s="103"/>
      <c r="EA167" s="103"/>
      <c r="EB167" s="103"/>
      <c r="EC167" s="103"/>
      <c r="ED167" s="103"/>
      <c r="EE167" s="103"/>
      <c r="EF167" s="103"/>
      <c r="EG167" s="103"/>
    </row>
    <row r="168" spans="1:138">
      <c r="A168" s="102" t="s">
        <v>1056</v>
      </c>
      <c r="AN168" s="626"/>
      <c r="AO168" s="626"/>
      <c r="AP168" s="678"/>
      <c r="AR168" s="626">
        <v>253</v>
      </c>
      <c r="AS168" s="626">
        <v>225</v>
      </c>
      <c r="AT168" s="626">
        <f t="shared" si="160"/>
        <v>225</v>
      </c>
      <c r="AV168" s="626">
        <v>253</v>
      </c>
      <c r="AW168" s="626">
        <v>225</v>
      </c>
      <c r="AX168" s="626"/>
      <c r="AZ168" s="626">
        <v>167</v>
      </c>
      <c r="BA168" s="626">
        <v>79</v>
      </c>
      <c r="BB168" s="626"/>
      <c r="BD168" s="626">
        <v>41</v>
      </c>
      <c r="BE168" s="626"/>
      <c r="BH168" s="626"/>
      <c r="BI168" s="626"/>
      <c r="BL168" s="626"/>
      <c r="BM168" s="626"/>
      <c r="BP168" s="626">
        <v>0</v>
      </c>
      <c r="BQ168" s="626">
        <v>0</v>
      </c>
      <c r="BT168" s="626">
        <v>0</v>
      </c>
      <c r="BU168" s="626">
        <v>0</v>
      </c>
      <c r="BX168" s="626">
        <v>200</v>
      </c>
      <c r="BY168" s="626">
        <v>600</v>
      </c>
      <c r="CB168" s="626">
        <v>1400</v>
      </c>
      <c r="CC168" s="626">
        <v>800</v>
      </c>
      <c r="CF168" s="626">
        <v>100</v>
      </c>
      <c r="CG168" s="626">
        <v>0</v>
      </c>
      <c r="CJ168" s="626">
        <v>1600</v>
      </c>
      <c r="CK168" s="1388">
        <v>0</v>
      </c>
      <c r="CL168" s="1009"/>
      <c r="CM168" s="1009"/>
      <c r="CN168" s="1388">
        <v>0</v>
      </c>
      <c r="CO168" s="1388">
        <v>0</v>
      </c>
      <c r="CP168" s="1009"/>
      <c r="CQ168" s="1009"/>
      <c r="CR168" s="1488">
        <v>0</v>
      </c>
      <c r="CS168" s="1488">
        <v>300</v>
      </c>
      <c r="CV168" s="1488">
        <v>1100</v>
      </c>
      <c r="CW168" s="1497">
        <v>1100</v>
      </c>
      <c r="CZ168" s="1488">
        <v>1200</v>
      </c>
      <c r="DA168" s="1488">
        <v>1100</v>
      </c>
      <c r="DD168" s="1488">
        <v>200</v>
      </c>
      <c r="DE168" s="2176">
        <v>900</v>
      </c>
      <c r="DH168" s="1497">
        <v>500</v>
      </c>
      <c r="DI168" s="492">
        <f t="shared" si="155"/>
        <v>510</v>
      </c>
      <c r="DL168" s="492">
        <f t="shared" si="156"/>
        <v>520.20000000000005</v>
      </c>
      <c r="DM168" s="492">
        <f t="shared" si="157"/>
        <v>530.60400000000004</v>
      </c>
      <c r="DP168" s="492">
        <f t="shared" si="158"/>
        <v>541.21608000000003</v>
      </c>
      <c r="DQ168" s="492">
        <f t="shared" si="159"/>
        <v>552.0404016</v>
      </c>
      <c r="DU168" s="492"/>
      <c r="DV168" s="492"/>
      <c r="DY168" s="103"/>
      <c r="EA168" s="103"/>
      <c r="EB168" s="103"/>
      <c r="EC168" s="103"/>
      <c r="ED168" s="103"/>
      <c r="EE168" s="103"/>
      <c r="EF168" s="103"/>
      <c r="EG168" s="103"/>
    </row>
    <row r="169" spans="1:138">
      <c r="A169" s="102" t="s">
        <v>1261</v>
      </c>
      <c r="AN169" s="626"/>
      <c r="AO169" s="626"/>
      <c r="AP169" s="678"/>
      <c r="AR169" s="626"/>
      <c r="AS169" s="626"/>
      <c r="AT169" s="626"/>
      <c r="AV169" s="626"/>
      <c r="AW169" s="626"/>
      <c r="AX169" s="626"/>
      <c r="AZ169" s="626"/>
      <c r="BA169" s="626"/>
      <c r="BB169" s="626"/>
      <c r="BD169" s="626"/>
      <c r="BE169" s="626"/>
      <c r="BH169" s="626"/>
      <c r="BI169" s="626"/>
      <c r="BL169" s="626"/>
      <c r="BM169" s="626"/>
      <c r="BP169" s="626"/>
      <c r="BQ169" s="626"/>
      <c r="BT169" s="626"/>
      <c r="BU169" s="626"/>
      <c r="BX169" s="626"/>
      <c r="BY169" s="626"/>
      <c r="CB169" s="626"/>
      <c r="CC169" s="626"/>
      <c r="CF169" s="626"/>
      <c r="CG169" s="626"/>
      <c r="CJ169" s="626"/>
      <c r="CK169" s="1388"/>
      <c r="CL169" s="1009"/>
      <c r="CM169" s="1009"/>
      <c r="CN169" s="1388"/>
      <c r="CO169" s="1388">
        <v>1000</v>
      </c>
      <c r="CP169" s="1009"/>
      <c r="CQ169" s="1009"/>
      <c r="CR169" s="1488">
        <v>1100</v>
      </c>
      <c r="CS169" s="1488">
        <v>1100</v>
      </c>
      <c r="CV169" s="1488">
        <v>900</v>
      </c>
      <c r="CW169" s="1497">
        <v>800</v>
      </c>
      <c r="CZ169" s="1488">
        <v>1000</v>
      </c>
      <c r="DA169" s="1488">
        <v>1200</v>
      </c>
      <c r="DD169" s="2176">
        <v>600</v>
      </c>
      <c r="DE169" s="2149">
        <f>1700*50%</f>
        <v>850</v>
      </c>
      <c r="DH169" s="2204">
        <f>1800*0.5</f>
        <v>900</v>
      </c>
      <c r="DI169" s="492">
        <f t="shared" si="155"/>
        <v>918</v>
      </c>
      <c r="DL169" s="492">
        <f t="shared" si="156"/>
        <v>936.36</v>
      </c>
      <c r="DM169" s="492">
        <f t="shared" si="157"/>
        <v>955.08720000000005</v>
      </c>
      <c r="DP169" s="492">
        <f t="shared" si="158"/>
        <v>974.18894400000011</v>
      </c>
      <c r="DQ169" s="492">
        <f t="shared" si="159"/>
        <v>993.67272288000015</v>
      </c>
      <c r="DU169" s="492"/>
      <c r="DV169" s="492"/>
      <c r="DY169" s="103"/>
      <c r="EA169" s="103"/>
      <c r="EB169" s="103"/>
      <c r="EC169" s="103"/>
      <c r="ED169" s="103"/>
      <c r="EE169" s="103"/>
      <c r="EF169" s="103"/>
      <c r="EG169" s="103"/>
    </row>
    <row r="170" spans="1:138">
      <c r="A170" s="102" t="s">
        <v>1057</v>
      </c>
      <c r="AN170" s="626"/>
      <c r="AO170" s="626"/>
      <c r="AP170" s="678"/>
      <c r="AR170" s="626">
        <v>702</v>
      </c>
      <c r="AS170" s="626">
        <v>748</v>
      </c>
      <c r="AT170" s="626">
        <f t="shared" si="160"/>
        <v>748</v>
      </c>
      <c r="AV170" s="626">
        <v>702</v>
      </c>
      <c r="AW170" s="626">
        <v>748</v>
      </c>
      <c r="AX170" s="626"/>
      <c r="AZ170" s="626">
        <v>749</v>
      </c>
      <c r="BA170" s="626">
        <v>619</v>
      </c>
      <c r="BB170" s="626"/>
      <c r="BD170" s="626">
        <v>677</v>
      </c>
      <c r="BE170" s="626">
        <f>318+22</f>
        <v>340</v>
      </c>
      <c r="BH170" s="626">
        <v>372</v>
      </c>
      <c r="BI170" s="626">
        <v>352</v>
      </c>
      <c r="BL170" s="626">
        <v>454.3</v>
      </c>
      <c r="BM170" s="626">
        <v>491</v>
      </c>
      <c r="BP170" s="626">
        <v>548</v>
      </c>
      <c r="BQ170" s="626">
        <v>537</v>
      </c>
      <c r="BT170" s="626">
        <v>501</v>
      </c>
      <c r="BU170" s="626">
        <v>400</v>
      </c>
      <c r="BX170" s="626">
        <v>400</v>
      </c>
      <c r="BY170" s="626">
        <v>400</v>
      </c>
      <c r="CB170" s="626">
        <v>400</v>
      </c>
      <c r="CC170" s="626">
        <v>500</v>
      </c>
      <c r="CF170" s="626">
        <v>500</v>
      </c>
      <c r="CG170" s="626">
        <v>500</v>
      </c>
      <c r="CJ170" s="626">
        <v>600</v>
      </c>
      <c r="CK170" s="1388">
        <v>500</v>
      </c>
      <c r="CL170" s="1009"/>
      <c r="CM170" s="1009"/>
      <c r="CN170" s="1388">
        <v>500</v>
      </c>
      <c r="CO170" s="1388">
        <v>600</v>
      </c>
      <c r="CP170" s="1009"/>
      <c r="CQ170" s="1009"/>
      <c r="CR170" s="1488">
        <v>500</v>
      </c>
      <c r="CS170" s="1488">
        <v>400</v>
      </c>
      <c r="CV170" s="1488">
        <v>500</v>
      </c>
      <c r="CW170" s="1497">
        <v>500</v>
      </c>
      <c r="CZ170" s="1488">
        <v>600</v>
      </c>
      <c r="DA170" s="1488">
        <v>600</v>
      </c>
      <c r="DD170" s="2176">
        <v>700</v>
      </c>
      <c r="DE170" s="1495">
        <f>DE171-SUM(DE164:DE169)</f>
        <v>700</v>
      </c>
      <c r="DH170" s="1495">
        <f>DH171-SUM(DH164:DH169)</f>
        <v>600</v>
      </c>
      <c r="DI170" s="492">
        <f t="shared" si="155"/>
        <v>612</v>
      </c>
      <c r="DL170" s="492">
        <f t="shared" si="156"/>
        <v>624.24</v>
      </c>
      <c r="DM170" s="492">
        <f t="shared" si="157"/>
        <v>636.72480000000007</v>
      </c>
      <c r="DP170" s="492">
        <f t="shared" si="158"/>
        <v>649.45929600000011</v>
      </c>
      <c r="DQ170" s="492">
        <f t="shared" si="159"/>
        <v>662.44848192000018</v>
      </c>
      <c r="DU170" s="492"/>
      <c r="DV170" s="492"/>
      <c r="DY170" s="103"/>
      <c r="EA170" s="103"/>
      <c r="EB170" s="103"/>
      <c r="EC170" s="103"/>
      <c r="ED170" s="103"/>
      <c r="EE170" s="103"/>
      <c r="EF170" s="103"/>
      <c r="EG170" s="103"/>
    </row>
    <row r="171" spans="1:138">
      <c r="A171" s="289" t="s">
        <v>381</v>
      </c>
      <c r="AN171" s="295"/>
      <c r="AO171" s="295"/>
      <c r="AP171" s="295">
        <f>SUM(AP164:AP170)+100</f>
        <v>100</v>
      </c>
      <c r="AR171" s="295">
        <f>SUM(AR164:AR170)+100</f>
        <v>3824</v>
      </c>
      <c r="AS171" s="295">
        <f>SUM(AS164:AS170)+118</f>
        <v>3893</v>
      </c>
      <c r="AT171" s="295">
        <f>AS171</f>
        <v>3893</v>
      </c>
      <c r="AV171" s="295">
        <f>SUM(AV164:AV170)+100</f>
        <v>3824</v>
      </c>
      <c r="AW171" s="295">
        <f>SUM(AW164:AW170)+118</f>
        <v>3893</v>
      </c>
      <c r="AX171" s="295">
        <f>AW171</f>
        <v>3893</v>
      </c>
      <c r="AZ171" s="295">
        <f>SUM(AZ164:AZ170)+75</f>
        <v>3869</v>
      </c>
      <c r="BA171" s="295">
        <f>SUM(BA164:BA170)+79</f>
        <v>3517</v>
      </c>
      <c r="BB171" s="295">
        <f>BA171</f>
        <v>3517</v>
      </c>
      <c r="BD171" s="295">
        <f>SUM(BD164:BD170)</f>
        <v>3855</v>
      </c>
      <c r="BE171" s="295">
        <f>SUM(BE164:BE170)</f>
        <v>3465</v>
      </c>
      <c r="BF171" s="295">
        <f>BE171</f>
        <v>3465</v>
      </c>
      <c r="BH171" s="295">
        <f>SUM(BH164:BH170)</f>
        <v>3087</v>
      </c>
      <c r="BI171" s="295">
        <f>SUM(BI164:BI170)</f>
        <v>3144</v>
      </c>
      <c r="BJ171" s="295">
        <f>BI171</f>
        <v>3144</v>
      </c>
      <c r="BL171" s="295">
        <f>SUM(BL164:BL170)</f>
        <v>3269.3</v>
      </c>
      <c r="BM171" s="295">
        <f>SUM(BM164:BM170)</f>
        <v>1849</v>
      </c>
      <c r="BN171" s="295">
        <f>BM171</f>
        <v>1849</v>
      </c>
      <c r="BP171" s="295">
        <f>SUM(BP164:BP170)</f>
        <v>1902</v>
      </c>
      <c r="BQ171" s="295">
        <f>SUM(BQ164:BQ170)</f>
        <v>2049</v>
      </c>
      <c r="BR171" s="295">
        <f>BQ171</f>
        <v>2049</v>
      </c>
      <c r="BT171" s="295">
        <f>SUM(BT164:BT170)</f>
        <v>3023</v>
      </c>
      <c r="BU171" s="295">
        <f>SUM(BU164:BU170)</f>
        <v>2600</v>
      </c>
      <c r="BV171" s="295">
        <f>BU171</f>
        <v>2600</v>
      </c>
      <c r="BX171" s="295">
        <f>SUM(BX164:BX170)</f>
        <v>2100</v>
      </c>
      <c r="BY171" s="295">
        <f>SUM(BY164:BY170)</f>
        <v>2800</v>
      </c>
      <c r="BZ171" s="295">
        <f>BY171</f>
        <v>2800</v>
      </c>
      <c r="CB171" s="295">
        <f>SUM(CB164:CB170)</f>
        <v>5100</v>
      </c>
      <c r="CC171" s="295">
        <f>SUM(CC164:CC170)</f>
        <v>4600</v>
      </c>
      <c r="CD171" s="295">
        <f>CC171</f>
        <v>4600</v>
      </c>
      <c r="CF171" s="295">
        <f>SUM(CF164:CF170)</f>
        <v>3700</v>
      </c>
      <c r="CG171" s="295">
        <f>SUM(CG164:CG170)</f>
        <v>3000</v>
      </c>
      <c r="CH171" s="295">
        <f>CG171</f>
        <v>3000</v>
      </c>
      <c r="CJ171" s="295">
        <f>SUM(CJ164:CJ170)</f>
        <v>5300</v>
      </c>
      <c r="CK171" s="295">
        <f>SUM(CK164:CK170)</f>
        <v>4400</v>
      </c>
      <c r="CL171" s="295">
        <f>CK171</f>
        <v>4400</v>
      </c>
      <c r="CN171" s="295">
        <f>SUM(CN164:CN170)</f>
        <v>3800</v>
      </c>
      <c r="CO171" s="295">
        <f>SUM(CO164:CO170)</f>
        <v>5900</v>
      </c>
      <c r="CP171" s="295">
        <f>CO171</f>
        <v>5900</v>
      </c>
      <c r="CR171" s="295">
        <f>SUM(CR164:CR170)</f>
        <v>6600</v>
      </c>
      <c r="CS171" s="295">
        <f>SUM(CS164:CS170)</f>
        <v>6500</v>
      </c>
      <c r="CT171" s="295">
        <f>CS171</f>
        <v>6500</v>
      </c>
      <c r="CV171" s="295">
        <f>SUM(CV164:CV170)</f>
        <v>7200</v>
      </c>
      <c r="CW171" s="1390">
        <f>SUM(CW164:CW170)</f>
        <v>7300</v>
      </c>
      <c r="CX171" s="295">
        <f>CW171</f>
        <v>7300</v>
      </c>
      <c r="CZ171" s="295">
        <f>SUM(CZ164:CZ170)</f>
        <v>9100</v>
      </c>
      <c r="DA171" s="1491">
        <f>SUM(DA164:DA170)</f>
        <v>10700</v>
      </c>
      <c r="DB171" s="295">
        <f>DA171</f>
        <v>10700</v>
      </c>
      <c r="DD171" s="295">
        <f>SUM(DD164:DD170)</f>
        <v>9700</v>
      </c>
      <c r="DE171" s="1491">
        <f>DE172-DE163</f>
        <v>10400</v>
      </c>
      <c r="DF171" s="295">
        <f>DE171</f>
        <v>10400</v>
      </c>
      <c r="DH171" s="1390">
        <f>DH172-DH163</f>
        <v>9900</v>
      </c>
      <c r="DI171" s="295">
        <f>SUM(DI164:DI170)</f>
        <v>10194</v>
      </c>
      <c r="DJ171" s="295">
        <f>DI171</f>
        <v>10194</v>
      </c>
      <c r="DL171" s="295">
        <f>SUM(DL164:DL170)</f>
        <v>10503.480000000001</v>
      </c>
      <c r="DM171" s="295">
        <f>SUM(DM164:DM170)</f>
        <v>10829.7096</v>
      </c>
      <c r="DN171" s="295">
        <f>DM171</f>
        <v>10829.7096</v>
      </c>
      <c r="DP171" s="295">
        <f>SUM(DP164:DP170)</f>
        <v>11174.079792</v>
      </c>
      <c r="DQ171" s="295">
        <f>SUM(DQ164:DQ170)</f>
        <v>11538.114987840003</v>
      </c>
      <c r="DR171" s="295">
        <f>DQ171</f>
        <v>11538.114987840003</v>
      </c>
      <c r="DU171" s="295"/>
      <c r="DV171" s="295"/>
      <c r="DW171" s="295"/>
      <c r="DY171" s="103"/>
      <c r="EA171" s="103"/>
      <c r="EB171" s="103"/>
      <c r="EC171" s="103"/>
      <c r="ED171" s="103"/>
      <c r="EE171" s="103"/>
      <c r="EF171" s="103"/>
      <c r="EG171" s="103"/>
    </row>
    <row r="172" spans="1:138" s="2108" customFormat="1">
      <c r="A172" s="318" t="s">
        <v>1257</v>
      </c>
      <c r="C172" s="1171"/>
      <c r="P172" s="1171"/>
      <c r="Q172" s="1171"/>
      <c r="R172" s="1171"/>
      <c r="S172" s="1171"/>
      <c r="T172" s="1171"/>
      <c r="U172" s="1171"/>
      <c r="V172" s="1171"/>
      <c r="W172" s="1171"/>
      <c r="X172" s="1171"/>
      <c r="Y172" s="1171"/>
      <c r="Z172" s="1171"/>
      <c r="AA172" s="1171"/>
      <c r="AB172" s="1171"/>
      <c r="AC172" s="1171"/>
      <c r="AD172" s="1171"/>
      <c r="AE172" s="1171"/>
      <c r="AF172" s="1171"/>
      <c r="AG172" s="1171"/>
      <c r="AH172" s="1171"/>
      <c r="AI172" s="1171"/>
      <c r="AJ172" s="1171"/>
      <c r="AK172" s="1171"/>
      <c r="AL172" s="1171"/>
      <c r="AM172" s="1171"/>
      <c r="AN172" s="2109"/>
      <c r="AO172" s="2109"/>
      <c r="AP172" s="2109">
        <f>+AP171+AP163</f>
        <v>100</v>
      </c>
      <c r="AQ172" s="1171"/>
      <c r="AR172" s="2109">
        <f>+AR171+AR163</f>
        <v>5078</v>
      </c>
      <c r="AS172" s="2109">
        <f>+AS171+AS163</f>
        <v>5068</v>
      </c>
      <c r="AT172" s="2109">
        <f>AS172</f>
        <v>5068</v>
      </c>
      <c r="AU172" s="1171"/>
      <c r="AV172" s="2109">
        <f>+AV171+AV163</f>
        <v>5078</v>
      </c>
      <c r="AW172" s="2109">
        <f>+AW171+AW163</f>
        <v>5068</v>
      </c>
      <c r="AX172" s="2109">
        <f>AW172</f>
        <v>5068</v>
      </c>
      <c r="AY172" s="1171"/>
      <c r="AZ172" s="2109">
        <f>+AZ171+AZ163</f>
        <v>5046</v>
      </c>
      <c r="BA172" s="2109">
        <f>+BA171+BA163</f>
        <v>4758</v>
      </c>
      <c r="BB172" s="2109">
        <f>BA172</f>
        <v>4758</v>
      </c>
      <c r="BC172" s="1171"/>
      <c r="BD172" s="2109">
        <f>+BD171+BD163</f>
        <v>5127</v>
      </c>
      <c r="BE172" s="2109">
        <f>+BE171+BE163</f>
        <v>4558</v>
      </c>
      <c r="BF172" s="2109">
        <f>BE172</f>
        <v>4558</v>
      </c>
      <c r="BG172" s="1171"/>
      <c r="BH172" s="2109">
        <f>+BH171+BH163</f>
        <v>4288</v>
      </c>
      <c r="BI172" s="2109">
        <f>+BI171+BI163</f>
        <v>4604</v>
      </c>
      <c r="BJ172" s="2109">
        <f>BI172</f>
        <v>4604</v>
      </c>
      <c r="BK172" s="1171"/>
      <c r="BL172" s="2109">
        <f>+BL171+BL163</f>
        <v>4928.3</v>
      </c>
      <c r="BM172" s="2109">
        <f>+BM171+BM163</f>
        <v>3791</v>
      </c>
      <c r="BN172" s="2109">
        <f>BM172</f>
        <v>3791</v>
      </c>
      <c r="BO172" s="1171"/>
      <c r="BP172" s="2109">
        <f>+BP171+BP163</f>
        <v>3905</v>
      </c>
      <c r="BQ172" s="2109">
        <f>+BQ171+BQ163</f>
        <v>4082</v>
      </c>
      <c r="BR172" s="2109">
        <f>BQ172</f>
        <v>4082</v>
      </c>
      <c r="BS172" s="1171"/>
      <c r="BT172" s="2109">
        <f>+BT171+BT163</f>
        <v>5312</v>
      </c>
      <c r="BU172" s="2109">
        <f>+BU171+BU163</f>
        <v>4900</v>
      </c>
      <c r="BV172" s="2109">
        <f>BU172</f>
        <v>4900</v>
      </c>
      <c r="BW172" s="1171"/>
      <c r="BX172" s="2109">
        <f>+BX171+BX163</f>
        <v>4400</v>
      </c>
      <c r="BY172" s="2109">
        <f>+BY171+BY163</f>
        <v>4900</v>
      </c>
      <c r="BZ172" s="2109">
        <f>BY172</f>
        <v>4900</v>
      </c>
      <c r="CA172" s="1171"/>
      <c r="CB172" s="2109">
        <f>+CB171+CB163</f>
        <v>7500</v>
      </c>
      <c r="CC172" s="2109">
        <f>+CC171+CC163</f>
        <v>6500</v>
      </c>
      <c r="CD172" s="2109">
        <f>CC172</f>
        <v>6500</v>
      </c>
      <c r="CE172" s="1171"/>
      <c r="CF172" s="2109">
        <f>+CF171+CF163</f>
        <v>6000</v>
      </c>
      <c r="CG172" s="2109">
        <f>+CG171+CG163</f>
        <v>5200</v>
      </c>
      <c r="CH172" s="2109">
        <f>CG172</f>
        <v>5200</v>
      </c>
      <c r="CI172" s="1171"/>
      <c r="CJ172" s="2109">
        <f>+CJ171+CJ163</f>
        <v>7500</v>
      </c>
      <c r="CK172" s="2109">
        <f>+CK171+CK163</f>
        <v>6500</v>
      </c>
      <c r="CL172" s="2109">
        <f>CK172</f>
        <v>6500</v>
      </c>
      <c r="CM172" s="1171"/>
      <c r="CN172" s="2109">
        <f>+CN171+CN163</f>
        <v>5800</v>
      </c>
      <c r="CO172" s="2109">
        <f>+CO171+CO163</f>
        <v>7700</v>
      </c>
      <c r="CP172" s="2109">
        <f>CO172</f>
        <v>7700</v>
      </c>
      <c r="CQ172" s="1171"/>
      <c r="CR172" s="2109">
        <f>+CR171+CR163</f>
        <v>8800</v>
      </c>
      <c r="CS172" s="2109">
        <f>+CS171+CS163</f>
        <v>8300</v>
      </c>
      <c r="CT172" s="2109">
        <f>CS172</f>
        <v>8300</v>
      </c>
      <c r="CU172" s="1171"/>
      <c r="CV172" s="2109">
        <f>+CV171+CV163</f>
        <v>9300</v>
      </c>
      <c r="CW172" s="2110">
        <f>+CW171+CW163</f>
        <v>9600</v>
      </c>
      <c r="CX172" s="2109">
        <f>CW172</f>
        <v>9600</v>
      </c>
      <c r="CY172" s="1171"/>
      <c r="CZ172" s="2109">
        <f>+CZ171+CZ163</f>
        <v>11400</v>
      </c>
      <c r="DA172" s="2110">
        <f>+DA171+DA163</f>
        <v>13200</v>
      </c>
      <c r="DB172" s="2109">
        <f>DA172</f>
        <v>13200</v>
      </c>
      <c r="DC172" s="1171"/>
      <c r="DD172" s="2109">
        <f>+DD171+DD163</f>
        <v>12300</v>
      </c>
      <c r="DE172" s="2186">
        <v>13400</v>
      </c>
      <c r="DF172" s="2109">
        <f>DE172</f>
        <v>13400</v>
      </c>
      <c r="DG172" s="1171"/>
      <c r="DH172" s="2205">
        <v>13100</v>
      </c>
      <c r="DI172" s="2109">
        <f>+DI171+DI163</f>
        <v>13534</v>
      </c>
      <c r="DJ172" s="2109">
        <f>DI172</f>
        <v>13534</v>
      </c>
      <c r="DK172" s="1171"/>
      <c r="DL172" s="2109">
        <f>+DL171+DL163</f>
        <v>13990.480000000001</v>
      </c>
      <c r="DM172" s="2109">
        <f>+DM171+DM163</f>
        <v>14471.059600000001</v>
      </c>
      <c r="DN172" s="2109">
        <f>DM172</f>
        <v>14471.059600000001</v>
      </c>
      <c r="DO172" s="1171"/>
      <c r="DP172" s="2109">
        <f>+DP171+DP163</f>
        <v>14977.497292</v>
      </c>
      <c r="DQ172" s="2109">
        <f>+DQ171+DQ163</f>
        <v>15511.703362840004</v>
      </c>
      <c r="DR172" s="2109">
        <f>DQ172</f>
        <v>15511.703362840004</v>
      </c>
      <c r="DS172" s="1171"/>
      <c r="DT172" s="1171"/>
      <c r="DU172" s="2109"/>
      <c r="DV172" s="2109"/>
      <c r="DW172" s="2109"/>
      <c r="DX172" s="1171"/>
      <c r="DY172" s="1171"/>
      <c r="DZ172" s="2111"/>
      <c r="EA172" s="1171"/>
      <c r="EB172" s="1171"/>
      <c r="EC172" s="1171"/>
      <c r="ED172" s="1171"/>
      <c r="EE172" s="1171"/>
      <c r="EF172" s="1171"/>
      <c r="EG172" s="1171"/>
      <c r="EH172"/>
    </row>
    <row r="173" spans="1:138">
      <c r="A173" s="2152" t="s">
        <v>1058</v>
      </c>
      <c r="AN173" s="295"/>
      <c r="AO173" s="295"/>
      <c r="AP173" s="295"/>
      <c r="AR173" s="295"/>
      <c r="AS173" s="295"/>
      <c r="AT173" s="295"/>
      <c r="AV173" s="295"/>
      <c r="AW173" s="295"/>
      <c r="AX173" s="295"/>
      <c r="AZ173" s="295"/>
      <c r="BA173" s="295"/>
      <c r="BB173" s="295"/>
      <c r="BD173" s="295"/>
      <c r="BE173" s="295"/>
      <c r="BF173" s="295"/>
      <c r="BH173" s="295"/>
      <c r="BI173" s="295"/>
      <c r="BJ173" s="295"/>
      <c r="BL173" s="295"/>
      <c r="BM173" s="295"/>
      <c r="BN173" s="295"/>
      <c r="BP173" s="295"/>
      <c r="BQ173" s="295"/>
      <c r="BR173" s="295"/>
      <c r="BT173" s="295"/>
      <c r="BU173" s="295"/>
      <c r="BV173" s="295"/>
      <c r="BX173" s="295"/>
      <c r="BY173" s="295"/>
      <c r="BZ173" s="295"/>
      <c r="CB173" s="295"/>
      <c r="CC173" s="295"/>
      <c r="CD173" s="295"/>
      <c r="CF173" s="295"/>
      <c r="CG173" s="295"/>
      <c r="CH173" s="295"/>
      <c r="CJ173" s="295"/>
      <c r="CK173" s="295"/>
      <c r="CL173" s="295"/>
      <c r="CN173" s="295"/>
      <c r="CO173" s="295"/>
      <c r="CP173" s="295"/>
      <c r="CR173" s="295"/>
      <c r="CS173" s="295"/>
      <c r="CT173" s="295"/>
      <c r="CV173" s="295"/>
      <c r="CW173" s="1390"/>
      <c r="CX173" s="295"/>
      <c r="CZ173" s="295"/>
      <c r="DA173" s="2150">
        <v>7100</v>
      </c>
      <c r="DB173" s="295">
        <f>DA173</f>
        <v>7100</v>
      </c>
      <c r="DD173" s="295"/>
      <c r="DE173" s="2175">
        <v>6700</v>
      </c>
      <c r="DF173" s="295">
        <f>DE173</f>
        <v>6700</v>
      </c>
      <c r="DH173" s="1069">
        <v>5100</v>
      </c>
      <c r="DI173" s="295"/>
      <c r="DJ173" s="295"/>
      <c r="DL173" s="295"/>
      <c r="DM173" s="295"/>
      <c r="DN173" s="295"/>
      <c r="DP173" s="295"/>
      <c r="DQ173" s="295"/>
      <c r="DR173" s="295"/>
      <c r="DU173" s="295"/>
      <c r="DV173" s="295"/>
      <c r="DW173" s="295"/>
      <c r="DY173" s="103"/>
      <c r="EA173" s="103"/>
      <c r="EB173" s="103"/>
      <c r="EC173" s="103"/>
      <c r="ED173" s="103"/>
      <c r="EE173" s="103"/>
      <c r="EF173" s="103"/>
      <c r="EG173" s="103"/>
    </row>
    <row r="174" spans="1:138">
      <c r="A174" s="2152" t="s">
        <v>1435</v>
      </c>
      <c r="AN174" s="295"/>
      <c r="AO174" s="295"/>
      <c r="AP174" s="295"/>
      <c r="AR174" s="295"/>
      <c r="AS174" s="295"/>
      <c r="AT174" s="295"/>
      <c r="AV174" s="295"/>
      <c r="AW174" s="295"/>
      <c r="AX174" s="295"/>
      <c r="AZ174" s="295"/>
      <c r="BA174" s="295"/>
      <c r="BB174" s="295"/>
      <c r="BD174" s="295"/>
      <c r="BE174" s="295"/>
      <c r="BF174" s="295"/>
      <c r="BH174" s="295"/>
      <c r="BI174" s="295"/>
      <c r="BJ174" s="295"/>
      <c r="BL174" s="295"/>
      <c r="BM174" s="295"/>
      <c r="BN174" s="295"/>
      <c r="BP174" s="295"/>
      <c r="BQ174" s="295"/>
      <c r="BR174" s="295"/>
      <c r="BT174" s="295"/>
      <c r="BU174" s="295"/>
      <c r="BV174" s="295"/>
      <c r="BX174" s="295"/>
      <c r="BY174" s="295"/>
      <c r="BZ174" s="295"/>
      <c r="CB174" s="295"/>
      <c r="CC174" s="295"/>
      <c r="CD174" s="295"/>
      <c r="CF174" s="295"/>
      <c r="CG174" s="295"/>
      <c r="CH174" s="295"/>
      <c r="CJ174" s="295"/>
      <c r="CK174" s="295"/>
      <c r="CL174" s="295"/>
      <c r="CN174" s="295"/>
      <c r="CO174" s="295"/>
      <c r="CP174" s="295"/>
      <c r="CR174" s="295"/>
      <c r="CS174" s="295"/>
      <c r="CT174" s="295"/>
      <c r="CV174" s="295"/>
      <c r="CW174" s="1390"/>
      <c r="CX174" s="295"/>
      <c r="CZ174" s="295"/>
      <c r="DA174" s="2150">
        <v>4600</v>
      </c>
      <c r="DB174" s="295">
        <f t="shared" ref="DB174:DB175" si="161">DA174</f>
        <v>4600</v>
      </c>
      <c r="DD174" s="295"/>
      <c r="DE174" s="2175">
        <v>5800</v>
      </c>
      <c r="DF174" s="295">
        <f t="shared" ref="DF174:DF175" si="162">DE174</f>
        <v>5800</v>
      </c>
      <c r="DH174" s="1069">
        <v>5800</v>
      </c>
      <c r="DI174" s="295"/>
      <c r="DJ174" s="295"/>
      <c r="DL174" s="295"/>
      <c r="DM174" s="295"/>
      <c r="DN174" s="295"/>
      <c r="DP174" s="295"/>
      <c r="DQ174" s="295"/>
      <c r="DR174" s="295"/>
      <c r="DU174" s="295"/>
      <c r="DV174" s="295"/>
      <c r="DW174" s="295"/>
      <c r="DY174" s="103"/>
      <c r="EA174" s="103"/>
      <c r="EB174" s="103"/>
      <c r="EC174" s="103"/>
      <c r="ED174" s="103"/>
      <c r="EE174" s="103"/>
      <c r="EF174" s="103"/>
      <c r="EG174" s="103"/>
    </row>
    <row r="175" spans="1:138" s="823" customFormat="1">
      <c r="A175" s="2153" t="s">
        <v>1436</v>
      </c>
      <c r="C175" s="1085"/>
      <c r="P175" s="1085"/>
      <c r="Q175" s="1085"/>
      <c r="R175" s="1085"/>
      <c r="S175" s="1085"/>
      <c r="T175" s="1085"/>
      <c r="U175" s="1085"/>
      <c r="V175" s="1085"/>
      <c r="W175" s="1085"/>
      <c r="X175" s="1085"/>
      <c r="Y175" s="1085"/>
      <c r="Z175" s="1085"/>
      <c r="AA175" s="1085"/>
      <c r="AB175" s="1085"/>
      <c r="AC175" s="1085"/>
      <c r="AD175" s="1085"/>
      <c r="AE175" s="1085"/>
      <c r="AF175" s="1085"/>
      <c r="AG175" s="1085"/>
      <c r="AH175" s="1085"/>
      <c r="AI175" s="1085"/>
      <c r="AJ175" s="1085"/>
      <c r="AK175" s="1085"/>
      <c r="AL175" s="1085"/>
      <c r="AM175" s="1085"/>
      <c r="AN175" s="1351"/>
      <c r="AO175" s="1351"/>
      <c r="AP175" s="1351"/>
      <c r="AQ175" s="1085"/>
      <c r="AR175" s="1351"/>
      <c r="AS175" s="1351"/>
      <c r="AT175" s="1351"/>
      <c r="AU175" s="1085"/>
      <c r="AV175" s="1351"/>
      <c r="AW175" s="1351"/>
      <c r="AX175" s="1351"/>
      <c r="AY175" s="1085"/>
      <c r="AZ175" s="1351"/>
      <c r="BA175" s="1351"/>
      <c r="BB175" s="1351"/>
      <c r="BC175" s="1085"/>
      <c r="BD175" s="1351"/>
      <c r="BE175" s="1351"/>
      <c r="BF175" s="1351"/>
      <c r="BG175" s="1085"/>
      <c r="BH175" s="1351"/>
      <c r="BI175" s="1351"/>
      <c r="BJ175" s="1351"/>
      <c r="BK175" s="1085"/>
      <c r="BL175" s="1351"/>
      <c r="BM175" s="1351"/>
      <c r="BN175" s="1351"/>
      <c r="BO175" s="1085"/>
      <c r="BP175" s="1351"/>
      <c r="BQ175" s="1351"/>
      <c r="BR175" s="1351"/>
      <c r="BS175" s="1085"/>
      <c r="BT175" s="1351"/>
      <c r="BU175" s="1351"/>
      <c r="BV175" s="1351"/>
      <c r="BW175" s="1085"/>
      <c r="BX175" s="1351"/>
      <c r="BY175" s="1351"/>
      <c r="BZ175" s="1351"/>
      <c r="CA175" s="1085"/>
      <c r="CB175" s="1351"/>
      <c r="CC175" s="1351"/>
      <c r="CD175" s="1351"/>
      <c r="CE175" s="1085"/>
      <c r="CF175" s="1351"/>
      <c r="CG175" s="1351"/>
      <c r="CH175" s="1351"/>
      <c r="CI175" s="1085"/>
      <c r="CJ175" s="1351"/>
      <c r="CK175" s="1351"/>
      <c r="CL175" s="1351"/>
      <c r="CM175" s="1085"/>
      <c r="CN175" s="1351"/>
      <c r="CO175" s="1351"/>
      <c r="CP175" s="1351"/>
      <c r="CQ175" s="1085"/>
      <c r="CR175" s="1351"/>
      <c r="CS175" s="1351"/>
      <c r="CT175" s="1351"/>
      <c r="CU175" s="1085"/>
      <c r="CV175" s="1351"/>
      <c r="CW175" s="2154"/>
      <c r="CX175" s="1351"/>
      <c r="CY175" s="1085"/>
      <c r="CZ175" s="1351"/>
      <c r="DA175" s="2156">
        <v>1500</v>
      </c>
      <c r="DB175" s="1351">
        <f t="shared" si="161"/>
        <v>1500</v>
      </c>
      <c r="DC175" s="1085"/>
      <c r="DD175" s="1351"/>
      <c r="DE175" s="2187">
        <v>900</v>
      </c>
      <c r="DF175" s="1351">
        <f t="shared" si="162"/>
        <v>900</v>
      </c>
      <c r="DG175" s="1085"/>
      <c r="DH175" s="2206">
        <v>2200</v>
      </c>
      <c r="DI175" s="1351"/>
      <c r="DJ175" s="1351"/>
      <c r="DK175" s="1085"/>
      <c r="DL175" s="1351"/>
      <c r="DM175" s="1351"/>
      <c r="DN175" s="1351"/>
      <c r="DO175" s="1085"/>
      <c r="DP175" s="1351"/>
      <c r="DQ175" s="1351"/>
      <c r="DR175" s="1351"/>
      <c r="DS175" s="1085"/>
      <c r="DT175" s="1085"/>
      <c r="DU175" s="1351"/>
      <c r="DV175" s="1351"/>
      <c r="DW175" s="1351"/>
      <c r="DX175" s="1085"/>
      <c r="DY175" s="1085"/>
      <c r="DZ175" s="2155"/>
      <c r="EA175" s="1085"/>
      <c r="EB175" s="1085"/>
      <c r="EC175" s="1085"/>
      <c r="ED175" s="1085"/>
      <c r="EE175" s="1085"/>
      <c r="EF175" s="1085"/>
      <c r="EG175" s="1085"/>
      <c r="EH175"/>
    </row>
    <row r="176" spans="1:138">
      <c r="A176" s="289"/>
      <c r="AN176" s="295"/>
      <c r="AO176" s="295"/>
      <c r="AP176" s="295"/>
      <c r="AR176" s="295"/>
      <c r="AS176" s="295"/>
      <c r="AT176" s="295"/>
      <c r="AV176" s="295"/>
      <c r="AW176" s="295"/>
      <c r="AX176" s="295"/>
      <c r="AZ176" s="295"/>
      <c r="BA176" s="295"/>
      <c r="BB176" s="295"/>
      <c r="BD176" s="295"/>
      <c r="BE176" s="295"/>
      <c r="BF176" s="295"/>
      <c r="BH176" s="295"/>
      <c r="BI176" s="295"/>
      <c r="BJ176" s="295"/>
      <c r="BL176" s="295"/>
      <c r="BM176" s="295"/>
      <c r="BN176" s="295"/>
      <c r="BP176" s="295"/>
      <c r="BQ176" s="295"/>
      <c r="BR176" s="295"/>
      <c r="BT176" s="295"/>
      <c r="BU176" s="295"/>
      <c r="BV176" s="295"/>
      <c r="BX176" s="295"/>
      <c r="BY176" s="295"/>
      <c r="BZ176" s="295"/>
      <c r="CB176" s="295"/>
      <c r="CC176" s="295"/>
      <c r="CD176" s="295"/>
      <c r="CF176" s="295"/>
      <c r="CG176" s="295"/>
      <c r="CH176" s="295"/>
      <c r="CJ176" s="295"/>
      <c r="CK176" s="295"/>
      <c r="CL176" s="295"/>
      <c r="CN176" s="295"/>
      <c r="CO176" s="295"/>
      <c r="CP176" s="295"/>
      <c r="CR176" s="295"/>
      <c r="CS176" s="295"/>
      <c r="CT176" s="295"/>
      <c r="CV176" s="295"/>
      <c r="CW176" s="1390"/>
      <c r="CX176" s="295"/>
      <c r="CZ176" s="295"/>
      <c r="DA176" s="1390"/>
      <c r="DB176" s="295"/>
      <c r="DD176" s="295"/>
      <c r="DE176" s="2150"/>
      <c r="DF176" s="295"/>
      <c r="DH176" s="295"/>
      <c r="DI176" s="295"/>
      <c r="DJ176" s="295"/>
      <c r="DL176" s="295"/>
      <c r="DM176" s="295"/>
      <c r="DN176" s="295"/>
      <c r="DP176" s="295"/>
      <c r="DQ176" s="295"/>
      <c r="DR176" s="295"/>
      <c r="DU176" s="295"/>
      <c r="DV176" s="295"/>
      <c r="DW176" s="295"/>
      <c r="DY176" s="103"/>
      <c r="EA176" s="103"/>
      <c r="EB176" s="103"/>
      <c r="EC176" s="103"/>
      <c r="ED176" s="103"/>
      <c r="EE176" s="103"/>
      <c r="EF176" s="103"/>
      <c r="EG176" s="103"/>
    </row>
    <row r="177" spans="1:138">
      <c r="A177" s="102" t="s">
        <v>1045</v>
      </c>
      <c r="AP177" s="293">
        <f>AVERAGE(AM163,AP163)</f>
        <v>0</v>
      </c>
      <c r="AR177" s="293">
        <f>AVERAGE(AO163,AR163)</f>
        <v>1254</v>
      </c>
      <c r="AS177" s="293">
        <f>AVERAGE(AR163,AS163)</f>
        <v>1214.5</v>
      </c>
      <c r="AT177" s="293">
        <f>AVERAGE(AR177:AS177)</f>
        <v>1234.25</v>
      </c>
      <c r="AV177" s="293">
        <f>AVERAGE(AS163,AV163)</f>
        <v>1214.5</v>
      </c>
      <c r="AW177" s="293">
        <f>AVERAGE(AV163,AW163)</f>
        <v>1214.5</v>
      </c>
      <c r="AX177" s="293">
        <f>AVERAGE(AV177:AW177)</f>
        <v>1214.5</v>
      </c>
      <c r="AZ177" s="293">
        <f>AVERAGE(AW163,AZ163)</f>
        <v>1176</v>
      </c>
      <c r="BA177" s="293">
        <f>AVERAGE(AZ163,BA163)</f>
        <v>1209</v>
      </c>
      <c r="BB177" s="293">
        <f>AVERAGE(AZ177:BA177)</f>
        <v>1192.5</v>
      </c>
      <c r="BD177" s="293">
        <f>AVERAGE(BA163,BD163)</f>
        <v>1256.5</v>
      </c>
      <c r="BE177" s="293">
        <f>AVERAGE(BD163,BE163)</f>
        <v>1182.5</v>
      </c>
      <c r="BF177" s="293">
        <f>AVERAGE(BD177:BE177)</f>
        <v>1219.5</v>
      </c>
      <c r="BH177" s="293">
        <f>AVERAGE(BE163,BH163)</f>
        <v>1147</v>
      </c>
      <c r="BI177" s="293">
        <f>AVERAGE(BH163,BI163)</f>
        <v>1330.5</v>
      </c>
      <c r="BJ177" s="293">
        <f>AVERAGE(BH177:BI177)</f>
        <v>1238.75</v>
      </c>
      <c r="BL177" s="293">
        <f>AVERAGE(BI163,BL163)</f>
        <v>1559.5</v>
      </c>
      <c r="BM177" s="293">
        <f>AVERAGE(BL163,BM163)</f>
        <v>1800.5</v>
      </c>
      <c r="BN177" s="293">
        <f>AVERAGE(BL177:BM177)</f>
        <v>1680</v>
      </c>
      <c r="BP177" s="293">
        <f>AVERAGE(BM163,BP163)</f>
        <v>1972.5</v>
      </c>
      <c r="BQ177" s="293">
        <f>AVERAGE(BP163,BQ163)</f>
        <v>2018</v>
      </c>
      <c r="BR177" s="293">
        <f>AVERAGE(BP177:BQ177)</f>
        <v>1995.25</v>
      </c>
      <c r="BT177" s="293">
        <f>AVERAGE(BQ163,BT163)</f>
        <v>2161</v>
      </c>
      <c r="BU177" s="293">
        <f>AVERAGE(BT163,BU163)</f>
        <v>2294.5</v>
      </c>
      <c r="BV177" s="293">
        <f>AVERAGE(BT177:BU177)</f>
        <v>2227.75</v>
      </c>
      <c r="BX177" s="293">
        <f>AVERAGE(BU163,BX163)</f>
        <v>2300</v>
      </c>
      <c r="BY177" s="293">
        <f>AVERAGE(BX163,BY163)</f>
        <v>2200</v>
      </c>
      <c r="BZ177" s="293">
        <f>AVERAGE(BX177:BY177)</f>
        <v>2250</v>
      </c>
      <c r="CB177" s="293">
        <f>AVERAGE(BY163,CB163)</f>
        <v>2250</v>
      </c>
      <c r="CC177" s="293">
        <f>AVERAGE(CB163,CC163)</f>
        <v>2150</v>
      </c>
      <c r="CD177" s="293">
        <f>AVERAGE(CB177:CC177)</f>
        <v>2200</v>
      </c>
      <c r="CF177" s="293">
        <f>AVERAGE(CC163,CF163)</f>
        <v>2100</v>
      </c>
      <c r="CG177" s="293">
        <f>AVERAGE(CF163,CG163)</f>
        <v>2250</v>
      </c>
      <c r="CH177" s="293">
        <f>AVERAGE(CF177:CG177)</f>
        <v>2175</v>
      </c>
      <c r="CJ177" s="293">
        <f>AVERAGE(CG163,CJ163)</f>
        <v>2200</v>
      </c>
      <c r="CK177" s="293">
        <f>AVERAGE(CJ163,CK163)</f>
        <v>2150</v>
      </c>
      <c r="CL177" s="293">
        <f>AVERAGE(CJ177:CK177)</f>
        <v>2175</v>
      </c>
      <c r="CN177" s="293">
        <f>AVERAGE(CK163,CN163)</f>
        <v>2050</v>
      </c>
      <c r="CO177" s="293">
        <f>AVERAGE(CN163,CO163)</f>
        <v>1900</v>
      </c>
      <c r="CP177" s="293">
        <f>AVERAGE(CN177:CO177)</f>
        <v>1975</v>
      </c>
      <c r="CR177" s="293">
        <f>AVERAGE(CO163,CR163)</f>
        <v>2000</v>
      </c>
      <c r="CS177" s="293">
        <f>AVERAGE(CR163,CS163)</f>
        <v>2000</v>
      </c>
      <c r="CT177" s="293">
        <f>AVERAGE(CR177:CS177)</f>
        <v>2000</v>
      </c>
      <c r="CV177" s="293">
        <f>AVERAGE(CS163,CV163)</f>
        <v>1950</v>
      </c>
      <c r="CW177" s="1495">
        <f>AVERAGE(CV163,CW163)</f>
        <v>2200</v>
      </c>
      <c r="CX177" s="293">
        <f>AVERAGE(CV177:CW177)</f>
        <v>2075</v>
      </c>
      <c r="CZ177" s="293">
        <f>AVERAGE(CW163,CZ163)</f>
        <v>2300</v>
      </c>
      <c r="DA177" s="1495">
        <f>AVERAGE(CZ163,DA163)</f>
        <v>2400</v>
      </c>
      <c r="DB177" s="293">
        <f>AVERAGE(CZ177:DA177)</f>
        <v>2350</v>
      </c>
      <c r="DD177" s="293">
        <f>AVERAGE(DA163,DD163)</f>
        <v>2550</v>
      </c>
      <c r="DE177" s="1495">
        <f>AVERAGE(DD163,DE163)</f>
        <v>2800</v>
      </c>
      <c r="DF177" s="293">
        <f>AVERAGE(DD177:DE177)</f>
        <v>2675</v>
      </c>
      <c r="DH177" s="293">
        <f>AVERAGE(DE163,DH163)</f>
        <v>3100</v>
      </c>
      <c r="DI177" s="293">
        <f>AVERAGE(DH163,DI163)</f>
        <v>3270</v>
      </c>
      <c r="DJ177" s="293">
        <f>AVERAGE(DH177:DI177)</f>
        <v>3185</v>
      </c>
      <c r="DL177" s="293">
        <f>AVERAGE(DI163,DL163)</f>
        <v>3413.5</v>
      </c>
      <c r="DM177" s="293">
        <f>AVERAGE(DL163,DM163)</f>
        <v>3564.1750000000002</v>
      </c>
      <c r="DN177" s="293">
        <f>AVERAGE(DL177:DM177)</f>
        <v>3488.8375000000001</v>
      </c>
      <c r="DP177" s="293">
        <f>AVERAGE(DM163,DP163)</f>
        <v>3722.3837500000004</v>
      </c>
      <c r="DQ177" s="293">
        <f>AVERAGE(DP163,DQ163)</f>
        <v>3888.5029375000004</v>
      </c>
      <c r="DR177" s="293">
        <f>AVERAGE(DP177:DQ177)</f>
        <v>3805.4433437500002</v>
      </c>
      <c r="DU177" s="293"/>
      <c r="DV177" s="293"/>
      <c r="DW177" s="293"/>
      <c r="DY177" s="103"/>
      <c r="EA177" s="103"/>
      <c r="EB177" s="103"/>
      <c r="EC177" s="103"/>
      <c r="ED177" s="103"/>
      <c r="EE177" s="103"/>
      <c r="EF177" s="103"/>
      <c r="EG177" s="103"/>
    </row>
    <row r="178" spans="1:138">
      <c r="A178" s="102" t="s">
        <v>1046</v>
      </c>
      <c r="AP178" s="293">
        <f>AVERAGE(AM171,AP171)</f>
        <v>100</v>
      </c>
      <c r="AR178" s="293">
        <f>AVERAGE(AO171,AR171)</f>
        <v>3824</v>
      </c>
      <c r="AS178" s="293">
        <f>AVERAGE(AR171,AS171)</f>
        <v>3858.5</v>
      </c>
      <c r="AT178" s="293">
        <f>AVERAGE(AR178:AS178)</f>
        <v>3841.25</v>
      </c>
      <c r="AV178" s="293">
        <f>AVERAGE(AS171,AV171)</f>
        <v>3858.5</v>
      </c>
      <c r="AW178" s="293">
        <f>AVERAGE(AV171,AW171)</f>
        <v>3858.5</v>
      </c>
      <c r="AX178" s="293">
        <f>AVERAGE(AV178:AW178)</f>
        <v>3858.5</v>
      </c>
      <c r="AZ178" s="293">
        <f>AVERAGE(AW171,AZ171)</f>
        <v>3881</v>
      </c>
      <c r="BA178" s="293">
        <f>AVERAGE(AZ171,BA171)</f>
        <v>3693</v>
      </c>
      <c r="BB178" s="293">
        <f>AVERAGE(AZ178:BA178)</f>
        <v>3787</v>
      </c>
      <c r="BD178" s="293">
        <f>AVERAGE(BA171,BD171)</f>
        <v>3686</v>
      </c>
      <c r="BE178" s="293">
        <f>AVERAGE(BD171,BE171)</f>
        <v>3660</v>
      </c>
      <c r="BF178" s="293">
        <f>AVERAGE(BD178:BE178)</f>
        <v>3673</v>
      </c>
      <c r="BH178" s="293">
        <f>AVERAGE(BE171,BH171)</f>
        <v>3276</v>
      </c>
      <c r="BI178" s="293">
        <f>AVERAGE(BH171,BI171)</f>
        <v>3115.5</v>
      </c>
      <c r="BJ178" s="293">
        <f>AVERAGE(BH178:BI178)</f>
        <v>3195.75</v>
      </c>
      <c r="BL178" s="293">
        <f>AVERAGE(BI171,BL171)</f>
        <v>3206.65</v>
      </c>
      <c r="BM178" s="293">
        <f>AVERAGE(BL171,BM171)</f>
        <v>2559.15</v>
      </c>
      <c r="BN178" s="293">
        <f>AVERAGE(BL178:BM178)</f>
        <v>2882.9</v>
      </c>
      <c r="BP178" s="293">
        <f>AVERAGE(BM171,BP171)</f>
        <v>1875.5</v>
      </c>
      <c r="BQ178" s="293">
        <f>AVERAGE(BP171,BQ171)</f>
        <v>1975.5</v>
      </c>
      <c r="BR178" s="293">
        <f>AVERAGE(BP178:BQ178)</f>
        <v>1925.5</v>
      </c>
      <c r="BT178" s="293">
        <f>AVERAGE(BQ171,BT171)</f>
        <v>2536</v>
      </c>
      <c r="BU178" s="293">
        <f>AVERAGE(BT171,BU171)</f>
        <v>2811.5</v>
      </c>
      <c r="BV178" s="293">
        <f>AVERAGE(BT178:BU178)</f>
        <v>2673.75</v>
      </c>
      <c r="BX178" s="293">
        <f>AVERAGE(BU171,BX171)</f>
        <v>2350</v>
      </c>
      <c r="BY178" s="293">
        <f>AVERAGE(BX171,BY171)</f>
        <v>2450</v>
      </c>
      <c r="BZ178" s="293">
        <f>AVERAGE(BX178:BY178)</f>
        <v>2400</v>
      </c>
      <c r="CB178" s="293">
        <f>AVERAGE(BY171,CB171)</f>
        <v>3950</v>
      </c>
      <c r="CC178" s="293">
        <f>AVERAGE(CB171,CC171)</f>
        <v>4850</v>
      </c>
      <c r="CD178" s="293">
        <f>AVERAGE(CB178:CC178)</f>
        <v>4400</v>
      </c>
      <c r="CF178" s="293">
        <f>AVERAGE(CC171,CF171)</f>
        <v>4150</v>
      </c>
      <c r="CG178" s="293">
        <f>AVERAGE(CF171,CG171)</f>
        <v>3350</v>
      </c>
      <c r="CH178" s="293">
        <f>AVERAGE(CF178:CG178)</f>
        <v>3750</v>
      </c>
      <c r="CJ178" s="293">
        <f>AVERAGE(CG171,CJ171)</f>
        <v>4150</v>
      </c>
      <c r="CK178" s="293">
        <f>AVERAGE(CJ171,CK171)</f>
        <v>4850</v>
      </c>
      <c r="CL178" s="293">
        <f>AVERAGE(CJ178:CK178)</f>
        <v>4500</v>
      </c>
      <c r="CN178" s="293">
        <f>AVERAGE(CK171,CN171)</f>
        <v>4100</v>
      </c>
      <c r="CO178" s="293">
        <f>AVERAGE(CN171,CO171)</f>
        <v>4850</v>
      </c>
      <c r="CP178" s="293">
        <f>AVERAGE(CN178:CO178)</f>
        <v>4475</v>
      </c>
      <c r="CR178" s="293">
        <f>AVERAGE(CO171,CR171)</f>
        <v>6250</v>
      </c>
      <c r="CS178" s="293">
        <f>AVERAGE(CR171,CS171)</f>
        <v>6550</v>
      </c>
      <c r="CT178" s="293">
        <f>AVERAGE(CR178:CS178)</f>
        <v>6400</v>
      </c>
      <c r="CV178" s="293">
        <f>AVERAGE(CS171,CV171)</f>
        <v>6850</v>
      </c>
      <c r="CW178" s="1495">
        <f>AVERAGE(CV171,CW171)</f>
        <v>7250</v>
      </c>
      <c r="CX178" s="293">
        <f>AVERAGE(CV178:CW178)</f>
        <v>7050</v>
      </c>
      <c r="CZ178" s="293">
        <f>AVERAGE(CW171,CZ171)</f>
        <v>8200</v>
      </c>
      <c r="DA178" s="1495">
        <f>AVERAGE(CZ171,DA171)</f>
        <v>9900</v>
      </c>
      <c r="DB178" s="293">
        <f>AVERAGE(CZ178:DA178)</f>
        <v>9050</v>
      </c>
      <c r="DD178" s="293">
        <f>AVERAGE(DA171,DD171)</f>
        <v>10200</v>
      </c>
      <c r="DE178" s="1495">
        <f>AVERAGE(DD171,DE171)</f>
        <v>10050</v>
      </c>
      <c r="DF178" s="293">
        <f>AVERAGE(DD178:DE178)</f>
        <v>10125</v>
      </c>
      <c r="DH178" s="293">
        <f>AVERAGE(DE171,DH171)</f>
        <v>10150</v>
      </c>
      <c r="DI178" s="293">
        <f>AVERAGE(DH171,DI171)</f>
        <v>10047</v>
      </c>
      <c r="DJ178" s="293">
        <f>AVERAGE(DH178:DI178)</f>
        <v>10098.5</v>
      </c>
      <c r="DL178" s="293">
        <f>AVERAGE(DI171,DL171)</f>
        <v>10348.740000000002</v>
      </c>
      <c r="DM178" s="293">
        <f>AVERAGE(DL171,DM171)</f>
        <v>10666.594800000001</v>
      </c>
      <c r="DN178" s="293">
        <f>AVERAGE(DL178:DM178)</f>
        <v>10507.667400000002</v>
      </c>
      <c r="DP178" s="293">
        <f>AVERAGE(DM171,DP171)</f>
        <v>11001.894695999999</v>
      </c>
      <c r="DQ178" s="293">
        <f>AVERAGE(DP171,DQ171)</f>
        <v>11356.097389920002</v>
      </c>
      <c r="DR178" s="293">
        <f>AVERAGE(DP178:DQ178)</f>
        <v>11178.99604296</v>
      </c>
      <c r="DU178" s="293"/>
      <c r="DV178" s="293"/>
      <c r="DW178" s="293"/>
      <c r="DY178" s="103"/>
      <c r="EA178" s="103"/>
      <c r="EB178" s="103"/>
      <c r="EC178" s="103"/>
      <c r="ED178" s="103"/>
      <c r="EE178" s="103"/>
      <c r="EF178" s="103"/>
      <c r="EG178" s="103"/>
    </row>
    <row r="179" spans="1:138">
      <c r="A179" s="289"/>
      <c r="BE179" s="295"/>
      <c r="BH179" s="295"/>
      <c r="BI179" s="295"/>
      <c r="BJ179" s="295"/>
      <c r="BL179" s="295"/>
      <c r="BM179" s="295"/>
      <c r="BN179" s="295"/>
      <c r="BP179" s="295"/>
      <c r="BQ179" s="295"/>
      <c r="BR179" s="295"/>
      <c r="BT179" s="295"/>
      <c r="BU179" s="295"/>
      <c r="BV179" s="295"/>
      <c r="BX179" s="295"/>
      <c r="BY179" s="295"/>
      <c r="BZ179" s="295"/>
      <c r="CB179" s="295"/>
      <c r="CC179" s="295"/>
      <c r="CD179" s="295"/>
      <c r="CF179" s="295"/>
      <c r="CG179" s="679">
        <f>+CG171-CG168</f>
        <v>3000</v>
      </c>
      <c r="CH179" s="295"/>
      <c r="CJ179" s="679">
        <f>+CJ171-CJ168</f>
        <v>3700</v>
      </c>
      <c r="CK179" s="679">
        <f>+CK171-CK168</f>
        <v>4400</v>
      </c>
      <c r="CL179" s="295"/>
      <c r="CN179" s="679">
        <f>+CN171-CN168</f>
        <v>3800</v>
      </c>
      <c r="CO179" s="679">
        <f>+CO171-CO168</f>
        <v>5900</v>
      </c>
      <c r="CP179" s="295"/>
      <c r="CR179" s="295"/>
      <c r="CS179" s="295"/>
      <c r="CT179" s="295"/>
      <c r="CV179" s="295"/>
      <c r="CW179" s="1390"/>
      <c r="CX179" s="295"/>
      <c r="CZ179" s="295"/>
      <c r="DA179" s="295"/>
      <c r="DB179" s="295"/>
      <c r="DD179" s="295"/>
      <c r="DE179" s="295"/>
      <c r="DF179" s="295"/>
      <c r="DH179" s="295"/>
      <c r="DI179" s="295"/>
      <c r="DJ179" s="295"/>
      <c r="DL179" s="295"/>
      <c r="DM179" s="295"/>
      <c r="DN179" s="295"/>
      <c r="DP179" s="295"/>
      <c r="DQ179" s="295"/>
      <c r="DR179" s="295"/>
      <c r="DU179" s="295"/>
      <c r="DV179" s="295"/>
      <c r="DW179" s="295"/>
      <c r="DY179" s="103"/>
      <c r="EA179" s="103"/>
      <c r="EB179" s="103"/>
      <c r="EC179" s="103"/>
      <c r="ED179" s="103"/>
      <c r="EE179" s="103"/>
      <c r="EF179" s="103"/>
      <c r="EG179" s="103"/>
    </row>
    <row r="180" spans="1:138">
      <c r="A180" s="328" t="s">
        <v>382</v>
      </c>
      <c r="BI180" s="295"/>
      <c r="BM180" s="295"/>
      <c r="BQ180" s="295"/>
      <c r="BU180" s="295"/>
      <c r="BY180" s="295"/>
      <c r="CC180" s="295"/>
      <c r="CG180" s="295"/>
      <c r="CK180" s="295"/>
      <c r="CO180" s="295"/>
      <c r="DY180" s="103"/>
      <c r="EA180" s="103"/>
      <c r="EB180" s="103"/>
      <c r="EC180" s="103"/>
      <c r="ED180" s="103"/>
      <c r="EE180" s="103"/>
      <c r="EF180" s="103"/>
      <c r="EG180" s="103"/>
    </row>
    <row r="181" spans="1:138" s="1133" customFormat="1">
      <c r="A181" s="323" t="str">
        <f t="shared" ref="A181:A186" si="163">+A160</f>
        <v>Listed MIRA Funds</v>
      </c>
      <c r="B181" s="102"/>
      <c r="C181" s="103"/>
      <c r="D181" s="102"/>
      <c r="E181" s="102"/>
      <c r="F181" s="102"/>
      <c r="G181" s="102"/>
      <c r="H181" s="102"/>
      <c r="I181" s="102"/>
      <c r="J181" s="102"/>
      <c r="K181" s="102"/>
      <c r="L181" s="102"/>
      <c r="M181" s="102"/>
      <c r="N181" s="102"/>
      <c r="O181" s="102"/>
      <c r="P181" s="103"/>
      <c r="Q181" s="103"/>
      <c r="R181" s="103"/>
      <c r="S181" s="103"/>
      <c r="T181" s="103"/>
      <c r="U181" s="103"/>
      <c r="V181" s="103"/>
      <c r="W181" s="103"/>
      <c r="X181" s="103"/>
      <c r="Y181" s="103"/>
      <c r="Z181" s="103"/>
      <c r="AA181" s="103"/>
      <c r="AB181" s="103"/>
      <c r="AC181" s="103"/>
      <c r="AD181" s="103"/>
      <c r="AE181" s="103"/>
      <c r="AF181" s="103"/>
      <c r="AG181" s="103"/>
      <c r="AH181" s="103"/>
      <c r="AI181" s="103"/>
      <c r="AJ181" s="103"/>
      <c r="AK181" s="103"/>
      <c r="AL181" s="103"/>
      <c r="AM181" s="103"/>
      <c r="AN181" s="103"/>
      <c r="AO181" s="103"/>
      <c r="AP181" s="103"/>
      <c r="AQ181" s="103"/>
      <c r="AR181" s="103"/>
      <c r="AS181" s="103"/>
      <c r="AT181" s="103"/>
      <c r="AU181" s="103"/>
      <c r="AV181" s="103"/>
      <c r="AW181" s="103"/>
      <c r="AX181" s="103"/>
      <c r="AY181" s="103"/>
      <c r="AZ181" s="103"/>
      <c r="BA181" s="103"/>
      <c r="BB181" s="103"/>
      <c r="BC181" s="103"/>
      <c r="BD181" s="103"/>
      <c r="BE181" s="103"/>
      <c r="BF181" s="103"/>
      <c r="BG181" s="103"/>
      <c r="BH181" s="648">
        <f t="shared" ref="BH181:BH186" si="164">+BH160/BE160-1</f>
        <v>0.10097719869706845</v>
      </c>
      <c r="BI181" s="648">
        <f t="shared" ref="BI181:BI186" si="165">+BI160/BH160-1</f>
        <v>0.71301775147928992</v>
      </c>
      <c r="BJ181" s="103"/>
      <c r="BK181" s="103"/>
      <c r="BL181" s="648">
        <f t="shared" ref="BL181:BL186" si="166">+BL160/BI160-1</f>
        <v>-9.8445595854922296E-2</v>
      </c>
      <c r="BM181" s="648">
        <f t="shared" ref="BM181:BM186" si="167">+BM160/BL160-1</f>
        <v>-5.7471264367816133E-2</v>
      </c>
      <c r="BN181" s="103"/>
      <c r="BO181" s="103"/>
      <c r="BP181" s="648">
        <f t="shared" ref="BP181:BP186" si="168">+BP160/BM160-1</f>
        <v>7.5203252032520318E-2</v>
      </c>
      <c r="BQ181" s="648">
        <f t="shared" ref="BQ181:BQ186" si="169">+BQ160/BP160-1</f>
        <v>0.26465028355387532</v>
      </c>
      <c r="BR181" s="103"/>
      <c r="BS181" s="103"/>
      <c r="BT181" s="648">
        <f t="shared" ref="BT181:BT186" si="170">+BT160/BQ160-1</f>
        <v>0.17638266068759334</v>
      </c>
      <c r="BU181" s="648">
        <f t="shared" ref="BU181:BU186" si="171">+BU160/BT160-1</f>
        <v>1.6518424396442244E-2</v>
      </c>
      <c r="BV181" s="103"/>
      <c r="BW181" s="1131"/>
      <c r="BX181" s="648">
        <f t="shared" ref="BX181:BX186" si="172">+BX160/BU160-1</f>
        <v>0.125</v>
      </c>
      <c r="BY181" s="648">
        <f t="shared" ref="BY181:BY186" si="173">+BY160/BX160-1</f>
        <v>-0.22222222222222221</v>
      </c>
      <c r="BZ181" s="103"/>
      <c r="CA181" s="1131"/>
      <c r="CB181" s="648">
        <f t="shared" ref="CB181:CB186" si="174">+CB160/BY160-1</f>
        <v>0.4285714285714286</v>
      </c>
      <c r="CC181" s="648">
        <f t="shared" ref="CC181:CC186" si="175">+CC160/CB160-1</f>
        <v>-0.5</v>
      </c>
      <c r="CD181" s="103"/>
      <c r="CE181" s="1131"/>
      <c r="CF181" s="648">
        <f t="shared" ref="CF181:CF186" si="176">+CF160/CC160-1</f>
        <v>0.8</v>
      </c>
      <c r="CG181" s="648">
        <f t="shared" ref="CG181:CG186" si="177">+CG160/CF160-1</f>
        <v>0</v>
      </c>
      <c r="CH181" s="103"/>
      <c r="CI181" s="1131"/>
      <c r="CJ181" s="648">
        <f t="shared" ref="CJ181:CJ186" si="178">+CJ160/CG160-1</f>
        <v>0</v>
      </c>
      <c r="CK181" s="648">
        <f t="shared" ref="CK181:CK188" si="179">+CK160/CJ160-1</f>
        <v>0</v>
      </c>
      <c r="CL181" s="103"/>
      <c r="CM181" s="1131"/>
      <c r="CN181" s="648">
        <f t="shared" ref="CN181:CN188" si="180">+CN160/CK160-1</f>
        <v>-0.22222222222222221</v>
      </c>
      <c r="CO181" s="648">
        <f t="shared" ref="CO181:CO188" si="181">+CO160/CN160-1</f>
        <v>0</v>
      </c>
      <c r="CP181" s="103"/>
      <c r="CQ181" s="1131"/>
      <c r="CR181" s="648">
        <f t="shared" ref="CR181:CR188" si="182">+CR160/CO160-1</f>
        <v>0.4285714285714286</v>
      </c>
      <c r="CS181" s="648">
        <f t="shared" ref="CS181:CS188" si="183">+CS160/CR160-1</f>
        <v>-0.8</v>
      </c>
      <c r="CT181" s="103"/>
      <c r="CU181" s="1131"/>
      <c r="CV181" s="648">
        <f t="shared" ref="CV181:CV188" si="184">+CV160/CS160-1</f>
        <v>0</v>
      </c>
      <c r="CW181" s="648">
        <f t="shared" ref="CW181:CW188" si="185">+CW160/CV160-1</f>
        <v>0</v>
      </c>
      <c r="CX181" s="103"/>
      <c r="CY181" s="1131"/>
      <c r="CZ181" s="648">
        <f t="shared" ref="CZ181:CZ188" si="186">+CZ160/CW160-1</f>
        <v>0</v>
      </c>
      <c r="DA181" s="648">
        <f t="shared" ref="DA181:DA188" si="187">+DA160/CZ160-1</f>
        <v>0</v>
      </c>
      <c r="DB181" s="103"/>
      <c r="DC181" s="1131"/>
      <c r="DD181" s="648">
        <f t="shared" ref="DD181:DD188" si="188">+DD160/DA160-1</f>
        <v>0</v>
      </c>
      <c r="DE181" s="648">
        <f t="shared" ref="DE181:DE188" si="189">+DE160/DD160-1</f>
        <v>-1</v>
      </c>
      <c r="DF181" s="103"/>
      <c r="DG181" s="1131"/>
      <c r="DH181" s="648"/>
      <c r="DI181" s="1959">
        <v>0</v>
      </c>
      <c r="DJ181" s="1131"/>
      <c r="DK181" s="1131"/>
      <c r="DL181" s="1959">
        <v>0</v>
      </c>
      <c r="DM181" s="1959">
        <v>0</v>
      </c>
      <c r="DN181" s="1131"/>
      <c r="DO181" s="1131"/>
      <c r="DP181" s="1959">
        <v>0</v>
      </c>
      <c r="DQ181" s="1959">
        <v>0</v>
      </c>
      <c r="DR181" s="1131"/>
      <c r="DS181" s="1131"/>
      <c r="DT181" s="1131"/>
      <c r="DU181" s="1132"/>
      <c r="DV181" s="1132"/>
      <c r="DW181" s="1131"/>
      <c r="DX181" s="1131"/>
      <c r="DY181" s="1131"/>
      <c r="EA181" s="1131"/>
      <c r="EB181" s="1131"/>
      <c r="EC181" s="1131"/>
      <c r="ED181" s="1131"/>
      <c r="EE181" s="1131"/>
      <c r="EF181" s="1131"/>
      <c r="EG181" s="1131"/>
      <c r="EH181"/>
    </row>
    <row r="182" spans="1:138" s="1133" customFormat="1">
      <c r="A182" s="323" t="str">
        <f t="shared" si="163"/>
        <v>Unlisted MIRA Funds</v>
      </c>
      <c r="B182" s="102"/>
      <c r="C182" s="103"/>
      <c r="D182" s="102"/>
      <c r="E182" s="102"/>
      <c r="F182" s="102"/>
      <c r="G182" s="102"/>
      <c r="H182" s="102"/>
      <c r="I182" s="102"/>
      <c r="J182" s="102"/>
      <c r="K182" s="102"/>
      <c r="L182" s="102"/>
      <c r="M182" s="102"/>
      <c r="N182" s="102"/>
      <c r="O182" s="102"/>
      <c r="P182" s="103"/>
      <c r="Q182" s="103"/>
      <c r="R182" s="103"/>
      <c r="S182" s="103"/>
      <c r="T182" s="103"/>
      <c r="U182" s="103"/>
      <c r="V182" s="103"/>
      <c r="W182" s="103"/>
      <c r="X182" s="103"/>
      <c r="Y182" s="103"/>
      <c r="Z182" s="103"/>
      <c r="AA182" s="103"/>
      <c r="AB182" s="103"/>
      <c r="AC182" s="103"/>
      <c r="AD182" s="103"/>
      <c r="AE182" s="103"/>
      <c r="AF182" s="103"/>
      <c r="AG182" s="103"/>
      <c r="AH182" s="103"/>
      <c r="AI182" s="103"/>
      <c r="AJ182" s="103"/>
      <c r="AK182" s="103"/>
      <c r="AL182" s="103"/>
      <c r="AM182" s="103"/>
      <c r="AN182" s="103"/>
      <c r="AO182" s="103"/>
      <c r="AP182" s="103"/>
      <c r="AQ182" s="103"/>
      <c r="AR182" s="103"/>
      <c r="AS182" s="103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103"/>
      <c r="BD182" s="103"/>
      <c r="BE182" s="103"/>
      <c r="BF182" s="103"/>
      <c r="BG182" s="103"/>
      <c r="BH182" s="648">
        <f t="shared" si="164"/>
        <v>7.6241134751773076E-2</v>
      </c>
      <c r="BI182" s="648">
        <f t="shared" si="165"/>
        <v>-4.6128500823723217E-2</v>
      </c>
      <c r="BJ182" s="103"/>
      <c r="BK182" s="103"/>
      <c r="BL182" s="648">
        <f t="shared" si="166"/>
        <v>0.44214162348877384</v>
      </c>
      <c r="BM182" s="648">
        <f t="shared" si="167"/>
        <v>0.24071856287425142</v>
      </c>
      <c r="BN182" s="103"/>
      <c r="BO182" s="103"/>
      <c r="BP182" s="648">
        <f t="shared" si="168"/>
        <v>-4.1505791505791478E-2</v>
      </c>
      <c r="BQ182" s="648">
        <f t="shared" si="169"/>
        <v>-0.18429003021148038</v>
      </c>
      <c r="BR182" s="103"/>
      <c r="BS182" s="103"/>
      <c r="BT182" s="648">
        <f t="shared" si="170"/>
        <v>6.9135802469135754E-2</v>
      </c>
      <c r="BU182" s="648">
        <f t="shared" si="171"/>
        <v>3.9260969976905313E-2</v>
      </c>
      <c r="BV182" s="103"/>
      <c r="BW182" s="1131"/>
      <c r="BX182" s="648">
        <f t="shared" si="172"/>
        <v>0</v>
      </c>
      <c r="BY182" s="648">
        <f t="shared" si="173"/>
        <v>0</v>
      </c>
      <c r="BZ182" s="103"/>
      <c r="CA182" s="1131"/>
      <c r="CB182" s="648">
        <f t="shared" si="174"/>
        <v>0</v>
      </c>
      <c r="CC182" s="648">
        <f t="shared" si="175"/>
        <v>0.11111111111111116</v>
      </c>
      <c r="CD182" s="103"/>
      <c r="CE182" s="1131"/>
      <c r="CF182" s="648">
        <f t="shared" si="176"/>
        <v>0</v>
      </c>
      <c r="CG182" s="648">
        <f t="shared" si="177"/>
        <v>0</v>
      </c>
      <c r="CH182" s="103"/>
      <c r="CI182" s="1131"/>
      <c r="CJ182" s="648">
        <f t="shared" si="178"/>
        <v>0</v>
      </c>
      <c r="CK182" s="648">
        <f t="shared" si="179"/>
        <v>-9.9999999999999978E-2</v>
      </c>
      <c r="CL182" s="103"/>
      <c r="CM182" s="1131"/>
      <c r="CN182" s="648">
        <f t="shared" si="180"/>
        <v>0</v>
      </c>
      <c r="CO182" s="648">
        <f t="shared" si="181"/>
        <v>-0.11111111111111116</v>
      </c>
      <c r="CP182" s="103"/>
      <c r="CQ182" s="1131"/>
      <c r="CR182" s="648">
        <f t="shared" si="182"/>
        <v>0</v>
      </c>
      <c r="CS182" s="648">
        <f t="shared" si="183"/>
        <v>0.625</v>
      </c>
      <c r="CT182" s="103"/>
      <c r="CU182" s="1131"/>
      <c r="CV182" s="648">
        <f t="shared" si="184"/>
        <v>7.6923076923076872E-2</v>
      </c>
      <c r="CW182" s="648">
        <f t="shared" si="185"/>
        <v>0.14285714285714279</v>
      </c>
      <c r="CX182" s="103"/>
      <c r="CY182" s="1131"/>
      <c r="CZ182" s="648">
        <f t="shared" si="186"/>
        <v>6.25E-2</v>
      </c>
      <c r="DA182" s="648">
        <f t="shared" si="187"/>
        <v>5.8823529411764719E-2</v>
      </c>
      <c r="DB182" s="103"/>
      <c r="DC182" s="1131"/>
      <c r="DD182" s="648">
        <f t="shared" si="188"/>
        <v>0.11111111111111116</v>
      </c>
      <c r="DE182" s="648">
        <f t="shared" si="189"/>
        <v>0.30000000000000004</v>
      </c>
      <c r="DF182" s="103"/>
      <c r="DG182" s="1131"/>
      <c r="DH182" s="648">
        <f t="shared" ref="DH182:DH188" si="190">+DH161/DE161-1</f>
        <v>7.6923076923076872E-2</v>
      </c>
      <c r="DI182" s="1959">
        <v>0.05</v>
      </c>
      <c r="DJ182" s="1131"/>
      <c r="DK182" s="1131"/>
      <c r="DL182" s="1959">
        <v>0.05</v>
      </c>
      <c r="DM182" s="1959">
        <v>0.05</v>
      </c>
      <c r="DN182" s="1131"/>
      <c r="DO182" s="1131"/>
      <c r="DP182" s="1959">
        <v>0.05</v>
      </c>
      <c r="DQ182" s="1959">
        <v>0.05</v>
      </c>
      <c r="DR182" s="1131"/>
      <c r="DS182" s="1131"/>
      <c r="DT182" s="1131"/>
      <c r="DU182" s="1132"/>
      <c r="DV182" s="1132"/>
      <c r="DW182" s="1131"/>
      <c r="DX182" s="1131"/>
      <c r="DY182" s="1131"/>
      <c r="EA182" s="1131"/>
      <c r="EB182" s="1131"/>
      <c r="EC182" s="1131"/>
      <c r="ED182" s="1131"/>
      <c r="EE182" s="1131"/>
      <c r="EF182" s="1131"/>
      <c r="EG182" s="1131"/>
      <c r="EH182"/>
    </row>
    <row r="183" spans="1:138" s="1133" customFormat="1">
      <c r="A183" s="323" t="str">
        <f t="shared" si="163"/>
        <v>Other Managed Funds</v>
      </c>
      <c r="B183" s="102"/>
      <c r="C183" s="103"/>
      <c r="D183" s="102"/>
      <c r="E183" s="102"/>
      <c r="F183" s="102"/>
      <c r="G183" s="102"/>
      <c r="H183" s="102"/>
      <c r="I183" s="102"/>
      <c r="J183" s="102"/>
      <c r="K183" s="102"/>
      <c r="L183" s="102"/>
      <c r="M183" s="102"/>
      <c r="N183" s="102"/>
      <c r="O183" s="102"/>
      <c r="P183" s="103"/>
      <c r="Q183" s="103"/>
      <c r="R183" s="103"/>
      <c r="S183" s="103"/>
      <c r="T183" s="103"/>
      <c r="U183" s="103"/>
      <c r="V183" s="103"/>
      <c r="W183" s="103"/>
      <c r="X183" s="103"/>
      <c r="Y183" s="103"/>
      <c r="Z183" s="103"/>
      <c r="AA183" s="103"/>
      <c r="AB183" s="103"/>
      <c r="AC183" s="103"/>
      <c r="AD183" s="103"/>
      <c r="AE183" s="103"/>
      <c r="AF183" s="103"/>
      <c r="AG183" s="103"/>
      <c r="AH183" s="103"/>
      <c r="AI183" s="103"/>
      <c r="AJ183" s="103"/>
      <c r="AK183" s="103"/>
      <c r="AL183" s="103"/>
      <c r="AM183" s="103"/>
      <c r="AN183" s="103"/>
      <c r="AO183" s="103"/>
      <c r="AP183" s="103"/>
      <c r="AQ183" s="103"/>
      <c r="AR183" s="103"/>
      <c r="AS183" s="103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103"/>
      <c r="BD183" s="103"/>
      <c r="BE183" s="103"/>
      <c r="BF183" s="103"/>
      <c r="BG183" s="103"/>
      <c r="BH183" s="648">
        <f t="shared" si="164"/>
        <v>0.15315315315315314</v>
      </c>
      <c r="BI183" s="648">
        <f t="shared" si="165"/>
        <v>0.1796875</v>
      </c>
      <c r="BJ183" s="103"/>
      <c r="BK183" s="103"/>
      <c r="BL183" s="648">
        <f t="shared" si="166"/>
        <v>0</v>
      </c>
      <c r="BM183" s="648">
        <f t="shared" si="167"/>
        <v>0.37086092715231778</v>
      </c>
      <c r="BN183" s="103"/>
      <c r="BO183" s="103"/>
      <c r="BP183" s="648">
        <f t="shared" si="168"/>
        <v>0.16183574879227058</v>
      </c>
      <c r="BQ183" s="648">
        <f t="shared" si="169"/>
        <v>0.15176715176715172</v>
      </c>
      <c r="BR183" s="103"/>
      <c r="BS183" s="103"/>
      <c r="BT183" s="648">
        <f t="shared" si="170"/>
        <v>0.1480144404332131</v>
      </c>
      <c r="BU183" s="648">
        <f t="shared" si="171"/>
        <v>-5.6603773584905648E-2</v>
      </c>
      <c r="BV183" s="103"/>
      <c r="BW183" s="1131"/>
      <c r="BX183" s="648">
        <f t="shared" si="172"/>
        <v>-0.16666666666666663</v>
      </c>
      <c r="BY183" s="648">
        <f t="shared" si="173"/>
        <v>0</v>
      </c>
      <c r="BZ183" s="103"/>
      <c r="CA183" s="1131"/>
      <c r="CB183" s="648">
        <f t="shared" si="174"/>
        <v>0</v>
      </c>
      <c r="CC183" s="648">
        <f t="shared" si="175"/>
        <v>-0.19999999999999996</v>
      </c>
      <c r="CD183" s="103"/>
      <c r="CE183" s="1131"/>
      <c r="CF183" s="648">
        <f t="shared" si="176"/>
        <v>0</v>
      </c>
      <c r="CG183" s="648">
        <f t="shared" si="177"/>
        <v>-0.25</v>
      </c>
      <c r="CH183" s="103"/>
      <c r="CI183" s="1131"/>
      <c r="CJ183" s="648">
        <f t="shared" si="178"/>
        <v>0</v>
      </c>
      <c r="CK183" s="648">
        <f t="shared" si="179"/>
        <v>0</v>
      </c>
      <c r="CL183" s="103"/>
      <c r="CM183" s="1131"/>
      <c r="CN183" s="648">
        <f t="shared" si="180"/>
        <v>0.33333333333333326</v>
      </c>
      <c r="CO183" s="648">
        <f t="shared" si="181"/>
        <v>-0.25</v>
      </c>
      <c r="CP183" s="103"/>
      <c r="CQ183" s="1131"/>
      <c r="CR183" s="648">
        <f t="shared" si="182"/>
        <v>0.33333333333333326</v>
      </c>
      <c r="CS183" s="648">
        <f t="shared" si="183"/>
        <v>-0.25</v>
      </c>
      <c r="CT183" s="103"/>
      <c r="CU183" s="1131"/>
      <c r="CV183" s="648">
        <f t="shared" si="184"/>
        <v>0.66666666666666674</v>
      </c>
      <c r="CW183" s="648">
        <f t="shared" si="185"/>
        <v>0</v>
      </c>
      <c r="CX183" s="103"/>
      <c r="CY183" s="1131"/>
      <c r="CZ183" s="648">
        <f t="shared" si="186"/>
        <v>-0.19999999999999996</v>
      </c>
      <c r="DA183" s="648">
        <f t="shared" si="187"/>
        <v>0.25</v>
      </c>
      <c r="DB183" s="103"/>
      <c r="DC183" s="1131"/>
      <c r="DD183" s="648">
        <f t="shared" si="188"/>
        <v>-0.19999999999999996</v>
      </c>
      <c r="DE183" s="648">
        <f t="shared" si="189"/>
        <v>0</v>
      </c>
      <c r="DF183" s="103"/>
      <c r="DG183" s="1131"/>
      <c r="DH183" s="648">
        <f t="shared" si="190"/>
        <v>0</v>
      </c>
      <c r="DI183" s="1959">
        <v>0</v>
      </c>
      <c r="DJ183" s="1131"/>
      <c r="DK183" s="1131"/>
      <c r="DL183" s="1959">
        <v>0</v>
      </c>
      <c r="DM183" s="1959">
        <v>0</v>
      </c>
      <c r="DN183" s="1131"/>
      <c r="DO183" s="1131"/>
      <c r="DP183" s="1959">
        <v>0</v>
      </c>
      <c r="DQ183" s="1959">
        <v>0</v>
      </c>
      <c r="DR183" s="1131"/>
      <c r="DS183" s="1131"/>
      <c r="DT183" s="1131"/>
      <c r="DU183" s="1132"/>
      <c r="DV183" s="1132"/>
      <c r="DW183" s="1131"/>
      <c r="DX183" s="1131"/>
      <c r="DY183" s="1131"/>
      <c r="EA183" s="1131"/>
      <c r="EB183" s="1131"/>
      <c r="EC183" s="1131"/>
      <c r="ED183" s="1131"/>
      <c r="EE183" s="1131"/>
      <c r="EF183" s="1131"/>
      <c r="EG183" s="1131"/>
      <c r="EH183"/>
    </row>
    <row r="184" spans="1:138" s="289" customFormat="1">
      <c r="A184" s="328" t="str">
        <f t="shared" si="163"/>
        <v>Total Managed Funds</v>
      </c>
      <c r="C184" s="290"/>
      <c r="P184" s="290"/>
      <c r="Q184" s="290"/>
      <c r="R184" s="290"/>
      <c r="S184" s="290"/>
      <c r="T184" s="290"/>
      <c r="U184" s="290"/>
      <c r="V184" s="290"/>
      <c r="W184" s="290"/>
      <c r="X184" s="290"/>
      <c r="Y184" s="290"/>
      <c r="Z184" s="290"/>
      <c r="AA184" s="290"/>
      <c r="AB184" s="290"/>
      <c r="AC184" s="290"/>
      <c r="AD184" s="290"/>
      <c r="AE184" s="290"/>
      <c r="AF184" s="290"/>
      <c r="AG184" s="290"/>
      <c r="AH184" s="290"/>
      <c r="AI184" s="290"/>
      <c r="AJ184" s="290"/>
      <c r="AK184" s="290"/>
      <c r="AL184" s="290"/>
      <c r="AM184" s="290"/>
      <c r="AN184" s="290"/>
      <c r="AO184" s="290"/>
      <c r="AP184" s="290"/>
      <c r="AQ184" s="290"/>
      <c r="AR184" s="290"/>
      <c r="AS184" s="290"/>
      <c r="AT184" s="290"/>
      <c r="AU184" s="290"/>
      <c r="AV184" s="290"/>
      <c r="AW184" s="290"/>
      <c r="AX184" s="290"/>
      <c r="AY184" s="290"/>
      <c r="AZ184" s="290"/>
      <c r="BA184" s="290"/>
      <c r="BB184" s="290"/>
      <c r="BC184" s="290"/>
      <c r="BD184" s="290"/>
      <c r="BE184" s="290"/>
      <c r="BF184" s="290"/>
      <c r="BG184" s="290"/>
      <c r="BH184" s="650">
        <f t="shared" si="164"/>
        <v>9.8810612991765856E-2</v>
      </c>
      <c r="BI184" s="650">
        <f t="shared" si="165"/>
        <v>0.21565362198168203</v>
      </c>
      <c r="BJ184" s="290"/>
      <c r="BK184" s="290"/>
      <c r="BL184" s="650">
        <f t="shared" si="166"/>
        <v>0.13630136986301378</v>
      </c>
      <c r="BM184" s="650">
        <f t="shared" si="167"/>
        <v>0.17058468957203132</v>
      </c>
      <c r="BN184" s="290"/>
      <c r="BO184" s="290"/>
      <c r="BP184" s="650">
        <f t="shared" si="168"/>
        <v>3.1410916580844495E-2</v>
      </c>
      <c r="BQ184" s="650">
        <f t="shared" si="169"/>
        <v>1.4977533699450873E-2</v>
      </c>
      <c r="BR184" s="290"/>
      <c r="BS184" s="290"/>
      <c r="BT184" s="650">
        <f t="shared" si="170"/>
        <v>0.12592228234136749</v>
      </c>
      <c r="BU184" s="650">
        <f t="shared" si="171"/>
        <v>4.8055919615552778E-3</v>
      </c>
      <c r="BV184" s="290"/>
      <c r="BW184" s="290"/>
      <c r="BX184" s="650">
        <f t="shared" si="172"/>
        <v>0</v>
      </c>
      <c r="BY184" s="650">
        <f t="shared" si="173"/>
        <v>-8.6956521739130488E-2</v>
      </c>
      <c r="BZ184" s="290"/>
      <c r="CA184" s="290"/>
      <c r="CB184" s="650">
        <f t="shared" si="174"/>
        <v>0.14285714285714279</v>
      </c>
      <c r="CC184" s="650">
        <f t="shared" si="175"/>
        <v>-0.20833333333333337</v>
      </c>
      <c r="CD184" s="290"/>
      <c r="CE184" s="290"/>
      <c r="CF184" s="650">
        <f t="shared" si="176"/>
        <v>0.21052631578947367</v>
      </c>
      <c r="CG184" s="650">
        <f t="shared" si="177"/>
        <v>-4.3478260869565188E-2</v>
      </c>
      <c r="CH184" s="290"/>
      <c r="CI184" s="290"/>
      <c r="CJ184" s="650">
        <f t="shared" si="178"/>
        <v>0</v>
      </c>
      <c r="CK184" s="650">
        <f t="shared" si="179"/>
        <v>-4.5454545454545414E-2</v>
      </c>
      <c r="CL184" s="290"/>
      <c r="CM184" s="290"/>
      <c r="CN184" s="650">
        <f t="shared" si="180"/>
        <v>-4.7619047619047672E-2</v>
      </c>
      <c r="CO184" s="650">
        <f t="shared" si="181"/>
        <v>-9.9999999999999978E-2</v>
      </c>
      <c r="CP184" s="290"/>
      <c r="CQ184" s="290"/>
      <c r="CR184" s="650">
        <f t="shared" si="182"/>
        <v>0.22222222222222232</v>
      </c>
      <c r="CS184" s="650">
        <f t="shared" si="183"/>
        <v>-0.18181818181818177</v>
      </c>
      <c r="CT184" s="290"/>
      <c r="CU184" s="290"/>
      <c r="CV184" s="650">
        <f t="shared" si="184"/>
        <v>0.16666666666666674</v>
      </c>
      <c r="CW184" s="650">
        <f t="shared" si="185"/>
        <v>9.5238095238095344E-2</v>
      </c>
      <c r="CX184" s="290"/>
      <c r="CY184" s="290"/>
      <c r="CZ184" s="650">
        <f t="shared" si="186"/>
        <v>0</v>
      </c>
      <c r="DA184" s="650">
        <f t="shared" si="187"/>
        <v>8.6956521739130377E-2</v>
      </c>
      <c r="DB184" s="290"/>
      <c r="DC184" s="290"/>
      <c r="DD184" s="650">
        <f t="shared" si="188"/>
        <v>4.0000000000000036E-2</v>
      </c>
      <c r="DE184" s="650">
        <f t="shared" si="189"/>
        <v>0.15384615384615374</v>
      </c>
      <c r="DF184" s="290"/>
      <c r="DG184" s="290"/>
      <c r="DH184" s="650">
        <f t="shared" si="190"/>
        <v>6.6666666666666652E-2</v>
      </c>
      <c r="DI184" s="650">
        <f>+DI163/DF163-1</f>
        <v>0.11333333333333329</v>
      </c>
      <c r="DJ184" s="290"/>
      <c r="DK184" s="290"/>
      <c r="DL184" s="650">
        <f>+DL163/DI163-1</f>
        <v>4.40119760479043E-2</v>
      </c>
      <c r="DM184" s="650">
        <f>+DM163/DJ163-1</f>
        <v>9.0224550898203804E-2</v>
      </c>
      <c r="DN184" s="290"/>
      <c r="DO184" s="290"/>
      <c r="DP184" s="650">
        <f>+DP163/DM163-1</f>
        <v>4.4507531547365753E-2</v>
      </c>
      <c r="DQ184" s="650">
        <f>+DQ163/DN163-1</f>
        <v>9.1240439672099827E-2</v>
      </c>
      <c r="DR184" s="290"/>
      <c r="DS184" s="290"/>
      <c r="DT184" s="290"/>
      <c r="DU184" s="1078"/>
      <c r="DV184" s="1078"/>
      <c r="DW184" s="290"/>
      <c r="DX184" s="290"/>
      <c r="DY184" s="290"/>
      <c r="EA184" s="290"/>
      <c r="EB184" s="290"/>
      <c r="EC184" s="290"/>
      <c r="ED184" s="290"/>
      <c r="EE184" s="290"/>
      <c r="EF184" s="290"/>
      <c r="EG184" s="290"/>
      <c r="EH184"/>
    </row>
    <row r="185" spans="1:138" s="1133" customFormat="1">
      <c r="A185" s="323" t="str">
        <f t="shared" si="163"/>
        <v>Industrial, Transport, Infra</v>
      </c>
      <c r="B185" s="102"/>
      <c r="C185" s="103"/>
      <c r="D185" s="102"/>
      <c r="E185" s="102"/>
      <c r="F185" s="102"/>
      <c r="G185" s="102"/>
      <c r="H185" s="102"/>
      <c r="I185" s="102"/>
      <c r="J185" s="102"/>
      <c r="K185" s="102"/>
      <c r="L185" s="102"/>
      <c r="M185" s="102"/>
      <c r="N185" s="102"/>
      <c r="O185" s="102"/>
      <c r="P185" s="103"/>
      <c r="Q185" s="103"/>
      <c r="R185" s="103"/>
      <c r="S185" s="103"/>
      <c r="T185" s="103"/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648">
        <f t="shared" si="164"/>
        <v>-0.17491749174917492</v>
      </c>
      <c r="BI185" s="648">
        <f t="shared" si="165"/>
        <v>3.8666666666666627E-2</v>
      </c>
      <c r="BJ185" s="103"/>
      <c r="BK185" s="103"/>
      <c r="BL185" s="648">
        <f t="shared" si="166"/>
        <v>0.13671373555840827</v>
      </c>
      <c r="BM185" s="648">
        <f t="shared" si="167"/>
        <v>-0.7944664031620553</v>
      </c>
      <c r="BN185" s="103"/>
      <c r="BO185" s="103"/>
      <c r="BP185" s="648">
        <f t="shared" si="168"/>
        <v>-7.967032967032972E-2</v>
      </c>
      <c r="BQ185" s="648">
        <f t="shared" si="169"/>
        <v>0.13731343283582098</v>
      </c>
      <c r="BR185" s="103"/>
      <c r="BS185" s="103"/>
      <c r="BT185" s="648">
        <f t="shared" si="170"/>
        <v>0.91601049868766404</v>
      </c>
      <c r="BU185" s="648">
        <f t="shared" si="171"/>
        <v>0.36986301369863006</v>
      </c>
      <c r="BV185" s="103"/>
      <c r="BW185" s="1131"/>
      <c r="BX185" s="648">
        <f t="shared" si="172"/>
        <v>-0.4</v>
      </c>
      <c r="BY185" s="648">
        <f t="shared" si="173"/>
        <v>0</v>
      </c>
      <c r="BZ185" s="103"/>
      <c r="CA185" s="1131"/>
      <c r="CB185" s="648">
        <f t="shared" si="174"/>
        <v>0</v>
      </c>
      <c r="CC185" s="648">
        <f t="shared" si="175"/>
        <v>0</v>
      </c>
      <c r="CD185" s="103"/>
      <c r="CE185" s="1131"/>
      <c r="CF185" s="648">
        <f t="shared" si="176"/>
        <v>0.16666666666666674</v>
      </c>
      <c r="CG185" s="648">
        <f t="shared" si="177"/>
        <v>-0.1428571428571429</v>
      </c>
      <c r="CH185" s="103"/>
      <c r="CI185" s="1131"/>
      <c r="CJ185" s="648">
        <f t="shared" si="178"/>
        <v>0.16666666666666674</v>
      </c>
      <c r="CK185" s="648">
        <f t="shared" si="179"/>
        <v>0.85714285714285721</v>
      </c>
      <c r="CL185" s="103"/>
      <c r="CM185" s="1131"/>
      <c r="CN185" s="648">
        <f t="shared" si="180"/>
        <v>-0.23076923076923073</v>
      </c>
      <c r="CO185" s="648">
        <f t="shared" si="181"/>
        <v>0.39999999999999991</v>
      </c>
      <c r="CP185" s="103"/>
      <c r="CQ185" s="1131"/>
      <c r="CR185" s="648">
        <f t="shared" si="182"/>
        <v>7.1428571428571397E-2</v>
      </c>
      <c r="CS185" s="648">
        <f t="shared" si="183"/>
        <v>-6.6666666666666652E-2</v>
      </c>
      <c r="CT185" s="103"/>
      <c r="CU185" s="1131"/>
      <c r="CV185" s="648">
        <f t="shared" si="184"/>
        <v>0.14285714285714279</v>
      </c>
      <c r="CW185" s="648">
        <f t="shared" si="185"/>
        <v>6.25E-2</v>
      </c>
      <c r="CX185" s="103"/>
      <c r="CY185" s="1131"/>
      <c r="CZ185" s="648">
        <f t="shared" si="186"/>
        <v>0.23529411764705888</v>
      </c>
      <c r="DA185" s="648">
        <f t="shared" si="187"/>
        <v>0.38095238095238093</v>
      </c>
      <c r="DB185" s="103"/>
      <c r="DC185" s="1131"/>
      <c r="DD185" s="648">
        <f t="shared" si="188"/>
        <v>0.13793103448275867</v>
      </c>
      <c r="DE185" s="648">
        <f t="shared" si="189"/>
        <v>0.18181818181818188</v>
      </c>
      <c r="DF185" s="103"/>
      <c r="DG185" s="1131"/>
      <c r="DH185" s="648">
        <f t="shared" si="190"/>
        <v>0</v>
      </c>
      <c r="DI185" s="1959">
        <v>0.02</v>
      </c>
      <c r="DJ185" s="1131"/>
      <c r="DK185" s="1131"/>
      <c r="DL185" s="1959">
        <v>0.02</v>
      </c>
      <c r="DM185" s="1959">
        <v>0.02</v>
      </c>
      <c r="DN185" s="1131"/>
      <c r="DO185" s="1131"/>
      <c r="DP185" s="1959">
        <v>0.02</v>
      </c>
      <c r="DQ185" s="1959">
        <v>0.02</v>
      </c>
      <c r="DR185" s="1131"/>
      <c r="DS185" s="1131"/>
      <c r="DT185" s="1131"/>
      <c r="DU185" s="1132"/>
      <c r="DV185" s="1132"/>
      <c r="DW185" s="1131"/>
      <c r="DX185" s="1131"/>
      <c r="DY185" s="1131"/>
      <c r="EA185" s="1131"/>
      <c r="EB185" s="1131"/>
      <c r="EC185" s="1131"/>
      <c r="ED185" s="1131"/>
      <c r="EE185" s="1131"/>
      <c r="EF185" s="1131"/>
      <c r="EG185" s="1131"/>
      <c r="EH185"/>
    </row>
    <row r="186" spans="1:138" s="1133" customFormat="1">
      <c r="A186" s="323" t="str">
        <f t="shared" si="163"/>
        <v>Telco, IT, Media etc</v>
      </c>
      <c r="B186" s="102"/>
      <c r="C186" s="103"/>
      <c r="D186" s="102"/>
      <c r="E186" s="102"/>
      <c r="F186" s="102"/>
      <c r="G186" s="102"/>
      <c r="H186" s="102"/>
      <c r="I186" s="102"/>
      <c r="J186" s="102"/>
      <c r="K186" s="102"/>
      <c r="L186" s="102"/>
      <c r="M186" s="102"/>
      <c r="N186" s="102"/>
      <c r="O186" s="102"/>
      <c r="P186" s="103"/>
      <c r="Q186" s="103"/>
      <c r="R186" s="103"/>
      <c r="S186" s="103"/>
      <c r="T186" s="103"/>
      <c r="U186" s="103"/>
      <c r="V186" s="103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3"/>
      <c r="AI186" s="103"/>
      <c r="AJ186" s="103"/>
      <c r="AK186" s="103"/>
      <c r="AL186" s="103"/>
      <c r="AM186" s="103"/>
      <c r="AN186" s="103"/>
      <c r="AO186" s="103"/>
      <c r="AP186" s="103"/>
      <c r="AQ186" s="103"/>
      <c r="AR186" s="103"/>
      <c r="AS186" s="103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648">
        <f t="shared" si="164"/>
        <v>-3.790087463556846E-2</v>
      </c>
      <c r="BI186" s="648">
        <f t="shared" si="165"/>
        <v>-2.1212121212121238E-2</v>
      </c>
      <c r="BJ186" s="103"/>
      <c r="BK186" s="103"/>
      <c r="BL186" s="648">
        <f t="shared" si="166"/>
        <v>-5.5727554179566541E-2</v>
      </c>
      <c r="BM186" s="648">
        <f t="shared" si="167"/>
        <v>-9.9999999999999978E-2</v>
      </c>
      <c r="BN186" s="103"/>
      <c r="BO186" s="103"/>
      <c r="BP186" s="648">
        <f t="shared" si="168"/>
        <v>9.8360655737705027E-2</v>
      </c>
      <c r="BQ186" s="648">
        <f t="shared" si="169"/>
        <v>0.25870646766169147</v>
      </c>
      <c r="BR186" s="103"/>
      <c r="BS186" s="103"/>
      <c r="BT186" s="648">
        <f t="shared" si="170"/>
        <v>0.54940711462450587</v>
      </c>
      <c r="BU186" s="648">
        <f t="shared" si="171"/>
        <v>-0.40476190476190477</v>
      </c>
      <c r="BV186" s="103"/>
      <c r="BW186" s="1131"/>
      <c r="BX186" s="648">
        <f t="shared" si="172"/>
        <v>-0.2857142857142857</v>
      </c>
      <c r="BY186" s="648">
        <f t="shared" si="173"/>
        <v>0.19999999999999996</v>
      </c>
      <c r="BZ186" s="103"/>
      <c r="CA186" s="1131"/>
      <c r="CB186" s="648">
        <f t="shared" si="174"/>
        <v>0.16666666666666674</v>
      </c>
      <c r="CC186" s="648">
        <f t="shared" si="175"/>
        <v>0</v>
      </c>
      <c r="CD186" s="103"/>
      <c r="CE186" s="1131"/>
      <c r="CF186" s="648">
        <f t="shared" si="176"/>
        <v>-0.1428571428571429</v>
      </c>
      <c r="CG186" s="648">
        <f t="shared" si="177"/>
        <v>-0.16666666666666663</v>
      </c>
      <c r="CH186" s="103"/>
      <c r="CI186" s="1131"/>
      <c r="CJ186" s="648">
        <f t="shared" si="178"/>
        <v>1</v>
      </c>
      <c r="CK186" s="648">
        <f t="shared" si="179"/>
        <v>0.19999999999999996</v>
      </c>
      <c r="CL186" s="103"/>
      <c r="CM186" s="1131"/>
      <c r="CN186" s="648">
        <f t="shared" si="180"/>
        <v>-0.16666666666666663</v>
      </c>
      <c r="CO186" s="648">
        <f t="shared" si="181"/>
        <v>0.19999999999999996</v>
      </c>
      <c r="CP186" s="103"/>
      <c r="CQ186" s="1131"/>
      <c r="CR186" s="648">
        <f t="shared" si="182"/>
        <v>8.3333333333333259E-2</v>
      </c>
      <c r="CS186" s="648">
        <f t="shared" si="183"/>
        <v>-7.6923076923076872E-2</v>
      </c>
      <c r="CT186" s="103"/>
      <c r="CU186" s="1131"/>
      <c r="CV186" s="648">
        <f t="shared" si="184"/>
        <v>8.3333333333333259E-2</v>
      </c>
      <c r="CW186" s="648">
        <f t="shared" si="185"/>
        <v>0</v>
      </c>
      <c r="CX186" s="103"/>
      <c r="CY186" s="1131"/>
      <c r="CZ186" s="648">
        <f t="shared" si="186"/>
        <v>0.23076923076923084</v>
      </c>
      <c r="DA186" s="648">
        <f t="shared" si="187"/>
        <v>6.25E-2</v>
      </c>
      <c r="DB186" s="103"/>
      <c r="DC186" s="1131"/>
      <c r="DD186" s="648">
        <f t="shared" si="188"/>
        <v>0.17647058823529416</v>
      </c>
      <c r="DE186" s="648">
        <f t="shared" si="189"/>
        <v>-5.0000000000000044E-2</v>
      </c>
      <c r="DF186" s="103"/>
      <c r="DG186" s="1131"/>
      <c r="DH186" s="648">
        <f t="shared" si="190"/>
        <v>0</v>
      </c>
      <c r="DI186" s="1959">
        <v>0.02</v>
      </c>
      <c r="DJ186" s="1131"/>
      <c r="DK186" s="1131"/>
      <c r="DL186" s="1959">
        <v>0.02</v>
      </c>
      <c r="DM186" s="1959">
        <v>0.02</v>
      </c>
      <c r="DN186" s="1131"/>
      <c r="DO186" s="1131"/>
      <c r="DP186" s="1959">
        <v>0.02</v>
      </c>
      <c r="DQ186" s="1959">
        <v>0.02</v>
      </c>
      <c r="DR186" s="1131"/>
      <c r="DS186" s="1131"/>
      <c r="DT186" s="1131"/>
      <c r="DU186" s="1132"/>
      <c r="DV186" s="1132"/>
      <c r="DW186" s="1131"/>
      <c r="DX186" s="1131"/>
      <c r="DY186" s="1131"/>
      <c r="EA186" s="1131"/>
      <c r="EB186" s="1131"/>
      <c r="EC186" s="1131"/>
      <c r="ED186" s="1131"/>
      <c r="EE186" s="1131"/>
      <c r="EF186" s="1131"/>
      <c r="EG186" s="1131"/>
      <c r="EH186"/>
    </row>
    <row r="187" spans="1:138" s="1525" customFormat="1">
      <c r="A187" s="1518" t="s">
        <v>1260</v>
      </c>
      <c r="B187" s="1519"/>
      <c r="C187" s="1520"/>
      <c r="D187" s="1519"/>
      <c r="E187" s="1519"/>
      <c r="F187" s="1519"/>
      <c r="G187" s="1519"/>
      <c r="H187" s="1519"/>
      <c r="I187" s="1519"/>
      <c r="J187" s="1519"/>
      <c r="K187" s="1519"/>
      <c r="L187" s="1519"/>
      <c r="M187" s="1519"/>
      <c r="N187" s="1519"/>
      <c r="O187" s="1519"/>
      <c r="P187" s="1520"/>
      <c r="Q187" s="1520"/>
      <c r="R187" s="1520"/>
      <c r="S187" s="1520"/>
      <c r="T187" s="1520"/>
      <c r="U187" s="1520"/>
      <c r="V187" s="1520"/>
      <c r="W187" s="1520"/>
      <c r="X187" s="1520"/>
      <c r="Y187" s="1520"/>
      <c r="Z187" s="1520"/>
      <c r="AA187" s="1520"/>
      <c r="AB187" s="1520"/>
      <c r="AC187" s="1520"/>
      <c r="AD187" s="1520"/>
      <c r="AE187" s="1520"/>
      <c r="AF187" s="1520"/>
      <c r="AG187" s="1520"/>
      <c r="AH187" s="1520"/>
      <c r="AI187" s="1520"/>
      <c r="AJ187" s="1520"/>
      <c r="AK187" s="1520"/>
      <c r="AL187" s="1520"/>
      <c r="AM187" s="1520"/>
      <c r="AN187" s="1520"/>
      <c r="AO187" s="1520"/>
      <c r="AP187" s="1520"/>
      <c r="AQ187" s="1520"/>
      <c r="AR187" s="1520"/>
      <c r="AS187" s="1520"/>
      <c r="AT187" s="1520"/>
      <c r="AU187" s="1520"/>
      <c r="AV187" s="1520"/>
      <c r="AW187" s="1520"/>
      <c r="AX187" s="1520"/>
      <c r="AY187" s="1520"/>
      <c r="AZ187" s="1520"/>
      <c r="BA187" s="1520"/>
      <c r="BB187" s="1520"/>
      <c r="BC187" s="1520"/>
      <c r="BD187" s="1520"/>
      <c r="BE187" s="1520"/>
      <c r="BF187" s="1520"/>
      <c r="BG187" s="1520"/>
      <c r="BH187" s="1521"/>
      <c r="BI187" s="1521"/>
      <c r="BJ187" s="1520"/>
      <c r="BK187" s="1520"/>
      <c r="BL187" s="1521"/>
      <c r="BM187" s="1521"/>
      <c r="BN187" s="1520"/>
      <c r="BO187" s="1520"/>
      <c r="BP187" s="1521"/>
      <c r="BQ187" s="1521"/>
      <c r="BR187" s="1520"/>
      <c r="BS187" s="1520"/>
      <c r="BT187" s="1521"/>
      <c r="BU187" s="1521"/>
      <c r="BV187" s="1520"/>
      <c r="BW187" s="1522"/>
      <c r="BX187" s="1521"/>
      <c r="BY187" s="1521"/>
      <c r="BZ187" s="1520"/>
      <c r="CA187" s="1522"/>
      <c r="CB187" s="1521"/>
      <c r="CC187" s="1521"/>
      <c r="CD187" s="1520"/>
      <c r="CE187" s="1522"/>
      <c r="CF187" s="1521"/>
      <c r="CG187" s="1521"/>
      <c r="CH187" s="1520"/>
      <c r="CI187" s="1522"/>
      <c r="CJ187" s="1521"/>
      <c r="CK187" s="1521">
        <f t="shared" si="179"/>
        <v>0</v>
      </c>
      <c r="CL187" s="1520"/>
      <c r="CM187" s="1522"/>
      <c r="CN187" s="1521">
        <f t="shared" si="180"/>
        <v>-9.9999999999999978E-2</v>
      </c>
      <c r="CO187" s="1521">
        <f t="shared" si="181"/>
        <v>0.44444444444444442</v>
      </c>
      <c r="CP187" s="1520"/>
      <c r="CQ187" s="1522"/>
      <c r="CR187" s="1521">
        <f t="shared" si="182"/>
        <v>0.38461538461538458</v>
      </c>
      <c r="CS187" s="1521">
        <f t="shared" si="183"/>
        <v>-0.11111111111111116</v>
      </c>
      <c r="CT187" s="1520"/>
      <c r="CU187" s="1522"/>
      <c r="CV187" s="1521">
        <f t="shared" si="184"/>
        <v>-0.1875</v>
      </c>
      <c r="CW187" s="1521">
        <f t="shared" si="185"/>
        <v>7.6923076923076872E-2</v>
      </c>
      <c r="CX187" s="1520"/>
      <c r="CY187" s="1522"/>
      <c r="CZ187" s="1521">
        <f t="shared" si="186"/>
        <v>0.5</v>
      </c>
      <c r="DA187" s="1521">
        <f t="shared" si="187"/>
        <v>0.14285714285714279</v>
      </c>
      <c r="DB187" s="1520"/>
      <c r="DC187" s="1522"/>
      <c r="DD187" s="1521">
        <f t="shared" si="188"/>
        <v>-8.333333333333337E-2</v>
      </c>
      <c r="DE187" s="1521">
        <f t="shared" si="189"/>
        <v>-0.40909090909090906</v>
      </c>
      <c r="DF187" s="1520"/>
      <c r="DG187" s="1522"/>
      <c r="DH187" s="1521">
        <f t="shared" si="190"/>
        <v>-7.6923076923076872E-2</v>
      </c>
      <c r="DI187" s="1523">
        <v>0.1</v>
      </c>
      <c r="DJ187" s="1522"/>
      <c r="DK187" s="1522"/>
      <c r="DL187" s="1523">
        <v>0.1</v>
      </c>
      <c r="DM187" s="1523">
        <v>0.1</v>
      </c>
      <c r="DN187" s="1522"/>
      <c r="DO187" s="1522"/>
      <c r="DP187" s="1523">
        <v>0.1</v>
      </c>
      <c r="DQ187" s="1523">
        <v>0.1</v>
      </c>
      <c r="DR187" s="1522"/>
      <c r="DS187" s="1522"/>
      <c r="DT187" s="1522"/>
      <c r="DU187" s="1524"/>
      <c r="DV187" s="1524"/>
      <c r="DW187" s="1522"/>
      <c r="DX187" s="1522"/>
      <c r="DY187" s="1522"/>
      <c r="EA187" s="1522"/>
      <c r="EB187" s="1522"/>
      <c r="EC187" s="1522"/>
      <c r="ED187" s="1522"/>
      <c r="EE187" s="1522"/>
      <c r="EF187" s="1522"/>
      <c r="EG187" s="1522"/>
      <c r="EH187"/>
    </row>
    <row r="188" spans="1:138" s="1133" customFormat="1">
      <c r="A188" s="323" t="str">
        <f>+A167</f>
        <v>Energy, Resources and Commodities</v>
      </c>
      <c r="B188" s="102"/>
      <c r="C188" s="103"/>
      <c r="D188" s="102"/>
      <c r="E188" s="102"/>
      <c r="F188" s="102"/>
      <c r="G188" s="102"/>
      <c r="H188" s="102"/>
      <c r="I188" s="102"/>
      <c r="J188" s="102"/>
      <c r="K188" s="102"/>
      <c r="L188" s="102"/>
      <c r="M188" s="102"/>
      <c r="N188" s="102"/>
      <c r="O188" s="102"/>
      <c r="P188" s="103"/>
      <c r="Q188" s="103"/>
      <c r="R188" s="103"/>
      <c r="S188" s="103"/>
      <c r="T188" s="103"/>
      <c r="U188" s="103"/>
      <c r="V188" s="103"/>
      <c r="W188" s="103"/>
      <c r="X188" s="103"/>
      <c r="Y188" s="103"/>
      <c r="Z188" s="103"/>
      <c r="AA188" s="103"/>
      <c r="AB188" s="103"/>
      <c r="AC188" s="103"/>
      <c r="AD188" s="103"/>
      <c r="AE188" s="103"/>
      <c r="AF188" s="103"/>
      <c r="AG188" s="103"/>
      <c r="AH188" s="103"/>
      <c r="AI188" s="103"/>
      <c r="AJ188" s="103"/>
      <c r="AK188" s="103"/>
      <c r="AL188" s="103"/>
      <c r="AM188" s="103"/>
      <c r="AN188" s="103"/>
      <c r="AO188" s="103"/>
      <c r="AP188" s="103"/>
      <c r="AQ188" s="103"/>
      <c r="AR188" s="103"/>
      <c r="AS188" s="103"/>
      <c r="AT188" s="103"/>
      <c r="AU188" s="103"/>
      <c r="AV188" s="103"/>
      <c r="AW188" s="103"/>
      <c r="AX188" s="103"/>
      <c r="AY188" s="103"/>
      <c r="AZ188" s="103"/>
      <c r="BA188" s="103"/>
      <c r="BB188" s="103"/>
      <c r="BC188" s="103"/>
      <c r="BD188" s="103"/>
      <c r="BE188" s="103"/>
      <c r="BF188" s="103"/>
      <c r="BG188" s="103"/>
      <c r="BH188" s="648">
        <f>+BH167/BE167-1</f>
        <v>-0.106280193236715</v>
      </c>
      <c r="BI188" s="648">
        <f>+BI167/BH167-1</f>
        <v>5.9459459459459518E-2</v>
      </c>
      <c r="BJ188" s="103"/>
      <c r="BK188" s="103"/>
      <c r="BL188" s="648">
        <f>+BL167/BI167-1</f>
        <v>-0.26190476190476186</v>
      </c>
      <c r="BM188" s="648">
        <f>+BM167/BL167-1</f>
        <v>2.5345622119815614E-2</v>
      </c>
      <c r="BN188" s="103"/>
      <c r="BO188" s="103"/>
      <c r="BP188" s="648">
        <f>+BP167/BM167-1</f>
        <v>-6.5168539325842656E-2</v>
      </c>
      <c r="BQ188" s="648">
        <f>+BQ167/BP167-1</f>
        <v>-0.10576923076923073</v>
      </c>
      <c r="BR188" s="103"/>
      <c r="BS188" s="103"/>
      <c r="BT188" s="648">
        <f>+BT167/BQ167-1</f>
        <v>0.65591397849462374</v>
      </c>
      <c r="BU188" s="648">
        <f>+BU167/BT167-1</f>
        <v>-0.18831168831168832</v>
      </c>
      <c r="BV188" s="103"/>
      <c r="BW188" s="1131"/>
      <c r="BX188" s="648">
        <f>+BX167/BU167-1</f>
        <v>-0.19999999999999996</v>
      </c>
      <c r="BY188" s="648">
        <f>+BY167/BX167-1</f>
        <v>0.5</v>
      </c>
      <c r="BZ188" s="103"/>
      <c r="CA188" s="1131"/>
      <c r="CB188" s="648">
        <f>+CB167/BY167-1</f>
        <v>2.3333333333333335</v>
      </c>
      <c r="CC188" s="648">
        <f>+CC167/CB167-1</f>
        <v>0</v>
      </c>
      <c r="CD188" s="103"/>
      <c r="CE188" s="1131"/>
      <c r="CF188" s="648">
        <f>+CF167/CC167-1</f>
        <v>-9.9999999999999978E-2</v>
      </c>
      <c r="CG188" s="648">
        <f>+CG167/CF167-1</f>
        <v>-0.22222222222222221</v>
      </c>
      <c r="CH188" s="103"/>
      <c r="CI188" s="1131"/>
      <c r="CJ188" s="648">
        <f>+CJ167/CG167-1</f>
        <v>-0.7142857142857143</v>
      </c>
      <c r="CK188" s="648">
        <f t="shared" si="179"/>
        <v>0</v>
      </c>
      <c r="CL188" s="103"/>
      <c r="CM188" s="1131"/>
      <c r="CN188" s="648">
        <f t="shared" si="180"/>
        <v>0</v>
      </c>
      <c r="CO188" s="648">
        <f t="shared" si="181"/>
        <v>0</v>
      </c>
      <c r="CP188" s="103"/>
      <c r="CQ188" s="1131"/>
      <c r="CR188" s="648">
        <f t="shared" si="182"/>
        <v>0</v>
      </c>
      <c r="CS188" s="648">
        <f t="shared" si="183"/>
        <v>0.25</v>
      </c>
      <c r="CT188" s="103"/>
      <c r="CU188" s="1131"/>
      <c r="CV188" s="648">
        <f t="shared" si="184"/>
        <v>0</v>
      </c>
      <c r="CW188" s="648">
        <f t="shared" si="185"/>
        <v>0</v>
      </c>
      <c r="CX188" s="103"/>
      <c r="CY188" s="1131"/>
      <c r="CZ188" s="648">
        <f t="shared" si="186"/>
        <v>0</v>
      </c>
      <c r="DA188" s="648">
        <f t="shared" si="187"/>
        <v>0.60000000000000009</v>
      </c>
      <c r="DB188" s="103"/>
      <c r="DC188" s="1131"/>
      <c r="DD188" s="648">
        <f t="shared" si="188"/>
        <v>-0.125</v>
      </c>
      <c r="DE188" s="648">
        <f t="shared" si="189"/>
        <v>0.21428571428571419</v>
      </c>
      <c r="DF188" s="103"/>
      <c r="DG188" s="1131"/>
      <c r="DH188" s="648">
        <f t="shared" si="190"/>
        <v>5.8823529411764719E-2</v>
      </c>
      <c r="DI188" s="1959">
        <v>0.02</v>
      </c>
      <c r="DJ188" s="1131"/>
      <c r="DK188" s="1131"/>
      <c r="DL188" s="1959">
        <v>0.02</v>
      </c>
      <c r="DM188" s="1959">
        <v>0.02</v>
      </c>
      <c r="DN188" s="1131"/>
      <c r="DO188" s="1131"/>
      <c r="DP188" s="1959">
        <v>0.02</v>
      </c>
      <c r="DQ188" s="1959">
        <v>0.02</v>
      </c>
      <c r="DR188" s="1131"/>
      <c r="DS188" s="1131"/>
      <c r="DT188" s="1131"/>
      <c r="DU188" s="1132"/>
      <c r="DV188" s="1132"/>
      <c r="DW188" s="1131"/>
      <c r="DX188" s="1131"/>
      <c r="DY188" s="1131"/>
      <c r="EA188" s="1131"/>
      <c r="EB188" s="1131"/>
      <c r="EC188" s="1131"/>
      <c r="ED188" s="1131"/>
      <c r="EE188" s="1131"/>
      <c r="EF188" s="1131"/>
      <c r="EG188" s="1131"/>
      <c r="EH188"/>
    </row>
    <row r="189" spans="1:138" s="1133" customFormat="1">
      <c r="A189" s="323" t="s">
        <v>1056</v>
      </c>
      <c r="B189" s="102"/>
      <c r="C189" s="103"/>
      <c r="D189" s="102"/>
      <c r="E189" s="102"/>
      <c r="F189" s="102"/>
      <c r="G189" s="102"/>
      <c r="H189" s="102"/>
      <c r="I189" s="102"/>
      <c r="J189" s="102"/>
      <c r="K189" s="102"/>
      <c r="L189" s="102"/>
      <c r="M189" s="102"/>
      <c r="N189" s="102"/>
      <c r="O189" s="102"/>
      <c r="P189" s="103"/>
      <c r="Q189" s="103"/>
      <c r="R189" s="103"/>
      <c r="S189" s="103"/>
      <c r="T189" s="103"/>
      <c r="U189" s="103"/>
      <c r="V189" s="103"/>
      <c r="W189" s="103"/>
      <c r="X189" s="103"/>
      <c r="Y189" s="103"/>
      <c r="Z189" s="103"/>
      <c r="AA189" s="103"/>
      <c r="AB189" s="103"/>
      <c r="AC189" s="103"/>
      <c r="AD189" s="103"/>
      <c r="AE189" s="103"/>
      <c r="AF189" s="103"/>
      <c r="AG189" s="103"/>
      <c r="AH189" s="103"/>
      <c r="AI189" s="103"/>
      <c r="AJ189" s="103"/>
      <c r="AK189" s="103"/>
      <c r="AL189" s="103"/>
      <c r="AM189" s="103"/>
      <c r="AN189" s="103"/>
      <c r="AO189" s="103"/>
      <c r="AP189" s="103"/>
      <c r="AQ189" s="103"/>
      <c r="AR189" s="103"/>
      <c r="AS189" s="103"/>
      <c r="AT189" s="103"/>
      <c r="AU189" s="103"/>
      <c r="AV189" s="103"/>
      <c r="AW189" s="103"/>
      <c r="AX189" s="103"/>
      <c r="AY189" s="103"/>
      <c r="AZ189" s="103"/>
      <c r="BA189" s="103"/>
      <c r="BB189" s="103"/>
      <c r="BC189" s="103"/>
      <c r="BD189" s="103"/>
      <c r="BE189" s="103"/>
      <c r="BF189" s="103"/>
      <c r="BG189" s="103"/>
      <c r="BH189" s="648"/>
      <c r="BI189" s="648"/>
      <c r="BJ189" s="103"/>
      <c r="BK189" s="103"/>
      <c r="BL189" s="648"/>
      <c r="BM189" s="648"/>
      <c r="BN189" s="103"/>
      <c r="BO189" s="103"/>
      <c r="BP189" s="648" t="str">
        <f>IFERROR((+BP168/BM168-1),"na")</f>
        <v>na</v>
      </c>
      <c r="BQ189" s="648" t="str">
        <f>IFERROR((+BQ168/BP168-1),"na")</f>
        <v>na</v>
      </c>
      <c r="BR189" s="103"/>
      <c r="BS189" s="103"/>
      <c r="BT189" s="648" t="str">
        <f>IFERROR((+BT168/BQ168-1),"na")</f>
        <v>na</v>
      </c>
      <c r="BU189" s="648" t="str">
        <f>IFERROR((+BU168/BT168-1),"na")</f>
        <v>na</v>
      </c>
      <c r="BV189" s="103"/>
      <c r="BW189" s="1131"/>
      <c r="BX189" s="648" t="str">
        <f>IFERROR((+BX168/BU168-1),"na")</f>
        <v>na</v>
      </c>
      <c r="BY189" s="648">
        <f>IFERROR((+BY168/BX168-1),"na")</f>
        <v>2</v>
      </c>
      <c r="BZ189" s="103"/>
      <c r="CA189" s="1131"/>
      <c r="CB189" s="648">
        <f>+CB168/BY168-1</f>
        <v>1.3333333333333335</v>
      </c>
      <c r="CC189" s="648">
        <f>IFERROR((+CC168/CB168-1),"na")</f>
        <v>-0.4285714285714286</v>
      </c>
      <c r="CD189" s="103"/>
      <c r="CE189" s="1131"/>
      <c r="CF189" s="648">
        <f>+CF168/CC168-1</f>
        <v>-0.875</v>
      </c>
      <c r="CG189" s="648">
        <f>IFERROR((+CG168/CF168-1),"na")</f>
        <v>-1</v>
      </c>
      <c r="CH189" s="103"/>
      <c r="CI189" s="1131"/>
      <c r="CJ189" s="648"/>
      <c r="CK189" s="648">
        <f>IFERROR((+CK168/CJ168-1),"na")</f>
        <v>-1</v>
      </c>
      <c r="CL189" s="103"/>
      <c r="CM189" s="1131"/>
      <c r="CN189" s="648"/>
      <c r="CO189" s="648" t="str">
        <f>IFERROR((+CO168/CN168-1),"na")</f>
        <v>na</v>
      </c>
      <c r="CP189" s="103"/>
      <c r="CQ189" s="1131"/>
      <c r="CR189" s="648"/>
      <c r="CS189" s="648" t="str">
        <f>IFERROR((+CS168/CR168-1),"na")</f>
        <v>na</v>
      </c>
      <c r="CT189" s="103"/>
      <c r="CU189" s="1131"/>
      <c r="CV189" s="648"/>
      <c r="CW189" s="648">
        <f>IFERROR((+CW168/CV168-1),"na")</f>
        <v>0</v>
      </c>
      <c r="CX189" s="103"/>
      <c r="CY189" s="1131"/>
      <c r="CZ189" s="648"/>
      <c r="DA189" s="648">
        <f>IFERROR((+DA168/CZ168-1),"na")</f>
        <v>-8.333333333333337E-2</v>
      </c>
      <c r="DB189" s="103"/>
      <c r="DC189" s="1131"/>
      <c r="DD189" s="648"/>
      <c r="DE189" s="648">
        <f>IFERROR((+DE168/DD168-1),"na")</f>
        <v>3.5</v>
      </c>
      <c r="DF189" s="103"/>
      <c r="DG189" s="1131"/>
      <c r="DH189" s="648"/>
      <c r="DI189" s="1959">
        <v>0.02</v>
      </c>
      <c r="DJ189" s="1131"/>
      <c r="DK189" s="1131"/>
      <c r="DL189" s="1959">
        <v>0.02</v>
      </c>
      <c r="DM189" s="1959">
        <v>0.02</v>
      </c>
      <c r="DN189" s="1131"/>
      <c r="DO189" s="1131"/>
      <c r="DP189" s="1959">
        <v>0.02</v>
      </c>
      <c r="DQ189" s="1959">
        <v>0.02</v>
      </c>
      <c r="DR189" s="1131"/>
      <c r="DS189" s="1131"/>
      <c r="DT189" s="1131"/>
      <c r="DU189" s="1132"/>
      <c r="DV189" s="1132"/>
      <c r="DW189" s="1131"/>
      <c r="DX189" s="1131"/>
      <c r="DY189" s="1131"/>
      <c r="EA189" s="1131"/>
      <c r="EB189" s="1131"/>
      <c r="EC189" s="1131"/>
      <c r="ED189" s="1131"/>
      <c r="EE189" s="1131"/>
      <c r="EF189" s="1131"/>
      <c r="EG189" s="1131"/>
      <c r="EH189"/>
    </row>
    <row r="190" spans="1:138" s="1133" customFormat="1">
      <c r="A190" s="323" t="s">
        <v>1261</v>
      </c>
      <c r="B190" s="102"/>
      <c r="C190" s="103"/>
      <c r="D190" s="102"/>
      <c r="E190" s="102"/>
      <c r="F190" s="102"/>
      <c r="G190" s="102"/>
      <c r="H190" s="102"/>
      <c r="I190" s="102"/>
      <c r="J190" s="102"/>
      <c r="K190" s="102"/>
      <c r="L190" s="102"/>
      <c r="M190" s="102"/>
      <c r="N190" s="102"/>
      <c r="O190" s="102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  <c r="AA190" s="103"/>
      <c r="AB190" s="103"/>
      <c r="AC190" s="103"/>
      <c r="AD190" s="103"/>
      <c r="AE190" s="103"/>
      <c r="AF190" s="103"/>
      <c r="AG190" s="103"/>
      <c r="AH190" s="103"/>
      <c r="AI190" s="103"/>
      <c r="AJ190" s="103"/>
      <c r="AK190" s="103"/>
      <c r="AL190" s="103"/>
      <c r="AM190" s="103"/>
      <c r="AN190" s="103"/>
      <c r="AO190" s="103"/>
      <c r="AP190" s="103"/>
      <c r="AQ190" s="103"/>
      <c r="AR190" s="103"/>
      <c r="AS190" s="103"/>
      <c r="AT190" s="103"/>
      <c r="AU190" s="103"/>
      <c r="AV190" s="103"/>
      <c r="AW190" s="103"/>
      <c r="AX190" s="103"/>
      <c r="AY190" s="103"/>
      <c r="AZ190" s="103"/>
      <c r="BA190" s="103"/>
      <c r="BB190" s="103"/>
      <c r="BC190" s="103"/>
      <c r="BD190" s="103"/>
      <c r="BE190" s="103"/>
      <c r="BF190" s="103"/>
      <c r="BG190" s="103"/>
      <c r="BH190" s="648"/>
      <c r="BI190" s="648"/>
      <c r="BJ190" s="103"/>
      <c r="BK190" s="103"/>
      <c r="BL190" s="648"/>
      <c r="BM190" s="648"/>
      <c r="BN190" s="103"/>
      <c r="BO190" s="103"/>
      <c r="BP190" s="648"/>
      <c r="BQ190" s="648"/>
      <c r="BR190" s="103"/>
      <c r="BS190" s="103"/>
      <c r="BT190" s="648"/>
      <c r="BU190" s="648"/>
      <c r="BV190" s="103"/>
      <c r="BW190" s="1131"/>
      <c r="BX190" s="648"/>
      <c r="BY190" s="648"/>
      <c r="BZ190" s="103"/>
      <c r="CA190" s="1131"/>
      <c r="CB190" s="648"/>
      <c r="CC190" s="648"/>
      <c r="CD190" s="103"/>
      <c r="CE190" s="1131"/>
      <c r="CF190" s="648"/>
      <c r="CG190" s="648"/>
      <c r="CH190" s="103"/>
      <c r="CI190" s="1131"/>
      <c r="CJ190" s="648"/>
      <c r="CK190" s="648"/>
      <c r="CL190" s="103"/>
      <c r="CM190" s="1131"/>
      <c r="CN190" s="648"/>
      <c r="CO190" s="648"/>
      <c r="CP190" s="103"/>
      <c r="CQ190" s="1131"/>
      <c r="CR190" s="648"/>
      <c r="CS190" s="648"/>
      <c r="CT190" s="103"/>
      <c r="CU190" s="1131"/>
      <c r="CV190" s="648"/>
      <c r="CW190" s="648"/>
      <c r="CX190" s="103"/>
      <c r="CY190" s="1131"/>
      <c r="CZ190" s="648"/>
      <c r="DA190" s="648"/>
      <c r="DB190" s="103"/>
      <c r="DC190" s="1131"/>
      <c r="DD190" s="648"/>
      <c r="DE190" s="648"/>
      <c r="DF190" s="103"/>
      <c r="DG190" s="1131"/>
      <c r="DH190" s="648"/>
      <c r="DI190" s="1959">
        <v>0.02</v>
      </c>
      <c r="DJ190" s="1131"/>
      <c r="DK190" s="1131"/>
      <c r="DL190" s="1959">
        <v>0.02</v>
      </c>
      <c r="DM190" s="1959">
        <v>0.02</v>
      </c>
      <c r="DN190" s="1131"/>
      <c r="DO190" s="1131"/>
      <c r="DP190" s="1959">
        <v>0.02</v>
      </c>
      <c r="DQ190" s="1959">
        <v>0.02</v>
      </c>
      <c r="DR190" s="1131"/>
      <c r="DS190" s="1131"/>
      <c r="DT190" s="1131"/>
      <c r="DU190" s="1132"/>
      <c r="DV190" s="1132"/>
      <c r="DW190" s="1131"/>
      <c r="DX190" s="1131"/>
      <c r="DY190" s="1131"/>
      <c r="EA190" s="1131"/>
      <c r="EB190" s="1131"/>
      <c r="EC190" s="1131"/>
      <c r="ED190" s="1131"/>
      <c r="EE190" s="1131"/>
      <c r="EF190" s="1131"/>
      <c r="EG190" s="1131"/>
      <c r="EH190"/>
    </row>
    <row r="191" spans="1:138" s="1133" customFormat="1">
      <c r="A191" s="323" t="str">
        <f>+A170</f>
        <v>Finance, Wealth &amp; Exchanges</v>
      </c>
      <c r="B191" s="102"/>
      <c r="C191" s="103"/>
      <c r="D191" s="102"/>
      <c r="E191" s="102"/>
      <c r="F191" s="102"/>
      <c r="G191" s="102"/>
      <c r="H191" s="102"/>
      <c r="I191" s="102"/>
      <c r="J191" s="102"/>
      <c r="K191" s="102"/>
      <c r="L191" s="102"/>
      <c r="M191" s="102"/>
      <c r="N191" s="102"/>
      <c r="O191" s="102"/>
      <c r="P191" s="103"/>
      <c r="Q191" s="103"/>
      <c r="R191" s="103"/>
      <c r="S191" s="103"/>
      <c r="T191" s="103"/>
      <c r="U191" s="103"/>
      <c r="V191" s="103"/>
      <c r="W191" s="103"/>
      <c r="X191" s="103"/>
      <c r="Y191" s="103"/>
      <c r="Z191" s="103"/>
      <c r="AA191" s="103"/>
      <c r="AB191" s="103"/>
      <c r="AC191" s="103"/>
      <c r="AD191" s="103"/>
      <c r="AE191" s="103"/>
      <c r="AF191" s="103"/>
      <c r="AG191" s="103"/>
      <c r="AH191" s="103"/>
      <c r="AI191" s="103"/>
      <c r="AJ191" s="103"/>
      <c r="AK191" s="103"/>
      <c r="AL191" s="103"/>
      <c r="AM191" s="103"/>
      <c r="AN191" s="103"/>
      <c r="AO191" s="103"/>
      <c r="AP191" s="103"/>
      <c r="AQ191" s="103"/>
      <c r="AR191" s="103"/>
      <c r="AS191" s="103"/>
      <c r="AT191" s="103"/>
      <c r="AU191" s="103"/>
      <c r="AV191" s="103"/>
      <c r="AW191" s="103"/>
      <c r="AX191" s="103"/>
      <c r="AY191" s="103"/>
      <c r="AZ191" s="103"/>
      <c r="BA191" s="103"/>
      <c r="BB191" s="103"/>
      <c r="BC191" s="103"/>
      <c r="BD191" s="103"/>
      <c r="BE191" s="103"/>
      <c r="BF191" s="103"/>
      <c r="BG191" s="103"/>
      <c r="BH191" s="648">
        <f>+BH170/BE170-1</f>
        <v>9.4117647058823639E-2</v>
      </c>
      <c r="BI191" s="648">
        <f>+BI170/BH170-1</f>
        <v>-5.3763440860215006E-2</v>
      </c>
      <c r="BJ191" s="103"/>
      <c r="BK191" s="103"/>
      <c r="BL191" s="648">
        <f>+BL170/BI170-1</f>
        <v>0.29062500000000013</v>
      </c>
      <c r="BM191" s="648">
        <f>+BM170/BL170-1</f>
        <v>8.0783623156504447E-2</v>
      </c>
      <c r="BN191" s="103"/>
      <c r="BO191" s="103"/>
      <c r="BP191" s="648">
        <f>+BP170/BM170-1</f>
        <v>0.11608961303462317</v>
      </c>
      <c r="BQ191" s="648">
        <f>+BQ170/BP170-1</f>
        <v>-2.007299270072993E-2</v>
      </c>
      <c r="BR191" s="103"/>
      <c r="BS191" s="103"/>
      <c r="BT191" s="648">
        <f>+BT170/BQ170-1</f>
        <v>-6.7039106145251437E-2</v>
      </c>
      <c r="BU191" s="648">
        <f>+BU170/BT170-1</f>
        <v>-0.20159680638722555</v>
      </c>
      <c r="BV191" s="103"/>
      <c r="BW191" s="1131"/>
      <c r="BX191" s="648">
        <f>+BX170/BU170-1</f>
        <v>0</v>
      </c>
      <c r="BY191" s="648">
        <f>+BY170/BX170-1</f>
        <v>0</v>
      </c>
      <c r="BZ191" s="103"/>
      <c r="CA191" s="1131"/>
      <c r="CB191" s="648">
        <f>+CB170/BY170-1</f>
        <v>0</v>
      </c>
      <c r="CC191" s="648">
        <f>+CC170/CB170-1</f>
        <v>0.25</v>
      </c>
      <c r="CD191" s="103"/>
      <c r="CE191" s="1131"/>
      <c r="CF191" s="648">
        <f>+CF170/CC170-1</f>
        <v>0</v>
      </c>
      <c r="CG191" s="648">
        <f>+CG170/CF170-1</f>
        <v>0</v>
      </c>
      <c r="CH191" s="103"/>
      <c r="CI191" s="1131"/>
      <c r="CJ191" s="648">
        <f>+CJ170/CG170-1</f>
        <v>0.19999999999999996</v>
      </c>
      <c r="CK191" s="648">
        <f>+CK170/CJ170-1</f>
        <v>-0.16666666666666663</v>
      </c>
      <c r="CL191" s="103"/>
      <c r="CM191" s="1131"/>
      <c r="CN191" s="648">
        <f>+CN170/CK170-1</f>
        <v>0</v>
      </c>
      <c r="CO191" s="648">
        <f>+CO170/CN170-1</f>
        <v>0.19999999999999996</v>
      </c>
      <c r="CP191" s="103"/>
      <c r="CQ191" s="1131"/>
      <c r="CR191" s="648">
        <f>+CR170/CO170-1</f>
        <v>-0.16666666666666663</v>
      </c>
      <c r="CS191" s="648">
        <f>+CS170/CR170-1</f>
        <v>-0.19999999999999996</v>
      </c>
      <c r="CT191" s="103"/>
      <c r="CU191" s="1131"/>
      <c r="CV191" s="648">
        <f>+CV170/CS170-1</f>
        <v>0.25</v>
      </c>
      <c r="CW191" s="648">
        <f>+CW170/CV170-1</f>
        <v>0</v>
      </c>
      <c r="CX191" s="103"/>
      <c r="CY191" s="1131"/>
      <c r="CZ191" s="648">
        <f>+CZ170/CW170-1</f>
        <v>0.19999999999999996</v>
      </c>
      <c r="DA191" s="648">
        <f>+DA170/CZ170-1</f>
        <v>0</v>
      </c>
      <c r="DB191" s="103"/>
      <c r="DC191" s="1131"/>
      <c r="DD191" s="648">
        <f>+DD170/DA170-1</f>
        <v>0.16666666666666674</v>
      </c>
      <c r="DE191" s="648">
        <f>+DE170/DD170-1</f>
        <v>0</v>
      </c>
      <c r="DF191" s="103"/>
      <c r="DG191" s="1131"/>
      <c r="DH191" s="648">
        <f>+DH170/DE170-1</f>
        <v>-0.1428571428571429</v>
      </c>
      <c r="DI191" s="1959">
        <v>0.02</v>
      </c>
      <c r="DJ191" s="1131"/>
      <c r="DK191" s="1131"/>
      <c r="DL191" s="1959">
        <v>0.02</v>
      </c>
      <c r="DM191" s="1959">
        <v>0.02</v>
      </c>
      <c r="DN191" s="1131"/>
      <c r="DO191" s="1131"/>
      <c r="DP191" s="1959">
        <v>0.02</v>
      </c>
      <c r="DQ191" s="1959">
        <v>0.02</v>
      </c>
      <c r="DR191" s="1131"/>
      <c r="DS191" s="1131"/>
      <c r="DT191" s="1131"/>
      <c r="DU191" s="1132"/>
      <c r="DV191" s="1132"/>
      <c r="DW191" s="1131"/>
      <c r="DX191" s="1131"/>
      <c r="DY191" s="1131"/>
      <c r="EA191" s="1131"/>
      <c r="EB191" s="1131"/>
      <c r="EC191" s="1131"/>
      <c r="ED191" s="1131"/>
      <c r="EE191" s="1131"/>
      <c r="EF191" s="1131"/>
      <c r="EG191" s="1131"/>
      <c r="EH191"/>
    </row>
    <row r="192" spans="1:138" s="289" customFormat="1">
      <c r="A192" s="328" t="str">
        <f>+A171</f>
        <v>Other Equity Investments</v>
      </c>
      <c r="C192" s="290"/>
      <c r="P192" s="290"/>
      <c r="Q192" s="290"/>
      <c r="R192" s="290"/>
      <c r="S192" s="290"/>
      <c r="T192" s="290"/>
      <c r="U192" s="290"/>
      <c r="V192" s="290"/>
      <c r="W192" s="290"/>
      <c r="X192" s="290"/>
      <c r="Y192" s="290"/>
      <c r="Z192" s="290"/>
      <c r="AA192" s="290"/>
      <c r="AB192" s="290"/>
      <c r="AC192" s="290"/>
      <c r="AD192" s="290"/>
      <c r="AE192" s="290"/>
      <c r="AF192" s="290"/>
      <c r="AG192" s="290"/>
      <c r="AH192" s="290"/>
      <c r="AI192" s="290"/>
      <c r="AJ192" s="290"/>
      <c r="AK192" s="290"/>
      <c r="AL192" s="290"/>
      <c r="AM192" s="290"/>
      <c r="AN192" s="290"/>
      <c r="AO192" s="290"/>
      <c r="AP192" s="290"/>
      <c r="AQ192" s="290"/>
      <c r="AR192" s="290"/>
      <c r="AS192" s="290"/>
      <c r="AT192" s="290"/>
      <c r="AU192" s="290"/>
      <c r="AV192" s="290"/>
      <c r="AW192" s="290"/>
      <c r="AX192" s="290"/>
      <c r="AY192" s="290"/>
      <c r="AZ192" s="290"/>
      <c r="BA192" s="290"/>
      <c r="BB192" s="290"/>
      <c r="BC192" s="290"/>
      <c r="BD192" s="290"/>
      <c r="BE192" s="290"/>
      <c r="BF192" s="290"/>
      <c r="BG192" s="290"/>
      <c r="BH192" s="650">
        <f>+BH171/BE171-1</f>
        <v>-0.10909090909090913</v>
      </c>
      <c r="BI192" s="650">
        <f>+BI171/BH171-1</f>
        <v>1.8464528668610258E-2</v>
      </c>
      <c r="BJ192" s="290"/>
      <c r="BK192" s="290"/>
      <c r="BL192" s="650">
        <f>+BL171/BI171-1</f>
        <v>3.9853689567430184E-2</v>
      </c>
      <c r="BM192" s="650">
        <f>+BM171/BL171-1</f>
        <v>-0.43443550607163617</v>
      </c>
      <c r="BN192" s="290"/>
      <c r="BO192" s="290"/>
      <c r="BP192" s="650">
        <f>+BP171/BM171-1</f>
        <v>2.8664142779881052E-2</v>
      </c>
      <c r="BQ192" s="650">
        <f>+BQ171/BP171-1</f>
        <v>7.7287066246056746E-2</v>
      </c>
      <c r="BR192" s="290"/>
      <c r="BS192" s="290"/>
      <c r="BT192" s="650">
        <f>+BT171/BQ171-1</f>
        <v>0.47535383113714014</v>
      </c>
      <c r="BU192" s="650">
        <f>+BU171/BT171-1</f>
        <v>-0.13992722461131324</v>
      </c>
      <c r="BV192" s="290"/>
      <c r="BW192" s="290"/>
      <c r="BX192" s="650">
        <f>+BX171/BU171-1</f>
        <v>-0.19230769230769229</v>
      </c>
      <c r="BY192" s="650">
        <f>+BY171/BX171-1</f>
        <v>0.33333333333333326</v>
      </c>
      <c r="BZ192" s="290"/>
      <c r="CA192" s="290"/>
      <c r="CB192" s="650">
        <f>+CB171/BY171-1</f>
        <v>0.8214285714285714</v>
      </c>
      <c r="CC192" s="650">
        <f>+CC171/CB171-1</f>
        <v>-9.8039215686274495E-2</v>
      </c>
      <c r="CD192" s="290"/>
      <c r="CE192" s="290"/>
      <c r="CF192" s="650">
        <f>+CF171/CC171-1</f>
        <v>-0.19565217391304346</v>
      </c>
      <c r="CG192" s="650">
        <f>+CG171/CF171-1</f>
        <v>-0.18918918918918914</v>
      </c>
      <c r="CH192" s="290"/>
      <c r="CI192" s="290"/>
      <c r="CJ192" s="650">
        <f>+CJ171/CG171-1</f>
        <v>0.76666666666666661</v>
      </c>
      <c r="CK192" s="650">
        <f>+CK171/CJ171-1</f>
        <v>-0.16981132075471694</v>
      </c>
      <c r="CL192" s="290"/>
      <c r="CM192" s="290"/>
      <c r="CN192" s="650">
        <f>+CN171/CK171-1</f>
        <v>-0.13636363636363635</v>
      </c>
      <c r="CO192" s="650">
        <f>+CO171/CN171-1</f>
        <v>0.55263157894736836</v>
      </c>
      <c r="CP192" s="290"/>
      <c r="CQ192" s="290"/>
      <c r="CR192" s="650">
        <f>+CR171/CO171-1</f>
        <v>0.11864406779661008</v>
      </c>
      <c r="CS192" s="650">
        <f>+CS171/CR171-1</f>
        <v>-1.5151515151515138E-2</v>
      </c>
      <c r="CT192" s="290"/>
      <c r="CU192" s="290"/>
      <c r="CV192" s="650">
        <f>+CV171/CS171-1</f>
        <v>0.10769230769230775</v>
      </c>
      <c r="CW192" s="650">
        <f>+CW171/CV171-1</f>
        <v>1.388888888888884E-2</v>
      </c>
      <c r="CX192" s="290"/>
      <c r="CY192" s="290"/>
      <c r="CZ192" s="650">
        <f>+CZ171/CW171-1</f>
        <v>0.24657534246575352</v>
      </c>
      <c r="DA192" s="650">
        <f>+DA171/CZ171-1</f>
        <v>0.17582417582417587</v>
      </c>
      <c r="DB192" s="290"/>
      <c r="DC192" s="290"/>
      <c r="DD192" s="650">
        <f>+DD171/DA171-1</f>
        <v>-9.3457943925233655E-2</v>
      </c>
      <c r="DE192" s="650">
        <f>+DE171/DD171-1</f>
        <v>7.2164948453608213E-2</v>
      </c>
      <c r="DF192" s="290"/>
      <c r="DG192" s="290"/>
      <c r="DH192" s="650">
        <f>+DH171/DE171-1</f>
        <v>-4.8076923076923128E-2</v>
      </c>
      <c r="DI192" s="650">
        <f>+DI171/DF171-1</f>
        <v>-1.9807692307692304E-2</v>
      </c>
      <c r="DJ192" s="290"/>
      <c r="DK192" s="290"/>
      <c r="DL192" s="650">
        <f>+DL171/DI171-1</f>
        <v>3.0359034726309631E-2</v>
      </c>
      <c r="DM192" s="650">
        <f>+DM171/DJ171-1</f>
        <v>6.2361153619776344E-2</v>
      </c>
      <c r="DN192" s="290"/>
      <c r="DO192" s="290"/>
      <c r="DP192" s="650">
        <f>+DP171/DM171-1</f>
        <v>3.1798654324027398E-2</v>
      </c>
      <c r="DQ192" s="650">
        <f>+DQ171/DN171-1</f>
        <v>6.5413147166938135E-2</v>
      </c>
      <c r="DR192" s="290"/>
      <c r="DS192" s="290"/>
      <c r="DT192" s="290"/>
      <c r="DU192" s="1078"/>
      <c r="DV192" s="1078"/>
      <c r="DW192" s="290"/>
      <c r="DX192" s="290"/>
      <c r="DY192" s="290"/>
      <c r="EA192" s="290"/>
      <c r="EB192" s="290"/>
      <c r="EC192" s="290"/>
      <c r="ED192" s="290"/>
      <c r="EE192" s="290"/>
      <c r="EF192" s="290"/>
      <c r="EG192" s="290"/>
      <c r="EH192"/>
    </row>
    <row r="193" spans="1:138" s="289" customFormat="1">
      <c r="A193" s="328" t="str">
        <f>+A172</f>
        <v>Total Equity Investments - DRIVER OF CAPITAL</v>
      </c>
      <c r="C193" s="290"/>
      <c r="P193" s="290"/>
      <c r="Q193" s="290"/>
      <c r="R193" s="290"/>
      <c r="S193" s="290"/>
      <c r="T193" s="290"/>
      <c r="U193" s="290"/>
      <c r="V193" s="290"/>
      <c r="W193" s="290"/>
      <c r="X193" s="290"/>
      <c r="Y193" s="290"/>
      <c r="Z193" s="290"/>
      <c r="AA193" s="290"/>
      <c r="AB193" s="290"/>
      <c r="AC193" s="290"/>
      <c r="AD193" s="290"/>
      <c r="AE193" s="290"/>
      <c r="AF193" s="290"/>
      <c r="AG193" s="290"/>
      <c r="AH193" s="290"/>
      <c r="AI193" s="290"/>
      <c r="AJ193" s="290"/>
      <c r="AK193" s="290"/>
      <c r="AL193" s="290"/>
      <c r="AM193" s="290"/>
      <c r="AN193" s="290"/>
      <c r="AO193" s="290"/>
      <c r="AP193" s="290"/>
      <c r="AQ193" s="290"/>
      <c r="AR193" s="290"/>
      <c r="AS193" s="290"/>
      <c r="AT193" s="290"/>
      <c r="AU193" s="290"/>
      <c r="AV193" s="290"/>
      <c r="AW193" s="290"/>
      <c r="AX193" s="290"/>
      <c r="AY193" s="290"/>
      <c r="AZ193" s="290"/>
      <c r="BA193" s="290"/>
      <c r="BB193" s="290"/>
      <c r="BC193" s="290"/>
      <c r="BD193" s="290"/>
      <c r="BE193" s="290"/>
      <c r="BF193" s="290"/>
      <c r="BG193" s="290"/>
      <c r="BH193" s="682">
        <f>+BH172/BE172-1</f>
        <v>-5.92365072400175E-2</v>
      </c>
      <c r="BI193" s="682">
        <f>+BI172/BH172-1</f>
        <v>7.3694029850746245E-2</v>
      </c>
      <c r="BJ193" s="290"/>
      <c r="BK193" s="290"/>
      <c r="BL193" s="682">
        <f>+BL172/BI172-1</f>
        <v>7.0438748913987936E-2</v>
      </c>
      <c r="BM193" s="682">
        <f>+BM172/BL172-1</f>
        <v>-0.23076923076923084</v>
      </c>
      <c r="BN193" s="290"/>
      <c r="BO193" s="290"/>
      <c r="BP193" s="682">
        <f>+BP172/BM172-1</f>
        <v>3.0071221313637597E-2</v>
      </c>
      <c r="BQ193" s="682">
        <f>+BQ172/BP172-1</f>
        <v>4.532650448143416E-2</v>
      </c>
      <c r="BR193" s="290"/>
      <c r="BS193" s="290"/>
      <c r="BT193" s="682">
        <f>+BT172/BQ172-1</f>
        <v>0.30132288094071535</v>
      </c>
      <c r="BU193" s="682">
        <f>+BU172/BT172-1</f>
        <v>-7.7560240963855387E-2</v>
      </c>
      <c r="BV193" s="290"/>
      <c r="BW193" s="290"/>
      <c r="BX193" s="682">
        <f>+BX172/BU172-1</f>
        <v>-0.10204081632653061</v>
      </c>
      <c r="BY193" s="682">
        <f>+BY172/BX172-1</f>
        <v>0.11363636363636354</v>
      </c>
      <c r="BZ193" s="290"/>
      <c r="CA193" s="290"/>
      <c r="CB193" s="682">
        <f>+CB172/BY172-1</f>
        <v>0.53061224489795911</v>
      </c>
      <c r="CC193" s="682">
        <f>+CC172/CB172-1</f>
        <v>-0.1333333333333333</v>
      </c>
      <c r="CD193" s="290"/>
      <c r="CE193" s="290"/>
      <c r="CF193" s="682">
        <f>+CF172/CC172-1</f>
        <v>-7.6923076923076872E-2</v>
      </c>
      <c r="CG193" s="682">
        <f>+CG172/CF172-1</f>
        <v>-0.1333333333333333</v>
      </c>
      <c r="CH193" s="290"/>
      <c r="CI193" s="290"/>
      <c r="CJ193" s="682">
        <f>+CJ172/CG172-1</f>
        <v>0.44230769230769229</v>
      </c>
      <c r="CK193" s="682">
        <f>+CK172/CJ172-1</f>
        <v>-0.1333333333333333</v>
      </c>
      <c r="CL193" s="290"/>
      <c r="CM193" s="290"/>
      <c r="CN193" s="682">
        <f>+CN172/CK172-1</f>
        <v>-0.10769230769230764</v>
      </c>
      <c r="CO193" s="682">
        <f>+CO172/CN172-1</f>
        <v>0.32758620689655182</v>
      </c>
      <c r="CP193" s="290"/>
      <c r="CQ193" s="290"/>
      <c r="CR193" s="682">
        <f>+CR172/CO172-1</f>
        <v>0.14285714285714279</v>
      </c>
      <c r="CS193" s="682">
        <f>+CS172/CR172-1</f>
        <v>-5.6818181818181768E-2</v>
      </c>
      <c r="CT193" s="290"/>
      <c r="CU193" s="290"/>
      <c r="CV193" s="682">
        <f>+CV172/CS172-1</f>
        <v>0.12048192771084332</v>
      </c>
      <c r="CW193" s="682">
        <f>+CW172/CV172-1</f>
        <v>3.2258064516129004E-2</v>
      </c>
      <c r="CX193" s="290"/>
      <c r="CY193" s="290"/>
      <c r="CZ193" s="682">
        <f>+CZ172/CW172-1</f>
        <v>0.1875</v>
      </c>
      <c r="DA193" s="682">
        <f>+DA172/CZ172-1</f>
        <v>0.15789473684210531</v>
      </c>
      <c r="DB193" s="290"/>
      <c r="DC193" s="290"/>
      <c r="DD193" s="682">
        <f>+DD172/DA172-1</f>
        <v>-6.8181818181818232E-2</v>
      </c>
      <c r="DE193" s="682">
        <f>+DE172/DD172-1</f>
        <v>8.9430894308943021E-2</v>
      </c>
      <c r="DF193" s="290"/>
      <c r="DG193" s="290"/>
      <c r="DH193" s="682">
        <f>+DH172/DE172-1</f>
        <v>-2.2388059701492491E-2</v>
      </c>
      <c r="DI193" s="682">
        <f>+DI172/DF172-1</f>
        <v>1.0000000000000009E-2</v>
      </c>
      <c r="DJ193" s="290"/>
      <c r="DK193" s="290"/>
      <c r="DL193" s="682">
        <f>+DL172/DI172-1</f>
        <v>3.3728387764149659E-2</v>
      </c>
      <c r="DM193" s="682">
        <f>+DM172/DJ172-1</f>
        <v>6.9237446431210214E-2</v>
      </c>
      <c r="DN193" s="290"/>
      <c r="DO193" s="290"/>
      <c r="DP193" s="682">
        <f>+DP172/DM172-1</f>
        <v>3.4996586704680421E-2</v>
      </c>
      <c r="DQ193" s="682">
        <f>+DQ172/DN172-1</f>
        <v>7.1912063912721536E-2</v>
      </c>
      <c r="DR193" s="290"/>
      <c r="DS193" s="290"/>
      <c r="DT193" s="290"/>
      <c r="DU193" s="1078"/>
      <c r="DV193" s="1078"/>
      <c r="DW193" s="290"/>
      <c r="DX193" s="290"/>
      <c r="DY193" s="290"/>
      <c r="EA193" s="290"/>
      <c r="EB193" s="290"/>
      <c r="EC193" s="290"/>
      <c r="ED193" s="290"/>
      <c r="EE193" s="290"/>
      <c r="EF193" s="290"/>
      <c r="EG193" s="290"/>
      <c r="EH193"/>
    </row>
    <row r="194" spans="1:138">
      <c r="BI194" s="295"/>
      <c r="BM194" s="295"/>
      <c r="BQ194" s="295"/>
      <c r="BU194" s="295"/>
      <c r="BY194" s="295"/>
      <c r="CC194" s="295"/>
      <c r="DA194" s="1408"/>
      <c r="DE194" s="1408"/>
      <c r="DY194" s="103"/>
      <c r="EA194" s="103"/>
      <c r="EB194" s="103"/>
      <c r="EC194" s="103"/>
      <c r="ED194" s="103"/>
      <c r="EE194" s="103"/>
      <c r="EF194" s="103"/>
      <c r="EG194" s="103"/>
    </row>
    <row r="195" spans="1:138" s="289" customFormat="1">
      <c r="A195" s="289" t="s">
        <v>383</v>
      </c>
      <c r="C195" s="290"/>
      <c r="P195" s="290"/>
      <c r="Q195" s="290"/>
      <c r="R195" s="290"/>
      <c r="S195" s="290"/>
      <c r="T195" s="290"/>
      <c r="U195" s="290"/>
      <c r="V195" s="290"/>
      <c r="W195" s="290"/>
      <c r="X195" s="290"/>
      <c r="Y195" s="290"/>
      <c r="Z195" s="290"/>
      <c r="AA195" s="290"/>
      <c r="AB195" s="290"/>
      <c r="AC195" s="290"/>
      <c r="AD195" s="290"/>
      <c r="AE195" s="290"/>
      <c r="AF195" s="290"/>
      <c r="AG195" s="290"/>
      <c r="AH195" s="290"/>
      <c r="AI195" s="290"/>
      <c r="AJ195" s="290"/>
      <c r="AK195" s="290"/>
      <c r="AL195" s="290"/>
      <c r="AM195" s="290"/>
      <c r="AN195" s="290"/>
      <c r="AO195" s="290"/>
      <c r="AP195" s="290"/>
      <c r="AQ195" s="290"/>
      <c r="AR195" s="290"/>
      <c r="AS195" s="290"/>
      <c r="AT195" s="290"/>
      <c r="AU195" s="290"/>
      <c r="AV195" s="290"/>
      <c r="AW195" s="290"/>
      <c r="AX195" s="290"/>
      <c r="AY195" s="290"/>
      <c r="AZ195" s="290"/>
      <c r="BA195" s="290"/>
      <c r="BB195" s="290"/>
      <c r="BC195" s="290"/>
      <c r="BD195" s="290"/>
      <c r="BE195" s="290"/>
      <c r="BF195" s="290"/>
      <c r="BG195" s="290"/>
      <c r="BH195" s="290"/>
      <c r="BI195" s="295"/>
      <c r="BJ195" s="290"/>
      <c r="BK195" s="290"/>
      <c r="BL195" s="290"/>
      <c r="BM195" s="295"/>
      <c r="BN195" s="290"/>
      <c r="BO195" s="290"/>
      <c r="BP195" s="290"/>
      <c r="BQ195" s="295"/>
      <c r="BR195" s="290"/>
      <c r="BS195" s="290"/>
      <c r="BT195" s="290"/>
      <c r="BU195" s="295"/>
      <c r="BV195" s="290"/>
      <c r="BW195" s="290"/>
      <c r="BX195" s="290"/>
      <c r="BY195" s="295"/>
      <c r="BZ195" s="290"/>
      <c r="CA195" s="290"/>
      <c r="CB195" s="290"/>
      <c r="CC195" s="295"/>
      <c r="CD195" s="290"/>
      <c r="CE195" s="290"/>
      <c r="CF195" s="290"/>
      <c r="CG195" s="290"/>
      <c r="CH195" s="290"/>
      <c r="CI195" s="290"/>
      <c r="CJ195" s="290"/>
      <c r="CK195" s="290"/>
      <c r="CL195" s="290"/>
      <c r="CM195" s="290"/>
      <c r="CN195" s="290"/>
      <c r="CO195" s="290"/>
      <c r="CP195" s="290"/>
      <c r="CQ195" s="290"/>
      <c r="CR195" s="290"/>
      <c r="CS195" s="290"/>
      <c r="CT195" s="290"/>
      <c r="CU195" s="290"/>
      <c r="CV195" s="290"/>
      <c r="CW195" s="1411"/>
      <c r="CX195" s="290"/>
      <c r="CY195" s="290"/>
      <c r="CZ195" s="290"/>
      <c r="DA195" s="1411"/>
      <c r="DB195" s="290"/>
      <c r="DC195" s="290"/>
      <c r="DD195" s="290"/>
      <c r="DE195" s="1411"/>
      <c r="DF195" s="290"/>
      <c r="DG195" s="290"/>
      <c r="DH195" s="290"/>
      <c r="DI195" s="290"/>
      <c r="DJ195" s="290"/>
      <c r="DK195" s="290"/>
      <c r="DL195" s="290"/>
      <c r="DM195" s="290"/>
      <c r="DN195" s="290"/>
      <c r="DO195" s="290"/>
      <c r="DP195" s="290"/>
      <c r="DQ195" s="290"/>
      <c r="DR195" s="290"/>
      <c r="DS195" s="290"/>
      <c r="DT195" s="290"/>
      <c r="DU195" s="290"/>
      <c r="DV195" s="290"/>
      <c r="DW195" s="290"/>
      <c r="DX195" s="290"/>
      <c r="DY195" s="290"/>
      <c r="EA195" s="290"/>
      <c r="EB195" s="290"/>
      <c r="EC195" s="290"/>
      <c r="ED195" s="290"/>
      <c r="EE195" s="290"/>
      <c r="EF195" s="290"/>
      <c r="EG195" s="290"/>
      <c r="EH195"/>
    </row>
    <row r="196" spans="1:138">
      <c r="A196" s="102" t="s">
        <v>235</v>
      </c>
      <c r="BE196" s="293">
        <f>BE143</f>
        <v>2255</v>
      </c>
      <c r="BH196" s="293">
        <f>BH143</f>
        <v>2415</v>
      </c>
      <c r="BI196" s="293">
        <f>BI143</f>
        <v>2378</v>
      </c>
      <c r="BL196" s="293">
        <f>BL143</f>
        <v>1369</v>
      </c>
      <c r="BM196" s="293">
        <f>BM143</f>
        <v>1342</v>
      </c>
      <c r="BP196" s="293">
        <f>BP143</f>
        <v>1268</v>
      </c>
      <c r="BQ196" s="293">
        <f>BQ143</f>
        <v>1076</v>
      </c>
      <c r="BT196" s="293">
        <f>BT143</f>
        <v>1239</v>
      </c>
      <c r="BU196" s="293">
        <f>BU143</f>
        <v>1100</v>
      </c>
      <c r="BX196" s="293">
        <f>BX143</f>
        <v>800</v>
      </c>
      <c r="BY196" s="293">
        <f>BY143</f>
        <v>900</v>
      </c>
      <c r="CB196" s="293">
        <f>CB143</f>
        <v>1600</v>
      </c>
      <c r="CC196" s="293">
        <f>CC143</f>
        <v>1400</v>
      </c>
      <c r="CF196" s="293">
        <f>CF143</f>
        <v>1200</v>
      </c>
      <c r="CG196" s="293">
        <f>CG143</f>
        <v>1300</v>
      </c>
      <c r="CJ196" s="293">
        <f>CJ143</f>
        <v>1300</v>
      </c>
      <c r="CK196" s="293">
        <f>CK143</f>
        <v>1300</v>
      </c>
      <c r="CN196" s="293">
        <f>CN143</f>
        <v>1200</v>
      </c>
      <c r="CO196" s="293">
        <f>CO143</f>
        <v>1400</v>
      </c>
      <c r="CR196" s="293">
        <f>CR143</f>
        <v>1700</v>
      </c>
      <c r="CS196" s="293">
        <f>CS143</f>
        <v>1500</v>
      </c>
      <c r="CV196" s="293">
        <f>CV143</f>
        <v>2200</v>
      </c>
      <c r="CW196" s="1495">
        <f>CW143</f>
        <v>2200</v>
      </c>
      <c r="CZ196" s="293">
        <f>CZ143</f>
        <v>1700</v>
      </c>
      <c r="DA196" s="1495">
        <f>DA143</f>
        <v>2200</v>
      </c>
      <c r="DD196" s="293">
        <f>DD143</f>
        <v>1700</v>
      </c>
      <c r="DE196" s="1495">
        <f>DE143</f>
        <v>1800</v>
      </c>
      <c r="DH196" s="293">
        <f>DH143</f>
        <v>2100</v>
      </c>
      <c r="DI196" s="293">
        <f>DI143</f>
        <v>2765.8877728672824</v>
      </c>
      <c r="DL196" s="293">
        <f>DL143</f>
        <v>2859.1767081826702</v>
      </c>
      <c r="DM196" s="293">
        <f>DM143</f>
        <v>2957.3907793759208</v>
      </c>
      <c r="DP196" s="293">
        <f>DP143</f>
        <v>3060.8893622059727</v>
      </c>
      <c r="DQ196" s="293">
        <f>DQ143</f>
        <v>3170.062854117295</v>
      </c>
      <c r="DU196" s="293"/>
      <c r="DV196" s="293"/>
      <c r="DY196" s="103"/>
      <c r="EA196" s="103"/>
      <c r="EB196" s="103"/>
      <c r="EC196" s="103"/>
      <c r="ED196" s="103"/>
      <c r="EE196" s="103"/>
      <c r="EF196" s="103"/>
      <c r="EG196" s="103"/>
    </row>
    <row r="197" spans="1:138">
      <c r="A197" s="102" t="s">
        <v>388</v>
      </c>
      <c r="BE197" s="293">
        <f>+BE198-BE196</f>
        <v>4460</v>
      </c>
      <c r="BH197" s="293">
        <f>+BH198-BH196</f>
        <v>2912</v>
      </c>
      <c r="BI197" s="293">
        <f>+BI198-BI196</f>
        <v>2655</v>
      </c>
      <c r="BL197" s="293">
        <f>+BL198-BL196</f>
        <v>1747</v>
      </c>
      <c r="BM197" s="293">
        <f>+BM198-BM196</f>
        <v>1512</v>
      </c>
      <c r="BP197" s="293">
        <f>+BP198-BP196</f>
        <v>1484</v>
      </c>
      <c r="BQ197" s="293">
        <f>+BQ198-BQ196</f>
        <v>1049</v>
      </c>
      <c r="BT197" s="293">
        <f>+BT198-BT196</f>
        <v>862</v>
      </c>
      <c r="BU197" s="293">
        <f>+BU198-BU196</f>
        <v>549</v>
      </c>
      <c r="BX197" s="293">
        <f>+BX198-BX196</f>
        <v>578</v>
      </c>
      <c r="BY197" s="293">
        <f>+BY198-BY196</f>
        <v>602</v>
      </c>
      <c r="CB197" s="293">
        <f>+CB198-CB196</f>
        <v>-90</v>
      </c>
      <c r="CC197" s="293">
        <f>+CC198-CC196</f>
        <v>34</v>
      </c>
      <c r="CF197" s="293">
        <f>+CF198-CF196</f>
        <v>5433</v>
      </c>
      <c r="CG197" s="293">
        <f>+CG198-CG196</f>
        <v>5861</v>
      </c>
      <c r="CJ197" s="293">
        <f>+CJ198-CJ196</f>
        <v>6637</v>
      </c>
      <c r="CK197" s="293">
        <f>+CK198-CK196</f>
        <v>7630</v>
      </c>
      <c r="CN197" s="293">
        <f>+CN198-CN196</f>
        <v>7777</v>
      </c>
      <c r="CO197" s="293">
        <f>+CO198-CO196</f>
        <v>8166</v>
      </c>
      <c r="CR197" s="293">
        <f>+CR198-CR196</f>
        <v>11442</v>
      </c>
      <c r="CS197" s="293">
        <f>+CR197*(1+CS201)</f>
        <v>11670.84</v>
      </c>
      <c r="CV197" s="293">
        <f>+CV198-CV196</f>
        <v>22846</v>
      </c>
      <c r="CW197" s="1495">
        <f>+CV197*(1+CW201)</f>
        <v>23302.920000000002</v>
      </c>
      <c r="CZ197" s="293">
        <f>+CZ198-CZ196</f>
        <v>21162</v>
      </c>
      <c r="DA197" s="1495">
        <f>+CZ197*(1+DA201)</f>
        <v>21585.24</v>
      </c>
      <c r="DD197" s="293">
        <f>+DD198-DD196</f>
        <v>17187</v>
      </c>
      <c r="DE197" s="1495">
        <f>+DD197*(1+DE201)</f>
        <v>17530.740000000002</v>
      </c>
      <c r="DH197" s="293">
        <f>+DH198-DH196</f>
        <v>24141</v>
      </c>
      <c r="DI197" s="293">
        <f>+DH197*(1+DI201)</f>
        <v>24623.82</v>
      </c>
      <c r="DL197" s="293">
        <f>+DI197*(1+DL201)</f>
        <v>25116.296399999999</v>
      </c>
      <c r="DM197" s="293">
        <f>+DL197*(1+DM201)</f>
        <v>25618.622328000001</v>
      </c>
      <c r="DP197" s="293">
        <f>+DM197*(1+DP201)</f>
        <v>26130.99477456</v>
      </c>
      <c r="DQ197" s="293">
        <f>+DP197*(1+DQ201)</f>
        <v>26653.6146700512</v>
      </c>
      <c r="DU197" s="293"/>
      <c r="DV197" s="293"/>
      <c r="DY197" s="103"/>
      <c r="EA197" s="103"/>
      <c r="EB197" s="103"/>
      <c r="EC197" s="103"/>
      <c r="ED197" s="103"/>
      <c r="EE197" s="103"/>
      <c r="EF197" s="103"/>
      <c r="EG197" s="103"/>
    </row>
    <row r="198" spans="1:138" s="289" customFormat="1">
      <c r="A198" s="289" t="s">
        <v>588</v>
      </c>
      <c r="C198" s="290"/>
      <c r="P198" s="290"/>
      <c r="Q198" s="290"/>
      <c r="R198" s="290"/>
      <c r="S198" s="290"/>
      <c r="T198" s="290"/>
      <c r="U198" s="290"/>
      <c r="V198" s="290"/>
      <c r="W198" s="290"/>
      <c r="X198" s="290"/>
      <c r="Y198" s="290"/>
      <c r="Z198" s="290"/>
      <c r="AA198" s="290"/>
      <c r="AB198" s="290"/>
      <c r="AC198" s="290"/>
      <c r="AD198" s="290"/>
      <c r="AE198" s="290"/>
      <c r="AF198" s="290"/>
      <c r="AG198" s="290"/>
      <c r="AH198" s="290"/>
      <c r="AI198" s="290"/>
      <c r="AJ198" s="290"/>
      <c r="AK198" s="290"/>
      <c r="AL198" s="290"/>
      <c r="AM198" s="290"/>
      <c r="AN198" s="290"/>
      <c r="AO198" s="290"/>
      <c r="AP198" s="290"/>
      <c r="AQ198" s="290"/>
      <c r="AR198" s="290"/>
      <c r="AS198" s="290"/>
      <c r="AT198" s="290"/>
      <c r="AU198" s="290"/>
      <c r="AV198" s="290"/>
      <c r="AW198" s="290"/>
      <c r="AX198" s="290"/>
      <c r="AY198" s="290"/>
      <c r="AZ198" s="290"/>
      <c r="BA198" s="290"/>
      <c r="BB198" s="290"/>
      <c r="BC198" s="290"/>
      <c r="BD198" s="290"/>
      <c r="BE198" s="295">
        <f>BE17</f>
        <v>6715</v>
      </c>
      <c r="BF198" s="295">
        <f>BE198</f>
        <v>6715</v>
      </c>
      <c r="BG198" s="290"/>
      <c r="BH198" s="295">
        <f>BH17</f>
        <v>5327</v>
      </c>
      <c r="BI198" s="295">
        <f>BI17</f>
        <v>5033</v>
      </c>
      <c r="BJ198" s="295">
        <f>BI198</f>
        <v>5033</v>
      </c>
      <c r="BK198" s="290"/>
      <c r="BL198" s="295">
        <f>BL17</f>
        <v>3116</v>
      </c>
      <c r="BM198" s="295">
        <f>BM17</f>
        <v>2854</v>
      </c>
      <c r="BN198" s="295">
        <f>BM198</f>
        <v>2854</v>
      </c>
      <c r="BO198" s="290"/>
      <c r="BP198" s="295">
        <f>BP17</f>
        <v>2752</v>
      </c>
      <c r="BQ198" s="295">
        <f>BQ17</f>
        <v>2125</v>
      </c>
      <c r="BR198" s="295">
        <f>BQ198</f>
        <v>2125</v>
      </c>
      <c r="BS198" s="290"/>
      <c r="BT198" s="295">
        <f>BT17</f>
        <v>2101</v>
      </c>
      <c r="BU198" s="295">
        <f>BU17</f>
        <v>1649</v>
      </c>
      <c r="BV198" s="295">
        <f>BU198</f>
        <v>1649</v>
      </c>
      <c r="BW198" s="290"/>
      <c r="BX198" s="295">
        <f>BX17</f>
        <v>1378</v>
      </c>
      <c r="BY198" s="295">
        <f>BY17</f>
        <v>1502</v>
      </c>
      <c r="BZ198" s="295">
        <f>BY198</f>
        <v>1502</v>
      </c>
      <c r="CA198" s="290"/>
      <c r="CB198" s="295">
        <f>CB17</f>
        <v>1510</v>
      </c>
      <c r="CC198" s="295">
        <f>CC17</f>
        <v>1434</v>
      </c>
      <c r="CD198" s="295">
        <f>CC198</f>
        <v>1434</v>
      </c>
      <c r="CE198" s="290"/>
      <c r="CF198" s="295">
        <f>CF17</f>
        <v>6633</v>
      </c>
      <c r="CG198" s="295">
        <f>CG17</f>
        <v>7161</v>
      </c>
      <c r="CH198" s="295">
        <f>CG198</f>
        <v>7161</v>
      </c>
      <c r="CI198" s="290"/>
      <c r="CJ198" s="295">
        <f>CJ17</f>
        <v>7937</v>
      </c>
      <c r="CK198" s="295">
        <f>CK17</f>
        <v>8930</v>
      </c>
      <c r="CL198" s="295">
        <f>CK198</f>
        <v>8930</v>
      </c>
      <c r="CM198" s="290"/>
      <c r="CN198" s="295">
        <f>CN17</f>
        <v>8977</v>
      </c>
      <c r="CO198" s="295">
        <f>CO17</f>
        <v>9566</v>
      </c>
      <c r="CP198" s="295">
        <f>CO198</f>
        <v>9566</v>
      </c>
      <c r="CQ198" s="290"/>
      <c r="CR198" s="295">
        <f>CR17</f>
        <v>13142</v>
      </c>
      <c r="CS198" s="295">
        <f>+CS196+CS197</f>
        <v>13170.84</v>
      </c>
      <c r="CT198" s="295">
        <f>CS198</f>
        <v>13170.84</v>
      </c>
      <c r="CU198" s="290"/>
      <c r="CV198" s="295">
        <f>CV17</f>
        <v>25046</v>
      </c>
      <c r="CW198" s="1390">
        <f>+CW196+CW197</f>
        <v>25502.920000000002</v>
      </c>
      <c r="CX198" s="295">
        <f>CW198</f>
        <v>25502.920000000002</v>
      </c>
      <c r="CY198" s="290"/>
      <c r="CZ198" s="295">
        <f>CZ17</f>
        <v>22862</v>
      </c>
      <c r="DA198" s="1390">
        <f>+DA196+DA197</f>
        <v>23785.24</v>
      </c>
      <c r="DB198" s="295">
        <f>DA198</f>
        <v>23785.24</v>
      </c>
      <c r="DC198" s="290"/>
      <c r="DD198" s="295">
        <f>DD17</f>
        <v>18887</v>
      </c>
      <c r="DE198" s="1390">
        <f>+DE196+DE197</f>
        <v>19330.740000000002</v>
      </c>
      <c r="DF198" s="295">
        <f>DE198</f>
        <v>19330.740000000002</v>
      </c>
      <c r="DG198" s="290"/>
      <c r="DH198" s="295">
        <f>DH17</f>
        <v>26241</v>
      </c>
      <c r="DI198" s="295">
        <f>+DI196+DI197</f>
        <v>27389.707772867281</v>
      </c>
      <c r="DJ198" s="295">
        <f>DI198</f>
        <v>27389.707772867281</v>
      </c>
      <c r="DK198" s="290"/>
      <c r="DL198" s="295">
        <f>+DL196+DL197</f>
        <v>27975.473108182669</v>
      </c>
      <c r="DM198" s="295">
        <f>+DM196+DM197</f>
        <v>28576.013107375922</v>
      </c>
      <c r="DN198" s="295">
        <f>DM198</f>
        <v>28576.013107375922</v>
      </c>
      <c r="DO198" s="290"/>
      <c r="DP198" s="295">
        <f>+DP196+DP197</f>
        <v>29191.884136765973</v>
      </c>
      <c r="DQ198" s="295">
        <f>+DQ196+DQ197</f>
        <v>29823.677524168495</v>
      </c>
      <c r="DR198" s="295">
        <f>DQ198</f>
        <v>29823.677524168495</v>
      </c>
      <c r="DS198" s="290"/>
      <c r="DT198" s="290"/>
      <c r="DU198" s="295"/>
      <c r="DV198" s="295"/>
      <c r="DW198" s="295"/>
      <c r="DX198" s="290"/>
      <c r="DY198" s="290"/>
      <c r="EA198" s="290"/>
      <c r="EB198" s="290"/>
      <c r="EC198" s="290"/>
      <c r="ED198" s="290"/>
      <c r="EE198" s="290"/>
      <c r="EF198" s="290"/>
      <c r="EG198" s="290"/>
      <c r="EH198"/>
    </row>
    <row r="199" spans="1:138">
      <c r="A199" s="328" t="s">
        <v>382</v>
      </c>
      <c r="BE199" s="295"/>
      <c r="BH199" s="295"/>
      <c r="BI199" s="295"/>
      <c r="BL199" s="295"/>
      <c r="BM199" s="295"/>
      <c r="BP199" s="295"/>
      <c r="BQ199" s="295"/>
      <c r="BT199" s="295"/>
      <c r="BU199" s="295"/>
      <c r="BX199" s="295"/>
      <c r="BY199" s="295"/>
      <c r="CB199" s="295"/>
      <c r="CC199" s="295"/>
      <c r="CF199" s="295"/>
      <c r="CG199" s="295"/>
      <c r="CJ199" s="295"/>
      <c r="CK199" s="295"/>
      <c r="CN199" s="295"/>
      <c r="CO199" s="295"/>
      <c r="CR199" s="295"/>
      <c r="CS199" s="295"/>
      <c r="CV199" s="295"/>
      <c r="CW199" s="1390"/>
      <c r="CZ199" s="295"/>
      <c r="DA199" s="1390"/>
      <c r="DD199" s="295"/>
      <c r="DE199" s="1390"/>
      <c r="DH199" s="295"/>
      <c r="DI199" s="295"/>
      <c r="DL199" s="295"/>
      <c r="DM199" s="295"/>
      <c r="DP199" s="295"/>
      <c r="DQ199" s="295"/>
      <c r="DU199" s="295"/>
      <c r="DV199" s="295"/>
      <c r="DY199" s="103"/>
      <c r="EA199" s="103"/>
      <c r="EB199" s="103"/>
      <c r="EC199" s="103"/>
      <c r="ED199" s="103"/>
      <c r="EE199" s="103"/>
      <c r="EF199" s="103"/>
      <c r="EG199" s="103"/>
    </row>
    <row r="200" spans="1:138">
      <c r="A200" s="323" t="str">
        <f>A196</f>
        <v>Equity Investments</v>
      </c>
      <c r="BE200" s="324"/>
      <c r="BH200" s="324">
        <f>+BH196/BE196-1</f>
        <v>7.0953436807095427E-2</v>
      </c>
      <c r="BI200" s="324">
        <f>+BI196/BH196-1</f>
        <v>-1.5320910973084856E-2</v>
      </c>
      <c r="BL200" s="324">
        <f>+BL196/BI196-1</f>
        <v>-0.42430613961312025</v>
      </c>
      <c r="BM200" s="324">
        <f>+BM196/BL196-1</f>
        <v>-1.9722425127830512E-2</v>
      </c>
      <c r="BP200" s="324">
        <f>+BP196/BM196-1</f>
        <v>-5.5141579731743717E-2</v>
      </c>
      <c r="BQ200" s="324">
        <f>+BQ196/BP196-1</f>
        <v>-0.1514195583596214</v>
      </c>
      <c r="BT200" s="324">
        <f>+BT196/BQ196-1</f>
        <v>0.1514869888475836</v>
      </c>
      <c r="BU200" s="324">
        <f>+BU196/BT196-1</f>
        <v>-0.11218724778046807</v>
      </c>
      <c r="BX200" s="324">
        <f>+BX196/BU196-1</f>
        <v>-0.27272727272727271</v>
      </c>
      <c r="BY200" s="324">
        <f>+BY196/BX196-1</f>
        <v>0.125</v>
      </c>
      <c r="CB200" s="324">
        <f>+CB196/BY196-1</f>
        <v>0.77777777777777768</v>
      </c>
      <c r="CC200" s="324">
        <f>+CC196/CB196-1</f>
        <v>-0.125</v>
      </c>
      <c r="CF200" s="324">
        <f>+CF196/CC196-1</f>
        <v>-0.1428571428571429</v>
      </c>
      <c r="CG200" s="324">
        <f>+CG196/CF196-1</f>
        <v>8.3333333333333259E-2</v>
      </c>
      <c r="CJ200" s="324">
        <f>+CJ196/CG196-1</f>
        <v>0</v>
      </c>
      <c r="CK200" s="324">
        <f>+CK196/CJ196-1</f>
        <v>0</v>
      </c>
      <c r="CN200" s="324">
        <f>+CN196/CK196-1</f>
        <v>-7.6923076923076872E-2</v>
      </c>
      <c r="CO200" s="324">
        <f>+CO196/CN196-1</f>
        <v>0.16666666666666674</v>
      </c>
      <c r="CR200" s="324">
        <f>+CR196/CO196-1</f>
        <v>0.21428571428571419</v>
      </c>
      <c r="CS200" s="324">
        <f>+CS196/CR196-1</f>
        <v>-0.11764705882352944</v>
      </c>
      <c r="CV200" s="324">
        <f>+CV196/CS196-1</f>
        <v>0.46666666666666656</v>
      </c>
      <c r="CW200" s="324">
        <f>+CW196/CV196-1</f>
        <v>0</v>
      </c>
      <c r="CZ200" s="324">
        <f>+CZ196/CW196-1</f>
        <v>-0.22727272727272729</v>
      </c>
      <c r="DA200" s="324">
        <f>+DA196/CZ196-1</f>
        <v>0.29411764705882359</v>
      </c>
      <c r="DD200" s="324">
        <f>+DD196/DA196-1</f>
        <v>-0.22727272727272729</v>
      </c>
      <c r="DE200" s="324">
        <f>+DE196/DD196-1</f>
        <v>5.8823529411764719E-2</v>
      </c>
      <c r="DH200" s="324">
        <f>+DH196/DE196-1</f>
        <v>0.16666666666666674</v>
      </c>
      <c r="DI200" s="324">
        <f>+DI196/DH196-1</f>
        <v>0.31708941565108684</v>
      </c>
      <c r="DL200" s="324">
        <f>+DL196/DI196-1</f>
        <v>3.3728387764149659E-2</v>
      </c>
      <c r="DM200" s="324">
        <f>+DM196/DL196-1</f>
        <v>3.4350472607087346E-2</v>
      </c>
      <c r="DP200" s="324">
        <f>+DP196/DM196-1</f>
        <v>3.4996586704680421E-2</v>
      </c>
      <c r="DQ200" s="324">
        <f>+DQ196/DP196-1</f>
        <v>3.5667245363171673E-2</v>
      </c>
      <c r="DU200" s="1072"/>
      <c r="DV200" s="1072"/>
      <c r="DY200" s="103"/>
      <c r="EA200" s="103"/>
      <c r="EB200" s="103"/>
      <c r="EC200" s="103"/>
      <c r="ED200" s="103"/>
      <c r="EE200" s="103"/>
      <c r="EF200" s="103"/>
      <c r="EG200" s="103"/>
    </row>
    <row r="201" spans="1:138">
      <c r="A201" s="642" t="str">
        <f>A197</f>
        <v>Debt Securities and Loan Assets</v>
      </c>
      <c r="B201" s="302"/>
      <c r="C201" s="304"/>
      <c r="D201" s="302"/>
      <c r="E201" s="302"/>
      <c r="F201" s="302"/>
      <c r="G201" s="302"/>
      <c r="H201" s="302"/>
      <c r="I201" s="302"/>
      <c r="J201" s="302"/>
      <c r="K201" s="302"/>
      <c r="L201" s="302"/>
      <c r="M201" s="302"/>
      <c r="N201" s="302"/>
      <c r="O201" s="302"/>
      <c r="P201" s="304"/>
      <c r="Q201" s="304"/>
      <c r="R201" s="304"/>
      <c r="S201" s="304"/>
      <c r="T201" s="304"/>
      <c r="U201" s="304"/>
      <c r="V201" s="304"/>
      <c r="W201" s="304"/>
      <c r="X201" s="304"/>
      <c r="Y201" s="304"/>
      <c r="Z201" s="304"/>
      <c r="AA201" s="304"/>
      <c r="AB201" s="304"/>
      <c r="AC201" s="304"/>
      <c r="AD201" s="304"/>
      <c r="AE201" s="304"/>
      <c r="AF201" s="304"/>
      <c r="AG201" s="304"/>
      <c r="AH201" s="304"/>
      <c r="AI201" s="304"/>
      <c r="AJ201" s="304"/>
      <c r="AK201" s="304"/>
      <c r="AL201" s="304"/>
      <c r="AM201" s="304"/>
      <c r="AN201" s="304"/>
      <c r="AO201" s="304"/>
      <c r="AP201" s="304"/>
      <c r="AQ201" s="304"/>
      <c r="AR201" s="304"/>
      <c r="AS201" s="304"/>
      <c r="AT201" s="304"/>
      <c r="AU201" s="304"/>
      <c r="AV201" s="304"/>
      <c r="AW201" s="304"/>
      <c r="AX201" s="304"/>
      <c r="AY201" s="304"/>
      <c r="AZ201" s="304"/>
      <c r="BA201" s="304"/>
      <c r="BB201" s="304"/>
      <c r="BC201" s="304"/>
      <c r="BD201" s="304"/>
      <c r="BE201" s="643"/>
      <c r="BF201" s="304"/>
      <c r="BG201" s="304"/>
      <c r="BH201" s="643">
        <f>+BH197/BE197-1</f>
        <v>-0.34708520179372193</v>
      </c>
      <c r="BI201" s="643">
        <f>+BI197/BH197-1</f>
        <v>-8.8255494505494525E-2</v>
      </c>
      <c r="BJ201" s="304"/>
      <c r="BK201" s="304"/>
      <c r="BL201" s="643">
        <f>+BL197/BI197-1</f>
        <v>-0.3419962335216572</v>
      </c>
      <c r="BM201" s="643">
        <f>+BM197/BL197-1</f>
        <v>-0.13451631368059536</v>
      </c>
      <c r="BN201" s="304"/>
      <c r="BO201" s="304"/>
      <c r="BP201" s="643">
        <f>+BP197/BM197-1</f>
        <v>-1.851851851851849E-2</v>
      </c>
      <c r="BQ201" s="643">
        <f>+BQ197/BP197-1</f>
        <v>-0.29312668463611857</v>
      </c>
      <c r="BR201" s="304"/>
      <c r="BS201" s="304"/>
      <c r="BT201" s="643">
        <f>+BT197/BQ197-1</f>
        <v>-0.17826501429933272</v>
      </c>
      <c r="BU201" s="643">
        <f>+BU197/BT197-1</f>
        <v>-0.36310904872389793</v>
      </c>
      <c r="BV201" s="304"/>
      <c r="BW201" s="680"/>
      <c r="BX201" s="643">
        <f>+BX197/BU197-1</f>
        <v>5.2823315118396996E-2</v>
      </c>
      <c r="BY201" s="643">
        <f>+BY197/BX197-1</f>
        <v>4.1522491349480939E-2</v>
      </c>
      <c r="BZ201" s="304"/>
      <c r="CA201" s="680"/>
      <c r="CB201" s="643">
        <f>+CB197/BY197-1</f>
        <v>-1.1495016611295681</v>
      </c>
      <c r="CC201" s="643">
        <f>+CC197/CB197-1</f>
        <v>-1.3777777777777778</v>
      </c>
      <c r="CD201" s="304"/>
      <c r="CE201" s="680"/>
      <c r="CF201" s="643">
        <f>+CF197/CC197-1</f>
        <v>158.79411764705881</v>
      </c>
      <c r="CG201" s="643">
        <f>+CG197/CF197-1</f>
        <v>7.8777839131235039E-2</v>
      </c>
      <c r="CH201" s="304"/>
      <c r="CI201" s="680"/>
      <c r="CJ201" s="643">
        <f>+CJ197/CG197-1</f>
        <v>0.13240061422965366</v>
      </c>
      <c r="CK201" s="643">
        <f>+CK197/CJ197-1</f>
        <v>0.14961579026668681</v>
      </c>
      <c r="CL201" s="304"/>
      <c r="CM201" s="680"/>
      <c r="CN201" s="643">
        <f>+CN197/CK197-1</f>
        <v>1.9266055045871644E-2</v>
      </c>
      <c r="CO201" s="643">
        <f>+CO197/CN197-1</f>
        <v>5.0019287643050081E-2</v>
      </c>
      <c r="CP201" s="304"/>
      <c r="CQ201" s="680"/>
      <c r="CR201" s="643">
        <f>+CR197/CO197-1</f>
        <v>0.40117560617193249</v>
      </c>
      <c r="CS201" s="681">
        <v>0.02</v>
      </c>
      <c r="CT201" s="680"/>
      <c r="CU201" s="680"/>
      <c r="CV201" s="643">
        <f>+CV197/CS197-1</f>
        <v>0.95752833557824446</v>
      </c>
      <c r="CW201" s="681">
        <v>0.02</v>
      </c>
      <c r="CX201" s="680"/>
      <c r="CY201" s="680"/>
      <c r="CZ201" s="643">
        <f>+CZ197/CW197-1</f>
        <v>-9.1873464784670844E-2</v>
      </c>
      <c r="DA201" s="681">
        <v>0.02</v>
      </c>
      <c r="DB201" s="680"/>
      <c r="DC201" s="680"/>
      <c r="DD201" s="643">
        <f>+DD197/DA197-1</f>
        <v>-0.20376145921935551</v>
      </c>
      <c r="DE201" s="681">
        <v>0.02</v>
      </c>
      <c r="DF201" s="680"/>
      <c r="DG201" s="680"/>
      <c r="DH201" s="643">
        <f>+DH197/DE197-1</f>
        <v>0.37706679809294985</v>
      </c>
      <c r="DI201" s="681">
        <v>0.02</v>
      </c>
      <c r="DJ201" s="680"/>
      <c r="DK201" s="680"/>
      <c r="DL201" s="681">
        <v>0.02</v>
      </c>
      <c r="DM201" s="681">
        <v>0.02</v>
      </c>
      <c r="DN201" s="680"/>
      <c r="DO201" s="680"/>
      <c r="DP201" s="681">
        <v>0.02</v>
      </c>
      <c r="DQ201" s="681">
        <v>0.02</v>
      </c>
      <c r="DR201" s="680"/>
      <c r="DS201" s="680"/>
      <c r="DU201" s="1077"/>
      <c r="DV201" s="1077"/>
      <c r="DY201" s="103"/>
      <c r="DZ201" s="102"/>
      <c r="EA201" s="103"/>
      <c r="EB201" s="103"/>
      <c r="EC201" s="103"/>
      <c r="ED201" s="103"/>
      <c r="EE201" s="103"/>
      <c r="EF201" s="103"/>
      <c r="EG201" s="103"/>
    </row>
    <row r="202" spans="1:138" s="289" customFormat="1">
      <c r="A202" s="328" t="str">
        <f>A198</f>
        <v>Total</v>
      </c>
      <c r="C202" s="290"/>
      <c r="P202" s="290"/>
      <c r="Q202" s="290"/>
      <c r="R202" s="290"/>
      <c r="S202" s="290"/>
      <c r="T202" s="290"/>
      <c r="U202" s="290"/>
      <c r="V202" s="290"/>
      <c r="W202" s="290"/>
      <c r="X202" s="290"/>
      <c r="Y202" s="290"/>
      <c r="Z202" s="290"/>
      <c r="AA202" s="290"/>
      <c r="AB202" s="290"/>
      <c r="AC202" s="290"/>
      <c r="AD202" s="290"/>
      <c r="AE202" s="290"/>
      <c r="AF202" s="290"/>
      <c r="AG202" s="290"/>
      <c r="AH202" s="290"/>
      <c r="AI202" s="290"/>
      <c r="AJ202" s="290"/>
      <c r="AK202" s="290"/>
      <c r="AL202" s="290"/>
      <c r="AM202" s="290"/>
      <c r="AN202" s="290"/>
      <c r="AO202" s="290"/>
      <c r="AP202" s="290"/>
      <c r="AQ202" s="290"/>
      <c r="AR202" s="290"/>
      <c r="AS202" s="290"/>
      <c r="AT202" s="290"/>
      <c r="AU202" s="290"/>
      <c r="AV202" s="290"/>
      <c r="AW202" s="290"/>
      <c r="AX202" s="290"/>
      <c r="AY202" s="290"/>
      <c r="AZ202" s="290"/>
      <c r="BA202" s="290"/>
      <c r="BB202" s="290"/>
      <c r="BC202" s="290"/>
      <c r="BD202" s="290"/>
      <c r="BE202" s="682"/>
      <c r="BF202" s="290"/>
      <c r="BG202" s="290"/>
      <c r="BH202" s="682">
        <f>+BH198/BE198-1</f>
        <v>-0.20670141474311243</v>
      </c>
      <c r="BI202" s="682">
        <f>+BI198/BH198-1</f>
        <v>-5.5190538764783192E-2</v>
      </c>
      <c r="BJ202" s="290"/>
      <c r="BK202" s="290"/>
      <c r="BL202" s="682">
        <f>+BL198/BI198-1</f>
        <v>-0.38088615140075499</v>
      </c>
      <c r="BM202" s="682">
        <f>+BM198/BL198-1</f>
        <v>-8.4082156611039793E-2</v>
      </c>
      <c r="BN202" s="290"/>
      <c r="BO202" s="290"/>
      <c r="BP202" s="682">
        <f>+BP198/BM198-1</f>
        <v>-3.5739313244569026E-2</v>
      </c>
      <c r="BQ202" s="682">
        <f>+BQ198/BP198-1</f>
        <v>-0.22783430232558144</v>
      </c>
      <c r="BR202" s="290"/>
      <c r="BS202" s="290"/>
      <c r="BT202" s="682">
        <f>+BT198/BQ198-1</f>
        <v>-1.1294117647058788E-2</v>
      </c>
      <c r="BU202" s="682">
        <f>+BU198/BT198-1</f>
        <v>-0.21513564969062349</v>
      </c>
      <c r="BV202" s="290"/>
      <c r="BW202" s="290"/>
      <c r="BX202" s="682">
        <f>+BX198/BU198-1</f>
        <v>-0.16434202546998178</v>
      </c>
      <c r="BY202" s="682">
        <f>+BY198/BX198-1</f>
        <v>8.9985486211901389E-2</v>
      </c>
      <c r="BZ202" s="290"/>
      <c r="CA202" s="290"/>
      <c r="CB202" s="682">
        <f>+CB198/BY198-1</f>
        <v>5.3262316910784868E-3</v>
      </c>
      <c r="CC202" s="682">
        <f>+CC198/CB198-1</f>
        <v>-5.0331125827814516E-2</v>
      </c>
      <c r="CD202" s="290"/>
      <c r="CE202" s="290"/>
      <c r="CF202" s="682">
        <f>+CF198/CC198-1</f>
        <v>3.6255230125523017</v>
      </c>
      <c r="CG202" s="682">
        <f>+CG198/CF198-1</f>
        <v>7.9601990049751326E-2</v>
      </c>
      <c r="CH202" s="290"/>
      <c r="CI202" s="290"/>
      <c r="CJ202" s="682">
        <f>+CJ198/CG198-1</f>
        <v>0.10836475352604391</v>
      </c>
      <c r="CK202" s="682">
        <f>+CK198/CJ198-1</f>
        <v>0.12511024316492381</v>
      </c>
      <c r="CL202" s="290"/>
      <c r="CM202" s="290"/>
      <c r="CN202" s="682">
        <f>+CN198/CK198-1</f>
        <v>5.2631578947368585E-3</v>
      </c>
      <c r="CO202" s="682">
        <f>+CO198/CN198-1</f>
        <v>6.5612119861869322E-2</v>
      </c>
      <c r="CP202" s="290"/>
      <c r="CQ202" s="290"/>
      <c r="CR202" s="682">
        <f>+CR198/CO198-1</f>
        <v>0.3738239598578299</v>
      </c>
      <c r="CS202" s="682">
        <f>+CS198/CR198-1</f>
        <v>2.1944909450617445E-3</v>
      </c>
      <c r="CT202" s="290"/>
      <c r="CU202" s="290"/>
      <c r="CV202" s="682">
        <f>+CV198/CS198-1</f>
        <v>0.90162510515654271</v>
      </c>
      <c r="CW202" s="682">
        <f>+CW198/CV198-1</f>
        <v>1.8243232452287872E-2</v>
      </c>
      <c r="CX202" s="290"/>
      <c r="CY202" s="290"/>
      <c r="CZ202" s="682">
        <f>+CZ198/CW198-1</f>
        <v>-0.10355363228994963</v>
      </c>
      <c r="DA202" s="682">
        <f>+DA198/CZ198-1</f>
        <v>4.0383168576677564E-2</v>
      </c>
      <c r="DB202" s="290"/>
      <c r="DC202" s="290"/>
      <c r="DD202" s="682">
        <f>+DD198/DA198-1</f>
        <v>-0.20593611836584369</v>
      </c>
      <c r="DE202" s="682">
        <f>+DE198/DD198-1</f>
        <v>2.3494467093768234E-2</v>
      </c>
      <c r="DF202" s="290"/>
      <c r="DG202" s="290"/>
      <c r="DH202" s="682">
        <f>+DH198/DE198-1</f>
        <v>0.35747519236200986</v>
      </c>
      <c r="DI202" s="682">
        <f>+DI198/DH198-1</f>
        <v>4.3775304785156122E-2</v>
      </c>
      <c r="DJ202" s="290"/>
      <c r="DK202" s="290"/>
      <c r="DL202" s="682">
        <f>+DL198/DI198-1</f>
        <v>2.1386330229330008E-2</v>
      </c>
      <c r="DM202" s="682">
        <f>+DM198/DL198-1</f>
        <v>2.1466661059526437E-2</v>
      </c>
      <c r="DN202" s="290"/>
      <c r="DO202" s="290"/>
      <c r="DP202" s="682">
        <f>+DP198/DM198-1</f>
        <v>2.1552027817032471E-2</v>
      </c>
      <c r="DQ202" s="682">
        <f>+DQ198/DP198-1</f>
        <v>2.1642775246795587E-2</v>
      </c>
      <c r="DR202" s="290"/>
      <c r="DS202" s="290"/>
      <c r="DT202" s="290"/>
      <c r="DU202" s="1078"/>
      <c r="DV202" s="1078"/>
      <c r="DW202" s="290"/>
      <c r="DX202" s="290"/>
      <c r="DY202" s="290"/>
      <c r="EA202" s="290"/>
      <c r="EB202" s="290"/>
      <c r="EC202" s="290"/>
      <c r="ED202" s="290"/>
      <c r="EE202" s="290"/>
      <c r="EF202" s="290"/>
      <c r="EG202" s="290"/>
      <c r="EH202"/>
    </row>
    <row r="203" spans="1:138">
      <c r="A203" s="323"/>
      <c r="BE203" s="295"/>
      <c r="BI203" s="295"/>
      <c r="BM203" s="295"/>
      <c r="BQ203" s="295"/>
      <c r="BU203" s="295"/>
      <c r="BY203" s="295"/>
      <c r="CC203" s="295"/>
      <c r="CG203" s="295"/>
      <c r="CK203" s="295"/>
      <c r="CO203" s="295"/>
      <c r="CS203" s="295"/>
      <c r="CW203" s="1390"/>
      <c r="DA203" s="1390"/>
      <c r="DE203" s="1390"/>
      <c r="DI203" s="295"/>
      <c r="DM203" s="295"/>
      <c r="DQ203" s="295"/>
      <c r="DV203" s="295"/>
      <c r="DY203" s="103"/>
      <c r="EA203" s="103"/>
      <c r="EB203" s="103"/>
      <c r="EC203" s="103"/>
      <c r="ED203" s="103"/>
      <c r="EE203" s="103"/>
      <c r="EF203" s="103"/>
      <c r="EG203" s="103"/>
    </row>
    <row r="204" spans="1:138">
      <c r="A204" s="289" t="s">
        <v>384</v>
      </c>
      <c r="BE204" s="295"/>
      <c r="BH204" s="102"/>
      <c r="BI204" s="295"/>
      <c r="BL204" s="102"/>
      <c r="BM204" s="295"/>
      <c r="BP204" s="102"/>
      <c r="BQ204" s="295"/>
      <c r="BT204" s="102"/>
      <c r="BU204" s="295"/>
      <c r="BX204" s="102"/>
      <c r="BY204" s="295"/>
      <c r="CB204" s="102"/>
      <c r="CC204" s="295"/>
      <c r="CF204" s="102"/>
      <c r="CG204" s="295"/>
      <c r="CJ204" s="102"/>
      <c r="CK204" s="295"/>
      <c r="CN204" s="102"/>
      <c r="CO204" s="295"/>
      <c r="CR204" s="102"/>
      <c r="CS204" s="295"/>
      <c r="CV204" s="102"/>
      <c r="CW204" s="1390"/>
      <c r="CZ204" s="102"/>
      <c r="DA204" s="1390"/>
      <c r="DD204" s="102"/>
      <c r="DE204" s="1390"/>
      <c r="DH204" s="102"/>
      <c r="DI204" s="295"/>
      <c r="DL204" s="102"/>
      <c r="DM204" s="295"/>
      <c r="DP204" s="102"/>
      <c r="DQ204" s="295"/>
      <c r="DU204" s="102"/>
      <c r="DV204" s="295"/>
      <c r="DY204" s="103"/>
      <c r="EA204" s="103"/>
      <c r="EB204" s="103"/>
      <c r="EC204" s="103"/>
      <c r="ED204" s="103"/>
      <c r="EE204" s="103"/>
      <c r="EF204" s="103"/>
      <c r="EG204" s="103"/>
    </row>
    <row r="205" spans="1:138">
      <c r="A205" s="102" t="s">
        <v>387</v>
      </c>
      <c r="BE205" s="293">
        <f>BE144</f>
        <v>2456</v>
      </c>
      <c r="BH205" s="293">
        <f>BH144</f>
        <v>2642</v>
      </c>
      <c r="BI205" s="293">
        <f>BI144</f>
        <v>3156</v>
      </c>
      <c r="BL205" s="293">
        <f>BL144</f>
        <v>3367</v>
      </c>
      <c r="BM205" s="293">
        <f>BM144</f>
        <v>2005</v>
      </c>
      <c r="BP205" s="293">
        <f>BP144</f>
        <v>2024</v>
      </c>
      <c r="BQ205" s="293">
        <f>BQ144</f>
        <v>2444</v>
      </c>
      <c r="BT205" s="293">
        <f>BT144</f>
        <v>3000</v>
      </c>
      <c r="BU205" s="293">
        <f>BU144</f>
        <v>3000</v>
      </c>
      <c r="BX205" s="293">
        <f>BX144</f>
        <v>2300</v>
      </c>
      <c r="BY205" s="293">
        <f>BY144</f>
        <v>2000</v>
      </c>
      <c r="CB205" s="293">
        <f>CB144</f>
        <v>4100</v>
      </c>
      <c r="CC205" s="293">
        <f>CC144</f>
        <v>3000</v>
      </c>
      <c r="CF205" s="293">
        <f>CF144</f>
        <v>1200</v>
      </c>
      <c r="CG205" s="293">
        <f>CG144</f>
        <v>600</v>
      </c>
      <c r="CJ205" s="293">
        <f>CJ144</f>
        <v>400</v>
      </c>
      <c r="CK205" s="293">
        <f>CK144</f>
        <v>100</v>
      </c>
      <c r="CN205" s="293">
        <f>CN144</f>
        <v>0</v>
      </c>
      <c r="CO205" s="293">
        <f>CO144</f>
        <v>0</v>
      </c>
      <c r="CR205" s="293">
        <f>CR144</f>
        <v>0</v>
      </c>
      <c r="CS205" s="293">
        <f>CS144</f>
        <v>0</v>
      </c>
      <c r="CV205" s="293">
        <f>CV144</f>
        <v>0</v>
      </c>
      <c r="CW205" s="1495">
        <f>CW144</f>
        <v>0</v>
      </c>
      <c r="CZ205" s="293">
        <f>CZ144</f>
        <v>0</v>
      </c>
      <c r="DA205" s="1495">
        <f>DA144</f>
        <v>0</v>
      </c>
      <c r="DD205" s="293">
        <f>DD144</f>
        <v>0</v>
      </c>
      <c r="DE205" s="1495">
        <f>DE144</f>
        <v>0</v>
      </c>
      <c r="DH205" s="293">
        <f>DH144</f>
        <v>0</v>
      </c>
      <c r="DI205" s="293">
        <f>DI144</f>
        <v>0</v>
      </c>
      <c r="DL205" s="293">
        <f>DL144</f>
        <v>0</v>
      </c>
      <c r="DM205" s="293">
        <f>DM144</f>
        <v>0</v>
      </c>
      <c r="DP205" s="293">
        <f>DP144</f>
        <v>0</v>
      </c>
      <c r="DQ205" s="293">
        <f>DQ144</f>
        <v>0</v>
      </c>
      <c r="DU205" s="293"/>
      <c r="DV205" s="293"/>
      <c r="DY205" s="103"/>
      <c r="EA205" s="103"/>
      <c r="EB205" s="103"/>
      <c r="EC205" s="103"/>
      <c r="ED205" s="103"/>
      <c r="EE205" s="103"/>
      <c r="EF205" s="103"/>
      <c r="EG205" s="103"/>
    </row>
    <row r="206" spans="1:138">
      <c r="A206" s="102" t="s">
        <v>386</v>
      </c>
      <c r="BE206" s="293">
        <f>+BE207-BE205</f>
        <v>15810</v>
      </c>
      <c r="BH206" s="293">
        <f>+BH207-BH205</f>
        <v>17864</v>
      </c>
      <c r="BI206" s="293">
        <f>+BI207-BI205</f>
        <v>13901</v>
      </c>
      <c r="BL206" s="293">
        <f>+BL207-BL205</f>
        <v>13211</v>
      </c>
      <c r="BM206" s="293">
        <f>+BM207-BM205</f>
        <v>12046</v>
      </c>
      <c r="BP206" s="293">
        <f>+BP207-BP205</f>
        <v>7275</v>
      </c>
      <c r="BQ206" s="293">
        <f>+BQ207-BQ205</f>
        <v>6452</v>
      </c>
      <c r="BT206" s="293">
        <f>+BT207-BT205</f>
        <v>7707</v>
      </c>
      <c r="BU206" s="293">
        <f>+BU207-BU205</f>
        <v>8456</v>
      </c>
      <c r="BX206" s="293">
        <f>+BX207-BX205</f>
        <v>5557</v>
      </c>
      <c r="BY206" s="293">
        <f>+BY207-BY205</f>
        <v>4893</v>
      </c>
      <c r="CB206" s="293">
        <f>+CB207-CB205</f>
        <v>652</v>
      </c>
      <c r="CC206" s="293">
        <f>+CC207-CC205</f>
        <v>3166</v>
      </c>
      <c r="CF206" s="293">
        <f>+CF207-CF205</f>
        <v>953</v>
      </c>
      <c r="CG206" s="293">
        <f>+CG207-CG205</f>
        <v>8423</v>
      </c>
      <c r="CJ206" s="293">
        <f>+CJ207-CJ205</f>
        <v>208</v>
      </c>
      <c r="CK206" s="293">
        <f>+CK207-CK205</f>
        <v>1534</v>
      </c>
      <c r="CN206" s="293">
        <f>+CN207-CN205</f>
        <v>2176</v>
      </c>
      <c r="CO206" s="293">
        <f>+CO207-CO205</f>
        <v>279</v>
      </c>
      <c r="CR206" s="293">
        <f>+CR207-CR205</f>
        <v>1940</v>
      </c>
      <c r="CS206" s="293">
        <f>+CR206*(1+CS210)</f>
        <v>1978.8</v>
      </c>
      <c r="CV206" s="293">
        <f>+CV207-CV205</f>
        <v>707</v>
      </c>
      <c r="CW206" s="1495">
        <f>+CV206*(1+CW210)</f>
        <v>721.14</v>
      </c>
      <c r="CZ206" s="293">
        <f>+CZ207-CZ205</f>
        <v>1802</v>
      </c>
      <c r="DA206" s="1495">
        <f>+CZ206*(1+DA210)</f>
        <v>1838.04</v>
      </c>
      <c r="DD206" s="293">
        <f>+DD207-DD205</f>
        <v>3020</v>
      </c>
      <c r="DE206" s="1495">
        <f>+DD206*(1+DE210)</f>
        <v>3080.4</v>
      </c>
      <c r="DH206" s="293">
        <f>+DH207-DH205</f>
        <v>11533</v>
      </c>
      <c r="DI206" s="293">
        <f>+DH206*(1+DI210)</f>
        <v>11763.66</v>
      </c>
      <c r="DL206" s="293">
        <f>+DI206*(1+DL210)</f>
        <v>11998.933199999999</v>
      </c>
      <c r="DM206" s="293">
        <f>+DL206*(1+DM210)</f>
        <v>12238.911864</v>
      </c>
      <c r="DP206" s="293">
        <f>+DM206*(1+DP210)</f>
        <v>12483.690101279999</v>
      </c>
      <c r="DQ206" s="293">
        <f>+DP206*(1+DQ210)</f>
        <v>12733.363903305599</v>
      </c>
      <c r="DU206" s="293"/>
      <c r="DV206" s="293"/>
      <c r="DY206" s="103"/>
      <c r="EA206" s="103"/>
      <c r="EB206" s="103"/>
      <c r="EC206" s="103"/>
      <c r="ED206" s="103"/>
      <c r="EE206" s="103"/>
      <c r="EF206" s="103"/>
      <c r="EG206" s="103"/>
    </row>
    <row r="207" spans="1:138" s="289" customFormat="1">
      <c r="A207" s="289" t="s">
        <v>588</v>
      </c>
      <c r="C207" s="290"/>
      <c r="P207" s="290"/>
      <c r="Q207" s="290"/>
      <c r="R207" s="290"/>
      <c r="S207" s="290"/>
      <c r="T207" s="290"/>
      <c r="U207" s="290"/>
      <c r="V207" s="290"/>
      <c r="W207" s="290"/>
      <c r="X207" s="290"/>
      <c r="Y207" s="290"/>
      <c r="Z207" s="290"/>
      <c r="AA207" s="290"/>
      <c r="AB207" s="290"/>
      <c r="AC207" s="290"/>
      <c r="AD207" s="290"/>
      <c r="AE207" s="290"/>
      <c r="AF207" s="290"/>
      <c r="AG207" s="290"/>
      <c r="AH207" s="290"/>
      <c r="AI207" s="290"/>
      <c r="AJ207" s="290"/>
      <c r="AK207" s="290"/>
      <c r="AL207" s="290"/>
      <c r="AM207" s="290"/>
      <c r="AN207" s="290"/>
      <c r="AO207" s="290"/>
      <c r="AP207" s="290"/>
      <c r="AQ207" s="290"/>
      <c r="AR207" s="290"/>
      <c r="AS207" s="290"/>
      <c r="AT207" s="290"/>
      <c r="AU207" s="290"/>
      <c r="AV207" s="290"/>
      <c r="AW207" s="290"/>
      <c r="AX207" s="290"/>
      <c r="AY207" s="290"/>
      <c r="AZ207" s="290"/>
      <c r="BA207" s="290"/>
      <c r="BB207" s="290"/>
      <c r="BC207" s="290"/>
      <c r="BD207" s="290"/>
      <c r="BE207" s="295">
        <f>BE19</f>
        <v>18266</v>
      </c>
      <c r="BF207" s="295">
        <f>BE207</f>
        <v>18266</v>
      </c>
      <c r="BG207" s="290"/>
      <c r="BH207" s="295">
        <f>BH19</f>
        <v>20506</v>
      </c>
      <c r="BI207" s="295">
        <f>BI19</f>
        <v>17057</v>
      </c>
      <c r="BJ207" s="295">
        <f>BI207</f>
        <v>17057</v>
      </c>
      <c r="BK207" s="290"/>
      <c r="BL207" s="295">
        <f>BL19</f>
        <v>16578</v>
      </c>
      <c r="BM207" s="295">
        <f>BM19</f>
        <v>14051</v>
      </c>
      <c r="BN207" s="295">
        <f>BM207</f>
        <v>14051</v>
      </c>
      <c r="BO207" s="290"/>
      <c r="BP207" s="295">
        <f>BP19</f>
        <v>9299</v>
      </c>
      <c r="BQ207" s="295">
        <f>BQ19</f>
        <v>8896</v>
      </c>
      <c r="BR207" s="295">
        <f>BQ207</f>
        <v>8896</v>
      </c>
      <c r="BS207" s="290"/>
      <c r="BT207" s="295">
        <f>BT19</f>
        <v>10707</v>
      </c>
      <c r="BU207" s="295">
        <f>BU19</f>
        <v>11456</v>
      </c>
      <c r="BV207" s="295">
        <f>BU207</f>
        <v>11456</v>
      </c>
      <c r="BW207" s="290"/>
      <c r="BX207" s="295">
        <f>BX19</f>
        <v>7857</v>
      </c>
      <c r="BY207" s="295">
        <f>BY19</f>
        <v>6893</v>
      </c>
      <c r="BZ207" s="295">
        <f>BY207</f>
        <v>6893</v>
      </c>
      <c r="CA207" s="290"/>
      <c r="CB207" s="295">
        <f>CB19</f>
        <v>4752</v>
      </c>
      <c r="CC207" s="295">
        <f>CC19</f>
        <v>6166</v>
      </c>
      <c r="CD207" s="295">
        <f>CC207</f>
        <v>6166</v>
      </c>
      <c r="CE207" s="290"/>
      <c r="CF207" s="295">
        <f>CF19</f>
        <v>2153</v>
      </c>
      <c r="CG207" s="295">
        <f>CG19</f>
        <v>9023</v>
      </c>
      <c r="CH207" s="295">
        <f>CG207</f>
        <v>9023</v>
      </c>
      <c r="CI207" s="290"/>
      <c r="CJ207" s="295">
        <f>CJ19</f>
        <v>608</v>
      </c>
      <c r="CK207" s="295">
        <f>CK19</f>
        <v>1634</v>
      </c>
      <c r="CL207" s="295">
        <f>CK207</f>
        <v>1634</v>
      </c>
      <c r="CM207" s="290"/>
      <c r="CN207" s="295">
        <f>CN19</f>
        <v>2176</v>
      </c>
      <c r="CO207" s="295">
        <f>CO19</f>
        <v>279</v>
      </c>
      <c r="CP207" s="295">
        <f>CO207</f>
        <v>279</v>
      </c>
      <c r="CQ207" s="290"/>
      <c r="CR207" s="295">
        <f>CR19</f>
        <v>1940</v>
      </c>
      <c r="CS207" s="295">
        <f>+CS205+CS206</f>
        <v>1978.8</v>
      </c>
      <c r="CT207" s="295">
        <f>CS207</f>
        <v>1978.8</v>
      </c>
      <c r="CU207" s="290"/>
      <c r="CV207" s="295">
        <f>CV19</f>
        <v>707</v>
      </c>
      <c r="CW207" s="1390">
        <f>+CW205+CW206</f>
        <v>721.14</v>
      </c>
      <c r="CX207" s="295">
        <f>CW207</f>
        <v>721.14</v>
      </c>
      <c r="CY207" s="290"/>
      <c r="CZ207" s="295">
        <f>CZ19</f>
        <v>1802</v>
      </c>
      <c r="DA207" s="1390">
        <f>+DA205+DA206</f>
        <v>1838.04</v>
      </c>
      <c r="DB207" s="295">
        <f>DA207</f>
        <v>1838.04</v>
      </c>
      <c r="DC207" s="290"/>
      <c r="DD207" s="295">
        <f>DD19</f>
        <v>3020</v>
      </c>
      <c r="DE207" s="1390">
        <f>+DE205+DE206</f>
        <v>3080.4</v>
      </c>
      <c r="DF207" s="295">
        <f>DE207</f>
        <v>3080.4</v>
      </c>
      <c r="DG207" s="290"/>
      <c r="DH207" s="295">
        <f>DH19</f>
        <v>11533</v>
      </c>
      <c r="DI207" s="295">
        <f>+DI205+DI206</f>
        <v>11763.66</v>
      </c>
      <c r="DJ207" s="295">
        <f>DI207</f>
        <v>11763.66</v>
      </c>
      <c r="DK207" s="290"/>
      <c r="DL207" s="295">
        <f>+DL205+DL206</f>
        <v>11998.933199999999</v>
      </c>
      <c r="DM207" s="295">
        <f>+DM205+DM206</f>
        <v>12238.911864</v>
      </c>
      <c r="DN207" s="295">
        <f>DM207</f>
        <v>12238.911864</v>
      </c>
      <c r="DO207" s="290"/>
      <c r="DP207" s="295">
        <f>+DP205+DP206</f>
        <v>12483.690101279999</v>
      </c>
      <c r="DQ207" s="295">
        <f>+DQ205+DQ206</f>
        <v>12733.363903305599</v>
      </c>
      <c r="DR207" s="295">
        <f>DQ207</f>
        <v>12733.363903305599</v>
      </c>
      <c r="DS207" s="290"/>
      <c r="DT207" s="290"/>
      <c r="DU207" s="295"/>
      <c r="DV207" s="295"/>
      <c r="DW207" s="295"/>
      <c r="DX207" s="290"/>
      <c r="DY207" s="290"/>
      <c r="EA207" s="290"/>
      <c r="EB207" s="290"/>
      <c r="EC207" s="290"/>
      <c r="ED207" s="290"/>
      <c r="EE207" s="290"/>
      <c r="EF207" s="290"/>
      <c r="EG207" s="290"/>
      <c r="EH207"/>
    </row>
    <row r="208" spans="1:138">
      <c r="A208" s="328" t="s">
        <v>382</v>
      </c>
      <c r="BE208" s="295"/>
      <c r="BH208" s="295"/>
      <c r="BI208" s="295"/>
      <c r="BL208" s="295"/>
      <c r="BM208" s="295"/>
      <c r="BP208" s="295"/>
      <c r="BQ208" s="295"/>
      <c r="BT208" s="295"/>
      <c r="BU208" s="295"/>
      <c r="BX208" s="295"/>
      <c r="BY208" s="295"/>
      <c r="CB208" s="295"/>
      <c r="CC208" s="295"/>
      <c r="CF208" s="295"/>
      <c r="CG208" s="295"/>
      <c r="CJ208" s="295"/>
      <c r="CK208" s="295"/>
      <c r="CN208" s="295"/>
      <c r="CO208" s="295"/>
      <c r="CR208" s="295"/>
      <c r="CS208" s="295"/>
      <c r="CV208" s="295"/>
      <c r="CW208" s="1390"/>
      <c r="CZ208" s="295"/>
      <c r="DA208" s="1390"/>
      <c r="DD208" s="295"/>
      <c r="DE208" s="1390"/>
      <c r="DH208" s="295"/>
      <c r="DI208" s="295"/>
      <c r="DL208" s="295"/>
      <c r="DM208" s="295"/>
      <c r="DP208" s="295"/>
      <c r="DQ208" s="295"/>
      <c r="DU208" s="295"/>
      <c r="DV208" s="295"/>
      <c r="DY208" s="103"/>
      <c r="EA208" s="103"/>
      <c r="EB208" s="103"/>
      <c r="EC208" s="103"/>
      <c r="ED208" s="103"/>
      <c r="EE208" s="103"/>
      <c r="EF208" s="103"/>
      <c r="EG208" s="103"/>
    </row>
    <row r="209" spans="1:138">
      <c r="A209" s="323" t="str">
        <f>A205</f>
        <v>Equity Securities</v>
      </c>
      <c r="BE209" s="324"/>
      <c r="BH209" s="324">
        <f>+BH205/BE205-1</f>
        <v>7.5732899022801226E-2</v>
      </c>
      <c r="BI209" s="324">
        <f>+BI205/BH205-1</f>
        <v>0.19454958364875097</v>
      </c>
      <c r="BL209" s="324">
        <f>+BL205/BI205-1</f>
        <v>6.6856780735107701E-2</v>
      </c>
      <c r="BM209" s="324">
        <f>+BM205/BL205-1</f>
        <v>-0.40451440451440457</v>
      </c>
      <c r="BP209" s="324">
        <f>+BP205/BM205-1</f>
        <v>9.4763092269327664E-3</v>
      </c>
      <c r="BQ209" s="324">
        <f>+BQ205/BP205-1</f>
        <v>0.20750988142292481</v>
      </c>
      <c r="BT209" s="324">
        <f>+BT205/BQ205-1</f>
        <v>0.22749590834697209</v>
      </c>
      <c r="BU209" s="324">
        <f>+BU205/BT205-1</f>
        <v>0</v>
      </c>
      <c r="BX209" s="324">
        <f>+BX205/BU205-1</f>
        <v>-0.23333333333333328</v>
      </c>
      <c r="BY209" s="324">
        <f>+BY205/BX205-1</f>
        <v>-0.13043478260869568</v>
      </c>
      <c r="CB209" s="324">
        <f>+CB205/BY205-1</f>
        <v>1.0499999999999998</v>
      </c>
      <c r="CC209" s="324">
        <f>+CC205/CB205-1</f>
        <v>-0.26829268292682928</v>
      </c>
      <c r="CF209" s="324">
        <f>+CF205/CC205-1</f>
        <v>-0.6</v>
      </c>
      <c r="CG209" s="324">
        <f>+CG205/CF205-1</f>
        <v>-0.5</v>
      </c>
      <c r="CJ209" s="324">
        <f>+CJ205/CG205-1</f>
        <v>-0.33333333333333337</v>
      </c>
      <c r="CK209" s="324">
        <f>+CK205/CJ205-1</f>
        <v>-0.75</v>
      </c>
      <c r="CN209" s="324"/>
      <c r="CO209" s="324"/>
      <c r="CR209" s="324" t="str">
        <f>+IFERROR(CR205/CO205-1,"")</f>
        <v/>
      </c>
      <c r="CS209" s="324" t="str">
        <f t="shared" ref="CS209" si="191">+IFERROR(CS205/CR205-1,"")</f>
        <v/>
      </c>
      <c r="CV209" s="324" t="str">
        <f>+IFERROR(CV205/CS205-1,"")</f>
        <v/>
      </c>
      <c r="CW209" s="324" t="str">
        <f t="shared" ref="CW209" si="192">+IFERROR(CW205/CV205-1,"")</f>
        <v/>
      </c>
      <c r="CZ209" s="324" t="str">
        <f>+IFERROR(CZ205/CW205-1,"")</f>
        <v/>
      </c>
      <c r="DA209" s="324" t="str">
        <f t="shared" ref="DA209" si="193">+IFERROR(DA205/CZ205-1,"")</f>
        <v/>
      </c>
      <c r="DD209" s="324" t="str">
        <f>+IFERROR(DD205/DA205-1,"")</f>
        <v/>
      </c>
      <c r="DE209" s="324" t="str">
        <f t="shared" ref="DE209" si="194">+IFERROR(DE205/DD205-1,"")</f>
        <v/>
      </c>
      <c r="DH209" s="324" t="str">
        <f>+IFERROR(DH205/DE205-1,"")</f>
        <v/>
      </c>
      <c r="DI209" s="324" t="str">
        <f t="shared" ref="DI209" si="195">+IFERROR(DI205/DH205-1,"")</f>
        <v/>
      </c>
      <c r="DL209" s="324" t="str">
        <f t="shared" ref="DL209" si="196">+IFERROR(DL205/DI205-1,"")</f>
        <v/>
      </c>
      <c r="DM209" s="324" t="str">
        <f t="shared" ref="DM209" si="197">+IFERROR(DM205/DL205-1,"")</f>
        <v/>
      </c>
      <c r="DP209" s="324" t="str">
        <f t="shared" ref="DP209" si="198">+IFERROR(DP205/DM205-1,"")</f>
        <v/>
      </c>
      <c r="DQ209" s="324" t="str">
        <f t="shared" ref="DQ209" si="199">+IFERROR(DQ205/DP205-1,"")</f>
        <v/>
      </c>
      <c r="DU209" s="1072"/>
      <c r="DV209" s="1072"/>
      <c r="DY209" s="103"/>
      <c r="EA209" s="103"/>
      <c r="EB209" s="103"/>
      <c r="EC209" s="103"/>
      <c r="ED209" s="103"/>
      <c r="EE209" s="103"/>
      <c r="EF209" s="103"/>
      <c r="EG209" s="103"/>
    </row>
    <row r="210" spans="1:138">
      <c r="A210" s="642" t="str">
        <f>A206</f>
        <v>Debt Securities</v>
      </c>
      <c r="B210" s="302"/>
      <c r="C210" s="304"/>
      <c r="D210" s="302"/>
      <c r="E210" s="302"/>
      <c r="F210" s="302"/>
      <c r="G210" s="302"/>
      <c r="H210" s="302"/>
      <c r="I210" s="302"/>
      <c r="J210" s="302"/>
      <c r="K210" s="302"/>
      <c r="L210" s="302"/>
      <c r="M210" s="302"/>
      <c r="N210" s="302"/>
      <c r="O210" s="302"/>
      <c r="P210" s="304"/>
      <c r="Q210" s="304"/>
      <c r="R210" s="304"/>
      <c r="S210" s="304"/>
      <c r="T210" s="304"/>
      <c r="U210" s="304"/>
      <c r="V210" s="304"/>
      <c r="W210" s="304"/>
      <c r="X210" s="304"/>
      <c r="Y210" s="304"/>
      <c r="Z210" s="304"/>
      <c r="AA210" s="304"/>
      <c r="AB210" s="304"/>
      <c r="AC210" s="304"/>
      <c r="AD210" s="304"/>
      <c r="AE210" s="304"/>
      <c r="AF210" s="304"/>
      <c r="AG210" s="304"/>
      <c r="AH210" s="304"/>
      <c r="AI210" s="304"/>
      <c r="AJ210" s="304"/>
      <c r="AK210" s="304"/>
      <c r="AL210" s="304"/>
      <c r="AM210" s="304"/>
      <c r="AN210" s="304"/>
      <c r="AO210" s="304"/>
      <c r="AP210" s="304"/>
      <c r="AQ210" s="304"/>
      <c r="AR210" s="304"/>
      <c r="AS210" s="304"/>
      <c r="AT210" s="304"/>
      <c r="AU210" s="304"/>
      <c r="AV210" s="304"/>
      <c r="AW210" s="304"/>
      <c r="AX210" s="304"/>
      <c r="AY210" s="304"/>
      <c r="AZ210" s="304"/>
      <c r="BA210" s="304"/>
      <c r="BB210" s="304"/>
      <c r="BC210" s="304"/>
      <c r="BD210" s="304"/>
      <c r="BE210" s="643"/>
      <c r="BF210" s="304"/>
      <c r="BG210" s="304"/>
      <c r="BH210" s="643">
        <f>+BH206/BE206-1</f>
        <v>0.12991777356103729</v>
      </c>
      <c r="BI210" s="643">
        <f>+BI206/BH206-1</f>
        <v>-0.22184281236005376</v>
      </c>
      <c r="BJ210" s="304"/>
      <c r="BK210" s="304"/>
      <c r="BL210" s="643">
        <f>+BL206/BI206-1</f>
        <v>-4.9636716782965218E-2</v>
      </c>
      <c r="BM210" s="643">
        <f>+BM206/BL206-1</f>
        <v>-8.8184089016728473E-2</v>
      </c>
      <c r="BN210" s="304"/>
      <c r="BO210" s="304"/>
      <c r="BP210" s="643">
        <f>+BP206/BM206-1</f>
        <v>-0.39606508384525985</v>
      </c>
      <c r="BQ210" s="643">
        <f>+BQ206/BP206-1</f>
        <v>-0.11312714776632304</v>
      </c>
      <c r="BR210" s="304"/>
      <c r="BS210" s="304"/>
      <c r="BT210" s="643">
        <f>+BT206/BQ206-1</f>
        <v>0.19451332920024789</v>
      </c>
      <c r="BU210" s="643">
        <f>+BU206/BT206-1</f>
        <v>9.7184377838328784E-2</v>
      </c>
      <c r="BV210" s="304"/>
      <c r="BW210" s="680"/>
      <c r="BX210" s="643">
        <f>+BX206/BU206-1</f>
        <v>-0.34283349101229899</v>
      </c>
      <c r="BY210" s="643">
        <f>+BY206/BX206-1</f>
        <v>-0.11948893287745188</v>
      </c>
      <c r="BZ210" s="304"/>
      <c r="CA210" s="680"/>
      <c r="CB210" s="643">
        <f>+CB206/BY206-1</f>
        <v>-0.86674841610463926</v>
      </c>
      <c r="CC210" s="643">
        <f>+CC206/CB206-1</f>
        <v>3.8558282208588954</v>
      </c>
      <c r="CD210" s="304"/>
      <c r="CE210" s="680"/>
      <c r="CF210" s="643">
        <f>+CF206/CC206-1</f>
        <v>-0.69898926089703095</v>
      </c>
      <c r="CG210" s="643">
        <f>+CG206/CF206-1</f>
        <v>7.8384050367261278</v>
      </c>
      <c r="CH210" s="304"/>
      <c r="CI210" s="680"/>
      <c r="CJ210" s="643">
        <f>+CJ206/CG206-1</f>
        <v>-0.97530571055443427</v>
      </c>
      <c r="CK210" s="643">
        <f>+CK206/CJ206-1</f>
        <v>6.375</v>
      </c>
      <c r="CL210" s="304"/>
      <c r="CM210" s="680"/>
      <c r="CN210" s="643">
        <f>+CN206/CK206-1</f>
        <v>0.41851368970013048</v>
      </c>
      <c r="CO210" s="643">
        <f>+CO206/CN206-1</f>
        <v>-0.87178308823529416</v>
      </c>
      <c r="CP210" s="304"/>
      <c r="CQ210" s="680"/>
      <c r="CR210" s="643">
        <f>+CR206/CO206-1</f>
        <v>5.9534050179211473</v>
      </c>
      <c r="CS210" s="681">
        <v>0.02</v>
      </c>
      <c r="CT210" s="680"/>
      <c r="CU210" s="680"/>
      <c r="CV210" s="643">
        <f>+CV206/CS206-1</f>
        <v>-0.64271275520517479</v>
      </c>
      <c r="CW210" s="681">
        <v>0.02</v>
      </c>
      <c r="CX210" s="680"/>
      <c r="CY210" s="680"/>
      <c r="CZ210" s="643">
        <f>+CZ206/CW206-1</f>
        <v>1.4988213107024988</v>
      </c>
      <c r="DA210" s="681">
        <v>0.02</v>
      </c>
      <c r="DB210" s="680"/>
      <c r="DC210" s="680"/>
      <c r="DD210" s="643">
        <f>+DD206/DA206-1</f>
        <v>0.64305455811625434</v>
      </c>
      <c r="DE210" s="681">
        <v>0.02</v>
      </c>
      <c r="DF210" s="680"/>
      <c r="DG210" s="680"/>
      <c r="DH210" s="643">
        <f>+DH206/DE206-1</f>
        <v>2.7439942864563043</v>
      </c>
      <c r="DI210" s="681">
        <v>0.02</v>
      </c>
      <c r="DJ210" s="680"/>
      <c r="DK210" s="680"/>
      <c r="DL210" s="681">
        <v>0.02</v>
      </c>
      <c r="DM210" s="681">
        <v>0.02</v>
      </c>
      <c r="DN210" s="680"/>
      <c r="DO210" s="680"/>
      <c r="DP210" s="681">
        <v>0.02</v>
      </c>
      <c r="DQ210" s="681">
        <v>0.02</v>
      </c>
      <c r="DR210" s="680"/>
      <c r="DS210" s="680"/>
      <c r="DU210" s="1077"/>
      <c r="DV210" s="1077"/>
      <c r="DY210" s="103"/>
      <c r="DZ210" s="102"/>
      <c r="EA210" s="103"/>
      <c r="EB210" s="103"/>
      <c r="EC210" s="103"/>
      <c r="ED210" s="103"/>
      <c r="EE210" s="103"/>
      <c r="EF210" s="103"/>
      <c r="EG210" s="103"/>
    </row>
    <row r="211" spans="1:138" s="289" customFormat="1">
      <c r="A211" s="328" t="str">
        <f>A207</f>
        <v>Total</v>
      </c>
      <c r="C211" s="290"/>
      <c r="P211" s="290"/>
      <c r="Q211" s="290"/>
      <c r="R211" s="290"/>
      <c r="S211" s="290"/>
      <c r="T211" s="290"/>
      <c r="U211" s="290"/>
      <c r="V211" s="290"/>
      <c r="W211" s="290"/>
      <c r="X211" s="290"/>
      <c r="Y211" s="290"/>
      <c r="Z211" s="290"/>
      <c r="AA211" s="290"/>
      <c r="AB211" s="290"/>
      <c r="AC211" s="290"/>
      <c r="AD211" s="290"/>
      <c r="AE211" s="290"/>
      <c r="AF211" s="290"/>
      <c r="AG211" s="290"/>
      <c r="AH211" s="290"/>
      <c r="AI211" s="290"/>
      <c r="AJ211" s="290"/>
      <c r="AK211" s="290"/>
      <c r="AL211" s="290"/>
      <c r="AM211" s="290"/>
      <c r="AN211" s="290"/>
      <c r="AO211" s="290"/>
      <c r="AP211" s="290"/>
      <c r="AQ211" s="290"/>
      <c r="AR211" s="290"/>
      <c r="AS211" s="290"/>
      <c r="AT211" s="290"/>
      <c r="AU211" s="290"/>
      <c r="AV211" s="290"/>
      <c r="AW211" s="290"/>
      <c r="AX211" s="290"/>
      <c r="AY211" s="290"/>
      <c r="AZ211" s="290"/>
      <c r="BA211" s="290"/>
      <c r="BB211" s="290"/>
      <c r="BC211" s="290"/>
      <c r="BD211" s="290"/>
      <c r="BE211" s="682"/>
      <c r="BF211" s="290"/>
      <c r="BG211" s="290"/>
      <c r="BH211" s="682">
        <f>+BH207/BE207-1</f>
        <v>0.12263221285448367</v>
      </c>
      <c r="BI211" s="682">
        <f>+BI207/BH207-1</f>
        <v>-0.16819467472934746</v>
      </c>
      <c r="BJ211" s="290"/>
      <c r="BK211" s="290"/>
      <c r="BL211" s="682">
        <f>+BL207/BI207-1</f>
        <v>-2.8082312247171282E-2</v>
      </c>
      <c r="BM211" s="682">
        <f>+BM207/BL207-1</f>
        <v>-0.15243093256122575</v>
      </c>
      <c r="BN211" s="290"/>
      <c r="BO211" s="290"/>
      <c r="BP211" s="682">
        <f>+BP207/BM207-1</f>
        <v>-0.33819656963917155</v>
      </c>
      <c r="BQ211" s="682">
        <f>+BQ207/BP207-1</f>
        <v>-4.3337993332616453E-2</v>
      </c>
      <c r="BR211" s="290"/>
      <c r="BS211" s="290"/>
      <c r="BT211" s="682">
        <f>+BT207/BQ207-1</f>
        <v>0.20357464028776984</v>
      </c>
      <c r="BU211" s="682">
        <f>+BU207/BT207-1</f>
        <v>6.995423554683855E-2</v>
      </c>
      <c r="BV211" s="290"/>
      <c r="BW211" s="290"/>
      <c r="BX211" s="682">
        <f>+BX207/BU207-1</f>
        <v>-0.31415851955307261</v>
      </c>
      <c r="BY211" s="682">
        <f>+BY207/BX207-1</f>
        <v>-0.12269313987527042</v>
      </c>
      <c r="BZ211" s="290"/>
      <c r="CA211" s="290"/>
      <c r="CB211" s="682">
        <f>+CB207/BY207-1</f>
        <v>-0.3106049615552009</v>
      </c>
      <c r="CC211" s="682">
        <f>+CC207/CB207-1</f>
        <v>0.29755892255892258</v>
      </c>
      <c r="CD211" s="290"/>
      <c r="CE211" s="290"/>
      <c r="CF211" s="682">
        <f>+CF207/CC207-1</f>
        <v>-0.650827116445021</v>
      </c>
      <c r="CG211" s="682">
        <f>+CG207/CF207-1</f>
        <v>3.1908964235949835</v>
      </c>
      <c r="CH211" s="290"/>
      <c r="CI211" s="290"/>
      <c r="CJ211" s="682">
        <f>+CJ207/CG207-1</f>
        <v>-0.93261664634822117</v>
      </c>
      <c r="CK211" s="682">
        <f>+CK207/CJ207-1</f>
        <v>1.6875</v>
      </c>
      <c r="CL211" s="290"/>
      <c r="CM211" s="290"/>
      <c r="CN211" s="682">
        <f>+CN207/CK207-1</f>
        <v>0.33170134638922888</v>
      </c>
      <c r="CO211" s="682">
        <f>+CO207/CN207-1</f>
        <v>-0.87178308823529416</v>
      </c>
      <c r="CP211" s="290"/>
      <c r="CQ211" s="290"/>
      <c r="CR211" s="682">
        <f>+CR207/CO207-1</f>
        <v>5.9534050179211473</v>
      </c>
      <c r="CS211" s="682">
        <f>+CS207/CR207-1</f>
        <v>2.0000000000000018E-2</v>
      </c>
      <c r="CT211" s="290"/>
      <c r="CU211" s="290"/>
      <c r="CV211" s="682">
        <f>+CV207/CS207-1</f>
        <v>-0.64271275520517479</v>
      </c>
      <c r="CW211" s="682">
        <f>+CW207/CV207-1</f>
        <v>2.0000000000000018E-2</v>
      </c>
      <c r="CX211" s="290"/>
      <c r="CY211" s="290"/>
      <c r="CZ211" s="682">
        <f>+CZ207/CW207-1</f>
        <v>1.4988213107024988</v>
      </c>
      <c r="DA211" s="682">
        <f>+DA207/CZ207-1</f>
        <v>2.0000000000000018E-2</v>
      </c>
      <c r="DB211" s="290"/>
      <c r="DC211" s="290"/>
      <c r="DD211" s="682">
        <f>+DD207/DA207-1</f>
        <v>0.64305455811625434</v>
      </c>
      <c r="DE211" s="682">
        <f>+DE207/DD207-1</f>
        <v>2.0000000000000018E-2</v>
      </c>
      <c r="DF211" s="290"/>
      <c r="DG211" s="290"/>
      <c r="DH211" s="682">
        <f>+DH207/DE207-1</f>
        <v>2.7439942864563043</v>
      </c>
      <c r="DI211" s="682">
        <f>+DI207/DH207-1</f>
        <v>2.0000000000000018E-2</v>
      </c>
      <c r="DJ211" s="290"/>
      <c r="DK211" s="290"/>
      <c r="DL211" s="682">
        <f>+DL207/DI207-1</f>
        <v>2.0000000000000018E-2</v>
      </c>
      <c r="DM211" s="682">
        <f>+DM207/DL207-1</f>
        <v>2.0000000000000018E-2</v>
      </c>
      <c r="DN211" s="290"/>
      <c r="DO211" s="290"/>
      <c r="DP211" s="682">
        <f>+DP207/DM207-1</f>
        <v>2.0000000000000018E-2</v>
      </c>
      <c r="DQ211" s="682">
        <f>+DQ207/DP207-1</f>
        <v>2.0000000000000018E-2</v>
      </c>
      <c r="DR211" s="290"/>
      <c r="DS211" s="290"/>
      <c r="DT211" s="290"/>
      <c r="DU211" s="1078"/>
      <c r="DV211" s="1078"/>
      <c r="DW211" s="290"/>
      <c r="DX211" s="290"/>
      <c r="DY211" s="290"/>
      <c r="EA211" s="290"/>
      <c r="EB211" s="290"/>
      <c r="EC211" s="290"/>
      <c r="ED211" s="290"/>
      <c r="EE211" s="290"/>
      <c r="EF211" s="290"/>
      <c r="EG211" s="290"/>
      <c r="EH211"/>
    </row>
    <row r="212" spans="1:138">
      <c r="BH212" s="293"/>
      <c r="BI212" s="295"/>
      <c r="BL212" s="293"/>
      <c r="BM212" s="295"/>
      <c r="BP212" s="293"/>
      <c r="BQ212" s="295"/>
      <c r="BT212" s="293"/>
      <c r="BU212" s="295"/>
      <c r="BX212" s="293"/>
      <c r="BY212" s="295"/>
      <c r="CB212" s="293"/>
      <c r="CC212" s="295"/>
      <c r="CF212" s="293"/>
      <c r="CG212" s="295"/>
      <c r="CJ212" s="293"/>
      <c r="CK212" s="295"/>
      <c r="CN212" s="293"/>
      <c r="CO212" s="295"/>
      <c r="CR212" s="293"/>
      <c r="CS212" s="295"/>
      <c r="CV212" s="293"/>
      <c r="CW212" s="1390"/>
      <c r="CZ212" s="293"/>
      <c r="DA212" s="1390"/>
      <c r="DD212" s="293"/>
      <c r="DE212" s="1390"/>
      <c r="DH212" s="293"/>
      <c r="DI212" s="295"/>
      <c r="DL212" s="293"/>
      <c r="DM212" s="295"/>
      <c r="DP212" s="293"/>
      <c r="DQ212" s="295"/>
      <c r="DU212" s="293"/>
      <c r="DV212" s="295"/>
      <c r="DY212" s="103"/>
      <c r="EA212" s="103"/>
      <c r="EB212" s="103"/>
      <c r="EC212" s="103"/>
      <c r="ED212" s="103"/>
      <c r="EE212" s="103"/>
      <c r="EF212" s="103"/>
      <c r="EG212" s="103"/>
    </row>
    <row r="213" spans="1:138">
      <c r="A213" s="289" t="s">
        <v>385</v>
      </c>
      <c r="BI213" s="295"/>
      <c r="BM213" s="295"/>
      <c r="BQ213" s="295"/>
      <c r="BU213" s="295"/>
      <c r="BY213" s="295"/>
      <c r="CC213" s="295"/>
      <c r="CG213" s="295"/>
      <c r="CK213" s="295"/>
      <c r="CO213" s="295"/>
      <c r="CS213" s="295"/>
      <c r="CW213" s="1390"/>
      <c r="DA213" s="1390"/>
      <c r="DE213" s="1390"/>
      <c r="DI213" s="295"/>
      <c r="DM213" s="295"/>
      <c r="DQ213" s="295"/>
      <c r="DV213" s="295"/>
      <c r="DY213" s="103"/>
      <c r="EA213" s="103"/>
      <c r="EB213" s="103"/>
      <c r="EC213" s="103"/>
      <c r="ED213" s="103"/>
      <c r="EE213" s="103"/>
      <c r="EF213" s="103"/>
      <c r="EG213" s="103"/>
    </row>
    <row r="214" spans="1:138">
      <c r="A214" s="102" t="s">
        <v>235</v>
      </c>
      <c r="BE214" s="293">
        <f>BE145</f>
        <v>2664</v>
      </c>
      <c r="BH214" s="293">
        <f>BH145</f>
        <v>2285</v>
      </c>
      <c r="BI214" s="293">
        <f>BI145</f>
        <v>2048</v>
      </c>
      <c r="BL214" s="293">
        <f>BL145</f>
        <v>2497</v>
      </c>
      <c r="BM214" s="293">
        <f>BM145</f>
        <v>2447</v>
      </c>
      <c r="BP214" s="293">
        <f>BP145</f>
        <v>2483</v>
      </c>
      <c r="BQ214" s="293">
        <f>BQ145</f>
        <v>2328</v>
      </c>
      <c r="BT214" s="293">
        <f>BT145</f>
        <v>2779</v>
      </c>
      <c r="BU214" s="293">
        <f>BU145</f>
        <v>2700</v>
      </c>
      <c r="BX214" s="293">
        <f>BX145</f>
        <v>2600</v>
      </c>
      <c r="BY214" s="293">
        <f>BY145</f>
        <v>4300</v>
      </c>
      <c r="CB214" s="293">
        <f>CB145</f>
        <v>3600</v>
      </c>
      <c r="CC214" s="293">
        <f>CC145</f>
        <v>4100</v>
      </c>
      <c r="CF214" s="293">
        <f>CF145</f>
        <v>4100</v>
      </c>
      <c r="CG214" s="293">
        <f>CG145</f>
        <v>4200</v>
      </c>
      <c r="CJ214" s="293">
        <f>CJ145</f>
        <v>8500</v>
      </c>
      <c r="CK214" s="293">
        <f>CK145</f>
        <v>8300</v>
      </c>
      <c r="CN214" s="293">
        <f>CN145</f>
        <v>7400</v>
      </c>
      <c r="CO214" s="293">
        <f>CO145</f>
        <v>4300</v>
      </c>
      <c r="CR214" s="293">
        <f>CR145</f>
        <v>5000</v>
      </c>
      <c r="CS214" s="293">
        <f>CS145</f>
        <v>4900</v>
      </c>
      <c r="CV214" s="293">
        <f>CV145</f>
        <v>5300</v>
      </c>
      <c r="CW214" s="1495">
        <f>CW145</f>
        <v>5900</v>
      </c>
      <c r="CZ214" s="293">
        <f>CZ145</f>
        <v>6900</v>
      </c>
      <c r="DA214" s="1495">
        <f>DA145</f>
        <v>8500</v>
      </c>
      <c r="DD214" s="293">
        <f>DD145</f>
        <v>8500</v>
      </c>
      <c r="DE214" s="1495">
        <f>DE145</f>
        <v>9100</v>
      </c>
      <c r="DH214" s="293">
        <f>DH145</f>
        <v>8800</v>
      </c>
      <c r="DI214" s="293">
        <f>DI145</f>
        <v>8495.226730949511</v>
      </c>
      <c r="DL214" s="293">
        <f>DL145</f>
        <v>8781.7570322753454</v>
      </c>
      <c r="DM214" s="293">
        <f>DM145</f>
        <v>9083.4145366546145</v>
      </c>
      <c r="DP214" s="293">
        <f>DP145</f>
        <v>9401.3030410612027</v>
      </c>
      <c r="DQ214" s="293">
        <f>DQ145</f>
        <v>9736.6216233602645</v>
      </c>
      <c r="DU214" s="293"/>
      <c r="DV214" s="293"/>
      <c r="DY214" s="103"/>
      <c r="EA214" s="103"/>
      <c r="EB214" s="103"/>
      <c r="EC214" s="103"/>
      <c r="ED214" s="103"/>
      <c r="EE214" s="103"/>
      <c r="EF214" s="103"/>
      <c r="EG214" s="103"/>
    </row>
    <row r="215" spans="1:138">
      <c r="A215" s="302" t="s">
        <v>599</v>
      </c>
      <c r="B215" s="302"/>
      <c r="C215" s="304"/>
      <c r="D215" s="302"/>
      <c r="E215" s="302"/>
      <c r="F215" s="302"/>
      <c r="G215" s="302"/>
      <c r="H215" s="302"/>
      <c r="I215" s="302"/>
      <c r="J215" s="302"/>
      <c r="K215" s="302"/>
      <c r="L215" s="302"/>
      <c r="M215" s="302"/>
      <c r="N215" s="302"/>
      <c r="O215" s="302"/>
      <c r="P215" s="304"/>
      <c r="Q215" s="304"/>
      <c r="R215" s="304"/>
      <c r="S215" s="304"/>
      <c r="T215" s="304"/>
      <c r="U215" s="304"/>
      <c r="V215" s="304"/>
      <c r="W215" s="304"/>
      <c r="X215" s="304"/>
      <c r="Y215" s="304"/>
      <c r="Z215" s="304"/>
      <c r="AA215" s="304"/>
      <c r="AB215" s="304"/>
      <c r="AC215" s="304"/>
      <c r="AD215" s="304"/>
      <c r="AE215" s="304"/>
      <c r="AF215" s="304"/>
      <c r="AG215" s="304"/>
      <c r="AH215" s="304"/>
      <c r="AI215" s="304"/>
      <c r="AJ215" s="304"/>
      <c r="AK215" s="304"/>
      <c r="AL215" s="304"/>
      <c r="AM215" s="304"/>
      <c r="AN215" s="304"/>
      <c r="AO215" s="304"/>
      <c r="AP215" s="304"/>
      <c r="AQ215" s="304"/>
      <c r="AR215" s="304"/>
      <c r="AS215" s="304"/>
      <c r="AT215" s="304"/>
      <c r="AU215" s="304"/>
      <c r="AV215" s="304"/>
      <c r="AW215" s="304"/>
      <c r="AX215" s="304"/>
      <c r="AY215" s="304"/>
      <c r="AZ215" s="304"/>
      <c r="BA215" s="304"/>
      <c r="BB215" s="304"/>
      <c r="BC215" s="304"/>
      <c r="BD215" s="304"/>
      <c r="BE215" s="303">
        <f>+BE216-BE214</f>
        <v>0</v>
      </c>
      <c r="BF215" s="304"/>
      <c r="BG215" s="304"/>
      <c r="BH215" s="303">
        <f>+BH216-BH214</f>
        <v>0</v>
      </c>
      <c r="BI215" s="303">
        <f>+BI216-BI214</f>
        <v>0</v>
      </c>
      <c r="BJ215" s="304"/>
      <c r="BK215" s="304"/>
      <c r="BL215" s="303">
        <f>+BL216-BL214</f>
        <v>0</v>
      </c>
      <c r="BM215" s="303">
        <f>+BM216-BM214</f>
        <v>0</v>
      </c>
      <c r="BN215" s="304"/>
      <c r="BO215" s="304"/>
      <c r="BP215" s="303">
        <f>+BP216-BP214</f>
        <v>0</v>
      </c>
      <c r="BQ215" s="303">
        <f>+BQ216-BQ214</f>
        <v>0</v>
      </c>
      <c r="BR215" s="304"/>
      <c r="BS215" s="304"/>
      <c r="BT215" s="303">
        <f>+BT216-BT214</f>
        <v>0</v>
      </c>
      <c r="BU215" s="303">
        <f>+BU216-BU214</f>
        <v>-9</v>
      </c>
      <c r="BV215" s="304"/>
      <c r="BW215" s="680"/>
      <c r="BX215" s="303">
        <f>+BX216-BX214</f>
        <v>-552</v>
      </c>
      <c r="BY215" s="303">
        <f>+BY216-BY214</f>
        <v>-2205</v>
      </c>
      <c r="BZ215" s="304"/>
      <c r="CA215" s="680"/>
      <c r="CB215" s="303">
        <f>+CB216-CB214</f>
        <v>22</v>
      </c>
      <c r="CC215" s="303">
        <f>+CC216-CC214</f>
        <v>-45</v>
      </c>
      <c r="CD215" s="304"/>
      <c r="CE215" s="680"/>
      <c r="CF215" s="303">
        <f>+CF216-CF214</f>
        <v>43</v>
      </c>
      <c r="CG215" s="303">
        <f>+CG216-CG214</f>
        <v>19</v>
      </c>
      <c r="CH215" s="304"/>
      <c r="CI215" s="680"/>
      <c r="CJ215" s="303">
        <f>+CJ216-CJ214</f>
        <v>0</v>
      </c>
      <c r="CK215" s="303">
        <f>+CK216-CK214</f>
        <v>19</v>
      </c>
      <c r="CL215" s="304"/>
      <c r="CM215" s="680"/>
      <c r="CN215" s="303">
        <f>+CN216-CN214</f>
        <v>-1388</v>
      </c>
      <c r="CO215" s="303">
        <f>+CO216-CO214</f>
        <v>-106</v>
      </c>
      <c r="CP215" s="304"/>
      <c r="CQ215" s="680"/>
      <c r="CR215" s="303">
        <f>+CR216-CR214</f>
        <v>-325</v>
      </c>
      <c r="CS215" s="303">
        <f>+CS216-CS214</f>
        <v>-527</v>
      </c>
      <c r="CT215" s="304"/>
      <c r="CU215" s="680"/>
      <c r="CV215" s="303">
        <f>+CV216-CV214</f>
        <v>-460</v>
      </c>
      <c r="CW215" s="1799">
        <f>+CW216-CW214</f>
        <v>-326</v>
      </c>
      <c r="CX215" s="304"/>
      <c r="CY215" s="680"/>
      <c r="CZ215" s="303">
        <f>+CZ216-CZ214</f>
        <v>-726</v>
      </c>
      <c r="DA215" s="1799">
        <f>+DA216-DA214</f>
        <v>-1531</v>
      </c>
      <c r="DB215" s="304"/>
      <c r="DC215" s="680"/>
      <c r="DD215" s="303">
        <f>+DD216-DD214</f>
        <v>-1349</v>
      </c>
      <c r="DE215" s="1799">
        <f>+DE216-DE214</f>
        <v>-1380</v>
      </c>
      <c r="DF215" s="304"/>
      <c r="DG215" s="680"/>
      <c r="DH215" s="303">
        <f>+DH216-DH214</f>
        <v>-1850</v>
      </c>
      <c r="DI215" s="683">
        <v>0</v>
      </c>
      <c r="DJ215" s="680"/>
      <c r="DK215" s="680"/>
      <c r="DL215" s="683">
        <v>0</v>
      </c>
      <c r="DM215" s="683">
        <v>0</v>
      </c>
      <c r="DN215" s="680"/>
      <c r="DO215" s="680"/>
      <c r="DP215" s="683">
        <v>0</v>
      </c>
      <c r="DQ215" s="683">
        <v>0</v>
      </c>
      <c r="DR215" s="680"/>
      <c r="DS215" s="680"/>
      <c r="DU215" s="626"/>
      <c r="DV215" s="626"/>
      <c r="DY215" s="103"/>
      <c r="DZ215" s="102"/>
      <c r="EA215" s="103"/>
      <c r="EB215" s="103"/>
      <c r="EC215" s="103"/>
      <c r="ED215" s="103"/>
      <c r="EE215" s="103"/>
      <c r="EF215" s="103"/>
      <c r="EG215" s="103"/>
    </row>
    <row r="216" spans="1:138" s="289" customFormat="1">
      <c r="A216" s="289" t="s">
        <v>588</v>
      </c>
      <c r="C216" s="290"/>
      <c r="P216" s="290"/>
      <c r="Q216" s="290"/>
      <c r="R216" s="290"/>
      <c r="S216" s="290"/>
      <c r="T216" s="290"/>
      <c r="U216" s="290"/>
      <c r="V216" s="290"/>
      <c r="W216" s="290"/>
      <c r="X216" s="290"/>
      <c r="Y216" s="290"/>
      <c r="Z216" s="290"/>
      <c r="AA216" s="290"/>
      <c r="AB216" s="290"/>
      <c r="AC216" s="290"/>
      <c r="AD216" s="290"/>
      <c r="AE216" s="290"/>
      <c r="AF216" s="290"/>
      <c r="AG216" s="290"/>
      <c r="AH216" s="290"/>
      <c r="AI216" s="290"/>
      <c r="AJ216" s="290"/>
      <c r="AK216" s="290"/>
      <c r="AL216" s="290"/>
      <c r="AM216" s="290"/>
      <c r="AN216" s="290"/>
      <c r="AO216" s="290"/>
      <c r="AP216" s="290"/>
      <c r="AQ216" s="290"/>
      <c r="AR216" s="290"/>
      <c r="AS216" s="290"/>
      <c r="AT216" s="290"/>
      <c r="AU216" s="290"/>
      <c r="AV216" s="290"/>
      <c r="AW216" s="290"/>
      <c r="AX216" s="290"/>
      <c r="AY216" s="290"/>
      <c r="AZ216" s="290"/>
      <c r="BA216" s="290"/>
      <c r="BB216" s="290"/>
      <c r="BC216" s="290"/>
      <c r="BD216" s="290"/>
      <c r="BE216" s="295">
        <f>BE23</f>
        <v>2664</v>
      </c>
      <c r="BF216" s="295">
        <f>BE216</f>
        <v>2664</v>
      </c>
      <c r="BG216" s="290"/>
      <c r="BH216" s="295">
        <f>BH23</f>
        <v>2285</v>
      </c>
      <c r="BI216" s="295">
        <f>BI23</f>
        <v>2048</v>
      </c>
      <c r="BJ216" s="295">
        <f>BI216</f>
        <v>2048</v>
      </c>
      <c r="BK216" s="290"/>
      <c r="BL216" s="295">
        <f>BL23</f>
        <v>2497</v>
      </c>
      <c r="BM216" s="295">
        <f>BM23</f>
        <v>2447</v>
      </c>
      <c r="BN216" s="295">
        <f>BM216</f>
        <v>2447</v>
      </c>
      <c r="BO216" s="290"/>
      <c r="BP216" s="295">
        <f>BP23</f>
        <v>2483</v>
      </c>
      <c r="BQ216" s="295">
        <f>BQ23</f>
        <v>2328</v>
      </c>
      <c r="BR216" s="295">
        <f>BQ216</f>
        <v>2328</v>
      </c>
      <c r="BS216" s="290"/>
      <c r="BT216" s="295">
        <f>BT23</f>
        <v>2779</v>
      </c>
      <c r="BU216" s="295">
        <f>BU23</f>
        <v>2691</v>
      </c>
      <c r="BV216" s="295">
        <f>BU216</f>
        <v>2691</v>
      </c>
      <c r="BW216" s="290"/>
      <c r="BX216" s="295">
        <f>BX23</f>
        <v>2048</v>
      </c>
      <c r="BY216" s="295">
        <f>BY23</f>
        <v>2095</v>
      </c>
      <c r="BZ216" s="295">
        <f>BY216</f>
        <v>2095</v>
      </c>
      <c r="CA216" s="290"/>
      <c r="CB216" s="295">
        <f>CB23</f>
        <v>3622</v>
      </c>
      <c r="CC216" s="295">
        <f>CC23</f>
        <v>4055</v>
      </c>
      <c r="CD216" s="295">
        <f>CC216</f>
        <v>4055</v>
      </c>
      <c r="CE216" s="290"/>
      <c r="CF216" s="295">
        <f>CF23</f>
        <v>4143</v>
      </c>
      <c r="CG216" s="295">
        <f>CG23</f>
        <v>4219</v>
      </c>
      <c r="CH216" s="295">
        <f>CG216</f>
        <v>4219</v>
      </c>
      <c r="CI216" s="290"/>
      <c r="CJ216" s="295">
        <f>CJ23</f>
        <v>8500</v>
      </c>
      <c r="CK216" s="295">
        <f>CK23</f>
        <v>8319</v>
      </c>
      <c r="CL216" s="295">
        <f>CK216</f>
        <v>8319</v>
      </c>
      <c r="CM216" s="290"/>
      <c r="CN216" s="295">
        <f>CN23</f>
        <v>6012</v>
      </c>
      <c r="CO216" s="295">
        <f>CO23</f>
        <v>4194</v>
      </c>
      <c r="CP216" s="295">
        <f>CO216</f>
        <v>4194</v>
      </c>
      <c r="CQ216" s="290"/>
      <c r="CR216" s="295">
        <f>CR23</f>
        <v>4675</v>
      </c>
      <c r="CS216" s="295">
        <f>CS23</f>
        <v>4373</v>
      </c>
      <c r="CT216" s="295">
        <f>CS216</f>
        <v>4373</v>
      </c>
      <c r="CU216" s="290"/>
      <c r="CV216" s="295">
        <f>CV23</f>
        <v>4840</v>
      </c>
      <c r="CW216" s="1390">
        <f>CW23</f>
        <v>5574</v>
      </c>
      <c r="CX216" s="295">
        <f>CW216</f>
        <v>5574</v>
      </c>
      <c r="CY216" s="290"/>
      <c r="CZ216" s="295">
        <f>CZ23</f>
        <v>6174</v>
      </c>
      <c r="DA216" s="1390">
        <f>DA23</f>
        <v>6969</v>
      </c>
      <c r="DB216" s="295">
        <f>DA216</f>
        <v>6969</v>
      </c>
      <c r="DC216" s="290"/>
      <c r="DD216" s="295">
        <f>DD23</f>
        <v>7151</v>
      </c>
      <c r="DE216" s="1390">
        <f>DE23</f>
        <v>7720</v>
      </c>
      <c r="DF216" s="295">
        <f>DE216</f>
        <v>7720</v>
      </c>
      <c r="DG216" s="290"/>
      <c r="DH216" s="295">
        <f>DH23</f>
        <v>6950</v>
      </c>
      <c r="DI216" s="295">
        <f>+DI214+DI215</f>
        <v>8495.226730949511</v>
      </c>
      <c r="DJ216" s="295">
        <f>DI216</f>
        <v>8495.226730949511</v>
      </c>
      <c r="DK216" s="290"/>
      <c r="DL216" s="295">
        <f>+DL214+DL215</f>
        <v>8781.7570322753454</v>
      </c>
      <c r="DM216" s="295">
        <f>+DM214+DM215</f>
        <v>9083.4145366546145</v>
      </c>
      <c r="DN216" s="295">
        <f>DM216</f>
        <v>9083.4145366546145</v>
      </c>
      <c r="DO216" s="290"/>
      <c r="DP216" s="295">
        <f>+DP214+DP215</f>
        <v>9401.3030410612027</v>
      </c>
      <c r="DQ216" s="295">
        <f>+DQ214+DQ215</f>
        <v>9736.6216233602645</v>
      </c>
      <c r="DR216" s="295">
        <f>DQ216</f>
        <v>9736.6216233602645</v>
      </c>
      <c r="DS216" s="290"/>
      <c r="DT216" s="290"/>
      <c r="DU216" s="295"/>
      <c r="DV216" s="295"/>
      <c r="DW216" s="295"/>
      <c r="DX216" s="290"/>
      <c r="DY216" s="290"/>
      <c r="EA216" s="290"/>
      <c r="EB216" s="290"/>
      <c r="EC216" s="290"/>
      <c r="ED216" s="290"/>
      <c r="EE216" s="290"/>
      <c r="EF216" s="290"/>
      <c r="EG216" s="290"/>
      <c r="EH216"/>
    </row>
    <row r="217" spans="1:138">
      <c r="A217" s="328" t="s">
        <v>382</v>
      </c>
      <c r="BE217" s="295"/>
      <c r="BH217" s="295"/>
      <c r="BI217" s="295"/>
      <c r="BL217" s="295"/>
      <c r="BM217" s="295"/>
      <c r="BP217" s="295"/>
      <c r="BQ217" s="295"/>
      <c r="BT217" s="295"/>
      <c r="BU217" s="295"/>
      <c r="BX217" s="295"/>
      <c r="BY217" s="295"/>
      <c r="CB217" s="295"/>
      <c r="CC217" s="295"/>
      <c r="CF217" s="295"/>
      <c r="CG217" s="295"/>
      <c r="CJ217" s="295"/>
      <c r="CK217" s="295"/>
      <c r="CN217" s="295"/>
      <c r="CO217" s="295"/>
      <c r="CR217" s="295"/>
      <c r="CS217" s="295"/>
      <c r="CV217" s="295"/>
      <c r="CW217" s="1390"/>
      <c r="CZ217" s="295"/>
      <c r="DA217" s="1390"/>
      <c r="DD217" s="295"/>
      <c r="DE217" s="295"/>
      <c r="DH217" s="295"/>
      <c r="DI217" s="295"/>
      <c r="DL217" s="295"/>
      <c r="DM217" s="295"/>
      <c r="DP217" s="295"/>
      <c r="DQ217" s="295"/>
      <c r="DU217" s="295"/>
      <c r="DV217" s="295"/>
      <c r="DY217" s="103"/>
      <c r="EA217" s="103"/>
      <c r="EB217" s="103"/>
      <c r="EC217" s="103"/>
      <c r="ED217" s="103"/>
      <c r="EE217" s="103"/>
      <c r="EF217" s="103"/>
      <c r="EG217" s="103"/>
    </row>
    <row r="218" spans="1:138">
      <c r="A218" s="323" t="str">
        <f>A214</f>
        <v>Equity Investments</v>
      </c>
      <c r="BE218" s="324"/>
      <c r="BH218" s="324">
        <f>+BH214/BE214-1</f>
        <v>-0.14226726726726724</v>
      </c>
      <c r="BI218" s="324">
        <f>+BI214/BH214-1</f>
        <v>-0.10371991247264767</v>
      </c>
      <c r="BL218" s="324">
        <f>+BL214/BI214-1</f>
        <v>0.21923828125</v>
      </c>
      <c r="BM218" s="324">
        <f>+BM214/BL214-1</f>
        <v>-2.0024028834601526E-2</v>
      </c>
      <c r="BP218" s="324">
        <f>+BP214/BM214-1</f>
        <v>1.4711892112791114E-2</v>
      </c>
      <c r="BQ218" s="324">
        <f>+BQ214/BP214-1</f>
        <v>-6.2424486508256161E-2</v>
      </c>
      <c r="BT218" s="324">
        <f>+BT214/BQ214-1</f>
        <v>0.19372852233676974</v>
      </c>
      <c r="BU218" s="324">
        <f>+BU214/BT214-1</f>
        <v>-2.8427491903562419E-2</v>
      </c>
      <c r="BX218" s="324">
        <f>+BX214/BU214-1</f>
        <v>-3.703703703703709E-2</v>
      </c>
      <c r="BY218" s="324">
        <f>+BY214/BX214-1</f>
        <v>0.65384615384615374</v>
      </c>
      <c r="CB218" s="324">
        <f>+CB214/BY214-1</f>
        <v>-0.16279069767441856</v>
      </c>
      <c r="CC218" s="324">
        <f>+CC214/CB214-1</f>
        <v>0.13888888888888884</v>
      </c>
      <c r="CF218" s="324">
        <f>+CF214/CC214-1</f>
        <v>0</v>
      </c>
      <c r="CG218" s="324">
        <f>+CG214/CF214-1</f>
        <v>2.4390243902439046E-2</v>
      </c>
      <c r="CJ218" s="324">
        <f>+CJ214/CG214-1</f>
        <v>1.0238095238095237</v>
      </c>
      <c r="CK218" s="324">
        <f>+CK214/CJ214-1</f>
        <v>-2.352941176470591E-2</v>
      </c>
      <c r="CN218" s="324">
        <f>+CN214/CK214-1</f>
        <v>-0.10843373493975905</v>
      </c>
      <c r="CO218" s="324">
        <f>+CO214/CN214-1</f>
        <v>-0.41891891891891897</v>
      </c>
      <c r="CR218" s="324">
        <f>+CR214/CO214-1</f>
        <v>0.16279069767441867</v>
      </c>
      <c r="CS218" s="324">
        <f>+CS214/CR214-1</f>
        <v>-2.0000000000000018E-2</v>
      </c>
      <c r="CV218" s="324">
        <f>+CV214/CS214-1</f>
        <v>8.163265306122458E-2</v>
      </c>
      <c r="CW218" s="324">
        <f>+CW214/CV214-1</f>
        <v>0.1132075471698113</v>
      </c>
      <c r="CZ218" s="324">
        <f>+CZ214/CW214-1</f>
        <v>0.16949152542372881</v>
      </c>
      <c r="DA218" s="324">
        <f>+DA214/CZ214-1</f>
        <v>0.23188405797101441</v>
      </c>
      <c r="DD218" s="324">
        <f>+DD214/DA214-1</f>
        <v>0</v>
      </c>
      <c r="DE218" s="324">
        <f>+DE214/DD214-1</f>
        <v>7.0588235294117618E-2</v>
      </c>
      <c r="DH218" s="324">
        <f>+DH214/DE214-1</f>
        <v>-3.2967032967032961E-2</v>
      </c>
      <c r="DI218" s="324">
        <f>+DI214/DH214-1</f>
        <v>-3.4633326028464695E-2</v>
      </c>
      <c r="DL218" s="324">
        <f>+DL214/DI214-1</f>
        <v>3.3728387764149659E-2</v>
      </c>
      <c r="DM218" s="324">
        <f>+DM214/DL214-1</f>
        <v>3.4350472607087124E-2</v>
      </c>
      <c r="DP218" s="324">
        <f>+DP214/DM214-1</f>
        <v>3.4996586704680421E-2</v>
      </c>
      <c r="DQ218" s="324">
        <f>+DQ214/DP214-1</f>
        <v>3.5667245363171673E-2</v>
      </c>
      <c r="DU218" s="1072"/>
      <c r="DV218" s="1072"/>
      <c r="DY218" s="103"/>
      <c r="EA218" s="103"/>
      <c r="EB218" s="103"/>
      <c r="EC218" s="103"/>
      <c r="ED218" s="103"/>
      <c r="EE218" s="103"/>
      <c r="EF218" s="103"/>
      <c r="EG218" s="103"/>
    </row>
    <row r="219" spans="1:138">
      <c r="A219" s="323" t="str">
        <f>A215</f>
        <v>Other</v>
      </c>
      <c r="BE219" s="324"/>
      <c r="BH219" s="324" t="s">
        <v>97</v>
      </c>
      <c r="BI219" s="324" t="s">
        <v>97</v>
      </c>
      <c r="BL219" s="324" t="s">
        <v>97</v>
      </c>
      <c r="BM219" s="324" t="s">
        <v>97</v>
      </c>
      <c r="BP219" s="324" t="s">
        <v>97</v>
      </c>
      <c r="BQ219" s="324" t="s">
        <v>97</v>
      </c>
      <c r="BT219" s="324" t="s">
        <v>97</v>
      </c>
      <c r="BU219" s="324" t="s">
        <v>97</v>
      </c>
      <c r="BX219" s="324" t="s">
        <v>97</v>
      </c>
      <c r="BY219" s="324" t="s">
        <v>97</v>
      </c>
      <c r="CB219" s="324" t="s">
        <v>97</v>
      </c>
      <c r="CC219" s="324" t="s">
        <v>97</v>
      </c>
      <c r="CF219" s="324" t="s">
        <v>97</v>
      </c>
      <c r="CG219" s="324" t="s">
        <v>97</v>
      </c>
      <c r="CJ219" s="324" t="s">
        <v>97</v>
      </c>
      <c r="CK219" s="324" t="s">
        <v>97</v>
      </c>
      <c r="CN219" s="324" t="s">
        <v>97</v>
      </c>
      <c r="CO219" s="324" t="s">
        <v>97</v>
      </c>
      <c r="CR219" s="324" t="s">
        <v>97</v>
      </c>
      <c r="CS219" s="324" t="s">
        <v>97</v>
      </c>
      <c r="CV219" s="324" t="s">
        <v>97</v>
      </c>
      <c r="CW219" s="324" t="s">
        <v>97</v>
      </c>
      <c r="CZ219" s="324" t="s">
        <v>97</v>
      </c>
      <c r="DA219" s="324" t="s">
        <v>97</v>
      </c>
      <c r="DD219" s="324" t="s">
        <v>97</v>
      </c>
      <c r="DE219" s="324" t="s">
        <v>97</v>
      </c>
      <c r="DH219" s="324" t="s">
        <v>97</v>
      </c>
      <c r="DI219" s="324" t="s">
        <v>97</v>
      </c>
      <c r="DL219" s="324" t="s">
        <v>97</v>
      </c>
      <c r="DM219" s="324" t="s">
        <v>97</v>
      </c>
      <c r="DP219" s="324" t="s">
        <v>97</v>
      </c>
      <c r="DQ219" s="324" t="s">
        <v>97</v>
      </c>
      <c r="DU219" s="1072"/>
      <c r="DV219" s="1072"/>
      <c r="DY219" s="103"/>
      <c r="EA219" s="103"/>
      <c r="EB219" s="103"/>
      <c r="EC219" s="103"/>
      <c r="ED219" s="103"/>
      <c r="EE219" s="103"/>
      <c r="EF219" s="103"/>
      <c r="EG219" s="103"/>
    </row>
    <row r="220" spans="1:138" s="289" customFormat="1">
      <c r="A220" s="328" t="str">
        <f>A216</f>
        <v>Total</v>
      </c>
      <c r="C220" s="290"/>
      <c r="P220" s="290"/>
      <c r="Q220" s="290"/>
      <c r="R220" s="290"/>
      <c r="S220" s="290"/>
      <c r="T220" s="290"/>
      <c r="U220" s="290"/>
      <c r="V220" s="290"/>
      <c r="W220" s="290"/>
      <c r="X220" s="290"/>
      <c r="Y220" s="290"/>
      <c r="Z220" s="290"/>
      <c r="AA220" s="290"/>
      <c r="AB220" s="290"/>
      <c r="AC220" s="290"/>
      <c r="AD220" s="290"/>
      <c r="AE220" s="290"/>
      <c r="AF220" s="290"/>
      <c r="AG220" s="290"/>
      <c r="AH220" s="290"/>
      <c r="AI220" s="290"/>
      <c r="AJ220" s="290"/>
      <c r="AK220" s="290"/>
      <c r="AL220" s="290"/>
      <c r="AM220" s="290"/>
      <c r="AN220" s="290"/>
      <c r="AO220" s="290"/>
      <c r="AP220" s="290"/>
      <c r="AQ220" s="290"/>
      <c r="AR220" s="290"/>
      <c r="AS220" s="290"/>
      <c r="AT220" s="290"/>
      <c r="AU220" s="290"/>
      <c r="AV220" s="290"/>
      <c r="AW220" s="290"/>
      <c r="AX220" s="290"/>
      <c r="AY220" s="290"/>
      <c r="AZ220" s="290"/>
      <c r="BA220" s="290"/>
      <c r="BB220" s="290"/>
      <c r="BC220" s="290"/>
      <c r="BD220" s="290"/>
      <c r="BE220" s="682"/>
      <c r="BF220" s="290"/>
      <c r="BG220" s="290"/>
      <c r="BH220" s="682">
        <f>+BH216/BE216-1</f>
        <v>-0.14226726726726724</v>
      </c>
      <c r="BI220" s="682">
        <f>+BI216/BH216-1</f>
        <v>-0.10371991247264767</v>
      </c>
      <c r="BJ220" s="290"/>
      <c r="BK220" s="290"/>
      <c r="BL220" s="682">
        <f>+BL216/BI216-1</f>
        <v>0.21923828125</v>
      </c>
      <c r="BM220" s="682">
        <f>+BM216/BL216-1</f>
        <v>-2.0024028834601526E-2</v>
      </c>
      <c r="BN220" s="290"/>
      <c r="BO220" s="290"/>
      <c r="BP220" s="682">
        <f>+BP216/BM216-1</f>
        <v>1.4711892112791114E-2</v>
      </c>
      <c r="BQ220" s="682">
        <f>+BQ216/BP216-1</f>
        <v>-6.2424486508256161E-2</v>
      </c>
      <c r="BR220" s="290"/>
      <c r="BS220" s="290"/>
      <c r="BT220" s="682">
        <f>+BT216/BQ216-1</f>
        <v>0.19372852233676974</v>
      </c>
      <c r="BU220" s="682">
        <f>+BU216/BT216-1</f>
        <v>-3.1666066930550518E-2</v>
      </c>
      <c r="BV220" s="290"/>
      <c r="BW220" s="290"/>
      <c r="BX220" s="682">
        <f>+BX216/BU216-1</f>
        <v>-0.23894463024897805</v>
      </c>
      <c r="BY220" s="682">
        <f>+BY216/BX216-1</f>
        <v>2.294921875E-2</v>
      </c>
      <c r="BZ220" s="290"/>
      <c r="CA220" s="290"/>
      <c r="CB220" s="682">
        <f>+CB216/BY216-1</f>
        <v>0.72887828162291179</v>
      </c>
      <c r="CC220" s="682">
        <f>+CC216/CB216-1</f>
        <v>0.11954721148536729</v>
      </c>
      <c r="CD220" s="290"/>
      <c r="CE220" s="290"/>
      <c r="CF220" s="682">
        <f>+CF216/CC216-1</f>
        <v>2.1701602959309563E-2</v>
      </c>
      <c r="CG220" s="682">
        <f>+CG216/CF216-1</f>
        <v>1.8344195027757637E-2</v>
      </c>
      <c r="CH220" s="290"/>
      <c r="CI220" s="290"/>
      <c r="CJ220" s="682">
        <f>+CJ216/CG216-1</f>
        <v>1.0146954254562695</v>
      </c>
      <c r="CK220" s="682">
        <f>+CK216/CJ216-1</f>
        <v>-2.1294117647058797E-2</v>
      </c>
      <c r="CL220" s="290"/>
      <c r="CM220" s="290"/>
      <c r="CN220" s="682">
        <f>+CN216/CK216-1</f>
        <v>-0.27731698521456905</v>
      </c>
      <c r="CO220" s="682">
        <f>+CO216/CN216-1</f>
        <v>-0.30239520958083832</v>
      </c>
      <c r="CP220" s="290"/>
      <c r="CQ220" s="290"/>
      <c r="CR220" s="682">
        <f>+CR216/CO216-1</f>
        <v>0.11468764902241291</v>
      </c>
      <c r="CS220" s="682">
        <f>+CS216/CR216-1</f>
        <v>-6.4598930481283401E-2</v>
      </c>
      <c r="CT220" s="290"/>
      <c r="CU220" s="290"/>
      <c r="CV220" s="682">
        <f>+CV216/CS216-1</f>
        <v>0.10679167619483199</v>
      </c>
      <c r="CW220" s="682">
        <f>+CW216/CV216-1</f>
        <v>0.15165289256198355</v>
      </c>
      <c r="CX220" s="290"/>
      <c r="CY220" s="290"/>
      <c r="CZ220" s="682">
        <f>+CZ216/CW216-1</f>
        <v>0.10764262648008605</v>
      </c>
      <c r="DA220" s="682">
        <f>+DA216/CZ216-1</f>
        <v>0.12876579203109806</v>
      </c>
      <c r="DB220" s="290"/>
      <c r="DC220" s="290"/>
      <c r="DD220" s="682">
        <f>+DD216/DA216-1</f>
        <v>2.611565504376534E-2</v>
      </c>
      <c r="DE220" s="682">
        <f>+DE216/DD216-1</f>
        <v>7.9569291008250609E-2</v>
      </c>
      <c r="DF220" s="290"/>
      <c r="DG220" s="290"/>
      <c r="DH220" s="682">
        <f>+DH216/DE216-1</f>
        <v>-9.9740932642487068E-2</v>
      </c>
      <c r="DI220" s="682">
        <f>+DI216/DH216-1</f>
        <v>0.22233478143158436</v>
      </c>
      <c r="DJ220" s="290"/>
      <c r="DK220" s="290"/>
      <c r="DL220" s="682">
        <f>+DL216/DI216-1</f>
        <v>3.3728387764149659E-2</v>
      </c>
      <c r="DM220" s="682">
        <f>+DM216/DL216-1</f>
        <v>3.4350472607087124E-2</v>
      </c>
      <c r="DN220" s="290"/>
      <c r="DO220" s="290"/>
      <c r="DP220" s="682">
        <f>+DP216/DM216-1</f>
        <v>3.4996586704680421E-2</v>
      </c>
      <c r="DQ220" s="682">
        <f>+DQ216/DP216-1</f>
        <v>3.5667245363171673E-2</v>
      </c>
      <c r="DR220" s="290"/>
      <c r="DS220" s="290"/>
      <c r="DT220" s="290"/>
      <c r="DU220" s="1078"/>
      <c r="DV220" s="1078"/>
      <c r="DW220" s="290"/>
      <c r="DX220" s="290"/>
      <c r="DY220" s="290"/>
      <c r="EA220" s="290"/>
      <c r="EB220" s="290"/>
      <c r="EC220" s="290"/>
      <c r="ED220" s="290"/>
      <c r="EE220" s="290"/>
      <c r="EF220" s="290"/>
      <c r="EG220" s="290"/>
      <c r="EH220"/>
    </row>
    <row r="221" spans="1:138">
      <c r="A221" s="289"/>
      <c r="BI221" s="295"/>
      <c r="BM221" s="295"/>
      <c r="BQ221" s="295"/>
      <c r="BU221" s="295"/>
      <c r="BY221" s="295"/>
      <c r="CC221" s="295"/>
      <c r="CG221" s="295"/>
      <c r="CK221" s="295"/>
      <c r="CO221" s="295"/>
      <c r="CS221" s="295"/>
      <c r="CW221" s="1390"/>
      <c r="DA221" s="1390"/>
      <c r="DY221" s="103"/>
      <c r="EA221" s="103"/>
      <c r="EB221" s="103"/>
      <c r="EC221" s="103"/>
      <c r="ED221" s="103"/>
      <c r="EE221" s="103"/>
      <c r="EF221" s="103"/>
      <c r="EG221" s="103"/>
    </row>
    <row r="222" spans="1:138">
      <c r="A222" s="289" t="s">
        <v>990</v>
      </c>
      <c r="BI222" s="295"/>
      <c r="BM222" s="295"/>
      <c r="BQ222" s="295"/>
      <c r="BU222" s="295"/>
      <c r="BY222" s="295"/>
      <c r="CC222" s="295"/>
      <c r="CG222" s="295"/>
      <c r="CK222" s="295"/>
      <c r="CO222" s="295"/>
      <c r="CS222" s="295"/>
      <c r="CW222" s="1390"/>
      <c r="DA222" s="1390"/>
      <c r="DY222" s="103"/>
      <c r="EA222" s="103"/>
      <c r="EB222" s="103"/>
      <c r="EC222" s="103"/>
      <c r="ED222" s="103"/>
      <c r="EE222" s="103"/>
      <c r="EF222" s="103"/>
      <c r="EG222" s="103"/>
    </row>
    <row r="223" spans="1:138">
      <c r="A223" s="102" t="s">
        <v>14</v>
      </c>
      <c r="BH223" s="293"/>
      <c r="BI223" s="293">
        <f>BI172</f>
        <v>4604</v>
      </c>
      <c r="BJ223" s="293">
        <f>BJ172</f>
        <v>4604</v>
      </c>
      <c r="BL223" s="293">
        <f>BL172</f>
        <v>4928.3</v>
      </c>
      <c r="BM223" s="293">
        <f>BM172</f>
        <v>3791</v>
      </c>
      <c r="BN223" s="293">
        <f>BN172</f>
        <v>3791</v>
      </c>
      <c r="BP223" s="293">
        <f>BP172</f>
        <v>3905</v>
      </c>
      <c r="BQ223" s="293">
        <f>BQ172</f>
        <v>4082</v>
      </c>
      <c r="BR223" s="293">
        <f>BR172</f>
        <v>4082</v>
      </c>
      <c r="BT223" s="293">
        <f>BT172</f>
        <v>5312</v>
      </c>
      <c r="BU223" s="293">
        <f>BU172</f>
        <v>4900</v>
      </c>
      <c r="BV223" s="293">
        <f>BV172</f>
        <v>4900</v>
      </c>
      <c r="BX223" s="293">
        <f>BX172</f>
        <v>4400</v>
      </c>
      <c r="BY223" s="293">
        <f>BY172</f>
        <v>4900</v>
      </c>
      <c r="BZ223" s="293">
        <f>BZ172</f>
        <v>4900</v>
      </c>
      <c r="CB223" s="293">
        <f>CB172</f>
        <v>7500</v>
      </c>
      <c r="CC223" s="293">
        <f>CC172</f>
        <v>6500</v>
      </c>
      <c r="CD223" s="293">
        <f>CD172</f>
        <v>6500</v>
      </c>
      <c r="CF223" s="293">
        <f>CF172</f>
        <v>6000</v>
      </c>
      <c r="CG223" s="293">
        <f>CG172</f>
        <v>5200</v>
      </c>
      <c r="CH223" s="293">
        <f>CH172</f>
        <v>5200</v>
      </c>
      <c r="CJ223" s="293">
        <f>CJ172</f>
        <v>7500</v>
      </c>
      <c r="CK223" s="293">
        <f>CK172</f>
        <v>6500</v>
      </c>
      <c r="CL223" s="293">
        <f>CL172</f>
        <v>6500</v>
      </c>
      <c r="CN223" s="293">
        <f>CN172</f>
        <v>5800</v>
      </c>
      <c r="CO223" s="293">
        <f>CO172</f>
        <v>7700</v>
      </c>
      <c r="CP223" s="293">
        <f>CP172</f>
        <v>7700</v>
      </c>
      <c r="CR223" s="293">
        <f>CR172</f>
        <v>8800</v>
      </c>
      <c r="CS223" s="293">
        <f>CS172</f>
        <v>8300</v>
      </c>
      <c r="CT223" s="293">
        <f>CT172</f>
        <v>8300</v>
      </c>
      <c r="CV223" s="293">
        <f>CV172</f>
        <v>9300</v>
      </c>
      <c r="CW223" s="1495">
        <f>CW172</f>
        <v>9600</v>
      </c>
      <c r="CX223" s="810">
        <f>CX172</f>
        <v>9600</v>
      </c>
      <c r="CZ223" s="293">
        <f>CZ172</f>
        <v>11400</v>
      </c>
      <c r="DA223" s="1495">
        <f>DA172</f>
        <v>13200</v>
      </c>
      <c r="DB223" s="810">
        <f>DB172</f>
        <v>13200</v>
      </c>
      <c r="DD223" s="293">
        <f>DD172</f>
        <v>12300</v>
      </c>
      <c r="DE223" s="1495">
        <f>DE172</f>
        <v>13400</v>
      </c>
      <c r="DF223" s="810">
        <f>DF172</f>
        <v>13400</v>
      </c>
      <c r="DH223" s="293">
        <f>DH172</f>
        <v>13100</v>
      </c>
      <c r="DI223" s="293">
        <f>DI172</f>
        <v>13534</v>
      </c>
      <c r="DL223" s="293">
        <f>DL172</f>
        <v>13990.480000000001</v>
      </c>
      <c r="DM223" s="293">
        <f>DM172</f>
        <v>14471.059600000001</v>
      </c>
      <c r="DP223" s="293">
        <f>DP172</f>
        <v>14977.497292</v>
      </c>
      <c r="DQ223" s="293">
        <f>DQ172</f>
        <v>15511.703362840004</v>
      </c>
      <c r="DY223" s="103"/>
      <c r="EA223" s="103"/>
      <c r="EB223" s="103"/>
      <c r="EC223" s="103"/>
      <c r="ED223" s="103"/>
      <c r="EE223" s="103"/>
      <c r="EF223" s="103"/>
      <c r="EG223" s="103"/>
    </row>
    <row r="224" spans="1:138">
      <c r="A224" s="102" t="s">
        <v>467</v>
      </c>
      <c r="BH224" s="293"/>
      <c r="BI224" s="293">
        <f>+BI223-BI225</f>
        <v>304</v>
      </c>
      <c r="BJ224" s="293">
        <f>+BJ223-BJ225</f>
        <v>304</v>
      </c>
      <c r="BL224" s="293">
        <f>+BL223-BL225</f>
        <v>128.30000000000018</v>
      </c>
      <c r="BM224" s="293">
        <f>+BM223-BM225</f>
        <v>291</v>
      </c>
      <c r="BN224" s="293">
        <f>+BN223-BN225</f>
        <v>291</v>
      </c>
      <c r="BP224" s="293">
        <f>+BP223-BP225</f>
        <v>505</v>
      </c>
      <c r="BQ224" s="293">
        <f>+BQ223-BQ225</f>
        <v>582</v>
      </c>
      <c r="BR224" s="293">
        <f>+BR223-BR225</f>
        <v>282</v>
      </c>
      <c r="BT224" s="293">
        <f>+BT223-BT225</f>
        <v>512</v>
      </c>
      <c r="BU224" s="293">
        <f>+BU223-BU225</f>
        <v>300</v>
      </c>
      <c r="BV224" s="293">
        <f>+BV223-BV225</f>
        <v>300</v>
      </c>
      <c r="BX224" s="293">
        <f>+BX223-BX225</f>
        <v>200</v>
      </c>
      <c r="BY224" s="293">
        <f>+BY223-BY225</f>
        <v>500</v>
      </c>
      <c r="BZ224" s="293">
        <f>+BZ223-BZ225</f>
        <v>500</v>
      </c>
      <c r="CB224" s="293">
        <f>+CB223-CB225</f>
        <v>900</v>
      </c>
      <c r="CC224" s="293">
        <f>+CC223-CC225</f>
        <v>800</v>
      </c>
      <c r="CD224" s="293">
        <f>+CD223-CD225</f>
        <v>800</v>
      </c>
      <c r="CF224" s="293">
        <f>+CF223-CF225</f>
        <v>900</v>
      </c>
      <c r="CG224" s="293">
        <f>+CG223-CG225</f>
        <v>100</v>
      </c>
      <c r="CH224" s="293">
        <f>+CH223-CH225</f>
        <v>100</v>
      </c>
      <c r="CJ224" s="293">
        <f>+CJ223-CJ225</f>
        <v>0</v>
      </c>
      <c r="CK224" s="293">
        <f>+CK223-CK225</f>
        <v>0</v>
      </c>
      <c r="CL224" s="293">
        <f>+CL223-CL225</f>
        <v>-500</v>
      </c>
      <c r="CN224" s="293">
        <f>+CN223-CN225</f>
        <v>400</v>
      </c>
      <c r="CO224" s="293">
        <f>+CO223-CO225</f>
        <v>3000</v>
      </c>
      <c r="CP224" s="293">
        <f>+CP223-CP225</f>
        <v>3000</v>
      </c>
      <c r="CR224" s="293">
        <f>+CR223-CR225</f>
        <v>3300</v>
      </c>
      <c r="CS224" s="293">
        <f>+CS223-CS225</f>
        <v>3200</v>
      </c>
      <c r="CT224" s="293">
        <f>+CT223-CT225</f>
        <v>2600</v>
      </c>
      <c r="CV224" s="293">
        <f>+CV223-CV225</f>
        <v>3300</v>
      </c>
      <c r="CW224" s="1495">
        <f>+CW223-CW225</f>
        <v>3500</v>
      </c>
      <c r="CX224" s="810">
        <f>+CX223-CX225</f>
        <v>2900</v>
      </c>
      <c r="CZ224" s="293">
        <f>+CZ223-CZ225</f>
        <v>4300</v>
      </c>
      <c r="DA224" s="1495">
        <f>+DA223-DA225</f>
        <v>7100</v>
      </c>
      <c r="DB224" s="810">
        <f>+DB223-DB225</f>
        <v>3300</v>
      </c>
      <c r="DD224" s="293">
        <f>+DD223-DD225</f>
        <v>3700</v>
      </c>
      <c r="DE224" s="1495">
        <f>+DE223-DE225</f>
        <v>2001.121495327101</v>
      </c>
      <c r="DF224" s="810">
        <f>+DF223-DF225</f>
        <v>2001.121495327101</v>
      </c>
      <c r="DH224" s="293">
        <f>+DH223-DH225</f>
        <v>2996.4485981308408</v>
      </c>
      <c r="DI224" s="293">
        <f>+DI223-DI225</f>
        <v>3228.3775700934566</v>
      </c>
      <c r="DL224" s="293">
        <f>+DL223-DL225</f>
        <v>3478.7451214953271</v>
      </c>
      <c r="DM224" s="293">
        <f>+DM223-DM225</f>
        <v>3749.0900239252333</v>
      </c>
      <c r="DP224" s="293">
        <f>+DP223-DP225</f>
        <v>4041.0883244037377</v>
      </c>
      <c r="DQ224" s="293">
        <f>+DQ223-DQ225</f>
        <v>4356.5662158918167</v>
      </c>
      <c r="DY224" s="103"/>
      <c r="EA224" s="103"/>
      <c r="EB224" s="103"/>
      <c r="EC224" s="103"/>
      <c r="ED224" s="103"/>
      <c r="EE224" s="103"/>
      <c r="EF224" s="103"/>
      <c r="EG224" s="103"/>
    </row>
    <row r="225" spans="1:138" s="289" customFormat="1">
      <c r="A225" s="296" t="s">
        <v>1191</v>
      </c>
      <c r="B225" s="296"/>
      <c r="C225" s="298"/>
      <c r="D225" s="296"/>
      <c r="E225" s="296"/>
      <c r="F225" s="296"/>
      <c r="G225" s="296"/>
      <c r="H225" s="296"/>
      <c r="I225" s="296"/>
      <c r="J225" s="296"/>
      <c r="K225" s="296"/>
      <c r="L225" s="296"/>
      <c r="M225" s="296"/>
      <c r="N225" s="296"/>
      <c r="O225" s="296"/>
      <c r="P225" s="298"/>
      <c r="Q225" s="298"/>
      <c r="R225" s="298"/>
      <c r="S225" s="298"/>
      <c r="T225" s="298"/>
      <c r="U225" s="298"/>
      <c r="V225" s="298"/>
      <c r="W225" s="298"/>
      <c r="X225" s="298"/>
      <c r="Y225" s="298"/>
      <c r="Z225" s="298"/>
      <c r="AA225" s="298"/>
      <c r="AB225" s="298"/>
      <c r="AC225" s="298"/>
      <c r="AD225" s="298"/>
      <c r="AE225" s="298"/>
      <c r="AF225" s="298"/>
      <c r="AG225" s="298"/>
      <c r="AH225" s="298"/>
      <c r="AI225" s="298"/>
      <c r="AJ225" s="298"/>
      <c r="AK225" s="298"/>
      <c r="AL225" s="298"/>
      <c r="AM225" s="298"/>
      <c r="AN225" s="298"/>
      <c r="AO225" s="298"/>
      <c r="AP225" s="298"/>
      <c r="AQ225" s="298"/>
      <c r="AR225" s="298"/>
      <c r="AS225" s="298"/>
      <c r="AT225" s="298"/>
      <c r="AU225" s="298"/>
      <c r="AV225" s="298"/>
      <c r="AW225" s="298"/>
      <c r="AX225" s="298"/>
      <c r="AY225" s="298"/>
      <c r="AZ225" s="298"/>
      <c r="BA225" s="298"/>
      <c r="BB225" s="298"/>
      <c r="BC225" s="298"/>
      <c r="BD225" s="298"/>
      <c r="BE225" s="298"/>
      <c r="BF225" s="298"/>
      <c r="BG225" s="298"/>
      <c r="BH225" s="297"/>
      <c r="BI225" s="2220">
        <v>4300</v>
      </c>
      <c r="BJ225" s="297">
        <f>Capital!BJ182</f>
        <v>4300</v>
      </c>
      <c r="BK225" s="298"/>
      <c r="BL225" s="2220">
        <v>4800</v>
      </c>
      <c r="BM225" s="2220">
        <v>3500</v>
      </c>
      <c r="BN225" s="297">
        <f>Capital!BN182</f>
        <v>3500</v>
      </c>
      <c r="BO225" s="298"/>
      <c r="BP225" s="2220">
        <v>3400</v>
      </c>
      <c r="BQ225" s="2221">
        <v>3500</v>
      </c>
      <c r="BR225" s="297">
        <f>Capital!BR182</f>
        <v>3800</v>
      </c>
      <c r="BS225" s="298"/>
      <c r="BT225" s="2222">
        <v>4800</v>
      </c>
      <c r="BU225" s="2222">
        <v>4600</v>
      </c>
      <c r="BV225" s="297">
        <f>Capital!BV182</f>
        <v>4600</v>
      </c>
      <c r="BW225" s="298"/>
      <c r="BX225" s="2222">
        <f>4200</f>
        <v>4200</v>
      </c>
      <c r="BY225" s="2222">
        <v>4400</v>
      </c>
      <c r="BZ225" s="297">
        <f>Capital!BZ182</f>
        <v>4400</v>
      </c>
      <c r="CA225" s="298"/>
      <c r="CB225" s="2222">
        <v>6600</v>
      </c>
      <c r="CC225" s="2222">
        <v>5700</v>
      </c>
      <c r="CD225" s="297">
        <f>Capital!CD182</f>
        <v>5700</v>
      </c>
      <c r="CE225" s="298"/>
      <c r="CF225" s="2222">
        <v>5100</v>
      </c>
      <c r="CG225" s="2222">
        <v>5100</v>
      </c>
      <c r="CH225" s="297">
        <f>Capital!CH182</f>
        <v>5100</v>
      </c>
      <c r="CI225" s="298"/>
      <c r="CJ225" s="2222">
        <v>7500</v>
      </c>
      <c r="CK225" s="2222">
        <v>6500</v>
      </c>
      <c r="CL225" s="297">
        <f>Capital!CL182</f>
        <v>7000</v>
      </c>
      <c r="CM225" s="298"/>
      <c r="CN225" s="2222">
        <v>5400</v>
      </c>
      <c r="CO225" s="2222">
        <v>4700</v>
      </c>
      <c r="CP225" s="297">
        <f>Capital!CP182</f>
        <v>4700</v>
      </c>
      <c r="CQ225" s="298"/>
      <c r="CR225" s="2222">
        <v>5500</v>
      </c>
      <c r="CS225" s="2222">
        <v>5100</v>
      </c>
      <c r="CT225" s="297">
        <f>Capital!CT182</f>
        <v>5700</v>
      </c>
      <c r="CU225" s="2223"/>
      <c r="CV225" s="2224">
        <v>6000</v>
      </c>
      <c r="CW225" s="2225">
        <v>6100</v>
      </c>
      <c r="CX225" s="2226">
        <f>Capital!CX182</f>
        <v>6700</v>
      </c>
      <c r="CY225" s="2223"/>
      <c r="CZ225" s="1231">
        <v>7100</v>
      </c>
      <c r="DA225" s="2227">
        <v>6100</v>
      </c>
      <c r="DB225" s="2226">
        <f>Capital!DB182</f>
        <v>9900</v>
      </c>
      <c r="DC225" s="2223"/>
      <c r="DD225" s="2175">
        <v>8600</v>
      </c>
      <c r="DE225" s="2228">
        <f>Capital!DE182</f>
        <v>11398.878504672899</v>
      </c>
      <c r="DF225" s="2226">
        <f>Capital!DF182</f>
        <v>11398.878504672899</v>
      </c>
      <c r="DG225" s="2223"/>
      <c r="DH225" s="2228">
        <f>Capital!DH182</f>
        <v>10103.551401869159</v>
      </c>
      <c r="DI225" s="2226">
        <f>+DH225*(1+DI229)</f>
        <v>10305.622429906543</v>
      </c>
      <c r="DJ225" s="2223"/>
      <c r="DK225" s="2223"/>
      <c r="DL225" s="2226">
        <f>+DI225*(1+DL229)</f>
        <v>10511.734878504674</v>
      </c>
      <c r="DM225" s="2226">
        <f>+DL225*(1+DM229)</f>
        <v>10721.969576074767</v>
      </c>
      <c r="DN225" s="2223"/>
      <c r="DO225" s="2223"/>
      <c r="DP225" s="2226">
        <f>+DM225*(1+DP229)</f>
        <v>10936.408967596262</v>
      </c>
      <c r="DQ225" s="2226">
        <f>+DP225*(1+DQ229)</f>
        <v>11155.137146948187</v>
      </c>
      <c r="DR225" s="2223"/>
      <c r="DS225" s="2223"/>
      <c r="DT225" s="290"/>
      <c r="DU225" s="290"/>
      <c r="DV225" s="290"/>
      <c r="DW225" s="290"/>
      <c r="DX225" s="290"/>
      <c r="DY225" s="290"/>
      <c r="EA225" s="290"/>
      <c r="EB225" s="290"/>
      <c r="EC225" s="290"/>
      <c r="ED225" s="290"/>
      <c r="EE225" s="290"/>
      <c r="EF225" s="290"/>
      <c r="EG225" s="290"/>
      <c r="EH225" s="1855"/>
    </row>
    <row r="226" spans="1:138">
      <c r="A226" s="328" t="s">
        <v>382</v>
      </c>
      <c r="BI226" s="295"/>
      <c r="BM226" s="295"/>
      <c r="BQ226" s="295"/>
      <c r="BU226" s="295"/>
      <c r="BY226" s="295"/>
      <c r="CC226" s="295"/>
      <c r="CG226" s="295"/>
      <c r="CK226" s="295"/>
      <c r="CO226" s="295"/>
      <c r="CS226" s="295"/>
      <c r="CW226" s="1390"/>
      <c r="DA226" s="1390"/>
      <c r="DY226" s="103"/>
      <c r="EA226" s="103"/>
      <c r="EB226" s="103"/>
      <c r="EC226" s="103"/>
      <c r="ED226" s="103"/>
      <c r="EE226" s="103"/>
      <c r="EF226" s="103"/>
      <c r="EG226" s="103"/>
    </row>
    <row r="227" spans="1:138">
      <c r="A227" s="323" t="str">
        <f>A223</f>
        <v>Total Equity Investments</v>
      </c>
      <c r="BH227" s="648"/>
      <c r="BI227" s="648"/>
      <c r="BL227" s="684">
        <f t="shared" ref="BL227:BM229" si="200">+BL223/BI223-1</f>
        <v>7.0438748913987936E-2</v>
      </c>
      <c r="BM227" s="684">
        <f t="shared" si="200"/>
        <v>-0.17658557775847095</v>
      </c>
      <c r="BO227" s="685"/>
      <c r="BP227" s="684">
        <f t="shared" ref="BP227:BQ229" si="201">+BP223/BM223-1</f>
        <v>3.0071221313637597E-2</v>
      </c>
      <c r="BQ227" s="684">
        <f t="shared" si="201"/>
        <v>7.6760749142706475E-2</v>
      </c>
      <c r="BS227" s="685"/>
      <c r="BT227" s="684">
        <f t="shared" ref="BT227:BU229" si="202">+BT223/BQ223-1</f>
        <v>0.30132288094071535</v>
      </c>
      <c r="BU227" s="684">
        <f t="shared" si="202"/>
        <v>0.20039196472317489</v>
      </c>
      <c r="BW227" s="685"/>
      <c r="BX227" s="684">
        <f t="shared" ref="BX227:BY229" si="203">+BX223/BU223-1</f>
        <v>-0.10204081632653061</v>
      </c>
      <c r="BY227" s="684">
        <f t="shared" si="203"/>
        <v>0</v>
      </c>
      <c r="CB227" s="684">
        <f>+CB223/BY223-1</f>
        <v>0.53061224489795911</v>
      </c>
      <c r="CC227" s="684">
        <f t="shared" ref="CC227:CC229" si="204">+CC223/BZ223-1</f>
        <v>0.32653061224489788</v>
      </c>
      <c r="CF227" s="684">
        <f>+CF223/CC223-1</f>
        <v>-7.6923076923076872E-2</v>
      </c>
      <c r="CG227" s="684">
        <f t="shared" ref="CG227:CG229" si="205">+CG223/CD223-1</f>
        <v>-0.19999999999999996</v>
      </c>
      <c r="CJ227" s="684">
        <f>+CJ223/CG223-1</f>
        <v>0.44230769230769229</v>
      </c>
      <c r="CK227" s="684">
        <f t="shared" ref="CK227:CK229" si="206">+CK223/CH223-1</f>
        <v>0.25</v>
      </c>
      <c r="CN227" s="684">
        <f>+CN223/CK223-1</f>
        <v>-0.10769230769230764</v>
      </c>
      <c r="CO227" s="684">
        <f t="shared" ref="CO227:CO229" si="207">+CO223/CL223-1</f>
        <v>0.18461538461538463</v>
      </c>
      <c r="CR227" s="684">
        <f>+CR223/CO223-1</f>
        <v>0.14285714285714279</v>
      </c>
      <c r="CS227" s="684">
        <f t="shared" ref="CS227:CS229" si="208">+CS223/CP223-1</f>
        <v>7.7922077922077948E-2</v>
      </c>
      <c r="CV227" s="684">
        <f>+CV223/CS223-1</f>
        <v>0.12048192771084332</v>
      </c>
      <c r="CW227" s="684">
        <f t="shared" ref="CW227:CW229" si="209">+CW223/CT223-1</f>
        <v>0.15662650602409633</v>
      </c>
      <c r="CZ227" s="684">
        <f>+CZ223/CW223-1</f>
        <v>0.1875</v>
      </c>
      <c r="DA227" s="684">
        <f t="shared" ref="DA227:DA229" si="210">+DA223/CX223-1</f>
        <v>0.375</v>
      </c>
      <c r="DD227" s="684">
        <f>+DD223/DA223-1</f>
        <v>-6.8181818181818232E-2</v>
      </c>
      <c r="DE227" s="684">
        <f t="shared" ref="DE227:DE229" si="211">+DE223/DB223-1</f>
        <v>1.5151515151515138E-2</v>
      </c>
      <c r="DH227" s="684">
        <f>+DH223/DE223-1</f>
        <v>-2.2388059701492491E-2</v>
      </c>
      <c r="DI227" s="684">
        <f>+DI223/DH223-1</f>
        <v>3.3129770992366359E-2</v>
      </c>
      <c r="DL227" s="684">
        <f>+DL223/DI223-1</f>
        <v>3.3728387764149659E-2</v>
      </c>
      <c r="DM227" s="684">
        <f>+DM223/DL223-1</f>
        <v>3.4350472607087124E-2</v>
      </c>
      <c r="DP227" s="684">
        <f>+DP223/DM223-1</f>
        <v>3.4996586704680421E-2</v>
      </c>
      <c r="DQ227" s="684">
        <f>+DQ223/DP223-1</f>
        <v>3.5667245363171673E-2</v>
      </c>
      <c r="DU227" s="1077"/>
      <c r="DV227" s="1077"/>
      <c r="DY227" s="103"/>
      <c r="DZ227" s="102"/>
      <c r="EA227" s="103"/>
      <c r="EB227" s="103"/>
      <c r="EC227" s="103"/>
      <c r="ED227" s="103"/>
      <c r="EE227" s="103"/>
      <c r="EF227" s="103"/>
      <c r="EG227" s="103"/>
    </row>
    <row r="228" spans="1:138">
      <c r="A228" s="323" t="str">
        <f>A224</f>
        <v>Bank</v>
      </c>
      <c r="BH228" s="648"/>
      <c r="BI228" s="648"/>
      <c r="BL228" s="684">
        <f t="shared" si="200"/>
        <v>-0.57796052631578887</v>
      </c>
      <c r="BM228" s="684">
        <f t="shared" si="200"/>
        <v>-4.2763157894736836E-2</v>
      </c>
      <c r="BO228" s="685"/>
      <c r="BP228" s="684">
        <f t="shared" si="201"/>
        <v>0.73539518900343648</v>
      </c>
      <c r="BQ228" s="684">
        <f t="shared" si="201"/>
        <v>1</v>
      </c>
      <c r="BS228" s="685"/>
      <c r="BT228" s="684">
        <f t="shared" si="202"/>
        <v>-0.1202749140893471</v>
      </c>
      <c r="BU228" s="684">
        <f t="shared" si="202"/>
        <v>6.3829787234042534E-2</v>
      </c>
      <c r="BW228" s="685"/>
      <c r="BX228" s="684">
        <f t="shared" si="203"/>
        <v>-0.33333333333333337</v>
      </c>
      <c r="BY228" s="684">
        <f t="shared" si="203"/>
        <v>0.66666666666666674</v>
      </c>
      <c r="CB228" s="684">
        <f>+CB224/BY224-1</f>
        <v>0.8</v>
      </c>
      <c r="CC228" s="684">
        <f t="shared" si="204"/>
        <v>0.60000000000000009</v>
      </c>
      <c r="CF228" s="684">
        <f>+CF224/CC224-1</f>
        <v>0.125</v>
      </c>
      <c r="CG228" s="684">
        <f t="shared" si="205"/>
        <v>-0.875</v>
      </c>
      <c r="CJ228" s="684">
        <f>+CJ224/CG224-1</f>
        <v>-1</v>
      </c>
      <c r="CK228" s="684">
        <f t="shared" si="206"/>
        <v>-1</v>
      </c>
      <c r="CN228" s="684"/>
      <c r="CO228" s="684"/>
      <c r="CR228" s="684">
        <f>+CR224/CO224-1</f>
        <v>0.10000000000000009</v>
      </c>
      <c r="CS228" s="684">
        <f t="shared" si="208"/>
        <v>6.6666666666666652E-2</v>
      </c>
      <c r="CV228" s="684">
        <f>+CV224/CS224-1</f>
        <v>3.125E-2</v>
      </c>
      <c r="CW228" s="684">
        <f t="shared" si="209"/>
        <v>0.34615384615384626</v>
      </c>
      <c r="CZ228" s="684">
        <f>+CZ224/CW224-1</f>
        <v>0.22857142857142865</v>
      </c>
      <c r="DA228" s="684">
        <f t="shared" si="210"/>
        <v>1.4482758620689653</v>
      </c>
      <c r="DD228" s="684">
        <f>+DD224/DA224-1</f>
        <v>-0.47887323943661975</v>
      </c>
      <c r="DE228" s="684">
        <f t="shared" si="211"/>
        <v>-0.39359954687057541</v>
      </c>
      <c r="DH228" s="684">
        <f>+DH224/DE224-1</f>
        <v>0.49738464412479111</v>
      </c>
      <c r="DI228" s="684">
        <f>+DI224/DH224-1</f>
        <v>7.7401285010292309E-2</v>
      </c>
      <c r="DL228" s="684">
        <f>+DL224/DI224-1</f>
        <v>7.7552128264421816E-2</v>
      </c>
      <c r="DM228" s="684">
        <f>+DM224/DL224-1</f>
        <v>7.771334000856589E-2</v>
      </c>
      <c r="DP228" s="684">
        <f>+DP224/DM224-1</f>
        <v>7.7885113084797952E-2</v>
      </c>
      <c r="DQ228" s="684">
        <f>+DQ224/DP224-1</f>
        <v>7.8067556599280108E-2</v>
      </c>
      <c r="DU228" s="1077"/>
      <c r="DV228" s="1077"/>
      <c r="DY228" s="103"/>
      <c r="DZ228" s="102"/>
      <c r="EA228" s="103"/>
      <c r="EB228" s="103"/>
      <c r="EC228" s="103"/>
      <c r="ED228" s="103"/>
      <c r="EE228" s="103"/>
      <c r="EF228" s="103"/>
      <c r="EG228" s="103"/>
    </row>
    <row r="229" spans="1:138">
      <c r="A229" s="642" t="str">
        <f>A225</f>
        <v>Non Bank (aka co-investment in MQG-managed fund &amp; other equity investments)</v>
      </c>
      <c r="B229" s="302"/>
      <c r="C229" s="304"/>
      <c r="D229" s="302"/>
      <c r="E229" s="302"/>
      <c r="F229" s="302"/>
      <c r="G229" s="302"/>
      <c r="H229" s="302"/>
      <c r="I229" s="302"/>
      <c r="J229" s="302"/>
      <c r="K229" s="302"/>
      <c r="L229" s="302"/>
      <c r="M229" s="302"/>
      <c r="N229" s="302"/>
      <c r="O229" s="302"/>
      <c r="P229" s="304"/>
      <c r="Q229" s="304"/>
      <c r="R229" s="304"/>
      <c r="S229" s="304"/>
      <c r="T229" s="304"/>
      <c r="U229" s="304"/>
      <c r="V229" s="304"/>
      <c r="W229" s="304"/>
      <c r="X229" s="304"/>
      <c r="Y229" s="304"/>
      <c r="Z229" s="304"/>
      <c r="AA229" s="304"/>
      <c r="AB229" s="304"/>
      <c r="AC229" s="304"/>
      <c r="AD229" s="304"/>
      <c r="AE229" s="304"/>
      <c r="AF229" s="304"/>
      <c r="AG229" s="304"/>
      <c r="AH229" s="304"/>
      <c r="AI229" s="304"/>
      <c r="AJ229" s="304"/>
      <c r="AK229" s="304"/>
      <c r="AL229" s="304"/>
      <c r="AM229" s="304"/>
      <c r="AN229" s="304"/>
      <c r="AO229" s="304"/>
      <c r="AP229" s="304"/>
      <c r="AQ229" s="304"/>
      <c r="AR229" s="304"/>
      <c r="AS229" s="304"/>
      <c r="AT229" s="304"/>
      <c r="AU229" s="304"/>
      <c r="AV229" s="304"/>
      <c r="AW229" s="304"/>
      <c r="AX229" s="304"/>
      <c r="AY229" s="304"/>
      <c r="AZ229" s="304"/>
      <c r="BA229" s="304"/>
      <c r="BB229" s="304"/>
      <c r="BC229" s="304"/>
      <c r="BD229" s="304"/>
      <c r="BE229" s="304"/>
      <c r="BF229" s="304"/>
      <c r="BG229" s="304"/>
      <c r="BH229" s="643"/>
      <c r="BI229" s="643"/>
      <c r="BJ229" s="304"/>
      <c r="BK229" s="304"/>
      <c r="BL229" s="668">
        <f t="shared" si="200"/>
        <v>0.11627906976744184</v>
      </c>
      <c r="BM229" s="668">
        <f t="shared" si="200"/>
        <v>-0.18604651162790697</v>
      </c>
      <c r="BN229" s="304"/>
      <c r="BO229" s="686"/>
      <c r="BP229" s="668">
        <f t="shared" si="201"/>
        <v>-2.8571428571428581E-2</v>
      </c>
      <c r="BQ229" s="668">
        <f t="shared" si="201"/>
        <v>0</v>
      </c>
      <c r="BR229" s="304"/>
      <c r="BS229" s="686"/>
      <c r="BT229" s="668">
        <f t="shared" si="202"/>
        <v>0.37142857142857144</v>
      </c>
      <c r="BU229" s="668">
        <f t="shared" si="202"/>
        <v>0.21052631578947367</v>
      </c>
      <c r="BV229" s="304"/>
      <c r="BW229" s="687"/>
      <c r="BX229" s="668">
        <f t="shared" si="203"/>
        <v>-8.6956521739130488E-2</v>
      </c>
      <c r="BY229" s="668">
        <f t="shared" si="203"/>
        <v>-4.3478260869565188E-2</v>
      </c>
      <c r="BZ229" s="304"/>
      <c r="CA229" s="680"/>
      <c r="CB229" s="668">
        <f>+CB225/BY225-1</f>
        <v>0.5</v>
      </c>
      <c r="CC229" s="668">
        <f t="shared" si="204"/>
        <v>0.29545454545454541</v>
      </c>
      <c r="CD229" s="304"/>
      <c r="CE229" s="680"/>
      <c r="CF229" s="668">
        <f>+CF225/CC225-1</f>
        <v>-0.10526315789473684</v>
      </c>
      <c r="CG229" s="668">
        <f t="shared" si="205"/>
        <v>-0.10526315789473684</v>
      </c>
      <c r="CH229" s="304"/>
      <c r="CI229" s="680"/>
      <c r="CJ229" s="668">
        <f>+CJ225/CG225-1</f>
        <v>0.47058823529411775</v>
      </c>
      <c r="CK229" s="668">
        <f t="shared" si="206"/>
        <v>0.27450980392156854</v>
      </c>
      <c r="CL229" s="304"/>
      <c r="CM229" s="680"/>
      <c r="CN229" s="668">
        <f>+CN225/CK225-1</f>
        <v>-0.16923076923076918</v>
      </c>
      <c r="CO229" s="668">
        <f t="shared" si="207"/>
        <v>-0.32857142857142863</v>
      </c>
      <c r="CP229" s="304"/>
      <c r="CQ229" s="689"/>
      <c r="CR229" s="668">
        <f>+CR225/CO225-1</f>
        <v>0.17021276595744683</v>
      </c>
      <c r="CS229" s="668">
        <f t="shared" si="208"/>
        <v>8.5106382978723305E-2</v>
      </c>
      <c r="CT229" s="304"/>
      <c r="CU229" s="680"/>
      <c r="CV229" s="668">
        <f>+CV225/CS225-1</f>
        <v>0.17647058823529416</v>
      </c>
      <c r="CW229" s="668">
        <f t="shared" si="209"/>
        <v>7.0175438596491224E-2</v>
      </c>
      <c r="CX229" s="304"/>
      <c r="CY229" s="680"/>
      <c r="CZ229" s="668">
        <f>+CZ225/CW225-1</f>
        <v>0.16393442622950816</v>
      </c>
      <c r="DA229" s="668">
        <f t="shared" si="210"/>
        <v>-8.9552238805970186E-2</v>
      </c>
      <c r="DB229" s="304"/>
      <c r="DC229" s="680"/>
      <c r="DD229" s="668">
        <f>+DD225/DA225-1</f>
        <v>0.4098360655737705</v>
      </c>
      <c r="DE229" s="668">
        <f t="shared" si="211"/>
        <v>0.15140186915887877</v>
      </c>
      <c r="DF229" s="304"/>
      <c r="DG229" s="680"/>
      <c r="DH229" s="668">
        <f>+DH225/DE225-1</f>
        <v>-0.11363636363636376</v>
      </c>
      <c r="DI229" s="688">
        <v>0.02</v>
      </c>
      <c r="DJ229" s="689"/>
      <c r="DK229" s="680"/>
      <c r="DL229" s="688">
        <v>0.02</v>
      </c>
      <c r="DM229" s="688">
        <v>0.02</v>
      </c>
      <c r="DN229" s="689"/>
      <c r="DO229" s="680"/>
      <c r="DP229" s="688">
        <v>0.02</v>
      </c>
      <c r="DQ229" s="688">
        <v>0.02</v>
      </c>
      <c r="DR229" s="689"/>
      <c r="DS229" s="680"/>
      <c r="DU229" s="1077"/>
      <c r="DV229" s="1077"/>
      <c r="DY229" s="103"/>
      <c r="DZ229" s="102"/>
      <c r="EA229" s="103"/>
      <c r="EB229" s="103"/>
      <c r="EC229" s="103"/>
      <c r="ED229" s="103"/>
      <c r="EE229" s="103"/>
      <c r="EF229" s="103"/>
      <c r="EG229" s="103"/>
    </row>
    <row r="230" spans="1:138">
      <c r="A230" s="289"/>
      <c r="DA230" s="1408"/>
      <c r="DE230" s="1408"/>
      <c r="DY230" s="103"/>
      <c r="EA230" s="103"/>
      <c r="EB230" s="103"/>
      <c r="EC230" s="103"/>
      <c r="ED230" s="103"/>
      <c r="EE230" s="103"/>
      <c r="EF230" s="103"/>
      <c r="EG230" s="103"/>
    </row>
    <row r="231" spans="1:138">
      <c r="A231" s="289" t="s">
        <v>849</v>
      </c>
      <c r="BH231" s="293"/>
      <c r="BI231" s="293">
        <f>Capital!BI132</f>
        <v>-1455</v>
      </c>
      <c r="BJ231" s="293">
        <f>Capital!BJ132</f>
        <v>-1455</v>
      </c>
      <c r="BL231" s="293">
        <f>Capital!BL132</f>
        <v>-1490</v>
      </c>
      <c r="BM231" s="293">
        <f>Capital!BM132</f>
        <v>-1307</v>
      </c>
      <c r="BN231" s="293">
        <f>Capital!BN132</f>
        <v>-1307</v>
      </c>
      <c r="BP231" s="293">
        <f>Capital!BP132</f>
        <v>-1361</v>
      </c>
      <c r="BQ231" s="293">
        <f>Capital!BQ132</f>
        <v>-1386</v>
      </c>
      <c r="BR231" s="293">
        <f>Capital!BR132</f>
        <v>-1386</v>
      </c>
      <c r="BT231" s="293">
        <f>Capital!BT132</f>
        <v>-1474</v>
      </c>
      <c r="BU231" s="293">
        <f>Capital!BU132</f>
        <v>-1345</v>
      </c>
      <c r="BV231" s="293">
        <f>Capital!BV132</f>
        <v>-1345</v>
      </c>
      <c r="BX231" s="293">
        <f>Capital!BX132</f>
        <v>-1257</v>
      </c>
      <c r="BY231" s="293">
        <f>Capital!BY132</f>
        <v>-1179</v>
      </c>
      <c r="BZ231" s="293">
        <f>Capital!BZ132</f>
        <v>-1179</v>
      </c>
      <c r="CB231" s="293">
        <f>Capital!CB132</f>
        <v>-1137</v>
      </c>
      <c r="CC231" s="293">
        <f>Capital!CC132</f>
        <v>-1201</v>
      </c>
      <c r="CD231" s="293">
        <f>Capital!CD132</f>
        <v>-1201</v>
      </c>
      <c r="CF231" s="293">
        <f>Capital!CF132</f>
        <v>-1279</v>
      </c>
      <c r="CG231" s="293">
        <f>Capital!CG132</f>
        <v>-678</v>
      </c>
      <c r="CH231" s="293">
        <f>Capital!CH132</f>
        <v>-678</v>
      </c>
      <c r="CJ231" s="293">
        <f>Capital!CJ132</f>
        <v>-565</v>
      </c>
      <c r="CK231" s="293">
        <f>Capital!CK132</f>
        <v>-588</v>
      </c>
      <c r="CL231" s="293">
        <f>Capital!CL132</f>
        <v>-588</v>
      </c>
      <c r="CN231" s="293">
        <f>Capital!CN132</f>
        <v>-613</v>
      </c>
      <c r="CO231" s="293">
        <f>Capital!CO132</f>
        <v>-695</v>
      </c>
      <c r="CP231" s="293">
        <f>Capital!CP132</f>
        <v>-695</v>
      </c>
      <c r="CR231" s="293">
        <f>Capital!CR132</f>
        <v>-859</v>
      </c>
      <c r="CS231" s="293">
        <f>Capital!CS132</f>
        <v>-952</v>
      </c>
      <c r="CT231" s="293">
        <f>Capital!CT132</f>
        <v>-952</v>
      </c>
      <c r="CV231" s="293">
        <f>Capital!CV132</f>
        <v>-975</v>
      </c>
      <c r="CW231" s="1495">
        <f>Capital!CW132</f>
        <v>-998</v>
      </c>
      <c r="CX231" s="293">
        <f>Capital!CX132</f>
        <v>-998</v>
      </c>
      <c r="CZ231" s="293">
        <f>Capital!CZ132</f>
        <v>-1044</v>
      </c>
      <c r="DA231" s="1495">
        <f>Capital!DA132</f>
        <v>-1080</v>
      </c>
      <c r="DB231" s="293">
        <f>Capital!DB132</f>
        <v>-1080</v>
      </c>
      <c r="DD231" s="293">
        <f>Capital!DD132</f>
        <v>-1032</v>
      </c>
      <c r="DE231" s="1495">
        <f>Capital!DE132</f>
        <v>-1193</v>
      </c>
      <c r="DF231" s="293">
        <f>Capital!DF132</f>
        <v>-1193</v>
      </c>
      <c r="DH231" s="293">
        <f>Capital!DH132</f>
        <v>-1211</v>
      </c>
      <c r="DI231" s="293">
        <f>-DI224*DI232</f>
        <v>-1304.7329561474639</v>
      </c>
      <c r="DL231" s="293">
        <f>-DL224*DL232</f>
        <v>-1405.9177737134305</v>
      </c>
      <c r="DM231" s="293">
        <f>-DM224*DM232</f>
        <v>-1515.1763396861081</v>
      </c>
      <c r="DP231" s="293">
        <f>-DP224*DP232</f>
        <v>-1633.1860202459709</v>
      </c>
      <c r="DQ231" s="293">
        <f>-DQ224*DQ232</f>
        <v>-1760.6848623186763</v>
      </c>
      <c r="DY231" s="103"/>
      <c r="EA231" s="103"/>
      <c r="EB231" s="103"/>
      <c r="EC231" s="103"/>
      <c r="ED231" s="103"/>
      <c r="EE231" s="103"/>
      <c r="EF231" s="103"/>
      <c r="EG231" s="103"/>
    </row>
    <row r="232" spans="1:138">
      <c r="A232" s="302" t="s">
        <v>558</v>
      </c>
      <c r="B232" s="302"/>
      <c r="C232" s="304"/>
      <c r="D232" s="302"/>
      <c r="E232" s="302"/>
      <c r="F232" s="302"/>
      <c r="G232" s="302"/>
      <c r="H232" s="302"/>
      <c r="I232" s="302"/>
      <c r="J232" s="302"/>
      <c r="K232" s="302"/>
      <c r="L232" s="302"/>
      <c r="M232" s="302"/>
      <c r="N232" s="302"/>
      <c r="O232" s="302"/>
      <c r="P232" s="304"/>
      <c r="Q232" s="304"/>
      <c r="R232" s="304"/>
      <c r="S232" s="304"/>
      <c r="T232" s="304"/>
      <c r="U232" s="304"/>
      <c r="V232" s="304"/>
      <c r="W232" s="304"/>
      <c r="X232" s="304"/>
      <c r="Y232" s="304"/>
      <c r="Z232" s="304"/>
      <c r="AA232" s="304"/>
      <c r="AB232" s="304"/>
      <c r="AC232" s="304"/>
      <c r="AD232" s="304"/>
      <c r="AE232" s="304"/>
      <c r="AF232" s="304"/>
      <c r="AG232" s="304"/>
      <c r="AH232" s="304"/>
      <c r="AI232" s="304"/>
      <c r="AJ232" s="304"/>
      <c r="AK232" s="304"/>
      <c r="AL232" s="304"/>
      <c r="AM232" s="304"/>
      <c r="AN232" s="304"/>
      <c r="AO232" s="304"/>
      <c r="AP232" s="304"/>
      <c r="AQ232" s="304"/>
      <c r="AR232" s="304"/>
      <c r="AS232" s="304"/>
      <c r="AT232" s="304"/>
      <c r="AU232" s="304"/>
      <c r="AV232" s="304"/>
      <c r="AW232" s="304"/>
      <c r="AX232" s="304"/>
      <c r="AY232" s="304"/>
      <c r="AZ232" s="304"/>
      <c r="BA232" s="304"/>
      <c r="BB232" s="304"/>
      <c r="BC232" s="304"/>
      <c r="BD232" s="304"/>
      <c r="BE232" s="304"/>
      <c r="BF232" s="304"/>
      <c r="BG232" s="304"/>
      <c r="BH232" s="304"/>
      <c r="BI232" s="690">
        <f>-BI231/BI224</f>
        <v>4.7861842105263159</v>
      </c>
      <c r="BJ232" s="304"/>
      <c r="BK232" s="304"/>
      <c r="BL232" s="690">
        <f>-BL231/BL224</f>
        <v>11.613406079501154</v>
      </c>
      <c r="BM232" s="690">
        <f>-BM231/BM224</f>
        <v>4.4914089347079038</v>
      </c>
      <c r="BN232" s="304"/>
      <c r="BO232" s="304"/>
      <c r="BP232" s="690">
        <f>-BP231/BP224</f>
        <v>2.6950495049504952</v>
      </c>
      <c r="BQ232" s="690">
        <f>-BQ231/BQ224</f>
        <v>2.3814432989690721</v>
      </c>
      <c r="BR232" s="304"/>
      <c r="BS232" s="304"/>
      <c r="BT232" s="690">
        <f>-BT231/BT224</f>
        <v>2.87890625</v>
      </c>
      <c r="BU232" s="690">
        <f>-BU231/BU224</f>
        <v>4.4833333333333334</v>
      </c>
      <c r="BV232" s="304"/>
      <c r="BW232" s="680"/>
      <c r="BX232" s="690">
        <f>-BX231/BX224</f>
        <v>6.2850000000000001</v>
      </c>
      <c r="BY232" s="690">
        <f>-BY231/BY224</f>
        <v>2.3580000000000001</v>
      </c>
      <c r="BZ232" s="304"/>
      <c r="CA232" s="680"/>
      <c r="CB232" s="690">
        <f>-CB231/CB224</f>
        <v>1.2633333333333334</v>
      </c>
      <c r="CC232" s="690">
        <f>-CC231/CC224</f>
        <v>1.50125</v>
      </c>
      <c r="CD232" s="304"/>
      <c r="CE232" s="680"/>
      <c r="CF232" s="690">
        <f>-CF231/CF224</f>
        <v>1.4211111111111112</v>
      </c>
      <c r="CG232" s="690">
        <f>-CG231/CG224</f>
        <v>6.78</v>
      </c>
      <c r="CH232" s="304"/>
      <c r="CI232" s="680"/>
      <c r="CJ232" s="690"/>
      <c r="CK232" s="690"/>
      <c r="CL232" s="304"/>
      <c r="CM232" s="680"/>
      <c r="CN232" s="690">
        <f>-CN231/CN224</f>
        <v>1.5325</v>
      </c>
      <c r="CO232" s="690">
        <f>-CO231/CO224</f>
        <v>0.23166666666666666</v>
      </c>
      <c r="CP232" s="304"/>
      <c r="CQ232" s="680"/>
      <c r="CR232" s="690">
        <f>-CR231/CR224</f>
        <v>0.26030303030303031</v>
      </c>
      <c r="CS232" s="690">
        <f>-CS231/CS224</f>
        <v>0.29749999999999999</v>
      </c>
      <c r="CT232" s="304"/>
      <c r="CU232" s="680"/>
      <c r="CV232" s="690">
        <f>-CV231/CV224</f>
        <v>0.29545454545454547</v>
      </c>
      <c r="CW232" s="690">
        <f>-CW231/CW224</f>
        <v>0.28514285714285714</v>
      </c>
      <c r="CX232" s="304"/>
      <c r="CY232" s="680"/>
      <c r="CZ232" s="690">
        <f>-CZ231/CZ224</f>
        <v>0.2427906976744186</v>
      </c>
      <c r="DA232" s="690">
        <f>-DA231/DA224</f>
        <v>0.15211267605633802</v>
      </c>
      <c r="DB232" s="304"/>
      <c r="DC232" s="680"/>
      <c r="DD232" s="690">
        <f>-DD231/DD224</f>
        <v>0.2789189189189189</v>
      </c>
      <c r="DE232" s="690">
        <f>-DE231/DE224</f>
        <v>0.5961657014758085</v>
      </c>
      <c r="DF232" s="304"/>
      <c r="DG232" s="680"/>
      <c r="DH232" s="690">
        <f>-DH231/DH224</f>
        <v>0.40414509388060638</v>
      </c>
      <c r="DI232" s="691">
        <f>DH232</f>
        <v>0.40414509388060638</v>
      </c>
      <c r="DJ232" s="680"/>
      <c r="DK232" s="680"/>
      <c r="DL232" s="691">
        <f>DI232</f>
        <v>0.40414509388060638</v>
      </c>
      <c r="DM232" s="691">
        <f>DL232</f>
        <v>0.40414509388060638</v>
      </c>
      <c r="DN232" s="680"/>
      <c r="DO232" s="680"/>
      <c r="DP232" s="691">
        <f>DM232</f>
        <v>0.40414509388060638</v>
      </c>
      <c r="DQ232" s="691">
        <f>DP232</f>
        <v>0.40414509388060638</v>
      </c>
      <c r="DR232" s="680"/>
      <c r="DS232" s="680"/>
      <c r="DY232" s="103"/>
      <c r="DZ232" s="102"/>
      <c r="EA232" s="103"/>
      <c r="EB232" s="103"/>
      <c r="EC232" s="103"/>
      <c r="ED232" s="103"/>
      <c r="EE232" s="103"/>
      <c r="EF232" s="103"/>
      <c r="EG232" s="103"/>
    </row>
    <row r="233" spans="1:138">
      <c r="A233" s="289"/>
      <c r="BI233" s="295"/>
      <c r="DY233" s="103"/>
      <c r="EA233" s="103"/>
      <c r="EB233" s="103"/>
      <c r="EC233" s="103"/>
      <c r="ED233" s="103"/>
      <c r="EE233" s="103"/>
      <c r="EF233" s="103"/>
      <c r="EG233" s="103"/>
    </row>
    <row r="234" spans="1:138">
      <c r="A234" s="692" t="s">
        <v>238</v>
      </c>
      <c r="B234" s="693"/>
      <c r="C234" s="694"/>
      <c r="D234" s="693"/>
      <c r="E234" s="693"/>
      <c r="F234" s="693"/>
      <c r="G234" s="693"/>
      <c r="H234" s="693"/>
      <c r="I234" s="693"/>
      <c r="J234" s="693"/>
      <c r="K234" s="693"/>
      <c r="L234" s="693"/>
      <c r="M234" s="693"/>
      <c r="N234" s="693"/>
      <c r="O234" s="693"/>
      <c r="P234" s="694"/>
      <c r="Q234" s="694"/>
      <c r="R234" s="694"/>
      <c r="S234" s="694"/>
      <c r="T234" s="694"/>
      <c r="U234" s="694"/>
      <c r="V234" s="694"/>
      <c r="W234" s="694"/>
      <c r="X234" s="694"/>
      <c r="Y234" s="694"/>
      <c r="Z234" s="694"/>
      <c r="AA234" s="694"/>
      <c r="AB234" s="694"/>
      <c r="AC234" s="694"/>
      <c r="AD234" s="694"/>
      <c r="AE234" s="694"/>
      <c r="AF234" s="694"/>
      <c r="AG234" s="694"/>
      <c r="AH234" s="694"/>
      <c r="AI234" s="694"/>
      <c r="AJ234" s="694"/>
      <c r="AK234" s="694"/>
      <c r="AL234" s="694"/>
      <c r="AM234" s="694"/>
      <c r="AN234" s="694"/>
      <c r="AO234" s="694"/>
      <c r="AP234" s="694"/>
      <c r="AQ234" s="694"/>
      <c r="AR234" s="694"/>
      <c r="AS234" s="694"/>
      <c r="AT234" s="694"/>
      <c r="AU234" s="694"/>
      <c r="AV234" s="694"/>
      <c r="AW234" s="694"/>
      <c r="AX234" s="694"/>
      <c r="AY234" s="694"/>
      <c r="AZ234" s="694"/>
      <c r="BA234" s="694"/>
      <c r="BB234" s="694"/>
      <c r="BC234" s="694"/>
      <c r="BD234" s="694"/>
      <c r="BE234" s="694"/>
      <c r="BF234" s="694"/>
      <c r="BG234" s="694"/>
      <c r="BH234" s="694"/>
      <c r="BI234" s="695"/>
      <c r="BJ234" s="694"/>
      <c r="BK234" s="694"/>
      <c r="BL234" s="694"/>
      <c r="BM234" s="694"/>
      <c r="BN234" s="694"/>
      <c r="BO234" s="694"/>
      <c r="BP234" s="694"/>
      <c r="BQ234" s="694"/>
      <c r="BR234" s="694"/>
      <c r="BS234" s="694"/>
      <c r="BT234" s="694"/>
      <c r="BU234" s="694"/>
      <c r="BV234" s="694"/>
      <c r="BW234" s="694"/>
      <c r="BX234" s="694"/>
      <c r="BY234" s="694"/>
      <c r="BZ234" s="694"/>
      <c r="CA234" s="694"/>
      <c r="CB234" s="694"/>
      <c r="CC234" s="694"/>
      <c r="CD234" s="694"/>
      <c r="CE234" s="694"/>
      <c r="CF234" s="694"/>
      <c r="CG234" s="694"/>
      <c r="CH234" s="694"/>
      <c r="CI234" s="694"/>
      <c r="CJ234" s="694"/>
      <c r="CK234" s="694"/>
      <c r="CL234" s="694"/>
      <c r="CM234" s="694"/>
      <c r="CN234" s="694"/>
      <c r="CO234" s="694"/>
      <c r="CP234" s="694"/>
      <c r="CQ234" s="694"/>
      <c r="CR234" s="694"/>
      <c r="CS234" s="694"/>
      <c r="CT234" s="694"/>
      <c r="CU234" s="694"/>
      <c r="CV234" s="694"/>
      <c r="CW234" s="1800"/>
      <c r="CX234" s="694"/>
      <c r="CY234" s="694"/>
      <c r="CZ234" s="694"/>
      <c r="DA234" s="694"/>
      <c r="DB234" s="694"/>
      <c r="DC234" s="694"/>
      <c r="DD234" s="694"/>
      <c r="DE234" s="694"/>
      <c r="DF234" s="694"/>
      <c r="DG234" s="694"/>
      <c r="DH234" s="694"/>
      <c r="DI234" s="694"/>
      <c r="DJ234" s="694"/>
      <c r="DK234" s="694"/>
      <c r="DL234" s="694"/>
      <c r="DM234" s="694"/>
      <c r="DN234" s="694"/>
      <c r="DO234" s="694"/>
      <c r="DP234" s="694"/>
      <c r="DQ234" s="694"/>
      <c r="DR234" s="694"/>
      <c r="DS234" s="694"/>
      <c r="DY234" s="103"/>
      <c r="DZ234" s="102"/>
      <c r="EA234" s="103"/>
      <c r="EB234" s="103"/>
      <c r="EC234" s="103"/>
      <c r="ED234" s="103"/>
      <c r="EE234" s="103"/>
      <c r="EF234" s="103"/>
      <c r="EG234" s="103"/>
    </row>
    <row r="235" spans="1:138">
      <c r="A235" s="289"/>
      <c r="BI235" s="295"/>
      <c r="DY235" s="103"/>
      <c r="EA235" s="103"/>
      <c r="EB235" s="103"/>
      <c r="EC235" s="103"/>
      <c r="ED235" s="103"/>
      <c r="EE235" s="103"/>
      <c r="EF235" s="103"/>
      <c r="EG235" s="103"/>
    </row>
    <row r="236" spans="1:138">
      <c r="A236" s="102" t="s">
        <v>241</v>
      </c>
      <c r="AB236" s="293">
        <f>AB52</f>
        <v>4076</v>
      </c>
      <c r="AC236" s="293">
        <f>AC52</f>
        <v>7681</v>
      </c>
      <c r="AF236" s="293">
        <f>AF52</f>
        <v>8514</v>
      </c>
      <c r="AG236" s="293">
        <f>AG52</f>
        <v>10057</v>
      </c>
      <c r="AJ236" s="293">
        <f>AJ52</f>
        <v>6500</v>
      </c>
      <c r="AK236" s="293">
        <f>AK52</f>
        <v>15922</v>
      </c>
      <c r="AN236" s="293">
        <f>AN52</f>
        <v>9875</v>
      </c>
      <c r="AO236" s="293">
        <f>AO52</f>
        <v>11825</v>
      </c>
      <c r="AR236" s="293">
        <f>AR52</f>
        <v>11079</v>
      </c>
      <c r="AS236" s="293">
        <f>AS52</f>
        <v>2161</v>
      </c>
      <c r="AV236" s="293">
        <f>AV52</f>
        <v>7368</v>
      </c>
      <c r="AW236" s="293">
        <f>AW52</f>
        <v>5432</v>
      </c>
      <c r="AZ236" s="293">
        <f>AZ52</f>
        <v>5811</v>
      </c>
      <c r="BA236" s="293">
        <f>BA52</f>
        <v>5808</v>
      </c>
      <c r="BD236" s="293">
        <f>BD52</f>
        <v>4425</v>
      </c>
      <c r="BE236" s="293">
        <f>BE52</f>
        <v>3615</v>
      </c>
      <c r="BH236" s="293">
        <f>BH52</f>
        <v>3641</v>
      </c>
      <c r="BI236" s="293">
        <f>BI52</f>
        <v>1497</v>
      </c>
      <c r="BL236" s="293">
        <f>BL52</f>
        <v>3485</v>
      </c>
      <c r="BM236" s="293">
        <f>BM52</f>
        <v>2762</v>
      </c>
      <c r="BP236" s="293">
        <f>BP52</f>
        <v>4118</v>
      </c>
      <c r="BQ236" s="293">
        <f>BQ52</f>
        <v>5295</v>
      </c>
      <c r="BT236" s="293">
        <f>BT52</f>
        <v>8702</v>
      </c>
      <c r="BU236" s="293">
        <f>BU52</f>
        <v>5030</v>
      </c>
      <c r="BX236" s="293">
        <f>BX52</f>
        <v>5714</v>
      </c>
      <c r="BY236" s="293">
        <f>BY52</f>
        <v>5067</v>
      </c>
      <c r="CB236" s="293">
        <f>CB52</f>
        <v>7451</v>
      </c>
      <c r="CC236" s="293">
        <f>CC52</f>
        <v>8061</v>
      </c>
      <c r="CF236" s="293">
        <f>CF52</f>
        <v>7197</v>
      </c>
      <c r="CG236" s="293">
        <f>CG52</f>
        <v>8108</v>
      </c>
      <c r="CJ236" s="293">
        <f>CJ52</f>
        <v>8146</v>
      </c>
      <c r="CK236" s="293">
        <f>CK52</f>
        <v>5544</v>
      </c>
      <c r="CN236" s="293">
        <f>CN52</f>
        <v>6136</v>
      </c>
      <c r="CO236" s="293">
        <f>CO52</f>
        <v>6205</v>
      </c>
      <c r="CR236" s="293">
        <f>CR52</f>
        <v>5495</v>
      </c>
      <c r="CS236" s="293">
        <f>CS52</f>
        <v>5290</v>
      </c>
      <c r="CV236" s="293">
        <f>CV52</f>
        <v>6443</v>
      </c>
      <c r="CW236" s="1495">
        <f>CW52</f>
        <v>4810</v>
      </c>
      <c r="CZ236" s="293">
        <f>CZ52</f>
        <v>8222</v>
      </c>
      <c r="DA236" s="1495">
        <f>DA52</f>
        <v>5044</v>
      </c>
      <c r="DD236" s="293">
        <f>DD52</f>
        <v>5235</v>
      </c>
      <c r="DE236" s="1495">
        <f>DE52</f>
        <v>5851</v>
      </c>
      <c r="DH236" s="293">
        <f>DH52</f>
        <v>11565</v>
      </c>
      <c r="DI236" s="293">
        <f>+DI237*DI238</f>
        <v>11911.95</v>
      </c>
      <c r="DL236" s="293">
        <f>+DL237*DL238</f>
        <v>12269.308500000001</v>
      </c>
      <c r="DM236" s="293">
        <f>+DM237*DM238</f>
        <v>12637.387755000002</v>
      </c>
      <c r="DP236" s="293">
        <f>+DP237*DP238</f>
        <v>13016.509387650001</v>
      </c>
      <c r="DQ236" s="293">
        <f>+DQ237*DQ238</f>
        <v>13407.004669279502</v>
      </c>
      <c r="DU236" s="293"/>
      <c r="DV236" s="293"/>
      <c r="DY236" s="103"/>
      <c r="EA236" s="103"/>
      <c r="EB236" s="103"/>
      <c r="EC236" s="103"/>
      <c r="ED236" s="103"/>
      <c r="EE236" s="103"/>
      <c r="EF236" s="103"/>
      <c r="EG236" s="103"/>
    </row>
    <row r="237" spans="1:138">
      <c r="A237" s="102" t="s">
        <v>229</v>
      </c>
      <c r="AB237" s="293">
        <f>AB14</f>
        <v>7039</v>
      </c>
      <c r="AC237" s="293">
        <f>AC14</f>
        <v>7800</v>
      </c>
      <c r="AF237" s="293">
        <f>AF14</f>
        <v>12439</v>
      </c>
      <c r="AG237" s="293">
        <f>AG14</f>
        <v>14246</v>
      </c>
      <c r="AJ237" s="293">
        <f>AJ14</f>
        <v>13756</v>
      </c>
      <c r="AK237" s="293">
        <f>AK14</f>
        <v>15518</v>
      </c>
      <c r="AN237" s="293">
        <f>AN14</f>
        <v>16693</v>
      </c>
      <c r="AO237" s="293">
        <f>AO14</f>
        <v>15807</v>
      </c>
      <c r="AR237" s="293">
        <f>AR14</f>
        <v>17059</v>
      </c>
      <c r="AS237" s="293">
        <f>AS14</f>
        <v>9260</v>
      </c>
      <c r="AV237" s="293">
        <f>AV14</f>
        <v>14502</v>
      </c>
      <c r="AW237" s="293">
        <f>AW14</f>
        <v>12138</v>
      </c>
      <c r="AZ237" s="293">
        <f>AZ14</f>
        <v>15938</v>
      </c>
      <c r="BA237" s="293">
        <f>BA14</f>
        <v>14898</v>
      </c>
      <c r="BD237" s="293">
        <f>BD14</f>
        <v>14616</v>
      </c>
      <c r="BE237" s="293">
        <f>BE14</f>
        <v>12689</v>
      </c>
      <c r="BH237" s="293">
        <f>BH14</f>
        <v>15546</v>
      </c>
      <c r="BI237" s="293">
        <f>BI14</f>
        <v>19776</v>
      </c>
      <c r="BL237" s="293">
        <f>BL14</f>
        <v>22489</v>
      </c>
      <c r="BM237" s="293">
        <f>BM14</f>
        <v>22462</v>
      </c>
      <c r="BP237" s="293">
        <f>BP14</f>
        <v>26310</v>
      </c>
      <c r="BQ237" s="293">
        <f>BQ14</f>
        <v>30406</v>
      </c>
      <c r="BT237" s="293">
        <f>BT14</f>
        <v>31337</v>
      </c>
      <c r="BU237" s="293">
        <f>BU14</f>
        <v>23537</v>
      </c>
      <c r="BX237" s="293">
        <f>BX14</f>
        <v>27207</v>
      </c>
      <c r="BY237" s="293">
        <f>BY14</f>
        <v>26933</v>
      </c>
      <c r="CB237" s="293">
        <f>CB14</f>
        <v>18596</v>
      </c>
      <c r="CC237" s="293">
        <f>CC14</f>
        <v>15341</v>
      </c>
      <c r="CF237" s="293">
        <f>CF14</f>
        <v>20158</v>
      </c>
      <c r="CG237" s="293">
        <f>CG14</f>
        <v>18670</v>
      </c>
      <c r="CJ237" s="293">
        <f>CJ14</f>
        <v>24320</v>
      </c>
      <c r="CK237" s="293">
        <f>CK14</f>
        <v>16855</v>
      </c>
      <c r="CN237" s="293">
        <f>CN14</f>
        <v>19252</v>
      </c>
      <c r="CO237" s="293">
        <f>CO14</f>
        <v>21746</v>
      </c>
      <c r="CR237" s="293">
        <f>CR14</f>
        <v>21783</v>
      </c>
      <c r="CS237" s="293">
        <f>CS14</f>
        <v>13578</v>
      </c>
      <c r="CV237" s="293">
        <f>CV14</f>
        <v>13310</v>
      </c>
      <c r="CW237" s="1495">
        <f>CW14</f>
        <v>16881</v>
      </c>
      <c r="CZ237" s="293">
        <f>CZ14</f>
        <v>20224</v>
      </c>
      <c r="DA237" s="1495">
        <f>DA14</f>
        <v>27924</v>
      </c>
      <c r="DD237" s="293">
        <f>DD14</f>
        <v>35303</v>
      </c>
      <c r="DE237" s="1495">
        <f>DE14</f>
        <v>35036</v>
      </c>
      <c r="DH237" s="293">
        <f>DH14</f>
        <v>46998</v>
      </c>
      <c r="DI237" s="293">
        <f>DI14</f>
        <v>48407.94</v>
      </c>
      <c r="DL237" s="293">
        <f>DL14</f>
        <v>49860.178200000002</v>
      </c>
      <c r="DM237" s="293">
        <f>DM14</f>
        <v>51355.983546000003</v>
      </c>
      <c r="DP237" s="293">
        <f>DP14</f>
        <v>52896.663052380005</v>
      </c>
      <c r="DQ237" s="293">
        <f>DQ14</f>
        <v>54483.562943951409</v>
      </c>
      <c r="DU237" s="293"/>
      <c r="DV237" s="293"/>
      <c r="DY237" s="103"/>
      <c r="EA237" s="103"/>
      <c r="EB237" s="103"/>
      <c r="EC237" s="103"/>
      <c r="ED237" s="103"/>
      <c r="EE237" s="103"/>
      <c r="EF237" s="103"/>
      <c r="EG237" s="103"/>
    </row>
    <row r="238" spans="1:138">
      <c r="A238" s="296" t="s">
        <v>558</v>
      </c>
      <c r="B238" s="302"/>
      <c r="C238" s="304"/>
      <c r="D238" s="302"/>
      <c r="E238" s="302"/>
      <c r="F238" s="302"/>
      <c r="G238" s="302"/>
      <c r="H238" s="302"/>
      <c r="I238" s="302"/>
      <c r="J238" s="302"/>
      <c r="K238" s="302"/>
      <c r="L238" s="302"/>
      <c r="M238" s="302"/>
      <c r="N238" s="302"/>
      <c r="O238" s="302"/>
      <c r="P238" s="304"/>
      <c r="Q238" s="304"/>
      <c r="R238" s="304"/>
      <c r="S238" s="304"/>
      <c r="T238" s="304"/>
      <c r="U238" s="304"/>
      <c r="V238" s="304"/>
      <c r="W238" s="304"/>
      <c r="X238" s="304"/>
      <c r="Y238" s="304"/>
      <c r="Z238" s="304"/>
      <c r="AA238" s="304"/>
      <c r="AB238" s="690">
        <f>+AB236/AB237</f>
        <v>0.57905952550078132</v>
      </c>
      <c r="AC238" s="690">
        <f>+AC236/AC237</f>
        <v>0.98474358974358978</v>
      </c>
      <c r="AD238" s="304"/>
      <c r="AE238" s="304"/>
      <c r="AF238" s="690">
        <f>+AF236/AF237</f>
        <v>0.68446016560816791</v>
      </c>
      <c r="AG238" s="690">
        <f>+AG236/AG237</f>
        <v>0.70595254808367258</v>
      </c>
      <c r="AH238" s="304"/>
      <c r="AI238" s="304"/>
      <c r="AJ238" s="690">
        <f>+AJ236/AJ237</f>
        <v>0.47252108170979934</v>
      </c>
      <c r="AK238" s="690">
        <f>+AK236/AK237</f>
        <v>1.0260342827683979</v>
      </c>
      <c r="AL238" s="304"/>
      <c r="AM238" s="304"/>
      <c r="AN238" s="690">
        <f>+AN236/AN237</f>
        <v>0.59156532678368179</v>
      </c>
      <c r="AO238" s="690">
        <f>+AO236/AO237</f>
        <v>0.74808629088378564</v>
      </c>
      <c r="AP238" s="304"/>
      <c r="AQ238" s="304"/>
      <c r="AR238" s="690">
        <f>+AR236/AR237</f>
        <v>0.64945190222170113</v>
      </c>
      <c r="AS238" s="690">
        <f>+AS236/AS237</f>
        <v>0.23336933045356373</v>
      </c>
      <c r="AT238" s="304"/>
      <c r="AU238" s="304"/>
      <c r="AV238" s="690">
        <f>+AV236/AV237</f>
        <v>0.50806785270997101</v>
      </c>
      <c r="AW238" s="690">
        <f>+AW236/AW237</f>
        <v>0.44752018454440601</v>
      </c>
      <c r="AX238" s="304"/>
      <c r="AY238" s="304"/>
      <c r="AZ238" s="690">
        <f>+AZ236/AZ237</f>
        <v>0.36460032626427408</v>
      </c>
      <c r="BA238" s="690">
        <f>+BA236/BA237</f>
        <v>0.38985098670962548</v>
      </c>
      <c r="BB238" s="304"/>
      <c r="BC238" s="304"/>
      <c r="BD238" s="690">
        <f>+BD236/BD237</f>
        <v>0.30275041050903118</v>
      </c>
      <c r="BE238" s="690">
        <f>+BE236/BE237</f>
        <v>0.28489242651115138</v>
      </c>
      <c r="BF238" s="304"/>
      <c r="BG238" s="304"/>
      <c r="BH238" s="690">
        <f>+BH236/BH237</f>
        <v>0.23420815643895534</v>
      </c>
      <c r="BI238" s="690">
        <f>+BI236/BI237</f>
        <v>7.5697815533980584E-2</v>
      </c>
      <c r="BJ238" s="304"/>
      <c r="BK238" s="304"/>
      <c r="BL238" s="690">
        <f>+BL236/BL237</f>
        <v>0.15496464938414337</v>
      </c>
      <c r="BM238" s="690">
        <f>+BM236/BM237</f>
        <v>0.1229632267830113</v>
      </c>
      <c r="BN238" s="304"/>
      <c r="BO238" s="304"/>
      <c r="BP238" s="690">
        <f>+BP236/BP237</f>
        <v>0.15651843405549221</v>
      </c>
      <c r="BQ238" s="690">
        <f>+BQ236/BQ237</f>
        <v>0.17414326119844767</v>
      </c>
      <c r="BR238" s="304"/>
      <c r="BS238" s="304"/>
      <c r="BT238" s="690">
        <f>+BT236/BT237</f>
        <v>0.27769090851070621</v>
      </c>
      <c r="BU238" s="690">
        <f>+BU236/BU237</f>
        <v>0.21370607978926795</v>
      </c>
      <c r="BV238" s="304"/>
      <c r="BW238" s="680"/>
      <c r="BX238" s="690">
        <f>+BX236/BX237</f>
        <v>0.21001948028081008</v>
      </c>
      <c r="BY238" s="690">
        <f>+BY236/BY237</f>
        <v>0.18813351650391713</v>
      </c>
      <c r="BZ238" s="304"/>
      <c r="CA238" s="680"/>
      <c r="CB238" s="690">
        <f>+CB236/CB237</f>
        <v>0.40067756506775648</v>
      </c>
      <c r="CC238" s="690">
        <f>+CC236/CC237</f>
        <v>0.52545466397236162</v>
      </c>
      <c r="CD238" s="304"/>
      <c r="CE238" s="680"/>
      <c r="CF238" s="690">
        <f>+CF236/CF237</f>
        <v>0.35702946720904849</v>
      </c>
      <c r="CG238" s="690">
        <f>+CG236/CG237</f>
        <v>0.43427959292983398</v>
      </c>
      <c r="CH238" s="304"/>
      <c r="CI238" s="680"/>
      <c r="CJ238" s="690">
        <f>+CJ236/CJ237</f>
        <v>0.33495065789473683</v>
      </c>
      <c r="CK238" s="690">
        <f>+CK236/CK237</f>
        <v>0.32892316819934736</v>
      </c>
      <c r="CL238" s="304"/>
      <c r="CM238" s="680"/>
      <c r="CN238" s="690">
        <f>+CN236/CN237</f>
        <v>0.31872013297319757</v>
      </c>
      <c r="CO238" s="690">
        <f>+CO236/CO237</f>
        <v>0.28533983261289431</v>
      </c>
      <c r="CP238" s="304"/>
      <c r="CQ238" s="680"/>
      <c r="CR238" s="690">
        <f>+CR236/CR237</f>
        <v>0.25226093742826977</v>
      </c>
      <c r="CS238" s="690">
        <f>+CS236/CS237</f>
        <v>0.38960082486375019</v>
      </c>
      <c r="CT238" s="304"/>
      <c r="CU238" s="680"/>
      <c r="CV238" s="690">
        <f>+CV236/CV237</f>
        <v>0.48407212622088658</v>
      </c>
      <c r="CW238" s="690">
        <f>+CW236/CW237</f>
        <v>0.28493572655648364</v>
      </c>
      <c r="CX238" s="304"/>
      <c r="CY238" s="680"/>
      <c r="CZ238" s="690">
        <f>+CZ236/CZ237</f>
        <v>0.40654667721518989</v>
      </c>
      <c r="DA238" s="690">
        <f>+DA236/DA237</f>
        <v>0.18063314711359404</v>
      </c>
      <c r="DB238" s="304"/>
      <c r="DC238" s="680"/>
      <c r="DD238" s="690">
        <f>+DD236/DD237</f>
        <v>0.1482876809336317</v>
      </c>
      <c r="DE238" s="690">
        <f>+DE236/DE237</f>
        <v>0.16699965749514784</v>
      </c>
      <c r="DF238" s="304"/>
      <c r="DG238" s="680"/>
      <c r="DH238" s="690">
        <f>+DH236/DH237</f>
        <v>0.24607430103408656</v>
      </c>
      <c r="DI238" s="691">
        <f>DH238</f>
        <v>0.24607430103408656</v>
      </c>
      <c r="DJ238" s="680"/>
      <c r="DK238" s="680"/>
      <c r="DL238" s="691">
        <f>DI238</f>
        <v>0.24607430103408656</v>
      </c>
      <c r="DM238" s="691">
        <f>DL238</f>
        <v>0.24607430103408656</v>
      </c>
      <c r="DN238" s="680"/>
      <c r="DO238" s="680"/>
      <c r="DP238" s="691">
        <f>DM238</f>
        <v>0.24607430103408656</v>
      </c>
      <c r="DQ238" s="691">
        <f>DP238</f>
        <v>0.24607430103408656</v>
      </c>
      <c r="DR238" s="680"/>
      <c r="DS238" s="680"/>
      <c r="DU238" s="1134"/>
      <c r="DV238" s="1134"/>
      <c r="DY238" s="103"/>
      <c r="DZ238" s="102"/>
      <c r="EA238" s="103"/>
      <c r="EB238" s="103"/>
      <c r="EC238" s="103"/>
      <c r="ED238" s="103"/>
      <c r="EE238" s="103"/>
      <c r="EF238" s="103"/>
      <c r="EG238" s="103"/>
    </row>
    <row r="239" spans="1:138">
      <c r="A239" s="289"/>
      <c r="BI239" s="295"/>
      <c r="BM239" s="295"/>
      <c r="BQ239" s="295"/>
      <c r="BU239" s="295"/>
      <c r="BY239" s="295"/>
      <c r="CC239" s="295"/>
      <c r="CG239" s="295"/>
      <c r="CK239" s="295"/>
      <c r="CO239" s="295"/>
      <c r="CS239" s="295"/>
      <c r="CW239" s="1390"/>
      <c r="DA239" s="1390"/>
      <c r="DE239" s="1390"/>
      <c r="DY239" s="103"/>
      <c r="EA239" s="103"/>
      <c r="EB239" s="103"/>
      <c r="EC239" s="103"/>
      <c r="ED239" s="103"/>
      <c r="EE239" s="103"/>
      <c r="EF239" s="103"/>
      <c r="EG239" s="103"/>
    </row>
    <row r="240" spans="1:138">
      <c r="A240" s="102" t="s">
        <v>288</v>
      </c>
      <c r="AB240" s="293">
        <f>AB53</f>
        <v>5359</v>
      </c>
      <c r="AC240" s="293">
        <f>AC53</f>
        <v>6224</v>
      </c>
      <c r="AF240" s="293">
        <f>AF53</f>
        <v>6877</v>
      </c>
      <c r="AG240" s="293">
        <f>AG53</f>
        <v>10057</v>
      </c>
      <c r="AJ240" s="293">
        <f>AJ53</f>
        <v>10461</v>
      </c>
      <c r="AK240" s="293">
        <f>AK53</f>
        <v>11069</v>
      </c>
      <c r="AN240" s="293">
        <f>AN53</f>
        <v>15555</v>
      </c>
      <c r="AO240" s="293">
        <f>AO53</f>
        <v>21399</v>
      </c>
      <c r="AR240" s="293">
        <f>AR53</f>
        <v>24430</v>
      </c>
      <c r="AS240" s="293">
        <f>AS53</f>
        <v>27371</v>
      </c>
      <c r="AV240" s="293">
        <f>AV53</f>
        <v>21552</v>
      </c>
      <c r="AW240" s="293">
        <f>AW53</f>
        <v>21706</v>
      </c>
      <c r="AZ240" s="293">
        <f>AZ53</f>
        <v>24326</v>
      </c>
      <c r="BA240" s="293">
        <f>BA53</f>
        <v>21572</v>
      </c>
      <c r="BD240" s="293">
        <f>BD53</f>
        <v>32240</v>
      </c>
      <c r="BE240" s="293">
        <f>BE53</f>
        <v>21022</v>
      </c>
      <c r="BH240" s="293">
        <f>BH53</f>
        <v>21047</v>
      </c>
      <c r="BI240" s="293">
        <f>BI53</f>
        <v>14853</v>
      </c>
      <c r="BL240" s="293">
        <f>BL53</f>
        <v>14149</v>
      </c>
      <c r="BM240" s="293">
        <f>BM53</f>
        <v>11973</v>
      </c>
      <c r="BP240" s="293">
        <f>BP53</f>
        <v>14634</v>
      </c>
      <c r="BQ240" s="293">
        <f>BQ53</f>
        <v>18267</v>
      </c>
      <c r="BT240" s="293">
        <f>BT53</f>
        <v>20018</v>
      </c>
      <c r="BU240" s="293">
        <f>BU53</f>
        <v>14744</v>
      </c>
      <c r="BX240" s="293">
        <f>BX53</f>
        <v>12949</v>
      </c>
      <c r="BY240" s="293">
        <f>BY53</f>
        <v>11128</v>
      </c>
      <c r="CB240" s="293">
        <f>CB53</f>
        <v>10717</v>
      </c>
      <c r="CC240" s="293">
        <f>CC53</f>
        <v>11925</v>
      </c>
      <c r="CF240" s="293">
        <f>CF53</f>
        <v>18205</v>
      </c>
      <c r="CG240" s="293">
        <f>CG53</f>
        <v>12666</v>
      </c>
      <c r="CJ240" s="293">
        <f>CJ53</f>
        <v>14514</v>
      </c>
      <c r="CK240" s="293">
        <f>CK53</f>
        <v>38399</v>
      </c>
      <c r="CN240" s="293">
        <f>CN53</f>
        <v>16467</v>
      </c>
      <c r="CO240" s="293">
        <f>CO53</f>
        <v>17579</v>
      </c>
      <c r="CR240" s="293">
        <f>CR53</f>
        <v>77980</v>
      </c>
      <c r="CS240" s="293">
        <f>CS53</f>
        <v>84464</v>
      </c>
      <c r="CV240" s="293">
        <f>CV53</f>
        <v>111734</v>
      </c>
      <c r="CW240" s="1495">
        <f>CW53</f>
        <v>32790</v>
      </c>
      <c r="CZ240" s="293">
        <f>CZ53</f>
        <v>29527</v>
      </c>
      <c r="DA240" s="1495">
        <f>DA53</f>
        <v>25585</v>
      </c>
      <c r="DD240" s="293">
        <f>DD53</f>
        <v>22340</v>
      </c>
      <c r="DE240" s="1495">
        <f>DE53</f>
        <v>23368</v>
      </c>
      <c r="DH240" s="293">
        <f>DH53</f>
        <v>23528</v>
      </c>
      <c r="DI240" s="293">
        <f>+DI241*DI242</f>
        <v>24233.840000000004</v>
      </c>
      <c r="DL240" s="293">
        <f>+DL241*DL242</f>
        <v>24960.855200000002</v>
      </c>
      <c r="DM240" s="293">
        <f>+DM241*DM242</f>
        <v>25709.680856000003</v>
      </c>
      <c r="DP240" s="293">
        <f>+DP241*DP242</f>
        <v>26480.971281680002</v>
      </c>
      <c r="DQ240" s="293">
        <f>+DQ241*DQ242</f>
        <v>27275.400420130405</v>
      </c>
      <c r="DU240" s="293"/>
      <c r="DV240" s="293"/>
      <c r="DY240" s="103"/>
      <c r="EA240" s="103"/>
      <c r="EB240" s="103"/>
      <c r="EC240" s="103"/>
      <c r="ED240" s="103"/>
      <c r="EE240" s="103"/>
      <c r="EF240" s="103"/>
      <c r="EG240" s="103"/>
    </row>
    <row r="241" spans="1:137">
      <c r="A241" s="102" t="s">
        <v>287</v>
      </c>
      <c r="AB241" s="293">
        <f>AB18</f>
        <v>5679</v>
      </c>
      <c r="AC241" s="293">
        <f>AC18</f>
        <v>5690</v>
      </c>
      <c r="AF241" s="293">
        <f>AF18</f>
        <v>6899</v>
      </c>
      <c r="AG241" s="293">
        <f>AG18</f>
        <v>10978</v>
      </c>
      <c r="AJ241" s="293">
        <f>AJ18</f>
        <v>11216</v>
      </c>
      <c r="AK241" s="293">
        <f>AK18</f>
        <v>11913</v>
      </c>
      <c r="AN241" s="293">
        <f>AN18</f>
        <v>16991</v>
      </c>
      <c r="AO241" s="293">
        <f>AO18</f>
        <v>21136</v>
      </c>
      <c r="AR241" s="293">
        <f>AR18</f>
        <v>22508</v>
      </c>
      <c r="AS241" s="293">
        <f>AS18</f>
        <v>27428</v>
      </c>
      <c r="AV241" s="293">
        <f>AV18</f>
        <v>21441</v>
      </c>
      <c r="AW241" s="293">
        <f>AW18</f>
        <v>21561</v>
      </c>
      <c r="AZ241" s="293">
        <f>AZ18</f>
        <v>23430</v>
      </c>
      <c r="BA241" s="293">
        <f>BA18</f>
        <v>21185</v>
      </c>
      <c r="BD241" s="293">
        <f>BD18</f>
        <v>34201</v>
      </c>
      <c r="BE241" s="293">
        <f>BE18</f>
        <v>22078</v>
      </c>
      <c r="BH241" s="293">
        <f>BH18</f>
        <v>21691</v>
      </c>
      <c r="BI241" s="293">
        <f>BI18</f>
        <v>14704</v>
      </c>
      <c r="BL241" s="293">
        <f>BL18</f>
        <v>14647</v>
      </c>
      <c r="BM241" s="293">
        <f>BM18</f>
        <v>12633</v>
      </c>
      <c r="BP241" s="293">
        <f>BP18</f>
        <v>14648</v>
      </c>
      <c r="BQ241" s="293">
        <f>BQ18</f>
        <v>20080</v>
      </c>
      <c r="BT241" s="293">
        <f>BT18</f>
        <v>22307</v>
      </c>
      <c r="BU241" s="293">
        <f>BU18</f>
        <v>17983</v>
      </c>
      <c r="BX241" s="293">
        <f>BX18</f>
        <v>15233</v>
      </c>
      <c r="BY241" s="293">
        <f>BY18</f>
        <v>12106</v>
      </c>
      <c r="CB241" s="293">
        <f>CB18</f>
        <v>12360</v>
      </c>
      <c r="CC241" s="293">
        <f>CC18</f>
        <v>12937</v>
      </c>
      <c r="CF241" s="293">
        <f>CF18</f>
        <v>18115</v>
      </c>
      <c r="CG241" s="293">
        <f>CG18</f>
        <v>14457</v>
      </c>
      <c r="CJ241" s="293">
        <f>CJ18</f>
        <v>18221</v>
      </c>
      <c r="CK241" s="293">
        <f>CK18</f>
        <v>45607</v>
      </c>
      <c r="CN241" s="293">
        <f>CN18</f>
        <v>22055</v>
      </c>
      <c r="CO241" s="293">
        <f>CO18</f>
        <v>20642</v>
      </c>
      <c r="CR241" s="293">
        <f>CR18</f>
        <v>77186</v>
      </c>
      <c r="CS241" s="293">
        <f>CS18</f>
        <v>84891</v>
      </c>
      <c r="CV241" s="293">
        <f>CV18</f>
        <v>111913</v>
      </c>
      <c r="CW241" s="1495">
        <f>CW18</f>
        <v>36114</v>
      </c>
      <c r="CZ241" s="293">
        <f>CZ18</f>
        <v>29121</v>
      </c>
      <c r="DA241" s="1495">
        <f>DA18</f>
        <v>24067</v>
      </c>
      <c r="DD241" s="293">
        <f>DD18</f>
        <v>23855</v>
      </c>
      <c r="DE241" s="1495">
        <f>DE18</f>
        <v>24269</v>
      </c>
      <c r="DH241" s="293">
        <f>DH18</f>
        <v>25348</v>
      </c>
      <c r="DI241" s="293">
        <f>DI18</f>
        <v>26108.440000000002</v>
      </c>
      <c r="DL241" s="293">
        <f>DL18</f>
        <v>26891.693200000002</v>
      </c>
      <c r="DM241" s="293">
        <f>DM18</f>
        <v>27698.443996000002</v>
      </c>
      <c r="DP241" s="293">
        <f>DP18</f>
        <v>28529.397315880004</v>
      </c>
      <c r="DQ241" s="293">
        <f>DQ18</f>
        <v>29385.279235356404</v>
      </c>
      <c r="DU241" s="293"/>
      <c r="DV241" s="293"/>
      <c r="DY241" s="103"/>
      <c r="EA241" s="103"/>
      <c r="EB241" s="103"/>
      <c r="EC241" s="103"/>
      <c r="ED241" s="103"/>
      <c r="EE241" s="103"/>
      <c r="EF241" s="103"/>
      <c r="EG241" s="103"/>
    </row>
    <row r="242" spans="1:137">
      <c r="A242" s="296" t="s">
        <v>558</v>
      </c>
      <c r="B242" s="302"/>
      <c r="C242" s="304"/>
      <c r="D242" s="302"/>
      <c r="E242" s="302"/>
      <c r="F242" s="302"/>
      <c r="G242" s="302"/>
      <c r="H242" s="302"/>
      <c r="I242" s="302"/>
      <c r="J242" s="302"/>
      <c r="K242" s="302"/>
      <c r="L242" s="302"/>
      <c r="M242" s="302"/>
      <c r="N242" s="302"/>
      <c r="O242" s="302"/>
      <c r="P242" s="304"/>
      <c r="Q242" s="304"/>
      <c r="R242" s="304"/>
      <c r="S242" s="304"/>
      <c r="T242" s="304"/>
      <c r="U242" s="304"/>
      <c r="V242" s="304"/>
      <c r="W242" s="304"/>
      <c r="X242" s="304"/>
      <c r="Y242" s="304"/>
      <c r="Z242" s="304"/>
      <c r="AA242" s="304"/>
      <c r="AB242" s="690">
        <f>+AB240/AB241</f>
        <v>0.94365205141750308</v>
      </c>
      <c r="AC242" s="690">
        <f>+AC240/AC241</f>
        <v>1.0938488576449912</v>
      </c>
      <c r="AD242" s="304"/>
      <c r="AE242" s="304"/>
      <c r="AF242" s="690">
        <f>+AF240/AF241</f>
        <v>0.99681113204812288</v>
      </c>
      <c r="AG242" s="690">
        <f>+AG240/AG241</f>
        <v>0.91610493714702135</v>
      </c>
      <c r="AH242" s="304"/>
      <c r="AI242" s="304"/>
      <c r="AJ242" s="690">
        <f>+AJ240/AJ241</f>
        <v>0.93268544935805986</v>
      </c>
      <c r="AK242" s="690">
        <f>+AK240/AK241</f>
        <v>0.92915302610593464</v>
      </c>
      <c r="AL242" s="304"/>
      <c r="AM242" s="304"/>
      <c r="AN242" s="690">
        <f>+AN240/AN241</f>
        <v>0.91548466835383435</v>
      </c>
      <c r="AO242" s="690">
        <f>+AO240/AO241</f>
        <v>1.0124432248296744</v>
      </c>
      <c r="AP242" s="304"/>
      <c r="AQ242" s="304"/>
      <c r="AR242" s="690">
        <f>+AR240/AR241</f>
        <v>1.0853918606717612</v>
      </c>
      <c r="AS242" s="690">
        <f>+AS240/AS241</f>
        <v>0.99792183170482718</v>
      </c>
      <c r="AT242" s="304"/>
      <c r="AU242" s="304"/>
      <c r="AV242" s="690">
        <f>+AV240/AV241</f>
        <v>1.0051769973415419</v>
      </c>
      <c r="AW242" s="690">
        <f>+AW240/AW241</f>
        <v>1.0067251055145865</v>
      </c>
      <c r="AX242" s="304"/>
      <c r="AY242" s="304"/>
      <c r="AZ242" s="690">
        <f>+AZ240/AZ241</f>
        <v>1.0382415706359369</v>
      </c>
      <c r="BA242" s="690">
        <f>+BA240/BA241</f>
        <v>1.0182676421996695</v>
      </c>
      <c r="BB242" s="304"/>
      <c r="BC242" s="304"/>
      <c r="BD242" s="690">
        <f>+BD240/BD241</f>
        <v>0.94266249524867696</v>
      </c>
      <c r="BE242" s="690">
        <f>+BE240/BE241</f>
        <v>0.95216958057795087</v>
      </c>
      <c r="BF242" s="304"/>
      <c r="BG242" s="304"/>
      <c r="BH242" s="690">
        <f>+BH240/BH241</f>
        <v>0.97031026693098521</v>
      </c>
      <c r="BI242" s="690">
        <f>+BI240/BI241</f>
        <v>1.010133297062024</v>
      </c>
      <c r="BJ242" s="304"/>
      <c r="BK242" s="304"/>
      <c r="BL242" s="690">
        <f>+BL240/BL241</f>
        <v>0.96599986345326683</v>
      </c>
      <c r="BM242" s="690">
        <f>+BM240/BM241</f>
        <v>0.94775587746378531</v>
      </c>
      <c r="BN242" s="304"/>
      <c r="BO242" s="304"/>
      <c r="BP242" s="690">
        <f>+BP240/BP241</f>
        <v>0.99904423812124521</v>
      </c>
      <c r="BQ242" s="690">
        <f>+BQ240/BQ241</f>
        <v>0.90971115537848601</v>
      </c>
      <c r="BR242" s="304"/>
      <c r="BS242" s="304"/>
      <c r="BT242" s="690">
        <f>+BT240/BT241</f>
        <v>0.8973864706146053</v>
      </c>
      <c r="BU242" s="690">
        <f>+BU240/BU241</f>
        <v>0.81988544736695768</v>
      </c>
      <c r="BV242" s="304"/>
      <c r="BW242" s="680"/>
      <c r="BX242" s="690">
        <f>+BX240/BX241</f>
        <v>0.8500623646031642</v>
      </c>
      <c r="BY242" s="690">
        <f>+BY240/BY241</f>
        <v>0.91921361308442096</v>
      </c>
      <c r="BZ242" s="304"/>
      <c r="CA242" s="680"/>
      <c r="CB242" s="690">
        <f>+CB240/CB241</f>
        <v>0.86707119741100325</v>
      </c>
      <c r="CC242" s="690">
        <f>+CC240/CC241</f>
        <v>0.92177475457988711</v>
      </c>
      <c r="CD242" s="304"/>
      <c r="CE242" s="680"/>
      <c r="CF242" s="690">
        <f>+CF240/CF241</f>
        <v>1.0049682583494342</v>
      </c>
      <c r="CG242" s="690">
        <f>+CG240/CG241</f>
        <v>0.87611537663415651</v>
      </c>
      <c r="CH242" s="304"/>
      <c r="CI242" s="680"/>
      <c r="CJ242" s="690">
        <f>+CJ240/CJ241</f>
        <v>0.79655342736403056</v>
      </c>
      <c r="CK242" s="690">
        <f>+CK240/CK241</f>
        <v>0.84195408599557087</v>
      </c>
      <c r="CL242" s="304"/>
      <c r="CM242" s="680"/>
      <c r="CN242" s="690">
        <f>+CN240/CN241</f>
        <v>0.74663341645885284</v>
      </c>
      <c r="CO242" s="690">
        <f>+CO240/CO241</f>
        <v>0.85161321577366533</v>
      </c>
      <c r="CP242" s="304"/>
      <c r="CQ242" s="680"/>
      <c r="CR242" s="690">
        <f>+CR240/CR241</f>
        <v>1.0102868395823077</v>
      </c>
      <c r="CS242" s="690">
        <f>+CS240/CS241</f>
        <v>0.99497002037907434</v>
      </c>
      <c r="CT242" s="304"/>
      <c r="CU242" s="680"/>
      <c r="CV242" s="690">
        <f>+CV240/CV241</f>
        <v>0.9984005432791544</v>
      </c>
      <c r="CW242" s="690">
        <f>+CW240/CW241</f>
        <v>0.90795813258016278</v>
      </c>
      <c r="CX242" s="304"/>
      <c r="CY242" s="680"/>
      <c r="CZ242" s="690">
        <f>+CZ240/CZ241</f>
        <v>1.0139418289207101</v>
      </c>
      <c r="DA242" s="690">
        <f>+DA240/DA241</f>
        <v>1.0630739186437861</v>
      </c>
      <c r="DB242" s="304"/>
      <c r="DC242" s="680"/>
      <c r="DD242" s="690">
        <f>+DD240/DD241</f>
        <v>0.93649130161391747</v>
      </c>
      <c r="DE242" s="690">
        <f>+DE240/DE241</f>
        <v>0.96287444888540941</v>
      </c>
      <c r="DF242" s="304"/>
      <c r="DG242" s="680"/>
      <c r="DH242" s="690">
        <f>+DH240/DH241</f>
        <v>0.92819946346851823</v>
      </c>
      <c r="DI242" s="691">
        <f>DH242</f>
        <v>0.92819946346851823</v>
      </c>
      <c r="DJ242" s="680"/>
      <c r="DK242" s="680"/>
      <c r="DL242" s="691">
        <f>DI242</f>
        <v>0.92819946346851823</v>
      </c>
      <c r="DM242" s="691">
        <f>DL242</f>
        <v>0.92819946346851823</v>
      </c>
      <c r="DN242" s="680"/>
      <c r="DO242" s="680"/>
      <c r="DP242" s="691">
        <f>DM242</f>
        <v>0.92819946346851823</v>
      </c>
      <c r="DQ242" s="691">
        <f>DP242</f>
        <v>0.92819946346851823</v>
      </c>
      <c r="DR242" s="680"/>
      <c r="DS242" s="680"/>
      <c r="DU242" s="1134"/>
      <c r="DV242" s="1134"/>
      <c r="DY242" s="103"/>
      <c r="DZ242" s="102"/>
      <c r="EA242" s="103"/>
      <c r="EB242" s="103"/>
      <c r="EC242" s="103"/>
      <c r="ED242" s="103"/>
      <c r="EE242" s="103"/>
      <c r="EF242" s="103"/>
      <c r="EG242" s="103"/>
    </row>
    <row r="243" spans="1:137">
      <c r="A243" s="289"/>
      <c r="BI243" s="295"/>
      <c r="BM243" s="295"/>
      <c r="BQ243" s="295"/>
      <c r="BU243" s="295"/>
      <c r="BY243" s="295"/>
      <c r="CC243" s="295"/>
      <c r="CG243" s="295"/>
      <c r="CK243" s="295"/>
      <c r="CO243" s="295"/>
      <c r="CS243" s="295"/>
      <c r="CW243" s="1390"/>
      <c r="DA243" s="1390"/>
      <c r="DE243" s="1390"/>
      <c r="DY243" s="103"/>
      <c r="EA243" s="103"/>
      <c r="EB243" s="103"/>
      <c r="EC243" s="103"/>
      <c r="ED243" s="103"/>
      <c r="EE243" s="103"/>
      <c r="EF243" s="103"/>
      <c r="EG243" s="103"/>
    </row>
    <row r="244" spans="1:137">
      <c r="A244" s="102" t="s">
        <v>289</v>
      </c>
      <c r="AB244" s="293"/>
      <c r="AC244" s="293"/>
      <c r="AF244" s="293">
        <f>AF57</f>
        <v>4627</v>
      </c>
      <c r="AG244" s="293">
        <f>AG57</f>
        <v>5481</v>
      </c>
      <c r="AJ244" s="293">
        <f>AJ57</f>
        <v>5685</v>
      </c>
      <c r="AK244" s="293">
        <f>AK57</f>
        <v>5552</v>
      </c>
      <c r="AN244" s="293">
        <f>AN57</f>
        <v>5744</v>
      </c>
      <c r="AO244" s="293">
        <f>AO57</f>
        <v>6288</v>
      </c>
      <c r="AR244" s="293">
        <f>AR57</f>
        <v>6263</v>
      </c>
      <c r="AS244" s="293">
        <f>AS57</f>
        <v>6203</v>
      </c>
      <c r="AV244" s="293">
        <f>AV57</f>
        <v>5037</v>
      </c>
      <c r="AW244" s="293">
        <f>AW57</f>
        <v>4413</v>
      </c>
      <c r="AZ244" s="293">
        <f>AZ57</f>
        <v>3710</v>
      </c>
      <c r="BA244" s="293">
        <f>BA57</f>
        <v>4339</v>
      </c>
      <c r="BD244" s="293">
        <f>BD57</f>
        <v>3334</v>
      </c>
      <c r="BE244" s="293">
        <f>BE57</f>
        <v>2733</v>
      </c>
      <c r="BH244" s="293">
        <f>BH57</f>
        <v>1593</v>
      </c>
      <c r="BI244" s="293">
        <f>BI57</f>
        <v>1704</v>
      </c>
      <c r="BL244" s="293">
        <f>BL57</f>
        <v>1205</v>
      </c>
      <c r="BM244" s="293">
        <f>BM57</f>
        <v>1464</v>
      </c>
      <c r="BP244" s="293">
        <f>BP57</f>
        <v>1364</v>
      </c>
      <c r="BQ244" s="293">
        <f>BQ57</f>
        <v>1626</v>
      </c>
      <c r="BT244" s="293">
        <f>BT57</f>
        <v>2309</v>
      </c>
      <c r="BU244" s="293">
        <f>BU57</f>
        <v>2672</v>
      </c>
      <c r="BX244" s="293">
        <f>BX57</f>
        <v>3018</v>
      </c>
      <c r="BY244" s="293">
        <f>BY57</f>
        <v>2404</v>
      </c>
      <c r="CB244" s="293">
        <f>CB57</f>
        <v>2268</v>
      </c>
      <c r="CC244" s="293">
        <f>CC57</f>
        <v>2363</v>
      </c>
      <c r="CF244" s="293">
        <f>CF57</f>
        <v>504</v>
      </c>
      <c r="CG244" s="293">
        <f>CG57</f>
        <v>6809</v>
      </c>
      <c r="CJ244" s="293">
        <f>CJ57</f>
        <v>94</v>
      </c>
      <c r="CK244" s="293">
        <f>CK57</f>
        <v>260</v>
      </c>
      <c r="CN244" s="293">
        <f>CN57</f>
        <v>1267</v>
      </c>
      <c r="CO244" s="293">
        <f>CO57</f>
        <v>18</v>
      </c>
      <c r="CR244" s="293">
        <f>CR57</f>
        <v>404</v>
      </c>
      <c r="CS244" s="293">
        <f>CS57</f>
        <v>525</v>
      </c>
      <c r="CV244" s="293">
        <f>CV57</f>
        <v>112</v>
      </c>
      <c r="CW244" s="1495">
        <f>CW57</f>
        <v>173</v>
      </c>
      <c r="CZ244" s="293">
        <f>CZ57</f>
        <v>296</v>
      </c>
      <c r="DA244" s="1495">
        <f>DA57</f>
        <v>407</v>
      </c>
      <c r="DD244" s="293">
        <f>DD57</f>
        <v>826</v>
      </c>
      <c r="DE244" s="1495">
        <f>DE57</f>
        <v>1946</v>
      </c>
      <c r="DH244" s="293">
        <f>DH57</f>
        <v>2649</v>
      </c>
      <c r="DI244" s="293">
        <f>+DI245*DI246</f>
        <v>2764.9607823758784</v>
      </c>
      <c r="DL244" s="293">
        <f>+DL245*DL246</f>
        <v>2824.0931467389155</v>
      </c>
      <c r="DM244" s="293">
        <f>+DM245*DM246</f>
        <v>2884.7169971204912</v>
      </c>
      <c r="DP244" s="293">
        <f>+DP245*DP246</f>
        <v>2946.8884980866987</v>
      </c>
      <c r="DQ244" s="293">
        <f>+DQ245*DQ246</f>
        <v>3010.6673435281559</v>
      </c>
      <c r="DU244" s="293"/>
      <c r="DV244" s="293"/>
      <c r="DY244" s="103"/>
      <c r="EA244" s="103"/>
      <c r="EB244" s="103"/>
      <c r="EC244" s="103"/>
      <c r="ED244" s="103"/>
      <c r="EE244" s="103"/>
      <c r="EF244" s="103"/>
      <c r="EG244" s="103"/>
    </row>
    <row r="245" spans="1:137">
      <c r="A245" s="102" t="s">
        <v>290</v>
      </c>
      <c r="AB245" s="293"/>
      <c r="AC245" s="293"/>
      <c r="AF245" s="293">
        <f>AF17</f>
        <v>1870</v>
      </c>
      <c r="AG245" s="293">
        <f>AG17</f>
        <v>2104</v>
      </c>
      <c r="AJ245" s="293">
        <f>AJ17</f>
        <v>2893</v>
      </c>
      <c r="AK245" s="293">
        <f>AK17</f>
        <v>2779</v>
      </c>
      <c r="AN245" s="293">
        <f>AN17</f>
        <v>4412</v>
      </c>
      <c r="AO245" s="293">
        <f>AO17</f>
        <v>4131</v>
      </c>
      <c r="AR245" s="293">
        <f>AR17</f>
        <v>3974</v>
      </c>
      <c r="AS245" s="293">
        <f>AS17</f>
        <v>7910</v>
      </c>
      <c r="AV245" s="293">
        <f>AV17</f>
        <v>5249</v>
      </c>
      <c r="AW245" s="293">
        <f>AW17</f>
        <v>9172</v>
      </c>
      <c r="AZ245" s="293">
        <f>AZ17</f>
        <v>11025</v>
      </c>
      <c r="BA245" s="293">
        <f>BA17</f>
        <v>11668</v>
      </c>
      <c r="BD245" s="293">
        <f>BD17</f>
        <v>9998</v>
      </c>
      <c r="BE245" s="293">
        <f>BE17</f>
        <v>6715</v>
      </c>
      <c r="BH245" s="293">
        <f>BH17</f>
        <v>5327</v>
      </c>
      <c r="BI245" s="293">
        <f>BI17</f>
        <v>5033</v>
      </c>
      <c r="BL245" s="293">
        <f>BL17</f>
        <v>3116</v>
      </c>
      <c r="BM245" s="293">
        <f>BM17</f>
        <v>2854</v>
      </c>
      <c r="BP245" s="293">
        <f>BP17</f>
        <v>2752</v>
      </c>
      <c r="BQ245" s="293">
        <f>BQ17</f>
        <v>2125</v>
      </c>
      <c r="BT245" s="293">
        <f>BT17</f>
        <v>2101</v>
      </c>
      <c r="BU245" s="293">
        <f>BU17</f>
        <v>1649</v>
      </c>
      <c r="BX245" s="293">
        <f>BX17</f>
        <v>1378</v>
      </c>
      <c r="BY245" s="293">
        <f>BY17</f>
        <v>1502</v>
      </c>
      <c r="CB245" s="293">
        <f>CB17</f>
        <v>1510</v>
      </c>
      <c r="CC245" s="293">
        <f>CC17</f>
        <v>1434</v>
      </c>
      <c r="CF245" s="293">
        <f>CF17</f>
        <v>6633</v>
      </c>
      <c r="CG245" s="293">
        <f>CG17</f>
        <v>7161</v>
      </c>
      <c r="CJ245" s="293">
        <f>CJ17</f>
        <v>7937</v>
      </c>
      <c r="CK245" s="293">
        <f>CK17</f>
        <v>8930</v>
      </c>
      <c r="CN245" s="293">
        <f>CN17</f>
        <v>8977</v>
      </c>
      <c r="CO245" s="293">
        <f>CO17</f>
        <v>9566</v>
      </c>
      <c r="CR245" s="293">
        <f>CR17</f>
        <v>13142</v>
      </c>
      <c r="CS245" s="293">
        <f>CS17</f>
        <v>12127</v>
      </c>
      <c r="CV245" s="293">
        <f>CV17</f>
        <v>25046</v>
      </c>
      <c r="CW245" s="1495">
        <f>CW17</f>
        <v>21874</v>
      </c>
      <c r="CZ245" s="293">
        <f>CZ17</f>
        <v>22862</v>
      </c>
      <c r="DA245" s="1495">
        <f>DA17</f>
        <v>24378</v>
      </c>
      <c r="DD245" s="293">
        <f>DD17</f>
        <v>18887</v>
      </c>
      <c r="DE245" s="1495">
        <f>DE17</f>
        <v>21455</v>
      </c>
      <c r="DH245" s="293">
        <f>DH17</f>
        <v>26241</v>
      </c>
      <c r="DI245" s="293">
        <f>DI17</f>
        <v>27389.707772867281</v>
      </c>
      <c r="DL245" s="293">
        <f>DL17</f>
        <v>27975.473108182669</v>
      </c>
      <c r="DM245" s="293">
        <f>DM17</f>
        <v>28576.013107375922</v>
      </c>
      <c r="DP245" s="293">
        <f>DP17</f>
        <v>29191.884136765973</v>
      </c>
      <c r="DQ245" s="293">
        <f>DQ17</f>
        <v>29823.677524168495</v>
      </c>
      <c r="DU245" s="293"/>
      <c r="DV245" s="293"/>
      <c r="DY245" s="103"/>
      <c r="EA245" s="103"/>
      <c r="EB245" s="103"/>
      <c r="EC245" s="103"/>
      <c r="ED245" s="103"/>
      <c r="EE245" s="103"/>
      <c r="EF245" s="103"/>
      <c r="EG245" s="103"/>
    </row>
    <row r="246" spans="1:137">
      <c r="A246" s="296" t="s">
        <v>558</v>
      </c>
      <c r="B246" s="302"/>
      <c r="C246" s="304"/>
      <c r="D246" s="302"/>
      <c r="E246" s="302"/>
      <c r="F246" s="302"/>
      <c r="G246" s="302"/>
      <c r="H246" s="302"/>
      <c r="I246" s="302"/>
      <c r="J246" s="302"/>
      <c r="K246" s="302"/>
      <c r="L246" s="302"/>
      <c r="M246" s="302"/>
      <c r="N246" s="302"/>
      <c r="O246" s="302"/>
      <c r="P246" s="304"/>
      <c r="Q246" s="304"/>
      <c r="R246" s="304"/>
      <c r="S246" s="304"/>
      <c r="T246" s="304"/>
      <c r="U246" s="304"/>
      <c r="V246" s="304"/>
      <c r="W246" s="304"/>
      <c r="X246" s="304"/>
      <c r="Y246" s="304"/>
      <c r="Z246" s="304"/>
      <c r="AA246" s="304"/>
      <c r="AB246" s="690"/>
      <c r="AC246" s="690"/>
      <c r="AD246" s="304"/>
      <c r="AE246" s="304"/>
      <c r="AF246" s="690">
        <f>+AF244/AF245</f>
        <v>2.4743315508021388</v>
      </c>
      <c r="AG246" s="690">
        <f>+AG244/AG245</f>
        <v>2.6050380228136882</v>
      </c>
      <c r="AH246" s="304"/>
      <c r="AI246" s="304"/>
      <c r="AJ246" s="690">
        <f>+AJ244/AJ245</f>
        <v>1.9650881437953682</v>
      </c>
      <c r="AK246" s="690">
        <f>+AK244/AK245</f>
        <v>1.997840949982008</v>
      </c>
      <c r="AL246" s="304"/>
      <c r="AM246" s="304"/>
      <c r="AN246" s="690">
        <f>+AN244/AN245</f>
        <v>1.3019038984587488</v>
      </c>
      <c r="AO246" s="690">
        <f>+AO244/AO245</f>
        <v>1.5221496005809731</v>
      </c>
      <c r="AP246" s="304"/>
      <c r="AQ246" s="304"/>
      <c r="AR246" s="690">
        <f>+AR244/AR245</f>
        <v>1.5759939607448414</v>
      </c>
      <c r="AS246" s="690">
        <f>+AS244/AS245</f>
        <v>0.78419721871049308</v>
      </c>
      <c r="AT246" s="304"/>
      <c r="AU246" s="304"/>
      <c r="AV246" s="690">
        <f>+AV244/AV245</f>
        <v>0.95961135454372259</v>
      </c>
      <c r="AW246" s="690">
        <f>+AW244/AW245</f>
        <v>0.48113824683820322</v>
      </c>
      <c r="AX246" s="304"/>
      <c r="AY246" s="304"/>
      <c r="AZ246" s="690">
        <f>+AZ244/AZ245</f>
        <v>0.33650793650793653</v>
      </c>
      <c r="BA246" s="690">
        <f>+BA244/BA245</f>
        <v>0.37187178608159066</v>
      </c>
      <c r="BB246" s="304"/>
      <c r="BC246" s="304"/>
      <c r="BD246" s="690">
        <f>+BD244/BD245</f>
        <v>0.33346669333866774</v>
      </c>
      <c r="BE246" s="690">
        <f>+BE244/BE245</f>
        <v>0.4069992553983619</v>
      </c>
      <c r="BF246" s="304"/>
      <c r="BG246" s="304"/>
      <c r="BH246" s="690">
        <f>+BH244/BH245</f>
        <v>0.29904261310305991</v>
      </c>
      <c r="BI246" s="690">
        <f>+BI244/BI245</f>
        <v>0.33856546791178221</v>
      </c>
      <c r="BJ246" s="304"/>
      <c r="BK246" s="304"/>
      <c r="BL246" s="690">
        <f>+BL244/BL245</f>
        <v>0.38671373555840821</v>
      </c>
      <c r="BM246" s="690">
        <f>+BM244/BM245</f>
        <v>0.51296426068675538</v>
      </c>
      <c r="BN246" s="304"/>
      <c r="BO246" s="304"/>
      <c r="BP246" s="690">
        <f>+BP244/BP245</f>
        <v>0.49563953488372092</v>
      </c>
      <c r="BQ246" s="690">
        <f>+BQ244/BQ245</f>
        <v>0.76517647058823535</v>
      </c>
      <c r="BR246" s="304"/>
      <c r="BS246" s="304"/>
      <c r="BT246" s="690">
        <f>+BT244/BT245</f>
        <v>1.0990004759638268</v>
      </c>
      <c r="BU246" s="690">
        <f>+BU244/BU245</f>
        <v>1.6203759854457247</v>
      </c>
      <c r="BV246" s="304"/>
      <c r="BW246" s="680"/>
      <c r="BX246" s="690">
        <f>+BX244/BX245</f>
        <v>2.1901306240928884</v>
      </c>
      <c r="BY246" s="690">
        <f>+BY244/BY245</f>
        <v>1.6005326231691079</v>
      </c>
      <c r="BZ246" s="304"/>
      <c r="CA246" s="680"/>
      <c r="CB246" s="690">
        <f>+CB244/CB245</f>
        <v>1.5019867549668875</v>
      </c>
      <c r="CC246" s="690">
        <f>+CC244/CC245</f>
        <v>1.6478382147838215</v>
      </c>
      <c r="CD246" s="304"/>
      <c r="CE246" s="680"/>
      <c r="CF246" s="690">
        <f>+CF244/CF245</f>
        <v>7.5983717774762552E-2</v>
      </c>
      <c r="CG246" s="690">
        <f>+CG244/CG245</f>
        <v>0.95084485407066055</v>
      </c>
      <c r="CH246" s="304"/>
      <c r="CI246" s="680"/>
      <c r="CJ246" s="690">
        <f>+CJ244/CJ245</f>
        <v>1.1843265717525513E-2</v>
      </c>
      <c r="CK246" s="690">
        <f>+CK244/CK245</f>
        <v>2.9115341545352745E-2</v>
      </c>
      <c r="CL246" s="304"/>
      <c r="CM246" s="680"/>
      <c r="CN246" s="690">
        <f>+CN244/CN245</f>
        <v>0.14113846496602428</v>
      </c>
      <c r="CO246" s="690">
        <f>+CO244/CO245</f>
        <v>1.8816642274722976E-3</v>
      </c>
      <c r="CP246" s="304"/>
      <c r="CQ246" s="680"/>
      <c r="CR246" s="690">
        <f>+CR244/CR245</f>
        <v>3.0741135291432051E-2</v>
      </c>
      <c r="CS246" s="690">
        <f>+CS244/CS245</f>
        <v>4.3291828152057392E-2</v>
      </c>
      <c r="CT246" s="304"/>
      <c r="CU246" s="680"/>
      <c r="CV246" s="690">
        <f>+CV244/CV245</f>
        <v>4.4717719396310789E-3</v>
      </c>
      <c r="CW246" s="690">
        <f>+CW244/CW245</f>
        <v>7.9089329797933615E-3</v>
      </c>
      <c r="CX246" s="304"/>
      <c r="CY246" s="680"/>
      <c r="CZ246" s="690">
        <f>+CZ244/CZ245</f>
        <v>1.29472487096492E-2</v>
      </c>
      <c r="DA246" s="690">
        <f>+DA244/DA245</f>
        <v>1.6695381081302814E-2</v>
      </c>
      <c r="DB246" s="304"/>
      <c r="DC246" s="680"/>
      <c r="DD246" s="690">
        <f>+DD244/DD245</f>
        <v>4.3733785143220204E-2</v>
      </c>
      <c r="DE246" s="690">
        <f>+DE244/DE245</f>
        <v>9.0701468189233275E-2</v>
      </c>
      <c r="DF246" s="304"/>
      <c r="DG246" s="680"/>
      <c r="DH246" s="690">
        <f>+DH244/DH245</f>
        <v>0.100948896764605</v>
      </c>
      <c r="DI246" s="691">
        <f>DH246</f>
        <v>0.100948896764605</v>
      </c>
      <c r="DJ246" s="680"/>
      <c r="DK246" s="680"/>
      <c r="DL246" s="691">
        <f>DI246</f>
        <v>0.100948896764605</v>
      </c>
      <c r="DM246" s="691">
        <f>DL246</f>
        <v>0.100948896764605</v>
      </c>
      <c r="DN246" s="680"/>
      <c r="DO246" s="680"/>
      <c r="DP246" s="691">
        <f>DM246</f>
        <v>0.100948896764605</v>
      </c>
      <c r="DQ246" s="691">
        <f>DP246</f>
        <v>0.100948896764605</v>
      </c>
      <c r="DR246" s="680"/>
      <c r="DS246" s="680"/>
      <c r="DU246" s="1134"/>
      <c r="DV246" s="1134"/>
      <c r="DY246" s="103"/>
      <c r="DZ246" s="102"/>
      <c r="EA246" s="103"/>
      <c r="EB246" s="103"/>
      <c r="EC246" s="103"/>
      <c r="ED246" s="103"/>
      <c r="EE246" s="103"/>
      <c r="EF246" s="103"/>
      <c r="EG246" s="103"/>
    </row>
    <row r="247" spans="1:137">
      <c r="A247" s="289"/>
      <c r="BI247" s="295"/>
      <c r="BM247" s="295"/>
      <c r="BQ247" s="295"/>
      <c r="BU247" s="295"/>
      <c r="BY247" s="295"/>
      <c r="CC247" s="295"/>
      <c r="CG247" s="295"/>
      <c r="CK247" s="295"/>
      <c r="CO247" s="295"/>
      <c r="CS247" s="295"/>
      <c r="CW247" s="1390"/>
      <c r="DA247" s="1390"/>
      <c r="DE247" s="1390"/>
      <c r="DY247" s="103"/>
      <c r="EA247" s="103"/>
      <c r="EB247" s="103"/>
      <c r="EC247" s="103"/>
      <c r="ED247" s="103"/>
      <c r="EE247" s="103"/>
      <c r="EF247" s="103"/>
      <c r="EG247" s="103"/>
    </row>
    <row r="248" spans="1:137">
      <c r="A248" s="102" t="s">
        <v>291</v>
      </c>
      <c r="AB248" s="293">
        <f>AB59</f>
        <v>4476</v>
      </c>
      <c r="AC248" s="293">
        <f>AC59</f>
        <v>4429</v>
      </c>
      <c r="AF248" s="293">
        <f>AF59</f>
        <v>5135</v>
      </c>
      <c r="AG248" s="293">
        <f>AG59</f>
        <v>5130</v>
      </c>
      <c r="AJ248" s="293">
        <f>AJ59</f>
        <v>5530</v>
      </c>
      <c r="AK248" s="293">
        <f>AK59</f>
        <v>5781</v>
      </c>
      <c r="AN248" s="293">
        <f>AN59</f>
        <v>6355</v>
      </c>
      <c r="AO248" s="293">
        <f>AO59</f>
        <v>5689</v>
      </c>
      <c r="AR248" s="293">
        <f>AR59</f>
        <v>5634</v>
      </c>
      <c r="AS248" s="293">
        <f>AS59</f>
        <v>4312</v>
      </c>
      <c r="AV248" s="293">
        <f>AV59</f>
        <v>5062</v>
      </c>
      <c r="AW248" s="293">
        <f>AW59</f>
        <v>4864</v>
      </c>
      <c r="AZ248" s="293">
        <f>AZ59</f>
        <v>5069</v>
      </c>
      <c r="BA248" s="293">
        <f>BA59</f>
        <v>5055</v>
      </c>
      <c r="BD248" s="293">
        <f>BD59</f>
        <v>4759</v>
      </c>
      <c r="BE248" s="293">
        <f>BE59</f>
        <v>5897</v>
      </c>
      <c r="BH248" s="293">
        <f>BH59</f>
        <v>0</v>
      </c>
      <c r="BI248" s="293">
        <f>BI59</f>
        <v>0</v>
      </c>
      <c r="BL248" s="293">
        <f>BL59</f>
        <v>0</v>
      </c>
      <c r="BM248" s="293">
        <f>BM59</f>
        <v>0</v>
      </c>
      <c r="BP248" s="293">
        <f>BP59</f>
        <v>0</v>
      </c>
      <c r="BQ248" s="293">
        <f>BQ59</f>
        <v>0</v>
      </c>
      <c r="BT248" s="293">
        <f>BT59</f>
        <v>0</v>
      </c>
      <c r="BU248" s="293">
        <f>BU59</f>
        <v>0</v>
      </c>
      <c r="BX248" s="293">
        <f>BX59</f>
        <v>0</v>
      </c>
      <c r="BY248" s="293">
        <f>BY59</f>
        <v>0</v>
      </c>
      <c r="CB248" s="293">
        <f>CB59</f>
        <v>0</v>
      </c>
      <c r="CC248" s="293">
        <f>CC59</f>
        <v>0</v>
      </c>
      <c r="CF248" s="293">
        <f>CF59</f>
        <v>0</v>
      </c>
      <c r="CG248" s="293">
        <f>CG59</f>
        <v>0</v>
      </c>
      <c r="CJ248" s="293">
        <f>CJ59</f>
        <v>0</v>
      </c>
      <c r="CK248" s="293">
        <f>CK59</f>
        <v>0</v>
      </c>
      <c r="CN248" s="293">
        <f>CN59</f>
        <v>0</v>
      </c>
      <c r="CO248" s="293">
        <f>CO59</f>
        <v>0</v>
      </c>
      <c r="CR248" s="293">
        <f>CR59</f>
        <v>0</v>
      </c>
      <c r="CS248" s="293">
        <f>CS59</f>
        <v>0</v>
      </c>
      <c r="CV248" s="293">
        <f>CV59</f>
        <v>0</v>
      </c>
      <c r="CW248" s="1495">
        <f>CW59</f>
        <v>0</v>
      </c>
      <c r="CZ248" s="293">
        <f>CZ59</f>
        <v>0</v>
      </c>
      <c r="DA248" s="1495">
        <f>DA59</f>
        <v>0</v>
      </c>
      <c r="DD248" s="293">
        <f>DD59</f>
        <v>0</v>
      </c>
      <c r="DE248" s="1495">
        <f>DE59</f>
        <v>0</v>
      </c>
      <c r="DH248" s="293">
        <f>DH59</f>
        <v>0</v>
      </c>
      <c r="DI248" s="293">
        <f>+DI249*DI250</f>
        <v>0</v>
      </c>
      <c r="DL248" s="293">
        <f>+DL249*DL250</f>
        <v>0</v>
      </c>
      <c r="DM248" s="293">
        <f>+DM249*DM250</f>
        <v>0</v>
      </c>
      <c r="DP248" s="293">
        <f>+DP249*DP250</f>
        <v>0</v>
      </c>
      <c r="DQ248" s="293">
        <f>+DQ249*DQ250</f>
        <v>0</v>
      </c>
      <c r="DU248" s="293"/>
      <c r="DV248" s="293"/>
      <c r="DY248" s="103"/>
      <c r="EA248" s="103"/>
      <c r="EB248" s="103"/>
      <c r="EC248" s="103"/>
      <c r="ED248" s="103"/>
      <c r="EE248" s="103"/>
      <c r="EF248" s="103"/>
      <c r="EG248" s="103"/>
    </row>
    <row r="249" spans="1:137">
      <c r="A249" s="102" t="s">
        <v>292</v>
      </c>
      <c r="AB249" s="293">
        <f>AB21</f>
        <v>4533</v>
      </c>
      <c r="AC249" s="293">
        <f>AC21</f>
        <v>4473</v>
      </c>
      <c r="AF249" s="293">
        <f>AF21</f>
        <v>5170</v>
      </c>
      <c r="AG249" s="293">
        <f>AG21</f>
        <v>5183</v>
      </c>
      <c r="AJ249" s="293">
        <f>AJ21</f>
        <v>5610</v>
      </c>
      <c r="AK249" s="293">
        <f>AK21</f>
        <v>5847</v>
      </c>
      <c r="AN249" s="293">
        <f>AN21</f>
        <v>6363</v>
      </c>
      <c r="AO249" s="293">
        <f>AO21</f>
        <v>5699</v>
      </c>
      <c r="AR249" s="293">
        <f>AR21</f>
        <v>5645</v>
      </c>
      <c r="AS249" s="293">
        <f>AS21</f>
        <v>4314</v>
      </c>
      <c r="AV249" s="293">
        <f>AV21</f>
        <v>5066</v>
      </c>
      <c r="AW249" s="293">
        <f>AW21</f>
        <v>4846</v>
      </c>
      <c r="AZ249" s="293">
        <f>AZ21</f>
        <v>5047</v>
      </c>
      <c r="BA249" s="293">
        <f>BA21</f>
        <v>5059</v>
      </c>
      <c r="BD249" s="293">
        <f>BD21</f>
        <v>4758</v>
      </c>
      <c r="BE249" s="293">
        <f>BE21</f>
        <v>5904</v>
      </c>
      <c r="BH249" s="293">
        <f>BH21</f>
        <v>0</v>
      </c>
      <c r="BI249" s="293">
        <f>BI21</f>
        <v>0</v>
      </c>
      <c r="BL249" s="293">
        <f>BL21</f>
        <v>0</v>
      </c>
      <c r="BM249" s="293">
        <f>BM21</f>
        <v>0</v>
      </c>
      <c r="BP249" s="293">
        <f>BP21</f>
        <v>0</v>
      </c>
      <c r="BQ249" s="293">
        <f>BQ21</f>
        <v>0</v>
      </c>
      <c r="BT249" s="293">
        <f>BT21</f>
        <v>0</v>
      </c>
      <c r="BU249" s="293">
        <f>BU21</f>
        <v>0</v>
      </c>
      <c r="BX249" s="293">
        <f>BX21</f>
        <v>0</v>
      </c>
      <c r="BY249" s="293">
        <f>BY21</f>
        <v>0</v>
      </c>
      <c r="CB249" s="293">
        <f>CB21</f>
        <v>0</v>
      </c>
      <c r="CC249" s="293">
        <f>CC21</f>
        <v>0</v>
      </c>
      <c r="CF249" s="293">
        <f>CF21</f>
        <v>0</v>
      </c>
      <c r="CG249" s="293">
        <f>CG21</f>
        <v>0</v>
      </c>
      <c r="CJ249" s="293">
        <f>CJ21</f>
        <v>0</v>
      </c>
      <c r="CK249" s="293">
        <f>CK21</f>
        <v>0</v>
      </c>
      <c r="CN249" s="293">
        <f>CN21</f>
        <v>0</v>
      </c>
      <c r="CO249" s="293">
        <f>CO21</f>
        <v>0</v>
      </c>
      <c r="CR249" s="293">
        <f>CR21</f>
        <v>0</v>
      </c>
      <c r="CS249" s="293">
        <f>CS21</f>
        <v>0</v>
      </c>
      <c r="CV249" s="293">
        <f>CV21</f>
        <v>0</v>
      </c>
      <c r="CW249" s="1495">
        <f>CW21</f>
        <v>0</v>
      </c>
      <c r="CZ249" s="293">
        <f>CZ21</f>
        <v>0</v>
      </c>
      <c r="DA249" s="1495">
        <f>DA21</f>
        <v>0</v>
      </c>
      <c r="DD249" s="293">
        <f>DD21</f>
        <v>0</v>
      </c>
      <c r="DE249" s="1495">
        <f>DE21</f>
        <v>0</v>
      </c>
      <c r="DH249" s="293">
        <f>DH21</f>
        <v>0</v>
      </c>
      <c r="DI249" s="293">
        <f>DI21</f>
        <v>0</v>
      </c>
      <c r="DL249" s="293">
        <f>DL21</f>
        <v>0</v>
      </c>
      <c r="DM249" s="293">
        <f>DM21</f>
        <v>0</v>
      </c>
      <c r="DP249" s="293">
        <f>DP21</f>
        <v>0</v>
      </c>
      <c r="DQ249" s="293">
        <f>DQ21</f>
        <v>0</v>
      </c>
      <c r="DU249" s="293"/>
      <c r="DV249" s="293"/>
      <c r="DY249" s="103"/>
      <c r="EA249" s="103"/>
      <c r="EB249" s="103"/>
      <c r="EC249" s="103"/>
      <c r="ED249" s="103"/>
      <c r="EE249" s="103"/>
      <c r="EF249" s="103"/>
      <c r="EG249" s="103"/>
    </row>
    <row r="250" spans="1:137">
      <c r="A250" s="296" t="s">
        <v>558</v>
      </c>
      <c r="B250" s="302"/>
      <c r="C250" s="304"/>
      <c r="D250" s="302"/>
      <c r="E250" s="302"/>
      <c r="F250" s="302"/>
      <c r="G250" s="302"/>
      <c r="H250" s="302"/>
      <c r="I250" s="302"/>
      <c r="J250" s="302"/>
      <c r="K250" s="302"/>
      <c r="L250" s="302"/>
      <c r="M250" s="302"/>
      <c r="N250" s="302"/>
      <c r="O250" s="302"/>
      <c r="P250" s="304"/>
      <c r="Q250" s="304"/>
      <c r="R250" s="304"/>
      <c r="S250" s="304"/>
      <c r="T250" s="304"/>
      <c r="U250" s="304"/>
      <c r="V250" s="304"/>
      <c r="W250" s="304"/>
      <c r="X250" s="304"/>
      <c r="Y250" s="304"/>
      <c r="Z250" s="304"/>
      <c r="AA250" s="304"/>
      <c r="AB250" s="690">
        <f>+AB248/AB249</f>
        <v>0.98742554599602916</v>
      </c>
      <c r="AC250" s="690">
        <f>+AC248/AC249</f>
        <v>0.99016320143080705</v>
      </c>
      <c r="AD250" s="304"/>
      <c r="AE250" s="304"/>
      <c r="AF250" s="690">
        <f>+AF248/AF249</f>
        <v>0.99323017408123793</v>
      </c>
      <c r="AG250" s="690">
        <f>+AG248/AG249</f>
        <v>0.98977426201041863</v>
      </c>
      <c r="AH250" s="304"/>
      <c r="AI250" s="304"/>
      <c r="AJ250" s="690">
        <f>+AJ248/AJ249</f>
        <v>0.98573975044563278</v>
      </c>
      <c r="AK250" s="690">
        <f>+AK248/AK249</f>
        <v>0.98871216008209339</v>
      </c>
      <c r="AL250" s="304"/>
      <c r="AM250" s="304"/>
      <c r="AN250" s="690">
        <f>+AN248/AN249</f>
        <v>0.99874273141599879</v>
      </c>
      <c r="AO250" s="690">
        <f>+AO248/AO249</f>
        <v>0.99824530619406915</v>
      </c>
      <c r="AP250" s="304"/>
      <c r="AQ250" s="304"/>
      <c r="AR250" s="690">
        <f>+AR248/AR249</f>
        <v>0.99805137289636847</v>
      </c>
      <c r="AS250" s="690">
        <f>+AS248/AS249</f>
        <v>0.99953639313861842</v>
      </c>
      <c r="AT250" s="304"/>
      <c r="AU250" s="304"/>
      <c r="AV250" s="690">
        <f>+AV248/AV249</f>
        <v>0.99921042242400315</v>
      </c>
      <c r="AW250" s="690">
        <f>+AW248/AW249</f>
        <v>1.0037144036318613</v>
      </c>
      <c r="AX250" s="304"/>
      <c r="AY250" s="304"/>
      <c r="AZ250" s="690">
        <f>+AZ248/AZ249</f>
        <v>1.0043590251634635</v>
      </c>
      <c r="BA250" s="690">
        <f>+BA248/BA249</f>
        <v>0.99920932990709621</v>
      </c>
      <c r="BB250" s="304"/>
      <c r="BC250" s="304"/>
      <c r="BD250" s="690">
        <f>+BD248/BD249</f>
        <v>1.0002101723413199</v>
      </c>
      <c r="BE250" s="690">
        <f>+BE248/BE249</f>
        <v>0.99881436314363148</v>
      </c>
      <c r="BF250" s="304"/>
      <c r="BG250" s="304"/>
      <c r="BH250" s="690"/>
      <c r="BI250" s="690"/>
      <c r="BJ250" s="304"/>
      <c r="BK250" s="304"/>
      <c r="BL250" s="690"/>
      <c r="BM250" s="690"/>
      <c r="BN250" s="304"/>
      <c r="BO250" s="304"/>
      <c r="BP250" s="690"/>
      <c r="BQ250" s="690"/>
      <c r="BR250" s="304"/>
      <c r="BS250" s="304"/>
      <c r="BT250" s="690"/>
      <c r="BU250" s="690"/>
      <c r="BV250" s="304"/>
      <c r="BW250" s="304"/>
      <c r="BX250" s="690"/>
      <c r="BY250" s="690"/>
      <c r="BZ250" s="304"/>
      <c r="CA250" s="304"/>
      <c r="CB250" s="690"/>
      <c r="CC250" s="690"/>
      <c r="CD250" s="304"/>
      <c r="CE250" s="304"/>
      <c r="CF250" s="690"/>
      <c r="CG250" s="690"/>
      <c r="CH250" s="304"/>
      <c r="CI250" s="304"/>
      <c r="CJ250" s="690"/>
      <c r="CK250" s="690"/>
      <c r="CL250" s="304"/>
      <c r="CM250" s="304"/>
      <c r="CN250" s="690"/>
      <c r="CO250" s="690"/>
      <c r="CP250" s="304"/>
      <c r="CQ250" s="304"/>
      <c r="CR250" s="690"/>
      <c r="CS250" s="690"/>
      <c r="CT250" s="304"/>
      <c r="CU250" s="304"/>
      <c r="CV250" s="690"/>
      <c r="CW250" s="690"/>
      <c r="CX250" s="304"/>
      <c r="CY250" s="304"/>
      <c r="CZ250" s="690"/>
      <c r="DA250" s="690"/>
      <c r="DB250" s="304"/>
      <c r="DC250" s="304"/>
      <c r="DD250" s="690"/>
      <c r="DE250" s="690"/>
      <c r="DF250" s="304"/>
      <c r="DG250" s="304"/>
      <c r="DH250" s="690"/>
      <c r="DI250" s="696"/>
      <c r="DJ250" s="304"/>
      <c r="DK250" s="304"/>
      <c r="DL250" s="696"/>
      <c r="DM250" s="696"/>
      <c r="DN250" s="304"/>
      <c r="DO250" s="304"/>
      <c r="DP250" s="696"/>
      <c r="DQ250" s="696"/>
      <c r="DR250" s="304"/>
      <c r="DS250" s="304"/>
      <c r="DU250" s="1134"/>
      <c r="DV250" s="1134"/>
      <c r="DY250" s="103"/>
      <c r="DZ250" s="102"/>
      <c r="EA250" s="103"/>
      <c r="EB250" s="103"/>
      <c r="EC250" s="103"/>
      <c r="ED250" s="103"/>
      <c r="EE250" s="103"/>
      <c r="EF250" s="103"/>
      <c r="EG250" s="103"/>
    </row>
    <row r="251" spans="1:137">
      <c r="DA251" s="1408"/>
      <c r="DE251" s="1408"/>
      <c r="DY251" s="103"/>
      <c r="EA251" s="103"/>
      <c r="EB251" s="103"/>
      <c r="EC251" s="103"/>
      <c r="ED251" s="103"/>
      <c r="EE251" s="103"/>
      <c r="EF251" s="103"/>
      <c r="EG251" s="103"/>
    </row>
    <row r="252" spans="1:137">
      <c r="A252" s="289" t="s">
        <v>294</v>
      </c>
      <c r="P252" s="102"/>
      <c r="Q252" s="102"/>
      <c r="R252" s="102"/>
      <c r="S252" s="102"/>
      <c r="T252" s="102"/>
      <c r="U252" s="102"/>
      <c r="V252" s="102"/>
      <c r="W252" s="102"/>
      <c r="X252" s="332"/>
      <c r="Y252" s="332"/>
      <c r="Z252" s="332"/>
      <c r="AA252" s="102"/>
      <c r="AB252" s="332"/>
      <c r="AC252" s="332"/>
      <c r="AD252" s="332"/>
      <c r="AE252" s="332"/>
      <c r="AF252" s="332"/>
      <c r="AG252" s="332"/>
      <c r="AH252" s="332"/>
      <c r="AI252" s="697"/>
      <c r="AJ252" s="332"/>
      <c r="AK252" s="332"/>
      <c r="AL252" s="332"/>
      <c r="AM252" s="102"/>
      <c r="AN252" s="332"/>
      <c r="AO252" s="332"/>
      <c r="AP252" s="332"/>
      <c r="AQ252" s="102"/>
      <c r="AR252" s="332"/>
      <c r="AS252" s="332"/>
      <c r="AT252" s="332"/>
      <c r="AU252" s="102"/>
      <c r="AV252" s="332"/>
      <c r="AW252" s="332"/>
      <c r="AX252" s="332"/>
      <c r="AY252" s="102"/>
      <c r="AZ252" s="332"/>
      <c r="BA252" s="332"/>
      <c r="BB252" s="332"/>
      <c r="BC252" s="102"/>
      <c r="BD252" s="332"/>
      <c r="BE252" s="332"/>
      <c r="BF252" s="332"/>
      <c r="BG252" s="102"/>
      <c r="BH252" s="332"/>
      <c r="BI252" s="332"/>
      <c r="BJ252" s="332"/>
      <c r="BK252" s="102"/>
      <c r="BL252" s="332"/>
      <c r="BM252" s="332"/>
      <c r="BN252" s="332"/>
      <c r="BO252" s="102"/>
      <c r="BP252" s="332"/>
      <c r="BQ252" s="332"/>
      <c r="BR252" s="332"/>
      <c r="BS252" s="102"/>
      <c r="BT252" s="332"/>
      <c r="BU252" s="332"/>
      <c r="BV252" s="332"/>
      <c r="BW252" s="102"/>
      <c r="BX252" s="332"/>
      <c r="BY252" s="332"/>
      <c r="BZ252" s="332"/>
      <c r="CA252" s="102"/>
      <c r="CB252" s="332"/>
      <c r="CC252" s="332"/>
      <c r="CD252" s="332"/>
      <c r="CE252" s="102"/>
      <c r="CF252" s="332"/>
      <c r="CG252" s="332"/>
      <c r="CH252" s="332"/>
      <c r="CI252" s="102"/>
      <c r="CJ252" s="332"/>
      <c r="CK252" s="332"/>
      <c r="CL252" s="332"/>
      <c r="CM252" s="102"/>
      <c r="CN252" s="332"/>
      <c r="CO252" s="332"/>
      <c r="CP252" s="332"/>
      <c r="CQ252" s="102"/>
      <c r="CR252" s="332"/>
      <c r="CS252" s="332"/>
      <c r="CT252" s="332"/>
      <c r="CU252" s="102"/>
      <c r="CV252" s="332"/>
      <c r="CW252" s="1730"/>
      <c r="CX252" s="332"/>
      <c r="CY252" s="102"/>
      <c r="CZ252" s="332"/>
      <c r="DA252" s="1730"/>
      <c r="DB252" s="332"/>
      <c r="DC252" s="102"/>
      <c r="DD252" s="332"/>
      <c r="DE252" s="1730"/>
      <c r="DF252" s="332"/>
      <c r="DG252" s="102"/>
      <c r="DH252" s="332"/>
      <c r="DI252" s="332"/>
      <c r="DJ252" s="332"/>
      <c r="DK252" s="102"/>
      <c r="DL252" s="332"/>
      <c r="DM252" s="332"/>
      <c r="DN252" s="332"/>
      <c r="DO252" s="102"/>
      <c r="DP252" s="332"/>
      <c r="DQ252" s="332"/>
      <c r="DR252" s="332"/>
      <c r="DS252" s="102"/>
      <c r="DT252" s="102"/>
      <c r="DU252" s="332"/>
      <c r="DV252" s="332"/>
      <c r="DW252" s="332"/>
      <c r="DX252" s="102"/>
    </row>
    <row r="253" spans="1:137">
      <c r="A253" s="102" t="s">
        <v>120</v>
      </c>
      <c r="C253" s="103" t="s">
        <v>612</v>
      </c>
      <c r="P253" s="102"/>
      <c r="Q253" s="102"/>
      <c r="R253" s="102"/>
      <c r="S253" s="102"/>
      <c r="T253" s="102"/>
      <c r="U253" s="102"/>
      <c r="V253" s="102"/>
      <c r="W253" s="102"/>
      <c r="X253" s="698"/>
      <c r="Y253" s="332"/>
      <c r="Z253" s="332"/>
      <c r="AA253" s="102"/>
      <c r="AB253" s="698"/>
      <c r="AC253" s="332"/>
      <c r="AD253" s="332"/>
      <c r="AE253" s="332"/>
      <c r="AF253" s="332"/>
      <c r="AG253" s="332"/>
      <c r="AH253" s="332"/>
      <c r="AI253" s="697"/>
      <c r="AJ253" s="332"/>
      <c r="AK253" s="332"/>
      <c r="AL253" s="332"/>
      <c r="AM253" s="102"/>
      <c r="AN253" s="332"/>
      <c r="AO253" s="332"/>
      <c r="AP253" s="332"/>
      <c r="AQ253" s="102"/>
      <c r="AR253" s="626">
        <v>600</v>
      </c>
      <c r="AS253" s="293">
        <f>AR253</f>
        <v>600</v>
      </c>
      <c r="AT253" s="293"/>
      <c r="AU253" s="102"/>
      <c r="AV253" s="293">
        <f>+AS253</f>
        <v>600</v>
      </c>
      <c r="AW253" s="293">
        <f>AV253</f>
        <v>600</v>
      </c>
      <c r="AX253" s="332"/>
      <c r="AY253" s="102"/>
      <c r="AZ253" s="293">
        <f>+AW253</f>
        <v>600</v>
      </c>
      <c r="BA253" s="293">
        <f>AZ253</f>
        <v>600</v>
      </c>
      <c r="BB253" s="332"/>
      <c r="BC253" s="102"/>
      <c r="BD253" s="293">
        <f>+BA253</f>
        <v>600</v>
      </c>
      <c r="BE253" s="293">
        <f>BD253</f>
        <v>600</v>
      </c>
      <c r="BF253" s="332"/>
      <c r="BG253" s="102"/>
      <c r="BH253" s="293">
        <f>+BE253</f>
        <v>600</v>
      </c>
      <c r="BI253" s="293">
        <f>BH253</f>
        <v>600</v>
      </c>
      <c r="BJ253" s="293"/>
      <c r="BK253" s="293"/>
      <c r="BL253" s="293">
        <f>+BI253</f>
        <v>600</v>
      </c>
      <c r="BM253" s="293">
        <f>BL253</f>
        <v>600</v>
      </c>
      <c r="BN253" s="332"/>
      <c r="BO253" s="102"/>
      <c r="BP253" s="293">
        <f>+BM253</f>
        <v>600</v>
      </c>
      <c r="BQ253" s="293">
        <f>BP253</f>
        <v>600</v>
      </c>
      <c r="BR253" s="332"/>
      <c r="BS253" s="102"/>
      <c r="BT253" s="293">
        <f>+BQ253</f>
        <v>600</v>
      </c>
      <c r="BU253" s="293">
        <f>BT253</f>
        <v>600</v>
      </c>
      <c r="BV253" s="332"/>
      <c r="BW253" s="102"/>
      <c r="BX253" s="293">
        <f>+BU253</f>
        <v>600</v>
      </c>
      <c r="BY253" s="293">
        <f>BX253</f>
        <v>600</v>
      </c>
      <c r="BZ253" s="332"/>
      <c r="CA253" s="102"/>
      <c r="CB253" s="293">
        <f>+BY253</f>
        <v>600</v>
      </c>
      <c r="CC253" s="293">
        <f>CB253</f>
        <v>600</v>
      </c>
      <c r="CD253" s="332"/>
      <c r="CE253" s="102"/>
      <c r="CF253" s="293">
        <f>+CC253</f>
        <v>600</v>
      </c>
      <c r="CG253" s="293">
        <f>CF253</f>
        <v>600</v>
      </c>
      <c r="CH253" s="332"/>
      <c r="CI253" s="102"/>
      <c r="CJ253" s="293">
        <f>+CG253</f>
        <v>600</v>
      </c>
      <c r="CK253" s="293">
        <f>CJ253</f>
        <v>600</v>
      </c>
      <c r="CL253" s="332"/>
      <c r="CM253" s="102"/>
      <c r="CN253" s="293">
        <f>+CK253</f>
        <v>600</v>
      </c>
      <c r="CO253" s="293">
        <f>CN253</f>
        <v>600</v>
      </c>
      <c r="CP253" s="332"/>
      <c r="CQ253" s="102"/>
      <c r="CR253" s="293">
        <f>+CO253</f>
        <v>600</v>
      </c>
      <c r="CS253" s="293">
        <f>CR253</f>
        <v>600</v>
      </c>
      <c r="CT253" s="332"/>
      <c r="CU253" s="102"/>
      <c r="CV253" s="293">
        <f>+CS253</f>
        <v>600</v>
      </c>
      <c r="CW253" s="1495">
        <f>CV253</f>
        <v>600</v>
      </c>
      <c r="CX253" s="332"/>
      <c r="CY253" s="102"/>
      <c r="CZ253" s="293">
        <f>+CW253</f>
        <v>600</v>
      </c>
      <c r="DA253" s="1495">
        <f>CZ253</f>
        <v>600</v>
      </c>
      <c r="DB253" s="332"/>
      <c r="DC253" s="102"/>
      <c r="DD253" s="293">
        <f>+DA253</f>
        <v>600</v>
      </c>
      <c r="DE253" s="1495">
        <f>DD253</f>
        <v>600</v>
      </c>
      <c r="DF253" s="332"/>
      <c r="DG253" s="102"/>
      <c r="DH253" s="293">
        <f>+DE253</f>
        <v>600</v>
      </c>
      <c r="DI253" s="293">
        <f>DH253</f>
        <v>600</v>
      </c>
      <c r="DJ253" s="332"/>
      <c r="DK253" s="102"/>
      <c r="DL253" s="293">
        <f>+DI253</f>
        <v>600</v>
      </c>
      <c r="DM253" s="293">
        <f>DL253</f>
        <v>600</v>
      </c>
      <c r="DN253" s="332"/>
      <c r="DO253" s="102"/>
      <c r="DP253" s="293">
        <f>+DM253</f>
        <v>600</v>
      </c>
      <c r="DQ253" s="293">
        <f>DP253</f>
        <v>600</v>
      </c>
      <c r="DR253" s="332"/>
      <c r="DS253" s="102"/>
      <c r="DT253" s="102"/>
      <c r="DU253" s="293"/>
      <c r="DV253" s="293"/>
      <c r="DW253" s="332"/>
      <c r="DX253" s="102"/>
    </row>
    <row r="254" spans="1:137">
      <c r="A254" s="102" t="s">
        <v>121</v>
      </c>
      <c r="C254" s="103" t="s">
        <v>612</v>
      </c>
      <c r="P254" s="102"/>
      <c r="Q254" s="102"/>
      <c r="R254" s="102"/>
      <c r="S254" s="102"/>
      <c r="T254" s="102"/>
      <c r="U254" s="102"/>
      <c r="V254" s="102"/>
      <c r="W254" s="102"/>
      <c r="X254" s="698"/>
      <c r="Y254" s="332"/>
      <c r="Z254" s="332"/>
      <c r="AA254" s="102"/>
      <c r="AB254" s="698"/>
      <c r="AC254" s="332"/>
      <c r="AD254" s="332"/>
      <c r="AE254" s="332"/>
      <c r="AF254" s="332"/>
      <c r="AG254" s="332"/>
      <c r="AH254" s="332"/>
      <c r="AI254" s="697"/>
      <c r="AJ254" s="332"/>
      <c r="AK254" s="332"/>
      <c r="AL254" s="332"/>
      <c r="AM254" s="102"/>
      <c r="AN254" s="332"/>
      <c r="AO254" s="332"/>
      <c r="AP254" s="332"/>
      <c r="AQ254" s="102"/>
      <c r="AR254" s="626">
        <v>-9</v>
      </c>
      <c r="AS254" s="293">
        <f>AR254</f>
        <v>-9</v>
      </c>
      <c r="AT254" s="293"/>
      <c r="AU254" s="102"/>
      <c r="AV254" s="293">
        <f>AS254</f>
        <v>-9</v>
      </c>
      <c r="AW254" s="293">
        <f>AV254</f>
        <v>-9</v>
      </c>
      <c r="AX254" s="332"/>
      <c r="AY254" s="102"/>
      <c r="AZ254" s="293">
        <f>AW254</f>
        <v>-9</v>
      </c>
      <c r="BA254" s="293">
        <f>AZ254</f>
        <v>-9</v>
      </c>
      <c r="BB254" s="332"/>
      <c r="BC254" s="102"/>
      <c r="BD254" s="293">
        <f>BA254</f>
        <v>-9</v>
      </c>
      <c r="BE254" s="293">
        <f>BD254</f>
        <v>-9</v>
      </c>
      <c r="BF254" s="332"/>
      <c r="BG254" s="102"/>
      <c r="BH254" s="293">
        <f>BE254</f>
        <v>-9</v>
      </c>
      <c r="BI254" s="293">
        <f>BH254</f>
        <v>-9</v>
      </c>
      <c r="BJ254" s="293"/>
      <c r="BK254" s="293"/>
      <c r="BL254" s="293">
        <f>BI254</f>
        <v>-9</v>
      </c>
      <c r="BM254" s="293">
        <f>BL254</f>
        <v>-9</v>
      </c>
      <c r="BN254" s="332"/>
      <c r="BO254" s="102"/>
      <c r="BP254" s="293">
        <f>BM254</f>
        <v>-9</v>
      </c>
      <c r="BQ254" s="293">
        <f>BP254</f>
        <v>-9</v>
      </c>
      <c r="BR254" s="332"/>
      <c r="BS254" s="102"/>
      <c r="BT254" s="293">
        <f>BQ254</f>
        <v>-9</v>
      </c>
      <c r="BU254" s="293">
        <f>BT254</f>
        <v>-9</v>
      </c>
      <c r="BV254" s="332"/>
      <c r="BW254" s="102"/>
      <c r="BX254" s="293">
        <f>BU254</f>
        <v>-9</v>
      </c>
      <c r="BY254" s="293">
        <f>BX254</f>
        <v>-9</v>
      </c>
      <c r="BZ254" s="332"/>
      <c r="CA254" s="102"/>
      <c r="CB254" s="293">
        <f>BY254</f>
        <v>-9</v>
      </c>
      <c r="CC254" s="293">
        <f>CB254</f>
        <v>-9</v>
      </c>
      <c r="CD254" s="332"/>
      <c r="CE254" s="102"/>
      <c r="CF254" s="293">
        <f>CC254</f>
        <v>-9</v>
      </c>
      <c r="CG254" s="293">
        <f>CF254</f>
        <v>-9</v>
      </c>
      <c r="CH254" s="332"/>
      <c r="CI254" s="102"/>
      <c r="CJ254" s="293">
        <f>CG254</f>
        <v>-9</v>
      </c>
      <c r="CK254" s="293">
        <f>CJ254</f>
        <v>-9</v>
      </c>
      <c r="CL254" s="332"/>
      <c r="CM254" s="102"/>
      <c r="CN254" s="293">
        <f>CK254</f>
        <v>-9</v>
      </c>
      <c r="CO254" s="293">
        <f>CN254</f>
        <v>-9</v>
      </c>
      <c r="CP254" s="332"/>
      <c r="CQ254" s="102"/>
      <c r="CR254" s="293">
        <f>CO254</f>
        <v>-9</v>
      </c>
      <c r="CS254" s="293">
        <f>CR254</f>
        <v>-9</v>
      </c>
      <c r="CT254" s="332"/>
      <c r="CU254" s="102"/>
      <c r="CV254" s="293">
        <f>CS254</f>
        <v>-9</v>
      </c>
      <c r="CW254" s="1495">
        <f>CV254</f>
        <v>-9</v>
      </c>
      <c r="CX254" s="332"/>
      <c r="CY254" s="102"/>
      <c r="CZ254" s="293">
        <f>CW254</f>
        <v>-9</v>
      </c>
      <c r="DA254" s="1495">
        <f>CZ254</f>
        <v>-9</v>
      </c>
      <c r="DB254" s="332"/>
      <c r="DC254" s="102"/>
      <c r="DD254" s="293">
        <f>DA254</f>
        <v>-9</v>
      </c>
      <c r="DE254" s="1495">
        <f>DD254</f>
        <v>-9</v>
      </c>
      <c r="DF254" s="332"/>
      <c r="DG254" s="102"/>
      <c r="DH254" s="293">
        <f>DE254</f>
        <v>-9</v>
      </c>
      <c r="DI254" s="293">
        <f>DH254</f>
        <v>-9</v>
      </c>
      <c r="DJ254" s="332"/>
      <c r="DK254" s="102"/>
      <c r="DL254" s="293">
        <f>DI254</f>
        <v>-9</v>
      </c>
      <c r="DM254" s="293">
        <f>DL254</f>
        <v>-9</v>
      </c>
      <c r="DN254" s="332"/>
      <c r="DO254" s="102"/>
      <c r="DP254" s="293">
        <f>DM254</f>
        <v>-9</v>
      </c>
      <c r="DQ254" s="293">
        <f>DP254</f>
        <v>-9</v>
      </c>
      <c r="DR254" s="332"/>
      <c r="DS254" s="102"/>
      <c r="DT254" s="102"/>
      <c r="DU254" s="293"/>
      <c r="DV254" s="293"/>
      <c r="DW254" s="332"/>
      <c r="DX254" s="102"/>
    </row>
    <row r="255" spans="1:137">
      <c r="A255" s="102" t="s">
        <v>360</v>
      </c>
      <c r="C255" s="103" t="s">
        <v>612</v>
      </c>
      <c r="P255" s="102"/>
      <c r="Q255" s="102"/>
      <c r="R255" s="102"/>
      <c r="S255" s="102"/>
      <c r="T255" s="102"/>
      <c r="U255" s="102"/>
      <c r="V255" s="102"/>
      <c r="W255" s="102"/>
      <c r="X255" s="332"/>
      <c r="Y255" s="332"/>
      <c r="Z255" s="332"/>
      <c r="AA255" s="102"/>
      <c r="AB255" s="332"/>
      <c r="AC255" s="332"/>
      <c r="AD255" s="332"/>
      <c r="AE255" s="332"/>
      <c r="AF255" s="332"/>
      <c r="AG255" s="332"/>
      <c r="AH255" s="332"/>
      <c r="AI255" s="697"/>
      <c r="AJ255" s="332"/>
      <c r="AK255" s="332"/>
      <c r="AL255" s="332"/>
      <c r="AM255" s="102"/>
      <c r="AN255" s="332"/>
      <c r="AO255" s="332"/>
      <c r="AP255" s="332"/>
      <c r="AQ255" s="102"/>
      <c r="AR255" s="293">
        <f>+AR253+AR254</f>
        <v>591</v>
      </c>
      <c r="AS255" s="293">
        <f>+AS253+AS254</f>
        <v>591</v>
      </c>
      <c r="AT255" s="293"/>
      <c r="AU255" s="102"/>
      <c r="AV255" s="293">
        <f>+AV253+AV254</f>
        <v>591</v>
      </c>
      <c r="AW255" s="293">
        <f>+AW253+AW254</f>
        <v>591</v>
      </c>
      <c r="AX255" s="332"/>
      <c r="AY255" s="102"/>
      <c r="AZ255" s="293">
        <f>+AZ253+AZ254</f>
        <v>591</v>
      </c>
      <c r="BA255" s="293">
        <f>+BA253+BA254</f>
        <v>591</v>
      </c>
      <c r="BB255" s="332"/>
      <c r="BC255" s="102"/>
      <c r="BD255" s="293">
        <f>+BD253+BD254</f>
        <v>591</v>
      </c>
      <c r="BE255" s="293">
        <f>+BE253+BE254</f>
        <v>591</v>
      </c>
      <c r="BF255" s="332"/>
      <c r="BG255" s="102"/>
      <c r="BH255" s="293">
        <f>+BH253+BH254</f>
        <v>591</v>
      </c>
      <c r="BI255" s="293">
        <f>+BI253+BI254</f>
        <v>591</v>
      </c>
      <c r="BJ255" s="293"/>
      <c r="BK255" s="293"/>
      <c r="BL255" s="293">
        <f>+BL253+BL254</f>
        <v>591</v>
      </c>
      <c r="BM255" s="293">
        <f>+BM253+BM254</f>
        <v>591</v>
      </c>
      <c r="BN255" s="332"/>
      <c r="BO255" s="102"/>
      <c r="BP255" s="293">
        <f>+BP253+BP254</f>
        <v>591</v>
      </c>
      <c r="BQ255" s="293">
        <f>+BQ253+BQ254</f>
        <v>591</v>
      </c>
      <c r="BR255" s="332"/>
      <c r="BS255" s="102"/>
      <c r="BT255" s="293">
        <f>+BT253+BT254</f>
        <v>591</v>
      </c>
      <c r="BU255" s="293">
        <f>+BU253+BU254</f>
        <v>591</v>
      </c>
      <c r="BV255" s="332"/>
      <c r="BW255" s="102"/>
      <c r="BX255" s="293">
        <f>+BX253+BX254</f>
        <v>591</v>
      </c>
      <c r="BY255" s="293">
        <f>+BY253+BY254</f>
        <v>591</v>
      </c>
      <c r="BZ255" s="332"/>
      <c r="CA255" s="102"/>
      <c r="CB255" s="293">
        <f>+CB253+CB254</f>
        <v>591</v>
      </c>
      <c r="CC255" s="293">
        <f>+CC253+CC254</f>
        <v>591</v>
      </c>
      <c r="CD255" s="332"/>
      <c r="CE255" s="102"/>
      <c r="CF255" s="293">
        <f>+CF253+CF254</f>
        <v>591</v>
      </c>
      <c r="CG255" s="293">
        <f>+CG253+CG254</f>
        <v>591</v>
      </c>
      <c r="CH255" s="332"/>
      <c r="CI255" s="102"/>
      <c r="CJ255" s="293">
        <f>+CJ253+CJ254</f>
        <v>591</v>
      </c>
      <c r="CK255" s="293">
        <f>+CK253+CK254</f>
        <v>591</v>
      </c>
      <c r="CL255" s="332"/>
      <c r="CM255" s="102"/>
      <c r="CN255" s="293">
        <f>+CN253+CN254</f>
        <v>591</v>
      </c>
      <c r="CO255" s="293">
        <f>+CO253+CO254</f>
        <v>591</v>
      </c>
      <c r="CP255" s="332"/>
      <c r="CQ255" s="102"/>
      <c r="CR255" s="293">
        <f>+CR253+CR254</f>
        <v>591</v>
      </c>
      <c r="CS255" s="293">
        <f>+CS253+CS254</f>
        <v>591</v>
      </c>
      <c r="CT255" s="332"/>
      <c r="CU255" s="102"/>
      <c r="CV255" s="293">
        <f>+CV253+CV254</f>
        <v>591</v>
      </c>
      <c r="CW255" s="1495">
        <f>+CW253+CW254</f>
        <v>591</v>
      </c>
      <c r="CX255" s="332"/>
      <c r="CY255" s="102"/>
      <c r="CZ255" s="293">
        <f>+CZ253+CZ254</f>
        <v>591</v>
      </c>
      <c r="DA255" s="1495">
        <f>+DA253+DA254</f>
        <v>591</v>
      </c>
      <c r="DB255" s="332"/>
      <c r="DC255" s="102"/>
      <c r="DD255" s="293">
        <f>+DD253+DD254</f>
        <v>591</v>
      </c>
      <c r="DE255" s="1495">
        <f>+DE253+DE254</f>
        <v>591</v>
      </c>
      <c r="DF255" s="332"/>
      <c r="DG255" s="102"/>
      <c r="DH255" s="293">
        <f>+DH253+DH254</f>
        <v>591</v>
      </c>
      <c r="DI255" s="293">
        <f>+DI253+DI254</f>
        <v>591</v>
      </c>
      <c r="DJ255" s="332"/>
      <c r="DK255" s="102"/>
      <c r="DL255" s="293">
        <f>+DL253+DL254</f>
        <v>591</v>
      </c>
      <c r="DM255" s="293">
        <f>+DM253+DM254</f>
        <v>591</v>
      </c>
      <c r="DN255" s="332"/>
      <c r="DO255" s="102"/>
      <c r="DP255" s="293">
        <f>+DP253+DP254</f>
        <v>591</v>
      </c>
      <c r="DQ255" s="293">
        <f>+DQ253+DQ254</f>
        <v>591</v>
      </c>
      <c r="DR255" s="332"/>
      <c r="DS255" s="102"/>
      <c r="DT255" s="102"/>
      <c r="DU255" s="293"/>
      <c r="DV255" s="293"/>
      <c r="DW255" s="332"/>
      <c r="DX255" s="102"/>
    </row>
    <row r="256" spans="1:137">
      <c r="A256" s="102" t="s">
        <v>123</v>
      </c>
      <c r="C256" s="103" t="s">
        <v>612</v>
      </c>
      <c r="P256" s="102"/>
      <c r="Q256" s="102"/>
      <c r="R256" s="102"/>
      <c r="S256" s="102"/>
      <c r="T256" s="102"/>
      <c r="U256" s="102"/>
      <c r="V256" s="102"/>
      <c r="W256" s="102"/>
      <c r="X256" s="332"/>
      <c r="Y256" s="332"/>
      <c r="Z256" s="332"/>
      <c r="AA256" s="102"/>
      <c r="AB256" s="332"/>
      <c r="AC256" s="332"/>
      <c r="AD256" s="332"/>
      <c r="AE256" s="332"/>
      <c r="AF256" s="332"/>
      <c r="AG256" s="332"/>
      <c r="AH256" s="332"/>
      <c r="AI256" s="697"/>
      <c r="AJ256" s="332"/>
      <c r="AK256" s="332"/>
      <c r="AL256" s="332"/>
      <c r="AM256" s="102"/>
      <c r="AN256" s="332"/>
      <c r="AO256" s="332"/>
      <c r="AP256" s="332"/>
      <c r="AQ256" s="102"/>
      <c r="AR256" s="293">
        <f>AR65</f>
        <v>591</v>
      </c>
      <c r="AS256" s="293">
        <f>AS65</f>
        <v>591</v>
      </c>
      <c r="AT256" s="293"/>
      <c r="AU256" s="102"/>
      <c r="AV256" s="293">
        <f>AV65</f>
        <v>591</v>
      </c>
      <c r="AW256" s="293">
        <f>AW65</f>
        <v>593</v>
      </c>
      <c r="AX256" s="332"/>
      <c r="AY256" s="102"/>
      <c r="AZ256" s="293">
        <f>AZ65</f>
        <v>593</v>
      </c>
      <c r="BA256" s="293">
        <f>BA65</f>
        <v>595</v>
      </c>
      <c r="BB256" s="332"/>
      <c r="BC256" s="102"/>
      <c r="BD256" s="293">
        <f>BD65</f>
        <v>596</v>
      </c>
      <c r="BE256" s="293">
        <f>BE65</f>
        <v>614</v>
      </c>
      <c r="BF256" s="332"/>
      <c r="BG256" s="102"/>
      <c r="BH256" s="293">
        <f>BH65</f>
        <v>615</v>
      </c>
      <c r="BI256" s="293">
        <f>BI65</f>
        <v>616</v>
      </c>
      <c r="BJ256" s="293"/>
      <c r="BK256" s="293"/>
      <c r="BL256" s="293">
        <f>BL65</f>
        <v>0</v>
      </c>
      <c r="BM256" s="293">
        <f>BM65</f>
        <v>0</v>
      </c>
      <c r="BN256" s="332"/>
      <c r="BO256" s="102"/>
      <c r="BP256" s="293">
        <f>BP65</f>
        <v>0</v>
      </c>
      <c r="BQ256" s="293">
        <f>BQ65</f>
        <v>0</v>
      </c>
      <c r="BR256" s="332"/>
      <c r="BS256" s="102"/>
      <c r="BT256" s="293">
        <f>BT65</f>
        <v>0</v>
      </c>
      <c r="BU256" s="293">
        <f>BU65</f>
        <v>0</v>
      </c>
      <c r="BV256" s="332"/>
      <c r="BW256" s="102"/>
      <c r="BX256" s="293">
        <f>BX65</f>
        <v>0</v>
      </c>
      <c r="BY256" s="293">
        <f>BY65</f>
        <v>0</v>
      </c>
      <c r="BZ256" s="332"/>
      <c r="CA256" s="102"/>
      <c r="CB256" s="293">
        <f>CB65</f>
        <v>0</v>
      </c>
      <c r="CC256" s="293">
        <f>CC65</f>
        <v>0</v>
      </c>
      <c r="CD256" s="332"/>
      <c r="CE256" s="102"/>
      <c r="CF256" s="293">
        <f>CF65</f>
        <v>0</v>
      </c>
      <c r="CG256" s="293">
        <f>CG65</f>
        <v>0</v>
      </c>
      <c r="CH256" s="332"/>
      <c r="CI256" s="102"/>
      <c r="CJ256" s="293">
        <f>CJ65</f>
        <v>0</v>
      </c>
      <c r="CK256" s="293">
        <f>CK65</f>
        <v>0</v>
      </c>
      <c r="CL256" s="332"/>
      <c r="CM256" s="102"/>
      <c r="CN256" s="293">
        <f>CN65</f>
        <v>0</v>
      </c>
      <c r="CO256" s="293">
        <f>CO65</f>
        <v>0</v>
      </c>
      <c r="CP256" s="332"/>
      <c r="CQ256" s="102"/>
      <c r="CR256" s="293">
        <f>CR65</f>
        <v>0</v>
      </c>
      <c r="CS256" s="293">
        <f>CS65</f>
        <v>0</v>
      </c>
      <c r="CT256" s="332"/>
      <c r="CU256" s="102"/>
      <c r="CV256" s="293">
        <f>CV65</f>
        <v>0</v>
      </c>
      <c r="CW256" s="1495">
        <f>CW65</f>
        <v>0</v>
      </c>
      <c r="CX256" s="332"/>
      <c r="CY256" s="102"/>
      <c r="CZ256" s="293">
        <f>CZ65</f>
        <v>0</v>
      </c>
      <c r="DA256" s="1495">
        <f>DA65</f>
        <v>0</v>
      </c>
      <c r="DB256" s="332"/>
      <c r="DC256" s="102"/>
      <c r="DD256" s="293">
        <f>DD65</f>
        <v>0</v>
      </c>
      <c r="DE256" s="1495">
        <f>DE65</f>
        <v>0</v>
      </c>
      <c r="DF256" s="332"/>
      <c r="DG256" s="102"/>
      <c r="DH256" s="293">
        <f>DH65</f>
        <v>0</v>
      </c>
      <c r="DI256" s="293">
        <f>DI65</f>
        <v>0</v>
      </c>
      <c r="DJ256" s="332"/>
      <c r="DK256" s="102"/>
      <c r="DL256" s="293">
        <f>DL65</f>
        <v>0</v>
      </c>
      <c r="DM256" s="293">
        <f>DM65</f>
        <v>0</v>
      </c>
      <c r="DN256" s="332"/>
      <c r="DO256" s="102"/>
      <c r="DP256" s="293">
        <f>DP65</f>
        <v>0</v>
      </c>
      <c r="DQ256" s="293">
        <f>DQ65</f>
        <v>0</v>
      </c>
      <c r="DR256" s="332"/>
      <c r="DS256" s="102"/>
      <c r="DT256" s="102"/>
      <c r="DU256" s="293"/>
      <c r="DV256" s="293"/>
      <c r="DW256" s="332"/>
      <c r="DX256" s="102"/>
    </row>
    <row r="257" spans="1:138">
      <c r="DY257" s="103"/>
      <c r="EA257" s="103"/>
      <c r="EB257" s="103"/>
      <c r="EC257" s="103"/>
      <c r="ED257" s="103"/>
      <c r="EE257" s="103"/>
      <c r="EF257" s="103"/>
      <c r="EG257" s="103"/>
    </row>
    <row r="258" spans="1:138">
      <c r="A258" s="620" t="s">
        <v>11</v>
      </c>
      <c r="B258" s="621"/>
      <c r="C258" s="622"/>
      <c r="D258" s="621"/>
      <c r="E258" s="621"/>
      <c r="F258" s="621"/>
      <c r="G258" s="621"/>
      <c r="H258" s="621"/>
      <c r="I258" s="621"/>
      <c r="J258" s="621"/>
      <c r="K258" s="621"/>
      <c r="L258" s="621"/>
      <c r="M258" s="621"/>
      <c r="N258" s="621"/>
      <c r="O258" s="621"/>
      <c r="P258" s="622"/>
      <c r="Q258" s="622"/>
      <c r="R258" s="62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4"/>
      <c r="AW258" s="624"/>
      <c r="AX258" s="624"/>
      <c r="AY258" s="622"/>
      <c r="AZ258" s="624"/>
      <c r="BA258" s="624"/>
      <c r="BB258" s="624"/>
      <c r="BC258" s="622"/>
      <c r="BD258" s="624"/>
      <c r="BE258" s="624"/>
      <c r="BF258" s="624"/>
      <c r="BG258" s="622"/>
      <c r="BH258" s="624"/>
      <c r="BI258" s="624"/>
      <c r="BJ258" s="624"/>
      <c r="BK258" s="622"/>
      <c r="BL258" s="624"/>
      <c r="BM258" s="624"/>
      <c r="BN258" s="624"/>
      <c r="BO258" s="622"/>
      <c r="BP258" s="624"/>
      <c r="BQ258" s="624"/>
      <c r="BR258" s="624"/>
      <c r="BS258" s="622"/>
      <c r="BT258" s="624"/>
      <c r="BU258" s="624"/>
      <c r="BV258" s="624"/>
      <c r="BW258" s="622"/>
      <c r="BX258" s="624"/>
      <c r="BY258" s="624"/>
      <c r="BZ258" s="624"/>
      <c r="CA258" s="622"/>
      <c r="CB258" s="624"/>
      <c r="CC258" s="624"/>
      <c r="CD258" s="624"/>
      <c r="CE258" s="622"/>
      <c r="CF258" s="624"/>
      <c r="CG258" s="624"/>
      <c r="CH258" s="624"/>
      <c r="CI258" s="622"/>
      <c r="CJ258" s="624"/>
      <c r="CK258" s="624"/>
      <c r="CL258" s="624"/>
      <c r="CM258" s="622"/>
      <c r="CN258" s="624"/>
      <c r="CO258" s="624"/>
      <c r="CP258" s="624"/>
      <c r="CQ258" s="622"/>
      <c r="CR258" s="624"/>
      <c r="CS258" s="624"/>
      <c r="CT258" s="624"/>
      <c r="CU258" s="622"/>
      <c r="CV258" s="624"/>
      <c r="CW258" s="1801"/>
      <c r="CX258" s="624"/>
      <c r="CY258" s="622"/>
      <c r="CZ258" s="624"/>
      <c r="DA258" s="624"/>
      <c r="DB258" s="624"/>
      <c r="DC258" s="622"/>
      <c r="DD258" s="624"/>
      <c r="DE258" s="624"/>
      <c r="DF258" s="624"/>
      <c r="DG258" s="622"/>
      <c r="DH258" s="624"/>
      <c r="DI258" s="624"/>
      <c r="DJ258" s="624"/>
      <c r="DK258" s="622"/>
      <c r="DL258" s="624"/>
      <c r="DM258" s="624"/>
      <c r="DN258" s="624"/>
      <c r="DO258" s="622"/>
      <c r="DP258" s="624"/>
      <c r="DQ258" s="624"/>
      <c r="DR258" s="624"/>
      <c r="DS258" s="622"/>
      <c r="DU258" s="293"/>
      <c r="DV258" s="293"/>
      <c r="DW258" s="293"/>
      <c r="DZ258" s="102"/>
    </row>
    <row r="259" spans="1:138">
      <c r="A259" s="289"/>
      <c r="X259" s="293"/>
      <c r="Y259" s="293"/>
      <c r="Z259" s="293"/>
      <c r="AB259" s="293"/>
      <c r="AC259" s="293"/>
      <c r="AD259" s="293"/>
      <c r="AE259" s="293"/>
      <c r="AF259" s="293"/>
      <c r="AG259" s="293"/>
      <c r="AH259" s="293"/>
      <c r="AJ259" s="293"/>
      <c r="AK259" s="293"/>
      <c r="AL259" s="293"/>
      <c r="AN259" s="293"/>
      <c r="AO259" s="293"/>
      <c r="AP259" s="293"/>
      <c r="AR259" s="293"/>
      <c r="AS259" s="293"/>
      <c r="AT259" s="293"/>
      <c r="AV259" s="700"/>
      <c r="AZ259" s="700"/>
      <c r="BD259" s="700"/>
      <c r="BH259" s="700"/>
      <c r="BL259" s="700"/>
      <c r="BP259" s="700"/>
      <c r="BT259" s="700"/>
      <c r="BX259" s="700"/>
      <c r="CB259" s="700"/>
      <c r="CF259" s="700"/>
      <c r="CJ259" s="700"/>
      <c r="CN259" s="700"/>
      <c r="CR259" s="700"/>
      <c r="CV259" s="700"/>
      <c r="CZ259" s="700"/>
      <c r="DD259" s="700"/>
      <c r="DH259" s="700"/>
      <c r="DL259" s="700"/>
      <c r="DP259" s="700"/>
      <c r="DU259" s="700"/>
    </row>
    <row r="260" spans="1:138">
      <c r="A260" s="102" t="s">
        <v>100</v>
      </c>
      <c r="C260" s="103" t="s">
        <v>612</v>
      </c>
      <c r="P260" s="293">
        <f t="shared" ref="P260:R264" si="212">P104</f>
        <v>1096</v>
      </c>
      <c r="Q260" s="293">
        <f t="shared" si="212"/>
        <v>1137</v>
      </c>
      <c r="R260" s="293">
        <f t="shared" si="212"/>
        <v>1137</v>
      </c>
      <c r="T260" s="293">
        <f t="shared" ref="T260:V264" si="213">T104</f>
        <v>1465</v>
      </c>
      <c r="U260" s="293">
        <f t="shared" si="213"/>
        <v>1382</v>
      </c>
      <c r="V260" s="293">
        <f t="shared" si="213"/>
        <v>1382</v>
      </c>
      <c r="X260" s="293">
        <f t="shared" ref="X260:Z264" si="214">X104</f>
        <v>1474</v>
      </c>
      <c r="Y260" s="293">
        <f t="shared" si="214"/>
        <v>1600</v>
      </c>
      <c r="Z260" s="293">
        <f t="shared" si="214"/>
        <v>1600</v>
      </c>
      <c r="AB260" s="293">
        <f t="shared" ref="AB260:AD264" si="215">AB104</f>
        <v>1474</v>
      </c>
      <c r="AC260" s="293">
        <f t="shared" si="215"/>
        <v>1600</v>
      </c>
      <c r="AD260" s="293">
        <f t="shared" si="215"/>
        <v>1600</v>
      </c>
      <c r="AE260" s="293"/>
      <c r="AF260" s="293">
        <f t="shared" ref="AF260:AH264" si="216">AF104</f>
        <v>1830</v>
      </c>
      <c r="AG260" s="293">
        <f t="shared" si="216"/>
        <v>1916</v>
      </c>
      <c r="AH260" s="293">
        <f t="shared" si="216"/>
        <v>1916</v>
      </c>
      <c r="AJ260" s="293">
        <f t="shared" ref="AJ260:AL264" si="217">AJ104</f>
        <v>2889</v>
      </c>
      <c r="AK260" s="293">
        <f t="shared" si="217"/>
        <v>3103</v>
      </c>
      <c r="AL260" s="293">
        <f t="shared" si="217"/>
        <v>3103</v>
      </c>
      <c r="AN260" s="293">
        <f t="shared" ref="AN260:AP264" si="218">AN104</f>
        <v>4336</v>
      </c>
      <c r="AO260" s="293">
        <f t="shared" si="218"/>
        <v>4534</v>
      </c>
      <c r="AP260" s="293">
        <f t="shared" si="218"/>
        <v>4534</v>
      </c>
      <c r="AR260" s="293">
        <f t="shared" ref="AR260:AT264" si="219">AR104</f>
        <v>4832</v>
      </c>
      <c r="AS260" s="293">
        <f t="shared" si="219"/>
        <v>4906</v>
      </c>
      <c r="AT260" s="293">
        <f t="shared" si="219"/>
        <v>4906</v>
      </c>
      <c r="AV260" s="293">
        <f t="shared" ref="AV260:AX264" si="220">AV104</f>
        <v>6267</v>
      </c>
      <c r="AW260" s="293">
        <f t="shared" si="220"/>
        <v>6990</v>
      </c>
      <c r="AX260" s="293">
        <f t="shared" si="220"/>
        <v>6990</v>
      </c>
      <c r="AZ260" s="293">
        <f t="shared" ref="AZ260:BB264" si="221">AZ104</f>
        <v>7063</v>
      </c>
      <c r="BA260" s="293">
        <f t="shared" si="221"/>
        <v>7140</v>
      </c>
      <c r="BB260" s="293">
        <f t="shared" si="221"/>
        <v>7140</v>
      </c>
      <c r="BD260" s="293">
        <f t="shared" ref="BD260:BF264" si="222">BD104</f>
        <v>7103</v>
      </c>
      <c r="BE260" s="293">
        <f t="shared" si="222"/>
        <v>7127</v>
      </c>
      <c r="BF260" s="293">
        <f t="shared" si="222"/>
        <v>7127</v>
      </c>
      <c r="BH260" s="293">
        <f t="shared" ref="BH260:BJ264" si="223">BH104</f>
        <v>6876</v>
      </c>
      <c r="BI260" s="293">
        <f t="shared" si="223"/>
        <v>6882</v>
      </c>
      <c r="BJ260" s="293">
        <f t="shared" si="223"/>
        <v>6882</v>
      </c>
      <c r="BL260" s="293">
        <f t="shared" ref="BL260:BN264" si="224">BL104</f>
        <v>6884</v>
      </c>
      <c r="BM260" s="293">
        <f t="shared" si="224"/>
        <v>6075</v>
      </c>
      <c r="BN260" s="293">
        <f t="shared" si="224"/>
        <v>6075</v>
      </c>
      <c r="BP260" s="293">
        <f t="shared" ref="BP260:BR264" si="225">BP104</f>
        <v>6041</v>
      </c>
      <c r="BQ260" s="293">
        <f t="shared" si="225"/>
        <v>6901</v>
      </c>
      <c r="BR260" s="293">
        <f t="shared" si="225"/>
        <v>6901</v>
      </c>
      <c r="BT260" s="293">
        <f t="shared" ref="BT260:BV264" si="226">BT104</f>
        <v>6911</v>
      </c>
      <c r="BU260" s="293">
        <f t="shared" si="226"/>
        <v>7446</v>
      </c>
      <c r="BV260" s="293">
        <f t="shared" si="226"/>
        <v>7446</v>
      </c>
      <c r="BX260" s="293">
        <f t="shared" ref="BX260:BZ264" si="227">BX104</f>
        <v>7444</v>
      </c>
      <c r="BY260" s="293">
        <f t="shared" si="227"/>
        <v>7467</v>
      </c>
      <c r="BZ260" s="293">
        <f t="shared" si="227"/>
        <v>7467</v>
      </c>
      <c r="CB260" s="293">
        <f t="shared" ref="CB260:CD264" si="228">CB104</f>
        <v>7485</v>
      </c>
      <c r="CC260" s="293">
        <f t="shared" si="228"/>
        <v>7498</v>
      </c>
      <c r="CD260" s="293">
        <f t="shared" si="228"/>
        <v>7498</v>
      </c>
      <c r="CF260" s="293">
        <f t="shared" ref="CF260:CH264" si="229">CF104</f>
        <v>7550</v>
      </c>
      <c r="CG260" s="293">
        <f t="shared" si="229"/>
        <v>7546</v>
      </c>
      <c r="CH260" s="293">
        <f t="shared" si="229"/>
        <v>7546</v>
      </c>
      <c r="CJ260" s="293">
        <f t="shared" ref="CJ260:CL264" si="230">CJ104</f>
        <v>9282</v>
      </c>
      <c r="CK260" s="293">
        <f t="shared" si="230"/>
        <v>9290</v>
      </c>
      <c r="CL260" s="293">
        <f t="shared" si="230"/>
        <v>9290</v>
      </c>
      <c r="CN260" s="293">
        <f t="shared" ref="CN260:CP264" si="231">CN104</f>
        <v>10138</v>
      </c>
      <c r="CO260" s="293">
        <f t="shared" si="231"/>
        <v>10166</v>
      </c>
      <c r="CP260" s="293">
        <f t="shared" si="231"/>
        <v>10166</v>
      </c>
      <c r="CR260" s="293">
        <f t="shared" ref="CR260:CT264" si="232">CR104</f>
        <v>11290</v>
      </c>
      <c r="CS260" s="293">
        <f t="shared" si="232"/>
        <v>14156</v>
      </c>
      <c r="CT260" s="293">
        <f t="shared" si="232"/>
        <v>14156</v>
      </c>
      <c r="CV260" s="293">
        <f t="shared" ref="CV260:CX264" si="233">CV104</f>
        <v>14741</v>
      </c>
      <c r="CW260" s="1495">
        <f t="shared" si="233"/>
        <v>14735</v>
      </c>
      <c r="CX260" s="293">
        <f t="shared" si="233"/>
        <v>14735</v>
      </c>
      <c r="CZ260" s="293">
        <f t="shared" ref="CZ260:DB264" si="234">CZ104</f>
        <v>14812</v>
      </c>
      <c r="DA260" s="1495">
        <f t="shared" si="234"/>
        <v>14156</v>
      </c>
      <c r="DB260" s="293">
        <f t="shared" si="234"/>
        <v>14156</v>
      </c>
      <c r="DD260" s="293">
        <f t="shared" ref="DD260:DF264" si="235">DD104</f>
        <v>13887</v>
      </c>
      <c r="DE260" s="1495">
        <f t="shared" si="235"/>
        <v>13834</v>
      </c>
      <c r="DF260" s="293">
        <f t="shared" si="235"/>
        <v>13834</v>
      </c>
      <c r="DH260" s="293">
        <f t="shared" ref="DH260" si="236">DH104</f>
        <v>13925</v>
      </c>
      <c r="DI260" s="293">
        <f t="shared" ref="DI260:DJ264" si="237">DI104</f>
        <v>14120.333437687499</v>
      </c>
      <c r="DJ260" s="293">
        <f t="shared" si="237"/>
        <v>14120.333437687499</v>
      </c>
      <c r="DL260" s="293">
        <f t="shared" ref="DL260:DN264" si="238">DL104</f>
        <v>14325.946297533304</v>
      </c>
      <c r="DM260" s="293">
        <f t="shared" si="238"/>
        <v>14542.379534128495</v>
      </c>
      <c r="DN260" s="293">
        <f t="shared" si="238"/>
        <v>14542.379534128493</v>
      </c>
      <c r="DP260" s="293">
        <f t="shared" ref="DP260:DR264" si="239">DP104</f>
        <v>14770.202569799505</v>
      </c>
      <c r="DQ260" s="293">
        <f t="shared" si="239"/>
        <v>15010.014792722704</v>
      </c>
      <c r="DR260" s="293">
        <f t="shared" si="239"/>
        <v>15010.014792722704</v>
      </c>
      <c r="DU260" s="293"/>
      <c r="DV260" s="293"/>
      <c r="DW260" s="293"/>
    </row>
    <row r="261" spans="1:138">
      <c r="A261" s="102" t="s">
        <v>128</v>
      </c>
      <c r="C261" s="103" t="s">
        <v>612</v>
      </c>
      <c r="P261" s="293">
        <f t="shared" si="212"/>
        <v>0</v>
      </c>
      <c r="Q261" s="293">
        <f t="shared" si="212"/>
        <v>0</v>
      </c>
      <c r="R261" s="293">
        <f t="shared" si="212"/>
        <v>0</v>
      </c>
      <c r="T261" s="293">
        <f t="shared" si="213"/>
        <v>0</v>
      </c>
      <c r="U261" s="293">
        <f t="shared" si="213"/>
        <v>0</v>
      </c>
      <c r="V261" s="293">
        <f t="shared" si="213"/>
        <v>0</v>
      </c>
      <c r="X261" s="293">
        <f t="shared" si="214"/>
        <v>0</v>
      </c>
      <c r="Y261" s="293">
        <f t="shared" si="214"/>
        <v>0</v>
      </c>
      <c r="Z261" s="293">
        <f t="shared" si="214"/>
        <v>0</v>
      </c>
      <c r="AB261" s="293">
        <f t="shared" si="215"/>
        <v>-14</v>
      </c>
      <c r="AC261" s="293">
        <f t="shared" si="215"/>
        <v>-1</v>
      </c>
      <c r="AD261" s="293">
        <f t="shared" si="215"/>
        <v>-1</v>
      </c>
      <c r="AE261" s="293"/>
      <c r="AF261" s="293">
        <f t="shared" si="216"/>
        <v>-1</v>
      </c>
      <c r="AG261" s="293">
        <f t="shared" si="216"/>
        <v>-2</v>
      </c>
      <c r="AH261" s="293">
        <f t="shared" si="216"/>
        <v>-2</v>
      </c>
      <c r="AJ261" s="293">
        <f t="shared" si="217"/>
        <v>-2</v>
      </c>
      <c r="AK261" s="293">
        <f t="shared" si="217"/>
        <v>-7</v>
      </c>
      <c r="AL261" s="293">
        <f t="shared" si="217"/>
        <v>-7</v>
      </c>
      <c r="AN261" s="293">
        <f t="shared" si="218"/>
        <v>-10</v>
      </c>
      <c r="AO261" s="293">
        <f t="shared" si="218"/>
        <v>-12</v>
      </c>
      <c r="AP261" s="293">
        <f t="shared" si="218"/>
        <v>-12</v>
      </c>
      <c r="AR261" s="293">
        <f t="shared" si="219"/>
        <v>-2</v>
      </c>
      <c r="AS261" s="293">
        <f t="shared" si="219"/>
        <v>-2</v>
      </c>
      <c r="AT261" s="293">
        <f t="shared" si="219"/>
        <v>-2</v>
      </c>
      <c r="AV261" s="293">
        <f t="shared" si="220"/>
        <v>-2</v>
      </c>
      <c r="AW261" s="293">
        <f t="shared" si="220"/>
        <v>-443</v>
      </c>
      <c r="AX261" s="293">
        <f t="shared" si="220"/>
        <v>-443</v>
      </c>
      <c r="AZ261" s="293">
        <f t="shared" si="221"/>
        <v>-719</v>
      </c>
      <c r="BA261" s="293">
        <f t="shared" si="221"/>
        <v>-731</v>
      </c>
      <c r="BB261" s="293">
        <f t="shared" si="221"/>
        <v>-731</v>
      </c>
      <c r="BD261" s="293">
        <f t="shared" si="222"/>
        <v>-993</v>
      </c>
      <c r="BE261" s="293">
        <f t="shared" si="222"/>
        <v>-974</v>
      </c>
      <c r="BF261" s="293">
        <f t="shared" si="222"/>
        <v>-974</v>
      </c>
      <c r="BH261" s="293">
        <f t="shared" si="223"/>
        <v>-1058</v>
      </c>
      <c r="BI261" s="293">
        <f t="shared" si="223"/>
        <v>-1011</v>
      </c>
      <c r="BJ261" s="293">
        <f t="shared" si="223"/>
        <v>-1011</v>
      </c>
      <c r="BL261" s="293">
        <f t="shared" si="224"/>
        <v>-1025</v>
      </c>
      <c r="BM261" s="293">
        <f t="shared" si="224"/>
        <v>-990</v>
      </c>
      <c r="BN261" s="293">
        <f t="shared" si="224"/>
        <v>-990</v>
      </c>
      <c r="BP261" s="293">
        <f t="shared" si="225"/>
        <v>-1003</v>
      </c>
      <c r="BQ261" s="293">
        <f t="shared" si="225"/>
        <v>-971</v>
      </c>
      <c r="BR261" s="293">
        <f t="shared" si="225"/>
        <v>-971</v>
      </c>
      <c r="BT261" s="293">
        <f t="shared" si="226"/>
        <v>-1088</v>
      </c>
      <c r="BU261" s="293">
        <f t="shared" si="226"/>
        <v>-1036</v>
      </c>
      <c r="BV261" s="293">
        <f t="shared" si="226"/>
        <v>-1036</v>
      </c>
      <c r="BX261" s="293">
        <f t="shared" si="227"/>
        <v>-1221</v>
      </c>
      <c r="BY261" s="293">
        <f t="shared" si="227"/>
        <v>-1187</v>
      </c>
      <c r="BZ261" s="293">
        <f t="shared" si="227"/>
        <v>-1187</v>
      </c>
      <c r="CB261" s="293">
        <f t="shared" si="228"/>
        <v>-1307</v>
      </c>
      <c r="CC261" s="293">
        <f t="shared" si="228"/>
        <v>-1264</v>
      </c>
      <c r="CD261" s="293">
        <f t="shared" si="228"/>
        <v>-1264</v>
      </c>
      <c r="CF261" s="293">
        <f t="shared" si="229"/>
        <v>-1413</v>
      </c>
      <c r="CG261" s="293">
        <f t="shared" si="229"/>
        <v>-1372</v>
      </c>
      <c r="CH261" s="293">
        <f t="shared" si="229"/>
        <v>-1372</v>
      </c>
      <c r="CJ261" s="293">
        <f t="shared" si="230"/>
        <v>-1568</v>
      </c>
      <c r="CK261" s="293">
        <f t="shared" si="230"/>
        <v>-1446</v>
      </c>
      <c r="CL261" s="293">
        <f t="shared" si="230"/>
        <v>-1446</v>
      </c>
      <c r="CN261" s="293">
        <f t="shared" si="231"/>
        <v>-1702</v>
      </c>
      <c r="CO261" s="293">
        <f t="shared" si="231"/>
        <v>-1633</v>
      </c>
      <c r="CP261" s="293">
        <f t="shared" si="231"/>
        <v>-1633</v>
      </c>
      <c r="CR261" s="293">
        <f t="shared" si="232"/>
        <v>-1896</v>
      </c>
      <c r="CS261" s="293">
        <f t="shared" si="232"/>
        <v>-1858</v>
      </c>
      <c r="CT261" s="293">
        <f t="shared" si="232"/>
        <v>-1858</v>
      </c>
      <c r="CV261" s="293">
        <f t="shared" si="233"/>
        <v>-2389</v>
      </c>
      <c r="CW261" s="1495">
        <f t="shared" si="233"/>
        <v>-2328</v>
      </c>
      <c r="CX261" s="293">
        <f t="shared" si="233"/>
        <v>-2328</v>
      </c>
      <c r="CZ261" s="293">
        <f t="shared" si="234"/>
        <v>-2871</v>
      </c>
      <c r="DA261" s="1495">
        <f t="shared" si="234"/>
        <v>-2784</v>
      </c>
      <c r="DB261" s="293">
        <f t="shared" si="234"/>
        <v>-2784</v>
      </c>
      <c r="DD261" s="293">
        <f t="shared" si="235"/>
        <v>-2873</v>
      </c>
      <c r="DE261" s="1495">
        <f t="shared" si="235"/>
        <v>-2764</v>
      </c>
      <c r="DF261" s="293">
        <f t="shared" si="235"/>
        <v>-2764</v>
      </c>
      <c r="DH261" s="293">
        <f t="shared" ref="DH261" si="240">DH105</f>
        <v>-2772</v>
      </c>
      <c r="DI261" s="293">
        <f t="shared" si="237"/>
        <v>-2855.16</v>
      </c>
      <c r="DJ261" s="293">
        <f t="shared" si="237"/>
        <v>-2855.16</v>
      </c>
      <c r="DL261" s="293">
        <f t="shared" si="238"/>
        <v>-2940.8147999999997</v>
      </c>
      <c r="DM261" s="293">
        <f t="shared" si="238"/>
        <v>-3029.0392439999996</v>
      </c>
      <c r="DN261" s="293">
        <f t="shared" si="238"/>
        <v>-3029.0392439999996</v>
      </c>
      <c r="DP261" s="293">
        <f t="shared" si="239"/>
        <v>-3119.9104213199994</v>
      </c>
      <c r="DQ261" s="293">
        <f t="shared" si="239"/>
        <v>-3213.5077339595991</v>
      </c>
      <c r="DR261" s="293">
        <f t="shared" si="239"/>
        <v>-3213.5077339595996</v>
      </c>
      <c r="DU261" s="293"/>
      <c r="DV261" s="293"/>
      <c r="DW261" s="293"/>
    </row>
    <row r="262" spans="1:138">
      <c r="A262" s="102" t="s">
        <v>110</v>
      </c>
      <c r="C262" s="103" t="s">
        <v>612</v>
      </c>
      <c r="P262" s="293">
        <f t="shared" si="212"/>
        <v>0</v>
      </c>
      <c r="Q262" s="293">
        <f t="shared" si="212"/>
        <v>0</v>
      </c>
      <c r="R262" s="293">
        <f t="shared" si="212"/>
        <v>0</v>
      </c>
      <c r="T262" s="293">
        <f t="shared" si="213"/>
        <v>0</v>
      </c>
      <c r="U262" s="293">
        <f t="shared" si="213"/>
        <v>0</v>
      </c>
      <c r="V262" s="293">
        <f t="shared" si="213"/>
        <v>0</v>
      </c>
      <c r="X262" s="293">
        <f t="shared" si="214"/>
        <v>0</v>
      </c>
      <c r="Y262" s="293">
        <f t="shared" si="214"/>
        <v>0</v>
      </c>
      <c r="Z262" s="293">
        <f t="shared" si="214"/>
        <v>0</v>
      </c>
      <c r="AB262" s="293">
        <f t="shared" si="215"/>
        <v>0</v>
      </c>
      <c r="AC262" s="293">
        <f t="shared" si="215"/>
        <v>0</v>
      </c>
      <c r="AD262" s="293">
        <f t="shared" si="215"/>
        <v>0</v>
      </c>
      <c r="AE262" s="293"/>
      <c r="AF262" s="293">
        <f t="shared" si="216"/>
        <v>0</v>
      </c>
      <c r="AG262" s="293">
        <f t="shared" si="216"/>
        <v>0</v>
      </c>
      <c r="AH262" s="293">
        <f t="shared" si="216"/>
        <v>0</v>
      </c>
      <c r="AJ262" s="293">
        <f t="shared" si="217"/>
        <v>0</v>
      </c>
      <c r="AK262" s="293">
        <f t="shared" si="217"/>
        <v>0</v>
      </c>
      <c r="AL262" s="293">
        <f t="shared" si="217"/>
        <v>0</v>
      </c>
      <c r="AN262" s="293">
        <f t="shared" si="218"/>
        <v>0</v>
      </c>
      <c r="AO262" s="293">
        <f t="shared" si="218"/>
        <v>133</v>
      </c>
      <c r="AP262" s="293">
        <f t="shared" si="218"/>
        <v>133</v>
      </c>
      <c r="AR262" s="293">
        <f t="shared" si="219"/>
        <v>122</v>
      </c>
      <c r="AS262" s="293">
        <f t="shared" si="219"/>
        <v>116</v>
      </c>
      <c r="AT262" s="293">
        <f t="shared" si="219"/>
        <v>116</v>
      </c>
      <c r="AV262" s="293">
        <f t="shared" si="220"/>
        <v>159</v>
      </c>
      <c r="AW262" s="293">
        <f t="shared" si="220"/>
        <v>137</v>
      </c>
      <c r="AX262" s="293">
        <f t="shared" si="220"/>
        <v>137</v>
      </c>
      <c r="AZ262" s="293">
        <f t="shared" si="221"/>
        <v>129</v>
      </c>
      <c r="BA262" s="293">
        <f t="shared" si="221"/>
        <v>104</v>
      </c>
      <c r="BB262" s="293">
        <f t="shared" si="221"/>
        <v>104</v>
      </c>
      <c r="BD262" s="293">
        <f t="shared" si="222"/>
        <v>98</v>
      </c>
      <c r="BE262" s="293">
        <f t="shared" si="222"/>
        <v>82</v>
      </c>
      <c r="BF262" s="293">
        <f t="shared" si="222"/>
        <v>82</v>
      </c>
      <c r="BH262" s="293">
        <f t="shared" si="223"/>
        <v>69</v>
      </c>
      <c r="BI262" s="293">
        <f t="shared" si="223"/>
        <v>36</v>
      </c>
      <c r="BJ262" s="293">
        <f t="shared" si="223"/>
        <v>36</v>
      </c>
      <c r="BL262" s="293">
        <f t="shared" si="224"/>
        <v>34</v>
      </c>
      <c r="BM262" s="293">
        <f t="shared" si="224"/>
        <v>27</v>
      </c>
      <c r="BN262" s="293">
        <f t="shared" si="224"/>
        <v>27</v>
      </c>
      <c r="BP262" s="293">
        <f t="shared" si="225"/>
        <v>25</v>
      </c>
      <c r="BQ262" s="293">
        <f t="shared" si="225"/>
        <v>17</v>
      </c>
      <c r="BR262" s="293">
        <f t="shared" si="225"/>
        <v>17</v>
      </c>
      <c r="BT262" s="293">
        <f t="shared" si="226"/>
        <v>13</v>
      </c>
      <c r="BU262" s="293">
        <f t="shared" si="226"/>
        <v>12</v>
      </c>
      <c r="BV262" s="293">
        <f t="shared" si="226"/>
        <v>12</v>
      </c>
      <c r="BX262" s="293">
        <f t="shared" si="227"/>
        <v>11</v>
      </c>
      <c r="BY262" s="293">
        <f t="shared" si="227"/>
        <v>10</v>
      </c>
      <c r="BZ262" s="293">
        <f t="shared" si="227"/>
        <v>10</v>
      </c>
      <c r="CB262" s="293">
        <f t="shared" si="228"/>
        <v>10</v>
      </c>
      <c r="CC262" s="293">
        <f t="shared" si="228"/>
        <v>9</v>
      </c>
      <c r="CD262" s="293">
        <f t="shared" si="228"/>
        <v>9</v>
      </c>
      <c r="CF262" s="293">
        <f t="shared" si="229"/>
        <v>7</v>
      </c>
      <c r="CG262" s="293">
        <f t="shared" si="229"/>
        <v>7</v>
      </c>
      <c r="CH262" s="293">
        <f t="shared" si="229"/>
        <v>7</v>
      </c>
      <c r="CJ262" s="293">
        <f t="shared" si="230"/>
        <v>7</v>
      </c>
      <c r="CK262" s="293">
        <f t="shared" si="230"/>
        <v>7</v>
      </c>
      <c r="CL262" s="293">
        <f t="shared" si="230"/>
        <v>7</v>
      </c>
      <c r="CN262" s="293">
        <f t="shared" si="231"/>
        <v>-2</v>
      </c>
      <c r="CO262" s="293">
        <f t="shared" si="231"/>
        <v>-2</v>
      </c>
      <c r="CP262" s="293">
        <f t="shared" si="231"/>
        <v>-2</v>
      </c>
      <c r="CR262" s="293">
        <f t="shared" si="232"/>
        <v>0</v>
      </c>
      <c r="CS262" s="293">
        <f t="shared" si="232"/>
        <v>0</v>
      </c>
      <c r="CT262" s="293">
        <f t="shared" si="232"/>
        <v>0</v>
      </c>
      <c r="CV262" s="293">
        <f t="shared" si="233"/>
        <v>0</v>
      </c>
      <c r="CW262" s="1495">
        <f t="shared" si="233"/>
        <v>0</v>
      </c>
      <c r="CX262" s="293">
        <f t="shared" si="233"/>
        <v>0</v>
      </c>
      <c r="CZ262" s="293">
        <f t="shared" si="234"/>
        <v>0</v>
      </c>
      <c r="DA262" s="1495">
        <f t="shared" si="234"/>
        <v>0</v>
      </c>
      <c r="DB262" s="293">
        <f t="shared" si="234"/>
        <v>0</v>
      </c>
      <c r="DD262" s="293">
        <f t="shared" si="235"/>
        <v>0</v>
      </c>
      <c r="DE262" s="1495">
        <f t="shared" si="235"/>
        <v>0</v>
      </c>
      <c r="DF262" s="293">
        <f t="shared" si="235"/>
        <v>0</v>
      </c>
      <c r="DH262" s="293">
        <f t="shared" ref="DH262" si="241">DH106</f>
        <v>0</v>
      </c>
      <c r="DI262" s="293">
        <f t="shared" si="237"/>
        <v>0</v>
      </c>
      <c r="DJ262" s="293">
        <f t="shared" si="237"/>
        <v>0</v>
      </c>
      <c r="DL262" s="293">
        <f t="shared" si="238"/>
        <v>0</v>
      </c>
      <c r="DM262" s="293">
        <f t="shared" si="238"/>
        <v>0</v>
      </c>
      <c r="DN262" s="293">
        <f t="shared" si="238"/>
        <v>0</v>
      </c>
      <c r="DP262" s="293">
        <f t="shared" si="239"/>
        <v>0</v>
      </c>
      <c r="DQ262" s="293">
        <f t="shared" si="239"/>
        <v>0</v>
      </c>
      <c r="DR262" s="293">
        <f t="shared" si="239"/>
        <v>0</v>
      </c>
      <c r="DU262" s="293"/>
      <c r="DV262" s="293"/>
      <c r="DW262" s="293"/>
    </row>
    <row r="263" spans="1:138">
      <c r="A263" s="102" t="s">
        <v>130</v>
      </c>
      <c r="C263" s="103" t="s">
        <v>612</v>
      </c>
      <c r="P263" s="293">
        <f t="shared" si="212"/>
        <v>0</v>
      </c>
      <c r="Q263" s="293">
        <f t="shared" si="212"/>
        <v>0</v>
      </c>
      <c r="R263" s="293">
        <f t="shared" si="212"/>
        <v>0</v>
      </c>
      <c r="T263" s="293">
        <f t="shared" si="213"/>
        <v>0</v>
      </c>
      <c r="U263" s="293">
        <f t="shared" si="213"/>
        <v>0</v>
      </c>
      <c r="V263" s="293">
        <f t="shared" si="213"/>
        <v>0</v>
      </c>
      <c r="X263" s="293">
        <f t="shared" si="214"/>
        <v>0</v>
      </c>
      <c r="Y263" s="293">
        <f t="shared" si="214"/>
        <v>0</v>
      </c>
      <c r="Z263" s="293">
        <f t="shared" si="214"/>
        <v>0</v>
      </c>
      <c r="AB263" s="293">
        <f t="shared" si="215"/>
        <v>35</v>
      </c>
      <c r="AC263" s="293">
        <f t="shared" si="215"/>
        <v>49</v>
      </c>
      <c r="AD263" s="293">
        <f t="shared" si="215"/>
        <v>49</v>
      </c>
      <c r="AE263" s="293"/>
      <c r="AF263" s="293">
        <f t="shared" si="216"/>
        <v>125</v>
      </c>
      <c r="AG263" s="293">
        <f t="shared" si="216"/>
        <v>250</v>
      </c>
      <c r="AH263" s="293">
        <f t="shared" si="216"/>
        <v>250</v>
      </c>
      <c r="AJ263" s="293">
        <f t="shared" si="217"/>
        <v>265</v>
      </c>
      <c r="AK263" s="293">
        <f t="shared" si="217"/>
        <v>380</v>
      </c>
      <c r="AL263" s="293">
        <f t="shared" si="217"/>
        <v>380</v>
      </c>
      <c r="AN263" s="293">
        <f t="shared" si="218"/>
        <v>513</v>
      </c>
      <c r="AO263" s="293">
        <f t="shared" si="218"/>
        <v>456</v>
      </c>
      <c r="AP263" s="293">
        <f t="shared" si="218"/>
        <v>456</v>
      </c>
      <c r="AR263" s="293">
        <f t="shared" si="219"/>
        <v>283</v>
      </c>
      <c r="AS263" s="293">
        <f t="shared" si="219"/>
        <v>17</v>
      </c>
      <c r="AT263" s="293">
        <f t="shared" si="219"/>
        <v>17</v>
      </c>
      <c r="AV263" s="293">
        <f t="shared" si="220"/>
        <v>276</v>
      </c>
      <c r="AW263" s="293">
        <f t="shared" si="220"/>
        <v>280</v>
      </c>
      <c r="AX263" s="293">
        <f t="shared" si="220"/>
        <v>280</v>
      </c>
      <c r="AZ263" s="293">
        <f t="shared" si="221"/>
        <v>263</v>
      </c>
      <c r="BA263" s="293">
        <f t="shared" si="221"/>
        <v>310</v>
      </c>
      <c r="BB263" s="293">
        <f t="shared" si="221"/>
        <v>310</v>
      </c>
      <c r="BD263" s="293">
        <f t="shared" si="222"/>
        <v>504</v>
      </c>
      <c r="BE263" s="293">
        <f t="shared" si="222"/>
        <v>44</v>
      </c>
      <c r="BF263" s="293">
        <f t="shared" si="222"/>
        <v>44</v>
      </c>
      <c r="BH263" s="293">
        <f t="shared" si="223"/>
        <v>-50</v>
      </c>
      <c r="BI263" s="293">
        <f t="shared" si="223"/>
        <v>57</v>
      </c>
      <c r="BJ263" s="293">
        <f t="shared" si="223"/>
        <v>57</v>
      </c>
      <c r="BL263" s="293">
        <f t="shared" si="224"/>
        <v>726</v>
      </c>
      <c r="BM263" s="293">
        <f t="shared" si="224"/>
        <v>669</v>
      </c>
      <c r="BN263" s="293">
        <f t="shared" si="224"/>
        <v>669</v>
      </c>
      <c r="BP263" s="293">
        <f t="shared" si="225"/>
        <v>826</v>
      </c>
      <c r="BQ263" s="293">
        <f t="shared" si="225"/>
        <v>1656</v>
      </c>
      <c r="BR263" s="293">
        <f t="shared" si="225"/>
        <v>1656</v>
      </c>
      <c r="BT263" s="293">
        <f t="shared" si="226"/>
        <v>2090</v>
      </c>
      <c r="BU263" s="293">
        <f t="shared" si="226"/>
        <v>1536</v>
      </c>
      <c r="BV263" s="293">
        <f t="shared" si="226"/>
        <v>1536</v>
      </c>
      <c r="BX263" s="293">
        <f t="shared" si="227"/>
        <v>1295</v>
      </c>
      <c r="BY263" s="293">
        <f t="shared" si="227"/>
        <v>1396</v>
      </c>
      <c r="BZ263" s="293">
        <f t="shared" si="227"/>
        <v>1396</v>
      </c>
      <c r="CB263" s="293">
        <f t="shared" si="228"/>
        <v>999</v>
      </c>
      <c r="CC263" s="293">
        <f t="shared" si="228"/>
        <v>1297</v>
      </c>
      <c r="CD263" s="293">
        <f t="shared" si="228"/>
        <v>1297</v>
      </c>
      <c r="CF263" s="293">
        <f t="shared" si="229"/>
        <v>1567</v>
      </c>
      <c r="CG263" s="293">
        <f t="shared" si="229"/>
        <v>1773</v>
      </c>
      <c r="CH263" s="293">
        <f t="shared" si="229"/>
        <v>1773</v>
      </c>
      <c r="CJ263" s="293">
        <f t="shared" si="230"/>
        <v>1927</v>
      </c>
      <c r="CK263" s="293">
        <f t="shared" si="230"/>
        <v>2773</v>
      </c>
      <c r="CL263" s="293">
        <f t="shared" si="230"/>
        <v>2773</v>
      </c>
      <c r="CN263" s="293">
        <f t="shared" si="231"/>
        <v>1378</v>
      </c>
      <c r="CO263" s="293">
        <f t="shared" si="231"/>
        <v>1286</v>
      </c>
      <c r="CP263" s="293">
        <f t="shared" si="231"/>
        <v>1286</v>
      </c>
      <c r="CR263" s="293">
        <f t="shared" si="232"/>
        <v>1613</v>
      </c>
      <c r="CS263" s="293">
        <f t="shared" si="232"/>
        <v>1523</v>
      </c>
      <c r="CT263" s="293">
        <f t="shared" si="232"/>
        <v>1523</v>
      </c>
      <c r="CV263" s="293">
        <f t="shared" si="233"/>
        <v>3250</v>
      </c>
      <c r="CW263" s="1495">
        <f t="shared" si="233"/>
        <v>3302</v>
      </c>
      <c r="CX263" s="293">
        <f t="shared" si="233"/>
        <v>3302</v>
      </c>
      <c r="CZ263" s="293">
        <f t="shared" si="234"/>
        <v>3590</v>
      </c>
      <c r="DA263" s="1495">
        <f t="shared" si="234"/>
        <v>3891</v>
      </c>
      <c r="DB263" s="293">
        <f t="shared" si="234"/>
        <v>3891</v>
      </c>
      <c r="DD263" s="293">
        <f t="shared" si="235"/>
        <v>2920</v>
      </c>
      <c r="DE263" s="1495">
        <f t="shared" si="235"/>
        <v>4829</v>
      </c>
      <c r="DF263" s="293">
        <f t="shared" si="235"/>
        <v>4829</v>
      </c>
      <c r="DH263" s="293">
        <f t="shared" ref="DH263" si="242">DH107</f>
        <v>3779</v>
      </c>
      <c r="DI263" s="293">
        <f t="shared" si="237"/>
        <v>3779</v>
      </c>
      <c r="DJ263" s="293">
        <f t="shared" si="237"/>
        <v>3779</v>
      </c>
      <c r="DL263" s="293">
        <f t="shared" si="238"/>
        <v>3779</v>
      </c>
      <c r="DM263" s="293">
        <f t="shared" si="238"/>
        <v>3779</v>
      </c>
      <c r="DN263" s="293">
        <f t="shared" si="238"/>
        <v>3779</v>
      </c>
      <c r="DP263" s="293">
        <f t="shared" si="239"/>
        <v>3779</v>
      </c>
      <c r="DQ263" s="293">
        <f t="shared" si="239"/>
        <v>3779</v>
      </c>
      <c r="DR263" s="293">
        <f t="shared" si="239"/>
        <v>3779</v>
      </c>
      <c r="DU263" s="293"/>
      <c r="DV263" s="293"/>
      <c r="DW263" s="293"/>
    </row>
    <row r="264" spans="1:138">
      <c r="A264" s="102" t="s">
        <v>144</v>
      </c>
      <c r="C264" s="103" t="s">
        <v>612</v>
      </c>
      <c r="P264" s="293">
        <f t="shared" si="212"/>
        <v>717</v>
      </c>
      <c r="Q264" s="293">
        <f t="shared" si="212"/>
        <v>659</v>
      </c>
      <c r="R264" s="293">
        <f t="shared" si="212"/>
        <v>659</v>
      </c>
      <c r="T264" s="293">
        <f t="shared" si="213"/>
        <v>901</v>
      </c>
      <c r="U264" s="293">
        <f t="shared" si="213"/>
        <v>1040</v>
      </c>
      <c r="V264" s="293">
        <f t="shared" si="213"/>
        <v>1040</v>
      </c>
      <c r="X264" s="293">
        <f t="shared" si="214"/>
        <v>1173</v>
      </c>
      <c r="Y264" s="293">
        <f t="shared" si="214"/>
        <v>1578</v>
      </c>
      <c r="Z264" s="293">
        <f t="shared" si="214"/>
        <v>1578</v>
      </c>
      <c r="AB264" s="293">
        <f t="shared" si="215"/>
        <v>1101</v>
      </c>
      <c r="AC264" s="293">
        <f t="shared" si="215"/>
        <v>1523</v>
      </c>
      <c r="AD264" s="293">
        <f t="shared" si="215"/>
        <v>1523</v>
      </c>
      <c r="AE264" s="293"/>
      <c r="AF264" s="293">
        <f t="shared" si="216"/>
        <v>1708</v>
      </c>
      <c r="AG264" s="293">
        <f t="shared" si="216"/>
        <v>1934</v>
      </c>
      <c r="AH264" s="293">
        <f t="shared" si="216"/>
        <v>1934</v>
      </c>
      <c r="AJ264" s="293">
        <f t="shared" si="217"/>
        <v>2374</v>
      </c>
      <c r="AK264" s="293">
        <f t="shared" si="217"/>
        <v>2795</v>
      </c>
      <c r="AL264" s="293">
        <f t="shared" si="217"/>
        <v>2795</v>
      </c>
      <c r="AN264" s="293">
        <f t="shared" si="218"/>
        <v>3373</v>
      </c>
      <c r="AO264" s="293">
        <f t="shared" si="218"/>
        <v>3718</v>
      </c>
      <c r="AP264" s="293">
        <f t="shared" si="218"/>
        <v>3718</v>
      </c>
      <c r="AR264" s="293">
        <f t="shared" si="219"/>
        <v>3770</v>
      </c>
      <c r="AS264" s="293">
        <f t="shared" si="219"/>
        <v>3627</v>
      </c>
      <c r="AT264" s="293">
        <f t="shared" si="219"/>
        <v>3627</v>
      </c>
      <c r="AV264" s="293">
        <f t="shared" si="220"/>
        <v>3984</v>
      </c>
      <c r="AW264" s="293">
        <f t="shared" si="220"/>
        <v>4268</v>
      </c>
      <c r="AX264" s="293">
        <f t="shared" si="220"/>
        <v>4268</v>
      </c>
      <c r="AZ264" s="293">
        <f t="shared" si="221"/>
        <v>4325</v>
      </c>
      <c r="BA264" s="293">
        <f t="shared" si="221"/>
        <v>4581</v>
      </c>
      <c r="BB264" s="293">
        <f t="shared" si="221"/>
        <v>4581</v>
      </c>
      <c r="BD264" s="293">
        <f t="shared" si="222"/>
        <v>4539</v>
      </c>
      <c r="BE264" s="293">
        <f t="shared" si="222"/>
        <v>4924</v>
      </c>
      <c r="BF264" s="293">
        <f t="shared" si="222"/>
        <v>4924</v>
      </c>
      <c r="BH264" s="293">
        <f t="shared" si="223"/>
        <v>5155</v>
      </c>
      <c r="BI264" s="293">
        <f t="shared" si="223"/>
        <v>5439</v>
      </c>
      <c r="BJ264" s="293">
        <f t="shared" si="223"/>
        <v>5439</v>
      </c>
      <c r="BL264" s="293">
        <f t="shared" si="224"/>
        <v>5610</v>
      </c>
      <c r="BM264" s="293">
        <f t="shared" si="224"/>
        <v>5637</v>
      </c>
      <c r="BN264" s="293">
        <f t="shared" si="224"/>
        <v>5637</v>
      </c>
      <c r="BP264" s="293">
        <f t="shared" si="225"/>
        <v>5801</v>
      </c>
      <c r="BQ264" s="293">
        <f t="shared" si="225"/>
        <v>6306</v>
      </c>
      <c r="BR264" s="293">
        <f t="shared" si="225"/>
        <v>6306</v>
      </c>
      <c r="BT264" s="293">
        <f t="shared" si="226"/>
        <v>6705</v>
      </c>
      <c r="BU264" s="293">
        <f t="shared" si="226"/>
        <v>7158</v>
      </c>
      <c r="BV264" s="293">
        <f t="shared" si="226"/>
        <v>7158</v>
      </c>
      <c r="BX264" s="293">
        <f t="shared" si="227"/>
        <v>7392</v>
      </c>
      <c r="BY264" s="293">
        <f t="shared" si="227"/>
        <v>7877</v>
      </c>
      <c r="BZ264" s="293">
        <f t="shared" si="227"/>
        <v>7877</v>
      </c>
      <c r="CB264" s="293">
        <f t="shared" si="228"/>
        <v>8170</v>
      </c>
      <c r="CC264" s="293">
        <f t="shared" si="228"/>
        <v>8817</v>
      </c>
      <c r="CD264" s="293">
        <f t="shared" si="228"/>
        <v>8817</v>
      </c>
      <c r="CF264" s="293">
        <f t="shared" si="229"/>
        <v>8849</v>
      </c>
      <c r="CG264" s="293">
        <f t="shared" si="229"/>
        <v>9807</v>
      </c>
      <c r="CH264" s="293">
        <f t="shared" si="229"/>
        <v>9807</v>
      </c>
      <c r="CJ264" s="293">
        <f t="shared" si="230"/>
        <v>9969</v>
      </c>
      <c r="CK264" s="293">
        <f t="shared" si="230"/>
        <v>10439</v>
      </c>
      <c r="CL264" s="293">
        <f t="shared" si="230"/>
        <v>10439</v>
      </c>
      <c r="CN264" s="293">
        <f t="shared" si="231"/>
        <v>10696</v>
      </c>
      <c r="CO264" s="293">
        <f t="shared" si="231"/>
        <v>12231</v>
      </c>
      <c r="CP264" s="293">
        <f t="shared" si="231"/>
        <v>12231</v>
      </c>
      <c r="CR264" s="293">
        <f t="shared" si="232"/>
        <v>13057</v>
      </c>
      <c r="CS264" s="293">
        <f t="shared" si="232"/>
        <v>14740</v>
      </c>
      <c r="CT264" s="293">
        <f t="shared" si="232"/>
        <v>14740</v>
      </c>
      <c r="CV264" s="293">
        <f t="shared" si="233"/>
        <v>15735</v>
      </c>
      <c r="CW264" s="1495">
        <f t="shared" si="233"/>
        <v>17446</v>
      </c>
      <c r="CX264" s="293">
        <f t="shared" si="233"/>
        <v>17446</v>
      </c>
      <c r="CZ264" s="293">
        <f t="shared" si="234"/>
        <v>17120</v>
      </c>
      <c r="DA264" s="1495">
        <f t="shared" si="234"/>
        <v>18218</v>
      </c>
      <c r="DB264" s="293">
        <f t="shared" si="234"/>
        <v>18218</v>
      </c>
      <c r="DD264" s="293">
        <f t="shared" si="235"/>
        <v>18365</v>
      </c>
      <c r="DE264" s="1495">
        <f t="shared" si="235"/>
        <v>19457</v>
      </c>
      <c r="DF264" s="293">
        <f t="shared" si="235"/>
        <v>19457</v>
      </c>
      <c r="DH264" s="293">
        <f t="shared" ref="DH264" si="243">DH108</f>
        <v>19629</v>
      </c>
      <c r="DI264" s="293">
        <f t="shared" ca="1" si="237"/>
        <v>20984.02747651087</v>
      </c>
      <c r="DJ264" s="293">
        <f t="shared" ca="1" si="237"/>
        <v>20984.02747651087</v>
      </c>
      <c r="DL264" s="293">
        <f t="shared" ca="1" si="238"/>
        <v>21256.872294363966</v>
      </c>
      <c r="DM264" s="293">
        <f t="shared" ca="1" si="238"/>
        <v>23913.745341565846</v>
      </c>
      <c r="DN264" s="293">
        <f t="shared" ca="1" si="238"/>
        <v>23913.745341565842</v>
      </c>
      <c r="DP264" s="293">
        <f t="shared" ca="1" si="239"/>
        <v>24270.950536440429</v>
      </c>
      <c r="DQ264" s="293">
        <f t="shared" ca="1" si="239"/>
        <v>27108.494920520126</v>
      </c>
      <c r="DR264" s="293">
        <f t="shared" ca="1" si="239"/>
        <v>27108.494920520126</v>
      </c>
      <c r="DU264" s="293"/>
      <c r="DV264" s="293"/>
      <c r="DW264" s="293"/>
    </row>
    <row r="265" spans="1:138" s="289" customFormat="1">
      <c r="A265" s="289" t="s">
        <v>11</v>
      </c>
      <c r="C265" s="103" t="s">
        <v>612</v>
      </c>
      <c r="P265" s="295">
        <f>SUM(P260:P264)</f>
        <v>1813</v>
      </c>
      <c r="Q265" s="295">
        <f>SUM(Q260:Q264)</f>
        <v>1796</v>
      </c>
      <c r="R265" s="295">
        <f>SUM(R260:R264)</f>
        <v>1796</v>
      </c>
      <c r="S265" s="290"/>
      <c r="T265" s="295">
        <f>SUM(T260:T264)</f>
        <v>2366</v>
      </c>
      <c r="U265" s="295">
        <f>SUM(U260:U264)</f>
        <v>2422</v>
      </c>
      <c r="V265" s="295">
        <f>SUM(V260:V264)</f>
        <v>2422</v>
      </c>
      <c r="W265" s="290"/>
      <c r="X265" s="295">
        <f>SUM(X260:X264)</f>
        <v>2647</v>
      </c>
      <c r="Y265" s="295">
        <f>SUM(Y260:Y264)</f>
        <v>3178</v>
      </c>
      <c r="Z265" s="295">
        <f>SUM(Z260:Z264)</f>
        <v>3178</v>
      </c>
      <c r="AA265" s="290"/>
      <c r="AB265" s="295">
        <f>SUM(AB260:AB264)</f>
        <v>2596</v>
      </c>
      <c r="AC265" s="295">
        <f>SUM(AC260:AC264)</f>
        <v>3171</v>
      </c>
      <c r="AD265" s="295">
        <f>SUM(AD260:AD264)</f>
        <v>3171</v>
      </c>
      <c r="AE265" s="295"/>
      <c r="AF265" s="295">
        <f>SUM(AF260:AF264)</f>
        <v>3662</v>
      </c>
      <c r="AG265" s="295">
        <f>SUM(AG260:AG264)</f>
        <v>4098</v>
      </c>
      <c r="AH265" s="295">
        <f>SUM(AH260:AH264)</f>
        <v>4098</v>
      </c>
      <c r="AI265" s="290"/>
      <c r="AJ265" s="295">
        <f>SUM(AJ260:AJ264)</f>
        <v>5526</v>
      </c>
      <c r="AK265" s="295">
        <f>SUM(AK260:AK264)</f>
        <v>6271</v>
      </c>
      <c r="AL265" s="295">
        <f>SUM(AL260:AL264)</f>
        <v>6271</v>
      </c>
      <c r="AM265" s="290"/>
      <c r="AN265" s="295">
        <f>SUM(AN260:AN264)</f>
        <v>8212</v>
      </c>
      <c r="AO265" s="295">
        <f>SUM(AO260:AO264)</f>
        <v>8829</v>
      </c>
      <c r="AP265" s="295">
        <f>SUM(AP260:AP264)</f>
        <v>8829</v>
      </c>
      <c r="AQ265" s="290"/>
      <c r="AR265" s="295">
        <f>SUM(AR260:AR264)</f>
        <v>9005</v>
      </c>
      <c r="AS265" s="295">
        <f>SUM(AS260:AS264)</f>
        <v>8664</v>
      </c>
      <c r="AT265" s="295">
        <f>SUM(AT260:AT264)</f>
        <v>8664</v>
      </c>
      <c r="AU265" s="290"/>
      <c r="AV265" s="295">
        <f>SUM(AV260:AV264)</f>
        <v>10684</v>
      </c>
      <c r="AW265" s="295">
        <f>SUM(AW260:AW264)</f>
        <v>11232</v>
      </c>
      <c r="AX265" s="295">
        <f>SUM(AX260:AX264)</f>
        <v>11232</v>
      </c>
      <c r="AY265" s="290"/>
      <c r="AZ265" s="295">
        <f>SUM(AZ260:AZ264)</f>
        <v>11061</v>
      </c>
      <c r="BA265" s="295">
        <f>SUM(BA260:BA264)</f>
        <v>11404</v>
      </c>
      <c r="BB265" s="295">
        <f>SUM(BB260:BB264)</f>
        <v>11404</v>
      </c>
      <c r="BC265" s="290"/>
      <c r="BD265" s="295">
        <f>SUM(BD260:BD264)</f>
        <v>11251</v>
      </c>
      <c r="BE265" s="295">
        <f>SUM(BE260:BE264)</f>
        <v>11203</v>
      </c>
      <c r="BF265" s="295">
        <f>SUM(BF260:BF264)</f>
        <v>11203</v>
      </c>
      <c r="BG265" s="290"/>
      <c r="BH265" s="295">
        <f>SUM(BH260:BH264)</f>
        <v>10992</v>
      </c>
      <c r="BI265" s="295">
        <f>SUM(BI260:BI264)</f>
        <v>11403</v>
      </c>
      <c r="BJ265" s="295">
        <f>SUM(BJ260:BJ264)</f>
        <v>11403</v>
      </c>
      <c r="BK265" s="290"/>
      <c r="BL265" s="295">
        <f>SUM(BL260:BL264)</f>
        <v>12229</v>
      </c>
      <c r="BM265" s="295">
        <f>SUM(BM260:BM264)</f>
        <v>11418</v>
      </c>
      <c r="BN265" s="295">
        <f>SUM(BN260:BN264)</f>
        <v>11418</v>
      </c>
      <c r="BO265" s="290"/>
      <c r="BP265" s="295">
        <f>SUM(BP260:BP264)</f>
        <v>11690</v>
      </c>
      <c r="BQ265" s="295">
        <f>SUM(BQ260:BQ264)</f>
        <v>13909</v>
      </c>
      <c r="BR265" s="295">
        <f>SUM(BR260:BR264)</f>
        <v>13909</v>
      </c>
      <c r="BS265" s="290"/>
      <c r="BT265" s="295">
        <f>SUM(BT260:BT264)</f>
        <v>14631</v>
      </c>
      <c r="BU265" s="295">
        <f>SUM(BU260:BU264)</f>
        <v>15116</v>
      </c>
      <c r="BV265" s="295">
        <f>SUM(BV260:BV264)</f>
        <v>15116</v>
      </c>
      <c r="BW265" s="290"/>
      <c r="BX265" s="295">
        <f>SUM(BX260:BX264)</f>
        <v>14921</v>
      </c>
      <c r="BY265" s="295">
        <f>SUM(BY260:BY264)</f>
        <v>15563</v>
      </c>
      <c r="BZ265" s="295">
        <f>SUM(BZ260:BZ264)</f>
        <v>15563</v>
      </c>
      <c r="CA265" s="290"/>
      <c r="CB265" s="295">
        <f>SUM(CB260:CB264)</f>
        <v>15357</v>
      </c>
      <c r="CC265" s="295">
        <f>SUM(CC260:CC264)</f>
        <v>16357</v>
      </c>
      <c r="CD265" s="295">
        <f>SUM(CD260:CD264)</f>
        <v>16357</v>
      </c>
      <c r="CE265" s="290"/>
      <c r="CF265" s="295">
        <f>SUM(CF260:CF264)</f>
        <v>16560</v>
      </c>
      <c r="CG265" s="295">
        <f>SUM(CG260:CG264)</f>
        <v>17761</v>
      </c>
      <c r="CH265" s="295">
        <f>SUM(CH260:CH264)</f>
        <v>17761</v>
      </c>
      <c r="CI265" s="290"/>
      <c r="CJ265" s="295">
        <f>SUM(CJ260:CJ264)</f>
        <v>19617</v>
      </c>
      <c r="CK265" s="295">
        <f>SUM(CK260:CK264)</f>
        <v>21063</v>
      </c>
      <c r="CL265" s="295">
        <f>SUM(CL260:CL264)</f>
        <v>21063</v>
      </c>
      <c r="CM265" s="290"/>
      <c r="CN265" s="295">
        <f>SUM(CN260:CN264)</f>
        <v>20508</v>
      </c>
      <c r="CO265" s="295">
        <f>SUM(CO260:CO264)</f>
        <v>22048</v>
      </c>
      <c r="CP265" s="295">
        <f>SUM(CP260:CP264)</f>
        <v>22048</v>
      </c>
      <c r="CQ265" s="290"/>
      <c r="CR265" s="295">
        <f>SUM(CR260:CR264)</f>
        <v>24064</v>
      </c>
      <c r="CS265" s="295">
        <f>SUM(CS260:CS264)</f>
        <v>28561</v>
      </c>
      <c r="CT265" s="295">
        <f>SUM(CT260:CT264)</f>
        <v>28561</v>
      </c>
      <c r="CU265" s="290"/>
      <c r="CV265" s="295">
        <f>SUM(CV260:CV264)</f>
        <v>31337</v>
      </c>
      <c r="CW265" s="1390">
        <f>SUM(CW260:CW264)</f>
        <v>33155</v>
      </c>
      <c r="CX265" s="295">
        <f>SUM(CX260:CX264)</f>
        <v>33155</v>
      </c>
      <c r="CY265" s="290"/>
      <c r="CZ265" s="295">
        <f>SUM(CZ260:CZ264)</f>
        <v>32651</v>
      </c>
      <c r="DA265" s="1390">
        <f>SUM(DA260:DA264)</f>
        <v>33481</v>
      </c>
      <c r="DB265" s="295">
        <f>SUM(DB260:DB264)</f>
        <v>33481</v>
      </c>
      <c r="DC265" s="290"/>
      <c r="DD265" s="295">
        <f>SUM(DD260:DD264)</f>
        <v>32299</v>
      </c>
      <c r="DE265" s="1390">
        <f>SUM(DE260:DE264)</f>
        <v>35356</v>
      </c>
      <c r="DF265" s="295">
        <f>SUM(DF260:DF264)</f>
        <v>35356</v>
      </c>
      <c r="DG265" s="290"/>
      <c r="DH265" s="295">
        <f>SUM(DH260:DH264)</f>
        <v>34561</v>
      </c>
      <c r="DI265" s="295">
        <f ca="1">SUM(DI260:DI264)</f>
        <v>36028.200914198373</v>
      </c>
      <c r="DJ265" s="295">
        <f ca="1">SUM(DJ260:DJ264)</f>
        <v>36028.200914198373</v>
      </c>
      <c r="DK265" s="290"/>
      <c r="DL265" s="295">
        <f ca="1">SUM(DL260:DL264)</f>
        <v>36421.003791897267</v>
      </c>
      <c r="DM265" s="295">
        <f ca="1">SUM(DM260:DM264)</f>
        <v>39206.085631694339</v>
      </c>
      <c r="DN265" s="295">
        <f ca="1">SUM(DN260:DN264)</f>
        <v>39206.085631694339</v>
      </c>
      <c r="DO265" s="290"/>
      <c r="DP265" s="295">
        <f ca="1">SUM(DP260:DP264)</f>
        <v>39700.242684919933</v>
      </c>
      <c r="DQ265" s="295">
        <f ca="1">SUM(DQ260:DQ264)</f>
        <v>42684.001979283232</v>
      </c>
      <c r="DR265" s="295">
        <f ca="1">SUM(DR260:DR264)</f>
        <v>42684.001979283232</v>
      </c>
      <c r="DS265" s="290"/>
      <c r="DT265" s="290"/>
      <c r="DU265" s="295"/>
      <c r="DV265" s="295"/>
      <c r="DW265" s="295"/>
      <c r="DX265" s="290"/>
      <c r="EH265"/>
    </row>
    <row r="266" spans="1:138" s="289" customFormat="1">
      <c r="C266" s="290"/>
      <c r="P266" s="295"/>
      <c r="Q266" s="295"/>
      <c r="R266" s="295"/>
      <c r="S266" s="290"/>
      <c r="T266" s="295"/>
      <c r="U266" s="295"/>
      <c r="V266" s="295"/>
      <c r="W266" s="290"/>
      <c r="X266" s="295"/>
      <c r="Y266" s="295"/>
      <c r="Z266" s="295"/>
      <c r="AA266" s="290"/>
      <c r="AB266" s="295"/>
      <c r="AC266" s="295"/>
      <c r="AD266" s="295"/>
      <c r="AE266" s="295"/>
      <c r="AF266" s="295"/>
      <c r="AG266" s="295"/>
      <c r="AH266" s="295"/>
      <c r="AI266" s="290"/>
      <c r="AJ266" s="295"/>
      <c r="AK266" s="295"/>
      <c r="AL266" s="295"/>
      <c r="AM266" s="290"/>
      <c r="AN266" s="295"/>
      <c r="AO266" s="295"/>
      <c r="AP266" s="295"/>
      <c r="AQ266" s="290"/>
      <c r="AR266" s="295"/>
      <c r="AS266" s="295"/>
      <c r="AT266" s="295"/>
      <c r="AU266" s="290"/>
      <c r="AV266" s="295"/>
      <c r="AW266" s="295"/>
      <c r="AX266" s="295"/>
      <c r="AY266" s="290"/>
      <c r="AZ266" s="295"/>
      <c r="BA266" s="295"/>
      <c r="BB266" s="295"/>
      <c r="BC266" s="290"/>
      <c r="BD266" s="295"/>
      <c r="BE266" s="295"/>
      <c r="BF266" s="295"/>
      <c r="BG266" s="290"/>
      <c r="BH266" s="295"/>
      <c r="BI266" s="295"/>
      <c r="BJ266" s="295"/>
      <c r="BK266" s="290"/>
      <c r="BL266" s="295"/>
      <c r="BM266" s="295"/>
      <c r="BN266" s="295"/>
      <c r="BO266" s="290"/>
      <c r="BP266" s="295"/>
      <c r="BQ266" s="295"/>
      <c r="BR266" s="295"/>
      <c r="BS266" s="290"/>
      <c r="BT266" s="295"/>
      <c r="BU266" s="295"/>
      <c r="BV266" s="295"/>
      <c r="BW266" s="290"/>
      <c r="BX266" s="295"/>
      <c r="BY266" s="295"/>
      <c r="BZ266" s="295"/>
      <c r="CA266" s="290"/>
      <c r="CB266" s="295"/>
      <c r="CC266" s="295"/>
      <c r="CD266" s="295"/>
      <c r="CE266" s="290"/>
      <c r="CF266" s="295"/>
      <c r="CG266" s="295"/>
      <c r="CH266" s="295"/>
      <c r="CI266" s="290"/>
      <c r="CJ266" s="295"/>
      <c r="CK266" s="295"/>
      <c r="CL266" s="295"/>
      <c r="CM266" s="290"/>
      <c r="CN266" s="295"/>
      <c r="CO266" s="295"/>
      <c r="CP266" s="295"/>
      <c r="CQ266" s="290"/>
      <c r="CR266" s="295"/>
      <c r="CS266" s="295"/>
      <c r="CT266" s="295"/>
      <c r="CU266" s="290"/>
      <c r="CV266" s="295"/>
      <c r="CW266" s="1390"/>
      <c r="CX266" s="295"/>
      <c r="CY266" s="290"/>
      <c r="CZ266" s="295"/>
      <c r="DA266" s="1390"/>
      <c r="DB266" s="295"/>
      <c r="DC266" s="290"/>
      <c r="DD266" s="295"/>
      <c r="DE266" s="1390"/>
      <c r="DF266" s="295"/>
      <c r="DG266" s="290"/>
      <c r="DH266" s="295"/>
      <c r="DI266" s="295"/>
      <c r="DJ266" s="295"/>
      <c r="DK266" s="290"/>
      <c r="DL266" s="295"/>
      <c r="DM266" s="295"/>
      <c r="DN266" s="295"/>
      <c r="DO266" s="290"/>
      <c r="DP266" s="295"/>
      <c r="DQ266" s="295"/>
      <c r="DR266" s="295"/>
      <c r="DS266" s="290"/>
      <c r="DT266" s="290"/>
      <c r="DU266" s="295"/>
      <c r="DV266" s="295"/>
      <c r="DW266" s="295"/>
      <c r="DX266" s="290"/>
      <c r="EH266"/>
    </row>
    <row r="267" spans="1:138" s="289" customFormat="1">
      <c r="A267" s="289" t="s">
        <v>146</v>
      </c>
      <c r="C267" s="103" t="s">
        <v>612</v>
      </c>
      <c r="P267" s="655">
        <v>1629</v>
      </c>
      <c r="Q267" s="295">
        <f>+P277</f>
        <v>1813</v>
      </c>
      <c r="R267" s="295">
        <f>+P267</f>
        <v>1629</v>
      </c>
      <c r="S267" s="290"/>
      <c r="T267" s="295">
        <f>R277</f>
        <v>1796</v>
      </c>
      <c r="U267" s="295">
        <f>+T277</f>
        <v>2366</v>
      </c>
      <c r="V267" s="295">
        <f>+T267</f>
        <v>1796</v>
      </c>
      <c r="W267" s="290"/>
      <c r="X267" s="295">
        <f>V277</f>
        <v>2422</v>
      </c>
      <c r="Y267" s="295">
        <f>+X277</f>
        <v>2647</v>
      </c>
      <c r="Z267" s="295">
        <f>+X267</f>
        <v>2422</v>
      </c>
      <c r="AA267" s="290"/>
      <c r="AB267" s="295">
        <f>+AB282+AB360+AB366+AB444</f>
        <v>2417</v>
      </c>
      <c r="AC267" s="295">
        <f>+AB277</f>
        <v>2596</v>
      </c>
      <c r="AD267" s="295">
        <f>+AB267</f>
        <v>2417</v>
      </c>
      <c r="AE267" s="295"/>
      <c r="AF267" s="295">
        <f>+AF282+AF360+AF366+AF444</f>
        <v>3171</v>
      </c>
      <c r="AG267" s="295">
        <f>+AF277</f>
        <v>3662</v>
      </c>
      <c r="AH267" s="295">
        <f>+AF267</f>
        <v>3171</v>
      </c>
      <c r="AI267" s="290"/>
      <c r="AJ267" s="295">
        <f>+AJ282+AJ360+AJ366+AJ444</f>
        <v>4098</v>
      </c>
      <c r="AK267" s="295">
        <f>+AJ277</f>
        <v>5526</v>
      </c>
      <c r="AL267" s="295">
        <f>+AJ267</f>
        <v>4098</v>
      </c>
      <c r="AM267" s="290"/>
      <c r="AN267" s="295">
        <f>+AN282+AN360+AN366+AN444</f>
        <v>6271</v>
      </c>
      <c r="AO267" s="295">
        <f>+AN277</f>
        <v>8212</v>
      </c>
      <c r="AP267" s="295">
        <f>+AN267</f>
        <v>6271</v>
      </c>
      <c r="AQ267" s="290"/>
      <c r="AR267" s="295">
        <f>AP277</f>
        <v>8829</v>
      </c>
      <c r="AS267" s="295">
        <f>+AR277</f>
        <v>9005</v>
      </c>
      <c r="AT267" s="295">
        <f>+AR267</f>
        <v>8829</v>
      </c>
      <c r="AU267" s="290"/>
      <c r="AV267" s="295">
        <f>AT277</f>
        <v>8664</v>
      </c>
      <c r="AW267" s="295">
        <f>+AV277</f>
        <v>10684</v>
      </c>
      <c r="AX267" s="295">
        <f>+AV267</f>
        <v>8664</v>
      </c>
      <c r="AY267" s="290"/>
      <c r="AZ267" s="295">
        <f>AX277</f>
        <v>11232</v>
      </c>
      <c r="BA267" s="295">
        <f>+AZ277</f>
        <v>11061</v>
      </c>
      <c r="BB267" s="295">
        <f>+AZ267</f>
        <v>11232</v>
      </c>
      <c r="BC267" s="290"/>
      <c r="BD267" s="295">
        <f>BB277</f>
        <v>11404</v>
      </c>
      <c r="BE267" s="295">
        <f>+BD277</f>
        <v>11251</v>
      </c>
      <c r="BF267" s="295">
        <f>+BD267</f>
        <v>11404</v>
      </c>
      <c r="BG267" s="290"/>
      <c r="BH267" s="295">
        <f>BF277</f>
        <v>11203</v>
      </c>
      <c r="BI267" s="295">
        <f>+BH277</f>
        <v>10992</v>
      </c>
      <c r="BJ267" s="295">
        <f>+BH267</f>
        <v>11203</v>
      </c>
      <c r="BK267" s="290"/>
      <c r="BL267" s="295">
        <f>BJ277</f>
        <v>11403</v>
      </c>
      <c r="BM267" s="295">
        <f>+BL277</f>
        <v>12229</v>
      </c>
      <c r="BN267" s="295">
        <f>+BL267</f>
        <v>11403</v>
      </c>
      <c r="BO267" s="290"/>
      <c r="BP267" s="295">
        <f>BN277</f>
        <v>11418</v>
      </c>
      <c r="BQ267" s="295">
        <f>+BP277</f>
        <v>11690</v>
      </c>
      <c r="BR267" s="295">
        <f>+BP267</f>
        <v>11418</v>
      </c>
      <c r="BS267" s="290"/>
      <c r="BT267" s="295">
        <f>BR277</f>
        <v>13909</v>
      </c>
      <c r="BU267" s="295">
        <f>+BT277</f>
        <v>14631</v>
      </c>
      <c r="BV267" s="295">
        <f>+BT267</f>
        <v>13909</v>
      </c>
      <c r="BW267" s="290"/>
      <c r="BX267" s="295">
        <f>BV277</f>
        <v>15116</v>
      </c>
      <c r="BY267" s="295">
        <f>+BX277</f>
        <v>14921</v>
      </c>
      <c r="BZ267" s="295">
        <f>+BX267</f>
        <v>15116</v>
      </c>
      <c r="CA267" s="290"/>
      <c r="CB267" s="295">
        <f>BZ277</f>
        <v>15563</v>
      </c>
      <c r="CC267" s="295">
        <f>+CB277</f>
        <v>15357</v>
      </c>
      <c r="CD267" s="295">
        <f>+CB267</f>
        <v>15563</v>
      </c>
      <c r="CE267" s="290"/>
      <c r="CF267" s="295">
        <f>CD277</f>
        <v>16357</v>
      </c>
      <c r="CG267" s="295">
        <f>+CF277</f>
        <v>16560</v>
      </c>
      <c r="CH267" s="295">
        <f>+CF267</f>
        <v>16357</v>
      </c>
      <c r="CI267" s="290"/>
      <c r="CJ267" s="295">
        <f>CH277</f>
        <v>17761</v>
      </c>
      <c r="CK267" s="295">
        <f>+CJ277</f>
        <v>19617</v>
      </c>
      <c r="CL267" s="295">
        <f>+CJ267</f>
        <v>17761</v>
      </c>
      <c r="CM267" s="290"/>
      <c r="CN267" s="295">
        <f>CL277</f>
        <v>21063</v>
      </c>
      <c r="CO267" s="295">
        <f>+CN277</f>
        <v>20508</v>
      </c>
      <c r="CP267" s="295">
        <f>+CN267</f>
        <v>21063</v>
      </c>
      <c r="CQ267" s="290"/>
      <c r="CR267" s="295">
        <f>CP277</f>
        <v>22048</v>
      </c>
      <c r="CS267" s="295">
        <f>+CR277</f>
        <v>24064</v>
      </c>
      <c r="CT267" s="295">
        <f>+CR267</f>
        <v>22048</v>
      </c>
      <c r="CU267" s="290"/>
      <c r="CV267" s="295">
        <f>CT277</f>
        <v>28561</v>
      </c>
      <c r="CW267" s="1390">
        <f>+CV277</f>
        <v>31337</v>
      </c>
      <c r="CX267" s="295">
        <f>+CV267</f>
        <v>28561</v>
      </c>
      <c r="CY267" s="290"/>
      <c r="CZ267" s="295">
        <f>CX277</f>
        <v>33155</v>
      </c>
      <c r="DA267" s="1390">
        <f>+CZ277</f>
        <v>32651</v>
      </c>
      <c r="DB267" s="295">
        <f>+CZ267</f>
        <v>33155</v>
      </c>
      <c r="DC267" s="290"/>
      <c r="DD267" s="295">
        <f>DB277</f>
        <v>33481</v>
      </c>
      <c r="DE267" s="1390">
        <f>+DD277</f>
        <v>32299</v>
      </c>
      <c r="DF267" s="295">
        <f>+DD267</f>
        <v>33481</v>
      </c>
      <c r="DG267" s="290"/>
      <c r="DH267" s="295">
        <f>DF277</f>
        <v>35356</v>
      </c>
      <c r="DI267" s="295">
        <f>+DH277</f>
        <v>34561</v>
      </c>
      <c r="DJ267" s="295">
        <f>+DH267</f>
        <v>35356</v>
      </c>
      <c r="DK267" s="290"/>
      <c r="DL267" s="295">
        <f ca="1">DJ277</f>
        <v>36028.200914198373</v>
      </c>
      <c r="DM267" s="295">
        <f ca="1">+DL277</f>
        <v>36421.003791897267</v>
      </c>
      <c r="DN267" s="295">
        <f ca="1">+DL267</f>
        <v>36028.200914198373</v>
      </c>
      <c r="DO267" s="290"/>
      <c r="DP267" s="295">
        <f ca="1">DN277</f>
        <v>39206.085631694339</v>
      </c>
      <c r="DQ267" s="295">
        <f ca="1">+DP277</f>
        <v>39700.242684919933</v>
      </c>
      <c r="DR267" s="295">
        <f ca="1">+DP267</f>
        <v>39206.085631694339</v>
      </c>
      <c r="DS267" s="290"/>
      <c r="DT267" s="290"/>
      <c r="DU267" s="295"/>
      <c r="DV267" s="295"/>
      <c r="DW267" s="295"/>
      <c r="DX267" s="290"/>
      <c r="EH267"/>
    </row>
    <row r="268" spans="1:138" s="289" customFormat="1">
      <c r="A268" s="102" t="s">
        <v>64</v>
      </c>
      <c r="C268" s="103" t="s">
        <v>612</v>
      </c>
      <c r="P268" s="293">
        <f t="shared" ref="P268:Q270" si="244">+P283</f>
        <v>0</v>
      </c>
      <c r="Q268" s="293">
        <f t="shared" si="244"/>
        <v>0</v>
      </c>
      <c r="R268" s="293">
        <f>+P268+Q268</f>
        <v>0</v>
      </c>
      <c r="S268" s="290"/>
      <c r="T268" s="293">
        <f t="shared" ref="T268:U270" si="245">+T283</f>
        <v>150</v>
      </c>
      <c r="U268" s="293">
        <f t="shared" si="245"/>
        <v>0</v>
      </c>
      <c r="V268" s="293">
        <f>+T268+U268</f>
        <v>150</v>
      </c>
      <c r="W268" s="290"/>
      <c r="X268" s="293">
        <f t="shared" ref="X268:Y270" si="246">+X283</f>
        <v>0</v>
      </c>
      <c r="Y268" s="293">
        <f t="shared" si="246"/>
        <v>0</v>
      </c>
      <c r="Z268" s="293">
        <f>+X268+Y268</f>
        <v>0</v>
      </c>
      <c r="AA268" s="290"/>
      <c r="AB268" s="293">
        <f t="shared" ref="AB268:AC270" si="247">+AB283</f>
        <v>0</v>
      </c>
      <c r="AC268" s="293">
        <f t="shared" si="247"/>
        <v>0</v>
      </c>
      <c r="AD268" s="293">
        <f>+AB268+AC268</f>
        <v>0</v>
      </c>
      <c r="AE268" s="295"/>
      <c r="AF268" s="293">
        <f t="shared" ref="AF268:AG270" si="248">+AF283</f>
        <v>0</v>
      </c>
      <c r="AG268" s="293">
        <f t="shared" si="248"/>
        <v>0</v>
      </c>
      <c r="AH268" s="293">
        <f>+AF268+AG268</f>
        <v>0</v>
      </c>
      <c r="AI268" s="290"/>
      <c r="AJ268" s="293">
        <f t="shared" ref="AJ268:AK270" si="249">+AJ283</f>
        <v>705</v>
      </c>
      <c r="AK268" s="293">
        <f t="shared" si="249"/>
        <v>0</v>
      </c>
      <c r="AL268" s="293">
        <f>+AJ268+AK268</f>
        <v>705</v>
      </c>
      <c r="AM268" s="290"/>
      <c r="AN268" s="293">
        <f t="shared" ref="AN268:AO270" si="250">+AN283</f>
        <v>824</v>
      </c>
      <c r="AO268" s="293">
        <f t="shared" si="250"/>
        <v>0</v>
      </c>
      <c r="AP268" s="293">
        <f>+AN268+AO268</f>
        <v>824</v>
      </c>
      <c r="AQ268" s="290"/>
      <c r="AR268" s="293">
        <f t="shared" ref="AR268:AS270" si="251">+AR283</f>
        <v>0</v>
      </c>
      <c r="AS268" s="293">
        <f t="shared" si="251"/>
        <v>0</v>
      </c>
      <c r="AT268" s="293">
        <f>+AR268+AS268</f>
        <v>0</v>
      </c>
      <c r="AU268" s="290"/>
      <c r="AV268" s="293">
        <f t="shared" ref="AV268:AW270" si="252">+AV283</f>
        <v>1201</v>
      </c>
      <c r="AW268" s="293">
        <f t="shared" si="252"/>
        <v>0</v>
      </c>
      <c r="AX268" s="293">
        <f>+AV268+AW268</f>
        <v>1201</v>
      </c>
      <c r="AY268" s="290"/>
      <c r="AZ268" s="293">
        <f t="shared" ref="AZ268:BA270" si="253">+AZ283</f>
        <v>0</v>
      </c>
      <c r="BA268" s="293">
        <f t="shared" si="253"/>
        <v>0</v>
      </c>
      <c r="BB268" s="293">
        <f>+AZ268+BA268</f>
        <v>0</v>
      </c>
      <c r="BC268" s="290"/>
      <c r="BD268" s="293">
        <f t="shared" ref="BD268:BE270" si="254">+BD283</f>
        <v>0</v>
      </c>
      <c r="BE268" s="293">
        <f t="shared" si="254"/>
        <v>0</v>
      </c>
      <c r="BF268" s="293">
        <f>+BD268+BE268</f>
        <v>0</v>
      </c>
      <c r="BG268" s="290"/>
      <c r="BH268" s="293">
        <f t="shared" ref="BH268:BI270" si="255">+BH283</f>
        <v>0</v>
      </c>
      <c r="BI268" s="293">
        <f t="shared" si="255"/>
        <v>0</v>
      </c>
      <c r="BJ268" s="293">
        <f>+BH268+BI268</f>
        <v>0</v>
      </c>
      <c r="BK268" s="290"/>
      <c r="BL268" s="293">
        <f t="shared" ref="BL268:BM270" si="256">+BL283</f>
        <v>0</v>
      </c>
      <c r="BM268" s="293">
        <f t="shared" si="256"/>
        <v>0</v>
      </c>
      <c r="BN268" s="293">
        <f>+BL268+BM268</f>
        <v>0</v>
      </c>
      <c r="BO268" s="290"/>
      <c r="BP268" s="293">
        <f t="shared" ref="BP268:BQ270" si="257">+BP283</f>
        <v>0</v>
      </c>
      <c r="BQ268" s="293">
        <f t="shared" si="257"/>
        <v>0</v>
      </c>
      <c r="BR268" s="293">
        <f>+BP268+BQ268</f>
        <v>0</v>
      </c>
      <c r="BS268" s="290"/>
      <c r="BT268" s="293">
        <f t="shared" ref="BT268:BU270" si="258">+BT283</f>
        <v>0</v>
      </c>
      <c r="BU268" s="293">
        <f t="shared" si="258"/>
        <v>538</v>
      </c>
      <c r="BV268" s="293">
        <f>+BT268+BU268</f>
        <v>538</v>
      </c>
      <c r="BW268" s="290"/>
      <c r="BX268" s="293">
        <f t="shared" ref="BX268:BY270" si="259">+BX283</f>
        <v>0</v>
      </c>
      <c r="BY268" s="293">
        <f t="shared" si="259"/>
        <v>0</v>
      </c>
      <c r="BZ268" s="293">
        <f>+BX268+BY268</f>
        <v>0</v>
      </c>
      <c r="CA268" s="290"/>
      <c r="CB268" s="293">
        <f t="shared" ref="CB268:CC270" si="260">+CB283</f>
        <v>0</v>
      </c>
      <c r="CC268" s="293">
        <f t="shared" si="260"/>
        <v>0</v>
      </c>
      <c r="CD268" s="293">
        <f>+CB268+CC268</f>
        <v>0</v>
      </c>
      <c r="CE268" s="290"/>
      <c r="CF268" s="293">
        <f t="shared" ref="CF268:CG268" si="261">+CF283</f>
        <v>0</v>
      </c>
      <c r="CG268" s="293">
        <f t="shared" si="261"/>
        <v>0</v>
      </c>
      <c r="CH268" s="293">
        <f>+CF268+CG268</f>
        <v>0</v>
      </c>
      <c r="CI268" s="290"/>
      <c r="CJ268" s="293">
        <f t="shared" ref="CJ268:CK270" si="262">+CJ283</f>
        <v>1670</v>
      </c>
      <c r="CK268" s="293">
        <f t="shared" si="262"/>
        <v>0</v>
      </c>
      <c r="CL268" s="293">
        <f>+CJ268+CK268</f>
        <v>1670</v>
      </c>
      <c r="CM268" s="290"/>
      <c r="CN268" s="293">
        <f t="shared" ref="CN268:CO270" si="263">+CN283</f>
        <v>0</v>
      </c>
      <c r="CO268" s="293">
        <f t="shared" si="263"/>
        <v>0</v>
      </c>
      <c r="CP268" s="293">
        <f>+CN268+CO268</f>
        <v>0</v>
      </c>
      <c r="CQ268" s="290"/>
      <c r="CR268" s="293">
        <f t="shared" ref="CR268:CS268" si="264">+CR283</f>
        <v>0</v>
      </c>
      <c r="CS268" s="293">
        <f t="shared" si="264"/>
        <v>2800</v>
      </c>
      <c r="CT268" s="293">
        <f>+CR268+CS268</f>
        <v>2800</v>
      </c>
      <c r="CU268" s="290"/>
      <c r="CV268" s="293">
        <f t="shared" ref="CV268:CW270" si="265">+CV283</f>
        <v>0</v>
      </c>
      <c r="CW268" s="1495">
        <f t="shared" si="265"/>
        <v>0</v>
      </c>
      <c r="CX268" s="293">
        <f>+CV268+CW268</f>
        <v>0</v>
      </c>
      <c r="CY268" s="290"/>
      <c r="CZ268" s="293">
        <f t="shared" ref="CZ268:DA270" si="266">+CZ283</f>
        <v>0</v>
      </c>
      <c r="DA268" s="1495">
        <f t="shared" si="266"/>
        <v>0</v>
      </c>
      <c r="DB268" s="293">
        <f>+CZ268+DA268</f>
        <v>0</v>
      </c>
      <c r="DC268" s="290"/>
      <c r="DD268" s="293">
        <f t="shared" ref="DD268:DE268" si="267">+DD283</f>
        <v>0</v>
      </c>
      <c r="DE268" s="1495">
        <f t="shared" si="267"/>
        <v>0</v>
      </c>
      <c r="DF268" s="293">
        <f>+DD268+DE268</f>
        <v>0</v>
      </c>
      <c r="DG268" s="290"/>
      <c r="DH268" s="293">
        <f t="shared" ref="DH268" si="268">+DH283</f>
        <v>0</v>
      </c>
      <c r="DI268" s="293">
        <f t="shared" ref="DI268" si="269">+DI283</f>
        <v>0</v>
      </c>
      <c r="DJ268" s="293">
        <f>+DH268+DI268</f>
        <v>0</v>
      </c>
      <c r="DK268" s="290"/>
      <c r="DL268" s="293">
        <f t="shared" ref="DL268:DM268" si="270">+DL283</f>
        <v>0</v>
      </c>
      <c r="DM268" s="293">
        <f t="shared" si="270"/>
        <v>0</v>
      </c>
      <c r="DN268" s="293">
        <f>+DL268+DM268</f>
        <v>0</v>
      </c>
      <c r="DO268" s="290"/>
      <c r="DP268" s="293">
        <f t="shared" ref="DP268:DQ268" si="271">+DP283</f>
        <v>0</v>
      </c>
      <c r="DQ268" s="293">
        <f t="shared" si="271"/>
        <v>0</v>
      </c>
      <c r="DR268" s="293">
        <f>+DP268+DQ268</f>
        <v>0</v>
      </c>
      <c r="DS268" s="290"/>
      <c r="DT268" s="290"/>
      <c r="DU268" s="293"/>
      <c r="DV268" s="293"/>
      <c r="DW268" s="293"/>
      <c r="DX268" s="290"/>
      <c r="EH268"/>
    </row>
    <row r="269" spans="1:138" s="289" customFormat="1">
      <c r="A269" s="102" t="s">
        <v>101</v>
      </c>
      <c r="C269" s="103" t="s">
        <v>612</v>
      </c>
      <c r="P269" s="293">
        <f t="shared" si="244"/>
        <v>0</v>
      </c>
      <c r="Q269" s="293">
        <f t="shared" si="244"/>
        <v>0</v>
      </c>
      <c r="R269" s="293">
        <f t="shared" ref="R269:R276" si="272">+P269+Q269</f>
        <v>0</v>
      </c>
      <c r="S269" s="290"/>
      <c r="T269" s="293">
        <f t="shared" si="245"/>
        <v>-12.25844206</v>
      </c>
      <c r="U269" s="293">
        <f t="shared" si="245"/>
        <v>-154.93034024000002</v>
      </c>
      <c r="V269" s="293">
        <f t="shared" ref="V269:V276" si="273">+T269+U269</f>
        <v>-167.18878230000001</v>
      </c>
      <c r="W269" s="290"/>
      <c r="X269" s="293">
        <f t="shared" si="246"/>
        <v>0</v>
      </c>
      <c r="Y269" s="293">
        <f t="shared" si="246"/>
        <v>0</v>
      </c>
      <c r="Z269" s="293">
        <f t="shared" ref="Z269:Z276" si="274">+X269+Y269</f>
        <v>0</v>
      </c>
      <c r="AA269" s="290"/>
      <c r="AB269" s="293">
        <f t="shared" si="247"/>
        <v>0</v>
      </c>
      <c r="AC269" s="293">
        <f t="shared" si="247"/>
        <v>0</v>
      </c>
      <c r="AD269" s="293">
        <f t="shared" ref="AD269:AD276" si="275">+AB269+AC269</f>
        <v>0</v>
      </c>
      <c r="AE269" s="295"/>
      <c r="AF269" s="293">
        <f t="shared" si="248"/>
        <v>0</v>
      </c>
      <c r="AG269" s="293">
        <f t="shared" si="248"/>
        <v>0</v>
      </c>
      <c r="AH269" s="293">
        <f t="shared" ref="AH269:AH276" si="276">+AF269+AG269</f>
        <v>0</v>
      </c>
      <c r="AI269" s="290"/>
      <c r="AJ269" s="293">
        <f t="shared" si="249"/>
        <v>0</v>
      </c>
      <c r="AK269" s="293">
        <f t="shared" si="249"/>
        <v>0</v>
      </c>
      <c r="AL269" s="293">
        <f t="shared" ref="AL269:AL276" si="277">+AJ269+AK269</f>
        <v>0</v>
      </c>
      <c r="AM269" s="290"/>
      <c r="AN269" s="293">
        <f t="shared" si="250"/>
        <v>0</v>
      </c>
      <c r="AO269" s="293">
        <f t="shared" si="250"/>
        <v>0</v>
      </c>
      <c r="AP269" s="293">
        <f t="shared" ref="AP269:AP276" si="278">+AN269+AO269</f>
        <v>0</v>
      </c>
      <c r="AQ269" s="290"/>
      <c r="AR269" s="293">
        <f t="shared" si="251"/>
        <v>0</v>
      </c>
      <c r="AS269" s="293">
        <f t="shared" si="251"/>
        <v>0</v>
      </c>
      <c r="AT269" s="293">
        <f t="shared" ref="AT269:AT276" si="279">+AR269+AS269</f>
        <v>0</v>
      </c>
      <c r="AU269" s="290"/>
      <c r="AV269" s="293">
        <f t="shared" si="252"/>
        <v>0</v>
      </c>
      <c r="AW269" s="293">
        <f t="shared" si="252"/>
        <v>0</v>
      </c>
      <c r="AX269" s="293">
        <f t="shared" ref="AX269:AX276" si="280">+AV269+AW269</f>
        <v>0</v>
      </c>
      <c r="AY269" s="290"/>
      <c r="AZ269" s="293">
        <f t="shared" si="253"/>
        <v>0</v>
      </c>
      <c r="BA269" s="293">
        <f t="shared" si="253"/>
        <v>0</v>
      </c>
      <c r="BB269" s="293">
        <f t="shared" ref="BB269:BB276" si="281">+AZ269+BA269</f>
        <v>0</v>
      </c>
      <c r="BC269" s="290"/>
      <c r="BD269" s="293">
        <f t="shared" si="254"/>
        <v>0</v>
      </c>
      <c r="BE269" s="293">
        <f t="shared" si="254"/>
        <v>0</v>
      </c>
      <c r="BF269" s="293">
        <f t="shared" ref="BF269:BF276" si="282">+BD269+BE269</f>
        <v>0</v>
      </c>
      <c r="BG269" s="290"/>
      <c r="BH269" s="293">
        <f t="shared" si="255"/>
        <v>-250</v>
      </c>
      <c r="BI269" s="293">
        <f t="shared" si="255"/>
        <v>-1</v>
      </c>
      <c r="BJ269" s="293">
        <f t="shared" ref="BJ269:BJ276" si="283">+BH269+BI269</f>
        <v>-251</v>
      </c>
      <c r="BK269" s="290"/>
      <c r="BL269" s="293">
        <f t="shared" si="256"/>
        <v>0</v>
      </c>
      <c r="BM269" s="293">
        <f t="shared" si="256"/>
        <v>0</v>
      </c>
      <c r="BN269" s="293">
        <f t="shared" ref="BN269:BN276" si="284">+BL269+BM269</f>
        <v>0</v>
      </c>
      <c r="BO269" s="290"/>
      <c r="BP269" s="293">
        <f t="shared" si="257"/>
        <v>0</v>
      </c>
      <c r="BQ269" s="293">
        <f t="shared" si="257"/>
        <v>0</v>
      </c>
      <c r="BR269" s="293">
        <f t="shared" ref="BR269:BR276" si="285">+BP269+BQ269</f>
        <v>0</v>
      </c>
      <c r="BS269" s="290"/>
      <c r="BT269" s="293">
        <f t="shared" si="258"/>
        <v>0</v>
      </c>
      <c r="BU269" s="293">
        <f t="shared" si="258"/>
        <v>0</v>
      </c>
      <c r="BV269" s="293">
        <f t="shared" ref="BV269:BV276" si="286">+BT269+BU269</f>
        <v>0</v>
      </c>
      <c r="BW269" s="290"/>
      <c r="BX269" s="293">
        <f t="shared" si="259"/>
        <v>0</v>
      </c>
      <c r="BY269" s="293">
        <f t="shared" si="259"/>
        <v>0</v>
      </c>
      <c r="BZ269" s="293">
        <f t="shared" ref="BZ269:BZ276" si="287">+BX269+BY269</f>
        <v>0</v>
      </c>
      <c r="CA269" s="290"/>
      <c r="CB269" s="293">
        <f t="shared" si="260"/>
        <v>0</v>
      </c>
      <c r="CC269" s="293">
        <f t="shared" si="260"/>
        <v>0</v>
      </c>
      <c r="CD269" s="293">
        <f t="shared" ref="CD269:CD276" si="288">+CB269+CC269</f>
        <v>0</v>
      </c>
      <c r="CE269" s="290"/>
      <c r="CF269" s="293">
        <f t="shared" ref="CF269:CG269" si="289">+CF284</f>
        <v>0</v>
      </c>
      <c r="CG269" s="293">
        <f t="shared" si="289"/>
        <v>0</v>
      </c>
      <c r="CH269" s="293">
        <f t="shared" ref="CH269:CH276" si="290">+CF269+CG269</f>
        <v>0</v>
      </c>
      <c r="CI269" s="290"/>
      <c r="CJ269" s="293">
        <f t="shared" si="262"/>
        <v>0</v>
      </c>
      <c r="CK269" s="293">
        <f t="shared" si="262"/>
        <v>0</v>
      </c>
      <c r="CL269" s="293">
        <f t="shared" ref="CL269:CL276" si="291">+CJ269+CK269</f>
        <v>0</v>
      </c>
      <c r="CM269" s="290"/>
      <c r="CN269" s="293">
        <f t="shared" si="263"/>
        <v>0</v>
      </c>
      <c r="CO269" s="293">
        <f t="shared" si="263"/>
        <v>0</v>
      </c>
      <c r="CP269" s="293">
        <f t="shared" ref="CP269:CP276" si="292">+CN269+CO269</f>
        <v>0</v>
      </c>
      <c r="CQ269" s="290"/>
      <c r="CR269" s="293">
        <f t="shared" ref="CR269:CS269" si="293">+CR284</f>
        <v>0</v>
      </c>
      <c r="CS269" s="293">
        <f t="shared" si="293"/>
        <v>0</v>
      </c>
      <c r="CT269" s="293">
        <f t="shared" ref="CT269:CT276" si="294">+CR269+CS269</f>
        <v>0</v>
      </c>
      <c r="CU269" s="290"/>
      <c r="CV269" s="293">
        <f t="shared" ref="CV269" si="295">+CV284</f>
        <v>0</v>
      </c>
      <c r="CW269" s="1495">
        <f t="shared" si="265"/>
        <v>0</v>
      </c>
      <c r="CX269" s="293">
        <f t="shared" ref="CX269:CX276" si="296">+CV269+CW269</f>
        <v>0</v>
      </c>
      <c r="CY269" s="290"/>
      <c r="CZ269" s="293">
        <f t="shared" si="266"/>
        <v>0</v>
      </c>
      <c r="DA269" s="1495">
        <f t="shared" si="266"/>
        <v>-644</v>
      </c>
      <c r="DB269" s="293">
        <f t="shared" ref="DB269:DB276" si="297">+CZ269+DA269</f>
        <v>-644</v>
      </c>
      <c r="DC269" s="290"/>
      <c r="DD269" s="293">
        <f t="shared" ref="DD269:DE269" si="298">+DD284</f>
        <v>-369</v>
      </c>
      <c r="DE269" s="1495">
        <f t="shared" si="298"/>
        <v>0</v>
      </c>
      <c r="DF269" s="293">
        <f t="shared" ref="DF269:DF276" si="299">+DD269+DE269</f>
        <v>-369</v>
      </c>
      <c r="DG269" s="290"/>
      <c r="DH269" s="293">
        <f t="shared" ref="DH269" si="300">+DH284</f>
        <v>0</v>
      </c>
      <c r="DI269" s="293">
        <f t="shared" ref="DI269" si="301">+DI284</f>
        <v>0</v>
      </c>
      <c r="DJ269" s="293">
        <f t="shared" ref="DJ269:DJ276" si="302">+DH269+DI269</f>
        <v>0</v>
      </c>
      <c r="DK269" s="290"/>
      <c r="DL269" s="293">
        <f t="shared" ref="DL269:DM269" si="303">+DL284</f>
        <v>0</v>
      </c>
      <c r="DM269" s="293">
        <f t="shared" si="303"/>
        <v>0</v>
      </c>
      <c r="DN269" s="293">
        <f t="shared" ref="DN269:DN276" si="304">+DL269+DM269</f>
        <v>0</v>
      </c>
      <c r="DO269" s="290"/>
      <c r="DP269" s="293">
        <f t="shared" ref="DP269:DQ269" si="305">+DP284</f>
        <v>0</v>
      </c>
      <c r="DQ269" s="293">
        <f t="shared" si="305"/>
        <v>0</v>
      </c>
      <c r="DR269" s="293">
        <f t="shared" ref="DR269:DR276" si="306">+DP269+DQ269</f>
        <v>0</v>
      </c>
      <c r="DS269" s="290"/>
      <c r="DT269" s="290"/>
      <c r="DU269" s="293"/>
      <c r="DV269" s="293"/>
      <c r="DW269" s="293"/>
      <c r="DX269" s="290"/>
      <c r="EH269"/>
    </row>
    <row r="270" spans="1:138" s="289" customFormat="1">
      <c r="A270" s="102" t="s">
        <v>65</v>
      </c>
      <c r="C270" s="103" t="s">
        <v>612</v>
      </c>
      <c r="P270" s="293">
        <f t="shared" si="244"/>
        <v>50</v>
      </c>
      <c r="Q270" s="293">
        <f t="shared" si="244"/>
        <v>28</v>
      </c>
      <c r="R270" s="293">
        <f t="shared" si="272"/>
        <v>78</v>
      </c>
      <c r="S270" s="290"/>
      <c r="T270" s="293">
        <f t="shared" si="245"/>
        <v>106</v>
      </c>
      <c r="U270" s="293">
        <f t="shared" si="245"/>
        <v>35</v>
      </c>
      <c r="V270" s="293">
        <f t="shared" si="273"/>
        <v>141</v>
      </c>
      <c r="W270" s="290"/>
      <c r="X270" s="293">
        <f t="shared" si="246"/>
        <v>28</v>
      </c>
      <c r="Y270" s="293">
        <f t="shared" si="246"/>
        <v>23</v>
      </c>
      <c r="Z270" s="293">
        <f t="shared" si="274"/>
        <v>51</v>
      </c>
      <c r="AA270" s="290"/>
      <c r="AB270" s="293">
        <f t="shared" si="247"/>
        <v>28</v>
      </c>
      <c r="AC270" s="293">
        <f t="shared" si="247"/>
        <v>23</v>
      </c>
      <c r="AD270" s="293">
        <f t="shared" si="275"/>
        <v>51</v>
      </c>
      <c r="AE270" s="295"/>
      <c r="AF270" s="293">
        <f t="shared" si="248"/>
        <v>58</v>
      </c>
      <c r="AG270" s="293">
        <f t="shared" si="248"/>
        <v>27</v>
      </c>
      <c r="AH270" s="293">
        <f t="shared" si="276"/>
        <v>85</v>
      </c>
      <c r="AI270" s="290"/>
      <c r="AJ270" s="293">
        <f t="shared" si="249"/>
        <v>97</v>
      </c>
      <c r="AK270" s="293">
        <f t="shared" si="249"/>
        <v>117</v>
      </c>
      <c r="AL270" s="293">
        <f t="shared" si="277"/>
        <v>214</v>
      </c>
      <c r="AM270" s="290"/>
      <c r="AN270" s="293">
        <f t="shared" si="250"/>
        <v>185</v>
      </c>
      <c r="AO270" s="293">
        <f t="shared" si="250"/>
        <v>114</v>
      </c>
      <c r="AP270" s="293">
        <f t="shared" si="278"/>
        <v>299</v>
      </c>
      <c r="AQ270" s="290"/>
      <c r="AR270" s="293">
        <f t="shared" si="251"/>
        <v>157</v>
      </c>
      <c r="AS270" s="293">
        <f t="shared" si="251"/>
        <v>66</v>
      </c>
      <c r="AT270" s="293">
        <f t="shared" si="279"/>
        <v>223</v>
      </c>
      <c r="AU270" s="290"/>
      <c r="AV270" s="293">
        <f t="shared" si="252"/>
        <v>25</v>
      </c>
      <c r="AW270" s="293">
        <f t="shared" si="252"/>
        <v>95</v>
      </c>
      <c r="AX270" s="293">
        <f t="shared" si="280"/>
        <v>120</v>
      </c>
      <c r="AY270" s="290"/>
      <c r="AZ270" s="293">
        <f t="shared" si="253"/>
        <v>42</v>
      </c>
      <c r="BA270" s="293">
        <f t="shared" si="253"/>
        <v>30</v>
      </c>
      <c r="BB270" s="293">
        <f t="shared" si="281"/>
        <v>72</v>
      </c>
      <c r="BC270" s="290"/>
      <c r="BD270" s="293">
        <f t="shared" si="254"/>
        <v>49</v>
      </c>
      <c r="BE270" s="293">
        <f t="shared" si="254"/>
        <v>44</v>
      </c>
      <c r="BF270" s="293">
        <f t="shared" si="282"/>
        <v>93</v>
      </c>
      <c r="BG270" s="290"/>
      <c r="BH270" s="293">
        <f t="shared" si="255"/>
        <v>0</v>
      </c>
      <c r="BI270" s="293">
        <f t="shared" si="255"/>
        <v>0</v>
      </c>
      <c r="BJ270" s="293">
        <f t="shared" si="283"/>
        <v>0</v>
      </c>
      <c r="BK270" s="290"/>
      <c r="BL270" s="293">
        <f t="shared" si="256"/>
        <v>0</v>
      </c>
      <c r="BM270" s="293">
        <f t="shared" si="256"/>
        <v>0</v>
      </c>
      <c r="BN270" s="293">
        <f t="shared" si="284"/>
        <v>0</v>
      </c>
      <c r="BO270" s="290"/>
      <c r="BP270" s="293">
        <f t="shared" si="257"/>
        <v>0</v>
      </c>
      <c r="BQ270" s="293">
        <f t="shared" si="257"/>
        <v>171</v>
      </c>
      <c r="BR270" s="293">
        <f t="shared" si="285"/>
        <v>171</v>
      </c>
      <c r="BS270" s="290"/>
      <c r="BT270" s="293">
        <f t="shared" si="258"/>
        <v>0</v>
      </c>
      <c r="BU270" s="293">
        <f t="shared" si="258"/>
        <v>0</v>
      </c>
      <c r="BV270" s="293">
        <f t="shared" si="286"/>
        <v>0</v>
      </c>
      <c r="BW270" s="290"/>
      <c r="BX270" s="293">
        <f t="shared" si="259"/>
        <v>0</v>
      </c>
      <c r="BY270" s="293">
        <f t="shared" si="259"/>
        <v>0</v>
      </c>
      <c r="BZ270" s="293">
        <f t="shared" si="287"/>
        <v>0</v>
      </c>
      <c r="CA270" s="290"/>
      <c r="CB270" s="293">
        <f t="shared" si="260"/>
        <v>0</v>
      </c>
      <c r="CC270" s="293">
        <f t="shared" si="260"/>
        <v>0</v>
      </c>
      <c r="CD270" s="293">
        <f t="shared" si="288"/>
        <v>0</v>
      </c>
      <c r="CE270" s="290"/>
      <c r="CF270" s="293">
        <f t="shared" ref="CF270:CG270" si="307">+CF285</f>
        <v>0</v>
      </c>
      <c r="CG270" s="293">
        <f t="shared" si="307"/>
        <v>0</v>
      </c>
      <c r="CH270" s="293">
        <f t="shared" si="290"/>
        <v>0</v>
      </c>
      <c r="CI270" s="290"/>
      <c r="CJ270" s="293">
        <f t="shared" si="262"/>
        <v>0</v>
      </c>
      <c r="CK270" s="293">
        <f t="shared" si="262"/>
        <v>0</v>
      </c>
      <c r="CL270" s="293">
        <f t="shared" si="291"/>
        <v>0</v>
      </c>
      <c r="CM270" s="290"/>
      <c r="CN270" s="293">
        <f t="shared" si="263"/>
        <v>0</v>
      </c>
      <c r="CO270" s="293">
        <f t="shared" si="263"/>
        <v>0</v>
      </c>
      <c r="CP270" s="293">
        <f t="shared" si="292"/>
        <v>0</v>
      </c>
      <c r="CQ270" s="290"/>
      <c r="CR270" s="293">
        <f t="shared" ref="CR270:CS270" si="308">+CR285</f>
        <v>432</v>
      </c>
      <c r="CS270" s="293">
        <f t="shared" si="308"/>
        <v>84</v>
      </c>
      <c r="CT270" s="293">
        <f t="shared" si="294"/>
        <v>516</v>
      </c>
      <c r="CU270" s="290"/>
      <c r="CV270" s="293">
        <f t="shared" ref="CV270" si="309">+CV285</f>
        <v>485</v>
      </c>
      <c r="CW270" s="1495">
        <f t="shared" si="265"/>
        <v>0</v>
      </c>
      <c r="CX270" s="293">
        <f t="shared" si="296"/>
        <v>485</v>
      </c>
      <c r="CY270" s="290"/>
      <c r="CZ270" s="293">
        <f t="shared" si="266"/>
        <v>0</v>
      </c>
      <c r="DA270" s="1495">
        <f t="shared" si="266"/>
        <v>0</v>
      </c>
      <c r="DB270" s="293">
        <f t="shared" si="297"/>
        <v>0</v>
      </c>
      <c r="DC270" s="290"/>
      <c r="DD270" s="293">
        <f t="shared" ref="DD270:DE270" si="310">+DD285</f>
        <v>0</v>
      </c>
      <c r="DE270" s="1495">
        <f t="shared" si="310"/>
        <v>0</v>
      </c>
      <c r="DF270" s="293">
        <f t="shared" si="299"/>
        <v>0</v>
      </c>
      <c r="DG270" s="290"/>
      <c r="DH270" s="293">
        <f t="shared" ref="DH270" si="311">+DH285</f>
        <v>0</v>
      </c>
      <c r="DI270" s="293">
        <f t="shared" ref="DI270" si="312">+DI285</f>
        <v>0</v>
      </c>
      <c r="DJ270" s="293">
        <f t="shared" si="302"/>
        <v>0</v>
      </c>
      <c r="DK270" s="290"/>
      <c r="DL270" s="293">
        <f t="shared" ref="DL270:DM270" si="313">+DL285</f>
        <v>0</v>
      </c>
      <c r="DM270" s="293">
        <f t="shared" si="313"/>
        <v>0</v>
      </c>
      <c r="DN270" s="293">
        <f t="shared" si="304"/>
        <v>0</v>
      </c>
      <c r="DO270" s="290"/>
      <c r="DP270" s="293">
        <f t="shared" ref="DP270:DQ270" si="314">+DP285</f>
        <v>0</v>
      </c>
      <c r="DQ270" s="293">
        <f t="shared" si="314"/>
        <v>0</v>
      </c>
      <c r="DR270" s="293">
        <f t="shared" si="306"/>
        <v>0</v>
      </c>
      <c r="DS270" s="290"/>
      <c r="DT270" s="290"/>
      <c r="DU270" s="293"/>
      <c r="DV270" s="293"/>
      <c r="DW270" s="293"/>
      <c r="DX270" s="290"/>
      <c r="EH270"/>
    </row>
    <row r="271" spans="1:138" s="289" customFormat="1">
      <c r="A271" s="102" t="s">
        <v>66</v>
      </c>
      <c r="C271" s="103" t="s">
        <v>612</v>
      </c>
      <c r="P271" s="293">
        <f>+P277-P267-P268-P269-P270-P272-P273-P274-P275</f>
        <v>34</v>
      </c>
      <c r="Q271" s="293">
        <f>+Q277-Q267-Q268-Q269-Q270-Q272-Q273-Q274-Q275</f>
        <v>13</v>
      </c>
      <c r="R271" s="293">
        <f t="shared" si="272"/>
        <v>47</v>
      </c>
      <c r="S271" s="290"/>
      <c r="T271" s="293">
        <f>+T277-T267-T268-T269-T270-T272-T273-T274-T275</f>
        <v>292.25844205999999</v>
      </c>
      <c r="U271" s="293">
        <f>+U277-U267-U268-U269-U270-U272-U273-U274-U275</f>
        <v>-76.069659759999979</v>
      </c>
      <c r="V271" s="293">
        <f t="shared" si="273"/>
        <v>216.18878230000001</v>
      </c>
      <c r="W271" s="290"/>
      <c r="X271" s="293">
        <f>+X277-X267-X268-X269-X270-X272-X273-X274-X275</f>
        <v>-87</v>
      </c>
      <c r="Y271" s="293">
        <f>+Y277-Y267-Y268-Y269-Y270-Y272-Y273-Y274-Y275</f>
        <v>-31</v>
      </c>
      <c r="Z271" s="293">
        <f t="shared" si="274"/>
        <v>-118</v>
      </c>
      <c r="AA271" s="290"/>
      <c r="AB271" s="293">
        <f>+AB277-AB267-AB268-AB269-AB270-AB272-AB273-AB274-AB275</f>
        <v>20</v>
      </c>
      <c r="AC271" s="293">
        <f>+AC277-AC267-AC268-AC269-AC270-AC272-AC273-AC274-AC275</f>
        <v>103.05420633999998</v>
      </c>
      <c r="AD271" s="293">
        <f t="shared" si="275"/>
        <v>123.05420633999998</v>
      </c>
      <c r="AE271" s="295"/>
      <c r="AF271" s="293">
        <f>+AF277-AF267-AF268-AF269-AF270-AF272-AF273-AF274-AF275</f>
        <v>188.15702879999998</v>
      </c>
      <c r="AG271" s="293">
        <f>+AG277-AG267-AG268-AG269-AG270-AG272-AG273-AG274-AG275</f>
        <v>58.287475300000011</v>
      </c>
      <c r="AH271" s="293">
        <f t="shared" si="276"/>
        <v>246.44450409999999</v>
      </c>
      <c r="AI271" s="290"/>
      <c r="AJ271" s="293">
        <f>+AJ277-AJ267-AJ268-AJ269-AJ270-AJ272-AJ273-AJ274-AJ275</f>
        <v>171.55046125000001</v>
      </c>
      <c r="AK271" s="293">
        <f>+AK277-AK267-AK268-AK269-AK270-AK272-AK273-AK274-AK275</f>
        <v>97.104061249999972</v>
      </c>
      <c r="AL271" s="293">
        <f t="shared" si="277"/>
        <v>268.65452249999998</v>
      </c>
      <c r="AM271" s="290"/>
      <c r="AN271" s="293">
        <f>+AN277-AN267-AN268-AN269-AN270-AN272-AN273-AN274-AN275</f>
        <v>224.48828950000001</v>
      </c>
      <c r="AO271" s="293">
        <f>+AO277-AO267-AO268-AO269-AO270-AO272-AO273-AO274-AO275</f>
        <v>212.07565264999999</v>
      </c>
      <c r="AP271" s="293">
        <f t="shared" si="278"/>
        <v>436.56394215</v>
      </c>
      <c r="AQ271" s="290"/>
      <c r="AR271" s="293">
        <f>+AR277-AR267-AR268-AR269-AR270-AR272-AR273-AR274-AR275</f>
        <v>127.14168000000006</v>
      </c>
      <c r="AS271" s="293">
        <f>+AS277-AS267-AS268-AS269-AS270-AS272-AS273-AS274-AS275</f>
        <v>-0.52626639999999725</v>
      </c>
      <c r="AT271" s="293">
        <f t="shared" si="279"/>
        <v>126.61541360000007</v>
      </c>
      <c r="AU271" s="290"/>
      <c r="AV271" s="293">
        <f>+AV277-AV267-AV268-AV269-AV270-AV272-AV273-AV274-AV275</f>
        <v>169.37520000000001</v>
      </c>
      <c r="AW271" s="293">
        <f>+AW277-AW267-AW268-AW269-AW270-AW272-AW273-AW274-AW275</f>
        <v>613.27740064</v>
      </c>
      <c r="AX271" s="293">
        <f t="shared" si="280"/>
        <v>782.65260063999995</v>
      </c>
      <c r="AY271" s="290"/>
      <c r="AZ271" s="293">
        <f>+AZ277-AZ267-AZ268-AZ269-AZ270-AZ272-AZ273-AZ274-AZ275</f>
        <v>21.244271000000026</v>
      </c>
      <c r="BA271" s="293">
        <f>+BA277-BA267-BA268-BA269-BA270-BA272-BA273-BA274-BA275</f>
        <v>22.217118859999971</v>
      </c>
      <c r="BB271" s="293">
        <f t="shared" si="281"/>
        <v>43.461389859999997</v>
      </c>
      <c r="BC271" s="290"/>
      <c r="BD271" s="293">
        <f>+BD277-BD267-BD268-BD269-BD270-BD272-BD273-BD274-BD275</f>
        <v>-91.514599000000146</v>
      </c>
      <c r="BE271" s="293">
        <f>+BE277-BE267-BE268-BE269-BE270-BE272-BE273-BE274-BE275</f>
        <v>149.06107079999975</v>
      </c>
      <c r="BF271" s="293">
        <f t="shared" si="282"/>
        <v>57.546471799999608</v>
      </c>
      <c r="BG271" s="290"/>
      <c r="BH271" s="293">
        <f>+BH277-BH267-BH268-BH269-BH270-BH272-BH273-BH274-BH275</f>
        <v>117.43828724999997</v>
      </c>
      <c r="BI271" s="293">
        <f>+BI277-BI267-BI268-BI269-BI270-BI272-BI273-BI274-BI275</f>
        <v>21.766833250000019</v>
      </c>
      <c r="BJ271" s="293">
        <f t="shared" si="283"/>
        <v>139.20512049999999</v>
      </c>
      <c r="BK271" s="290"/>
      <c r="BL271" s="293">
        <f>+BL277-BL267-BL268-BL269-BL270-BL272-BL273-BL274-BL275</f>
        <v>94.383222499999988</v>
      </c>
      <c r="BM271" s="293">
        <f>+BM277-BM267-BM268-BM269-BM270-BM272-BM273-BM274-BM275</f>
        <v>-1215.601964</v>
      </c>
      <c r="BN271" s="293">
        <f t="shared" si="284"/>
        <v>-1121.2187414999999</v>
      </c>
      <c r="BO271" s="290"/>
      <c r="BP271" s="293">
        <f>+BP277-BP267-BP268-BP269-BP270-BP272-BP273-BP274-BP275</f>
        <v>-36.280399999999986</v>
      </c>
      <c r="BQ271" s="293">
        <f>+BQ277-BQ267-BQ268-BQ269-BQ270-BQ272-BQ273-BQ274-BQ275</f>
        <v>677.07389220000005</v>
      </c>
      <c r="BR271" s="293">
        <f t="shared" si="285"/>
        <v>640.79349220000006</v>
      </c>
      <c r="BS271" s="290"/>
      <c r="BT271" s="293">
        <f>+BT277-BT267-BT268-BT269-BT270-BT272-BT273-BT274-BT275</f>
        <v>1.9155539999999291</v>
      </c>
      <c r="BU271" s="293">
        <f>+BU277-BU267-BU268-BU269-BU270-BU272-BU273-BU274-BU275</f>
        <v>-10.838863999999944</v>
      </c>
      <c r="BV271" s="293">
        <f t="shared" si="286"/>
        <v>-8.923310000000015</v>
      </c>
      <c r="BW271" s="290"/>
      <c r="BX271" s="293">
        <f>+BX277-BX267-BX268-BX269-BX270-BX272-BX273-BX274-BX275</f>
        <v>-2.274266399999874</v>
      </c>
      <c r="BY271" s="293">
        <f>+BY277-BY267-BY268-BY269-BY270-BY272-BY273-BY274-BY275</f>
        <v>-13.846899399999984</v>
      </c>
      <c r="BZ271" s="293">
        <f t="shared" si="287"/>
        <v>-16.121165799999858</v>
      </c>
      <c r="CA271" s="290"/>
      <c r="CB271" s="293">
        <f>+CB277-CB267-CB268-CB269-CB270-CB272-CB273-CB274-CB275</f>
        <v>15.9848467999999</v>
      </c>
      <c r="CC271" s="293">
        <f>+CC277-CC267-CC268-CC269-CC270-CC272-CC273-CC274-CC275</f>
        <v>47.243701149999993</v>
      </c>
      <c r="CD271" s="293">
        <f t="shared" si="288"/>
        <v>63.228547949999893</v>
      </c>
      <c r="CE271" s="290"/>
      <c r="CF271" s="293">
        <f>+CF277-CF267-CF268-CF269-CF270-CF272-CF273-CF274-CF275</f>
        <v>-138.83257600000002</v>
      </c>
      <c r="CG271" s="293">
        <f>+CG277-CG267-CG268-CG269-CG270-CG272-CG273-CG274-CG275</f>
        <v>13.332886700000131</v>
      </c>
      <c r="CH271" s="293">
        <f t="shared" si="290"/>
        <v>-125.49968929999989</v>
      </c>
      <c r="CI271" s="290"/>
      <c r="CJ271" s="293">
        <f>+CJ277-CJ267-CJ268-CJ269-CJ270-CJ272-CJ273-CJ274-CJ275</f>
        <v>-3.6221431999999822</v>
      </c>
      <c r="CK271" s="293">
        <f>+CK277-CK267-CK268-CK269-CK270-CK272-CK273-CK274-CK275</f>
        <v>89.451167499999997</v>
      </c>
      <c r="CL271" s="293">
        <f t="shared" si="291"/>
        <v>85.829024300000015</v>
      </c>
      <c r="CM271" s="290"/>
      <c r="CN271" s="293">
        <f>+CN277-CN267-CN268-CN269-CN270-CN272-CN273-CN274-CN275</f>
        <v>748.88651279999999</v>
      </c>
      <c r="CO271" s="293">
        <f>+CO277-CO267-CO268-CO269-CO270-CO272-CO273-CO274-CO275</f>
        <v>20.539896450000015</v>
      </c>
      <c r="CP271" s="293">
        <f t="shared" si="292"/>
        <v>769.42640925000001</v>
      </c>
      <c r="CQ271" s="290"/>
      <c r="CR271" s="293">
        <f>+CR277-CR267-CR268-CR269-CR270-CR272-CR273-CR274-CR275</f>
        <v>689.10161294999989</v>
      </c>
      <c r="CS271" s="293">
        <f>+CS277-CS267-CS268-CS269-CS270-CS272-CS273-CS274-CS275</f>
        <v>4.7090196800003241</v>
      </c>
      <c r="CT271" s="293">
        <f t="shared" si="294"/>
        <v>693.81063263000021</v>
      </c>
      <c r="CU271" s="290"/>
      <c r="CV271" s="293">
        <f>+CV277-CV267-CV268-CV269-CV270-CV272-CV273-CV274-CV275</f>
        <v>54.766729499999883</v>
      </c>
      <c r="CW271" s="1495">
        <f>+CW277-CW267-CW268-CW269-CW270-CW272-CW273-CW274-CW275</f>
        <v>64.940262000000303</v>
      </c>
      <c r="CX271" s="293">
        <f t="shared" si="296"/>
        <v>119.70699150000019</v>
      </c>
      <c r="CY271" s="290"/>
      <c r="CZ271" s="293">
        <f>+CZ277-CZ267-CZ268-CZ269-CZ270-CZ272-CZ273-CZ274-CZ275</f>
        <v>75.145393000000013</v>
      </c>
      <c r="DA271" s="1495">
        <f>+DA277-DA267-DA268-DA269-DA270-DA272-DA273-DA274-DA275</f>
        <v>-35.974277299999699</v>
      </c>
      <c r="DB271" s="293">
        <f t="shared" si="297"/>
        <v>39.171115700000314</v>
      </c>
      <c r="DC271" s="290"/>
      <c r="DD271" s="293">
        <f>+DD277-DD267-DD268-DD269-DD270-DD272-DD273-DD274-DD275</f>
        <v>109.40575205000005</v>
      </c>
      <c r="DE271" s="1495">
        <f ca="1">+DE277-DE267-DE268-DE269-DE270-DE272-DE273-DE274-DE275</f>
        <v>-73.530120999999667</v>
      </c>
      <c r="DF271" s="293">
        <f t="shared" ca="1" si="299"/>
        <v>35.875631050000379</v>
      </c>
      <c r="DG271" s="290"/>
      <c r="DH271" s="293">
        <f>+DH277-DH267-DH268-DH269-DH270-DH272-DH273-DH274-DH275</f>
        <v>94.439818500000001</v>
      </c>
      <c r="DI271" s="293">
        <f ca="1">+DI277-DI267-DI268-DI269-DI270-DI272-DI273-DI274-DI275</f>
        <v>99.858278234604995</v>
      </c>
      <c r="DJ271" s="293">
        <f t="shared" ca="1" si="302"/>
        <v>194.298096734605</v>
      </c>
      <c r="DK271" s="290"/>
      <c r="DL271" s="293">
        <f ca="1">+DL277-DL267-DL268-DL269-DL270-DL272-DL273-DL274-DL275</f>
        <v>205.61285984579786</v>
      </c>
      <c r="DM271" s="293">
        <f ca="1">+DM277-DM267-DM268-DM269-DM270-DM272-DM273-DM274-DM275</f>
        <v>216.43323659519274</v>
      </c>
      <c r="DN271" s="293">
        <f t="shared" ca="1" si="304"/>
        <v>422.0460964409906</v>
      </c>
      <c r="DO271" s="290"/>
      <c r="DP271" s="293">
        <f ca="1">+DP277-DP267-DP268-DP269-DP270-DP272-DP273-DP274-DP275</f>
        <v>227.82303567100621</v>
      </c>
      <c r="DQ271" s="293">
        <f ca="1">+DQ277-DQ267-DQ268-DQ269-DQ270-DQ272-DQ273-DQ274-DQ275</f>
        <v>239.81222292320263</v>
      </c>
      <c r="DR271" s="293">
        <f t="shared" ca="1" si="306"/>
        <v>467.63525859420884</v>
      </c>
      <c r="DS271" s="290"/>
      <c r="DT271" s="290"/>
      <c r="DU271" s="293"/>
      <c r="DV271" s="293"/>
      <c r="DW271" s="293"/>
      <c r="DX271" s="290"/>
      <c r="EH271"/>
    </row>
    <row r="272" spans="1:138" s="289" customFormat="1">
      <c r="A272" s="102" t="s">
        <v>128</v>
      </c>
      <c r="C272" s="103" t="s">
        <v>612</v>
      </c>
      <c r="P272" s="293">
        <f>+P361</f>
        <v>0</v>
      </c>
      <c r="Q272" s="293">
        <f>+Q361</f>
        <v>0</v>
      </c>
      <c r="R272" s="293">
        <f t="shared" si="272"/>
        <v>0</v>
      </c>
      <c r="S272" s="290"/>
      <c r="T272" s="293">
        <f>+T361</f>
        <v>0</v>
      </c>
      <c r="U272" s="293">
        <f>+U361</f>
        <v>0</v>
      </c>
      <c r="V272" s="293">
        <f t="shared" si="273"/>
        <v>0</v>
      </c>
      <c r="W272" s="290"/>
      <c r="X272" s="293">
        <f>+X361</f>
        <v>0</v>
      </c>
      <c r="Y272" s="293">
        <f>+Y361</f>
        <v>0</v>
      </c>
      <c r="Z272" s="293">
        <f t="shared" si="274"/>
        <v>0</v>
      </c>
      <c r="AA272" s="290"/>
      <c r="AB272" s="293">
        <f>+AB361</f>
        <v>0</v>
      </c>
      <c r="AC272" s="293">
        <f>+AC361</f>
        <v>13</v>
      </c>
      <c r="AD272" s="293">
        <f t="shared" si="275"/>
        <v>13</v>
      </c>
      <c r="AE272" s="295"/>
      <c r="AF272" s="293">
        <f>+AF361</f>
        <v>0</v>
      </c>
      <c r="AG272" s="293">
        <f>+AG361</f>
        <v>-1</v>
      </c>
      <c r="AH272" s="293">
        <f t="shared" si="276"/>
        <v>-1</v>
      </c>
      <c r="AI272" s="290"/>
      <c r="AJ272" s="293">
        <f>+AJ361</f>
        <v>0</v>
      </c>
      <c r="AK272" s="293">
        <f>+AK361</f>
        <v>-5</v>
      </c>
      <c r="AL272" s="293">
        <f t="shared" si="277"/>
        <v>-5</v>
      </c>
      <c r="AM272" s="290"/>
      <c r="AN272" s="293">
        <f>+AN361</f>
        <v>-3</v>
      </c>
      <c r="AO272" s="293">
        <f>+AO361</f>
        <v>-2</v>
      </c>
      <c r="AP272" s="293">
        <f t="shared" si="278"/>
        <v>-5</v>
      </c>
      <c r="AQ272" s="290"/>
      <c r="AR272" s="293">
        <f>+AR361</f>
        <v>10</v>
      </c>
      <c r="AS272" s="293">
        <f>+AS361</f>
        <v>0</v>
      </c>
      <c r="AT272" s="293">
        <f t="shared" si="279"/>
        <v>10</v>
      </c>
      <c r="AU272" s="290"/>
      <c r="AV272" s="293">
        <f>+AV361</f>
        <v>0</v>
      </c>
      <c r="AW272" s="293">
        <f>+AW361</f>
        <v>-441</v>
      </c>
      <c r="AX272" s="293">
        <f t="shared" si="280"/>
        <v>-441</v>
      </c>
      <c r="AY272" s="290"/>
      <c r="AZ272" s="293">
        <f>+AZ361</f>
        <v>-276</v>
      </c>
      <c r="BA272" s="293">
        <f>+BA361</f>
        <v>-12</v>
      </c>
      <c r="BB272" s="293">
        <f t="shared" si="281"/>
        <v>-288</v>
      </c>
      <c r="BC272" s="290"/>
      <c r="BD272" s="293">
        <f>+BD361</f>
        <v>-262</v>
      </c>
      <c r="BE272" s="293">
        <f>+BE361</f>
        <v>19</v>
      </c>
      <c r="BF272" s="293">
        <f t="shared" si="282"/>
        <v>-243</v>
      </c>
      <c r="BG272" s="290"/>
      <c r="BH272" s="293">
        <f>+BH361</f>
        <v>-84</v>
      </c>
      <c r="BI272" s="293">
        <f>+BI361</f>
        <v>47</v>
      </c>
      <c r="BJ272" s="293">
        <f t="shared" si="283"/>
        <v>-37</v>
      </c>
      <c r="BK272" s="290"/>
      <c r="BL272" s="293">
        <f>+BL361</f>
        <v>-14</v>
      </c>
      <c r="BM272" s="293">
        <f>+BM361</f>
        <v>35</v>
      </c>
      <c r="BN272" s="293">
        <f t="shared" si="284"/>
        <v>21</v>
      </c>
      <c r="BO272" s="290"/>
      <c r="BP272" s="293">
        <f>+BP361</f>
        <v>-13</v>
      </c>
      <c r="BQ272" s="293">
        <f>+BQ361</f>
        <v>32</v>
      </c>
      <c r="BR272" s="293">
        <f t="shared" si="285"/>
        <v>19</v>
      </c>
      <c r="BS272" s="290"/>
      <c r="BT272" s="293">
        <f>+BT361</f>
        <v>-117</v>
      </c>
      <c r="BU272" s="293">
        <f>+BU361</f>
        <v>52</v>
      </c>
      <c r="BV272" s="293">
        <f t="shared" si="286"/>
        <v>-65</v>
      </c>
      <c r="BW272" s="290"/>
      <c r="BX272" s="293">
        <f>+BX361</f>
        <v>-185</v>
      </c>
      <c r="BY272" s="293">
        <f>+BY361</f>
        <v>34</v>
      </c>
      <c r="BZ272" s="293">
        <f t="shared" si="287"/>
        <v>-151</v>
      </c>
      <c r="CA272" s="290"/>
      <c r="CB272" s="293">
        <f>+CB361</f>
        <v>-120</v>
      </c>
      <c r="CC272" s="293">
        <f>+CC361</f>
        <v>43</v>
      </c>
      <c r="CD272" s="293">
        <f t="shared" si="288"/>
        <v>-77</v>
      </c>
      <c r="CE272" s="290"/>
      <c r="CF272" s="293">
        <f>+CF361</f>
        <v>-149</v>
      </c>
      <c r="CG272" s="293">
        <f>+CG361</f>
        <v>41</v>
      </c>
      <c r="CH272" s="293">
        <f t="shared" si="290"/>
        <v>-108</v>
      </c>
      <c r="CI272" s="290"/>
      <c r="CJ272" s="293">
        <f>+CJ361</f>
        <v>-196</v>
      </c>
      <c r="CK272" s="293">
        <f>+CK361</f>
        <v>122</v>
      </c>
      <c r="CL272" s="293">
        <f t="shared" si="291"/>
        <v>-74</v>
      </c>
      <c r="CM272" s="290"/>
      <c r="CN272" s="293">
        <f>+CN361</f>
        <v>-256</v>
      </c>
      <c r="CO272" s="293">
        <f>+CO361</f>
        <v>69</v>
      </c>
      <c r="CP272" s="293">
        <f t="shared" si="292"/>
        <v>-187</v>
      </c>
      <c r="CQ272" s="290"/>
      <c r="CR272" s="293">
        <f>+CR361</f>
        <v>-263</v>
      </c>
      <c r="CS272" s="293">
        <f>+CS361</f>
        <v>38</v>
      </c>
      <c r="CT272" s="293">
        <f t="shared" si="294"/>
        <v>-225</v>
      </c>
      <c r="CU272" s="290"/>
      <c r="CV272" s="293">
        <f>+CV361</f>
        <v>-531</v>
      </c>
      <c r="CW272" s="1495">
        <f>+CW361</f>
        <v>61</v>
      </c>
      <c r="CX272" s="293">
        <f t="shared" si="296"/>
        <v>-470</v>
      </c>
      <c r="CY272" s="290"/>
      <c r="CZ272" s="293">
        <f>+CZ361</f>
        <v>-543</v>
      </c>
      <c r="DA272" s="1495">
        <f>+DA361</f>
        <v>87</v>
      </c>
      <c r="DB272" s="293">
        <f t="shared" si="297"/>
        <v>-456</v>
      </c>
      <c r="DC272" s="290"/>
      <c r="DD272" s="293">
        <f>+DD361</f>
        <v>-89</v>
      </c>
      <c r="DE272" s="1495">
        <f>+DE361</f>
        <v>109</v>
      </c>
      <c r="DF272" s="293">
        <f t="shared" si="299"/>
        <v>20</v>
      </c>
      <c r="DG272" s="290"/>
      <c r="DH272" s="293">
        <f>+DH361</f>
        <v>-8</v>
      </c>
      <c r="DI272" s="293">
        <f>+DI361</f>
        <v>-83.16</v>
      </c>
      <c r="DJ272" s="293">
        <f t="shared" si="302"/>
        <v>-91.16</v>
      </c>
      <c r="DK272" s="290"/>
      <c r="DL272" s="293">
        <f>+DL361</f>
        <v>-85.654799999999994</v>
      </c>
      <c r="DM272" s="293">
        <f>+DM361</f>
        <v>-88.224443999999991</v>
      </c>
      <c r="DN272" s="293">
        <f t="shared" si="304"/>
        <v>-173.87924399999997</v>
      </c>
      <c r="DO272" s="290"/>
      <c r="DP272" s="293">
        <f>+DP361</f>
        <v>-90.871177319999987</v>
      </c>
      <c r="DQ272" s="293">
        <f>+DQ361</f>
        <v>-93.597312639599977</v>
      </c>
      <c r="DR272" s="293">
        <f t="shared" si="306"/>
        <v>-184.46848995959996</v>
      </c>
      <c r="DS272" s="290"/>
      <c r="DT272" s="290"/>
      <c r="DU272" s="293"/>
      <c r="DV272" s="293"/>
      <c r="DW272" s="293"/>
      <c r="DX272" s="290"/>
      <c r="EH272"/>
    </row>
    <row r="273" spans="1:138" s="289" customFormat="1">
      <c r="A273" s="102" t="s">
        <v>130</v>
      </c>
      <c r="C273" s="103" t="s">
        <v>612</v>
      </c>
      <c r="P273" s="293">
        <f>+SUM(P367:P368)</f>
        <v>0</v>
      </c>
      <c r="Q273" s="293">
        <f>+SUM(Q367:Q368)</f>
        <v>0</v>
      </c>
      <c r="R273" s="293">
        <f t="shared" si="272"/>
        <v>0</v>
      </c>
      <c r="S273" s="290"/>
      <c r="T273" s="293">
        <f>+SUM(T367:T368)</f>
        <v>0</v>
      </c>
      <c r="U273" s="293">
        <f>+SUM(U367:U368)</f>
        <v>0</v>
      </c>
      <c r="V273" s="293">
        <f t="shared" si="273"/>
        <v>0</v>
      </c>
      <c r="W273" s="290"/>
      <c r="X273" s="293">
        <f>+SUM(X367:X368)</f>
        <v>0</v>
      </c>
      <c r="Y273" s="293">
        <f>+SUM(Y367:Y368)</f>
        <v>0</v>
      </c>
      <c r="Z273" s="293">
        <f t="shared" si="274"/>
        <v>0</v>
      </c>
      <c r="AA273" s="290"/>
      <c r="AB273" s="293">
        <f>+SUM(AB367:AB368)</f>
        <v>26</v>
      </c>
      <c r="AC273" s="293">
        <f>+SUM(AC367:AC368)</f>
        <v>14</v>
      </c>
      <c r="AD273" s="293">
        <f t="shared" si="275"/>
        <v>40</v>
      </c>
      <c r="AE273" s="295"/>
      <c r="AF273" s="293">
        <f>+SUM(AF367:AF368)</f>
        <v>76</v>
      </c>
      <c r="AG273" s="293">
        <f>+SUM(AG367:AG368)</f>
        <v>125</v>
      </c>
      <c r="AH273" s="293">
        <f t="shared" si="276"/>
        <v>201</v>
      </c>
      <c r="AI273" s="290"/>
      <c r="AJ273" s="293">
        <f>+SUM(AJ367:AJ368)</f>
        <v>15</v>
      </c>
      <c r="AK273" s="293">
        <f>+SUM(AK367:AK368)</f>
        <v>115</v>
      </c>
      <c r="AL273" s="293">
        <f t="shared" si="277"/>
        <v>130</v>
      </c>
      <c r="AM273" s="290"/>
      <c r="AN273" s="293">
        <f>+SUM(AN367:AN368)</f>
        <v>133</v>
      </c>
      <c r="AO273" s="293">
        <f>+SUM(AO367:AO368)</f>
        <v>-57</v>
      </c>
      <c r="AP273" s="293">
        <f t="shared" si="278"/>
        <v>76</v>
      </c>
      <c r="AQ273" s="290"/>
      <c r="AR273" s="293">
        <f>+SUM(AR367:AR368)</f>
        <v>-173</v>
      </c>
      <c r="AS273" s="293">
        <f>+SUM(AS367:AS368)</f>
        <v>-266</v>
      </c>
      <c r="AT273" s="293">
        <f t="shared" si="279"/>
        <v>-439</v>
      </c>
      <c r="AU273" s="290"/>
      <c r="AV273" s="293">
        <f>+SUM(AV367:AV368)</f>
        <v>259</v>
      </c>
      <c r="AW273" s="293">
        <f>+SUM(AW367:AW368)</f>
        <v>4</v>
      </c>
      <c r="AX273" s="293">
        <f t="shared" si="280"/>
        <v>263</v>
      </c>
      <c r="AY273" s="290"/>
      <c r="AZ273" s="293">
        <f>+SUM(AZ367:AZ368)</f>
        <v>-17</v>
      </c>
      <c r="BA273" s="293">
        <f>+SUM(BA367:BA368)</f>
        <v>47</v>
      </c>
      <c r="BB273" s="293">
        <f t="shared" si="281"/>
        <v>30</v>
      </c>
      <c r="BC273" s="290"/>
      <c r="BD273" s="293">
        <f>+SUM(BD367:BD368)</f>
        <v>194</v>
      </c>
      <c r="BE273" s="293">
        <f>+SUM(BE367:BE368)</f>
        <v>-460</v>
      </c>
      <c r="BF273" s="293">
        <f t="shared" si="282"/>
        <v>-266</v>
      </c>
      <c r="BG273" s="290"/>
      <c r="BH273" s="293">
        <f>+SUM(BH367:BH368)</f>
        <v>-94</v>
      </c>
      <c r="BI273" s="293">
        <f>+SUM(BI367:BI368)</f>
        <v>107</v>
      </c>
      <c r="BJ273" s="293">
        <f t="shared" si="283"/>
        <v>13</v>
      </c>
      <c r="BK273" s="290"/>
      <c r="BL273" s="293">
        <f>+SUM(BL367:BL368)</f>
        <v>669</v>
      </c>
      <c r="BM273" s="293">
        <f>+SUM(BM367:BM368)</f>
        <v>-57</v>
      </c>
      <c r="BN273" s="293">
        <f t="shared" si="284"/>
        <v>612</v>
      </c>
      <c r="BO273" s="290"/>
      <c r="BP273" s="293">
        <f>+SUM(BP367:BP368)</f>
        <v>157</v>
      </c>
      <c r="BQ273" s="293">
        <f>+SUM(BQ367:BQ368)</f>
        <v>830</v>
      </c>
      <c r="BR273" s="293">
        <f t="shared" si="285"/>
        <v>987</v>
      </c>
      <c r="BS273" s="290"/>
      <c r="BT273" s="293">
        <f>+SUM(BT367:BT368)</f>
        <v>434</v>
      </c>
      <c r="BU273" s="293">
        <f>+SUM(BU367:BU368)</f>
        <v>-554</v>
      </c>
      <c r="BV273" s="293">
        <f t="shared" si="286"/>
        <v>-120</v>
      </c>
      <c r="BW273" s="290"/>
      <c r="BX273" s="293">
        <f>+SUM(BX367:BX368)</f>
        <v>-241</v>
      </c>
      <c r="BY273" s="293">
        <f>+SUM(BY367:BY368)</f>
        <v>101</v>
      </c>
      <c r="BZ273" s="293">
        <f t="shared" si="287"/>
        <v>-140</v>
      </c>
      <c r="CA273" s="290"/>
      <c r="CB273" s="293">
        <f>+SUM(CB367:CB368)</f>
        <v>-397</v>
      </c>
      <c r="CC273" s="293">
        <f>+SUM(CC367:CC368)</f>
        <v>298</v>
      </c>
      <c r="CD273" s="293">
        <f t="shared" si="288"/>
        <v>-99</v>
      </c>
      <c r="CE273" s="290"/>
      <c r="CF273" s="293">
        <f>+SUM(CF367:CF368)</f>
        <v>270</v>
      </c>
      <c r="CG273" s="293">
        <f>+SUM(CG367:CG368)</f>
        <v>206</v>
      </c>
      <c r="CH273" s="293">
        <f t="shared" si="290"/>
        <v>476</v>
      </c>
      <c r="CI273" s="290"/>
      <c r="CJ273" s="293">
        <f>+SUM(CJ367:CJ368)</f>
        <v>154</v>
      </c>
      <c r="CK273" s="293">
        <f>+SUM(CK367:CK368)</f>
        <v>846</v>
      </c>
      <c r="CL273" s="293">
        <f t="shared" si="291"/>
        <v>1000</v>
      </c>
      <c r="CM273" s="290"/>
      <c r="CN273" s="293">
        <f>+SUM(CN367:CN368)</f>
        <v>-1395</v>
      </c>
      <c r="CO273" s="293">
        <f>+SUM(CO367:CO368)</f>
        <v>-92</v>
      </c>
      <c r="CP273" s="293">
        <f t="shared" si="292"/>
        <v>-1487</v>
      </c>
      <c r="CQ273" s="290"/>
      <c r="CR273" s="293">
        <f>+SUM(CR367:CR368)</f>
        <v>327</v>
      </c>
      <c r="CS273" s="293">
        <f>+SUM(CS367:CS368)</f>
        <v>-90</v>
      </c>
      <c r="CT273" s="293">
        <f t="shared" si="294"/>
        <v>237</v>
      </c>
      <c r="CU273" s="290"/>
      <c r="CV273" s="293">
        <f>+SUM(CV367:CV368)</f>
        <v>1727</v>
      </c>
      <c r="CW273" s="1495">
        <f>+SUM(CW367:CW368)</f>
        <v>52</v>
      </c>
      <c r="CX273" s="293">
        <f t="shared" si="296"/>
        <v>1779</v>
      </c>
      <c r="CY273" s="290"/>
      <c r="CZ273" s="293">
        <f>+SUM(CZ367:CZ368)</f>
        <v>288</v>
      </c>
      <c r="DA273" s="1495">
        <f>+SUM(DA367:DA368)</f>
        <v>301</v>
      </c>
      <c r="DB273" s="293">
        <f t="shared" si="297"/>
        <v>589</v>
      </c>
      <c r="DC273" s="290"/>
      <c r="DD273" s="293">
        <f>+SUM(DD367:DD368)</f>
        <v>-971</v>
      </c>
      <c r="DE273" s="1495">
        <f>+SUM(DE367:DE368)</f>
        <v>1909</v>
      </c>
      <c r="DF273" s="293">
        <f t="shared" si="299"/>
        <v>938</v>
      </c>
      <c r="DG273" s="290"/>
      <c r="DH273" s="293">
        <f>+SUM(DH367:DH368)</f>
        <v>-1050</v>
      </c>
      <c r="DI273" s="293">
        <f>+SUM(DI367:DI368)</f>
        <v>0</v>
      </c>
      <c r="DJ273" s="293">
        <f t="shared" si="302"/>
        <v>-1050</v>
      </c>
      <c r="DK273" s="290"/>
      <c r="DL273" s="293">
        <f>+SUM(DL367:DL368)</f>
        <v>0</v>
      </c>
      <c r="DM273" s="293">
        <f>+SUM(DM367:DM368)</f>
        <v>0</v>
      </c>
      <c r="DN273" s="293">
        <f t="shared" si="304"/>
        <v>0</v>
      </c>
      <c r="DO273" s="290"/>
      <c r="DP273" s="293">
        <f>+SUM(DP367:DP368)</f>
        <v>0</v>
      </c>
      <c r="DQ273" s="293">
        <f>+SUM(DQ367:DQ368)</f>
        <v>0</v>
      </c>
      <c r="DR273" s="293">
        <f t="shared" si="306"/>
        <v>0</v>
      </c>
      <c r="DS273" s="290"/>
      <c r="DT273" s="290"/>
      <c r="DU273" s="293"/>
      <c r="DV273" s="293"/>
      <c r="DW273" s="293"/>
      <c r="DX273" s="290"/>
      <c r="EH273"/>
    </row>
    <row r="274" spans="1:138" s="289" customFormat="1">
      <c r="A274" s="102" t="s">
        <v>921</v>
      </c>
      <c r="C274" s="103" t="s">
        <v>612</v>
      </c>
      <c r="P274" s="293">
        <f>+P445</f>
        <v>183</v>
      </c>
      <c r="Q274" s="293">
        <f>+Q445</f>
        <v>150</v>
      </c>
      <c r="R274" s="293">
        <f t="shared" si="272"/>
        <v>333</v>
      </c>
      <c r="S274" s="290"/>
      <c r="T274" s="293">
        <f>+T445</f>
        <v>242</v>
      </c>
      <c r="U274" s="293">
        <f>+U445</f>
        <v>252</v>
      </c>
      <c r="V274" s="293">
        <f t="shared" si="273"/>
        <v>494</v>
      </c>
      <c r="W274" s="290"/>
      <c r="X274" s="293">
        <f>+X445</f>
        <v>284</v>
      </c>
      <c r="Y274" s="293">
        <f>+Y445</f>
        <v>539</v>
      </c>
      <c r="Z274" s="293">
        <f t="shared" si="274"/>
        <v>823</v>
      </c>
      <c r="AA274" s="290"/>
      <c r="AB274" s="293">
        <f>+AB445</f>
        <v>256</v>
      </c>
      <c r="AC274" s="293">
        <f>+AC445</f>
        <v>556</v>
      </c>
      <c r="AD274" s="293">
        <f t="shared" si="275"/>
        <v>812</v>
      </c>
      <c r="AE274" s="295"/>
      <c r="AF274" s="293">
        <f>+AF445</f>
        <v>482</v>
      </c>
      <c r="AG274" s="293">
        <f>+AG445</f>
        <v>434</v>
      </c>
      <c r="AH274" s="293">
        <f t="shared" si="276"/>
        <v>916</v>
      </c>
      <c r="AI274" s="290"/>
      <c r="AJ274" s="293">
        <f>+AJ445</f>
        <v>730</v>
      </c>
      <c r="AK274" s="293">
        <f>+AK445</f>
        <v>733</v>
      </c>
      <c r="AL274" s="293">
        <f t="shared" si="277"/>
        <v>1463</v>
      </c>
      <c r="AM274" s="290"/>
      <c r="AN274" s="293">
        <f>+AN445</f>
        <v>1060</v>
      </c>
      <c r="AO274" s="293">
        <f>+AO445</f>
        <v>743</v>
      </c>
      <c r="AP274" s="293">
        <f t="shared" si="278"/>
        <v>1803</v>
      </c>
      <c r="AQ274" s="290"/>
      <c r="AR274" s="293">
        <f>+AR445</f>
        <v>604</v>
      </c>
      <c r="AS274" s="293">
        <f>+AS445</f>
        <v>267</v>
      </c>
      <c r="AT274" s="293">
        <f t="shared" si="279"/>
        <v>871</v>
      </c>
      <c r="AU274" s="290"/>
      <c r="AV274" s="293">
        <f>+AV445</f>
        <v>479</v>
      </c>
      <c r="AW274" s="293">
        <f>+AW445</f>
        <v>571</v>
      </c>
      <c r="AX274" s="293">
        <f t="shared" si="280"/>
        <v>1050</v>
      </c>
      <c r="AY274" s="290"/>
      <c r="AZ274" s="293">
        <f>+AZ445</f>
        <v>403</v>
      </c>
      <c r="BA274" s="293">
        <f>+BA445</f>
        <v>553</v>
      </c>
      <c r="BB274" s="293">
        <f t="shared" si="281"/>
        <v>956</v>
      </c>
      <c r="BC274" s="290"/>
      <c r="BD274" s="293">
        <f>+BD445</f>
        <v>304.32956000000013</v>
      </c>
      <c r="BE274" s="293">
        <f>+BE445</f>
        <v>426.32420000000025</v>
      </c>
      <c r="BF274" s="293">
        <f t="shared" si="282"/>
        <v>730.65376000000037</v>
      </c>
      <c r="BG274" s="290"/>
      <c r="BH274" s="293">
        <f>+BH445</f>
        <v>361</v>
      </c>
      <c r="BI274" s="293">
        <f>+BI445</f>
        <v>490.49</v>
      </c>
      <c r="BJ274" s="293">
        <f t="shared" si="283"/>
        <v>851.49</v>
      </c>
      <c r="BK274" s="290"/>
      <c r="BL274" s="293">
        <f>+BL445</f>
        <v>501</v>
      </c>
      <c r="BM274" s="293">
        <f>+BM445</f>
        <v>766.49</v>
      </c>
      <c r="BN274" s="293">
        <f t="shared" si="284"/>
        <v>1267.49</v>
      </c>
      <c r="BO274" s="290"/>
      <c r="BP274" s="293">
        <f>+BP445</f>
        <v>678</v>
      </c>
      <c r="BQ274" s="293">
        <f>+BQ445</f>
        <v>926.49</v>
      </c>
      <c r="BR274" s="293">
        <f t="shared" si="285"/>
        <v>1604.49</v>
      </c>
      <c r="BS274" s="290"/>
      <c r="BT274" s="293">
        <f>+BT445</f>
        <v>1070</v>
      </c>
      <c r="BU274" s="293">
        <f>+BU445</f>
        <v>993.49</v>
      </c>
      <c r="BV274" s="293">
        <f t="shared" si="286"/>
        <v>2063.4899999999998</v>
      </c>
      <c r="BW274" s="290"/>
      <c r="BX274" s="293">
        <f>+BX445</f>
        <v>1050</v>
      </c>
      <c r="BY274" s="293">
        <f>+BY445</f>
        <v>1167.49</v>
      </c>
      <c r="BZ274" s="293">
        <f t="shared" si="287"/>
        <v>2217.4899999999998</v>
      </c>
      <c r="CA274" s="290"/>
      <c r="CB274" s="293">
        <f>+CB445</f>
        <v>1248</v>
      </c>
      <c r="CC274" s="293">
        <f>+CC445</f>
        <v>1309.49</v>
      </c>
      <c r="CD274" s="293">
        <f t="shared" si="288"/>
        <v>2557.4899999999998</v>
      </c>
      <c r="CE274" s="290"/>
      <c r="CF274" s="293">
        <f>+CF445</f>
        <v>1310</v>
      </c>
      <c r="CG274" s="293">
        <f>+CG445</f>
        <v>1672.49</v>
      </c>
      <c r="CH274" s="293">
        <f t="shared" si="290"/>
        <v>2982.49</v>
      </c>
      <c r="CI274" s="290"/>
      <c r="CJ274" s="293">
        <f>+CJ445</f>
        <v>1457</v>
      </c>
      <c r="CK274" s="293">
        <f>+CK445</f>
        <v>1274.49</v>
      </c>
      <c r="CL274" s="293">
        <f t="shared" si="291"/>
        <v>2731.49</v>
      </c>
      <c r="CM274" s="290"/>
      <c r="CN274" s="293">
        <f>+CN445</f>
        <v>985</v>
      </c>
      <c r="CO274" s="293">
        <f>+CO445</f>
        <v>2030.49</v>
      </c>
      <c r="CP274" s="293">
        <f t="shared" si="292"/>
        <v>3015.49</v>
      </c>
      <c r="CQ274" s="290"/>
      <c r="CR274" s="293">
        <f>+CR445</f>
        <v>2043</v>
      </c>
      <c r="CS274" s="293">
        <f>+CS445</f>
        <v>2663.49</v>
      </c>
      <c r="CT274" s="293">
        <f t="shared" si="294"/>
        <v>4706.49</v>
      </c>
      <c r="CU274" s="290"/>
      <c r="CV274" s="293">
        <f>+CV445</f>
        <v>2383</v>
      </c>
      <c r="CW274" s="1495">
        <f>+CW445</f>
        <v>2799.49</v>
      </c>
      <c r="CX274" s="293">
        <f t="shared" si="296"/>
        <v>5182.49</v>
      </c>
      <c r="CY274" s="290"/>
      <c r="CZ274" s="293">
        <f>+CZ445</f>
        <v>1415</v>
      </c>
      <c r="DA274" s="1495">
        <f>+DA445</f>
        <v>2107.4899999999998</v>
      </c>
      <c r="DB274" s="293">
        <f t="shared" si="297"/>
        <v>3522.49</v>
      </c>
      <c r="DC274" s="290"/>
      <c r="DD274" s="293">
        <f>+DD445</f>
        <v>1612</v>
      </c>
      <c r="DE274" s="1495">
        <f ca="1">+DE445</f>
        <v>2103.4899999999998</v>
      </c>
      <c r="DF274" s="293">
        <f t="shared" ca="1" si="299"/>
        <v>3715.49</v>
      </c>
      <c r="DG274" s="290"/>
      <c r="DH274" s="293">
        <f>+DH445</f>
        <v>1655</v>
      </c>
      <c r="DI274" s="293">
        <f>+DI445</f>
        <v>2517.6901979637678</v>
      </c>
      <c r="DJ274" s="293">
        <f t="shared" si="302"/>
        <v>4172.6901979637678</v>
      </c>
      <c r="DK274" s="290"/>
      <c r="DL274" s="293">
        <f>+DL445</f>
        <v>1915.8372403143462</v>
      </c>
      <c r="DM274" s="293">
        <f>+DM445</f>
        <v>2656.8730472018797</v>
      </c>
      <c r="DN274" s="293">
        <f t="shared" si="304"/>
        <v>4572.7102875162254</v>
      </c>
      <c r="DO274" s="290"/>
      <c r="DP274" s="293">
        <f>+DP445</f>
        <v>2085.2236692333981</v>
      </c>
      <c r="DQ274" s="293">
        <f>+DQ445</f>
        <v>2837.5443840796966</v>
      </c>
      <c r="DR274" s="293">
        <f t="shared" si="306"/>
        <v>4922.7680533130952</v>
      </c>
      <c r="DS274" s="290"/>
      <c r="DT274" s="290"/>
      <c r="DU274" s="293"/>
      <c r="DV274" s="293"/>
      <c r="DW274" s="293"/>
      <c r="DX274" s="290"/>
      <c r="EH274"/>
    </row>
    <row r="275" spans="1:138" s="289" customFormat="1">
      <c r="A275" s="102" t="s">
        <v>147</v>
      </c>
      <c r="C275" s="103" t="s">
        <v>612</v>
      </c>
      <c r="P275" s="293">
        <f>+P446</f>
        <v>-83</v>
      </c>
      <c r="Q275" s="293">
        <f>+Q446</f>
        <v>-208</v>
      </c>
      <c r="R275" s="293">
        <f t="shared" si="272"/>
        <v>-291</v>
      </c>
      <c r="S275" s="290"/>
      <c r="T275" s="293">
        <f>+T446</f>
        <v>-208</v>
      </c>
      <c r="U275" s="293">
        <f>+U446</f>
        <v>0</v>
      </c>
      <c r="V275" s="293">
        <f t="shared" si="273"/>
        <v>-208</v>
      </c>
      <c r="W275" s="290"/>
      <c r="X275" s="293">
        <f>+X446</f>
        <v>0</v>
      </c>
      <c r="Y275" s="293">
        <f>+Y446</f>
        <v>0</v>
      </c>
      <c r="Z275" s="293">
        <f t="shared" si="274"/>
        <v>0</v>
      </c>
      <c r="AA275" s="290"/>
      <c r="AB275" s="293">
        <f>+AB446</f>
        <v>-151</v>
      </c>
      <c r="AC275" s="293">
        <f>+AC446</f>
        <v>-134.05420633999998</v>
      </c>
      <c r="AD275" s="293">
        <f t="shared" si="275"/>
        <v>-285.05420633999995</v>
      </c>
      <c r="AE275" s="295"/>
      <c r="AF275" s="293">
        <f>+AF446</f>
        <v>-313.15702879999998</v>
      </c>
      <c r="AG275" s="293">
        <f>+AG446</f>
        <v>-207.28747530000001</v>
      </c>
      <c r="AH275" s="293">
        <f t="shared" si="276"/>
        <v>-520.44450410000002</v>
      </c>
      <c r="AI275" s="290"/>
      <c r="AJ275" s="293">
        <f>+AJ446</f>
        <v>-290.55046125000001</v>
      </c>
      <c r="AK275" s="293">
        <f>+AK446</f>
        <v>-312.10406124999997</v>
      </c>
      <c r="AL275" s="293">
        <f t="shared" si="277"/>
        <v>-602.65452249999998</v>
      </c>
      <c r="AM275" s="290"/>
      <c r="AN275" s="293">
        <f>+AN446</f>
        <v>-482.48828950000001</v>
      </c>
      <c r="AO275" s="293">
        <f>+AO446</f>
        <v>-393.07565264999999</v>
      </c>
      <c r="AP275" s="293">
        <f t="shared" si="278"/>
        <v>-875.56394215</v>
      </c>
      <c r="AQ275" s="290"/>
      <c r="AR275" s="293">
        <f>+AR446</f>
        <v>-549.14168000000006</v>
      </c>
      <c r="AS275" s="293">
        <f>+AS446</f>
        <v>-407.4737336</v>
      </c>
      <c r="AT275" s="293">
        <f t="shared" si="279"/>
        <v>-956.61541360000001</v>
      </c>
      <c r="AU275" s="290"/>
      <c r="AV275" s="293">
        <f>+AV446</f>
        <v>-113.37520000000001</v>
      </c>
      <c r="AW275" s="293">
        <f>+AW446</f>
        <v>-294.27740064</v>
      </c>
      <c r="AX275" s="293">
        <f t="shared" si="280"/>
        <v>-407.65260064</v>
      </c>
      <c r="AY275" s="290"/>
      <c r="AZ275" s="293">
        <f>+AZ446</f>
        <v>-344.24427100000003</v>
      </c>
      <c r="BA275" s="293">
        <f>+BA446</f>
        <v>-297.21711885999997</v>
      </c>
      <c r="BB275" s="293">
        <f t="shared" si="281"/>
        <v>-641.46138986000005</v>
      </c>
      <c r="BC275" s="290"/>
      <c r="BD275" s="293">
        <f>+BD446</f>
        <v>-346.81496099999998</v>
      </c>
      <c r="BE275" s="293">
        <f>+BE446</f>
        <v>-226.3852708</v>
      </c>
      <c r="BF275" s="293">
        <f t="shared" si="282"/>
        <v>-573.20023179999998</v>
      </c>
      <c r="BG275" s="290"/>
      <c r="BH275" s="293">
        <f>+BH446</f>
        <v>-261.43828724999997</v>
      </c>
      <c r="BI275" s="293">
        <f>+BI446</f>
        <v>-254.25683325000003</v>
      </c>
      <c r="BJ275" s="293">
        <f t="shared" si="283"/>
        <v>-515.69512050000003</v>
      </c>
      <c r="BK275" s="290"/>
      <c r="BL275" s="293">
        <f>+BL446</f>
        <v>-424.38322249999999</v>
      </c>
      <c r="BM275" s="293">
        <f>+BM446</f>
        <v>-339.888036</v>
      </c>
      <c r="BN275" s="293">
        <f t="shared" si="284"/>
        <v>-764.27125849999993</v>
      </c>
      <c r="BO275" s="290"/>
      <c r="BP275" s="293">
        <f>+BP446</f>
        <v>-513.71960000000001</v>
      </c>
      <c r="BQ275" s="293">
        <f>+BQ446</f>
        <v>-417.5638922</v>
      </c>
      <c r="BR275" s="293">
        <f t="shared" si="285"/>
        <v>-931.28349219999996</v>
      </c>
      <c r="BS275" s="290"/>
      <c r="BT275" s="293">
        <f>+BT446</f>
        <v>-666.91555399999993</v>
      </c>
      <c r="BU275" s="293">
        <f>+BU446</f>
        <v>-533.65113600000006</v>
      </c>
      <c r="BV275" s="293">
        <f t="shared" si="286"/>
        <v>-1200.5666900000001</v>
      </c>
      <c r="BW275" s="290"/>
      <c r="BX275" s="293">
        <f>+BX446</f>
        <v>-816.72573360000013</v>
      </c>
      <c r="BY275" s="293">
        <f>+BY446</f>
        <v>-646.64310060000003</v>
      </c>
      <c r="BZ275" s="293">
        <f t="shared" si="287"/>
        <v>-1463.3688342</v>
      </c>
      <c r="CA275" s="290"/>
      <c r="CB275" s="293">
        <f>+CB446</f>
        <v>-952.9848467999999</v>
      </c>
      <c r="CC275" s="293">
        <f>+CC446</f>
        <v>-697.73370115</v>
      </c>
      <c r="CD275" s="293">
        <f t="shared" si="288"/>
        <v>-1650.7185479499999</v>
      </c>
      <c r="CE275" s="290"/>
      <c r="CF275" s="293">
        <f>+CF446</f>
        <v>-1089.167424</v>
      </c>
      <c r="CG275" s="293">
        <f>+CG446</f>
        <v>-731.82288670000014</v>
      </c>
      <c r="CH275" s="293">
        <f t="shared" si="290"/>
        <v>-1820.9903107</v>
      </c>
      <c r="CI275" s="290"/>
      <c r="CJ275" s="293">
        <f>+CJ446</f>
        <v>-1225.3778568</v>
      </c>
      <c r="CK275" s="293">
        <f>+CK446</f>
        <v>-885.94116750000001</v>
      </c>
      <c r="CL275" s="293">
        <f t="shared" si="291"/>
        <v>-2111.3190242999999</v>
      </c>
      <c r="CM275" s="290"/>
      <c r="CN275" s="293">
        <f>+CN446</f>
        <v>-637.88651279999999</v>
      </c>
      <c r="CO275" s="293">
        <f>+CO446</f>
        <v>-488.02989645000002</v>
      </c>
      <c r="CP275" s="293">
        <f t="shared" si="292"/>
        <v>-1125.91640925</v>
      </c>
      <c r="CQ275" s="290"/>
      <c r="CR275" s="293">
        <f>+CR446</f>
        <v>-1212.1016129499999</v>
      </c>
      <c r="CS275" s="293">
        <f>+CS446</f>
        <v>-1003.1990196800001</v>
      </c>
      <c r="CT275" s="293">
        <f t="shared" si="294"/>
        <v>-2215.3006326300001</v>
      </c>
      <c r="CU275" s="290"/>
      <c r="CV275" s="293">
        <f>+CV446</f>
        <v>-1342.7667294999999</v>
      </c>
      <c r="CW275" s="1495">
        <f>+CW446</f>
        <v>-1159.4302620000001</v>
      </c>
      <c r="CX275" s="293">
        <f t="shared" si="296"/>
        <v>-2502.1969915</v>
      </c>
      <c r="CY275" s="290"/>
      <c r="CZ275" s="293">
        <f>+CZ446</f>
        <v>-1739.145393</v>
      </c>
      <c r="DA275" s="1495">
        <f>+DA446</f>
        <v>-985.51572270000008</v>
      </c>
      <c r="DB275" s="293">
        <f t="shared" si="297"/>
        <v>-2724.6611157000002</v>
      </c>
      <c r="DC275" s="290"/>
      <c r="DD275" s="293">
        <f>+DD446</f>
        <v>-1474.40575205</v>
      </c>
      <c r="DE275" s="1495">
        <f>+DE446</f>
        <v>-990.95987900000011</v>
      </c>
      <c r="DF275" s="293">
        <f t="shared" si="299"/>
        <v>-2465.36563105</v>
      </c>
      <c r="DG275" s="290"/>
      <c r="DH275" s="293">
        <f>+DH446</f>
        <v>-1486.4398185</v>
      </c>
      <c r="DI275" s="293">
        <f>+DI446</f>
        <v>-1067.1875620000001</v>
      </c>
      <c r="DJ275" s="293">
        <f t="shared" si="302"/>
        <v>-2553.6273805000001</v>
      </c>
      <c r="DK275" s="290"/>
      <c r="DL275" s="293">
        <f>+DL446</f>
        <v>-1642.99242246125</v>
      </c>
      <c r="DM275" s="293">
        <f>+DM446</f>
        <v>0</v>
      </c>
      <c r="DN275" s="293">
        <f t="shared" si="304"/>
        <v>-1642.99242246125</v>
      </c>
      <c r="DO275" s="290"/>
      <c r="DP275" s="293">
        <f>+DP446</f>
        <v>-1728.0184743588106</v>
      </c>
      <c r="DQ275" s="293">
        <f>+DQ446</f>
        <v>0</v>
      </c>
      <c r="DR275" s="293">
        <f t="shared" si="306"/>
        <v>-1728.0184743588106</v>
      </c>
      <c r="DS275" s="290"/>
      <c r="DT275" s="290"/>
      <c r="DU275" s="293"/>
      <c r="DV275" s="293"/>
      <c r="DW275" s="293"/>
      <c r="DX275" s="290"/>
      <c r="EH275"/>
    </row>
    <row r="276" spans="1:138" s="289" customFormat="1">
      <c r="A276" s="102" t="s">
        <v>148</v>
      </c>
      <c r="C276" s="103" t="s">
        <v>612</v>
      </c>
      <c r="P276" s="293">
        <f>+SUM(P268:P275)</f>
        <v>184</v>
      </c>
      <c r="Q276" s="293">
        <f>+SUM(Q268:Q275)</f>
        <v>-17</v>
      </c>
      <c r="R276" s="293">
        <f t="shared" si="272"/>
        <v>167</v>
      </c>
      <c r="S276" s="290"/>
      <c r="T276" s="293">
        <f>+SUM(T268:T275)</f>
        <v>570</v>
      </c>
      <c r="U276" s="293">
        <f>+SUM(U268:U275)</f>
        <v>56</v>
      </c>
      <c r="V276" s="293">
        <f t="shared" si="273"/>
        <v>626</v>
      </c>
      <c r="W276" s="290"/>
      <c r="X276" s="293">
        <f>+SUM(X268:X275)</f>
        <v>225</v>
      </c>
      <c r="Y276" s="293">
        <f>+SUM(Y268:Y275)</f>
        <v>531</v>
      </c>
      <c r="Z276" s="293">
        <f t="shared" si="274"/>
        <v>756</v>
      </c>
      <c r="AA276" s="290"/>
      <c r="AB276" s="293">
        <f>+SUM(AB268:AB275)</f>
        <v>179</v>
      </c>
      <c r="AC276" s="293">
        <f>+SUM(AC268:AC275)</f>
        <v>575</v>
      </c>
      <c r="AD276" s="293">
        <f t="shared" si="275"/>
        <v>754</v>
      </c>
      <c r="AE276" s="295"/>
      <c r="AF276" s="293">
        <f>+SUM(AF268:AF275)</f>
        <v>491.00000000000006</v>
      </c>
      <c r="AG276" s="293">
        <f>+SUM(AG268:AG275)</f>
        <v>436</v>
      </c>
      <c r="AH276" s="293">
        <f t="shared" si="276"/>
        <v>927</v>
      </c>
      <c r="AI276" s="290"/>
      <c r="AJ276" s="293">
        <f>+SUM(AJ268:AJ275)</f>
        <v>1428</v>
      </c>
      <c r="AK276" s="293">
        <f>+SUM(AK268:AK275)</f>
        <v>745.00000000000011</v>
      </c>
      <c r="AL276" s="293">
        <f t="shared" si="277"/>
        <v>2173</v>
      </c>
      <c r="AM276" s="290"/>
      <c r="AN276" s="293">
        <f>+SUM(AN268:AN275)</f>
        <v>1941</v>
      </c>
      <c r="AO276" s="293">
        <f>+SUM(AO268:AO275)</f>
        <v>617</v>
      </c>
      <c r="AP276" s="293">
        <f t="shared" si="278"/>
        <v>2558</v>
      </c>
      <c r="AQ276" s="290"/>
      <c r="AR276" s="293">
        <f>+SUM(AR268:AR275)</f>
        <v>176</v>
      </c>
      <c r="AS276" s="293">
        <f>+SUM(AS268:AS275)</f>
        <v>-341</v>
      </c>
      <c r="AT276" s="293">
        <f t="shared" si="279"/>
        <v>-165</v>
      </c>
      <c r="AU276" s="290"/>
      <c r="AV276" s="293">
        <f>+SUM(AV268:AV275)</f>
        <v>2020</v>
      </c>
      <c r="AW276" s="293">
        <f>+SUM(AW268:AW275)</f>
        <v>548</v>
      </c>
      <c r="AX276" s="293">
        <f t="shared" si="280"/>
        <v>2568</v>
      </c>
      <c r="AY276" s="290"/>
      <c r="AZ276" s="293">
        <f>+SUM(AZ268:AZ275)</f>
        <v>-171</v>
      </c>
      <c r="BA276" s="293">
        <f>+SUM(BA268:BA275)</f>
        <v>343.00000000000006</v>
      </c>
      <c r="BB276" s="293">
        <f t="shared" si="281"/>
        <v>172.00000000000006</v>
      </c>
      <c r="BC276" s="290"/>
      <c r="BD276" s="293">
        <f>+SUM(BD268:BD275)</f>
        <v>-153</v>
      </c>
      <c r="BE276" s="293">
        <f>+SUM(BE268:BE275)</f>
        <v>-48</v>
      </c>
      <c r="BF276" s="293">
        <f t="shared" si="282"/>
        <v>-201</v>
      </c>
      <c r="BG276" s="290"/>
      <c r="BH276" s="293">
        <f>+SUM(BH268:BH275)</f>
        <v>-211</v>
      </c>
      <c r="BI276" s="293">
        <f>+SUM(BI268:BI275)</f>
        <v>411</v>
      </c>
      <c r="BJ276" s="293">
        <f t="shared" si="283"/>
        <v>200</v>
      </c>
      <c r="BK276" s="290"/>
      <c r="BL276" s="293">
        <f>+SUM(BL268:BL275)</f>
        <v>826.00000000000011</v>
      </c>
      <c r="BM276" s="293">
        <f>+SUM(BM268:BM275)</f>
        <v>-811</v>
      </c>
      <c r="BN276" s="293">
        <f t="shared" si="284"/>
        <v>15.000000000000114</v>
      </c>
      <c r="BO276" s="290"/>
      <c r="BP276" s="293">
        <f>+SUM(BP268:BP275)</f>
        <v>272</v>
      </c>
      <c r="BQ276" s="293">
        <f>+SUM(BQ268:BQ275)</f>
        <v>2219</v>
      </c>
      <c r="BR276" s="293">
        <f t="shared" si="285"/>
        <v>2491</v>
      </c>
      <c r="BS276" s="290"/>
      <c r="BT276" s="293">
        <f>+SUM(BT268:BT275)</f>
        <v>722</v>
      </c>
      <c r="BU276" s="293">
        <f>+SUM(BU268:BU275)</f>
        <v>485</v>
      </c>
      <c r="BV276" s="293">
        <f t="shared" si="286"/>
        <v>1207</v>
      </c>
      <c r="BW276" s="290"/>
      <c r="BX276" s="293">
        <f>+SUM(BX268:BX275)</f>
        <v>-195</v>
      </c>
      <c r="BY276" s="293">
        <f>+SUM(BY268:BY275)</f>
        <v>642</v>
      </c>
      <c r="BZ276" s="293">
        <f t="shared" si="287"/>
        <v>447</v>
      </c>
      <c r="CA276" s="290"/>
      <c r="CB276" s="293">
        <f>+SUM(CB268:CB275)</f>
        <v>-206</v>
      </c>
      <c r="CC276" s="293">
        <f>+SUM(CC268:CC275)</f>
        <v>999.99999999999989</v>
      </c>
      <c r="CD276" s="293">
        <f t="shared" si="288"/>
        <v>793.99999999999989</v>
      </c>
      <c r="CE276" s="290"/>
      <c r="CF276" s="293">
        <f>+SUM(CF268:CF275)</f>
        <v>203</v>
      </c>
      <c r="CG276" s="293">
        <f>+SUM(CG268:CG275)</f>
        <v>1201</v>
      </c>
      <c r="CH276" s="293">
        <f t="shared" si="290"/>
        <v>1404</v>
      </c>
      <c r="CI276" s="290"/>
      <c r="CJ276" s="293">
        <f>+SUM(CJ268:CJ275)</f>
        <v>1855.9999999999998</v>
      </c>
      <c r="CK276" s="293">
        <f>+SUM(CK268:CK275)</f>
        <v>1446</v>
      </c>
      <c r="CL276" s="293">
        <f t="shared" si="291"/>
        <v>3302</v>
      </c>
      <c r="CM276" s="290"/>
      <c r="CN276" s="293">
        <f>+SUM(CN268:CN275)</f>
        <v>-555</v>
      </c>
      <c r="CO276" s="293">
        <f>+SUM(CO268:CO275)</f>
        <v>1540</v>
      </c>
      <c r="CP276" s="293">
        <f t="shared" si="292"/>
        <v>985</v>
      </c>
      <c r="CQ276" s="290"/>
      <c r="CR276" s="293">
        <f>+SUM(CR268:CR275)</f>
        <v>2016</v>
      </c>
      <c r="CS276" s="293">
        <f>+SUM(CS268:CS275)</f>
        <v>4497</v>
      </c>
      <c r="CT276" s="293">
        <f t="shared" si="294"/>
        <v>6513</v>
      </c>
      <c r="CU276" s="290"/>
      <c r="CV276" s="293">
        <f>+SUM(CV268:CV275)</f>
        <v>2776</v>
      </c>
      <c r="CW276" s="1495">
        <f>+SUM(CW268:CW275)</f>
        <v>1817.9999999999998</v>
      </c>
      <c r="CX276" s="293">
        <f t="shared" si="296"/>
        <v>4594</v>
      </c>
      <c r="CY276" s="290"/>
      <c r="CZ276" s="293">
        <f>+SUM(CZ268:CZ275)</f>
        <v>-504</v>
      </c>
      <c r="DA276" s="1495">
        <f>+SUM(DA268:DA275)</f>
        <v>829.99999999999989</v>
      </c>
      <c r="DB276" s="293">
        <f t="shared" si="297"/>
        <v>325.99999999999989</v>
      </c>
      <c r="DC276" s="290"/>
      <c r="DD276" s="293">
        <f>+SUM(DD268:DD275)</f>
        <v>-1182</v>
      </c>
      <c r="DE276" s="1495">
        <f ca="1">+SUM(DE268:DE275)</f>
        <v>3057</v>
      </c>
      <c r="DF276" s="293">
        <f t="shared" ca="1" si="299"/>
        <v>1875</v>
      </c>
      <c r="DG276" s="290"/>
      <c r="DH276" s="293">
        <f>+SUM(DH268:DH275)</f>
        <v>-795</v>
      </c>
      <c r="DI276" s="293">
        <f ca="1">+SUM(DI268:DI275)</f>
        <v>1467.2009141983726</v>
      </c>
      <c r="DJ276" s="293">
        <f t="shared" ca="1" si="302"/>
        <v>672.20091419837263</v>
      </c>
      <c r="DK276" s="290"/>
      <c r="DL276" s="293">
        <f ca="1">+SUM(DL268:DL275)</f>
        <v>392.80287769889401</v>
      </c>
      <c r="DM276" s="293">
        <f ca="1">+SUM(DM268:DM275)</f>
        <v>2785.0818397970725</v>
      </c>
      <c r="DN276" s="293">
        <f t="shared" ca="1" si="304"/>
        <v>3177.8847174959665</v>
      </c>
      <c r="DO276" s="290"/>
      <c r="DP276" s="293">
        <f ca="1">+SUM(DP268:DP275)</f>
        <v>494.1570532255937</v>
      </c>
      <c r="DQ276" s="293">
        <f ca="1">+SUM(DQ268:DQ275)</f>
        <v>2983.759294363299</v>
      </c>
      <c r="DR276" s="293">
        <f t="shared" ca="1" si="306"/>
        <v>3477.9163475888927</v>
      </c>
      <c r="DS276" s="290"/>
      <c r="DT276" s="290"/>
      <c r="DU276" s="293"/>
      <c r="DV276" s="293"/>
      <c r="DW276" s="293"/>
      <c r="DX276" s="290"/>
      <c r="EH276"/>
    </row>
    <row r="277" spans="1:138" s="289" customFormat="1">
      <c r="A277" s="289" t="s">
        <v>149</v>
      </c>
      <c r="C277" s="103" t="s">
        <v>612</v>
      </c>
      <c r="N277" s="701"/>
      <c r="P277" s="295">
        <f>+P265</f>
        <v>1813</v>
      </c>
      <c r="Q277" s="295">
        <f>+Q265</f>
        <v>1796</v>
      </c>
      <c r="R277" s="295">
        <f>+R265</f>
        <v>1796</v>
      </c>
      <c r="S277" s="290"/>
      <c r="T277" s="295">
        <f>+T265</f>
        <v>2366</v>
      </c>
      <c r="U277" s="295">
        <f>+U265</f>
        <v>2422</v>
      </c>
      <c r="V277" s="295">
        <f>+V265</f>
        <v>2422</v>
      </c>
      <c r="W277" s="290"/>
      <c r="X277" s="295">
        <f>+X265</f>
        <v>2647</v>
      </c>
      <c r="Y277" s="295">
        <f>+Y265</f>
        <v>3178</v>
      </c>
      <c r="Z277" s="295">
        <f>+Z265</f>
        <v>3178</v>
      </c>
      <c r="AA277" s="290"/>
      <c r="AB277" s="295">
        <f>+AB265</f>
        <v>2596</v>
      </c>
      <c r="AC277" s="295">
        <f>+AC265</f>
        <v>3171</v>
      </c>
      <c r="AD277" s="295">
        <f>+AD265</f>
        <v>3171</v>
      </c>
      <c r="AE277" s="295"/>
      <c r="AF277" s="295">
        <f>+AF265</f>
        <v>3662</v>
      </c>
      <c r="AG277" s="295">
        <f>+AG265</f>
        <v>4098</v>
      </c>
      <c r="AH277" s="295">
        <f>+AH265</f>
        <v>4098</v>
      </c>
      <c r="AI277" s="290"/>
      <c r="AJ277" s="295">
        <f>+AJ265</f>
        <v>5526</v>
      </c>
      <c r="AK277" s="295">
        <f>+AK265</f>
        <v>6271</v>
      </c>
      <c r="AL277" s="295">
        <f>+AL265</f>
        <v>6271</v>
      </c>
      <c r="AM277" s="290"/>
      <c r="AN277" s="295">
        <f>+AN265</f>
        <v>8212</v>
      </c>
      <c r="AO277" s="295">
        <f>+AO265</f>
        <v>8829</v>
      </c>
      <c r="AP277" s="295">
        <f>+AP265</f>
        <v>8829</v>
      </c>
      <c r="AQ277" s="290"/>
      <c r="AR277" s="295">
        <f>+AR265</f>
        <v>9005</v>
      </c>
      <c r="AS277" s="295">
        <f>+AS265</f>
        <v>8664</v>
      </c>
      <c r="AT277" s="295">
        <f>+AT265</f>
        <v>8664</v>
      </c>
      <c r="AU277" s="290"/>
      <c r="AV277" s="295">
        <f>+AV265</f>
        <v>10684</v>
      </c>
      <c r="AW277" s="295">
        <f>+AW265</f>
        <v>11232</v>
      </c>
      <c r="AX277" s="295">
        <f>+AX265</f>
        <v>11232</v>
      </c>
      <c r="AY277" s="290"/>
      <c r="AZ277" s="295">
        <f>+AZ265</f>
        <v>11061</v>
      </c>
      <c r="BA277" s="295">
        <f>+BA265</f>
        <v>11404</v>
      </c>
      <c r="BB277" s="295">
        <f>+BB265</f>
        <v>11404</v>
      </c>
      <c r="BC277" s="290"/>
      <c r="BD277" s="295">
        <f>+BD265</f>
        <v>11251</v>
      </c>
      <c r="BE277" s="295">
        <f>+BE265</f>
        <v>11203</v>
      </c>
      <c r="BF277" s="295">
        <f>+BF265</f>
        <v>11203</v>
      </c>
      <c r="BG277" s="290"/>
      <c r="BH277" s="295">
        <f>+BH265</f>
        <v>10992</v>
      </c>
      <c r="BI277" s="295">
        <f>+BI265</f>
        <v>11403</v>
      </c>
      <c r="BJ277" s="295">
        <f>+BJ265</f>
        <v>11403</v>
      </c>
      <c r="BK277" s="290"/>
      <c r="BL277" s="295">
        <f>+BL265</f>
        <v>12229</v>
      </c>
      <c r="BM277" s="295">
        <f>+BM265</f>
        <v>11418</v>
      </c>
      <c r="BN277" s="295">
        <f>+BN265</f>
        <v>11418</v>
      </c>
      <c r="BO277" s="290"/>
      <c r="BP277" s="295">
        <f>+BP265</f>
        <v>11690</v>
      </c>
      <c r="BQ277" s="295">
        <f>+BQ265</f>
        <v>13909</v>
      </c>
      <c r="BR277" s="295">
        <f>+BR265</f>
        <v>13909</v>
      </c>
      <c r="BS277" s="290"/>
      <c r="BT277" s="295">
        <f>+BT265</f>
        <v>14631</v>
      </c>
      <c r="BU277" s="295">
        <f>+BU265</f>
        <v>15116</v>
      </c>
      <c r="BV277" s="295">
        <f>+BV265</f>
        <v>15116</v>
      </c>
      <c r="BW277" s="290"/>
      <c r="BX277" s="295">
        <f>+BX265</f>
        <v>14921</v>
      </c>
      <c r="BY277" s="295">
        <f>+BY265</f>
        <v>15563</v>
      </c>
      <c r="BZ277" s="295">
        <f>+BZ265</f>
        <v>15563</v>
      </c>
      <c r="CA277" s="290"/>
      <c r="CB277" s="295">
        <f>+CB265</f>
        <v>15357</v>
      </c>
      <c r="CC277" s="295">
        <f>+CC265</f>
        <v>16357</v>
      </c>
      <c r="CD277" s="295">
        <f>+CD265</f>
        <v>16357</v>
      </c>
      <c r="CE277" s="290"/>
      <c r="CF277" s="295">
        <f>+CF265</f>
        <v>16560</v>
      </c>
      <c r="CG277" s="295">
        <f>+CG265</f>
        <v>17761</v>
      </c>
      <c r="CH277" s="295">
        <f>+CH265</f>
        <v>17761</v>
      </c>
      <c r="CI277" s="290"/>
      <c r="CJ277" s="295">
        <f>+CJ265</f>
        <v>19617</v>
      </c>
      <c r="CK277" s="295">
        <f>+CK265</f>
        <v>21063</v>
      </c>
      <c r="CL277" s="295">
        <f>+CL265</f>
        <v>21063</v>
      </c>
      <c r="CM277" s="290"/>
      <c r="CN277" s="295">
        <f>+CN265</f>
        <v>20508</v>
      </c>
      <c r="CO277" s="295">
        <f>+CO265</f>
        <v>22048</v>
      </c>
      <c r="CP277" s="295">
        <f>+CP265</f>
        <v>22048</v>
      </c>
      <c r="CQ277" s="290"/>
      <c r="CR277" s="295">
        <f>+CR265</f>
        <v>24064</v>
      </c>
      <c r="CS277" s="295">
        <f>+CS265</f>
        <v>28561</v>
      </c>
      <c r="CT277" s="295">
        <f>+CT265</f>
        <v>28561</v>
      </c>
      <c r="CU277" s="290"/>
      <c r="CV277" s="295">
        <f>+CV265</f>
        <v>31337</v>
      </c>
      <c r="CW277" s="1390">
        <f>+CW265</f>
        <v>33155</v>
      </c>
      <c r="CX277" s="295">
        <f>+CX265</f>
        <v>33155</v>
      </c>
      <c r="CY277" s="290"/>
      <c r="CZ277" s="295">
        <f>+CZ265</f>
        <v>32651</v>
      </c>
      <c r="DA277" s="1390">
        <f>+DA265</f>
        <v>33481</v>
      </c>
      <c r="DB277" s="295">
        <f>+DB265</f>
        <v>33481</v>
      </c>
      <c r="DC277" s="290"/>
      <c r="DD277" s="295">
        <f>+DD265</f>
        <v>32299</v>
      </c>
      <c r="DE277" s="1390">
        <f>+DE265</f>
        <v>35356</v>
      </c>
      <c r="DF277" s="295">
        <f>+DF265</f>
        <v>35356</v>
      </c>
      <c r="DG277" s="290"/>
      <c r="DH277" s="295">
        <f>+DH265</f>
        <v>34561</v>
      </c>
      <c r="DI277" s="295">
        <f ca="1">+DI265</f>
        <v>36028.200914198373</v>
      </c>
      <c r="DJ277" s="295">
        <f ca="1">+DJ265</f>
        <v>36028.200914198373</v>
      </c>
      <c r="DK277" s="290"/>
      <c r="DL277" s="295">
        <f ca="1">+DL265</f>
        <v>36421.003791897267</v>
      </c>
      <c r="DM277" s="295">
        <f ca="1">+DM265</f>
        <v>39206.085631694339</v>
      </c>
      <c r="DN277" s="295">
        <f ca="1">+DN265</f>
        <v>39206.085631694339</v>
      </c>
      <c r="DO277" s="290"/>
      <c r="DP277" s="295">
        <f ca="1">+DP265</f>
        <v>39700.242684919933</v>
      </c>
      <c r="DQ277" s="295">
        <f ca="1">+DQ265</f>
        <v>42684.001979283232</v>
      </c>
      <c r="DR277" s="295">
        <f ca="1">+DR265</f>
        <v>42684.001979283232</v>
      </c>
      <c r="DS277" s="290"/>
      <c r="DT277" s="290"/>
      <c r="DU277" s="295"/>
      <c r="DV277" s="295"/>
      <c r="DW277" s="295"/>
      <c r="DX277" s="290"/>
      <c r="EH277"/>
    </row>
    <row r="278" spans="1:138">
      <c r="X278" s="293"/>
      <c r="Y278" s="293"/>
      <c r="Z278" s="293"/>
      <c r="AB278" s="293"/>
      <c r="AC278" s="293"/>
      <c r="AD278" s="293"/>
      <c r="AE278" s="293"/>
      <c r="AF278" s="293"/>
      <c r="AG278" s="293"/>
      <c r="AH278" s="293"/>
      <c r="AJ278" s="293"/>
      <c r="AK278" s="293"/>
      <c r="AL278" s="293"/>
      <c r="AN278" s="293"/>
      <c r="AO278" s="293"/>
      <c r="AP278" s="293"/>
      <c r="AR278" s="293"/>
      <c r="AS278" s="293"/>
      <c r="AT278" s="293"/>
      <c r="AV278" s="293"/>
      <c r="AW278" s="293"/>
      <c r="AX278" s="293"/>
      <c r="AZ278" s="293"/>
      <c r="BA278" s="293"/>
      <c r="BB278" s="293"/>
      <c r="BD278" s="331">
        <f>BD267+BD276</f>
        <v>11251</v>
      </c>
      <c r="BE278" s="331">
        <f>BE267+BE276</f>
        <v>11203</v>
      </c>
      <c r="BF278" s="331">
        <f>BF267+BF276</f>
        <v>11203</v>
      </c>
      <c r="BG278" s="115"/>
      <c r="BH278" s="331">
        <f>BH267+BH276</f>
        <v>10992</v>
      </c>
      <c r="BI278" s="331">
        <f>BI267+BI276</f>
        <v>11403</v>
      </c>
      <c r="BJ278" s="331">
        <f>BJ267+BJ276</f>
        <v>11403</v>
      </c>
      <c r="BK278" s="115"/>
      <c r="BL278" s="331">
        <f>BL267+BL276</f>
        <v>12229</v>
      </c>
      <c r="BM278" s="331">
        <f>BM267+BM276</f>
        <v>11418</v>
      </c>
      <c r="BN278" s="331">
        <f>BN267+BN276</f>
        <v>11418</v>
      </c>
      <c r="BP278" s="331">
        <f>BP267+BP276</f>
        <v>11690</v>
      </c>
      <c r="BQ278" s="293"/>
      <c r="BR278" s="293"/>
      <c r="BT278" s="331">
        <f>BT267+BT276</f>
        <v>14631</v>
      </c>
      <c r="BU278" s="293"/>
      <c r="BV278" s="293"/>
      <c r="BX278" s="331">
        <f>BX267+BX276</f>
        <v>14921</v>
      </c>
      <c r="BY278" s="293"/>
      <c r="BZ278" s="293"/>
      <c r="CB278" s="331">
        <f>CB267+CB276</f>
        <v>15357</v>
      </c>
      <c r="CC278" s="293"/>
      <c r="CD278" s="293"/>
      <c r="CF278" s="331">
        <f>CF267+CF276</f>
        <v>16560</v>
      </c>
      <c r="CG278" s="293"/>
      <c r="CH278" s="293"/>
      <c r="CJ278" s="331">
        <f>CJ267+CJ276</f>
        <v>19617</v>
      </c>
      <c r="CK278" s="293"/>
      <c r="CL278" s="293"/>
      <c r="CN278" s="331">
        <f>CN267+CN276</f>
        <v>20508</v>
      </c>
      <c r="CO278" s="293"/>
      <c r="CP278" s="293"/>
      <c r="CR278" s="293"/>
      <c r="CS278" s="293"/>
      <c r="CT278" s="293"/>
      <c r="CV278" s="293"/>
      <c r="CW278" s="1495"/>
      <c r="CX278" s="293"/>
      <c r="CZ278" s="293"/>
      <c r="DA278" s="293"/>
      <c r="DB278" s="293"/>
      <c r="DD278" s="293"/>
      <c r="DE278" s="293"/>
      <c r="DF278" s="293"/>
      <c r="DH278" s="293"/>
      <c r="DI278" s="293"/>
      <c r="DJ278" s="293"/>
      <c r="DL278" s="293"/>
      <c r="DM278" s="293"/>
      <c r="DN278" s="293"/>
      <c r="DP278" s="293"/>
      <c r="DQ278" s="293"/>
      <c r="DR278" s="293"/>
      <c r="DU278" s="293"/>
      <c r="DV278" s="293"/>
      <c r="DW278" s="293"/>
    </row>
    <row r="279" spans="1:138">
      <c r="A279" s="620" t="s">
        <v>100</v>
      </c>
      <c r="B279" s="621"/>
      <c r="C279" s="622"/>
      <c r="D279" s="621"/>
      <c r="E279" s="621"/>
      <c r="F279" s="621"/>
      <c r="G279" s="621"/>
      <c r="H279" s="621"/>
      <c r="I279" s="621"/>
      <c r="J279" s="621"/>
      <c r="K279" s="621"/>
      <c r="L279" s="621"/>
      <c r="M279" s="621"/>
      <c r="N279" s="621"/>
      <c r="O279" s="621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4"/>
      <c r="AW279" s="624"/>
      <c r="AX279" s="624"/>
      <c r="AY279" s="622"/>
      <c r="AZ279" s="624"/>
      <c r="BA279" s="624"/>
      <c r="BB279" s="624"/>
      <c r="BC279" s="622"/>
      <c r="BD279" s="624"/>
      <c r="BE279" s="624"/>
      <c r="BF279" s="624"/>
      <c r="BG279" s="622"/>
      <c r="BH279" s="624"/>
      <c r="BI279" s="624"/>
      <c r="BJ279" s="624"/>
      <c r="BK279" s="622"/>
      <c r="BL279" s="624"/>
      <c r="BM279" s="624"/>
      <c r="BN279" s="624"/>
      <c r="BO279" s="622"/>
      <c r="BP279" s="624"/>
      <c r="BQ279" s="624"/>
      <c r="BR279" s="624"/>
      <c r="BS279" s="622"/>
      <c r="BT279" s="624"/>
      <c r="BU279" s="624"/>
      <c r="BV279" s="624"/>
      <c r="BW279" s="622"/>
      <c r="BX279" s="624"/>
      <c r="BY279" s="624"/>
      <c r="BZ279" s="624"/>
      <c r="CA279" s="622"/>
      <c r="CB279" s="624"/>
      <c r="CC279" s="624"/>
      <c r="CD279" s="624"/>
      <c r="CE279" s="622"/>
      <c r="CF279" s="624"/>
      <c r="CG279" s="624"/>
      <c r="CH279" s="624"/>
      <c r="CI279" s="622"/>
      <c r="CJ279" s="624"/>
      <c r="CK279" s="624"/>
      <c r="CL279" s="624"/>
      <c r="CM279" s="622"/>
      <c r="CN279" s="624"/>
      <c r="CO279" s="624"/>
      <c r="CP279" s="624"/>
      <c r="CQ279" s="622"/>
      <c r="CR279" s="624"/>
      <c r="CS279" s="624"/>
      <c r="CT279" s="624"/>
      <c r="CU279" s="622"/>
      <c r="CV279" s="624"/>
      <c r="CW279" s="1801"/>
      <c r="CX279" s="624"/>
      <c r="CY279" s="622"/>
      <c r="CZ279" s="624"/>
      <c r="DA279" s="624"/>
      <c r="DB279" s="624"/>
      <c r="DC279" s="622"/>
      <c r="DD279" s="624"/>
      <c r="DE279" s="624"/>
      <c r="DF279" s="624"/>
      <c r="DG279" s="622"/>
      <c r="DH279" s="624"/>
      <c r="DI279" s="624"/>
      <c r="DJ279" s="624"/>
      <c r="DK279" s="622"/>
      <c r="DL279" s="624"/>
      <c r="DM279" s="624"/>
      <c r="DN279" s="624"/>
      <c r="DO279" s="622"/>
      <c r="DP279" s="624"/>
      <c r="DQ279" s="624"/>
      <c r="DR279" s="624"/>
      <c r="DS279" s="622"/>
      <c r="DU279" s="293"/>
      <c r="DV279" s="293"/>
      <c r="DW279" s="293"/>
      <c r="DZ279" s="102"/>
    </row>
    <row r="280" spans="1:138">
      <c r="A280" s="289"/>
      <c r="AV280" s="293"/>
      <c r="AW280" s="293"/>
      <c r="AX280" s="293"/>
      <c r="AZ280" s="293"/>
      <c r="BA280" s="702"/>
      <c r="BB280" s="293"/>
      <c r="BD280" s="293"/>
      <c r="BE280" s="293"/>
      <c r="BF280" s="293"/>
      <c r="BH280" s="293"/>
      <c r="BI280" s="293"/>
      <c r="BJ280" s="293"/>
      <c r="BL280" s="293"/>
      <c r="BM280" s="293"/>
      <c r="BN280" s="293"/>
      <c r="BP280" s="293"/>
      <c r="BQ280" s="293"/>
      <c r="BR280" s="293"/>
      <c r="BT280" s="293"/>
      <c r="BU280" s="293"/>
      <c r="BV280" s="293"/>
      <c r="BX280" s="293"/>
      <c r="BY280" s="293"/>
      <c r="BZ280" s="293"/>
      <c r="CB280" s="293"/>
      <c r="CC280" s="293"/>
      <c r="CD280" s="293"/>
      <c r="CF280" s="293"/>
      <c r="CG280" s="293"/>
      <c r="CH280" s="293"/>
      <c r="CJ280" s="293"/>
      <c r="CK280" s="293"/>
      <c r="CL280" s="293"/>
      <c r="CN280" s="293"/>
      <c r="CO280" s="293"/>
      <c r="CP280" s="293"/>
      <c r="CR280" s="293"/>
      <c r="CS280" s="293"/>
      <c r="CT280" s="293"/>
      <c r="CV280" s="293"/>
      <c r="CW280" s="1495"/>
      <c r="CX280" s="293"/>
      <c r="CZ280" s="293"/>
      <c r="DA280" s="293"/>
      <c r="DB280" s="293"/>
      <c r="DD280" s="293"/>
      <c r="DE280" s="293"/>
      <c r="DF280" s="293"/>
      <c r="DH280" s="293"/>
      <c r="DI280" s="293"/>
      <c r="DJ280" s="293"/>
      <c r="DL280" s="293"/>
      <c r="DM280" s="293"/>
      <c r="DN280" s="293"/>
      <c r="DP280" s="293"/>
      <c r="DQ280" s="293"/>
      <c r="DR280" s="293"/>
      <c r="DU280" s="293"/>
      <c r="DV280" s="293"/>
      <c r="DW280" s="293"/>
      <c r="DZ280" s="102"/>
    </row>
    <row r="281" spans="1:138">
      <c r="A281" s="289" t="s">
        <v>100</v>
      </c>
      <c r="AV281" s="293"/>
      <c r="AW281" s="293"/>
      <c r="AX281" s="293"/>
      <c r="AZ281" s="293"/>
      <c r="BA281" s="293"/>
      <c r="BB281" s="293"/>
      <c r="BD281" s="293"/>
      <c r="BE281" s="293"/>
      <c r="BF281" s="293"/>
      <c r="BH281" s="293"/>
      <c r="BI281" s="293"/>
      <c r="BJ281" s="293"/>
      <c r="BL281" s="293"/>
      <c r="BM281" s="293"/>
      <c r="BN281" s="293"/>
      <c r="BP281" s="293"/>
      <c r="BQ281" s="293"/>
      <c r="BR281" s="293"/>
      <c r="BT281" s="293"/>
      <c r="BU281" s="293"/>
      <c r="BV281" s="293"/>
      <c r="BX281" s="293"/>
      <c r="BY281" s="293"/>
      <c r="BZ281" s="293"/>
      <c r="CB281" s="293"/>
      <c r="CC281" s="293"/>
      <c r="CD281" s="293"/>
      <c r="CF281" s="293"/>
      <c r="CG281" s="293"/>
      <c r="CH281" s="293"/>
      <c r="CJ281" s="293"/>
      <c r="CK281" s="293"/>
      <c r="CL281" s="293"/>
      <c r="CN281" s="293"/>
      <c r="CO281" s="293"/>
      <c r="CP281" s="293"/>
      <c r="CR281" s="293"/>
      <c r="CS281" s="293"/>
      <c r="CT281" s="293"/>
      <c r="CV281" s="293"/>
      <c r="CW281" s="1495"/>
      <c r="CX281" s="293"/>
      <c r="CZ281" s="293"/>
      <c r="DA281" s="293"/>
      <c r="DB281" s="293"/>
      <c r="DD281" s="293"/>
      <c r="DE281" s="293"/>
      <c r="DF281" s="293"/>
      <c r="DH281" s="293"/>
      <c r="DI281" s="293"/>
      <c r="DJ281" s="293"/>
      <c r="DL281" s="293"/>
      <c r="DM281" s="293"/>
      <c r="DN281" s="293"/>
      <c r="DP281" s="293"/>
      <c r="DQ281" s="293"/>
      <c r="DR281" s="293"/>
      <c r="DU281" s="293"/>
      <c r="DV281" s="293"/>
      <c r="DW281" s="293"/>
      <c r="DZ281" s="102"/>
    </row>
    <row r="282" spans="1:138">
      <c r="A282" s="102" t="s">
        <v>62</v>
      </c>
      <c r="C282" s="103" t="s">
        <v>612</v>
      </c>
      <c r="P282" s="703">
        <v>1012</v>
      </c>
      <c r="Q282" s="293">
        <f>+P287</f>
        <v>1096</v>
      </c>
      <c r="R282" s="293">
        <f>+P282</f>
        <v>1012</v>
      </c>
      <c r="T282" s="704">
        <f>R287</f>
        <v>1137</v>
      </c>
      <c r="U282" s="293">
        <f>+T287</f>
        <v>1465</v>
      </c>
      <c r="V282" s="293">
        <f>+T282</f>
        <v>1137</v>
      </c>
      <c r="X282" s="704">
        <f>V287</f>
        <v>1382</v>
      </c>
      <c r="Y282" s="293">
        <f>+X287</f>
        <v>1474</v>
      </c>
      <c r="Z282" s="293">
        <f>+X282</f>
        <v>1382</v>
      </c>
      <c r="AB282" s="626">
        <v>1382</v>
      </c>
      <c r="AC282" s="293">
        <f>+AB287</f>
        <v>1474</v>
      </c>
      <c r="AD282" s="293">
        <f>+AB282</f>
        <v>1382</v>
      </c>
      <c r="AE282" s="293"/>
      <c r="AF282" s="704">
        <f>AD287</f>
        <v>1600</v>
      </c>
      <c r="AG282" s="704">
        <f>AF287</f>
        <v>1830</v>
      </c>
      <c r="AH282" s="704">
        <f>AF282</f>
        <v>1600</v>
      </c>
      <c r="AJ282" s="704">
        <f>AH287</f>
        <v>1916</v>
      </c>
      <c r="AK282" s="704">
        <f>AJ287</f>
        <v>2889</v>
      </c>
      <c r="AL282" s="704">
        <f>AJ282</f>
        <v>1916</v>
      </c>
      <c r="AN282" s="704">
        <f>AL287</f>
        <v>3103</v>
      </c>
      <c r="AO282" s="704">
        <f>AN287</f>
        <v>4336</v>
      </c>
      <c r="AP282" s="704">
        <f>AN282</f>
        <v>3103</v>
      </c>
      <c r="AR282" s="704">
        <f>AP287</f>
        <v>4534</v>
      </c>
      <c r="AS282" s="704">
        <f>AR287</f>
        <v>4832</v>
      </c>
      <c r="AT282" s="704">
        <f>AR282</f>
        <v>4534</v>
      </c>
      <c r="AV282" s="704">
        <f>AT287</f>
        <v>4906</v>
      </c>
      <c r="AW282" s="702">
        <f>AV287</f>
        <v>6267</v>
      </c>
      <c r="AX282" s="702">
        <f>AV282</f>
        <v>4906</v>
      </c>
      <c r="AZ282" s="702">
        <f>AX287</f>
        <v>6990</v>
      </c>
      <c r="BA282" s="704">
        <f>AZ287</f>
        <v>7063</v>
      </c>
      <c r="BB282" s="702">
        <f>AZ282</f>
        <v>6990</v>
      </c>
      <c r="BD282" s="702">
        <f>BB287</f>
        <v>7140</v>
      </c>
      <c r="BE282" s="704">
        <f>BD287</f>
        <v>7103</v>
      </c>
      <c r="BF282" s="702">
        <f>BD282</f>
        <v>7140</v>
      </c>
      <c r="BH282" s="702">
        <f>BF287</f>
        <v>7127</v>
      </c>
      <c r="BI282" s="704">
        <f>BH287</f>
        <v>6876</v>
      </c>
      <c r="BJ282" s="702">
        <f>BH282</f>
        <v>7127</v>
      </c>
      <c r="BL282" s="702">
        <f>BJ287</f>
        <v>6882</v>
      </c>
      <c r="BM282" s="704">
        <f>BL287</f>
        <v>6884</v>
      </c>
      <c r="BN282" s="702">
        <f>BL282</f>
        <v>6882</v>
      </c>
      <c r="BP282" s="702">
        <f>BN287</f>
        <v>6075</v>
      </c>
      <c r="BQ282" s="704">
        <f>BP287</f>
        <v>6041</v>
      </c>
      <c r="BR282" s="702">
        <f>BP282</f>
        <v>6075</v>
      </c>
      <c r="BT282" s="702">
        <f>BR287</f>
        <v>6901</v>
      </c>
      <c r="BU282" s="704">
        <f>BT287</f>
        <v>6911</v>
      </c>
      <c r="BV282" s="702">
        <f>BT282</f>
        <v>6901</v>
      </c>
      <c r="BX282" s="702">
        <f>BV287</f>
        <v>7446</v>
      </c>
      <c r="BY282" s="704">
        <f>BX287</f>
        <v>7444</v>
      </c>
      <c r="BZ282" s="702">
        <f>BX282</f>
        <v>7446</v>
      </c>
      <c r="CB282" s="702">
        <f>BZ287</f>
        <v>7467</v>
      </c>
      <c r="CC282" s="704">
        <f>CB287</f>
        <v>7485</v>
      </c>
      <c r="CD282" s="702">
        <f>CB282</f>
        <v>7467</v>
      </c>
      <c r="CF282" s="702">
        <f>CD287</f>
        <v>7498</v>
      </c>
      <c r="CG282" s="704">
        <f>CF287</f>
        <v>7550</v>
      </c>
      <c r="CH282" s="702">
        <f>CF282</f>
        <v>7498</v>
      </c>
      <c r="CJ282" s="702">
        <f>CH287</f>
        <v>7546</v>
      </c>
      <c r="CK282" s="1451">
        <f>CJ287</f>
        <v>9282</v>
      </c>
      <c r="CL282" s="1451">
        <f>CJ282</f>
        <v>7546</v>
      </c>
      <c r="CM282" s="1009"/>
      <c r="CN282" s="1451">
        <f>CL287</f>
        <v>9290</v>
      </c>
      <c r="CO282" s="1451">
        <f>CN287</f>
        <v>10138</v>
      </c>
      <c r="CP282" s="1451">
        <f>CN282</f>
        <v>9290</v>
      </c>
      <c r="CQ282" s="1009"/>
      <c r="CR282" s="1451">
        <f>CP287</f>
        <v>10166</v>
      </c>
      <c r="CS282" s="1451">
        <f>CR287</f>
        <v>11290</v>
      </c>
      <c r="CT282" s="1451">
        <f>CR282</f>
        <v>10166</v>
      </c>
      <c r="CV282" s="702">
        <f>CT287</f>
        <v>14156</v>
      </c>
      <c r="CW282" s="1451">
        <f>CV287</f>
        <v>14741</v>
      </c>
      <c r="CX282" s="1451">
        <f>CV282</f>
        <v>14156</v>
      </c>
      <c r="CZ282" s="702">
        <f>CX287</f>
        <v>14735</v>
      </c>
      <c r="DA282" s="1451">
        <f>CZ287</f>
        <v>14812</v>
      </c>
      <c r="DB282" s="1451">
        <f>CZ282</f>
        <v>14735</v>
      </c>
      <c r="DD282" s="702">
        <f>DB287</f>
        <v>14156</v>
      </c>
      <c r="DE282" s="1451">
        <f>DD287</f>
        <v>13887</v>
      </c>
      <c r="DF282" s="1451">
        <f>DD282</f>
        <v>14156</v>
      </c>
      <c r="DH282" s="702">
        <f>DF287</f>
        <v>13834</v>
      </c>
      <c r="DI282" s="704">
        <f>DH287</f>
        <v>13925</v>
      </c>
      <c r="DJ282" s="704">
        <f>DH282</f>
        <v>13834</v>
      </c>
      <c r="DL282" s="704">
        <f>DJ287</f>
        <v>14120.333437687499</v>
      </c>
      <c r="DM282" s="704">
        <f>DL287</f>
        <v>14325.946297533304</v>
      </c>
      <c r="DN282" s="704">
        <f>DL282</f>
        <v>14120.333437687499</v>
      </c>
      <c r="DP282" s="704">
        <f>DN287</f>
        <v>14542.379534128493</v>
      </c>
      <c r="DQ282" s="704">
        <f>DP287</f>
        <v>14770.202569799505</v>
      </c>
      <c r="DR282" s="704">
        <f>DP282</f>
        <v>14542.379534128493</v>
      </c>
      <c r="DU282" s="407"/>
      <c r="DV282" s="407"/>
      <c r="DW282" s="407"/>
    </row>
    <row r="283" spans="1:138">
      <c r="A283" s="102" t="s">
        <v>64</v>
      </c>
      <c r="C283" s="103" t="s">
        <v>612</v>
      </c>
      <c r="P283" s="626">
        <v>0</v>
      </c>
      <c r="Q283" s="626">
        <v>0</v>
      </c>
      <c r="R283" s="704">
        <f>+Q283+P283</f>
        <v>0</v>
      </c>
      <c r="T283" s="626">
        <v>150</v>
      </c>
      <c r="U283" s="626">
        <v>0</v>
      </c>
      <c r="V283" s="704">
        <f>+U283+T283</f>
        <v>150</v>
      </c>
      <c r="X283" s="626">
        <v>0</v>
      </c>
      <c r="Y283" s="626">
        <v>0</v>
      </c>
      <c r="Z283" s="704">
        <f>+Y283+X283</f>
        <v>0</v>
      </c>
      <c r="AB283" s="626">
        <v>0</v>
      </c>
      <c r="AC283" s="626">
        <v>0</v>
      </c>
      <c r="AD283" s="704">
        <f>+AC283+AB283</f>
        <v>0</v>
      </c>
      <c r="AE283" s="293"/>
      <c r="AF283" s="703">
        <v>0</v>
      </c>
      <c r="AG283" s="703">
        <v>0</v>
      </c>
      <c r="AH283" s="704">
        <f>+AG283+AF283</f>
        <v>0</v>
      </c>
      <c r="AI283" s="320"/>
      <c r="AJ283" s="703">
        <f>696+9</f>
        <v>705</v>
      </c>
      <c r="AK283" s="703">
        <v>0</v>
      </c>
      <c r="AL283" s="704">
        <f>+AK283+AJ283</f>
        <v>705</v>
      </c>
      <c r="AN283" s="703">
        <f>745+79</f>
        <v>824</v>
      </c>
      <c r="AO283" s="703">
        <v>0</v>
      </c>
      <c r="AP283" s="704">
        <f>+AO283+AN283</f>
        <v>824</v>
      </c>
      <c r="AR283" s="703">
        <v>0</v>
      </c>
      <c r="AS283" s="703">
        <v>0</v>
      </c>
      <c r="AT283" s="704">
        <f>+AS283+AR283</f>
        <v>0</v>
      </c>
      <c r="AV283" s="703">
        <f>533+668</f>
        <v>1201</v>
      </c>
      <c r="AW283" s="705">
        <v>0</v>
      </c>
      <c r="AX283" s="702">
        <f>+AW283+AV283</f>
        <v>1201</v>
      </c>
      <c r="AZ283" s="705">
        <v>0</v>
      </c>
      <c r="BA283" s="703">
        <v>0</v>
      </c>
      <c r="BB283" s="702">
        <f>+BA283+AZ283</f>
        <v>0</v>
      </c>
      <c r="BD283" s="705">
        <v>0</v>
      </c>
      <c r="BE283" s="705">
        <v>0</v>
      </c>
      <c r="BF283" s="702">
        <f>+BE283+BD283</f>
        <v>0</v>
      </c>
      <c r="BH283" s="705">
        <v>0</v>
      </c>
      <c r="BI283" s="706">
        <f>BJ283-BH283</f>
        <v>0</v>
      </c>
      <c r="BJ283" s="705">
        <v>0</v>
      </c>
      <c r="BL283" s="705">
        <v>0</v>
      </c>
      <c r="BM283" s="706">
        <f>BN283-BL283</f>
        <v>0</v>
      </c>
      <c r="BN283" s="705">
        <v>0</v>
      </c>
      <c r="BP283" s="705">
        <v>0</v>
      </c>
      <c r="BQ283" s="706">
        <f>BR283-BP283</f>
        <v>0</v>
      </c>
      <c r="BR283" s="707">
        <v>0</v>
      </c>
      <c r="BS283" s="708" t="s">
        <v>985</v>
      </c>
      <c r="BT283" s="705">
        <v>0</v>
      </c>
      <c r="BU283" s="706">
        <f>BV283-BT283</f>
        <v>538</v>
      </c>
      <c r="BV283" s="705">
        <v>538</v>
      </c>
      <c r="BX283" s="705">
        <v>0</v>
      </c>
      <c r="BY283" s="706">
        <f>BZ283-BX283</f>
        <v>0</v>
      </c>
      <c r="BZ283" s="705">
        <v>0</v>
      </c>
      <c r="CB283" s="705">
        <v>0</v>
      </c>
      <c r="CC283" s="706">
        <f>CD283-CB283</f>
        <v>0</v>
      </c>
      <c r="CD283" s="705">
        <v>0</v>
      </c>
      <c r="CF283" s="705">
        <v>0</v>
      </c>
      <c r="CG283" s="706">
        <f>CH283-CF283</f>
        <v>0</v>
      </c>
      <c r="CH283" s="705">
        <v>0</v>
      </c>
      <c r="CJ283" s="705">
        <f>991+679</f>
        <v>1670</v>
      </c>
      <c r="CK283" s="1720">
        <f>CL283-CJ283</f>
        <v>0</v>
      </c>
      <c r="CL283" s="1450">
        <f>991+679</f>
        <v>1670</v>
      </c>
      <c r="CM283" s="1009"/>
      <c r="CN283" s="1450">
        <v>0</v>
      </c>
      <c r="CO283" s="1720">
        <f>CP283-CN283</f>
        <v>0</v>
      </c>
      <c r="CP283" s="1450">
        <v>0</v>
      </c>
      <c r="CQ283" s="1009"/>
      <c r="CR283" s="1450">
        <v>0</v>
      </c>
      <c r="CS283" s="1720">
        <f>CT283-CR283</f>
        <v>2800</v>
      </c>
      <c r="CT283" s="1450">
        <v>2800</v>
      </c>
      <c r="CV283" s="1450">
        <v>0</v>
      </c>
      <c r="CW283" s="1720">
        <f>CX283-CV283</f>
        <v>0</v>
      </c>
      <c r="CX283" s="705">
        <v>0</v>
      </c>
      <c r="CZ283" s="1450">
        <v>0</v>
      </c>
      <c r="DA283" s="1720">
        <f>DB283-CZ283</f>
        <v>0</v>
      </c>
      <c r="DB283" s="1450">
        <v>0</v>
      </c>
      <c r="DD283" s="1450">
        <v>0</v>
      </c>
      <c r="DE283" s="1720">
        <f>DF283-DD283</f>
        <v>0</v>
      </c>
      <c r="DF283" s="705">
        <v>0</v>
      </c>
      <c r="DH283" s="1450">
        <v>0</v>
      </c>
      <c r="DI283" s="704">
        <f>DI301</f>
        <v>0</v>
      </c>
      <c r="DJ283" s="704">
        <f>+DI283+DH283</f>
        <v>0</v>
      </c>
      <c r="DL283" s="704">
        <f>DL301</f>
        <v>0</v>
      </c>
      <c r="DM283" s="704">
        <f>DM301</f>
        <v>0</v>
      </c>
      <c r="DN283" s="704">
        <f>+DM283+DL283</f>
        <v>0</v>
      </c>
      <c r="DP283" s="704">
        <f>DP301</f>
        <v>0</v>
      </c>
      <c r="DQ283" s="704">
        <f>DQ301</f>
        <v>0</v>
      </c>
      <c r="DR283" s="704">
        <f>+DQ283+DP283</f>
        <v>0</v>
      </c>
      <c r="DU283" s="407"/>
      <c r="DV283" s="407"/>
      <c r="DW283" s="407"/>
    </row>
    <row r="284" spans="1:138">
      <c r="A284" s="102" t="s">
        <v>101</v>
      </c>
      <c r="C284" s="103" t="s">
        <v>612</v>
      </c>
      <c r="P284" s="626">
        <v>0</v>
      </c>
      <c r="Q284" s="626">
        <v>0</v>
      </c>
      <c r="R284" s="704">
        <f>+Q284+P284</f>
        <v>0</v>
      </c>
      <c r="T284" s="626">
        <f>T306</f>
        <v>-12.25844206</v>
      </c>
      <c r="U284" s="626">
        <f>U306</f>
        <v>-154.93034024000002</v>
      </c>
      <c r="V284" s="704">
        <f>+U284+T284</f>
        <v>-167.18878230000001</v>
      </c>
      <c r="X284" s="626">
        <v>0</v>
      </c>
      <c r="Y284" s="626">
        <v>0</v>
      </c>
      <c r="Z284" s="704">
        <f>+Y284+X284</f>
        <v>0</v>
      </c>
      <c r="AB284" s="626">
        <v>0</v>
      </c>
      <c r="AC284" s="626">
        <v>0</v>
      </c>
      <c r="AD284" s="704">
        <f>+AC284+AB284</f>
        <v>0</v>
      </c>
      <c r="AE284" s="293"/>
      <c r="AF284" s="703">
        <v>0</v>
      </c>
      <c r="AG284" s="703">
        <v>0</v>
      </c>
      <c r="AH284" s="704">
        <f>+AG284+AF284</f>
        <v>0</v>
      </c>
      <c r="AI284" s="320"/>
      <c r="AJ284" s="703">
        <v>0</v>
      </c>
      <c r="AK284" s="703">
        <v>0</v>
      </c>
      <c r="AL284" s="704">
        <f>+AK284+AJ284</f>
        <v>0</v>
      </c>
      <c r="AN284" s="703">
        <v>0</v>
      </c>
      <c r="AO284" s="703">
        <v>0</v>
      </c>
      <c r="AP284" s="704">
        <f>+AO284+AN284</f>
        <v>0</v>
      </c>
      <c r="AR284" s="703">
        <v>0</v>
      </c>
      <c r="AS284" s="703">
        <v>0</v>
      </c>
      <c r="AT284" s="704">
        <f>+AS284+AR284</f>
        <v>0</v>
      </c>
      <c r="AV284" s="703">
        <v>0</v>
      </c>
      <c r="AW284" s="705">
        <v>0</v>
      </c>
      <c r="AX284" s="702">
        <f>+AW284+AV284</f>
        <v>0</v>
      </c>
      <c r="AZ284" s="705">
        <v>0</v>
      </c>
      <c r="BA284" s="704">
        <f>BA306</f>
        <v>0</v>
      </c>
      <c r="BB284" s="702">
        <f>+BA284+AZ284</f>
        <v>0</v>
      </c>
      <c r="BD284" s="705">
        <v>0</v>
      </c>
      <c r="BE284" s="705">
        <v>0</v>
      </c>
      <c r="BF284" s="702">
        <f>+BE284+BD284</f>
        <v>0</v>
      </c>
      <c r="BH284" s="705">
        <v>-250</v>
      </c>
      <c r="BI284" s="706">
        <f>BJ284-BH284</f>
        <v>-1</v>
      </c>
      <c r="BJ284" s="705">
        <v>-251</v>
      </c>
      <c r="BL284" s="705">
        <v>0</v>
      </c>
      <c r="BM284" s="706">
        <f>BN284-BL284</f>
        <v>0</v>
      </c>
      <c r="BN284" s="705">
        <v>0</v>
      </c>
      <c r="BP284" s="705">
        <v>0</v>
      </c>
      <c r="BQ284" s="706">
        <f>BR284-BP284</f>
        <v>0</v>
      </c>
      <c r="BR284" s="705">
        <v>0</v>
      </c>
      <c r="BT284" s="705">
        <v>0</v>
      </c>
      <c r="BU284" s="706">
        <f>BV284-BT284</f>
        <v>0</v>
      </c>
      <c r="BV284" s="705">
        <v>0</v>
      </c>
      <c r="BX284" s="705">
        <v>0</v>
      </c>
      <c r="BY284" s="706">
        <f>BZ284-BX284</f>
        <v>0</v>
      </c>
      <c r="BZ284" s="705">
        <v>0</v>
      </c>
      <c r="CB284" s="705">
        <v>0</v>
      </c>
      <c r="CC284" s="706">
        <f>CD284-CB284</f>
        <v>0</v>
      </c>
      <c r="CD284" s="705">
        <v>0</v>
      </c>
      <c r="CF284" s="705">
        <v>0</v>
      </c>
      <c r="CG284" s="706">
        <f>CH284-CF284</f>
        <v>0</v>
      </c>
      <c r="CH284" s="705">
        <v>0</v>
      </c>
      <c r="CJ284" s="705">
        <v>0</v>
      </c>
      <c r="CK284" s="1720">
        <f>CL284-CJ284</f>
        <v>0</v>
      </c>
      <c r="CL284" s="1450">
        <v>0</v>
      </c>
      <c r="CM284" s="1009"/>
      <c r="CN284" s="1450">
        <v>0</v>
      </c>
      <c r="CO284" s="1720">
        <f>CP284-CN284</f>
        <v>0</v>
      </c>
      <c r="CP284" s="1450">
        <v>0</v>
      </c>
      <c r="CQ284" s="1009"/>
      <c r="CR284" s="1450">
        <v>0</v>
      </c>
      <c r="CS284" s="1720">
        <f>CT284-CR284</f>
        <v>0</v>
      </c>
      <c r="CT284" s="1450">
        <v>0</v>
      </c>
      <c r="CV284" s="1450">
        <v>0</v>
      </c>
      <c r="CW284" s="1720">
        <f>CX284-CV284</f>
        <v>0</v>
      </c>
      <c r="CX284" s="705">
        <v>0</v>
      </c>
      <c r="CZ284" s="1450">
        <v>0</v>
      </c>
      <c r="DA284" s="1720">
        <f>DB284-CZ284</f>
        <v>-644</v>
      </c>
      <c r="DB284" s="1450">
        <v>-644</v>
      </c>
      <c r="DD284" s="1450">
        <v>-369</v>
      </c>
      <c r="DE284" s="1720">
        <f>DF284-DD284</f>
        <v>0</v>
      </c>
      <c r="DF284" s="2176">
        <v>-369</v>
      </c>
      <c r="DH284" s="1450">
        <v>0</v>
      </c>
      <c r="DI284" s="704">
        <f>DI306</f>
        <v>0</v>
      </c>
      <c r="DJ284" s="704">
        <f>+DI284+DH284</f>
        <v>0</v>
      </c>
      <c r="DL284" s="704">
        <f>DL306</f>
        <v>0</v>
      </c>
      <c r="DM284" s="704">
        <f>DM306</f>
        <v>0</v>
      </c>
      <c r="DN284" s="704">
        <f>+DM284+DL284</f>
        <v>0</v>
      </c>
      <c r="DP284" s="704">
        <f>DP306</f>
        <v>0</v>
      </c>
      <c r="DQ284" s="704">
        <f>DQ306</f>
        <v>0</v>
      </c>
      <c r="DR284" s="704">
        <f>+DQ284+DP284</f>
        <v>0</v>
      </c>
      <c r="DU284" s="407"/>
      <c r="DV284" s="407"/>
      <c r="DW284" s="407"/>
    </row>
    <row r="285" spans="1:138">
      <c r="A285" s="102" t="s">
        <v>964</v>
      </c>
      <c r="C285" s="103" t="s">
        <v>612</v>
      </c>
      <c r="P285" s="626">
        <v>50</v>
      </c>
      <c r="Q285" s="626">
        <v>28</v>
      </c>
      <c r="R285" s="704">
        <f>+Q285+P285</f>
        <v>78</v>
      </c>
      <c r="T285" s="626">
        <v>106</v>
      </c>
      <c r="U285" s="626">
        <v>35</v>
      </c>
      <c r="V285" s="704">
        <f>+U285+T285</f>
        <v>141</v>
      </c>
      <c r="X285" s="626">
        <v>28</v>
      </c>
      <c r="Y285" s="626">
        <v>23</v>
      </c>
      <c r="Z285" s="704">
        <f>+Y285+X285</f>
        <v>51</v>
      </c>
      <c r="AB285" s="626">
        <v>28</v>
      </c>
      <c r="AC285" s="626">
        <v>23</v>
      </c>
      <c r="AD285" s="704">
        <f>+AC285+AB285</f>
        <v>51</v>
      </c>
      <c r="AE285" s="293"/>
      <c r="AF285" s="703">
        <v>58</v>
      </c>
      <c r="AG285" s="703">
        <v>27</v>
      </c>
      <c r="AH285" s="704">
        <f>+AG285+AF285</f>
        <v>85</v>
      </c>
      <c r="AI285" s="320"/>
      <c r="AJ285" s="703">
        <v>97</v>
      </c>
      <c r="AK285" s="703">
        <v>117</v>
      </c>
      <c r="AL285" s="704">
        <f>+AK285+AJ285</f>
        <v>214</v>
      </c>
      <c r="AN285" s="703">
        <v>185</v>
      </c>
      <c r="AO285" s="703">
        <v>114</v>
      </c>
      <c r="AP285" s="704">
        <f>+AO285+AN285</f>
        <v>299</v>
      </c>
      <c r="AR285" s="703">
        <v>157</v>
      </c>
      <c r="AS285" s="703">
        <v>66</v>
      </c>
      <c r="AT285" s="704">
        <f>+AS285+AR285</f>
        <v>223</v>
      </c>
      <c r="AV285" s="703">
        <v>25</v>
      </c>
      <c r="AW285" s="705">
        <v>95</v>
      </c>
      <c r="AX285" s="702">
        <f>+AW285+AV285</f>
        <v>120</v>
      </c>
      <c r="AZ285" s="705">
        <v>42</v>
      </c>
      <c r="BA285" s="705">
        <f>72-AZ285</f>
        <v>30</v>
      </c>
      <c r="BB285" s="702">
        <f>+BA285+AZ285</f>
        <v>72</v>
      </c>
      <c r="BD285" s="705">
        <v>49</v>
      </c>
      <c r="BE285" s="709">
        <v>44</v>
      </c>
      <c r="BF285" s="702">
        <f>+BE285+BD285</f>
        <v>93</v>
      </c>
      <c r="BH285" s="705">
        <v>0</v>
      </c>
      <c r="BI285" s="706">
        <f>BJ285-BH285</f>
        <v>0</v>
      </c>
      <c r="BJ285" s="705">
        <v>0</v>
      </c>
      <c r="BL285" s="705">
        <v>0</v>
      </c>
      <c r="BM285" s="706">
        <f>BN285-BL285</f>
        <v>0</v>
      </c>
      <c r="BN285" s="705">
        <v>0</v>
      </c>
      <c r="BP285" s="705">
        <v>0</v>
      </c>
      <c r="BQ285" s="706">
        <f>BR285-BP285</f>
        <v>171</v>
      </c>
      <c r="BR285" s="705">
        <v>171</v>
      </c>
      <c r="BT285" s="705">
        <v>0</v>
      </c>
      <c r="BU285" s="706">
        <f>BV285-BT285</f>
        <v>0</v>
      </c>
      <c r="BV285" s="705">
        <v>0</v>
      </c>
      <c r="BX285" s="705">
        <v>0</v>
      </c>
      <c r="BY285" s="706">
        <f>BZ285-BX285</f>
        <v>0</v>
      </c>
      <c r="BZ285" s="705">
        <v>0</v>
      </c>
      <c r="CB285" s="705">
        <v>0</v>
      </c>
      <c r="CC285" s="706">
        <f>CD285-CB285</f>
        <v>0</v>
      </c>
      <c r="CD285" s="705">
        <v>0</v>
      </c>
      <c r="CF285" s="705">
        <v>0</v>
      </c>
      <c r="CG285" s="706">
        <f>CH285-CF285</f>
        <v>0</v>
      </c>
      <c r="CH285" s="705">
        <v>0</v>
      </c>
      <c r="CJ285" s="705">
        <v>0</v>
      </c>
      <c r="CK285" s="1720">
        <f>CL285-CJ285</f>
        <v>0</v>
      </c>
      <c r="CL285" s="1450">
        <v>0</v>
      </c>
      <c r="CM285" s="1009"/>
      <c r="CN285" s="1450">
        <v>0</v>
      </c>
      <c r="CO285" s="1720">
        <f>CP285-CN285</f>
        <v>0</v>
      </c>
      <c r="CP285" s="1450">
        <v>0</v>
      </c>
      <c r="CQ285" s="1009"/>
      <c r="CR285" s="1450">
        <v>432</v>
      </c>
      <c r="CS285" s="1720">
        <f>CT285-CR285</f>
        <v>84</v>
      </c>
      <c r="CT285" s="1450">
        <v>516</v>
      </c>
      <c r="CV285" s="1450">
        <v>485</v>
      </c>
      <c r="CW285" s="1720">
        <f>CX285-CV285</f>
        <v>0</v>
      </c>
      <c r="CX285" s="705">
        <v>485</v>
      </c>
      <c r="CZ285" s="1450">
        <v>0</v>
      </c>
      <c r="DA285" s="1720">
        <f>DB285-CZ285</f>
        <v>0</v>
      </c>
      <c r="DB285" s="1450">
        <v>0</v>
      </c>
      <c r="DD285" s="1450">
        <v>0</v>
      </c>
      <c r="DE285" s="1720">
        <f>DF285-DD285</f>
        <v>0</v>
      </c>
      <c r="DF285" s="705">
        <v>0</v>
      </c>
      <c r="DH285" s="1450">
        <v>0</v>
      </c>
      <c r="DI285" s="702">
        <f t="shared" ref="DI285" si="315">+DI320</f>
        <v>0</v>
      </c>
      <c r="DJ285" s="702">
        <f t="shared" ref="DJ285" si="316">DI285+DH285</f>
        <v>0</v>
      </c>
      <c r="DL285" s="702">
        <f t="shared" ref="DL285:DM285" si="317">+DL320</f>
        <v>0</v>
      </c>
      <c r="DM285" s="702">
        <f t="shared" si="317"/>
        <v>0</v>
      </c>
      <c r="DN285" s="702">
        <f t="shared" ref="DN285" si="318">DM285+DL285</f>
        <v>0</v>
      </c>
      <c r="DP285" s="702">
        <f t="shared" ref="DP285:DQ285" si="319">+DP320</f>
        <v>0</v>
      </c>
      <c r="DQ285" s="702">
        <f t="shared" si="319"/>
        <v>0</v>
      </c>
      <c r="DR285" s="702">
        <f t="shared" ref="DR285" si="320">DQ285+DP285</f>
        <v>0</v>
      </c>
      <c r="DU285" s="407"/>
      <c r="DV285" s="407"/>
      <c r="DW285" s="407"/>
    </row>
    <row r="286" spans="1:138">
      <c r="A286" s="102" t="s">
        <v>1245</v>
      </c>
      <c r="C286" s="103" t="s">
        <v>612</v>
      </c>
      <c r="P286" s="293">
        <f>+P287-P282-P283-P284-P285</f>
        <v>34</v>
      </c>
      <c r="Q286" s="293">
        <f>+Q287-Q282-Q283-Q284-Q285</f>
        <v>13</v>
      </c>
      <c r="R286" s="704">
        <f>+Q286+P286</f>
        <v>47</v>
      </c>
      <c r="T286" s="293">
        <f>+T287-T282-T283-T284-T285</f>
        <v>84.258442059999993</v>
      </c>
      <c r="U286" s="293">
        <f>+U287-U282-U283-U284-U285</f>
        <v>36.930340240000021</v>
      </c>
      <c r="V286" s="704">
        <f>+U286+T286</f>
        <v>121.18878230000001</v>
      </c>
      <c r="X286" s="293">
        <f>+X287-X282-X283-X284-X285</f>
        <v>64</v>
      </c>
      <c r="Y286" s="293">
        <f>+Y287-Y282-Y283-Y284-Y285</f>
        <v>103</v>
      </c>
      <c r="Z286" s="704">
        <f>+Y286+X286</f>
        <v>167</v>
      </c>
      <c r="AB286" s="293">
        <f>+AB287-AB282-AB283-AB284-AB285</f>
        <v>64</v>
      </c>
      <c r="AC286" s="293">
        <f>+AC287-AC282-AC283-AC284-AC285</f>
        <v>103</v>
      </c>
      <c r="AD286" s="704">
        <f>+AC286+AB286</f>
        <v>167</v>
      </c>
      <c r="AE286" s="293"/>
      <c r="AF286" s="293">
        <f>+AF287-AF282-AF283-AF284-AF285</f>
        <v>172</v>
      </c>
      <c r="AG286" s="293">
        <f>+AG287-AG282-AG283-AG284-AG285</f>
        <v>59</v>
      </c>
      <c r="AH286" s="293">
        <f>+AH287-AH282-AH283-AH284-AH285</f>
        <v>231</v>
      </c>
      <c r="AI286" s="320"/>
      <c r="AJ286" s="293">
        <f>+AJ287-AJ282-AJ283-AJ284-AJ285</f>
        <v>171</v>
      </c>
      <c r="AK286" s="293">
        <f>+AK287-AK282-AK283-AK284-AK285</f>
        <v>97</v>
      </c>
      <c r="AL286" s="293">
        <f>+AL287-AL282-AL283-AL284-AL285</f>
        <v>268</v>
      </c>
      <c r="AN286" s="293">
        <f>+AN287-AN282-AN283-AN284-AN285</f>
        <v>224</v>
      </c>
      <c r="AO286" s="293">
        <f>+AO287-AO282-AO283-AO284-AO285</f>
        <v>84</v>
      </c>
      <c r="AP286" s="293">
        <f>+AP287-AP282-AP283-AP284-AP285</f>
        <v>308</v>
      </c>
      <c r="AR286" s="293">
        <f>+AR287-AR282-AR283-AR284-AR285</f>
        <v>141</v>
      </c>
      <c r="AS286" s="293">
        <f>+AS287-AS282-AS283-AS284-AS285</f>
        <v>8</v>
      </c>
      <c r="AT286" s="293">
        <f>+AT287-AT282-AT283-AT284-AT285</f>
        <v>149</v>
      </c>
      <c r="AV286" s="293">
        <f>+AV287-AV282-AV283-AV284-AV285</f>
        <v>135</v>
      </c>
      <c r="AW286" s="293">
        <f>+AW287-AW282-AW283-AW284-AW285</f>
        <v>628</v>
      </c>
      <c r="AX286" s="293">
        <f>+AX287-AX282-AX283-AX284-AX285</f>
        <v>763</v>
      </c>
      <c r="AZ286" s="293">
        <f>+AZ287-AZ282-AZ283-AZ284-AZ285</f>
        <v>31</v>
      </c>
      <c r="BA286" s="293">
        <f>+BA287-BA282-BA283-BA284-BA285</f>
        <v>47</v>
      </c>
      <c r="BB286" s="293">
        <f>+BB287-BB282-BB283-BB284-BB285</f>
        <v>78</v>
      </c>
      <c r="BD286" s="293">
        <f>+BD287-BD282-BD283-BD284-BD285</f>
        <v>-86</v>
      </c>
      <c r="BE286" s="293">
        <f>+BE287-BE282-BE283-BE284-BE285</f>
        <v>-20</v>
      </c>
      <c r="BF286" s="293">
        <f>+BF287-BF282-BF283-BF284-BF285</f>
        <v>-106</v>
      </c>
      <c r="BH286" s="293">
        <f>+BH287-BH282-BH283-BH284-BH285</f>
        <v>-1</v>
      </c>
      <c r="BI286" s="293">
        <f>+BI287-BI282-BI283-BI284-BI285</f>
        <v>7</v>
      </c>
      <c r="BJ286" s="293">
        <f>+BJ287-BJ282-BJ283-BJ284-BJ285</f>
        <v>6</v>
      </c>
      <c r="BL286" s="293">
        <f>+BL287-BL282-BL283-BL284-BL285</f>
        <v>2</v>
      </c>
      <c r="BM286" s="293">
        <f>+BM287-BM282-BM283-BM284-BM285</f>
        <v>-809</v>
      </c>
      <c r="BN286" s="293">
        <f>+BN287-BN282-BN283-BN284-BN285</f>
        <v>-807</v>
      </c>
      <c r="BP286" s="293">
        <f>+BP287-BP282-BP283-BP284-BP285</f>
        <v>-34</v>
      </c>
      <c r="BQ286" s="293">
        <f>+BQ287-BQ282-BQ283-BQ284-BQ285</f>
        <v>689</v>
      </c>
      <c r="BR286" s="293">
        <f>+BR287-BR282-BR283-BR284-BR285</f>
        <v>655</v>
      </c>
      <c r="BT286" s="293">
        <f>+BT287-BT282-BT283-BT284-BT285</f>
        <v>10</v>
      </c>
      <c r="BU286" s="293">
        <f>+BU287-BU282-BU283-BU284-BU285</f>
        <v>-3</v>
      </c>
      <c r="BV286" s="293">
        <f>+BV287-BV282-BV283-BV284-BV285</f>
        <v>7</v>
      </c>
      <c r="BX286" s="293">
        <f>+BX287-BX282-BX283-BX284-BX285</f>
        <v>-2</v>
      </c>
      <c r="BY286" s="293">
        <f>+BY287-BY282-BY283-BY284-BY285</f>
        <v>23</v>
      </c>
      <c r="BZ286" s="293">
        <f>+BZ287-BZ282-BZ283-BZ284-BZ285</f>
        <v>21</v>
      </c>
      <c r="CB286" s="293">
        <f>+CB287-CB282-CB283-CB284-CB285</f>
        <v>18</v>
      </c>
      <c r="CC286" s="293">
        <f>+CC287-CC282-CC283-CC284-CC285</f>
        <v>13</v>
      </c>
      <c r="CD286" s="293">
        <f>+CD287-CD282-CD283-CD284-CD285</f>
        <v>31</v>
      </c>
      <c r="CF286" s="293">
        <f>+CF287-CF282-CF283-CF284-CF285</f>
        <v>52</v>
      </c>
      <c r="CG286" s="293">
        <f>+CG287-CG282-CG283-CG284-CG285</f>
        <v>-4</v>
      </c>
      <c r="CH286" s="293">
        <f>+CH287-CH282-CH283-CH284-CH285</f>
        <v>48</v>
      </c>
      <c r="CJ286" s="293">
        <f>+CJ287-CJ282-CJ283-CJ284-CJ285</f>
        <v>66</v>
      </c>
      <c r="CK286" s="1010">
        <f>+CK287-CK282-CK283-CK284-CK285</f>
        <v>8</v>
      </c>
      <c r="CL286" s="1010">
        <f>+CL287-CL282-CL283-CL284-CL285</f>
        <v>74</v>
      </c>
      <c r="CM286" s="1009"/>
      <c r="CN286" s="1010">
        <f>+CN287-CN282-CN283-CN284-CN285</f>
        <v>848</v>
      </c>
      <c r="CO286" s="1010">
        <f>+CO287-CO282-CO283-CO284-CO285</f>
        <v>28</v>
      </c>
      <c r="CP286" s="1010">
        <f>+CP287-CP282-CP283-CP284-CP285</f>
        <v>876</v>
      </c>
      <c r="CQ286" s="1009"/>
      <c r="CR286" s="1010">
        <f>+CR287-CR282-CR283-CR284-CR285</f>
        <v>692</v>
      </c>
      <c r="CS286" s="1010">
        <f>+CS287-CS282-CS283-CS284-CS285</f>
        <v>-18</v>
      </c>
      <c r="CT286" s="1010">
        <f>+CT287-CT282-CT283-CT284-CT285</f>
        <v>674</v>
      </c>
      <c r="CV286" s="293">
        <f>+CV287-CV282-CV283-CV284-CV285</f>
        <v>100</v>
      </c>
      <c r="CW286" s="1490">
        <f>+CW287-CW282-CW283-CW284-CW285</f>
        <v>-6</v>
      </c>
      <c r="CX286" s="293">
        <f>+CX287-CX282-CX283-CX284-CX285</f>
        <v>94</v>
      </c>
      <c r="CZ286" s="293">
        <f>+CZ287-CZ282-CZ283-CZ284-CZ285</f>
        <v>77</v>
      </c>
      <c r="DA286" s="1490">
        <f>+DA287-DA282-DA283-DA284-DA285</f>
        <v>-12</v>
      </c>
      <c r="DB286" s="2018">
        <f>+DB287-DB282-DB283-DB284-DB285</f>
        <v>65</v>
      </c>
      <c r="DD286" s="293">
        <f>+DD287-DD282-DD283-DD284-DD285</f>
        <v>100</v>
      </c>
      <c r="DE286" s="1490">
        <f>+DE287-DE282-DE283-DE284-DE285</f>
        <v>-53</v>
      </c>
      <c r="DF286" s="2018">
        <f>+DF287-DF282-DF283-DF284-DF285</f>
        <v>47</v>
      </c>
      <c r="DH286" s="293">
        <f>+DH287-DH282-DH283-DH284-DH285</f>
        <v>91</v>
      </c>
      <c r="DI286" s="293">
        <f>DI323</f>
        <v>195.33343768750001</v>
      </c>
      <c r="DJ286" s="704">
        <f>+DI286+DH286</f>
        <v>286.33343768750001</v>
      </c>
      <c r="DL286" s="293">
        <f>DL323</f>
        <v>205.61285984580471</v>
      </c>
      <c r="DM286" s="293">
        <f>DM323</f>
        <v>216.43323659519021</v>
      </c>
      <c r="DN286" s="704">
        <f>+DM286+DL286</f>
        <v>422.04609644099492</v>
      </c>
      <c r="DP286" s="293">
        <f>DP323</f>
        <v>227.82303567101209</v>
      </c>
      <c r="DQ286" s="293">
        <f>DQ323</f>
        <v>239.81222292319913</v>
      </c>
      <c r="DR286" s="704">
        <f>+DQ286+DP286</f>
        <v>467.63525859421122</v>
      </c>
      <c r="DU286" s="293"/>
      <c r="DV286" s="293"/>
      <c r="DW286" s="407"/>
    </row>
    <row r="287" spans="1:138">
      <c r="A287" s="102" t="s">
        <v>67</v>
      </c>
      <c r="C287" s="103" t="s">
        <v>612</v>
      </c>
      <c r="P287" s="293">
        <f>P260</f>
        <v>1096</v>
      </c>
      <c r="Q287" s="293">
        <f>Q260</f>
        <v>1137</v>
      </c>
      <c r="R287" s="293">
        <f>R260</f>
        <v>1137</v>
      </c>
      <c r="T287" s="293">
        <f>T260</f>
        <v>1465</v>
      </c>
      <c r="U287" s="293">
        <f>U260</f>
        <v>1382</v>
      </c>
      <c r="V287" s="293">
        <f>V260</f>
        <v>1382</v>
      </c>
      <c r="X287" s="293">
        <f>X260</f>
        <v>1474</v>
      </c>
      <c r="Y287" s="293">
        <f>Y260</f>
        <v>1600</v>
      </c>
      <c r="Z287" s="293">
        <f>Z260</f>
        <v>1600</v>
      </c>
      <c r="AB287" s="293">
        <f>AB260</f>
        <v>1474</v>
      </c>
      <c r="AC287" s="293">
        <f>AC260</f>
        <v>1600</v>
      </c>
      <c r="AD287" s="293">
        <f>AD260</f>
        <v>1600</v>
      </c>
      <c r="AE287" s="293"/>
      <c r="AF287" s="293">
        <f>AF260</f>
        <v>1830</v>
      </c>
      <c r="AG287" s="293">
        <f>AG260</f>
        <v>1916</v>
      </c>
      <c r="AH287" s="293">
        <f>AH260</f>
        <v>1916</v>
      </c>
      <c r="AI287" s="320"/>
      <c r="AJ287" s="293">
        <f>AJ260</f>
        <v>2889</v>
      </c>
      <c r="AK287" s="293">
        <f>AK260</f>
        <v>3103</v>
      </c>
      <c r="AL287" s="293">
        <f>AL260</f>
        <v>3103</v>
      </c>
      <c r="AN287" s="293">
        <f>AN260</f>
        <v>4336</v>
      </c>
      <c r="AO287" s="293">
        <f>AO260</f>
        <v>4534</v>
      </c>
      <c r="AP287" s="293">
        <f>AP260</f>
        <v>4534</v>
      </c>
      <c r="AR287" s="293">
        <f>AR260</f>
        <v>4832</v>
      </c>
      <c r="AS287" s="293">
        <f>AS260</f>
        <v>4906</v>
      </c>
      <c r="AT287" s="293">
        <f>AT260</f>
        <v>4906</v>
      </c>
      <c r="AV287" s="293">
        <f>AV260</f>
        <v>6267</v>
      </c>
      <c r="AW287" s="293">
        <f>AW260</f>
        <v>6990</v>
      </c>
      <c r="AX287" s="293">
        <f>AX260</f>
        <v>6990</v>
      </c>
      <c r="AZ287" s="293">
        <f>AZ260</f>
        <v>7063</v>
      </c>
      <c r="BA287" s="293">
        <f>BA260</f>
        <v>7140</v>
      </c>
      <c r="BB287" s="293">
        <f>BB260</f>
        <v>7140</v>
      </c>
      <c r="BD287" s="293">
        <f>BD260</f>
        <v>7103</v>
      </c>
      <c r="BE287" s="293">
        <f>BE260</f>
        <v>7127</v>
      </c>
      <c r="BF287" s="293">
        <f>BF260</f>
        <v>7127</v>
      </c>
      <c r="BH287" s="293">
        <f>BH260</f>
        <v>6876</v>
      </c>
      <c r="BI287" s="293">
        <f>BI260</f>
        <v>6882</v>
      </c>
      <c r="BJ287" s="293">
        <f>BJ260</f>
        <v>6882</v>
      </c>
      <c r="BL287" s="293">
        <f>BL260</f>
        <v>6884</v>
      </c>
      <c r="BM287" s="293">
        <f>BM260</f>
        <v>6075</v>
      </c>
      <c r="BN287" s="293">
        <f>BN260</f>
        <v>6075</v>
      </c>
      <c r="BP287" s="293">
        <f>BP260</f>
        <v>6041</v>
      </c>
      <c r="BQ287" s="293">
        <f>BQ260</f>
        <v>6901</v>
      </c>
      <c r="BR287" s="293">
        <f>BR260</f>
        <v>6901</v>
      </c>
      <c r="BT287" s="293">
        <f>BT260</f>
        <v>6911</v>
      </c>
      <c r="BU287" s="293">
        <f>BU260</f>
        <v>7446</v>
      </c>
      <c r="BV287" s="293">
        <f>BV260</f>
        <v>7446</v>
      </c>
      <c r="BX287" s="293">
        <f>BX260</f>
        <v>7444</v>
      </c>
      <c r="BY287" s="293">
        <f>BY260</f>
        <v>7467</v>
      </c>
      <c r="BZ287" s="293">
        <f>BZ260</f>
        <v>7467</v>
      </c>
      <c r="CB287" s="293">
        <f>CB260</f>
        <v>7485</v>
      </c>
      <c r="CC287" s="293">
        <f>CC260</f>
        <v>7498</v>
      </c>
      <c r="CD287" s="293">
        <f>CD260</f>
        <v>7498</v>
      </c>
      <c r="CF287" s="293">
        <f>CF260</f>
        <v>7550</v>
      </c>
      <c r="CG287" s="293">
        <f>CG260</f>
        <v>7546</v>
      </c>
      <c r="CH287" s="293">
        <f>CH260</f>
        <v>7546</v>
      </c>
      <c r="CJ287" s="293">
        <f>CJ260</f>
        <v>9282</v>
      </c>
      <c r="CK287" s="1010">
        <f>CK260</f>
        <v>9290</v>
      </c>
      <c r="CL287" s="1010">
        <f>CL260</f>
        <v>9290</v>
      </c>
      <c r="CM287" s="1009"/>
      <c r="CN287" s="1010">
        <f>CN260</f>
        <v>10138</v>
      </c>
      <c r="CO287" s="1010">
        <f>CO260</f>
        <v>10166</v>
      </c>
      <c r="CP287" s="1010">
        <f>CP260</f>
        <v>10166</v>
      </c>
      <c r="CQ287" s="1009"/>
      <c r="CR287" s="1010">
        <f>CR260</f>
        <v>11290</v>
      </c>
      <c r="CS287" s="1010">
        <f>CS260</f>
        <v>14156</v>
      </c>
      <c r="CT287" s="1010">
        <f>CT260</f>
        <v>14156</v>
      </c>
      <c r="CV287" s="293">
        <f>CV260</f>
        <v>14741</v>
      </c>
      <c r="CW287" s="1490">
        <f>CW260</f>
        <v>14735</v>
      </c>
      <c r="CX287" s="1010">
        <f>CX260</f>
        <v>14735</v>
      </c>
      <c r="CZ287" s="293">
        <f>CZ260</f>
        <v>14812</v>
      </c>
      <c r="DA287" s="1490">
        <f>DA260</f>
        <v>14156</v>
      </c>
      <c r="DB287" s="1868">
        <f>DB260</f>
        <v>14156</v>
      </c>
      <c r="DD287" s="293">
        <f>DD260</f>
        <v>13887</v>
      </c>
      <c r="DE287" s="1490">
        <f>DE260</f>
        <v>13834</v>
      </c>
      <c r="DF287" s="1868">
        <f>DF260</f>
        <v>13834</v>
      </c>
      <c r="DH287" s="293">
        <f>DH260</f>
        <v>13925</v>
      </c>
      <c r="DI287" s="293">
        <f>SUM(DI282:DI286)</f>
        <v>14120.333437687499</v>
      </c>
      <c r="DJ287" s="293">
        <f>SUM(DJ282:DJ286)</f>
        <v>14120.333437687499</v>
      </c>
      <c r="DL287" s="293">
        <f>SUM(DL282:DL286)</f>
        <v>14325.946297533304</v>
      </c>
      <c r="DM287" s="293">
        <f>SUM(DM282:DM286)</f>
        <v>14542.379534128495</v>
      </c>
      <c r="DN287" s="293">
        <f>SUM(DN282:DN286)</f>
        <v>14542.379534128493</v>
      </c>
      <c r="DP287" s="293">
        <f>SUM(DP282:DP286)</f>
        <v>14770.202569799505</v>
      </c>
      <c r="DQ287" s="293">
        <f>SUM(DQ282:DQ286)</f>
        <v>15010.014792722704</v>
      </c>
      <c r="DR287" s="293">
        <f>SUM(DR282:DR286)</f>
        <v>15010.014792722704</v>
      </c>
      <c r="DU287" s="293"/>
      <c r="DV287" s="293"/>
      <c r="DW287" s="293"/>
    </row>
    <row r="288" spans="1:138">
      <c r="P288" s="293"/>
      <c r="Q288" s="293"/>
      <c r="R288" s="626"/>
      <c r="T288" s="293"/>
      <c r="U288" s="293"/>
      <c r="V288" s="626"/>
      <c r="X288" s="293"/>
      <c r="Y288" s="293"/>
      <c r="Z288" s="626"/>
      <c r="AB288" s="293"/>
      <c r="AC288" s="293"/>
      <c r="AD288" s="626"/>
      <c r="AE288" s="293"/>
      <c r="AF288" s="626"/>
      <c r="AG288" s="626"/>
      <c r="AH288" s="293"/>
      <c r="AI288" s="320"/>
      <c r="AJ288" s="626"/>
      <c r="AN288" s="626"/>
      <c r="AR288" s="626"/>
      <c r="AV288" s="626"/>
      <c r="AZ288" s="626"/>
      <c r="BD288" s="626"/>
      <c r="BH288" s="626"/>
      <c r="BL288" s="626"/>
      <c r="BP288" s="626"/>
      <c r="BT288" s="626"/>
      <c r="BX288" s="626"/>
      <c r="CB288" s="626"/>
      <c r="CF288" s="626"/>
      <c r="CJ288" s="626"/>
      <c r="CK288" s="1009"/>
      <c r="CL288" s="1009"/>
      <c r="CM288" s="1009"/>
      <c r="CN288" s="1388"/>
      <c r="CO288" s="1009"/>
      <c r="CP288" s="1009"/>
      <c r="CQ288" s="1009"/>
      <c r="CR288" s="1388"/>
      <c r="CS288" s="1009"/>
      <c r="CT288" s="1009"/>
      <c r="CV288" s="626"/>
      <c r="CW288" s="1802"/>
      <c r="CX288" s="1009"/>
      <c r="CZ288" s="626"/>
      <c r="DA288" s="1802"/>
      <c r="DB288" s="2019"/>
      <c r="DD288" s="626"/>
      <c r="DE288" s="1802"/>
      <c r="DF288" s="2019"/>
      <c r="DH288" s="626"/>
    </row>
    <row r="289" spans="1:138">
      <c r="A289" s="289" t="s">
        <v>102</v>
      </c>
      <c r="P289" s="293"/>
      <c r="Q289" s="293"/>
      <c r="R289" s="626"/>
      <c r="T289" s="293"/>
      <c r="U289" s="293"/>
      <c r="V289" s="626"/>
      <c r="X289" s="293"/>
      <c r="Y289" s="293"/>
      <c r="Z289" s="626"/>
      <c r="AB289" s="293"/>
      <c r="AC289" s="293"/>
      <c r="AD289" s="626"/>
      <c r="AE289" s="293"/>
      <c r="AF289" s="626"/>
      <c r="AG289" s="626"/>
      <c r="AH289" s="293"/>
      <c r="AI289" s="320"/>
      <c r="AJ289" s="626"/>
      <c r="AN289" s="626"/>
      <c r="AR289" s="626"/>
      <c r="AV289" s="626"/>
      <c r="AZ289" s="626"/>
      <c r="BD289" s="626"/>
      <c r="BH289" s="626"/>
      <c r="BL289" s="626"/>
      <c r="BP289" s="626"/>
      <c r="BT289" s="626"/>
      <c r="BX289" s="626"/>
      <c r="CB289" s="626"/>
      <c r="CF289" s="626"/>
      <c r="CJ289" s="626"/>
      <c r="CK289" s="1009"/>
      <c r="CL289" s="1009"/>
      <c r="CM289" s="1009"/>
      <c r="CN289" s="1388"/>
      <c r="CO289" s="1009"/>
      <c r="CP289" s="1009"/>
      <c r="CQ289" s="1009"/>
      <c r="CR289" s="1388"/>
      <c r="CS289" s="1009"/>
      <c r="CT289" s="1009"/>
      <c r="CV289" s="626"/>
      <c r="CW289" s="1802"/>
      <c r="CX289" s="1009"/>
      <c r="CZ289" s="626"/>
      <c r="DA289" s="1802"/>
      <c r="DB289" s="2019"/>
      <c r="DD289" s="626"/>
      <c r="DE289" s="1802"/>
      <c r="DF289" s="2019"/>
      <c r="DH289" s="626"/>
    </row>
    <row r="290" spans="1:138">
      <c r="A290" s="102" t="s">
        <v>62</v>
      </c>
      <c r="C290" s="103" t="s">
        <v>63</v>
      </c>
      <c r="P290" s="710">
        <v>198.49982800000001</v>
      </c>
      <c r="Q290" s="711">
        <f>P295</f>
        <v>202.53310300000001</v>
      </c>
      <c r="R290" s="711">
        <f>P290</f>
        <v>198.49982800000001</v>
      </c>
      <c r="T290" s="710">
        <v>204.498144</v>
      </c>
      <c r="U290" s="711">
        <f>T295</f>
        <v>217.567485</v>
      </c>
      <c r="V290" s="711">
        <f>T290</f>
        <v>204.498144</v>
      </c>
      <c r="X290" s="710">
        <v>215.91628499999999</v>
      </c>
      <c r="Y290" s="711">
        <f>X295</f>
        <v>219.76099399999998</v>
      </c>
      <c r="Z290" s="711">
        <f>X290</f>
        <v>215.91628499999999</v>
      </c>
      <c r="AA290" s="115"/>
      <c r="AB290" s="710">
        <v>215.91628499999999</v>
      </c>
      <c r="AC290" s="711">
        <f>AB295</f>
        <v>219.76099399999998</v>
      </c>
      <c r="AD290" s="711">
        <f>AB290</f>
        <v>215.91628499999999</v>
      </c>
      <c r="AE290" s="712"/>
      <c r="AF290" s="711">
        <f>AD295</f>
        <v>223.68359199999998</v>
      </c>
      <c r="AG290" s="711">
        <f>AF295</f>
        <v>230.31941699999999</v>
      </c>
      <c r="AH290" s="711">
        <f>AD295</f>
        <v>223.68359199999998</v>
      </c>
      <c r="AI290" s="115"/>
      <c r="AJ290" s="711">
        <f>AH295</f>
        <v>232.44036899999998</v>
      </c>
      <c r="AK290" s="711">
        <f>AJ295</f>
        <v>249.68324899999999</v>
      </c>
      <c r="AL290" s="711">
        <f>AH295</f>
        <v>232.44036899999998</v>
      </c>
      <c r="AM290" s="115"/>
      <c r="AN290" s="711">
        <f>AL295</f>
        <v>253.941205</v>
      </c>
      <c r="AO290" s="711">
        <f>AN295</f>
        <v>271.086657</v>
      </c>
      <c r="AP290" s="711">
        <f>AL295</f>
        <v>253.941205</v>
      </c>
      <c r="AQ290" s="115"/>
      <c r="AR290" s="711">
        <f>AP295</f>
        <v>274.57084000000003</v>
      </c>
      <c r="AS290" s="711">
        <f>AR295</f>
        <v>281.016368</v>
      </c>
      <c r="AT290" s="711">
        <f>AP295</f>
        <v>274.57084000000003</v>
      </c>
      <c r="AU290" s="115"/>
      <c r="AV290" s="711">
        <f>AT295</f>
        <v>283.43799999999999</v>
      </c>
      <c r="AW290" s="711">
        <f>AV295</f>
        <v>342.18302399999999</v>
      </c>
      <c r="AX290" s="711">
        <f>AT295</f>
        <v>283.43799999999999</v>
      </c>
      <c r="AY290" s="115"/>
      <c r="AZ290" s="711">
        <f>AX295</f>
        <v>344.24427100000003</v>
      </c>
      <c r="BA290" s="711">
        <f>AZ295</f>
        <v>345.60130099999998</v>
      </c>
      <c r="BB290" s="711">
        <f>AX295</f>
        <v>344.24427100000003</v>
      </c>
      <c r="BC290" s="115"/>
      <c r="BD290" s="711">
        <f>BB295</f>
        <v>346.81496099999998</v>
      </c>
      <c r="BE290" s="711">
        <f>BD295</f>
        <v>348.285032</v>
      </c>
      <c r="BF290" s="711">
        <f>BB295</f>
        <v>346.81496099999998</v>
      </c>
      <c r="BG290" s="115"/>
      <c r="BH290" s="711">
        <f>BF295</f>
        <v>348.584383</v>
      </c>
      <c r="BI290" s="711">
        <f>BH295</f>
        <v>339.00911100000002</v>
      </c>
      <c r="BJ290" s="711">
        <f>BF295</f>
        <v>348.584383</v>
      </c>
      <c r="BK290" s="115"/>
      <c r="BL290" s="711">
        <f>BJ295</f>
        <v>339.50657799999999</v>
      </c>
      <c r="BM290" s="711">
        <f>BL295</f>
        <v>339.888036</v>
      </c>
      <c r="BN290" s="711">
        <f>BJ295</f>
        <v>339.50657799999999</v>
      </c>
      <c r="BO290" s="115"/>
      <c r="BP290" s="711">
        <f>BN295</f>
        <v>321.07474999999999</v>
      </c>
      <c r="BQ290" s="711">
        <f>BP295</f>
        <v>321.20299399999999</v>
      </c>
      <c r="BR290" s="711">
        <f>BN295</f>
        <v>321.07474999999999</v>
      </c>
      <c r="BS290" s="115"/>
      <c r="BT290" s="711">
        <f>BR295</f>
        <v>333.45777700000002</v>
      </c>
      <c r="BU290" s="711">
        <f>BT295</f>
        <v>333.53196000000003</v>
      </c>
      <c r="BV290" s="711">
        <f>BR295</f>
        <v>333.45777700000002</v>
      </c>
      <c r="BW290" s="115"/>
      <c r="BX290" s="711">
        <f>BV295</f>
        <v>340.30238900000001</v>
      </c>
      <c r="BY290" s="711">
        <f>BX295</f>
        <v>340.33847400000002</v>
      </c>
      <c r="BZ290" s="711">
        <f>BV295</f>
        <v>340.30238900000001</v>
      </c>
      <c r="CA290" s="115"/>
      <c r="CB290" s="711">
        <f>BZ295</f>
        <v>340.35173099999997</v>
      </c>
      <c r="CC290" s="711">
        <f>CB295</f>
        <v>340.35790300000002</v>
      </c>
      <c r="CD290" s="711">
        <f>BZ295</f>
        <v>340.35173099999997</v>
      </c>
      <c r="CE290" s="115"/>
      <c r="CF290" s="713">
        <f>CD295</f>
        <v>340.36482000000001</v>
      </c>
      <c r="CG290" s="713">
        <f>CF295</f>
        <v>340.38273800000002</v>
      </c>
      <c r="CH290" s="713">
        <f>CD295</f>
        <v>340.36482000000001</v>
      </c>
      <c r="CI290" s="714"/>
      <c r="CJ290" s="713">
        <f>CH295</f>
        <v>340.38273800000002</v>
      </c>
      <c r="CK290" s="1721">
        <f>CJ295</f>
        <v>354.37646699999999</v>
      </c>
      <c r="CL290" s="1721">
        <f>CH295</f>
        <v>340.38273800000002</v>
      </c>
      <c r="CM290" s="1722"/>
      <c r="CN290" s="1721">
        <f>CL295</f>
        <v>354.381396</v>
      </c>
      <c r="CO290" s="1721">
        <f>CN295</f>
        <v>361.50362699999999</v>
      </c>
      <c r="CP290" s="1721">
        <f>CL295</f>
        <v>354.381396</v>
      </c>
      <c r="CQ290" s="1722"/>
      <c r="CR290" s="1721">
        <f>CP295</f>
        <v>361.82137699999998</v>
      </c>
      <c r="CS290" s="1721">
        <f>CR295</f>
        <v>368.82316900000001</v>
      </c>
      <c r="CT290" s="1721">
        <f>CP295</f>
        <v>361.82137699999998</v>
      </c>
      <c r="CU290" s="115"/>
      <c r="CV290" s="1721">
        <f>CT295</f>
        <v>383.64763699999997</v>
      </c>
      <c r="CW290" s="1803">
        <f>CV295</f>
        <v>386.47675400000003</v>
      </c>
      <c r="CX290" s="1721">
        <f>CT295</f>
        <v>383.64763699999997</v>
      </c>
      <c r="CY290" s="115"/>
      <c r="CZ290" s="1721">
        <f>CX295</f>
        <v>386.47675400000003</v>
      </c>
      <c r="DA290" s="1803">
        <f>CZ295</f>
        <v>386.47675400000003</v>
      </c>
      <c r="DB290" s="2020">
        <f>CX295</f>
        <v>386.47675400000003</v>
      </c>
      <c r="DC290" s="115"/>
      <c r="DD290" s="1721">
        <f>DB295</f>
        <v>382.96253300000001</v>
      </c>
      <c r="DE290" s="1803">
        <f>DD295</f>
        <v>381.13841500000001</v>
      </c>
      <c r="DF290" s="2020">
        <f>DB295</f>
        <v>382.96253300000001</v>
      </c>
      <c r="DG290" s="115"/>
      <c r="DH290" s="1721">
        <f>DF295</f>
        <v>381.13841500000001</v>
      </c>
      <c r="DI290" s="713">
        <f>DH295</f>
        <v>381.13841500000001</v>
      </c>
      <c r="DJ290" s="713">
        <f>DH290</f>
        <v>381.13841500000001</v>
      </c>
      <c r="DK290" s="115"/>
      <c r="DL290" s="713">
        <f>DJ295</f>
        <v>382.09126103750003</v>
      </c>
      <c r="DM290" s="713">
        <f>DL295</f>
        <v>383.04648919009378</v>
      </c>
      <c r="DN290" s="713">
        <f>DL290</f>
        <v>382.09126103750003</v>
      </c>
      <c r="DO290" s="115"/>
      <c r="DP290" s="713">
        <f>DN295</f>
        <v>384.004105413069</v>
      </c>
      <c r="DQ290" s="713">
        <f>DP295</f>
        <v>384.96411567660169</v>
      </c>
      <c r="DR290" s="713">
        <f>DP290</f>
        <v>384.004105413069</v>
      </c>
      <c r="DS290" s="115"/>
      <c r="DT290" s="115"/>
      <c r="DU290" s="711"/>
      <c r="DV290" s="711"/>
      <c r="DW290" s="711"/>
      <c r="DX290" s="115"/>
    </row>
    <row r="291" spans="1:138">
      <c r="A291" s="102" t="s">
        <v>64</v>
      </c>
      <c r="C291" s="103" t="s">
        <v>63</v>
      </c>
      <c r="P291" s="710">
        <v>0</v>
      </c>
      <c r="Q291" s="710">
        <v>0</v>
      </c>
      <c r="R291" s="711">
        <f>Q291+P291</f>
        <v>0</v>
      </c>
      <c r="T291" s="710">
        <v>4.8573149999999998</v>
      </c>
      <c r="U291" s="710">
        <v>0</v>
      </c>
      <c r="V291" s="711">
        <f>U291+T291</f>
        <v>4.8573149999999998</v>
      </c>
      <c r="X291" s="710">
        <v>0</v>
      </c>
      <c r="Y291" s="710">
        <v>0</v>
      </c>
      <c r="Z291" s="711">
        <f>Y291+X291</f>
        <v>0</v>
      </c>
      <c r="AA291" s="115"/>
      <c r="AB291" s="710">
        <v>0</v>
      </c>
      <c r="AC291" s="710">
        <v>0</v>
      </c>
      <c r="AD291" s="711">
        <f>AC291+AB291</f>
        <v>0</v>
      </c>
      <c r="AE291" s="712"/>
      <c r="AF291" s="710">
        <v>0</v>
      </c>
      <c r="AG291" s="711">
        <f>+AH291-AF291</f>
        <v>0</v>
      </c>
      <c r="AH291" s="710">
        <v>0</v>
      </c>
      <c r="AI291" s="115"/>
      <c r="AJ291" s="710">
        <f>10.606061+0.137947</f>
        <v>10.744008000000001</v>
      </c>
      <c r="AK291" s="711">
        <f>+AL291-AJ291</f>
        <v>0</v>
      </c>
      <c r="AL291" s="710">
        <f>10.606061+0.137947</f>
        <v>10.744008000000001</v>
      </c>
      <c r="AM291" s="115"/>
      <c r="AN291" s="710">
        <f>8.62069+0.912076</f>
        <v>9.5327660000000005</v>
      </c>
      <c r="AO291" s="711">
        <f>+AP291-AN291</f>
        <v>0</v>
      </c>
      <c r="AP291" s="710">
        <f>8.62069+0.912076</f>
        <v>9.5327660000000005</v>
      </c>
      <c r="AQ291" s="115"/>
      <c r="AR291" s="710">
        <v>0</v>
      </c>
      <c r="AS291" s="711">
        <f>+AT291-AR291</f>
        <v>0</v>
      </c>
      <c r="AT291" s="710">
        <v>0</v>
      </c>
      <c r="AU291" s="115"/>
      <c r="AV291" s="710">
        <f>20+25.151336</f>
        <v>45.151336000000001</v>
      </c>
      <c r="AW291" s="711">
        <f>+AX291-AV291</f>
        <v>0</v>
      </c>
      <c r="AX291" s="710">
        <f>20+25.151336</f>
        <v>45.151336000000001</v>
      </c>
      <c r="AY291" s="115"/>
      <c r="AZ291" s="710">
        <v>0</v>
      </c>
      <c r="BA291" s="711">
        <f>+BB291-AZ291</f>
        <v>0</v>
      </c>
      <c r="BB291" s="710">
        <v>0</v>
      </c>
      <c r="BC291" s="115"/>
      <c r="BD291" s="710">
        <v>0</v>
      </c>
      <c r="BE291" s="711">
        <f>+BF291-BD291</f>
        <v>0</v>
      </c>
      <c r="BF291" s="710">
        <v>0</v>
      </c>
      <c r="BG291" s="115"/>
      <c r="BH291" s="710">
        <v>0</v>
      </c>
      <c r="BI291" s="711">
        <f>+BJ291-BH291</f>
        <v>0</v>
      </c>
      <c r="BJ291" s="710">
        <v>0</v>
      </c>
      <c r="BK291" s="115"/>
      <c r="BL291" s="710">
        <v>0</v>
      </c>
      <c r="BM291" s="711">
        <f>+BN291-BL291</f>
        <v>0</v>
      </c>
      <c r="BN291" s="710">
        <v>0</v>
      </c>
      <c r="BO291" s="115"/>
      <c r="BP291" s="710">
        <v>0</v>
      </c>
      <c r="BQ291" s="711">
        <f>+BR291-BP291</f>
        <v>9.1154360000000008</v>
      </c>
      <c r="BR291" s="710">
        <f>6.802722+2.312714</f>
        <v>9.1154360000000008</v>
      </c>
      <c r="BS291" s="115"/>
      <c r="BT291" s="710">
        <v>0</v>
      </c>
      <c r="BU291" s="711">
        <f>+BV291-BT291</f>
        <v>6.7479440000000004</v>
      </c>
      <c r="BV291" s="710">
        <f>5+1.747944</f>
        <v>6.7479440000000004</v>
      </c>
      <c r="BW291" s="115"/>
      <c r="BX291" s="710">
        <v>0</v>
      </c>
      <c r="BY291" s="711">
        <f>+BZ291-BX291</f>
        <v>0</v>
      </c>
      <c r="BZ291" s="710">
        <v>0</v>
      </c>
      <c r="CA291" s="115"/>
      <c r="CB291" s="710">
        <v>0</v>
      </c>
      <c r="CC291" s="711">
        <f>+CD291-CB291</f>
        <v>0</v>
      </c>
      <c r="CD291" s="710">
        <v>0</v>
      </c>
      <c r="CE291" s="115"/>
      <c r="CF291" s="710">
        <v>0</v>
      </c>
      <c r="CG291" s="711">
        <f>+CH291-CF291</f>
        <v>0</v>
      </c>
      <c r="CH291" s="710">
        <v>0</v>
      </c>
      <c r="CI291" s="115"/>
      <c r="CJ291" s="1359">
        <f>8.333333+5.66015+0.000246</f>
        <v>13.993729</v>
      </c>
      <c r="CK291" s="1013">
        <f>+CL291-CJ291</f>
        <v>4.928999999998851E-3</v>
      </c>
      <c r="CL291" s="1418">
        <f>8.333333+5.66015+0.005175</f>
        <v>13.998657999999999</v>
      </c>
      <c r="CM291" s="999"/>
      <c r="CN291" s="1723">
        <v>0</v>
      </c>
      <c r="CO291" s="1013">
        <f>+CP291-CN291</f>
        <v>0</v>
      </c>
      <c r="CP291" s="1448">
        <v>0</v>
      </c>
      <c r="CQ291" s="999"/>
      <c r="CR291" s="1723">
        <v>0</v>
      </c>
      <c r="CS291" s="1013">
        <f>+CT291-CR291</f>
        <v>14.408999999999999</v>
      </c>
      <c r="CT291" s="1448">
        <f>7.732+6.677</f>
        <v>14.408999999999999</v>
      </c>
      <c r="CU291" s="115"/>
      <c r="CV291" s="1724">
        <v>0</v>
      </c>
      <c r="CW291" s="1804">
        <f>+CX291-CV291</f>
        <v>0</v>
      </c>
      <c r="CX291" s="757">
        <v>0</v>
      </c>
      <c r="CY291" s="714"/>
      <c r="CZ291" s="1724">
        <v>0</v>
      </c>
      <c r="DA291" s="1804">
        <f>+DB291-CZ291</f>
        <v>0</v>
      </c>
      <c r="DB291" s="1448">
        <v>0</v>
      </c>
      <c r="DC291" s="714"/>
      <c r="DD291" s="1724">
        <v>0</v>
      </c>
      <c r="DE291" s="1804">
        <f>+DF291-DD291</f>
        <v>0</v>
      </c>
      <c r="DF291" s="757">
        <v>0</v>
      </c>
      <c r="DG291" s="115"/>
      <c r="DH291" s="1724">
        <v>0</v>
      </c>
      <c r="DI291" s="713">
        <f>DI303</f>
        <v>0</v>
      </c>
      <c r="DJ291" s="713">
        <f>+DH291+DI291</f>
        <v>0</v>
      </c>
      <c r="DK291" s="115"/>
      <c r="DL291" s="713">
        <f>DL303</f>
        <v>0</v>
      </c>
      <c r="DM291" s="713">
        <f>DM303</f>
        <v>0</v>
      </c>
      <c r="DN291" s="713">
        <f>+DL291+DM291</f>
        <v>0</v>
      </c>
      <c r="DO291" s="115"/>
      <c r="DP291" s="713">
        <f>DP303</f>
        <v>0</v>
      </c>
      <c r="DQ291" s="713">
        <f>DQ303</f>
        <v>0</v>
      </c>
      <c r="DR291" s="713">
        <f>+DP291+DQ291</f>
        <v>0</v>
      </c>
      <c r="DS291" s="115"/>
      <c r="DT291" s="115"/>
      <c r="DU291" s="711"/>
      <c r="DV291" s="711"/>
      <c r="DW291" s="711"/>
      <c r="DX291" s="115"/>
    </row>
    <row r="292" spans="1:138">
      <c r="A292" s="102" t="s">
        <v>101</v>
      </c>
      <c r="C292" s="103" t="s">
        <v>63</v>
      </c>
      <c r="P292" s="710">
        <v>0</v>
      </c>
      <c r="Q292" s="710">
        <v>0</v>
      </c>
      <c r="R292" s="711">
        <f>Q292+P292</f>
        <v>0</v>
      </c>
      <c r="T292" s="710">
        <v>-0.35614299999999999</v>
      </c>
      <c r="U292" s="710">
        <v>-4.5011720000000004</v>
      </c>
      <c r="V292" s="711">
        <f>U292+T292</f>
        <v>-4.8573150000000007</v>
      </c>
      <c r="X292" s="710">
        <v>0</v>
      </c>
      <c r="Y292" s="710">
        <v>0</v>
      </c>
      <c r="Z292" s="711">
        <f>Y292+X292</f>
        <v>0</v>
      </c>
      <c r="AA292" s="115"/>
      <c r="AB292" s="710">
        <v>0</v>
      </c>
      <c r="AC292" s="710">
        <v>0</v>
      </c>
      <c r="AD292" s="711">
        <f>AC292+AB292</f>
        <v>0</v>
      </c>
      <c r="AE292" s="712"/>
      <c r="AF292" s="710">
        <v>0</v>
      </c>
      <c r="AG292" s="711">
        <f>+AH292-AF292</f>
        <v>0</v>
      </c>
      <c r="AH292" s="710">
        <v>0</v>
      </c>
      <c r="AI292" s="115"/>
      <c r="AJ292" s="710">
        <v>0</v>
      </c>
      <c r="AK292" s="711">
        <f>+AL292-AJ292</f>
        <v>0</v>
      </c>
      <c r="AL292" s="710">
        <v>0</v>
      </c>
      <c r="AM292" s="115"/>
      <c r="AN292" s="710">
        <v>0</v>
      </c>
      <c r="AO292" s="711">
        <f>+AP292-AN292</f>
        <v>0</v>
      </c>
      <c r="AP292" s="710">
        <v>0</v>
      </c>
      <c r="AQ292" s="115"/>
      <c r="AR292" s="710">
        <v>0</v>
      </c>
      <c r="AS292" s="711">
        <f>+AT292-AR292</f>
        <v>0</v>
      </c>
      <c r="AT292" s="710">
        <v>0</v>
      </c>
      <c r="AU292" s="115"/>
      <c r="AV292" s="710">
        <v>0</v>
      </c>
      <c r="AW292" s="711">
        <f>+AX292-AV292</f>
        <v>0</v>
      </c>
      <c r="AX292" s="710">
        <v>0</v>
      </c>
      <c r="AY292" s="115"/>
      <c r="AZ292" s="710">
        <v>0</v>
      </c>
      <c r="BA292" s="711">
        <f>+BB292-AZ292</f>
        <v>0</v>
      </c>
      <c r="BB292" s="710">
        <v>0</v>
      </c>
      <c r="BC292" s="115"/>
      <c r="BD292" s="710">
        <v>0</v>
      </c>
      <c r="BE292" s="711">
        <f>+BF292-BD292</f>
        <v>0</v>
      </c>
      <c r="BF292" s="710">
        <v>0</v>
      </c>
      <c r="BG292" s="115"/>
      <c r="BH292" s="710">
        <f>-9.760407</f>
        <v>-9.7604070000000007</v>
      </c>
      <c r="BI292" s="711">
        <f>+BJ292-BH292</f>
        <v>-4.8641999999999186E-2</v>
      </c>
      <c r="BJ292" s="710">
        <v>-9.8090489999999999</v>
      </c>
      <c r="BK292" s="115"/>
      <c r="BL292" s="710">
        <v>0</v>
      </c>
      <c r="BM292" s="711">
        <f>+BN292-BL292</f>
        <v>0</v>
      </c>
      <c r="BN292" s="710">
        <v>0</v>
      </c>
      <c r="BO292" s="115"/>
      <c r="BP292" s="710">
        <v>0</v>
      </c>
      <c r="BQ292" s="711">
        <f>+BR292-BP292</f>
        <v>0</v>
      </c>
      <c r="BR292" s="710">
        <v>0</v>
      </c>
      <c r="BS292" s="115"/>
      <c r="BT292" s="710">
        <v>0</v>
      </c>
      <c r="BU292" s="711">
        <f>+BV292-BT292</f>
        <v>0</v>
      </c>
      <c r="BV292" s="710">
        <v>0</v>
      </c>
      <c r="BW292" s="115"/>
      <c r="BX292" s="710">
        <v>0</v>
      </c>
      <c r="BY292" s="711">
        <f>+BZ292-BX292</f>
        <v>0</v>
      </c>
      <c r="BZ292" s="710">
        <v>0</v>
      </c>
      <c r="CA292" s="115"/>
      <c r="CB292" s="710">
        <v>0</v>
      </c>
      <c r="CC292" s="711">
        <f>+CD292-CB292</f>
        <v>0</v>
      </c>
      <c r="CD292" s="710">
        <v>0</v>
      </c>
      <c r="CE292" s="115"/>
      <c r="CF292" s="710">
        <v>0</v>
      </c>
      <c r="CG292" s="711">
        <f>+CH292-CF292</f>
        <v>0</v>
      </c>
      <c r="CH292" s="710">
        <v>0</v>
      </c>
      <c r="CI292" s="115"/>
      <c r="CJ292" s="710">
        <v>0</v>
      </c>
      <c r="CK292" s="1013">
        <f>+CL292-CJ292</f>
        <v>0</v>
      </c>
      <c r="CL292" s="1418">
        <v>0</v>
      </c>
      <c r="CM292" s="999"/>
      <c r="CN292" s="1723">
        <v>0</v>
      </c>
      <c r="CO292" s="1013">
        <f>+CP292-CN292</f>
        <v>0</v>
      </c>
      <c r="CP292" s="1723">
        <v>0</v>
      </c>
      <c r="CQ292" s="999"/>
      <c r="CR292" s="1723">
        <v>0</v>
      </c>
      <c r="CS292" s="1013">
        <f>+CT292-CR292</f>
        <v>0</v>
      </c>
      <c r="CT292" s="1724">
        <v>0</v>
      </c>
      <c r="CU292" s="115"/>
      <c r="CV292" s="1724">
        <v>0</v>
      </c>
      <c r="CW292" s="1804">
        <f>+CX292-CV292</f>
        <v>0</v>
      </c>
      <c r="CX292" s="1827">
        <v>0</v>
      </c>
      <c r="CY292" s="714"/>
      <c r="CZ292" s="1724">
        <v>0</v>
      </c>
      <c r="DA292" s="1804">
        <f>+DB292-CZ292</f>
        <v>-3.514221</v>
      </c>
      <c r="DB292" s="1724">
        <v>-3.514221</v>
      </c>
      <c r="DC292" s="714"/>
      <c r="DD292" s="1724">
        <v>-1.8241179999999999</v>
      </c>
      <c r="DE292" s="1804">
        <f>+DF292-DD292</f>
        <v>0</v>
      </c>
      <c r="DF292" s="2188">
        <v>-1.8241179999999999</v>
      </c>
      <c r="DG292" s="115"/>
      <c r="DH292" s="1724">
        <v>0</v>
      </c>
      <c r="DI292" s="713">
        <f>DI308</f>
        <v>0</v>
      </c>
      <c r="DJ292" s="713">
        <f>+DH292+DI292</f>
        <v>0</v>
      </c>
      <c r="DK292" s="115"/>
      <c r="DL292" s="713">
        <f>DL308</f>
        <v>0</v>
      </c>
      <c r="DM292" s="713">
        <f>DM308</f>
        <v>0</v>
      </c>
      <c r="DN292" s="713">
        <f>+DL292+DM292</f>
        <v>0</v>
      </c>
      <c r="DO292" s="115"/>
      <c r="DP292" s="713">
        <f>DP308</f>
        <v>0</v>
      </c>
      <c r="DQ292" s="713">
        <f>DQ308</f>
        <v>0</v>
      </c>
      <c r="DR292" s="713">
        <f>+DP292+DQ292</f>
        <v>0</v>
      </c>
      <c r="DS292" s="115"/>
      <c r="DT292" s="115"/>
      <c r="DU292" s="711"/>
      <c r="DV292" s="711"/>
      <c r="DW292" s="711"/>
      <c r="DX292" s="115"/>
    </row>
    <row r="293" spans="1:138">
      <c r="A293" s="102" t="s">
        <v>1236</v>
      </c>
      <c r="C293" s="103" t="s">
        <v>63</v>
      </c>
      <c r="P293" s="710">
        <v>1.6794849999999999</v>
      </c>
      <c r="Q293" s="710">
        <v>1.233101</v>
      </c>
      <c r="R293" s="711">
        <f>Q293+P293</f>
        <v>2.9125860000000001</v>
      </c>
      <c r="T293" s="710">
        <v>3.908671</v>
      </c>
      <c r="U293" s="710">
        <v>1.0200720000000001</v>
      </c>
      <c r="V293" s="711">
        <f>U293+T293</f>
        <v>4.9287429999999999</v>
      </c>
      <c r="X293" s="710">
        <v>0.84260100000000004</v>
      </c>
      <c r="Y293" s="710">
        <v>0.51335399999999998</v>
      </c>
      <c r="Z293" s="711">
        <f>Y293+X293</f>
        <v>1.355955</v>
      </c>
      <c r="AA293" s="115"/>
      <c r="AB293" s="710">
        <v>0.84260100000000004</v>
      </c>
      <c r="AC293" s="710">
        <v>0.51335399999999998</v>
      </c>
      <c r="AD293" s="711">
        <f>AC293+AB293</f>
        <v>1.355955</v>
      </c>
      <c r="AE293" s="712"/>
      <c r="AF293" s="710">
        <v>1.133173</v>
      </c>
      <c r="AG293" s="711">
        <f>+AH293-AF293</f>
        <v>0.39654300000000009</v>
      </c>
      <c r="AH293" s="710">
        <v>1.5297160000000001</v>
      </c>
      <c r="AI293" s="115"/>
      <c r="AJ293" s="710">
        <v>1.523326</v>
      </c>
      <c r="AK293" s="711">
        <f>+AL293-AJ293</f>
        <v>1.6749339999999999</v>
      </c>
      <c r="AL293" s="710">
        <v>3.1982599999999999</v>
      </c>
      <c r="AM293" s="115"/>
      <c r="AN293" s="710">
        <v>2.1463920000000001</v>
      </c>
      <c r="AO293" s="711">
        <f>+AP293-AN293</f>
        <v>1.665095</v>
      </c>
      <c r="AP293" s="710">
        <f>2.146392+1.665095</f>
        <v>3.8114870000000001</v>
      </c>
      <c r="AQ293" s="115"/>
      <c r="AR293" s="710">
        <v>3.077178</v>
      </c>
      <c r="AS293" s="711">
        <f>+AT293-AR293</f>
        <v>2.2872659999999998</v>
      </c>
      <c r="AT293" s="710">
        <f>3.077178+2.287266</f>
        <v>5.3644439999999998</v>
      </c>
      <c r="AU293" s="115"/>
      <c r="AV293" s="710">
        <v>0.75081100000000001</v>
      </c>
      <c r="AW293" s="711">
        <f>+AX293-AV293</f>
        <v>1.9873249999999998</v>
      </c>
      <c r="AX293" s="710">
        <v>2.7381359999999999</v>
      </c>
      <c r="AY293" s="115"/>
      <c r="AZ293" s="710">
        <v>0.91283499999999995</v>
      </c>
      <c r="BA293" s="711">
        <f>+BB293-AZ293</f>
        <v>0.82698199999999999</v>
      </c>
      <c r="BB293" s="710">
        <v>1.7398169999999999</v>
      </c>
      <c r="BC293" s="115"/>
      <c r="BD293" s="710">
        <v>1.4071530000000001</v>
      </c>
      <c r="BE293" s="711">
        <f>BF293-BD293</f>
        <v>0</v>
      </c>
      <c r="BF293" s="710">
        <v>1.4071530000000001</v>
      </c>
      <c r="BG293" s="115"/>
      <c r="BH293" s="710">
        <v>0</v>
      </c>
      <c r="BI293" s="711">
        <f>BJ293-BH293</f>
        <v>0</v>
      </c>
      <c r="BJ293" s="710">
        <v>0</v>
      </c>
      <c r="BK293" s="710"/>
      <c r="BL293" s="710">
        <v>0</v>
      </c>
      <c r="BM293" s="711">
        <f>BN293-BL293</f>
        <v>0</v>
      </c>
      <c r="BN293" s="710">
        <v>0</v>
      </c>
      <c r="BO293" s="115"/>
      <c r="BP293" s="710">
        <v>0</v>
      </c>
      <c r="BQ293" s="711">
        <f>BR293-BP293</f>
        <v>2.967273</v>
      </c>
      <c r="BR293" s="710">
        <v>2.967273</v>
      </c>
      <c r="BS293" s="115"/>
      <c r="BT293" s="710">
        <v>0</v>
      </c>
      <c r="BU293" s="711">
        <f>BV293-BT293</f>
        <v>2.6245000000000001E-2</v>
      </c>
      <c r="BV293" s="710">
        <f>0.012961+0.013284</f>
        <v>2.6245000000000001E-2</v>
      </c>
      <c r="BW293" s="115"/>
      <c r="BX293" s="710">
        <v>0</v>
      </c>
      <c r="BY293" s="711">
        <f>BZ293-BX293</f>
        <v>0</v>
      </c>
      <c r="BZ293" s="710">
        <v>0</v>
      </c>
      <c r="CA293" s="115"/>
      <c r="CB293" s="710">
        <v>0</v>
      </c>
      <c r="CC293" s="711">
        <f>CD293-CB293</f>
        <v>0</v>
      </c>
      <c r="CD293" s="710">
        <v>0</v>
      </c>
      <c r="CE293" s="115"/>
      <c r="CF293" s="710">
        <v>0</v>
      </c>
      <c r="CG293" s="711">
        <f>CH293-CF293</f>
        <v>0</v>
      </c>
      <c r="CH293" s="710">
        <v>0</v>
      </c>
      <c r="CI293" s="115"/>
      <c r="CJ293" s="710">
        <v>0</v>
      </c>
      <c r="CK293" s="1013">
        <f>CL293-CJ293</f>
        <v>0</v>
      </c>
      <c r="CL293" s="1418">
        <v>0</v>
      </c>
      <c r="CM293" s="999"/>
      <c r="CN293" s="1723">
        <v>0</v>
      </c>
      <c r="CO293" s="1013">
        <f>CP293-CN293</f>
        <v>2.261063</v>
      </c>
      <c r="CP293" s="1723">
        <v>2.261063</v>
      </c>
      <c r="CQ293" s="999"/>
      <c r="CR293" s="1723">
        <v>2.8919999999999999</v>
      </c>
      <c r="CS293" s="1013">
        <f>CT293-CR293</f>
        <v>0.40800500000000017</v>
      </c>
      <c r="CT293" s="1724">
        <v>3.3000050000000001</v>
      </c>
      <c r="CU293" s="115"/>
      <c r="CV293" s="1724">
        <v>2.7370000000000001</v>
      </c>
      <c r="CW293" s="1804">
        <f>CX293-CV293</f>
        <v>-2.629999999999022E-4</v>
      </c>
      <c r="CX293" s="1827">
        <v>2.7367370000000002</v>
      </c>
      <c r="CY293" s="714"/>
      <c r="CZ293" s="1724">
        <v>0</v>
      </c>
      <c r="DA293" s="1804">
        <f>DB293-CZ293</f>
        <v>0</v>
      </c>
      <c r="DB293" s="1724">
        <v>0</v>
      </c>
      <c r="DC293" s="714"/>
      <c r="DD293" s="1724">
        <v>0</v>
      </c>
      <c r="DE293" s="1804">
        <f>DF293-DD293</f>
        <v>0</v>
      </c>
      <c r="DF293" s="1827">
        <v>0</v>
      </c>
      <c r="DG293" s="115"/>
      <c r="DH293" s="1724">
        <v>0</v>
      </c>
      <c r="DI293" s="713">
        <f>+DH319</f>
        <v>0</v>
      </c>
      <c r="DJ293" s="713">
        <f>+DH293+DI293</f>
        <v>0</v>
      </c>
      <c r="DK293" s="115"/>
      <c r="DL293" s="713">
        <f>+DI319</f>
        <v>0</v>
      </c>
      <c r="DM293" s="713">
        <f>+DL319</f>
        <v>0</v>
      </c>
      <c r="DN293" s="713">
        <f>+DL293+DM293</f>
        <v>0</v>
      </c>
      <c r="DO293" s="115"/>
      <c r="DP293" s="713">
        <f>+DM319</f>
        <v>0</v>
      </c>
      <c r="DQ293" s="713">
        <f>+DP319</f>
        <v>0</v>
      </c>
      <c r="DR293" s="713">
        <f>+DP293+DQ293</f>
        <v>0</v>
      </c>
      <c r="DS293" s="115"/>
      <c r="DT293" s="115"/>
      <c r="DU293" s="711"/>
      <c r="DV293" s="711"/>
      <c r="DW293" s="711"/>
      <c r="DX293" s="115"/>
    </row>
    <row r="294" spans="1:138">
      <c r="A294" s="102" t="s">
        <v>1245</v>
      </c>
      <c r="C294" s="103" t="s">
        <v>63</v>
      </c>
      <c r="P294" s="710">
        <v>2.35379</v>
      </c>
      <c r="Q294" s="710">
        <f>0.682274+0.049666</f>
        <v>0.73194000000000004</v>
      </c>
      <c r="R294" s="711">
        <f>Q294+P294</f>
        <v>3.0857299999999999</v>
      </c>
      <c r="T294" s="710">
        <v>4.6594980000000001</v>
      </c>
      <c r="U294" s="710">
        <f>1.793708+0.036192</f>
        <v>1.8299000000000001</v>
      </c>
      <c r="V294" s="711">
        <f>U294+T294</f>
        <v>6.4893980000000004</v>
      </c>
      <c r="X294" s="710">
        <v>3.0021080000000002</v>
      </c>
      <c r="Y294" s="710">
        <f>3.384944+0.0243</f>
        <v>3.4092440000000002</v>
      </c>
      <c r="Z294" s="711">
        <f>Y294+X294</f>
        <v>6.4113520000000008</v>
      </c>
      <c r="AA294" s="115"/>
      <c r="AB294" s="710">
        <v>3.0021080000000002</v>
      </c>
      <c r="AC294" s="710">
        <f>3.384944+0.0243</f>
        <v>3.4092440000000002</v>
      </c>
      <c r="AD294" s="711">
        <f>AC294+AB294</f>
        <v>6.4113520000000008</v>
      </c>
      <c r="AE294" s="712"/>
      <c r="AF294" s="710">
        <v>5.5026520000000003</v>
      </c>
      <c r="AG294" s="711">
        <f>+AH294-AF294</f>
        <v>1.7244089999999996</v>
      </c>
      <c r="AH294" s="710">
        <f>7.206943+0.020118</f>
        <v>7.227061</v>
      </c>
      <c r="AI294" s="115"/>
      <c r="AJ294" s="710">
        <f>4.975546</f>
        <v>4.9755459999999996</v>
      </c>
      <c r="AK294" s="711">
        <f>+AL294-AJ294</f>
        <v>2.5830220000000006</v>
      </c>
      <c r="AL294" s="710">
        <f>7.536936+0.021632</f>
        <v>7.5585680000000002</v>
      </c>
      <c r="AM294" s="115"/>
      <c r="AN294" s="710">
        <v>5.4662940000000004</v>
      </c>
      <c r="AO294" s="711">
        <f>+AP294-AN294</f>
        <v>1.8190879999999998</v>
      </c>
      <c r="AP294" s="710">
        <f>7.260989+0.02429+0.000103</f>
        <v>7.2853820000000002</v>
      </c>
      <c r="AQ294" s="115"/>
      <c r="AR294" s="711">
        <f>+AR295-AR290-AR291-AR292-AR293</f>
        <v>3.3683499999999675</v>
      </c>
      <c r="AS294" s="711">
        <f>+AT294-AR294</f>
        <v>0.13436599999998844</v>
      </c>
      <c r="AT294" s="711">
        <f>+AT295-AT290-AT291-AT292-AT293</f>
        <v>3.502715999999956</v>
      </c>
      <c r="AU294" s="115"/>
      <c r="AV294" s="711">
        <f>+AV295-AV290-AV291-AV292-AV293</f>
        <v>12.842877</v>
      </c>
      <c r="AW294" s="711">
        <f>+AX294-AV294</f>
        <v>7.3922000000036903E-2</v>
      </c>
      <c r="AX294" s="711">
        <f>+AX295-AX290-AX291-AX292-AX293</f>
        <v>12.916799000000037</v>
      </c>
      <c r="AY294" s="115"/>
      <c r="AZ294" s="711">
        <f>+AZ295-AZ290-AZ291-AZ292-AZ293</f>
        <v>0.44419499999995204</v>
      </c>
      <c r="BA294" s="711">
        <f>+BB294-AZ294</f>
        <v>0.38667800000000441</v>
      </c>
      <c r="BB294" s="711">
        <f>+BB295-BB290-BB291-BB292-BB293</f>
        <v>0.83087299999995645</v>
      </c>
      <c r="BC294" s="115"/>
      <c r="BD294" s="711">
        <f>+BD295-BD290-BD291-BD292-BD293</f>
        <v>6.2918000000018459E-2</v>
      </c>
      <c r="BE294" s="711">
        <f>+BF294-BD294</f>
        <v>0.29935100000000148</v>
      </c>
      <c r="BF294" s="711">
        <f>+BF295-BF290-BF291-BF292-BF293</f>
        <v>0.36226900000001994</v>
      </c>
      <c r="BG294" s="115"/>
      <c r="BH294" s="711">
        <f>+BH295-BH290-BH291-BH292-BH293</f>
        <v>0.1851350000000167</v>
      </c>
      <c r="BI294" s="711">
        <f>+BJ294-BH294</f>
        <v>0.54610899999997109</v>
      </c>
      <c r="BJ294" s="711">
        <f>+BJ295-BJ290-BJ291-BJ292-BJ293</f>
        <v>0.73124399999998779</v>
      </c>
      <c r="BK294" s="115"/>
      <c r="BL294" s="711">
        <f>+BL295-BL290-BL291-BL292-BL293</f>
        <v>0.38145800000000918</v>
      </c>
      <c r="BM294" s="711">
        <f>+BN294-BL294</f>
        <v>-18.813286000000005</v>
      </c>
      <c r="BN294" s="711">
        <f>+BN295-BN290-BN291-BN292-BN293</f>
        <v>-18.431827999999996</v>
      </c>
      <c r="BO294" s="115"/>
      <c r="BP294" s="711">
        <f>+BP295-BP290-BP291-BP292-BP293</f>
        <v>0.12824399999999514</v>
      </c>
      <c r="BQ294" s="711">
        <f>+BR294-BP294</f>
        <v>0.17207400000003092</v>
      </c>
      <c r="BR294" s="711">
        <f>+BR295-BR290-BR291-BR292-BR293</f>
        <v>0.30031800000002606</v>
      </c>
      <c r="BS294" s="115"/>
      <c r="BT294" s="711">
        <f>+BT295-BT290-BT291-BT292-BT293</f>
        <v>7.4183000000004995E-2</v>
      </c>
      <c r="BU294" s="711">
        <f>+BV294-BT294</f>
        <v>-3.7600000000216766E-3</v>
      </c>
      <c r="BV294" s="711">
        <f>+BV295-BV290-BV291-BV292-BV293</f>
        <v>7.0422999999983318E-2</v>
      </c>
      <c r="BW294" s="115"/>
      <c r="BX294" s="711">
        <f>+BX295-BX290-BX291-BX292-BX293</f>
        <v>3.6085000000014134E-2</v>
      </c>
      <c r="BY294" s="711">
        <f>+BZ294-BX294</f>
        <v>1.3256999999953223E-2</v>
      </c>
      <c r="BZ294" s="711">
        <f>+BZ295-BZ290-BZ291-BZ292-BZ293</f>
        <v>4.9341999999967356E-2</v>
      </c>
      <c r="CA294" s="115"/>
      <c r="CB294" s="711">
        <f>+CB295-CB290-CB291-CB292-CB293</f>
        <v>6.1720000000491382E-3</v>
      </c>
      <c r="CC294" s="711">
        <f>+CD294-CB294</f>
        <v>6.9169999999871834E-3</v>
      </c>
      <c r="CD294" s="711">
        <f>+CD295-CD290-CD291-CD292-CD293</f>
        <v>1.3089000000036322E-2</v>
      </c>
      <c r="CE294" s="115"/>
      <c r="CF294" s="711">
        <f>+CF295-CF290-CF291-CF292-CF293</f>
        <v>1.791800000000876E-2</v>
      </c>
      <c r="CG294" s="711">
        <f>+CH294-CF294</f>
        <v>0</v>
      </c>
      <c r="CH294" s="711">
        <f>+CH295-CH290-CH291-CH292-CH293</f>
        <v>1.791800000000876E-2</v>
      </c>
      <c r="CI294" s="115"/>
      <c r="CJ294" s="711">
        <f>+CJ295-CJ290-CJ291-CJ292-CJ293</f>
        <v>-2.6645352591003757E-14</v>
      </c>
      <c r="CK294" s="1013">
        <f>+CL294-CJ294</f>
        <v>5.3290705182007514E-15</v>
      </c>
      <c r="CL294" s="1013">
        <f>+CL295-CL290-CL291-CL292-CL293</f>
        <v>-2.1316282072803006E-14</v>
      </c>
      <c r="CM294" s="999"/>
      <c r="CN294" s="1725">
        <f>+CN295-CN290-CN291-CN292-CN293</f>
        <v>7.1222309999999993</v>
      </c>
      <c r="CO294" s="1013">
        <f>+CP294-CN294</f>
        <v>-1.9433130000000105</v>
      </c>
      <c r="CP294" s="1725">
        <f>+CP295-CP290-CP291-CP292-CP293</f>
        <v>5.1789179999999888</v>
      </c>
      <c r="CQ294" s="999"/>
      <c r="CR294" s="1725">
        <f>+CR295-CR290-CR291-CR292-CR293</f>
        <v>4.1097920000000236</v>
      </c>
      <c r="CS294" s="1013">
        <f>+CT294-CR294</f>
        <v>7.4629999999675789E-3</v>
      </c>
      <c r="CT294" s="1726">
        <f>+CT295-CT290-CT291-CT292-CT293</f>
        <v>4.1172549999999912</v>
      </c>
      <c r="CU294" s="115"/>
      <c r="CV294" s="1726">
        <f>+CV295-CV290-CV291-CV292-CV293</f>
        <v>9.2117000000053295E-2</v>
      </c>
      <c r="CW294" s="1804">
        <f>+CX294-CV294</f>
        <v>2.629999999999022E-4</v>
      </c>
      <c r="CX294" s="1726">
        <f>+CX295-CX290-CX291-CX292-CX293</f>
        <v>9.2380000000053197E-2</v>
      </c>
      <c r="CY294" s="714"/>
      <c r="CZ294" s="1726">
        <f>+CZ295-CZ290-CZ291-CZ292-CZ293</f>
        <v>0</v>
      </c>
      <c r="DA294" s="1804">
        <f>+DB294-CZ294</f>
        <v>-2.042810365310288E-14</v>
      </c>
      <c r="DB294" s="1726">
        <f>+DB295-DB290-DB291-DB292-DB293</f>
        <v>-2.042810365310288E-14</v>
      </c>
      <c r="DC294" s="714"/>
      <c r="DD294" s="1726">
        <f>+DD295-DD290-DD291-DD292-DD293</f>
        <v>1.3322676295501878E-15</v>
      </c>
      <c r="DE294" s="1804">
        <f>+DF294-DD294</f>
        <v>0</v>
      </c>
      <c r="DF294" s="1726">
        <f>+DF295-DF290-DF291-DF292-DF293</f>
        <v>1.3322676295501878E-15</v>
      </c>
      <c r="DG294" s="115"/>
      <c r="DH294" s="1726">
        <f>+DH295-DH290-DH291-DH292-DH293</f>
        <v>0</v>
      </c>
      <c r="DI294" s="713">
        <f>DI325</f>
        <v>0.95284603750000008</v>
      </c>
      <c r="DJ294" s="713">
        <f>+DH294+DI294</f>
        <v>0.95284603750000008</v>
      </c>
      <c r="DK294" s="115"/>
      <c r="DL294" s="713">
        <f>DL325</f>
        <v>0.95522815259375005</v>
      </c>
      <c r="DM294" s="713">
        <f>DM325</f>
        <v>0.95761622297523452</v>
      </c>
      <c r="DN294" s="713">
        <f>+DL294+DM294</f>
        <v>1.9128443755689846</v>
      </c>
      <c r="DO294" s="115"/>
      <c r="DP294" s="713">
        <f>DP325</f>
        <v>0.96001026353267249</v>
      </c>
      <c r="DQ294" s="713">
        <f>DQ325</f>
        <v>0.96241028919150429</v>
      </c>
      <c r="DR294" s="713">
        <f>+DP294+DQ294</f>
        <v>1.9224205527241769</v>
      </c>
      <c r="DS294" s="115"/>
      <c r="DT294" s="115"/>
      <c r="DU294" s="711"/>
      <c r="DV294" s="711"/>
      <c r="DW294" s="711"/>
      <c r="DX294" s="115"/>
    </row>
    <row r="295" spans="1:138" s="289" customFormat="1">
      <c r="A295" s="102" t="s">
        <v>67</v>
      </c>
      <c r="B295" s="102"/>
      <c r="C295" s="103" t="s">
        <v>63</v>
      </c>
      <c r="P295" s="715">
        <f>SUM(P290:P294)</f>
        <v>202.53310300000001</v>
      </c>
      <c r="Q295" s="715">
        <f>SUM(Q290:Q294)</f>
        <v>204.49814400000002</v>
      </c>
      <c r="R295" s="715">
        <f>SUM(R290:R294)</f>
        <v>204.49814400000002</v>
      </c>
      <c r="S295" s="103"/>
      <c r="T295" s="715">
        <f>SUM(T290:T294)</f>
        <v>217.567485</v>
      </c>
      <c r="U295" s="715">
        <f>SUM(U290:U294)</f>
        <v>215.91628500000002</v>
      </c>
      <c r="V295" s="715">
        <f>SUM(V290:V294)</f>
        <v>215.91628499999999</v>
      </c>
      <c r="W295" s="103"/>
      <c r="X295" s="715">
        <f>SUM(X290:X294)</f>
        <v>219.76099399999998</v>
      </c>
      <c r="Y295" s="715">
        <f>SUM(Y290:Y294)</f>
        <v>223.68359199999998</v>
      </c>
      <c r="Z295" s="715">
        <f>SUM(Z290:Z294)</f>
        <v>223.68359199999998</v>
      </c>
      <c r="AA295" s="115"/>
      <c r="AB295" s="715">
        <f>SUM(AB290:AB294)</f>
        <v>219.76099399999998</v>
      </c>
      <c r="AC295" s="715">
        <f>SUM(AC290:AC294)</f>
        <v>223.68359199999998</v>
      </c>
      <c r="AD295" s="715">
        <f>SUM(AD290:AD294)</f>
        <v>223.68359199999998</v>
      </c>
      <c r="AE295" s="712"/>
      <c r="AF295" s="715">
        <f>SUM(AF290:AF294)</f>
        <v>230.31941699999999</v>
      </c>
      <c r="AG295" s="715">
        <f>SUM(AG290:AG294)</f>
        <v>232.440369</v>
      </c>
      <c r="AH295" s="715">
        <f>SUM(AH290:AH294)</f>
        <v>232.44036899999998</v>
      </c>
      <c r="AI295" s="115"/>
      <c r="AJ295" s="715">
        <f>SUM(AJ290:AJ294)</f>
        <v>249.68324899999999</v>
      </c>
      <c r="AK295" s="715">
        <f>SUM(AK290:AK294)</f>
        <v>253.941205</v>
      </c>
      <c r="AL295" s="715">
        <f>SUM(AL290:AL294)</f>
        <v>253.941205</v>
      </c>
      <c r="AM295" s="115"/>
      <c r="AN295" s="715">
        <f>SUM(AN290:AN294)</f>
        <v>271.086657</v>
      </c>
      <c r="AO295" s="715">
        <f>SUM(AO290:AO294)</f>
        <v>274.57084000000003</v>
      </c>
      <c r="AP295" s="295">
        <f>SUM(AP290:AP294)</f>
        <v>274.57084000000003</v>
      </c>
      <c r="AQ295" s="115"/>
      <c r="AR295" s="716">
        <v>281.016368</v>
      </c>
      <c r="AS295" s="715">
        <f>SUM(AS290:AS294)</f>
        <v>283.43799999999999</v>
      </c>
      <c r="AT295" s="716">
        <v>283.43799999999999</v>
      </c>
      <c r="AU295" s="115"/>
      <c r="AV295" s="716">
        <f>332.683024+9.5</f>
        <v>342.18302399999999</v>
      </c>
      <c r="AW295" s="715">
        <f>SUM(AW290:AW294)</f>
        <v>344.24427100000003</v>
      </c>
      <c r="AX295" s="716">
        <v>344.24427100000003</v>
      </c>
      <c r="AY295" s="115"/>
      <c r="AZ295" s="716">
        <v>345.60130099999998</v>
      </c>
      <c r="BA295" s="715">
        <f>SUM(BA290:BA294)</f>
        <v>346.81496099999998</v>
      </c>
      <c r="BB295" s="716">
        <v>346.81496099999998</v>
      </c>
      <c r="BC295" s="115"/>
      <c r="BD295" s="716">
        <v>348.285032</v>
      </c>
      <c r="BE295" s="715">
        <f>SUM(BE290:BE294)</f>
        <v>348.584383</v>
      </c>
      <c r="BF295" s="716">
        <v>348.584383</v>
      </c>
      <c r="BG295" s="115"/>
      <c r="BH295" s="716">
        <v>339.00911100000002</v>
      </c>
      <c r="BI295" s="715">
        <f>SUM(BI290:BI294)</f>
        <v>339.50657799999999</v>
      </c>
      <c r="BJ295" s="716">
        <v>339.50657799999999</v>
      </c>
      <c r="BK295" s="115"/>
      <c r="BL295" s="716">
        <v>339.888036</v>
      </c>
      <c r="BM295" s="715">
        <f>SUM(BM290:BM294)</f>
        <v>321.07474999999999</v>
      </c>
      <c r="BN295" s="716">
        <v>321.07474999999999</v>
      </c>
      <c r="BO295" s="115"/>
      <c r="BP295" s="716">
        <f>321.202994</f>
        <v>321.20299399999999</v>
      </c>
      <c r="BQ295" s="715">
        <f>SUM(BQ290:BQ294)</f>
        <v>333.45777699999996</v>
      </c>
      <c r="BR295" s="716">
        <v>333.45777700000002</v>
      </c>
      <c r="BS295" s="115"/>
      <c r="BT295" s="716">
        <v>333.53196000000003</v>
      </c>
      <c r="BU295" s="715">
        <f>SUM(BU290:BU294)</f>
        <v>340.30238900000006</v>
      </c>
      <c r="BV295" s="716">
        <v>340.30238900000001</v>
      </c>
      <c r="BW295" s="115"/>
      <c r="BX295" s="716">
        <v>340.33847400000002</v>
      </c>
      <c r="BY295" s="715">
        <f>SUM(BY290:BY294)</f>
        <v>340.35173099999997</v>
      </c>
      <c r="BZ295" s="716">
        <v>340.35173099999997</v>
      </c>
      <c r="CA295" s="115"/>
      <c r="CB295" s="716">
        <v>340.35790300000002</v>
      </c>
      <c r="CC295" s="715">
        <f>SUM(CC290:CC294)</f>
        <v>340.36482000000001</v>
      </c>
      <c r="CD295" s="716">
        <v>340.36482000000001</v>
      </c>
      <c r="CE295" s="115"/>
      <c r="CF295" s="717">
        <v>340.38273800000002</v>
      </c>
      <c r="CG295" s="718">
        <f>SUM(CG290:CG294)</f>
        <v>340.38273800000002</v>
      </c>
      <c r="CH295" s="717">
        <v>340.38273800000002</v>
      </c>
      <c r="CI295" s="714"/>
      <c r="CJ295" s="717">
        <v>354.37646699999999</v>
      </c>
      <c r="CK295" s="1727">
        <f>SUM(CK290:CK294)</f>
        <v>354.381396</v>
      </c>
      <c r="CL295" s="1728">
        <v>354.381396</v>
      </c>
      <c r="CM295" s="1722"/>
      <c r="CN295" s="1728">
        <v>361.50362699999999</v>
      </c>
      <c r="CO295" s="1727">
        <f>SUM(CO290:CO294)</f>
        <v>361.82137699999998</v>
      </c>
      <c r="CP295" s="1728">
        <v>361.82137699999998</v>
      </c>
      <c r="CQ295" s="1722"/>
      <c r="CR295" s="1729">
        <v>368.82316900000001</v>
      </c>
      <c r="CS295" s="1727">
        <f>SUM(CS290:CS294)</f>
        <v>383.64763699999997</v>
      </c>
      <c r="CT295" s="1729">
        <v>383.64763699999997</v>
      </c>
      <c r="CU295" s="115"/>
      <c r="CV295" s="1729">
        <v>386.47675400000003</v>
      </c>
      <c r="CW295" s="1805">
        <f>SUM(CW290:CW294)</f>
        <v>386.47675400000003</v>
      </c>
      <c r="CX295" s="1828">
        <v>386.47675400000003</v>
      </c>
      <c r="CY295" s="115"/>
      <c r="CZ295" s="1729">
        <v>386.47675400000003</v>
      </c>
      <c r="DA295" s="1805">
        <f>SUM(DA290:DA294)</f>
        <v>382.96253300000001</v>
      </c>
      <c r="DB295" s="1729">
        <v>382.96253300000001</v>
      </c>
      <c r="DC295" s="115"/>
      <c r="DD295" s="1729">
        <v>381.13841500000001</v>
      </c>
      <c r="DE295" s="1805">
        <f>SUM(DE290:DE294)</f>
        <v>381.13841500000001</v>
      </c>
      <c r="DF295" s="2188">
        <v>381.13841500000001</v>
      </c>
      <c r="DG295" s="115"/>
      <c r="DH295" s="1729">
        <v>381.13841500000001</v>
      </c>
      <c r="DI295" s="718">
        <f>SUM(DI290:DI294)</f>
        <v>382.09126103750003</v>
      </c>
      <c r="DJ295" s="718">
        <f>SUM(DJ290:DJ294)</f>
        <v>382.09126103750003</v>
      </c>
      <c r="DK295" s="115"/>
      <c r="DL295" s="718">
        <f>SUM(DL290:DL294)</f>
        <v>383.04648919009378</v>
      </c>
      <c r="DM295" s="718">
        <f>SUM(DM290:DM294)</f>
        <v>384.004105413069</v>
      </c>
      <c r="DN295" s="718">
        <f>SUM(DN290:DN294)</f>
        <v>384.004105413069</v>
      </c>
      <c r="DO295" s="115"/>
      <c r="DP295" s="718">
        <f>SUM(DP290:DP294)</f>
        <v>384.96411567660169</v>
      </c>
      <c r="DQ295" s="718">
        <f>SUM(DQ290:DQ294)</f>
        <v>385.92652596579319</v>
      </c>
      <c r="DR295" s="718">
        <f>SUM(DR290:DR294)</f>
        <v>385.92652596579319</v>
      </c>
      <c r="DS295" s="115"/>
      <c r="DT295" s="115"/>
      <c r="DU295" s="715"/>
      <c r="DV295" s="715"/>
      <c r="DW295" s="715"/>
      <c r="DX295" s="115"/>
      <c r="EH295"/>
    </row>
    <row r="296" spans="1:138" s="289" customFormat="1">
      <c r="A296" s="102" t="s">
        <v>153</v>
      </c>
      <c r="B296" s="102"/>
      <c r="C296" s="103"/>
      <c r="P296" s="715"/>
      <c r="Q296" s="715"/>
      <c r="R296" s="715"/>
      <c r="S296" s="103"/>
      <c r="T296" s="715">
        <f>AVERAGE(T295,Q295)</f>
        <v>211.03281450000003</v>
      </c>
      <c r="U296" s="715">
        <f>AVERAGE(U295,T295)</f>
        <v>216.74188500000002</v>
      </c>
      <c r="V296" s="715">
        <f>AVERAGE(T296:U296)</f>
        <v>213.88734975000003</v>
      </c>
      <c r="W296" s="103"/>
      <c r="X296" s="715">
        <f>AVERAGE(X295,U295)</f>
        <v>217.8386395</v>
      </c>
      <c r="Y296" s="715">
        <f>AVERAGE(Y295,X295)</f>
        <v>221.72229299999998</v>
      </c>
      <c r="Z296" s="715">
        <f>AVERAGE(X296:Y296)</f>
        <v>219.78046624999999</v>
      </c>
      <c r="AA296" s="115"/>
      <c r="AB296" s="715">
        <f>X296</f>
        <v>217.8386395</v>
      </c>
      <c r="AC296" s="715">
        <f>Y296</f>
        <v>221.72229299999998</v>
      </c>
      <c r="AD296" s="715">
        <f>Z296</f>
        <v>219.78046624999999</v>
      </c>
      <c r="AE296" s="712"/>
      <c r="AF296" s="715">
        <f>AVERAGE(AF295,U295)</f>
        <v>223.117851</v>
      </c>
      <c r="AG296" s="715">
        <f>AVERAGE(AG295,AF295)</f>
        <v>231.37989299999998</v>
      </c>
      <c r="AH296" s="715">
        <f>AVERAGE(AF296:AG296)</f>
        <v>227.24887200000001</v>
      </c>
      <c r="AI296" s="115"/>
      <c r="AJ296" s="715">
        <f>AVERAGE(AJ295,AG295)</f>
        <v>241.06180899999998</v>
      </c>
      <c r="AK296" s="715">
        <f>AVERAGE(AK295,AJ295)</f>
        <v>251.81222700000001</v>
      </c>
      <c r="AL296" s="715">
        <f>AVERAGE(AJ296:AK296)</f>
        <v>246.43701799999999</v>
      </c>
      <c r="AM296" s="115"/>
      <c r="AN296" s="715">
        <f>AVERAGE(AN295,AK295)</f>
        <v>262.51393100000001</v>
      </c>
      <c r="AO296" s="715">
        <f>AVERAGE(AO295,AN295)</f>
        <v>272.82874850000002</v>
      </c>
      <c r="AP296" s="715">
        <f>AVERAGE(AN296:AO296)</f>
        <v>267.67133975000002</v>
      </c>
      <c r="AQ296" s="115"/>
      <c r="AR296" s="715">
        <f>AVERAGE(AR295,AO295)</f>
        <v>277.79360400000002</v>
      </c>
      <c r="AS296" s="715">
        <f>AVERAGE(AS295,AR295)</f>
        <v>282.22718399999997</v>
      </c>
      <c r="AT296" s="715">
        <f>AVERAGE(AR296:AS296)</f>
        <v>280.01039400000002</v>
      </c>
      <c r="AU296" s="115"/>
      <c r="AV296" s="715">
        <f>AVERAGE(AV295,AS295)</f>
        <v>312.81051200000002</v>
      </c>
      <c r="AW296" s="715">
        <f>AVERAGE(AW295,AV295)</f>
        <v>343.21364749999998</v>
      </c>
      <c r="AX296" s="715">
        <f>AVERAGE(AV296:AW296)</f>
        <v>328.01207975</v>
      </c>
      <c r="AY296" s="115"/>
      <c r="AZ296" s="715">
        <f>AVERAGE(AZ295,AW295)</f>
        <v>344.92278599999997</v>
      </c>
      <c r="BA296" s="715">
        <f>AVERAGE(BA295,AZ295)</f>
        <v>346.20813099999998</v>
      </c>
      <c r="BB296" s="715">
        <f>AVERAGE(AZ296:BA296)</f>
        <v>345.56545849999998</v>
      </c>
      <c r="BC296" s="115"/>
      <c r="BD296" s="715">
        <f>AVERAGE(BD295,BA295)</f>
        <v>347.54999650000002</v>
      </c>
      <c r="BE296" s="715">
        <f>AVERAGE(BE295,BD295)</f>
        <v>348.4347075</v>
      </c>
      <c r="BF296" s="715">
        <f>AVERAGE(BD296:BE296)</f>
        <v>347.99235199999998</v>
      </c>
      <c r="BG296" s="115"/>
      <c r="BH296" s="715">
        <f>AVERAGE(BH295,BE295)</f>
        <v>343.79674699999998</v>
      </c>
      <c r="BI296" s="715">
        <f>AVERAGE(BI295,BH295)</f>
        <v>339.25784450000003</v>
      </c>
      <c r="BJ296" s="715">
        <f>AVERAGE(BH296:BI296)</f>
        <v>341.52729575000001</v>
      </c>
      <c r="BK296" s="115"/>
      <c r="BL296" s="715">
        <f>AVERAGE(BL295,BI295)</f>
        <v>339.69730700000002</v>
      </c>
      <c r="BM296" s="715">
        <f>AVERAGE(BM295,BL295)</f>
        <v>330.48139300000003</v>
      </c>
      <c r="BN296" s="715">
        <f>AVERAGE(BL296:BM296)</f>
        <v>335.08935000000002</v>
      </c>
      <c r="BO296" s="115"/>
      <c r="BP296" s="715">
        <f>AVERAGE(BP295,BM295)</f>
        <v>321.13887199999999</v>
      </c>
      <c r="BQ296" s="715">
        <f>AVERAGE(BQ295,BP295)</f>
        <v>327.33038549999998</v>
      </c>
      <c r="BR296" s="715">
        <f>AVERAGE(BP296:BQ296)</f>
        <v>324.23462874999996</v>
      </c>
      <c r="BS296" s="115"/>
      <c r="BT296" s="715">
        <f>AVERAGE(BT295,BQ295)</f>
        <v>333.4948685</v>
      </c>
      <c r="BU296" s="715">
        <f>AVERAGE(BU295,BT295)</f>
        <v>336.91717450000004</v>
      </c>
      <c r="BV296" s="715">
        <f>AVERAGE(BT296:BU296)</f>
        <v>335.20602150000002</v>
      </c>
      <c r="BW296" s="115"/>
      <c r="BX296" s="715">
        <f>AVERAGE(BX295,BU295)</f>
        <v>340.32043150000004</v>
      </c>
      <c r="BY296" s="715">
        <f>AVERAGE(BY295,BX295)</f>
        <v>340.3451025</v>
      </c>
      <c r="BZ296" s="715">
        <f>AVERAGE(BX296:BY296)</f>
        <v>340.33276699999999</v>
      </c>
      <c r="CA296" s="115"/>
      <c r="CB296" s="715">
        <f>AVERAGE(CB295,BY295)</f>
        <v>340.35481700000003</v>
      </c>
      <c r="CC296" s="715">
        <f>AVERAGE(CC295,CB295)</f>
        <v>340.36136150000004</v>
      </c>
      <c r="CD296" s="715">
        <f>AVERAGE(CB296:CC296)</f>
        <v>340.35808925000003</v>
      </c>
      <c r="CE296" s="115"/>
      <c r="CF296" s="718">
        <f>AVERAGE(CF295,CC295)</f>
        <v>340.37377900000001</v>
      </c>
      <c r="CG296" s="718">
        <f>AVERAGE(CG295,CF295)</f>
        <v>340.38273800000002</v>
      </c>
      <c r="CH296" s="718">
        <f>AVERAGE(CF296:CG296)</f>
        <v>340.37825850000002</v>
      </c>
      <c r="CI296" s="714"/>
      <c r="CJ296" s="718">
        <f>AVERAGE(CJ295,CG295)</f>
        <v>347.37960250000003</v>
      </c>
      <c r="CK296" s="1727">
        <f>AVERAGE(CK295,CJ295)</f>
        <v>354.37893150000002</v>
      </c>
      <c r="CL296" s="1727">
        <f>AVERAGE(CJ296:CK296)</f>
        <v>350.87926700000003</v>
      </c>
      <c r="CM296" s="1722"/>
      <c r="CN296" s="1727">
        <f>AVERAGE(CN295,CK295)</f>
        <v>357.94251150000002</v>
      </c>
      <c r="CO296" s="1727">
        <f>AVERAGE(CO295,CN295)</f>
        <v>361.66250200000002</v>
      </c>
      <c r="CP296" s="1727">
        <f>AVERAGE(CN296:CO296)</f>
        <v>359.80250675000002</v>
      </c>
      <c r="CQ296" s="1722"/>
      <c r="CR296" s="1727">
        <f>AVERAGE(CR295,CO295)</f>
        <v>365.322273</v>
      </c>
      <c r="CS296" s="1727">
        <f>AVERAGE(CS295,CR295)</f>
        <v>376.23540300000002</v>
      </c>
      <c r="CT296" s="1727">
        <f>AVERAGE(CR296:CS296)</f>
        <v>370.77883800000001</v>
      </c>
      <c r="CU296" s="115"/>
      <c r="CV296" s="718">
        <f>AVERAGE(CV295,CS295)</f>
        <v>385.06219550000003</v>
      </c>
      <c r="CW296" s="1805">
        <f>AVERAGE(CW295,CV295)</f>
        <v>386.47675400000003</v>
      </c>
      <c r="CX296" s="1727">
        <f>AVERAGE(CV296:CW296)</f>
        <v>385.76947475000003</v>
      </c>
      <c r="CY296" s="115"/>
      <c r="CZ296" s="718">
        <f>AVERAGE(CZ295,CW295)</f>
        <v>386.47675400000003</v>
      </c>
      <c r="DA296" s="1805">
        <f>AVERAGE(DA295,CZ295)</f>
        <v>384.71964350000002</v>
      </c>
      <c r="DB296" s="1727">
        <f>AVERAGE(CZ296:DA296)</f>
        <v>385.59819875000005</v>
      </c>
      <c r="DC296" s="115"/>
      <c r="DD296" s="718">
        <f>AVERAGE(DD295,DA295)</f>
        <v>382.05047400000001</v>
      </c>
      <c r="DE296" s="1805">
        <f>AVERAGE(DE295,DD295)</f>
        <v>381.13841500000001</v>
      </c>
      <c r="DF296" s="1727">
        <f>AVERAGE(DD296:DE296)</f>
        <v>381.59444450000001</v>
      </c>
      <c r="DG296" s="115"/>
      <c r="DH296" s="718">
        <f>AVERAGE(DH295,DE295)</f>
        <v>381.13841500000001</v>
      </c>
      <c r="DI296" s="718">
        <f>AVERAGE(DI295,DH295)</f>
        <v>381.61483801874999</v>
      </c>
      <c r="DJ296" s="718">
        <f>AVERAGE(DH296:DI296)</f>
        <v>381.376626509375</v>
      </c>
      <c r="DK296" s="115"/>
      <c r="DL296" s="718">
        <f>AVERAGE(DL295,DI295)</f>
        <v>382.56887511379693</v>
      </c>
      <c r="DM296" s="718">
        <f>AVERAGE(DM295,DL295)</f>
        <v>383.52529730158142</v>
      </c>
      <c r="DN296" s="718">
        <f>AVERAGE(DL296:DM296)</f>
        <v>383.04708620768918</v>
      </c>
      <c r="DO296" s="115"/>
      <c r="DP296" s="718">
        <f>AVERAGE(DP295,DM295)</f>
        <v>384.48411054483535</v>
      </c>
      <c r="DQ296" s="718">
        <f>AVERAGE(DQ295,DP295)</f>
        <v>385.44532082119747</v>
      </c>
      <c r="DR296" s="718">
        <f>AVERAGE(DP296:DQ296)</f>
        <v>384.96471568301638</v>
      </c>
      <c r="DS296" s="115"/>
      <c r="DT296" s="115"/>
      <c r="DU296" s="715"/>
      <c r="DV296" s="715"/>
      <c r="DW296" s="715"/>
      <c r="DX296" s="115"/>
      <c r="EH296"/>
    </row>
    <row r="297" spans="1:138">
      <c r="A297" s="302" t="s">
        <v>152</v>
      </c>
      <c r="B297" s="302"/>
      <c r="C297" s="304" t="s">
        <v>63</v>
      </c>
      <c r="D297" s="304"/>
      <c r="E297" s="304"/>
      <c r="F297" s="304"/>
      <c r="G297" s="304"/>
      <c r="H297" s="304"/>
      <c r="I297" s="304"/>
      <c r="J297" s="304"/>
      <c r="K297" s="304"/>
      <c r="L297" s="304"/>
      <c r="M297" s="304"/>
      <c r="N297" s="304"/>
      <c r="O297" s="304"/>
      <c r="P297" s="719">
        <v>200.40041400000001</v>
      </c>
      <c r="Q297" s="719">
        <v>203.53758300000001</v>
      </c>
      <c r="R297" s="719">
        <v>202.01436699999999</v>
      </c>
      <c r="S297" s="304"/>
      <c r="T297" s="719">
        <v>208.28742700000001</v>
      </c>
      <c r="U297" s="719">
        <v>215.713144</v>
      </c>
      <c r="V297" s="719">
        <v>212.00028499999999</v>
      </c>
      <c r="W297" s="304"/>
      <c r="X297" s="719">
        <v>217.402861</v>
      </c>
      <c r="Y297" s="719">
        <v>222.00597099999999</v>
      </c>
      <c r="Z297" s="719">
        <v>219.69811000000001</v>
      </c>
      <c r="AA297" s="300"/>
      <c r="AB297" s="719">
        <v>217.402861</v>
      </c>
      <c r="AC297" s="719">
        <v>222.00597099999999</v>
      </c>
      <c r="AD297" s="719">
        <v>219.69811000000001</v>
      </c>
      <c r="AE297" s="720"/>
      <c r="AF297" s="719">
        <v>226.346261</v>
      </c>
      <c r="AG297" s="719">
        <v>231.348434</v>
      </c>
      <c r="AH297" s="719">
        <v>228.840495</v>
      </c>
      <c r="AI297" s="300"/>
      <c r="AJ297" s="719">
        <v>242.59805</v>
      </c>
      <c r="AK297" s="719">
        <v>252.05484799999999</v>
      </c>
      <c r="AL297" s="719">
        <v>247.31349399999999</v>
      </c>
      <c r="AM297" s="300"/>
      <c r="AN297" s="719">
        <v>263.79880800000001</v>
      </c>
      <c r="AO297" s="719">
        <f>271.086657+1.131096+0.564131+0.010751</f>
        <v>272.79263500000002</v>
      </c>
      <c r="AP297" s="719">
        <f>253.941205+7.443+0.700255+4.328676+1.877209+0.005376</f>
        <v>268.29572100000001</v>
      </c>
      <c r="AQ297" s="300"/>
      <c r="AR297" s="719">
        <v>278.90247699999998</v>
      </c>
      <c r="AS297" s="721">
        <f>+AT297*2-AR297</f>
        <v>283.84414300000003</v>
      </c>
      <c r="AT297" s="719">
        <v>281.37331</v>
      </c>
      <c r="AU297" s="300"/>
      <c r="AV297" s="719">
        <v>318.88000199999999</v>
      </c>
      <c r="AW297" s="721">
        <f>+AX297*2-AV297</f>
        <v>336.93620599999997</v>
      </c>
      <c r="AX297" s="719">
        <v>327.90810399999998</v>
      </c>
      <c r="AY297" s="300"/>
      <c r="AZ297" s="719">
        <v>338.00600800000001</v>
      </c>
      <c r="BA297" s="721">
        <f>+BB297*2-AZ297</f>
        <v>338.71274</v>
      </c>
      <c r="BB297" s="719">
        <v>338.359374</v>
      </c>
      <c r="BC297" s="300"/>
      <c r="BD297" s="719">
        <v>328.03468600000002</v>
      </c>
      <c r="BE297" s="719">
        <v>326.06149699999997</v>
      </c>
      <c r="BF297" s="719">
        <v>327.01473700000003</v>
      </c>
      <c r="BG297" s="300"/>
      <c r="BH297" s="719">
        <v>317.58942500000001</v>
      </c>
      <c r="BI297" s="721">
        <f>+BJ297*2-BH297</f>
        <v>311.44815300000005</v>
      </c>
      <c r="BJ297" s="719">
        <v>314.51878900000003</v>
      </c>
      <c r="BK297" s="300"/>
      <c r="BL297" s="719">
        <v>309.90126099999998</v>
      </c>
      <c r="BM297" s="721">
        <f>+BN297*2-BL297</f>
        <v>302.26205300000004</v>
      </c>
      <c r="BN297" s="719">
        <v>306.08165700000001</v>
      </c>
      <c r="BO297" s="300"/>
      <c r="BP297" s="719">
        <v>295.35898400000002</v>
      </c>
      <c r="BQ297" s="721">
        <f>+BR297*2-BP297</f>
        <v>300.75412399999999</v>
      </c>
      <c r="BR297" s="719">
        <v>298.05655400000001</v>
      </c>
      <c r="BS297" s="300"/>
      <c r="BT297" s="719">
        <v>310.60417100000001</v>
      </c>
      <c r="BU297" s="721">
        <f>+BV297*2-BT297</f>
        <v>319.55066900000003</v>
      </c>
      <c r="BV297" s="719">
        <v>315.07742000000002</v>
      </c>
      <c r="BW297" s="300"/>
      <c r="BX297" s="719">
        <v>321.03969499999999</v>
      </c>
      <c r="BY297" s="721">
        <f>+BZ297*2-BX297</f>
        <v>321.25462499999998</v>
      </c>
      <c r="BZ297" s="719">
        <v>321.14715999999999</v>
      </c>
      <c r="CA297" s="300"/>
      <c r="CB297" s="722">
        <v>322.12424800000002</v>
      </c>
      <c r="CC297" s="721">
        <f>+CD297*2-CB297</f>
        <v>322.82707199999999</v>
      </c>
      <c r="CD297" s="722">
        <v>322.47566</v>
      </c>
      <c r="CE297" s="300"/>
      <c r="CF297" s="723">
        <f>'EPS and DPS'!CF21</f>
        <v>323.71719200000001</v>
      </c>
      <c r="CG297" s="721">
        <f>+CH297*2-CF297</f>
        <v>324.29217999999997</v>
      </c>
      <c r="CH297" s="723">
        <f>'EPS and DPS'!CH21</f>
        <v>324.00468599999999</v>
      </c>
      <c r="CI297" s="300"/>
      <c r="CJ297" s="723">
        <f>'EPS and DPS'!CJ21</f>
        <v>326.43939499999999</v>
      </c>
      <c r="CK297" s="721">
        <f>+CL297*2-CJ297</f>
        <v>340.029359</v>
      </c>
      <c r="CL297" s="723">
        <f>'EPS and DPS'!CL21</f>
        <v>333.23437699999999</v>
      </c>
      <c r="CM297" s="300"/>
      <c r="CN297" s="723">
        <f>'EPS and DPS'!CN21</f>
        <v>344.42484999999999</v>
      </c>
      <c r="CO297" s="721">
        <f>+CP297*2-CN297</f>
        <v>347.45666800000004</v>
      </c>
      <c r="CP297" s="723">
        <f>'EPS and DPS'!CP21</f>
        <v>345.94075900000001</v>
      </c>
      <c r="CQ297" s="300"/>
      <c r="CR297" s="723">
        <f>'EPS and DPS'!CR21</f>
        <v>351.66793000000001</v>
      </c>
      <c r="CS297" s="721">
        <f>+CT297*2-CR297</f>
        <v>365.32408200000003</v>
      </c>
      <c r="CT297" s="723">
        <f>'EPS and DPS'!CT21</f>
        <v>358.49600600000002</v>
      </c>
      <c r="CU297" s="300"/>
      <c r="CV297" s="723">
        <f>'EPS and DPS'!CV21</f>
        <v>370.13653099999999</v>
      </c>
      <c r="CW297" s="1806">
        <f>+CX297*2-CV297</f>
        <v>370.81064300000003</v>
      </c>
      <c r="CX297" s="723">
        <f>'EPS and DPS'!CX21</f>
        <v>370.47358700000001</v>
      </c>
      <c r="CY297" s="300"/>
      <c r="CZ297" s="723">
        <f>'EPS and DPS'!CZ21</f>
        <v>370.28655600000002</v>
      </c>
      <c r="DA297" s="1806">
        <f>+DB297*2-CZ297</f>
        <v>368.34367599999996</v>
      </c>
      <c r="DB297" s="723">
        <f>'EPS and DPS'!DB21</f>
        <v>369.31511599999999</v>
      </c>
      <c r="DC297" s="300"/>
      <c r="DD297" s="723">
        <f>'EPS and DPS'!DD21</f>
        <v>366.18581399999999</v>
      </c>
      <c r="DE297" s="1806">
        <f>+DF297*2-DD297</f>
        <v>365.51879600000001</v>
      </c>
      <c r="DF297" s="723">
        <f>'EPS and DPS'!DF21</f>
        <v>365.852305</v>
      </c>
      <c r="DG297" s="300"/>
      <c r="DH297" s="723">
        <f>'EPS and DPS'!DH21</f>
        <v>366.62100099999998</v>
      </c>
      <c r="DI297" s="721">
        <f>+DH297/DH296*DI296</f>
        <v>367.07927725124995</v>
      </c>
      <c r="DJ297" s="721">
        <f>AVERAGE(DH297:DI297)</f>
        <v>366.85013912562499</v>
      </c>
      <c r="DK297" s="300"/>
      <c r="DL297" s="721">
        <f>+DI297/DI296*DL296</f>
        <v>367.99697544437811</v>
      </c>
      <c r="DM297" s="721">
        <f>+DL297/DL296*DM296</f>
        <v>368.91696788298901</v>
      </c>
      <c r="DN297" s="721">
        <f>AVERAGE(DL297:DM297)</f>
        <v>368.45697166368359</v>
      </c>
      <c r="DO297" s="300"/>
      <c r="DP297" s="721">
        <f>+DM297/DM296*DP296</f>
        <v>369.83926030269646</v>
      </c>
      <c r="DQ297" s="721">
        <f>+DP297/DP296*DQ296</f>
        <v>370.76385845345322</v>
      </c>
      <c r="DR297" s="721">
        <f>AVERAGE(DP297:DQ297)</f>
        <v>370.30155937807484</v>
      </c>
      <c r="DS297" s="300"/>
      <c r="DT297" s="115"/>
      <c r="DU297" s="715"/>
      <c r="DV297" s="715"/>
      <c r="DW297" s="715"/>
      <c r="DX297" s="115"/>
      <c r="DZ297" s="102"/>
    </row>
    <row r="298" spans="1:138" s="323" customFormat="1">
      <c r="A298" s="323" t="s">
        <v>272</v>
      </c>
      <c r="C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  <c r="AH298" s="115"/>
      <c r="AI298" s="115"/>
      <c r="AJ298" s="115"/>
      <c r="AK298" s="115"/>
      <c r="AL298" s="115"/>
      <c r="AM298" s="115"/>
      <c r="AN298" s="115"/>
      <c r="AO298" s="115"/>
      <c r="AP298" s="115"/>
      <c r="AQ298" s="115"/>
      <c r="AR298" s="115"/>
      <c r="AS298" s="115"/>
      <c r="AT298" s="115"/>
      <c r="AU298" s="115"/>
      <c r="AV298" s="712">
        <f>AV297-AV296</f>
        <v>6.0694899999999734</v>
      </c>
      <c r="AW298" s="712">
        <f>AW297-AW296</f>
        <v>-6.277441500000009</v>
      </c>
      <c r="AX298" s="712">
        <f>AX297-AX296</f>
        <v>-0.1039757500000178</v>
      </c>
      <c r="AY298" s="115"/>
      <c r="AZ298" s="712">
        <f>AZ297-AZ296</f>
        <v>-6.9167779999999652</v>
      </c>
      <c r="BA298" s="712">
        <f>BA297-BA296</f>
        <v>-7.4953909999999837</v>
      </c>
      <c r="BB298" s="712">
        <f>BB297-BB296</f>
        <v>-7.2060844999999745</v>
      </c>
      <c r="BC298" s="115"/>
      <c r="BD298" s="712">
        <f>BD297-BD296</f>
        <v>-19.515310499999998</v>
      </c>
      <c r="BE298" s="712">
        <f>BE297-BE296</f>
        <v>-22.373210500000027</v>
      </c>
      <c r="BF298" s="712">
        <f>BF297-BF296</f>
        <v>-20.977614999999957</v>
      </c>
      <c r="BG298" s="115"/>
      <c r="BH298" s="712">
        <f>BH297-BH296</f>
        <v>-26.207321999999976</v>
      </c>
      <c r="BI298" s="712">
        <f>BI297-BI296</f>
        <v>-27.809691499999985</v>
      </c>
      <c r="BJ298" s="712">
        <f>BJ297-BJ296</f>
        <v>-27.008506749999981</v>
      </c>
      <c r="BK298" s="115"/>
      <c r="BL298" s="712">
        <f>BL297-BL296</f>
        <v>-29.796046000000047</v>
      </c>
      <c r="BM298" s="712">
        <f>BM297-BM296</f>
        <v>-28.219339999999988</v>
      </c>
      <c r="BN298" s="712">
        <f>BN297-BN296</f>
        <v>-29.007693000000017</v>
      </c>
      <c r="BO298" s="115"/>
      <c r="BP298" s="712">
        <f>BP297-BP296</f>
        <v>-25.779887999999971</v>
      </c>
      <c r="BQ298" s="712">
        <f>BQ297-BQ296</f>
        <v>-26.576261499999987</v>
      </c>
      <c r="BR298" s="712">
        <f>BR297-BR296</f>
        <v>-26.178074749999951</v>
      </c>
      <c r="BS298" s="115"/>
      <c r="BT298" s="712">
        <f>BT297-BT296</f>
        <v>-22.890697499999987</v>
      </c>
      <c r="BU298" s="712">
        <f>BU297-BU296</f>
        <v>-17.366505500000017</v>
      </c>
      <c r="BV298" s="712">
        <f>BV297-BV296</f>
        <v>-20.128601500000002</v>
      </c>
      <c r="BW298" s="115"/>
      <c r="BX298" s="712">
        <f>BX297-BX296</f>
        <v>-19.280736500000046</v>
      </c>
      <c r="BY298" s="712">
        <f>BY297-BY296</f>
        <v>-19.09047750000002</v>
      </c>
      <c r="BZ298" s="712">
        <f>BZ297-BZ296</f>
        <v>-19.185607000000005</v>
      </c>
      <c r="CA298" s="115"/>
      <c r="CB298" s="712">
        <f>CB297-CB296</f>
        <v>-18.230569000000003</v>
      </c>
      <c r="CC298" s="712">
        <f>CC297-CC296</f>
        <v>-17.534289500000057</v>
      </c>
      <c r="CD298" s="712">
        <f>CD297-CD296</f>
        <v>-17.88242925000003</v>
      </c>
      <c r="CE298" s="115"/>
      <c r="CF298" s="712">
        <f>CF297-CF296</f>
        <v>-16.656587000000002</v>
      </c>
      <c r="CG298" s="712">
        <f>CG297-CG296</f>
        <v>-16.090558000000044</v>
      </c>
      <c r="CH298" s="712">
        <f>CH297-CH296</f>
        <v>-16.373572500000023</v>
      </c>
      <c r="CI298" s="115"/>
      <c r="CJ298" s="712">
        <f>CJ297-CJ296</f>
        <v>-20.940207500000042</v>
      </c>
      <c r="CK298" s="712">
        <f>CK297-CK296</f>
        <v>-14.349572500000022</v>
      </c>
      <c r="CL298" s="712">
        <f>CL297-CL296</f>
        <v>-17.644890000000032</v>
      </c>
      <c r="CM298" s="115"/>
      <c r="CN298" s="712">
        <f>CN297-CN296</f>
        <v>-13.517661500000031</v>
      </c>
      <c r="CO298" s="712">
        <f>CO297-CO296</f>
        <v>-14.205833999999982</v>
      </c>
      <c r="CP298" s="712">
        <f>CP297-CP296</f>
        <v>-13.861747750000006</v>
      </c>
      <c r="CQ298" s="115"/>
      <c r="CR298" s="712">
        <f>CR297-CR296</f>
        <v>-13.654342999999983</v>
      </c>
      <c r="CS298" s="712">
        <f>CS297-CS296</f>
        <v>-10.911320999999987</v>
      </c>
      <c r="CT298" s="712">
        <f>CT297-CT296</f>
        <v>-12.282831999999985</v>
      </c>
      <c r="CU298" s="115"/>
      <c r="CV298" s="712">
        <f>CV297-CV296</f>
        <v>-14.925664500000039</v>
      </c>
      <c r="CW298" s="1807">
        <f>CW297-CW296</f>
        <v>-15.666111000000001</v>
      </c>
      <c r="CX298" s="712">
        <f>CX297-CX296</f>
        <v>-15.29588775000002</v>
      </c>
      <c r="CY298" s="115"/>
      <c r="CZ298" s="712">
        <f>CZ297-CZ296</f>
        <v>-16.190198000000009</v>
      </c>
      <c r="DA298" s="1807">
        <f>DA297-DA296</f>
        <v>-16.375967500000058</v>
      </c>
      <c r="DB298" s="712">
        <f>DB297-DB296</f>
        <v>-16.283082750000062</v>
      </c>
      <c r="DC298" s="115"/>
      <c r="DD298" s="712">
        <f>DD297-DD296</f>
        <v>-15.864660000000015</v>
      </c>
      <c r="DE298" s="1807">
        <f>DE297-DE296</f>
        <v>-15.619619</v>
      </c>
      <c r="DF298" s="712">
        <f>DF297-DF296</f>
        <v>-15.742139500000008</v>
      </c>
      <c r="DG298" s="115"/>
      <c r="DH298" s="712">
        <f>DH297-DH296</f>
        <v>-14.517414000000031</v>
      </c>
      <c r="DI298" s="712">
        <f>DI297-DI296</f>
        <v>-14.535560767500044</v>
      </c>
      <c r="DJ298" s="712">
        <f>DJ297-DJ296</f>
        <v>-14.526487383750009</v>
      </c>
      <c r="DK298" s="115"/>
      <c r="DL298" s="712">
        <f>DL297-DL296</f>
        <v>-14.571899669418826</v>
      </c>
      <c r="DM298" s="712">
        <f>DM297-DM296</f>
        <v>-14.608329418592405</v>
      </c>
      <c r="DN298" s="712">
        <f>DN297-DN296</f>
        <v>-14.590114544005587</v>
      </c>
      <c r="DO298" s="115"/>
      <c r="DP298" s="712">
        <f>DP297-DP296</f>
        <v>-14.644850242138887</v>
      </c>
      <c r="DQ298" s="712">
        <f>DQ297-DQ296</f>
        <v>-14.681462367744246</v>
      </c>
      <c r="DR298" s="712">
        <f>DR297-DR296</f>
        <v>-14.663156304941538</v>
      </c>
      <c r="DS298" s="115"/>
      <c r="DT298" s="115"/>
      <c r="DU298" s="712"/>
      <c r="DV298" s="712"/>
      <c r="DW298" s="712"/>
      <c r="DX298" s="115"/>
      <c r="EH298"/>
    </row>
    <row r="299" spans="1:138">
      <c r="P299" s="293"/>
      <c r="Q299" s="293"/>
      <c r="R299" s="293"/>
      <c r="T299" s="293"/>
      <c r="U299" s="293"/>
      <c r="V299" s="293"/>
      <c r="X299" s="293"/>
      <c r="Y299" s="293"/>
      <c r="Z299" s="293"/>
      <c r="AB299" s="293"/>
      <c r="AC299" s="293"/>
      <c r="AD299" s="293"/>
      <c r="AE299" s="293"/>
    </row>
    <row r="300" spans="1:138">
      <c r="A300" s="289" t="s">
        <v>64</v>
      </c>
      <c r="P300" s="293"/>
      <c r="Q300" s="293"/>
      <c r="R300" s="293"/>
      <c r="T300" s="293"/>
      <c r="U300" s="293"/>
      <c r="V300" s="293"/>
      <c r="X300" s="293"/>
      <c r="Y300" s="293"/>
      <c r="Z300" s="293"/>
      <c r="AB300" s="293"/>
      <c r="AC300" s="293"/>
      <c r="AD300" s="293"/>
      <c r="AE300" s="293"/>
    </row>
    <row r="301" spans="1:138" ht="14.4" thickBot="1">
      <c r="A301" s="302" t="s">
        <v>103</v>
      </c>
      <c r="B301" s="302"/>
      <c r="C301" s="304" t="s">
        <v>612</v>
      </c>
      <c r="D301" s="302"/>
      <c r="E301" s="302"/>
      <c r="F301" s="302"/>
      <c r="G301" s="302"/>
      <c r="H301" s="302"/>
      <c r="I301" s="302"/>
      <c r="J301" s="302"/>
      <c r="K301" s="302"/>
      <c r="L301" s="302"/>
      <c r="M301" s="302"/>
      <c r="N301" s="302"/>
      <c r="O301" s="302"/>
      <c r="P301" s="303">
        <f>P283</f>
        <v>0</v>
      </c>
      <c r="Q301" s="303">
        <f>Q283</f>
        <v>0</v>
      </c>
      <c r="R301" s="303">
        <f>R283</f>
        <v>0</v>
      </c>
      <c r="S301" s="304"/>
      <c r="T301" s="303">
        <f>T283</f>
        <v>150</v>
      </c>
      <c r="U301" s="303">
        <f>U283</f>
        <v>0</v>
      </c>
      <c r="V301" s="303">
        <f>V283</f>
        <v>150</v>
      </c>
      <c r="W301" s="304"/>
      <c r="X301" s="303">
        <f>X283</f>
        <v>0</v>
      </c>
      <c r="Y301" s="303">
        <f>Y283</f>
        <v>0</v>
      </c>
      <c r="Z301" s="303">
        <f>Z283</f>
        <v>0</v>
      </c>
      <c r="AA301" s="304"/>
      <c r="AB301" s="303">
        <f>AB283</f>
        <v>0</v>
      </c>
      <c r="AC301" s="303">
        <f>AC283</f>
        <v>0</v>
      </c>
      <c r="AD301" s="303">
        <f>AD283</f>
        <v>0</v>
      </c>
      <c r="AE301" s="303"/>
      <c r="AF301" s="303">
        <f>AF283</f>
        <v>0</v>
      </c>
      <c r="AG301" s="303">
        <f>AG283</f>
        <v>0</v>
      </c>
      <c r="AH301" s="303">
        <f>AH283</f>
        <v>0</v>
      </c>
      <c r="AI301" s="304"/>
      <c r="AJ301" s="303">
        <f>AJ283</f>
        <v>705</v>
      </c>
      <c r="AK301" s="303">
        <f>AK283</f>
        <v>0</v>
      </c>
      <c r="AL301" s="303">
        <f>AL283</f>
        <v>705</v>
      </c>
      <c r="AM301" s="304"/>
      <c r="AN301" s="303">
        <f>AN283</f>
        <v>824</v>
      </c>
      <c r="AO301" s="303">
        <f>AO283</f>
        <v>0</v>
      </c>
      <c r="AP301" s="303">
        <f>AP283</f>
        <v>824</v>
      </c>
      <c r="AQ301" s="304"/>
      <c r="AR301" s="303">
        <f>AR283</f>
        <v>0</v>
      </c>
      <c r="AS301" s="303">
        <f>AS283</f>
        <v>0</v>
      </c>
      <c r="AT301" s="303">
        <f>AT283</f>
        <v>0</v>
      </c>
      <c r="AU301" s="304"/>
      <c r="AV301" s="303">
        <f>AV283</f>
        <v>1201</v>
      </c>
      <c r="AW301" s="303">
        <f>AW283</f>
        <v>0</v>
      </c>
      <c r="AX301" s="303">
        <f>AX283</f>
        <v>1201</v>
      </c>
      <c r="AY301" s="304"/>
      <c r="AZ301" s="303">
        <f>AZ283</f>
        <v>0</v>
      </c>
      <c r="BA301" s="303">
        <f>+BA589</f>
        <v>0</v>
      </c>
      <c r="BB301" s="303">
        <f>+BA301+AZ301</f>
        <v>0</v>
      </c>
      <c r="BC301" s="304"/>
      <c r="BD301" s="303">
        <f>BD283</f>
        <v>0</v>
      </c>
      <c r="BE301" s="303">
        <f>+BE589</f>
        <v>0</v>
      </c>
      <c r="BF301" s="303">
        <f>+BE301+BD301</f>
        <v>0</v>
      </c>
      <c r="BG301" s="304"/>
      <c r="BH301" s="303">
        <f>BH283</f>
        <v>0</v>
      </c>
      <c r="BI301" s="303">
        <f>+BI589</f>
        <v>0</v>
      </c>
      <c r="BJ301" s="303">
        <f>+BI301+BH301</f>
        <v>0</v>
      </c>
      <c r="BK301" s="304"/>
      <c r="BL301" s="303">
        <f>BL283</f>
        <v>0</v>
      </c>
      <c r="BM301" s="627">
        <v>0</v>
      </c>
      <c r="BN301" s="303">
        <f>+BM301+BL301</f>
        <v>0</v>
      </c>
      <c r="BO301" s="304"/>
      <c r="BP301" s="303">
        <f>BP283</f>
        <v>0</v>
      </c>
      <c r="BQ301" s="303">
        <f>BQ283</f>
        <v>0</v>
      </c>
      <c r="BR301" s="303">
        <f>BR283</f>
        <v>0</v>
      </c>
      <c r="BS301" s="304"/>
      <c r="BT301" s="303">
        <f>BT283</f>
        <v>0</v>
      </c>
      <c r="BU301" s="303">
        <f>BU283</f>
        <v>538</v>
      </c>
      <c r="BV301" s="303">
        <f>BV283</f>
        <v>538</v>
      </c>
      <c r="BW301" s="304"/>
      <c r="BX301" s="303">
        <f>BX283</f>
        <v>0</v>
      </c>
      <c r="BY301" s="303">
        <f>BY283</f>
        <v>0</v>
      </c>
      <c r="BZ301" s="303">
        <f>BZ283</f>
        <v>0</v>
      </c>
      <c r="CA301" s="304"/>
      <c r="CB301" s="303">
        <f>CB283</f>
        <v>0</v>
      </c>
      <c r="CC301" s="303">
        <f>CC283</f>
        <v>0</v>
      </c>
      <c r="CD301" s="303">
        <f>CD283</f>
        <v>0</v>
      </c>
      <c r="CE301" s="304"/>
      <c r="CF301" s="303">
        <f>CF283</f>
        <v>0</v>
      </c>
      <c r="CG301" s="303">
        <f>CG283</f>
        <v>0</v>
      </c>
      <c r="CH301" s="303">
        <f>CH283</f>
        <v>0</v>
      </c>
      <c r="CI301" s="304"/>
      <c r="CJ301" s="303">
        <f>CJ283</f>
        <v>1670</v>
      </c>
      <c r="CK301" s="303">
        <f>CK283</f>
        <v>0</v>
      </c>
      <c r="CL301" s="303">
        <f>CL283</f>
        <v>1670</v>
      </c>
      <c r="CM301" s="304"/>
      <c r="CN301" s="303">
        <f>CN283</f>
        <v>0</v>
      </c>
      <c r="CO301" s="303">
        <f>CO283</f>
        <v>0</v>
      </c>
      <c r="CP301" s="303">
        <f>CP283</f>
        <v>0</v>
      </c>
      <c r="CQ301" s="304"/>
      <c r="CR301" s="303">
        <f>CR283</f>
        <v>0</v>
      </c>
      <c r="CS301" s="303">
        <f>CS283</f>
        <v>2800</v>
      </c>
      <c r="CT301" s="303">
        <f>CT283</f>
        <v>2800</v>
      </c>
      <c r="CU301" s="304"/>
      <c r="CV301" s="303">
        <f>CV283</f>
        <v>0</v>
      </c>
      <c r="CW301" s="1799">
        <f>CW283</f>
        <v>0</v>
      </c>
      <c r="CX301" s="303">
        <f>CX283</f>
        <v>0</v>
      </c>
      <c r="CY301" s="304"/>
      <c r="CZ301" s="303">
        <f>CZ283</f>
        <v>0</v>
      </c>
      <c r="DA301" s="1799">
        <f>DA283</f>
        <v>0</v>
      </c>
      <c r="DB301" s="303">
        <f>DB283</f>
        <v>0</v>
      </c>
      <c r="DC301" s="304"/>
      <c r="DD301" s="303">
        <f>DD283</f>
        <v>0</v>
      </c>
      <c r="DE301" s="1799">
        <f>DE283</f>
        <v>0</v>
      </c>
      <c r="DF301" s="303">
        <f>DF283</f>
        <v>0</v>
      </c>
      <c r="DG301" s="304"/>
      <c r="DH301" s="303">
        <f>DH283</f>
        <v>0</v>
      </c>
      <c r="DI301" s="630">
        <v>0</v>
      </c>
      <c r="DJ301" s="303">
        <f>+DI301+DH301</f>
        <v>0</v>
      </c>
      <c r="DK301" s="304"/>
      <c r="DL301" s="630">
        <v>0</v>
      </c>
      <c r="DM301" s="630">
        <v>0</v>
      </c>
      <c r="DN301" s="303">
        <f>+DM301+DL301</f>
        <v>0</v>
      </c>
      <c r="DO301" s="304"/>
      <c r="DP301" s="630">
        <v>0</v>
      </c>
      <c r="DQ301" s="630">
        <v>0</v>
      </c>
      <c r="DR301" s="303">
        <f>+DQ301+DP301</f>
        <v>0</v>
      </c>
      <c r="DS301" s="304"/>
      <c r="DU301" s="293"/>
      <c r="DV301" s="293"/>
      <c r="DW301" s="293"/>
      <c r="DZ301" s="102"/>
    </row>
    <row r="302" spans="1:138" ht="14.4" thickBot="1">
      <c r="A302" s="102" t="s">
        <v>1274</v>
      </c>
      <c r="B302" s="724">
        <v>75</v>
      </c>
      <c r="C302" s="103" t="s">
        <v>105</v>
      </c>
      <c r="P302" s="725"/>
      <c r="Q302" s="725"/>
      <c r="R302" s="725"/>
      <c r="T302" s="725">
        <f>+T301/T303</f>
        <v>30.881258473045296</v>
      </c>
      <c r="U302" s="725"/>
      <c r="V302" s="725">
        <f>+V301/V303</f>
        <v>30.881258473045296</v>
      </c>
      <c r="X302" s="725"/>
      <c r="Y302" s="725"/>
      <c r="Z302" s="725"/>
      <c r="AB302" s="725"/>
      <c r="AC302" s="725"/>
      <c r="AD302" s="725"/>
      <c r="AE302" s="293"/>
      <c r="AF302" s="725"/>
      <c r="AG302" s="725"/>
      <c r="AH302" s="725"/>
      <c r="AJ302" s="725">
        <f>AJ301/AJ303</f>
        <v>65.617970500394264</v>
      </c>
      <c r="AK302" s="725"/>
      <c r="AL302" s="725">
        <f>AL301/AL303</f>
        <v>65.617970500394264</v>
      </c>
      <c r="AN302" s="725">
        <f>AN301/AN303</f>
        <v>86.438710443537573</v>
      </c>
      <c r="AO302" s="726">
        <v>0</v>
      </c>
      <c r="AP302" s="725">
        <f>AP301/AP303</f>
        <v>86.438710443537573</v>
      </c>
      <c r="AR302" s="726">
        <v>0</v>
      </c>
      <c r="AS302" s="726">
        <v>0</v>
      </c>
      <c r="AT302" s="725"/>
      <c r="AV302" s="726">
        <f>+AV301/AV303</f>
        <v>26.599434399903473</v>
      </c>
      <c r="AW302" s="726">
        <v>0</v>
      </c>
      <c r="AX302" s="725"/>
      <c r="AZ302" s="726"/>
      <c r="BA302" s="727"/>
      <c r="BD302" s="726"/>
      <c r="BE302" s="727"/>
      <c r="BH302" s="726"/>
      <c r="BI302" s="727"/>
      <c r="BL302" s="726"/>
      <c r="BM302" s="369"/>
      <c r="BN302" s="369"/>
      <c r="BP302" s="726"/>
      <c r="BQ302" s="369"/>
      <c r="BR302" s="369"/>
      <c r="BT302" s="726"/>
      <c r="BU302" s="369"/>
      <c r="BV302" s="369"/>
      <c r="BX302" s="726"/>
      <c r="BY302" s="369"/>
      <c r="BZ302" s="369"/>
      <c r="CB302" s="726"/>
      <c r="CC302" s="369"/>
      <c r="CD302" s="369"/>
      <c r="CF302" s="726"/>
      <c r="CG302" s="369"/>
      <c r="CH302" s="369"/>
      <c r="CJ302" s="726">
        <f>+(CJ283+9.2)/CJ291</f>
        <v>119.99660705163006</v>
      </c>
      <c r="CK302" s="369"/>
      <c r="CL302" s="369"/>
      <c r="CN302" s="726">
        <v>120</v>
      </c>
      <c r="CO302" s="908">
        <v>150</v>
      </c>
      <c r="CP302" s="369"/>
      <c r="CR302" s="726"/>
      <c r="CS302" s="1515">
        <f>+(194*7.7+191*6.7)/(14.41)</f>
        <v>192.470506592644</v>
      </c>
      <c r="CT302" s="369"/>
      <c r="CV302" s="726"/>
      <c r="CW302" s="1808">
        <f>+(194*7.7+191*6.7)/(14.41)</f>
        <v>192.470506592644</v>
      </c>
      <c r="CX302" s="369"/>
      <c r="CZ302" s="726"/>
      <c r="DA302" s="1808">
        <f>+(194*7.7+191*6.7)/(14.41)</f>
        <v>192.470506592644</v>
      </c>
      <c r="DB302" s="369"/>
      <c r="DD302" s="726"/>
      <c r="DE302" s="1808">
        <f>+(194*7.7+191*6.7)/(14.41)</f>
        <v>192.470506592644</v>
      </c>
      <c r="DF302" s="369"/>
      <c r="DH302" s="726"/>
      <c r="DI302" s="727">
        <f>+DI313</f>
        <v>205</v>
      </c>
      <c r="DJ302" s="725" t="str">
        <f>IF(DJ301=0,"n/a",DJ301/DJ303)</f>
        <v>n/a</v>
      </c>
      <c r="DL302" s="727">
        <f>+DL313</f>
        <v>215.25</v>
      </c>
      <c r="DM302" s="727">
        <f>+DM313</f>
        <v>226.01250000000002</v>
      </c>
      <c r="DN302" s="725" t="str">
        <f>IF(DN301=0,"n/a",DN301/DN303)</f>
        <v>n/a</v>
      </c>
      <c r="DP302" s="727">
        <f>+DP313</f>
        <v>237.31312500000004</v>
      </c>
      <c r="DQ302" s="727">
        <f>+DQ313</f>
        <v>249.17878125000004</v>
      </c>
      <c r="DR302" s="725" t="str">
        <f>IF(DR301=0,"n/a",DR301/DR303)</f>
        <v>n/a</v>
      </c>
      <c r="DU302" s="727"/>
      <c r="DV302" s="727"/>
      <c r="DW302" s="725"/>
    </row>
    <row r="303" spans="1:138">
      <c r="A303" s="102" t="s">
        <v>103</v>
      </c>
      <c r="C303" s="103" t="s">
        <v>63</v>
      </c>
      <c r="P303" s="711">
        <f>P291</f>
        <v>0</v>
      </c>
      <c r="Q303" s="711">
        <f>Q291</f>
        <v>0</v>
      </c>
      <c r="R303" s="711">
        <f>R291</f>
        <v>0</v>
      </c>
      <c r="T303" s="711">
        <f>T291</f>
        <v>4.8573149999999998</v>
      </c>
      <c r="U303" s="711">
        <f>U291</f>
        <v>0</v>
      </c>
      <c r="V303" s="711">
        <f>V291</f>
        <v>4.8573149999999998</v>
      </c>
      <c r="X303" s="711">
        <f>X291</f>
        <v>0</v>
      </c>
      <c r="Y303" s="711">
        <f>Y291</f>
        <v>0</v>
      </c>
      <c r="Z303" s="711">
        <f>Z291</f>
        <v>0</v>
      </c>
      <c r="AB303" s="711">
        <f>AB291</f>
        <v>0</v>
      </c>
      <c r="AC303" s="711">
        <f>AC291</f>
        <v>0</v>
      </c>
      <c r="AD303" s="711">
        <f>AD291</f>
        <v>0</v>
      </c>
      <c r="AE303" s="293"/>
      <c r="AF303" s="711">
        <f>AF291</f>
        <v>0</v>
      </c>
      <c r="AG303" s="711">
        <f>AG291</f>
        <v>0</v>
      </c>
      <c r="AH303" s="711">
        <f>AH291</f>
        <v>0</v>
      </c>
      <c r="AJ303" s="711">
        <f>AJ291</f>
        <v>10.744008000000001</v>
      </c>
      <c r="AK303" s="711">
        <f>AK291</f>
        <v>0</v>
      </c>
      <c r="AL303" s="711">
        <f>AL291</f>
        <v>10.744008000000001</v>
      </c>
      <c r="AN303" s="711">
        <f>AN291</f>
        <v>9.5327660000000005</v>
      </c>
      <c r="AO303" s="711">
        <f>AO291</f>
        <v>0</v>
      </c>
      <c r="AP303" s="711">
        <f>AP291</f>
        <v>9.5327660000000005</v>
      </c>
      <c r="AR303" s="711">
        <f>AR291</f>
        <v>0</v>
      </c>
      <c r="AS303" s="711">
        <f>AS291</f>
        <v>0</v>
      </c>
      <c r="AT303" s="711">
        <f>AT291</f>
        <v>0</v>
      </c>
      <c r="AV303" s="711">
        <f>AV291</f>
        <v>45.151336000000001</v>
      </c>
      <c r="AW303" s="711">
        <f>AW291</f>
        <v>0</v>
      </c>
      <c r="AX303" s="711">
        <f>AX291</f>
        <v>45.151336000000001</v>
      </c>
      <c r="AZ303" s="711">
        <f>AZ291</f>
        <v>0</v>
      </c>
      <c r="BA303" s="309">
        <f>+IF(BA302=0,0,BA301/BA302)</f>
        <v>0</v>
      </c>
      <c r="BB303" s="309">
        <f>+BA303+AZ303</f>
        <v>0</v>
      </c>
      <c r="BD303" s="711">
        <f>BD291</f>
        <v>0</v>
      </c>
      <c r="BE303" s="309">
        <f>+IF(BE302=0,0,BE301/BE302)</f>
        <v>0</v>
      </c>
      <c r="BF303" s="309">
        <f>+BE303+BD303</f>
        <v>0</v>
      </c>
      <c r="BH303" s="711">
        <f>BH291</f>
        <v>0</v>
      </c>
      <c r="BI303" s="309">
        <f>+IF(BI302=0,0,BI301/BI302)</f>
        <v>0</v>
      </c>
      <c r="BJ303" s="309">
        <f>+BI303+BH303</f>
        <v>0</v>
      </c>
      <c r="BL303" s="711">
        <f>BL291</f>
        <v>0</v>
      </c>
      <c r="BM303" s="309">
        <f>+IF(BM302=0,0,BM301/BM302)</f>
        <v>0</v>
      </c>
      <c r="BN303" s="309">
        <f>+BM303+BL303</f>
        <v>0</v>
      </c>
      <c r="BP303" s="711">
        <f>BP291</f>
        <v>0</v>
      </c>
      <c r="BQ303" s="309">
        <f>+IF(BQ302=0,0,BQ301/BQ302)</f>
        <v>0</v>
      </c>
      <c r="BR303" s="309">
        <f>+BQ303+BP303</f>
        <v>0</v>
      </c>
      <c r="BT303" s="711">
        <f>BT291</f>
        <v>0</v>
      </c>
      <c r="BU303" s="309">
        <f>+IF(BU302=0,0,BU301/BU302)</f>
        <v>0</v>
      </c>
      <c r="BV303" s="309">
        <f>+BU303+BT303</f>
        <v>0</v>
      </c>
      <c r="BX303" s="711">
        <f>BX291</f>
        <v>0</v>
      </c>
      <c r="BY303" s="309">
        <f>+IF(BY302=0,0,BY301/BY302)</f>
        <v>0</v>
      </c>
      <c r="BZ303" s="309">
        <f>+BY303+BX303</f>
        <v>0</v>
      </c>
      <c r="CB303" s="711">
        <f>CB291</f>
        <v>0</v>
      </c>
      <c r="CC303" s="309">
        <f>+IF(CC302=0,0,CC301/CC302)</f>
        <v>0</v>
      </c>
      <c r="CD303" s="309">
        <f>+CC303+CB303</f>
        <v>0</v>
      </c>
      <c r="CF303" s="711">
        <f>CF291</f>
        <v>0</v>
      </c>
      <c r="CG303" s="309">
        <f>+IF(CG302=0,0,CG301/CG302)</f>
        <v>0</v>
      </c>
      <c r="CH303" s="309">
        <f>+CG303+CF303</f>
        <v>0</v>
      </c>
      <c r="CJ303" s="711">
        <f>CJ291</f>
        <v>13.993729</v>
      </c>
      <c r="CK303" s="309">
        <f>+IF(CK302=0,0,CK301/CK302)</f>
        <v>0</v>
      </c>
      <c r="CL303" s="309">
        <f>+CK303+CJ303</f>
        <v>13.993729</v>
      </c>
      <c r="CN303" s="711">
        <f>CN291</f>
        <v>0</v>
      </c>
      <c r="CO303" s="309">
        <f>+IF(CO302=0,0,CO301/CO302)</f>
        <v>0</v>
      </c>
      <c r="CP303" s="309">
        <f>+CO303+CN303</f>
        <v>0</v>
      </c>
      <c r="CR303" s="711">
        <f>CR291</f>
        <v>0</v>
      </c>
      <c r="CS303" s="309">
        <f>+IF(CS302=0,0,CS301/CS302)</f>
        <v>14.547683432486028</v>
      </c>
      <c r="CT303" s="309">
        <f>+CS303+CR303</f>
        <v>14.547683432486028</v>
      </c>
      <c r="CV303" s="711">
        <f>CV291</f>
        <v>0</v>
      </c>
      <c r="CW303" s="1796">
        <f>+IF(CW302=0,0,CW301/CW302)</f>
        <v>0</v>
      </c>
      <c r="CX303" s="309">
        <f>+CW303+CV303</f>
        <v>0</v>
      </c>
      <c r="CZ303" s="711">
        <f>CZ291</f>
        <v>0</v>
      </c>
      <c r="DA303" s="1796">
        <f>+IF(DA302=0,0,DA301/DA302)</f>
        <v>0</v>
      </c>
      <c r="DB303" s="309">
        <f>+DA303+CZ303</f>
        <v>0</v>
      </c>
      <c r="DD303" s="711">
        <f>DD291</f>
        <v>0</v>
      </c>
      <c r="DE303" s="1796">
        <f>+IF(DE302=0,0,DE301/DE302)</f>
        <v>0</v>
      </c>
      <c r="DF303" s="309">
        <f>+DE303+DD303</f>
        <v>0</v>
      </c>
      <c r="DH303" s="711">
        <f>DH291</f>
        <v>0</v>
      </c>
      <c r="DI303" s="309">
        <f>+IF(DI302=0,0,DI301/DI302)</f>
        <v>0</v>
      </c>
      <c r="DJ303" s="309">
        <f>+DI303+DH303</f>
        <v>0</v>
      </c>
      <c r="DL303" s="309">
        <f>+IF(DL302=0,0,DL301/DL302)</f>
        <v>0</v>
      </c>
      <c r="DM303" s="309">
        <f>+IF(DM302=0,0,DM301/DM302)</f>
        <v>0</v>
      </c>
      <c r="DN303" s="309">
        <f>+DM303+DL303</f>
        <v>0</v>
      </c>
      <c r="DP303" s="309">
        <f>+IF(DP302=0,0,DP301/DP302)</f>
        <v>0</v>
      </c>
      <c r="DQ303" s="309">
        <f>+IF(DQ302=0,0,DQ301/DQ302)</f>
        <v>0</v>
      </c>
      <c r="DR303" s="309">
        <f>+DQ303+DP303</f>
        <v>0</v>
      </c>
      <c r="DU303" s="309"/>
      <c r="DV303" s="309"/>
      <c r="DW303" s="309"/>
    </row>
    <row r="304" spans="1:138">
      <c r="AE304" s="293"/>
      <c r="DA304" s="1408"/>
      <c r="DE304" s="1408"/>
    </row>
    <row r="305" spans="1:138">
      <c r="A305" s="289" t="s">
        <v>101</v>
      </c>
      <c r="AE305" s="293"/>
      <c r="DA305" s="1408"/>
      <c r="DE305" s="1408"/>
      <c r="DJ305" s="924">
        <f>+DJ306+DF306+DB306</f>
        <v>-1013</v>
      </c>
      <c r="DN305" s="924">
        <f>+DN306+DJ306+DF306+DB306</f>
        <v>-1013</v>
      </c>
      <c r="DR305" s="924"/>
    </row>
    <row r="306" spans="1:138" ht="14.4" thickBot="1">
      <c r="A306" s="302" t="s">
        <v>101</v>
      </c>
      <c r="B306" s="302"/>
      <c r="C306" s="304" t="s">
        <v>612</v>
      </c>
      <c r="D306" s="302"/>
      <c r="E306" s="302"/>
      <c r="F306" s="302"/>
      <c r="G306" s="302"/>
      <c r="H306" s="302"/>
      <c r="I306" s="302"/>
      <c r="J306" s="302"/>
      <c r="K306" s="302"/>
      <c r="L306" s="302"/>
      <c r="M306" s="302"/>
      <c r="N306" s="302"/>
      <c r="O306" s="302"/>
      <c r="P306" s="303">
        <f>P284</f>
        <v>0</v>
      </c>
      <c r="Q306" s="303">
        <f>Q284</f>
        <v>0</v>
      </c>
      <c r="R306" s="303">
        <f>R284</f>
        <v>0</v>
      </c>
      <c r="S306" s="304"/>
      <c r="T306" s="303">
        <f>+T308*T307</f>
        <v>-12.25844206</v>
      </c>
      <c r="U306" s="303">
        <f>+U308*U307</f>
        <v>-154.93034024000002</v>
      </c>
      <c r="V306" s="303">
        <f>+U306+T306</f>
        <v>-167.18878230000001</v>
      </c>
      <c r="W306" s="304"/>
      <c r="X306" s="303">
        <f>X284</f>
        <v>0</v>
      </c>
      <c r="Y306" s="303">
        <f>Y284</f>
        <v>0</v>
      </c>
      <c r="Z306" s="303">
        <f>Z284</f>
        <v>0</v>
      </c>
      <c r="AA306" s="304"/>
      <c r="AB306" s="303">
        <f>AB284</f>
        <v>0</v>
      </c>
      <c r="AC306" s="303">
        <f>AC284</f>
        <v>0</v>
      </c>
      <c r="AD306" s="303">
        <f>AD284</f>
        <v>0</v>
      </c>
      <c r="AE306" s="303"/>
      <c r="AF306" s="303">
        <f>AF284</f>
        <v>0</v>
      </c>
      <c r="AG306" s="303">
        <f>AG284</f>
        <v>0</v>
      </c>
      <c r="AH306" s="303">
        <f>AH284</f>
        <v>0</v>
      </c>
      <c r="AI306" s="304"/>
      <c r="AJ306" s="303">
        <f>AJ284</f>
        <v>0</v>
      </c>
      <c r="AK306" s="303">
        <f>AK284</f>
        <v>0</v>
      </c>
      <c r="AL306" s="303">
        <f>AL284</f>
        <v>0</v>
      </c>
      <c r="AM306" s="304"/>
      <c r="AN306" s="303">
        <f>AN284</f>
        <v>0</v>
      </c>
      <c r="AO306" s="303">
        <f>AO284</f>
        <v>0</v>
      </c>
      <c r="AP306" s="303">
        <f>AP284</f>
        <v>0</v>
      </c>
      <c r="AQ306" s="304"/>
      <c r="AR306" s="303">
        <f>AR284</f>
        <v>0</v>
      </c>
      <c r="AS306" s="303">
        <f>AS284</f>
        <v>0</v>
      </c>
      <c r="AT306" s="303">
        <f>AT284</f>
        <v>0</v>
      </c>
      <c r="AU306" s="304"/>
      <c r="AV306" s="303">
        <f>AV284</f>
        <v>0</v>
      </c>
      <c r="AW306" s="303">
        <f>AW284</f>
        <v>0</v>
      </c>
      <c r="AX306" s="303">
        <f>AX284</f>
        <v>0</v>
      </c>
      <c r="AY306" s="304"/>
      <c r="AZ306" s="303">
        <f>AZ284</f>
        <v>0</v>
      </c>
      <c r="BA306" s="303">
        <f>-BA583</f>
        <v>0</v>
      </c>
      <c r="BB306" s="303">
        <f>+BA306+AZ306</f>
        <v>0</v>
      </c>
      <c r="BC306" s="304"/>
      <c r="BD306" s="303">
        <f>BD284</f>
        <v>0</v>
      </c>
      <c r="BE306" s="303">
        <f>-BE583</f>
        <v>0</v>
      </c>
      <c r="BF306" s="303">
        <f>+BE306+BD306</f>
        <v>0</v>
      </c>
      <c r="BG306" s="304"/>
      <c r="BH306" s="303">
        <f>BH284</f>
        <v>-250</v>
      </c>
      <c r="BI306" s="303">
        <f>-BI583</f>
        <v>0</v>
      </c>
      <c r="BJ306" s="303">
        <f>+BI306+BH306</f>
        <v>-250</v>
      </c>
      <c r="BK306" s="304"/>
      <c r="BL306" s="303">
        <f>BL284</f>
        <v>0</v>
      </c>
      <c r="BM306" s="627">
        <f>-340.6*2.5737</f>
        <v>-876.6022200000001</v>
      </c>
      <c r="BN306" s="303">
        <f>+BM306+BL306</f>
        <v>-876.6022200000001</v>
      </c>
      <c r="BO306" s="304"/>
      <c r="BP306" s="303">
        <f>BP284</f>
        <v>0</v>
      </c>
      <c r="BQ306" s="303">
        <v>0</v>
      </c>
      <c r="BR306" s="303">
        <f>+BQ306+BP306</f>
        <v>0</v>
      </c>
      <c r="BS306" s="304"/>
      <c r="BT306" s="303">
        <f>BT284</f>
        <v>0</v>
      </c>
      <c r="BU306" s="303">
        <v>0</v>
      </c>
      <c r="BV306" s="303">
        <f>+BU306+BT306</f>
        <v>0</v>
      </c>
      <c r="BW306" s="304"/>
      <c r="BX306" s="303">
        <f>BX284</f>
        <v>0</v>
      </c>
      <c r="BY306" s="303">
        <v>0</v>
      </c>
      <c r="BZ306" s="303">
        <f>+BY306+BX306</f>
        <v>0</v>
      </c>
      <c r="CA306" s="304"/>
      <c r="CB306" s="303">
        <f>CB284</f>
        <v>0</v>
      </c>
      <c r="CC306" s="303">
        <v>0</v>
      </c>
      <c r="CD306" s="303">
        <f>+CC306+CB306</f>
        <v>0</v>
      </c>
      <c r="CE306" s="304"/>
      <c r="CF306" s="303">
        <f>CF284</f>
        <v>0</v>
      </c>
      <c r="CG306" s="303">
        <v>0</v>
      </c>
      <c r="CH306" s="303">
        <f>+CG306+CF306</f>
        <v>0</v>
      </c>
      <c r="CI306" s="304"/>
      <c r="CJ306" s="303">
        <f>CJ284</f>
        <v>0</v>
      </c>
      <c r="CK306" s="303">
        <v>0</v>
      </c>
      <c r="CL306" s="303">
        <f>+CK306+CJ306</f>
        <v>0</v>
      </c>
      <c r="CM306" s="304"/>
      <c r="CN306" s="303">
        <f>CN284</f>
        <v>0</v>
      </c>
      <c r="CO306" s="303">
        <v>0</v>
      </c>
      <c r="CP306" s="303">
        <f>+CO306+CN306</f>
        <v>0</v>
      </c>
      <c r="CQ306" s="304"/>
      <c r="CR306" s="303">
        <f>CR284</f>
        <v>0</v>
      </c>
      <c r="CS306" s="303">
        <v>0</v>
      </c>
      <c r="CT306" s="303">
        <f>+CS306+CR306</f>
        <v>0</v>
      </c>
      <c r="CU306" s="304"/>
      <c r="CV306" s="303">
        <f>CV284</f>
        <v>0</v>
      </c>
      <c r="CW306" s="1799">
        <v>0</v>
      </c>
      <c r="CX306" s="303">
        <f>+CW306+CV306</f>
        <v>0</v>
      </c>
      <c r="CY306" s="304"/>
      <c r="CZ306" s="303">
        <f>CZ284</f>
        <v>0</v>
      </c>
      <c r="DA306" s="303">
        <f>DA284</f>
        <v>-644</v>
      </c>
      <c r="DB306" s="303">
        <f>+DA306+CZ306</f>
        <v>-644</v>
      </c>
      <c r="DC306" s="304"/>
      <c r="DD306" s="303">
        <f>DD284</f>
        <v>-369</v>
      </c>
      <c r="DE306" s="303">
        <f>DE284</f>
        <v>0</v>
      </c>
      <c r="DF306" s="303">
        <f>+DE306+DD306</f>
        <v>-369</v>
      </c>
      <c r="DG306" s="304"/>
      <c r="DH306" s="303">
        <f>DH284</f>
        <v>0</v>
      </c>
      <c r="DI306" s="630">
        <v>0</v>
      </c>
      <c r="DJ306" s="303">
        <f>+DI306+DH306</f>
        <v>0</v>
      </c>
      <c r="DK306" s="304"/>
      <c r="DL306" s="630">
        <v>0</v>
      </c>
      <c r="DM306" s="630">
        <v>0</v>
      </c>
      <c r="DN306" s="303">
        <f>+DM306+DL306</f>
        <v>0</v>
      </c>
      <c r="DO306" s="304"/>
      <c r="DP306" s="630">
        <v>0</v>
      </c>
      <c r="DQ306" s="630">
        <v>0</v>
      </c>
      <c r="DR306" s="303">
        <f>+DQ306+DP306</f>
        <v>0</v>
      </c>
      <c r="DS306" s="304"/>
      <c r="DU306" s="293"/>
      <c r="DV306" s="293"/>
      <c r="DW306" s="293"/>
      <c r="DZ306" s="102"/>
    </row>
    <row r="307" spans="1:138" ht="14.4" thickBot="1">
      <c r="A307" s="102" t="s">
        <v>106</v>
      </c>
      <c r="B307" s="724">
        <v>75</v>
      </c>
      <c r="C307" s="103" t="s">
        <v>105</v>
      </c>
      <c r="P307" s="725"/>
      <c r="Q307" s="725"/>
      <c r="R307" s="725"/>
      <c r="T307" s="726">
        <v>34.42</v>
      </c>
      <c r="U307" s="726">
        <v>34.42</v>
      </c>
      <c r="V307" s="725">
        <f>+V306/V308</f>
        <v>34.419999999999995</v>
      </c>
      <c r="X307" s="725"/>
      <c r="Y307" s="725"/>
      <c r="Z307" s="725"/>
      <c r="AB307" s="725"/>
      <c r="AC307" s="725"/>
      <c r="AD307" s="725"/>
      <c r="AE307" s="293"/>
      <c r="AF307" s="725"/>
      <c r="AG307" s="725"/>
      <c r="AH307" s="725"/>
      <c r="AJ307" s="725"/>
      <c r="AK307" s="725"/>
      <c r="AL307" s="725"/>
      <c r="AN307" s="725"/>
      <c r="AO307" s="725"/>
      <c r="AP307" s="725"/>
      <c r="AR307" s="725"/>
      <c r="AS307" s="725"/>
      <c r="AT307" s="725"/>
      <c r="AV307" s="725"/>
      <c r="AW307" s="725"/>
      <c r="AX307" s="725"/>
      <c r="AZ307" s="725"/>
      <c r="BA307" s="369"/>
      <c r="BB307" s="369"/>
      <c r="BD307" s="725"/>
      <c r="BE307" s="369"/>
      <c r="BF307" s="369"/>
      <c r="BH307" s="725"/>
      <c r="BI307" s="369"/>
      <c r="BJ307" s="369"/>
      <c r="BL307" s="725"/>
      <c r="BM307" s="369"/>
      <c r="BN307" s="369"/>
      <c r="BP307" s="725"/>
      <c r="BQ307" s="369"/>
      <c r="BR307" s="369"/>
      <c r="BT307" s="725"/>
      <c r="BU307" s="369"/>
      <c r="BV307" s="369"/>
      <c r="BX307" s="725"/>
      <c r="BY307" s="369"/>
      <c r="BZ307" s="369"/>
      <c r="CB307" s="725"/>
      <c r="CC307" s="369"/>
      <c r="CD307" s="369"/>
      <c r="CF307" s="725"/>
      <c r="CG307" s="369"/>
      <c r="CH307" s="369"/>
      <c r="CJ307" s="725"/>
      <c r="CK307" s="369"/>
      <c r="CL307" s="369"/>
      <c r="CN307" s="725"/>
      <c r="CO307" s="369"/>
      <c r="CP307" s="369"/>
      <c r="CR307" s="725"/>
      <c r="CS307" s="369"/>
      <c r="CT307" s="369"/>
      <c r="CV307" s="725"/>
      <c r="CW307" s="1501"/>
      <c r="CX307" s="369"/>
      <c r="CZ307" s="725">
        <v>0</v>
      </c>
      <c r="DA307" s="725">
        <f>+DA306/DA292</f>
        <v>183.25540710160232</v>
      </c>
      <c r="DB307" s="725">
        <f>+DB306/DB292</f>
        <v>183.25540710160232</v>
      </c>
      <c r="DD307" s="725">
        <f>+DD306/DD292</f>
        <v>202.28954486497037</v>
      </c>
      <c r="DE307" s="725"/>
      <c r="DF307" s="725">
        <f>+DF306/DF292</f>
        <v>202.28954486497037</v>
      </c>
      <c r="DH307" s="725"/>
      <c r="DI307" s="727">
        <f t="shared" ref="DI307:DM307" si="321">+DI313</f>
        <v>205</v>
      </c>
      <c r="DJ307" s="725" t="str">
        <f t="shared" ref="DJ307" si="322">IF(DJ306=0,"n/a",DJ306/DJ308)</f>
        <v>n/a</v>
      </c>
      <c r="DL307" s="727">
        <f t="shared" si="321"/>
        <v>215.25</v>
      </c>
      <c r="DM307" s="727">
        <f t="shared" si="321"/>
        <v>226.01250000000002</v>
      </c>
      <c r="DN307" s="725" t="str">
        <f t="shared" ref="DN307" si="323">IF(DN306=0,"n/a",DN306/DN308)</f>
        <v>n/a</v>
      </c>
      <c r="DP307" s="727">
        <f t="shared" ref="DP307:DQ307" si="324">+DP313</f>
        <v>237.31312500000004</v>
      </c>
      <c r="DQ307" s="727">
        <f t="shared" si="324"/>
        <v>249.17878125000004</v>
      </c>
      <c r="DR307" s="725" t="str">
        <f t="shared" ref="DR307" si="325">IF(DR306=0,"n/a",DR306/DR308)</f>
        <v>n/a</v>
      </c>
      <c r="DU307" s="727"/>
      <c r="DV307" s="727"/>
      <c r="DW307" s="725"/>
    </row>
    <row r="308" spans="1:138">
      <c r="A308" s="102" t="s">
        <v>101</v>
      </c>
      <c r="C308" s="103" t="s">
        <v>63</v>
      </c>
      <c r="P308" s="711">
        <f>P292</f>
        <v>0</v>
      </c>
      <c r="Q308" s="711">
        <f>Q292</f>
        <v>0</v>
      </c>
      <c r="R308" s="711">
        <f>R292</f>
        <v>0</v>
      </c>
      <c r="T308" s="711">
        <f>T292</f>
        <v>-0.35614299999999999</v>
      </c>
      <c r="U308" s="711">
        <f>U292</f>
        <v>-4.5011720000000004</v>
      </c>
      <c r="V308" s="711">
        <f>V292</f>
        <v>-4.8573150000000007</v>
      </c>
      <c r="X308" s="711">
        <f>X292</f>
        <v>0</v>
      </c>
      <c r="Y308" s="711">
        <f>Y292</f>
        <v>0</v>
      </c>
      <c r="Z308" s="711">
        <f>Z292</f>
        <v>0</v>
      </c>
      <c r="AB308" s="711">
        <f>AB292</f>
        <v>0</v>
      </c>
      <c r="AC308" s="711">
        <f>AC292</f>
        <v>0</v>
      </c>
      <c r="AD308" s="711">
        <f>AD292</f>
        <v>0</v>
      </c>
      <c r="AE308" s="293"/>
      <c r="AF308" s="711">
        <f>AF292</f>
        <v>0</v>
      </c>
      <c r="AG308" s="711">
        <f>AG292</f>
        <v>0</v>
      </c>
      <c r="AH308" s="711">
        <f>AH292</f>
        <v>0</v>
      </c>
      <c r="AJ308" s="711">
        <f>AJ292</f>
        <v>0</v>
      </c>
      <c r="AK308" s="711">
        <f>AK292</f>
        <v>0</v>
      </c>
      <c r="AL308" s="711">
        <f>AL292</f>
        <v>0</v>
      </c>
      <c r="AN308" s="711">
        <f>AN292</f>
        <v>0</v>
      </c>
      <c r="AO308" s="711">
        <f>AO292</f>
        <v>0</v>
      </c>
      <c r="AP308" s="711">
        <f>AP292</f>
        <v>0</v>
      </c>
      <c r="AR308" s="711">
        <f>AR292</f>
        <v>0</v>
      </c>
      <c r="AS308" s="711">
        <f>AS292</f>
        <v>0</v>
      </c>
      <c r="AT308" s="711">
        <f>AT292</f>
        <v>0</v>
      </c>
      <c r="AV308" s="711">
        <f>AV292</f>
        <v>0</v>
      </c>
      <c r="AW308" s="711">
        <f>AW292</f>
        <v>0</v>
      </c>
      <c r="AX308" s="711">
        <f>AX292</f>
        <v>0</v>
      </c>
      <c r="AZ308" s="711">
        <f>AZ292</f>
        <v>0</v>
      </c>
      <c r="BA308" s="711">
        <f>-BA585</f>
        <v>0</v>
      </c>
      <c r="BB308" s="711">
        <f>+BA308+AZ308</f>
        <v>0</v>
      </c>
      <c r="BD308" s="711">
        <f>BD292</f>
        <v>0</v>
      </c>
      <c r="BE308" s="711">
        <f>-BE585</f>
        <v>0</v>
      </c>
      <c r="BF308" s="711">
        <f>+BE308+BD308</f>
        <v>0</v>
      </c>
      <c r="BH308" s="711">
        <f>BH292</f>
        <v>-9.7604070000000007</v>
      </c>
      <c r="BI308" s="711">
        <f>-BI585</f>
        <v>0</v>
      </c>
      <c r="BJ308" s="711">
        <f>+BI308+BH308</f>
        <v>-9.7604070000000007</v>
      </c>
      <c r="BL308" s="711">
        <f>BL292</f>
        <v>0</v>
      </c>
      <c r="BM308" s="728">
        <f>-BM290*(1-0.9438)</f>
        <v>-19.10170762320001</v>
      </c>
      <c r="BN308" s="309">
        <f>+BM308+BL308</f>
        <v>-19.10170762320001</v>
      </c>
      <c r="BP308" s="711">
        <f>BP292</f>
        <v>0</v>
      </c>
      <c r="BQ308" s="711">
        <v>0</v>
      </c>
      <c r="BR308" s="309">
        <f>+BQ308+BP308</f>
        <v>0</v>
      </c>
      <c r="BT308" s="711">
        <f>BT292</f>
        <v>0</v>
      </c>
      <c r="BU308" s="711">
        <v>0</v>
      </c>
      <c r="BV308" s="309">
        <f>+BU308+BT308</f>
        <v>0</v>
      </c>
      <c r="BX308" s="711">
        <f>BX292</f>
        <v>0</v>
      </c>
      <c r="BY308" s="711">
        <v>0</v>
      </c>
      <c r="BZ308" s="309">
        <f>+BY308+BX308</f>
        <v>0</v>
      </c>
      <c r="CB308" s="711">
        <f>CB292</f>
        <v>0</v>
      </c>
      <c r="CC308" s="711">
        <v>0</v>
      </c>
      <c r="CD308" s="309">
        <f>+CC308+CB308</f>
        <v>0</v>
      </c>
      <c r="CF308" s="711">
        <f>CF292</f>
        <v>0</v>
      </c>
      <c r="CG308" s="711">
        <v>0</v>
      </c>
      <c r="CH308" s="309">
        <f>+CG308+CF308</f>
        <v>0</v>
      </c>
      <c r="CJ308" s="711">
        <f>CJ292</f>
        <v>0</v>
      </c>
      <c r="CK308" s="711">
        <v>0</v>
      </c>
      <c r="CL308" s="309">
        <f>+CK308+CJ308</f>
        <v>0</v>
      </c>
      <c r="CN308" s="711">
        <f>CN292</f>
        <v>0</v>
      </c>
      <c r="CO308" s="711">
        <v>0</v>
      </c>
      <c r="CP308" s="309">
        <f>+CO308+CN308</f>
        <v>0</v>
      </c>
      <c r="CR308" s="711">
        <f>CR292</f>
        <v>0</v>
      </c>
      <c r="CS308" s="711">
        <v>0</v>
      </c>
      <c r="CT308" s="309">
        <f>+CS308+CR308</f>
        <v>0</v>
      </c>
      <c r="CV308" s="711">
        <f>CV292</f>
        <v>0</v>
      </c>
      <c r="CW308" s="1809">
        <v>0</v>
      </c>
      <c r="CX308" s="309">
        <f>+CW308+CV308</f>
        <v>0</v>
      </c>
      <c r="CZ308" s="711">
        <f>CZ292</f>
        <v>0</v>
      </c>
      <c r="DA308" s="1809">
        <v>0</v>
      </c>
      <c r="DB308" s="309">
        <f>+DA308+CZ308</f>
        <v>0</v>
      </c>
      <c r="DD308" s="711">
        <f>DD292</f>
        <v>-1.8241179999999999</v>
      </c>
      <c r="DE308" s="1809">
        <v>0</v>
      </c>
      <c r="DF308" s="309">
        <f>+DE308+DD308</f>
        <v>-1.8241179999999999</v>
      </c>
      <c r="DH308" s="711">
        <f>DH292</f>
        <v>0</v>
      </c>
      <c r="DI308" s="711">
        <f>+DI306/DI307</f>
        <v>0</v>
      </c>
      <c r="DJ308" s="711">
        <f>+DI308+DH308</f>
        <v>0</v>
      </c>
      <c r="DL308" s="711">
        <f>+DL306/DL307</f>
        <v>0</v>
      </c>
      <c r="DM308" s="711">
        <f>+DM306/DM307</f>
        <v>0</v>
      </c>
      <c r="DN308" s="711">
        <f>+DM308+DL308</f>
        <v>0</v>
      </c>
      <c r="DP308" s="711">
        <f>+DP306/DP307</f>
        <v>0</v>
      </c>
      <c r="DQ308" s="711">
        <f>+DQ306/DQ307</f>
        <v>0</v>
      </c>
      <c r="DR308" s="711">
        <f>+DQ308+DP308</f>
        <v>0</v>
      </c>
      <c r="DU308" s="711"/>
      <c r="DV308" s="711"/>
      <c r="DW308" s="711"/>
    </row>
    <row r="309" spans="1:138">
      <c r="AE309" s="293"/>
      <c r="DA309" s="1408"/>
      <c r="DE309" s="1408"/>
    </row>
    <row r="310" spans="1:138">
      <c r="A310" s="289" t="s">
        <v>65</v>
      </c>
      <c r="AE310" s="293"/>
      <c r="DA310" s="1408"/>
      <c r="DE310" s="1408"/>
    </row>
    <row r="311" spans="1:138">
      <c r="A311" s="102" t="s">
        <v>1273</v>
      </c>
      <c r="C311" s="103" t="s">
        <v>612</v>
      </c>
      <c r="P311" s="729">
        <v>0</v>
      </c>
      <c r="Q311" s="626">
        <v>83.038572230000014</v>
      </c>
      <c r="R311" s="626">
        <v>83.038572230000014</v>
      </c>
      <c r="S311" s="730"/>
      <c r="T311" s="626">
        <v>106.33903488000001</v>
      </c>
      <c r="U311" s="626">
        <v>113.1350922</v>
      </c>
      <c r="V311" s="626">
        <v>219.47412708000002</v>
      </c>
      <c r="W311" s="730"/>
      <c r="X311" s="626">
        <v>151.14139950000001</v>
      </c>
      <c r="Y311" s="626">
        <v>134.05420633999998</v>
      </c>
      <c r="Z311" s="626">
        <v>285.19560583999998</v>
      </c>
      <c r="AA311" s="730"/>
      <c r="AB311" s="626">
        <v>313.15702879999998</v>
      </c>
      <c r="AC311" s="626">
        <v>134.05420633999998</v>
      </c>
      <c r="AD311" s="626">
        <v>447.21123513999999</v>
      </c>
      <c r="AE311" s="626"/>
      <c r="AF311" s="626">
        <v>313.15702879999998</v>
      </c>
      <c r="AG311" s="626">
        <v>207.28747530000001</v>
      </c>
      <c r="AH311" s="626">
        <v>520.44450410000002</v>
      </c>
      <c r="AI311" s="730"/>
      <c r="AJ311" s="626">
        <v>290.55046125000001</v>
      </c>
      <c r="AK311" s="626">
        <v>312.10406124999997</v>
      </c>
      <c r="AL311" s="626">
        <v>602.65452249999998</v>
      </c>
      <c r="AM311" s="730"/>
      <c r="AN311" s="626">
        <v>482.48828950000001</v>
      </c>
      <c r="AO311" s="626">
        <v>393.07565264999999</v>
      </c>
      <c r="AP311" s="626">
        <v>875.56394215</v>
      </c>
      <c r="AQ311" s="730"/>
      <c r="AR311" s="626">
        <v>549.14168000000006</v>
      </c>
      <c r="AS311" s="626">
        <v>407.4737336</v>
      </c>
      <c r="AT311" s="626">
        <v>956.61541360000001</v>
      </c>
      <c r="AU311" s="730"/>
      <c r="AV311" s="626">
        <v>113.37520000000001</v>
      </c>
      <c r="AW311" s="626">
        <v>294.27740064</v>
      </c>
      <c r="AX311" s="626">
        <v>407.65260064</v>
      </c>
      <c r="AY311" s="730"/>
      <c r="AZ311" s="626">
        <v>344.24427100000003</v>
      </c>
      <c r="BA311" s="626">
        <v>297.21711885999997</v>
      </c>
      <c r="BB311" s="626">
        <v>641.46138986000005</v>
      </c>
      <c r="BC311" s="730"/>
      <c r="BD311" s="626">
        <v>346.81496099999998</v>
      </c>
      <c r="BE311" s="626">
        <v>226.3852708</v>
      </c>
      <c r="BF311" s="626">
        <v>573.20023179999998</v>
      </c>
      <c r="BG311" s="730"/>
      <c r="BH311" s="626">
        <v>261.22211064375</v>
      </c>
      <c r="BI311" s="626">
        <v>254.25683325000003</v>
      </c>
      <c r="BJ311" s="626">
        <v>515.47894389375006</v>
      </c>
      <c r="BL311" s="626">
        <v>424</v>
      </c>
      <c r="BM311" s="626">
        <v>340</v>
      </c>
      <c r="BN311" s="293">
        <f>+BM311+BL311</f>
        <v>764</v>
      </c>
      <c r="BP311" s="626">
        <v>514</v>
      </c>
      <c r="BQ311" s="626">
        <v>417.5638922</v>
      </c>
      <c r="BR311" s="293">
        <f>+BQ311+BP311</f>
        <v>931.56389220000005</v>
      </c>
      <c r="BT311" s="293">
        <f>'EPS and DPS'!BQ44</f>
        <v>666.91555399999993</v>
      </c>
      <c r="BU311" s="293">
        <f>'EPS and DPS'!BT44</f>
        <v>533.65113600000006</v>
      </c>
      <c r="BV311" s="293">
        <f>+BU311+BT311</f>
        <v>1200.5666900000001</v>
      </c>
      <c r="BX311" s="293">
        <f>'EPS and DPS'!BU44</f>
        <v>816.72573360000013</v>
      </c>
      <c r="BY311" s="293">
        <f>'EPS and DPS'!BX44</f>
        <v>646.64310060000003</v>
      </c>
      <c r="BZ311" s="293">
        <f>+BY311+BX311</f>
        <v>1463.3688342</v>
      </c>
      <c r="CB311" s="293">
        <f>'EPS and DPS'!BY44</f>
        <v>952.9848467999999</v>
      </c>
      <c r="CC311" s="293">
        <f>'EPS and DPS'!CB44</f>
        <v>697.73370115</v>
      </c>
      <c r="CD311" s="293">
        <f>+CC311+CB311</f>
        <v>1650.7185479499999</v>
      </c>
      <c r="CF311" s="293">
        <f>'EPS and DPS'!CC44</f>
        <v>1089.167424</v>
      </c>
      <c r="CG311" s="293">
        <f>'EPS and DPS'!CF44</f>
        <v>731.82288670000014</v>
      </c>
      <c r="CH311" s="293">
        <f t="shared" ref="CH311" si="326">+CG311+CF311</f>
        <v>1820.9903107</v>
      </c>
      <c r="CJ311" s="293">
        <f>'EPS and DPS'!CG44</f>
        <v>1225.3778568</v>
      </c>
      <c r="CK311" s="293">
        <f>'EPS and DPS'!CJ44</f>
        <v>885.94116750000001</v>
      </c>
      <c r="CL311" s="293">
        <f t="shared" ref="CL311" si="327">+CK311+CJ311</f>
        <v>2111.3190242999999</v>
      </c>
      <c r="CN311" s="293">
        <f>'EPS and DPS'!CK44</f>
        <v>637.88651279999999</v>
      </c>
      <c r="CO311" s="293">
        <f>'EPS and DPS'!CN44</f>
        <v>488.02989645000002</v>
      </c>
      <c r="CP311" s="293">
        <f t="shared" ref="CP311" si="328">+CO311+CN311</f>
        <v>1125.91640925</v>
      </c>
      <c r="CR311" s="293">
        <f>'EPS and DPS'!CO44</f>
        <v>1212.1016129499999</v>
      </c>
      <c r="CS311" s="293">
        <f>'EPS and DPS'!CR44</f>
        <v>1003.1990196800001</v>
      </c>
      <c r="CT311" s="293">
        <f t="shared" ref="CT311" si="329">+CS311+CR311</f>
        <v>2215.3006326300001</v>
      </c>
      <c r="CV311" s="293">
        <f>'EPS and DPS'!CS44</f>
        <v>1342.7667294999999</v>
      </c>
      <c r="CW311" s="1495">
        <f>'EPS and DPS'!CV44</f>
        <v>1159.4302620000001</v>
      </c>
      <c r="CX311" s="293">
        <f t="shared" ref="CX311" si="330">+CW311+CV311</f>
        <v>2502.1969915</v>
      </c>
      <c r="CZ311" s="293">
        <f>'EPS and DPS'!CW44</f>
        <v>1739.145393</v>
      </c>
      <c r="DA311" s="1495">
        <f>'EPS and DPS'!CZ44</f>
        <v>985.51572270000008</v>
      </c>
      <c r="DB311" s="293">
        <f t="shared" ref="DB311" si="331">+DA311+CZ311</f>
        <v>2724.6611157000002</v>
      </c>
      <c r="DD311" s="293">
        <f>'EPS and DPS'!DA44</f>
        <v>1474.40575205</v>
      </c>
      <c r="DE311" s="1495">
        <f>'EPS and DPS'!DD44</f>
        <v>990.95987900000011</v>
      </c>
      <c r="DF311" s="293">
        <f t="shared" ref="DF311" si="332">+DE311+DD311</f>
        <v>2465.36563105</v>
      </c>
      <c r="DH311" s="293">
        <f>'EPS and DPS'!DE44</f>
        <v>1486.4398185</v>
      </c>
      <c r="DI311" s="293">
        <f>'EPS and DPS'!DH44</f>
        <v>1067.1875620000001</v>
      </c>
      <c r="DJ311" s="293">
        <f t="shared" ref="DJ311" si="333">+DI311+DH311</f>
        <v>2553.6273805000001</v>
      </c>
      <c r="DL311" s="293">
        <f>'EPS and DPS'!DI44</f>
        <v>1642.99242246125</v>
      </c>
      <c r="DM311" s="293">
        <f>'EPS and DPS'!DT44</f>
        <v>0</v>
      </c>
      <c r="DN311" s="293">
        <f t="shared" ref="DN311" si="334">+DM311+DL311</f>
        <v>1642.99242246125</v>
      </c>
      <c r="DP311" s="293">
        <f>'EPS and DPS'!DM44</f>
        <v>1728.0184743588106</v>
      </c>
      <c r="DQ311" s="293">
        <f>'EPS and DPS'!DX44</f>
        <v>0</v>
      </c>
      <c r="DR311" s="293">
        <f t="shared" ref="DR311" si="335">+DQ311+DP311</f>
        <v>1728.0184743588106</v>
      </c>
      <c r="DU311" s="293"/>
      <c r="DV311" s="293"/>
      <c r="DW311" s="293"/>
    </row>
    <row r="312" spans="1:138" ht="18.600000000000001" thickBot="1">
      <c r="A312" s="1320" t="s">
        <v>107</v>
      </c>
      <c r="B312" s="1321"/>
      <c r="C312" s="103" t="s">
        <v>612</v>
      </c>
      <c r="P312" s="293">
        <f>P285</f>
        <v>50</v>
      </c>
      <c r="Q312" s="293">
        <f>Q285</f>
        <v>28</v>
      </c>
      <c r="R312" s="293">
        <f>R285</f>
        <v>78</v>
      </c>
      <c r="T312" s="293">
        <f>T285</f>
        <v>106</v>
      </c>
      <c r="U312" s="293">
        <f>U285</f>
        <v>35</v>
      </c>
      <c r="V312" s="293">
        <f>V285</f>
        <v>141</v>
      </c>
      <c r="X312" s="293">
        <f>X285</f>
        <v>28</v>
      </c>
      <c r="Y312" s="293">
        <f>Y285</f>
        <v>23</v>
      </c>
      <c r="Z312" s="293">
        <f>Z285</f>
        <v>51</v>
      </c>
      <c r="AB312" s="293">
        <f>AB285</f>
        <v>28</v>
      </c>
      <c r="AC312" s="293">
        <f>AC285</f>
        <v>23</v>
      </c>
      <c r="AD312" s="293">
        <f>AD285</f>
        <v>51</v>
      </c>
      <c r="AE312" s="293"/>
      <c r="AF312" s="293">
        <f>AF285</f>
        <v>58</v>
      </c>
      <c r="AG312" s="293">
        <f>AG285</f>
        <v>27</v>
      </c>
      <c r="AH312" s="293">
        <f>AH285</f>
        <v>85</v>
      </c>
      <c r="AJ312" s="293">
        <f>AJ285</f>
        <v>97</v>
      </c>
      <c r="AK312" s="293">
        <f>AK285</f>
        <v>117</v>
      </c>
      <c r="AL312" s="293">
        <f>AL285</f>
        <v>214</v>
      </c>
      <c r="AN312" s="293">
        <f>AN285</f>
        <v>185</v>
      </c>
      <c r="AO312" s="293">
        <f>AO285</f>
        <v>114</v>
      </c>
      <c r="AP312" s="293">
        <f>AP285</f>
        <v>299</v>
      </c>
      <c r="AR312" s="293">
        <f>AR285</f>
        <v>157</v>
      </c>
      <c r="AS312" s="293">
        <f>AS285</f>
        <v>66</v>
      </c>
      <c r="AT312" s="293">
        <f>AT285</f>
        <v>223</v>
      </c>
      <c r="AV312" s="293">
        <f>AV285</f>
        <v>25</v>
      </c>
      <c r="AW312" s="293">
        <f>AW285</f>
        <v>95</v>
      </c>
      <c r="AX312" s="293">
        <f>AX285</f>
        <v>120</v>
      </c>
      <c r="AZ312" s="293">
        <f>AZ285</f>
        <v>42</v>
      </c>
      <c r="BA312" s="293">
        <f>BA285</f>
        <v>30</v>
      </c>
      <c r="BB312" s="293">
        <f>BB285</f>
        <v>72</v>
      </c>
      <c r="BD312" s="293">
        <f>BD285</f>
        <v>49</v>
      </c>
      <c r="BE312" s="293">
        <f>BE285</f>
        <v>44</v>
      </c>
      <c r="BF312" s="293">
        <f>BF285</f>
        <v>93</v>
      </c>
      <c r="BH312" s="293">
        <f>BH285</f>
        <v>0</v>
      </c>
      <c r="BI312" s="293">
        <f>BI285</f>
        <v>0</v>
      </c>
      <c r="BJ312" s="293">
        <f>BJ285</f>
        <v>0</v>
      </c>
      <c r="BL312" s="293">
        <f>BL285</f>
        <v>0</v>
      </c>
      <c r="BM312" s="293">
        <f>BM285</f>
        <v>0</v>
      </c>
      <c r="BN312" s="293">
        <f>BN285</f>
        <v>0</v>
      </c>
      <c r="BP312" s="293">
        <f>BP285</f>
        <v>0</v>
      </c>
      <c r="BQ312" s="293">
        <f>BQ285</f>
        <v>171</v>
      </c>
      <c r="BR312" s="293">
        <f>BR285</f>
        <v>171</v>
      </c>
      <c r="BT312" s="293">
        <f>BT285</f>
        <v>0</v>
      </c>
      <c r="BU312" s="293">
        <f>BU285</f>
        <v>0</v>
      </c>
      <c r="BV312" s="293">
        <f>BV285</f>
        <v>0</v>
      </c>
      <c r="BX312" s="293">
        <f>BX285</f>
        <v>0</v>
      </c>
      <c r="BY312" s="293">
        <f>BY285</f>
        <v>0</v>
      </c>
      <c r="BZ312" s="293">
        <f>BZ285</f>
        <v>0</v>
      </c>
      <c r="CB312" s="293">
        <f>+CB315*CB311</f>
        <v>190.59696936</v>
      </c>
      <c r="CC312" s="293">
        <f>CC285</f>
        <v>0</v>
      </c>
      <c r="CD312" s="293">
        <f>CD285</f>
        <v>0</v>
      </c>
      <c r="CF312" s="293">
        <f>+CF315*CF311</f>
        <v>217.83348480000001</v>
      </c>
      <c r="CG312" s="293">
        <f>CG285</f>
        <v>0</v>
      </c>
      <c r="CH312" s="293">
        <f>+CG312+CF312</f>
        <v>217.83348480000001</v>
      </c>
      <c r="CJ312" s="293">
        <f>+CJ315*CJ311</f>
        <v>245.07557136000003</v>
      </c>
      <c r="CK312" s="293">
        <f>+CK313*CK314</f>
        <v>216.33969778999997</v>
      </c>
      <c r="CL312" s="293">
        <f>+CK312+CJ312</f>
        <v>461.41526914999997</v>
      </c>
      <c r="CN312" s="293">
        <f>+CN315*CN311</f>
        <v>54.858240100799996</v>
      </c>
      <c r="CO312" s="293">
        <f>+CO315*CO311</f>
        <v>48.802989645000004</v>
      </c>
      <c r="CP312" s="293">
        <f>+CO312+CN312</f>
        <v>103.6612297458</v>
      </c>
      <c r="CR312" s="293">
        <f>CR285</f>
        <v>432</v>
      </c>
      <c r="CS312" s="293">
        <f>CS285</f>
        <v>84</v>
      </c>
      <c r="CT312" s="293">
        <f>+CS312+CR312</f>
        <v>516</v>
      </c>
      <c r="CV312" s="293">
        <f>CV285</f>
        <v>485</v>
      </c>
      <c r="CW312" s="1495">
        <f>CW285</f>
        <v>0</v>
      </c>
      <c r="CX312" s="293">
        <f>+CW312+CV312</f>
        <v>485</v>
      </c>
      <c r="CZ312" s="293">
        <f>CZ285</f>
        <v>0</v>
      </c>
      <c r="DA312" s="1495">
        <f>DA285</f>
        <v>0</v>
      </c>
      <c r="DB312" s="293">
        <f>+DA312+CZ312</f>
        <v>0</v>
      </c>
      <c r="DD312" s="293">
        <f>DD285</f>
        <v>0</v>
      </c>
      <c r="DE312" s="1495">
        <f>DE285</f>
        <v>0</v>
      </c>
      <c r="DF312" s="293">
        <f>+DE312+DD312</f>
        <v>0</v>
      </c>
      <c r="DH312" s="293">
        <f>DH285</f>
        <v>0</v>
      </c>
      <c r="DI312" s="293">
        <f>+DI315*DI311</f>
        <v>0</v>
      </c>
      <c r="DJ312" s="293">
        <f>+DI312+DH312</f>
        <v>0</v>
      </c>
      <c r="DL312" s="293">
        <f>+DL315*DL311</f>
        <v>0</v>
      </c>
      <c r="DM312" s="293">
        <f>+DM315*DM311</f>
        <v>0</v>
      </c>
      <c r="DN312" s="293">
        <f>+DM312+DL312</f>
        <v>0</v>
      </c>
      <c r="DP312" s="293">
        <f>+DP315*DP311</f>
        <v>0</v>
      </c>
      <c r="DQ312" s="293">
        <f>+DQ315*DQ311</f>
        <v>0</v>
      </c>
      <c r="DR312" s="293">
        <f>+DQ312+DP312</f>
        <v>0</v>
      </c>
      <c r="DU312" s="293"/>
      <c r="DV312" s="293"/>
      <c r="DW312" s="293"/>
    </row>
    <row r="313" spans="1:138" ht="21.6" thickBot="1">
      <c r="A313" s="102" t="s">
        <v>108</v>
      </c>
      <c r="B313" s="724">
        <v>75</v>
      </c>
      <c r="C313" s="103" t="s">
        <v>105</v>
      </c>
      <c r="P313" s="725">
        <f>P312/P314</f>
        <v>29.771031000574581</v>
      </c>
      <c r="Q313" s="725">
        <f>Q312/Q314</f>
        <v>22.706980206811931</v>
      </c>
      <c r="R313" s="725">
        <f>R312/R314</f>
        <v>26.780325113146873</v>
      </c>
      <c r="T313" s="725">
        <f>T312/T314</f>
        <v>27.119192175550207</v>
      </c>
      <c r="U313" s="725">
        <f>U312/U314</f>
        <v>34.311303515830254</v>
      </c>
      <c r="V313" s="725">
        <f>V312/V314</f>
        <v>28.607699772538353</v>
      </c>
      <c r="X313" s="725">
        <f>X312/X314</f>
        <v>33.230437656731951</v>
      </c>
      <c r="Y313" s="725">
        <f>Y312/Y314</f>
        <v>44.803391032309094</v>
      </c>
      <c r="Z313" s="725">
        <f>Z312/Z314</f>
        <v>37.611867650475126</v>
      </c>
      <c r="AB313" s="725">
        <f>AB312/AB314</f>
        <v>33.230437656731951</v>
      </c>
      <c r="AC313" s="725">
        <f>AC312/AC314</f>
        <v>44.803391032309094</v>
      </c>
      <c r="AD313" s="725">
        <f>AD312/AD314</f>
        <v>37.611867650475126</v>
      </c>
      <c r="AE313" s="293"/>
      <c r="AF313" s="725">
        <f>AF312/AF314</f>
        <v>51.183711578020301</v>
      </c>
      <c r="AG313" s="725">
        <f>AG312/AG314</f>
        <v>68.088454467737407</v>
      </c>
      <c r="AH313" s="725">
        <f>AH312/AH314</f>
        <v>55.56586974314186</v>
      </c>
      <c r="AJ313" s="725">
        <f>AJ312/AJ314</f>
        <v>63.676455335233562</v>
      </c>
      <c r="AK313" s="725">
        <f>AK312/AK314</f>
        <v>69.853498705023611</v>
      </c>
      <c r="AL313" s="725">
        <f>AL312/AL314</f>
        <v>66.91138306454134</v>
      </c>
      <c r="AN313" s="725">
        <f>AN312/AN314</f>
        <v>86.191152408320562</v>
      </c>
      <c r="AO313" s="725">
        <f>AO312/AO314</f>
        <v>68.464562082043372</v>
      </c>
      <c r="AP313" s="725">
        <f>AP312/AP314</f>
        <v>78.447073281372866</v>
      </c>
      <c r="AR313" s="725">
        <f>AR312/AR314</f>
        <v>51.020772928962835</v>
      </c>
      <c r="AS313" s="725">
        <f>AS312/AS314</f>
        <v>28.85541078300469</v>
      </c>
      <c r="AT313" s="725">
        <f>AT312/AT314</f>
        <v>41.570011729081337</v>
      </c>
      <c r="AV313" s="725">
        <f>AV312/AV314</f>
        <v>33.297327822847564</v>
      </c>
      <c r="AW313" s="725">
        <f>AW312/AW314</f>
        <v>47.802951203250608</v>
      </c>
      <c r="AX313" s="725">
        <f>AX312/AX314</f>
        <v>43.825434529183362</v>
      </c>
      <c r="AZ313" s="725">
        <f>AZ312/AZ314</f>
        <v>46.010505732142178</v>
      </c>
      <c r="BA313" s="725">
        <f>BA312/BA314</f>
        <v>36.276484856986002</v>
      </c>
      <c r="BB313" s="725">
        <f>BB312/BB314</f>
        <v>41.383662764532133</v>
      </c>
      <c r="BD313" s="725">
        <f>BD312/BD314</f>
        <v>34.822084023556783</v>
      </c>
      <c r="BE313" s="725" t="s">
        <v>895</v>
      </c>
      <c r="BF313" s="725">
        <f>BF312/BF314</f>
        <v>66.090894167158794</v>
      </c>
      <c r="BH313" s="725" t="str">
        <f>IF(BH314=0,"n/a",BH312/BH314)</f>
        <v>n/a</v>
      </c>
      <c r="BI313" s="725" t="str">
        <f>IF(BI314=0,"n/a",BI312/BI314)</f>
        <v>n/a</v>
      </c>
      <c r="BJ313" s="725" t="str">
        <f>IF(BJ314=0,"n/a",BJ312/BJ314)</f>
        <v>n/a</v>
      </c>
      <c r="BL313" s="725" t="str">
        <f>IF(BL314=0,"n/a",BL312/BL314)</f>
        <v>n/a</v>
      </c>
      <c r="BM313" s="725" t="str">
        <f>IF(BM314=0,"n/a",BM312/BM314)</f>
        <v>n/a</v>
      </c>
      <c r="BN313" s="725" t="str">
        <f>IF(BN314=0,"n/a",BN312/BN314)</f>
        <v>n/a</v>
      </c>
      <c r="BP313" s="725" t="str">
        <f>IF(BP314=0,"n/a",BP312/BP314)</f>
        <v>n/a</v>
      </c>
      <c r="BQ313" s="725">
        <f>IF(BQ314=0,"n/a",BQ312/BQ314)</f>
        <v>57.628671173835372</v>
      </c>
      <c r="BR313" s="725">
        <f>IF(BR314=0,"n/a",BR312/BR314)</f>
        <v>57.628671173835372</v>
      </c>
      <c r="BT313" s="731">
        <v>85</v>
      </c>
      <c r="BU313" s="725">
        <f>IF(BU314=0,"n/a",BU312/BU314)</f>
        <v>0</v>
      </c>
      <c r="BV313" s="725">
        <f>IF(BV314=0,"n/a",BV312/BV314)</f>
        <v>0</v>
      </c>
      <c r="BX313" s="732">
        <v>81.5</v>
      </c>
      <c r="BY313" s="732">
        <v>95</v>
      </c>
      <c r="BZ313" s="725" t="str">
        <f>IF(BZ314=0,"n/a",BZ312/BZ314)</f>
        <v>n/a</v>
      </c>
      <c r="CB313" s="732">
        <v>97.3</v>
      </c>
      <c r="CC313" s="732">
        <v>108.1</v>
      </c>
      <c r="CD313" s="725" t="str">
        <f>IF(CD314=0,"n/a",CD312/CD314)</f>
        <v>n/a</v>
      </c>
      <c r="CF313" s="732">
        <v>122.44</v>
      </c>
      <c r="CG313" s="732">
        <v>134</v>
      </c>
      <c r="CH313" s="725" t="str">
        <f>IF(CH314=0,"n/a",CH312/CH314)</f>
        <v>n/a</v>
      </c>
      <c r="CJ313" s="732">
        <v>132</v>
      </c>
      <c r="CK313" s="1437">
        <v>110.47</v>
      </c>
      <c r="CL313" s="1438" t="str">
        <f>IF(CL314=0,"n/a",CL312/CL314)</f>
        <v>n/a</v>
      </c>
      <c r="CM313" s="1009"/>
      <c r="CN313" s="1439">
        <v>139.08000000000001</v>
      </c>
      <c r="CO313" s="1437">
        <v>155</v>
      </c>
      <c r="CP313" s="725">
        <f>IF(CP314=0,"n/a",CP312/CP314)</f>
        <v>45.846236812419647</v>
      </c>
      <c r="CR313" s="726">
        <v>149.44999999999999</v>
      </c>
      <c r="CS313" s="726">
        <v>204.28</v>
      </c>
      <c r="CT313" s="725">
        <f>IF(CT312=0,"n/a",CT312/CT314)</f>
        <v>156.27843261434509</v>
      </c>
      <c r="CV313" s="1735">
        <v>177.11</v>
      </c>
      <c r="CW313" s="1735">
        <v>178</v>
      </c>
      <c r="CX313" s="725">
        <f>IF(CX312=0,"n/a",CX312/CX314)</f>
        <v>177.11</v>
      </c>
      <c r="CY313" s="1514"/>
      <c r="CZ313" s="1735">
        <v>167.73</v>
      </c>
      <c r="DA313" s="2032">
        <f>+DA307</f>
        <v>183.25540710160232</v>
      </c>
      <c r="DB313" s="725" t="str">
        <f>IF(DB312=0,"n/a",DB312/DB314)</f>
        <v>n/a</v>
      </c>
      <c r="DC313" s="1514"/>
      <c r="DD313" s="1735">
        <v>223.2</v>
      </c>
      <c r="DE313" s="2188">
        <v>231.23</v>
      </c>
      <c r="DF313" s="725" t="str">
        <f>IF(DF312=0,"n/a",DF312/DF314)</f>
        <v>n/a</v>
      </c>
      <c r="DH313" s="1735">
        <v>213.66</v>
      </c>
      <c r="DI313" s="2219">
        <v>205</v>
      </c>
      <c r="DJ313" s="1513" t="str">
        <f>IF(DJ312=0,"n/a",DJ312/DJ314)</f>
        <v>n/a</v>
      </c>
      <c r="DL313" s="1512">
        <v>215.25</v>
      </c>
      <c r="DM313" s="1512">
        <v>226.01250000000002</v>
      </c>
      <c r="DN313" s="1513" t="str">
        <f>IF(DN312=0,"n/a",DN312/DN314)</f>
        <v>n/a</v>
      </c>
      <c r="DP313" s="1512">
        <v>237.31312500000004</v>
      </c>
      <c r="DQ313" s="1512">
        <v>249.17878125000004</v>
      </c>
      <c r="DR313" s="1513" t="str">
        <f>IF(DR312=0,"n/a",DR312/DR314)</f>
        <v>n/a</v>
      </c>
      <c r="DU313" s="727"/>
      <c r="DV313" s="727"/>
      <c r="DW313" s="725"/>
    </row>
    <row r="314" spans="1:138">
      <c r="A314" s="102" t="s">
        <v>963</v>
      </c>
      <c r="C314" s="103" t="s">
        <v>63</v>
      </c>
      <c r="P314" s="711">
        <f>P293</f>
        <v>1.6794849999999999</v>
      </c>
      <c r="Q314" s="711">
        <f>Q293</f>
        <v>1.233101</v>
      </c>
      <c r="R314" s="711">
        <f>R293</f>
        <v>2.9125860000000001</v>
      </c>
      <c r="T314" s="711">
        <f>T293</f>
        <v>3.908671</v>
      </c>
      <c r="U314" s="711">
        <f>U293</f>
        <v>1.0200720000000001</v>
      </c>
      <c r="V314" s="711">
        <f>V293</f>
        <v>4.9287429999999999</v>
      </c>
      <c r="X314" s="711">
        <f>X293</f>
        <v>0.84260100000000004</v>
      </c>
      <c r="Y314" s="711">
        <f>Y293</f>
        <v>0.51335399999999998</v>
      </c>
      <c r="Z314" s="711">
        <f>Z293</f>
        <v>1.355955</v>
      </c>
      <c r="AB314" s="711">
        <f>AB293</f>
        <v>0.84260100000000004</v>
      </c>
      <c r="AC314" s="711">
        <f>AC293</f>
        <v>0.51335399999999998</v>
      </c>
      <c r="AD314" s="711">
        <f>AD293</f>
        <v>1.355955</v>
      </c>
      <c r="AE314" s="293"/>
      <c r="AF314" s="711">
        <f>AF293</f>
        <v>1.133173</v>
      </c>
      <c r="AG314" s="711">
        <f>AG293</f>
        <v>0.39654300000000009</v>
      </c>
      <c r="AH314" s="711">
        <f>AH293</f>
        <v>1.5297160000000001</v>
      </c>
      <c r="AI314" s="320"/>
      <c r="AJ314" s="711">
        <f>AJ293</f>
        <v>1.523326</v>
      </c>
      <c r="AK314" s="711">
        <f>AK293</f>
        <v>1.6749339999999999</v>
      </c>
      <c r="AL314" s="711">
        <f>AL293</f>
        <v>3.1982599999999999</v>
      </c>
      <c r="AN314" s="711">
        <f>AN293</f>
        <v>2.1463920000000001</v>
      </c>
      <c r="AO314" s="711">
        <f>AO293</f>
        <v>1.665095</v>
      </c>
      <c r="AP314" s="711">
        <f>AP293</f>
        <v>3.8114870000000001</v>
      </c>
      <c r="AR314" s="711">
        <f>AR293</f>
        <v>3.077178</v>
      </c>
      <c r="AS314" s="711">
        <f>AS293</f>
        <v>2.2872659999999998</v>
      </c>
      <c r="AT314" s="711">
        <f>AT293</f>
        <v>5.3644439999999998</v>
      </c>
      <c r="AV314" s="711">
        <f>AV293</f>
        <v>0.75081100000000001</v>
      </c>
      <c r="AW314" s="711">
        <f>AW293</f>
        <v>1.9873249999999998</v>
      </c>
      <c r="AX314" s="711">
        <f>AX293</f>
        <v>2.7381359999999999</v>
      </c>
      <c r="AZ314" s="711">
        <f>AZ293</f>
        <v>0.91283499999999995</v>
      </c>
      <c r="BA314" s="711">
        <f>BA293</f>
        <v>0.82698199999999999</v>
      </c>
      <c r="BB314" s="711">
        <f>BB293</f>
        <v>1.7398169999999999</v>
      </c>
      <c r="BD314" s="711">
        <f>BD293</f>
        <v>1.4071530000000001</v>
      </c>
      <c r="BE314" s="711">
        <f>BE293</f>
        <v>0</v>
      </c>
      <c r="BF314" s="711">
        <f>BF293</f>
        <v>1.4071530000000001</v>
      </c>
      <c r="BH314" s="711">
        <f>BH293</f>
        <v>0</v>
      </c>
      <c r="BI314" s="711">
        <f>BI293</f>
        <v>0</v>
      </c>
      <c r="BJ314" s="711">
        <f>BJ293</f>
        <v>0</v>
      </c>
      <c r="BL314" s="711">
        <f>BL293</f>
        <v>0</v>
      </c>
      <c r="BM314" s="711">
        <f>BM293</f>
        <v>0</v>
      </c>
      <c r="BN314" s="711">
        <f>BN293</f>
        <v>0</v>
      </c>
      <c r="BP314" s="711">
        <f>BP293</f>
        <v>0</v>
      </c>
      <c r="BQ314" s="711">
        <f>BQ293</f>
        <v>2.967273</v>
      </c>
      <c r="BR314" s="711">
        <f>BR293</f>
        <v>2.967273</v>
      </c>
      <c r="BT314" s="711">
        <f>BT293</f>
        <v>0</v>
      </c>
      <c r="BU314" s="711">
        <f>BU293</f>
        <v>2.6245000000000001E-2</v>
      </c>
      <c r="BV314" s="711">
        <f>BV293</f>
        <v>2.6245000000000001E-2</v>
      </c>
      <c r="BX314" s="711">
        <f>BX293</f>
        <v>0</v>
      </c>
      <c r="BY314" s="711">
        <f>BY293</f>
        <v>0</v>
      </c>
      <c r="BZ314" s="711">
        <f>BZ293</f>
        <v>0</v>
      </c>
      <c r="CB314" s="711">
        <f>+CB312/CB313</f>
        <v>1.9588588834532374</v>
      </c>
      <c r="CC314" s="711">
        <f>CC293</f>
        <v>0</v>
      </c>
      <c r="CD314" s="711">
        <f>CD293</f>
        <v>0</v>
      </c>
      <c r="CF314" s="711">
        <f>+CF312/CF313</f>
        <v>1.7791039268213003</v>
      </c>
      <c r="CG314" s="711">
        <f>CG293</f>
        <v>0</v>
      </c>
      <c r="CH314" s="711">
        <f>CH293</f>
        <v>0</v>
      </c>
      <c r="CJ314" s="711">
        <f>+CJ312/CJ313</f>
        <v>1.8566331163636365</v>
      </c>
      <c r="CK314" s="1075">
        <v>1.9583569999999999</v>
      </c>
      <c r="CL314" s="711">
        <f>CL293</f>
        <v>0</v>
      </c>
      <c r="CN314" s="713">
        <f>+CN312/CN313</f>
        <v>0.39443658398619491</v>
      </c>
      <c r="CO314" s="711">
        <f>+CO312/CO313</f>
        <v>0.31485799770967743</v>
      </c>
      <c r="CP314" s="711">
        <f>CP293</f>
        <v>2.261063</v>
      </c>
      <c r="CR314" s="713">
        <f>+CR312/CR313</f>
        <v>2.8905988624958181</v>
      </c>
      <c r="CS314" s="713">
        <f>+CS312/CS313</f>
        <v>0.41120031329547679</v>
      </c>
      <c r="CT314" s="711">
        <f>+CS314+CR314</f>
        <v>3.3017991757912948</v>
      </c>
      <c r="CV314" s="713">
        <f>+CV312/CV313</f>
        <v>2.738411156908136</v>
      </c>
      <c r="CW314" s="1810">
        <f>+CW312/CW313</f>
        <v>0</v>
      </c>
      <c r="CX314" s="711">
        <f>+CW314+CV314</f>
        <v>2.738411156908136</v>
      </c>
      <c r="CZ314" s="713">
        <f>+CZ312/CZ313</f>
        <v>0</v>
      </c>
      <c r="DA314" s="1810">
        <f>+DA312/DA313</f>
        <v>0</v>
      </c>
      <c r="DB314" s="711">
        <f>+DA314+CZ314</f>
        <v>0</v>
      </c>
      <c r="DD314" s="713">
        <f>+DD312/DD313</f>
        <v>0</v>
      </c>
      <c r="DE314" s="1810">
        <f>+DE312/DE313</f>
        <v>0</v>
      </c>
      <c r="DF314" s="711">
        <f>+DE314+DD314</f>
        <v>0</v>
      </c>
      <c r="DH314" s="713">
        <f>+DH312/DH313</f>
        <v>0</v>
      </c>
      <c r="DI314" s="711">
        <f>+DI312/DI313</f>
        <v>0</v>
      </c>
      <c r="DJ314" s="711">
        <f>+DI314+DH314</f>
        <v>0</v>
      </c>
      <c r="DL314" s="711">
        <f>+DL312/DL313</f>
        <v>0</v>
      </c>
      <c r="DM314" s="711">
        <f>+DM312/DM313</f>
        <v>0</v>
      </c>
      <c r="DN314" s="711">
        <f>+DM314+DL314</f>
        <v>0</v>
      </c>
      <c r="DP314" s="711">
        <f>+DP312/DP313</f>
        <v>0</v>
      </c>
      <c r="DQ314" s="711">
        <f>+DQ312/DQ313</f>
        <v>0</v>
      </c>
      <c r="DR314" s="711">
        <f>+DQ314+DP314</f>
        <v>0</v>
      </c>
      <c r="DU314" s="711"/>
      <c r="DV314" s="711"/>
      <c r="DW314" s="711"/>
    </row>
    <row r="315" spans="1:138" ht="14.4" thickBot="1">
      <c r="A315" s="302" t="s">
        <v>99</v>
      </c>
      <c r="B315" s="302"/>
      <c r="C315" s="304" t="s">
        <v>917</v>
      </c>
      <c r="D315" s="302"/>
      <c r="E315" s="302"/>
      <c r="F315" s="302"/>
      <c r="G315" s="302"/>
      <c r="H315" s="302"/>
      <c r="I315" s="302"/>
      <c r="J315" s="302"/>
      <c r="K315" s="302"/>
      <c r="L315" s="302"/>
      <c r="M315" s="302"/>
      <c r="N315" s="302"/>
      <c r="O315" s="302"/>
      <c r="P315" s="628"/>
      <c r="Q315" s="628">
        <f>Q312/Q311</f>
        <v>0.33719269549150815</v>
      </c>
      <c r="R315" s="628">
        <f>+R312/R311</f>
        <v>0.93932250886920132</v>
      </c>
      <c r="S315" s="304"/>
      <c r="T315" s="628">
        <f>T312/T311</f>
        <v>0.99681175515291631</v>
      </c>
      <c r="U315" s="628">
        <f>U312/U311</f>
        <v>0.30936466589983475</v>
      </c>
      <c r="V315" s="628">
        <f>+V312/V311</f>
        <v>0.64244474679516284</v>
      </c>
      <c r="W315" s="304"/>
      <c r="X315" s="628">
        <f>X312/X311</f>
        <v>0.18525698513199224</v>
      </c>
      <c r="Y315" s="628">
        <f>Y312/Y311</f>
        <v>0.1715723857382393</v>
      </c>
      <c r="Z315" s="628">
        <f>+Z312/Z311</f>
        <v>0.17882463458645273</v>
      </c>
      <c r="AA315" s="304"/>
      <c r="AB315" s="628">
        <f>AB312/AB311</f>
        <v>8.9412011945873976E-2</v>
      </c>
      <c r="AC315" s="628">
        <f>AC312/AC311</f>
        <v>0.1715723857382393</v>
      </c>
      <c r="AD315" s="628">
        <f>+AD312/AD311</f>
        <v>0.11404006874745531</v>
      </c>
      <c r="AE315" s="303"/>
      <c r="AF315" s="628">
        <f>AF312/AF311</f>
        <v>0.18521059617359611</v>
      </c>
      <c r="AG315" s="628">
        <f>AG312/AG311</f>
        <v>0.13025388997055337</v>
      </c>
      <c r="AH315" s="628">
        <f>+AH312/AH311</f>
        <v>0.16332192833314615</v>
      </c>
      <c r="AI315" s="628"/>
      <c r="AJ315" s="628">
        <f>AJ312/AJ311</f>
        <v>0.33384906560701594</v>
      </c>
      <c r="AK315" s="628">
        <f>AK312/AK311</f>
        <v>0.3748749680840624</v>
      </c>
      <c r="AL315" s="628">
        <f>+AL312/AL311</f>
        <v>0.35509565100791224</v>
      </c>
      <c r="AM315" s="304"/>
      <c r="AN315" s="628">
        <f>AN312/AN311</f>
        <v>0.38342899511968365</v>
      </c>
      <c r="AO315" s="628">
        <f>AO312/AO311</f>
        <v>0.29002050681960495</v>
      </c>
      <c r="AP315" s="628">
        <f>+AP312/AP311</f>
        <v>0.34149419089345717</v>
      </c>
      <c r="AQ315" s="304"/>
      <c r="AR315" s="628">
        <f>AR312/AR311</f>
        <v>0.28590071691516838</v>
      </c>
      <c r="AS315" s="628">
        <f>AS312/AS311</f>
        <v>0.16197363058692135</v>
      </c>
      <c r="AT315" s="628">
        <f>+AT312/AT311</f>
        <v>0.23311353426848025</v>
      </c>
      <c r="AU315" s="304"/>
      <c r="AV315" s="628">
        <f>AV312/AV311</f>
        <v>0.22050677749631312</v>
      </c>
      <c r="AW315" s="628">
        <f>AW312/AW311</f>
        <v>0.32282465385854375</v>
      </c>
      <c r="AX315" s="628">
        <f>+AX312/AX311</f>
        <v>0.29436829254027641</v>
      </c>
      <c r="AY315" s="304"/>
      <c r="AZ315" s="628">
        <f>AZ312/AZ311</f>
        <v>0.12200638772576697</v>
      </c>
      <c r="BA315" s="628">
        <f>BA312/BA311</f>
        <v>0.1009363125349825</v>
      </c>
      <c r="BB315" s="628">
        <f>+BB312/BB311</f>
        <v>0.11224370030394833</v>
      </c>
      <c r="BC315" s="304"/>
      <c r="BD315" s="628">
        <f>BD312/BD311</f>
        <v>0.141285715756651</v>
      </c>
      <c r="BE315" s="628">
        <f>BE312/BE311</f>
        <v>0.1943589344152685</v>
      </c>
      <c r="BF315" s="628">
        <f>+BF312/BF311</f>
        <v>0.16224696858191326</v>
      </c>
      <c r="BG315" s="304"/>
      <c r="BH315" s="628">
        <f>BH312/BH311</f>
        <v>0</v>
      </c>
      <c r="BI315" s="628">
        <f>BI312/BI311</f>
        <v>0</v>
      </c>
      <c r="BJ315" s="628">
        <f>+BJ312/BJ311</f>
        <v>0</v>
      </c>
      <c r="BK315" s="304"/>
      <c r="BL315" s="628">
        <f>BL312/BL311</f>
        <v>0</v>
      </c>
      <c r="BM315" s="628">
        <f>BM312/BM311</f>
        <v>0</v>
      </c>
      <c r="BN315" s="628">
        <f>+BN312/BN311</f>
        <v>0</v>
      </c>
      <c r="BO315" s="304"/>
      <c r="BP315" s="628">
        <f>BP312/BP311</f>
        <v>0</v>
      </c>
      <c r="BQ315" s="628">
        <f>BQ312/BQ311</f>
        <v>0.40951816762474369</v>
      </c>
      <c r="BR315" s="628">
        <f>+BR312/BR311</f>
        <v>0.18356228856848772</v>
      </c>
      <c r="BS315" s="304"/>
      <c r="BT315" s="628">
        <f>BT312/BT311</f>
        <v>0</v>
      </c>
      <c r="BU315" s="628">
        <f>BU312/BU311</f>
        <v>0</v>
      </c>
      <c r="BV315" s="628">
        <f>+BV312/BV311</f>
        <v>0</v>
      </c>
      <c r="BW315" s="304"/>
      <c r="BX315" s="628">
        <f>BX312/BX311</f>
        <v>0</v>
      </c>
      <c r="BY315" s="628">
        <f>BY312/BY311</f>
        <v>0</v>
      </c>
      <c r="BZ315" s="628">
        <f>+BZ312/BZ311</f>
        <v>0</v>
      </c>
      <c r="CA315" s="304"/>
      <c r="CB315" s="635">
        <v>0.2</v>
      </c>
      <c r="CC315" s="628">
        <f>CC312/CC311</f>
        <v>0</v>
      </c>
      <c r="CD315" s="628">
        <f>+CD312/CD311</f>
        <v>0</v>
      </c>
      <c r="CE315" s="304"/>
      <c r="CF315" s="635">
        <v>0.2</v>
      </c>
      <c r="CG315" s="628">
        <f>CG312/CG311</f>
        <v>0</v>
      </c>
      <c r="CH315" s="628">
        <f>+CH312/CH311</f>
        <v>0.11962363749001138</v>
      </c>
      <c r="CI315" s="304"/>
      <c r="CJ315" s="635">
        <v>0.2</v>
      </c>
      <c r="CK315" s="628">
        <f>+CK312/CK311</f>
        <v>0.244191946063958</v>
      </c>
      <c r="CL315" s="628">
        <f>+CL312/CL311</f>
        <v>0.21854360418268884</v>
      </c>
      <c r="CM315" s="304"/>
      <c r="CN315" s="635">
        <v>8.5999999999999993E-2</v>
      </c>
      <c r="CO315" s="635">
        <v>0.1</v>
      </c>
      <c r="CP315" s="628">
        <f>+CP312/CP311</f>
        <v>9.2068317766903524E-2</v>
      </c>
      <c r="CQ315" s="304"/>
      <c r="CR315" s="628">
        <f>+CR312/CR311</f>
        <v>0.3564057628374927</v>
      </c>
      <c r="CS315" s="628">
        <f>+CS312/CS311</f>
        <v>8.3732139238726799E-2</v>
      </c>
      <c r="CT315" s="628">
        <f>+CT312/CT311</f>
        <v>0.23292549661190046</v>
      </c>
      <c r="CU315" s="304"/>
      <c r="CV315" s="628">
        <f>+CV312/CV311</f>
        <v>0.36119453166716253</v>
      </c>
      <c r="CW315" s="628">
        <f>+CW312/CW311</f>
        <v>0</v>
      </c>
      <c r="CX315" s="628">
        <f>+CX312/CX311</f>
        <v>0.19382966315104372</v>
      </c>
      <c r="CY315" s="304"/>
      <c r="CZ315" s="628">
        <f>+CZ312/CZ311</f>
        <v>0</v>
      </c>
      <c r="DA315" s="628">
        <f>+DA312/DA311</f>
        <v>0</v>
      </c>
      <c r="DB315" s="628">
        <f>+DB312/DB311</f>
        <v>0</v>
      </c>
      <c r="DC315" s="304"/>
      <c r="DD315" s="628">
        <f>+DD312/DD311</f>
        <v>0</v>
      </c>
      <c r="DE315" s="628">
        <f>+DE312/DE311</f>
        <v>0</v>
      </c>
      <c r="DF315" s="628">
        <f>+DF312/DF311</f>
        <v>0</v>
      </c>
      <c r="DG315" s="304"/>
      <c r="DH315" s="628">
        <f>+DH312/DH311</f>
        <v>0</v>
      </c>
      <c r="DI315" s="1392">
        <v>0</v>
      </c>
      <c r="DJ315" s="628">
        <f>+DJ312/DJ311</f>
        <v>0</v>
      </c>
      <c r="DK315" s="304"/>
      <c r="DL315" s="1392">
        <v>0</v>
      </c>
      <c r="DM315" s="1392">
        <v>0</v>
      </c>
      <c r="DN315" s="628">
        <f>+DN312/DN311</f>
        <v>0</v>
      </c>
      <c r="DO315" s="304"/>
      <c r="DP315" s="1392">
        <v>0</v>
      </c>
      <c r="DQ315" s="1392">
        <v>0</v>
      </c>
      <c r="DR315" s="628">
        <f>+DR312/DR311</f>
        <v>0</v>
      </c>
      <c r="DS315" s="304"/>
      <c r="DU315" s="1115"/>
      <c r="DV315" s="1115"/>
      <c r="DW315" s="1125"/>
      <c r="DZ315" s="102"/>
    </row>
    <row r="316" spans="1:138" ht="14.4" thickBot="1">
      <c r="A316" s="102" t="s">
        <v>540</v>
      </c>
      <c r="C316" s="103" t="s">
        <v>917</v>
      </c>
      <c r="P316" s="632"/>
      <c r="Q316" s="632"/>
      <c r="R316" s="632"/>
      <c r="T316" s="632"/>
      <c r="U316" s="632"/>
      <c r="V316" s="632"/>
      <c r="X316" s="632"/>
      <c r="Y316" s="632"/>
      <c r="Z316" s="632"/>
      <c r="AB316" s="632"/>
      <c r="AC316" s="632"/>
      <c r="AD316" s="632"/>
      <c r="AE316" s="293"/>
      <c r="AF316" s="632"/>
      <c r="AG316" s="632"/>
      <c r="AH316" s="632"/>
      <c r="AI316" s="632"/>
      <c r="AJ316" s="632"/>
      <c r="AK316" s="632"/>
      <c r="AL316" s="632"/>
      <c r="AN316" s="632"/>
      <c r="AO316" s="632"/>
      <c r="AP316" s="632"/>
      <c r="AR316" s="632"/>
      <c r="AS316" s="632"/>
      <c r="AT316" s="632"/>
      <c r="AV316" s="632"/>
      <c r="AW316" s="632"/>
      <c r="AX316" s="632"/>
      <c r="AZ316" s="632"/>
      <c r="BA316" s="632"/>
      <c r="BB316" s="632"/>
      <c r="BD316" s="733">
        <v>0</v>
      </c>
      <c r="BE316" s="733"/>
      <c r="BF316" s="733"/>
      <c r="BH316" s="632"/>
      <c r="BI316" s="632"/>
      <c r="BJ316" s="632"/>
      <c r="BL316" s="632">
        <v>1</v>
      </c>
      <c r="BM316" s="733"/>
      <c r="BN316" s="632"/>
      <c r="BP316" s="632">
        <v>1</v>
      </c>
      <c r="BQ316" s="733"/>
      <c r="BR316" s="632"/>
      <c r="BT316" s="632">
        <v>1</v>
      </c>
      <c r="BU316" s="632">
        <v>1</v>
      </c>
      <c r="BV316" s="632">
        <v>1</v>
      </c>
      <c r="BX316" s="632">
        <v>1</v>
      </c>
      <c r="BY316" s="632">
        <v>1</v>
      </c>
      <c r="BZ316" s="632">
        <v>1</v>
      </c>
      <c r="CB316" s="733">
        <v>1</v>
      </c>
      <c r="CC316" s="632">
        <v>1</v>
      </c>
      <c r="CD316" s="632">
        <v>1</v>
      </c>
      <c r="CF316" s="733">
        <v>1</v>
      </c>
      <c r="CG316" s="632">
        <v>1</v>
      </c>
      <c r="CH316" s="632">
        <v>1</v>
      </c>
      <c r="CJ316" s="733">
        <v>1</v>
      </c>
      <c r="CK316" s="734">
        <v>0</v>
      </c>
      <c r="CL316" s="632">
        <v>1</v>
      </c>
      <c r="CN316" s="1337">
        <v>0</v>
      </c>
      <c r="CO316" s="1337">
        <v>0</v>
      </c>
      <c r="CP316" s="632">
        <v>1</v>
      </c>
      <c r="CR316" s="1337">
        <v>0</v>
      </c>
      <c r="CS316" s="1337">
        <v>0</v>
      </c>
      <c r="CT316" s="632"/>
      <c r="CV316" s="1733">
        <v>0</v>
      </c>
      <c r="CW316" s="1337">
        <v>0</v>
      </c>
      <c r="CX316" s="632"/>
      <c r="CZ316" s="1733">
        <v>0</v>
      </c>
      <c r="DA316" s="1337">
        <v>0</v>
      </c>
      <c r="DB316" s="632"/>
      <c r="DD316" s="1337">
        <v>0</v>
      </c>
      <c r="DE316" s="1337">
        <v>0</v>
      </c>
      <c r="DF316" s="632"/>
      <c r="DH316" s="1337">
        <v>0</v>
      </c>
      <c r="DI316" s="1337">
        <v>0</v>
      </c>
      <c r="DJ316" s="632"/>
      <c r="DL316" s="1337">
        <v>0</v>
      </c>
      <c r="DM316" s="1337">
        <v>0</v>
      </c>
      <c r="DN316" s="632"/>
      <c r="DP316" s="1337">
        <v>0</v>
      </c>
      <c r="DQ316" s="1337">
        <v>0</v>
      </c>
      <c r="DR316" s="632"/>
      <c r="DU316" s="1115"/>
      <c r="DV316" s="1115"/>
      <c r="DW316" s="1125"/>
      <c r="DZ316" s="102"/>
    </row>
    <row r="317" spans="1:138">
      <c r="A317" s="102" t="s">
        <v>540</v>
      </c>
      <c r="C317" s="103" t="s">
        <v>63</v>
      </c>
      <c r="P317" s="632"/>
      <c r="Q317" s="632"/>
      <c r="R317" s="632"/>
      <c r="T317" s="632"/>
      <c r="U317" s="632"/>
      <c r="V317" s="632"/>
      <c r="X317" s="632"/>
      <c r="Y317" s="632"/>
      <c r="Z317" s="632"/>
      <c r="AB317" s="632"/>
      <c r="AC317" s="632"/>
      <c r="AD317" s="632"/>
      <c r="AE317" s="293"/>
      <c r="AF317" s="632"/>
      <c r="AG317" s="632"/>
      <c r="AH317" s="632"/>
      <c r="AI317" s="632"/>
      <c r="AJ317" s="632"/>
      <c r="AK317" s="632"/>
      <c r="AL317" s="632"/>
      <c r="AN317" s="632"/>
      <c r="AO317" s="632"/>
      <c r="AP317" s="632"/>
      <c r="AR317" s="632"/>
      <c r="AS317" s="632"/>
      <c r="AT317" s="632"/>
      <c r="AV317" s="632"/>
      <c r="AW317" s="632"/>
      <c r="AX317" s="632"/>
      <c r="AZ317" s="632"/>
      <c r="BA317" s="632"/>
      <c r="BB317" s="632"/>
      <c r="BD317" s="735">
        <f>-BD314*BD316</f>
        <v>0</v>
      </c>
      <c r="BE317" s="632"/>
      <c r="BF317" s="632"/>
      <c r="BH317" s="632"/>
      <c r="BI317" s="632"/>
      <c r="BJ317" s="632"/>
      <c r="BL317" s="632"/>
      <c r="BM317" s="733"/>
      <c r="BN317" s="632"/>
      <c r="BP317" s="632"/>
      <c r="BQ317" s="733"/>
      <c r="BR317" s="632"/>
      <c r="BT317" s="711">
        <f>BT316*BT314</f>
        <v>0</v>
      </c>
      <c r="BU317" s="711">
        <f>BU316*BU314</f>
        <v>2.6245000000000001E-2</v>
      </c>
      <c r="BV317" s="711">
        <f>BV316*BV314</f>
        <v>2.6245000000000001E-2</v>
      </c>
      <c r="BX317" s="711">
        <f>BX316*BX314</f>
        <v>0</v>
      </c>
      <c r="BY317" s="711">
        <f>BY316*BY314</f>
        <v>0</v>
      </c>
      <c r="BZ317" s="711">
        <f>BZ316*BZ314</f>
        <v>0</v>
      </c>
      <c r="CB317" s="711">
        <f>CB316*CB314</f>
        <v>1.9588588834532374</v>
      </c>
      <c r="CC317" s="711">
        <f>CC316*CC314</f>
        <v>0</v>
      </c>
      <c r="CD317" s="711">
        <f>CD316*CD314</f>
        <v>0</v>
      </c>
      <c r="CF317" s="711">
        <f>CF316*CF314</f>
        <v>1.7791039268213003</v>
      </c>
      <c r="CG317" s="711">
        <f>CG316*CG314</f>
        <v>0</v>
      </c>
      <c r="CH317" s="711">
        <f>CH316*CH314</f>
        <v>0</v>
      </c>
      <c r="CJ317" s="711">
        <f>CJ316*CJ314</f>
        <v>1.8566331163636365</v>
      </c>
      <c r="CK317" s="711">
        <f>CK315*CK314</f>
        <v>0.47821500691797458</v>
      </c>
      <c r="CL317" s="711">
        <f>CL316*CL314</f>
        <v>0</v>
      </c>
      <c r="CN317" s="711">
        <f>CN316*CN314</f>
        <v>0</v>
      </c>
      <c r="CO317" s="711">
        <f>CO315*CO314</f>
        <v>3.1485799770967743E-2</v>
      </c>
      <c r="CP317" s="711">
        <f>CP316*CP314</f>
        <v>2.261063</v>
      </c>
      <c r="CR317" s="711">
        <f>CR316*CR314</f>
        <v>0</v>
      </c>
      <c r="CS317" s="711">
        <f>CS316*CS314</f>
        <v>0</v>
      </c>
      <c r="CT317" s="711">
        <f>CT316*CT314</f>
        <v>0</v>
      </c>
      <c r="CV317" s="711">
        <f>CV316*CV314</f>
        <v>0</v>
      </c>
      <c r="CW317" s="1809">
        <f>CW316*CW314</f>
        <v>0</v>
      </c>
      <c r="CX317" s="711">
        <f>CX316*CX314</f>
        <v>0</v>
      </c>
      <c r="CZ317" s="711">
        <f>CZ316*CZ314</f>
        <v>0</v>
      </c>
      <c r="DA317" s="1809">
        <f>DA316*DA314</f>
        <v>0</v>
      </c>
      <c r="DB317" s="711">
        <f>DB316*DB314</f>
        <v>0</v>
      </c>
      <c r="DD317" s="711">
        <f>DD316*DD314</f>
        <v>0</v>
      </c>
      <c r="DE317" s="1809">
        <f>DE316*DE314</f>
        <v>0</v>
      </c>
      <c r="DF317" s="711">
        <f>DF316*DF314</f>
        <v>0</v>
      </c>
      <c r="DH317" s="711">
        <f>DH316*DH314</f>
        <v>0</v>
      </c>
      <c r="DI317" s="711">
        <f>DI316*DI314</f>
        <v>0</v>
      </c>
      <c r="DJ317" s="632"/>
      <c r="DL317" s="711">
        <f>DL316*DL314</f>
        <v>0</v>
      </c>
      <c r="DM317" s="711">
        <f>DM316*DM314</f>
        <v>0</v>
      </c>
      <c r="DN317" s="632"/>
      <c r="DP317" s="711">
        <f>DP316*DP314</f>
        <v>0</v>
      </c>
      <c r="DQ317" s="711">
        <f>DQ316*DQ314</f>
        <v>0</v>
      </c>
      <c r="DR317" s="632"/>
      <c r="DU317" s="1115"/>
      <c r="DV317" s="1115"/>
      <c r="DW317" s="1125"/>
      <c r="DZ317" s="102"/>
    </row>
    <row r="318" spans="1:138">
      <c r="A318" s="102" t="s">
        <v>540</v>
      </c>
      <c r="C318" s="103" t="s">
        <v>612</v>
      </c>
      <c r="P318" s="632"/>
      <c r="Q318" s="632"/>
      <c r="R318" s="632"/>
      <c r="T318" s="632"/>
      <c r="U318" s="632"/>
      <c r="V318" s="632"/>
      <c r="X318" s="632"/>
      <c r="Y318" s="632"/>
      <c r="Z318" s="632"/>
      <c r="AB318" s="632"/>
      <c r="AC318" s="632"/>
      <c r="AD318" s="632"/>
      <c r="AE318" s="293"/>
      <c r="AF318" s="632"/>
      <c r="AG318" s="632"/>
      <c r="AH318" s="632"/>
      <c r="AI318" s="632"/>
      <c r="AJ318" s="632"/>
      <c r="AK318" s="632"/>
      <c r="AL318" s="632"/>
      <c r="AN318" s="632"/>
      <c r="AO318" s="632"/>
      <c r="AP318" s="632"/>
      <c r="AR318" s="632"/>
      <c r="AS318" s="632"/>
      <c r="AT318" s="632"/>
      <c r="AV318" s="632"/>
      <c r="AW318" s="632"/>
      <c r="AX318" s="632"/>
      <c r="AZ318" s="632"/>
      <c r="BA318" s="632"/>
      <c r="BB318" s="632"/>
      <c r="BD318" s="702">
        <f>-BD312*BD316</f>
        <v>0</v>
      </c>
      <c r="BE318" s="632"/>
      <c r="BF318" s="632"/>
      <c r="BH318" s="632"/>
      <c r="BI318" s="632"/>
      <c r="BJ318" s="632"/>
      <c r="BL318" s="632"/>
      <c r="BM318" s="733"/>
      <c r="BN318" s="632"/>
      <c r="BP318" s="632"/>
      <c r="BQ318" s="733"/>
      <c r="BR318" s="632"/>
      <c r="BT318" s="293">
        <f>BT317*BT313</f>
        <v>0</v>
      </c>
      <c r="BU318" s="293">
        <f>BU317*BU313</f>
        <v>0</v>
      </c>
      <c r="BV318" s="293">
        <f>BV317*BV313</f>
        <v>0</v>
      </c>
      <c r="BW318" s="293"/>
      <c r="BX318" s="293">
        <f>BX317*BX313</f>
        <v>0</v>
      </c>
      <c r="BY318" s="293">
        <f>BY317*BY313</f>
        <v>0</v>
      </c>
      <c r="BZ318" s="293"/>
      <c r="CA318" s="293"/>
      <c r="CB318" s="293">
        <f>CB317*CB313</f>
        <v>190.59696936</v>
      </c>
      <c r="CC318" s="293">
        <f>CC317*CC313</f>
        <v>0</v>
      </c>
      <c r="CD318" s="293"/>
      <c r="CF318" s="293">
        <f>CF317*CF313</f>
        <v>217.83348480000001</v>
      </c>
      <c r="CG318" s="293">
        <f>CG317*CG313</f>
        <v>0</v>
      </c>
      <c r="CH318" s="293"/>
      <c r="CJ318" s="293">
        <f>CJ317*CJ313</f>
        <v>245.07557136000003</v>
      </c>
      <c r="CK318" s="293">
        <f>CK317*CK313</f>
        <v>52.828411814228652</v>
      </c>
      <c r="CL318" s="293"/>
      <c r="CN318" s="293">
        <f>CN317*CN313</f>
        <v>0</v>
      </c>
      <c r="CO318" s="293">
        <f>CO317*CO313</f>
        <v>4.8802989645000006</v>
      </c>
      <c r="CP318" s="293"/>
      <c r="CR318" s="711">
        <f>CR317*CR313</f>
        <v>0</v>
      </c>
      <c r="CS318" s="711">
        <f>CS317*CS313</f>
        <v>0</v>
      </c>
      <c r="CT318" s="293"/>
      <c r="CV318" s="711">
        <f>CV317*CV313</f>
        <v>0</v>
      </c>
      <c r="CW318" s="1809">
        <f>CW317*CW313</f>
        <v>0</v>
      </c>
      <c r="CX318" s="293"/>
      <c r="CZ318" s="711">
        <f>CZ317*CZ313</f>
        <v>0</v>
      </c>
      <c r="DA318" s="1809">
        <f>DA317*DA313</f>
        <v>0</v>
      </c>
      <c r="DB318" s="293"/>
      <c r="DD318" s="711">
        <f>DD317*DD313</f>
        <v>0</v>
      </c>
      <c r="DE318" s="1809">
        <f>DE317*DE313</f>
        <v>0</v>
      </c>
      <c r="DF318" s="293"/>
      <c r="DH318" s="711">
        <f>DH317*DH313</f>
        <v>0</v>
      </c>
      <c r="DI318" s="293">
        <f>DI317*DI313</f>
        <v>0</v>
      </c>
      <c r="DJ318" s="632"/>
      <c r="DL318" s="293">
        <f>DL317*DL313</f>
        <v>0</v>
      </c>
      <c r="DM318" s="293">
        <f>DM317*DM313</f>
        <v>0</v>
      </c>
      <c r="DN318" s="632"/>
      <c r="DP318" s="293">
        <f>DP317*DP313</f>
        <v>0</v>
      </c>
      <c r="DQ318" s="293">
        <f>DQ317*DQ313</f>
        <v>0</v>
      </c>
      <c r="DR318" s="632"/>
      <c r="DU318" s="1115"/>
      <c r="DV318" s="1115"/>
      <c r="DW318" s="1125"/>
      <c r="DZ318" s="102"/>
    </row>
    <row r="319" spans="1:138" s="289" customFormat="1">
      <c r="A319" s="289" t="s">
        <v>541</v>
      </c>
      <c r="C319" s="290" t="s">
        <v>63</v>
      </c>
      <c r="P319" s="744"/>
      <c r="Q319" s="744"/>
      <c r="R319" s="744"/>
      <c r="S319" s="290"/>
      <c r="T319" s="744"/>
      <c r="U319" s="744"/>
      <c r="V319" s="744"/>
      <c r="W319" s="290"/>
      <c r="X319" s="744"/>
      <c r="Y319" s="744"/>
      <c r="Z319" s="744"/>
      <c r="AA319" s="290"/>
      <c r="AB319" s="744"/>
      <c r="AC319" s="744"/>
      <c r="AD319" s="744"/>
      <c r="AE319" s="295"/>
      <c r="AF319" s="744"/>
      <c r="AG319" s="744"/>
      <c r="AH319" s="744"/>
      <c r="AI319" s="744"/>
      <c r="AJ319" s="744"/>
      <c r="AK319" s="744"/>
      <c r="AL319" s="744"/>
      <c r="AM319" s="290"/>
      <c r="AN319" s="744"/>
      <c r="AO319" s="744"/>
      <c r="AP319" s="744"/>
      <c r="AQ319" s="290"/>
      <c r="AR319" s="744"/>
      <c r="AS319" s="744"/>
      <c r="AT319" s="744"/>
      <c r="AU319" s="290"/>
      <c r="AV319" s="744"/>
      <c r="AW319" s="744"/>
      <c r="AX319" s="744"/>
      <c r="AY319" s="290"/>
      <c r="AZ319" s="744"/>
      <c r="BA319" s="744"/>
      <c r="BB319" s="744"/>
      <c r="BC319" s="290"/>
      <c r="BD319" s="745">
        <f>BD293</f>
        <v>1.4071530000000001</v>
      </c>
      <c r="BE319" s="744"/>
      <c r="BF319" s="744"/>
      <c r="BG319" s="290"/>
      <c r="BH319" s="745">
        <f>BH293</f>
        <v>0</v>
      </c>
      <c r="BI319" s="745">
        <f>BI293</f>
        <v>0</v>
      </c>
      <c r="BJ319" s="744"/>
      <c r="BK319" s="290"/>
      <c r="BL319" s="745">
        <f>BL293</f>
        <v>0</v>
      </c>
      <c r="BM319" s="734"/>
      <c r="BN319" s="744"/>
      <c r="BO319" s="290"/>
      <c r="BP319" s="745">
        <f>BP293</f>
        <v>0</v>
      </c>
      <c r="BQ319" s="734"/>
      <c r="BR319" s="744"/>
      <c r="BS319" s="290"/>
      <c r="BT319" s="745">
        <f>BT314-BT317</f>
        <v>0</v>
      </c>
      <c r="BU319" s="745">
        <f>BU314-BU317</f>
        <v>0</v>
      </c>
      <c r="BV319" s="745">
        <f>BV314-BV317</f>
        <v>0</v>
      </c>
      <c r="BW319" s="290"/>
      <c r="BX319" s="745">
        <f>BX314-BX317</f>
        <v>0</v>
      </c>
      <c r="BY319" s="745">
        <f>BY314-BY317</f>
        <v>0</v>
      </c>
      <c r="BZ319" s="745">
        <f>BZ314-BZ317</f>
        <v>0</v>
      </c>
      <c r="CA319" s="290"/>
      <c r="CB319" s="745">
        <f>CB314-CB317</f>
        <v>0</v>
      </c>
      <c r="CC319" s="745">
        <f>CC314-CC317</f>
        <v>0</v>
      </c>
      <c r="CD319" s="745">
        <f>CD314-CD317</f>
        <v>0</v>
      </c>
      <c r="CE319" s="290"/>
      <c r="CF319" s="745">
        <f>CF314-CF317</f>
        <v>0</v>
      </c>
      <c r="CG319" s="745">
        <f>CG314-CG317</f>
        <v>0</v>
      </c>
      <c r="CH319" s="745">
        <f>CH314-CH317</f>
        <v>0</v>
      </c>
      <c r="CI319" s="290"/>
      <c r="CJ319" s="745">
        <f>CJ314-CJ317</f>
        <v>0</v>
      </c>
      <c r="CK319" s="745">
        <f>CK314-CK317</f>
        <v>1.4801419930820252</v>
      </c>
      <c r="CL319" s="745">
        <f>CL314-CL317</f>
        <v>0</v>
      </c>
      <c r="CM319" s="290"/>
      <c r="CN319" s="745">
        <f>CN314-CN317</f>
        <v>0.39443658398619491</v>
      </c>
      <c r="CO319" s="745">
        <f>CO314-CO317</f>
        <v>0.28337219793870971</v>
      </c>
      <c r="CP319" s="745">
        <f>CP314-CP317</f>
        <v>0</v>
      </c>
      <c r="CQ319" s="290"/>
      <c r="CR319" s="745">
        <f>CR314-CR317</f>
        <v>2.8905988624958181</v>
      </c>
      <c r="CS319" s="745">
        <f>CS314-CS317</f>
        <v>0.41120031329547679</v>
      </c>
      <c r="CT319" s="745">
        <f>CT314-CT317</f>
        <v>3.3017991757912948</v>
      </c>
      <c r="CU319" s="290"/>
      <c r="CV319" s="745">
        <f>CV314-CV317</f>
        <v>2.738411156908136</v>
      </c>
      <c r="CW319" s="745">
        <f>CW314-CW317</f>
        <v>0</v>
      </c>
      <c r="CX319" s="745">
        <f>CX314-CX317</f>
        <v>2.738411156908136</v>
      </c>
      <c r="CY319" s="290"/>
      <c r="CZ319" s="745">
        <f>CZ314-CZ317</f>
        <v>0</v>
      </c>
      <c r="DA319" s="745">
        <f>DA314-DA317</f>
        <v>0</v>
      </c>
      <c r="DB319" s="745">
        <f>DB314-DB317</f>
        <v>0</v>
      </c>
      <c r="DC319" s="290"/>
      <c r="DD319" s="745">
        <f>DD314-DD317</f>
        <v>0</v>
      </c>
      <c r="DE319" s="745">
        <f>DE314-DE317</f>
        <v>0</v>
      </c>
      <c r="DF319" s="745">
        <f>DF314-DF317</f>
        <v>0</v>
      </c>
      <c r="DG319" s="290"/>
      <c r="DH319" s="745">
        <f>DH314-DH317</f>
        <v>0</v>
      </c>
      <c r="DI319" s="745">
        <f>DI314-DI317</f>
        <v>0</v>
      </c>
      <c r="DJ319" s="744"/>
      <c r="DK319" s="290"/>
      <c r="DL319" s="745">
        <f>DL314-DL317</f>
        <v>0</v>
      </c>
      <c r="DM319" s="745">
        <f>DM314-DM317</f>
        <v>0</v>
      </c>
      <c r="DN319" s="744"/>
      <c r="DO319" s="290"/>
      <c r="DP319" s="745">
        <f>DP314-DP317</f>
        <v>0</v>
      </c>
      <c r="DQ319" s="745">
        <f>DQ314-DQ317</f>
        <v>0</v>
      </c>
      <c r="DR319" s="744"/>
      <c r="DS319" s="290"/>
      <c r="DT319" s="290"/>
      <c r="DU319" s="1336"/>
      <c r="DV319" s="1336"/>
      <c r="DW319" s="1124"/>
      <c r="DX319" s="290"/>
      <c r="EH319"/>
    </row>
    <row r="320" spans="1:138">
      <c r="A320" s="102" t="s">
        <v>541</v>
      </c>
      <c r="C320" s="103" t="s">
        <v>612</v>
      </c>
      <c r="P320" s="632"/>
      <c r="Q320" s="632"/>
      <c r="R320" s="632"/>
      <c r="T320" s="632"/>
      <c r="U320" s="632"/>
      <c r="V320" s="632"/>
      <c r="X320" s="632"/>
      <c r="Y320" s="632"/>
      <c r="Z320" s="632"/>
      <c r="AB320" s="632"/>
      <c r="AC320" s="632"/>
      <c r="AD320" s="632"/>
      <c r="AE320" s="293"/>
      <c r="AF320" s="632"/>
      <c r="AG320" s="632"/>
      <c r="AH320" s="632"/>
      <c r="AI320" s="632"/>
      <c r="AJ320" s="632"/>
      <c r="AK320" s="632"/>
      <c r="AL320" s="632"/>
      <c r="AN320" s="632"/>
      <c r="AO320" s="632"/>
      <c r="AP320" s="632"/>
      <c r="AR320" s="632"/>
      <c r="AS320" s="632"/>
      <c r="AT320" s="632"/>
      <c r="AV320" s="632"/>
      <c r="AW320" s="632"/>
      <c r="AX320" s="632"/>
      <c r="AZ320" s="632"/>
      <c r="BA320" s="632"/>
      <c r="BB320" s="632"/>
      <c r="BD320" s="702">
        <f>BD285</f>
        <v>49</v>
      </c>
      <c r="BE320" s="632"/>
      <c r="BF320" s="632"/>
      <c r="BH320" s="702">
        <f>BH285</f>
        <v>0</v>
      </c>
      <c r="BI320" s="702">
        <f>BI285</f>
        <v>0</v>
      </c>
      <c r="BJ320" s="632"/>
      <c r="BL320" s="702">
        <f>BL285</f>
        <v>0</v>
      </c>
      <c r="BM320" s="733"/>
      <c r="BN320" s="632"/>
      <c r="BP320" s="702">
        <f>BP285</f>
        <v>0</v>
      </c>
      <c r="BQ320" s="733"/>
      <c r="BR320" s="632"/>
      <c r="BT320" s="702">
        <f>BT312-BT318</f>
        <v>0</v>
      </c>
      <c r="BU320" s="702">
        <f>BU312-BU318</f>
        <v>0</v>
      </c>
      <c r="BV320" s="702">
        <f>BV312-BV318</f>
        <v>0</v>
      </c>
      <c r="BX320" s="702">
        <f>BX312-BX318</f>
        <v>0</v>
      </c>
      <c r="BY320" s="702">
        <f>BY312-BY318</f>
        <v>0</v>
      </c>
      <c r="BZ320" s="702">
        <f>BZ312-BZ318</f>
        <v>0</v>
      </c>
      <c r="CB320" s="702">
        <f>CB312-CB318</f>
        <v>0</v>
      </c>
      <c r="CC320" s="702">
        <f>CC312-CC318</f>
        <v>0</v>
      </c>
      <c r="CD320" s="702">
        <f>CD312-CD318</f>
        <v>0</v>
      </c>
      <c r="CF320" s="702">
        <f>CF312-CF318</f>
        <v>0</v>
      </c>
      <c r="CG320" s="702">
        <f>CG312-CG318</f>
        <v>0</v>
      </c>
      <c r="CH320" s="702">
        <f>CH312-CH318</f>
        <v>217.83348480000001</v>
      </c>
      <c r="CJ320" s="702">
        <f>CJ312-CJ318</f>
        <v>0</v>
      </c>
      <c r="CK320" s="702">
        <f>CK312-CK318</f>
        <v>163.51128597577133</v>
      </c>
      <c r="CL320" s="702">
        <f>CL312-CL318</f>
        <v>461.41526914999997</v>
      </c>
      <c r="CN320" s="702">
        <f>CN312-CN318</f>
        <v>54.858240100799996</v>
      </c>
      <c r="CO320" s="702">
        <f>CO312-CO318</f>
        <v>43.922690680500004</v>
      </c>
      <c r="CP320" s="702">
        <f>CP312-CP318</f>
        <v>103.6612297458</v>
      </c>
      <c r="CR320" s="702">
        <f>CR312-CR318</f>
        <v>432</v>
      </c>
      <c r="CS320" s="702">
        <f>CS312-CS318</f>
        <v>84</v>
      </c>
      <c r="CT320" s="702">
        <f>CT312-CT318</f>
        <v>516</v>
      </c>
      <c r="CV320" s="702">
        <f>CV312-CV318</f>
        <v>485</v>
      </c>
      <c r="CW320" s="702">
        <f>CW312-CW318</f>
        <v>0</v>
      </c>
      <c r="CX320" s="702">
        <f>CX312-CX318</f>
        <v>485</v>
      </c>
      <c r="CZ320" s="702">
        <f>CZ312-CZ318</f>
        <v>0</v>
      </c>
      <c r="DA320" s="702">
        <f>DA312-DA318</f>
        <v>0</v>
      </c>
      <c r="DB320" s="702">
        <f>DB312-DB318</f>
        <v>0</v>
      </c>
      <c r="DD320" s="702">
        <f>DD312-DD318</f>
        <v>0</v>
      </c>
      <c r="DE320" s="702">
        <f>DE312-DE318</f>
        <v>0</v>
      </c>
      <c r="DF320" s="702">
        <f>DF312-DF318</f>
        <v>0</v>
      </c>
      <c r="DH320" s="702">
        <f>DH312-DH318</f>
        <v>0</v>
      </c>
      <c r="DI320" s="702">
        <f>DI312-DI318</f>
        <v>0</v>
      </c>
      <c r="DJ320" s="632"/>
      <c r="DL320" s="702">
        <f>DL312-DL318</f>
        <v>0</v>
      </c>
      <c r="DM320" s="702">
        <f>DM312-DM318</f>
        <v>0</v>
      </c>
      <c r="DN320" s="632"/>
      <c r="DP320" s="702">
        <f>DP312-DP318</f>
        <v>0</v>
      </c>
      <c r="DQ320" s="702">
        <f>DQ312-DQ318</f>
        <v>0</v>
      </c>
      <c r="DR320" s="632"/>
      <c r="DU320" s="1115"/>
      <c r="DV320" s="1115"/>
      <c r="DW320" s="1125"/>
      <c r="DZ320" s="102"/>
    </row>
    <row r="321" spans="1:138">
      <c r="AE321" s="293"/>
      <c r="AI321" s="320"/>
      <c r="DA321" s="1408"/>
      <c r="DE321" s="1408"/>
    </row>
    <row r="322" spans="1:138">
      <c r="A322" s="289" t="s">
        <v>66</v>
      </c>
      <c r="AE322" s="293"/>
      <c r="AI322" s="320"/>
      <c r="DA322" s="1408"/>
      <c r="DE322" s="1408"/>
    </row>
    <row r="323" spans="1:138" ht="14.4" thickBot="1">
      <c r="A323" s="102" t="s">
        <v>66</v>
      </c>
      <c r="C323" s="103" t="s">
        <v>612</v>
      </c>
      <c r="P323" s="293">
        <f>P286</f>
        <v>34</v>
      </c>
      <c r="Q323" s="293">
        <f>Q286</f>
        <v>13</v>
      </c>
      <c r="R323" s="293">
        <f>R286</f>
        <v>47</v>
      </c>
      <c r="T323" s="293">
        <f>T286</f>
        <v>84.258442059999993</v>
      </c>
      <c r="U323" s="293">
        <f>U286</f>
        <v>36.930340240000021</v>
      </c>
      <c r="V323" s="293">
        <f>V286</f>
        <v>121.18878230000001</v>
      </c>
      <c r="X323" s="293">
        <f>X286</f>
        <v>64</v>
      </c>
      <c r="Y323" s="293">
        <f>Y286</f>
        <v>103</v>
      </c>
      <c r="Z323" s="293">
        <f>Z286</f>
        <v>167</v>
      </c>
      <c r="AB323" s="293">
        <f>AB286</f>
        <v>64</v>
      </c>
      <c r="AC323" s="293">
        <f>AC286</f>
        <v>103</v>
      </c>
      <c r="AD323" s="293">
        <f>AD286</f>
        <v>167</v>
      </c>
      <c r="AE323" s="293"/>
      <c r="AF323" s="293">
        <f>AF286</f>
        <v>172</v>
      </c>
      <c r="AG323" s="293">
        <f>AG286</f>
        <v>59</v>
      </c>
      <c r="AH323" s="293">
        <f>AH286</f>
        <v>231</v>
      </c>
      <c r="AI323" s="320"/>
      <c r="AJ323" s="293">
        <f>AJ286</f>
        <v>171</v>
      </c>
      <c r="AK323" s="293">
        <f>AK286</f>
        <v>97</v>
      </c>
      <c r="AL323" s="293">
        <f>AL286</f>
        <v>268</v>
      </c>
      <c r="AN323" s="293">
        <f>AN286</f>
        <v>224</v>
      </c>
      <c r="AO323" s="293">
        <f>AO286</f>
        <v>84</v>
      </c>
      <c r="AP323" s="293">
        <f>AP286</f>
        <v>308</v>
      </c>
      <c r="AR323" s="293">
        <f>AR286</f>
        <v>141</v>
      </c>
      <c r="AS323" s="293">
        <f>AS286</f>
        <v>8</v>
      </c>
      <c r="AT323" s="293">
        <f>AT286</f>
        <v>149</v>
      </c>
      <c r="AV323" s="293">
        <f>AV286</f>
        <v>135</v>
      </c>
      <c r="AW323" s="293">
        <f>AW286</f>
        <v>628</v>
      </c>
      <c r="AX323" s="293">
        <f>AX286</f>
        <v>763</v>
      </c>
      <c r="AZ323" s="293">
        <f>AZ286</f>
        <v>31</v>
      </c>
      <c r="BA323" s="293">
        <f>BA286</f>
        <v>47</v>
      </c>
      <c r="BB323" s="293">
        <f>BB286</f>
        <v>78</v>
      </c>
      <c r="BD323" s="293">
        <f>BD286</f>
        <v>-86</v>
      </c>
      <c r="BE323" s="293">
        <f>BE286</f>
        <v>-20</v>
      </c>
      <c r="BF323" s="293">
        <f>BF286</f>
        <v>-106</v>
      </c>
      <c r="BH323" s="293">
        <f>BH286</f>
        <v>-1</v>
      </c>
      <c r="BI323" s="293">
        <f>BI286</f>
        <v>7</v>
      </c>
      <c r="BJ323" s="293">
        <f>BJ286</f>
        <v>6</v>
      </c>
      <c r="BL323" s="293">
        <f>BL286</f>
        <v>2</v>
      </c>
      <c r="BM323" s="293">
        <f>BM286</f>
        <v>-809</v>
      </c>
      <c r="BN323" s="293">
        <f>BN286</f>
        <v>-807</v>
      </c>
      <c r="BP323" s="293">
        <f>BP286</f>
        <v>-34</v>
      </c>
      <c r="BQ323" s="293">
        <f>BQ286</f>
        <v>689</v>
      </c>
      <c r="BR323" s="293">
        <f>BR286</f>
        <v>655</v>
      </c>
      <c r="BT323" s="293">
        <f>BT286</f>
        <v>10</v>
      </c>
      <c r="BU323" s="293">
        <f>BU286</f>
        <v>-3</v>
      </c>
      <c r="BV323" s="293">
        <f>BV286</f>
        <v>7</v>
      </c>
      <c r="BX323" s="293">
        <f>BX286</f>
        <v>-2</v>
      </c>
      <c r="BY323" s="293">
        <f>BY286</f>
        <v>23</v>
      </c>
      <c r="BZ323" s="293">
        <f>BZ286</f>
        <v>21</v>
      </c>
      <c r="CB323" s="293">
        <f>CB286</f>
        <v>18</v>
      </c>
      <c r="CC323" s="293">
        <f>CC286</f>
        <v>13</v>
      </c>
      <c r="CD323" s="293">
        <f>CD286</f>
        <v>31</v>
      </c>
      <c r="CF323" s="293">
        <f>CF286</f>
        <v>52</v>
      </c>
      <c r="CG323" s="293">
        <f>CG286</f>
        <v>-4</v>
      </c>
      <c r="CH323" s="293">
        <f>CH286</f>
        <v>48</v>
      </c>
      <c r="CJ323" s="293">
        <f>CJ286</f>
        <v>66</v>
      </c>
      <c r="CK323" s="293">
        <f>CK286</f>
        <v>8</v>
      </c>
      <c r="CL323" s="293">
        <f>CL286</f>
        <v>74</v>
      </c>
      <c r="CN323" s="293">
        <f>CN286</f>
        <v>848</v>
      </c>
      <c r="CO323" s="293">
        <f>CO286</f>
        <v>28</v>
      </c>
      <c r="CP323" s="293">
        <f>CP286</f>
        <v>876</v>
      </c>
      <c r="CR323" s="293">
        <f>CR286</f>
        <v>692</v>
      </c>
      <c r="CS323" s="293">
        <f>CS286</f>
        <v>-18</v>
      </c>
      <c r="CT323" s="293">
        <f>CT286</f>
        <v>674</v>
      </c>
      <c r="CV323" s="293">
        <f>CV286</f>
        <v>100</v>
      </c>
      <c r="CW323" s="1495">
        <f>CW286</f>
        <v>-6</v>
      </c>
      <c r="CX323" s="293">
        <f>CX286</f>
        <v>94</v>
      </c>
      <c r="CZ323" s="293">
        <f>CZ286</f>
        <v>77</v>
      </c>
      <c r="DA323" s="1495">
        <f>DA286</f>
        <v>-12</v>
      </c>
      <c r="DB323" s="293">
        <f>DB286</f>
        <v>65</v>
      </c>
      <c r="DD323" s="293">
        <f>DD286</f>
        <v>100</v>
      </c>
      <c r="DE323" s="1495">
        <f>DE286</f>
        <v>-53</v>
      </c>
      <c r="DF323" s="293">
        <f>DF286</f>
        <v>47</v>
      </c>
      <c r="DH323" s="293">
        <f>DH286</f>
        <v>91</v>
      </c>
      <c r="DI323" s="293">
        <f>+DI324*DI325</f>
        <v>195.33343768750001</v>
      </c>
      <c r="DJ323" s="293">
        <f>+DI323+DH323</f>
        <v>286.33343768750001</v>
      </c>
      <c r="DL323" s="293">
        <f>+DL324*DL325</f>
        <v>205.61285984580471</v>
      </c>
      <c r="DM323" s="293">
        <f>+DM324*DM325</f>
        <v>216.43323659519021</v>
      </c>
      <c r="DN323" s="293">
        <f>+DM323+DL323</f>
        <v>422.04609644099492</v>
      </c>
      <c r="DP323" s="293">
        <f>+DP324*DP325</f>
        <v>227.82303567101209</v>
      </c>
      <c r="DQ323" s="293">
        <f>+DQ324*DQ325</f>
        <v>239.81222292319913</v>
      </c>
      <c r="DR323" s="293">
        <f>+DQ323+DP323</f>
        <v>467.63525859421122</v>
      </c>
      <c r="DU323" s="293"/>
      <c r="DV323" s="293"/>
      <c r="DW323" s="293"/>
    </row>
    <row r="324" spans="1:138" ht="14.4" thickBot="1">
      <c r="A324" s="102" t="s">
        <v>104</v>
      </c>
      <c r="B324" s="724">
        <v>60</v>
      </c>
      <c r="C324" s="103" t="s">
        <v>105</v>
      </c>
      <c r="P324" s="725">
        <f>P323/P325</f>
        <v>14.444789042352971</v>
      </c>
      <c r="Q324" s="725">
        <f>Q323/Q325</f>
        <v>17.761018662731917</v>
      </c>
      <c r="R324" s="725">
        <f>R323/R325</f>
        <v>15.231403914146734</v>
      </c>
      <c r="T324" s="725">
        <f>T323/T325</f>
        <v>18.083158756587082</v>
      </c>
      <c r="U324" s="725">
        <f>U323/U325</f>
        <v>20.18161661292968</v>
      </c>
      <c r="V324" s="725">
        <f>V323/V325</f>
        <v>18.674888225379306</v>
      </c>
      <c r="X324" s="725">
        <f>X323/X325</f>
        <v>21.31835363684451</v>
      </c>
      <c r="Y324" s="725">
        <f>Y323/Y325</f>
        <v>30.21197661417018</v>
      </c>
      <c r="Z324" s="725">
        <f>Z323/Z325</f>
        <v>26.047548161448628</v>
      </c>
      <c r="AB324" s="725">
        <f>AB323/AB325</f>
        <v>21.31835363684451</v>
      </c>
      <c r="AC324" s="725">
        <f>AC323/AC325</f>
        <v>30.21197661417018</v>
      </c>
      <c r="AD324" s="725">
        <f>AD323/AD325</f>
        <v>26.047548161448628</v>
      </c>
      <c r="AE324" s="293"/>
      <c r="AF324" s="725">
        <f>AF323/AF325</f>
        <v>31.257655399614585</v>
      </c>
      <c r="AG324" s="725">
        <f>AG323/AG325</f>
        <v>34.2146207773214</v>
      </c>
      <c r="AH324" s="725">
        <f>AH323/AH325</f>
        <v>31.963200532000492</v>
      </c>
      <c r="AI324" s="320"/>
      <c r="AJ324" s="725">
        <f>AJ323/AJ325</f>
        <v>34.368087442061636</v>
      </c>
      <c r="AK324" s="725">
        <f>AK323/AK325</f>
        <v>37.552912828462155</v>
      </c>
      <c r="AL324" s="725">
        <f>AL323/AL325</f>
        <v>35.456451539497955</v>
      </c>
      <c r="AN324" s="725">
        <f>AN323/AN325</f>
        <v>40.978403283833615</v>
      </c>
      <c r="AO324" s="725">
        <f>AO323/AO325</f>
        <v>46.176985390481391</v>
      </c>
      <c r="AP324" s="725">
        <f>AP323/AP325</f>
        <v>42.276437941071585</v>
      </c>
      <c r="AR324" s="725">
        <f>AR323/AR325</f>
        <v>41.860257989817377</v>
      </c>
      <c r="AS324" s="725">
        <f>AS323/AS325</f>
        <v>59.538871440696965</v>
      </c>
      <c r="AT324" s="725">
        <f>AT323/AT325</f>
        <v>42.538418758472531</v>
      </c>
      <c r="AV324" s="725">
        <f>AV323/AV325</f>
        <v>10.511663391310218</v>
      </c>
      <c r="AW324" s="725">
        <f>AW323/AW325</f>
        <v>8495.4411406575382</v>
      </c>
      <c r="AX324" s="725">
        <f>AX323/AX325</f>
        <v>59.070362556543444</v>
      </c>
      <c r="AZ324" s="725">
        <f>AZ323/AZ325</f>
        <v>69.789169171204875</v>
      </c>
      <c r="BA324" s="725">
        <f>BA323/BA325</f>
        <v>121.54816151940236</v>
      </c>
      <c r="BB324" s="725">
        <f>BB323/BB325</f>
        <v>93.877162935856731</v>
      </c>
      <c r="BD324" s="725">
        <f>BD323/BD325</f>
        <v>-1366.8584506814389</v>
      </c>
      <c r="BE324" s="725">
        <f>BE323/BE325</f>
        <v>-66.811201566054237</v>
      </c>
      <c r="BF324" s="725">
        <f>BF323/BF325</f>
        <v>-292.60025009038634</v>
      </c>
      <c r="BH324" s="725">
        <f>BH323/BH325</f>
        <v>-5.4014637966884154</v>
      </c>
      <c r="BI324" s="725">
        <f>BI323/BI325</f>
        <v>12.817953924949727</v>
      </c>
      <c r="BJ324" s="725">
        <f>BJ323/BJ325</f>
        <v>8.2051955298096129</v>
      </c>
      <c r="BL324" s="725">
        <f>BL323/BL325</f>
        <v>5.2430411736022098</v>
      </c>
      <c r="BM324" s="725">
        <f>BM323/BM325</f>
        <v>43.001525623965946</v>
      </c>
      <c r="BN324" s="725">
        <f>BN323/BN325</f>
        <v>43.782960648287307</v>
      </c>
      <c r="BP324" s="725">
        <f>BP323/BP325</f>
        <v>-265.11961573251995</v>
      </c>
      <c r="BQ324" s="725">
        <f>BQ323/BQ325</f>
        <v>4004.0912630605217</v>
      </c>
      <c r="BR324" s="725">
        <f>BR323/BR325</f>
        <v>2181.0214505955128</v>
      </c>
      <c r="BT324" s="725">
        <f>BT323/BT325</f>
        <v>134.80177399133666</v>
      </c>
      <c r="BU324" s="725">
        <f>BU323/BU325</f>
        <v>797.87234042093212</v>
      </c>
      <c r="BV324" s="725">
        <f>BV323/BV325</f>
        <v>99.399343964353378</v>
      </c>
      <c r="BX324" s="725">
        <f>BX323/BX325</f>
        <v>-55.424691700130708</v>
      </c>
      <c r="BY324" s="725">
        <f>BY323/BY325</f>
        <v>1734.932488502765</v>
      </c>
      <c r="BZ324" s="725">
        <f>BZ323/BZ325</f>
        <v>425.60090794888521</v>
      </c>
      <c r="CB324" s="725">
        <f>CB323/CB325</f>
        <v>2916.3966299184531</v>
      </c>
      <c r="CC324" s="725">
        <f>CC323/CC325</f>
        <v>1879.4274974734838</v>
      </c>
      <c r="CD324" s="725">
        <f>CD323/CD325</f>
        <v>2368.4009473538067</v>
      </c>
      <c r="CF324" s="725">
        <f>CF323/CF325</f>
        <v>2902.1096104461758</v>
      </c>
      <c r="CG324" s="725" t="str">
        <f>IFERROR((CG323/CG325),"na")</f>
        <v>na</v>
      </c>
      <c r="CH324" s="725">
        <f>CH323/CH325</f>
        <v>2678.8704096426236</v>
      </c>
      <c r="CJ324" s="725" t="s">
        <v>97</v>
      </c>
      <c r="CK324" s="725" t="s">
        <v>97</v>
      </c>
      <c r="CL324" s="725" t="s">
        <v>97</v>
      </c>
      <c r="CN324" s="725" t="s">
        <v>97</v>
      </c>
      <c r="CO324" s="725" t="s">
        <v>97</v>
      </c>
      <c r="CP324" s="725" t="s">
        <v>97</v>
      </c>
      <c r="CR324" s="725" t="s">
        <v>97</v>
      </c>
      <c r="CS324" s="725" t="s">
        <v>97</v>
      </c>
      <c r="CT324" s="725" t="s">
        <v>97</v>
      </c>
      <c r="CV324" s="725" t="s">
        <v>97</v>
      </c>
      <c r="CW324" s="1811" t="s">
        <v>97</v>
      </c>
      <c r="CX324" s="725" t="s">
        <v>97</v>
      </c>
      <c r="CZ324" s="725" t="s">
        <v>97</v>
      </c>
      <c r="DA324" s="1811" t="s">
        <v>97</v>
      </c>
      <c r="DB324" s="725" t="s">
        <v>97</v>
      </c>
      <c r="DD324" s="725" t="s">
        <v>97</v>
      </c>
      <c r="DE324" s="1811" t="s">
        <v>97</v>
      </c>
      <c r="DF324" s="725" t="s">
        <v>97</v>
      </c>
      <c r="DH324" s="725" t="s">
        <v>97</v>
      </c>
      <c r="DI324" s="727">
        <f>DI302</f>
        <v>205</v>
      </c>
      <c r="DJ324" s="725">
        <f>IF(DJ323=0,"n/a",DJ323/DJ325)</f>
        <v>300.50336194791595</v>
      </c>
      <c r="DL324" s="727">
        <f>DL302</f>
        <v>215.25</v>
      </c>
      <c r="DM324" s="727">
        <f>DM302</f>
        <v>226.01250000000002</v>
      </c>
      <c r="DN324" s="725">
        <f>IF(DN323=0,"n/a",DN323/DN325)</f>
        <v>220.63796816479402</v>
      </c>
      <c r="DP324" s="727">
        <f>DP302</f>
        <v>237.31312500000004</v>
      </c>
      <c r="DQ324" s="727">
        <f>DQ302</f>
        <v>249.17878125000004</v>
      </c>
      <c r="DR324" s="725">
        <f>IF(DR323=0,"n/a",DR323/DR325)</f>
        <v>243.25335990168543</v>
      </c>
      <c r="DU324" s="727"/>
      <c r="DV324" s="727"/>
      <c r="DW324" s="725"/>
    </row>
    <row r="325" spans="1:138" s="289" customFormat="1">
      <c r="A325" s="102" t="s">
        <v>66</v>
      </c>
      <c r="C325" s="103" t="s">
        <v>63</v>
      </c>
      <c r="P325" s="711">
        <f>P294</f>
        <v>2.35379</v>
      </c>
      <c r="Q325" s="711">
        <f>Q294</f>
        <v>0.73194000000000004</v>
      </c>
      <c r="R325" s="711">
        <f>R294</f>
        <v>3.0857299999999999</v>
      </c>
      <c r="S325" s="290"/>
      <c r="T325" s="711">
        <f>T294</f>
        <v>4.6594980000000001</v>
      </c>
      <c r="U325" s="711">
        <f>U294</f>
        <v>1.8299000000000001</v>
      </c>
      <c r="V325" s="711">
        <f>V294</f>
        <v>6.4893980000000004</v>
      </c>
      <c r="W325" s="290"/>
      <c r="X325" s="711">
        <f>X294</f>
        <v>3.0021080000000002</v>
      </c>
      <c r="Y325" s="711">
        <f>Y294</f>
        <v>3.4092440000000002</v>
      </c>
      <c r="Z325" s="711">
        <f>Z294</f>
        <v>6.4113520000000008</v>
      </c>
      <c r="AA325" s="290"/>
      <c r="AB325" s="711">
        <f>AB294</f>
        <v>3.0021080000000002</v>
      </c>
      <c r="AC325" s="711">
        <f>AC294</f>
        <v>3.4092440000000002</v>
      </c>
      <c r="AD325" s="711">
        <f>AD294</f>
        <v>6.4113520000000008</v>
      </c>
      <c r="AE325" s="295"/>
      <c r="AF325" s="711">
        <f>AF294</f>
        <v>5.5026520000000003</v>
      </c>
      <c r="AG325" s="711">
        <f>AG294</f>
        <v>1.7244089999999996</v>
      </c>
      <c r="AH325" s="711">
        <f>AH294</f>
        <v>7.227061</v>
      </c>
      <c r="AI325" s="320"/>
      <c r="AJ325" s="711">
        <f>AJ294</f>
        <v>4.9755459999999996</v>
      </c>
      <c r="AK325" s="711">
        <f>AK294</f>
        <v>2.5830220000000006</v>
      </c>
      <c r="AL325" s="711">
        <f>AL294</f>
        <v>7.5585680000000002</v>
      </c>
      <c r="AM325" s="290"/>
      <c r="AN325" s="711">
        <f>AN294</f>
        <v>5.4662940000000004</v>
      </c>
      <c r="AO325" s="711">
        <f>AO294</f>
        <v>1.8190879999999998</v>
      </c>
      <c r="AP325" s="711">
        <f>AP294</f>
        <v>7.2853820000000002</v>
      </c>
      <c r="AQ325" s="290"/>
      <c r="AR325" s="711">
        <f>AR294</f>
        <v>3.3683499999999675</v>
      </c>
      <c r="AS325" s="711">
        <f>AS294</f>
        <v>0.13436599999998844</v>
      </c>
      <c r="AT325" s="711">
        <f>AT294</f>
        <v>3.502715999999956</v>
      </c>
      <c r="AU325" s="290"/>
      <c r="AV325" s="711">
        <f>AV294</f>
        <v>12.842877</v>
      </c>
      <c r="AW325" s="711">
        <f>AW294</f>
        <v>7.3922000000036903E-2</v>
      </c>
      <c r="AX325" s="711">
        <f>AX294</f>
        <v>12.916799000000037</v>
      </c>
      <c r="AY325" s="290"/>
      <c r="AZ325" s="711">
        <f>AZ294</f>
        <v>0.44419499999995204</v>
      </c>
      <c r="BA325" s="711">
        <f>BA294</f>
        <v>0.38667800000000441</v>
      </c>
      <c r="BB325" s="711">
        <f>BB294</f>
        <v>0.83087299999995645</v>
      </c>
      <c r="BC325" s="290"/>
      <c r="BD325" s="711">
        <f>BD294</f>
        <v>6.2918000000018459E-2</v>
      </c>
      <c r="BE325" s="711">
        <f>BE294</f>
        <v>0.29935100000000148</v>
      </c>
      <c r="BF325" s="711">
        <f>BF294</f>
        <v>0.36226900000001994</v>
      </c>
      <c r="BG325" s="290"/>
      <c r="BH325" s="711">
        <f>BH294</f>
        <v>0.1851350000000167</v>
      </c>
      <c r="BI325" s="711">
        <f>BI294</f>
        <v>0.54610899999997109</v>
      </c>
      <c r="BJ325" s="711">
        <f>BJ294</f>
        <v>0.73124399999998779</v>
      </c>
      <c r="BK325" s="290"/>
      <c r="BL325" s="711">
        <f>BL294</f>
        <v>0.38145800000000918</v>
      </c>
      <c r="BM325" s="711">
        <f>BM294</f>
        <v>-18.813286000000005</v>
      </c>
      <c r="BN325" s="711">
        <f>BN294</f>
        <v>-18.431827999999996</v>
      </c>
      <c r="BO325" s="290"/>
      <c r="BP325" s="711">
        <f>BP294</f>
        <v>0.12824399999999514</v>
      </c>
      <c r="BQ325" s="711">
        <f>BQ294</f>
        <v>0.17207400000003092</v>
      </c>
      <c r="BR325" s="711">
        <f>BR294</f>
        <v>0.30031800000002606</v>
      </c>
      <c r="BS325" s="290"/>
      <c r="BT325" s="711">
        <f>BT294</f>
        <v>7.4183000000004995E-2</v>
      </c>
      <c r="BU325" s="711">
        <f>BU294</f>
        <v>-3.7600000000216766E-3</v>
      </c>
      <c r="BV325" s="711">
        <f>BV294</f>
        <v>7.0422999999983318E-2</v>
      </c>
      <c r="BW325" s="290"/>
      <c r="BX325" s="711">
        <f>BX294</f>
        <v>3.6085000000014134E-2</v>
      </c>
      <c r="BY325" s="711">
        <f>BY294</f>
        <v>1.3256999999953223E-2</v>
      </c>
      <c r="BZ325" s="711">
        <f>BZ294</f>
        <v>4.9341999999967356E-2</v>
      </c>
      <c r="CA325" s="290"/>
      <c r="CB325" s="711">
        <f>CB294</f>
        <v>6.1720000000491382E-3</v>
      </c>
      <c r="CC325" s="711">
        <f>CC294</f>
        <v>6.9169999999871834E-3</v>
      </c>
      <c r="CD325" s="711">
        <f>CD294</f>
        <v>1.3089000000036322E-2</v>
      </c>
      <c r="CE325" s="290"/>
      <c r="CF325" s="711">
        <f>CF294</f>
        <v>1.791800000000876E-2</v>
      </c>
      <c r="CG325" s="711">
        <f>CG294</f>
        <v>0</v>
      </c>
      <c r="CH325" s="711">
        <f>CH294</f>
        <v>1.791800000000876E-2</v>
      </c>
      <c r="CI325" s="290"/>
      <c r="CJ325" s="711">
        <f>CJ294</f>
        <v>-2.6645352591003757E-14</v>
      </c>
      <c r="CK325" s="711">
        <f>CK294</f>
        <v>5.3290705182007514E-15</v>
      </c>
      <c r="CL325" s="711">
        <f>CL294</f>
        <v>-2.1316282072803006E-14</v>
      </c>
      <c r="CM325" s="290"/>
      <c r="CN325" s="711">
        <f>CN294</f>
        <v>7.1222309999999993</v>
      </c>
      <c r="CO325" s="711">
        <f>CO294</f>
        <v>-1.9433130000000105</v>
      </c>
      <c r="CP325" s="711">
        <f>CP294</f>
        <v>5.1789179999999888</v>
      </c>
      <c r="CQ325" s="290"/>
      <c r="CR325" s="711">
        <f>CR294</f>
        <v>4.1097920000000236</v>
      </c>
      <c r="CS325" s="711">
        <f>CS294</f>
        <v>7.4629999999675789E-3</v>
      </c>
      <c r="CT325" s="711">
        <f>CT294</f>
        <v>4.1172549999999912</v>
      </c>
      <c r="CU325" s="290"/>
      <c r="CV325" s="711">
        <f>CV294</f>
        <v>9.2117000000053295E-2</v>
      </c>
      <c r="CW325" s="1809">
        <f>CW294</f>
        <v>2.629999999999022E-4</v>
      </c>
      <c r="CX325" s="711">
        <f>CX294</f>
        <v>9.2380000000053197E-2</v>
      </c>
      <c r="CY325" s="290"/>
      <c r="CZ325" s="711">
        <f>CZ294</f>
        <v>0</v>
      </c>
      <c r="DA325" s="1809">
        <f>DA294</f>
        <v>-2.042810365310288E-14</v>
      </c>
      <c r="DB325" s="711">
        <f>DB294</f>
        <v>-2.042810365310288E-14</v>
      </c>
      <c r="DC325" s="290"/>
      <c r="DD325" s="711">
        <f>DD294</f>
        <v>1.3322676295501878E-15</v>
      </c>
      <c r="DE325" s="1809">
        <f>DE294</f>
        <v>0</v>
      </c>
      <c r="DF325" s="711">
        <f>DF294</f>
        <v>1.3322676295501878E-15</v>
      </c>
      <c r="DG325" s="290"/>
      <c r="DH325" s="711">
        <f>DH294</f>
        <v>0</v>
      </c>
      <c r="DI325" s="711">
        <f>+DI290*DI326</f>
        <v>0.95284603750000008</v>
      </c>
      <c r="DJ325" s="711">
        <f>+DI325+DH325</f>
        <v>0.95284603750000008</v>
      </c>
      <c r="DK325" s="290"/>
      <c r="DL325" s="711">
        <f>+DL290*DL326</f>
        <v>0.95522815259375005</v>
      </c>
      <c r="DM325" s="711">
        <f>+DM290*DM326</f>
        <v>0.95761622297523452</v>
      </c>
      <c r="DN325" s="711">
        <f>+DM325+DL325</f>
        <v>1.9128443755689846</v>
      </c>
      <c r="DO325" s="290"/>
      <c r="DP325" s="711">
        <f>+DP290*DP326</f>
        <v>0.96001026353267249</v>
      </c>
      <c r="DQ325" s="711">
        <f>+DQ290*DQ326</f>
        <v>0.96241028919150429</v>
      </c>
      <c r="DR325" s="711">
        <f>+DQ325+DP325</f>
        <v>1.9224205527241769</v>
      </c>
      <c r="DS325" s="290"/>
      <c r="DT325" s="290"/>
      <c r="DU325" s="711"/>
      <c r="DV325" s="711"/>
      <c r="DW325" s="711"/>
      <c r="DX325" s="290"/>
      <c r="EH325"/>
    </row>
    <row r="326" spans="1:138">
      <c r="A326" s="302" t="s">
        <v>109</v>
      </c>
      <c r="B326" s="302"/>
      <c r="C326" s="304" t="s">
        <v>917</v>
      </c>
      <c r="D326" s="302"/>
      <c r="E326" s="302"/>
      <c r="F326" s="302"/>
      <c r="G326" s="302"/>
      <c r="H326" s="302"/>
      <c r="I326" s="302"/>
      <c r="J326" s="302"/>
      <c r="K326" s="302"/>
      <c r="L326" s="302"/>
      <c r="M326" s="302"/>
      <c r="N326" s="302"/>
      <c r="O326" s="302"/>
      <c r="P326" s="628">
        <f>P325/P290</f>
        <v>1.1857894405832936E-2</v>
      </c>
      <c r="Q326" s="628">
        <f>Q325/Q290</f>
        <v>3.6139277439500841E-3</v>
      </c>
      <c r="R326" s="628">
        <f>R325/R290</f>
        <v>1.5545252764652268E-2</v>
      </c>
      <c r="S326" s="304"/>
      <c r="T326" s="628">
        <f>T325/T290</f>
        <v>2.2785038088169642E-2</v>
      </c>
      <c r="U326" s="628">
        <f>U325/U290</f>
        <v>8.4107236887901709E-3</v>
      </c>
      <c r="V326" s="628">
        <f>V325/V290</f>
        <v>3.173328555979462E-2</v>
      </c>
      <c r="W326" s="304"/>
      <c r="X326" s="628">
        <f>X325/X290</f>
        <v>1.3904036928015876E-2</v>
      </c>
      <c r="Y326" s="628">
        <f>Y325/Y290</f>
        <v>1.5513417271856718E-2</v>
      </c>
      <c r="Z326" s="628">
        <f>Z325/Z290</f>
        <v>2.9693693553499222E-2</v>
      </c>
      <c r="AA326" s="304"/>
      <c r="AB326" s="628">
        <f>AB325/AB290</f>
        <v>1.3904036928015876E-2</v>
      </c>
      <c r="AC326" s="628">
        <f>AC325/AC290</f>
        <v>1.5513417271856718E-2</v>
      </c>
      <c r="AD326" s="628">
        <f>AD325/AD290</f>
        <v>2.9693693553499222E-2</v>
      </c>
      <c r="AE326" s="303"/>
      <c r="AF326" s="628">
        <f>AF325/AF290</f>
        <v>2.460015931789937E-2</v>
      </c>
      <c r="AG326" s="628">
        <f>AG325/AG290</f>
        <v>7.4870326716743978E-3</v>
      </c>
      <c r="AH326" s="628">
        <f>AH325/AH290</f>
        <v>3.2309303223277998E-2</v>
      </c>
      <c r="AI326" s="304"/>
      <c r="AJ326" s="628">
        <f>AJ325/AJ290</f>
        <v>2.1405687925060899E-2</v>
      </c>
      <c r="AK326" s="628">
        <f>AK325/AK290</f>
        <v>1.0345195403957598E-2</v>
      </c>
      <c r="AL326" s="628">
        <f>AL325/AL290</f>
        <v>3.2518310104730566E-2</v>
      </c>
      <c r="AM326" s="304"/>
      <c r="AN326" s="628">
        <f>AN325/AN290</f>
        <v>2.152582523974398E-2</v>
      </c>
      <c r="AO326" s="628">
        <f>AO325/AO290</f>
        <v>6.7103560910413964E-3</v>
      </c>
      <c r="AP326" s="628">
        <f>AP325/AP290</f>
        <v>2.8689247182236536E-2</v>
      </c>
      <c r="AQ326" s="304"/>
      <c r="AR326" s="628">
        <f>AR325/AR290</f>
        <v>1.2267690188805072E-2</v>
      </c>
      <c r="AS326" s="628">
        <f>AS325/AS290</f>
        <v>4.781429671028573E-4</v>
      </c>
      <c r="AT326" s="628">
        <f>AT325/AT290</f>
        <v>1.2757057522932718E-2</v>
      </c>
      <c r="AU326" s="304"/>
      <c r="AV326" s="628">
        <f>AV325/AV290</f>
        <v>4.5311062736824281E-2</v>
      </c>
      <c r="AW326" s="628">
        <f>AW325/AW290</f>
        <v>2.160305883556541E-4</v>
      </c>
      <c r="AX326" s="628">
        <f>AX325/AX290</f>
        <v>4.5571867568921731E-2</v>
      </c>
      <c r="AY326" s="304"/>
      <c r="AZ326" s="628">
        <f>AZ325/AZ290</f>
        <v>1.2903482713295525E-3</v>
      </c>
      <c r="BA326" s="628">
        <f>BA325/BA290</f>
        <v>1.1188557418075357E-3</v>
      </c>
      <c r="BB326" s="628">
        <f>BB325/BB290</f>
        <v>2.413614604496806E-3</v>
      </c>
      <c r="BC326" s="304"/>
      <c r="BD326" s="628">
        <f>BD325/BD290</f>
        <v>1.8141662579550155E-4</v>
      </c>
      <c r="BE326" s="628">
        <f>BE325/BE290</f>
        <v>8.5950004305669235E-4</v>
      </c>
      <c r="BF326" s="628">
        <f>BF325/BF290</f>
        <v>1.044559897172429E-3</v>
      </c>
      <c r="BG326" s="304"/>
      <c r="BH326" s="628">
        <f>BH325/BH290</f>
        <v>5.3110526182125807E-4</v>
      </c>
      <c r="BI326" s="628">
        <f>BI325/BI290</f>
        <v>1.6108977082918902E-3</v>
      </c>
      <c r="BJ326" s="628">
        <f>BJ325/BJ290</f>
        <v>2.0977531859193697E-3</v>
      </c>
      <c r="BK326" s="304"/>
      <c r="BL326" s="628">
        <f>BL325/BL290</f>
        <v>1.1235658591569593E-3</v>
      </c>
      <c r="BM326" s="628">
        <f>BM325/BM290</f>
        <v>-5.5351421666398413E-2</v>
      </c>
      <c r="BN326" s="628">
        <f>BN325/BN290</f>
        <v>-5.4290046774881626E-2</v>
      </c>
      <c r="BO326" s="304"/>
      <c r="BP326" s="628">
        <f>BP325/BP290</f>
        <v>3.9942100710191363E-4</v>
      </c>
      <c r="BQ326" s="628">
        <f>BQ325/BQ290</f>
        <v>5.3571729782827279E-4</v>
      </c>
      <c r="BR326" s="628">
        <f>BR325/BR290</f>
        <v>9.353522816728069E-4</v>
      </c>
      <c r="BS326" s="304"/>
      <c r="BT326" s="628">
        <f>BT325/BT290</f>
        <v>2.2246594656571763E-4</v>
      </c>
      <c r="BU326" s="628">
        <f>BU325/BU290</f>
        <v>-1.127328247650293E-5</v>
      </c>
      <c r="BV326" s="628">
        <f>BV325/BV290</f>
        <v>2.1119015616775767E-4</v>
      </c>
      <c r="BW326" s="304"/>
      <c r="BX326" s="628">
        <f>BX325/BX290</f>
        <v>1.0603804488723155E-4</v>
      </c>
      <c r="BY326" s="628">
        <f>BY325/BY290</f>
        <v>3.8952398899083099E-5</v>
      </c>
      <c r="BZ326" s="628">
        <f>BZ325/BZ290</f>
        <v>1.4499457422253759E-4</v>
      </c>
      <c r="CA326" s="304"/>
      <c r="CB326" s="628">
        <f>CB325/CB290</f>
        <v>1.8134181312711287E-5</v>
      </c>
      <c r="CC326" s="628">
        <f>CC325/CC290</f>
        <v>2.0322724811203172E-5</v>
      </c>
      <c r="CD326" s="628">
        <f>CD325/CD290</f>
        <v>3.8457274659890956E-5</v>
      </c>
      <c r="CE326" s="304"/>
      <c r="CF326" s="628">
        <f>CF325/CF290</f>
        <v>5.2643513510029506E-5</v>
      </c>
      <c r="CG326" s="628">
        <f>CG325/CG290</f>
        <v>0</v>
      </c>
      <c r="CH326" s="628">
        <f>CH325/CH290</f>
        <v>5.2643513510029506E-5</v>
      </c>
      <c r="CI326" s="304"/>
      <c r="CJ326" s="628">
        <f>CJ325/CJ290</f>
        <v>-7.82805636606747E-17</v>
      </c>
      <c r="CK326" s="628">
        <f>CK325/CK290</f>
        <v>1.5037879245522112E-17</v>
      </c>
      <c r="CL326" s="628">
        <f>CL325/CL290</f>
        <v>-6.2624450928539755E-17</v>
      </c>
      <c r="CM326" s="304"/>
      <c r="CN326" s="628">
        <f>CN325/CN290</f>
        <v>2.0097643613323311E-2</v>
      </c>
      <c r="CO326" s="628">
        <f>CO325/CO290</f>
        <v>-5.37563901122356E-3</v>
      </c>
      <c r="CP326" s="628">
        <f>CP325/CP290</f>
        <v>1.4613966925058303E-2</v>
      </c>
      <c r="CQ326" s="304"/>
      <c r="CR326" s="628">
        <f>CR325/CR290</f>
        <v>1.1358621301140048E-2</v>
      </c>
      <c r="CS326" s="628">
        <f>CS325/CS290</f>
        <v>2.0234629023448305E-5</v>
      </c>
      <c r="CT326" s="628">
        <f>CT325/CT290</f>
        <v>1.1379247500901505E-2</v>
      </c>
      <c r="CU326" s="304"/>
      <c r="CV326" s="628">
        <f>CV325/CV290</f>
        <v>2.401083471290957E-4</v>
      </c>
      <c r="CW326" s="628">
        <f>CW325/CW290</f>
        <v>6.8050664697908894E-7</v>
      </c>
      <c r="CX326" s="628">
        <f>CX325/CX290</f>
        <v>2.4079387200826992E-4</v>
      </c>
      <c r="CY326" s="304"/>
      <c r="CZ326" s="628">
        <f>CZ325/CZ290</f>
        <v>0</v>
      </c>
      <c r="DA326" s="628">
        <f>DA325/DA290</f>
        <v>-5.2857263578401094E-17</v>
      </c>
      <c r="DB326" s="628">
        <f>DB325/DB290</f>
        <v>-5.2857263578401094E-17</v>
      </c>
      <c r="DC326" s="304"/>
      <c r="DD326" s="628">
        <f>DD325/DD290</f>
        <v>3.4788458785084019E-18</v>
      </c>
      <c r="DE326" s="628">
        <f>DE325/DE290</f>
        <v>0</v>
      </c>
      <c r="DF326" s="628">
        <f>DF325/DF290</f>
        <v>3.4788458785084019E-18</v>
      </c>
      <c r="DG326" s="304"/>
      <c r="DH326" s="628">
        <f>DH325/DH290</f>
        <v>0</v>
      </c>
      <c r="DI326" s="736">
        <v>2.5000000000000001E-3</v>
      </c>
      <c r="DJ326" s="628">
        <f>DJ325/DJ290</f>
        <v>2.5000000000000001E-3</v>
      </c>
      <c r="DK326" s="304"/>
      <c r="DL326" s="736">
        <v>2.5000000000000001E-3</v>
      </c>
      <c r="DM326" s="736">
        <v>2.5000000000000001E-3</v>
      </c>
      <c r="DN326" s="628">
        <f>DN325/DN290</f>
        <v>5.0062500000000003E-3</v>
      </c>
      <c r="DO326" s="304"/>
      <c r="DP326" s="736">
        <v>2.5000000000000001E-3</v>
      </c>
      <c r="DQ326" s="736">
        <v>2.5000000000000001E-3</v>
      </c>
      <c r="DR326" s="628">
        <f>DR325/DR290</f>
        <v>5.0062500000000003E-3</v>
      </c>
      <c r="DS326" s="304"/>
      <c r="DU326" s="1115"/>
      <c r="DV326" s="1115"/>
      <c r="DW326" s="1125"/>
      <c r="DZ326" s="102"/>
    </row>
    <row r="327" spans="1:138">
      <c r="P327" s="320"/>
      <c r="Q327" s="320"/>
      <c r="R327" s="320"/>
      <c r="T327" s="320"/>
      <c r="U327" s="320"/>
      <c r="V327" s="320"/>
      <c r="X327" s="320"/>
      <c r="Y327" s="320"/>
      <c r="Z327" s="320"/>
      <c r="AB327" s="320"/>
      <c r="AC327" s="320"/>
      <c r="AD327" s="320"/>
      <c r="AE327" s="293"/>
      <c r="AF327" s="320"/>
      <c r="AG327" s="320"/>
      <c r="AH327" s="320"/>
      <c r="AJ327" s="320"/>
      <c r="AK327" s="320"/>
      <c r="AL327" s="320"/>
      <c r="AN327" s="320"/>
      <c r="AO327" s="320"/>
      <c r="AP327" s="320"/>
      <c r="AR327" s="320"/>
      <c r="AS327" s="320"/>
      <c r="AT327" s="320"/>
      <c r="AV327" s="737"/>
      <c r="AW327" s="737"/>
      <c r="AX327" s="320"/>
      <c r="AZ327" s="737"/>
      <c r="BA327" s="737"/>
      <c r="BB327" s="320"/>
      <c r="BD327" s="737"/>
      <c r="BE327" s="737"/>
      <c r="BF327" s="320"/>
      <c r="BH327" s="737"/>
      <c r="BI327" s="737"/>
      <c r="BJ327" s="320"/>
      <c r="BL327" s="737"/>
      <c r="BM327" s="737"/>
      <c r="BN327" s="320"/>
      <c r="BP327" s="737"/>
      <c r="BQ327" s="737"/>
      <c r="BR327" s="320"/>
      <c r="BT327" s="737"/>
      <c r="BU327" s="737"/>
      <c r="BV327" s="320"/>
      <c r="BX327" s="737"/>
      <c r="BY327" s="737"/>
      <c r="BZ327" s="320"/>
      <c r="CB327" s="737"/>
      <c r="CC327" s="737"/>
      <c r="CD327" s="320"/>
      <c r="CF327" s="737"/>
      <c r="CG327" s="737"/>
      <c r="CH327" s="320"/>
      <c r="CJ327" s="737"/>
      <c r="CK327" s="737"/>
      <c r="CL327" s="320"/>
      <c r="CN327" s="737"/>
      <c r="CO327" s="737"/>
      <c r="CP327" s="320"/>
      <c r="CR327" s="737"/>
      <c r="CS327" s="737"/>
      <c r="CT327" s="320"/>
      <c r="CV327" s="737"/>
      <c r="CW327" s="737"/>
      <c r="CX327" s="320"/>
      <c r="CZ327" s="737"/>
      <c r="DA327" s="737"/>
      <c r="DB327" s="320"/>
      <c r="DD327" s="737"/>
      <c r="DE327" s="737"/>
      <c r="DF327" s="320"/>
      <c r="DH327" s="737"/>
      <c r="DI327" s="737"/>
      <c r="DJ327" s="320"/>
      <c r="DL327" s="737"/>
      <c r="DM327" s="737"/>
      <c r="DN327" s="320"/>
      <c r="DP327" s="737"/>
      <c r="DQ327" s="737"/>
      <c r="DR327" s="320"/>
      <c r="DU327" s="1115"/>
      <c r="DV327" s="1115"/>
      <c r="DW327" s="1125"/>
    </row>
    <row r="328" spans="1:138">
      <c r="A328" s="620" t="s">
        <v>110</v>
      </c>
      <c r="B328" s="621"/>
      <c r="C328" s="622"/>
      <c r="D328" s="621"/>
      <c r="E328" s="621"/>
      <c r="F328" s="621"/>
      <c r="G328" s="621"/>
      <c r="H328" s="621"/>
      <c r="I328" s="621"/>
      <c r="J328" s="621"/>
      <c r="K328" s="621"/>
      <c r="L328" s="621"/>
      <c r="M328" s="621"/>
      <c r="N328" s="621"/>
      <c r="O328" s="621"/>
      <c r="P328" s="625"/>
      <c r="Q328" s="625"/>
      <c r="R328" s="625"/>
      <c r="S328" s="622"/>
      <c r="T328" s="625"/>
      <c r="U328" s="625"/>
      <c r="V328" s="625"/>
      <c r="W328" s="622"/>
      <c r="X328" s="625"/>
      <c r="Y328" s="625"/>
      <c r="Z328" s="625"/>
      <c r="AA328" s="622"/>
      <c r="AB328" s="625"/>
      <c r="AC328" s="625"/>
      <c r="AD328" s="625"/>
      <c r="AE328" s="624"/>
      <c r="AF328" s="625"/>
      <c r="AG328" s="625"/>
      <c r="AH328" s="625"/>
      <c r="AI328" s="622"/>
      <c r="AJ328" s="625"/>
      <c r="AK328" s="625"/>
      <c r="AL328" s="625"/>
      <c r="AM328" s="622"/>
      <c r="AN328" s="625"/>
      <c r="AO328" s="625"/>
      <c r="AP328" s="625"/>
      <c r="AQ328" s="622"/>
      <c r="AR328" s="625"/>
      <c r="AS328" s="625"/>
      <c r="AT328" s="625"/>
      <c r="AU328" s="622"/>
      <c r="AV328" s="738"/>
      <c r="AW328" s="738"/>
      <c r="AX328" s="625"/>
      <c r="AY328" s="622"/>
      <c r="AZ328" s="738"/>
      <c r="BA328" s="738"/>
      <c r="BB328" s="625"/>
      <c r="BC328" s="622"/>
      <c r="BD328" s="738"/>
      <c r="BE328" s="738"/>
      <c r="BF328" s="625"/>
      <c r="BG328" s="622"/>
      <c r="BH328" s="738"/>
      <c r="BI328" s="738"/>
      <c r="BJ328" s="625"/>
      <c r="BK328" s="622"/>
      <c r="BL328" s="738"/>
      <c r="BM328" s="738"/>
      <c r="BN328" s="625"/>
      <c r="BO328" s="622"/>
      <c r="BP328" s="738"/>
      <c r="BQ328" s="738"/>
      <c r="BR328" s="625"/>
      <c r="BS328" s="622"/>
      <c r="BT328" s="738"/>
      <c r="BU328" s="738"/>
      <c r="BV328" s="625"/>
      <c r="BW328" s="622"/>
      <c r="BX328" s="738"/>
      <c r="BY328" s="738"/>
      <c r="BZ328" s="625"/>
      <c r="CA328" s="622"/>
      <c r="CB328" s="738"/>
      <c r="CC328" s="738"/>
      <c r="CD328" s="625"/>
      <c r="CE328" s="622"/>
      <c r="CF328" s="738"/>
      <c r="CG328" s="738"/>
      <c r="CH328" s="625"/>
      <c r="CI328" s="622"/>
      <c r="CJ328" s="738"/>
      <c r="CK328" s="738"/>
      <c r="CL328" s="625"/>
      <c r="CM328" s="622"/>
      <c r="CN328" s="738"/>
      <c r="CO328" s="738"/>
      <c r="CP328" s="625"/>
      <c r="CQ328" s="622"/>
      <c r="CR328" s="738"/>
      <c r="CS328" s="738"/>
      <c r="CT328" s="625"/>
      <c r="CU328" s="622"/>
      <c r="CV328" s="738"/>
      <c r="CW328" s="738"/>
      <c r="CX328" s="625"/>
      <c r="CY328" s="622"/>
      <c r="CZ328" s="738"/>
      <c r="DA328" s="738"/>
      <c r="DB328" s="625"/>
      <c r="DC328" s="622"/>
      <c r="DD328" s="738"/>
      <c r="DE328" s="738"/>
      <c r="DF328" s="625"/>
      <c r="DG328" s="622"/>
      <c r="DH328" s="738"/>
      <c r="DI328" s="738"/>
      <c r="DJ328" s="625"/>
      <c r="DK328" s="622"/>
      <c r="DL328" s="738"/>
      <c r="DM328" s="738"/>
      <c r="DN328" s="625"/>
      <c r="DO328" s="622"/>
      <c r="DP328" s="738"/>
      <c r="DQ328" s="738"/>
      <c r="DR328" s="625"/>
      <c r="DS328" s="622"/>
      <c r="DU328" s="1115"/>
      <c r="DV328" s="1115"/>
      <c r="DW328" s="1125"/>
      <c r="DZ328" s="102"/>
    </row>
    <row r="329" spans="1:138">
      <c r="P329" s="632"/>
      <c r="Q329" s="632"/>
      <c r="R329" s="632"/>
      <c r="T329" s="632"/>
      <c r="U329" s="632"/>
      <c r="V329" s="632"/>
      <c r="X329" s="632"/>
      <c r="Y329" s="632"/>
      <c r="Z329" s="632"/>
      <c r="AB329" s="632"/>
      <c r="AC329" s="632"/>
      <c r="AD329" s="632"/>
      <c r="AE329" s="293"/>
      <c r="AF329" s="632"/>
      <c r="AG329" s="632"/>
      <c r="AH329" s="632"/>
      <c r="AJ329" s="632"/>
      <c r="AK329" s="632"/>
      <c r="AL329" s="632"/>
      <c r="AN329" s="632"/>
      <c r="AO329" s="632"/>
      <c r="AP329" s="632"/>
      <c r="AR329" s="632"/>
      <c r="AS329" s="632"/>
      <c r="AT329" s="632"/>
      <c r="AV329" s="733"/>
      <c r="AW329" s="733"/>
      <c r="AX329" s="632"/>
      <c r="AZ329" s="733"/>
      <c r="BA329" s="733"/>
      <c r="BB329" s="632"/>
      <c r="BD329" s="733"/>
      <c r="BE329" s="733"/>
      <c r="BF329" s="632"/>
      <c r="BH329" s="733"/>
      <c r="BI329" s="733"/>
      <c r="BJ329" s="632"/>
      <c r="BL329" s="733"/>
      <c r="BM329" s="733"/>
      <c r="BN329" s="632"/>
      <c r="BP329" s="733"/>
      <c r="BQ329" s="733"/>
      <c r="BR329" s="632"/>
      <c r="BT329" s="733"/>
      <c r="BU329" s="733"/>
      <c r="BV329" s="632"/>
      <c r="BX329" s="733"/>
      <c r="BY329" s="733"/>
      <c r="BZ329" s="632"/>
      <c r="CB329" s="733"/>
      <c r="CC329" s="733"/>
      <c r="CD329" s="632"/>
      <c r="CF329" s="733"/>
      <c r="CG329" s="733"/>
      <c r="CH329" s="632"/>
      <c r="CJ329" s="733"/>
      <c r="CK329" s="733"/>
      <c r="CL329" s="632"/>
      <c r="CN329" s="733"/>
      <c r="CO329" s="733"/>
      <c r="CP329" s="632"/>
      <c r="CR329" s="733"/>
      <c r="CS329" s="733"/>
      <c r="CT329" s="632"/>
      <c r="CV329" s="733"/>
      <c r="CW329" s="733"/>
      <c r="CX329" s="632"/>
      <c r="CZ329" s="733"/>
      <c r="DA329" s="733"/>
      <c r="DB329" s="632"/>
      <c r="DD329" s="733"/>
      <c r="DE329" s="733"/>
      <c r="DF329" s="632"/>
      <c r="DH329" s="733"/>
      <c r="DI329" s="733"/>
      <c r="DJ329" s="632"/>
      <c r="DL329" s="733"/>
      <c r="DM329" s="733"/>
      <c r="DN329" s="632"/>
      <c r="DP329" s="733"/>
      <c r="DQ329" s="733"/>
      <c r="DR329" s="632"/>
      <c r="DU329" s="1115"/>
      <c r="DV329" s="1115"/>
      <c r="DW329" s="1125"/>
      <c r="DZ329" s="102"/>
    </row>
    <row r="330" spans="1:138">
      <c r="A330" s="289" t="s">
        <v>111</v>
      </c>
      <c r="P330" s="632"/>
      <c r="Q330" s="632"/>
      <c r="R330" s="632"/>
      <c r="T330" s="632"/>
      <c r="U330" s="632"/>
      <c r="V330" s="632"/>
      <c r="X330" s="632"/>
      <c r="Y330" s="632"/>
      <c r="Z330" s="632"/>
      <c r="AB330" s="632"/>
      <c r="AC330" s="632"/>
      <c r="AD330" s="632"/>
      <c r="AE330" s="293"/>
      <c r="AF330" s="632"/>
      <c r="AG330" s="632"/>
      <c r="AH330" s="632"/>
      <c r="AJ330" s="632"/>
      <c r="AK330" s="632"/>
      <c r="AL330" s="632"/>
      <c r="AN330" s="632"/>
      <c r="AO330" s="632"/>
      <c r="AP330" s="632"/>
      <c r="AR330" s="632"/>
      <c r="AS330" s="632"/>
      <c r="AT330" s="632"/>
      <c r="AV330" s="733"/>
      <c r="AW330" s="733"/>
      <c r="AX330" s="632"/>
      <c r="AZ330" s="733"/>
      <c r="BA330" s="733"/>
      <c r="BB330" s="632"/>
      <c r="BD330" s="733"/>
      <c r="BE330" s="733"/>
      <c r="BF330" s="632"/>
      <c r="BH330" s="733"/>
      <c r="BI330" s="733"/>
      <c r="BJ330" s="632"/>
      <c r="BL330" s="733"/>
      <c r="BM330" s="733"/>
      <c r="BN330" s="632"/>
      <c r="BP330" s="733"/>
      <c r="BQ330" s="733"/>
      <c r="BR330" s="632"/>
      <c r="BT330" s="733"/>
      <c r="BU330" s="733"/>
      <c r="BV330" s="632"/>
      <c r="BX330" s="733"/>
      <c r="BY330" s="733"/>
      <c r="BZ330" s="632"/>
      <c r="CB330" s="733"/>
      <c r="CC330" s="733"/>
      <c r="CD330" s="632"/>
      <c r="CF330" s="733"/>
      <c r="CG330" s="733"/>
      <c r="CH330" s="632"/>
      <c r="CJ330" s="733"/>
      <c r="CK330" s="733"/>
      <c r="CL330" s="632"/>
      <c r="CN330" s="733"/>
      <c r="CO330" s="733"/>
      <c r="CP330" s="632"/>
      <c r="CR330" s="733"/>
      <c r="CS330" s="733"/>
      <c r="CT330" s="632"/>
      <c r="CV330" s="733"/>
      <c r="CW330" s="733"/>
      <c r="CX330" s="632"/>
      <c r="CZ330" s="733"/>
      <c r="DA330" s="733"/>
      <c r="DB330" s="632"/>
      <c r="DD330" s="733"/>
      <c r="DE330" s="733"/>
      <c r="DF330" s="632"/>
      <c r="DH330" s="733"/>
      <c r="DI330" s="733"/>
      <c r="DJ330" s="632"/>
      <c r="DL330" s="733"/>
      <c r="DM330" s="733"/>
      <c r="DN330" s="632"/>
      <c r="DP330" s="733"/>
      <c r="DQ330" s="733"/>
      <c r="DR330" s="632"/>
      <c r="DU330" s="1115"/>
      <c r="DV330" s="1115"/>
      <c r="DW330" s="1125"/>
      <c r="DZ330" s="102"/>
    </row>
    <row r="331" spans="1:138">
      <c r="A331" s="102" t="s">
        <v>62</v>
      </c>
      <c r="C331" s="103" t="s">
        <v>612</v>
      </c>
      <c r="P331" s="632"/>
      <c r="Q331" s="632"/>
      <c r="R331" s="632"/>
      <c r="T331" s="632"/>
      <c r="U331" s="632"/>
      <c r="V331" s="632"/>
      <c r="X331" s="632"/>
      <c r="Y331" s="632"/>
      <c r="Z331" s="632"/>
      <c r="AB331" s="632"/>
      <c r="AC331" s="632"/>
      <c r="AD331" s="632"/>
      <c r="AE331" s="293"/>
      <c r="AF331" s="632"/>
      <c r="AG331" s="632"/>
      <c r="AH331" s="632"/>
      <c r="AJ331" s="632"/>
      <c r="AK331" s="632"/>
      <c r="AL331" s="632"/>
      <c r="AN331" s="705">
        <v>0</v>
      </c>
      <c r="AO331" s="702">
        <f>+AN336</f>
        <v>0</v>
      </c>
      <c r="AP331" s="702">
        <f>+AN331</f>
        <v>0</v>
      </c>
      <c r="AR331" s="705">
        <f>+AO336</f>
        <v>133</v>
      </c>
      <c r="AS331" s="702">
        <f>+AR336</f>
        <v>122</v>
      </c>
      <c r="AT331" s="702">
        <f>+AR331</f>
        <v>133</v>
      </c>
      <c r="AV331" s="705">
        <f>+AS336</f>
        <v>116</v>
      </c>
      <c r="AW331" s="702">
        <f>+AV336</f>
        <v>159</v>
      </c>
      <c r="AX331" s="702">
        <f>+AV331</f>
        <v>116</v>
      </c>
      <c r="AZ331" s="706">
        <f>+AW336</f>
        <v>137</v>
      </c>
      <c r="BA331" s="702">
        <f>+AZ336</f>
        <v>129</v>
      </c>
      <c r="BB331" s="702">
        <f>+AZ331</f>
        <v>137</v>
      </c>
      <c r="BD331" s="706">
        <f>+BA336</f>
        <v>104</v>
      </c>
      <c r="BE331" s="702">
        <f>+BD336</f>
        <v>98</v>
      </c>
      <c r="BF331" s="702">
        <f>+BD331</f>
        <v>104</v>
      </c>
      <c r="BH331" s="706">
        <f>+BE336</f>
        <v>82</v>
      </c>
      <c r="BI331" s="702">
        <f>+BH336</f>
        <v>69</v>
      </c>
      <c r="BJ331" s="702">
        <f>+BH331</f>
        <v>82</v>
      </c>
      <c r="BL331" s="706">
        <f>+BI336</f>
        <v>36</v>
      </c>
      <c r="BM331" s="702">
        <f>+BL336</f>
        <v>34</v>
      </c>
      <c r="BN331" s="702">
        <f>+BL331</f>
        <v>36</v>
      </c>
      <c r="BP331" s="706">
        <f>+BM336</f>
        <v>27</v>
      </c>
      <c r="BQ331" s="702">
        <f>+BP336</f>
        <v>25</v>
      </c>
      <c r="BR331" s="702">
        <f>+BP331</f>
        <v>27</v>
      </c>
      <c r="BT331" s="706">
        <f>+BQ336</f>
        <v>17</v>
      </c>
      <c r="BU331" s="702">
        <f>+BT336</f>
        <v>13</v>
      </c>
      <c r="BV331" s="702">
        <f>+BT331</f>
        <v>17</v>
      </c>
      <c r="BX331" s="706">
        <f>+BU336</f>
        <v>12</v>
      </c>
      <c r="BY331" s="702">
        <f>+BX336</f>
        <v>11</v>
      </c>
      <c r="BZ331" s="702">
        <f>+BX331</f>
        <v>12</v>
      </c>
      <c r="CB331" s="706">
        <f>+BY336</f>
        <v>10</v>
      </c>
      <c r="CC331" s="702">
        <f>+CB336</f>
        <v>10</v>
      </c>
      <c r="CD331" s="702">
        <f>+CB331</f>
        <v>10</v>
      </c>
      <c r="CF331" s="706">
        <f>+CC336</f>
        <v>10</v>
      </c>
      <c r="CG331" s="702">
        <f>+CF336</f>
        <v>7</v>
      </c>
      <c r="CH331" s="702">
        <f>+CF331</f>
        <v>10</v>
      </c>
      <c r="CJ331" s="706">
        <f>+CG336</f>
        <v>7</v>
      </c>
      <c r="CK331" s="702">
        <f>+CJ336</f>
        <v>7</v>
      </c>
      <c r="CL331" s="702">
        <f>+CJ331</f>
        <v>7</v>
      </c>
      <c r="CN331" s="706">
        <f>+CK336</f>
        <v>7</v>
      </c>
      <c r="CO331" s="702">
        <f>+CN336</f>
        <v>-2</v>
      </c>
      <c r="CP331" s="702">
        <f>+CN331</f>
        <v>7</v>
      </c>
      <c r="CR331" s="706">
        <f>+CO336</f>
        <v>-2</v>
      </c>
      <c r="CS331" s="702">
        <f>+CR336</f>
        <v>0</v>
      </c>
      <c r="CT331" s="702">
        <f>+CR331</f>
        <v>-2</v>
      </c>
      <c r="CV331" s="706">
        <f>+CS336</f>
        <v>0</v>
      </c>
      <c r="CW331" s="702">
        <f>+CV336</f>
        <v>0</v>
      </c>
      <c r="CX331" s="702">
        <f>+CV331</f>
        <v>0</v>
      </c>
      <c r="CZ331" s="706">
        <f>+CW336</f>
        <v>0</v>
      </c>
      <c r="DA331" s="702">
        <f>+CZ336</f>
        <v>0</v>
      </c>
      <c r="DB331" s="702">
        <f>+CZ331</f>
        <v>0</v>
      </c>
      <c r="DD331" s="706">
        <f>+DA336</f>
        <v>0</v>
      </c>
      <c r="DE331" s="702">
        <f>+DD336</f>
        <v>0</v>
      </c>
      <c r="DF331" s="702">
        <f>+DD331</f>
        <v>0</v>
      </c>
      <c r="DH331" s="706">
        <f>+DE336</f>
        <v>0</v>
      </c>
      <c r="DI331" s="702">
        <f>+DH336</f>
        <v>0</v>
      </c>
      <c r="DJ331" s="702">
        <f>+DH331</f>
        <v>0</v>
      </c>
      <c r="DL331" s="702">
        <f>+DJ336</f>
        <v>0</v>
      </c>
      <c r="DM331" s="702">
        <f>+DL336</f>
        <v>0</v>
      </c>
      <c r="DN331" s="702">
        <f>+DL331</f>
        <v>0</v>
      </c>
      <c r="DP331" s="702">
        <f>+DN336</f>
        <v>0</v>
      </c>
      <c r="DQ331" s="702">
        <f>+DP336</f>
        <v>0</v>
      </c>
      <c r="DR331" s="702">
        <f>+DP331</f>
        <v>0</v>
      </c>
      <c r="DU331" s="407"/>
      <c r="DV331" s="407"/>
      <c r="DW331" s="407"/>
      <c r="DZ331" s="102"/>
    </row>
    <row r="332" spans="1:138">
      <c r="A332" s="102" t="s">
        <v>64</v>
      </c>
      <c r="C332" s="103" t="s">
        <v>612</v>
      </c>
      <c r="P332" s="632"/>
      <c r="Q332" s="632"/>
      <c r="R332" s="632"/>
      <c r="T332" s="632"/>
      <c r="U332" s="632"/>
      <c r="V332" s="632"/>
      <c r="X332" s="632"/>
      <c r="Y332" s="632"/>
      <c r="Z332" s="632"/>
      <c r="AB332" s="632"/>
      <c r="AC332" s="632"/>
      <c r="AD332" s="632"/>
      <c r="AE332" s="293"/>
      <c r="AF332" s="632"/>
      <c r="AG332" s="632"/>
      <c r="AH332" s="632"/>
      <c r="AJ332" s="632"/>
      <c r="AK332" s="632"/>
      <c r="AL332" s="632"/>
      <c r="AN332" s="705">
        <v>0</v>
      </c>
      <c r="AO332" s="705">
        <v>133</v>
      </c>
      <c r="AP332" s="702">
        <f>+AN332+AO332</f>
        <v>133</v>
      </c>
      <c r="AR332" s="705">
        <v>0</v>
      </c>
      <c r="AS332" s="705">
        <v>0</v>
      </c>
      <c r="AT332" s="702">
        <f>+AR332+AS332</f>
        <v>0</v>
      </c>
      <c r="AV332" s="705">
        <v>54</v>
      </c>
      <c r="AW332" s="705">
        <v>0</v>
      </c>
      <c r="AX332" s="702">
        <f>+AV332+AW332</f>
        <v>54</v>
      </c>
      <c r="AZ332" s="705">
        <v>5</v>
      </c>
      <c r="BA332" s="705">
        <v>6</v>
      </c>
      <c r="BB332" s="702">
        <f>+AZ332+BA332</f>
        <v>11</v>
      </c>
      <c r="BD332" s="705">
        <v>1</v>
      </c>
      <c r="BE332" s="705">
        <f>BF332-BD332</f>
        <v>1</v>
      </c>
      <c r="BF332" s="702">
        <v>2</v>
      </c>
      <c r="BH332" s="705">
        <v>0</v>
      </c>
      <c r="BI332" s="702">
        <f>BJ332-BH332</f>
        <v>0</v>
      </c>
      <c r="BJ332" s="705">
        <v>0</v>
      </c>
      <c r="BL332" s="705">
        <v>0</v>
      </c>
      <c r="BM332" s="702">
        <f>BN332-BL332</f>
        <v>0</v>
      </c>
      <c r="BN332" s="705">
        <v>0</v>
      </c>
      <c r="BP332" s="705">
        <v>0</v>
      </c>
      <c r="BQ332" s="702">
        <f>BR332-BP332</f>
        <v>0</v>
      </c>
      <c r="BR332" s="705">
        <v>0</v>
      </c>
      <c r="BT332" s="705">
        <v>0</v>
      </c>
      <c r="BU332" s="702">
        <f>BV332-BT332</f>
        <v>0</v>
      </c>
      <c r="BV332" s="705">
        <v>0</v>
      </c>
      <c r="BX332" s="705">
        <v>0</v>
      </c>
      <c r="BY332" s="702">
        <f>BZ332-BX332</f>
        <v>0</v>
      </c>
      <c r="BZ332" s="705">
        <v>0</v>
      </c>
      <c r="CB332" s="705">
        <v>0</v>
      </c>
      <c r="CC332" s="702">
        <f>+CC348</f>
        <v>0</v>
      </c>
      <c r="CD332" s="702">
        <f>+CB332+CC332</f>
        <v>0</v>
      </c>
      <c r="CF332" s="705">
        <v>0</v>
      </c>
      <c r="CG332" s="702">
        <f>+CG348</f>
        <v>0</v>
      </c>
      <c r="CH332" s="702">
        <f>+CF332+CG332</f>
        <v>0</v>
      </c>
      <c r="CJ332" s="705">
        <v>0</v>
      </c>
      <c r="CK332" s="702">
        <f>+CK348</f>
        <v>0</v>
      </c>
      <c r="CL332" s="702">
        <f>+CJ332+CK332</f>
        <v>0</v>
      </c>
      <c r="CN332" s="705">
        <v>0</v>
      </c>
      <c r="CO332" s="702">
        <f>+CO348</f>
        <v>0</v>
      </c>
      <c r="CP332" s="702">
        <f>+CN332+CO332</f>
        <v>0</v>
      </c>
      <c r="CR332" s="705">
        <v>0</v>
      </c>
      <c r="CS332" s="702">
        <f>+CS348</f>
        <v>0</v>
      </c>
      <c r="CT332" s="702">
        <f>+CR332+CS332</f>
        <v>0</v>
      </c>
      <c r="CV332" s="705">
        <v>0</v>
      </c>
      <c r="CW332" s="702">
        <f>+CW348</f>
        <v>0</v>
      </c>
      <c r="CX332" s="702">
        <f>+CV332+CW332</f>
        <v>0</v>
      </c>
      <c r="CZ332" s="705">
        <v>0</v>
      </c>
      <c r="DA332" s="702">
        <f>+DA348</f>
        <v>0</v>
      </c>
      <c r="DB332" s="702">
        <f>+CZ332+DA332</f>
        <v>0</v>
      </c>
      <c r="DD332" s="705">
        <v>0</v>
      </c>
      <c r="DE332" s="702">
        <f>+DE348</f>
        <v>0</v>
      </c>
      <c r="DF332" s="702">
        <f>+DD332+DE332</f>
        <v>0</v>
      </c>
      <c r="DH332" s="705">
        <v>0</v>
      </c>
      <c r="DI332" s="702">
        <f>+DI348</f>
        <v>0</v>
      </c>
      <c r="DJ332" s="702">
        <f>+DH332+DI332</f>
        <v>0</v>
      </c>
      <c r="DL332" s="702">
        <f>+DL348</f>
        <v>0</v>
      </c>
      <c r="DM332" s="702">
        <f>+DM348</f>
        <v>0</v>
      </c>
      <c r="DN332" s="702">
        <f>+DL332+DM332</f>
        <v>0</v>
      </c>
      <c r="DP332" s="702">
        <f>+DP348</f>
        <v>0</v>
      </c>
      <c r="DQ332" s="702">
        <f>+DQ348</f>
        <v>0</v>
      </c>
      <c r="DR332" s="702">
        <f>+DP332+DQ332</f>
        <v>0</v>
      </c>
      <c r="DU332" s="407"/>
      <c r="DV332" s="407"/>
      <c r="DW332" s="407"/>
      <c r="DZ332" s="102"/>
    </row>
    <row r="333" spans="1:138">
      <c r="A333" s="102" t="s">
        <v>112</v>
      </c>
      <c r="C333" s="103" t="s">
        <v>612</v>
      </c>
      <c r="P333" s="632"/>
      <c r="Q333" s="632"/>
      <c r="R333" s="632"/>
      <c r="T333" s="632"/>
      <c r="U333" s="632"/>
      <c r="V333" s="632"/>
      <c r="X333" s="632"/>
      <c r="Y333" s="632"/>
      <c r="Z333" s="632"/>
      <c r="AB333" s="632"/>
      <c r="AC333" s="632"/>
      <c r="AD333" s="632"/>
      <c r="AE333" s="293"/>
      <c r="AF333" s="632"/>
      <c r="AG333" s="632"/>
      <c r="AH333" s="632"/>
      <c r="AJ333" s="632"/>
      <c r="AK333" s="632"/>
      <c r="AL333" s="632"/>
      <c r="AN333" s="705">
        <v>0</v>
      </c>
      <c r="AO333" s="705">
        <v>0</v>
      </c>
      <c r="AP333" s="702">
        <f>+AN333+AO333</f>
        <v>0</v>
      </c>
      <c r="AR333" s="705">
        <v>0</v>
      </c>
      <c r="AS333" s="705">
        <v>0</v>
      </c>
      <c r="AT333" s="702">
        <f>+AR333+AS333</f>
        <v>0</v>
      </c>
      <c r="AV333" s="705">
        <v>0</v>
      </c>
      <c r="AW333" s="705">
        <v>0</v>
      </c>
      <c r="AX333" s="702">
        <f>+AV333+AW333</f>
        <v>0</v>
      </c>
      <c r="AZ333" s="705">
        <v>0</v>
      </c>
      <c r="BA333" s="705">
        <v>0</v>
      </c>
      <c r="BB333" s="702">
        <f>+AZ333+BA333</f>
        <v>0</v>
      </c>
      <c r="BD333" s="705">
        <v>0</v>
      </c>
      <c r="BE333" s="705">
        <f ca="1">BF333-BD333</f>
        <v>0</v>
      </c>
      <c r="BF333" s="702">
        <f ca="1">+BD333+BE333</f>
        <v>0</v>
      </c>
      <c r="BH333" s="705">
        <f>-2-1</f>
        <v>-3</v>
      </c>
      <c r="BI333" s="702">
        <f>BJ333-BH333</f>
        <v>-1</v>
      </c>
      <c r="BJ333" s="705">
        <f>-3-1</f>
        <v>-4</v>
      </c>
      <c r="BL333" s="705">
        <v>0</v>
      </c>
      <c r="BM333" s="702">
        <f>BN333-BL333</f>
        <v>0</v>
      </c>
      <c r="BN333" s="705">
        <v>0</v>
      </c>
      <c r="BP333" s="705">
        <v>0</v>
      </c>
      <c r="BQ333" s="702">
        <f>BR333-BP333</f>
        <v>0</v>
      </c>
      <c r="BR333" s="705">
        <v>0</v>
      </c>
      <c r="BT333" s="705">
        <v>0</v>
      </c>
      <c r="BU333" s="702">
        <f>BV333-BT333</f>
        <v>0</v>
      </c>
      <c r="BV333" s="705">
        <v>0</v>
      </c>
      <c r="BX333" s="705">
        <v>0</v>
      </c>
      <c r="BY333" s="702">
        <f>BZ333-BX333</f>
        <v>0</v>
      </c>
      <c r="BZ333" s="705">
        <v>0</v>
      </c>
      <c r="CB333" s="705">
        <v>0</v>
      </c>
      <c r="CC333" s="1960">
        <v>0</v>
      </c>
      <c r="CD333" s="702">
        <f>+CB333+CC333</f>
        <v>0</v>
      </c>
      <c r="CF333" s="705">
        <v>0</v>
      </c>
      <c r="CG333" s="1960">
        <v>0</v>
      </c>
      <c r="CH333" s="702">
        <f>+CF333+CG333</f>
        <v>0</v>
      </c>
      <c r="CJ333" s="705">
        <v>0</v>
      </c>
      <c r="CK333" s="1960">
        <v>0</v>
      </c>
      <c r="CL333" s="702">
        <f>+CJ333+CK333</f>
        <v>0</v>
      </c>
      <c r="CN333" s="705">
        <v>0</v>
      </c>
      <c r="CO333" s="1960">
        <v>0</v>
      </c>
      <c r="CP333" s="702">
        <f>+CN333+CO333</f>
        <v>0</v>
      </c>
      <c r="CR333" s="705">
        <v>0</v>
      </c>
      <c r="CS333" s="1960">
        <v>0</v>
      </c>
      <c r="CT333" s="702">
        <f>+CR333+CS333</f>
        <v>0</v>
      </c>
      <c r="CV333" s="705">
        <v>0</v>
      </c>
      <c r="CW333" s="1960">
        <v>0</v>
      </c>
      <c r="CX333" s="702">
        <f>+CV333+CW333</f>
        <v>0</v>
      </c>
      <c r="CZ333" s="705">
        <v>0</v>
      </c>
      <c r="DA333" s="1960">
        <v>0</v>
      </c>
      <c r="DB333" s="702">
        <f>+CZ333+DA333</f>
        <v>0</v>
      </c>
      <c r="DD333" s="705">
        <v>0</v>
      </c>
      <c r="DE333" s="1960">
        <v>0</v>
      </c>
      <c r="DF333" s="702">
        <f>+DD333+DE333</f>
        <v>0</v>
      </c>
      <c r="DH333" s="705">
        <v>0</v>
      </c>
      <c r="DI333" s="1960">
        <v>0</v>
      </c>
      <c r="DJ333" s="702">
        <f>+DH333+DI333</f>
        <v>0</v>
      </c>
      <c r="DL333" s="1960">
        <v>0</v>
      </c>
      <c r="DM333" s="1960">
        <v>0</v>
      </c>
      <c r="DN333" s="702">
        <f>+DL333+DM333</f>
        <v>0</v>
      </c>
      <c r="DP333" s="1960">
        <v>0</v>
      </c>
      <c r="DQ333" s="1960">
        <v>0</v>
      </c>
      <c r="DR333" s="702">
        <f>+DP333+DQ333</f>
        <v>0</v>
      </c>
      <c r="DU333" s="1122"/>
      <c r="DV333" s="1122"/>
      <c r="DW333" s="407"/>
      <c r="DZ333" s="102"/>
    </row>
    <row r="334" spans="1:138">
      <c r="A334" s="102" t="s">
        <v>539</v>
      </c>
      <c r="P334" s="632"/>
      <c r="Q334" s="632"/>
      <c r="R334" s="632"/>
      <c r="T334" s="632"/>
      <c r="U334" s="632"/>
      <c r="V334" s="632"/>
      <c r="X334" s="632"/>
      <c r="Y334" s="632"/>
      <c r="Z334" s="632"/>
      <c r="AB334" s="632"/>
      <c r="AC334" s="632"/>
      <c r="AD334" s="632"/>
      <c r="AE334" s="293"/>
      <c r="AF334" s="632"/>
      <c r="AG334" s="632"/>
      <c r="AH334" s="632"/>
      <c r="AJ334" s="632"/>
      <c r="AK334" s="632"/>
      <c r="AL334" s="632"/>
      <c r="AN334" s="705"/>
      <c r="AO334" s="705"/>
      <c r="AP334" s="702"/>
      <c r="AR334" s="705">
        <v>-11</v>
      </c>
      <c r="AS334" s="705">
        <v>-6</v>
      </c>
      <c r="AT334" s="702">
        <f>+AR334+AS334</f>
        <v>-17</v>
      </c>
      <c r="AV334" s="705">
        <v>-11</v>
      </c>
      <c r="AW334" s="705">
        <f>2-13-11-11-AV334</f>
        <v>-22</v>
      </c>
      <c r="AX334" s="702">
        <f>+AV334+AW334</f>
        <v>-33</v>
      </c>
      <c r="AZ334" s="705">
        <f>-3-5</f>
        <v>-8</v>
      </c>
      <c r="BA334" s="705">
        <f>-21-3-8-7-AZ334</f>
        <v>-31</v>
      </c>
      <c r="BB334" s="702">
        <f>+AZ334+BA334</f>
        <v>-39</v>
      </c>
      <c r="BD334" s="705">
        <v>-2</v>
      </c>
      <c r="BE334" s="705">
        <f>BF334-BD334</f>
        <v>-17</v>
      </c>
      <c r="BF334" s="702">
        <f>-16-3</f>
        <v>-19</v>
      </c>
      <c r="BH334" s="705">
        <f>-4-6</f>
        <v>-10</v>
      </c>
      <c r="BI334" s="702">
        <f>BJ334-BH334</f>
        <v>-32</v>
      </c>
      <c r="BJ334" s="705">
        <f>-30-12</f>
        <v>-42</v>
      </c>
      <c r="BL334" s="705">
        <v>-2</v>
      </c>
      <c r="BM334" s="702">
        <f>BN334-BL334</f>
        <v>-7</v>
      </c>
      <c r="BN334" s="705">
        <f>-1-8</f>
        <v>-9</v>
      </c>
      <c r="BP334" s="705">
        <v>-2</v>
      </c>
      <c r="BQ334" s="702">
        <f>BR334-BP334</f>
        <v>-8</v>
      </c>
      <c r="BR334" s="705">
        <v>-10</v>
      </c>
      <c r="BT334" s="705">
        <v>-4</v>
      </c>
      <c r="BU334" s="702">
        <f>BV334-BT334</f>
        <v>-1</v>
      </c>
      <c r="BV334" s="705">
        <v>-5</v>
      </c>
      <c r="BX334" s="705">
        <v>-4</v>
      </c>
      <c r="BY334" s="702">
        <f>BZ334-BX334</f>
        <v>-1</v>
      </c>
      <c r="BZ334" s="705">
        <v>-5</v>
      </c>
      <c r="CB334" s="705">
        <v>0</v>
      </c>
      <c r="CC334" s="702">
        <f>+CC353</f>
        <v>0</v>
      </c>
      <c r="CD334" s="702">
        <f>+CB334+CC334</f>
        <v>0</v>
      </c>
      <c r="CF334" s="705">
        <v>0</v>
      </c>
      <c r="CG334" s="702">
        <f>+CG353</f>
        <v>0</v>
      </c>
      <c r="CH334" s="702">
        <f>+CF334+CG334</f>
        <v>0</v>
      </c>
      <c r="CJ334" s="705">
        <v>0</v>
      </c>
      <c r="CK334" s="702">
        <f>+CK353</f>
        <v>0</v>
      </c>
      <c r="CL334" s="702">
        <f>+CJ334+CK334</f>
        <v>0</v>
      </c>
      <c r="CN334" s="705">
        <v>0</v>
      </c>
      <c r="CO334" s="702">
        <f>+CO353</f>
        <v>0</v>
      </c>
      <c r="CP334" s="702">
        <f>+CN334+CO334</f>
        <v>0</v>
      </c>
      <c r="CR334" s="705">
        <v>0</v>
      </c>
      <c r="CS334" s="702">
        <f>+CS353</f>
        <v>0</v>
      </c>
      <c r="CT334" s="702">
        <f>+CR334+CS334</f>
        <v>0</v>
      </c>
      <c r="CV334" s="705">
        <v>0</v>
      </c>
      <c r="CW334" s="702">
        <f>+CW353</f>
        <v>0</v>
      </c>
      <c r="CX334" s="702">
        <f>+CV334+CW334</f>
        <v>0</v>
      </c>
      <c r="CZ334" s="705">
        <v>0</v>
      </c>
      <c r="DA334" s="702">
        <f>+DA353</f>
        <v>0</v>
      </c>
      <c r="DB334" s="702">
        <f>+CZ334+DA334</f>
        <v>0</v>
      </c>
      <c r="DD334" s="705">
        <v>0</v>
      </c>
      <c r="DE334" s="702">
        <f>+DE353</f>
        <v>0</v>
      </c>
      <c r="DF334" s="702">
        <f>+DD334+DE334</f>
        <v>0</v>
      </c>
      <c r="DH334" s="705">
        <v>0</v>
      </c>
      <c r="DI334" s="702">
        <f>+DI353</f>
        <v>0</v>
      </c>
      <c r="DJ334" s="702">
        <f>+DH334+DI334</f>
        <v>0</v>
      </c>
      <c r="DL334" s="702">
        <f>+DL353</f>
        <v>0</v>
      </c>
      <c r="DM334" s="702">
        <f>+DM353</f>
        <v>0</v>
      </c>
      <c r="DN334" s="702">
        <f>+DL334+DM334</f>
        <v>0</v>
      </c>
      <c r="DP334" s="702">
        <f>+DP353</f>
        <v>0</v>
      </c>
      <c r="DQ334" s="702">
        <f>+DQ353</f>
        <v>0</v>
      </c>
      <c r="DR334" s="702">
        <f>+DP334+DQ334</f>
        <v>0</v>
      </c>
      <c r="DU334" s="407"/>
      <c r="DV334" s="407"/>
      <c r="DW334" s="407"/>
      <c r="DZ334" s="102"/>
    </row>
    <row r="335" spans="1:138">
      <c r="A335" s="102" t="s">
        <v>66</v>
      </c>
      <c r="C335" s="103" t="s">
        <v>612</v>
      </c>
      <c r="P335" s="632"/>
      <c r="Q335" s="632"/>
      <c r="R335" s="632"/>
      <c r="T335" s="632"/>
      <c r="U335" s="632"/>
      <c r="V335" s="632"/>
      <c r="X335" s="632"/>
      <c r="Y335" s="632"/>
      <c r="Z335" s="632"/>
      <c r="AB335" s="632"/>
      <c r="AC335" s="632"/>
      <c r="AD335" s="632"/>
      <c r="AE335" s="293"/>
      <c r="AF335" s="632"/>
      <c r="AG335" s="632"/>
      <c r="AH335" s="632"/>
      <c r="AJ335" s="632"/>
      <c r="AK335" s="632"/>
      <c r="AL335" s="632"/>
      <c r="AN335" s="702">
        <f>+AN336-AN331-AN332-AN333</f>
        <v>0</v>
      </c>
      <c r="AO335" s="702">
        <f>+AO336-AO331-AO332-AO333</f>
        <v>0</v>
      </c>
      <c r="AP335" s="702">
        <f>+AN335+AO335</f>
        <v>0</v>
      </c>
      <c r="AR335" s="702">
        <f>+AR336-AR331-AR332-AR333-AR334</f>
        <v>0</v>
      </c>
      <c r="AS335" s="702">
        <f>+AS336-AS331-AS332-AS333-AS334</f>
        <v>0</v>
      </c>
      <c r="AT335" s="702">
        <f>+AR335+AS335</f>
        <v>0</v>
      </c>
      <c r="AV335" s="702">
        <f>+AV336-AV331-AV332-AV333-AV334</f>
        <v>0</v>
      </c>
      <c r="AW335" s="702">
        <f>+AW336-AW331-AW332-AW333-AW334</f>
        <v>0</v>
      </c>
      <c r="AX335" s="702">
        <f>+AV335+AW335</f>
        <v>0</v>
      </c>
      <c r="AZ335" s="702">
        <f>+AZ336-AZ331-AZ332-AZ333-AZ334</f>
        <v>-5</v>
      </c>
      <c r="BA335" s="702">
        <f>+BA336-BA331-BA332-BA333-BA334</f>
        <v>0</v>
      </c>
      <c r="BB335" s="702">
        <f>+AZ335+BA335</f>
        <v>-5</v>
      </c>
      <c r="BD335" s="702">
        <f>+BD336-BD331-BD332-BD333-BD334</f>
        <v>-5</v>
      </c>
      <c r="BE335" s="702">
        <f ca="1">+BE336-BE331-BE332-BE333-BE334</f>
        <v>0</v>
      </c>
      <c r="BF335" s="702">
        <f ca="1">+BD335+BE335</f>
        <v>-5</v>
      </c>
      <c r="BH335" s="702">
        <f>+BH336-BH331-BH332-BH333-BH334</f>
        <v>0</v>
      </c>
      <c r="BI335" s="702">
        <f>+BI336-BI331-BI332-BI333-BI334</f>
        <v>0</v>
      </c>
      <c r="BJ335" s="702">
        <f>+BH335+BI335</f>
        <v>0</v>
      </c>
      <c r="BL335" s="702">
        <f>+BL336-BL331-BL332-BL333-BL334</f>
        <v>0</v>
      </c>
      <c r="BM335" s="702">
        <f>+BM336-BM331-BM332-BM333-BM334</f>
        <v>0</v>
      </c>
      <c r="BN335" s="702">
        <f>+BL335+BM335</f>
        <v>0</v>
      </c>
      <c r="BP335" s="702">
        <f>+BP336-BP331-BP332-BP333-BP334</f>
        <v>0</v>
      </c>
      <c r="BQ335" s="702">
        <f>+BQ336-BQ331-BQ332-BQ333-BQ334</f>
        <v>0</v>
      </c>
      <c r="BR335" s="702">
        <f>+BP335+BQ335</f>
        <v>0</v>
      </c>
      <c r="BT335" s="702">
        <f>+BT336-BT331-BT332-BT333-BT334</f>
        <v>0</v>
      </c>
      <c r="BU335" s="702">
        <f>+BU336-BU331-BU332-BU333-BU334</f>
        <v>0</v>
      </c>
      <c r="BV335" s="702">
        <f>+BT335+BU335</f>
        <v>0</v>
      </c>
      <c r="BX335" s="702">
        <f>+BX336-BX331-BX332-BX333-BX334</f>
        <v>3</v>
      </c>
      <c r="BY335" s="702">
        <f>+BY336-BY331-BY332-BY333-BY334</f>
        <v>0</v>
      </c>
      <c r="BZ335" s="702">
        <f>+BX335+BY335</f>
        <v>3</v>
      </c>
      <c r="CB335" s="702">
        <f>+CB336-CB331-CB332-CB333-CB334</f>
        <v>0</v>
      </c>
      <c r="CC335" s="1960">
        <v>0</v>
      </c>
      <c r="CD335" s="702">
        <f>+CB335+CC335</f>
        <v>0</v>
      </c>
      <c r="CF335" s="702">
        <f>+CF336-CF331-CF332-CF333-CF334</f>
        <v>-3</v>
      </c>
      <c r="CG335" s="1960">
        <v>0</v>
      </c>
      <c r="CH335" s="702">
        <f>+CF335+CG335</f>
        <v>-3</v>
      </c>
      <c r="CJ335" s="702">
        <f>+CJ336-CJ331-CJ332-CJ333-CJ334</f>
        <v>0</v>
      </c>
      <c r="CK335" s="1960">
        <v>0</v>
      </c>
      <c r="CL335" s="702">
        <f>+CJ335+CK335</f>
        <v>0</v>
      </c>
      <c r="CN335" s="702">
        <f>+CN336-CN331-CN332-CN333-CN334</f>
        <v>-9</v>
      </c>
      <c r="CO335" s="1960">
        <v>0</v>
      </c>
      <c r="CP335" s="702">
        <f>+CN335+CO335</f>
        <v>-9</v>
      </c>
      <c r="CR335" s="702">
        <f>+CR336-CR331-CR332-CR333-CR334</f>
        <v>2</v>
      </c>
      <c r="CS335" s="1960">
        <v>0</v>
      </c>
      <c r="CT335" s="702">
        <f>+CR335+CS335</f>
        <v>2</v>
      </c>
      <c r="CV335" s="702">
        <f>+CV336-CV331-CV332-CV333-CV334</f>
        <v>0</v>
      </c>
      <c r="CW335" s="1960">
        <v>0</v>
      </c>
      <c r="CX335" s="702">
        <f>+CV335+CW335</f>
        <v>0</v>
      </c>
      <c r="CZ335" s="702">
        <f>+CZ336-CZ331-CZ332-CZ333-CZ334</f>
        <v>0</v>
      </c>
      <c r="DA335" s="1960">
        <v>0</v>
      </c>
      <c r="DB335" s="702">
        <f>+CZ335+DA335</f>
        <v>0</v>
      </c>
      <c r="DD335" s="702">
        <f>+DD336-DD331-DD332-DD333-DD334</f>
        <v>0</v>
      </c>
      <c r="DE335" s="1960">
        <v>0</v>
      </c>
      <c r="DF335" s="702">
        <f>+DD335+DE335</f>
        <v>0</v>
      </c>
      <c r="DH335" s="702">
        <f>+DH336-DH331-DH332-DH333-DH334</f>
        <v>0</v>
      </c>
      <c r="DI335" s="1960">
        <v>0</v>
      </c>
      <c r="DJ335" s="702">
        <f>+DH335+DI335</f>
        <v>0</v>
      </c>
      <c r="DL335" s="1960">
        <v>0</v>
      </c>
      <c r="DM335" s="1960">
        <v>0</v>
      </c>
      <c r="DN335" s="702">
        <f>+DL335+DM335</f>
        <v>0</v>
      </c>
      <c r="DP335" s="1960">
        <v>0</v>
      </c>
      <c r="DQ335" s="1960">
        <v>0</v>
      </c>
      <c r="DR335" s="702">
        <f>+DP335+DQ335</f>
        <v>0</v>
      </c>
      <c r="DU335" s="1122"/>
      <c r="DV335" s="1122"/>
      <c r="DW335" s="407"/>
      <c r="DZ335" s="102"/>
    </row>
    <row r="336" spans="1:138">
      <c r="A336" s="102" t="s">
        <v>67</v>
      </c>
      <c r="C336" s="103" t="s">
        <v>612</v>
      </c>
      <c r="P336" s="632"/>
      <c r="Q336" s="632"/>
      <c r="R336" s="632"/>
      <c r="T336" s="632"/>
      <c r="U336" s="632"/>
      <c r="V336" s="632"/>
      <c r="X336" s="632"/>
      <c r="Y336" s="632"/>
      <c r="Z336" s="632"/>
      <c r="AB336" s="632"/>
      <c r="AC336" s="632"/>
      <c r="AD336" s="632"/>
      <c r="AE336" s="293"/>
      <c r="AF336" s="632"/>
      <c r="AG336" s="632"/>
      <c r="AH336" s="632"/>
      <c r="AJ336" s="632"/>
      <c r="AK336" s="632"/>
      <c r="AL336" s="632"/>
      <c r="AN336" s="702">
        <f>AN106</f>
        <v>0</v>
      </c>
      <c r="AO336" s="702">
        <f>AO106</f>
        <v>133</v>
      </c>
      <c r="AP336" s="702">
        <f>AP106</f>
        <v>133</v>
      </c>
      <c r="AR336" s="702">
        <f>AR106</f>
        <v>122</v>
      </c>
      <c r="AS336" s="702">
        <f>AS106</f>
        <v>116</v>
      </c>
      <c r="AT336" s="702">
        <f>AT106</f>
        <v>116</v>
      </c>
      <c r="AV336" s="702">
        <f>AV106</f>
        <v>159</v>
      </c>
      <c r="AW336" s="702">
        <f>AW106</f>
        <v>137</v>
      </c>
      <c r="AX336" s="702">
        <f>AX106</f>
        <v>137</v>
      </c>
      <c r="AZ336" s="702">
        <f>AZ106</f>
        <v>129</v>
      </c>
      <c r="BA336" s="702">
        <f>BA106</f>
        <v>104</v>
      </c>
      <c r="BB336" s="702">
        <f>BB106</f>
        <v>104</v>
      </c>
      <c r="BD336" s="702">
        <f>BD106</f>
        <v>98</v>
      </c>
      <c r="BE336" s="702">
        <f>BE106</f>
        <v>82</v>
      </c>
      <c r="BF336" s="702">
        <f>BF106</f>
        <v>82</v>
      </c>
      <c r="BH336" s="702">
        <f>BH106</f>
        <v>69</v>
      </c>
      <c r="BI336" s="702">
        <f>BI106</f>
        <v>36</v>
      </c>
      <c r="BJ336" s="702">
        <f>BJ106</f>
        <v>36</v>
      </c>
      <c r="BL336" s="702">
        <f>BL106</f>
        <v>34</v>
      </c>
      <c r="BM336" s="702">
        <f>BM106</f>
        <v>27</v>
      </c>
      <c r="BN336" s="702">
        <f>BN106</f>
        <v>27</v>
      </c>
      <c r="BP336" s="702">
        <f>BP106</f>
        <v>25</v>
      </c>
      <c r="BQ336" s="702">
        <f>BQ106</f>
        <v>17</v>
      </c>
      <c r="BR336" s="702">
        <f>BR106</f>
        <v>17</v>
      </c>
      <c r="BT336" s="702">
        <f>BT106</f>
        <v>13</v>
      </c>
      <c r="BU336" s="702">
        <f>BU106</f>
        <v>12</v>
      </c>
      <c r="BV336" s="702">
        <f>BV106</f>
        <v>12</v>
      </c>
      <c r="BX336" s="702">
        <f>BX106</f>
        <v>11</v>
      </c>
      <c r="BY336" s="702">
        <f>BY106</f>
        <v>10</v>
      </c>
      <c r="BZ336" s="702">
        <f>BZ106</f>
        <v>10</v>
      </c>
      <c r="CB336" s="702">
        <f>CB106</f>
        <v>10</v>
      </c>
      <c r="CC336" s="702">
        <f>+SUM(CC331:CC335)</f>
        <v>10</v>
      </c>
      <c r="CD336" s="702">
        <f>+CC336</f>
        <v>10</v>
      </c>
      <c r="CF336" s="702">
        <f>CF106</f>
        <v>7</v>
      </c>
      <c r="CG336" s="702">
        <f>+SUM(CG331:CG335)</f>
        <v>7</v>
      </c>
      <c r="CH336" s="702">
        <f>+CG336</f>
        <v>7</v>
      </c>
      <c r="CJ336" s="702">
        <f>CJ106</f>
        <v>7</v>
      </c>
      <c r="CK336" s="702">
        <f>+SUM(CK331:CK335)</f>
        <v>7</v>
      </c>
      <c r="CL336" s="702">
        <f>+CK336</f>
        <v>7</v>
      </c>
      <c r="CN336" s="702">
        <f>CN106</f>
        <v>-2</v>
      </c>
      <c r="CO336" s="702">
        <f>+SUM(CO331:CO335)</f>
        <v>-2</v>
      </c>
      <c r="CP336" s="702">
        <f>+CO336</f>
        <v>-2</v>
      </c>
      <c r="CR336" s="702">
        <f>CR106</f>
        <v>0</v>
      </c>
      <c r="CS336" s="702">
        <f>+SUM(CS331:CS335)</f>
        <v>0</v>
      </c>
      <c r="CT336" s="702">
        <f>+CS336</f>
        <v>0</v>
      </c>
      <c r="CV336" s="702">
        <f>CV106</f>
        <v>0</v>
      </c>
      <c r="CW336" s="702">
        <f>+SUM(CW331:CW335)</f>
        <v>0</v>
      </c>
      <c r="CX336" s="702">
        <f>+CW336</f>
        <v>0</v>
      </c>
      <c r="CZ336" s="702">
        <f>CZ106</f>
        <v>0</v>
      </c>
      <c r="DA336" s="702">
        <f>+SUM(DA331:DA335)</f>
        <v>0</v>
      </c>
      <c r="DB336" s="702">
        <f>+DA336</f>
        <v>0</v>
      </c>
      <c r="DD336" s="702">
        <f>DD106</f>
        <v>0</v>
      </c>
      <c r="DE336" s="702">
        <f>+SUM(DE331:DE335)</f>
        <v>0</v>
      </c>
      <c r="DF336" s="702">
        <f>+DE336</f>
        <v>0</v>
      </c>
      <c r="DH336" s="702">
        <f>DH106</f>
        <v>0</v>
      </c>
      <c r="DI336" s="702">
        <f>+SUM(DI331:DI335)</f>
        <v>0</v>
      </c>
      <c r="DJ336" s="702">
        <f>+DI336</f>
        <v>0</v>
      </c>
      <c r="DL336" s="702">
        <f>+SUM(DL331:DL335)</f>
        <v>0</v>
      </c>
      <c r="DM336" s="702">
        <f>+SUM(DM331:DM335)</f>
        <v>0</v>
      </c>
      <c r="DN336" s="702">
        <f>+DM336</f>
        <v>0</v>
      </c>
      <c r="DP336" s="702">
        <f>+SUM(DP331:DP335)</f>
        <v>0</v>
      </c>
      <c r="DQ336" s="702">
        <f>+SUM(DQ331:DQ335)</f>
        <v>0</v>
      </c>
      <c r="DR336" s="702">
        <f>+DQ336</f>
        <v>0</v>
      </c>
      <c r="DU336" s="407"/>
      <c r="DV336" s="407"/>
      <c r="DW336" s="407"/>
      <c r="DZ336" s="102"/>
    </row>
    <row r="337" spans="1:138">
      <c r="P337" s="632"/>
      <c r="Q337" s="632"/>
      <c r="R337" s="632"/>
      <c r="T337" s="632"/>
      <c r="U337" s="632"/>
      <c r="V337" s="632"/>
      <c r="X337" s="632"/>
      <c r="Y337" s="632"/>
      <c r="Z337" s="632"/>
      <c r="AB337" s="632"/>
      <c r="AC337" s="632"/>
      <c r="AD337" s="632"/>
      <c r="AE337" s="293"/>
      <c r="AF337" s="632"/>
      <c r="AG337" s="632"/>
      <c r="AH337" s="632"/>
      <c r="AJ337" s="632"/>
      <c r="AK337" s="632"/>
      <c r="AL337" s="632"/>
      <c r="AN337" s="632"/>
      <c r="AO337" s="632"/>
      <c r="AP337" s="632"/>
      <c r="AR337" s="632"/>
      <c r="AS337" s="632"/>
      <c r="AT337" s="632"/>
      <c r="AV337" s="632"/>
      <c r="AW337" s="632"/>
      <c r="AX337" s="632"/>
      <c r="AZ337" s="632"/>
      <c r="BA337" s="733"/>
      <c r="BB337" s="632"/>
      <c r="BD337" s="632"/>
      <c r="BE337" s="733"/>
      <c r="BF337" s="632"/>
      <c r="BH337" s="740">
        <f>SUM(BH331:BH335)</f>
        <v>69</v>
      </c>
      <c r="BI337" s="740">
        <f>SUM(BI331:BI335)</f>
        <v>36</v>
      </c>
      <c r="BJ337" s="740">
        <f>SUM(BJ331:BJ335)</f>
        <v>36</v>
      </c>
      <c r="BL337" s="740">
        <f>SUM(BL331:BL335)</f>
        <v>34</v>
      </c>
      <c r="BM337" s="740">
        <f>SUM(BM331:BM335)</f>
        <v>27</v>
      </c>
      <c r="BN337" s="740">
        <f>SUM(BN331:BN335)</f>
        <v>27</v>
      </c>
      <c r="BP337" s="740">
        <f>SUM(BP331:BP335)</f>
        <v>25</v>
      </c>
      <c r="BQ337" s="740">
        <f>SUM(BQ331:BQ335)</f>
        <v>17</v>
      </c>
      <c r="BR337" s="740">
        <f>SUM(BR331:BR335)</f>
        <v>17</v>
      </c>
      <c r="BT337" s="740">
        <f>SUM(BT331:BT335)</f>
        <v>13</v>
      </c>
      <c r="BU337" s="740">
        <f>SUM(BU331:BU335)</f>
        <v>12</v>
      </c>
      <c r="BV337" s="740">
        <f>SUM(BV331:BV335)</f>
        <v>12</v>
      </c>
      <c r="BX337" s="740">
        <f>SUM(BX331:BX335)</f>
        <v>11</v>
      </c>
      <c r="BY337" s="740">
        <f>SUM(BY331:BY335)</f>
        <v>10</v>
      </c>
      <c r="BZ337" s="740">
        <f>SUM(BZ331:BZ335)</f>
        <v>10</v>
      </c>
      <c r="CB337" s="740">
        <f>SUM(CB331:CB335)</f>
        <v>10</v>
      </c>
      <c r="CC337" s="733"/>
      <c r="CD337" s="632"/>
      <c r="CF337" s="740">
        <f>SUM(CF331:CF335)</f>
        <v>7</v>
      </c>
      <c r="CG337" s="733"/>
      <c r="CH337" s="632"/>
      <c r="CJ337" s="740">
        <f>SUM(CJ331:CJ335)</f>
        <v>7</v>
      </c>
      <c r="CK337" s="733"/>
      <c r="CL337" s="632"/>
      <c r="CN337" s="740">
        <f>SUM(CN331:CN335)</f>
        <v>-2</v>
      </c>
      <c r="CO337" s="733"/>
      <c r="CP337" s="632"/>
      <c r="CR337" s="740">
        <f>SUM(CR331:CR335)</f>
        <v>0</v>
      </c>
      <c r="CS337" s="733"/>
      <c r="CT337" s="632"/>
      <c r="CV337" s="740">
        <f>SUM(CV331:CV335)</f>
        <v>0</v>
      </c>
      <c r="CW337" s="733"/>
      <c r="CX337" s="632"/>
      <c r="CZ337" s="740">
        <f>SUM(CZ331:CZ335)</f>
        <v>0</v>
      </c>
      <c r="DA337" s="733"/>
      <c r="DB337" s="632"/>
      <c r="DD337" s="740">
        <f>SUM(DD331:DD335)</f>
        <v>0</v>
      </c>
      <c r="DE337" s="733"/>
      <c r="DF337" s="632"/>
      <c r="DH337" s="740">
        <f>SUM(DH331:DH335)</f>
        <v>0</v>
      </c>
      <c r="DI337" s="733"/>
      <c r="DJ337" s="632"/>
      <c r="DL337" s="733"/>
      <c r="DM337" s="733"/>
      <c r="DN337" s="632"/>
      <c r="DP337" s="733"/>
      <c r="DQ337" s="733"/>
      <c r="DR337" s="632"/>
      <c r="DU337" s="1115"/>
      <c r="DV337" s="1115"/>
      <c r="DW337" s="1125"/>
      <c r="DZ337" s="102"/>
    </row>
    <row r="338" spans="1:138">
      <c r="A338" s="289" t="s">
        <v>110</v>
      </c>
      <c r="P338" s="632"/>
      <c r="Q338" s="632"/>
      <c r="R338" s="632"/>
      <c r="T338" s="632"/>
      <c r="U338" s="632"/>
      <c r="V338" s="632"/>
      <c r="X338" s="632"/>
      <c r="Y338" s="632"/>
      <c r="Z338" s="632"/>
      <c r="AB338" s="632"/>
      <c r="AC338" s="632"/>
      <c r="AD338" s="632"/>
      <c r="AE338" s="293"/>
      <c r="AF338" s="632"/>
      <c r="AG338" s="632"/>
      <c r="AH338" s="632"/>
      <c r="AJ338" s="632"/>
      <c r="AK338" s="632"/>
      <c r="AL338" s="632"/>
      <c r="AN338" s="632"/>
      <c r="AO338" s="632"/>
      <c r="AP338" s="632"/>
      <c r="AR338" s="632"/>
      <c r="AS338" s="632"/>
      <c r="AT338" s="632"/>
      <c r="AV338" s="632"/>
      <c r="AW338" s="632"/>
      <c r="AX338" s="632"/>
      <c r="AZ338" s="632"/>
      <c r="BA338" s="733"/>
      <c r="BB338" s="632"/>
      <c r="BD338" s="632"/>
      <c r="BE338" s="733"/>
      <c r="BF338" s="632"/>
      <c r="BH338" s="632"/>
      <c r="BI338" s="733"/>
      <c r="BJ338" s="632"/>
      <c r="BL338" s="733"/>
      <c r="BM338" s="733"/>
      <c r="BN338" s="632"/>
      <c r="BP338" s="733"/>
      <c r="BQ338" s="733"/>
      <c r="BR338" s="632"/>
      <c r="BT338" s="733"/>
      <c r="BU338" s="733"/>
      <c r="BV338" s="632"/>
      <c r="BX338" s="733"/>
      <c r="BY338" s="733"/>
      <c r="BZ338" s="632"/>
      <c r="CB338" s="733"/>
      <c r="CC338" s="733"/>
      <c r="CD338" s="632"/>
      <c r="CF338" s="733"/>
      <c r="CG338" s="733"/>
      <c r="CH338" s="632"/>
      <c r="CJ338" s="733"/>
      <c r="CK338" s="733"/>
      <c r="CL338" s="632"/>
      <c r="CN338" s="733"/>
      <c r="CO338" s="733"/>
      <c r="CP338" s="632"/>
      <c r="CR338" s="733"/>
      <c r="CS338" s="733"/>
      <c r="CT338" s="632"/>
      <c r="CV338" s="733"/>
      <c r="CW338" s="733"/>
      <c r="CX338" s="632"/>
      <c r="CZ338" s="733"/>
      <c r="DA338" s="733"/>
      <c r="DB338" s="632"/>
      <c r="DD338" s="733"/>
      <c r="DE338" s="733"/>
      <c r="DF338" s="632"/>
      <c r="DH338" s="733"/>
      <c r="DI338" s="733"/>
      <c r="DJ338" s="632"/>
      <c r="DL338" s="733"/>
      <c r="DM338" s="733"/>
      <c r="DN338" s="632"/>
      <c r="DP338" s="733"/>
      <c r="DQ338" s="733"/>
      <c r="DR338" s="632"/>
      <c r="DU338" s="1115"/>
      <c r="DV338" s="1115"/>
      <c r="DW338" s="1125"/>
      <c r="DZ338" s="102"/>
    </row>
    <row r="339" spans="1:138">
      <c r="A339" s="102" t="s">
        <v>62</v>
      </c>
      <c r="C339" s="103" t="s">
        <v>63</v>
      </c>
      <c r="P339" s="632"/>
      <c r="Q339" s="632"/>
      <c r="R339" s="632"/>
      <c r="T339" s="632"/>
      <c r="U339" s="632"/>
      <c r="V339" s="632"/>
      <c r="X339" s="632"/>
      <c r="Y339" s="632"/>
      <c r="Z339" s="632"/>
      <c r="AB339" s="632"/>
      <c r="AC339" s="632"/>
      <c r="AD339" s="632"/>
      <c r="AE339" s="293"/>
      <c r="AF339" s="632"/>
      <c r="AG339" s="632"/>
      <c r="AH339" s="632"/>
      <c r="AJ339" s="632"/>
      <c r="AK339" s="632"/>
      <c r="AL339" s="632"/>
      <c r="AN339" s="741">
        <v>0</v>
      </c>
      <c r="AO339" s="735">
        <f>+AN344</f>
        <v>0</v>
      </c>
      <c r="AP339" s="735">
        <f>+AN339</f>
        <v>0</v>
      </c>
      <c r="AR339" s="735">
        <f>+AO344</f>
        <v>1.6595040000000001</v>
      </c>
      <c r="AS339" s="735">
        <f>+AR344</f>
        <v>1.5258910000000001</v>
      </c>
      <c r="AT339" s="735">
        <f>+AR339</f>
        <v>1.6595040000000001</v>
      </c>
      <c r="AV339" s="735">
        <f>+AS344</f>
        <v>1.4505840000000001</v>
      </c>
      <c r="AW339" s="735">
        <f>+AV344</f>
        <v>3.4999290000000003</v>
      </c>
      <c r="AX339" s="735">
        <f>+AV339</f>
        <v>1.4505840000000001</v>
      </c>
      <c r="AZ339" s="735">
        <f>+AW344</f>
        <v>2.9354890000000005</v>
      </c>
      <c r="BA339" s="735">
        <f>AZ344</f>
        <v>2.5613970000000008</v>
      </c>
      <c r="BB339" s="735">
        <f>+AZ339</f>
        <v>2.9354890000000005</v>
      </c>
      <c r="BC339" s="742"/>
      <c r="BD339" s="735">
        <f>+BA344</f>
        <v>2.150614</v>
      </c>
      <c r="BE339" s="735">
        <f>+BD344</f>
        <v>1.9859399999999998</v>
      </c>
      <c r="BF339" s="735">
        <f>+BD339</f>
        <v>2.150614</v>
      </c>
      <c r="BH339" s="735">
        <f>+BE344</f>
        <v>1.7595219999999998</v>
      </c>
      <c r="BI339" s="735">
        <f>+BH344</f>
        <v>1.0620719999999999</v>
      </c>
      <c r="BJ339" s="735">
        <f>+BH339</f>
        <v>1.7595219999999998</v>
      </c>
      <c r="BK339" s="742"/>
      <c r="BL339" s="735">
        <f>+BI344</f>
        <v>0.60420599999999991</v>
      </c>
      <c r="BM339" s="735">
        <f>+BL344</f>
        <v>0.58431999999999995</v>
      </c>
      <c r="BN339" s="735">
        <f>+BL339</f>
        <v>0.60420599999999991</v>
      </c>
      <c r="BP339" s="735">
        <f>+BM344</f>
        <v>0.49448399999999992</v>
      </c>
      <c r="BQ339" s="735">
        <f>+BP344</f>
        <v>0.47100799999999993</v>
      </c>
      <c r="BR339" s="735">
        <f>+BP339</f>
        <v>0.49448399999999992</v>
      </c>
      <c r="BT339" s="735">
        <f>+BQ344</f>
        <v>0.37635799999999997</v>
      </c>
      <c r="BU339" s="735">
        <f>+BT344</f>
        <v>0.18015300000000001</v>
      </c>
      <c r="BV339" s="735">
        <f>+BT339</f>
        <v>0.37635799999999997</v>
      </c>
      <c r="BX339" s="735">
        <f>+BU344</f>
        <v>0.170846</v>
      </c>
      <c r="BY339" s="735">
        <f>+BX344</f>
        <v>0.15287899999999999</v>
      </c>
      <c r="BZ339" s="735">
        <f>+BX339</f>
        <v>0.170846</v>
      </c>
      <c r="CB339" s="735">
        <f>+BY344</f>
        <v>0.13883499999999999</v>
      </c>
      <c r="CC339" s="735">
        <f>+CB344</f>
        <v>0.132296</v>
      </c>
      <c r="CD339" s="735">
        <f>+CB339</f>
        <v>0.13883499999999999</v>
      </c>
      <c r="CF339" s="735">
        <f>+CC344</f>
        <v>0.124968</v>
      </c>
      <c r="CG339" s="735">
        <f>+CF344</f>
        <v>0.10598399999999999</v>
      </c>
      <c r="CH339" s="735">
        <f>+CF339</f>
        <v>0.124968</v>
      </c>
      <c r="CJ339" s="735">
        <f>+CG344</f>
        <v>0.10598399999999999</v>
      </c>
      <c r="CK339" s="1440">
        <f>+CJ344</f>
        <v>0.105724</v>
      </c>
      <c r="CL339" s="1440">
        <f>+CJ339</f>
        <v>0.10598399999999999</v>
      </c>
      <c r="CM339" s="1009"/>
      <c r="CN339" s="1440">
        <v>0.10598399999999999</v>
      </c>
      <c r="CO339" s="1440">
        <f>+CN344</f>
        <v>0.10050099999999999</v>
      </c>
      <c r="CP339" s="735">
        <f>+CN339</f>
        <v>0.10598399999999999</v>
      </c>
      <c r="CR339" s="1440">
        <v>0.10598399999999999</v>
      </c>
      <c r="CS339" s="1440">
        <f>+CR344</f>
        <v>0</v>
      </c>
      <c r="CT339" s="735">
        <f>+CR339</f>
        <v>0.10598399999999999</v>
      </c>
      <c r="CV339" s="1440">
        <v>0.10598399999999999</v>
      </c>
      <c r="CW339" s="1440">
        <f>+CV344</f>
        <v>0</v>
      </c>
      <c r="CX339" s="735">
        <f>+CV339</f>
        <v>0.10598399999999999</v>
      </c>
      <c r="CZ339" s="1441">
        <v>0.10598399999999999</v>
      </c>
      <c r="DA339" s="1440">
        <f>+CZ344</f>
        <v>0</v>
      </c>
      <c r="DB339" s="735">
        <f>+CZ339</f>
        <v>0.10598399999999999</v>
      </c>
      <c r="DD339" s="741">
        <v>0</v>
      </c>
      <c r="DE339" s="1440">
        <f>+DD344</f>
        <v>0</v>
      </c>
      <c r="DF339" s="735">
        <f>+DD339</f>
        <v>0</v>
      </c>
      <c r="DH339" s="741">
        <v>0</v>
      </c>
      <c r="DI339" s="735">
        <f>+DH344</f>
        <v>0</v>
      </c>
      <c r="DJ339" s="735">
        <f>+DH339</f>
        <v>0</v>
      </c>
      <c r="DL339" s="735">
        <f>+DJ344</f>
        <v>0</v>
      </c>
      <c r="DM339" s="735">
        <f>+DL344</f>
        <v>0</v>
      </c>
      <c r="DN339" s="735">
        <f>+DL339</f>
        <v>0</v>
      </c>
      <c r="DP339" s="735">
        <f>+DN344</f>
        <v>0</v>
      </c>
      <c r="DQ339" s="735">
        <f>+DP344</f>
        <v>0</v>
      </c>
      <c r="DR339" s="735">
        <f>+DP339</f>
        <v>0</v>
      </c>
      <c r="DU339" s="1116"/>
      <c r="DV339" s="1116"/>
      <c r="DW339" s="1116"/>
      <c r="DZ339" s="102"/>
    </row>
    <row r="340" spans="1:138">
      <c r="A340" s="102" t="s">
        <v>64</v>
      </c>
      <c r="C340" s="103" t="s">
        <v>63</v>
      </c>
      <c r="P340" s="632"/>
      <c r="Q340" s="632"/>
      <c r="R340" s="632"/>
      <c r="T340" s="632"/>
      <c r="U340" s="632"/>
      <c r="V340" s="632"/>
      <c r="X340" s="632"/>
      <c r="Y340" s="632"/>
      <c r="Z340" s="632"/>
      <c r="AB340" s="632"/>
      <c r="AC340" s="632"/>
      <c r="AD340" s="632"/>
      <c r="AE340" s="293"/>
      <c r="AF340" s="632"/>
      <c r="AG340" s="632"/>
      <c r="AH340" s="632"/>
      <c r="AJ340" s="632"/>
      <c r="AK340" s="632"/>
      <c r="AL340" s="632"/>
      <c r="AN340" s="741">
        <v>0</v>
      </c>
      <c r="AO340" s="741">
        <v>1.6595040000000001</v>
      </c>
      <c r="AP340" s="735">
        <f>+AN340+AO340</f>
        <v>1.6595040000000001</v>
      </c>
      <c r="AR340" s="741">
        <v>0</v>
      </c>
      <c r="AS340" s="741">
        <v>0</v>
      </c>
      <c r="AT340" s="735">
        <f>+AR340+AS340</f>
        <v>0</v>
      </c>
      <c r="AV340" s="741">
        <v>2.036705</v>
      </c>
      <c r="AW340" s="741">
        <v>0</v>
      </c>
      <c r="AX340" s="743">
        <f>+AV340+AW340</f>
        <v>2.036705</v>
      </c>
      <c r="AZ340" s="735">
        <v>0</v>
      </c>
      <c r="BA340" s="735">
        <f>+BA350</f>
        <v>0</v>
      </c>
      <c r="BB340" s="735">
        <f>+AZ340+BA340</f>
        <v>0</v>
      </c>
      <c r="BC340" s="742"/>
      <c r="BD340" s="741">
        <v>4.0943E-2</v>
      </c>
      <c r="BE340" s="735">
        <f>BF340-BD340</f>
        <v>0</v>
      </c>
      <c r="BF340" s="741">
        <v>4.0943E-2</v>
      </c>
      <c r="BH340" s="735">
        <v>3.8117999999999999E-2</v>
      </c>
      <c r="BI340" s="735">
        <f>BJ340-BH340</f>
        <v>0</v>
      </c>
      <c r="BJ340" s="735">
        <v>3.8117999999999999E-2</v>
      </c>
      <c r="BK340" s="742"/>
      <c r="BL340" s="741">
        <v>0</v>
      </c>
      <c r="BM340" s="735">
        <f>BN340-BL340</f>
        <v>3.8117999999999999E-2</v>
      </c>
      <c r="BN340" s="741">
        <v>3.8117999999999999E-2</v>
      </c>
      <c r="BP340" s="741">
        <v>3.8117999999999999E-2</v>
      </c>
      <c r="BQ340" s="735">
        <f>BR340-BP340</f>
        <v>0</v>
      </c>
      <c r="BR340" s="741">
        <v>3.8117999999999999E-2</v>
      </c>
      <c r="BT340" s="741">
        <v>3.8117999999999999E-2</v>
      </c>
      <c r="BU340" s="741">
        <v>3.8117999999999999E-2</v>
      </c>
      <c r="BV340" s="743">
        <f>BU340+BT340</f>
        <v>7.6235999999999998E-2</v>
      </c>
      <c r="BX340" s="741">
        <v>3.8117999999999999E-2</v>
      </c>
      <c r="BY340" s="741">
        <v>3.8117999999999999E-2</v>
      </c>
      <c r="BZ340" s="743">
        <f>BY340+BX340</f>
        <v>7.6235999999999998E-2</v>
      </c>
      <c r="CB340" s="741">
        <v>3.8117999999999999E-2</v>
      </c>
      <c r="CC340" s="741">
        <v>3.8117999999999999E-2</v>
      </c>
      <c r="CD340" s="735">
        <f>+CB340+CC340</f>
        <v>7.6235999999999998E-2</v>
      </c>
      <c r="CF340" s="741">
        <v>3.8117999999999999E-2</v>
      </c>
      <c r="CG340" s="741">
        <v>3.8117999999999999E-2</v>
      </c>
      <c r="CH340" s="735">
        <f>+CF340+CG340</f>
        <v>7.6235999999999998E-2</v>
      </c>
      <c r="CJ340" s="741">
        <v>3.8117999999999999E-2</v>
      </c>
      <c r="CK340" s="1441">
        <v>0</v>
      </c>
      <c r="CL340" s="1440">
        <f>+CJ340+CK340</f>
        <v>3.8117999999999999E-2</v>
      </c>
      <c r="CM340" s="1009"/>
      <c r="CN340" s="1441">
        <v>3.8117999999999999E-2</v>
      </c>
      <c r="CO340" s="1441">
        <v>0</v>
      </c>
      <c r="CP340" s="735">
        <f>+CN340+CO340</f>
        <v>3.8117999999999999E-2</v>
      </c>
      <c r="CR340" s="1441">
        <v>3.8117999999999999E-2</v>
      </c>
      <c r="CS340" s="1441">
        <v>0</v>
      </c>
      <c r="CT340" s="735">
        <f>+CR340+CS340</f>
        <v>3.8117999999999999E-2</v>
      </c>
      <c r="CV340" s="1441">
        <v>3.8117999999999999E-2</v>
      </c>
      <c r="CW340" s="1441">
        <v>0</v>
      </c>
      <c r="CX340" s="735">
        <f>+CV340+CW340</f>
        <v>3.8117999999999999E-2</v>
      </c>
      <c r="CZ340" s="1441">
        <v>3.8117999999999999E-2</v>
      </c>
      <c r="DA340" s="1441">
        <v>0</v>
      </c>
      <c r="DB340" s="735">
        <f>+CZ340+DA340</f>
        <v>3.8117999999999999E-2</v>
      </c>
      <c r="DD340" s="741">
        <v>3.8117999999999999E-2</v>
      </c>
      <c r="DE340" s="741">
        <v>0</v>
      </c>
      <c r="DF340" s="735">
        <f>+DD340+DE340</f>
        <v>3.8117999999999999E-2</v>
      </c>
      <c r="DH340" s="741">
        <v>3.8117999999999999E-2</v>
      </c>
      <c r="DI340" s="735">
        <f>+DI350</f>
        <v>0</v>
      </c>
      <c r="DJ340" s="735">
        <f>+DH340+DI340</f>
        <v>3.8117999999999999E-2</v>
      </c>
      <c r="DL340" s="735">
        <f>+DL350</f>
        <v>0</v>
      </c>
      <c r="DM340" s="735">
        <f>+DM350</f>
        <v>0</v>
      </c>
      <c r="DN340" s="735">
        <f>+DL340+DM340</f>
        <v>0</v>
      </c>
      <c r="DP340" s="735">
        <f>+DP350</f>
        <v>0</v>
      </c>
      <c r="DQ340" s="735">
        <f>+DQ350</f>
        <v>0</v>
      </c>
      <c r="DR340" s="735">
        <f>+DP340+DQ340</f>
        <v>0</v>
      </c>
      <c r="DU340" s="1116"/>
      <c r="DV340" s="1116"/>
      <c r="DW340" s="1116"/>
      <c r="DZ340" s="102"/>
    </row>
    <row r="341" spans="1:138">
      <c r="A341" s="102" t="s">
        <v>112</v>
      </c>
      <c r="C341" s="103" t="s">
        <v>63</v>
      </c>
      <c r="P341" s="632"/>
      <c r="Q341" s="632"/>
      <c r="R341" s="632"/>
      <c r="T341" s="632"/>
      <c r="U341" s="632"/>
      <c r="V341" s="632"/>
      <c r="X341" s="632"/>
      <c r="Y341" s="632"/>
      <c r="Z341" s="632"/>
      <c r="AB341" s="632"/>
      <c r="AC341" s="632"/>
      <c r="AD341" s="632"/>
      <c r="AE341" s="293"/>
      <c r="AF341" s="632"/>
      <c r="AG341" s="632"/>
      <c r="AH341" s="632"/>
      <c r="AJ341" s="632"/>
      <c r="AK341" s="632"/>
      <c r="AL341" s="632"/>
      <c r="AN341" s="741">
        <v>0</v>
      </c>
      <c r="AO341" s="741">
        <v>0</v>
      </c>
      <c r="AP341" s="735">
        <f>+AN341+AO341</f>
        <v>0</v>
      </c>
      <c r="AR341" s="741">
        <v>0</v>
      </c>
      <c r="AS341" s="741">
        <v>0</v>
      </c>
      <c r="AT341" s="735">
        <f>+AR341+AS341</f>
        <v>0</v>
      </c>
      <c r="AV341" s="741">
        <v>0</v>
      </c>
      <c r="AW341" s="741">
        <v>0</v>
      </c>
      <c r="AX341" s="743">
        <f>+AV341+AW341</f>
        <v>0</v>
      </c>
      <c r="AZ341" s="741">
        <v>0</v>
      </c>
      <c r="BA341" s="741">
        <v>0</v>
      </c>
      <c r="BB341" s="735">
        <f>+AZ341+BA341</f>
        <v>0</v>
      </c>
      <c r="BC341" s="742"/>
      <c r="BD341" s="741">
        <v>0</v>
      </c>
      <c r="BE341" s="741">
        <v>0</v>
      </c>
      <c r="BF341" s="735">
        <f>+BD341+BE341</f>
        <v>0</v>
      </c>
      <c r="BH341" s="741">
        <v>0</v>
      </c>
      <c r="BI341" s="741">
        <v>0</v>
      </c>
      <c r="BJ341" s="735">
        <f>+BH341+BI341</f>
        <v>0</v>
      </c>
      <c r="BK341" s="742"/>
      <c r="BL341" s="741">
        <v>0</v>
      </c>
      <c r="BM341" s="741">
        <v>0</v>
      </c>
      <c r="BN341" s="735">
        <f>+BL341+BM341</f>
        <v>0</v>
      </c>
      <c r="BP341" s="741">
        <v>0</v>
      </c>
      <c r="BQ341" s="741">
        <v>0</v>
      </c>
      <c r="BR341" s="735">
        <f>+BP341+BQ341</f>
        <v>0</v>
      </c>
      <c r="BT341" s="741">
        <v>0</v>
      </c>
      <c r="BU341" s="741">
        <v>0</v>
      </c>
      <c r="BV341" s="743">
        <f>BU341+BT341</f>
        <v>0</v>
      </c>
      <c r="BX341" s="741">
        <v>0</v>
      </c>
      <c r="BY341" s="741">
        <v>0</v>
      </c>
      <c r="BZ341" s="743">
        <f>BY341+BX341</f>
        <v>0</v>
      </c>
      <c r="CB341" s="741">
        <v>0</v>
      </c>
      <c r="CC341" s="741">
        <v>0</v>
      </c>
      <c r="CD341" s="735">
        <f>+CB341+CC341</f>
        <v>0</v>
      </c>
      <c r="CF341" s="741">
        <v>0</v>
      </c>
      <c r="CG341" s="741">
        <v>0</v>
      </c>
      <c r="CH341" s="735">
        <f>+CF341+CG341</f>
        <v>0</v>
      </c>
      <c r="CJ341" s="741">
        <v>0</v>
      </c>
      <c r="CK341" s="1441">
        <v>0</v>
      </c>
      <c r="CL341" s="1440">
        <f>+CJ341+CK341</f>
        <v>0</v>
      </c>
      <c r="CM341" s="1009"/>
      <c r="CN341" s="1441">
        <v>0</v>
      </c>
      <c r="CO341" s="1441">
        <v>0</v>
      </c>
      <c r="CP341" s="735">
        <f>+CN341+CO341</f>
        <v>0</v>
      </c>
      <c r="CR341" s="1441">
        <v>0</v>
      </c>
      <c r="CS341" s="1441">
        <v>0</v>
      </c>
      <c r="CT341" s="735">
        <f>+CR341+CS341</f>
        <v>0</v>
      </c>
      <c r="CV341" s="1441">
        <v>0</v>
      </c>
      <c r="CW341" s="1441">
        <v>0</v>
      </c>
      <c r="CX341" s="735">
        <f>+CV341+CW341</f>
        <v>0</v>
      </c>
      <c r="CZ341" s="1441">
        <v>0</v>
      </c>
      <c r="DA341" s="1441">
        <v>0</v>
      </c>
      <c r="DB341" s="735">
        <f>+CZ341+DA341</f>
        <v>0</v>
      </c>
      <c r="DD341" s="741">
        <v>0</v>
      </c>
      <c r="DE341" s="741">
        <v>0</v>
      </c>
      <c r="DF341" s="735">
        <f>+DD341+DE341</f>
        <v>0</v>
      </c>
      <c r="DH341" s="741">
        <v>0</v>
      </c>
      <c r="DI341" s="741">
        <v>0</v>
      </c>
      <c r="DJ341" s="735">
        <f>+DH341+DI341</f>
        <v>0</v>
      </c>
      <c r="DL341" s="741">
        <v>0</v>
      </c>
      <c r="DM341" s="741">
        <v>0</v>
      </c>
      <c r="DN341" s="735">
        <f>+DL341+DM341</f>
        <v>0</v>
      </c>
      <c r="DP341" s="741">
        <v>0</v>
      </c>
      <c r="DQ341" s="741">
        <v>0</v>
      </c>
      <c r="DR341" s="735">
        <f>+DP341+DQ341</f>
        <v>0</v>
      </c>
      <c r="DU341" s="1117"/>
      <c r="DV341" s="1117"/>
      <c r="DW341" s="1116"/>
      <c r="DZ341" s="102"/>
    </row>
    <row r="342" spans="1:138">
      <c r="A342" s="102" t="s">
        <v>504</v>
      </c>
      <c r="C342" s="103" t="s">
        <v>63</v>
      </c>
      <c r="P342" s="632"/>
      <c r="Q342" s="632"/>
      <c r="R342" s="632"/>
      <c r="T342" s="632"/>
      <c r="U342" s="632"/>
      <c r="V342" s="632"/>
      <c r="X342" s="632"/>
      <c r="Y342" s="632"/>
      <c r="Z342" s="632"/>
      <c r="AB342" s="632"/>
      <c r="AC342" s="632"/>
      <c r="AD342" s="632"/>
      <c r="AE342" s="293"/>
      <c r="AF342" s="632"/>
      <c r="AG342" s="632"/>
      <c r="AH342" s="632"/>
      <c r="AJ342" s="632"/>
      <c r="AK342" s="632"/>
      <c r="AL342" s="632"/>
      <c r="AN342" s="741">
        <v>0</v>
      </c>
      <c r="AO342" s="741">
        <v>0</v>
      </c>
      <c r="AP342" s="735">
        <f>+AN342+AO342</f>
        <v>0</v>
      </c>
      <c r="AR342" s="741">
        <v>-0.13361300000000001</v>
      </c>
      <c r="AS342" s="735">
        <f>+AT342-AR342</f>
        <v>-7.5306999999999985E-2</v>
      </c>
      <c r="AT342" s="741">
        <f>-0.196573-0.012347</f>
        <v>-0.20891999999999999</v>
      </c>
      <c r="AV342" s="741">
        <v>-0.13836599999999999</v>
      </c>
      <c r="AW342" s="735">
        <f>+AX342-AV342</f>
        <v>-2.3313E-2</v>
      </c>
      <c r="AX342" s="741">
        <f>+-0.161679</f>
        <v>-0.16167899999999999</v>
      </c>
      <c r="AZ342" s="735">
        <v>-4.0964E-2</v>
      </c>
      <c r="BA342" s="735">
        <f>BB342-AZ342</f>
        <v>-0.79381900000000005</v>
      </c>
      <c r="BB342" s="741">
        <f>-0.256363-0.57842</f>
        <v>-0.83478300000000005</v>
      </c>
      <c r="BC342" s="742"/>
      <c r="BD342" s="735">
        <f>-0.027041-0.007101</f>
        <v>-3.4141999999999999E-2</v>
      </c>
      <c r="BE342" s="735">
        <f>BF342-BD342</f>
        <v>-0.22641800000000001</v>
      </c>
      <c r="BF342" s="735">
        <f>-0.198398-0.062162</f>
        <v>-0.26056000000000001</v>
      </c>
      <c r="BH342" s="741">
        <f>-0.047002-0.118719</f>
        <v>-0.16572100000000001</v>
      </c>
      <c r="BI342" s="735">
        <f>BJ342-BH342</f>
        <v>-0.458897</v>
      </c>
      <c r="BJ342" s="741">
        <f>-0.244931-0.379687</f>
        <v>-0.62461800000000001</v>
      </c>
      <c r="BK342" s="742"/>
      <c r="BL342" s="741">
        <f>-0.011482-0.008404</f>
        <v>-1.9886000000000001E-2</v>
      </c>
      <c r="BM342" s="735">
        <f>BN342-BL342</f>
        <v>-0.12795400000000001</v>
      </c>
      <c r="BN342" s="741">
        <f>(-11774-136066)/1000000</f>
        <v>-0.14784</v>
      </c>
      <c r="BP342" s="741">
        <f>-0.011482-0.008404</f>
        <v>-1.9886000000000001E-2</v>
      </c>
      <c r="BQ342" s="735">
        <f>BR342-BP342</f>
        <v>-0.13635799999999998</v>
      </c>
      <c r="BR342" s="741">
        <f>-0.14784-0.008404</f>
        <v>-0.15624399999999999</v>
      </c>
      <c r="BT342" s="741">
        <f>-0.011482-0.008404</f>
        <v>-1.9886000000000001E-2</v>
      </c>
      <c r="BU342" s="741">
        <f>-0.011482-0.008404</f>
        <v>-1.9886000000000001E-2</v>
      </c>
      <c r="BV342" s="743">
        <f>BU342+BT342</f>
        <v>-3.9772000000000002E-2</v>
      </c>
      <c r="BX342" s="741">
        <f>-0.011482-0.008404</f>
        <v>-1.9886000000000001E-2</v>
      </c>
      <c r="BY342" s="741">
        <f>-0.011482-0.008404</f>
        <v>-1.9886000000000001E-2</v>
      </c>
      <c r="BZ342" s="743">
        <f>BY342+BX342</f>
        <v>-3.9772000000000002E-2</v>
      </c>
      <c r="CB342" s="741">
        <f>-0.011482-0.008404</f>
        <v>-1.9886000000000001E-2</v>
      </c>
      <c r="CC342" s="741">
        <f>-0.011482-0.008404</f>
        <v>-1.9886000000000001E-2</v>
      </c>
      <c r="CD342" s="735">
        <f>+CB342+CC342</f>
        <v>-3.9772000000000002E-2</v>
      </c>
      <c r="CF342" s="741">
        <v>-1.8984000000000001E-2</v>
      </c>
      <c r="CG342" s="741">
        <f>-0.011482-0.008404</f>
        <v>-1.9886000000000001E-2</v>
      </c>
      <c r="CH342" s="735">
        <f>+CF342+CG342</f>
        <v>-3.8870000000000002E-2</v>
      </c>
      <c r="CJ342" s="741">
        <v>-1.8984000000000001E-2</v>
      </c>
      <c r="CK342" s="1441">
        <v>-5.483E-3</v>
      </c>
      <c r="CL342" s="1440">
        <f>+CJ342+CK342</f>
        <v>-2.4467000000000003E-2</v>
      </c>
      <c r="CM342" s="1009"/>
      <c r="CN342" s="1441">
        <v>-1.8984000000000001E-2</v>
      </c>
      <c r="CO342" s="1441">
        <v>-5.483E-3</v>
      </c>
      <c r="CP342" s="735">
        <f>+CN342+CO342</f>
        <v>-2.4467000000000003E-2</v>
      </c>
      <c r="CR342" s="1441">
        <v>-1.8984000000000001E-2</v>
      </c>
      <c r="CS342" s="1441">
        <v>-5.483E-3</v>
      </c>
      <c r="CT342" s="735">
        <f>+CR342+CS342</f>
        <v>-2.4467000000000003E-2</v>
      </c>
      <c r="CV342" s="1441">
        <v>-1.8984000000000001E-2</v>
      </c>
      <c r="CW342" s="1441">
        <v>-5.483E-3</v>
      </c>
      <c r="CX342" s="735">
        <f>+CV342+CW342</f>
        <v>-2.4467000000000003E-2</v>
      </c>
      <c r="CZ342" s="1441">
        <v>-1.8984000000000001E-2</v>
      </c>
      <c r="DA342" s="1441">
        <v>-5.483E-3</v>
      </c>
      <c r="DB342" s="735">
        <f>+CZ342+DA342</f>
        <v>-2.4467000000000003E-2</v>
      </c>
      <c r="DD342" s="741">
        <v>-1.8984000000000001E-2</v>
      </c>
      <c r="DE342" s="741">
        <v>-5.483E-3</v>
      </c>
      <c r="DF342" s="735">
        <f>+DD342+DE342</f>
        <v>-2.4467000000000003E-2</v>
      </c>
      <c r="DH342" s="741">
        <v>-1.8984000000000001E-2</v>
      </c>
      <c r="DI342" s="735">
        <f>+DI355</f>
        <v>0</v>
      </c>
      <c r="DJ342" s="735">
        <f>+DH342+DI342</f>
        <v>-1.8984000000000001E-2</v>
      </c>
      <c r="DL342" s="735">
        <f>+DL355</f>
        <v>0</v>
      </c>
      <c r="DM342" s="735">
        <f>+DM355</f>
        <v>0</v>
      </c>
      <c r="DN342" s="735">
        <f>+DL342+DM342</f>
        <v>0</v>
      </c>
      <c r="DP342" s="735">
        <f>+DP355</f>
        <v>0</v>
      </c>
      <c r="DQ342" s="735">
        <f>+DQ355</f>
        <v>0</v>
      </c>
      <c r="DR342" s="735">
        <f>+DP342+DQ342</f>
        <v>0</v>
      </c>
      <c r="DU342" s="1116"/>
      <c r="DV342" s="1116"/>
      <c r="DW342" s="1116"/>
      <c r="DZ342" s="102"/>
    </row>
    <row r="343" spans="1:138">
      <c r="A343" s="102" t="s">
        <v>66</v>
      </c>
      <c r="C343" s="103" t="s">
        <v>63</v>
      </c>
      <c r="P343" s="632"/>
      <c r="Q343" s="632"/>
      <c r="R343" s="632"/>
      <c r="T343" s="632"/>
      <c r="U343" s="632"/>
      <c r="V343" s="632"/>
      <c r="X343" s="632"/>
      <c r="Y343" s="632"/>
      <c r="Z343" s="632"/>
      <c r="AB343" s="632"/>
      <c r="AC343" s="632"/>
      <c r="AD343" s="632"/>
      <c r="AE343" s="293"/>
      <c r="AF343" s="632"/>
      <c r="AG343" s="632"/>
      <c r="AH343" s="632"/>
      <c r="AJ343" s="632"/>
      <c r="AK343" s="632"/>
      <c r="AL343" s="632"/>
      <c r="AN343" s="741">
        <v>0</v>
      </c>
      <c r="AO343" s="741">
        <v>0</v>
      </c>
      <c r="AP343" s="735">
        <f>+AN343+AO343</f>
        <v>0</v>
      </c>
      <c r="AR343" s="741">
        <v>0</v>
      </c>
      <c r="AS343" s="741">
        <v>0</v>
      </c>
      <c r="AT343" s="735">
        <f>+AR343+AS343</f>
        <v>0</v>
      </c>
      <c r="AV343" s="741">
        <f>0.152472-0.001466</f>
        <v>0.151006</v>
      </c>
      <c r="AW343" s="735">
        <f>+AX343-AV343</f>
        <v>-0.54112700000000002</v>
      </c>
      <c r="AX343" s="741">
        <f>0.152472-0.142386-0.345148-0.055059</f>
        <v>-0.39012100000000005</v>
      </c>
      <c r="AZ343" s="741">
        <f>-0.062874-0.270254</f>
        <v>-0.33312799999999998</v>
      </c>
      <c r="BA343" s="741">
        <f>BB343-AZ343</f>
        <v>0.38303599999999938</v>
      </c>
      <c r="BB343" s="735">
        <f>BB344-SUM(BB339:BB342)</f>
        <v>4.9907999999999397E-2</v>
      </c>
      <c r="BC343" s="742"/>
      <c r="BD343" s="741">
        <f>-0.010442-0.152562-0.008471</f>
        <v>-0.17147500000000002</v>
      </c>
      <c r="BE343" s="741">
        <f>BF343-BD343</f>
        <v>0</v>
      </c>
      <c r="BF343" s="735">
        <f>-0.010442-0.152562-0.008471</f>
        <v>-0.17147500000000002</v>
      </c>
      <c r="BH343" s="741">
        <f>-0.03206-0.537787-0</f>
        <v>-0.56984699999999999</v>
      </c>
      <c r="BI343" s="735">
        <f>BJ343-BH343</f>
        <v>1.0310000000000041E-3</v>
      </c>
      <c r="BJ343" s="741">
        <f>-0.03206-0.536756-0</f>
        <v>-0.56881599999999999</v>
      </c>
      <c r="BK343" s="742"/>
      <c r="BL343" s="741">
        <v>0</v>
      </c>
      <c r="BM343" s="735">
        <f>BN343-BL343</f>
        <v>0</v>
      </c>
      <c r="BN343" s="741">
        <v>0</v>
      </c>
      <c r="BP343" s="741">
        <f>(-39280-2428)/10^6</f>
        <v>-4.1708000000000002E-2</v>
      </c>
      <c r="BQ343" s="735">
        <f>BR343-BP343</f>
        <v>4.1708000000000002E-2</v>
      </c>
      <c r="BR343" s="741">
        <v>0</v>
      </c>
      <c r="BT343" s="735">
        <f>BT344-BT342-BT341-BT340-BT339</f>
        <v>-0.21443699999999993</v>
      </c>
      <c r="BU343" s="735">
        <f>BU344-BU342-BU341-BU340-BU339</f>
        <v>-2.753899999999998E-2</v>
      </c>
      <c r="BV343" s="743">
        <f>BU343+BT343</f>
        <v>-0.24197599999999991</v>
      </c>
      <c r="BX343" s="735">
        <f>BX344-BX342-BX341-BX340-BX339</f>
        <v>-3.6198999999999981E-2</v>
      </c>
      <c r="BY343" s="735">
        <f>BY344-BY342-BY341-BY340-BY339</f>
        <v>-3.2275999999999985E-2</v>
      </c>
      <c r="BZ343" s="743">
        <f>BY343+BX343</f>
        <v>-6.8474999999999966E-2</v>
      </c>
      <c r="CB343" s="735">
        <f>CB344-CB342-CB341-CB340-CB339</f>
        <v>-2.4771000000000001E-2</v>
      </c>
      <c r="CC343" s="735">
        <f>CC344-CC342-CC341-CC340-CC339</f>
        <v>-2.5560000000000013E-2</v>
      </c>
      <c r="CD343" s="735">
        <f>+CB343+CC343</f>
        <v>-5.0331000000000015E-2</v>
      </c>
      <c r="CF343" s="735">
        <f>CF344-CF342-CF341-CF340-CF339</f>
        <v>-3.8117999999999999E-2</v>
      </c>
      <c r="CG343" s="735">
        <f>CG344-CG342-CG341-CG340-CG339</f>
        <v>-1.8232000000000012E-2</v>
      </c>
      <c r="CH343" s="735">
        <f>+CF343+CG343</f>
        <v>-5.6350000000000011E-2</v>
      </c>
      <c r="CJ343" s="735">
        <f>CJ344-CJ342-CJ341-CJ340-CJ339</f>
        <v>-1.9393999999999995E-2</v>
      </c>
      <c r="CK343" s="1440">
        <f>CK344-CK342-CK341-CK340-CK339</f>
        <v>2.5999999999999635E-4</v>
      </c>
      <c r="CL343" s="1440">
        <f>+CJ343+CK343</f>
        <v>-1.9133999999999998E-2</v>
      </c>
      <c r="CM343" s="1009"/>
      <c r="CN343" s="1440">
        <v>-1.9393999999999995E-2</v>
      </c>
      <c r="CO343" s="1440">
        <f>CO344-CO342-CO341-CO340-CO339</f>
        <v>3.6510000000000153E-3</v>
      </c>
      <c r="CP343" s="735">
        <f>+CN343+CO343</f>
        <v>-1.5742999999999979E-2</v>
      </c>
      <c r="CR343" s="1440">
        <v>-1.9393999999999995E-2</v>
      </c>
      <c r="CS343" s="1440">
        <f>CS344-CS342-CS341-CS340-CS339</f>
        <v>0.103352</v>
      </c>
      <c r="CT343" s="735">
        <f>+CR343+CS343</f>
        <v>8.3958000000000005E-2</v>
      </c>
      <c r="CV343" s="1440">
        <v>-1.9393999999999995E-2</v>
      </c>
      <c r="CW343" s="1440">
        <f>CW344-CW342-CW341-CW340-CW339</f>
        <v>5.483E-3</v>
      </c>
      <c r="CX343" s="735">
        <f>+CV343+CW343</f>
        <v>-1.3910999999999995E-2</v>
      </c>
      <c r="CZ343" s="1440">
        <v>-1.9393999999999995E-2</v>
      </c>
      <c r="DA343" s="1440">
        <f>DA344-DA342-DA341-DA340-DA339</f>
        <v>5.483E-3</v>
      </c>
      <c r="DB343" s="735">
        <f>+CZ343+DA343</f>
        <v>-1.3910999999999995E-2</v>
      </c>
      <c r="DD343" s="735">
        <v>-1.9393999999999995E-2</v>
      </c>
      <c r="DE343" s="735">
        <f>DE344-DE342-DE341-DE340-DE339</f>
        <v>5.483E-3</v>
      </c>
      <c r="DF343" s="735">
        <f>+DD343+DE343</f>
        <v>-1.3910999999999995E-2</v>
      </c>
      <c r="DH343" s="735">
        <v>-1.9393999999999995E-2</v>
      </c>
      <c r="DI343" s="741">
        <v>0</v>
      </c>
      <c r="DJ343" s="735">
        <f>+DH343+DI343</f>
        <v>-1.9393999999999995E-2</v>
      </c>
      <c r="DL343" s="741">
        <v>0</v>
      </c>
      <c r="DM343" s="741">
        <v>0</v>
      </c>
      <c r="DN343" s="735">
        <f>+DL343+DM343</f>
        <v>0</v>
      </c>
      <c r="DP343" s="741">
        <v>0</v>
      </c>
      <c r="DQ343" s="741">
        <v>0</v>
      </c>
      <c r="DR343" s="735">
        <f>+DP343+DQ343</f>
        <v>0</v>
      </c>
      <c r="DU343" s="1117"/>
      <c r="DV343" s="1117"/>
      <c r="DW343" s="1116"/>
      <c r="DZ343" s="102"/>
    </row>
    <row r="344" spans="1:138" s="289" customFormat="1">
      <c r="A344" s="289" t="s">
        <v>67</v>
      </c>
      <c r="C344" s="290" t="s">
        <v>63</v>
      </c>
      <c r="P344" s="744"/>
      <c r="Q344" s="744"/>
      <c r="R344" s="744"/>
      <c r="S344" s="290"/>
      <c r="T344" s="744"/>
      <c r="U344" s="744"/>
      <c r="V344" s="744"/>
      <c r="W344" s="290"/>
      <c r="X344" s="744"/>
      <c r="Y344" s="744"/>
      <c r="Z344" s="744"/>
      <c r="AA344" s="290"/>
      <c r="AB344" s="744"/>
      <c r="AC344" s="744"/>
      <c r="AD344" s="744"/>
      <c r="AE344" s="295"/>
      <c r="AF344" s="744"/>
      <c r="AG344" s="744"/>
      <c r="AH344" s="744"/>
      <c r="AI344" s="290"/>
      <c r="AJ344" s="744"/>
      <c r="AK344" s="744"/>
      <c r="AL344" s="744"/>
      <c r="AM344" s="290"/>
      <c r="AN344" s="745">
        <f>+SUM(AN339:AN343)</f>
        <v>0</v>
      </c>
      <c r="AO344" s="745">
        <f>+SUM(AO339:AO343)</f>
        <v>1.6595040000000001</v>
      </c>
      <c r="AP344" s="745">
        <f>+SUM(AP339:AP343)</f>
        <v>1.6595040000000001</v>
      </c>
      <c r="AQ344" s="290"/>
      <c r="AR344" s="745">
        <f>+SUM(AR339:AR343)</f>
        <v>1.5258910000000001</v>
      </c>
      <c r="AS344" s="745">
        <f>+SUM(AS339:AS343)</f>
        <v>1.4505840000000001</v>
      </c>
      <c r="AT344" s="745">
        <f>+SUM(AT339:AT343)</f>
        <v>1.4505840000000001</v>
      </c>
      <c r="AU344" s="290"/>
      <c r="AV344" s="745">
        <f>+SUM(AV339:AV343)</f>
        <v>3.4999290000000003</v>
      </c>
      <c r="AW344" s="745">
        <f>+SUM(AW339:AW343)</f>
        <v>2.9354890000000005</v>
      </c>
      <c r="AX344" s="745">
        <f>+SUM(AX339:AX343)</f>
        <v>2.935489</v>
      </c>
      <c r="AY344" s="290"/>
      <c r="AZ344" s="745">
        <f>+SUM(AZ339:AZ343)</f>
        <v>2.5613970000000008</v>
      </c>
      <c r="BA344" s="745">
        <f>+SUM(BA339:BA343)</f>
        <v>2.150614</v>
      </c>
      <c r="BB344" s="745">
        <v>2.150614</v>
      </c>
      <c r="BC344" s="746"/>
      <c r="BD344" s="745">
        <f>+SUM(BD339:BD343)</f>
        <v>1.9859399999999998</v>
      </c>
      <c r="BE344" s="745">
        <f>+SUM(BE339:BE343)</f>
        <v>1.7595219999999998</v>
      </c>
      <c r="BF344" s="745">
        <f>+BE344</f>
        <v>1.7595219999999998</v>
      </c>
      <c r="BG344" s="290"/>
      <c r="BH344" s="745">
        <f>+SUM(BH339:BH343)</f>
        <v>1.0620719999999999</v>
      </c>
      <c r="BI344" s="745">
        <f>+SUM(BI339:BI343)</f>
        <v>0.60420599999999991</v>
      </c>
      <c r="BJ344" s="745">
        <f>+BI344</f>
        <v>0.60420599999999991</v>
      </c>
      <c r="BK344" s="746"/>
      <c r="BL344" s="745">
        <f>+SUM(BL339:BL343)</f>
        <v>0.58431999999999995</v>
      </c>
      <c r="BM344" s="745">
        <f>+SUM(BM339:BM343)</f>
        <v>0.49448399999999992</v>
      </c>
      <c r="BN344" s="745">
        <f>+BM344</f>
        <v>0.49448399999999992</v>
      </c>
      <c r="BO344" s="290"/>
      <c r="BP344" s="745">
        <f>+SUM(BP339:BP343)</f>
        <v>0.47100799999999993</v>
      </c>
      <c r="BQ344" s="745">
        <f>+SUM(BQ339:BQ343)</f>
        <v>0.37635799999999997</v>
      </c>
      <c r="BR344" s="745">
        <f>+BQ344</f>
        <v>0.37635799999999997</v>
      </c>
      <c r="BS344" s="290"/>
      <c r="BT344" s="747">
        <v>0.18015300000000001</v>
      </c>
      <c r="BU344" s="747">
        <v>0.170846</v>
      </c>
      <c r="BV344" s="748">
        <f>BU344</f>
        <v>0.170846</v>
      </c>
      <c r="BW344" s="290"/>
      <c r="BX344" s="747">
        <v>0.15287899999999999</v>
      </c>
      <c r="BY344" s="747">
        <v>0.13883499999999999</v>
      </c>
      <c r="BZ344" s="748">
        <f>BY344</f>
        <v>0.13883499999999999</v>
      </c>
      <c r="CA344" s="290"/>
      <c r="CB344" s="747">
        <v>0.132296</v>
      </c>
      <c r="CC344" s="747">
        <v>0.124968</v>
      </c>
      <c r="CD344" s="749">
        <f>+CC344</f>
        <v>0.124968</v>
      </c>
      <c r="CE344" s="290"/>
      <c r="CF344" s="747">
        <v>0.10598399999999999</v>
      </c>
      <c r="CG344" s="747">
        <v>0.10598399999999999</v>
      </c>
      <c r="CH344" s="749">
        <f>+CG344</f>
        <v>0.10598399999999999</v>
      </c>
      <c r="CI344" s="290"/>
      <c r="CJ344" s="747">
        <v>0.105724</v>
      </c>
      <c r="CK344" s="1442">
        <v>0.10050099999999999</v>
      </c>
      <c r="CL344" s="1443">
        <f>+CK344</f>
        <v>0.10050099999999999</v>
      </c>
      <c r="CM344" s="1424"/>
      <c r="CN344" s="1442">
        <v>0.10050099999999999</v>
      </c>
      <c r="CO344" s="1442">
        <f>98669/10^6</f>
        <v>9.8669000000000007E-2</v>
      </c>
      <c r="CP344" s="749">
        <f>+CO344</f>
        <v>9.8669000000000007E-2</v>
      </c>
      <c r="CQ344" s="290"/>
      <c r="CR344" s="747">
        <v>0</v>
      </c>
      <c r="CS344" s="1442">
        <f>97869/10^6</f>
        <v>9.7868999999999998E-2</v>
      </c>
      <c r="CT344" s="749">
        <f>+CS344</f>
        <v>9.7868999999999998E-2</v>
      </c>
      <c r="CU344" s="290"/>
      <c r="CV344" s="1442">
        <v>0</v>
      </c>
      <c r="CW344" s="747">
        <v>0</v>
      </c>
      <c r="CX344" s="749">
        <f>+CW344</f>
        <v>0</v>
      </c>
      <c r="CY344" s="290"/>
      <c r="CZ344" s="1442">
        <v>0</v>
      </c>
      <c r="DA344" s="747">
        <v>0</v>
      </c>
      <c r="DB344" s="749">
        <f>+DA344</f>
        <v>0</v>
      </c>
      <c r="DC344" s="290"/>
      <c r="DD344" s="747">
        <v>0</v>
      </c>
      <c r="DE344" s="747">
        <v>0</v>
      </c>
      <c r="DF344" s="749">
        <f>+DE344</f>
        <v>0</v>
      </c>
      <c r="DG344" s="290"/>
      <c r="DH344" s="747">
        <v>0</v>
      </c>
      <c r="DI344" s="749">
        <f>+SUM(DI339:DI343)</f>
        <v>0</v>
      </c>
      <c r="DJ344" s="749">
        <f>+DI344</f>
        <v>0</v>
      </c>
      <c r="DK344" s="290"/>
      <c r="DL344" s="749">
        <f>+SUM(DL339:DL343)</f>
        <v>0</v>
      </c>
      <c r="DM344" s="749">
        <f>+SUM(DM339:DM343)</f>
        <v>0</v>
      </c>
      <c r="DN344" s="749">
        <f>+DM344</f>
        <v>0</v>
      </c>
      <c r="DO344" s="290"/>
      <c r="DP344" s="749">
        <f>+SUM(DP339:DP343)</f>
        <v>0</v>
      </c>
      <c r="DQ344" s="749">
        <f>+SUM(DQ339:DQ343)</f>
        <v>0</v>
      </c>
      <c r="DR344" s="749">
        <f>+DQ344</f>
        <v>0</v>
      </c>
      <c r="DS344" s="290"/>
      <c r="DT344" s="290"/>
      <c r="DU344" s="1118"/>
      <c r="DV344" s="1118"/>
      <c r="DW344" s="1118"/>
      <c r="DX344" s="290"/>
      <c r="EH344"/>
    </row>
    <row r="345" spans="1:138" s="289" customFormat="1">
      <c r="A345" s="289" t="s">
        <v>113</v>
      </c>
      <c r="C345" s="290" t="s">
        <v>63</v>
      </c>
      <c r="P345" s="744"/>
      <c r="Q345" s="744"/>
      <c r="R345" s="744"/>
      <c r="S345" s="290"/>
      <c r="T345" s="744"/>
      <c r="U345" s="744"/>
      <c r="V345" s="744"/>
      <c r="W345" s="290"/>
      <c r="X345" s="744"/>
      <c r="Y345" s="744"/>
      <c r="Z345" s="744"/>
      <c r="AA345" s="290"/>
      <c r="AB345" s="744"/>
      <c r="AC345" s="744"/>
      <c r="AD345" s="744"/>
      <c r="AE345" s="295"/>
      <c r="AF345" s="744"/>
      <c r="AG345" s="744"/>
      <c r="AH345" s="744"/>
      <c r="AI345" s="290"/>
      <c r="AJ345" s="744"/>
      <c r="AK345" s="744"/>
      <c r="AL345" s="744"/>
      <c r="AM345" s="290"/>
      <c r="AN345" s="750">
        <v>0</v>
      </c>
      <c r="AO345" s="750">
        <v>1.1215299999999999</v>
      </c>
      <c r="AP345" s="750">
        <v>0.55922899999999998</v>
      </c>
      <c r="AQ345" s="290"/>
      <c r="AR345" s="745">
        <f>+AVERAGE(AR344,AR339)</f>
        <v>1.5926975000000001</v>
      </c>
      <c r="AS345" s="745">
        <f>+AVERAGE(AS344,AS339)</f>
        <v>1.4882375000000001</v>
      </c>
      <c r="AT345" s="745">
        <f>+AVERAGE(AT344,AT339)</f>
        <v>1.5550440000000001</v>
      </c>
      <c r="AU345" s="290"/>
      <c r="AV345" s="745">
        <f>+AVERAGE(AV344,AV339)</f>
        <v>2.4752565000000004</v>
      </c>
      <c r="AW345" s="745">
        <f>+AVERAGE(AW344,AW339)</f>
        <v>3.2177090000000002</v>
      </c>
      <c r="AX345" s="745">
        <f>+AVERAGE(AX344,AX339)</f>
        <v>2.1930364999999998</v>
      </c>
      <c r="AY345" s="290"/>
      <c r="AZ345" s="745">
        <f>+AVERAGE(AZ344,AZ339)</f>
        <v>2.7484430000000009</v>
      </c>
      <c r="BA345" s="745">
        <f>+AVERAGE(BA344,BA339)</f>
        <v>2.3560055000000002</v>
      </c>
      <c r="BB345" s="745">
        <f>+AVERAGE(AZ345:BA345)</f>
        <v>2.5522242500000005</v>
      </c>
      <c r="BC345" s="746"/>
      <c r="BD345" s="745">
        <f>+AVERAGE(BD344,BD339)</f>
        <v>2.0682770000000001</v>
      </c>
      <c r="BE345" s="745">
        <f>+AVERAGE(BE344,BE339)</f>
        <v>1.8727309999999999</v>
      </c>
      <c r="BF345" s="745">
        <f>+AVERAGE(BD345:BE345)</f>
        <v>1.970504</v>
      </c>
      <c r="BG345" s="290"/>
      <c r="BH345" s="745">
        <f>+AVERAGE(BH344,BH339)</f>
        <v>1.4107969999999999</v>
      </c>
      <c r="BI345" s="745">
        <f>+AVERAGE(BI344,BI339)</f>
        <v>0.83313899999999985</v>
      </c>
      <c r="BJ345" s="745">
        <f>+AVERAGE(BH345:BI345)</f>
        <v>1.1219679999999999</v>
      </c>
      <c r="BK345" s="746"/>
      <c r="BL345" s="745">
        <f>+AVERAGE(BL344,BL339)</f>
        <v>0.59426299999999999</v>
      </c>
      <c r="BM345" s="745">
        <f>+AVERAGE(BM344,BM339)</f>
        <v>0.53940199999999994</v>
      </c>
      <c r="BN345" s="745">
        <f>+AVERAGE(BL345:BM345)</f>
        <v>0.56683249999999996</v>
      </c>
      <c r="BO345" s="290"/>
      <c r="BP345" s="745">
        <f>+AVERAGE(BP344,BP339)</f>
        <v>0.4827459999999999</v>
      </c>
      <c r="BQ345" s="745">
        <f>+AVERAGE(BQ344,BQ339)</f>
        <v>0.42368299999999992</v>
      </c>
      <c r="BR345" s="745">
        <f>+AVERAGE(BP345:BQ345)</f>
        <v>0.45321449999999991</v>
      </c>
      <c r="BS345" s="290"/>
      <c r="BT345" s="751">
        <f>+AVERAGE(BT344,BT339)</f>
        <v>0.27825549999999999</v>
      </c>
      <c r="BU345" s="751">
        <f>+AVERAGE(BU344,BU339)</f>
        <v>0.1754995</v>
      </c>
      <c r="BV345" s="751">
        <f>+AVERAGE(BT345:BU345)</f>
        <v>0.22687750000000001</v>
      </c>
      <c r="BW345" s="290"/>
      <c r="BX345" s="745">
        <f>+AVERAGE(BX344,BX339)</f>
        <v>0.16186249999999999</v>
      </c>
      <c r="BY345" s="751">
        <f>+AVERAGE(BY344,BY339)</f>
        <v>0.14585699999999999</v>
      </c>
      <c r="BZ345" s="751">
        <f>+AVERAGE(BX345:BY345)</f>
        <v>0.15385974999999999</v>
      </c>
      <c r="CA345" s="290"/>
      <c r="CB345" s="745">
        <f>+AVERAGE(CB344,CB339)</f>
        <v>0.13556550000000001</v>
      </c>
      <c r="CC345" s="745">
        <f>+AVERAGE(CC344,CC339)</f>
        <v>0.128632</v>
      </c>
      <c r="CD345" s="745">
        <f>+AVERAGE(CB345:CC345)</f>
        <v>0.13209874999999999</v>
      </c>
      <c r="CE345" s="290"/>
      <c r="CF345" s="745">
        <f>+AVERAGE(CF344,CF339)</f>
        <v>0.115476</v>
      </c>
      <c r="CG345" s="745">
        <f>+AVERAGE(CG344,CG339)</f>
        <v>0.10598399999999999</v>
      </c>
      <c r="CH345" s="745">
        <f>+AVERAGE(CF345:CG345)</f>
        <v>0.11073</v>
      </c>
      <c r="CI345" s="290"/>
      <c r="CJ345" s="745">
        <f>+AVERAGE(CJ344,CJ339)</f>
        <v>0.105854</v>
      </c>
      <c r="CK345" s="1444">
        <f>+AVERAGE(CK344,CK339)</f>
        <v>0.1031125</v>
      </c>
      <c r="CL345" s="1444">
        <f>+AVERAGE(CJ345:CK345)</f>
        <v>0.10448325</v>
      </c>
      <c r="CM345" s="1424"/>
      <c r="CN345" s="1444">
        <v>0.105854</v>
      </c>
      <c r="CO345" s="1444">
        <f>+AVERAGE(CO344,CO339)</f>
        <v>9.9585000000000007E-2</v>
      </c>
      <c r="CP345" s="745">
        <f>+AVERAGE(CN345:CO345)</f>
        <v>0.10271950000000001</v>
      </c>
      <c r="CQ345" s="290"/>
      <c r="CR345" s="745">
        <v>0.105854</v>
      </c>
      <c r="CS345" s="1444">
        <f>+AVERAGE(CS344,CS339)</f>
        <v>4.8934499999999999E-2</v>
      </c>
      <c r="CT345" s="745">
        <f>+AVERAGE(CR345:CS345)</f>
        <v>7.7394249999999998E-2</v>
      </c>
      <c r="CU345" s="290"/>
      <c r="CV345" s="1444">
        <v>0.105854</v>
      </c>
      <c r="CW345" s="1444">
        <f>+AVERAGE(CW344,CW339)</f>
        <v>0</v>
      </c>
      <c r="CX345" s="745">
        <f>+AVERAGE(CV345:CW345)</f>
        <v>5.2927000000000002E-2</v>
      </c>
      <c r="CY345" s="290"/>
      <c r="CZ345" s="1444">
        <v>0.105854</v>
      </c>
      <c r="DA345" s="1444">
        <f>+AVERAGE(DA344,DA339)</f>
        <v>0</v>
      </c>
      <c r="DB345" s="745">
        <f>+AVERAGE(CZ345:DA345)</f>
        <v>5.2927000000000002E-2</v>
      </c>
      <c r="DC345" s="290"/>
      <c r="DD345" s="745">
        <v>0.105854</v>
      </c>
      <c r="DE345" s="1444">
        <f>+AVERAGE(DE344,DE339)</f>
        <v>0</v>
      </c>
      <c r="DF345" s="745">
        <f>+AVERAGE(DD345:DE345)</f>
        <v>5.2927000000000002E-2</v>
      </c>
      <c r="DG345" s="290"/>
      <c r="DH345" s="745">
        <v>0.105854</v>
      </c>
      <c r="DI345" s="745">
        <f>+AVERAGE(DI344,DI339)</f>
        <v>0</v>
      </c>
      <c r="DJ345" s="745">
        <f>+AVERAGE(DH345:DI345)</f>
        <v>5.2927000000000002E-2</v>
      </c>
      <c r="DK345" s="290"/>
      <c r="DL345" s="745">
        <f>+AVERAGE(DL344,DL339)</f>
        <v>0</v>
      </c>
      <c r="DM345" s="745">
        <f>+AVERAGE(DM344,DM339)</f>
        <v>0</v>
      </c>
      <c r="DN345" s="745">
        <f>+AVERAGE(DL345:DM345)</f>
        <v>0</v>
      </c>
      <c r="DO345" s="290"/>
      <c r="DP345" s="745">
        <f>+AVERAGE(DP344,DP339)</f>
        <v>0</v>
      </c>
      <c r="DQ345" s="745">
        <f>+AVERAGE(DQ344,DQ339)</f>
        <v>0</v>
      </c>
      <c r="DR345" s="745">
        <f>+AVERAGE(DP345:DQ345)</f>
        <v>0</v>
      </c>
      <c r="DS345" s="290"/>
      <c r="DT345" s="290"/>
      <c r="DU345" s="1118"/>
      <c r="DV345" s="1118"/>
      <c r="DW345" s="1118"/>
      <c r="DX345" s="290"/>
      <c r="EH345"/>
    </row>
    <row r="346" spans="1:138">
      <c r="P346" s="632"/>
      <c r="Q346" s="632"/>
      <c r="R346" s="632"/>
      <c r="T346" s="632"/>
      <c r="U346" s="632"/>
      <c r="V346" s="632"/>
      <c r="X346" s="632"/>
      <c r="Y346" s="632"/>
      <c r="Z346" s="632"/>
      <c r="AB346" s="632"/>
      <c r="AC346" s="632"/>
      <c r="AD346" s="632"/>
      <c r="AE346" s="293"/>
      <c r="AF346" s="632"/>
      <c r="AG346" s="632"/>
      <c r="AH346" s="632"/>
      <c r="AJ346" s="632"/>
      <c r="AK346" s="632"/>
      <c r="AL346" s="632"/>
      <c r="AN346" s="632"/>
      <c r="AO346" s="632"/>
      <c r="AP346" s="632"/>
      <c r="AR346" s="632"/>
      <c r="AS346" s="632"/>
      <c r="AT346" s="632"/>
      <c r="AV346" s="752"/>
      <c r="AW346" s="632"/>
      <c r="AX346" s="632"/>
      <c r="AZ346" s="753"/>
      <c r="BA346" s="733"/>
      <c r="BB346" s="754"/>
      <c r="BC346" s="742"/>
      <c r="BD346" s="752"/>
      <c r="BE346" s="733"/>
      <c r="BF346" s="632"/>
      <c r="BH346" s="752"/>
      <c r="BI346" s="733"/>
      <c r="BJ346" s="632"/>
      <c r="BL346" s="752"/>
      <c r="BM346" s="733"/>
      <c r="BN346" s="632"/>
      <c r="BP346" s="752"/>
      <c r="BQ346" s="733"/>
      <c r="BR346" s="632"/>
      <c r="BT346" s="752"/>
      <c r="BU346" s="733"/>
      <c r="BV346" s="632"/>
      <c r="BX346" s="752"/>
      <c r="BY346" s="733"/>
      <c r="BZ346" s="632"/>
      <c r="CB346" s="752"/>
      <c r="CC346" s="733"/>
      <c r="CD346" s="632"/>
      <c r="CF346" s="752"/>
      <c r="CG346" s="733"/>
      <c r="CH346" s="632"/>
      <c r="CJ346" s="752"/>
      <c r="CK346" s="1445"/>
      <c r="CL346" s="1446"/>
      <c r="CM346" s="1009"/>
      <c r="CN346" s="1447"/>
      <c r="CO346" s="1445"/>
      <c r="CP346" s="632"/>
      <c r="CR346" s="752"/>
      <c r="CS346" s="1445"/>
      <c r="CT346" s="632"/>
      <c r="CV346" s="752"/>
      <c r="CW346" s="1445"/>
      <c r="CX346" s="632"/>
      <c r="CZ346" s="752"/>
      <c r="DA346" s="1445"/>
      <c r="DB346" s="632"/>
      <c r="DD346" s="752"/>
      <c r="DE346" s="1445"/>
      <c r="DF346" s="632"/>
      <c r="DH346" s="752"/>
      <c r="DI346" s="733"/>
      <c r="DJ346" s="632"/>
      <c r="DL346" s="733"/>
      <c r="DM346" s="733"/>
      <c r="DN346" s="632"/>
      <c r="DP346" s="733"/>
      <c r="DQ346" s="733"/>
      <c r="DR346" s="632"/>
      <c r="DU346" s="1115"/>
      <c r="DV346" s="1115"/>
      <c r="DW346" s="1125"/>
      <c r="DZ346" s="102"/>
    </row>
    <row r="347" spans="1:138">
      <c r="A347" s="289" t="s">
        <v>64</v>
      </c>
      <c r="P347" s="632"/>
      <c r="Q347" s="632"/>
      <c r="R347" s="632"/>
      <c r="T347" s="632"/>
      <c r="U347" s="632"/>
      <c r="V347" s="632"/>
      <c r="X347" s="632"/>
      <c r="Y347" s="632"/>
      <c r="Z347" s="632"/>
      <c r="AB347" s="632"/>
      <c r="AC347" s="632"/>
      <c r="AD347" s="632"/>
      <c r="AE347" s="293"/>
      <c r="AF347" s="632"/>
      <c r="AG347" s="632"/>
      <c r="AH347" s="632"/>
      <c r="AJ347" s="632"/>
      <c r="AK347" s="632"/>
      <c r="AL347" s="632"/>
      <c r="AN347" s="632"/>
      <c r="AO347" s="632"/>
      <c r="AP347" s="632"/>
      <c r="AR347" s="632"/>
      <c r="AS347" s="632"/>
      <c r="AT347" s="632"/>
      <c r="AV347" s="632"/>
      <c r="AW347" s="632"/>
      <c r="AX347" s="632"/>
      <c r="AZ347" s="632"/>
      <c r="BA347" s="733"/>
      <c r="BB347" s="632"/>
      <c r="BD347" s="632"/>
      <c r="BE347" s="733"/>
      <c r="BF347" s="632"/>
      <c r="BH347" s="632"/>
      <c r="BI347" s="733"/>
      <c r="BJ347" s="632"/>
      <c r="BL347" s="632"/>
      <c r="BM347" s="733"/>
      <c r="BN347" s="632"/>
      <c r="BP347" s="632"/>
      <c r="BQ347" s="733"/>
      <c r="BR347" s="632"/>
      <c r="BT347" s="632"/>
      <c r="BU347" s="733"/>
      <c r="BV347" s="632"/>
      <c r="BX347" s="632"/>
      <c r="BY347" s="733"/>
      <c r="BZ347" s="632"/>
      <c r="CB347" s="632"/>
      <c r="CC347" s="733"/>
      <c r="CD347" s="632"/>
      <c r="CF347" s="632"/>
      <c r="CG347" s="733"/>
      <c r="CH347" s="632"/>
      <c r="CJ347" s="632"/>
      <c r="CK347" s="1445"/>
      <c r="CL347" s="1446"/>
      <c r="CM347" s="1009"/>
      <c r="CN347" s="1446"/>
      <c r="CO347" s="1445"/>
      <c r="CP347" s="632"/>
      <c r="CR347" s="632"/>
      <c r="CS347" s="1445"/>
      <c r="CT347" s="632"/>
      <c r="CV347" s="632"/>
      <c r="CW347" s="1445"/>
      <c r="CX347" s="632"/>
      <c r="CZ347" s="632"/>
      <c r="DA347" s="1445"/>
      <c r="DB347" s="632"/>
      <c r="DD347" s="632"/>
      <c r="DE347" s="1445"/>
      <c r="DF347" s="632"/>
      <c r="DH347" s="632"/>
      <c r="DI347" s="733"/>
      <c r="DJ347" s="632"/>
      <c r="DL347" s="733"/>
      <c r="DM347" s="733"/>
      <c r="DN347" s="632"/>
      <c r="DP347" s="733"/>
      <c r="DQ347" s="733"/>
      <c r="DR347" s="632"/>
      <c r="DU347" s="1115"/>
      <c r="DV347" s="1115"/>
      <c r="DW347" s="1125"/>
      <c r="DZ347" s="102"/>
    </row>
    <row r="348" spans="1:138">
      <c r="A348" s="102" t="s">
        <v>103</v>
      </c>
      <c r="C348" s="103" t="s">
        <v>612</v>
      </c>
      <c r="P348" s="632"/>
      <c r="Q348" s="632"/>
      <c r="R348" s="632"/>
      <c r="T348" s="632"/>
      <c r="U348" s="632"/>
      <c r="V348" s="632"/>
      <c r="X348" s="632"/>
      <c r="Y348" s="632"/>
      <c r="Z348" s="632"/>
      <c r="AB348" s="632"/>
      <c r="AC348" s="632"/>
      <c r="AD348" s="632"/>
      <c r="AE348" s="293"/>
      <c r="AF348" s="632"/>
      <c r="AG348" s="632"/>
      <c r="AH348" s="632"/>
      <c r="AJ348" s="632"/>
      <c r="AK348" s="632"/>
      <c r="AL348" s="632"/>
      <c r="AN348" s="735">
        <f>+AN332</f>
        <v>0</v>
      </c>
      <c r="AO348" s="735">
        <f>+AO332</f>
        <v>133</v>
      </c>
      <c r="AP348" s="735">
        <f>+AN348+AO348</f>
        <v>133</v>
      </c>
      <c r="AR348" s="735">
        <f>+AR332</f>
        <v>0</v>
      </c>
      <c r="AS348" s="735">
        <f>+AS332</f>
        <v>0</v>
      </c>
      <c r="AT348" s="735">
        <f>+AR348+AS348</f>
        <v>0</v>
      </c>
      <c r="AV348" s="735">
        <f>+AV332</f>
        <v>54</v>
      </c>
      <c r="AW348" s="735">
        <f>+AW332</f>
        <v>0</v>
      </c>
      <c r="AX348" s="735">
        <f>+AV348+AW348</f>
        <v>54</v>
      </c>
      <c r="AZ348" s="735">
        <f>+AZ332</f>
        <v>5</v>
      </c>
      <c r="BA348" s="735">
        <f>+BA332</f>
        <v>6</v>
      </c>
      <c r="BB348" s="735">
        <f>+BB332</f>
        <v>11</v>
      </c>
      <c r="BD348" s="735">
        <f>+BD332</f>
        <v>1</v>
      </c>
      <c r="BE348" s="735">
        <f>+BE332</f>
        <v>1</v>
      </c>
      <c r="BF348" s="735">
        <f>+BF332</f>
        <v>2</v>
      </c>
      <c r="BH348" s="735">
        <f>+BH332</f>
        <v>0</v>
      </c>
      <c r="BI348" s="735">
        <f>+BI332</f>
        <v>0</v>
      </c>
      <c r="BJ348" s="735">
        <f>+BH348+BI348</f>
        <v>0</v>
      </c>
      <c r="BL348" s="735">
        <f>+BL332</f>
        <v>0</v>
      </c>
      <c r="BM348" s="735">
        <f>+BM332</f>
        <v>0</v>
      </c>
      <c r="BN348" s="735">
        <f>+BL348+BM348</f>
        <v>0</v>
      </c>
      <c r="BP348" s="735">
        <f>+BP332</f>
        <v>0</v>
      </c>
      <c r="BQ348" s="735">
        <f>+BQ332</f>
        <v>0</v>
      </c>
      <c r="BR348" s="735">
        <f>+BP348+BQ348</f>
        <v>0</v>
      </c>
      <c r="BT348" s="735">
        <f>+BT332</f>
        <v>0</v>
      </c>
      <c r="BU348" s="735">
        <f>+BU332</f>
        <v>0</v>
      </c>
      <c r="BV348" s="735">
        <f>+BT348+BU348</f>
        <v>0</v>
      </c>
      <c r="BX348" s="735">
        <f>+BX332</f>
        <v>0</v>
      </c>
      <c r="BY348" s="735">
        <f>+BY332</f>
        <v>0</v>
      </c>
      <c r="BZ348" s="735">
        <f>+BX348+BY348</f>
        <v>0</v>
      </c>
      <c r="CB348" s="735">
        <f>+CB332</f>
        <v>0</v>
      </c>
      <c r="CC348" s="741">
        <v>0</v>
      </c>
      <c r="CD348" s="735">
        <f>+CB348+CC348</f>
        <v>0</v>
      </c>
      <c r="CF348" s="735">
        <f>+CF332</f>
        <v>0</v>
      </c>
      <c r="CG348" s="741">
        <v>0</v>
      </c>
      <c r="CH348" s="735">
        <f>+CF348+CG348</f>
        <v>0</v>
      </c>
      <c r="CJ348" s="735">
        <f>+CJ332</f>
        <v>0</v>
      </c>
      <c r="CK348" s="1441">
        <v>0</v>
      </c>
      <c r="CL348" s="1440">
        <f>+CJ348+CK348</f>
        <v>0</v>
      </c>
      <c r="CM348" s="1009"/>
      <c r="CN348" s="1440">
        <v>0</v>
      </c>
      <c r="CO348" s="1441">
        <v>0</v>
      </c>
      <c r="CP348" s="735">
        <f>+CN348+CO348</f>
        <v>0</v>
      </c>
      <c r="CR348" s="735">
        <v>0</v>
      </c>
      <c r="CS348" s="1441">
        <v>0</v>
      </c>
      <c r="CT348" s="735">
        <f>+CR348+CS348</f>
        <v>0</v>
      </c>
      <c r="CV348" s="1440">
        <v>0</v>
      </c>
      <c r="CW348" s="1441">
        <v>0</v>
      </c>
      <c r="CX348" s="735">
        <f>+CV348+CW348</f>
        <v>0</v>
      </c>
      <c r="CZ348" s="1440">
        <v>0</v>
      </c>
      <c r="DA348" s="1441">
        <v>0</v>
      </c>
      <c r="DB348" s="735">
        <f>+CZ348+DA348</f>
        <v>0</v>
      </c>
      <c r="DD348" s="735">
        <v>0</v>
      </c>
      <c r="DE348" s="741">
        <v>0</v>
      </c>
      <c r="DF348" s="735">
        <f>+DD348+DE348</f>
        <v>0</v>
      </c>
      <c r="DH348" s="735">
        <v>0</v>
      </c>
      <c r="DI348" s="741">
        <v>0</v>
      </c>
      <c r="DJ348" s="735">
        <f>+DH348+DI348</f>
        <v>0</v>
      </c>
      <c r="DL348" s="741">
        <v>0</v>
      </c>
      <c r="DM348" s="741">
        <v>0</v>
      </c>
      <c r="DN348" s="735">
        <f>+DL348+DM348</f>
        <v>0</v>
      </c>
      <c r="DP348" s="741">
        <v>0</v>
      </c>
      <c r="DQ348" s="741">
        <v>0</v>
      </c>
      <c r="DR348" s="735">
        <f>+DP348+DQ348</f>
        <v>0</v>
      </c>
      <c r="DU348" s="1117"/>
      <c r="DV348" s="1117"/>
      <c r="DW348" s="1116"/>
      <c r="DZ348" s="102"/>
    </row>
    <row r="349" spans="1:138">
      <c r="A349" s="102" t="s">
        <v>104</v>
      </c>
      <c r="C349" s="103" t="s">
        <v>105</v>
      </c>
      <c r="P349" s="632"/>
      <c r="Q349" s="632"/>
      <c r="R349" s="632"/>
      <c r="T349" s="632"/>
      <c r="U349" s="632"/>
      <c r="V349" s="632"/>
      <c r="X349" s="632"/>
      <c r="Y349" s="632"/>
      <c r="Z349" s="632"/>
      <c r="AB349" s="632"/>
      <c r="AC349" s="632"/>
      <c r="AD349" s="632"/>
      <c r="AE349" s="293"/>
      <c r="AF349" s="632"/>
      <c r="AG349" s="632"/>
      <c r="AH349" s="632"/>
      <c r="AJ349" s="632"/>
      <c r="AK349" s="632"/>
      <c r="AL349" s="632"/>
      <c r="AN349" s="755">
        <v>0</v>
      </c>
      <c r="AO349" s="755">
        <f>+AO348/AO350</f>
        <v>80.144428696767221</v>
      </c>
      <c r="AP349" s="755"/>
      <c r="AR349" s="755">
        <v>0</v>
      </c>
      <c r="AS349" s="755"/>
      <c r="AT349" s="755"/>
      <c r="AV349" s="755">
        <f>+AV348/AV350</f>
        <v>26.513412595343951</v>
      </c>
      <c r="AW349" s="755"/>
      <c r="AX349" s="755"/>
      <c r="AZ349" s="755">
        <v>50.8</v>
      </c>
      <c r="BA349" s="756"/>
      <c r="BB349" s="755">
        <v>50.8</v>
      </c>
      <c r="BD349" s="755">
        <f>BD348/BD350</f>
        <v>24.42419949686149</v>
      </c>
      <c r="BE349" s="755"/>
      <c r="BF349" s="755">
        <f>BF348/BF350</f>
        <v>48.848398993722981</v>
      </c>
      <c r="BH349" s="755">
        <f>BH348/BH350</f>
        <v>0</v>
      </c>
      <c r="BI349" s="755"/>
      <c r="BJ349" s="755">
        <f>BJ348/BJ350</f>
        <v>0</v>
      </c>
      <c r="BL349" s="755" t="str">
        <f>IF(BL350=0,"na",BL348/BL350)</f>
        <v>na</v>
      </c>
      <c r="BM349" s="755"/>
      <c r="BN349" s="755">
        <f>BN348/BN350</f>
        <v>0</v>
      </c>
      <c r="BP349" s="755">
        <f>IF(BP350=0,"na",BP348/BP350)</f>
        <v>0</v>
      </c>
      <c r="BQ349" s="755"/>
      <c r="BR349" s="755">
        <f>BR348/BR350</f>
        <v>0</v>
      </c>
      <c r="BT349" s="755">
        <f>IF(BT350=0,"na",BT348/BT350)</f>
        <v>0</v>
      </c>
      <c r="BU349" s="755"/>
      <c r="BV349" s="755">
        <f>BV348/BV350</f>
        <v>0</v>
      </c>
      <c r="BX349" s="755">
        <f>IF(BX350=0,"na",BX348/BX350)</f>
        <v>0</v>
      </c>
      <c r="BY349" s="755"/>
      <c r="BZ349" s="755">
        <f>BZ348/BZ350</f>
        <v>0</v>
      </c>
      <c r="CB349" s="755">
        <f>IF(CB350=0,"na",CB348/CB350)</f>
        <v>0</v>
      </c>
      <c r="CC349" s="757">
        <v>0</v>
      </c>
      <c r="CD349" s="755"/>
      <c r="CF349" s="755">
        <f>IF(CF350=0,"na",CF348/CF350)</f>
        <v>0</v>
      </c>
      <c r="CG349" s="757">
        <v>0</v>
      </c>
      <c r="CH349" s="755"/>
      <c r="CJ349" s="755">
        <f>IF(CJ350=0,"na",CJ348/CJ350)</f>
        <v>0</v>
      </c>
      <c r="CK349" s="1448">
        <v>0</v>
      </c>
      <c r="CL349" s="1449"/>
      <c r="CM349" s="1009"/>
      <c r="CN349" s="1449">
        <v>0</v>
      </c>
      <c r="CO349" s="1448">
        <v>0</v>
      </c>
      <c r="CP349" s="755"/>
      <c r="CR349" s="755">
        <v>0</v>
      </c>
      <c r="CS349" s="1448">
        <v>0</v>
      </c>
      <c r="CT349" s="755"/>
      <c r="CV349" s="1449">
        <v>0</v>
      </c>
      <c r="CW349" s="1448">
        <v>0</v>
      </c>
      <c r="CX349" s="755"/>
      <c r="CZ349" s="1449">
        <v>0</v>
      </c>
      <c r="DA349" s="1448">
        <v>0</v>
      </c>
      <c r="DB349" s="755"/>
      <c r="DD349" s="755">
        <v>0</v>
      </c>
      <c r="DE349" s="757">
        <v>0</v>
      </c>
      <c r="DF349" s="755"/>
      <c r="DH349" s="755">
        <v>0</v>
      </c>
      <c r="DI349" s="757">
        <v>0</v>
      </c>
      <c r="DJ349" s="755"/>
      <c r="DL349" s="757">
        <v>0</v>
      </c>
      <c r="DM349" s="757">
        <v>0</v>
      </c>
      <c r="DN349" s="755"/>
      <c r="DP349" s="757">
        <v>0</v>
      </c>
      <c r="DQ349" s="757">
        <v>0</v>
      </c>
      <c r="DR349" s="755"/>
      <c r="DU349" s="1119"/>
      <c r="DV349" s="1119"/>
      <c r="DW349" s="1126"/>
      <c r="DZ349" s="102"/>
    </row>
    <row r="350" spans="1:138">
      <c r="A350" s="102" t="s">
        <v>103</v>
      </c>
      <c r="C350" s="103" t="s">
        <v>63</v>
      </c>
      <c r="P350" s="632"/>
      <c r="Q350" s="632"/>
      <c r="R350" s="632"/>
      <c r="T350" s="632"/>
      <c r="U350" s="632"/>
      <c r="V350" s="632"/>
      <c r="X350" s="632"/>
      <c r="Y350" s="632"/>
      <c r="Z350" s="632"/>
      <c r="AB350" s="632"/>
      <c r="AC350" s="632"/>
      <c r="AD350" s="632"/>
      <c r="AE350" s="293"/>
      <c r="AF350" s="632"/>
      <c r="AG350" s="632"/>
      <c r="AH350" s="632"/>
      <c r="AJ350" s="632"/>
      <c r="AK350" s="632"/>
      <c r="AL350" s="632"/>
      <c r="AN350" s="735">
        <f>+AN340</f>
        <v>0</v>
      </c>
      <c r="AO350" s="735">
        <f>+AO340</f>
        <v>1.6595040000000001</v>
      </c>
      <c r="AP350" s="735">
        <f>+AN350+AO350</f>
        <v>1.6595040000000001</v>
      </c>
      <c r="AR350" s="735">
        <f>+AR340</f>
        <v>0</v>
      </c>
      <c r="AS350" s="735">
        <f>+AS340</f>
        <v>0</v>
      </c>
      <c r="AT350" s="735">
        <f>+AR350+AS350</f>
        <v>0</v>
      </c>
      <c r="AV350" s="735">
        <f>+AV340</f>
        <v>2.036705</v>
      </c>
      <c r="AW350" s="735">
        <f>+AW340</f>
        <v>0</v>
      </c>
      <c r="AX350" s="735">
        <f>+AV350+AW350</f>
        <v>2.036705</v>
      </c>
      <c r="AZ350" s="735">
        <v>0.152472</v>
      </c>
      <c r="BA350" s="758"/>
      <c r="BB350" s="735">
        <v>4.0943E-2</v>
      </c>
      <c r="BD350" s="735">
        <f>+BD340</f>
        <v>4.0943E-2</v>
      </c>
      <c r="BE350" s="735">
        <f>+BE340</f>
        <v>0</v>
      </c>
      <c r="BF350" s="735">
        <f>+BD350+BE350</f>
        <v>4.0943E-2</v>
      </c>
      <c r="BH350" s="735">
        <f>+BH340</f>
        <v>3.8117999999999999E-2</v>
      </c>
      <c r="BI350" s="735">
        <f>+BI340</f>
        <v>0</v>
      </c>
      <c r="BJ350" s="735">
        <f>+BH350+BI350</f>
        <v>3.8117999999999999E-2</v>
      </c>
      <c r="BL350" s="735">
        <f>+BL340</f>
        <v>0</v>
      </c>
      <c r="BM350" s="735">
        <f>+BM340</f>
        <v>3.8117999999999999E-2</v>
      </c>
      <c r="BN350" s="735">
        <f>+BL350+BM350</f>
        <v>3.8117999999999999E-2</v>
      </c>
      <c r="BP350" s="735">
        <f>+BP340</f>
        <v>3.8117999999999999E-2</v>
      </c>
      <c r="BQ350" s="735">
        <f>+BQ340</f>
        <v>0</v>
      </c>
      <c r="BR350" s="735">
        <f>+BP350+BQ350</f>
        <v>3.8117999999999999E-2</v>
      </c>
      <c r="BT350" s="735">
        <f>+BT340</f>
        <v>3.8117999999999999E-2</v>
      </c>
      <c r="BU350" s="735">
        <f>+BU340</f>
        <v>3.8117999999999999E-2</v>
      </c>
      <c r="BV350" s="735">
        <f>+BT350+BU350</f>
        <v>7.6235999999999998E-2</v>
      </c>
      <c r="BX350" s="735">
        <f>+BX340</f>
        <v>3.8117999999999999E-2</v>
      </c>
      <c r="BY350" s="735">
        <f>+BY340</f>
        <v>3.8117999999999999E-2</v>
      </c>
      <c r="BZ350" s="735">
        <f>+BX350+BY350</f>
        <v>7.6235999999999998E-2</v>
      </c>
      <c r="CB350" s="735">
        <f>+CB340</f>
        <v>3.8117999999999999E-2</v>
      </c>
      <c r="CC350" s="741">
        <v>0</v>
      </c>
      <c r="CD350" s="735">
        <f>+CB350+CC350</f>
        <v>3.8117999999999999E-2</v>
      </c>
      <c r="CF350" s="735">
        <f>+CF340</f>
        <v>3.8117999999999999E-2</v>
      </c>
      <c r="CG350" s="741">
        <v>0</v>
      </c>
      <c r="CH350" s="735">
        <f>+CF350+CG350</f>
        <v>3.8117999999999999E-2</v>
      </c>
      <c r="CJ350" s="735">
        <f>+CJ340</f>
        <v>3.8117999999999999E-2</v>
      </c>
      <c r="CK350" s="1441">
        <v>0</v>
      </c>
      <c r="CL350" s="1440">
        <f>+CJ350+CK350</f>
        <v>3.8117999999999999E-2</v>
      </c>
      <c r="CM350" s="1009"/>
      <c r="CN350" s="1440">
        <v>3.8117999999999999E-2</v>
      </c>
      <c r="CO350" s="1441">
        <v>0</v>
      </c>
      <c r="CP350" s="735">
        <f>+CN350+CO350</f>
        <v>3.8117999999999999E-2</v>
      </c>
      <c r="CR350" s="735">
        <v>3.8117999999999999E-2</v>
      </c>
      <c r="CS350" s="1441">
        <v>0</v>
      </c>
      <c r="CT350" s="735">
        <f>+CR350+CS350</f>
        <v>3.8117999999999999E-2</v>
      </c>
      <c r="CV350" s="1440">
        <v>3.8117999999999999E-2</v>
      </c>
      <c r="CW350" s="1441">
        <v>0</v>
      </c>
      <c r="CX350" s="735">
        <f>+CV350+CW350</f>
        <v>3.8117999999999999E-2</v>
      </c>
      <c r="CZ350" s="1440">
        <v>3.8117999999999999E-2</v>
      </c>
      <c r="DA350" s="1441">
        <v>0</v>
      </c>
      <c r="DB350" s="735">
        <f>+CZ350+DA350</f>
        <v>3.8117999999999999E-2</v>
      </c>
      <c r="DD350" s="735">
        <v>3.8117999999999999E-2</v>
      </c>
      <c r="DE350" s="741">
        <v>0</v>
      </c>
      <c r="DF350" s="735">
        <f>+DD350+DE350</f>
        <v>3.8117999999999999E-2</v>
      </c>
      <c r="DH350" s="735">
        <v>3.8117999999999999E-2</v>
      </c>
      <c r="DI350" s="741">
        <v>0</v>
      </c>
      <c r="DJ350" s="735">
        <f>+DH350+DI350</f>
        <v>3.8117999999999999E-2</v>
      </c>
      <c r="DL350" s="741">
        <v>0</v>
      </c>
      <c r="DM350" s="741">
        <v>0</v>
      </c>
      <c r="DN350" s="735">
        <f>+DL350+DM350</f>
        <v>0</v>
      </c>
      <c r="DP350" s="741">
        <v>0</v>
      </c>
      <c r="DQ350" s="741">
        <v>0</v>
      </c>
      <c r="DR350" s="735">
        <f>+DP350+DQ350</f>
        <v>0</v>
      </c>
      <c r="DU350" s="1117"/>
      <c r="DV350" s="1117"/>
      <c r="DW350" s="1116"/>
      <c r="DZ350" s="102"/>
    </row>
    <row r="351" spans="1:138">
      <c r="P351" s="632"/>
      <c r="Q351" s="632"/>
      <c r="R351" s="632"/>
      <c r="T351" s="632"/>
      <c r="U351" s="632"/>
      <c r="V351" s="632"/>
      <c r="X351" s="632"/>
      <c r="Y351" s="632"/>
      <c r="Z351" s="632"/>
      <c r="AB351" s="632"/>
      <c r="AC351" s="632"/>
      <c r="AD351" s="632"/>
      <c r="AE351" s="293"/>
      <c r="AF351" s="632"/>
      <c r="AG351" s="632"/>
      <c r="AH351" s="632"/>
      <c r="AJ351" s="632"/>
      <c r="AK351" s="632"/>
      <c r="AL351" s="632"/>
      <c r="AN351" s="735"/>
      <c r="AO351" s="735"/>
      <c r="AP351" s="735"/>
      <c r="AR351" s="735"/>
      <c r="AS351" s="735"/>
      <c r="AT351" s="735"/>
      <c r="AV351" s="735"/>
      <c r="AW351" s="735"/>
      <c r="AX351" s="735"/>
      <c r="AZ351" s="735"/>
      <c r="BA351" s="741"/>
      <c r="BB351" s="735"/>
      <c r="BD351" s="735"/>
      <c r="BE351" s="741"/>
      <c r="BF351" s="735"/>
      <c r="BH351" s="735"/>
      <c r="BI351" s="741"/>
      <c r="BJ351" s="735"/>
      <c r="BL351" s="735"/>
      <c r="BM351" s="741"/>
      <c r="BN351" s="735"/>
      <c r="BP351" s="735"/>
      <c r="BQ351" s="741"/>
      <c r="BR351" s="735"/>
      <c r="BT351" s="735"/>
      <c r="BU351" s="741"/>
      <c r="BV351" s="735"/>
      <c r="BX351" s="735"/>
      <c r="BY351" s="741"/>
      <c r="BZ351" s="735"/>
      <c r="CB351" s="735"/>
      <c r="CC351" s="741"/>
      <c r="CD351" s="735"/>
      <c r="CF351" s="735"/>
      <c r="CG351" s="741"/>
      <c r="CH351" s="735"/>
      <c r="CJ351" s="735"/>
      <c r="CK351" s="1441"/>
      <c r="CL351" s="1440"/>
      <c r="CM351" s="1009"/>
      <c r="CN351" s="1440"/>
      <c r="CO351" s="1441"/>
      <c r="CP351" s="735"/>
      <c r="CR351" s="735"/>
      <c r="CS351" s="1441"/>
      <c r="CT351" s="735"/>
      <c r="CV351" s="1440"/>
      <c r="CW351" s="1441"/>
      <c r="CX351" s="735"/>
      <c r="CZ351" s="1440"/>
      <c r="DA351" s="1441"/>
      <c r="DB351" s="735"/>
      <c r="DD351" s="735"/>
      <c r="DE351" s="741"/>
      <c r="DF351" s="735"/>
      <c r="DH351" s="735"/>
      <c r="DI351" s="741"/>
      <c r="DJ351" s="735"/>
      <c r="DL351" s="741"/>
      <c r="DM351" s="741"/>
      <c r="DN351" s="735"/>
      <c r="DP351" s="741"/>
      <c r="DQ351" s="741"/>
      <c r="DR351" s="735"/>
      <c r="DU351" s="1117"/>
      <c r="DV351" s="1117"/>
      <c r="DW351" s="1116"/>
      <c r="DZ351" s="102"/>
    </row>
    <row r="352" spans="1:138">
      <c r="A352" s="289" t="s">
        <v>114</v>
      </c>
      <c r="P352" s="632"/>
      <c r="Q352" s="632"/>
      <c r="R352" s="632"/>
      <c r="T352" s="632"/>
      <c r="U352" s="632"/>
      <c r="V352" s="632"/>
      <c r="X352" s="632"/>
      <c r="Y352" s="632"/>
      <c r="Z352" s="632"/>
      <c r="AB352" s="632"/>
      <c r="AC352" s="632"/>
      <c r="AD352" s="632"/>
      <c r="AE352" s="293"/>
      <c r="AF352" s="632"/>
      <c r="AG352" s="632"/>
      <c r="AH352" s="632"/>
      <c r="AJ352" s="632"/>
      <c r="AK352" s="632"/>
      <c r="AL352" s="632"/>
      <c r="AN352" s="632"/>
      <c r="AO352" s="632"/>
      <c r="AP352" s="632"/>
      <c r="AR352" s="632"/>
      <c r="AS352" s="632"/>
      <c r="AT352" s="632"/>
      <c r="AV352" s="632"/>
      <c r="AW352" s="632"/>
      <c r="AX352" s="632"/>
      <c r="AZ352" s="632"/>
      <c r="BA352" s="733"/>
      <c r="BB352" s="632"/>
      <c r="BD352" s="632"/>
      <c r="BE352" s="733"/>
      <c r="BF352" s="632"/>
      <c r="BH352" s="632"/>
      <c r="BI352" s="733"/>
      <c r="BJ352" s="632"/>
      <c r="BL352" s="632"/>
      <c r="BM352" s="733"/>
      <c r="BN352" s="632"/>
      <c r="BP352" s="632"/>
      <c r="BQ352" s="733"/>
      <c r="BR352" s="632"/>
      <c r="BT352" s="632"/>
      <c r="BU352" s="733"/>
      <c r="BV352" s="632"/>
      <c r="BX352" s="632"/>
      <c r="BY352" s="733"/>
      <c r="BZ352" s="632"/>
      <c r="CB352" s="632"/>
      <c r="CC352" s="733"/>
      <c r="CD352" s="632"/>
      <c r="CF352" s="632"/>
      <c r="CG352" s="733"/>
      <c r="CH352" s="632"/>
      <c r="CJ352" s="632"/>
      <c r="CK352" s="1445"/>
      <c r="CL352" s="1446"/>
      <c r="CM352" s="1009"/>
      <c r="CN352" s="1446"/>
      <c r="CO352" s="1445"/>
      <c r="CP352" s="632"/>
      <c r="CR352" s="632"/>
      <c r="CS352" s="1445"/>
      <c r="CT352" s="632"/>
      <c r="CV352" s="1446"/>
      <c r="CW352" s="1445"/>
      <c r="CX352" s="632"/>
      <c r="CZ352" s="1446"/>
      <c r="DA352" s="1445"/>
      <c r="DB352" s="632"/>
      <c r="DD352" s="632"/>
      <c r="DE352" s="733"/>
      <c r="DF352" s="632"/>
      <c r="DH352" s="632"/>
      <c r="DI352" s="733"/>
      <c r="DJ352" s="632"/>
      <c r="DL352" s="733"/>
      <c r="DM352" s="733"/>
      <c r="DN352" s="632"/>
      <c r="DP352" s="733"/>
      <c r="DQ352" s="733"/>
      <c r="DR352" s="632"/>
      <c r="DU352" s="1115"/>
      <c r="DV352" s="1115"/>
      <c r="DW352" s="1125"/>
      <c r="DZ352" s="102"/>
    </row>
    <row r="353" spans="1:138">
      <c r="A353" s="102" t="s">
        <v>103</v>
      </c>
      <c r="C353" s="103" t="s">
        <v>612</v>
      </c>
      <c r="P353" s="632"/>
      <c r="Q353" s="632"/>
      <c r="R353" s="632"/>
      <c r="T353" s="632"/>
      <c r="U353" s="632"/>
      <c r="V353" s="632"/>
      <c r="X353" s="632"/>
      <c r="Y353" s="632"/>
      <c r="Z353" s="632"/>
      <c r="AB353" s="632"/>
      <c r="AC353" s="632"/>
      <c r="AD353" s="632"/>
      <c r="AE353" s="293"/>
      <c r="AF353" s="632"/>
      <c r="AG353" s="632"/>
      <c r="AH353" s="632"/>
      <c r="AJ353" s="632"/>
      <c r="AK353" s="632"/>
      <c r="AL353" s="632"/>
      <c r="AN353" s="735">
        <f>+AN338</f>
        <v>0</v>
      </c>
      <c r="AO353" s="735">
        <f>+AO338</f>
        <v>0</v>
      </c>
      <c r="AP353" s="735">
        <f>+AN353+AO353</f>
        <v>0</v>
      </c>
      <c r="AR353" s="735">
        <f>-AR334</f>
        <v>11</v>
      </c>
      <c r="AS353" s="735">
        <f>-AS334</f>
        <v>6</v>
      </c>
      <c r="AT353" s="735">
        <f>+AR353+AS353</f>
        <v>17</v>
      </c>
      <c r="AV353" s="735">
        <f>-AV334</f>
        <v>11</v>
      </c>
      <c r="AW353" s="735">
        <f>-AW334</f>
        <v>22</v>
      </c>
      <c r="AX353" s="735">
        <f>+AV353+AW353</f>
        <v>33</v>
      </c>
      <c r="AZ353" s="735">
        <f>-AZ334</f>
        <v>8</v>
      </c>
      <c r="BA353" s="735">
        <f>-BA334</f>
        <v>31</v>
      </c>
      <c r="BB353" s="735">
        <f>-BB334</f>
        <v>39</v>
      </c>
      <c r="BD353" s="735">
        <f>-BD334</f>
        <v>2</v>
      </c>
      <c r="BE353" s="735">
        <f>-BE334</f>
        <v>17</v>
      </c>
      <c r="BF353" s="735">
        <f>-BF334</f>
        <v>19</v>
      </c>
      <c r="BH353" s="735">
        <f>-BH334</f>
        <v>10</v>
      </c>
      <c r="BI353" s="735">
        <f>-BI334</f>
        <v>32</v>
      </c>
      <c r="BJ353" s="735">
        <f>-BJ334</f>
        <v>42</v>
      </c>
      <c r="BL353" s="735">
        <f>-BL334</f>
        <v>2</v>
      </c>
      <c r="BM353" s="735">
        <f>-BM334</f>
        <v>7</v>
      </c>
      <c r="BN353" s="735">
        <f>-BN334</f>
        <v>9</v>
      </c>
      <c r="BP353" s="735">
        <f>-BP334</f>
        <v>2</v>
      </c>
      <c r="BQ353" s="735">
        <f>-BQ334</f>
        <v>8</v>
      </c>
      <c r="BR353" s="735">
        <f>-BR334</f>
        <v>10</v>
      </c>
      <c r="BT353" s="735">
        <f>-BT334</f>
        <v>4</v>
      </c>
      <c r="BU353" s="735">
        <f>-BU334</f>
        <v>1</v>
      </c>
      <c r="BV353" s="735">
        <f>-BV334</f>
        <v>5</v>
      </c>
      <c r="BX353" s="735">
        <f>-BX334</f>
        <v>4</v>
      </c>
      <c r="BY353" s="735">
        <f>-BY334</f>
        <v>1</v>
      </c>
      <c r="BZ353" s="735">
        <f>-BZ334</f>
        <v>5</v>
      </c>
      <c r="CB353" s="735">
        <f>-CB334</f>
        <v>0</v>
      </c>
      <c r="CC353" s="741">
        <v>0</v>
      </c>
      <c r="CD353" s="735">
        <f>+CB353+CC353</f>
        <v>0</v>
      </c>
      <c r="CF353" s="735">
        <f>-CF334</f>
        <v>0</v>
      </c>
      <c r="CG353" s="741">
        <v>0</v>
      </c>
      <c r="CH353" s="735">
        <f>+CF353+CG353</f>
        <v>0</v>
      </c>
      <c r="CJ353" s="735">
        <f>-CJ334</f>
        <v>0</v>
      </c>
      <c r="CK353" s="1441">
        <v>0</v>
      </c>
      <c r="CL353" s="1440">
        <f>+CJ353+CK353</f>
        <v>0</v>
      </c>
      <c r="CM353" s="1009"/>
      <c r="CN353" s="1440">
        <v>0</v>
      </c>
      <c r="CO353" s="1441">
        <v>0</v>
      </c>
      <c r="CP353" s="735">
        <f>+CN353+CO353</f>
        <v>0</v>
      </c>
      <c r="CR353" s="735">
        <v>0</v>
      </c>
      <c r="CS353" s="1441">
        <v>0</v>
      </c>
      <c r="CT353" s="735">
        <f>+CR353+CS353</f>
        <v>0</v>
      </c>
      <c r="CV353" s="1440">
        <v>0</v>
      </c>
      <c r="CW353" s="1441">
        <v>0</v>
      </c>
      <c r="CX353" s="735">
        <f>+CV353+CW353</f>
        <v>0</v>
      </c>
      <c r="CZ353" s="1440">
        <v>0</v>
      </c>
      <c r="DA353" s="1441">
        <v>0</v>
      </c>
      <c r="DB353" s="735">
        <f>+CZ353+DA353</f>
        <v>0</v>
      </c>
      <c r="DD353" s="735">
        <v>0</v>
      </c>
      <c r="DE353" s="741">
        <v>0</v>
      </c>
      <c r="DF353" s="735">
        <f>+DD353+DE353</f>
        <v>0</v>
      </c>
      <c r="DH353" s="735">
        <v>0</v>
      </c>
      <c r="DI353" s="741">
        <v>0</v>
      </c>
      <c r="DJ353" s="735">
        <f>+DH353+DI353</f>
        <v>0</v>
      </c>
      <c r="DL353" s="741">
        <v>0</v>
      </c>
      <c r="DM353" s="741">
        <v>0</v>
      </c>
      <c r="DN353" s="735">
        <f>+DL353+DM353</f>
        <v>0</v>
      </c>
      <c r="DP353" s="741">
        <v>0</v>
      </c>
      <c r="DQ353" s="741">
        <v>0</v>
      </c>
      <c r="DR353" s="735">
        <f>+DP353+DQ353</f>
        <v>0</v>
      </c>
      <c r="DU353" s="1117"/>
      <c r="DV353" s="1117"/>
      <c r="DW353" s="1116"/>
      <c r="DZ353" s="102"/>
    </row>
    <row r="354" spans="1:138">
      <c r="A354" s="102" t="s">
        <v>104</v>
      </c>
      <c r="C354" s="103" t="s">
        <v>105</v>
      </c>
      <c r="P354" s="632"/>
      <c r="Q354" s="632"/>
      <c r="R354" s="632"/>
      <c r="T354" s="632"/>
      <c r="U354" s="632"/>
      <c r="V354" s="632"/>
      <c r="X354" s="632"/>
      <c r="Y354" s="632"/>
      <c r="Z354" s="632"/>
      <c r="AB354" s="632"/>
      <c r="AC354" s="632"/>
      <c r="AD354" s="632"/>
      <c r="AE354" s="293"/>
      <c r="AF354" s="632"/>
      <c r="AG354" s="632"/>
      <c r="AH354" s="632"/>
      <c r="AJ354" s="632"/>
      <c r="AK354" s="632"/>
      <c r="AL354" s="632"/>
      <c r="AN354" s="755">
        <v>0</v>
      </c>
      <c r="AO354" s="755">
        <f>+AO353/AO355</f>
        <v>0</v>
      </c>
      <c r="AP354" s="755"/>
      <c r="AR354" s="755">
        <f>AR353/AR355</f>
        <v>82.327318449552052</v>
      </c>
      <c r="AS354" s="755">
        <f>AS353/AS355</f>
        <v>79.673868299095716</v>
      </c>
      <c r="AT354" s="755">
        <f>AT353/AT355</f>
        <v>81.370859659199695</v>
      </c>
      <c r="AV354" s="755">
        <f>AV353/AV355</f>
        <v>79.499298960727359</v>
      </c>
      <c r="AW354" s="755">
        <f>AW353/AW355</f>
        <v>943.67949212885514</v>
      </c>
      <c r="AX354" s="755">
        <f>AX353/AX355</f>
        <v>204.10814020373704</v>
      </c>
      <c r="AZ354" s="755">
        <f>AZ353/AZ355</f>
        <v>195.29342837613515</v>
      </c>
      <c r="BA354" s="755">
        <f>BA353/BA355</f>
        <v>39.051723377747315</v>
      </c>
      <c r="BB354" s="755">
        <f>BB353/BB355</f>
        <v>46.718728100596202</v>
      </c>
      <c r="BD354" s="755">
        <f>BD353/BD355</f>
        <v>58.578876457149555</v>
      </c>
      <c r="BE354" s="755"/>
      <c r="BF354" s="755">
        <f>BF353/BF355</f>
        <v>72.919864906355542</v>
      </c>
      <c r="BH354" s="755">
        <f>BH353/BH355</f>
        <v>60.342382679322476</v>
      </c>
      <c r="BI354" s="755">
        <f>BI353/BI355</f>
        <v>69.732423615756915</v>
      </c>
      <c r="BJ354" s="755">
        <f>BJ353/BJ355</f>
        <v>67.241097758950275</v>
      </c>
      <c r="BL354" s="755">
        <f>BL353/BL355</f>
        <v>100.57326762546515</v>
      </c>
      <c r="BM354" s="755">
        <f>BM353/BM355</f>
        <v>54.707160385763629</v>
      </c>
      <c r="BN354" s="755">
        <f>BN353/BN355</f>
        <v>60.876623376623364</v>
      </c>
      <c r="BP354" s="755">
        <f>BP353/BP355</f>
        <v>100.57326762546515</v>
      </c>
      <c r="BQ354" s="755">
        <f>BQ353/BQ355</f>
        <v>58.669091655788449</v>
      </c>
      <c r="BR354" s="755">
        <f>BR353/BR355</f>
        <v>64.002457694375465</v>
      </c>
      <c r="BT354" s="755">
        <f>BT353/BT355</f>
        <v>201.1465352509303</v>
      </c>
      <c r="BU354" s="755">
        <f>BU353/BU355</f>
        <v>50.286633812732575</v>
      </c>
      <c r="BV354" s="755">
        <f>BV353/BV355</f>
        <v>125.71658453183143</v>
      </c>
      <c r="BX354" s="755">
        <f>BX353/BX355</f>
        <v>201.1465352509303</v>
      </c>
      <c r="BY354" s="755">
        <f>BY353/BY355</f>
        <v>50.286633812732575</v>
      </c>
      <c r="BZ354" s="755">
        <f>BZ353/BZ355</f>
        <v>125.71658453183143</v>
      </c>
      <c r="CB354" s="755">
        <f>CB353/CB355</f>
        <v>0</v>
      </c>
      <c r="CC354" s="757">
        <v>0</v>
      </c>
      <c r="CD354" s="755"/>
      <c r="CF354" s="755">
        <f>CF353/CF355</f>
        <v>0</v>
      </c>
      <c r="CG354" s="757">
        <v>0</v>
      </c>
      <c r="CH354" s="755"/>
      <c r="CJ354" s="755">
        <f>CJ353/CJ355</f>
        <v>0</v>
      </c>
      <c r="CK354" s="1448">
        <v>0</v>
      </c>
      <c r="CL354" s="1449"/>
      <c r="CM354" s="1009"/>
      <c r="CN354" s="1449">
        <v>0</v>
      </c>
      <c r="CO354" s="1448">
        <v>0</v>
      </c>
      <c r="CP354" s="755"/>
      <c r="CR354" s="755">
        <v>0</v>
      </c>
      <c r="CS354" s="1448">
        <v>0</v>
      </c>
      <c r="CT354" s="755"/>
      <c r="CV354" s="1449">
        <v>0</v>
      </c>
      <c r="CW354" s="1448">
        <v>0</v>
      </c>
      <c r="CX354" s="755"/>
      <c r="CZ354" s="1449">
        <v>0</v>
      </c>
      <c r="DA354" s="1448">
        <v>0</v>
      </c>
      <c r="DB354" s="755"/>
      <c r="DD354" s="755">
        <v>0</v>
      </c>
      <c r="DE354" s="757">
        <v>0</v>
      </c>
      <c r="DF354" s="755"/>
      <c r="DH354" s="755">
        <v>0</v>
      </c>
      <c r="DI354" s="757">
        <v>0</v>
      </c>
      <c r="DJ354" s="755"/>
      <c r="DL354" s="757">
        <v>0</v>
      </c>
      <c r="DM354" s="757">
        <v>0</v>
      </c>
      <c r="DN354" s="755"/>
      <c r="DP354" s="757">
        <v>0</v>
      </c>
      <c r="DQ354" s="757">
        <v>0</v>
      </c>
      <c r="DR354" s="755"/>
      <c r="DU354" s="1119"/>
      <c r="DV354" s="1119"/>
      <c r="DW354" s="1126"/>
      <c r="DZ354" s="102"/>
    </row>
    <row r="355" spans="1:138">
      <c r="A355" s="102" t="s">
        <v>103</v>
      </c>
      <c r="C355" s="103" t="s">
        <v>63</v>
      </c>
      <c r="P355" s="632"/>
      <c r="Q355" s="632"/>
      <c r="R355" s="632"/>
      <c r="T355" s="632"/>
      <c r="U355" s="632"/>
      <c r="V355" s="632"/>
      <c r="X355" s="632"/>
      <c r="Y355" s="632"/>
      <c r="Z355" s="632"/>
      <c r="AB355" s="632"/>
      <c r="AC355" s="632"/>
      <c r="AD355" s="632"/>
      <c r="AE355" s="293"/>
      <c r="AF355" s="632"/>
      <c r="AG355" s="632"/>
      <c r="AH355" s="632"/>
      <c r="AJ355" s="632"/>
      <c r="AK355" s="632"/>
      <c r="AL355" s="632"/>
      <c r="AN355" s="735">
        <f>+AN345</f>
        <v>0</v>
      </c>
      <c r="AO355" s="735">
        <f>+AO345</f>
        <v>1.1215299999999999</v>
      </c>
      <c r="AP355" s="735">
        <f>+AN355+AO355</f>
        <v>1.1215299999999999</v>
      </c>
      <c r="AR355" s="735">
        <f>-AR342</f>
        <v>0.13361300000000001</v>
      </c>
      <c r="AS355" s="735">
        <f>-AS342</f>
        <v>7.5306999999999985E-2</v>
      </c>
      <c r="AT355" s="735">
        <f>+AR355+AS355</f>
        <v>0.20891999999999999</v>
      </c>
      <c r="AV355" s="735">
        <f>-AV342</f>
        <v>0.13836599999999999</v>
      </c>
      <c r="AW355" s="735">
        <f>-AW342</f>
        <v>2.3313E-2</v>
      </c>
      <c r="AX355" s="735">
        <f>+AV355+AW355</f>
        <v>0.16167899999999999</v>
      </c>
      <c r="AZ355" s="735">
        <f>-AZ342</f>
        <v>4.0964E-2</v>
      </c>
      <c r="BA355" s="735">
        <f>-BA342</f>
        <v>0.79381900000000005</v>
      </c>
      <c r="BB355" s="735">
        <f>-BB342</f>
        <v>0.83478300000000005</v>
      </c>
      <c r="BD355" s="735">
        <f>-BD342</f>
        <v>3.4141999999999999E-2</v>
      </c>
      <c r="BE355" s="735">
        <f>-BE342</f>
        <v>0.22641800000000001</v>
      </c>
      <c r="BF355" s="735">
        <f>-BF342</f>
        <v>0.26056000000000001</v>
      </c>
      <c r="BH355" s="735">
        <f>-BH342</f>
        <v>0.16572100000000001</v>
      </c>
      <c r="BI355" s="735">
        <f>-BI342</f>
        <v>0.458897</v>
      </c>
      <c r="BJ355" s="735">
        <f>+BH355+BI355</f>
        <v>0.62461800000000001</v>
      </c>
      <c r="BL355" s="735">
        <f>-BL342</f>
        <v>1.9886000000000001E-2</v>
      </c>
      <c r="BM355" s="735">
        <f>-BM342</f>
        <v>0.12795400000000001</v>
      </c>
      <c r="BN355" s="735">
        <f>+BL355+BM355</f>
        <v>0.14784000000000003</v>
      </c>
      <c r="BP355" s="735">
        <f>-BP342</f>
        <v>1.9886000000000001E-2</v>
      </c>
      <c r="BQ355" s="735">
        <f>-BQ342</f>
        <v>0.13635799999999998</v>
      </c>
      <c r="BR355" s="735">
        <f>+BP355+BQ355</f>
        <v>0.15624399999999999</v>
      </c>
      <c r="BT355" s="735">
        <f>-BT342</f>
        <v>1.9886000000000001E-2</v>
      </c>
      <c r="BU355" s="735">
        <f>-BU342</f>
        <v>1.9886000000000001E-2</v>
      </c>
      <c r="BV355" s="735">
        <f>+BT355+BU355</f>
        <v>3.9772000000000002E-2</v>
      </c>
      <c r="BX355" s="735">
        <f>-BX342</f>
        <v>1.9886000000000001E-2</v>
      </c>
      <c r="BY355" s="735">
        <f>-BY342</f>
        <v>1.9886000000000001E-2</v>
      </c>
      <c r="BZ355" s="735">
        <f>+BX355+BY355</f>
        <v>3.9772000000000002E-2</v>
      </c>
      <c r="CB355" s="735">
        <f>-CB342</f>
        <v>1.9886000000000001E-2</v>
      </c>
      <c r="CC355" s="741">
        <v>0</v>
      </c>
      <c r="CD355" s="735">
        <f>+CB355+CC355</f>
        <v>1.9886000000000001E-2</v>
      </c>
      <c r="CF355" s="735">
        <f>-CF342</f>
        <v>1.8984000000000001E-2</v>
      </c>
      <c r="CG355" s="741">
        <v>0</v>
      </c>
      <c r="CH355" s="735">
        <f>+CF355+CG355</f>
        <v>1.8984000000000001E-2</v>
      </c>
      <c r="CJ355" s="735">
        <f>-CJ342</f>
        <v>1.8984000000000001E-2</v>
      </c>
      <c r="CK355" s="1441">
        <v>0</v>
      </c>
      <c r="CL355" s="1440">
        <f>+CJ355+CK355</f>
        <v>1.8984000000000001E-2</v>
      </c>
      <c r="CM355" s="1009"/>
      <c r="CN355" s="1440">
        <v>1.8984000000000001E-2</v>
      </c>
      <c r="CO355" s="1441">
        <v>0</v>
      </c>
      <c r="CP355" s="735">
        <f>+CN355+CO355</f>
        <v>1.8984000000000001E-2</v>
      </c>
      <c r="CR355" s="735">
        <v>1.8984000000000001E-2</v>
      </c>
      <c r="CS355" s="1441">
        <v>0</v>
      </c>
      <c r="CT355" s="735">
        <f>+CR355+CS355</f>
        <v>1.8984000000000001E-2</v>
      </c>
      <c r="CV355" s="1440">
        <v>1.8984000000000001E-2</v>
      </c>
      <c r="CW355" s="1441">
        <v>0</v>
      </c>
      <c r="CX355" s="735">
        <f>+CV355+CW355</f>
        <v>1.8984000000000001E-2</v>
      </c>
      <c r="CZ355" s="1440">
        <v>1.8984000000000001E-2</v>
      </c>
      <c r="DA355" s="1441">
        <v>0</v>
      </c>
      <c r="DB355" s="735">
        <f>+CZ355+DA355</f>
        <v>1.8984000000000001E-2</v>
      </c>
      <c r="DD355" s="735">
        <v>1.8984000000000001E-2</v>
      </c>
      <c r="DE355" s="741">
        <v>0</v>
      </c>
      <c r="DF355" s="735">
        <f>+DD355+DE355</f>
        <v>1.8984000000000001E-2</v>
      </c>
      <c r="DH355" s="735">
        <v>1.8984000000000001E-2</v>
      </c>
      <c r="DI355" s="741">
        <v>0</v>
      </c>
      <c r="DJ355" s="735">
        <f>+DH355+DI355</f>
        <v>1.8984000000000001E-2</v>
      </c>
      <c r="DL355" s="741">
        <v>0</v>
      </c>
      <c r="DM355" s="741">
        <v>0</v>
      </c>
      <c r="DN355" s="735">
        <f>+DL355+DM355</f>
        <v>0</v>
      </c>
      <c r="DP355" s="741">
        <v>0</v>
      </c>
      <c r="DQ355" s="741">
        <v>0</v>
      </c>
      <c r="DR355" s="735">
        <f>+DP355+DQ355</f>
        <v>0</v>
      </c>
      <c r="DU355" s="1117"/>
      <c r="DV355" s="1117"/>
      <c r="DW355" s="1116"/>
      <c r="DZ355" s="102"/>
    </row>
    <row r="356" spans="1:138">
      <c r="A356" s="289"/>
      <c r="X356" s="293"/>
      <c r="Y356" s="293"/>
      <c r="Z356" s="293"/>
      <c r="AB356" s="293"/>
      <c r="AC356" s="293"/>
      <c r="AD356" s="293"/>
      <c r="AE356" s="293"/>
      <c r="AF356" s="293"/>
      <c r="AG356" s="293"/>
      <c r="AH356" s="293"/>
    </row>
    <row r="358" spans="1:138" s="1073" customFormat="1">
      <c r="A358" s="620" t="s">
        <v>128</v>
      </c>
      <c r="B358" s="759"/>
      <c r="C358" s="760"/>
      <c r="D358" s="759"/>
      <c r="E358" s="759"/>
      <c r="F358" s="759"/>
      <c r="G358" s="759"/>
      <c r="H358" s="759"/>
      <c r="I358" s="759"/>
      <c r="J358" s="759"/>
      <c r="K358" s="759"/>
      <c r="L358" s="759"/>
      <c r="M358" s="759"/>
      <c r="N358" s="759"/>
      <c r="O358" s="759"/>
      <c r="P358" s="760"/>
      <c r="Q358" s="760"/>
      <c r="R358" s="760"/>
      <c r="S358" s="760"/>
      <c r="T358" s="760"/>
      <c r="U358" s="760"/>
      <c r="V358" s="760"/>
      <c r="W358" s="760"/>
      <c r="X358" s="623"/>
      <c r="Y358" s="623"/>
      <c r="Z358" s="623"/>
      <c r="AA358" s="760"/>
      <c r="AB358" s="623"/>
      <c r="AC358" s="623"/>
      <c r="AD358" s="623"/>
      <c r="AE358" s="623"/>
      <c r="AF358" s="623"/>
      <c r="AG358" s="623"/>
      <c r="AH358" s="623"/>
      <c r="AI358" s="738"/>
      <c r="AJ358" s="623"/>
      <c r="AK358" s="623"/>
      <c r="AL358" s="623"/>
      <c r="AM358" s="760"/>
      <c r="AN358" s="623"/>
      <c r="AO358" s="623"/>
      <c r="AP358" s="623"/>
      <c r="AQ358" s="760"/>
      <c r="AR358" s="623"/>
      <c r="AS358" s="623"/>
      <c r="AT358" s="623"/>
      <c r="AU358" s="760"/>
      <c r="AV358" s="623"/>
      <c r="AW358" s="623"/>
      <c r="AX358" s="623"/>
      <c r="AY358" s="760"/>
      <c r="AZ358" s="623"/>
      <c r="BA358" s="623"/>
      <c r="BB358" s="623"/>
      <c r="BC358" s="760"/>
      <c r="BD358" s="623"/>
      <c r="BE358" s="623"/>
      <c r="BF358" s="623"/>
      <c r="BG358" s="760"/>
      <c r="BH358" s="623"/>
      <c r="BI358" s="623"/>
      <c r="BJ358" s="623"/>
      <c r="BK358" s="760"/>
      <c r="BL358" s="623"/>
      <c r="BM358" s="623"/>
      <c r="BN358" s="623"/>
      <c r="BO358" s="760"/>
      <c r="BP358" s="623"/>
      <c r="BQ358" s="623"/>
      <c r="BR358" s="623"/>
      <c r="BS358" s="760"/>
      <c r="BT358" s="623"/>
      <c r="BU358" s="623"/>
      <c r="BV358" s="623"/>
      <c r="BW358" s="760"/>
      <c r="BX358" s="623"/>
      <c r="BY358" s="623"/>
      <c r="BZ358" s="623"/>
      <c r="CA358" s="760"/>
      <c r="CB358" s="623"/>
      <c r="CC358" s="623"/>
      <c r="CD358" s="623"/>
      <c r="CE358" s="760"/>
      <c r="CF358" s="623"/>
      <c r="CG358" s="623"/>
      <c r="CH358" s="623"/>
      <c r="CI358" s="760"/>
      <c r="CJ358" s="623"/>
      <c r="CK358" s="623"/>
      <c r="CL358" s="623"/>
      <c r="CM358" s="760"/>
      <c r="CN358" s="623"/>
      <c r="CO358" s="623"/>
      <c r="CP358" s="623"/>
      <c r="CQ358" s="760"/>
      <c r="CR358" s="623"/>
      <c r="CS358" s="623"/>
      <c r="CT358" s="623"/>
      <c r="CU358" s="760"/>
      <c r="CV358" s="623"/>
      <c r="CW358" s="1812"/>
      <c r="CX358" s="623"/>
      <c r="CY358" s="760"/>
      <c r="CZ358" s="623"/>
      <c r="DA358" s="623"/>
      <c r="DB358" s="623"/>
      <c r="DC358" s="760"/>
      <c r="DD358" s="623"/>
      <c r="DE358" s="623"/>
      <c r="DF358" s="623"/>
      <c r="DG358" s="760"/>
      <c r="DH358" s="623"/>
      <c r="DI358" s="623"/>
      <c r="DJ358" s="623"/>
      <c r="DK358" s="760"/>
      <c r="DL358" s="623"/>
      <c r="DM358" s="623"/>
      <c r="DN358" s="623"/>
      <c r="DO358" s="760"/>
      <c r="DP358" s="623"/>
      <c r="DQ358" s="623"/>
      <c r="DR358" s="623"/>
      <c r="DS358" s="760"/>
      <c r="DT358" s="730"/>
      <c r="DU358" s="626"/>
      <c r="DV358" s="626"/>
      <c r="DW358" s="626"/>
      <c r="DX358" s="730"/>
      <c r="EH358"/>
    </row>
    <row r="359" spans="1:138">
      <c r="X359" s="293"/>
      <c r="Y359" s="293"/>
      <c r="Z359" s="293"/>
      <c r="AB359" s="293"/>
      <c r="AC359" s="293"/>
      <c r="AD359" s="293"/>
      <c r="AE359" s="293"/>
      <c r="AF359" s="293"/>
      <c r="AG359" s="293"/>
      <c r="AH359" s="293"/>
      <c r="AI359" s="320"/>
      <c r="AJ359" s="293"/>
      <c r="AK359" s="293"/>
      <c r="AL359" s="293"/>
      <c r="AN359" s="293"/>
      <c r="AO359" s="293"/>
      <c r="AP359" s="293"/>
      <c r="AR359" s="293"/>
      <c r="AS359" s="293"/>
      <c r="AT359" s="293"/>
      <c r="AV359" s="293"/>
      <c r="AW359" s="293"/>
      <c r="AX359" s="293"/>
      <c r="AZ359" s="293"/>
      <c r="BA359" s="293"/>
      <c r="BB359" s="293"/>
      <c r="BD359" s="293"/>
      <c r="BE359" s="293"/>
      <c r="BF359" s="293"/>
      <c r="BH359" s="293"/>
      <c r="BI359" s="293"/>
      <c r="BJ359" s="293"/>
      <c r="BL359" s="293"/>
      <c r="BM359" s="293"/>
      <c r="BN359" s="293"/>
      <c r="BP359" s="293"/>
      <c r="BQ359" s="293"/>
      <c r="BR359" s="293"/>
      <c r="BT359" s="293"/>
      <c r="BU359" s="293"/>
      <c r="BV359" s="293"/>
      <c r="BX359" s="293"/>
      <c r="BY359" s="293"/>
      <c r="BZ359" s="293"/>
      <c r="CB359" s="293"/>
      <c r="CC359" s="293"/>
      <c r="CD359" s="293"/>
      <c r="CF359" s="293"/>
      <c r="CG359" s="293"/>
      <c r="CH359" s="293"/>
      <c r="CJ359" s="293"/>
      <c r="CK359" s="293"/>
      <c r="CL359" s="293"/>
      <c r="CN359" s="293"/>
      <c r="CO359" s="293"/>
      <c r="CP359" s="293"/>
      <c r="CR359" s="293"/>
      <c r="CS359" s="293"/>
      <c r="CT359" s="293"/>
      <c r="CV359" s="293"/>
      <c r="CW359" s="1495"/>
      <c r="CX359" s="293"/>
      <c r="CZ359" s="293"/>
      <c r="DA359" s="293"/>
      <c r="DB359" s="293"/>
      <c r="DD359" s="293"/>
      <c r="DE359" s="293"/>
      <c r="DF359" s="293"/>
      <c r="DH359" s="293"/>
      <c r="DI359" s="293"/>
      <c r="DJ359" s="293"/>
      <c r="DL359" s="293"/>
      <c r="DM359" s="293"/>
      <c r="DN359" s="293"/>
      <c r="DP359" s="293"/>
      <c r="DQ359" s="293"/>
      <c r="DR359" s="293"/>
      <c r="DU359" s="293"/>
      <c r="DV359" s="293"/>
      <c r="DW359" s="293"/>
    </row>
    <row r="360" spans="1:138">
      <c r="A360" s="102" t="s">
        <v>62</v>
      </c>
      <c r="X360" s="626"/>
      <c r="Y360" s="293"/>
      <c r="Z360" s="293"/>
      <c r="AB360" s="626">
        <v>-14</v>
      </c>
      <c r="AC360" s="293">
        <f>+AB362</f>
        <v>-14</v>
      </c>
      <c r="AD360" s="293">
        <f>+AB360</f>
        <v>-14</v>
      </c>
      <c r="AE360" s="293"/>
      <c r="AF360" s="293">
        <f>+AC362</f>
        <v>-1</v>
      </c>
      <c r="AG360" s="293">
        <f>+AF362</f>
        <v>-1</v>
      </c>
      <c r="AH360" s="293">
        <f>+AF360</f>
        <v>-1</v>
      </c>
      <c r="AI360" s="320"/>
      <c r="AJ360" s="293">
        <f>+AG362</f>
        <v>-2</v>
      </c>
      <c r="AK360" s="293">
        <f>+AJ362</f>
        <v>-2</v>
      </c>
      <c r="AL360" s="293">
        <f>+AJ360</f>
        <v>-2</v>
      </c>
      <c r="AN360" s="293">
        <f>+AK362</f>
        <v>-7</v>
      </c>
      <c r="AO360" s="293">
        <f>+AN362</f>
        <v>-10</v>
      </c>
      <c r="AP360" s="293">
        <f>+AN360</f>
        <v>-7</v>
      </c>
      <c r="AR360" s="293">
        <f>+AO362</f>
        <v>-12</v>
      </c>
      <c r="AS360" s="293">
        <f>+AR362</f>
        <v>-2</v>
      </c>
      <c r="AT360" s="293">
        <f>+AR360</f>
        <v>-12</v>
      </c>
      <c r="AV360" s="293">
        <f>+AS362</f>
        <v>-2</v>
      </c>
      <c r="AW360" s="293">
        <f>+AV362</f>
        <v>-2</v>
      </c>
      <c r="AX360" s="293">
        <f>+AV360</f>
        <v>-2</v>
      </c>
      <c r="AZ360" s="293">
        <f>+AW362</f>
        <v>-443</v>
      </c>
      <c r="BA360" s="293">
        <f>+AZ362</f>
        <v>-719</v>
      </c>
      <c r="BB360" s="293">
        <f>+AZ360</f>
        <v>-443</v>
      </c>
      <c r="BD360" s="293">
        <f>+BA362</f>
        <v>-731</v>
      </c>
      <c r="BE360" s="293">
        <f>+BD362</f>
        <v>-993</v>
      </c>
      <c r="BF360" s="293">
        <f>+BD360</f>
        <v>-731</v>
      </c>
      <c r="BH360" s="293">
        <f>+BE362</f>
        <v>-974</v>
      </c>
      <c r="BI360" s="293">
        <f>+BH362</f>
        <v>-1058</v>
      </c>
      <c r="BJ360" s="293">
        <f>+BH360</f>
        <v>-974</v>
      </c>
      <c r="BL360" s="293">
        <f>+BI362</f>
        <v>-1011</v>
      </c>
      <c r="BM360" s="293">
        <f>+BL362</f>
        <v>-1025</v>
      </c>
      <c r="BN360" s="293">
        <f>+BL360</f>
        <v>-1011</v>
      </c>
      <c r="BP360" s="293">
        <f>+BM362</f>
        <v>-990</v>
      </c>
      <c r="BQ360" s="293">
        <f>+BP362</f>
        <v>-1003</v>
      </c>
      <c r="BR360" s="293">
        <f>+BP360</f>
        <v>-990</v>
      </c>
      <c r="BT360" s="293">
        <f>+BQ362</f>
        <v>-971</v>
      </c>
      <c r="BU360" s="293">
        <f>+BT362</f>
        <v>-1088</v>
      </c>
      <c r="BV360" s="293">
        <f>+BT360</f>
        <v>-971</v>
      </c>
      <c r="BX360" s="293">
        <f>+BU362</f>
        <v>-1036</v>
      </c>
      <c r="BY360" s="293">
        <f>+BX362</f>
        <v>-1221</v>
      </c>
      <c r="BZ360" s="293">
        <f>+BX360</f>
        <v>-1036</v>
      </c>
      <c r="CB360" s="293">
        <f>+BY362</f>
        <v>-1187</v>
      </c>
      <c r="CC360" s="293">
        <f>+CB362</f>
        <v>-1307</v>
      </c>
      <c r="CD360" s="293">
        <f>+CB360</f>
        <v>-1187</v>
      </c>
      <c r="CF360" s="293">
        <f>+CC362</f>
        <v>-1264</v>
      </c>
      <c r="CG360" s="293">
        <f>+CF362</f>
        <v>-1413</v>
      </c>
      <c r="CH360" s="293">
        <f>+CF360</f>
        <v>-1264</v>
      </c>
      <c r="CJ360" s="293">
        <f>+CG362</f>
        <v>-1372</v>
      </c>
      <c r="CK360" s="293">
        <f>+CJ362</f>
        <v>-1568</v>
      </c>
      <c r="CL360" s="293">
        <f>+CJ360</f>
        <v>-1372</v>
      </c>
      <c r="CN360" s="293">
        <f>+CK362</f>
        <v>-1446</v>
      </c>
      <c r="CO360" s="293">
        <f>+CN362</f>
        <v>-1702</v>
      </c>
      <c r="CP360" s="293">
        <f>+CN360</f>
        <v>-1446</v>
      </c>
      <c r="CR360" s="293">
        <f>+CO362</f>
        <v>-1633</v>
      </c>
      <c r="CS360" s="293">
        <f>+CR362</f>
        <v>-1896</v>
      </c>
      <c r="CT360" s="293">
        <f>+CR360</f>
        <v>-1633</v>
      </c>
      <c r="CV360" s="293">
        <f>+CS362</f>
        <v>-1858</v>
      </c>
      <c r="CW360" s="1495">
        <f>+CV362</f>
        <v>-2389</v>
      </c>
      <c r="CX360" s="293">
        <f>+CV360</f>
        <v>-1858</v>
      </c>
      <c r="CZ360" s="293">
        <f>+CW362</f>
        <v>-2328</v>
      </c>
      <c r="DA360" s="1495">
        <f>+CZ362</f>
        <v>-2871</v>
      </c>
      <c r="DB360" s="293">
        <f>+CZ360</f>
        <v>-2328</v>
      </c>
      <c r="DD360" s="293">
        <f>+DA362</f>
        <v>-2784</v>
      </c>
      <c r="DE360" s="1495">
        <f>+DD362</f>
        <v>-2873</v>
      </c>
      <c r="DF360" s="293">
        <f>+DD360</f>
        <v>-2784</v>
      </c>
      <c r="DH360" s="293">
        <f>+DE362</f>
        <v>-2764</v>
      </c>
      <c r="DI360" s="293">
        <f>+DH362</f>
        <v>-2772</v>
      </c>
      <c r="DJ360" s="293">
        <f>+DH360</f>
        <v>-2764</v>
      </c>
      <c r="DL360" s="293">
        <f>+DI362</f>
        <v>-2855.16</v>
      </c>
      <c r="DM360" s="293">
        <f>+DL362</f>
        <v>-2940.8147999999997</v>
      </c>
      <c r="DN360" s="293">
        <f>+DL360</f>
        <v>-2855.16</v>
      </c>
      <c r="DP360" s="293">
        <f>+DM362</f>
        <v>-3029.0392439999996</v>
      </c>
      <c r="DQ360" s="293">
        <f>+DP362</f>
        <v>-3119.9104213199994</v>
      </c>
      <c r="DR360" s="293">
        <f>+DP360</f>
        <v>-3029.0392439999996</v>
      </c>
      <c r="DU360" s="293"/>
      <c r="DV360" s="293"/>
      <c r="DW360" s="293"/>
    </row>
    <row r="361" spans="1:138">
      <c r="A361" s="302" t="s">
        <v>129</v>
      </c>
      <c r="B361" s="302"/>
      <c r="C361" s="304"/>
      <c r="D361" s="302"/>
      <c r="E361" s="302"/>
      <c r="F361" s="302"/>
      <c r="G361" s="302"/>
      <c r="H361" s="302"/>
      <c r="I361" s="302"/>
      <c r="J361" s="302"/>
      <c r="K361" s="302"/>
      <c r="L361" s="302"/>
      <c r="M361" s="302"/>
      <c r="N361" s="302"/>
      <c r="O361" s="302"/>
      <c r="P361" s="304"/>
      <c r="Q361" s="304"/>
      <c r="R361" s="304"/>
      <c r="S361" s="304"/>
      <c r="T361" s="304"/>
      <c r="U361" s="304"/>
      <c r="V361" s="304"/>
      <c r="W361" s="304"/>
      <c r="X361" s="303"/>
      <c r="Y361" s="303"/>
      <c r="Z361" s="303"/>
      <c r="AA361" s="304"/>
      <c r="AB361" s="303">
        <f>+AB362-AB360</f>
        <v>0</v>
      </c>
      <c r="AC361" s="303">
        <f>+AC362-AC360</f>
        <v>13</v>
      </c>
      <c r="AD361" s="303">
        <f>+AB361+AC361</f>
        <v>13</v>
      </c>
      <c r="AE361" s="303"/>
      <c r="AF361" s="303">
        <f>+AF362-AF360</f>
        <v>0</v>
      </c>
      <c r="AG361" s="303">
        <f>+AG362-AG360</f>
        <v>-1</v>
      </c>
      <c r="AH361" s="303">
        <f>+AF361+AG361</f>
        <v>-1</v>
      </c>
      <c r="AI361" s="628"/>
      <c r="AJ361" s="303">
        <f>+AJ362-AJ360</f>
        <v>0</v>
      </c>
      <c r="AK361" s="303">
        <f>+AK362-AK360</f>
        <v>-5</v>
      </c>
      <c r="AL361" s="303">
        <f>+AJ361+AK361</f>
        <v>-5</v>
      </c>
      <c r="AM361" s="304"/>
      <c r="AN361" s="303">
        <f>+AN362-AN360</f>
        <v>-3</v>
      </c>
      <c r="AO361" s="303">
        <f>+AO362-AO360</f>
        <v>-2</v>
      </c>
      <c r="AP361" s="303">
        <f>+AN361+AO361</f>
        <v>-5</v>
      </c>
      <c r="AQ361" s="304"/>
      <c r="AR361" s="303">
        <f>+AR362-AR360</f>
        <v>10</v>
      </c>
      <c r="AS361" s="303">
        <f>+AS362-AS360</f>
        <v>0</v>
      </c>
      <c r="AT361" s="303">
        <f>+AR361+AS361</f>
        <v>10</v>
      </c>
      <c r="AU361" s="304"/>
      <c r="AV361" s="303">
        <f>+AV362-AV360</f>
        <v>0</v>
      </c>
      <c r="AW361" s="303">
        <f>+AW362-AW360</f>
        <v>-441</v>
      </c>
      <c r="AX361" s="303">
        <f>+AV361+AW361</f>
        <v>-441</v>
      </c>
      <c r="AY361" s="304"/>
      <c r="AZ361" s="303">
        <f>+AZ362-AZ360</f>
        <v>-276</v>
      </c>
      <c r="BA361" s="303">
        <f>+BA362-BA360</f>
        <v>-12</v>
      </c>
      <c r="BB361" s="303">
        <f>+AZ361+BA361</f>
        <v>-288</v>
      </c>
      <c r="BC361" s="304"/>
      <c r="BD361" s="303">
        <f>+BD362-BD360</f>
        <v>-262</v>
      </c>
      <c r="BE361" s="303">
        <f>+BE362-BE360</f>
        <v>19</v>
      </c>
      <c r="BF361" s="303">
        <f>+BD361+BE361</f>
        <v>-243</v>
      </c>
      <c r="BG361" s="304"/>
      <c r="BH361" s="303">
        <f>+BH362-BH360</f>
        <v>-84</v>
      </c>
      <c r="BI361" s="303">
        <f>+BI362-BI360</f>
        <v>47</v>
      </c>
      <c r="BJ361" s="303">
        <f>+BH361+BI361</f>
        <v>-37</v>
      </c>
      <c r="BK361" s="304"/>
      <c r="BL361" s="303">
        <f>+BL362-BL360</f>
        <v>-14</v>
      </c>
      <c r="BM361" s="303">
        <f>+BM362-BM360</f>
        <v>35</v>
      </c>
      <c r="BN361" s="303">
        <f>+BL361+BM361</f>
        <v>21</v>
      </c>
      <c r="BO361" s="304"/>
      <c r="BP361" s="303">
        <f>+BP362-BP360</f>
        <v>-13</v>
      </c>
      <c r="BQ361" s="303">
        <f>+BQ362-BQ360</f>
        <v>32</v>
      </c>
      <c r="BR361" s="303">
        <f>+BP361+BQ361</f>
        <v>19</v>
      </c>
      <c r="BS361" s="304"/>
      <c r="BT361" s="303">
        <f>+BT362-BT360</f>
        <v>-117</v>
      </c>
      <c r="BU361" s="303">
        <f>+BU362-BU360</f>
        <v>52</v>
      </c>
      <c r="BV361" s="303">
        <f>+BT361+BU361</f>
        <v>-65</v>
      </c>
      <c r="BW361" s="304"/>
      <c r="BX361" s="303">
        <f>+BX362-BX360</f>
        <v>-185</v>
      </c>
      <c r="BY361" s="303">
        <f>+BY362-BY360</f>
        <v>34</v>
      </c>
      <c r="BZ361" s="303">
        <f>+BX361+BY361</f>
        <v>-151</v>
      </c>
      <c r="CA361" s="304"/>
      <c r="CB361" s="303">
        <f>+CB362-CB360</f>
        <v>-120</v>
      </c>
      <c r="CC361" s="303">
        <f>+CC362-CC360</f>
        <v>43</v>
      </c>
      <c r="CD361" s="303">
        <f>+CB361+CC361</f>
        <v>-77</v>
      </c>
      <c r="CE361" s="304"/>
      <c r="CF361" s="303">
        <f>+CF362-CF360</f>
        <v>-149</v>
      </c>
      <c r="CG361" s="303">
        <f>+CG362-CG360</f>
        <v>41</v>
      </c>
      <c r="CH361" s="303">
        <f>+CF361+CG361</f>
        <v>-108</v>
      </c>
      <c r="CI361" s="304"/>
      <c r="CJ361" s="303">
        <f>+CJ362-CJ360</f>
        <v>-196</v>
      </c>
      <c r="CK361" s="303">
        <f>+CK362-CK360</f>
        <v>122</v>
      </c>
      <c r="CL361" s="303">
        <f>+CJ361+CK361</f>
        <v>-74</v>
      </c>
      <c r="CM361" s="304"/>
      <c r="CN361" s="303">
        <f>+CN362-CN360</f>
        <v>-256</v>
      </c>
      <c r="CO361" s="303">
        <f>+CO362-CO360</f>
        <v>69</v>
      </c>
      <c r="CP361" s="303">
        <f>+CN361+CO361</f>
        <v>-187</v>
      </c>
      <c r="CQ361" s="304"/>
      <c r="CR361" s="303">
        <f>+CR362-CR360</f>
        <v>-263</v>
      </c>
      <c r="CS361" s="303">
        <f>+CS362-CS360</f>
        <v>38</v>
      </c>
      <c r="CT361" s="303">
        <f>+CR361+CS361</f>
        <v>-225</v>
      </c>
      <c r="CU361" s="304"/>
      <c r="CV361" s="303">
        <f>+CV362-CV360</f>
        <v>-531</v>
      </c>
      <c r="CW361" s="1799">
        <f>+CW362-CW360</f>
        <v>61</v>
      </c>
      <c r="CX361" s="303">
        <f>+CV361+CW361</f>
        <v>-470</v>
      </c>
      <c r="CY361" s="304"/>
      <c r="CZ361" s="303">
        <f>+CZ362-CZ360</f>
        <v>-543</v>
      </c>
      <c r="DA361" s="1799">
        <f>+DA362-DA360</f>
        <v>87</v>
      </c>
      <c r="DB361" s="303">
        <f>+CZ361+DA361</f>
        <v>-456</v>
      </c>
      <c r="DC361" s="304"/>
      <c r="DD361" s="303">
        <f>+DD362-DD360</f>
        <v>-89</v>
      </c>
      <c r="DE361" s="1799">
        <f>+DE362-DE360</f>
        <v>109</v>
      </c>
      <c r="DF361" s="303">
        <f>+DD361+DE361</f>
        <v>20</v>
      </c>
      <c r="DG361" s="304"/>
      <c r="DH361" s="303">
        <f>+DH362-DH360</f>
        <v>-8</v>
      </c>
      <c r="DI361" s="627">
        <f>+DI360*0.03</f>
        <v>-83.16</v>
      </c>
      <c r="DJ361" s="303">
        <f>+DH361+DI361</f>
        <v>-91.16</v>
      </c>
      <c r="DK361" s="304"/>
      <c r="DL361" s="627">
        <f>+DL360*0.03</f>
        <v>-85.654799999999994</v>
      </c>
      <c r="DM361" s="627">
        <f>+DM360*0.03</f>
        <v>-88.224443999999991</v>
      </c>
      <c r="DN361" s="303">
        <f>+DL361+DM361</f>
        <v>-173.87924399999997</v>
      </c>
      <c r="DO361" s="304"/>
      <c r="DP361" s="627">
        <f>+DP360*0.03</f>
        <v>-90.871177319999987</v>
      </c>
      <c r="DQ361" s="627">
        <f>+DQ360*0.03</f>
        <v>-93.597312639599977</v>
      </c>
      <c r="DR361" s="303">
        <f>+DP361+DQ361</f>
        <v>-184.46848995959996</v>
      </c>
      <c r="DS361" s="304"/>
      <c r="DU361" s="626"/>
      <c r="DV361" s="626"/>
      <c r="DW361" s="293"/>
      <c r="DZ361" s="102"/>
    </row>
    <row r="362" spans="1:138">
      <c r="A362" s="102" t="s">
        <v>67</v>
      </c>
      <c r="X362" s="293"/>
      <c r="Y362" s="293"/>
      <c r="Z362" s="293"/>
      <c r="AB362" s="293">
        <f>AB105</f>
        <v>-14</v>
      </c>
      <c r="AC362" s="293">
        <f>AC105</f>
        <v>-1</v>
      </c>
      <c r="AD362" s="293">
        <f>AD105</f>
        <v>-1</v>
      </c>
      <c r="AE362" s="293"/>
      <c r="AF362" s="293">
        <f>AF105</f>
        <v>-1</v>
      </c>
      <c r="AG362" s="293">
        <f>AG105</f>
        <v>-2</v>
      </c>
      <c r="AH362" s="293">
        <f>AH105</f>
        <v>-2</v>
      </c>
      <c r="AI362" s="320"/>
      <c r="AJ362" s="293">
        <f>AJ105</f>
        <v>-2</v>
      </c>
      <c r="AK362" s="293">
        <f>AK105</f>
        <v>-7</v>
      </c>
      <c r="AL362" s="293">
        <f>AL105</f>
        <v>-7</v>
      </c>
      <c r="AN362" s="293">
        <f>AN105</f>
        <v>-10</v>
      </c>
      <c r="AO362" s="293">
        <f>AO105</f>
        <v>-12</v>
      </c>
      <c r="AP362" s="293">
        <f>AP105</f>
        <v>-12</v>
      </c>
      <c r="AR362" s="293">
        <f>AR105</f>
        <v>-2</v>
      </c>
      <c r="AS362" s="293">
        <f>AS105</f>
        <v>-2</v>
      </c>
      <c r="AT362" s="293">
        <f>AT105</f>
        <v>-2</v>
      </c>
      <c r="AV362" s="293">
        <f>AV105</f>
        <v>-2</v>
      </c>
      <c r="AW362" s="293">
        <f>AW105</f>
        <v>-443</v>
      </c>
      <c r="AX362" s="293">
        <f>AX105</f>
        <v>-443</v>
      </c>
      <c r="AZ362" s="293">
        <f>AZ105</f>
        <v>-719</v>
      </c>
      <c r="BA362" s="293">
        <f>BA105</f>
        <v>-731</v>
      </c>
      <c r="BB362" s="293">
        <f>BB105</f>
        <v>-731</v>
      </c>
      <c r="BD362" s="293">
        <f>BD105</f>
        <v>-993</v>
      </c>
      <c r="BE362" s="293">
        <f>BE105</f>
        <v>-974</v>
      </c>
      <c r="BF362" s="293">
        <f>BF105</f>
        <v>-974</v>
      </c>
      <c r="BH362" s="293">
        <f>BH105</f>
        <v>-1058</v>
      </c>
      <c r="BI362" s="293">
        <f>BI105</f>
        <v>-1011</v>
      </c>
      <c r="BJ362" s="293">
        <f>BJ105</f>
        <v>-1011</v>
      </c>
      <c r="BL362" s="293">
        <f>BL105</f>
        <v>-1025</v>
      </c>
      <c r="BM362" s="293">
        <f>BM105</f>
        <v>-990</v>
      </c>
      <c r="BN362" s="293">
        <f>BN105</f>
        <v>-990</v>
      </c>
      <c r="BP362" s="293">
        <f>BP105</f>
        <v>-1003</v>
      </c>
      <c r="BQ362" s="293">
        <f>BQ105</f>
        <v>-971</v>
      </c>
      <c r="BR362" s="293">
        <f>BR105</f>
        <v>-971</v>
      </c>
      <c r="BT362" s="293">
        <f>BT105</f>
        <v>-1088</v>
      </c>
      <c r="BU362" s="293">
        <f>BU105</f>
        <v>-1036</v>
      </c>
      <c r="BV362" s="293">
        <f>BV105</f>
        <v>-1036</v>
      </c>
      <c r="BX362" s="293">
        <f>BX105</f>
        <v>-1221</v>
      </c>
      <c r="BY362" s="293">
        <f>BY105</f>
        <v>-1187</v>
      </c>
      <c r="BZ362" s="293">
        <f>BZ105</f>
        <v>-1187</v>
      </c>
      <c r="CB362" s="293">
        <f>CB105</f>
        <v>-1307</v>
      </c>
      <c r="CC362" s="293">
        <f>CC105</f>
        <v>-1264</v>
      </c>
      <c r="CD362" s="293">
        <f>CD105</f>
        <v>-1264</v>
      </c>
      <c r="CF362" s="293">
        <f>CF105</f>
        <v>-1413</v>
      </c>
      <c r="CG362" s="293">
        <f>CG105</f>
        <v>-1372</v>
      </c>
      <c r="CH362" s="293">
        <f>CH105</f>
        <v>-1372</v>
      </c>
      <c r="CJ362" s="293">
        <f>CJ105</f>
        <v>-1568</v>
      </c>
      <c r="CK362" s="293">
        <f>CK105</f>
        <v>-1446</v>
      </c>
      <c r="CL362" s="293">
        <f>CL105</f>
        <v>-1446</v>
      </c>
      <c r="CN362" s="293">
        <f>CN105</f>
        <v>-1702</v>
      </c>
      <c r="CO362" s="293">
        <f>CO105</f>
        <v>-1633</v>
      </c>
      <c r="CP362" s="293">
        <f>CP105</f>
        <v>-1633</v>
      </c>
      <c r="CR362" s="293">
        <f>CR105</f>
        <v>-1896</v>
      </c>
      <c r="CS362" s="293">
        <f>CS105</f>
        <v>-1858</v>
      </c>
      <c r="CT362" s="293">
        <f>CT105</f>
        <v>-1858</v>
      </c>
      <c r="CV362" s="293">
        <f>CV105</f>
        <v>-2389</v>
      </c>
      <c r="CW362" s="1495">
        <f>CW105</f>
        <v>-2328</v>
      </c>
      <c r="CX362" s="293">
        <f>CX105</f>
        <v>-2328</v>
      </c>
      <c r="CZ362" s="293">
        <f>CZ105</f>
        <v>-2871</v>
      </c>
      <c r="DA362" s="1495">
        <f>DA105</f>
        <v>-2784</v>
      </c>
      <c r="DB362" s="293">
        <f>DB105</f>
        <v>-2784</v>
      </c>
      <c r="DD362" s="293">
        <f>DD105</f>
        <v>-2873</v>
      </c>
      <c r="DE362" s="1495">
        <f>DE105</f>
        <v>-2764</v>
      </c>
      <c r="DF362" s="293">
        <f>DF105</f>
        <v>-2764</v>
      </c>
      <c r="DH362" s="293">
        <f>DH105</f>
        <v>-2772</v>
      </c>
      <c r="DI362" s="293">
        <f>+DI360+DI361</f>
        <v>-2855.16</v>
      </c>
      <c r="DJ362" s="293">
        <f>+DJ360+DJ361</f>
        <v>-2855.16</v>
      </c>
      <c r="DL362" s="293">
        <f>+DL360+DL361</f>
        <v>-2940.8147999999997</v>
      </c>
      <c r="DM362" s="293">
        <f>+DM360+DM361</f>
        <v>-3029.0392439999996</v>
      </c>
      <c r="DN362" s="293">
        <f>+DN360+DN361</f>
        <v>-3029.0392439999996</v>
      </c>
      <c r="DP362" s="293">
        <f>+DP360+DP361</f>
        <v>-3119.9104213199994</v>
      </c>
      <c r="DQ362" s="293">
        <f>+DQ360+DQ361</f>
        <v>-3213.5077339595991</v>
      </c>
      <c r="DR362" s="293">
        <f>+DR360+DR361</f>
        <v>-3213.5077339595996</v>
      </c>
      <c r="DU362" s="293"/>
      <c r="DV362" s="293"/>
      <c r="DW362" s="293"/>
    </row>
    <row r="363" spans="1:138">
      <c r="X363" s="293"/>
      <c r="Y363" s="293"/>
      <c r="Z363" s="626"/>
      <c r="AB363" s="293"/>
      <c r="AC363" s="293"/>
      <c r="AD363" s="626"/>
      <c r="AE363" s="293"/>
      <c r="AF363" s="626"/>
      <c r="AG363" s="626"/>
      <c r="AH363" s="293"/>
      <c r="AI363" s="320"/>
      <c r="DA363" s="1408"/>
      <c r="DE363" s="1408"/>
    </row>
    <row r="364" spans="1:138">
      <c r="A364" s="620" t="s">
        <v>130</v>
      </c>
      <c r="B364" s="621"/>
      <c r="C364" s="622"/>
      <c r="D364" s="621"/>
      <c r="E364" s="621"/>
      <c r="F364" s="621"/>
      <c r="G364" s="621"/>
      <c r="H364" s="621"/>
      <c r="I364" s="621"/>
      <c r="J364" s="621"/>
      <c r="K364" s="621"/>
      <c r="L364" s="621"/>
      <c r="M364" s="621"/>
      <c r="N364" s="621"/>
      <c r="O364" s="621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4"/>
      <c r="AX364" s="624"/>
      <c r="AY364" s="622"/>
      <c r="AZ364" s="624"/>
      <c r="BA364" s="624"/>
      <c r="BB364" s="624"/>
      <c r="BC364" s="622"/>
      <c r="BD364" s="624"/>
      <c r="BE364" s="624"/>
      <c r="BF364" s="624"/>
      <c r="BG364" s="622"/>
      <c r="BH364" s="624"/>
      <c r="BI364" s="624"/>
      <c r="BJ364" s="624"/>
      <c r="BK364" s="622"/>
      <c r="BL364" s="624"/>
      <c r="BM364" s="624"/>
      <c r="BN364" s="624"/>
      <c r="BO364" s="622"/>
      <c r="BP364" s="624"/>
      <c r="BQ364" s="624"/>
      <c r="BR364" s="624"/>
      <c r="BS364" s="622"/>
      <c r="BT364" s="624"/>
      <c r="BU364" s="624"/>
      <c r="BV364" s="624"/>
      <c r="BW364" s="622"/>
      <c r="BX364" s="624"/>
      <c r="BY364" s="624"/>
      <c r="BZ364" s="624"/>
      <c r="CA364" s="622"/>
      <c r="CB364" s="624"/>
      <c r="CC364" s="624"/>
      <c r="CD364" s="624"/>
      <c r="CE364" s="622"/>
      <c r="CF364" s="624"/>
      <c r="CG364" s="624"/>
      <c r="CH364" s="624"/>
      <c r="CI364" s="622"/>
      <c r="CJ364" s="624"/>
      <c r="CK364" s="624"/>
      <c r="CL364" s="624"/>
      <c r="CM364" s="622"/>
      <c r="CN364" s="624"/>
      <c r="CO364" s="624"/>
      <c r="CP364" s="624"/>
      <c r="CQ364" s="622"/>
      <c r="CR364" s="624"/>
      <c r="CS364" s="624"/>
      <c r="CT364" s="624"/>
      <c r="CU364" s="622"/>
      <c r="CV364" s="624"/>
      <c r="CW364" s="1801"/>
      <c r="CX364" s="624"/>
      <c r="CY364" s="622"/>
      <c r="CZ364" s="624"/>
      <c r="DA364" s="1801"/>
      <c r="DB364" s="624"/>
      <c r="DC364" s="622"/>
      <c r="DD364" s="624"/>
      <c r="DE364" s="1801"/>
      <c r="DF364" s="624"/>
      <c r="DG364" s="622"/>
      <c r="DH364" s="624"/>
      <c r="DI364" s="624"/>
      <c r="DJ364" s="624"/>
      <c r="DK364" s="622"/>
      <c r="DL364" s="624"/>
      <c r="DM364" s="624"/>
      <c r="DN364" s="624"/>
      <c r="DO364" s="622"/>
      <c r="DP364" s="624"/>
      <c r="DQ364" s="624"/>
      <c r="DR364" s="624"/>
      <c r="DS364" s="622"/>
      <c r="DU364" s="293"/>
      <c r="DV364" s="293"/>
      <c r="DW364" s="293"/>
      <c r="DZ364" s="102"/>
    </row>
    <row r="365" spans="1:138">
      <c r="A365" s="289"/>
      <c r="AW365" s="293"/>
      <c r="AX365" s="293"/>
      <c r="AZ365" s="293"/>
      <c r="BA365" s="293"/>
      <c r="BB365" s="293"/>
      <c r="BD365" s="293"/>
      <c r="BE365" s="293"/>
      <c r="BF365" s="293"/>
      <c r="BH365" s="293"/>
      <c r="BI365" s="293"/>
      <c r="BJ365" s="293"/>
      <c r="BL365" s="293"/>
      <c r="BM365" s="293"/>
      <c r="BN365" s="293"/>
      <c r="BP365" s="293"/>
      <c r="BQ365" s="293"/>
      <c r="BR365" s="293"/>
      <c r="BT365" s="293"/>
      <c r="BU365" s="293"/>
      <c r="BV365" s="293"/>
      <c r="BX365" s="293"/>
      <c r="BY365" s="293"/>
      <c r="BZ365" s="293"/>
      <c r="CB365" s="293"/>
      <c r="CC365" s="293"/>
      <c r="CD365" s="293"/>
      <c r="CF365" s="293"/>
      <c r="CG365" s="293"/>
      <c r="CH365" s="293"/>
      <c r="CJ365" s="293"/>
      <c r="CK365" s="293"/>
      <c r="CL365" s="293"/>
      <c r="CN365" s="293"/>
      <c r="CO365" s="293"/>
      <c r="CP365" s="293"/>
      <c r="CR365" s="293"/>
      <c r="CS365" s="293"/>
      <c r="CT365" s="293"/>
      <c r="CV365" s="293"/>
      <c r="CW365" s="1495"/>
      <c r="CX365" s="293"/>
      <c r="CZ365" s="293"/>
      <c r="DA365" s="1495"/>
      <c r="DB365" s="293"/>
      <c r="DD365" s="293"/>
      <c r="DE365" s="1495"/>
      <c r="DF365" s="293"/>
      <c r="DH365" s="293"/>
      <c r="DI365" s="293"/>
      <c r="DJ365" s="293"/>
      <c r="DL365" s="293"/>
      <c r="DM365" s="293"/>
      <c r="DN365" s="293"/>
      <c r="DP365" s="293"/>
      <c r="DQ365" s="293"/>
      <c r="DR365" s="293"/>
      <c r="DU365" s="293"/>
      <c r="DV365" s="293"/>
      <c r="DW365" s="293"/>
      <c r="DZ365" s="102"/>
    </row>
    <row r="366" spans="1:138">
      <c r="A366" s="102" t="s">
        <v>62</v>
      </c>
      <c r="C366" s="103" t="s">
        <v>612</v>
      </c>
      <c r="X366" s="705"/>
      <c r="Y366" s="702"/>
      <c r="Z366" s="704"/>
      <c r="AB366" s="705">
        <f>0+10+-1</f>
        <v>9</v>
      </c>
      <c r="AC366" s="702">
        <f>+AB369</f>
        <v>35</v>
      </c>
      <c r="AD366" s="704">
        <f>AB366</f>
        <v>9</v>
      </c>
      <c r="AE366" s="293"/>
      <c r="AF366" s="704">
        <f>AD369</f>
        <v>49</v>
      </c>
      <c r="AG366" s="704">
        <f>AF369</f>
        <v>125</v>
      </c>
      <c r="AH366" s="704">
        <f>AF366</f>
        <v>49</v>
      </c>
      <c r="AJ366" s="704">
        <f>AH369</f>
        <v>250</v>
      </c>
      <c r="AK366" s="704">
        <f>AJ369</f>
        <v>265</v>
      </c>
      <c r="AL366" s="704">
        <f>AJ366</f>
        <v>250</v>
      </c>
      <c r="AN366" s="704">
        <f>AL369</f>
        <v>380</v>
      </c>
      <c r="AO366" s="704">
        <f>AN369</f>
        <v>513</v>
      </c>
      <c r="AP366" s="704">
        <f>AN366</f>
        <v>380</v>
      </c>
      <c r="AR366" s="704">
        <f>AP369</f>
        <v>456</v>
      </c>
      <c r="AS366" s="704">
        <f>AR369</f>
        <v>283</v>
      </c>
      <c r="AT366" s="704">
        <f>AR366</f>
        <v>456</v>
      </c>
      <c r="AV366" s="704">
        <f>AT369</f>
        <v>17</v>
      </c>
      <c r="AW366" s="702">
        <f>AV369</f>
        <v>276</v>
      </c>
      <c r="AX366" s="702">
        <f>AV366</f>
        <v>17</v>
      </c>
      <c r="AZ366" s="702">
        <f>AX369</f>
        <v>280</v>
      </c>
      <c r="BA366" s="704">
        <f>AZ369</f>
        <v>263</v>
      </c>
      <c r="BB366" s="704">
        <f>AZ366</f>
        <v>280</v>
      </c>
      <c r="BD366" s="702">
        <f>BB369</f>
        <v>310</v>
      </c>
      <c r="BE366" s="704">
        <f>BD369</f>
        <v>504</v>
      </c>
      <c r="BF366" s="704">
        <f>BD366</f>
        <v>310</v>
      </c>
      <c r="BH366" s="702">
        <f>BF369</f>
        <v>44</v>
      </c>
      <c r="BI366" s="704">
        <f>BH369</f>
        <v>-50</v>
      </c>
      <c r="BJ366" s="704">
        <f>BH366</f>
        <v>44</v>
      </c>
      <c r="BL366" s="702">
        <f>BJ369</f>
        <v>57</v>
      </c>
      <c r="BM366" s="704">
        <f>BL369</f>
        <v>726</v>
      </c>
      <c r="BN366" s="704">
        <f>BL366</f>
        <v>57</v>
      </c>
      <c r="BP366" s="702">
        <f>BN369</f>
        <v>669</v>
      </c>
      <c r="BQ366" s="704">
        <f>BP369</f>
        <v>826</v>
      </c>
      <c r="BR366" s="704">
        <f>BP366</f>
        <v>669</v>
      </c>
      <c r="BT366" s="702">
        <f>BR369</f>
        <v>1656</v>
      </c>
      <c r="BU366" s="704">
        <f>BT369</f>
        <v>2090</v>
      </c>
      <c r="BV366" s="704">
        <f>BT366</f>
        <v>1656</v>
      </c>
      <c r="BX366" s="702">
        <f>BV369</f>
        <v>1536</v>
      </c>
      <c r="BY366" s="704">
        <f>BX369</f>
        <v>1295</v>
      </c>
      <c r="BZ366" s="704">
        <f>BX366</f>
        <v>1536</v>
      </c>
      <c r="CB366" s="702">
        <f>BZ369</f>
        <v>1396</v>
      </c>
      <c r="CC366" s="704">
        <f>CB369</f>
        <v>999</v>
      </c>
      <c r="CD366" s="704">
        <f>CB366</f>
        <v>1396</v>
      </c>
      <c r="CF366" s="702">
        <f>CD369</f>
        <v>1297</v>
      </c>
      <c r="CG366" s="704">
        <f>CF369</f>
        <v>1567</v>
      </c>
      <c r="CH366" s="704">
        <f>CF366</f>
        <v>1297</v>
      </c>
      <c r="CJ366" s="702">
        <f>CH369</f>
        <v>1773</v>
      </c>
      <c r="CK366" s="704">
        <f>CJ369</f>
        <v>1927</v>
      </c>
      <c r="CL366" s="704">
        <f>CJ366</f>
        <v>1773</v>
      </c>
      <c r="CN366" s="702">
        <f>CL369</f>
        <v>2773</v>
      </c>
      <c r="CO366" s="704">
        <f>CN369</f>
        <v>1378</v>
      </c>
      <c r="CP366" s="704">
        <f>CN366</f>
        <v>2773</v>
      </c>
      <c r="CR366" s="702">
        <f>CP369</f>
        <v>1286</v>
      </c>
      <c r="CS366" s="704">
        <f>CR369</f>
        <v>1613</v>
      </c>
      <c r="CT366" s="704">
        <f>CR366</f>
        <v>1286</v>
      </c>
      <c r="CV366" s="704">
        <f>CT369</f>
        <v>1523</v>
      </c>
      <c r="CW366" s="704">
        <f>CV369</f>
        <v>3250</v>
      </c>
      <c r="CX366" s="704">
        <f>CV366</f>
        <v>1523</v>
      </c>
      <c r="CZ366" s="704">
        <f>CX369</f>
        <v>3302</v>
      </c>
      <c r="DA366" s="704">
        <f>CZ369</f>
        <v>3590</v>
      </c>
      <c r="DB366" s="704">
        <f>CZ366</f>
        <v>3302</v>
      </c>
      <c r="DD366" s="704">
        <f>DB369</f>
        <v>3891</v>
      </c>
      <c r="DE366" s="704">
        <f>DD369</f>
        <v>2920</v>
      </c>
      <c r="DF366" s="704">
        <f>DD366</f>
        <v>3891</v>
      </c>
      <c r="DH366" s="704">
        <f>DF369</f>
        <v>4829</v>
      </c>
      <c r="DI366" s="704">
        <f>DH369</f>
        <v>3779</v>
      </c>
      <c r="DJ366" s="704">
        <f>DH366</f>
        <v>4829</v>
      </c>
      <c r="DL366" s="704">
        <f>DJ369</f>
        <v>3779</v>
      </c>
      <c r="DM366" s="704">
        <f>DL369</f>
        <v>3779</v>
      </c>
      <c r="DN366" s="704">
        <f>DL366</f>
        <v>3779</v>
      </c>
      <c r="DP366" s="704">
        <f>DN369</f>
        <v>3779</v>
      </c>
      <c r="DQ366" s="704">
        <f>DP369</f>
        <v>3779</v>
      </c>
      <c r="DR366" s="704">
        <f>DP366</f>
        <v>3779</v>
      </c>
      <c r="DU366" s="407"/>
      <c r="DV366" s="407"/>
      <c r="DW366" s="407"/>
    </row>
    <row r="367" spans="1:138">
      <c r="A367" s="302" t="s">
        <v>131</v>
      </c>
      <c r="B367" s="302"/>
      <c r="C367" s="304" t="s">
        <v>612</v>
      </c>
      <c r="D367" s="302"/>
      <c r="E367" s="302"/>
      <c r="F367" s="302"/>
      <c r="G367" s="302"/>
      <c r="H367" s="302"/>
      <c r="I367" s="302"/>
      <c r="J367" s="302"/>
      <c r="K367" s="302"/>
      <c r="L367" s="302"/>
      <c r="M367" s="302"/>
      <c r="N367" s="302"/>
      <c r="O367" s="302"/>
      <c r="P367" s="304"/>
      <c r="Q367" s="304"/>
      <c r="R367" s="304"/>
      <c r="S367" s="304"/>
      <c r="T367" s="304"/>
      <c r="U367" s="304"/>
      <c r="V367" s="304"/>
      <c r="W367" s="304"/>
      <c r="X367" s="709"/>
      <c r="Y367" s="709"/>
      <c r="Z367" s="739"/>
      <c r="AA367" s="304"/>
      <c r="AB367" s="709">
        <v>0</v>
      </c>
      <c r="AC367" s="709">
        <v>0</v>
      </c>
      <c r="AD367" s="739">
        <f>+AC367+AB367</f>
        <v>0</v>
      </c>
      <c r="AE367" s="303"/>
      <c r="AF367" s="709">
        <v>0</v>
      </c>
      <c r="AG367" s="709">
        <v>0</v>
      </c>
      <c r="AH367" s="739">
        <f>+AG367+AF367</f>
        <v>0</v>
      </c>
      <c r="AI367" s="628"/>
      <c r="AJ367" s="709">
        <v>0</v>
      </c>
      <c r="AK367" s="709">
        <v>0</v>
      </c>
      <c r="AL367" s="739">
        <f>+AK367+AJ367</f>
        <v>0</v>
      </c>
      <c r="AM367" s="304"/>
      <c r="AN367" s="709">
        <f>-22-7</f>
        <v>-29</v>
      </c>
      <c r="AO367" s="709">
        <v>0</v>
      </c>
      <c r="AP367" s="739">
        <f>+AO367+AN367</f>
        <v>-29</v>
      </c>
      <c r="AQ367" s="304"/>
      <c r="AR367" s="709">
        <v>0</v>
      </c>
      <c r="AS367" s="709">
        <v>0</v>
      </c>
      <c r="AT367" s="739">
        <f>+AS367+AR367</f>
        <v>0</v>
      </c>
      <c r="AU367" s="304"/>
      <c r="AV367" s="709">
        <v>0</v>
      </c>
      <c r="AW367" s="709">
        <v>0</v>
      </c>
      <c r="AX367" s="739">
        <f>+AW367+AV367</f>
        <v>0</v>
      </c>
      <c r="AY367" s="304"/>
      <c r="AZ367" s="709">
        <v>0</v>
      </c>
      <c r="BA367" s="709">
        <v>0</v>
      </c>
      <c r="BB367" s="739">
        <f>+BA367+AZ367</f>
        <v>0</v>
      </c>
      <c r="BC367" s="304"/>
      <c r="BD367" s="709">
        <v>0</v>
      </c>
      <c r="BE367" s="709">
        <v>0</v>
      </c>
      <c r="BF367" s="739">
        <f>+BE367+BD367</f>
        <v>0</v>
      </c>
      <c r="BG367" s="304"/>
      <c r="BH367" s="709">
        <v>0</v>
      </c>
      <c r="BI367" s="709">
        <v>0</v>
      </c>
      <c r="BJ367" s="739">
        <f>+BI367+BH367</f>
        <v>0</v>
      </c>
      <c r="BK367" s="304"/>
      <c r="BL367" s="709">
        <v>0</v>
      </c>
      <c r="BM367" s="709">
        <v>0</v>
      </c>
      <c r="BN367" s="739">
        <f>+BM367+BL367</f>
        <v>0</v>
      </c>
      <c r="BO367" s="304"/>
      <c r="BP367" s="709">
        <v>0</v>
      </c>
      <c r="BQ367" s="709">
        <v>0</v>
      </c>
      <c r="BR367" s="739">
        <f>+BQ367+BP367</f>
        <v>0</v>
      </c>
      <c r="BS367" s="304"/>
      <c r="BT367" s="709">
        <v>0</v>
      </c>
      <c r="BU367" s="709">
        <v>0</v>
      </c>
      <c r="BV367" s="739">
        <f>+BU367+BT367</f>
        <v>0</v>
      </c>
      <c r="BW367" s="304"/>
      <c r="BX367" s="709">
        <v>0</v>
      </c>
      <c r="BY367" s="709">
        <v>0</v>
      </c>
      <c r="BZ367" s="739">
        <f>+BY367+BX367</f>
        <v>0</v>
      </c>
      <c r="CA367" s="304"/>
      <c r="CB367" s="709">
        <v>0</v>
      </c>
      <c r="CC367" s="709">
        <v>0</v>
      </c>
      <c r="CD367" s="739">
        <f>+CC367+CB367</f>
        <v>0</v>
      </c>
      <c r="CE367" s="304"/>
      <c r="CF367" s="709">
        <v>0</v>
      </c>
      <c r="CG367" s="709">
        <v>0</v>
      </c>
      <c r="CH367" s="739">
        <f>+CG367+CF367</f>
        <v>0</v>
      </c>
      <c r="CI367" s="304"/>
      <c r="CJ367" s="709">
        <v>0</v>
      </c>
      <c r="CK367" s="709">
        <v>0</v>
      </c>
      <c r="CL367" s="739">
        <f>+CK367+CJ367</f>
        <v>0</v>
      </c>
      <c r="CM367" s="304"/>
      <c r="CN367" s="709">
        <v>0</v>
      </c>
      <c r="CO367" s="709">
        <v>0</v>
      </c>
      <c r="CP367" s="739">
        <f>+CO367+CN367</f>
        <v>0</v>
      </c>
      <c r="CQ367" s="304"/>
      <c r="CR367" s="709">
        <v>0</v>
      </c>
      <c r="CS367" s="709">
        <v>0</v>
      </c>
      <c r="CT367" s="739">
        <f>+CS367+CR367</f>
        <v>0</v>
      </c>
      <c r="CU367" s="304"/>
      <c r="CV367" s="709">
        <v>0</v>
      </c>
      <c r="CW367" s="709">
        <v>0</v>
      </c>
      <c r="CX367" s="739">
        <f>+CW367+CV367</f>
        <v>0</v>
      </c>
      <c r="CY367" s="304"/>
      <c r="CZ367" s="709">
        <v>0</v>
      </c>
      <c r="DA367" s="709">
        <v>0</v>
      </c>
      <c r="DB367" s="739">
        <f>+DA367+CZ367</f>
        <v>0</v>
      </c>
      <c r="DC367" s="304"/>
      <c r="DD367" s="709">
        <v>0</v>
      </c>
      <c r="DE367" s="709">
        <v>0</v>
      </c>
      <c r="DF367" s="739">
        <f>+DE367+DD367</f>
        <v>0</v>
      </c>
      <c r="DG367" s="304"/>
      <c r="DH367" s="709">
        <v>0</v>
      </c>
      <c r="DI367" s="709">
        <v>0</v>
      </c>
      <c r="DJ367" s="739">
        <f>+DI367+DH367</f>
        <v>0</v>
      </c>
      <c r="DK367" s="304"/>
      <c r="DL367" s="709">
        <v>0</v>
      </c>
      <c r="DM367" s="709">
        <v>0</v>
      </c>
      <c r="DN367" s="739">
        <f>+DM367+DL367</f>
        <v>0</v>
      </c>
      <c r="DO367" s="304"/>
      <c r="DP367" s="709">
        <v>0</v>
      </c>
      <c r="DQ367" s="709">
        <v>0</v>
      </c>
      <c r="DR367" s="739">
        <f>+DQ367+DP367</f>
        <v>0</v>
      </c>
      <c r="DS367" s="304"/>
      <c r="DU367" s="1122"/>
      <c r="DV367" s="1122"/>
      <c r="DW367" s="407"/>
      <c r="DZ367" s="102"/>
    </row>
    <row r="368" spans="1:138">
      <c r="A368" s="302" t="s">
        <v>117</v>
      </c>
      <c r="B368" s="302"/>
      <c r="C368" s="304" t="s">
        <v>612</v>
      </c>
      <c r="D368" s="302"/>
      <c r="E368" s="302"/>
      <c r="F368" s="302"/>
      <c r="G368" s="302"/>
      <c r="H368" s="302"/>
      <c r="I368" s="302"/>
      <c r="J368" s="302"/>
      <c r="K368" s="302"/>
      <c r="L368" s="302"/>
      <c r="M368" s="302"/>
      <c r="N368" s="302"/>
      <c r="O368" s="302"/>
      <c r="P368" s="304"/>
      <c r="Q368" s="304"/>
      <c r="R368" s="304"/>
      <c r="S368" s="304"/>
      <c r="T368" s="304"/>
      <c r="U368" s="304"/>
      <c r="V368" s="304"/>
      <c r="W368" s="304"/>
      <c r="X368" s="303"/>
      <c r="Y368" s="303"/>
      <c r="Z368" s="303"/>
      <c r="AA368" s="304"/>
      <c r="AB368" s="303">
        <f>+AB369-AB366-AB367</f>
        <v>26</v>
      </c>
      <c r="AC368" s="303">
        <f>+AC369-AC366-AC367</f>
        <v>14</v>
      </c>
      <c r="AD368" s="303">
        <f>AC368+AB368</f>
        <v>40</v>
      </c>
      <c r="AE368" s="303"/>
      <c r="AF368" s="303">
        <f>+AF369-AF366-AF367</f>
        <v>76</v>
      </c>
      <c r="AG368" s="303">
        <f>+AG369-AG366-AG367</f>
        <v>125</v>
      </c>
      <c r="AH368" s="303">
        <f>AG368+AF368</f>
        <v>201</v>
      </c>
      <c r="AI368" s="628"/>
      <c r="AJ368" s="303">
        <f>+AJ369-AJ366-AJ367</f>
        <v>15</v>
      </c>
      <c r="AK368" s="303">
        <f>+AK369-AK366-AK367</f>
        <v>115</v>
      </c>
      <c r="AL368" s="303">
        <f>AK368+AJ368</f>
        <v>130</v>
      </c>
      <c r="AM368" s="304"/>
      <c r="AN368" s="303">
        <f>+AN369-AN366-AN367</f>
        <v>162</v>
      </c>
      <c r="AO368" s="303">
        <f>+AO369-AO366-AO367</f>
        <v>-57</v>
      </c>
      <c r="AP368" s="303">
        <f>AO368+AN368</f>
        <v>105</v>
      </c>
      <c r="AQ368" s="304"/>
      <c r="AR368" s="303">
        <f>+AR369-AR366-AR367</f>
        <v>-173</v>
      </c>
      <c r="AS368" s="303">
        <f>+AS369-AS366-AS367</f>
        <v>-266</v>
      </c>
      <c r="AT368" s="303">
        <f>AS368+AR368</f>
        <v>-439</v>
      </c>
      <c r="AU368" s="304"/>
      <c r="AV368" s="303">
        <f>+AV369-AV366-AV367</f>
        <v>259</v>
      </c>
      <c r="AW368" s="303">
        <f>+AW369-AW366-AW367</f>
        <v>4</v>
      </c>
      <c r="AX368" s="303">
        <f>AW368+AV368</f>
        <v>263</v>
      </c>
      <c r="AY368" s="304"/>
      <c r="AZ368" s="303">
        <f>+AZ369-AZ366-AZ367</f>
        <v>-17</v>
      </c>
      <c r="BA368" s="303">
        <f>+BA369-BA366-BA367</f>
        <v>47</v>
      </c>
      <c r="BB368" s="303">
        <f>BA368+AZ368</f>
        <v>30</v>
      </c>
      <c r="BC368" s="304"/>
      <c r="BD368" s="303">
        <f>+BD369-BD366-BD367</f>
        <v>194</v>
      </c>
      <c r="BE368" s="303">
        <f>+BE369-BE366-BE367</f>
        <v>-460</v>
      </c>
      <c r="BF368" s="303">
        <f>BE368+BD368</f>
        <v>-266</v>
      </c>
      <c r="BG368" s="304"/>
      <c r="BH368" s="303">
        <f>+BH369-BH366-BH367</f>
        <v>-94</v>
      </c>
      <c r="BI368" s="303">
        <f>+BI369-BI366-BI367</f>
        <v>107</v>
      </c>
      <c r="BJ368" s="303">
        <f>BI368+BH368</f>
        <v>13</v>
      </c>
      <c r="BK368" s="304"/>
      <c r="BL368" s="303">
        <f>+BL369-BL366-BL367</f>
        <v>669</v>
      </c>
      <c r="BM368" s="303">
        <f>+BM369-BM366-BM367</f>
        <v>-57</v>
      </c>
      <c r="BN368" s="303">
        <f>BM368+BL368</f>
        <v>612</v>
      </c>
      <c r="BO368" s="304"/>
      <c r="BP368" s="303">
        <f>+BP369-BP366-BP367</f>
        <v>157</v>
      </c>
      <c r="BQ368" s="303">
        <f>+BQ369-BQ366-BQ367</f>
        <v>830</v>
      </c>
      <c r="BR368" s="303">
        <f>BQ368+BP368</f>
        <v>987</v>
      </c>
      <c r="BS368" s="304"/>
      <c r="BT368" s="303">
        <f>+BT369-BT366-BT367</f>
        <v>434</v>
      </c>
      <c r="BU368" s="303">
        <f>+BU369-BU366-BU367</f>
        <v>-554</v>
      </c>
      <c r="BV368" s="303">
        <f>BU368+BT368</f>
        <v>-120</v>
      </c>
      <c r="BW368" s="304"/>
      <c r="BX368" s="303">
        <f>+BX369-BX366-BX367</f>
        <v>-241</v>
      </c>
      <c r="BY368" s="303">
        <f>+BY369-BY366-BY367</f>
        <v>101</v>
      </c>
      <c r="BZ368" s="303">
        <f>BY368+BX368</f>
        <v>-140</v>
      </c>
      <c r="CA368" s="304"/>
      <c r="CB368" s="303">
        <f>+CB369-CB366-CB367</f>
        <v>-397</v>
      </c>
      <c r="CC368" s="303">
        <f>+CC369-CC366-CC367</f>
        <v>298</v>
      </c>
      <c r="CD368" s="303">
        <f>CC368+CB368</f>
        <v>-99</v>
      </c>
      <c r="CE368" s="304"/>
      <c r="CF368" s="303">
        <f>+CF369-CF366-CF367</f>
        <v>270</v>
      </c>
      <c r="CG368" s="303">
        <f>+CG369-CG366-CG367</f>
        <v>206</v>
      </c>
      <c r="CH368" s="303">
        <f>CG368+CF368</f>
        <v>476</v>
      </c>
      <c r="CI368" s="304"/>
      <c r="CJ368" s="303">
        <f>+CJ369-CJ366-CJ367</f>
        <v>154</v>
      </c>
      <c r="CK368" s="303">
        <f>+CK369-CK366-CK367</f>
        <v>846</v>
      </c>
      <c r="CL368" s="303">
        <f>CK368+CJ368</f>
        <v>1000</v>
      </c>
      <c r="CM368" s="304"/>
      <c r="CN368" s="303">
        <f>+CN369-CN366-CN367</f>
        <v>-1395</v>
      </c>
      <c r="CO368" s="303">
        <f>+CO369-CO366-CO367</f>
        <v>-92</v>
      </c>
      <c r="CP368" s="303">
        <f>CO368+CN368</f>
        <v>-1487</v>
      </c>
      <c r="CQ368" s="304"/>
      <c r="CR368" s="303">
        <f>+CR369-CR366-CR367</f>
        <v>327</v>
      </c>
      <c r="CS368" s="303">
        <f>+CS369-CS366-CS367</f>
        <v>-90</v>
      </c>
      <c r="CT368" s="303">
        <f>CS368+CR368</f>
        <v>237</v>
      </c>
      <c r="CU368" s="304"/>
      <c r="CV368" s="303">
        <f>+CV369-CV366-CV367</f>
        <v>1727</v>
      </c>
      <c r="CW368" s="1799">
        <f>+CW369-CW366-CW367</f>
        <v>52</v>
      </c>
      <c r="CX368" s="303">
        <f>CW368+CV368</f>
        <v>1779</v>
      </c>
      <c r="CY368" s="304"/>
      <c r="CZ368" s="303">
        <f>+CZ369-CZ366-CZ367</f>
        <v>288</v>
      </c>
      <c r="DA368" s="1799">
        <f>+DA369-DA366-DA367</f>
        <v>301</v>
      </c>
      <c r="DB368" s="303">
        <f>DA368+CZ368</f>
        <v>589</v>
      </c>
      <c r="DC368" s="304"/>
      <c r="DD368" s="303">
        <f>+DD369-DD366-DD367</f>
        <v>-971</v>
      </c>
      <c r="DE368" s="1799">
        <f>+DE369-DE366-DE367</f>
        <v>1909</v>
      </c>
      <c r="DF368" s="303">
        <f>DE368+DD368</f>
        <v>938</v>
      </c>
      <c r="DG368" s="304"/>
      <c r="DH368" s="303">
        <f>+DH369-DH366-DH367</f>
        <v>-1050</v>
      </c>
      <c r="DI368" s="709">
        <v>0</v>
      </c>
      <c r="DJ368" s="303">
        <f>DI368+DH368</f>
        <v>-1050</v>
      </c>
      <c r="DK368" s="304"/>
      <c r="DL368" s="709">
        <v>0</v>
      </c>
      <c r="DM368" s="709">
        <v>0</v>
      </c>
      <c r="DN368" s="303">
        <f>DM368+DL368</f>
        <v>0</v>
      </c>
      <c r="DO368" s="304"/>
      <c r="DP368" s="709">
        <v>0</v>
      </c>
      <c r="DQ368" s="709">
        <v>0</v>
      </c>
      <c r="DR368" s="303">
        <f>DQ368+DP368</f>
        <v>0</v>
      </c>
      <c r="DS368" s="304"/>
      <c r="DU368" s="1122"/>
      <c r="DV368" s="1122"/>
      <c r="DW368" s="293"/>
      <c r="DZ368" s="102"/>
    </row>
    <row r="369" spans="1:130">
      <c r="A369" s="102" t="s">
        <v>67</v>
      </c>
      <c r="C369" s="103" t="s">
        <v>612</v>
      </c>
      <c r="X369" s="293"/>
      <c r="Y369" s="293"/>
      <c r="Z369" s="293"/>
      <c r="AB369" s="293">
        <f>AB107</f>
        <v>35</v>
      </c>
      <c r="AC369" s="293">
        <f>AC107</f>
        <v>49</v>
      </c>
      <c r="AD369" s="293">
        <f>AD107</f>
        <v>49</v>
      </c>
      <c r="AE369" s="293"/>
      <c r="AF369" s="293">
        <f>AF107</f>
        <v>125</v>
      </c>
      <c r="AG369" s="293">
        <f>AG107</f>
        <v>250</v>
      </c>
      <c r="AH369" s="293">
        <f>AH107</f>
        <v>250</v>
      </c>
      <c r="AI369" s="320"/>
      <c r="AJ369" s="293">
        <f>AJ107</f>
        <v>265</v>
      </c>
      <c r="AK369" s="293">
        <f>AK107</f>
        <v>380</v>
      </c>
      <c r="AL369" s="293">
        <f>AL107</f>
        <v>380</v>
      </c>
      <c r="AN369" s="293">
        <f>AN107</f>
        <v>513</v>
      </c>
      <c r="AO369" s="293">
        <f>AO107</f>
        <v>456</v>
      </c>
      <c r="AP369" s="293">
        <f>AP107</f>
        <v>456</v>
      </c>
      <c r="AR369" s="293">
        <f>AR107</f>
        <v>283</v>
      </c>
      <c r="AS369" s="293">
        <f>AS107</f>
        <v>17</v>
      </c>
      <c r="AT369" s="293">
        <f>AT107</f>
        <v>17</v>
      </c>
      <c r="AV369" s="293">
        <f>AV107</f>
        <v>276</v>
      </c>
      <c r="AW369" s="293">
        <f>AW107</f>
        <v>280</v>
      </c>
      <c r="AX369" s="293">
        <f>AX107</f>
        <v>280</v>
      </c>
      <c r="AZ369" s="293">
        <f>AZ107</f>
        <v>263</v>
      </c>
      <c r="BA369" s="293">
        <f>BA107</f>
        <v>310</v>
      </c>
      <c r="BB369" s="293">
        <f>BB107</f>
        <v>310</v>
      </c>
      <c r="BD369" s="293">
        <f>BD107</f>
        <v>504</v>
      </c>
      <c r="BE369" s="293">
        <f>BE107</f>
        <v>44</v>
      </c>
      <c r="BF369" s="293">
        <f>BF107</f>
        <v>44</v>
      </c>
      <c r="BH369" s="293">
        <f>BH107</f>
        <v>-50</v>
      </c>
      <c r="BI369" s="293">
        <f>BI107</f>
        <v>57</v>
      </c>
      <c r="BJ369" s="293">
        <f>BJ107</f>
        <v>57</v>
      </c>
      <c r="BL369" s="293">
        <f>BL107</f>
        <v>726</v>
      </c>
      <c r="BM369" s="293">
        <f>BM107</f>
        <v>669</v>
      </c>
      <c r="BN369" s="293">
        <f>BN107</f>
        <v>669</v>
      </c>
      <c r="BP369" s="293">
        <f>BP107</f>
        <v>826</v>
      </c>
      <c r="BQ369" s="293">
        <f>BQ107</f>
        <v>1656</v>
      </c>
      <c r="BR369" s="293">
        <f>BR107</f>
        <v>1656</v>
      </c>
      <c r="BT369" s="293">
        <f>BT107</f>
        <v>2090</v>
      </c>
      <c r="BU369" s="293">
        <f>BU107</f>
        <v>1536</v>
      </c>
      <c r="BV369" s="293">
        <f>BV107</f>
        <v>1536</v>
      </c>
      <c r="BX369" s="293">
        <f>BX107</f>
        <v>1295</v>
      </c>
      <c r="BY369" s="293">
        <f>BY107</f>
        <v>1396</v>
      </c>
      <c r="BZ369" s="293">
        <f>BZ107</f>
        <v>1396</v>
      </c>
      <c r="CB369" s="293">
        <f>CB107</f>
        <v>999</v>
      </c>
      <c r="CC369" s="293">
        <f>CC107</f>
        <v>1297</v>
      </c>
      <c r="CD369" s="293">
        <f>CD107</f>
        <v>1297</v>
      </c>
      <c r="CF369" s="293">
        <f>CF107</f>
        <v>1567</v>
      </c>
      <c r="CG369" s="293">
        <f>CG107</f>
        <v>1773</v>
      </c>
      <c r="CH369" s="293">
        <f>CH107</f>
        <v>1773</v>
      </c>
      <c r="CJ369" s="293">
        <f>CJ107</f>
        <v>1927</v>
      </c>
      <c r="CK369" s="293">
        <f>CK107</f>
        <v>2773</v>
      </c>
      <c r="CL369" s="293">
        <f>CL107</f>
        <v>2773</v>
      </c>
      <c r="CN369" s="293">
        <f>CN107</f>
        <v>1378</v>
      </c>
      <c r="CO369" s="293">
        <f>CO107</f>
        <v>1286</v>
      </c>
      <c r="CP369" s="293">
        <f>CP107</f>
        <v>1286</v>
      </c>
      <c r="CR369" s="293">
        <f>CR107</f>
        <v>1613</v>
      </c>
      <c r="CS369" s="293">
        <f>CS107</f>
        <v>1523</v>
      </c>
      <c r="CT369" s="293">
        <f>CT107</f>
        <v>1523</v>
      </c>
      <c r="CV369" s="293">
        <f>CV107</f>
        <v>3250</v>
      </c>
      <c r="CW369" s="1495">
        <f>CW107</f>
        <v>3302</v>
      </c>
      <c r="CX369" s="293">
        <f>CX107</f>
        <v>3302</v>
      </c>
      <c r="CZ369" s="293">
        <f>CZ107</f>
        <v>3590</v>
      </c>
      <c r="DA369" s="1495">
        <f>DA107</f>
        <v>3891</v>
      </c>
      <c r="DB369" s="293">
        <f>DB107</f>
        <v>3891</v>
      </c>
      <c r="DD369" s="293">
        <f>DD107</f>
        <v>2920</v>
      </c>
      <c r="DE369" s="1495">
        <f>DE107</f>
        <v>4829</v>
      </c>
      <c r="DF369" s="293">
        <f>DF107</f>
        <v>4829</v>
      </c>
      <c r="DH369" s="293">
        <f>DH107</f>
        <v>3779</v>
      </c>
      <c r="DI369" s="293">
        <f>SUM(DI366:DI368)</f>
        <v>3779</v>
      </c>
      <c r="DJ369" s="293">
        <f>SUM(DJ366:DJ368)</f>
        <v>3779</v>
      </c>
      <c r="DL369" s="293">
        <f>SUM(DL366:DL368)</f>
        <v>3779</v>
      </c>
      <c r="DM369" s="293">
        <f>SUM(DM366:DM368)</f>
        <v>3779</v>
      </c>
      <c r="DN369" s="293">
        <f>SUM(DN366:DN368)</f>
        <v>3779</v>
      </c>
      <c r="DP369" s="293">
        <f>SUM(DP366:DP368)</f>
        <v>3779</v>
      </c>
      <c r="DQ369" s="293">
        <f>SUM(DQ366:DQ368)</f>
        <v>3779</v>
      </c>
      <c r="DR369" s="293">
        <f>SUM(DR366:DR368)</f>
        <v>3779</v>
      </c>
      <c r="DU369" s="293"/>
      <c r="DV369" s="293"/>
      <c r="DW369" s="293"/>
    </row>
    <row r="370" spans="1:130">
      <c r="X370" s="293"/>
      <c r="Y370" s="293"/>
      <c r="Z370" s="626"/>
      <c r="AB370" s="293"/>
      <c r="AC370" s="293"/>
      <c r="AD370" s="626"/>
      <c r="AE370" s="293"/>
      <c r="AF370" s="626"/>
      <c r="AG370" s="626"/>
      <c r="AH370" s="293"/>
      <c r="AI370" s="320"/>
      <c r="CN370" s="1737">
        <f>CN369-CN107</f>
        <v>0</v>
      </c>
      <c r="CO370" s="1737">
        <f>CO369-CO107</f>
        <v>0</v>
      </c>
      <c r="CP370" s="1737">
        <f>CP369-CP107</f>
        <v>0</v>
      </c>
      <c r="CR370" s="1737">
        <f>CR369-CR107</f>
        <v>0</v>
      </c>
      <c r="CS370" s="1737">
        <f>CS369-CS107</f>
        <v>0</v>
      </c>
      <c r="CT370" s="1737">
        <f>CT369-CT107</f>
        <v>0</v>
      </c>
      <c r="CU370" s="293"/>
      <c r="CV370" s="1737">
        <f>CV369-CV107</f>
        <v>0</v>
      </c>
      <c r="CW370" s="1813">
        <f>CW369-CW107</f>
        <v>0</v>
      </c>
      <c r="CX370" s="1737">
        <f>CX369-CX107</f>
        <v>0</v>
      </c>
      <c r="CZ370" s="1737">
        <f>CZ369-CZ107</f>
        <v>0</v>
      </c>
      <c r="DA370" s="1813">
        <f>DA369-DA107</f>
        <v>0</v>
      </c>
      <c r="DB370" s="1737">
        <f>DB369-DB107</f>
        <v>0</v>
      </c>
      <c r="DD370" s="1737">
        <f>DD369-DD107</f>
        <v>0</v>
      </c>
      <c r="DE370" s="1813">
        <f>DE369-DE107</f>
        <v>0</v>
      </c>
      <c r="DF370" s="1737">
        <f>DF369-DF107</f>
        <v>0</v>
      </c>
      <c r="DH370" s="1737">
        <f>DH369-DH107</f>
        <v>0</v>
      </c>
    </row>
    <row r="371" spans="1:130">
      <c r="A371" s="620" t="s">
        <v>768</v>
      </c>
      <c r="B371" s="621"/>
      <c r="C371" s="622"/>
      <c r="D371" s="621"/>
      <c r="E371" s="621"/>
      <c r="F371" s="621"/>
      <c r="G371" s="621"/>
      <c r="H371" s="621"/>
      <c r="I371" s="621"/>
      <c r="J371" s="621"/>
      <c r="K371" s="621"/>
      <c r="L371" s="621"/>
      <c r="M371" s="621"/>
      <c r="N371" s="621"/>
      <c r="O371" s="621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4"/>
      <c r="AX371" s="624"/>
      <c r="AY371" s="622"/>
      <c r="AZ371" s="624"/>
      <c r="BA371" s="624"/>
      <c r="BB371" s="624"/>
      <c r="BC371" s="622"/>
      <c r="BD371" s="624"/>
      <c r="BE371" s="624"/>
      <c r="BF371" s="624"/>
      <c r="BG371" s="622"/>
      <c r="BH371" s="624"/>
      <c r="BI371" s="624"/>
      <c r="BJ371" s="624"/>
      <c r="BK371" s="622"/>
      <c r="BL371" s="624"/>
      <c r="BM371" s="624"/>
      <c r="BN371" s="624"/>
      <c r="BO371" s="622"/>
      <c r="BP371" s="624"/>
      <c r="BQ371" s="624"/>
      <c r="BR371" s="624"/>
      <c r="BS371" s="622"/>
      <c r="BT371" s="624"/>
      <c r="BU371" s="624"/>
      <c r="BV371" s="624"/>
      <c r="BW371" s="622"/>
      <c r="BX371" s="624"/>
      <c r="BY371" s="624"/>
      <c r="BZ371" s="624"/>
      <c r="CA371" s="622"/>
      <c r="CB371" s="624"/>
      <c r="CC371" s="624"/>
      <c r="CD371" s="624"/>
      <c r="CE371" s="622"/>
      <c r="CF371" s="624"/>
      <c r="CG371" s="624"/>
      <c r="CH371" s="624"/>
      <c r="CI371" s="622"/>
      <c r="CJ371" s="624"/>
      <c r="CK371" s="624"/>
      <c r="CL371" s="624"/>
      <c r="CM371" s="622"/>
      <c r="CN371" s="624"/>
      <c r="CO371" s="624"/>
      <c r="CP371" s="624"/>
      <c r="CQ371" s="622"/>
      <c r="CR371" s="624"/>
      <c r="CS371" s="624"/>
      <c r="CT371" s="624"/>
      <c r="CU371" s="622"/>
      <c r="CV371" s="624"/>
      <c r="CW371" s="1801"/>
      <c r="CX371" s="624"/>
      <c r="CY371" s="622"/>
      <c r="CZ371" s="624"/>
      <c r="DA371" s="624"/>
      <c r="DB371" s="624"/>
      <c r="DC371" s="622"/>
      <c r="DD371" s="624"/>
      <c r="DE371" s="624"/>
      <c r="DF371" s="624"/>
      <c r="DG371" s="622"/>
      <c r="DH371" s="624"/>
      <c r="DI371" s="624"/>
      <c r="DJ371" s="624"/>
      <c r="DK371" s="622"/>
      <c r="DL371" s="624"/>
      <c r="DM371" s="624"/>
      <c r="DN371" s="624"/>
      <c r="DO371" s="622"/>
      <c r="DP371" s="624"/>
      <c r="DQ371" s="624"/>
      <c r="DR371" s="624"/>
      <c r="DS371" s="622"/>
      <c r="DU371" s="293"/>
      <c r="DV371" s="293"/>
      <c r="DW371" s="293"/>
      <c r="DZ371" s="102"/>
    </row>
    <row r="372" spans="1:130">
      <c r="A372" s="289"/>
      <c r="AW372" s="293"/>
      <c r="AX372" s="293"/>
      <c r="AZ372" s="293"/>
      <c r="BA372" s="293"/>
      <c r="BB372" s="293"/>
      <c r="BD372" s="293"/>
      <c r="BE372" s="293"/>
      <c r="BF372" s="293"/>
      <c r="BH372" s="293"/>
      <c r="BI372" s="293"/>
      <c r="BJ372" s="293"/>
      <c r="BL372" s="293"/>
      <c r="BM372" s="293"/>
      <c r="BN372" s="293"/>
      <c r="BP372" s="293"/>
      <c r="BQ372" s="293"/>
      <c r="BR372" s="293"/>
      <c r="BT372" s="293"/>
      <c r="BU372" s="293"/>
      <c r="BV372" s="293"/>
      <c r="BX372" s="293"/>
      <c r="BY372" s="293"/>
      <c r="BZ372" s="293"/>
      <c r="CB372" s="293"/>
      <c r="CC372" s="293"/>
      <c r="CD372" s="293"/>
      <c r="CF372" s="293"/>
      <c r="CG372" s="293"/>
      <c r="CH372" s="293"/>
      <c r="CJ372" s="293"/>
      <c r="CK372" s="293"/>
      <c r="CL372" s="293"/>
      <c r="CN372" s="293"/>
      <c r="CO372" s="293"/>
      <c r="CP372" s="293"/>
      <c r="CR372" s="293"/>
      <c r="CS372" s="293"/>
      <c r="CT372" s="293"/>
      <c r="CV372" s="293"/>
      <c r="CW372" s="1495"/>
      <c r="CX372" s="293"/>
      <c r="CZ372" s="293"/>
      <c r="DA372" s="293"/>
      <c r="DB372" s="293"/>
      <c r="DD372" s="293"/>
      <c r="DE372" s="293"/>
      <c r="DF372" s="293"/>
      <c r="DH372" s="293"/>
      <c r="DI372" s="293"/>
      <c r="DJ372" s="293"/>
      <c r="DL372" s="293"/>
      <c r="DM372" s="293"/>
      <c r="DN372" s="293"/>
      <c r="DP372" s="293"/>
      <c r="DQ372" s="293"/>
      <c r="DR372" s="293"/>
      <c r="DU372" s="293"/>
      <c r="DV372" s="293"/>
      <c r="DW372" s="293"/>
      <c r="DZ372" s="102"/>
    </row>
    <row r="373" spans="1:130">
      <c r="A373" s="289" t="s">
        <v>119</v>
      </c>
      <c r="AW373" s="293"/>
      <c r="AX373" s="293"/>
      <c r="AZ373" s="293"/>
      <c r="BA373" s="293"/>
      <c r="BB373" s="293"/>
      <c r="BD373" s="293"/>
      <c r="BE373" s="293"/>
      <c r="BF373" s="293"/>
      <c r="BH373" s="293"/>
      <c r="BI373" s="293"/>
      <c r="BJ373" s="293"/>
      <c r="BL373" s="293"/>
      <c r="BM373" s="293"/>
      <c r="BN373" s="293"/>
      <c r="BP373" s="293"/>
      <c r="BQ373" s="293"/>
      <c r="BR373" s="293"/>
      <c r="BT373" s="293"/>
      <c r="BU373" s="293"/>
      <c r="BV373" s="293"/>
      <c r="BX373" s="293"/>
      <c r="BY373" s="293"/>
      <c r="BZ373" s="293"/>
      <c r="CB373" s="293"/>
      <c r="CC373" s="293"/>
      <c r="CD373" s="293"/>
      <c r="CF373" s="293"/>
      <c r="CG373" s="293"/>
      <c r="CH373" s="293"/>
      <c r="CJ373" s="293"/>
      <c r="CK373" s="293"/>
      <c r="CL373" s="293"/>
      <c r="CN373" s="626" t="s">
        <v>1262</v>
      </c>
      <c r="CO373" s="293"/>
      <c r="CP373" s="293"/>
      <c r="CR373" s="293"/>
      <c r="CS373" s="293"/>
      <c r="CT373" s="293"/>
      <c r="CV373" s="293"/>
      <c r="CW373" s="1495"/>
      <c r="CX373" s="293"/>
      <c r="CZ373" s="293"/>
      <c r="DA373" s="293"/>
      <c r="DB373" s="293"/>
      <c r="DD373" s="293"/>
      <c r="DE373" s="293"/>
      <c r="DF373" s="293"/>
      <c r="DH373" s="293"/>
      <c r="DI373" s="293"/>
      <c r="DJ373" s="293"/>
      <c r="DL373" s="293"/>
      <c r="DM373" s="293"/>
      <c r="DN373" s="293"/>
      <c r="DP373" s="293"/>
      <c r="DQ373" s="293"/>
      <c r="DR373" s="293"/>
      <c r="DU373" s="293"/>
      <c r="DV373" s="293"/>
      <c r="DW373" s="293"/>
      <c r="DZ373" s="102"/>
    </row>
    <row r="374" spans="1:130">
      <c r="A374" s="102" t="s">
        <v>62</v>
      </c>
      <c r="C374" s="103" t="s">
        <v>612</v>
      </c>
      <c r="X374" s="761"/>
      <c r="Y374" s="704"/>
      <c r="Z374" s="704"/>
      <c r="AB374" s="761">
        <v>391</v>
      </c>
      <c r="AC374" s="704">
        <f>AB378</f>
        <v>391</v>
      </c>
      <c r="AD374" s="704">
        <f>AB374</f>
        <v>391</v>
      </c>
      <c r="AE374" s="293"/>
      <c r="AF374" s="704">
        <f>AD378</f>
        <v>391</v>
      </c>
      <c r="AG374" s="704">
        <f>AF378</f>
        <v>391</v>
      </c>
      <c r="AH374" s="704">
        <f>AF374</f>
        <v>391</v>
      </c>
      <c r="AJ374" s="704">
        <f>AH378</f>
        <v>391</v>
      </c>
      <c r="AK374" s="704">
        <f>AJ378</f>
        <v>391</v>
      </c>
      <c r="AL374" s="704">
        <f>AJ374</f>
        <v>391</v>
      </c>
      <c r="AN374" s="704">
        <f>AL378</f>
        <v>391</v>
      </c>
      <c r="AO374" s="704">
        <f>AN378</f>
        <v>391</v>
      </c>
      <c r="AP374" s="704">
        <f>AN374</f>
        <v>391</v>
      </c>
      <c r="AR374" s="704">
        <f>AP378</f>
        <v>391</v>
      </c>
      <c r="AS374" s="704">
        <f>AR378</f>
        <v>391</v>
      </c>
      <c r="AT374" s="704">
        <f>AR374</f>
        <v>391</v>
      </c>
      <c r="AV374" s="704">
        <f>AT378</f>
        <v>391</v>
      </c>
      <c r="AW374" s="702">
        <f>AV378</f>
        <v>391</v>
      </c>
      <c r="AX374" s="702">
        <f>AV374</f>
        <v>391</v>
      </c>
      <c r="AZ374" s="702">
        <f>AX378</f>
        <v>391</v>
      </c>
      <c r="BA374" s="704">
        <f>AZ378</f>
        <v>391</v>
      </c>
      <c r="BB374" s="704">
        <f>AZ374</f>
        <v>391</v>
      </c>
      <c r="BD374" s="702">
        <f>BB378</f>
        <v>391</v>
      </c>
      <c r="BE374" s="704">
        <f>BD378</f>
        <v>391</v>
      </c>
      <c r="BF374" s="704">
        <f>BD374</f>
        <v>391</v>
      </c>
      <c r="BH374" s="702">
        <f>BF378</f>
        <v>391</v>
      </c>
      <c r="BI374" s="704">
        <f>BH378</f>
        <v>391</v>
      </c>
      <c r="BJ374" s="704">
        <f>BH374</f>
        <v>391</v>
      </c>
      <c r="BL374" s="702">
        <f>BJ378</f>
        <v>391</v>
      </c>
      <c r="BM374" s="704">
        <f>BL378</f>
        <v>391</v>
      </c>
      <c r="BN374" s="704">
        <f>BL374</f>
        <v>391</v>
      </c>
      <c r="BP374" s="702">
        <f>BN378</f>
        <v>391</v>
      </c>
      <c r="BQ374" s="704">
        <f>BP378</f>
        <v>391</v>
      </c>
      <c r="BR374" s="704">
        <f>BP374</f>
        <v>391</v>
      </c>
      <c r="BT374" s="702">
        <f>BR378</f>
        <v>391</v>
      </c>
      <c r="BU374" s="704">
        <f>BT378</f>
        <v>391</v>
      </c>
      <c r="BV374" s="704">
        <f>BT374</f>
        <v>391</v>
      </c>
      <c r="BX374" s="702">
        <f>BV378</f>
        <v>391</v>
      </c>
      <c r="BY374" s="704">
        <f>BX378</f>
        <v>391</v>
      </c>
      <c r="BZ374" s="704">
        <f>BX374</f>
        <v>391</v>
      </c>
      <c r="CB374" s="702">
        <f>BZ378</f>
        <v>391</v>
      </c>
      <c r="CC374" s="704">
        <f>CB378</f>
        <v>391</v>
      </c>
      <c r="CD374" s="704">
        <f>CB374</f>
        <v>391</v>
      </c>
      <c r="CF374" s="702">
        <f>CD378</f>
        <v>391</v>
      </c>
      <c r="CG374" s="704">
        <f>CF378</f>
        <v>391</v>
      </c>
      <c r="CH374" s="704">
        <f>CF374</f>
        <v>391</v>
      </c>
      <c r="CJ374" s="702">
        <f>CH378</f>
        <v>391</v>
      </c>
      <c r="CK374" s="704">
        <f>CJ378</f>
        <v>391</v>
      </c>
      <c r="CL374" s="704">
        <f>CJ374</f>
        <v>391</v>
      </c>
      <c r="CN374" s="702">
        <f>CL378</f>
        <v>391</v>
      </c>
      <c r="CO374" s="704">
        <f>CN378</f>
        <v>0</v>
      </c>
      <c r="CP374" s="704">
        <f>CN374</f>
        <v>391</v>
      </c>
      <c r="CR374" s="702">
        <f>CP378</f>
        <v>0</v>
      </c>
      <c r="CS374" s="704">
        <f>CR378</f>
        <v>0</v>
      </c>
      <c r="CT374" s="704">
        <f>CR374</f>
        <v>0</v>
      </c>
      <c r="CV374" s="704">
        <f>CT378</f>
        <v>0</v>
      </c>
      <c r="CW374" s="704">
        <f>CV378</f>
        <v>0</v>
      </c>
      <c r="CX374" s="704">
        <f>CV374</f>
        <v>0</v>
      </c>
      <c r="CZ374" s="704">
        <f>CX378</f>
        <v>0</v>
      </c>
      <c r="DA374" s="704">
        <f>CZ378</f>
        <v>0</v>
      </c>
      <c r="DB374" s="704">
        <f>CZ374</f>
        <v>0</v>
      </c>
      <c r="DD374" s="702">
        <f>DB378</f>
        <v>0</v>
      </c>
      <c r="DE374" s="704">
        <f>DD378</f>
        <v>0</v>
      </c>
      <c r="DF374" s="704">
        <f>DD374</f>
        <v>0</v>
      </c>
      <c r="DH374" s="702">
        <f>DF378</f>
        <v>0</v>
      </c>
      <c r="DI374" s="704">
        <f>DH378</f>
        <v>0</v>
      </c>
      <c r="DJ374" s="704">
        <f>DH374</f>
        <v>0</v>
      </c>
      <c r="DL374" s="704">
        <f>DJ378</f>
        <v>0</v>
      </c>
      <c r="DM374" s="704">
        <f>DL378</f>
        <v>0</v>
      </c>
      <c r="DN374" s="704">
        <f>DL374</f>
        <v>0</v>
      </c>
      <c r="DP374" s="704">
        <f>DN378</f>
        <v>0</v>
      </c>
      <c r="DQ374" s="704">
        <f>DP378</f>
        <v>0</v>
      </c>
      <c r="DR374" s="704">
        <f>DP374</f>
        <v>0</v>
      </c>
      <c r="DU374" s="407"/>
      <c r="DV374" s="407"/>
      <c r="DW374" s="407"/>
    </row>
    <row r="375" spans="1:130">
      <c r="A375" s="102" t="s">
        <v>115</v>
      </c>
      <c r="C375" s="103" t="s">
        <v>612</v>
      </c>
      <c r="X375" s="703"/>
      <c r="Y375" s="703"/>
      <c r="Z375" s="704"/>
      <c r="AB375" s="703">
        <v>0</v>
      </c>
      <c r="AC375" s="703">
        <v>0</v>
      </c>
      <c r="AD375" s="704">
        <f>+AC375+AB375</f>
        <v>0</v>
      </c>
      <c r="AE375" s="293"/>
      <c r="AF375" s="703">
        <v>0</v>
      </c>
      <c r="AG375" s="703">
        <v>0</v>
      </c>
      <c r="AH375" s="704">
        <f>+AG375+AF375</f>
        <v>0</v>
      </c>
      <c r="AI375" s="320"/>
      <c r="AJ375" s="703">
        <v>0</v>
      </c>
      <c r="AK375" s="703">
        <v>0</v>
      </c>
      <c r="AL375" s="704">
        <f>+AK375+AJ375</f>
        <v>0</v>
      </c>
      <c r="AN375" s="703">
        <v>0</v>
      </c>
      <c r="AO375" s="703">
        <v>0</v>
      </c>
      <c r="AP375" s="704">
        <f>+AO375+AN375</f>
        <v>0</v>
      </c>
      <c r="AR375" s="703">
        <v>0</v>
      </c>
      <c r="AS375" s="703">
        <v>0</v>
      </c>
      <c r="AT375" s="704">
        <f>+AS375+AR375</f>
        <v>0</v>
      </c>
      <c r="AV375" s="703">
        <v>0</v>
      </c>
      <c r="AW375" s="705">
        <v>0</v>
      </c>
      <c r="AX375" s="702">
        <f>+AW375+AV375</f>
        <v>0</v>
      </c>
      <c r="AZ375" s="705">
        <v>0</v>
      </c>
      <c r="BA375" s="703">
        <v>0</v>
      </c>
      <c r="BB375" s="704">
        <f>+BA375+AZ375</f>
        <v>0</v>
      </c>
      <c r="BD375" s="705">
        <v>0</v>
      </c>
      <c r="BE375" s="705">
        <v>0</v>
      </c>
      <c r="BF375" s="704">
        <f>+BE375+BD375</f>
        <v>0</v>
      </c>
      <c r="BH375" s="705">
        <v>0</v>
      </c>
      <c r="BI375" s="705">
        <v>0</v>
      </c>
      <c r="BJ375" s="704">
        <f>+BI375+BH375</f>
        <v>0</v>
      </c>
      <c r="BL375" s="705">
        <v>0</v>
      </c>
      <c r="BM375" s="705"/>
      <c r="BN375" s="704">
        <f>+BM375+BL375</f>
        <v>0</v>
      </c>
      <c r="BP375" s="705">
        <v>0</v>
      </c>
      <c r="BQ375" s="703">
        <v>0</v>
      </c>
      <c r="BR375" s="704">
        <f>+BQ375+BP375</f>
        <v>0</v>
      </c>
      <c r="BT375" s="705">
        <v>0</v>
      </c>
      <c r="BU375" s="703">
        <v>0</v>
      </c>
      <c r="BV375" s="704">
        <f>+BU375+BT375</f>
        <v>0</v>
      </c>
      <c r="BX375" s="705">
        <v>0</v>
      </c>
      <c r="BY375" s="703">
        <v>0</v>
      </c>
      <c r="BZ375" s="704">
        <f>+BY375+BX375</f>
        <v>0</v>
      </c>
      <c r="CB375" s="703">
        <v>0</v>
      </c>
      <c r="CC375" s="703">
        <v>0</v>
      </c>
      <c r="CD375" s="704">
        <f>+CC375+CB375</f>
        <v>0</v>
      </c>
      <c r="CF375" s="703">
        <v>0</v>
      </c>
      <c r="CG375" s="705">
        <v>0</v>
      </c>
      <c r="CH375" s="704">
        <f>+CG375+CF375</f>
        <v>0</v>
      </c>
      <c r="CJ375" s="703">
        <v>0</v>
      </c>
      <c r="CK375" s="1450">
        <v>0</v>
      </c>
      <c r="CL375" s="1451">
        <f>+CK375+CJ375</f>
        <v>0</v>
      </c>
      <c r="CM375" s="1009"/>
      <c r="CN375" s="1450">
        <v>0</v>
      </c>
      <c r="CO375" s="1450">
        <v>0</v>
      </c>
      <c r="CP375" s="1451">
        <f>+CO375+CN375</f>
        <v>0</v>
      </c>
      <c r="CQ375" s="1009"/>
      <c r="CR375" s="1450">
        <v>0</v>
      </c>
      <c r="CS375" s="703">
        <v>0</v>
      </c>
      <c r="CT375" s="704">
        <f>+CS375+CR375</f>
        <v>0</v>
      </c>
      <c r="CV375" s="703">
        <v>0</v>
      </c>
      <c r="CW375" s="703">
        <v>0</v>
      </c>
      <c r="CX375" s="704">
        <f>+CW375+CV375</f>
        <v>0</v>
      </c>
      <c r="CZ375" s="703">
        <v>0</v>
      </c>
      <c r="DA375" s="703">
        <v>0</v>
      </c>
      <c r="DB375" s="704">
        <f>+DA375+CZ375</f>
        <v>0</v>
      </c>
      <c r="DD375" s="705">
        <v>0</v>
      </c>
      <c r="DE375" s="703">
        <v>0</v>
      </c>
      <c r="DF375" s="704">
        <f>+DE375+DD375</f>
        <v>0</v>
      </c>
      <c r="DH375" s="705">
        <v>0</v>
      </c>
      <c r="DI375" s="703">
        <v>0</v>
      </c>
      <c r="DJ375" s="704">
        <f>+DI375+DH375</f>
        <v>0</v>
      </c>
      <c r="DL375" s="703">
        <v>0</v>
      </c>
      <c r="DM375" s="703">
        <v>0</v>
      </c>
      <c r="DN375" s="704">
        <f>+DM375+DL375</f>
        <v>0</v>
      </c>
      <c r="DP375" s="703">
        <v>0</v>
      </c>
      <c r="DQ375" s="703">
        <v>0</v>
      </c>
      <c r="DR375" s="704">
        <f>+DQ375+DP375</f>
        <v>0</v>
      </c>
      <c r="DU375" s="1122"/>
      <c r="DV375" s="1122"/>
      <c r="DW375" s="407"/>
    </row>
    <row r="376" spans="1:130">
      <c r="A376" s="102" t="s">
        <v>116</v>
      </c>
      <c r="C376" s="103" t="s">
        <v>612</v>
      </c>
      <c r="X376" s="703"/>
      <c r="Y376" s="703"/>
      <c r="Z376" s="704"/>
      <c r="AB376" s="703">
        <v>0</v>
      </c>
      <c r="AC376" s="703">
        <v>0</v>
      </c>
      <c r="AD376" s="704">
        <f>+AC376+AB376</f>
        <v>0</v>
      </c>
      <c r="AE376" s="293"/>
      <c r="AF376" s="703">
        <v>0</v>
      </c>
      <c r="AG376" s="703">
        <v>0</v>
      </c>
      <c r="AH376" s="704">
        <f>+AG376+AF376</f>
        <v>0</v>
      </c>
      <c r="AI376" s="320"/>
      <c r="AJ376" s="703">
        <v>0</v>
      </c>
      <c r="AK376" s="703">
        <v>0</v>
      </c>
      <c r="AL376" s="704">
        <f>+AK376+AJ376</f>
        <v>0</v>
      </c>
      <c r="AN376" s="703">
        <v>0</v>
      </c>
      <c r="AO376" s="703">
        <v>0</v>
      </c>
      <c r="AP376" s="704">
        <f>+AO376+AN376</f>
        <v>0</v>
      </c>
      <c r="AR376" s="703">
        <v>0</v>
      </c>
      <c r="AS376" s="703">
        <v>0</v>
      </c>
      <c r="AT376" s="704">
        <f>+AS376+AR376</f>
        <v>0</v>
      </c>
      <c r="AV376" s="703">
        <v>0</v>
      </c>
      <c r="AW376" s="705">
        <v>0</v>
      </c>
      <c r="AX376" s="702">
        <f>+AW376+AV376</f>
        <v>0</v>
      </c>
      <c r="AZ376" s="705">
        <v>0</v>
      </c>
      <c r="BA376" s="703">
        <v>0</v>
      </c>
      <c r="BB376" s="704">
        <f>+BA376+AZ376</f>
        <v>0</v>
      </c>
      <c r="BD376" s="705">
        <v>0</v>
      </c>
      <c r="BE376" s="705">
        <v>0</v>
      </c>
      <c r="BF376" s="704">
        <f>+BE376+BD376</f>
        <v>0</v>
      </c>
      <c r="BH376" s="705">
        <v>0</v>
      </c>
      <c r="BI376" s="705">
        <v>0</v>
      </c>
      <c r="BJ376" s="704">
        <f>+BI376+BH376</f>
        <v>0</v>
      </c>
      <c r="BL376" s="705">
        <v>0</v>
      </c>
      <c r="BM376" s="705"/>
      <c r="BN376" s="704">
        <f>+BM376+BL376</f>
        <v>0</v>
      </c>
      <c r="BP376" s="705">
        <v>0</v>
      </c>
      <c r="BQ376" s="703">
        <v>0</v>
      </c>
      <c r="BR376" s="704">
        <f>+BQ376+BP376</f>
        <v>0</v>
      </c>
      <c r="BT376" s="705">
        <v>0</v>
      </c>
      <c r="BU376" s="703">
        <v>0</v>
      </c>
      <c r="BV376" s="704">
        <f>+BU376+BT376</f>
        <v>0</v>
      </c>
      <c r="BX376" s="705">
        <v>0</v>
      </c>
      <c r="BY376" s="703">
        <v>0</v>
      </c>
      <c r="BZ376" s="704">
        <f>+BY376+BX376</f>
        <v>0</v>
      </c>
      <c r="CB376" s="703">
        <v>0</v>
      </c>
      <c r="CC376" s="703">
        <v>0</v>
      </c>
      <c r="CD376" s="704">
        <f>+CC376+CB376</f>
        <v>0</v>
      </c>
      <c r="CF376" s="703">
        <v>0</v>
      </c>
      <c r="CG376" s="705">
        <v>0</v>
      </c>
      <c r="CH376" s="704">
        <f>+CG376+CF376</f>
        <v>0</v>
      </c>
      <c r="CJ376" s="703">
        <v>0</v>
      </c>
      <c r="CK376" s="1450">
        <v>0</v>
      </c>
      <c r="CL376" s="1451">
        <f>+CK376+CJ376</f>
        <v>0</v>
      </c>
      <c r="CM376" s="1009"/>
      <c r="CN376" s="1450">
        <v>-391</v>
      </c>
      <c r="CO376" s="1450">
        <v>0</v>
      </c>
      <c r="CP376" s="1451">
        <f>+CO376+CN376</f>
        <v>-391</v>
      </c>
      <c r="CQ376" s="1009"/>
      <c r="CR376" s="1450">
        <v>0</v>
      </c>
      <c r="CS376" s="703">
        <v>0</v>
      </c>
      <c r="CT376" s="704">
        <f>+CS376+CR376</f>
        <v>0</v>
      </c>
      <c r="CV376" s="703">
        <v>0</v>
      </c>
      <c r="CW376" s="703">
        <v>0</v>
      </c>
      <c r="CX376" s="704">
        <f>+CW376+CV376</f>
        <v>0</v>
      </c>
      <c r="CZ376" s="703">
        <v>0</v>
      </c>
      <c r="DA376" s="703">
        <v>0</v>
      </c>
      <c r="DB376" s="704">
        <f>+DA376+CZ376</f>
        <v>0</v>
      </c>
      <c r="DD376" s="705">
        <v>0</v>
      </c>
      <c r="DE376" s="703">
        <v>0</v>
      </c>
      <c r="DF376" s="704">
        <f>+DE376+DD376</f>
        <v>0</v>
      </c>
      <c r="DH376" s="705">
        <v>0</v>
      </c>
      <c r="DI376" s="703">
        <v>0</v>
      </c>
      <c r="DJ376" s="704">
        <f>+DI376+DH376</f>
        <v>0</v>
      </c>
      <c r="DL376" s="703">
        <v>0</v>
      </c>
      <c r="DM376" s="703">
        <v>0</v>
      </c>
      <c r="DN376" s="704">
        <f>+DM376+DL376</f>
        <v>0</v>
      </c>
      <c r="DP376" s="703">
        <v>0</v>
      </c>
      <c r="DQ376" s="703">
        <v>0</v>
      </c>
      <c r="DR376" s="704">
        <f>+DQ376+DP376</f>
        <v>0</v>
      </c>
      <c r="DU376" s="1122"/>
      <c r="DV376" s="1122"/>
      <c r="DW376" s="407"/>
    </row>
    <row r="377" spans="1:130">
      <c r="A377" s="102" t="s">
        <v>117</v>
      </c>
      <c r="C377" s="103" t="s">
        <v>612</v>
      </c>
      <c r="X377" s="293"/>
      <c r="Y377" s="293"/>
      <c r="Z377" s="293"/>
      <c r="AB377" s="293">
        <f>+AB378-AB374-AB375-AB376</f>
        <v>0</v>
      </c>
      <c r="AC377" s="293">
        <f>+AC378-AC374-AC375-AC376</f>
        <v>0</v>
      </c>
      <c r="AD377" s="293">
        <f>AC377+AB377</f>
        <v>0</v>
      </c>
      <c r="AE377" s="293"/>
      <c r="AF377" s="293">
        <f>+AF378-AF374-AF375-AF376</f>
        <v>0</v>
      </c>
      <c r="AG377" s="293">
        <f>+AG378-AG374-AG375-AG376</f>
        <v>0</v>
      </c>
      <c r="AH377" s="293">
        <f>AG377+AF377</f>
        <v>0</v>
      </c>
      <c r="AI377" s="320"/>
      <c r="AJ377" s="293">
        <f>+AJ378-AJ374-AJ375-AJ376</f>
        <v>0</v>
      </c>
      <c r="AK377" s="293">
        <f>+AK378-AK374-AK375-AK376</f>
        <v>0</v>
      </c>
      <c r="AL377" s="293">
        <f>AK377+AJ377</f>
        <v>0</v>
      </c>
      <c r="AN377" s="293">
        <f>+AN378-AN374-AN375-AN376</f>
        <v>0</v>
      </c>
      <c r="AO377" s="293">
        <f>+AO378-AO374-AO375-AO376</f>
        <v>0</v>
      </c>
      <c r="AP377" s="293">
        <f>AO377+AN377</f>
        <v>0</v>
      </c>
      <c r="AR377" s="293">
        <f>+AR378-AR374-AR375-AR376</f>
        <v>0</v>
      </c>
      <c r="AS377" s="293">
        <f>+AS378-AS374-AS375-AS376</f>
        <v>0</v>
      </c>
      <c r="AT377" s="293">
        <f>AS377+AR377</f>
        <v>0</v>
      </c>
      <c r="AV377" s="293">
        <f>+AV378-AV374-AV375-AV376</f>
        <v>0</v>
      </c>
      <c r="AW377" s="293">
        <f>+AW378-AW374-AW375-AW376</f>
        <v>0</v>
      </c>
      <c r="AX377" s="293">
        <f>AW377+AV377</f>
        <v>0</v>
      </c>
      <c r="AZ377" s="293">
        <f>+AZ378-AZ374-AZ375-AZ376</f>
        <v>0</v>
      </c>
      <c r="BA377" s="293">
        <f>+BA378-BA374-BA375-BA376</f>
        <v>0</v>
      </c>
      <c r="BB377" s="293">
        <f>BA377+AZ377</f>
        <v>0</v>
      </c>
      <c r="BD377" s="293">
        <f>+BD378-BD374-BD375-BD376</f>
        <v>0</v>
      </c>
      <c r="BE377" s="293">
        <f>+BE378-BE374-BE375-BE376</f>
        <v>0</v>
      </c>
      <c r="BF377" s="293">
        <f>BE377+BD377</f>
        <v>0</v>
      </c>
      <c r="BH377" s="293">
        <f>+BH378-BH374-BH375-BH376</f>
        <v>0</v>
      </c>
      <c r="BI377" s="293">
        <f>+BI378-BI374-BI375-BI376</f>
        <v>0</v>
      </c>
      <c r="BJ377" s="293">
        <f>BI377+BH377</f>
        <v>0</v>
      </c>
      <c r="BL377" s="293">
        <f>+BL378-BL374-BL375-BL376</f>
        <v>0</v>
      </c>
      <c r="BM377" s="293">
        <f>+BM378-BM374-BM375-BM376</f>
        <v>0</v>
      </c>
      <c r="BN377" s="293">
        <f>BM377+BL377</f>
        <v>0</v>
      </c>
      <c r="BP377" s="293">
        <f>+BP378-BP374-BP375-BP376</f>
        <v>0</v>
      </c>
      <c r="BQ377" s="293">
        <f>+BQ378-BQ374-BQ375-BQ376</f>
        <v>0</v>
      </c>
      <c r="BR377" s="293">
        <f>BQ377+BP377</f>
        <v>0</v>
      </c>
      <c r="BT377" s="293">
        <f>+BT378-BT374-BT375-BT376</f>
        <v>0</v>
      </c>
      <c r="BU377" s="293">
        <f>+BU378-BU374-BU375-BU376</f>
        <v>0</v>
      </c>
      <c r="BV377" s="293">
        <f>BU377+BT377</f>
        <v>0</v>
      </c>
      <c r="BX377" s="293">
        <f>+BX378-BX374-BX375-BX376</f>
        <v>0</v>
      </c>
      <c r="BY377" s="293">
        <f>+BY378-BY374-BY375-BY376</f>
        <v>0</v>
      </c>
      <c r="BZ377" s="293">
        <f>BY377+BX377</f>
        <v>0</v>
      </c>
      <c r="CB377" s="293">
        <f>+CB378-CB374-CB375-CB376</f>
        <v>0</v>
      </c>
      <c r="CC377" s="293">
        <f>+CC378-CC374-CC375-CC376</f>
        <v>0</v>
      </c>
      <c r="CD377" s="293">
        <f>CC377+CB377</f>
        <v>0</v>
      </c>
      <c r="CF377" s="293">
        <f>+CF378-CF374-CF375-CF376</f>
        <v>0</v>
      </c>
      <c r="CG377" s="293">
        <f>+CG378-CG374-CG375-CG376</f>
        <v>0</v>
      </c>
      <c r="CH377" s="293">
        <f>CG377+CF377</f>
        <v>0</v>
      </c>
      <c r="CJ377" s="293">
        <f>+CJ378-CJ374-CJ375-CJ376</f>
        <v>0</v>
      </c>
      <c r="CK377" s="1010">
        <f>+CK378-CK374-CK375-CK376</f>
        <v>0</v>
      </c>
      <c r="CL377" s="1010">
        <f>CK377+CJ377</f>
        <v>0</v>
      </c>
      <c r="CM377" s="1009"/>
      <c r="CN377" s="1010">
        <f>+CN378-CN374-CN375-CN376</f>
        <v>0</v>
      </c>
      <c r="CO377" s="1010">
        <f>+CO378-CO374-CO375-CO376</f>
        <v>0</v>
      </c>
      <c r="CP377" s="1010">
        <f>CO377+CN377</f>
        <v>0</v>
      </c>
      <c r="CQ377" s="1009"/>
      <c r="CR377" s="1010">
        <f>+CR378-CR374-CR375-CR376</f>
        <v>0</v>
      </c>
      <c r="CS377" s="703">
        <v>0</v>
      </c>
      <c r="CT377" s="293">
        <f>CS377+CR377</f>
        <v>0</v>
      </c>
      <c r="CV377" s="703">
        <v>0</v>
      </c>
      <c r="CW377" s="703">
        <v>0</v>
      </c>
      <c r="CX377" s="293">
        <f>CW377+CV377</f>
        <v>0</v>
      </c>
      <c r="CZ377" s="703">
        <v>0</v>
      </c>
      <c r="DA377" s="703">
        <v>0</v>
      </c>
      <c r="DB377" s="293">
        <f>DA377+CZ377</f>
        <v>0</v>
      </c>
      <c r="DD377" s="705">
        <v>0</v>
      </c>
      <c r="DE377" s="703">
        <v>0</v>
      </c>
      <c r="DF377" s="293">
        <f>DE377+DD377</f>
        <v>0</v>
      </c>
      <c r="DH377" s="705">
        <v>0</v>
      </c>
      <c r="DI377" s="703">
        <v>0</v>
      </c>
      <c r="DJ377" s="293">
        <f>DI377+DH377</f>
        <v>0</v>
      </c>
      <c r="DL377" s="703">
        <v>0</v>
      </c>
      <c r="DM377" s="703">
        <v>0</v>
      </c>
      <c r="DN377" s="293">
        <f>DM377+DL377</f>
        <v>0</v>
      </c>
      <c r="DP377" s="703">
        <v>0</v>
      </c>
      <c r="DQ377" s="703">
        <v>0</v>
      </c>
      <c r="DR377" s="293">
        <f>DQ377+DP377</f>
        <v>0</v>
      </c>
      <c r="DU377" s="1122"/>
      <c r="DV377" s="1122"/>
      <c r="DW377" s="293"/>
    </row>
    <row r="378" spans="1:130">
      <c r="A378" s="102" t="s">
        <v>67</v>
      </c>
      <c r="C378" s="103" t="s">
        <v>612</v>
      </c>
      <c r="X378" s="293"/>
      <c r="Y378" s="293"/>
      <c r="Z378" s="293"/>
      <c r="AB378" s="293">
        <f>AB110</f>
        <v>391</v>
      </c>
      <c r="AC378" s="293">
        <f>AC110</f>
        <v>391</v>
      </c>
      <c r="AD378" s="293">
        <f>AD110</f>
        <v>391</v>
      </c>
      <c r="AE378" s="293"/>
      <c r="AF378" s="293">
        <f>AF110</f>
        <v>391</v>
      </c>
      <c r="AG378" s="293">
        <f>AG110</f>
        <v>391</v>
      </c>
      <c r="AH378" s="293">
        <f>AH110</f>
        <v>391</v>
      </c>
      <c r="AI378" s="320"/>
      <c r="AJ378" s="293">
        <f>AJ110</f>
        <v>391</v>
      </c>
      <c r="AK378" s="293">
        <f>AK110</f>
        <v>391</v>
      </c>
      <c r="AL378" s="293">
        <f>AL110</f>
        <v>391</v>
      </c>
      <c r="AN378" s="293">
        <f>AN110</f>
        <v>391</v>
      </c>
      <c r="AO378" s="293">
        <f>AO110</f>
        <v>391</v>
      </c>
      <c r="AP378" s="293">
        <f>AP110</f>
        <v>391</v>
      </c>
      <c r="AR378" s="293">
        <f>AR110</f>
        <v>391</v>
      </c>
      <c r="AS378" s="293">
        <f>AS110</f>
        <v>391</v>
      </c>
      <c r="AT378" s="293">
        <f>AT110</f>
        <v>391</v>
      </c>
      <c r="AV378" s="293">
        <f>AV110</f>
        <v>391</v>
      </c>
      <c r="AW378" s="293">
        <f>AW110</f>
        <v>391</v>
      </c>
      <c r="AX378" s="293">
        <f>AX110</f>
        <v>391</v>
      </c>
      <c r="AZ378" s="293">
        <f>AZ110</f>
        <v>391</v>
      </c>
      <c r="BA378" s="293">
        <f>BA110</f>
        <v>391</v>
      </c>
      <c r="BB378" s="293">
        <f>BB110</f>
        <v>391</v>
      </c>
      <c r="BD378" s="293">
        <f>BD110</f>
        <v>391</v>
      </c>
      <c r="BE378" s="293">
        <f>BE110</f>
        <v>391</v>
      </c>
      <c r="BF378" s="293">
        <f>BF110</f>
        <v>391</v>
      </c>
      <c r="BH378" s="293">
        <f>BH110</f>
        <v>391</v>
      </c>
      <c r="BI378" s="293">
        <f>BI110</f>
        <v>391</v>
      </c>
      <c r="BJ378" s="293">
        <f>BJ110</f>
        <v>391</v>
      </c>
      <c r="BL378" s="293">
        <f>BL110</f>
        <v>391</v>
      </c>
      <c r="BM378" s="293">
        <f>BM110</f>
        <v>391</v>
      </c>
      <c r="BN378" s="293">
        <f>BN110</f>
        <v>391</v>
      </c>
      <c r="BP378" s="293">
        <f>BP110</f>
        <v>391</v>
      </c>
      <c r="BQ378" s="293">
        <f>BQ110</f>
        <v>391</v>
      </c>
      <c r="BR378" s="293">
        <f>BR110</f>
        <v>391</v>
      </c>
      <c r="BT378" s="293">
        <f>BT110</f>
        <v>391</v>
      </c>
      <c r="BU378" s="293">
        <f>BU110</f>
        <v>391</v>
      </c>
      <c r="BV378" s="293">
        <f>BV110</f>
        <v>391</v>
      </c>
      <c r="BX378" s="293">
        <f>BX110</f>
        <v>391</v>
      </c>
      <c r="BY378" s="293">
        <f>BY110</f>
        <v>391</v>
      </c>
      <c r="BZ378" s="293">
        <f>BZ110</f>
        <v>391</v>
      </c>
      <c r="CB378" s="293">
        <f>CB110</f>
        <v>391</v>
      </c>
      <c r="CC378" s="293">
        <f>CC110</f>
        <v>391</v>
      </c>
      <c r="CD378" s="293">
        <f>CD110</f>
        <v>391</v>
      </c>
      <c r="CF378" s="293">
        <f>CF110</f>
        <v>391</v>
      </c>
      <c r="CG378" s="293">
        <f>CG110</f>
        <v>391</v>
      </c>
      <c r="CH378" s="293">
        <f>CH110</f>
        <v>391</v>
      </c>
      <c r="CJ378" s="293">
        <f>CJ110</f>
        <v>391</v>
      </c>
      <c r="CK378" s="293">
        <f>CK110</f>
        <v>391</v>
      </c>
      <c r="CL378" s="293">
        <f>CL110</f>
        <v>391</v>
      </c>
      <c r="CN378" s="293">
        <f>CN110</f>
        <v>0</v>
      </c>
      <c r="CO378" s="293">
        <f>CO110</f>
        <v>0</v>
      </c>
      <c r="CP378" s="293">
        <f>CP110</f>
        <v>0</v>
      </c>
      <c r="CR378" s="293">
        <f>CR110</f>
        <v>0</v>
      </c>
      <c r="CS378" s="293">
        <f>SUM(CS374:CS377)</f>
        <v>0</v>
      </c>
      <c r="CT378" s="293">
        <f>SUM(CT374:CT377)</f>
        <v>0</v>
      </c>
      <c r="CV378" s="293">
        <f>SUM(CV374:CV377)</f>
        <v>0</v>
      </c>
      <c r="CW378" s="1495">
        <f>SUM(CW374:CW377)</f>
        <v>0</v>
      </c>
      <c r="CX378" s="293">
        <f>SUM(CX374:CX377)</f>
        <v>0</v>
      </c>
      <c r="CZ378" s="293">
        <f>SUM(CZ374:CZ377)</f>
        <v>0</v>
      </c>
      <c r="DA378" s="1495">
        <f>SUM(DA374:DA377)</f>
        <v>0</v>
      </c>
      <c r="DB378" s="293">
        <f>SUM(DB374:DB377)</f>
        <v>0</v>
      </c>
      <c r="DD378" s="293">
        <f>SUM(DD374:DD377)</f>
        <v>0</v>
      </c>
      <c r="DE378" s="1495">
        <f>SUM(DE374:DE377)</f>
        <v>0</v>
      </c>
      <c r="DF378" s="293">
        <f>SUM(DF374:DF377)</f>
        <v>0</v>
      </c>
      <c r="DH378" s="293">
        <f>SUM(DH374:DH377)</f>
        <v>0</v>
      </c>
      <c r="DI378" s="293">
        <f>SUM(DI374:DI377)</f>
        <v>0</v>
      </c>
      <c r="DJ378" s="293">
        <f>SUM(DJ374:DJ377)</f>
        <v>0</v>
      </c>
      <c r="DL378" s="293">
        <f>SUM(DL374:DL377)</f>
        <v>0</v>
      </c>
      <c r="DM378" s="293">
        <f>SUM(DM374:DM377)</f>
        <v>0</v>
      </c>
      <c r="DN378" s="293">
        <f>SUM(DN374:DN377)</f>
        <v>0</v>
      </c>
      <c r="DP378" s="293">
        <f>SUM(DP374:DP377)</f>
        <v>0</v>
      </c>
      <c r="DQ378" s="293">
        <f>SUM(DQ374:DQ377)</f>
        <v>0</v>
      </c>
      <c r="DR378" s="293">
        <f>SUM(DR374:DR377)</f>
        <v>0</v>
      </c>
      <c r="DU378" s="293"/>
      <c r="DV378" s="293"/>
      <c r="DW378" s="293"/>
    </row>
    <row r="379" spans="1:130">
      <c r="X379" s="293"/>
      <c r="Y379" s="293"/>
      <c r="Z379" s="293"/>
      <c r="AB379" s="293"/>
      <c r="AC379" s="293"/>
      <c r="AD379" s="293"/>
      <c r="AE379" s="293"/>
      <c r="AF379" s="293"/>
      <c r="AG379" s="293"/>
      <c r="AH379" s="293"/>
      <c r="AI379" s="320"/>
      <c r="AJ379" s="293"/>
      <c r="AK379" s="293"/>
      <c r="AL379" s="293"/>
      <c r="AN379" s="293"/>
      <c r="AO379" s="293"/>
      <c r="AP379" s="293"/>
      <c r="AR379" s="293"/>
      <c r="AS379" s="293"/>
      <c r="AT379" s="293"/>
      <c r="AV379" s="293"/>
      <c r="AW379" s="293"/>
      <c r="AX379" s="293"/>
      <c r="AZ379" s="293"/>
      <c r="BA379" s="293"/>
      <c r="BB379" s="293"/>
      <c r="BD379" s="293"/>
      <c r="BE379" s="293"/>
      <c r="BF379" s="293"/>
      <c r="BH379" s="293"/>
      <c r="BI379" s="293"/>
      <c r="BJ379" s="293"/>
      <c r="BL379" s="293"/>
      <c r="BM379" s="293"/>
      <c r="BN379" s="293"/>
      <c r="BP379" s="293"/>
      <c r="BQ379" s="293"/>
      <c r="BR379" s="293"/>
      <c r="BT379" s="293"/>
      <c r="BU379" s="293"/>
      <c r="BV379" s="293"/>
      <c r="BX379" s="293"/>
      <c r="BY379" s="293"/>
      <c r="BZ379" s="293"/>
      <c r="CB379" s="293"/>
      <c r="CC379" s="293"/>
      <c r="CD379" s="293"/>
      <c r="CF379" s="293"/>
      <c r="CG379" s="293"/>
      <c r="CH379" s="293"/>
      <c r="CJ379" s="293"/>
      <c r="CK379" s="293"/>
      <c r="CL379" s="293"/>
      <c r="CN379" s="293"/>
      <c r="CO379" s="293"/>
      <c r="CP379" s="293"/>
      <c r="CR379" s="293"/>
      <c r="CS379" s="293"/>
      <c r="CT379" s="293"/>
      <c r="CV379" s="293"/>
      <c r="CW379" s="1495"/>
      <c r="CX379" s="293"/>
      <c r="CZ379" s="293"/>
      <c r="DA379" s="1495"/>
      <c r="DB379" s="293"/>
      <c r="DD379" s="293"/>
      <c r="DE379" s="1495"/>
      <c r="DF379" s="293"/>
      <c r="DH379" s="293"/>
      <c r="DI379" s="293"/>
      <c r="DJ379" s="293"/>
      <c r="DL379" s="293"/>
      <c r="DM379" s="293"/>
      <c r="DN379" s="293"/>
      <c r="DP379" s="293"/>
      <c r="DQ379" s="293"/>
      <c r="DR379" s="293"/>
      <c r="DU379" s="293"/>
      <c r="DV379" s="293"/>
      <c r="DW379" s="293"/>
    </row>
    <row r="380" spans="1:130">
      <c r="A380" s="102" t="s">
        <v>120</v>
      </c>
      <c r="C380" s="103" t="s">
        <v>612</v>
      </c>
      <c r="X380" s="762"/>
      <c r="Y380" s="293"/>
      <c r="Z380" s="293"/>
      <c r="AB380" s="762">
        <v>400</v>
      </c>
      <c r="AC380" s="293">
        <f>AB380</f>
        <v>400</v>
      </c>
      <c r="AD380" s="293">
        <f>AC380</f>
        <v>400</v>
      </c>
      <c r="AE380" s="293"/>
      <c r="AF380" s="293">
        <f>AD380</f>
        <v>400</v>
      </c>
      <c r="AG380" s="293">
        <f t="shared" ref="AG380:AH383" si="336">AF380</f>
        <v>400</v>
      </c>
      <c r="AH380" s="293">
        <f t="shared" si="336"/>
        <v>400</v>
      </c>
      <c r="AI380" s="320"/>
      <c r="AJ380" s="293">
        <f>AH380</f>
        <v>400</v>
      </c>
      <c r="AK380" s="293">
        <f t="shared" ref="AK380:AL383" si="337">AJ380</f>
        <v>400</v>
      </c>
      <c r="AL380" s="293">
        <f t="shared" si="337"/>
        <v>400</v>
      </c>
      <c r="AN380" s="293">
        <f>AL380</f>
        <v>400</v>
      </c>
      <c r="AO380" s="293">
        <f t="shared" ref="AO380:AP383" si="338">AN380</f>
        <v>400</v>
      </c>
      <c r="AP380" s="293">
        <f t="shared" si="338"/>
        <v>400</v>
      </c>
      <c r="AR380" s="293">
        <f>AP380</f>
        <v>400</v>
      </c>
      <c r="AS380" s="293">
        <f t="shared" ref="AS380:AT383" si="339">AR380</f>
        <v>400</v>
      </c>
      <c r="AT380" s="293">
        <f t="shared" si="339"/>
        <v>400</v>
      </c>
      <c r="AV380" s="293">
        <f>AT380</f>
        <v>400</v>
      </c>
      <c r="AW380" s="293">
        <f t="shared" ref="AW380:AX383" si="340">AV380</f>
        <v>400</v>
      </c>
      <c r="AX380" s="293">
        <f t="shared" si="340"/>
        <v>400</v>
      </c>
      <c r="AZ380" s="293">
        <f>AX380</f>
        <v>400</v>
      </c>
      <c r="BA380" s="293">
        <f t="shared" ref="BA380:BB383" si="341">AZ380</f>
        <v>400</v>
      </c>
      <c r="BB380" s="293">
        <f t="shared" si="341"/>
        <v>400</v>
      </c>
      <c r="BD380" s="293">
        <f>BB380</f>
        <v>400</v>
      </c>
      <c r="BE380" s="293">
        <f t="shared" ref="BE380:BF383" si="342">BD380</f>
        <v>400</v>
      </c>
      <c r="BF380" s="293">
        <f t="shared" si="342"/>
        <v>400</v>
      </c>
      <c r="BH380" s="293">
        <f>BF380</f>
        <v>400</v>
      </c>
      <c r="BI380" s="293">
        <f t="shared" ref="BI380:BJ383" si="343">BH380</f>
        <v>400</v>
      </c>
      <c r="BJ380" s="293">
        <f t="shared" si="343"/>
        <v>400</v>
      </c>
      <c r="BL380" s="293">
        <f>BJ380</f>
        <v>400</v>
      </c>
      <c r="BM380" s="293">
        <f t="shared" ref="BM380:BN383" si="344">BL380</f>
        <v>400</v>
      </c>
      <c r="BN380" s="293">
        <f t="shared" si="344"/>
        <v>400</v>
      </c>
      <c r="BP380" s="293">
        <f>BN380</f>
        <v>400</v>
      </c>
      <c r="BQ380" s="293">
        <f t="shared" ref="BQ380:BR383" si="345">BP380</f>
        <v>400</v>
      </c>
      <c r="BR380" s="293">
        <f t="shared" si="345"/>
        <v>400</v>
      </c>
      <c r="BT380" s="293">
        <f>BR380</f>
        <v>400</v>
      </c>
      <c r="BU380" s="293">
        <f t="shared" ref="BU380:BV383" si="346">BT380</f>
        <v>400</v>
      </c>
      <c r="BV380" s="293">
        <f t="shared" si="346"/>
        <v>400</v>
      </c>
      <c r="BX380" s="293">
        <f>BV380</f>
        <v>400</v>
      </c>
      <c r="BY380" s="293">
        <f t="shared" ref="BY380:BZ383" si="347">BX380</f>
        <v>400</v>
      </c>
      <c r="BZ380" s="293">
        <f t="shared" si="347"/>
        <v>400</v>
      </c>
      <c r="CB380" s="293">
        <f>BZ380</f>
        <v>400</v>
      </c>
      <c r="CC380" s="293">
        <f t="shared" ref="CC380:CC383" si="348">CB380</f>
        <v>400</v>
      </c>
      <c r="CD380" s="293">
        <f t="shared" ref="CD380:CD383" si="349">CC380</f>
        <v>400</v>
      </c>
      <c r="CF380" s="293">
        <f>CD380</f>
        <v>400</v>
      </c>
      <c r="CG380" s="293">
        <f t="shared" ref="CG380:CG383" si="350">CF380</f>
        <v>400</v>
      </c>
      <c r="CH380" s="293">
        <f t="shared" ref="CH380:CH383" si="351">CG380</f>
        <v>400</v>
      </c>
      <c r="CJ380" s="293">
        <f>CH380</f>
        <v>400</v>
      </c>
      <c r="CK380" s="293">
        <f t="shared" ref="CK380:CL383" si="352">CJ380</f>
        <v>400</v>
      </c>
      <c r="CL380" s="293">
        <f t="shared" si="352"/>
        <v>400</v>
      </c>
      <c r="CN380" s="626">
        <v>0</v>
      </c>
      <c r="CO380" s="626">
        <v>0</v>
      </c>
      <c r="CP380" s="293">
        <f t="shared" ref="CP380:CP381" si="353">CO380</f>
        <v>0</v>
      </c>
      <c r="CR380" s="626">
        <v>0</v>
      </c>
      <c r="CS380" s="626">
        <v>0</v>
      </c>
      <c r="CT380" s="293">
        <f t="shared" ref="CT380:CT381" si="354">CS380</f>
        <v>0</v>
      </c>
      <c r="CV380" s="626">
        <v>0</v>
      </c>
      <c r="CW380" s="1497">
        <v>0</v>
      </c>
      <c r="CX380" s="293">
        <f t="shared" ref="CX380:CX383" si="355">CW380</f>
        <v>0</v>
      </c>
      <c r="CZ380" s="626">
        <v>0</v>
      </c>
      <c r="DA380" s="1497">
        <v>0</v>
      </c>
      <c r="DB380" s="293">
        <f t="shared" ref="DB380:DB383" si="356">DA380</f>
        <v>0</v>
      </c>
      <c r="DD380" s="626">
        <v>0</v>
      </c>
      <c r="DE380" s="1497">
        <v>0</v>
      </c>
      <c r="DF380" s="293">
        <f t="shared" ref="DF380:DF383" si="357">DE380</f>
        <v>0</v>
      </c>
      <c r="DH380" s="626">
        <v>0</v>
      </c>
      <c r="DI380" s="626">
        <v>0</v>
      </c>
      <c r="DJ380" s="293">
        <f t="shared" ref="DJ380:DJ383" si="358">DI380</f>
        <v>0</v>
      </c>
      <c r="DL380" s="626">
        <v>0</v>
      </c>
      <c r="DM380" s="626">
        <v>0</v>
      </c>
      <c r="DN380" s="293">
        <f t="shared" ref="DN380:DN383" si="359">DM380</f>
        <v>0</v>
      </c>
      <c r="DP380" s="626">
        <v>0</v>
      </c>
      <c r="DQ380" s="626">
        <v>0</v>
      </c>
      <c r="DR380" s="293">
        <f t="shared" ref="DR380:DR383" si="360">DQ380</f>
        <v>0</v>
      </c>
      <c r="DU380" s="293"/>
      <c r="DV380" s="293"/>
      <c r="DW380" s="293"/>
    </row>
    <row r="381" spans="1:130">
      <c r="A381" s="102" t="s">
        <v>121</v>
      </c>
      <c r="C381" s="103" t="s">
        <v>612</v>
      </c>
      <c r="X381" s="762"/>
      <c r="Y381" s="293"/>
      <c r="Z381" s="293"/>
      <c r="AB381" s="762">
        <v>-9</v>
      </c>
      <c r="AC381" s="293">
        <f t="shared" ref="AC381:AD383" si="361">AB381</f>
        <v>-9</v>
      </c>
      <c r="AD381" s="293">
        <f t="shared" si="361"/>
        <v>-9</v>
      </c>
      <c r="AE381" s="293"/>
      <c r="AF381" s="293">
        <f>AD381</f>
        <v>-9</v>
      </c>
      <c r="AG381" s="293">
        <f t="shared" si="336"/>
        <v>-9</v>
      </c>
      <c r="AH381" s="293">
        <f t="shared" si="336"/>
        <v>-9</v>
      </c>
      <c r="AI381" s="320"/>
      <c r="AJ381" s="293">
        <f>AH381</f>
        <v>-9</v>
      </c>
      <c r="AK381" s="293">
        <f t="shared" si="337"/>
        <v>-9</v>
      </c>
      <c r="AL381" s="293">
        <f t="shared" si="337"/>
        <v>-9</v>
      </c>
      <c r="AN381" s="293">
        <f>AL381</f>
        <v>-9</v>
      </c>
      <c r="AO381" s="293">
        <f t="shared" si="338"/>
        <v>-9</v>
      </c>
      <c r="AP381" s="293">
        <f t="shared" si="338"/>
        <v>-9</v>
      </c>
      <c r="AR381" s="293">
        <f>AP381</f>
        <v>-9</v>
      </c>
      <c r="AS381" s="293">
        <f t="shared" si="339"/>
        <v>-9</v>
      </c>
      <c r="AT381" s="293">
        <f t="shared" si="339"/>
        <v>-9</v>
      </c>
      <c r="AV381" s="293">
        <f>AT381</f>
        <v>-9</v>
      </c>
      <c r="AW381" s="293">
        <f t="shared" si="340"/>
        <v>-9</v>
      </c>
      <c r="AX381" s="293">
        <f t="shared" si="340"/>
        <v>-9</v>
      </c>
      <c r="AZ381" s="293">
        <f>AX381</f>
        <v>-9</v>
      </c>
      <c r="BA381" s="293">
        <f t="shared" si="341"/>
        <v>-9</v>
      </c>
      <c r="BB381" s="293">
        <f t="shared" si="341"/>
        <v>-9</v>
      </c>
      <c r="BD381" s="293">
        <f>BB381</f>
        <v>-9</v>
      </c>
      <c r="BE381" s="293">
        <f t="shared" si="342"/>
        <v>-9</v>
      </c>
      <c r="BF381" s="293">
        <f t="shared" si="342"/>
        <v>-9</v>
      </c>
      <c r="BH381" s="293">
        <f>BF381</f>
        <v>-9</v>
      </c>
      <c r="BI381" s="293">
        <f t="shared" si="343"/>
        <v>-9</v>
      </c>
      <c r="BJ381" s="293">
        <f t="shared" si="343"/>
        <v>-9</v>
      </c>
      <c r="BL381" s="293">
        <f>BJ381</f>
        <v>-9</v>
      </c>
      <c r="BM381" s="293">
        <f t="shared" si="344"/>
        <v>-9</v>
      </c>
      <c r="BN381" s="293">
        <f t="shared" si="344"/>
        <v>-9</v>
      </c>
      <c r="BP381" s="293">
        <f>BN381</f>
        <v>-9</v>
      </c>
      <c r="BQ381" s="293">
        <f t="shared" si="345"/>
        <v>-9</v>
      </c>
      <c r="BR381" s="293">
        <f t="shared" si="345"/>
        <v>-9</v>
      </c>
      <c r="BT381" s="293">
        <f>BR381</f>
        <v>-9</v>
      </c>
      <c r="BU381" s="293">
        <f t="shared" si="346"/>
        <v>-9</v>
      </c>
      <c r="BV381" s="293">
        <f t="shared" si="346"/>
        <v>-9</v>
      </c>
      <c r="BX381" s="293">
        <f>BV381</f>
        <v>-9</v>
      </c>
      <c r="BY381" s="293">
        <f t="shared" si="347"/>
        <v>-9</v>
      </c>
      <c r="BZ381" s="293">
        <f t="shared" si="347"/>
        <v>-9</v>
      </c>
      <c r="CB381" s="293">
        <f>BZ381</f>
        <v>-9</v>
      </c>
      <c r="CC381" s="293">
        <f t="shared" si="348"/>
        <v>-9</v>
      </c>
      <c r="CD381" s="293">
        <f t="shared" si="349"/>
        <v>-9</v>
      </c>
      <c r="CF381" s="293">
        <f>CD381</f>
        <v>-9</v>
      </c>
      <c r="CG381" s="293">
        <f t="shared" si="350"/>
        <v>-9</v>
      </c>
      <c r="CH381" s="293">
        <f t="shared" si="351"/>
        <v>-9</v>
      </c>
      <c r="CJ381" s="293">
        <f>CH381</f>
        <v>-9</v>
      </c>
      <c r="CK381" s="293">
        <f t="shared" si="352"/>
        <v>-9</v>
      </c>
      <c r="CL381" s="293">
        <f t="shared" si="352"/>
        <v>-9</v>
      </c>
      <c r="CN381" s="626">
        <v>0</v>
      </c>
      <c r="CO381" s="626">
        <v>0</v>
      </c>
      <c r="CP381" s="293">
        <f t="shared" si="353"/>
        <v>0</v>
      </c>
      <c r="CR381" s="626">
        <v>0</v>
      </c>
      <c r="CS381" s="626">
        <v>0</v>
      </c>
      <c r="CT381" s="293">
        <f t="shared" si="354"/>
        <v>0</v>
      </c>
      <c r="CV381" s="626">
        <v>0</v>
      </c>
      <c r="CW381" s="1497">
        <v>0</v>
      </c>
      <c r="CX381" s="293">
        <f t="shared" si="355"/>
        <v>0</v>
      </c>
      <c r="CZ381" s="626">
        <v>0</v>
      </c>
      <c r="DA381" s="1497">
        <v>0</v>
      </c>
      <c r="DB381" s="293">
        <f t="shared" si="356"/>
        <v>0</v>
      </c>
      <c r="DD381" s="626">
        <v>0</v>
      </c>
      <c r="DE381" s="1497">
        <v>0</v>
      </c>
      <c r="DF381" s="293">
        <f t="shared" si="357"/>
        <v>0</v>
      </c>
      <c r="DH381" s="626">
        <v>0</v>
      </c>
      <c r="DI381" s="626">
        <v>0</v>
      </c>
      <c r="DJ381" s="293">
        <f t="shared" si="358"/>
        <v>0</v>
      </c>
      <c r="DL381" s="626">
        <v>0</v>
      </c>
      <c r="DM381" s="626">
        <v>0</v>
      </c>
      <c r="DN381" s="293">
        <f t="shared" si="359"/>
        <v>0</v>
      </c>
      <c r="DP381" s="626">
        <v>0</v>
      </c>
      <c r="DQ381" s="626">
        <v>0</v>
      </c>
      <c r="DR381" s="293">
        <f t="shared" si="360"/>
        <v>0</v>
      </c>
      <c r="DU381" s="293"/>
      <c r="DV381" s="293"/>
      <c r="DW381" s="293"/>
    </row>
    <row r="382" spans="1:130">
      <c r="A382" s="102" t="s">
        <v>122</v>
      </c>
      <c r="C382" s="103" t="s">
        <v>612</v>
      </c>
      <c r="X382" s="293"/>
      <c r="Y382" s="293"/>
      <c r="Z382" s="293"/>
      <c r="AB382" s="293">
        <f>SUM(AB380:AB381)</f>
        <v>391</v>
      </c>
      <c r="AC382" s="293">
        <f t="shared" si="361"/>
        <v>391</v>
      </c>
      <c r="AD382" s="293">
        <f t="shared" si="361"/>
        <v>391</v>
      </c>
      <c r="AE382" s="293"/>
      <c r="AF382" s="293">
        <f>SUM(AF380:AF381)</f>
        <v>391</v>
      </c>
      <c r="AG382" s="293">
        <f t="shared" si="336"/>
        <v>391</v>
      </c>
      <c r="AH382" s="293">
        <f t="shared" si="336"/>
        <v>391</v>
      </c>
      <c r="AI382" s="320"/>
      <c r="AJ382" s="293">
        <f>SUM(AJ380:AJ381)</f>
        <v>391</v>
      </c>
      <c r="AK382" s="293">
        <f t="shared" si="337"/>
        <v>391</v>
      </c>
      <c r="AL382" s="293">
        <f t="shared" si="337"/>
        <v>391</v>
      </c>
      <c r="AN382" s="293">
        <f>SUM(AN380:AN381)</f>
        <v>391</v>
      </c>
      <c r="AO382" s="293">
        <f t="shared" si="338"/>
        <v>391</v>
      </c>
      <c r="AP382" s="293">
        <f t="shared" si="338"/>
        <v>391</v>
      </c>
      <c r="AR382" s="293">
        <f>SUM(AR380:AR381)</f>
        <v>391</v>
      </c>
      <c r="AS382" s="293">
        <f t="shared" si="339"/>
        <v>391</v>
      </c>
      <c r="AT382" s="293">
        <f t="shared" si="339"/>
        <v>391</v>
      </c>
      <c r="AV382" s="293">
        <f>SUM(AV380:AV381)</f>
        <v>391</v>
      </c>
      <c r="AW382" s="293">
        <f t="shared" si="340"/>
        <v>391</v>
      </c>
      <c r="AX382" s="293">
        <f t="shared" si="340"/>
        <v>391</v>
      </c>
      <c r="AZ382" s="293">
        <f>SUM(AZ380:AZ381)</f>
        <v>391</v>
      </c>
      <c r="BA382" s="293">
        <f t="shared" si="341"/>
        <v>391</v>
      </c>
      <c r="BB382" s="293">
        <f t="shared" si="341"/>
        <v>391</v>
      </c>
      <c r="BD382" s="293">
        <f>SUM(BD380:BD381)</f>
        <v>391</v>
      </c>
      <c r="BE382" s="293">
        <f t="shared" si="342"/>
        <v>391</v>
      </c>
      <c r="BF382" s="293">
        <f t="shared" si="342"/>
        <v>391</v>
      </c>
      <c r="BH382" s="293">
        <f>SUM(BH380:BH381)</f>
        <v>391</v>
      </c>
      <c r="BI382" s="293">
        <f t="shared" si="343"/>
        <v>391</v>
      </c>
      <c r="BJ382" s="293">
        <f t="shared" si="343"/>
        <v>391</v>
      </c>
      <c r="BL382" s="293">
        <f>SUM(BL380:BL381)</f>
        <v>391</v>
      </c>
      <c r="BM382" s="293">
        <f t="shared" si="344"/>
        <v>391</v>
      </c>
      <c r="BN382" s="293">
        <f t="shared" si="344"/>
        <v>391</v>
      </c>
      <c r="BP382" s="293">
        <f>SUM(BP380:BP381)</f>
        <v>391</v>
      </c>
      <c r="BQ382" s="293">
        <f t="shared" si="345"/>
        <v>391</v>
      </c>
      <c r="BR382" s="293">
        <f t="shared" si="345"/>
        <v>391</v>
      </c>
      <c r="BT382" s="293">
        <f>SUM(BT380:BT381)</f>
        <v>391</v>
      </c>
      <c r="BU382" s="293">
        <f t="shared" si="346"/>
        <v>391</v>
      </c>
      <c r="BV382" s="293">
        <f t="shared" si="346"/>
        <v>391</v>
      </c>
      <c r="BX382" s="293">
        <f>SUM(BX380:BX381)</f>
        <v>391</v>
      </c>
      <c r="BY382" s="293">
        <f t="shared" si="347"/>
        <v>391</v>
      </c>
      <c r="BZ382" s="293">
        <f t="shared" si="347"/>
        <v>391</v>
      </c>
      <c r="CB382" s="293">
        <f>SUM(CB380:CB381)</f>
        <v>391</v>
      </c>
      <c r="CC382" s="293">
        <f t="shared" si="348"/>
        <v>391</v>
      </c>
      <c r="CD382" s="293">
        <f t="shared" si="349"/>
        <v>391</v>
      </c>
      <c r="CF382" s="293">
        <f>SUM(CF380:CF381)</f>
        <v>391</v>
      </c>
      <c r="CG382" s="293">
        <f t="shared" si="350"/>
        <v>391</v>
      </c>
      <c r="CH382" s="293">
        <f t="shared" si="351"/>
        <v>391</v>
      </c>
      <c r="CJ382" s="293">
        <f>SUM(CJ380:CJ381)</f>
        <v>391</v>
      </c>
      <c r="CK382" s="293">
        <f t="shared" si="352"/>
        <v>391</v>
      </c>
      <c r="CL382" s="293">
        <f t="shared" si="352"/>
        <v>391</v>
      </c>
      <c r="CN382" s="626">
        <v>0</v>
      </c>
      <c r="CO382" s="626">
        <v>0</v>
      </c>
      <c r="CP382" s="293">
        <f t="shared" ref="CP382:CP383" si="362">CO382</f>
        <v>0</v>
      </c>
      <c r="CR382" s="626">
        <v>0</v>
      </c>
      <c r="CS382" s="626">
        <v>0</v>
      </c>
      <c r="CT382" s="293">
        <f t="shared" ref="CT382:CT383" si="363">CS382</f>
        <v>0</v>
      </c>
      <c r="CV382" s="626">
        <v>0</v>
      </c>
      <c r="CW382" s="1497">
        <v>0</v>
      </c>
      <c r="CX382" s="293">
        <f t="shared" si="355"/>
        <v>0</v>
      </c>
      <c r="CZ382" s="626">
        <v>0</v>
      </c>
      <c r="DA382" s="1497">
        <v>0</v>
      </c>
      <c r="DB382" s="293">
        <f t="shared" si="356"/>
        <v>0</v>
      </c>
      <c r="DD382" s="626">
        <v>0</v>
      </c>
      <c r="DE382" s="1497">
        <v>0</v>
      </c>
      <c r="DF382" s="293">
        <f t="shared" si="357"/>
        <v>0</v>
      </c>
      <c r="DH382" s="626">
        <v>0</v>
      </c>
      <c r="DI382" s="626">
        <v>0</v>
      </c>
      <c r="DJ382" s="293">
        <f t="shared" si="358"/>
        <v>0</v>
      </c>
      <c r="DL382" s="626">
        <v>0</v>
      </c>
      <c r="DM382" s="626">
        <v>0</v>
      </c>
      <c r="DN382" s="293">
        <f t="shared" si="359"/>
        <v>0</v>
      </c>
      <c r="DP382" s="626">
        <v>0</v>
      </c>
      <c r="DQ382" s="626">
        <v>0</v>
      </c>
      <c r="DR382" s="293">
        <f t="shared" si="360"/>
        <v>0</v>
      </c>
      <c r="DU382" s="293"/>
      <c r="DV382" s="293"/>
      <c r="DW382" s="293"/>
    </row>
    <row r="383" spans="1:130">
      <c r="A383" s="102" t="s">
        <v>123</v>
      </c>
      <c r="C383" s="103" t="s">
        <v>612</v>
      </c>
      <c r="X383" s="293"/>
      <c r="Y383" s="293"/>
      <c r="Z383" s="293"/>
      <c r="AB383" s="293">
        <f>AB382</f>
        <v>391</v>
      </c>
      <c r="AC383" s="293">
        <f t="shared" si="361"/>
        <v>391</v>
      </c>
      <c r="AD383" s="293">
        <f t="shared" si="361"/>
        <v>391</v>
      </c>
      <c r="AE383" s="293"/>
      <c r="AF383" s="293">
        <f>AF382</f>
        <v>391</v>
      </c>
      <c r="AG383" s="293">
        <f t="shared" si="336"/>
        <v>391</v>
      </c>
      <c r="AH383" s="293">
        <f t="shared" si="336"/>
        <v>391</v>
      </c>
      <c r="AI383" s="320"/>
      <c r="AJ383" s="293">
        <f>AJ382</f>
        <v>391</v>
      </c>
      <c r="AK383" s="293">
        <f t="shared" si="337"/>
        <v>391</v>
      </c>
      <c r="AL383" s="293">
        <f t="shared" si="337"/>
        <v>391</v>
      </c>
      <c r="AN383" s="293">
        <f>AN382</f>
        <v>391</v>
      </c>
      <c r="AO383" s="293">
        <f t="shared" si="338"/>
        <v>391</v>
      </c>
      <c r="AP383" s="293">
        <f t="shared" si="338"/>
        <v>391</v>
      </c>
      <c r="AR383" s="293">
        <f>AR382</f>
        <v>391</v>
      </c>
      <c r="AS383" s="293">
        <f t="shared" si="339"/>
        <v>391</v>
      </c>
      <c r="AT383" s="293">
        <f t="shared" si="339"/>
        <v>391</v>
      </c>
      <c r="AV383" s="293">
        <f>AV382</f>
        <v>391</v>
      </c>
      <c r="AW383" s="293">
        <f t="shared" si="340"/>
        <v>391</v>
      </c>
      <c r="AX383" s="293">
        <f t="shared" si="340"/>
        <v>391</v>
      </c>
      <c r="AZ383" s="293">
        <f>AZ382</f>
        <v>391</v>
      </c>
      <c r="BA383" s="293">
        <f t="shared" si="341"/>
        <v>391</v>
      </c>
      <c r="BB383" s="293">
        <f t="shared" si="341"/>
        <v>391</v>
      </c>
      <c r="BD383" s="293">
        <f>BD382</f>
        <v>391</v>
      </c>
      <c r="BE383" s="293">
        <f t="shared" si="342"/>
        <v>391</v>
      </c>
      <c r="BF383" s="293">
        <f t="shared" si="342"/>
        <v>391</v>
      </c>
      <c r="BH383" s="293">
        <f>BH382</f>
        <v>391</v>
      </c>
      <c r="BI383" s="293">
        <f t="shared" si="343"/>
        <v>391</v>
      </c>
      <c r="BJ383" s="293">
        <f t="shared" si="343"/>
        <v>391</v>
      </c>
      <c r="BL383" s="293">
        <f>BL382</f>
        <v>391</v>
      </c>
      <c r="BM383" s="293">
        <f t="shared" si="344"/>
        <v>391</v>
      </c>
      <c r="BN383" s="293">
        <f t="shared" si="344"/>
        <v>391</v>
      </c>
      <c r="BP383" s="293">
        <f>BP382</f>
        <v>391</v>
      </c>
      <c r="BQ383" s="293">
        <f t="shared" si="345"/>
        <v>391</v>
      </c>
      <c r="BR383" s="293">
        <f t="shared" si="345"/>
        <v>391</v>
      </c>
      <c r="BT383" s="293">
        <f>BT382</f>
        <v>391</v>
      </c>
      <c r="BU383" s="293">
        <f t="shared" si="346"/>
        <v>391</v>
      </c>
      <c r="BV383" s="293">
        <f t="shared" si="346"/>
        <v>391</v>
      </c>
      <c r="BX383" s="293">
        <f>BX382</f>
        <v>391</v>
      </c>
      <c r="BY383" s="293">
        <f t="shared" si="347"/>
        <v>391</v>
      </c>
      <c r="BZ383" s="293">
        <f t="shared" si="347"/>
        <v>391</v>
      </c>
      <c r="CB383" s="293">
        <f>CB382</f>
        <v>391</v>
      </c>
      <c r="CC383" s="293">
        <f t="shared" si="348"/>
        <v>391</v>
      </c>
      <c r="CD383" s="293">
        <f t="shared" si="349"/>
        <v>391</v>
      </c>
      <c r="CF383" s="293">
        <f>CF382</f>
        <v>391</v>
      </c>
      <c r="CG383" s="293">
        <f t="shared" si="350"/>
        <v>391</v>
      </c>
      <c r="CH383" s="293">
        <f t="shared" si="351"/>
        <v>391</v>
      </c>
      <c r="CJ383" s="293">
        <f>CJ382</f>
        <v>391</v>
      </c>
      <c r="CK383" s="293">
        <f t="shared" si="352"/>
        <v>391</v>
      </c>
      <c r="CL383" s="293">
        <f t="shared" si="352"/>
        <v>391</v>
      </c>
      <c r="CN383" s="293">
        <f>CN382</f>
        <v>0</v>
      </c>
      <c r="CO383" s="293">
        <f t="shared" ref="CO383" si="364">CN383</f>
        <v>0</v>
      </c>
      <c r="CP383" s="293">
        <f t="shared" si="362"/>
        <v>0</v>
      </c>
      <c r="CR383" s="293">
        <f>CR382</f>
        <v>0</v>
      </c>
      <c r="CS383" s="293">
        <f t="shared" ref="CS383" si="365">CR383</f>
        <v>0</v>
      </c>
      <c r="CT383" s="293">
        <f t="shared" si="363"/>
        <v>0</v>
      </c>
      <c r="CV383" s="293">
        <f>CV382</f>
        <v>0</v>
      </c>
      <c r="CW383" s="1495">
        <f t="shared" ref="CW383" si="366">CV383</f>
        <v>0</v>
      </c>
      <c r="CX383" s="293">
        <f t="shared" si="355"/>
        <v>0</v>
      </c>
      <c r="CZ383" s="293">
        <f>CZ382</f>
        <v>0</v>
      </c>
      <c r="DA383" s="1495">
        <f t="shared" ref="DA383" si="367">CZ383</f>
        <v>0</v>
      </c>
      <c r="DB383" s="293">
        <f t="shared" si="356"/>
        <v>0</v>
      </c>
      <c r="DD383" s="293">
        <f>DD382</f>
        <v>0</v>
      </c>
      <c r="DE383" s="1495">
        <f t="shared" ref="DE383" si="368">DD383</f>
        <v>0</v>
      </c>
      <c r="DF383" s="293">
        <f t="shared" si="357"/>
        <v>0</v>
      </c>
      <c r="DH383" s="293">
        <f>DH382</f>
        <v>0</v>
      </c>
      <c r="DI383" s="293">
        <f t="shared" ref="DI383" si="369">DH383</f>
        <v>0</v>
      </c>
      <c r="DJ383" s="293">
        <f t="shared" si="358"/>
        <v>0</v>
      </c>
      <c r="DL383" s="293">
        <f>DL382</f>
        <v>0</v>
      </c>
      <c r="DM383" s="293">
        <f t="shared" ref="DM383" si="370">DL383</f>
        <v>0</v>
      </c>
      <c r="DN383" s="293">
        <f t="shared" si="359"/>
        <v>0</v>
      </c>
      <c r="DP383" s="293">
        <f>DP382</f>
        <v>0</v>
      </c>
      <c r="DQ383" s="293">
        <f t="shared" ref="DQ383" si="371">DP383</f>
        <v>0</v>
      </c>
      <c r="DR383" s="293">
        <f t="shared" si="360"/>
        <v>0</v>
      </c>
      <c r="DU383" s="293"/>
      <c r="DV383" s="293"/>
      <c r="DW383" s="293"/>
    </row>
    <row r="384" spans="1:130">
      <c r="X384" s="293"/>
      <c r="Y384" s="293"/>
      <c r="Z384" s="293"/>
      <c r="AB384" s="293"/>
      <c r="AC384" s="293"/>
      <c r="AD384" s="293"/>
      <c r="AE384" s="293"/>
      <c r="AF384" s="293"/>
      <c r="AG384" s="293"/>
      <c r="AH384" s="293"/>
      <c r="AI384" s="320"/>
      <c r="AJ384" s="293"/>
      <c r="AK384" s="293"/>
      <c r="AL384" s="293"/>
      <c r="AN384" s="293"/>
      <c r="AO384" s="293"/>
      <c r="AP384" s="293"/>
      <c r="AR384" s="293"/>
      <c r="AS384" s="293"/>
      <c r="AT384" s="293"/>
      <c r="AV384" s="293"/>
      <c r="AW384" s="293"/>
      <c r="AX384" s="293"/>
      <c r="AZ384" s="293"/>
      <c r="BA384" s="293"/>
      <c r="BB384" s="293"/>
      <c r="BD384" s="293"/>
      <c r="BE384" s="293"/>
      <c r="BF384" s="293"/>
      <c r="BH384" s="293"/>
      <c r="BI384" s="293"/>
      <c r="BJ384" s="293"/>
      <c r="BL384" s="293"/>
      <c r="BM384" s="293"/>
      <c r="BN384" s="293"/>
      <c r="BP384" s="293"/>
      <c r="BQ384" s="293"/>
      <c r="BR384" s="293"/>
      <c r="BT384" s="293"/>
      <c r="BU384" s="293"/>
      <c r="BV384" s="293"/>
      <c r="BX384" s="293"/>
      <c r="BY384" s="293"/>
      <c r="BZ384" s="293"/>
      <c r="CB384" s="293"/>
      <c r="CC384" s="293"/>
      <c r="CD384" s="293"/>
      <c r="CF384" s="293"/>
      <c r="CG384" s="293"/>
      <c r="CH384" s="293"/>
      <c r="CJ384" s="293"/>
      <c r="CK384" s="293"/>
      <c r="CL384" s="293"/>
      <c r="CN384" s="293"/>
      <c r="CO384" s="293"/>
      <c r="CP384" s="293"/>
      <c r="CR384" s="293"/>
      <c r="CS384" s="293"/>
      <c r="CT384" s="293"/>
      <c r="CV384" s="293"/>
      <c r="CW384" s="1495"/>
      <c r="CX384" s="293"/>
      <c r="CZ384" s="293"/>
      <c r="DA384" s="1495"/>
      <c r="DB384" s="293"/>
      <c r="DD384" s="293"/>
      <c r="DE384" s="1495"/>
      <c r="DF384" s="293"/>
      <c r="DH384" s="293"/>
      <c r="DI384" s="293"/>
      <c r="DJ384" s="293"/>
      <c r="DL384" s="293"/>
      <c r="DM384" s="293"/>
      <c r="DN384" s="293"/>
      <c r="DP384" s="293"/>
      <c r="DQ384" s="293"/>
      <c r="DR384" s="293"/>
      <c r="DU384" s="293"/>
      <c r="DV384" s="293"/>
      <c r="DW384" s="293"/>
    </row>
    <row r="385" spans="1:138">
      <c r="A385" s="102" t="s">
        <v>124</v>
      </c>
      <c r="C385" s="103" t="s">
        <v>917</v>
      </c>
      <c r="X385" s="763"/>
      <c r="Y385" s="763"/>
      <c r="Z385" s="763"/>
      <c r="AB385" s="763">
        <f>+AB387-AB386</f>
        <v>5.3000000000000005E-2</v>
      </c>
      <c r="AC385" s="763">
        <f>+AC387-AC386</f>
        <v>5.7999999999999996E-2</v>
      </c>
      <c r="AD385" s="763">
        <f>+AD387-AD386</f>
        <v>5.5499999999999994E-2</v>
      </c>
      <c r="AE385" s="293"/>
      <c r="AF385" s="763">
        <f>+AF387-AF386</f>
        <v>5.7999999999999996E-2</v>
      </c>
      <c r="AG385" s="763">
        <f>+AG387-AG386</f>
        <v>5.3000000000000005E-2</v>
      </c>
      <c r="AH385" s="763">
        <f>+AH387-AH386</f>
        <v>5.5499999999999994E-2</v>
      </c>
      <c r="AI385" s="320"/>
      <c r="AJ385" s="763">
        <f>+AJ387-AJ386</f>
        <v>5.7999999999999996E-2</v>
      </c>
      <c r="AK385" s="763">
        <f>+AK387-AK386</f>
        <v>6.3E-2</v>
      </c>
      <c r="AL385" s="763">
        <f>+AL387-AL386</f>
        <v>6.0499999999999998E-2</v>
      </c>
      <c r="AN385" s="763">
        <f>+AN387-AN386</f>
        <v>6.3E-2</v>
      </c>
      <c r="AO385" s="763">
        <f>+AO387-AO386</f>
        <v>7.2999999999999995E-2</v>
      </c>
      <c r="AP385" s="763">
        <f>+AP387-AP386</f>
        <v>6.8000000000000005E-2</v>
      </c>
      <c r="AR385" s="763">
        <f>+AR387-AR386</f>
        <v>7.8E-2</v>
      </c>
      <c r="AS385" s="763">
        <f>+AS387-AS386</f>
        <v>5.3000000000000005E-2</v>
      </c>
      <c r="AT385" s="763">
        <f>+AT387-AT386</f>
        <v>6.5500000000000003E-2</v>
      </c>
      <c r="AV385" s="763">
        <f>+AV387-AV386</f>
        <v>6.3E-2</v>
      </c>
      <c r="AW385" s="764">
        <f>+AW387-AW386</f>
        <v>4.8000000000000001E-2</v>
      </c>
      <c r="AX385" s="764">
        <f>+AX387-AX386</f>
        <v>5.5499999999999994E-2</v>
      </c>
      <c r="AZ385" s="764">
        <f>+AZ387-AZ386</f>
        <v>5.7999999999999996E-2</v>
      </c>
      <c r="BA385" s="764">
        <f>+BA387-BA386</f>
        <v>4.942846153846156E-2</v>
      </c>
      <c r="BB385" s="763">
        <f>+BB387-BB386</f>
        <v>5.3714230769230778E-2</v>
      </c>
      <c r="BD385" s="764">
        <f>+BD387-BD386</f>
        <v>5.7999999999999996E-2</v>
      </c>
      <c r="BE385" s="764">
        <f>+BE387-BE386</f>
        <v>4.5199999999999997E-2</v>
      </c>
      <c r="BF385" s="763">
        <f>+BF387-BF386</f>
        <v>5.1600000000000007E-2</v>
      </c>
      <c r="BH385" s="764">
        <f>+BH387-BH386</f>
        <v>4.8000000000000001E-2</v>
      </c>
      <c r="BI385" s="764">
        <f>+BI387-BI386</f>
        <v>3.0899999999999997E-2</v>
      </c>
      <c r="BJ385" s="763">
        <f>+BJ387-BJ386</f>
        <v>3.9449999999999992E-2</v>
      </c>
      <c r="BL385" s="764">
        <f>+BL387-BL386</f>
        <v>2.7999999999999997E-2</v>
      </c>
      <c r="BM385" s="764">
        <f>+BM387-BM386</f>
        <v>2.7999999999999997E-2</v>
      </c>
      <c r="BN385" s="763">
        <f>+BN387-BN386</f>
        <v>2.7999999999999997E-2</v>
      </c>
      <c r="BP385" s="764">
        <f>+BP387-BP386</f>
        <v>2.7999999999999997E-2</v>
      </c>
      <c r="BQ385" s="764">
        <f>+BQ387-BQ386</f>
        <v>3.3000000000000002E-2</v>
      </c>
      <c r="BR385" s="763">
        <f>+BR387-BR386</f>
        <v>3.0499999999999999E-2</v>
      </c>
      <c r="BT385" s="764">
        <f>+BT387-BT386</f>
        <v>2.3E-2</v>
      </c>
      <c r="BU385" s="764">
        <f>+BU387-BU386</f>
        <v>2.3E-2</v>
      </c>
      <c r="BV385" s="763">
        <f>+BV387-BV386</f>
        <v>2.3E-2</v>
      </c>
      <c r="BX385" s="764">
        <f>+BX387-BX386</f>
        <v>2.3E-2</v>
      </c>
      <c r="BY385" s="764">
        <f>+BY387-BY386</f>
        <v>1.8000000000000002E-2</v>
      </c>
      <c r="BZ385" s="763">
        <f>+BZ387-BZ386</f>
        <v>2.3E-2</v>
      </c>
      <c r="CB385" s="764">
        <f>+CB387-CB386</f>
        <v>1.8000000000000002E-2</v>
      </c>
      <c r="CC385" s="764">
        <f>+CC387-CC386</f>
        <v>1.8000000000000002E-2</v>
      </c>
      <c r="CD385" s="763">
        <f>+CD387-CD386</f>
        <v>1.8000000000000002E-2</v>
      </c>
      <c r="CF385" s="764">
        <f>+CF387-CF386</f>
        <v>1.8000000000000002E-2</v>
      </c>
      <c r="CG385" s="764">
        <f>+CG387-CG386</f>
        <v>2.3E-2</v>
      </c>
      <c r="CH385" s="763">
        <f>+CH387-CH386</f>
        <v>2.0499999999999997E-2</v>
      </c>
      <c r="CJ385" s="1452">
        <f>+CJ387-CJ386</f>
        <v>1.8000000000000002E-2</v>
      </c>
      <c r="CK385" s="1452">
        <f>+CK387-CK386</f>
        <v>-0.112</v>
      </c>
      <c r="CL385" s="1452">
        <f>+CL387-CL386</f>
        <v>-4.7E-2</v>
      </c>
      <c r="CN385" s="1452"/>
      <c r="CO385" s="1452"/>
      <c r="CP385" s="1452"/>
      <c r="CQ385" s="1009"/>
      <c r="CR385" s="1452"/>
      <c r="CS385" s="764"/>
      <c r="CT385" s="764"/>
      <c r="CV385" s="764"/>
      <c r="CW385" s="764"/>
      <c r="CX385" s="764"/>
      <c r="CZ385" s="764"/>
      <c r="DA385" s="764"/>
      <c r="DB385" s="764"/>
      <c r="DD385" s="764"/>
      <c r="DE385" s="764"/>
      <c r="DF385" s="764"/>
      <c r="DH385" s="764"/>
      <c r="DI385" s="764"/>
      <c r="DJ385" s="764"/>
      <c r="DL385" s="764"/>
      <c r="DM385" s="764"/>
      <c r="DN385" s="764"/>
      <c r="DP385" s="764"/>
      <c r="DQ385" s="764"/>
      <c r="DR385" s="764"/>
      <c r="DU385" s="1120"/>
      <c r="DV385" s="1120"/>
      <c r="DW385" s="1120"/>
    </row>
    <row r="386" spans="1:138">
      <c r="A386" s="102" t="s">
        <v>125</v>
      </c>
      <c r="C386" s="103" t="s">
        <v>917</v>
      </c>
      <c r="X386" s="763"/>
      <c r="Y386" s="763"/>
      <c r="Z386" s="763"/>
      <c r="AB386" s="765">
        <v>1.7000000000000001E-2</v>
      </c>
      <c r="AC386" s="765">
        <v>1.7000000000000001E-2</v>
      </c>
      <c r="AD386" s="765">
        <v>1.7000000000000001E-2</v>
      </c>
      <c r="AE386" s="626"/>
      <c r="AF386" s="765">
        <v>1.7000000000000001E-2</v>
      </c>
      <c r="AG386" s="765">
        <v>1.7000000000000001E-2</v>
      </c>
      <c r="AH386" s="765">
        <v>1.7000000000000001E-2</v>
      </c>
      <c r="AI386" s="737"/>
      <c r="AJ386" s="765">
        <v>1.7000000000000001E-2</v>
      </c>
      <c r="AK386" s="765">
        <v>1.7000000000000001E-2</v>
      </c>
      <c r="AL386" s="765">
        <v>1.7000000000000001E-2</v>
      </c>
      <c r="AM386" s="730"/>
      <c r="AN386" s="765">
        <v>1.7000000000000001E-2</v>
      </c>
      <c r="AO386" s="765">
        <v>1.7000000000000001E-2</v>
      </c>
      <c r="AP386" s="765">
        <v>1.7000000000000001E-2</v>
      </c>
      <c r="AQ386" s="730"/>
      <c r="AR386" s="765">
        <v>1.7000000000000001E-2</v>
      </c>
      <c r="AS386" s="765">
        <v>1.7000000000000001E-2</v>
      </c>
      <c r="AT386" s="765">
        <v>1.7000000000000001E-2</v>
      </c>
      <c r="AU386" s="730"/>
      <c r="AV386" s="765">
        <v>1.7000000000000001E-2</v>
      </c>
      <c r="AW386" s="766">
        <v>1.7000000000000001E-2</v>
      </c>
      <c r="AX386" s="766">
        <v>1.7000000000000001E-2</v>
      </c>
      <c r="AY386" s="730"/>
      <c r="AZ386" s="766">
        <v>1.7000000000000001E-2</v>
      </c>
      <c r="BA386" s="765">
        <f>AZ386</f>
        <v>1.7000000000000001E-2</v>
      </c>
      <c r="BB386" s="765">
        <v>1.7000000000000001E-2</v>
      </c>
      <c r="BC386" s="730"/>
      <c r="BD386" s="766">
        <v>1.7000000000000001E-2</v>
      </c>
      <c r="BE386" s="765">
        <f>BD386</f>
        <v>1.7000000000000001E-2</v>
      </c>
      <c r="BF386" s="765">
        <v>1.7000000000000001E-2</v>
      </c>
      <c r="BG386" s="730"/>
      <c r="BH386" s="766">
        <v>1.7000000000000001E-2</v>
      </c>
      <c r="BI386" s="765">
        <f>BH386</f>
        <v>1.7000000000000001E-2</v>
      </c>
      <c r="BJ386" s="765">
        <v>1.7000000000000001E-2</v>
      </c>
      <c r="BK386" s="730"/>
      <c r="BL386" s="766">
        <v>1.7000000000000001E-2</v>
      </c>
      <c r="BM386" s="766">
        <v>1.7000000000000001E-2</v>
      </c>
      <c r="BN386" s="766">
        <v>1.7000000000000001E-2</v>
      </c>
      <c r="BO386" s="730"/>
      <c r="BP386" s="766">
        <v>1.7000000000000001E-2</v>
      </c>
      <c r="BQ386" s="766">
        <v>1.7000000000000001E-2</v>
      </c>
      <c r="BR386" s="766">
        <v>1.7000000000000001E-2</v>
      </c>
      <c r="BS386" s="730"/>
      <c r="BT386" s="766">
        <v>1.7000000000000001E-2</v>
      </c>
      <c r="BU386" s="766">
        <v>1.7000000000000001E-2</v>
      </c>
      <c r="BV386" s="766">
        <v>1.7000000000000001E-2</v>
      </c>
      <c r="BW386" s="730"/>
      <c r="BX386" s="766">
        <v>1.7000000000000001E-2</v>
      </c>
      <c r="BY386" s="766">
        <v>1.7000000000000001E-2</v>
      </c>
      <c r="BZ386" s="766">
        <v>1.7000000000000001E-2</v>
      </c>
      <c r="CA386" s="730"/>
      <c r="CB386" s="766">
        <v>1.7000000000000001E-2</v>
      </c>
      <c r="CC386" s="766">
        <v>1.7000000000000001E-2</v>
      </c>
      <c r="CD386" s="766">
        <v>1.7000000000000001E-2</v>
      </c>
      <c r="CE386" s="730"/>
      <c r="CF386" s="766">
        <v>1.7000000000000001E-2</v>
      </c>
      <c r="CG386" s="766">
        <v>1.7000000000000001E-2</v>
      </c>
      <c r="CH386" s="766">
        <v>1.7000000000000001E-2</v>
      </c>
      <c r="CI386" s="730"/>
      <c r="CJ386" s="1453">
        <v>1.7000000000000001E-2</v>
      </c>
      <c r="CK386" s="1453">
        <v>1.7000000000000001E-2</v>
      </c>
      <c r="CL386" s="1453">
        <v>1.7000000000000001E-2</v>
      </c>
      <c r="CM386" s="730"/>
      <c r="CN386" s="1453"/>
      <c r="CO386" s="1453"/>
      <c r="CP386" s="1453"/>
      <c r="CQ386" s="1011"/>
      <c r="CR386" s="1453"/>
      <c r="CS386" s="766"/>
      <c r="CT386" s="766"/>
      <c r="CU386" s="730"/>
      <c r="CV386" s="766"/>
      <c r="CW386" s="766"/>
      <c r="CX386" s="766"/>
      <c r="CY386" s="730"/>
      <c r="CZ386" s="766"/>
      <c r="DA386" s="766"/>
      <c r="DB386" s="766"/>
      <c r="DC386" s="730"/>
      <c r="DD386" s="766"/>
      <c r="DE386" s="766"/>
      <c r="DF386" s="766"/>
      <c r="DG386" s="730"/>
      <c r="DH386" s="766"/>
      <c r="DI386" s="766"/>
      <c r="DJ386" s="766"/>
      <c r="DK386" s="730"/>
      <c r="DL386" s="766"/>
      <c r="DM386" s="766"/>
      <c r="DN386" s="766"/>
      <c r="DO386" s="730"/>
      <c r="DP386" s="766"/>
      <c r="DQ386" s="766"/>
      <c r="DR386" s="766"/>
      <c r="DS386" s="730"/>
      <c r="DU386" s="1135"/>
      <c r="DV386" s="1135"/>
      <c r="DW386" s="1135"/>
    </row>
    <row r="387" spans="1:138">
      <c r="A387" s="102" t="s">
        <v>126</v>
      </c>
      <c r="C387" s="103" t="s">
        <v>612</v>
      </c>
      <c r="X387" s="763"/>
      <c r="Y387" s="763"/>
      <c r="Z387" s="763"/>
      <c r="AB387" s="763">
        <f>-AB388*2/AB380</f>
        <v>7.0000000000000007E-2</v>
      </c>
      <c r="AC387" s="763">
        <f>-AC388*2/AC380</f>
        <v>7.4999999999999997E-2</v>
      </c>
      <c r="AD387" s="763">
        <f>-AD388/AD380</f>
        <v>7.2499999999999995E-2</v>
      </c>
      <c r="AE387" s="293"/>
      <c r="AF387" s="763">
        <f>-AF388*2/AF380</f>
        <v>7.4999999999999997E-2</v>
      </c>
      <c r="AG387" s="763">
        <f>-AG388*2/AG380</f>
        <v>7.0000000000000007E-2</v>
      </c>
      <c r="AH387" s="763">
        <f>-AH388/AH380</f>
        <v>7.2499999999999995E-2</v>
      </c>
      <c r="AI387" s="320"/>
      <c r="AJ387" s="763">
        <f>-AJ388*2/AJ380</f>
        <v>7.4999999999999997E-2</v>
      </c>
      <c r="AK387" s="763">
        <f>-AK388*2/AK380</f>
        <v>0.08</v>
      </c>
      <c r="AL387" s="763">
        <f>-AL388/AL380</f>
        <v>7.7499999999999999E-2</v>
      </c>
      <c r="AN387" s="763">
        <f>-AN388*2/AN380</f>
        <v>0.08</v>
      </c>
      <c r="AO387" s="763">
        <f>-AO388*2/AO380</f>
        <v>0.09</v>
      </c>
      <c r="AP387" s="763">
        <f>-AP388/AP380</f>
        <v>8.5000000000000006E-2</v>
      </c>
      <c r="AR387" s="763">
        <f>-AR388*2/AR380</f>
        <v>9.5000000000000001E-2</v>
      </c>
      <c r="AS387" s="763">
        <f>-AS388*2/AS380</f>
        <v>7.0000000000000007E-2</v>
      </c>
      <c r="AT387" s="763">
        <f>-AT388/AT380</f>
        <v>8.2500000000000004E-2</v>
      </c>
      <c r="AV387" s="763">
        <f>-AV388*2/AV380</f>
        <v>0.08</v>
      </c>
      <c r="AW387" s="764">
        <f>-AW388*2/AW380</f>
        <v>6.5000000000000002E-2</v>
      </c>
      <c r="AX387" s="764">
        <f>-AX388/AX380</f>
        <v>7.2499999999999995E-2</v>
      </c>
      <c r="AZ387" s="764">
        <f>-AZ388*2/AZ380</f>
        <v>7.4999999999999997E-2</v>
      </c>
      <c r="BA387" s="764">
        <f>-BA388*2/BA380</f>
        <v>6.6428461538461561E-2</v>
      </c>
      <c r="BB387" s="763">
        <f>-BB388/BB380</f>
        <v>7.0714230769230779E-2</v>
      </c>
      <c r="BD387" s="764">
        <f>-BD388*2/BD380</f>
        <v>7.4999999999999997E-2</v>
      </c>
      <c r="BE387" s="764">
        <f>-BE388*2/BE380</f>
        <v>6.2199999999999998E-2</v>
      </c>
      <c r="BF387" s="763">
        <f>-BF388/BF380</f>
        <v>6.8600000000000008E-2</v>
      </c>
      <c r="BH387" s="764">
        <f>-BH388*2/BH380</f>
        <v>6.5000000000000002E-2</v>
      </c>
      <c r="BI387" s="764">
        <f>-BI388*2/BI380</f>
        <v>4.7899999999999998E-2</v>
      </c>
      <c r="BJ387" s="763">
        <f>-BJ388/BJ380</f>
        <v>5.6449999999999993E-2</v>
      </c>
      <c r="BL387" s="764">
        <f>-BL388*2/BL380</f>
        <v>4.4999999999999998E-2</v>
      </c>
      <c r="BM387" s="764">
        <f>-BM388*2/BM380</f>
        <v>4.4999999999999998E-2</v>
      </c>
      <c r="BN387" s="763">
        <f>-BN388/BN380</f>
        <v>4.4999999999999998E-2</v>
      </c>
      <c r="BP387" s="764">
        <f>-BP388*2/BP380</f>
        <v>4.4999999999999998E-2</v>
      </c>
      <c r="BQ387" s="764">
        <f>-BQ388*2/BQ380</f>
        <v>0.05</v>
      </c>
      <c r="BR387" s="763">
        <f>-BR388/BR380</f>
        <v>4.7500000000000001E-2</v>
      </c>
      <c r="BT387" s="764">
        <f>-BT388*2/BT380</f>
        <v>0.04</v>
      </c>
      <c r="BU387" s="764">
        <f>-BU388*2/BU380</f>
        <v>0.04</v>
      </c>
      <c r="BV387" s="763">
        <f>-BV388/BV380</f>
        <v>0.04</v>
      </c>
      <c r="BX387" s="764">
        <f>-BX388*2/BX380</f>
        <v>0.04</v>
      </c>
      <c r="BY387" s="764">
        <f>-BY388*2/BY380</f>
        <v>3.5000000000000003E-2</v>
      </c>
      <c r="BZ387" s="763">
        <f>-BZ388/BZ380</f>
        <v>0.04</v>
      </c>
      <c r="CB387" s="764">
        <f>-CB388*2/CB380</f>
        <v>3.5000000000000003E-2</v>
      </c>
      <c r="CC387" s="764">
        <f>-CC388*2/CC380</f>
        <v>3.5000000000000003E-2</v>
      </c>
      <c r="CD387" s="763">
        <f>-CD388/CD380</f>
        <v>3.5000000000000003E-2</v>
      </c>
      <c r="CF387" s="764">
        <f>-CF388*2/CF380</f>
        <v>3.5000000000000003E-2</v>
      </c>
      <c r="CG387" s="764">
        <f>-CG388*2/CG380</f>
        <v>0.04</v>
      </c>
      <c r="CH387" s="763">
        <f>-CH388/CH380</f>
        <v>3.7499999999999999E-2</v>
      </c>
      <c r="CJ387" s="1452">
        <f>-CJ388*2/CJ380</f>
        <v>3.5000000000000003E-2</v>
      </c>
      <c r="CK387" s="1452">
        <f>-CK388*2/CK380</f>
        <v>-9.5000000000000001E-2</v>
      </c>
      <c r="CL387" s="1452">
        <f>-CL388/CL380</f>
        <v>-0.03</v>
      </c>
      <c r="CN387" s="1452"/>
      <c r="CO387" s="1452"/>
      <c r="CP387" s="1452"/>
      <c r="CQ387" s="1009"/>
      <c r="CR387" s="1452"/>
      <c r="CS387" s="763"/>
      <c r="CT387" s="763"/>
      <c r="CV387" s="763"/>
      <c r="CW387" s="763"/>
      <c r="CX387" s="763"/>
      <c r="CZ387" s="763"/>
      <c r="DA387" s="763"/>
      <c r="DB387" s="763"/>
      <c r="DD387" s="764"/>
      <c r="DE387" s="763"/>
      <c r="DF387" s="763"/>
      <c r="DH387" s="764"/>
      <c r="DI387" s="763"/>
      <c r="DJ387" s="763"/>
      <c r="DL387" s="763"/>
      <c r="DM387" s="763"/>
      <c r="DN387" s="763"/>
      <c r="DP387" s="763"/>
      <c r="DQ387" s="763"/>
      <c r="DR387" s="763"/>
      <c r="DU387" s="1120"/>
      <c r="DV387" s="1120"/>
      <c r="DW387" s="1120"/>
    </row>
    <row r="388" spans="1:138">
      <c r="A388" s="102" t="s">
        <v>951</v>
      </c>
      <c r="C388" s="103" t="s">
        <v>612</v>
      </c>
      <c r="X388" s="293"/>
      <c r="Y388" s="293"/>
      <c r="Z388" s="293"/>
      <c r="AB388" s="626">
        <v>-14</v>
      </c>
      <c r="AC388" s="626">
        <v>-15</v>
      </c>
      <c r="AD388" s="626">
        <v>-29</v>
      </c>
      <c r="AE388" s="626"/>
      <c r="AF388" s="626">
        <v>-15</v>
      </c>
      <c r="AG388" s="626">
        <v>-14</v>
      </c>
      <c r="AH388" s="626">
        <v>-29</v>
      </c>
      <c r="AI388" s="737"/>
      <c r="AJ388" s="626">
        <v>-15</v>
      </c>
      <c r="AK388" s="626">
        <v>-16</v>
      </c>
      <c r="AL388" s="626">
        <v>-31</v>
      </c>
      <c r="AM388" s="730"/>
      <c r="AN388" s="626">
        <v>-16</v>
      </c>
      <c r="AO388" s="626">
        <v>-18</v>
      </c>
      <c r="AP388" s="626">
        <v>-34</v>
      </c>
      <c r="AQ388" s="730"/>
      <c r="AR388" s="626">
        <v>-19</v>
      </c>
      <c r="AS388" s="626">
        <v>-14</v>
      </c>
      <c r="AT388" s="626">
        <v>-33</v>
      </c>
      <c r="AU388" s="730"/>
      <c r="AV388" s="626">
        <v>-16</v>
      </c>
      <c r="AW388" s="626">
        <v>-13</v>
      </c>
      <c r="AX388" s="626">
        <v>-29</v>
      </c>
      <c r="AY388" s="730"/>
      <c r="AZ388" s="626">
        <v>-15</v>
      </c>
      <c r="BA388" s="626">
        <v>-13.285692307692312</v>
      </c>
      <c r="BB388" s="626">
        <v>-28.285692307692312</v>
      </c>
      <c r="BC388" s="730"/>
      <c r="BD388" s="626">
        <v>-15</v>
      </c>
      <c r="BE388" s="626">
        <v>-12.44</v>
      </c>
      <c r="BF388" s="626">
        <v>-27.44</v>
      </c>
      <c r="BG388" s="730"/>
      <c r="BH388" s="626">
        <v>-13</v>
      </c>
      <c r="BI388" s="626">
        <v>-9.58</v>
      </c>
      <c r="BJ388" s="626">
        <v>-22.58</v>
      </c>
      <c r="BL388" s="626">
        <v>-9</v>
      </c>
      <c r="BM388" s="626">
        <v>-9</v>
      </c>
      <c r="BN388" s="626">
        <v>-18</v>
      </c>
      <c r="BP388" s="626">
        <v>-9</v>
      </c>
      <c r="BQ388" s="626">
        <v>-10</v>
      </c>
      <c r="BR388" s="626">
        <v>-19</v>
      </c>
      <c r="BT388" s="626">
        <v>-8</v>
      </c>
      <c r="BU388" s="626">
        <v>-8</v>
      </c>
      <c r="BV388" s="626">
        <v>-16</v>
      </c>
      <c r="BX388" s="626">
        <v>-8</v>
      </c>
      <c r="BY388" s="626">
        <v>-7</v>
      </c>
      <c r="BZ388" s="626">
        <v>-16</v>
      </c>
      <c r="CB388" s="626">
        <v>-7</v>
      </c>
      <c r="CC388" s="626">
        <v>-7</v>
      </c>
      <c r="CD388" s="626">
        <v>-14</v>
      </c>
      <c r="CF388" s="626">
        <v>-7</v>
      </c>
      <c r="CG388" s="492">
        <f>+CH388-CF388</f>
        <v>-8</v>
      </c>
      <c r="CH388" s="626">
        <v>-15</v>
      </c>
      <c r="CI388" s="711"/>
      <c r="CJ388" s="1388">
        <v>-7</v>
      </c>
      <c r="CK388" s="1419">
        <f>+CL388-CJ388</f>
        <v>19</v>
      </c>
      <c r="CL388" s="1388">
        <v>12</v>
      </c>
      <c r="CM388" s="711"/>
      <c r="CN388" s="1388">
        <v>0</v>
      </c>
      <c r="CO388" s="1419">
        <f>+CP388-CN388</f>
        <v>0</v>
      </c>
      <c r="CP388" s="1388">
        <v>0</v>
      </c>
      <c r="CQ388" s="1009"/>
      <c r="CR388" s="1388">
        <v>0</v>
      </c>
      <c r="CS388" s="711">
        <f>-CS380*CS387/2</f>
        <v>0</v>
      </c>
      <c r="CT388" s="711">
        <f>+CS388+CR388</f>
        <v>0</v>
      </c>
      <c r="CV388" s="626">
        <v>0</v>
      </c>
      <c r="CW388" s="1809">
        <f>-CW380*CW387/2</f>
        <v>0</v>
      </c>
      <c r="CX388" s="711">
        <f>+CW388+CV388</f>
        <v>0</v>
      </c>
      <c r="CZ388" s="626">
        <v>0</v>
      </c>
      <c r="DA388" s="1809">
        <f>-DA380*DA387/2</f>
        <v>0</v>
      </c>
      <c r="DB388" s="711">
        <f>+DA388+CZ388</f>
        <v>0</v>
      </c>
      <c r="DD388" s="626">
        <v>0</v>
      </c>
      <c r="DE388" s="1809">
        <f>-DE380*DE387/2</f>
        <v>0</v>
      </c>
      <c r="DF388" s="711">
        <f>+DE388+DD388</f>
        <v>0</v>
      </c>
      <c r="DH388" s="626">
        <v>0</v>
      </c>
      <c r="DI388" s="711">
        <f>-DI380*DI387/2</f>
        <v>0</v>
      </c>
      <c r="DJ388" s="711">
        <f>+DI388+DH388</f>
        <v>0</v>
      </c>
      <c r="DL388" s="711">
        <f>-DL380*DL387/2</f>
        <v>0</v>
      </c>
      <c r="DM388" s="711">
        <f>-DM380*DM387/2</f>
        <v>0</v>
      </c>
      <c r="DN388" s="711">
        <f>+DM388+DL388</f>
        <v>0</v>
      </c>
      <c r="DP388" s="711">
        <f>-DP380*DP387/2</f>
        <v>0</v>
      </c>
      <c r="DQ388" s="711">
        <f>-DQ380*DQ387/2</f>
        <v>0</v>
      </c>
      <c r="DR388" s="711">
        <f>+DQ388+DP388</f>
        <v>0</v>
      </c>
      <c r="DU388" s="293"/>
      <c r="DV388" s="293"/>
      <c r="DW388" s="293"/>
    </row>
    <row r="389" spans="1:138" s="323" customFormat="1">
      <c r="A389" s="323" t="s">
        <v>158</v>
      </c>
      <c r="C389" s="115"/>
      <c r="P389" s="115"/>
      <c r="Q389" s="115"/>
      <c r="R389" s="115"/>
      <c r="S389" s="115"/>
      <c r="T389" s="115"/>
      <c r="U389" s="115"/>
      <c r="V389" s="115"/>
      <c r="W389" s="115"/>
      <c r="X389" s="331"/>
      <c r="Y389" s="331"/>
      <c r="Z389" s="331"/>
      <c r="AA389" s="115"/>
      <c r="AB389" s="658"/>
      <c r="AC389" s="658"/>
      <c r="AD389" s="658"/>
      <c r="AE389" s="658"/>
      <c r="AF389" s="658"/>
      <c r="AG389" s="658"/>
      <c r="AH389" s="658"/>
      <c r="AI389" s="767"/>
      <c r="AJ389" s="658"/>
      <c r="AK389" s="658"/>
      <c r="AL389" s="658"/>
      <c r="AM389" s="768"/>
      <c r="AN389" s="658"/>
      <c r="AO389" s="658"/>
      <c r="AP389" s="658"/>
      <c r="AQ389" s="768"/>
      <c r="AR389" s="769"/>
      <c r="AS389" s="769"/>
      <c r="AT389" s="769"/>
      <c r="AU389" s="768"/>
      <c r="AV389" s="769">
        <f>DIVISIONS!AV726</f>
        <v>-10</v>
      </c>
      <c r="AW389" s="769">
        <f>DIVISIONS!AW726</f>
        <v>-11</v>
      </c>
      <c r="AX389" s="769">
        <f>DIVISIONS!AX726</f>
        <v>-21</v>
      </c>
      <c r="AY389" s="768"/>
      <c r="AZ389" s="769">
        <f>DIVISIONS!AZ726</f>
        <v>-13</v>
      </c>
      <c r="BA389" s="769">
        <f>DIVISIONS!BA726</f>
        <v>-13</v>
      </c>
      <c r="BB389" s="769">
        <f>DIVISIONS!BB726</f>
        <v>-26</v>
      </c>
      <c r="BC389" s="768"/>
      <c r="BD389" s="769">
        <f>DIVISIONS!BD726</f>
        <v>-13</v>
      </c>
      <c r="BE389" s="769">
        <f>DIVISIONS!BE726</f>
        <v>-13</v>
      </c>
      <c r="BF389" s="769">
        <f>DIVISIONS!BF726</f>
        <v>-26</v>
      </c>
      <c r="BG389" s="768"/>
      <c r="BH389" s="769">
        <f>DIVISIONS!BH726</f>
        <v>-11</v>
      </c>
      <c r="BI389" s="769">
        <f>DIVISIONS!BI726</f>
        <v>-10</v>
      </c>
      <c r="BJ389" s="769">
        <f>DIVISIONS!BJ726</f>
        <v>-21</v>
      </c>
      <c r="BK389" s="115"/>
      <c r="BL389" s="769">
        <f>DIVISIONS!BL726</f>
        <v>-9</v>
      </c>
      <c r="BM389" s="769">
        <f>DIVISIONS!BM726</f>
        <v>-9</v>
      </c>
      <c r="BN389" s="769">
        <f>DIVISIONS!BN726</f>
        <v>-18</v>
      </c>
      <c r="BO389" s="115"/>
      <c r="BP389" s="769">
        <f>DIVISIONS!BP726</f>
        <v>-9</v>
      </c>
      <c r="BQ389" s="769">
        <f>DIVISIONS!BQ726</f>
        <v>-10</v>
      </c>
      <c r="BR389" s="769">
        <f>DIVISIONS!BR726</f>
        <v>-19</v>
      </c>
      <c r="BS389" s="115"/>
      <c r="BT389" s="769">
        <f>DIVISIONS!BT726</f>
        <v>-8</v>
      </c>
      <c r="BU389" s="769">
        <f>DIVISIONS!BU726</f>
        <v>-8</v>
      </c>
      <c r="BV389" s="769">
        <f>DIVISIONS!BV726</f>
        <v>-16</v>
      </c>
      <c r="BW389" s="115"/>
      <c r="BX389" s="769">
        <f>DIVISIONS!BX726</f>
        <v>-8</v>
      </c>
      <c r="BY389" s="769">
        <f>DIVISIONS!BY726</f>
        <v>-7</v>
      </c>
      <c r="BZ389" s="769">
        <f>DIVISIONS!BZ726</f>
        <v>-15</v>
      </c>
      <c r="CA389" s="115"/>
      <c r="CB389" s="769">
        <f>DIVISIONS!CB726</f>
        <v>-7</v>
      </c>
      <c r="CC389" s="769">
        <f>DIVISIONS!CC726</f>
        <v>-7</v>
      </c>
      <c r="CD389" s="769">
        <f>DIVISIONS!CD726</f>
        <v>-14</v>
      </c>
      <c r="CE389" s="115"/>
      <c r="CF389" s="769">
        <f>DIVISIONS!CF726</f>
        <v>-7</v>
      </c>
      <c r="CG389" s="769">
        <f>DIVISIONS!CG726</f>
        <v>-8</v>
      </c>
      <c r="CH389" s="769">
        <f>DIVISIONS!CH726</f>
        <v>-15</v>
      </c>
      <c r="CI389" s="712"/>
      <c r="CJ389" s="769">
        <v>0</v>
      </c>
      <c r="CK389" s="769">
        <v>0</v>
      </c>
      <c r="CL389" s="769">
        <v>0</v>
      </c>
      <c r="CM389" s="712"/>
      <c r="CN389" s="1781">
        <f>DIVISIONS!CN726</f>
        <v>0</v>
      </c>
      <c r="CO389" s="1781">
        <v>0</v>
      </c>
      <c r="CP389" s="1781">
        <v>0</v>
      </c>
      <c r="CQ389" s="999"/>
      <c r="CR389" s="1781">
        <f>DIVISIONS!CR726</f>
        <v>0</v>
      </c>
      <c r="CS389" s="770">
        <f>DIVISIONS!CS726</f>
        <v>0</v>
      </c>
      <c r="CT389" s="770">
        <f>DIVISIONS!CT726</f>
        <v>0</v>
      </c>
      <c r="CU389" s="115"/>
      <c r="CV389" s="769">
        <f>DIVISIONS!CV726</f>
        <v>0</v>
      </c>
      <c r="CW389" s="1814">
        <f>DIVISIONS!CW726</f>
        <v>0</v>
      </c>
      <c r="CX389" s="770">
        <f>DIVISIONS!CX726</f>
        <v>0</v>
      </c>
      <c r="CY389" s="115"/>
      <c r="CZ389" s="769">
        <f>DIVISIONS!CZ726</f>
        <v>0</v>
      </c>
      <c r="DA389" s="1814">
        <f>DIVISIONS!DA726</f>
        <v>0</v>
      </c>
      <c r="DB389" s="770">
        <f>DIVISIONS!DB726</f>
        <v>0</v>
      </c>
      <c r="DC389" s="115"/>
      <c r="DD389" s="769">
        <f>DIVISIONS!DD726</f>
        <v>0</v>
      </c>
      <c r="DE389" s="1814">
        <f>DIVISIONS!DE726</f>
        <v>0</v>
      </c>
      <c r="DF389" s="770">
        <f>DIVISIONS!DF726</f>
        <v>0</v>
      </c>
      <c r="DG389" s="115"/>
      <c r="DH389" s="769">
        <f>DIVISIONS!DH726</f>
        <v>0</v>
      </c>
      <c r="DI389" s="770">
        <f>DIVISIONS!DI726</f>
        <v>0</v>
      </c>
      <c r="DJ389" s="770">
        <f>DIVISIONS!DJ726</f>
        <v>0</v>
      </c>
      <c r="DK389" s="115"/>
      <c r="DL389" s="770">
        <f>DIVISIONS!DL726</f>
        <v>0</v>
      </c>
      <c r="DM389" s="770">
        <f>DIVISIONS!DM726</f>
        <v>0</v>
      </c>
      <c r="DN389" s="770">
        <f>DIVISIONS!DN726</f>
        <v>0</v>
      </c>
      <c r="DO389" s="115"/>
      <c r="DP389" s="770">
        <f>DIVISIONS!DP726</f>
        <v>0</v>
      </c>
      <c r="DQ389" s="770">
        <f>DIVISIONS!DQ726</f>
        <v>0</v>
      </c>
      <c r="DR389" s="770">
        <f>DIVISIONS!DR726</f>
        <v>0</v>
      </c>
      <c r="DS389" s="115"/>
      <c r="DT389" s="115"/>
      <c r="DU389" s="769"/>
      <c r="DV389" s="769"/>
      <c r="DW389" s="769"/>
      <c r="DX389" s="115"/>
      <c r="EH389"/>
    </row>
    <row r="390" spans="1:138">
      <c r="X390" s="293"/>
      <c r="Y390" s="293"/>
      <c r="Z390" s="293"/>
      <c r="AB390" s="293"/>
      <c r="AC390" s="293"/>
      <c r="AD390" s="293"/>
      <c r="AE390" s="293"/>
      <c r="AF390" s="293"/>
      <c r="AG390" s="293"/>
      <c r="AH390" s="293"/>
      <c r="AI390" s="320"/>
      <c r="AJ390" s="293"/>
      <c r="AK390" s="293"/>
      <c r="AL390" s="293"/>
      <c r="AN390" s="293"/>
      <c r="AO390" s="293"/>
      <c r="AP390" s="293"/>
      <c r="AR390" s="293"/>
      <c r="AS390" s="293"/>
      <c r="AT390" s="293"/>
      <c r="AV390" s="293"/>
      <c r="AW390" s="293"/>
      <c r="AX390" s="293"/>
      <c r="AZ390" s="293"/>
      <c r="BA390" s="293"/>
      <c r="BB390" s="293"/>
      <c r="BD390" s="293"/>
      <c r="BE390" s="293"/>
      <c r="BF390" s="293"/>
      <c r="BH390" s="293"/>
      <c r="BI390" s="293"/>
      <c r="BJ390" s="293"/>
      <c r="BL390" s="293"/>
      <c r="BM390" s="293"/>
      <c r="BN390" s="293"/>
      <c r="BP390" s="293"/>
      <c r="BQ390" s="293"/>
      <c r="BR390" s="293"/>
      <c r="BT390" s="293"/>
      <c r="BU390" s="293"/>
      <c r="BV390" s="293"/>
      <c r="BX390" s="293"/>
      <c r="BY390" s="293"/>
      <c r="BZ390" s="293"/>
      <c r="CB390" s="293"/>
      <c r="CC390" s="293"/>
      <c r="CD390" s="293"/>
      <c r="CF390" s="293"/>
      <c r="CG390" s="293"/>
      <c r="CH390" s="293"/>
      <c r="CJ390" s="293"/>
      <c r="CK390" s="293"/>
      <c r="CL390" s="293"/>
      <c r="CN390" s="293"/>
      <c r="CO390" s="293"/>
      <c r="CP390" s="293"/>
      <c r="CR390" s="293"/>
      <c r="CS390" s="293"/>
      <c r="CT390" s="293"/>
      <c r="CV390" s="293"/>
      <c r="CW390" s="1495"/>
      <c r="CX390" s="293"/>
      <c r="CZ390" s="293"/>
      <c r="DA390" s="1495"/>
      <c r="DB390" s="293"/>
      <c r="DD390" s="293"/>
      <c r="DE390" s="1495"/>
      <c r="DF390" s="293"/>
      <c r="DH390" s="293"/>
      <c r="DI390" s="293"/>
      <c r="DJ390" s="293"/>
      <c r="DL390" s="293"/>
      <c r="DM390" s="293"/>
      <c r="DN390" s="293"/>
      <c r="DP390" s="293"/>
      <c r="DQ390" s="293"/>
      <c r="DR390" s="293"/>
      <c r="DU390" s="293"/>
      <c r="DV390" s="293"/>
      <c r="DW390" s="293"/>
    </row>
    <row r="391" spans="1:138">
      <c r="A391" s="289" t="s">
        <v>698</v>
      </c>
      <c r="AW391" s="293"/>
      <c r="AX391" s="293"/>
      <c r="AZ391" s="293"/>
      <c r="BA391" s="293"/>
      <c r="BB391" s="293"/>
      <c r="BD391" s="293"/>
      <c r="BE391" s="293"/>
      <c r="BF391" s="293"/>
      <c r="BH391" s="293"/>
      <c r="BI391" s="293"/>
      <c r="BJ391" s="293"/>
      <c r="BL391" s="293"/>
      <c r="BM391" s="293"/>
      <c r="BN391" s="293"/>
      <c r="BP391" s="293"/>
      <c r="BQ391" s="293"/>
      <c r="BR391" s="293"/>
      <c r="BT391" s="293"/>
      <c r="BU391" s="293"/>
      <c r="BV391" s="293"/>
      <c r="BX391" s="293"/>
      <c r="BY391" s="293"/>
      <c r="BZ391" s="293"/>
      <c r="CB391" s="293"/>
      <c r="CC391" s="293"/>
      <c r="CD391" s="293"/>
      <c r="CF391" s="293"/>
      <c r="CG391" s="293"/>
      <c r="CH391" s="293"/>
      <c r="CJ391" s="293"/>
      <c r="CK391" s="1010"/>
      <c r="CL391" s="1010"/>
      <c r="CN391" s="293"/>
      <c r="CO391" s="293"/>
      <c r="CP391" s="293"/>
      <c r="CR391" s="293"/>
      <c r="CS391" s="293"/>
      <c r="CT391" s="293"/>
      <c r="CV391" s="293"/>
      <c r="CW391" s="1495"/>
      <c r="CX391" s="293"/>
      <c r="CZ391" s="293"/>
      <c r="DA391" s="1495"/>
      <c r="DB391" s="293"/>
      <c r="DD391" s="293"/>
      <c r="DE391" s="1495"/>
      <c r="DF391" s="293"/>
      <c r="DH391" s="293"/>
      <c r="DI391" s="293"/>
      <c r="DJ391" s="293"/>
      <c r="DL391" s="293"/>
      <c r="DM391" s="293"/>
      <c r="DN391" s="293"/>
      <c r="DP391" s="293"/>
      <c r="DQ391" s="293"/>
      <c r="DR391" s="293"/>
      <c r="DU391" s="293"/>
      <c r="DV391" s="293"/>
      <c r="DW391" s="293"/>
      <c r="DZ391" s="102"/>
    </row>
    <row r="392" spans="1:138">
      <c r="A392" s="102" t="s">
        <v>62</v>
      </c>
      <c r="X392" s="761"/>
      <c r="Y392" s="704"/>
      <c r="Z392" s="704"/>
      <c r="AB392" s="761"/>
      <c r="AC392" s="704"/>
      <c r="AD392" s="704"/>
      <c r="AE392" s="293"/>
      <c r="AF392" s="704"/>
      <c r="AG392" s="704"/>
      <c r="AH392" s="704"/>
      <c r="AJ392" s="704"/>
      <c r="AK392" s="704"/>
      <c r="AL392" s="704"/>
      <c r="AN392" s="704"/>
      <c r="AO392" s="704"/>
      <c r="AP392" s="704"/>
      <c r="AR392" s="704"/>
      <c r="AS392" s="704"/>
      <c r="AT392" s="704"/>
      <c r="AV392" s="704"/>
      <c r="AW392" s="702"/>
      <c r="AX392" s="702"/>
      <c r="AZ392" s="702"/>
      <c r="BA392" s="704"/>
      <c r="BB392" s="704"/>
      <c r="BD392" s="702"/>
      <c r="BE392" s="704"/>
      <c r="BF392" s="704"/>
      <c r="BH392" s="702"/>
      <c r="BI392" s="704"/>
      <c r="BJ392" s="704"/>
      <c r="BL392" s="702"/>
      <c r="BM392" s="704"/>
      <c r="BN392" s="704"/>
      <c r="BP392" s="702">
        <v>0</v>
      </c>
      <c r="BQ392" s="704"/>
      <c r="BR392" s="704"/>
      <c r="BT392" s="702">
        <v>0</v>
      </c>
      <c r="BU392" s="702">
        <v>0</v>
      </c>
      <c r="BV392" s="704">
        <f>BT392</f>
        <v>0</v>
      </c>
      <c r="BX392" s="702">
        <v>0</v>
      </c>
      <c r="BY392" s="702">
        <v>0</v>
      </c>
      <c r="BZ392" s="704">
        <f>BX392</f>
        <v>0</v>
      </c>
      <c r="CB392" s="702">
        <v>0</v>
      </c>
      <c r="CC392" s="702">
        <v>0</v>
      </c>
      <c r="CD392" s="704">
        <f>CB392</f>
        <v>0</v>
      </c>
      <c r="CF392" s="702">
        <v>0</v>
      </c>
      <c r="CG392" s="702">
        <v>0</v>
      </c>
      <c r="CH392" s="704">
        <f>CF392</f>
        <v>0</v>
      </c>
      <c r="CJ392" s="702">
        <v>0</v>
      </c>
      <c r="CK392" s="1451">
        <v>0</v>
      </c>
      <c r="CL392" s="1451">
        <f>CJ392</f>
        <v>0</v>
      </c>
      <c r="CN392" s="702">
        <v>0</v>
      </c>
      <c r="CO392" s="702">
        <v>0</v>
      </c>
      <c r="CP392" s="704">
        <f>CN392</f>
        <v>0</v>
      </c>
      <c r="CR392" s="702">
        <v>0</v>
      </c>
      <c r="CS392" s="704">
        <f>CR396</f>
        <v>0</v>
      </c>
      <c r="CT392" s="704">
        <f>CR392</f>
        <v>0</v>
      </c>
      <c r="CV392" s="702">
        <v>0</v>
      </c>
      <c r="CW392" s="704">
        <f>CV396</f>
        <v>0</v>
      </c>
      <c r="CX392" s="704">
        <f>CV392</f>
        <v>0</v>
      </c>
      <c r="CZ392" s="702">
        <v>0</v>
      </c>
      <c r="DA392" s="704">
        <f>CZ396</f>
        <v>0</v>
      </c>
      <c r="DB392" s="704">
        <f>CZ392</f>
        <v>0</v>
      </c>
      <c r="DD392" s="702">
        <v>0</v>
      </c>
      <c r="DE392" s="704">
        <f>DD396</f>
        <v>0</v>
      </c>
      <c r="DF392" s="704">
        <f>DD392</f>
        <v>0</v>
      </c>
      <c r="DH392" s="702">
        <v>0</v>
      </c>
      <c r="DI392" s="704">
        <f>DH396</f>
        <v>0</v>
      </c>
      <c r="DJ392" s="704">
        <f>DH392</f>
        <v>0</v>
      </c>
      <c r="DL392" s="704">
        <f>DJ396</f>
        <v>0</v>
      </c>
      <c r="DM392" s="704">
        <f>DL396</f>
        <v>0</v>
      </c>
      <c r="DN392" s="704">
        <f>DL392</f>
        <v>0</v>
      </c>
      <c r="DP392" s="704">
        <f>DN396</f>
        <v>0</v>
      </c>
      <c r="DQ392" s="704">
        <f>DP396</f>
        <v>0</v>
      </c>
      <c r="DR392" s="704">
        <f>DP392</f>
        <v>0</v>
      </c>
      <c r="DU392" s="407"/>
      <c r="DV392" s="407"/>
      <c r="DW392" s="407"/>
    </row>
    <row r="393" spans="1:138">
      <c r="A393" s="102" t="s">
        <v>115</v>
      </c>
      <c r="X393" s="703"/>
      <c r="Y393" s="703"/>
      <c r="Z393" s="704"/>
      <c r="AB393" s="703"/>
      <c r="AC393" s="703"/>
      <c r="AD393" s="704"/>
      <c r="AE393" s="293"/>
      <c r="AF393" s="703"/>
      <c r="AG393" s="703"/>
      <c r="AH393" s="704"/>
      <c r="AI393" s="320"/>
      <c r="AJ393" s="703"/>
      <c r="AK393" s="703"/>
      <c r="AL393" s="704"/>
      <c r="AN393" s="703"/>
      <c r="AO393" s="703"/>
      <c r="AP393" s="704"/>
      <c r="AR393" s="703"/>
      <c r="AS393" s="703"/>
      <c r="AT393" s="704"/>
      <c r="AV393" s="703"/>
      <c r="AW393" s="705"/>
      <c r="AX393" s="702"/>
      <c r="AZ393" s="705"/>
      <c r="BA393" s="703"/>
      <c r="BB393" s="704"/>
      <c r="BD393" s="705"/>
      <c r="BE393" s="705"/>
      <c r="BF393" s="704"/>
      <c r="BH393" s="705"/>
      <c r="BI393" s="705"/>
      <c r="BJ393" s="704"/>
      <c r="BL393" s="705"/>
      <c r="BM393" s="705"/>
      <c r="BN393" s="704"/>
      <c r="BP393" s="705">
        <v>0</v>
      </c>
      <c r="BQ393" s="705"/>
      <c r="BR393" s="704"/>
      <c r="BT393" s="705">
        <v>0</v>
      </c>
      <c r="BU393" s="705">
        <v>0</v>
      </c>
      <c r="BV393" s="704">
        <f>+BU393+BT393</f>
        <v>0</v>
      </c>
      <c r="BX393" s="705">
        <v>0</v>
      </c>
      <c r="BY393" s="705">
        <v>0</v>
      </c>
      <c r="BZ393" s="704">
        <f>+BY393+BX393</f>
        <v>0</v>
      </c>
      <c r="CB393" s="703">
        <v>0</v>
      </c>
      <c r="CC393" s="705">
        <v>0</v>
      </c>
      <c r="CD393" s="704">
        <f>+CC393+CB393</f>
        <v>0</v>
      </c>
      <c r="CF393" s="703">
        <v>0</v>
      </c>
      <c r="CG393" s="705">
        <v>0</v>
      </c>
      <c r="CH393" s="704">
        <f>+CG393+CF393</f>
        <v>0</v>
      </c>
      <c r="CJ393" s="703">
        <v>0</v>
      </c>
      <c r="CK393" s="1450">
        <v>0</v>
      </c>
      <c r="CL393" s="1451">
        <f>+CK393+CJ393</f>
        <v>0</v>
      </c>
      <c r="CN393" s="705">
        <v>0</v>
      </c>
      <c r="CO393" s="705">
        <v>0</v>
      </c>
      <c r="CP393" s="704">
        <f>+CO393+CN393</f>
        <v>0</v>
      </c>
      <c r="CR393" s="705">
        <v>0</v>
      </c>
      <c r="CS393" s="703">
        <v>0</v>
      </c>
      <c r="CT393" s="704">
        <f>+CS393+CR393</f>
        <v>0</v>
      </c>
      <c r="CV393" s="705">
        <v>0</v>
      </c>
      <c r="CW393" s="703">
        <v>0</v>
      </c>
      <c r="CX393" s="704">
        <f>+CW393+CV393</f>
        <v>0</v>
      </c>
      <c r="CZ393" s="705">
        <v>0</v>
      </c>
      <c r="DA393" s="703">
        <v>0</v>
      </c>
      <c r="DB393" s="704">
        <f>+DA393+CZ393</f>
        <v>0</v>
      </c>
      <c r="DD393" s="705">
        <v>0</v>
      </c>
      <c r="DE393" s="703">
        <v>0</v>
      </c>
      <c r="DF393" s="704">
        <f>+DE393+DD393</f>
        <v>0</v>
      </c>
      <c r="DH393" s="705">
        <v>0</v>
      </c>
      <c r="DI393" s="703">
        <v>0</v>
      </c>
      <c r="DJ393" s="704">
        <f>+DI393+DH393</f>
        <v>0</v>
      </c>
      <c r="DL393" s="703">
        <v>0</v>
      </c>
      <c r="DM393" s="703">
        <v>0</v>
      </c>
      <c r="DN393" s="704">
        <f>+DM393+DL393</f>
        <v>0</v>
      </c>
      <c r="DP393" s="703">
        <v>0</v>
      </c>
      <c r="DQ393" s="703">
        <v>0</v>
      </c>
      <c r="DR393" s="704">
        <f>+DQ393+DP393</f>
        <v>0</v>
      </c>
      <c r="DU393" s="1122"/>
      <c r="DV393" s="1122"/>
      <c r="DW393" s="407"/>
    </row>
    <row r="394" spans="1:138">
      <c r="A394" s="102" t="s">
        <v>116</v>
      </c>
      <c r="X394" s="703"/>
      <c r="Y394" s="703"/>
      <c r="Z394" s="704"/>
      <c r="AB394" s="703"/>
      <c r="AC394" s="703"/>
      <c r="AD394" s="704"/>
      <c r="AE394" s="293"/>
      <c r="AF394" s="703"/>
      <c r="AG394" s="703"/>
      <c r="AH394" s="704"/>
      <c r="AI394" s="320"/>
      <c r="AJ394" s="703"/>
      <c r="AK394" s="703"/>
      <c r="AL394" s="704"/>
      <c r="AN394" s="703"/>
      <c r="AO394" s="703"/>
      <c r="AP394" s="704"/>
      <c r="AR394" s="703"/>
      <c r="AS394" s="703"/>
      <c r="AT394" s="704"/>
      <c r="AV394" s="703"/>
      <c r="AW394" s="705"/>
      <c r="AX394" s="702"/>
      <c r="AZ394" s="705"/>
      <c r="BA394" s="703"/>
      <c r="BB394" s="704"/>
      <c r="BD394" s="705"/>
      <c r="BE394" s="705"/>
      <c r="BF394" s="704"/>
      <c r="BH394" s="705"/>
      <c r="BI394" s="705"/>
      <c r="BJ394" s="704"/>
      <c r="BL394" s="705"/>
      <c r="BM394" s="705"/>
      <c r="BN394" s="704"/>
      <c r="BP394" s="705">
        <v>0</v>
      </c>
      <c r="BQ394" s="705"/>
      <c r="BR394" s="704"/>
      <c r="BT394" s="705">
        <v>0</v>
      </c>
      <c r="BU394" s="705">
        <v>0</v>
      </c>
      <c r="BV394" s="704">
        <f>+BU394+BT394</f>
        <v>0</v>
      </c>
      <c r="BX394" s="705">
        <v>0</v>
      </c>
      <c r="BY394" s="705">
        <v>0</v>
      </c>
      <c r="BZ394" s="704">
        <f>+BY394+BX394</f>
        <v>0</v>
      </c>
      <c r="CB394" s="703">
        <v>0</v>
      </c>
      <c r="CC394" s="705">
        <v>0</v>
      </c>
      <c r="CD394" s="704">
        <f>+CC394+CB394</f>
        <v>0</v>
      </c>
      <c r="CF394" s="703">
        <v>0</v>
      </c>
      <c r="CG394" s="705">
        <v>0</v>
      </c>
      <c r="CH394" s="704">
        <f>+CG394+CF394</f>
        <v>0</v>
      </c>
      <c r="CJ394" s="703">
        <v>0</v>
      </c>
      <c r="CK394" s="1450">
        <v>0</v>
      </c>
      <c r="CL394" s="1451">
        <f>+CK394+CJ394</f>
        <v>0</v>
      </c>
      <c r="CN394" s="705">
        <v>0</v>
      </c>
      <c r="CO394" s="705">
        <v>0</v>
      </c>
      <c r="CP394" s="704">
        <f>+CO394+CN394</f>
        <v>0</v>
      </c>
      <c r="CR394" s="705">
        <v>0</v>
      </c>
      <c r="CS394" s="703">
        <v>0</v>
      </c>
      <c r="CT394" s="704">
        <f>+CS394+CR394</f>
        <v>0</v>
      </c>
      <c r="CV394" s="705">
        <v>0</v>
      </c>
      <c r="CW394" s="703">
        <v>0</v>
      </c>
      <c r="CX394" s="704">
        <f>+CW394+CV394</f>
        <v>0</v>
      </c>
      <c r="CZ394" s="705">
        <v>0</v>
      </c>
      <c r="DA394" s="703">
        <v>0</v>
      </c>
      <c r="DB394" s="704">
        <f>+DA394+CZ394</f>
        <v>0</v>
      </c>
      <c r="DD394" s="705">
        <v>0</v>
      </c>
      <c r="DE394" s="703">
        <v>0</v>
      </c>
      <c r="DF394" s="704">
        <f>+DE394+DD394</f>
        <v>0</v>
      </c>
      <c r="DH394" s="705">
        <v>0</v>
      </c>
      <c r="DI394" s="703">
        <v>0</v>
      </c>
      <c r="DJ394" s="704">
        <f>+DI394+DH394</f>
        <v>0</v>
      </c>
      <c r="DL394" s="703">
        <v>0</v>
      </c>
      <c r="DM394" s="703">
        <v>0</v>
      </c>
      <c r="DN394" s="704">
        <f>+DM394+DL394</f>
        <v>0</v>
      </c>
      <c r="DP394" s="703">
        <v>0</v>
      </c>
      <c r="DQ394" s="703">
        <v>0</v>
      </c>
      <c r="DR394" s="704">
        <f>+DQ394+DP394</f>
        <v>0</v>
      </c>
      <c r="DU394" s="1122"/>
      <c r="DV394" s="1122"/>
      <c r="DW394" s="407"/>
    </row>
    <row r="395" spans="1:138">
      <c r="A395" s="102" t="s">
        <v>117</v>
      </c>
      <c r="X395" s="293"/>
      <c r="Y395" s="293"/>
      <c r="Z395" s="293"/>
      <c r="AB395" s="293"/>
      <c r="AC395" s="293"/>
      <c r="AD395" s="293"/>
      <c r="AE395" s="293"/>
      <c r="AF395" s="293"/>
      <c r="AG395" s="293"/>
      <c r="AH395" s="293"/>
      <c r="AI395" s="320"/>
      <c r="AJ395" s="293"/>
      <c r="AK395" s="293"/>
      <c r="AL395" s="293"/>
      <c r="AN395" s="293"/>
      <c r="AO395" s="293"/>
      <c r="AP395" s="293"/>
      <c r="AR395" s="293"/>
      <c r="AS395" s="293"/>
      <c r="AT395" s="293"/>
      <c r="AV395" s="293"/>
      <c r="AW395" s="293"/>
      <c r="AX395" s="293"/>
      <c r="AZ395" s="293"/>
      <c r="BA395" s="293"/>
      <c r="BB395" s="293"/>
      <c r="BD395" s="293"/>
      <c r="BE395" s="293"/>
      <c r="BF395" s="293"/>
      <c r="BH395" s="293"/>
      <c r="BI395" s="293"/>
      <c r="BJ395" s="293"/>
      <c r="BL395" s="293"/>
      <c r="BM395" s="293"/>
      <c r="BN395" s="293"/>
      <c r="BP395" s="293">
        <f>+BP396-BP392-BP393-BP394</f>
        <v>0</v>
      </c>
      <c r="BQ395" s="293"/>
      <c r="BR395" s="293"/>
      <c r="BT395" s="293">
        <f>+BT396-BT392-BT393-BT394</f>
        <v>0</v>
      </c>
      <c r="BU395" s="293">
        <f>+BU396-BU392-BU393-BU394</f>
        <v>0</v>
      </c>
      <c r="BV395" s="293">
        <f>BU395+BT395</f>
        <v>0</v>
      </c>
      <c r="BX395" s="293">
        <f>+BX396-BX392-BX393-BX394</f>
        <v>0</v>
      </c>
      <c r="BY395" s="293">
        <f>+BY396-BY392-BY393-BY394</f>
        <v>0</v>
      </c>
      <c r="BZ395" s="293">
        <f>BY395+BX395</f>
        <v>0</v>
      </c>
      <c r="CB395" s="293">
        <f>+CB396-CB392-CB393-CB394</f>
        <v>0</v>
      </c>
      <c r="CC395" s="293">
        <f>+CC396-CC392-CC393-CC394</f>
        <v>0</v>
      </c>
      <c r="CD395" s="293">
        <f>CC395+CB395</f>
        <v>0</v>
      </c>
      <c r="CF395" s="293">
        <f>+CF396-CF392-CF393-CF394</f>
        <v>0</v>
      </c>
      <c r="CG395" s="293">
        <f>+CG396-CG392-CG393-CG394</f>
        <v>0</v>
      </c>
      <c r="CH395" s="293">
        <f>CG395+CF395</f>
        <v>0</v>
      </c>
      <c r="CJ395" s="293">
        <f>+CJ396-CJ392-CJ393-CJ394</f>
        <v>0</v>
      </c>
      <c r="CK395" s="1010">
        <f>+CK396-CK392-CK393-CK394</f>
        <v>0</v>
      </c>
      <c r="CL395" s="1010">
        <f>CK395+CJ395</f>
        <v>0</v>
      </c>
      <c r="CN395" s="293">
        <f>+CN396-CN392-CN393-CN394</f>
        <v>0</v>
      </c>
      <c r="CO395" s="293">
        <f>+CO396-CO392-CO393-CO394</f>
        <v>0</v>
      </c>
      <c r="CP395" s="293">
        <f>CO395+CN395</f>
        <v>0</v>
      </c>
      <c r="CR395" s="293">
        <f>+CR396-CR392-CR393-CR394</f>
        <v>0</v>
      </c>
      <c r="CS395" s="703">
        <v>0</v>
      </c>
      <c r="CT395" s="293">
        <f>CS395+CR395</f>
        <v>0</v>
      </c>
      <c r="CV395" s="293">
        <f>+CV396-CV392-CV393-CV394</f>
        <v>0</v>
      </c>
      <c r="CW395" s="703">
        <v>0</v>
      </c>
      <c r="CX395" s="293">
        <f>CW395+CV395</f>
        <v>0</v>
      </c>
      <c r="CZ395" s="293">
        <f>+CZ396-CZ392-CZ393-CZ394</f>
        <v>0</v>
      </c>
      <c r="DA395" s="703">
        <v>0</v>
      </c>
      <c r="DB395" s="293">
        <f>DA395+CZ395</f>
        <v>0</v>
      </c>
      <c r="DD395" s="293">
        <f>+DD396-DD392-DD393-DD394</f>
        <v>0</v>
      </c>
      <c r="DE395" s="703">
        <v>0</v>
      </c>
      <c r="DF395" s="293">
        <f>DE395+DD395</f>
        <v>0</v>
      </c>
      <c r="DH395" s="293">
        <f>+DH396-DH392-DH393-DH394</f>
        <v>0</v>
      </c>
      <c r="DI395" s="703">
        <v>0</v>
      </c>
      <c r="DJ395" s="293">
        <f>DI395+DH395</f>
        <v>0</v>
      </c>
      <c r="DL395" s="703">
        <v>0</v>
      </c>
      <c r="DM395" s="703">
        <v>0</v>
      </c>
      <c r="DN395" s="293">
        <f>DM395+DL395</f>
        <v>0</v>
      </c>
      <c r="DP395" s="703">
        <v>0</v>
      </c>
      <c r="DQ395" s="703">
        <v>0</v>
      </c>
      <c r="DR395" s="293">
        <f>DQ395+DP395</f>
        <v>0</v>
      </c>
      <c r="DU395" s="1122"/>
      <c r="DV395" s="1122"/>
      <c r="DW395" s="293"/>
    </row>
    <row r="396" spans="1:138" s="289" customFormat="1">
      <c r="A396" s="289" t="s">
        <v>67</v>
      </c>
      <c r="C396" s="290"/>
      <c r="P396" s="290"/>
      <c r="Q396" s="290"/>
      <c r="R396" s="290"/>
      <c r="S396" s="290"/>
      <c r="T396" s="290"/>
      <c r="U396" s="290"/>
      <c r="V396" s="290"/>
      <c r="W396" s="290"/>
      <c r="X396" s="295"/>
      <c r="Y396" s="295"/>
      <c r="Z396" s="295"/>
      <c r="AA396" s="290"/>
      <c r="AB396" s="295"/>
      <c r="AC396" s="295"/>
      <c r="AD396" s="295"/>
      <c r="AE396" s="295"/>
      <c r="AF396" s="295"/>
      <c r="AG396" s="295"/>
      <c r="AH396" s="295"/>
      <c r="AI396" s="649"/>
      <c r="AJ396" s="295"/>
      <c r="AK396" s="295"/>
      <c r="AL396" s="295"/>
      <c r="AM396" s="290"/>
      <c r="AN396" s="295"/>
      <c r="AO396" s="295"/>
      <c r="AP396" s="295"/>
      <c r="AQ396" s="290"/>
      <c r="AR396" s="295"/>
      <c r="AS396" s="295"/>
      <c r="AT396" s="295"/>
      <c r="AU396" s="290"/>
      <c r="AV396" s="295"/>
      <c r="AW396" s="295"/>
      <c r="AX396" s="295"/>
      <c r="AY396" s="290"/>
      <c r="AZ396" s="295"/>
      <c r="BA396" s="295"/>
      <c r="BB396" s="295"/>
      <c r="BC396" s="290"/>
      <c r="BD396" s="295"/>
      <c r="BE396" s="295"/>
      <c r="BF396" s="295"/>
      <c r="BG396" s="290"/>
      <c r="BH396" s="295"/>
      <c r="BI396" s="295"/>
      <c r="BJ396" s="295"/>
      <c r="BK396" s="290"/>
      <c r="BL396" s="295"/>
      <c r="BM396" s="295"/>
      <c r="BN396" s="295"/>
      <c r="BO396" s="290"/>
      <c r="BP396" s="295">
        <v>0</v>
      </c>
      <c r="BQ396" s="295"/>
      <c r="BR396" s="295"/>
      <c r="BS396" s="290"/>
      <c r="BT396" s="295">
        <v>0</v>
      </c>
      <c r="BU396" s="295">
        <v>0</v>
      </c>
      <c r="BV396" s="295">
        <f>SUM(BV392:BV395)</f>
        <v>0</v>
      </c>
      <c r="BW396" s="290"/>
      <c r="BX396" s="295">
        <v>0</v>
      </c>
      <c r="BY396" s="295">
        <v>0</v>
      </c>
      <c r="BZ396" s="295">
        <f>SUM(BZ392:BZ395)</f>
        <v>0</v>
      </c>
      <c r="CA396" s="290"/>
      <c r="CB396" s="295">
        <v>0</v>
      </c>
      <c r="CC396" s="295">
        <v>0</v>
      </c>
      <c r="CD396" s="295">
        <f>SUM(CD392:CD395)</f>
        <v>0</v>
      </c>
      <c r="CE396" s="290"/>
      <c r="CF396" s="295">
        <v>0</v>
      </c>
      <c r="CG396" s="295">
        <v>0</v>
      </c>
      <c r="CH396" s="295">
        <f>SUM(CH392:CH395)</f>
        <v>0</v>
      </c>
      <c r="CI396" s="290"/>
      <c r="CJ396" s="295">
        <v>0</v>
      </c>
      <c r="CK396" s="1412">
        <v>0</v>
      </c>
      <c r="CL396" s="1412">
        <f>SUM(CL392:CL395)</f>
        <v>0</v>
      </c>
      <c r="CM396" s="290"/>
      <c r="CN396" s="295">
        <v>0</v>
      </c>
      <c r="CO396" s="295">
        <v>0</v>
      </c>
      <c r="CP396" s="295">
        <f>SUM(CP392:CP395)</f>
        <v>0</v>
      </c>
      <c r="CQ396" s="290"/>
      <c r="CR396" s="295">
        <v>0</v>
      </c>
      <c r="CS396" s="295">
        <f>SUM(CS392:CS395)</f>
        <v>0</v>
      </c>
      <c r="CT396" s="295">
        <f>SUM(CT392:CT395)</f>
        <v>0</v>
      </c>
      <c r="CU396" s="290"/>
      <c r="CV396" s="295">
        <v>0</v>
      </c>
      <c r="CW396" s="1390">
        <f>SUM(CW392:CW395)</f>
        <v>0</v>
      </c>
      <c r="CX396" s="295">
        <f>SUM(CX392:CX395)</f>
        <v>0</v>
      </c>
      <c r="CY396" s="290"/>
      <c r="CZ396" s="295">
        <v>0</v>
      </c>
      <c r="DA396" s="1390">
        <f>SUM(DA392:DA395)</f>
        <v>0</v>
      </c>
      <c r="DB396" s="295">
        <f>SUM(DB392:DB395)</f>
        <v>0</v>
      </c>
      <c r="DC396" s="290"/>
      <c r="DD396" s="295">
        <v>0</v>
      </c>
      <c r="DE396" s="1390">
        <f>SUM(DE392:DE395)</f>
        <v>0</v>
      </c>
      <c r="DF396" s="295">
        <f>SUM(DF392:DF395)</f>
        <v>0</v>
      </c>
      <c r="DG396" s="290"/>
      <c r="DH396" s="295">
        <v>0</v>
      </c>
      <c r="DI396" s="295">
        <f>SUM(DI392:DI395)</f>
        <v>0</v>
      </c>
      <c r="DJ396" s="295">
        <f>SUM(DJ392:DJ395)</f>
        <v>0</v>
      </c>
      <c r="DK396" s="290"/>
      <c r="DL396" s="295">
        <f>SUM(DL392:DL395)</f>
        <v>0</v>
      </c>
      <c r="DM396" s="295">
        <f>SUM(DM392:DM395)</f>
        <v>0</v>
      </c>
      <c r="DN396" s="295">
        <f>SUM(DN392:DN395)</f>
        <v>0</v>
      </c>
      <c r="DO396" s="290"/>
      <c r="DP396" s="295">
        <f>SUM(DP392:DP395)</f>
        <v>0</v>
      </c>
      <c r="DQ396" s="295">
        <f>SUM(DQ392:DQ395)</f>
        <v>0</v>
      </c>
      <c r="DR396" s="295">
        <f>SUM(DR392:DR395)</f>
        <v>0</v>
      </c>
      <c r="DS396" s="290"/>
      <c r="DT396" s="290"/>
      <c r="DU396" s="295"/>
      <c r="DV396" s="295"/>
      <c r="DW396" s="295"/>
      <c r="DX396" s="290"/>
      <c r="DZ396" s="771"/>
      <c r="EH396"/>
    </row>
    <row r="397" spans="1:138">
      <c r="X397" s="293"/>
      <c r="Y397" s="293"/>
      <c r="Z397" s="293"/>
      <c r="AB397" s="293"/>
      <c r="AC397" s="293"/>
      <c r="AD397" s="293"/>
      <c r="AE397" s="293"/>
      <c r="AF397" s="293"/>
      <c r="AG397" s="293"/>
      <c r="AH397" s="293"/>
      <c r="AI397" s="320"/>
      <c r="AJ397" s="293"/>
      <c r="AK397" s="293"/>
      <c r="AL397" s="293"/>
      <c r="AN397" s="293"/>
      <c r="AO397" s="293"/>
      <c r="AP397" s="293"/>
      <c r="AR397" s="293"/>
      <c r="AS397" s="293"/>
      <c r="AT397" s="293"/>
      <c r="AV397" s="293"/>
      <c r="AW397" s="293"/>
      <c r="AX397" s="293"/>
      <c r="AZ397" s="293"/>
      <c r="BA397" s="293"/>
      <c r="BB397" s="293"/>
      <c r="BD397" s="293"/>
      <c r="BE397" s="293"/>
      <c r="BF397" s="293"/>
      <c r="BH397" s="293"/>
      <c r="BI397" s="293"/>
      <c r="BJ397" s="293"/>
      <c r="BL397" s="293"/>
      <c r="BM397" s="293"/>
      <c r="BN397" s="293"/>
      <c r="BP397" s="293"/>
      <c r="BQ397" s="293"/>
      <c r="BR397" s="293"/>
      <c r="BT397" s="293"/>
      <c r="BU397" s="293"/>
      <c r="BV397" s="293"/>
      <c r="BX397" s="293"/>
      <c r="BY397" s="293"/>
      <c r="BZ397" s="293"/>
      <c r="CB397" s="293"/>
      <c r="CC397" s="293"/>
      <c r="CD397" s="293"/>
      <c r="CF397" s="293"/>
      <c r="CG397" s="293"/>
      <c r="CH397" s="293"/>
      <c r="CJ397" s="293"/>
      <c r="CK397" s="1010"/>
      <c r="CL397" s="1010"/>
      <c r="CN397" s="293"/>
      <c r="CO397" s="293"/>
      <c r="CP397" s="293"/>
      <c r="CR397" s="293"/>
      <c r="CS397" s="293"/>
      <c r="CT397" s="293"/>
      <c r="CV397" s="293"/>
      <c r="CW397" s="1495"/>
      <c r="CX397" s="293"/>
      <c r="CZ397" s="293"/>
      <c r="DA397" s="1495"/>
      <c r="DB397" s="293"/>
      <c r="DD397" s="293"/>
      <c r="DE397" s="1495"/>
      <c r="DF397" s="293"/>
      <c r="DH397" s="293"/>
      <c r="DI397" s="293"/>
      <c r="DJ397" s="293"/>
      <c r="DL397" s="293"/>
      <c r="DM397" s="293"/>
      <c r="DN397" s="293"/>
      <c r="DP397" s="293"/>
      <c r="DQ397" s="293"/>
      <c r="DR397" s="293"/>
      <c r="DU397" s="293"/>
      <c r="DV397" s="293"/>
      <c r="DW397" s="293"/>
    </row>
    <row r="398" spans="1:138">
      <c r="A398" s="289" t="s">
        <v>478</v>
      </c>
      <c r="AW398" s="293"/>
      <c r="AX398" s="293"/>
      <c r="AZ398" s="293"/>
      <c r="BA398" s="293"/>
      <c r="BB398" s="293"/>
      <c r="BD398" s="293"/>
      <c r="BE398" s="293"/>
      <c r="BF398" s="293"/>
      <c r="BH398" s="293"/>
      <c r="BI398" s="293"/>
      <c r="BJ398" s="293"/>
      <c r="BL398" s="293"/>
      <c r="BM398" s="293"/>
      <c r="BN398" s="293"/>
      <c r="BP398" s="293"/>
      <c r="BQ398" s="293"/>
      <c r="BR398" s="293"/>
      <c r="BT398" s="293"/>
      <c r="BU398" s="293"/>
      <c r="BV398" s="293"/>
      <c r="BX398" s="293"/>
      <c r="BY398" s="293"/>
      <c r="BZ398" s="293"/>
      <c r="CB398" s="293"/>
      <c r="CC398" s="293"/>
      <c r="CD398" s="293"/>
      <c r="CF398" s="293"/>
      <c r="CG398" s="293"/>
      <c r="CH398" s="293"/>
      <c r="CJ398" s="293"/>
      <c r="CK398" s="1010"/>
      <c r="CL398" s="1010"/>
      <c r="CN398" s="293"/>
      <c r="CO398" s="293"/>
      <c r="CP398" s="293"/>
      <c r="CR398" s="293"/>
      <c r="CS398" s="293"/>
      <c r="CT398" s="293"/>
      <c r="CV398" s="293"/>
      <c r="CW398" s="1495"/>
      <c r="CX398" s="293"/>
      <c r="CZ398" s="293"/>
      <c r="DA398" s="1495"/>
      <c r="DB398" s="293"/>
      <c r="DD398" s="293"/>
      <c r="DE398" s="1495"/>
      <c r="DF398" s="293"/>
      <c r="DH398" s="293"/>
      <c r="DI398" s="293"/>
      <c r="DJ398" s="293"/>
      <c r="DL398" s="293"/>
      <c r="DM398" s="293"/>
      <c r="DN398" s="293"/>
      <c r="DP398" s="293"/>
      <c r="DQ398" s="293"/>
      <c r="DR398" s="293"/>
      <c r="DU398" s="293"/>
      <c r="DV398" s="293"/>
      <c r="DW398" s="293"/>
      <c r="DZ398" s="102"/>
    </row>
    <row r="399" spans="1:138">
      <c r="A399" s="102" t="s">
        <v>62</v>
      </c>
      <c r="C399" s="103" t="s">
        <v>612</v>
      </c>
      <c r="X399" s="704"/>
      <c r="Y399" s="704"/>
      <c r="Z399" s="704"/>
      <c r="AB399" s="704">
        <f>Z402</f>
        <v>0</v>
      </c>
      <c r="AC399" s="704">
        <f>AB402</f>
        <v>904</v>
      </c>
      <c r="AD399" s="704">
        <f>AB399</f>
        <v>0</v>
      </c>
      <c r="AE399" s="293"/>
      <c r="AF399" s="704">
        <f>AD402</f>
        <v>863</v>
      </c>
      <c r="AG399" s="704">
        <f>AF402</f>
        <v>940</v>
      </c>
      <c r="AH399" s="704">
        <f>AF399</f>
        <v>863</v>
      </c>
      <c r="AJ399" s="704">
        <f>AH402</f>
        <v>848</v>
      </c>
      <c r="AK399" s="704">
        <f>AJ402</f>
        <v>884</v>
      </c>
      <c r="AL399" s="704">
        <f>AJ399</f>
        <v>848</v>
      </c>
      <c r="AN399" s="704">
        <f>AL402</f>
        <v>857</v>
      </c>
      <c r="AO399" s="704">
        <f>AN402</f>
        <v>812</v>
      </c>
      <c r="AP399" s="704">
        <f>AN399</f>
        <v>857</v>
      </c>
      <c r="AR399" s="704">
        <f>AP402</f>
        <v>841</v>
      </c>
      <c r="AS399" s="704">
        <f>AR402</f>
        <v>885</v>
      </c>
      <c r="AT399" s="704">
        <f>AR399</f>
        <v>841</v>
      </c>
      <c r="AV399" s="704">
        <f>AT402</f>
        <v>505</v>
      </c>
      <c r="AW399" s="702">
        <f>AV402</f>
        <v>145</v>
      </c>
      <c r="AX399" s="702">
        <f>AV399</f>
        <v>505</v>
      </c>
      <c r="AZ399" s="702">
        <f>AX402</f>
        <v>146</v>
      </c>
      <c r="BA399" s="702">
        <f>AZ402</f>
        <v>141</v>
      </c>
      <c r="BB399" s="702">
        <f>AZ399</f>
        <v>146</v>
      </c>
      <c r="BD399" s="702">
        <f>BB402</f>
        <v>137</v>
      </c>
      <c r="BE399" s="702">
        <f>BD402</f>
        <v>122</v>
      </c>
      <c r="BF399" s="702">
        <f>BD399</f>
        <v>137</v>
      </c>
      <c r="BH399" s="702">
        <f>BF402</f>
        <v>138</v>
      </c>
      <c r="BI399" s="702">
        <f>BH402</f>
        <v>57</v>
      </c>
      <c r="BJ399" s="702">
        <f>BH399</f>
        <v>138</v>
      </c>
      <c r="BL399" s="702">
        <f>BJ402</f>
        <v>101</v>
      </c>
      <c r="BM399" s="702">
        <f>BL402</f>
        <v>28</v>
      </c>
      <c r="BN399" s="702">
        <f>BL399</f>
        <v>101</v>
      </c>
      <c r="BP399" s="702">
        <f>BN402</f>
        <v>29</v>
      </c>
      <c r="BQ399" s="702">
        <f>BP402</f>
        <v>57</v>
      </c>
      <c r="BR399" s="702">
        <f>BP399</f>
        <v>29</v>
      </c>
      <c r="BT399" s="702">
        <f>BR402</f>
        <v>14</v>
      </c>
      <c r="BU399" s="702">
        <f>BT402</f>
        <v>195</v>
      </c>
      <c r="BV399" s="702">
        <f>BT399</f>
        <v>14</v>
      </c>
      <c r="BX399" s="702">
        <f>BV402</f>
        <v>157</v>
      </c>
      <c r="BY399" s="702">
        <f>BX402</f>
        <v>151</v>
      </c>
      <c r="BZ399" s="702">
        <f>BX399</f>
        <v>157</v>
      </c>
      <c r="CB399" s="702">
        <f>BZ402</f>
        <v>1316</v>
      </c>
      <c r="CC399" s="702">
        <f>CB402</f>
        <v>1351</v>
      </c>
      <c r="CD399" s="702">
        <f>CB399</f>
        <v>1316</v>
      </c>
      <c r="CF399" s="702">
        <f>CD402</f>
        <v>1432</v>
      </c>
      <c r="CG399" s="702">
        <f>CF402</f>
        <v>208</v>
      </c>
      <c r="CH399" s="702">
        <f>CF399</f>
        <v>1432</v>
      </c>
      <c r="CJ399" s="702">
        <f>CH402</f>
        <v>212</v>
      </c>
      <c r="CK399" s="1451">
        <f>CJ402</f>
        <v>304</v>
      </c>
      <c r="CL399" s="1451">
        <f>CJ399</f>
        <v>212</v>
      </c>
      <c r="CN399" s="702">
        <f>CL402</f>
        <v>330</v>
      </c>
      <c r="CO399" s="702">
        <f>CN402</f>
        <v>281</v>
      </c>
      <c r="CP399" s="702">
        <f>CN399</f>
        <v>330</v>
      </c>
      <c r="CR399" s="702">
        <f>CP402</f>
        <v>303</v>
      </c>
      <c r="CS399" s="704">
        <f>CR402</f>
        <v>350</v>
      </c>
      <c r="CT399" s="704">
        <f>CR399</f>
        <v>303</v>
      </c>
      <c r="CV399" s="702">
        <f>CT402</f>
        <v>350</v>
      </c>
      <c r="CW399" s="704">
        <f>CV402</f>
        <v>350</v>
      </c>
      <c r="CX399" s="704">
        <f>CV399</f>
        <v>350</v>
      </c>
      <c r="CZ399" s="702">
        <f>CX402</f>
        <v>951</v>
      </c>
      <c r="DA399" s="704">
        <f>CZ402</f>
        <v>487</v>
      </c>
      <c r="DB399" s="704">
        <f>CZ399</f>
        <v>951</v>
      </c>
      <c r="DD399" s="702">
        <f>DB402</f>
        <v>515</v>
      </c>
      <c r="DE399" s="704">
        <f>DD402</f>
        <v>535</v>
      </c>
      <c r="DF399" s="704">
        <f>DD399</f>
        <v>515</v>
      </c>
      <c r="DH399" s="702">
        <f>DF402</f>
        <v>433</v>
      </c>
      <c r="DI399" s="704">
        <f>DH402</f>
        <v>633</v>
      </c>
      <c r="DJ399" s="704">
        <f>DH399</f>
        <v>433</v>
      </c>
      <c r="DL399" s="704">
        <f>DJ402</f>
        <v>633</v>
      </c>
      <c r="DM399" s="704">
        <f>DL402</f>
        <v>633</v>
      </c>
      <c r="DN399" s="704">
        <f>DL399</f>
        <v>633</v>
      </c>
      <c r="DP399" s="704">
        <f>DN402</f>
        <v>633</v>
      </c>
      <c r="DQ399" s="704">
        <f>DP402</f>
        <v>633</v>
      </c>
      <c r="DR399" s="704">
        <f>DP399</f>
        <v>633</v>
      </c>
      <c r="DU399" s="407"/>
      <c r="DV399" s="407"/>
      <c r="DW399" s="407"/>
    </row>
    <row r="400" spans="1:138">
      <c r="A400" s="102" t="s">
        <v>132</v>
      </c>
      <c r="C400" s="103" t="s">
        <v>612</v>
      </c>
      <c r="X400" s="703"/>
      <c r="Y400" s="703"/>
      <c r="Z400" s="704"/>
      <c r="AB400" s="703">
        <v>884</v>
      </c>
      <c r="AC400" s="703">
        <v>0</v>
      </c>
      <c r="AD400" s="704">
        <f>+AC400+AB400</f>
        <v>884</v>
      </c>
      <c r="AE400" s="293"/>
      <c r="AF400" s="703">
        <v>0</v>
      </c>
      <c r="AG400" s="703">
        <v>0</v>
      </c>
      <c r="AH400" s="704">
        <f>+AG400+AF400</f>
        <v>0</v>
      </c>
      <c r="AI400" s="320"/>
      <c r="AJ400" s="703">
        <v>0</v>
      </c>
      <c r="AK400" s="703">
        <v>0</v>
      </c>
      <c r="AL400" s="704">
        <f>+AK400+AJ400</f>
        <v>0</v>
      </c>
      <c r="AN400" s="703">
        <v>-5</v>
      </c>
      <c r="AO400" s="703">
        <v>75</v>
      </c>
      <c r="AP400" s="704">
        <f>+AO400+AN400</f>
        <v>70</v>
      </c>
      <c r="AR400" s="703">
        <v>16</v>
      </c>
      <c r="AS400" s="703">
        <v>75</v>
      </c>
      <c r="AT400" s="704">
        <f>+AS400+AR400</f>
        <v>91</v>
      </c>
      <c r="AV400" s="772">
        <f>(107-894)+(38-57)+(5-5)</f>
        <v>-806</v>
      </c>
      <c r="AW400" s="706">
        <f>AX400-AV400</f>
        <v>-3</v>
      </c>
      <c r="AX400" s="705">
        <f>107-894+40-57+0-5</f>
        <v>-809</v>
      </c>
      <c r="AZ400" s="705">
        <f>107-107+44-40+0-0</f>
        <v>4</v>
      </c>
      <c r="BA400" s="706">
        <f>BB400-AZ400</f>
        <v>0</v>
      </c>
      <c r="BB400" s="705">
        <v>4</v>
      </c>
      <c r="BD400" s="703">
        <v>0</v>
      </c>
      <c r="BE400" s="703">
        <v>0</v>
      </c>
      <c r="BF400" s="704">
        <f>+BE400+BD400</f>
        <v>0</v>
      </c>
      <c r="BH400" s="703">
        <v>0</v>
      </c>
      <c r="BI400" s="703">
        <v>0</v>
      </c>
      <c r="BJ400" s="704">
        <f>+BI400+BH400</f>
        <v>0</v>
      </c>
      <c r="BL400" s="703">
        <v>0</v>
      </c>
      <c r="BM400" s="703">
        <v>0</v>
      </c>
      <c r="BN400" s="704">
        <f>+BM400+BL400</f>
        <v>0</v>
      </c>
      <c r="BP400" s="703">
        <v>0</v>
      </c>
      <c r="BQ400" s="703">
        <v>0</v>
      </c>
      <c r="BR400" s="704">
        <f>+BQ400+BP400</f>
        <v>0</v>
      </c>
      <c r="BT400" s="703">
        <v>0</v>
      </c>
      <c r="BU400" s="703">
        <v>0</v>
      </c>
      <c r="BV400" s="704">
        <f>+BU400+BT400</f>
        <v>0</v>
      </c>
      <c r="BX400" s="703">
        <v>0</v>
      </c>
      <c r="BY400" s="705">
        <v>0</v>
      </c>
      <c r="BZ400" s="704">
        <f>+BY400+BX400</f>
        <v>0</v>
      </c>
      <c r="CB400" s="703">
        <v>0</v>
      </c>
      <c r="CC400" s="705">
        <v>0</v>
      </c>
      <c r="CD400" s="704">
        <f>+CC400+CB400</f>
        <v>0</v>
      </c>
      <c r="CF400" s="703">
        <v>0</v>
      </c>
      <c r="CG400" s="705">
        <v>0</v>
      </c>
      <c r="CH400" s="704">
        <f>+CG400+CF400</f>
        <v>0</v>
      </c>
      <c r="CJ400" s="703">
        <v>0</v>
      </c>
      <c r="CK400" s="1450">
        <v>0</v>
      </c>
      <c r="CL400" s="1451">
        <f>+CK400+CJ400</f>
        <v>0</v>
      </c>
      <c r="CN400" s="705">
        <v>0</v>
      </c>
      <c r="CO400" s="705">
        <v>0</v>
      </c>
      <c r="CP400" s="704">
        <f>+CO400+CN400</f>
        <v>0</v>
      </c>
      <c r="CR400" s="705">
        <v>0</v>
      </c>
      <c r="CS400" s="703">
        <v>0</v>
      </c>
      <c r="CT400" s="704">
        <f>+CS400+CR400</f>
        <v>0</v>
      </c>
      <c r="CV400" s="705">
        <v>0</v>
      </c>
      <c r="CW400" s="703">
        <v>0</v>
      </c>
      <c r="CX400" s="704">
        <f>+CW400+CV400</f>
        <v>0</v>
      </c>
      <c r="CZ400" s="705">
        <v>0</v>
      </c>
      <c r="DA400" s="703">
        <v>0</v>
      </c>
      <c r="DB400" s="704">
        <f>+DA400+CZ400</f>
        <v>0</v>
      </c>
      <c r="DD400" s="705">
        <v>0</v>
      </c>
      <c r="DE400" s="703">
        <v>0</v>
      </c>
      <c r="DF400" s="704">
        <f>+DE400+DD400</f>
        <v>0</v>
      </c>
      <c r="DH400" s="705">
        <v>0</v>
      </c>
      <c r="DI400" s="703">
        <v>0</v>
      </c>
      <c r="DJ400" s="704">
        <f>+DI400+DH400</f>
        <v>0</v>
      </c>
      <c r="DL400" s="703">
        <v>0</v>
      </c>
      <c r="DM400" s="703">
        <v>0</v>
      </c>
      <c r="DN400" s="704">
        <f>+DM400+DL400</f>
        <v>0</v>
      </c>
      <c r="DP400" s="703">
        <v>0</v>
      </c>
      <c r="DQ400" s="703">
        <v>0</v>
      </c>
      <c r="DR400" s="704">
        <f>+DQ400+DP400</f>
        <v>0</v>
      </c>
      <c r="DU400" s="1122"/>
      <c r="DV400" s="1122"/>
      <c r="DW400" s="407"/>
    </row>
    <row r="401" spans="1:138">
      <c r="A401" s="302" t="s">
        <v>117</v>
      </c>
      <c r="B401" s="302"/>
      <c r="C401" s="304" t="s">
        <v>612</v>
      </c>
      <c r="D401" s="302"/>
      <c r="E401" s="302"/>
      <c r="F401" s="302"/>
      <c r="G401" s="302"/>
      <c r="H401" s="302"/>
      <c r="I401" s="302"/>
      <c r="J401" s="302"/>
      <c r="K401" s="302"/>
      <c r="L401" s="302"/>
      <c r="M401" s="302"/>
      <c r="N401" s="302"/>
      <c r="O401" s="302"/>
      <c r="P401" s="304"/>
      <c r="Q401" s="304"/>
      <c r="R401" s="304"/>
      <c r="S401" s="304"/>
      <c r="T401" s="304"/>
      <c r="U401" s="304"/>
      <c r="V401" s="304"/>
      <c r="W401" s="304"/>
      <c r="X401" s="303"/>
      <c r="Y401" s="303"/>
      <c r="Z401" s="303"/>
      <c r="AA401" s="304"/>
      <c r="AB401" s="303">
        <f>+AB402-AB399-AB400</f>
        <v>20</v>
      </c>
      <c r="AC401" s="303">
        <f>+AC402-AC399-AC400</f>
        <v>-41</v>
      </c>
      <c r="AD401" s="303">
        <f>AC401+AB401</f>
        <v>-21</v>
      </c>
      <c r="AE401" s="303"/>
      <c r="AF401" s="303">
        <f>+AF402-AF399-AF400</f>
        <v>77</v>
      </c>
      <c r="AG401" s="303">
        <f>+AG402-AG399-AG400</f>
        <v>-92</v>
      </c>
      <c r="AH401" s="303">
        <f>AG401+AF401</f>
        <v>-15</v>
      </c>
      <c r="AI401" s="628"/>
      <c r="AJ401" s="303">
        <f>+AJ402-AJ399-AJ400</f>
        <v>36</v>
      </c>
      <c r="AK401" s="303">
        <f>+AK402-AK399-AK400</f>
        <v>-27</v>
      </c>
      <c r="AL401" s="303">
        <f>AK401+AJ401</f>
        <v>9</v>
      </c>
      <c r="AM401" s="304"/>
      <c r="AN401" s="303">
        <f>+AN402-AN399-AN400</f>
        <v>-40</v>
      </c>
      <c r="AO401" s="303">
        <f>+AO402-AO399-AO400</f>
        <v>-46</v>
      </c>
      <c r="AP401" s="303">
        <f>AO401+AN401</f>
        <v>-86</v>
      </c>
      <c r="AQ401" s="304"/>
      <c r="AR401" s="303">
        <f>+AR402-AR399-AR400</f>
        <v>28</v>
      </c>
      <c r="AS401" s="303">
        <f>+AS402-AS399-AS400</f>
        <v>-455</v>
      </c>
      <c r="AT401" s="303">
        <f>AS401+AR401</f>
        <v>-427</v>
      </c>
      <c r="AU401" s="304"/>
      <c r="AV401" s="303">
        <f>+AV402-AV399-AV400</f>
        <v>446</v>
      </c>
      <c r="AW401" s="303">
        <f>+AW402-AW399-AW400</f>
        <v>4</v>
      </c>
      <c r="AX401" s="303">
        <f>AW401+AV401</f>
        <v>450</v>
      </c>
      <c r="AY401" s="304"/>
      <c r="AZ401" s="303">
        <f>+AZ402-AZ399-AZ400</f>
        <v>-9</v>
      </c>
      <c r="BA401" s="303">
        <f>+BA402-BA399-BA400</f>
        <v>-4</v>
      </c>
      <c r="BB401" s="303">
        <f>BA401+AZ401</f>
        <v>-13</v>
      </c>
      <c r="BC401" s="304"/>
      <c r="BD401" s="303">
        <f>+BD402-BD399-BD400</f>
        <v>-15</v>
      </c>
      <c r="BE401" s="303">
        <f>+BE402-BE399-BE400</f>
        <v>16</v>
      </c>
      <c r="BF401" s="303">
        <f>BE401+BD401</f>
        <v>1</v>
      </c>
      <c r="BG401" s="304"/>
      <c r="BH401" s="303">
        <f>+BH402-BH399-BH400</f>
        <v>-81</v>
      </c>
      <c r="BI401" s="303">
        <f>+BI402-BI399-BI400</f>
        <v>44</v>
      </c>
      <c r="BJ401" s="303">
        <f>BI401+BH401</f>
        <v>-37</v>
      </c>
      <c r="BK401" s="304"/>
      <c r="BL401" s="303">
        <f>+BL402-BL399-BL400</f>
        <v>-73</v>
      </c>
      <c r="BM401" s="303">
        <f>+BM402-BM399-BM400</f>
        <v>1</v>
      </c>
      <c r="BN401" s="303">
        <f>BM401+BL401</f>
        <v>-72</v>
      </c>
      <c r="BO401" s="304"/>
      <c r="BP401" s="303">
        <f>+BP402-BP399-BP400</f>
        <v>28</v>
      </c>
      <c r="BQ401" s="303">
        <f>+BQ402-BQ399-BQ400</f>
        <v>-43</v>
      </c>
      <c r="BR401" s="303">
        <f>BQ401+BP401</f>
        <v>-15</v>
      </c>
      <c r="BS401" s="304"/>
      <c r="BT401" s="303">
        <f>+BT402-BT399-BT400</f>
        <v>181</v>
      </c>
      <c r="BU401" s="303">
        <f>+BU402-BU399-BU400</f>
        <v>-38</v>
      </c>
      <c r="BV401" s="303">
        <f>BU401+BT401</f>
        <v>143</v>
      </c>
      <c r="BW401" s="304"/>
      <c r="BX401" s="303">
        <f>+BX402-BX399-BX400</f>
        <v>-6</v>
      </c>
      <c r="BY401" s="303">
        <f>+BY402-BY399-BY400</f>
        <v>1165</v>
      </c>
      <c r="BZ401" s="303">
        <f>BY401+BX401</f>
        <v>1159</v>
      </c>
      <c r="CA401" s="304"/>
      <c r="CB401" s="303">
        <f>+CB402-CB399-CB400</f>
        <v>35</v>
      </c>
      <c r="CC401" s="303">
        <f>+CC402-CC399-CC400</f>
        <v>81</v>
      </c>
      <c r="CD401" s="303">
        <f>CC401+CB401</f>
        <v>116</v>
      </c>
      <c r="CE401" s="304"/>
      <c r="CF401" s="303">
        <f>+CF402-CF399-CF400</f>
        <v>-1224</v>
      </c>
      <c r="CG401" s="303">
        <f>+CG402-CG399-CG400</f>
        <v>4</v>
      </c>
      <c r="CH401" s="303">
        <f>CG401+CF401</f>
        <v>-1220</v>
      </c>
      <c r="CI401" s="304"/>
      <c r="CJ401" s="303">
        <f>+CJ402-CJ399-CJ400</f>
        <v>92</v>
      </c>
      <c r="CK401" s="303">
        <f>+CK402-CK399-CK400</f>
        <v>26</v>
      </c>
      <c r="CL401" s="303">
        <f>CK401+CJ401</f>
        <v>118</v>
      </c>
      <c r="CM401" s="304"/>
      <c r="CN401" s="303">
        <f>+CN402-CN399-CN400</f>
        <v>-49</v>
      </c>
      <c r="CO401" s="303">
        <f>+CO402-CO399-CO400</f>
        <v>22</v>
      </c>
      <c r="CP401" s="303">
        <f>CO401+CN401</f>
        <v>-27</v>
      </c>
      <c r="CQ401" s="304"/>
      <c r="CR401" s="303">
        <f>+CR402-CR399-CR400</f>
        <v>47</v>
      </c>
      <c r="CS401" s="709">
        <v>0</v>
      </c>
      <c r="CT401" s="303">
        <f>CS401+CR401</f>
        <v>47</v>
      </c>
      <c r="CU401" s="304"/>
      <c r="CV401" s="303">
        <f>+CV402-CV399-CV400</f>
        <v>0</v>
      </c>
      <c r="CW401" s="303">
        <f>+CW402-CW399-CW400</f>
        <v>601</v>
      </c>
      <c r="CX401" s="303">
        <f>CW401+CV401</f>
        <v>601</v>
      </c>
      <c r="CY401" s="304"/>
      <c r="CZ401" s="303">
        <f>+CZ402-CZ399-CZ400</f>
        <v>-464</v>
      </c>
      <c r="DA401" s="303">
        <f>+DA402-DA399-DA400</f>
        <v>28</v>
      </c>
      <c r="DB401" s="303">
        <f>DA401+CZ401</f>
        <v>-436</v>
      </c>
      <c r="DC401" s="304"/>
      <c r="DD401" s="303">
        <f>+DD402-DD399-DD400</f>
        <v>20</v>
      </c>
      <c r="DE401" s="303">
        <f>+DE402-DE399-DE400</f>
        <v>-102</v>
      </c>
      <c r="DF401" s="303">
        <f>DE401+DD401</f>
        <v>-82</v>
      </c>
      <c r="DG401" s="304"/>
      <c r="DH401" s="303">
        <f>+DH402-DH399-DH400</f>
        <v>200</v>
      </c>
      <c r="DI401" s="709">
        <v>0</v>
      </c>
      <c r="DJ401" s="303">
        <f>DI401+DH401</f>
        <v>200</v>
      </c>
      <c r="DK401" s="304"/>
      <c r="DL401" s="709">
        <v>0</v>
      </c>
      <c r="DM401" s="709">
        <v>0</v>
      </c>
      <c r="DN401" s="303">
        <f>DM401+DL401</f>
        <v>0</v>
      </c>
      <c r="DO401" s="304"/>
      <c r="DP401" s="709">
        <v>0</v>
      </c>
      <c r="DQ401" s="709">
        <v>0</v>
      </c>
      <c r="DR401" s="303">
        <f>DQ401+DP401</f>
        <v>0</v>
      </c>
      <c r="DS401" s="304"/>
      <c r="DU401" s="1122"/>
      <c r="DV401" s="1122"/>
      <c r="DW401" s="293"/>
      <c r="DZ401" s="102"/>
    </row>
    <row r="402" spans="1:138" s="289" customFormat="1">
      <c r="A402" s="289" t="s">
        <v>67</v>
      </c>
      <c r="C402" s="290" t="s">
        <v>612</v>
      </c>
      <c r="P402" s="290"/>
      <c r="Q402" s="290"/>
      <c r="R402" s="290"/>
      <c r="S402" s="290"/>
      <c r="T402" s="290"/>
      <c r="U402" s="290"/>
      <c r="V402" s="290"/>
      <c r="W402" s="290"/>
      <c r="X402" s="295"/>
      <c r="Y402" s="295"/>
      <c r="Z402" s="295"/>
      <c r="AA402" s="290"/>
      <c r="AB402" s="295">
        <f>AB113</f>
        <v>904</v>
      </c>
      <c r="AC402" s="295">
        <f>AC113</f>
        <v>863</v>
      </c>
      <c r="AD402" s="295">
        <f>AD113</f>
        <v>863</v>
      </c>
      <c r="AE402" s="295"/>
      <c r="AF402" s="295">
        <f>AF113</f>
        <v>940</v>
      </c>
      <c r="AG402" s="295">
        <f>AG113</f>
        <v>848</v>
      </c>
      <c r="AH402" s="295">
        <f>AH113</f>
        <v>848</v>
      </c>
      <c r="AI402" s="649"/>
      <c r="AJ402" s="295">
        <f>AJ113</f>
        <v>884</v>
      </c>
      <c r="AK402" s="295">
        <f>AK113</f>
        <v>857</v>
      </c>
      <c r="AL402" s="295">
        <f>AL113</f>
        <v>857</v>
      </c>
      <c r="AM402" s="290"/>
      <c r="AN402" s="295">
        <f>AN113</f>
        <v>812</v>
      </c>
      <c r="AO402" s="295">
        <f>AO113</f>
        <v>841</v>
      </c>
      <c r="AP402" s="295">
        <f>AP113</f>
        <v>841</v>
      </c>
      <c r="AQ402" s="290"/>
      <c r="AR402" s="295">
        <f>AR113</f>
        <v>885</v>
      </c>
      <c r="AS402" s="295">
        <f>AS113</f>
        <v>505</v>
      </c>
      <c r="AT402" s="295">
        <f>AT113</f>
        <v>505</v>
      </c>
      <c r="AU402" s="290"/>
      <c r="AV402" s="295">
        <f>AV113</f>
        <v>145</v>
      </c>
      <c r="AW402" s="295">
        <f>AW113</f>
        <v>146</v>
      </c>
      <c r="AX402" s="295">
        <f>AX113</f>
        <v>146</v>
      </c>
      <c r="AY402" s="290"/>
      <c r="AZ402" s="295">
        <f>AZ113</f>
        <v>141</v>
      </c>
      <c r="BA402" s="295">
        <f>BA113</f>
        <v>137</v>
      </c>
      <c r="BB402" s="295">
        <f>BB113</f>
        <v>137</v>
      </c>
      <c r="BC402" s="290"/>
      <c r="BD402" s="295">
        <f>BD113</f>
        <v>122</v>
      </c>
      <c r="BE402" s="295">
        <f>BE113</f>
        <v>138</v>
      </c>
      <c r="BF402" s="295">
        <f>BF113</f>
        <v>138</v>
      </c>
      <c r="BG402" s="290"/>
      <c r="BH402" s="295">
        <f>BH113</f>
        <v>57</v>
      </c>
      <c r="BI402" s="295">
        <f>BI113</f>
        <v>101</v>
      </c>
      <c r="BJ402" s="295">
        <f>BJ113</f>
        <v>101</v>
      </c>
      <c r="BK402" s="290"/>
      <c r="BL402" s="295">
        <f>BL113</f>
        <v>28</v>
      </c>
      <c r="BM402" s="295">
        <f>BM113</f>
        <v>29</v>
      </c>
      <c r="BN402" s="295">
        <f>BN113</f>
        <v>29</v>
      </c>
      <c r="BO402" s="290"/>
      <c r="BP402" s="295">
        <f>BP113</f>
        <v>57</v>
      </c>
      <c r="BQ402" s="295">
        <f>BQ113</f>
        <v>14</v>
      </c>
      <c r="BR402" s="295">
        <f>BR113</f>
        <v>14</v>
      </c>
      <c r="BS402" s="290"/>
      <c r="BT402" s="295">
        <f>BT113</f>
        <v>195</v>
      </c>
      <c r="BU402" s="295">
        <f>BU113</f>
        <v>157</v>
      </c>
      <c r="BV402" s="295">
        <f>BV113</f>
        <v>157</v>
      </c>
      <c r="BW402" s="290"/>
      <c r="BX402" s="295">
        <f>BX113</f>
        <v>151</v>
      </c>
      <c r="BY402" s="295">
        <f>BY113</f>
        <v>1316</v>
      </c>
      <c r="BZ402" s="295">
        <f>BZ113</f>
        <v>1316</v>
      </c>
      <c r="CA402" s="290"/>
      <c r="CB402" s="295">
        <f>CB113</f>
        <v>1351</v>
      </c>
      <c r="CC402" s="295">
        <f>CC113</f>
        <v>1432</v>
      </c>
      <c r="CD402" s="295">
        <f>CD113</f>
        <v>1432</v>
      </c>
      <c r="CE402" s="290"/>
      <c r="CF402" s="295">
        <f>CF113</f>
        <v>208</v>
      </c>
      <c r="CG402" s="295">
        <f>CG113</f>
        <v>212</v>
      </c>
      <c r="CH402" s="295">
        <f>CH113</f>
        <v>212</v>
      </c>
      <c r="CI402" s="290"/>
      <c r="CJ402" s="295">
        <f>CJ113</f>
        <v>304</v>
      </c>
      <c r="CK402" s="295">
        <f>CK113</f>
        <v>330</v>
      </c>
      <c r="CL402" s="295">
        <f>CL113</f>
        <v>330</v>
      </c>
      <c r="CM402" s="290"/>
      <c r="CN402" s="295">
        <f>CN113</f>
        <v>281</v>
      </c>
      <c r="CO402" s="295">
        <f>CO113</f>
        <v>303</v>
      </c>
      <c r="CP402" s="295">
        <f>CP113</f>
        <v>303</v>
      </c>
      <c r="CQ402" s="290"/>
      <c r="CR402" s="295">
        <f>CR113</f>
        <v>350</v>
      </c>
      <c r="CS402" s="295">
        <f>SUM(CS399:CS401)</f>
        <v>350</v>
      </c>
      <c r="CT402" s="295">
        <f>SUM(CT399:CT401)</f>
        <v>350</v>
      </c>
      <c r="CU402" s="290"/>
      <c r="CV402" s="295">
        <f>CV113</f>
        <v>350</v>
      </c>
      <c r="CW402" s="295">
        <f>CW113</f>
        <v>951</v>
      </c>
      <c r="CX402" s="295">
        <f>SUM(CX399:CX401)</f>
        <v>951</v>
      </c>
      <c r="CY402" s="290"/>
      <c r="CZ402" s="295">
        <f>CZ113</f>
        <v>487</v>
      </c>
      <c r="DA402" s="295">
        <f>DA113</f>
        <v>515</v>
      </c>
      <c r="DB402" s="295">
        <f>SUM(DB399:DB401)</f>
        <v>515</v>
      </c>
      <c r="DC402" s="290"/>
      <c r="DD402" s="295">
        <f>DD113</f>
        <v>535</v>
      </c>
      <c r="DE402" s="295">
        <f>DE113</f>
        <v>433</v>
      </c>
      <c r="DF402" s="295">
        <f>SUM(DF399:DF401)</f>
        <v>433</v>
      </c>
      <c r="DG402" s="290"/>
      <c r="DH402" s="295">
        <f>DH113</f>
        <v>633</v>
      </c>
      <c r="DI402" s="295">
        <f>SUM(DI399:DI401)</f>
        <v>633</v>
      </c>
      <c r="DJ402" s="295">
        <f>SUM(DJ399:DJ401)</f>
        <v>633</v>
      </c>
      <c r="DK402" s="290"/>
      <c r="DL402" s="295">
        <f>SUM(DL399:DL401)</f>
        <v>633</v>
      </c>
      <c r="DM402" s="295">
        <f>SUM(DM399:DM401)</f>
        <v>633</v>
      </c>
      <c r="DN402" s="295">
        <f>SUM(DN399:DN401)</f>
        <v>633</v>
      </c>
      <c r="DO402" s="290"/>
      <c r="DP402" s="295">
        <f>SUM(DP399:DP401)</f>
        <v>633</v>
      </c>
      <c r="DQ402" s="295">
        <f>SUM(DQ399:DQ401)</f>
        <v>633</v>
      </c>
      <c r="DR402" s="295">
        <f>SUM(DR399:DR401)</f>
        <v>633</v>
      </c>
      <c r="DS402" s="290"/>
      <c r="DT402" s="290"/>
      <c r="DU402" s="295"/>
      <c r="DV402" s="295"/>
      <c r="DW402" s="295"/>
      <c r="DX402" s="290"/>
      <c r="EH402"/>
    </row>
    <row r="403" spans="1:138">
      <c r="X403" s="293"/>
      <c r="Y403" s="293"/>
      <c r="Z403" s="293"/>
      <c r="AB403" s="293"/>
      <c r="AC403" s="293"/>
      <c r="AD403" s="293"/>
      <c r="AE403" s="293"/>
      <c r="AF403" s="293"/>
      <c r="AG403" s="293"/>
      <c r="AH403" s="293"/>
      <c r="AI403" s="320"/>
      <c r="AJ403" s="293"/>
      <c r="AK403" s="293"/>
      <c r="AL403" s="293"/>
      <c r="AN403" s="293"/>
      <c r="AO403" s="293"/>
      <c r="AP403" s="293"/>
      <c r="AR403" s="293"/>
      <c r="AS403" s="293"/>
      <c r="AT403" s="293"/>
      <c r="AV403" s="293"/>
      <c r="AW403" s="293"/>
      <c r="AX403" s="293"/>
      <c r="AZ403" s="293"/>
      <c r="BA403" s="293"/>
      <c r="BB403" s="293"/>
      <c r="BD403" s="293"/>
      <c r="BE403" s="293"/>
      <c r="BF403" s="293"/>
      <c r="BH403" s="769">
        <f>SUM(BH399:BH401)</f>
        <v>57</v>
      </c>
      <c r="BI403" s="769">
        <f>SUM(BI399:BI401)</f>
        <v>101</v>
      </c>
      <c r="BJ403" s="769">
        <f>SUM(BJ399:BJ401)</f>
        <v>101</v>
      </c>
      <c r="BL403" s="769">
        <f>SUM(BL399:BL401)</f>
        <v>28</v>
      </c>
      <c r="BM403" s="769">
        <f>SUM(BM399:BM401)</f>
        <v>29</v>
      </c>
      <c r="BN403" s="769">
        <f>SUM(BN399:BN401)</f>
        <v>29</v>
      </c>
      <c r="BP403" s="769">
        <f>SUM(BP399:BP401)</f>
        <v>57</v>
      </c>
      <c r="BQ403" s="769">
        <f>SUM(BQ399:BQ401)</f>
        <v>14</v>
      </c>
      <c r="BR403" s="769">
        <f>SUM(BR399:BR401)</f>
        <v>14</v>
      </c>
      <c r="BT403" s="769">
        <f>SUM(BT399:BT401)</f>
        <v>195</v>
      </c>
      <c r="BU403" s="769">
        <f>SUM(BU399:BU401)</f>
        <v>157</v>
      </c>
      <c r="BV403" s="769">
        <f>SUM(BV399:BV401)</f>
        <v>157</v>
      </c>
      <c r="BX403" s="769">
        <f>SUM(BX399:BX401)</f>
        <v>151</v>
      </c>
      <c r="BY403" s="769">
        <f>SUM(BY399:BY401)</f>
        <v>1316</v>
      </c>
      <c r="BZ403" s="769">
        <f>SUM(BZ399:BZ401)</f>
        <v>1316</v>
      </c>
      <c r="CB403" s="769">
        <f>SUM(CB399:CB401)</f>
        <v>1351</v>
      </c>
      <c r="CC403" s="769">
        <f>SUM(CC399:CC401)</f>
        <v>1432</v>
      </c>
      <c r="CD403" s="769">
        <f>SUM(CD399:CD401)</f>
        <v>1432</v>
      </c>
      <c r="CF403" s="769">
        <f>SUM(CF399:CF401)</f>
        <v>208</v>
      </c>
      <c r="CG403" s="769">
        <f>SUM(CG399:CG401)</f>
        <v>212</v>
      </c>
      <c r="CH403" s="769">
        <f>SUM(CH399:CH401)</f>
        <v>212</v>
      </c>
      <c r="CJ403" s="769">
        <f>SUM(CJ399:CJ401)</f>
        <v>304</v>
      </c>
      <c r="CK403" s="769">
        <f>SUM(CK399:CK401)</f>
        <v>330</v>
      </c>
      <c r="CL403" s="769">
        <f>SUM(CL399:CL401)</f>
        <v>330</v>
      </c>
      <c r="CN403" s="769">
        <f>SUM(CN399:CN401)</f>
        <v>281</v>
      </c>
      <c r="CO403" s="769">
        <f>SUM(CO399:CO401)</f>
        <v>303</v>
      </c>
      <c r="CP403" s="769">
        <f>SUM(CP399:CP401)</f>
        <v>303</v>
      </c>
      <c r="CR403" s="769">
        <f>SUM(CR399:CR401)</f>
        <v>350</v>
      </c>
      <c r="CS403" s="293"/>
      <c r="CT403" s="293"/>
      <c r="CV403" s="769">
        <f>SUM(CV399:CV401)</f>
        <v>350</v>
      </c>
      <c r="CW403" s="1495"/>
      <c r="CX403" s="293"/>
      <c r="CZ403" s="769">
        <f>SUM(CZ399:CZ401)</f>
        <v>487</v>
      </c>
      <c r="DA403" s="293"/>
      <c r="DB403" s="293"/>
      <c r="DD403" s="769">
        <f>SUM(DD399:DD401)</f>
        <v>535</v>
      </c>
      <c r="DE403" s="293"/>
      <c r="DF403" s="293"/>
      <c r="DH403" s="769">
        <f>SUM(DH399:DH401)</f>
        <v>633</v>
      </c>
      <c r="DI403" s="293"/>
      <c r="DJ403" s="293"/>
      <c r="DL403" s="293"/>
      <c r="DM403" s="293"/>
      <c r="DN403" s="293"/>
      <c r="DP403" s="293"/>
      <c r="DQ403" s="293"/>
      <c r="DR403" s="293"/>
      <c r="DU403" s="293"/>
      <c r="DV403" s="293"/>
      <c r="DW403" s="293"/>
    </row>
    <row r="404" spans="1:138">
      <c r="A404" s="323" t="s">
        <v>118</v>
      </c>
      <c r="X404" s="293"/>
      <c r="Y404" s="293"/>
      <c r="Z404" s="293"/>
      <c r="AB404" s="293"/>
      <c r="AC404" s="293"/>
      <c r="AD404" s="293"/>
      <c r="AE404" s="293"/>
      <c r="AF404" s="293"/>
      <c r="AG404" s="293"/>
      <c r="AH404" s="293"/>
      <c r="AI404" s="320"/>
      <c r="AJ404" s="293"/>
      <c r="AK404" s="293"/>
      <c r="AL404" s="293"/>
      <c r="AN404" s="293"/>
      <c r="AO404" s="293"/>
      <c r="AP404" s="293"/>
      <c r="AR404" s="293"/>
      <c r="AS404" s="293"/>
      <c r="AT404" s="293"/>
      <c r="AV404" s="293"/>
      <c r="AW404" s="293"/>
      <c r="AX404" s="293"/>
      <c r="AZ404" s="293"/>
      <c r="BA404" s="293"/>
      <c r="BB404" s="293"/>
      <c r="BD404" s="293"/>
      <c r="BE404" s="293"/>
      <c r="BF404" s="293"/>
      <c r="BH404" s="293"/>
      <c r="BI404" s="293"/>
      <c r="BJ404" s="293"/>
      <c r="BL404" s="293"/>
      <c r="BM404" s="293"/>
      <c r="BN404" s="293"/>
      <c r="BP404" s="293"/>
      <c r="BQ404" s="293"/>
      <c r="BR404" s="293"/>
      <c r="BT404" s="293"/>
      <c r="BU404" s="293"/>
      <c r="BV404" s="293"/>
      <c r="BX404" s="293"/>
      <c r="BY404" s="293"/>
      <c r="BZ404" s="293"/>
      <c r="CB404" s="293"/>
      <c r="CC404" s="293"/>
      <c r="CD404" s="293"/>
      <c r="CF404" s="293"/>
      <c r="CG404" s="293"/>
      <c r="CH404" s="293"/>
      <c r="CJ404" s="293"/>
      <c r="CK404" s="293"/>
      <c r="CL404" s="293"/>
      <c r="CN404" s="293"/>
      <c r="CO404" s="293"/>
      <c r="CP404" s="293"/>
      <c r="CR404" s="293"/>
      <c r="CS404" s="293"/>
      <c r="CT404" s="293"/>
      <c r="CV404" s="293"/>
      <c r="CW404" s="1495"/>
      <c r="CX404" s="293"/>
      <c r="CZ404" s="293"/>
      <c r="DA404" s="293"/>
      <c r="DB404" s="293"/>
      <c r="DD404" s="293"/>
      <c r="DE404" s="293"/>
      <c r="DF404" s="293"/>
      <c r="DH404" s="293"/>
      <c r="DI404" s="293"/>
      <c r="DJ404" s="293"/>
      <c r="DL404" s="293"/>
      <c r="DM404" s="293"/>
      <c r="DN404" s="293"/>
      <c r="DP404" s="293"/>
      <c r="DQ404" s="293"/>
      <c r="DR404" s="293"/>
      <c r="DU404" s="293"/>
      <c r="DV404" s="293"/>
      <c r="DW404" s="293"/>
    </row>
    <row r="405" spans="1:138">
      <c r="A405" s="102" t="s">
        <v>133</v>
      </c>
      <c r="C405" s="103" t="s">
        <v>612</v>
      </c>
      <c r="X405" s="702"/>
      <c r="Y405" s="702"/>
      <c r="Z405" s="702"/>
      <c r="AB405" s="702">
        <f>AB419</f>
        <v>861</v>
      </c>
      <c r="AC405" s="702">
        <f>AC419</f>
        <v>846</v>
      </c>
      <c r="AD405" s="702">
        <f>AC405</f>
        <v>846</v>
      </c>
      <c r="AE405" s="293"/>
      <c r="AF405" s="702">
        <f>AF419</f>
        <v>801</v>
      </c>
      <c r="AG405" s="702">
        <f>AG419</f>
        <v>841</v>
      </c>
      <c r="AH405" s="702">
        <f>AG405</f>
        <v>841</v>
      </c>
      <c r="AI405" s="632"/>
      <c r="AJ405" s="702">
        <f>AJ419</f>
        <v>869</v>
      </c>
      <c r="AK405" s="702">
        <f>AK419</f>
        <v>841</v>
      </c>
      <c r="AL405" s="702">
        <f>AK405</f>
        <v>841</v>
      </c>
      <c r="AN405" s="702">
        <f>AN419</f>
        <v>798</v>
      </c>
      <c r="AO405" s="702">
        <f>AO419</f>
        <v>752</v>
      </c>
      <c r="AP405" s="702">
        <f>AO405</f>
        <v>752</v>
      </c>
      <c r="AR405" s="702">
        <f>AR419</f>
        <v>780</v>
      </c>
      <c r="AS405" s="702">
        <f>AS419</f>
        <v>398</v>
      </c>
      <c r="AT405" s="702">
        <f>AS405</f>
        <v>398</v>
      </c>
      <c r="AV405" s="702">
        <f>AV419</f>
        <v>74</v>
      </c>
      <c r="AW405" s="702">
        <f>AW419</f>
        <v>67</v>
      </c>
      <c r="AX405" s="702">
        <f>AW405</f>
        <v>67</v>
      </c>
      <c r="AZ405" s="702">
        <f>AZ419</f>
        <v>66</v>
      </c>
      <c r="BA405" s="702">
        <f>BA419</f>
        <v>63</v>
      </c>
      <c r="BB405" s="702">
        <f>BA405</f>
        <v>63</v>
      </c>
      <c r="BD405" s="702">
        <f>BD419</f>
        <v>66</v>
      </c>
      <c r="BE405" s="702">
        <f>BE419</f>
        <v>63</v>
      </c>
      <c r="BF405" s="702">
        <f>BE405</f>
        <v>63</v>
      </c>
      <c r="BH405" s="702">
        <f>BH419</f>
        <v>64</v>
      </c>
      <c r="BI405" s="702">
        <f>BI419</f>
        <v>60</v>
      </c>
      <c r="BJ405" s="702">
        <f>BI405</f>
        <v>60</v>
      </c>
      <c r="BL405" s="702">
        <f>BL419</f>
        <v>71</v>
      </c>
      <c r="BM405" s="702">
        <f>BM419</f>
        <v>76</v>
      </c>
      <c r="BN405" s="702">
        <f>BM405</f>
        <v>76</v>
      </c>
      <c r="BP405" s="702">
        <f>BP419</f>
        <v>78</v>
      </c>
      <c r="BQ405" s="702">
        <f>BQ419</f>
        <v>82</v>
      </c>
      <c r="BR405" s="702">
        <f>BQ405</f>
        <v>82</v>
      </c>
      <c r="BT405" s="702">
        <f>BT419</f>
        <v>0</v>
      </c>
      <c r="BU405" s="702">
        <f>BU419</f>
        <v>0</v>
      </c>
      <c r="BV405" s="702">
        <f>BU405</f>
        <v>0</v>
      </c>
      <c r="BX405" s="702">
        <f>BX419</f>
        <v>0</v>
      </c>
      <c r="BY405" s="702">
        <f>BY419</f>
        <v>0</v>
      </c>
      <c r="BZ405" s="702">
        <f>BY405</f>
        <v>0</v>
      </c>
      <c r="CB405" s="702">
        <f>CB419</f>
        <v>0</v>
      </c>
      <c r="CC405" s="702">
        <f>CC419</f>
        <v>0</v>
      </c>
      <c r="CD405" s="702">
        <f>CC405</f>
        <v>0</v>
      </c>
      <c r="CF405" s="702">
        <f>CF419</f>
        <v>0</v>
      </c>
      <c r="CG405" s="702">
        <f>CG419</f>
        <v>0</v>
      </c>
      <c r="CH405" s="702">
        <f>CG405</f>
        <v>0</v>
      </c>
      <c r="CJ405" s="702">
        <f>CJ419</f>
        <v>0</v>
      </c>
      <c r="CK405" s="702">
        <f>CK419</f>
        <v>0</v>
      </c>
      <c r="CL405" s="702">
        <f>CK405</f>
        <v>0</v>
      </c>
      <c r="CN405" s="702">
        <f>CN419</f>
        <v>0</v>
      </c>
      <c r="CO405" s="702">
        <f>CO419</f>
        <v>0</v>
      </c>
      <c r="CP405" s="702">
        <f>CO405</f>
        <v>0</v>
      </c>
      <c r="CR405" s="702">
        <f>CR419</f>
        <v>0</v>
      </c>
      <c r="CS405" s="702">
        <f>CS419</f>
        <v>0</v>
      </c>
      <c r="CT405" s="702">
        <f>CT419</f>
        <v>0</v>
      </c>
      <c r="CV405" s="702">
        <f>CV419</f>
        <v>0</v>
      </c>
      <c r="CW405" s="702">
        <f>CW419</f>
        <v>0</v>
      </c>
      <c r="CX405" s="702">
        <f>CX419</f>
        <v>0</v>
      </c>
      <c r="CZ405" s="702">
        <f>CZ419</f>
        <v>0</v>
      </c>
      <c r="DA405" s="702">
        <f>DA419</f>
        <v>0</v>
      </c>
      <c r="DB405" s="702">
        <f>DB419</f>
        <v>0</v>
      </c>
      <c r="DD405" s="702">
        <f>DD419</f>
        <v>0</v>
      </c>
      <c r="DE405" s="702">
        <f>DE419</f>
        <v>0</v>
      </c>
      <c r="DF405" s="702">
        <f>DF419</f>
        <v>0</v>
      </c>
      <c r="DH405" s="702">
        <f>DH419</f>
        <v>0</v>
      </c>
      <c r="DI405" s="702">
        <f>DI419</f>
        <v>0</v>
      </c>
      <c r="DJ405" s="702">
        <f>DJ419</f>
        <v>0</v>
      </c>
      <c r="DL405" s="702">
        <f>DL419</f>
        <v>0</v>
      </c>
      <c r="DM405" s="702">
        <f>DM419</f>
        <v>0</v>
      </c>
      <c r="DN405" s="702">
        <f>DN419</f>
        <v>0</v>
      </c>
      <c r="DP405" s="702">
        <f>DP419</f>
        <v>0</v>
      </c>
      <c r="DQ405" s="702">
        <f>DQ419</f>
        <v>0</v>
      </c>
      <c r="DR405" s="702">
        <f>DR419</f>
        <v>0</v>
      </c>
      <c r="DU405" s="407"/>
      <c r="DV405" s="407"/>
      <c r="DW405" s="407"/>
    </row>
    <row r="406" spans="1:138">
      <c r="A406" s="102" t="s">
        <v>160</v>
      </c>
      <c r="C406" s="103" t="s">
        <v>612</v>
      </c>
      <c r="X406" s="702"/>
      <c r="Y406" s="702"/>
      <c r="Z406" s="702"/>
      <c r="AB406" s="702">
        <f>+AB407-AB405</f>
        <v>43</v>
      </c>
      <c r="AC406" s="702">
        <f>+AC407-AC405</f>
        <v>17</v>
      </c>
      <c r="AD406" s="702">
        <f>+AD407-AD405</f>
        <v>17</v>
      </c>
      <c r="AE406" s="293"/>
      <c r="AF406" s="702">
        <f>+AF407-AF405</f>
        <v>139</v>
      </c>
      <c r="AG406" s="702">
        <f>+AG407-AG405</f>
        <v>7</v>
      </c>
      <c r="AH406" s="702">
        <f>+AH407-AH405</f>
        <v>7</v>
      </c>
      <c r="AI406" s="632"/>
      <c r="AJ406" s="702">
        <f>+AJ407-AJ405</f>
        <v>15</v>
      </c>
      <c r="AK406" s="702">
        <f>+AK407-AK405</f>
        <v>16</v>
      </c>
      <c r="AL406" s="702">
        <f>+AL407-AL405</f>
        <v>16</v>
      </c>
      <c r="AN406" s="702">
        <f>+AN407-AN405</f>
        <v>14</v>
      </c>
      <c r="AO406" s="702">
        <f>+AO407-AO405</f>
        <v>89</v>
      </c>
      <c r="AP406" s="702">
        <f>+AP407-AP405</f>
        <v>89</v>
      </c>
      <c r="AR406" s="702">
        <f>+AR407-AR405</f>
        <v>105</v>
      </c>
      <c r="AS406" s="702">
        <f>+AS407-AS405</f>
        <v>107</v>
      </c>
      <c r="AT406" s="702">
        <f>+AT407-AT405</f>
        <v>107</v>
      </c>
      <c r="AV406" s="702">
        <f>+AV407-AV405</f>
        <v>71</v>
      </c>
      <c r="AW406" s="702">
        <f>+AW407-AW405</f>
        <v>79</v>
      </c>
      <c r="AX406" s="702">
        <f>+AX407-AX405</f>
        <v>79</v>
      </c>
      <c r="AZ406" s="702">
        <f>+AZ407-AZ405</f>
        <v>75</v>
      </c>
      <c r="BA406" s="702">
        <f>+BA407-BA405</f>
        <v>74</v>
      </c>
      <c r="BB406" s="702">
        <f>+BB407-BB405</f>
        <v>74</v>
      </c>
      <c r="BD406" s="702">
        <f>+BD407-BD405</f>
        <v>56</v>
      </c>
      <c r="BE406" s="702">
        <f>+BE407-BE405</f>
        <v>75</v>
      </c>
      <c r="BF406" s="702">
        <f>+BF407-BF405</f>
        <v>75</v>
      </c>
      <c r="BH406" s="702">
        <f>+BH407-BH405</f>
        <v>-7</v>
      </c>
      <c r="BI406" s="702">
        <f>+BI407-BI405</f>
        <v>41</v>
      </c>
      <c r="BJ406" s="702">
        <f>+BJ407-BJ405</f>
        <v>41</v>
      </c>
      <c r="BL406" s="702">
        <f>+BL407-BL405</f>
        <v>-43</v>
      </c>
      <c r="BM406" s="702">
        <f>+BM407-BM405</f>
        <v>-47</v>
      </c>
      <c r="BN406" s="702">
        <f>+BN407-BN405</f>
        <v>-47</v>
      </c>
      <c r="BP406" s="702">
        <f>+BP407-BP405</f>
        <v>-21</v>
      </c>
      <c r="BQ406" s="702">
        <f>+BQ407-BQ405</f>
        <v>-68</v>
      </c>
      <c r="BR406" s="702">
        <f>+BR407-BR405</f>
        <v>-68</v>
      </c>
      <c r="BT406" s="702">
        <f>+BT407-BT405</f>
        <v>195</v>
      </c>
      <c r="BU406" s="702">
        <f>+BU407-BU405</f>
        <v>157</v>
      </c>
      <c r="BV406" s="702">
        <f>+BV407-BV405</f>
        <v>157</v>
      </c>
      <c r="BX406" s="702">
        <f>+BX407-BX405</f>
        <v>151</v>
      </c>
      <c r="BY406" s="702">
        <f>+BY407-BY405</f>
        <v>1316</v>
      </c>
      <c r="BZ406" s="702">
        <f>+BZ407-BZ405</f>
        <v>1316</v>
      </c>
      <c r="CB406" s="702">
        <f>+CB407-CB405</f>
        <v>1351</v>
      </c>
      <c r="CC406" s="702">
        <f>+CC407-CC405</f>
        <v>1432</v>
      </c>
      <c r="CD406" s="702">
        <f>+CD407-CD405</f>
        <v>1432</v>
      </c>
      <c r="CF406" s="702">
        <f>+CF407-CF405</f>
        <v>208</v>
      </c>
      <c r="CG406" s="702">
        <f>+CG407-CG405</f>
        <v>212</v>
      </c>
      <c r="CH406" s="702">
        <f>+CH407-CH405</f>
        <v>212</v>
      </c>
      <c r="CJ406" s="702">
        <f>+CJ407-CJ405</f>
        <v>304</v>
      </c>
      <c r="CK406" s="702">
        <f>+CK407-CK405</f>
        <v>330</v>
      </c>
      <c r="CL406" s="702">
        <f>+CL407-CL405</f>
        <v>330</v>
      </c>
      <c r="CN406" s="702">
        <f>+CN407-CN405</f>
        <v>281</v>
      </c>
      <c r="CO406" s="702">
        <f>+CO407-CO405</f>
        <v>303</v>
      </c>
      <c r="CP406" s="702">
        <f>+CP407-CP405</f>
        <v>303</v>
      </c>
      <c r="CR406" s="702">
        <f>+CR407-CR405</f>
        <v>350</v>
      </c>
      <c r="CS406" s="702">
        <f>+CS407-CS405</f>
        <v>350</v>
      </c>
      <c r="CT406" s="702">
        <f>+CT407-CT405</f>
        <v>350</v>
      </c>
      <c r="CV406" s="702">
        <f>+CV407-CV405</f>
        <v>350</v>
      </c>
      <c r="CW406" s="702">
        <f>+CW407-CW405</f>
        <v>951</v>
      </c>
      <c r="CX406" s="702">
        <f>+CX407-CX405</f>
        <v>951</v>
      </c>
      <c r="CZ406" s="702">
        <f>+CZ407-CZ405</f>
        <v>487</v>
      </c>
      <c r="DA406" s="702">
        <f>+DA407-DA405</f>
        <v>515</v>
      </c>
      <c r="DB406" s="702">
        <f>+DB407-DB405</f>
        <v>515</v>
      </c>
      <c r="DD406" s="702">
        <f>+DD407-DD405</f>
        <v>535</v>
      </c>
      <c r="DE406" s="702">
        <f>+DE407-DE405</f>
        <v>433</v>
      </c>
      <c r="DF406" s="702">
        <f>+DF407-DF405</f>
        <v>433</v>
      </c>
      <c r="DH406" s="702">
        <f>+DH407-DH405</f>
        <v>633</v>
      </c>
      <c r="DI406" s="702">
        <f>+DI407-DI405</f>
        <v>633</v>
      </c>
      <c r="DJ406" s="702">
        <f>+DJ407-DJ405</f>
        <v>633</v>
      </c>
      <c r="DL406" s="702">
        <f>+DL407-DL405</f>
        <v>633</v>
      </c>
      <c r="DM406" s="702">
        <f>+DM407-DM405</f>
        <v>633</v>
      </c>
      <c r="DN406" s="702">
        <f>+DN407-DN405</f>
        <v>633</v>
      </c>
      <c r="DP406" s="702">
        <f>+DP407-DP405</f>
        <v>633</v>
      </c>
      <c r="DQ406" s="702">
        <f>+DQ407-DQ405</f>
        <v>633</v>
      </c>
      <c r="DR406" s="702">
        <f>+DR407-DR405</f>
        <v>633</v>
      </c>
      <c r="DU406" s="407"/>
      <c r="DV406" s="407"/>
      <c r="DW406" s="407"/>
      <c r="DZ406" s="102"/>
    </row>
    <row r="407" spans="1:138" s="289" customFormat="1">
      <c r="A407" s="289" t="s">
        <v>161</v>
      </c>
      <c r="C407" s="290" t="s">
        <v>612</v>
      </c>
      <c r="P407" s="290"/>
      <c r="Q407" s="290"/>
      <c r="R407" s="290"/>
      <c r="S407" s="290"/>
      <c r="T407" s="290"/>
      <c r="U407" s="290"/>
      <c r="V407" s="290"/>
      <c r="W407" s="290"/>
      <c r="X407" s="773"/>
      <c r="Y407" s="773"/>
      <c r="Z407" s="773"/>
      <c r="AA407" s="290"/>
      <c r="AB407" s="774">
        <f>AB113</f>
        <v>904</v>
      </c>
      <c r="AC407" s="774">
        <f>AC113</f>
        <v>863</v>
      </c>
      <c r="AD407" s="774">
        <f>AD113</f>
        <v>863</v>
      </c>
      <c r="AE407" s="295"/>
      <c r="AF407" s="774">
        <f>AF113</f>
        <v>940</v>
      </c>
      <c r="AG407" s="774">
        <f>AG113</f>
        <v>848</v>
      </c>
      <c r="AH407" s="774">
        <f>AH113</f>
        <v>848</v>
      </c>
      <c r="AI407" s="744"/>
      <c r="AJ407" s="774">
        <f>AJ113</f>
        <v>884</v>
      </c>
      <c r="AK407" s="774">
        <f>AK113</f>
        <v>857</v>
      </c>
      <c r="AL407" s="774">
        <f>AL113</f>
        <v>857</v>
      </c>
      <c r="AM407" s="290"/>
      <c r="AN407" s="774">
        <f>AN113</f>
        <v>812</v>
      </c>
      <c r="AO407" s="774">
        <f>AO113</f>
        <v>841</v>
      </c>
      <c r="AP407" s="774">
        <f>AP113</f>
        <v>841</v>
      </c>
      <c r="AQ407" s="290"/>
      <c r="AR407" s="774">
        <f>AR113</f>
        <v>885</v>
      </c>
      <c r="AS407" s="774">
        <f>AS113</f>
        <v>505</v>
      </c>
      <c r="AT407" s="774">
        <f>AT113</f>
        <v>505</v>
      </c>
      <c r="AU407" s="290"/>
      <c r="AV407" s="774">
        <f>AV113</f>
        <v>145</v>
      </c>
      <c r="AW407" s="774">
        <f>AW113</f>
        <v>146</v>
      </c>
      <c r="AX407" s="774">
        <f>AX113</f>
        <v>146</v>
      </c>
      <c r="AY407" s="290"/>
      <c r="AZ407" s="774">
        <f>AZ113</f>
        <v>141</v>
      </c>
      <c r="BA407" s="774">
        <f>BA113</f>
        <v>137</v>
      </c>
      <c r="BB407" s="774">
        <f>BB113</f>
        <v>137</v>
      </c>
      <c r="BC407" s="290"/>
      <c r="BD407" s="774">
        <f>BD113</f>
        <v>122</v>
      </c>
      <c r="BE407" s="774">
        <f>BE113</f>
        <v>138</v>
      </c>
      <c r="BF407" s="774">
        <f>BF113</f>
        <v>138</v>
      </c>
      <c r="BG407" s="290"/>
      <c r="BH407" s="774">
        <f>BH113</f>
        <v>57</v>
      </c>
      <c r="BI407" s="774">
        <f>BI113</f>
        <v>101</v>
      </c>
      <c r="BJ407" s="774">
        <f>BJ113</f>
        <v>101</v>
      </c>
      <c r="BK407" s="290"/>
      <c r="BL407" s="774">
        <f>BL113</f>
        <v>28</v>
      </c>
      <c r="BM407" s="774">
        <f>BM113</f>
        <v>29</v>
      </c>
      <c r="BN407" s="774">
        <f>BN113</f>
        <v>29</v>
      </c>
      <c r="BO407" s="290"/>
      <c r="BP407" s="774">
        <f>BP113</f>
        <v>57</v>
      </c>
      <c r="BQ407" s="774">
        <f>BQ113</f>
        <v>14</v>
      </c>
      <c r="BR407" s="774">
        <f>BR113</f>
        <v>14</v>
      </c>
      <c r="BS407" s="290"/>
      <c r="BT407" s="774">
        <f>BT113</f>
        <v>195</v>
      </c>
      <c r="BU407" s="774">
        <f>BU113</f>
        <v>157</v>
      </c>
      <c r="BV407" s="774">
        <f>BV113</f>
        <v>157</v>
      </c>
      <c r="BW407" s="290"/>
      <c r="BX407" s="774">
        <f>BX113</f>
        <v>151</v>
      </c>
      <c r="BY407" s="774">
        <f>BY113</f>
        <v>1316</v>
      </c>
      <c r="BZ407" s="774">
        <f>BZ113</f>
        <v>1316</v>
      </c>
      <c r="CA407" s="290"/>
      <c r="CB407" s="774">
        <f>CB113</f>
        <v>1351</v>
      </c>
      <c r="CC407" s="774">
        <f>CC113</f>
        <v>1432</v>
      </c>
      <c r="CD407" s="774">
        <f>CD113</f>
        <v>1432</v>
      </c>
      <c r="CE407" s="290"/>
      <c r="CF407" s="774">
        <f>CF113</f>
        <v>208</v>
      </c>
      <c r="CG407" s="774">
        <f>CG113</f>
        <v>212</v>
      </c>
      <c r="CH407" s="774">
        <f>CH113</f>
        <v>212</v>
      </c>
      <c r="CI407" s="290"/>
      <c r="CJ407" s="774">
        <f>CJ113</f>
        <v>304</v>
      </c>
      <c r="CK407" s="774">
        <f>CK113</f>
        <v>330</v>
      </c>
      <c r="CL407" s="774">
        <f>CL113</f>
        <v>330</v>
      </c>
      <c r="CM407" s="290"/>
      <c r="CN407" s="774">
        <f>CN113</f>
        <v>281</v>
      </c>
      <c r="CO407" s="774">
        <f>CO113</f>
        <v>303</v>
      </c>
      <c r="CP407" s="774">
        <f>CP113</f>
        <v>303</v>
      </c>
      <c r="CQ407" s="290"/>
      <c r="CR407" s="774">
        <f>CR113</f>
        <v>350</v>
      </c>
      <c r="CS407" s="774">
        <f>CS402</f>
        <v>350</v>
      </c>
      <c r="CT407" s="774">
        <f>CT402</f>
        <v>350</v>
      </c>
      <c r="CU407" s="290"/>
      <c r="CV407" s="774">
        <f>CV113</f>
        <v>350</v>
      </c>
      <c r="CW407" s="774">
        <f>CW402</f>
        <v>951</v>
      </c>
      <c r="CX407" s="774">
        <f>CX402</f>
        <v>951</v>
      </c>
      <c r="CY407" s="290"/>
      <c r="CZ407" s="774">
        <f>CZ113</f>
        <v>487</v>
      </c>
      <c r="DA407" s="774">
        <f>DA402</f>
        <v>515</v>
      </c>
      <c r="DB407" s="774">
        <f>DB402</f>
        <v>515</v>
      </c>
      <c r="DC407" s="290"/>
      <c r="DD407" s="774">
        <f>DD113</f>
        <v>535</v>
      </c>
      <c r="DE407" s="774">
        <f>DE402</f>
        <v>433</v>
      </c>
      <c r="DF407" s="774">
        <f>DF402</f>
        <v>433</v>
      </c>
      <c r="DG407" s="290"/>
      <c r="DH407" s="774">
        <f>DH113</f>
        <v>633</v>
      </c>
      <c r="DI407" s="774">
        <f>DI402</f>
        <v>633</v>
      </c>
      <c r="DJ407" s="774">
        <f>DJ402</f>
        <v>633</v>
      </c>
      <c r="DK407" s="290"/>
      <c r="DL407" s="774">
        <f>DL402</f>
        <v>633</v>
      </c>
      <c r="DM407" s="774">
        <f>DM402</f>
        <v>633</v>
      </c>
      <c r="DN407" s="774">
        <f>DN402</f>
        <v>633</v>
      </c>
      <c r="DO407" s="290"/>
      <c r="DP407" s="774">
        <f>DP402</f>
        <v>633</v>
      </c>
      <c r="DQ407" s="774">
        <f>DQ402</f>
        <v>633</v>
      </c>
      <c r="DR407" s="774">
        <f>DR402</f>
        <v>633</v>
      </c>
      <c r="DS407" s="290"/>
      <c r="DT407" s="290"/>
      <c r="DU407" s="1121"/>
      <c r="DV407" s="1121"/>
      <c r="DW407" s="1121"/>
      <c r="DX407" s="290"/>
      <c r="EH407"/>
    </row>
    <row r="408" spans="1:138">
      <c r="A408" s="323"/>
      <c r="X408" s="293"/>
      <c r="Y408" s="293"/>
      <c r="Z408" s="293"/>
      <c r="AB408" s="293"/>
      <c r="AC408" s="293"/>
      <c r="AD408" s="293"/>
      <c r="AE408" s="293"/>
      <c r="AF408" s="293"/>
      <c r="AG408" s="293"/>
      <c r="AH408" s="293"/>
      <c r="AI408" s="320"/>
      <c r="AJ408" s="293"/>
      <c r="AK408" s="293"/>
      <c r="AL408" s="293"/>
      <c r="AN408" s="293"/>
      <c r="AO408" s="293"/>
      <c r="AP408" s="293"/>
      <c r="AR408" s="293"/>
      <c r="AS408" s="293"/>
      <c r="AT408" s="293"/>
      <c r="AV408" s="293"/>
      <c r="AW408" s="293"/>
      <c r="AX408" s="293"/>
      <c r="AZ408" s="293"/>
      <c r="BA408" s="293"/>
      <c r="BB408" s="293"/>
      <c r="BD408" s="293"/>
      <c r="BE408" s="293"/>
      <c r="BF408" s="293"/>
      <c r="BH408" s="293"/>
      <c r="BI408" s="293"/>
      <c r="BJ408" s="293"/>
      <c r="BL408" s="293"/>
      <c r="BM408" s="293"/>
      <c r="BN408" s="293"/>
      <c r="BP408" s="293"/>
      <c r="BQ408" s="293"/>
      <c r="BR408" s="293"/>
      <c r="BT408" s="293"/>
      <c r="BU408" s="293"/>
      <c r="BV408" s="293"/>
      <c r="BX408" s="293"/>
      <c r="BY408" s="293"/>
      <c r="BZ408" s="293"/>
      <c r="CB408" s="293"/>
      <c r="CC408" s="293"/>
      <c r="CD408" s="293"/>
      <c r="CF408" s="293"/>
      <c r="CG408" s="293"/>
      <c r="CH408" s="293"/>
      <c r="CJ408" s="293"/>
      <c r="CK408" s="293"/>
      <c r="CL408" s="293"/>
      <c r="CN408" s="293"/>
      <c r="CO408" s="293"/>
      <c r="CP408" s="293"/>
      <c r="CR408" s="293"/>
      <c r="CS408" s="293"/>
      <c r="CT408" s="293"/>
      <c r="CV408" s="293"/>
      <c r="CW408" s="1495"/>
      <c r="CX408" s="293"/>
      <c r="CZ408" s="293"/>
      <c r="DA408" s="293"/>
      <c r="DB408" s="293"/>
      <c r="DD408" s="293"/>
      <c r="DE408" s="293"/>
      <c r="DF408" s="293"/>
      <c r="DH408" s="293"/>
      <c r="DI408" s="293"/>
      <c r="DJ408" s="293"/>
      <c r="DL408" s="293"/>
      <c r="DM408" s="293"/>
      <c r="DN408" s="293"/>
      <c r="DP408" s="293"/>
      <c r="DQ408" s="293"/>
      <c r="DR408" s="293"/>
      <c r="DU408" s="293"/>
      <c r="DV408" s="293"/>
      <c r="DW408" s="293"/>
    </row>
    <row r="409" spans="1:138">
      <c r="A409" s="323"/>
      <c r="X409" s="293"/>
      <c r="Y409" s="293"/>
      <c r="Z409" s="293"/>
      <c r="AB409" s="293"/>
      <c r="AC409" s="293"/>
      <c r="AD409" s="293"/>
      <c r="AE409" s="293"/>
      <c r="AF409" s="293"/>
      <c r="AG409" s="293"/>
      <c r="AH409" s="293"/>
      <c r="AI409" s="320"/>
      <c r="AJ409" s="293"/>
      <c r="AK409" s="293"/>
      <c r="AL409" s="293"/>
      <c r="AN409" s="293"/>
      <c r="AO409" s="293"/>
      <c r="AP409" s="293"/>
      <c r="AR409" s="293"/>
      <c r="AS409" s="293"/>
      <c r="AT409" s="293"/>
      <c r="AV409" s="293"/>
      <c r="AW409" s="293"/>
      <c r="AX409" s="293"/>
      <c r="AZ409" s="293"/>
      <c r="BA409" s="293"/>
      <c r="BB409" s="293"/>
      <c r="BD409" s="293"/>
      <c r="BE409" s="293"/>
      <c r="BF409" s="293"/>
      <c r="BH409" s="293"/>
      <c r="BI409" s="293"/>
      <c r="BJ409" s="293"/>
      <c r="BL409" s="293"/>
      <c r="BM409" s="293"/>
      <c r="BN409" s="293"/>
      <c r="BP409" s="293"/>
      <c r="BQ409" s="293"/>
      <c r="BR409" s="293"/>
      <c r="BT409" s="293"/>
      <c r="BU409" s="293"/>
      <c r="BV409" s="293"/>
      <c r="BX409" s="293"/>
      <c r="BY409" s="293"/>
      <c r="BZ409" s="293"/>
      <c r="CB409" s="293"/>
      <c r="CC409" s="293"/>
      <c r="CD409" s="293"/>
      <c r="CF409" s="293"/>
      <c r="CG409" s="293"/>
      <c r="CH409" s="293"/>
      <c r="CJ409" s="293"/>
      <c r="CK409" s="293"/>
      <c r="CL409" s="293"/>
      <c r="CN409" s="293"/>
      <c r="CO409" s="293"/>
      <c r="CP409" s="293"/>
      <c r="CR409" s="293"/>
      <c r="CS409" s="293"/>
      <c r="CT409" s="293"/>
      <c r="CV409" s="293"/>
      <c r="CW409" s="1495"/>
      <c r="CX409" s="293"/>
      <c r="CZ409" s="293"/>
      <c r="DA409" s="293"/>
      <c r="DB409" s="293"/>
      <c r="DD409" s="293"/>
      <c r="DE409" s="293"/>
      <c r="DF409" s="293"/>
      <c r="DH409" s="293"/>
      <c r="DI409" s="293"/>
      <c r="DJ409" s="293"/>
      <c r="DL409" s="293"/>
      <c r="DM409" s="293"/>
      <c r="DN409" s="293"/>
      <c r="DP409" s="293"/>
      <c r="DQ409" s="293"/>
      <c r="DR409" s="293"/>
      <c r="DU409" s="293"/>
      <c r="DV409" s="293"/>
      <c r="DW409" s="293"/>
    </row>
    <row r="410" spans="1:138">
      <c r="A410" s="289" t="s">
        <v>133</v>
      </c>
      <c r="X410" s="293"/>
      <c r="Y410" s="293"/>
      <c r="Z410" s="293"/>
      <c r="AB410" s="293"/>
      <c r="AC410" s="293"/>
      <c r="AD410" s="293"/>
      <c r="AE410" s="293"/>
      <c r="AF410" s="293"/>
      <c r="AG410" s="293"/>
      <c r="AH410" s="293"/>
      <c r="AI410" s="320"/>
      <c r="AJ410" s="293"/>
      <c r="AK410" s="293"/>
      <c r="AL410" s="293"/>
      <c r="AN410" s="293"/>
      <c r="AO410" s="293"/>
      <c r="AP410" s="293"/>
      <c r="AR410" s="293"/>
      <c r="AS410" s="293"/>
      <c r="AT410" s="293"/>
      <c r="AV410" s="293"/>
      <c r="AW410" s="293"/>
      <c r="AX410" s="293"/>
      <c r="AZ410" s="293"/>
      <c r="BA410" s="293"/>
      <c r="BB410" s="293"/>
      <c r="BD410" s="293"/>
      <c r="BE410" s="293"/>
      <c r="BF410" s="293"/>
      <c r="BH410" s="293"/>
      <c r="BI410" s="293"/>
      <c r="BJ410" s="293"/>
      <c r="BL410" s="293"/>
      <c r="BM410" s="293"/>
      <c r="BN410" s="293"/>
      <c r="BP410" s="293"/>
      <c r="BQ410" s="293"/>
      <c r="BR410" s="293"/>
      <c r="BT410" s="293"/>
      <c r="BU410" s="293"/>
      <c r="BV410" s="293"/>
      <c r="BX410" s="293"/>
      <c r="BY410" s="293"/>
      <c r="BZ410" s="293"/>
      <c r="CB410" s="293"/>
      <c r="CC410" s="293"/>
      <c r="CD410" s="293"/>
      <c r="CF410" s="293"/>
      <c r="CG410" s="293"/>
      <c r="CH410" s="293"/>
      <c r="CJ410" s="293"/>
      <c r="CK410" s="293"/>
      <c r="CL410" s="293"/>
      <c r="CN410" s="293"/>
      <c r="CO410" s="293"/>
      <c r="CP410" s="293"/>
      <c r="CR410" s="293"/>
      <c r="CS410" s="293"/>
      <c r="CT410" s="293"/>
      <c r="CV410" s="293"/>
      <c r="CW410" s="1495"/>
      <c r="CX410" s="293"/>
      <c r="CZ410" s="293"/>
      <c r="DA410" s="293"/>
      <c r="DB410" s="293"/>
      <c r="DD410" s="293"/>
      <c r="DE410" s="293"/>
      <c r="DF410" s="293"/>
      <c r="DH410" s="293"/>
      <c r="DI410" s="293"/>
      <c r="DJ410" s="293"/>
      <c r="DL410" s="293"/>
      <c r="DM410" s="293"/>
      <c r="DN410" s="293"/>
      <c r="DP410" s="293"/>
      <c r="DQ410" s="293"/>
      <c r="DR410" s="293"/>
      <c r="DU410" s="293"/>
      <c r="DV410" s="293"/>
      <c r="DW410" s="293"/>
    </row>
    <row r="411" spans="1:138">
      <c r="A411" s="302" t="s">
        <v>120</v>
      </c>
      <c r="B411" s="302"/>
      <c r="C411" s="304" t="s">
        <v>918</v>
      </c>
      <c r="D411" s="302"/>
      <c r="E411" s="302"/>
      <c r="F411" s="302"/>
      <c r="G411" s="302"/>
      <c r="H411" s="302"/>
      <c r="I411" s="302"/>
      <c r="J411" s="302"/>
      <c r="K411" s="302"/>
      <c r="L411" s="302"/>
      <c r="M411" s="302"/>
      <c r="N411" s="302"/>
      <c r="O411" s="302"/>
      <c r="P411" s="304"/>
      <c r="Q411" s="304"/>
      <c r="R411" s="304"/>
      <c r="S411" s="304"/>
      <c r="T411" s="304"/>
      <c r="U411" s="304"/>
      <c r="V411" s="304"/>
      <c r="W411" s="304"/>
      <c r="X411" s="627"/>
      <c r="Y411" s="303"/>
      <c r="Z411" s="303"/>
      <c r="AA411" s="304"/>
      <c r="AB411" s="627">
        <v>350</v>
      </c>
      <c r="AC411" s="303">
        <f>AB411</f>
        <v>350</v>
      </c>
      <c r="AD411" s="303">
        <f>AC411</f>
        <v>350</v>
      </c>
      <c r="AE411" s="303"/>
      <c r="AF411" s="303">
        <f>AD411</f>
        <v>350</v>
      </c>
      <c r="AG411" s="303">
        <f>AF411</f>
        <v>350</v>
      </c>
      <c r="AH411" s="303">
        <f>AG411</f>
        <v>350</v>
      </c>
      <c r="AI411" s="628"/>
      <c r="AJ411" s="303">
        <f>AH411</f>
        <v>350</v>
      </c>
      <c r="AK411" s="303">
        <f>AJ411</f>
        <v>350</v>
      </c>
      <c r="AL411" s="303">
        <f>AK411</f>
        <v>350</v>
      </c>
      <c r="AM411" s="304"/>
      <c r="AN411" s="303">
        <f>AL411</f>
        <v>350</v>
      </c>
      <c r="AO411" s="303">
        <f>AN411</f>
        <v>350</v>
      </c>
      <c r="AP411" s="303">
        <f>AO411</f>
        <v>350</v>
      </c>
      <c r="AQ411" s="304"/>
      <c r="AR411" s="303">
        <f>AP411</f>
        <v>350</v>
      </c>
      <c r="AS411" s="303">
        <f>+AS416*AS412</f>
        <v>200.44742729306489</v>
      </c>
      <c r="AT411" s="303">
        <f>AS411</f>
        <v>200.44742729306489</v>
      </c>
      <c r="AU411" s="304"/>
      <c r="AV411" s="303">
        <f>+AV416*AV412</f>
        <v>41.89038031319911</v>
      </c>
      <c r="AW411" s="303">
        <f>+AW416*AW412</f>
        <v>41.89038031319911</v>
      </c>
      <c r="AX411" s="303">
        <f>AW411</f>
        <v>41.89038031319911</v>
      </c>
      <c r="AY411" s="304"/>
      <c r="AZ411" s="303">
        <f>AX411</f>
        <v>41.89038031319911</v>
      </c>
      <c r="BA411" s="303">
        <f>+BA416*BA412</f>
        <v>41.89038031319911</v>
      </c>
      <c r="BB411" s="303">
        <f>BA411</f>
        <v>41.89038031319911</v>
      </c>
      <c r="BC411" s="304"/>
      <c r="BD411" s="303">
        <f>BB411</f>
        <v>41.89038031319911</v>
      </c>
      <c r="BE411" s="303">
        <f>+BE416*BE412</f>
        <v>41.89038031319911</v>
      </c>
      <c r="BF411" s="303">
        <f>BE411</f>
        <v>41.89038031319911</v>
      </c>
      <c r="BG411" s="304"/>
      <c r="BH411" s="303">
        <f>BF411</f>
        <v>41.89038031319911</v>
      </c>
      <c r="BI411" s="303">
        <f>+BI416*BI412</f>
        <v>41.89038031319911</v>
      </c>
      <c r="BJ411" s="303">
        <f>BI411</f>
        <v>41.89038031319911</v>
      </c>
      <c r="BK411" s="304"/>
      <c r="BL411" s="303">
        <f>BJ411</f>
        <v>41.89038031319911</v>
      </c>
      <c r="BM411" s="303">
        <f>+BM416*BM412</f>
        <v>42.67337807606264</v>
      </c>
      <c r="BN411" s="303">
        <f>BM411</f>
        <v>42.67337807606264</v>
      </c>
      <c r="BO411" s="304"/>
      <c r="BP411" s="303">
        <f>BN411</f>
        <v>42.67337807606264</v>
      </c>
      <c r="BQ411" s="303">
        <f>+BQ416*BQ412</f>
        <v>42.67337807606264</v>
      </c>
      <c r="BR411" s="303">
        <f>BQ411</f>
        <v>42.67337807606264</v>
      </c>
      <c r="BS411" s="304"/>
      <c r="BT411" s="303"/>
      <c r="BU411" s="303"/>
      <c r="BV411" s="303"/>
      <c r="BW411" s="304"/>
      <c r="BX411" s="303"/>
      <c r="BY411" s="303"/>
      <c r="BZ411" s="303"/>
      <c r="CA411" s="304"/>
      <c r="CB411" s="303"/>
      <c r="CC411" s="303"/>
      <c r="CD411" s="303"/>
      <c r="CE411" s="304"/>
      <c r="CF411" s="683"/>
      <c r="CG411" s="683"/>
      <c r="CH411" s="303"/>
      <c r="CI411" s="304"/>
      <c r="CJ411" s="683"/>
      <c r="CK411" s="683"/>
      <c r="CL411" s="303"/>
      <c r="CM411" s="304"/>
      <c r="CN411" s="683"/>
      <c r="CO411" s="683"/>
      <c r="CP411" s="303"/>
      <c r="CQ411" s="304"/>
      <c r="CR411" s="683"/>
      <c r="CS411" s="683"/>
      <c r="CT411" s="303"/>
      <c r="CU411" s="304"/>
      <c r="CV411" s="683"/>
      <c r="CW411" s="1815"/>
      <c r="CX411" s="303"/>
      <c r="CY411" s="304"/>
      <c r="CZ411" s="683"/>
      <c r="DA411" s="683"/>
      <c r="DB411" s="303"/>
      <c r="DC411" s="304"/>
      <c r="DD411" s="683"/>
      <c r="DE411" s="683"/>
      <c r="DF411" s="303"/>
      <c r="DG411" s="304"/>
      <c r="DH411" s="683"/>
      <c r="DI411" s="683"/>
      <c r="DJ411" s="303"/>
      <c r="DK411" s="304"/>
      <c r="DL411" s="683"/>
      <c r="DM411" s="683"/>
      <c r="DN411" s="303"/>
      <c r="DO411" s="304"/>
      <c r="DP411" s="683"/>
      <c r="DQ411" s="683"/>
      <c r="DR411" s="303"/>
      <c r="DS411" s="304"/>
      <c r="DU411" s="626"/>
      <c r="DV411" s="626"/>
      <c r="DW411" s="293"/>
      <c r="DZ411" s="102"/>
    </row>
    <row r="412" spans="1:138">
      <c r="A412" s="102" t="s">
        <v>136</v>
      </c>
      <c r="C412" s="103" t="s">
        <v>916</v>
      </c>
      <c r="X412" s="775"/>
      <c r="Y412" s="775"/>
      <c r="Z412" s="775"/>
      <c r="AB412" s="775">
        <f>+AB411/AB416</f>
        <v>0.39149888143176736</v>
      </c>
      <c r="AC412" s="775">
        <f>+AC411/AC416</f>
        <v>0.39149888143176736</v>
      </c>
      <c r="AD412" s="775">
        <f>+AD411/AD416</f>
        <v>0.39149888143176736</v>
      </c>
      <c r="AE412" s="293"/>
      <c r="AF412" s="775">
        <f>+AF411/AF416</f>
        <v>0.39149888143176736</v>
      </c>
      <c r="AG412" s="775">
        <f>+AG411/AG416</f>
        <v>0.39149888143176736</v>
      </c>
      <c r="AH412" s="775">
        <f>+AH411/AH416</f>
        <v>0.39149888143176736</v>
      </c>
      <c r="AI412" s="320"/>
      <c r="AJ412" s="775">
        <f>+AJ411/AJ416</f>
        <v>0.39149888143176736</v>
      </c>
      <c r="AK412" s="775">
        <f>+AK411/AK416</f>
        <v>0.39149888143176736</v>
      </c>
      <c r="AL412" s="775">
        <f>+AL411/AL416</f>
        <v>0.39149888143176736</v>
      </c>
      <c r="AN412" s="775">
        <f>+AN411/AN416</f>
        <v>0.39149888143176736</v>
      </c>
      <c r="AO412" s="775">
        <f>+AO411/AO416</f>
        <v>0.39149888143176736</v>
      </c>
      <c r="AP412" s="775">
        <f>+AP411/AP416</f>
        <v>0.39149888143176736</v>
      </c>
      <c r="AR412" s="775">
        <f>+AR411/AR416</f>
        <v>0.39149888143176736</v>
      </c>
      <c r="AS412" s="775">
        <f>AR412</f>
        <v>0.39149888143176736</v>
      </c>
      <c r="AT412" s="775">
        <f>+AT411/AT416</f>
        <v>0.39149888143176736</v>
      </c>
      <c r="AV412" s="776">
        <f>AT412</f>
        <v>0.39149888143176736</v>
      </c>
      <c r="AW412" s="776">
        <f>AV412</f>
        <v>0.39149888143176736</v>
      </c>
      <c r="AX412" s="776">
        <f>+AX411/AX416</f>
        <v>0.39149888143176736</v>
      </c>
      <c r="AZ412" s="775">
        <f>+AZ411/AZ416</f>
        <v>0.39149888143176736</v>
      </c>
      <c r="BA412" s="776">
        <f>AZ412</f>
        <v>0.39149888143176736</v>
      </c>
      <c r="BB412" s="776">
        <f>+BB411/BB416</f>
        <v>0.39149888143176736</v>
      </c>
      <c r="BD412" s="775">
        <f>+BD411/BD416</f>
        <v>0.39149888143176736</v>
      </c>
      <c r="BE412" s="776">
        <f>BD412</f>
        <v>0.39149888143176736</v>
      </c>
      <c r="BF412" s="776">
        <f>+BF411/BF416</f>
        <v>0.39149888143176736</v>
      </c>
      <c r="BH412" s="775">
        <f>+BH411/BH416</f>
        <v>0.39149888143176736</v>
      </c>
      <c r="BI412" s="776">
        <f>BH412</f>
        <v>0.39149888143176736</v>
      </c>
      <c r="BJ412" s="776">
        <f>+BJ411/BJ416</f>
        <v>0.39149888143176736</v>
      </c>
      <c r="BL412" s="775">
        <f>+BL411/BL416</f>
        <v>0.39149888143176736</v>
      </c>
      <c r="BM412" s="776">
        <f>BL412</f>
        <v>0.39149888143176736</v>
      </c>
      <c r="BN412" s="776">
        <f>+BN411/BN416</f>
        <v>0.39149888143176736</v>
      </c>
      <c r="BP412" s="775">
        <f>+BP411/BP416</f>
        <v>0.39149888143176736</v>
      </c>
      <c r="BQ412" s="776">
        <f>BP412</f>
        <v>0.39149888143176736</v>
      </c>
      <c r="BR412" s="776">
        <f>+BR411/BR416</f>
        <v>0.39149888143176736</v>
      </c>
      <c r="BT412" s="775"/>
      <c r="BU412" s="776"/>
      <c r="BV412" s="776"/>
      <c r="BX412" s="775"/>
      <c r="BY412" s="776"/>
      <c r="BZ412" s="776"/>
      <c r="CB412" s="775"/>
      <c r="CC412" s="776"/>
      <c r="CD412" s="776"/>
      <c r="CF412" s="777"/>
      <c r="CG412" s="778"/>
      <c r="CH412" s="776"/>
      <c r="CJ412" s="777"/>
      <c r="CK412" s="778"/>
      <c r="CL412" s="776"/>
      <c r="CN412" s="777"/>
      <c r="CO412" s="778"/>
      <c r="CP412" s="776"/>
      <c r="CR412" s="777"/>
      <c r="CS412" s="778"/>
      <c r="CT412" s="776"/>
      <c r="CV412" s="777"/>
      <c r="CW412" s="778"/>
      <c r="CX412" s="776"/>
      <c r="CZ412" s="777"/>
      <c r="DA412" s="778"/>
      <c r="DB412" s="776"/>
      <c r="DD412" s="777"/>
      <c r="DE412" s="778"/>
      <c r="DF412" s="776"/>
      <c r="DH412" s="777"/>
      <c r="DI412" s="778"/>
      <c r="DJ412" s="776"/>
      <c r="DL412" s="777"/>
      <c r="DM412" s="778"/>
      <c r="DN412" s="776"/>
      <c r="DP412" s="777"/>
      <c r="DQ412" s="778"/>
      <c r="DR412" s="776"/>
      <c r="DU412" s="1128"/>
      <c r="DV412" s="1128"/>
      <c r="DW412" s="1127"/>
    </row>
    <row r="413" spans="1:138">
      <c r="A413" s="302" t="s">
        <v>137</v>
      </c>
      <c r="B413" s="302"/>
      <c r="C413" s="304" t="s">
        <v>916</v>
      </c>
      <c r="D413" s="302"/>
      <c r="E413" s="302"/>
      <c r="F413" s="302"/>
      <c r="G413" s="302"/>
      <c r="H413" s="302"/>
      <c r="I413" s="302"/>
      <c r="J413" s="302"/>
      <c r="K413" s="302"/>
      <c r="L413" s="302"/>
      <c r="M413" s="302"/>
      <c r="N413" s="302"/>
      <c r="O413" s="302"/>
      <c r="P413" s="304"/>
      <c r="Q413" s="304"/>
      <c r="R413" s="304"/>
      <c r="S413" s="304"/>
      <c r="T413" s="304"/>
      <c r="U413" s="304"/>
      <c r="V413" s="304"/>
      <c r="W413" s="304"/>
      <c r="X413" s="779"/>
      <c r="Y413" s="779"/>
      <c r="Z413" s="779"/>
      <c r="AA413" s="304"/>
      <c r="AB413" s="779">
        <f>+AB411/AB414</f>
        <v>0.40183696900114813</v>
      </c>
      <c r="AC413" s="779">
        <f>+AC411/AC414</f>
        <v>0.40887850467289721</v>
      </c>
      <c r="AD413" s="779">
        <f>AC413</f>
        <v>0.40887850467289721</v>
      </c>
      <c r="AE413" s="303"/>
      <c r="AF413" s="779">
        <f>+AF411/AF414</f>
        <v>0.43156596794081381</v>
      </c>
      <c r="AG413" s="779">
        <f>+AG411/AG414</f>
        <v>0.41128084606345477</v>
      </c>
      <c r="AH413" s="779">
        <f>AG413</f>
        <v>0.41128084606345477</v>
      </c>
      <c r="AI413" s="628"/>
      <c r="AJ413" s="779">
        <f>+AJ411/AJ414</f>
        <v>0.3981797497155859</v>
      </c>
      <c r="AK413" s="779">
        <f>+AK411/AK414</f>
        <v>0.41128084606345477</v>
      </c>
      <c r="AL413" s="779">
        <f>AK413</f>
        <v>0.41128084606345477</v>
      </c>
      <c r="AM413" s="304"/>
      <c r="AN413" s="779">
        <f>+AN411/AN414</f>
        <v>0.43316831683168316</v>
      </c>
      <c r="AO413" s="779">
        <f>+AO411/AO414</f>
        <v>0.45931758530183725</v>
      </c>
      <c r="AP413" s="779">
        <f>AO413</f>
        <v>0.45931758530183725</v>
      </c>
      <c r="AQ413" s="304"/>
      <c r="AR413" s="779">
        <f>+AR411/AR414</f>
        <v>0.44303797468354428</v>
      </c>
      <c r="AS413" s="779">
        <f>+AS411/AS414</f>
        <v>0.49129271395359042</v>
      </c>
      <c r="AT413" s="779">
        <f>AS413</f>
        <v>0.49129271395359042</v>
      </c>
      <c r="AU413" s="304"/>
      <c r="AV413" s="779">
        <f>+AV411/AV414</f>
        <v>0.5585384041759881</v>
      </c>
      <c r="AW413" s="779">
        <f>+AW411/AW414</f>
        <v>0.61603500460586924</v>
      </c>
      <c r="AX413" s="779">
        <f>AW413</f>
        <v>0.61603500460586924</v>
      </c>
      <c r="AY413" s="304"/>
      <c r="AZ413" s="779">
        <f>+AZ411/AZ414</f>
        <v>0.62522955691341953</v>
      </c>
      <c r="BA413" s="779">
        <f>+BA411/BA414</f>
        <v>0.65453719239373609</v>
      </c>
      <c r="BB413" s="779">
        <f>BA413</f>
        <v>0.65453719239373609</v>
      </c>
      <c r="BC413" s="304"/>
      <c r="BD413" s="779">
        <f>+BD411/BD414</f>
        <v>0.62522955691341953</v>
      </c>
      <c r="BE413" s="779">
        <f>+BE411/BE414</f>
        <v>0.65453719239373609</v>
      </c>
      <c r="BF413" s="779">
        <f>BE413</f>
        <v>0.65453719239373609</v>
      </c>
      <c r="BG413" s="304"/>
      <c r="BH413" s="779">
        <f>+BH411/BH414</f>
        <v>0.64446738943383242</v>
      </c>
      <c r="BI413" s="779">
        <f>+BI411/BI414</f>
        <v>0.68672754611801823</v>
      </c>
      <c r="BJ413" s="779">
        <f>BI413</f>
        <v>0.68672754611801823</v>
      </c>
      <c r="BK413" s="304"/>
      <c r="BL413" s="779">
        <f>+BL411/BL414</f>
        <v>0.58181083768332098</v>
      </c>
      <c r="BM413" s="779">
        <f>+BM411/BM414</f>
        <v>0.55419971527354073</v>
      </c>
      <c r="BN413" s="779">
        <f>BM413</f>
        <v>0.55419971527354073</v>
      </c>
      <c r="BO413" s="304"/>
      <c r="BP413" s="779">
        <f>+BP411/BP414</f>
        <v>0.54016934273497008</v>
      </c>
      <c r="BQ413" s="779">
        <f>+BQ411/BQ414</f>
        <v>0.51413708525376678</v>
      </c>
      <c r="BR413" s="779">
        <f>BQ413</f>
        <v>0.51413708525376678</v>
      </c>
      <c r="BS413" s="304"/>
      <c r="BT413" s="779"/>
      <c r="BU413" s="779"/>
      <c r="BV413" s="779"/>
      <c r="BW413" s="304"/>
      <c r="BX413" s="779"/>
      <c r="BY413" s="779"/>
      <c r="BZ413" s="779"/>
      <c r="CA413" s="304"/>
      <c r="CB413" s="779"/>
      <c r="CC413" s="779"/>
      <c r="CD413" s="779"/>
      <c r="CE413" s="304"/>
      <c r="CF413" s="780"/>
      <c r="CG413" s="780"/>
      <c r="CH413" s="779"/>
      <c r="CI413" s="304"/>
      <c r="CJ413" s="780"/>
      <c r="CK413" s="780"/>
      <c r="CL413" s="779"/>
      <c r="CM413" s="304"/>
      <c r="CN413" s="780"/>
      <c r="CO413" s="780"/>
      <c r="CP413" s="779"/>
      <c r="CQ413" s="304"/>
      <c r="CR413" s="780"/>
      <c r="CS413" s="780"/>
      <c r="CT413" s="779"/>
      <c r="CU413" s="304"/>
      <c r="CV413" s="780"/>
      <c r="CW413" s="1816"/>
      <c r="CX413" s="779"/>
      <c r="CY413" s="304"/>
      <c r="CZ413" s="780"/>
      <c r="DA413" s="780"/>
      <c r="DB413" s="779"/>
      <c r="DC413" s="304"/>
      <c r="DD413" s="780"/>
      <c r="DE413" s="780"/>
      <c r="DF413" s="779"/>
      <c r="DG413" s="304"/>
      <c r="DH413" s="780"/>
      <c r="DI413" s="780"/>
      <c r="DJ413" s="779"/>
      <c r="DK413" s="304"/>
      <c r="DL413" s="780"/>
      <c r="DM413" s="780"/>
      <c r="DN413" s="779"/>
      <c r="DO413" s="304"/>
      <c r="DP413" s="780"/>
      <c r="DQ413" s="780"/>
      <c r="DR413" s="779"/>
      <c r="DS413" s="304"/>
      <c r="DU413" s="1136"/>
      <c r="DV413" s="1136"/>
      <c r="DW413" s="1137"/>
      <c r="DZ413" s="102"/>
    </row>
    <row r="414" spans="1:138">
      <c r="A414" s="102" t="s">
        <v>138</v>
      </c>
      <c r="C414" s="103" t="s">
        <v>612</v>
      </c>
      <c r="X414" s="293"/>
      <c r="Y414" s="293"/>
      <c r="Z414" s="293"/>
      <c r="AB414" s="293">
        <f>+AB419-AB417</f>
        <v>871</v>
      </c>
      <c r="AC414" s="293">
        <f>+AC419-AC417</f>
        <v>856</v>
      </c>
      <c r="AD414" s="293">
        <f>AC414</f>
        <v>856</v>
      </c>
      <c r="AE414" s="293"/>
      <c r="AF414" s="293">
        <f>+AF419-AF417</f>
        <v>811</v>
      </c>
      <c r="AG414" s="293">
        <f>+AG419-AG417</f>
        <v>851</v>
      </c>
      <c r="AH414" s="293">
        <f>AG414</f>
        <v>851</v>
      </c>
      <c r="AI414" s="320"/>
      <c r="AJ414" s="293">
        <f>+AJ419-AJ417</f>
        <v>879</v>
      </c>
      <c r="AK414" s="293">
        <f>+AK419-AK417</f>
        <v>851</v>
      </c>
      <c r="AL414" s="293">
        <f>AK414</f>
        <v>851</v>
      </c>
      <c r="AN414" s="293">
        <f>+AN419-AN417</f>
        <v>808</v>
      </c>
      <c r="AO414" s="293">
        <f>+AO419-AO417</f>
        <v>762</v>
      </c>
      <c r="AP414" s="293">
        <f>AO414</f>
        <v>762</v>
      </c>
      <c r="AR414" s="293">
        <f>+AR419-AR417</f>
        <v>790</v>
      </c>
      <c r="AS414" s="293">
        <f>+AS419-AS417</f>
        <v>408</v>
      </c>
      <c r="AT414" s="293">
        <f>AS414</f>
        <v>408</v>
      </c>
      <c r="AV414" s="293">
        <f>+AV419-AV417</f>
        <v>75</v>
      </c>
      <c r="AW414" s="293">
        <f>+AW419-AW417</f>
        <v>68</v>
      </c>
      <c r="AX414" s="293">
        <f>AW414</f>
        <v>68</v>
      </c>
      <c r="AZ414" s="293">
        <f>+AZ419-AZ417</f>
        <v>67</v>
      </c>
      <c r="BA414" s="293">
        <f>+BA419-BA417</f>
        <v>64</v>
      </c>
      <c r="BB414" s="293">
        <f>BA414</f>
        <v>64</v>
      </c>
      <c r="BD414" s="293">
        <f>+BD419-BD417</f>
        <v>67</v>
      </c>
      <c r="BE414" s="293">
        <f>+BE419-BE417</f>
        <v>64</v>
      </c>
      <c r="BF414" s="293">
        <f>BE414</f>
        <v>64</v>
      </c>
      <c r="BH414" s="293">
        <f>+BH419-BH417</f>
        <v>65</v>
      </c>
      <c r="BI414" s="293">
        <f>+BI419-BI417</f>
        <v>61</v>
      </c>
      <c r="BJ414" s="293">
        <f>BI414</f>
        <v>61</v>
      </c>
      <c r="BL414" s="293">
        <f>+BL419-BL417</f>
        <v>72</v>
      </c>
      <c r="BM414" s="293">
        <f>+BM419-BM417</f>
        <v>77</v>
      </c>
      <c r="BN414" s="293">
        <f>BM414</f>
        <v>77</v>
      </c>
      <c r="BP414" s="293">
        <f>+BP419-BP417</f>
        <v>79</v>
      </c>
      <c r="BQ414" s="293">
        <f>+BQ419-BQ417</f>
        <v>83</v>
      </c>
      <c r="BR414" s="293">
        <f>BQ414</f>
        <v>83</v>
      </c>
      <c r="BT414" s="293">
        <f>+BT419-BT417</f>
        <v>0</v>
      </c>
      <c r="BU414" s="293">
        <f>+BU419-BU417</f>
        <v>1</v>
      </c>
      <c r="BV414" s="293">
        <f>BU414</f>
        <v>1</v>
      </c>
      <c r="BX414" s="293">
        <f>+BX419-BX417</f>
        <v>0</v>
      </c>
      <c r="BY414" s="293">
        <f>+BY419-BY417</f>
        <v>0</v>
      </c>
      <c r="BZ414" s="293">
        <f>BY414</f>
        <v>0</v>
      </c>
      <c r="CB414" s="293">
        <f>+CB419-CB417</f>
        <v>0</v>
      </c>
      <c r="CC414" s="293">
        <f>+CC419-CC417</f>
        <v>0</v>
      </c>
      <c r="CD414" s="293">
        <f>CC414</f>
        <v>0</v>
      </c>
      <c r="CF414" s="293">
        <f>+CF419-CF417</f>
        <v>0</v>
      </c>
      <c r="CG414" s="293">
        <f>+CG419-CG417</f>
        <v>0</v>
      </c>
      <c r="CH414" s="293">
        <f>CG414</f>
        <v>0</v>
      </c>
      <c r="CJ414" s="293">
        <f>+CJ419-CJ417</f>
        <v>0</v>
      </c>
      <c r="CK414" s="293">
        <f>+CK419-CK417</f>
        <v>0</v>
      </c>
      <c r="CL414" s="293">
        <f>CK414</f>
        <v>0</v>
      </c>
      <c r="CN414" s="293">
        <f>+CN419-CN417</f>
        <v>0</v>
      </c>
      <c r="CO414" s="293">
        <f>+CO419-CO417</f>
        <v>0</v>
      </c>
      <c r="CP414" s="293">
        <f>CO414</f>
        <v>0</v>
      </c>
      <c r="CR414" s="293">
        <f>+CR419-CR417</f>
        <v>0</v>
      </c>
      <c r="CS414" s="293">
        <f>+CS419-CS417</f>
        <v>0</v>
      </c>
      <c r="CT414" s="293">
        <f>CS414</f>
        <v>0</v>
      </c>
      <c r="CV414" s="293">
        <f>+CV419-CV417</f>
        <v>0</v>
      </c>
      <c r="CW414" s="1495">
        <f>+CW419-CW417</f>
        <v>0</v>
      </c>
      <c r="CX414" s="293">
        <f>CW414</f>
        <v>0</v>
      </c>
      <c r="CZ414" s="293">
        <f>+CZ419-CZ417</f>
        <v>0</v>
      </c>
      <c r="DA414" s="1495">
        <f>+DA419-DA417</f>
        <v>0</v>
      </c>
      <c r="DB414" s="293">
        <f>DA414</f>
        <v>0</v>
      </c>
      <c r="DD414" s="293">
        <f>+DD419-DD417</f>
        <v>0</v>
      </c>
      <c r="DE414" s="1495">
        <f>+DE419-DE417</f>
        <v>0</v>
      </c>
      <c r="DF414" s="293">
        <f>DE414</f>
        <v>0</v>
      </c>
      <c r="DH414" s="293">
        <f>+DH419-DH417</f>
        <v>0</v>
      </c>
      <c r="DI414" s="293">
        <f>+DI419-DI417</f>
        <v>0</v>
      </c>
      <c r="DJ414" s="293">
        <f>DI414</f>
        <v>0</v>
      </c>
      <c r="DL414" s="293">
        <f>+DL419-DL417</f>
        <v>0</v>
      </c>
      <c r="DM414" s="293">
        <f>+DM419-DM417</f>
        <v>0</v>
      </c>
      <c r="DN414" s="293">
        <f>DM414</f>
        <v>0</v>
      </c>
      <c r="DP414" s="293">
        <f>+DP419-DP417</f>
        <v>0</v>
      </c>
      <c r="DQ414" s="293">
        <f>+DQ419-DQ417</f>
        <v>0</v>
      </c>
      <c r="DR414" s="293">
        <f>DQ414</f>
        <v>0</v>
      </c>
      <c r="DU414" s="293"/>
      <c r="DV414" s="293"/>
      <c r="DW414" s="293"/>
    </row>
    <row r="415" spans="1:138">
      <c r="X415" s="293"/>
      <c r="Y415" s="626"/>
      <c r="Z415" s="293"/>
      <c r="AB415" s="293"/>
      <c r="AC415" s="626"/>
      <c r="AD415" s="293"/>
      <c r="AE415" s="293"/>
      <c r="AF415" s="293"/>
      <c r="AG415" s="293"/>
      <c r="AH415" s="293"/>
      <c r="AI415" s="320"/>
      <c r="AJ415" s="293"/>
      <c r="AK415" s="293"/>
      <c r="AL415" s="293"/>
      <c r="AN415" s="293"/>
      <c r="AO415" s="293"/>
      <c r="AP415" s="293"/>
      <c r="AR415" s="293"/>
      <c r="AS415" s="293"/>
      <c r="AT415" s="293"/>
      <c r="AV415" s="293"/>
      <c r="AW415" s="293"/>
      <c r="AX415" s="293"/>
      <c r="AZ415" s="293"/>
      <c r="BA415" s="293"/>
      <c r="BB415" s="293"/>
      <c r="BD415" s="293"/>
      <c r="BE415" s="293"/>
      <c r="BF415" s="293"/>
      <c r="BH415" s="293"/>
      <c r="BI415" s="293"/>
      <c r="BJ415" s="293"/>
      <c r="BL415" s="293"/>
      <c r="BM415" s="293"/>
      <c r="BN415" s="293"/>
      <c r="BP415" s="293"/>
      <c r="BQ415" s="293"/>
      <c r="BR415" s="293"/>
      <c r="BT415" s="293"/>
      <c r="BU415" s="293"/>
      <c r="BV415" s="293"/>
      <c r="BX415" s="293"/>
      <c r="BY415" s="293"/>
      <c r="BZ415" s="293"/>
      <c r="CB415" s="293"/>
      <c r="CC415" s="293"/>
      <c r="CD415" s="293"/>
      <c r="CF415" s="293"/>
      <c r="CG415" s="293"/>
      <c r="CH415" s="293"/>
      <c r="CJ415" s="293"/>
      <c r="CK415" s="1010"/>
      <c r="CL415" s="293"/>
      <c r="CN415" s="293"/>
      <c r="CO415" s="293"/>
      <c r="CP415" s="293"/>
      <c r="CR415" s="293"/>
      <c r="CS415" s="293"/>
      <c r="CT415" s="293"/>
      <c r="CV415" s="293"/>
      <c r="CW415" s="1495"/>
      <c r="CX415" s="293"/>
      <c r="CZ415" s="293"/>
      <c r="DA415" s="1495"/>
      <c r="DB415" s="293"/>
      <c r="DD415" s="293"/>
      <c r="DE415" s="1495"/>
      <c r="DF415" s="293"/>
      <c r="DH415" s="293"/>
      <c r="DI415" s="293"/>
      <c r="DJ415" s="293"/>
      <c r="DL415" s="293"/>
      <c r="DM415" s="293"/>
      <c r="DN415" s="293"/>
      <c r="DP415" s="293"/>
      <c r="DQ415" s="293"/>
      <c r="DR415" s="293"/>
      <c r="DU415" s="293"/>
      <c r="DV415" s="293"/>
      <c r="DW415" s="293"/>
    </row>
    <row r="416" spans="1:138">
      <c r="A416" s="102" t="s">
        <v>505</v>
      </c>
      <c r="C416" s="103" t="s">
        <v>612</v>
      </c>
      <c r="X416" s="703"/>
      <c r="Y416" s="703"/>
      <c r="Z416" s="704"/>
      <c r="AB416" s="703">
        <v>894</v>
      </c>
      <c r="AC416" s="703">
        <v>894</v>
      </c>
      <c r="AD416" s="704">
        <f>AC416</f>
        <v>894</v>
      </c>
      <c r="AE416" s="293"/>
      <c r="AF416" s="293">
        <f>AD416</f>
        <v>894</v>
      </c>
      <c r="AG416" s="704">
        <f>AF416</f>
        <v>894</v>
      </c>
      <c r="AH416" s="704">
        <f>AG416</f>
        <v>894</v>
      </c>
      <c r="AI416" s="320"/>
      <c r="AJ416" s="293">
        <f>AH416</f>
        <v>894</v>
      </c>
      <c r="AK416" s="704">
        <f>AJ416</f>
        <v>894</v>
      </c>
      <c r="AL416" s="704">
        <f>AK416</f>
        <v>894</v>
      </c>
      <c r="AN416" s="293">
        <f>AL416</f>
        <v>894</v>
      </c>
      <c r="AO416" s="704">
        <f>AN416</f>
        <v>894</v>
      </c>
      <c r="AP416" s="704">
        <f>AO416</f>
        <v>894</v>
      </c>
      <c r="AR416" s="293">
        <f>AP416</f>
        <v>894</v>
      </c>
      <c r="AS416" s="703">
        <f>894-382</f>
        <v>512</v>
      </c>
      <c r="AT416" s="704">
        <f>AS416</f>
        <v>512</v>
      </c>
      <c r="AV416" s="293">
        <f>107</f>
        <v>107</v>
      </c>
      <c r="AW416" s="705">
        <v>107</v>
      </c>
      <c r="AX416" s="702">
        <f>AW416</f>
        <v>107</v>
      </c>
      <c r="AZ416" s="626">
        <v>107</v>
      </c>
      <c r="BA416" s="702">
        <f>AZ416</f>
        <v>107</v>
      </c>
      <c r="BB416" s="702">
        <f>BA416</f>
        <v>107</v>
      </c>
      <c r="BD416" s="626">
        <f>BA416</f>
        <v>107</v>
      </c>
      <c r="BE416" s="705">
        <v>107</v>
      </c>
      <c r="BF416" s="704">
        <f>BE416</f>
        <v>107</v>
      </c>
      <c r="BH416" s="626">
        <f>BE416</f>
        <v>107</v>
      </c>
      <c r="BI416" s="705">
        <v>107</v>
      </c>
      <c r="BJ416" s="704">
        <f>BI416</f>
        <v>107</v>
      </c>
      <c r="BL416" s="626">
        <f>BI416</f>
        <v>107</v>
      </c>
      <c r="BM416" s="705">
        <v>109</v>
      </c>
      <c r="BN416" s="704">
        <f>BM416</f>
        <v>109</v>
      </c>
      <c r="BP416" s="626">
        <f>BM416</f>
        <v>109</v>
      </c>
      <c r="BQ416" s="626">
        <v>109</v>
      </c>
      <c r="BR416" s="704">
        <f>BQ416</f>
        <v>109</v>
      </c>
      <c r="BT416" s="626">
        <v>0</v>
      </c>
      <c r="BU416" s="626">
        <v>0</v>
      </c>
      <c r="BV416" s="704">
        <f>BU416</f>
        <v>0</v>
      </c>
      <c r="BX416" s="626">
        <v>0</v>
      </c>
      <c r="BY416" s="626">
        <v>0</v>
      </c>
      <c r="BZ416" s="704">
        <f>BY416</f>
        <v>0</v>
      </c>
      <c r="CB416" s="703">
        <v>0</v>
      </c>
      <c r="CC416" s="626">
        <v>0</v>
      </c>
      <c r="CD416" s="702">
        <f>CC416</f>
        <v>0</v>
      </c>
      <c r="CF416" s="703">
        <v>0</v>
      </c>
      <c r="CG416" s="626">
        <v>0</v>
      </c>
      <c r="CH416" s="702">
        <f>CG416</f>
        <v>0</v>
      </c>
      <c r="CJ416" s="703">
        <v>0</v>
      </c>
      <c r="CK416" s="1388">
        <v>0</v>
      </c>
      <c r="CL416" s="702">
        <f>CK416</f>
        <v>0</v>
      </c>
      <c r="CN416" s="705">
        <v>0</v>
      </c>
      <c r="CO416" s="626">
        <v>0</v>
      </c>
      <c r="CP416" s="702">
        <f>CO416</f>
        <v>0</v>
      </c>
      <c r="CR416" s="626">
        <v>0</v>
      </c>
      <c r="CS416" s="626">
        <v>0</v>
      </c>
      <c r="CT416" s="626">
        <v>0</v>
      </c>
      <c r="CV416" s="626">
        <v>0</v>
      </c>
      <c r="CW416" s="1497">
        <v>0</v>
      </c>
      <c r="CX416" s="626">
        <v>0</v>
      </c>
      <c r="CZ416" s="626">
        <v>0</v>
      </c>
      <c r="DA416" s="1497">
        <v>0</v>
      </c>
      <c r="DB416" s="626">
        <v>0</v>
      </c>
      <c r="DD416" s="626">
        <v>0</v>
      </c>
      <c r="DE416" s="1497">
        <v>0</v>
      </c>
      <c r="DF416" s="626">
        <v>0</v>
      </c>
      <c r="DH416" s="626">
        <v>0</v>
      </c>
      <c r="DI416" s="626">
        <v>0</v>
      </c>
      <c r="DJ416" s="626">
        <v>0</v>
      </c>
      <c r="DL416" s="626">
        <v>0</v>
      </c>
      <c r="DM416" s="626">
        <v>0</v>
      </c>
      <c r="DN416" s="626">
        <v>0</v>
      </c>
      <c r="DP416" s="626">
        <v>0</v>
      </c>
      <c r="DQ416" s="626">
        <v>0</v>
      </c>
      <c r="DR416" s="626">
        <v>0</v>
      </c>
      <c r="DU416" s="293"/>
      <c r="DV416" s="293"/>
      <c r="DW416" s="407"/>
    </row>
    <row r="417" spans="1:138">
      <c r="A417" s="102" t="s">
        <v>121</v>
      </c>
      <c r="C417" s="103" t="s">
        <v>612</v>
      </c>
      <c r="X417" s="293"/>
      <c r="Y417" s="703"/>
      <c r="Z417" s="704"/>
      <c r="AB417" s="626">
        <v>-10</v>
      </c>
      <c r="AC417" s="703">
        <v>-10</v>
      </c>
      <c r="AD417" s="704">
        <f>AC417</f>
        <v>-10</v>
      </c>
      <c r="AE417" s="293"/>
      <c r="AF417" s="703">
        <v>-10</v>
      </c>
      <c r="AG417" s="703">
        <v>-10</v>
      </c>
      <c r="AH417" s="704">
        <f>AG417</f>
        <v>-10</v>
      </c>
      <c r="AI417" s="320"/>
      <c r="AJ417" s="703">
        <v>-10</v>
      </c>
      <c r="AK417" s="703">
        <v>-10</v>
      </c>
      <c r="AL417" s="704">
        <f>AK417</f>
        <v>-10</v>
      </c>
      <c r="AN417" s="703">
        <v>-10</v>
      </c>
      <c r="AO417" s="703">
        <v>-10</v>
      </c>
      <c r="AP417" s="704">
        <f>AO417</f>
        <v>-10</v>
      </c>
      <c r="AR417" s="703">
        <v>-10</v>
      </c>
      <c r="AS417" s="703">
        <v>-10</v>
      </c>
      <c r="AT417" s="704">
        <f>AS417</f>
        <v>-10</v>
      </c>
      <c r="AV417" s="703">
        <v>-1</v>
      </c>
      <c r="AW417" s="705">
        <v>-1</v>
      </c>
      <c r="AX417" s="702">
        <f>AW417</f>
        <v>-1</v>
      </c>
      <c r="AZ417" s="705">
        <v>-1</v>
      </c>
      <c r="BA417" s="705">
        <v>-1</v>
      </c>
      <c r="BB417" s="702">
        <f>BA417</f>
        <v>-1</v>
      </c>
      <c r="BD417" s="705">
        <v>-1</v>
      </c>
      <c r="BE417" s="705">
        <v>-1</v>
      </c>
      <c r="BF417" s="704">
        <f>BE417</f>
        <v>-1</v>
      </c>
      <c r="BH417" s="705">
        <f>BE417</f>
        <v>-1</v>
      </c>
      <c r="BI417" s="705">
        <v>-1</v>
      </c>
      <c r="BJ417" s="704">
        <f>BI417</f>
        <v>-1</v>
      </c>
      <c r="BL417" s="705">
        <f>BI417</f>
        <v>-1</v>
      </c>
      <c r="BM417" s="705">
        <v>-1</v>
      </c>
      <c r="BN417" s="704">
        <f>BM417</f>
        <v>-1</v>
      </c>
      <c r="BP417" s="705">
        <f>BM417</f>
        <v>-1</v>
      </c>
      <c r="BQ417" s="705">
        <f>BN417</f>
        <v>-1</v>
      </c>
      <c r="BR417" s="704">
        <f>BQ417</f>
        <v>-1</v>
      </c>
      <c r="BT417" s="705">
        <v>0</v>
      </c>
      <c r="BU417" s="705">
        <f>BR417</f>
        <v>-1</v>
      </c>
      <c r="BV417" s="704">
        <f>BU417</f>
        <v>-1</v>
      </c>
      <c r="BX417" s="705">
        <v>0</v>
      </c>
      <c r="BY417" s="705">
        <v>0</v>
      </c>
      <c r="BZ417" s="704">
        <f>BY417</f>
        <v>0</v>
      </c>
      <c r="CB417" s="705">
        <v>0</v>
      </c>
      <c r="CC417" s="705">
        <v>0</v>
      </c>
      <c r="CD417" s="702">
        <f>CC417</f>
        <v>0</v>
      </c>
      <c r="CF417" s="705">
        <v>0</v>
      </c>
      <c r="CG417" s="705">
        <v>0</v>
      </c>
      <c r="CH417" s="702">
        <f>CG417</f>
        <v>0</v>
      </c>
      <c r="CJ417" s="705">
        <v>0</v>
      </c>
      <c r="CK417" s="1450">
        <v>0</v>
      </c>
      <c r="CL417" s="702">
        <f>CK417</f>
        <v>0</v>
      </c>
      <c r="CN417" s="705">
        <v>0</v>
      </c>
      <c r="CO417" s="705">
        <v>0</v>
      </c>
      <c r="CP417" s="702">
        <f>CO417</f>
        <v>0</v>
      </c>
      <c r="CR417" s="705">
        <v>0</v>
      </c>
      <c r="CS417" s="705">
        <v>0</v>
      </c>
      <c r="CT417" s="705">
        <v>0</v>
      </c>
      <c r="CV417" s="705">
        <v>0</v>
      </c>
      <c r="CW417" s="705">
        <v>0</v>
      </c>
      <c r="CX417" s="705">
        <v>0</v>
      </c>
      <c r="CZ417" s="705">
        <v>0</v>
      </c>
      <c r="DA417" s="705">
        <v>0</v>
      </c>
      <c r="DB417" s="705">
        <v>0</v>
      </c>
      <c r="DD417" s="705">
        <v>0</v>
      </c>
      <c r="DE417" s="705">
        <v>0</v>
      </c>
      <c r="DF417" s="705">
        <v>0</v>
      </c>
      <c r="DH417" s="705">
        <v>0</v>
      </c>
      <c r="DI417" s="705">
        <v>0</v>
      </c>
      <c r="DJ417" s="705">
        <v>0</v>
      </c>
      <c r="DL417" s="705">
        <v>0</v>
      </c>
      <c r="DM417" s="705">
        <v>0</v>
      </c>
      <c r="DN417" s="705">
        <v>0</v>
      </c>
      <c r="DP417" s="705">
        <v>0</v>
      </c>
      <c r="DQ417" s="705">
        <v>0</v>
      </c>
      <c r="DR417" s="705">
        <v>0</v>
      </c>
      <c r="DU417" s="1122"/>
      <c r="DV417" s="1122"/>
      <c r="DW417" s="407"/>
    </row>
    <row r="418" spans="1:138">
      <c r="A418" s="102" t="s">
        <v>139</v>
      </c>
      <c r="C418" s="103" t="s">
        <v>612</v>
      </c>
      <c r="X418" s="703"/>
      <c r="Y418" s="703"/>
      <c r="Z418" s="704"/>
      <c r="AB418" s="703">
        <v>-23</v>
      </c>
      <c r="AC418" s="703">
        <v>-38</v>
      </c>
      <c r="AD418" s="704">
        <f>AC418</f>
        <v>-38</v>
      </c>
      <c r="AE418" s="293"/>
      <c r="AF418" s="626">
        <v>-83</v>
      </c>
      <c r="AG418" s="703">
        <v>-43</v>
      </c>
      <c r="AH418" s="704">
        <f>AG418</f>
        <v>-43</v>
      </c>
      <c r="AI418" s="320"/>
      <c r="AJ418" s="626">
        <v>-15</v>
      </c>
      <c r="AK418" s="705">
        <v>-43</v>
      </c>
      <c r="AL418" s="704">
        <f>AK418</f>
        <v>-43</v>
      </c>
      <c r="AN418" s="626">
        <v>-86</v>
      </c>
      <c r="AO418" s="705">
        <v>-132</v>
      </c>
      <c r="AP418" s="704">
        <f>AO418</f>
        <v>-132</v>
      </c>
      <c r="AR418" s="626">
        <v>-104</v>
      </c>
      <c r="AS418" s="705">
        <v>-104</v>
      </c>
      <c r="AT418" s="704">
        <f>AS418</f>
        <v>-104</v>
      </c>
      <c r="AV418" s="626">
        <v>-32</v>
      </c>
      <c r="AW418" s="705">
        <v>-39</v>
      </c>
      <c r="AX418" s="702">
        <f>AW418</f>
        <v>-39</v>
      </c>
      <c r="AZ418" s="626">
        <v>-40</v>
      </c>
      <c r="BA418" s="293">
        <f>+BA414-BA416</f>
        <v>-43</v>
      </c>
      <c r="BB418" s="702">
        <f>BA418</f>
        <v>-43</v>
      </c>
      <c r="BD418" s="293">
        <f>+BD414-BD416</f>
        <v>-40</v>
      </c>
      <c r="BE418" s="293">
        <f>+BE414-BE416</f>
        <v>-43</v>
      </c>
      <c r="BF418" s="702">
        <f>BE418</f>
        <v>-43</v>
      </c>
      <c r="BH418" s="293">
        <f>+BH414-BH416</f>
        <v>-42</v>
      </c>
      <c r="BI418" s="293">
        <f>+BI414-BI416</f>
        <v>-46</v>
      </c>
      <c r="BJ418" s="702">
        <f>BI418</f>
        <v>-46</v>
      </c>
      <c r="BL418" s="293">
        <f>+BL414-BL416</f>
        <v>-35</v>
      </c>
      <c r="BM418" s="293">
        <f>+BM414-BM416</f>
        <v>-32</v>
      </c>
      <c r="BN418" s="702">
        <f>BM418</f>
        <v>-32</v>
      </c>
      <c r="BP418" s="293">
        <f>+BP414-BP416</f>
        <v>-30</v>
      </c>
      <c r="BQ418" s="293">
        <f>+BQ414-BQ416</f>
        <v>-26</v>
      </c>
      <c r="BR418" s="702">
        <f>BQ418</f>
        <v>-26</v>
      </c>
      <c r="BT418" s="293">
        <f>+BT414-BT416</f>
        <v>0</v>
      </c>
      <c r="BU418" s="293">
        <f>+BU414-BU416</f>
        <v>1</v>
      </c>
      <c r="BV418" s="702">
        <f>BU418</f>
        <v>1</v>
      </c>
      <c r="BX418" s="293">
        <f>+BX414-BX416</f>
        <v>0</v>
      </c>
      <c r="BY418" s="293">
        <f>+BY414-BY416</f>
        <v>0</v>
      </c>
      <c r="BZ418" s="702">
        <f>BY418</f>
        <v>0</v>
      </c>
      <c r="CB418" s="293">
        <f>+CB414-CB416</f>
        <v>0</v>
      </c>
      <c r="CC418" s="293">
        <f>+CC414-CC416</f>
        <v>0</v>
      </c>
      <c r="CD418" s="702">
        <f>CC418</f>
        <v>0</v>
      </c>
      <c r="CF418" s="293">
        <f>+CF414-CF416</f>
        <v>0</v>
      </c>
      <c r="CG418" s="293">
        <f>+CG414-CG416</f>
        <v>0</v>
      </c>
      <c r="CH418" s="702">
        <f>CG418</f>
        <v>0</v>
      </c>
      <c r="CJ418" s="293">
        <f>+CJ414-CJ416</f>
        <v>0</v>
      </c>
      <c r="CK418" s="1010">
        <f>+CK414-CK416</f>
        <v>0</v>
      </c>
      <c r="CL418" s="702">
        <f>CK418</f>
        <v>0</v>
      </c>
      <c r="CN418" s="293">
        <f>+CN414-CN416</f>
        <v>0</v>
      </c>
      <c r="CO418" s="293">
        <f>+CO414-CO416</f>
        <v>0</v>
      </c>
      <c r="CP418" s="702">
        <f>CO418</f>
        <v>0</v>
      </c>
      <c r="CR418" s="293">
        <f>+CR414-CR416</f>
        <v>0</v>
      </c>
      <c r="CS418" s="293">
        <f>+CS414-CS416</f>
        <v>0</v>
      </c>
      <c r="CT418" s="293">
        <f>+CT414-CT416</f>
        <v>0</v>
      </c>
      <c r="CV418" s="293">
        <f>+CV414-CV416</f>
        <v>0</v>
      </c>
      <c r="CW418" s="1495">
        <f>+CW414-CW416</f>
        <v>0</v>
      </c>
      <c r="CX418" s="293">
        <f>+CX414-CX416</f>
        <v>0</v>
      </c>
      <c r="CZ418" s="293">
        <f>+CZ414-CZ416</f>
        <v>0</v>
      </c>
      <c r="DA418" s="1495">
        <f>+DA414-DA416</f>
        <v>0</v>
      </c>
      <c r="DB418" s="293">
        <f>+DB414-DB416</f>
        <v>0</v>
      </c>
      <c r="DD418" s="293">
        <f>+DD414-DD416</f>
        <v>0</v>
      </c>
      <c r="DE418" s="1495">
        <f>+DE414-DE416</f>
        <v>0</v>
      </c>
      <c r="DF418" s="293">
        <f>+DF414-DF416</f>
        <v>0</v>
      </c>
      <c r="DH418" s="293">
        <f>+DH414-DH416</f>
        <v>0</v>
      </c>
      <c r="DI418" s="293">
        <f>+DI414-DI416</f>
        <v>0</v>
      </c>
      <c r="DJ418" s="293">
        <f>+DJ414-DJ416</f>
        <v>0</v>
      </c>
      <c r="DL418" s="293">
        <f>+DL414-DL416</f>
        <v>0</v>
      </c>
      <c r="DM418" s="293">
        <f>+DM414-DM416</f>
        <v>0</v>
      </c>
      <c r="DN418" s="293">
        <f>+DN414-DN416</f>
        <v>0</v>
      </c>
      <c r="DP418" s="293">
        <f>+DP414-DP416</f>
        <v>0</v>
      </c>
      <c r="DQ418" s="293">
        <f>+DQ414-DQ416</f>
        <v>0</v>
      </c>
      <c r="DR418" s="293">
        <f>+DR414-DR416</f>
        <v>0</v>
      </c>
      <c r="DU418" s="293"/>
      <c r="DV418" s="293"/>
      <c r="DW418" s="407"/>
    </row>
    <row r="419" spans="1:138">
      <c r="A419" s="102" t="s">
        <v>140</v>
      </c>
      <c r="C419" s="103" t="s">
        <v>612</v>
      </c>
      <c r="X419" s="704"/>
      <c r="Y419" s="704"/>
      <c r="Z419" s="704"/>
      <c r="AB419" s="704">
        <f>SUM(AB416:AB418)</f>
        <v>861</v>
      </c>
      <c r="AC419" s="704">
        <f>SUM(AC416:AC418)</f>
        <v>846</v>
      </c>
      <c r="AD419" s="704">
        <f>AC419</f>
        <v>846</v>
      </c>
      <c r="AE419" s="293"/>
      <c r="AF419" s="704">
        <f>SUM(AF416:AF418)</f>
        <v>801</v>
      </c>
      <c r="AG419" s="704">
        <f>SUM(AG416:AG418)</f>
        <v>841</v>
      </c>
      <c r="AH419" s="704">
        <f>AG419</f>
        <v>841</v>
      </c>
      <c r="AI419" s="320"/>
      <c r="AJ419" s="704">
        <f>SUM(AJ416:AJ418)</f>
        <v>869</v>
      </c>
      <c r="AK419" s="702">
        <f>SUM(AK416:AK418)</f>
        <v>841</v>
      </c>
      <c r="AL419" s="704">
        <f>AK419</f>
        <v>841</v>
      </c>
      <c r="AN419" s="704">
        <f>SUM(AN416:AN418)</f>
        <v>798</v>
      </c>
      <c r="AO419" s="702">
        <f>SUM(AO416:AO418)</f>
        <v>752</v>
      </c>
      <c r="AP419" s="704">
        <f>AO419</f>
        <v>752</v>
      </c>
      <c r="AR419" s="704">
        <f>SUM(AR416:AR418)</f>
        <v>780</v>
      </c>
      <c r="AS419" s="702">
        <f>SUM(AS416:AS418)</f>
        <v>398</v>
      </c>
      <c r="AT419" s="704">
        <f>AS419</f>
        <v>398</v>
      </c>
      <c r="AV419" s="704">
        <v>74</v>
      </c>
      <c r="AW419" s="702">
        <f>SUM(AW416:AW418)</f>
        <v>67</v>
      </c>
      <c r="AX419" s="702">
        <f>AW419</f>
        <v>67</v>
      </c>
      <c r="AZ419" s="702">
        <f>SUM(AZ416:AZ418)</f>
        <v>66</v>
      </c>
      <c r="BA419" s="705">
        <v>63</v>
      </c>
      <c r="BB419" s="702">
        <f>BA419</f>
        <v>63</v>
      </c>
      <c r="BD419" s="705">
        <v>66</v>
      </c>
      <c r="BE419" s="705">
        <v>63</v>
      </c>
      <c r="BF419" s="702">
        <f>BE419</f>
        <v>63</v>
      </c>
      <c r="BH419" s="705">
        <v>64</v>
      </c>
      <c r="BI419" s="705">
        <v>60</v>
      </c>
      <c r="BJ419" s="702">
        <f>BI419</f>
        <v>60</v>
      </c>
      <c r="BL419" s="705">
        <v>71</v>
      </c>
      <c r="BM419" s="705">
        <v>76</v>
      </c>
      <c r="BN419" s="702">
        <f>BM419</f>
        <v>76</v>
      </c>
      <c r="BP419" s="705">
        <v>78</v>
      </c>
      <c r="BQ419" s="705">
        <v>82</v>
      </c>
      <c r="BR419" s="702">
        <f>BQ419</f>
        <v>82</v>
      </c>
      <c r="BT419" s="705">
        <v>0</v>
      </c>
      <c r="BU419" s="705">
        <v>0</v>
      </c>
      <c r="BV419" s="702">
        <f>BU419</f>
        <v>0</v>
      </c>
      <c r="BX419" s="705">
        <v>0</v>
      </c>
      <c r="BY419" s="705">
        <v>0</v>
      </c>
      <c r="BZ419" s="702">
        <f>BY419</f>
        <v>0</v>
      </c>
      <c r="CB419" s="705">
        <v>0</v>
      </c>
      <c r="CC419" s="705">
        <v>0</v>
      </c>
      <c r="CD419" s="702">
        <f>CC419</f>
        <v>0</v>
      </c>
      <c r="CF419" s="705">
        <v>0</v>
      </c>
      <c r="CG419" s="705">
        <v>0</v>
      </c>
      <c r="CH419" s="702">
        <f>CG419</f>
        <v>0</v>
      </c>
      <c r="CJ419" s="705">
        <v>0</v>
      </c>
      <c r="CK419" s="1450">
        <v>0</v>
      </c>
      <c r="CL419" s="702">
        <f>CK419</f>
        <v>0</v>
      </c>
      <c r="CN419" s="705">
        <v>0</v>
      </c>
      <c r="CO419" s="705">
        <v>0</v>
      </c>
      <c r="CP419" s="702">
        <f>CO419</f>
        <v>0</v>
      </c>
      <c r="CR419" s="705">
        <v>0</v>
      </c>
      <c r="CS419" s="705">
        <v>0</v>
      </c>
      <c r="CT419" s="705">
        <v>0</v>
      </c>
      <c r="CV419" s="705">
        <v>0</v>
      </c>
      <c r="CW419" s="705">
        <v>0</v>
      </c>
      <c r="CX419" s="705">
        <v>0</v>
      </c>
      <c r="CZ419" s="705">
        <v>0</v>
      </c>
      <c r="DA419" s="705">
        <v>0</v>
      </c>
      <c r="DB419" s="705">
        <v>0</v>
      </c>
      <c r="DD419" s="705">
        <v>0</v>
      </c>
      <c r="DE419" s="705">
        <v>0</v>
      </c>
      <c r="DF419" s="705">
        <v>0</v>
      </c>
      <c r="DH419" s="705">
        <v>0</v>
      </c>
      <c r="DI419" s="705">
        <v>0</v>
      </c>
      <c r="DJ419" s="705">
        <v>0</v>
      </c>
      <c r="DL419" s="705">
        <v>0</v>
      </c>
      <c r="DM419" s="705">
        <v>0</v>
      </c>
      <c r="DN419" s="705">
        <v>0</v>
      </c>
      <c r="DP419" s="705">
        <v>0</v>
      </c>
      <c r="DQ419" s="705">
        <v>0</v>
      </c>
      <c r="DR419" s="705">
        <v>0</v>
      </c>
      <c r="DU419" s="407"/>
      <c r="DV419" s="407"/>
      <c r="DW419" s="407"/>
    </row>
    <row r="420" spans="1:138">
      <c r="A420" s="102" t="s">
        <v>141</v>
      </c>
      <c r="C420" s="103" t="s">
        <v>612</v>
      </c>
      <c r="X420" s="293"/>
      <c r="Y420" s="293"/>
      <c r="Z420" s="293"/>
      <c r="AB420" s="293"/>
      <c r="AC420" s="293"/>
      <c r="AD420" s="293"/>
      <c r="AE420" s="293"/>
      <c r="AF420" s="293"/>
      <c r="AG420" s="293"/>
      <c r="AH420" s="293"/>
      <c r="AI420" s="320"/>
      <c r="AJ420" s="293"/>
      <c r="AK420" s="293"/>
      <c r="AL420" s="293"/>
      <c r="AN420" s="293"/>
      <c r="AO420" s="781"/>
      <c r="AP420" s="781"/>
      <c r="AQ420" s="782"/>
      <c r="AR420" s="781"/>
      <c r="AS420" s="781"/>
      <c r="AT420" s="781"/>
      <c r="AV420" s="781"/>
      <c r="AW420" s="781"/>
      <c r="AX420" s="781"/>
      <c r="AZ420" s="293"/>
      <c r="BA420" s="293"/>
      <c r="BB420" s="293"/>
      <c r="BD420" s="293"/>
      <c r="BE420" s="293"/>
      <c r="BF420" s="293"/>
      <c r="BH420" s="293"/>
      <c r="BI420" s="293"/>
      <c r="BJ420" s="293"/>
      <c r="BL420" s="293"/>
      <c r="BM420" s="293"/>
      <c r="BN420" s="293"/>
      <c r="BP420" s="293"/>
      <c r="BQ420" s="293"/>
      <c r="BR420" s="293"/>
      <c r="BT420" s="293"/>
      <c r="BU420" s="293"/>
      <c r="BV420" s="293"/>
      <c r="BX420" s="293"/>
      <c r="BY420" s="293"/>
      <c r="BZ420" s="293"/>
      <c r="CB420" s="293"/>
      <c r="CC420" s="293"/>
      <c r="CD420" s="293"/>
      <c r="CF420" s="293"/>
      <c r="CG420" s="293"/>
      <c r="CH420" s="293"/>
      <c r="CJ420" s="293"/>
      <c r="CK420" s="293"/>
      <c r="CL420" s="293"/>
      <c r="CN420" s="293"/>
      <c r="CO420" s="293"/>
      <c r="CP420" s="293"/>
      <c r="CR420" s="293"/>
      <c r="CS420" s="293"/>
      <c r="CT420" s="293"/>
      <c r="CV420" s="293"/>
      <c r="CW420" s="1495"/>
      <c r="CX420" s="293"/>
      <c r="CZ420" s="293"/>
      <c r="DA420" s="1495"/>
      <c r="DB420" s="293"/>
      <c r="DD420" s="293"/>
      <c r="DE420" s="1495"/>
      <c r="DF420" s="293"/>
      <c r="DH420" s="293"/>
      <c r="DI420" s="293"/>
      <c r="DJ420" s="293"/>
      <c r="DL420" s="293"/>
      <c r="DM420" s="293"/>
      <c r="DN420" s="293"/>
      <c r="DP420" s="293"/>
      <c r="DQ420" s="293"/>
      <c r="DR420" s="293"/>
      <c r="DU420" s="293"/>
      <c r="DV420" s="293"/>
      <c r="DW420" s="293"/>
    </row>
    <row r="421" spans="1:138">
      <c r="A421" s="102" t="s">
        <v>142</v>
      </c>
      <c r="C421" s="103" t="s">
        <v>612</v>
      </c>
      <c r="X421" s="293"/>
      <c r="Y421" s="293"/>
      <c r="Z421" s="293"/>
      <c r="AB421" s="293"/>
      <c r="AC421" s="293"/>
      <c r="AD421" s="293"/>
      <c r="AE421" s="293"/>
      <c r="AF421" s="293"/>
      <c r="AG421" s="293"/>
      <c r="AH421" s="293"/>
      <c r="AI421" s="320"/>
      <c r="AJ421" s="293"/>
      <c r="AK421" s="293"/>
      <c r="AL421" s="293"/>
      <c r="AN421" s="293"/>
      <c r="AO421" s="781"/>
      <c r="AP421" s="781"/>
      <c r="AQ421" s="782"/>
      <c r="AR421" s="781"/>
      <c r="AS421" s="781"/>
      <c r="AT421" s="781"/>
      <c r="AV421" s="781"/>
      <c r="AW421" s="781"/>
      <c r="AX421" s="781"/>
      <c r="AZ421" s="293"/>
      <c r="BA421" s="626"/>
      <c r="BB421" s="293"/>
      <c r="BD421" s="293"/>
      <c r="BE421" s="626"/>
      <c r="BF421" s="293"/>
      <c r="BH421" s="293"/>
      <c r="BI421" s="626"/>
      <c r="BJ421" s="293"/>
      <c r="BL421" s="293"/>
      <c r="BM421" s="626"/>
      <c r="BN421" s="293"/>
      <c r="BP421" s="293"/>
      <c r="BQ421" s="626"/>
      <c r="BR421" s="293"/>
      <c r="BT421" s="293"/>
      <c r="BU421" s="626"/>
      <c r="BV421" s="293"/>
      <c r="BX421" s="293"/>
      <c r="BY421" s="626"/>
      <c r="BZ421" s="293"/>
      <c r="CB421" s="293"/>
      <c r="CC421" s="626"/>
      <c r="CD421" s="293"/>
      <c r="CF421" s="293"/>
      <c r="CG421" s="626"/>
      <c r="CH421" s="293"/>
      <c r="CJ421" s="293"/>
      <c r="CK421" s="626"/>
      <c r="CL421" s="293"/>
      <c r="CN421" s="293"/>
      <c r="CO421" s="626"/>
      <c r="CP421" s="293"/>
      <c r="CR421" s="626"/>
      <c r="CS421" s="626"/>
      <c r="CT421" s="293"/>
      <c r="CV421" s="626"/>
      <c r="CW421" s="1497"/>
      <c r="CX421" s="293"/>
      <c r="CZ421" s="626"/>
      <c r="DA421" s="1497"/>
      <c r="DB421" s="293"/>
      <c r="DD421" s="626"/>
      <c r="DE421" s="1497"/>
      <c r="DF421" s="293"/>
      <c r="DH421" s="626"/>
      <c r="DI421" s="626"/>
      <c r="DJ421" s="293"/>
      <c r="DL421" s="626"/>
      <c r="DM421" s="626"/>
      <c r="DN421" s="293"/>
      <c r="DP421" s="626"/>
      <c r="DQ421" s="626"/>
      <c r="DR421" s="293"/>
      <c r="DU421" s="626"/>
      <c r="DV421" s="626"/>
      <c r="DW421" s="293"/>
    </row>
    <row r="422" spans="1:138">
      <c r="X422" s="293"/>
      <c r="Y422" s="293"/>
      <c r="Z422" s="293"/>
      <c r="AB422" s="293"/>
      <c r="AC422" s="293"/>
      <c r="AD422" s="293"/>
      <c r="AE422" s="293"/>
      <c r="AF422" s="293"/>
      <c r="AG422" s="293"/>
      <c r="AH422" s="293"/>
      <c r="AI422" s="320"/>
      <c r="AJ422" s="293"/>
      <c r="AK422" s="293"/>
      <c r="AL422" s="293"/>
      <c r="AN422" s="293"/>
      <c r="AO422" s="293"/>
      <c r="AP422" s="293"/>
      <c r="AR422" s="293"/>
      <c r="AS422" s="293"/>
      <c r="AT422" s="293"/>
      <c r="AV422" s="293"/>
      <c r="AW422" s="293"/>
      <c r="AX422" s="293"/>
      <c r="AZ422" s="293"/>
      <c r="BA422" s="293"/>
      <c r="BB422" s="293"/>
      <c r="BD422" s="293"/>
      <c r="BE422" s="293"/>
      <c r="BF422" s="293"/>
      <c r="BH422" s="293"/>
      <c r="BI422" s="293"/>
      <c r="BJ422" s="293"/>
      <c r="BL422" s="293"/>
      <c r="BM422" s="293"/>
      <c r="BN422" s="293"/>
      <c r="BP422" s="293"/>
      <c r="BQ422" s="293"/>
      <c r="BR422" s="293"/>
      <c r="BT422" s="293"/>
      <c r="BU422" s="293"/>
      <c r="BV422" s="293"/>
      <c r="BX422" s="293"/>
      <c r="BY422" s="293"/>
      <c r="BZ422" s="293"/>
      <c r="CB422" s="293"/>
      <c r="CC422" s="293"/>
      <c r="CD422" s="293"/>
      <c r="CF422" s="293"/>
      <c r="CG422" s="293"/>
      <c r="CH422" s="293"/>
      <c r="CJ422" s="293"/>
      <c r="CK422" s="293"/>
      <c r="CL422" s="293"/>
      <c r="CN422" s="293"/>
      <c r="CO422" s="293"/>
      <c r="CP422" s="293"/>
      <c r="CR422" s="293"/>
      <c r="CS422" s="293"/>
      <c r="CT422" s="293"/>
      <c r="CV422" s="293"/>
      <c r="CW422" s="1495"/>
      <c r="CX422" s="293"/>
      <c r="CZ422" s="293"/>
      <c r="DA422" s="1495"/>
      <c r="DB422" s="293"/>
      <c r="DD422" s="293"/>
      <c r="DE422" s="1495"/>
      <c r="DF422" s="293"/>
      <c r="DH422" s="293"/>
      <c r="DI422" s="293"/>
      <c r="DJ422" s="293"/>
      <c r="DL422" s="293"/>
      <c r="DM422" s="293"/>
      <c r="DN422" s="293"/>
      <c r="DP422" s="293"/>
      <c r="DQ422" s="293"/>
      <c r="DR422" s="293"/>
      <c r="DU422" s="293"/>
      <c r="DV422" s="293"/>
      <c r="DW422" s="293"/>
    </row>
    <row r="423" spans="1:138">
      <c r="A423" s="102" t="s">
        <v>143</v>
      </c>
      <c r="C423" s="103" t="s">
        <v>612</v>
      </c>
      <c r="X423" s="293"/>
      <c r="Y423" s="293"/>
      <c r="Z423" s="293"/>
      <c r="AB423" s="293"/>
      <c r="AC423" s="293">
        <f>AVERAGE(AB414:AC414)</f>
        <v>863.5</v>
      </c>
      <c r="AD423" s="293">
        <f>AVERAGE(AB423:AC423)</f>
        <v>863.5</v>
      </c>
      <c r="AE423" s="293"/>
      <c r="AF423" s="293">
        <f>AVERAGE(AF414,AC414)</f>
        <v>833.5</v>
      </c>
      <c r="AG423" s="293">
        <f>AVERAGE(AF414:AG414)</f>
        <v>831</v>
      </c>
      <c r="AH423" s="293">
        <f>AVERAGE(AF423:AG423)</f>
        <v>832.25</v>
      </c>
      <c r="AI423" s="320"/>
      <c r="AJ423" s="293">
        <f>AVERAGE(AJ414,AG414)</f>
        <v>865</v>
      </c>
      <c r="AK423" s="293">
        <f>AVERAGE(AJ414:AK414)</f>
        <v>865</v>
      </c>
      <c r="AL423" s="293">
        <f>AVERAGE(AJ423:AK423)</f>
        <v>865</v>
      </c>
      <c r="AN423" s="293">
        <f>AVERAGE(AN414,AK414)</f>
        <v>829.5</v>
      </c>
      <c r="AO423" s="293">
        <f>AVERAGE(AN414:AO414)</f>
        <v>785</v>
      </c>
      <c r="AP423" s="293">
        <f>AVERAGE(AN423:AO423)</f>
        <v>807.25</v>
      </c>
      <c r="AR423" s="293">
        <f>AVERAGE(AR414,AO414)</f>
        <v>776</v>
      </c>
      <c r="AS423" s="293">
        <f>AVERAGE(AR414:AS414)</f>
        <v>599</v>
      </c>
      <c r="AT423" s="293">
        <f>AVERAGE(AR423:AS423)</f>
        <v>687.5</v>
      </c>
      <c r="AV423" s="293">
        <f>AVERAGE(AV414,AS414)</f>
        <v>241.5</v>
      </c>
      <c r="AW423" s="293">
        <f>AW414</f>
        <v>68</v>
      </c>
      <c r="AX423" s="293">
        <f>AVERAGE(AV423:AW423)</f>
        <v>154.75</v>
      </c>
      <c r="AZ423" s="293">
        <f>AVERAGE(AZ414,AW414)</f>
        <v>67.5</v>
      </c>
      <c r="BA423" s="293">
        <f>BA414</f>
        <v>64</v>
      </c>
      <c r="BB423" s="293">
        <f>AVERAGE(AZ423:BA423)</f>
        <v>65.75</v>
      </c>
      <c r="BD423" s="293">
        <f>AVERAGE(BD414,BA414)</f>
        <v>65.5</v>
      </c>
      <c r="BE423" s="293">
        <f>BE414</f>
        <v>64</v>
      </c>
      <c r="BF423" s="293">
        <f>AVERAGE(BD423:BE423)</f>
        <v>64.75</v>
      </c>
      <c r="BH423" s="293">
        <f>AVERAGE(BH414,BE414)</f>
        <v>64.5</v>
      </c>
      <c r="BI423" s="293">
        <f>BI414</f>
        <v>61</v>
      </c>
      <c r="BJ423" s="293">
        <f>AVERAGE(BH423:BI423)</f>
        <v>62.75</v>
      </c>
      <c r="BL423" s="293">
        <f>AVERAGE(BL414,BI414)</f>
        <v>66.5</v>
      </c>
      <c r="BM423" s="293">
        <f>BM414</f>
        <v>77</v>
      </c>
      <c r="BN423" s="293">
        <f>AVERAGE(BL423:BM423)</f>
        <v>71.75</v>
      </c>
      <c r="BP423" s="293">
        <f>AVERAGE(BP414,BM414)</f>
        <v>78</v>
      </c>
      <c r="BQ423" s="293">
        <f>BQ414</f>
        <v>83</v>
      </c>
      <c r="BR423" s="293">
        <f>AVERAGE(BP423:BQ423)</f>
        <v>80.5</v>
      </c>
      <c r="BT423" s="293">
        <f>AVERAGE(BT414,BQ414)</f>
        <v>41.5</v>
      </c>
      <c r="BU423" s="293">
        <f>BU414</f>
        <v>1</v>
      </c>
      <c r="BV423" s="293">
        <f>AVERAGE(BT423:BU423)</f>
        <v>21.25</v>
      </c>
      <c r="BX423" s="655">
        <v>0</v>
      </c>
      <c r="BY423" s="293">
        <f>BY414</f>
        <v>0</v>
      </c>
      <c r="BZ423" s="293">
        <f>AVERAGE(BX423:BY423)</f>
        <v>0</v>
      </c>
      <c r="CB423" s="655">
        <v>0</v>
      </c>
      <c r="CC423" s="293">
        <f>CC414</f>
        <v>0</v>
      </c>
      <c r="CD423" s="293">
        <f>AVERAGE(CB423:CC423)</f>
        <v>0</v>
      </c>
      <c r="CF423" s="655">
        <v>0</v>
      </c>
      <c r="CG423" s="293">
        <f>CG414</f>
        <v>0</v>
      </c>
      <c r="CH423" s="293">
        <f>AVERAGE(CF423:CG423)</f>
        <v>0</v>
      </c>
      <c r="CJ423" s="655">
        <v>0</v>
      </c>
      <c r="CK423" s="293">
        <f>CK414</f>
        <v>0</v>
      </c>
      <c r="CL423" s="293">
        <f>AVERAGE(CJ423:CK423)</f>
        <v>0</v>
      </c>
      <c r="CN423" s="655">
        <v>0</v>
      </c>
      <c r="CO423" s="293">
        <f>CO414</f>
        <v>0</v>
      </c>
      <c r="CP423" s="293">
        <f>AVERAGE(CN423:CO423)</f>
        <v>0</v>
      </c>
      <c r="CR423" s="655">
        <v>0</v>
      </c>
      <c r="CS423" s="293">
        <f>CS414</f>
        <v>0</v>
      </c>
      <c r="CT423" s="293">
        <f>AVERAGE(CR423:CS423)</f>
        <v>0</v>
      </c>
      <c r="CV423" s="655">
        <v>0</v>
      </c>
      <c r="CW423" s="1495">
        <f>CW414</f>
        <v>0</v>
      </c>
      <c r="CX423" s="293">
        <f>AVERAGE(CV423:CW423)</f>
        <v>0</v>
      </c>
      <c r="CZ423" s="655">
        <v>0</v>
      </c>
      <c r="DA423" s="1495">
        <f>DA414</f>
        <v>0</v>
      </c>
      <c r="DB423" s="293">
        <f>AVERAGE(CZ423:DA423)</f>
        <v>0</v>
      </c>
      <c r="DD423" s="655">
        <v>0</v>
      </c>
      <c r="DE423" s="1495">
        <f>DE414</f>
        <v>0</v>
      </c>
      <c r="DF423" s="293">
        <f>AVERAGE(DD423:DE423)</f>
        <v>0</v>
      </c>
      <c r="DH423" s="655">
        <v>0</v>
      </c>
      <c r="DI423" s="293">
        <f>DI414</f>
        <v>0</v>
      </c>
      <c r="DJ423" s="293">
        <f>AVERAGE(DH423:DI423)</f>
        <v>0</v>
      </c>
      <c r="DL423" s="293">
        <f>AVERAGE(DL414,DI414)</f>
        <v>0</v>
      </c>
      <c r="DM423" s="293">
        <f>DM414</f>
        <v>0</v>
      </c>
      <c r="DN423" s="293">
        <f>AVERAGE(DL423:DM423)</f>
        <v>0</v>
      </c>
      <c r="DP423" s="293">
        <f>AVERAGE(DP414,DM414)</f>
        <v>0</v>
      </c>
      <c r="DQ423" s="293">
        <f>DQ414</f>
        <v>0</v>
      </c>
      <c r="DR423" s="293">
        <f>AVERAGE(DP423:DQ423)</f>
        <v>0</v>
      </c>
      <c r="DU423" s="293"/>
      <c r="DV423" s="293"/>
      <c r="DW423" s="293"/>
    </row>
    <row r="424" spans="1:138">
      <c r="A424" s="102" t="s">
        <v>126</v>
      </c>
      <c r="C424" s="103" t="s">
        <v>917</v>
      </c>
      <c r="X424" s="293"/>
      <c r="Y424" s="783"/>
      <c r="Z424" s="784"/>
      <c r="AB424" s="293"/>
      <c r="AC424" s="783">
        <v>6.1769999999999999E-2</v>
      </c>
      <c r="AD424" s="784">
        <f>+AD425*2/AD423</f>
        <v>-6.4086155182397214E-2</v>
      </c>
      <c r="AE424" s="293"/>
      <c r="AF424" s="784">
        <f>AC424</f>
        <v>6.1769999999999999E-2</v>
      </c>
      <c r="AG424" s="784">
        <f>AF424</f>
        <v>6.1769999999999999E-2</v>
      </c>
      <c r="AH424" s="784">
        <f>+AH425/AH423</f>
        <v>-6.1769999999999999E-2</v>
      </c>
      <c r="AI424" s="320"/>
      <c r="AJ424" s="784">
        <f>AG424</f>
        <v>6.1769999999999999E-2</v>
      </c>
      <c r="AK424" s="784">
        <f>AJ424</f>
        <v>6.1769999999999999E-2</v>
      </c>
      <c r="AL424" s="784">
        <f>+AL425/AL423</f>
        <v>-6.1769999999999999E-2</v>
      </c>
      <c r="AN424" s="784">
        <f>AK424</f>
        <v>6.1769999999999999E-2</v>
      </c>
      <c r="AO424" s="784">
        <f>AN424</f>
        <v>6.1769999999999999E-2</v>
      </c>
      <c r="AP424" s="784">
        <f>+AP425/AP423</f>
        <v>-6.1769999999999999E-2</v>
      </c>
      <c r="AR424" s="784">
        <f>AO424</f>
        <v>6.1769999999999999E-2</v>
      </c>
      <c r="AS424" s="784">
        <f>AR424</f>
        <v>6.1769999999999999E-2</v>
      </c>
      <c r="AT424" s="784">
        <f>+AT425/AT423</f>
        <v>-6.1770000000000005E-2</v>
      </c>
      <c r="AV424" s="784">
        <f>AS424</f>
        <v>6.1769999999999999E-2</v>
      </c>
      <c r="AW424" s="785">
        <f>AV424</f>
        <v>6.1769999999999999E-2</v>
      </c>
      <c r="AX424" s="785">
        <f>+AX425/AX423</f>
        <v>-6.1769999999999999E-2</v>
      </c>
      <c r="AZ424" s="785">
        <f>AW424</f>
        <v>6.1769999999999999E-2</v>
      </c>
      <c r="BA424" s="785">
        <f>AZ424</f>
        <v>6.1769999999999999E-2</v>
      </c>
      <c r="BB424" s="785">
        <f>+BB425/BB423</f>
        <v>-6.1769999999999999E-2</v>
      </c>
      <c r="BD424" s="785">
        <f>BA424</f>
        <v>6.1769999999999999E-2</v>
      </c>
      <c r="BE424" s="785">
        <f>BD424</f>
        <v>6.1769999999999999E-2</v>
      </c>
      <c r="BF424" s="785">
        <f>+BF425/BF423</f>
        <v>-6.1769999999999999E-2</v>
      </c>
      <c r="BH424" s="785">
        <f>BE424</f>
        <v>6.1769999999999999E-2</v>
      </c>
      <c r="BI424" s="785">
        <f>BH424</f>
        <v>6.1769999999999999E-2</v>
      </c>
      <c r="BJ424" s="785">
        <f>+BJ425/BJ423</f>
        <v>-6.1769999999999999E-2</v>
      </c>
      <c r="BL424" s="785">
        <f>BI424</f>
        <v>6.1769999999999999E-2</v>
      </c>
      <c r="BM424" s="785">
        <f>BL424</f>
        <v>6.1769999999999999E-2</v>
      </c>
      <c r="BN424" s="785">
        <f>+BN425/BN423</f>
        <v>-6.1769999999999992E-2</v>
      </c>
      <c r="BP424" s="785">
        <f>BM424</f>
        <v>6.1769999999999999E-2</v>
      </c>
      <c r="BQ424" s="785">
        <f>BP424</f>
        <v>6.1769999999999999E-2</v>
      </c>
      <c r="BR424" s="785">
        <f>+BR425/BR423</f>
        <v>-6.1769999999999999E-2</v>
      </c>
      <c r="BT424" s="785">
        <f>BQ424</f>
        <v>6.1769999999999999E-2</v>
      </c>
      <c r="BU424" s="785">
        <f>BT424</f>
        <v>6.1769999999999999E-2</v>
      </c>
      <c r="BV424" s="785">
        <f>+BV425/BV423</f>
        <v>-6.1769999999999999E-2</v>
      </c>
      <c r="BX424" s="785">
        <f>BU424</f>
        <v>6.1769999999999999E-2</v>
      </c>
      <c r="BY424" s="785">
        <f>BX424</f>
        <v>6.1769999999999999E-2</v>
      </c>
      <c r="BZ424" s="785" t="str">
        <f>IFERROR(+BZ425/BZ423,"na")</f>
        <v>na</v>
      </c>
      <c r="CB424" s="785">
        <f>BY424</f>
        <v>6.1769999999999999E-2</v>
      </c>
      <c r="CC424" s="785">
        <f>CB424</f>
        <v>6.1769999999999999E-2</v>
      </c>
      <c r="CD424" s="785" t="str">
        <f>IFERROR(+CD425/CD423,"na")</f>
        <v>na</v>
      </c>
      <c r="CF424" s="785">
        <f>CC424</f>
        <v>6.1769999999999999E-2</v>
      </c>
      <c r="CG424" s="785">
        <f>CF424</f>
        <v>6.1769999999999999E-2</v>
      </c>
      <c r="CH424" s="785" t="str">
        <f>IFERROR(+CH425/CH423,"na")</f>
        <v>na</v>
      </c>
      <c r="CJ424" s="785">
        <f>CG424</f>
        <v>6.1769999999999999E-2</v>
      </c>
      <c r="CK424" s="785">
        <f>CJ424</f>
        <v>6.1769999999999999E-2</v>
      </c>
      <c r="CL424" s="785" t="str">
        <f>IFERROR(+CL425/CL423,"na")</f>
        <v>na</v>
      </c>
      <c r="CN424" s="785">
        <f>CK424</f>
        <v>6.1769999999999999E-2</v>
      </c>
      <c r="CO424" s="785">
        <f>CN424</f>
        <v>6.1769999999999999E-2</v>
      </c>
      <c r="CP424" s="785" t="str">
        <f>IFERROR(+CP425/CP423,"na")</f>
        <v>na</v>
      </c>
      <c r="CR424" s="785">
        <f>CO424</f>
        <v>6.1769999999999999E-2</v>
      </c>
      <c r="CS424" s="785">
        <f>CR424</f>
        <v>6.1769999999999999E-2</v>
      </c>
      <c r="CT424" s="785" t="str">
        <f>IFERROR(+CT425/CT423,"na")</f>
        <v>na</v>
      </c>
      <c r="CV424" s="785">
        <f>CS424</f>
        <v>6.1769999999999999E-2</v>
      </c>
      <c r="CW424" s="785">
        <f>CV424</f>
        <v>6.1769999999999999E-2</v>
      </c>
      <c r="CX424" s="785" t="str">
        <f>IFERROR(+CX425/CX423,"na")</f>
        <v>na</v>
      </c>
      <c r="CZ424" s="785">
        <f>CW424</f>
        <v>6.1769999999999999E-2</v>
      </c>
      <c r="DA424" s="785">
        <f>CZ424</f>
        <v>6.1769999999999999E-2</v>
      </c>
      <c r="DB424" s="785" t="str">
        <f>IFERROR(+DB425/DB423,"na")</f>
        <v>na</v>
      </c>
      <c r="DD424" s="785">
        <f>DA424</f>
        <v>6.1769999999999999E-2</v>
      </c>
      <c r="DE424" s="785">
        <f>DD424</f>
        <v>6.1769999999999999E-2</v>
      </c>
      <c r="DF424" s="785" t="str">
        <f>IFERROR(+DF425/DF423,"na")</f>
        <v>na</v>
      </c>
      <c r="DH424" s="785">
        <f>DE424</f>
        <v>6.1769999999999999E-2</v>
      </c>
      <c r="DI424" s="785">
        <f>DH424</f>
        <v>6.1769999999999999E-2</v>
      </c>
      <c r="DJ424" s="785" t="str">
        <f>IFERROR(+DJ425/DJ423,"na")</f>
        <v>na</v>
      </c>
      <c r="DL424" s="785">
        <f>DI424</f>
        <v>6.1769999999999999E-2</v>
      </c>
      <c r="DM424" s="785">
        <f>DL424</f>
        <v>6.1769999999999999E-2</v>
      </c>
      <c r="DN424" s="785" t="str">
        <f>IFERROR(+DN425/DN423,"na")</f>
        <v>na</v>
      </c>
      <c r="DP424" s="785">
        <f>DM424</f>
        <v>6.1769999999999999E-2</v>
      </c>
      <c r="DQ424" s="785">
        <f>DP424</f>
        <v>6.1769999999999999E-2</v>
      </c>
      <c r="DR424" s="785" t="str">
        <f>IFERROR(+DR425/DR423,"na")</f>
        <v>na</v>
      </c>
      <c r="DU424" s="1138"/>
      <c r="DV424" s="1138"/>
      <c r="DW424" s="1138"/>
    </row>
    <row r="425" spans="1:138">
      <c r="A425" s="102" t="s">
        <v>127</v>
      </c>
      <c r="C425" s="103" t="s">
        <v>612</v>
      </c>
      <c r="X425" s="626"/>
      <c r="Y425" s="293"/>
      <c r="Z425" s="293"/>
      <c r="AB425" s="626">
        <v>-1</v>
      </c>
      <c r="AC425" s="293">
        <f>-AC423*AC424/2</f>
        <v>-26.669197499999999</v>
      </c>
      <c r="AD425" s="293">
        <f>+AC425+AB425</f>
        <v>-27.669197499999999</v>
      </c>
      <c r="AE425" s="293"/>
      <c r="AF425" s="293">
        <f>-AF423*AF424/2</f>
        <v>-25.7426475</v>
      </c>
      <c r="AG425" s="293">
        <f>-AG423*AG424/2</f>
        <v>-25.665434999999999</v>
      </c>
      <c r="AH425" s="293">
        <f>+AG425+AF425</f>
        <v>-51.408082499999999</v>
      </c>
      <c r="AI425" s="320"/>
      <c r="AJ425" s="293">
        <f>-AJ423*AJ424/2</f>
        <v>-26.715525</v>
      </c>
      <c r="AK425" s="293">
        <f>-AK423*AK424/2</f>
        <v>-26.715525</v>
      </c>
      <c r="AL425" s="293">
        <f>+AK425+AJ425</f>
        <v>-53.431049999999999</v>
      </c>
      <c r="AN425" s="293">
        <f>-AN423*AN424/2</f>
        <v>-25.619107499999998</v>
      </c>
      <c r="AO425" s="293">
        <f>-AO423*AO424/2</f>
        <v>-24.244724999999999</v>
      </c>
      <c r="AP425" s="293">
        <f>+AO425+AN425</f>
        <v>-49.863832500000001</v>
      </c>
      <c r="AR425" s="293">
        <f>-AR423*AR424/2</f>
        <v>-23.966760000000001</v>
      </c>
      <c r="AS425" s="293">
        <f>-AS423*AS424/2</f>
        <v>-18.500115000000001</v>
      </c>
      <c r="AT425" s="293">
        <f>+AS425+AR425</f>
        <v>-42.466875000000002</v>
      </c>
      <c r="AV425" s="293">
        <f>-AV423*AV424/2</f>
        <v>-7.4587275000000002</v>
      </c>
      <c r="AW425" s="293">
        <f>-AW423*AW424/2</f>
        <v>-2.1001799999999999</v>
      </c>
      <c r="AX425" s="293">
        <f>+AW425+AV425</f>
        <v>-9.5589075000000001</v>
      </c>
      <c r="AZ425" s="293">
        <f>-AZ423*AZ424/2</f>
        <v>-2.0847375000000001</v>
      </c>
      <c r="BA425" s="293">
        <f>-BA423*BA424/2</f>
        <v>-1.97664</v>
      </c>
      <c r="BB425" s="293">
        <f>+BA425+AZ425</f>
        <v>-4.0613774999999999</v>
      </c>
      <c r="BD425" s="293">
        <f>-BD423*BD424/2</f>
        <v>-2.0229675</v>
      </c>
      <c r="BE425" s="293">
        <f>-BE423*BE424/2</f>
        <v>-1.97664</v>
      </c>
      <c r="BF425" s="293">
        <f>+BE425+BD425</f>
        <v>-3.9996074999999998</v>
      </c>
      <c r="BH425" s="293">
        <f>-BH423*BH424/2</f>
        <v>-1.9920825</v>
      </c>
      <c r="BI425" s="293">
        <f>-BI423*BI424/2</f>
        <v>-1.883985</v>
      </c>
      <c r="BJ425" s="293">
        <f>+BI425+BH425</f>
        <v>-3.8760675</v>
      </c>
      <c r="BL425" s="293">
        <f>-BL423*BL424/2</f>
        <v>-2.0538525000000001</v>
      </c>
      <c r="BM425" s="293">
        <f>-BM423*BM424/2</f>
        <v>-2.378145</v>
      </c>
      <c r="BN425" s="293">
        <f>+BM425+BL425</f>
        <v>-4.4319974999999996</v>
      </c>
      <c r="BP425" s="293">
        <f>-BP423*BP424/2</f>
        <v>-2.40903</v>
      </c>
      <c r="BQ425" s="293">
        <f>-BQ423*BQ424/2</f>
        <v>-2.5634549999999998</v>
      </c>
      <c r="BR425" s="293">
        <f>+BQ425+BP425</f>
        <v>-4.9724849999999998</v>
      </c>
      <c r="BT425" s="293">
        <f>-BT423*BT424/2</f>
        <v>-1.2817274999999999</v>
      </c>
      <c r="BU425" s="293">
        <f>-BU423*BU424/2</f>
        <v>-3.0884999999999999E-2</v>
      </c>
      <c r="BV425" s="293">
        <f>+BU425+BT425</f>
        <v>-1.3126125</v>
      </c>
      <c r="BX425" s="293">
        <f>-BX423*BX424/2</f>
        <v>0</v>
      </c>
      <c r="BY425" s="293">
        <f>-BY423*BY424/2</f>
        <v>0</v>
      </c>
      <c r="BZ425" s="293">
        <f>+BY425+BX425</f>
        <v>0</v>
      </c>
      <c r="CB425" s="293">
        <f>-CB423*CB424/2</f>
        <v>0</v>
      </c>
      <c r="CC425" s="293">
        <f>-CC423*CC424/2</f>
        <v>0</v>
      </c>
      <c r="CD425" s="293">
        <f>+CC425+CB425</f>
        <v>0</v>
      </c>
      <c r="CF425" s="293">
        <f>-CF423*CF424/2</f>
        <v>0</v>
      </c>
      <c r="CG425" s="293">
        <f>-CG423*CG424/2</f>
        <v>0</v>
      </c>
      <c r="CH425" s="293">
        <f>+CG425+CF425</f>
        <v>0</v>
      </c>
      <c r="CJ425" s="293">
        <f>-CJ423*CJ424/2</f>
        <v>0</v>
      </c>
      <c r="CK425" s="293">
        <f>-CK423*CK424/2</f>
        <v>0</v>
      </c>
      <c r="CL425" s="293">
        <f>+CK425+CJ425</f>
        <v>0</v>
      </c>
      <c r="CN425" s="293">
        <f>-CN423*CN424/2</f>
        <v>0</v>
      </c>
      <c r="CO425" s="293">
        <f>-CO423*CO424/2</f>
        <v>0</v>
      </c>
      <c r="CP425" s="293">
        <f>+CO425+CN425</f>
        <v>0</v>
      </c>
      <c r="CR425" s="293">
        <f>-CR423*CR424/2</f>
        <v>0</v>
      </c>
      <c r="CS425" s="293">
        <f>-CS423*CS424/2</f>
        <v>0</v>
      </c>
      <c r="CT425" s="293">
        <f>+CS425+CR425</f>
        <v>0</v>
      </c>
      <c r="CV425" s="293">
        <f>-CV423*CV424/2</f>
        <v>0</v>
      </c>
      <c r="CW425" s="1495">
        <f>-CW423*CW424/2</f>
        <v>0</v>
      </c>
      <c r="CX425" s="293">
        <f>+CW425+CV425</f>
        <v>0</v>
      </c>
      <c r="CZ425" s="293">
        <f>-CZ423*CZ424/2</f>
        <v>0</v>
      </c>
      <c r="DA425" s="1495">
        <f>-DA423*DA424/2</f>
        <v>0</v>
      </c>
      <c r="DB425" s="293">
        <f>+DA425+CZ425</f>
        <v>0</v>
      </c>
      <c r="DD425" s="293">
        <f>-DD423*DD424/2</f>
        <v>0</v>
      </c>
      <c r="DE425" s="1495">
        <f>-DE423*DE424/2</f>
        <v>0</v>
      </c>
      <c r="DF425" s="293">
        <f>+DE425+DD425</f>
        <v>0</v>
      </c>
      <c r="DH425" s="293">
        <f>-DH423*DH424/2</f>
        <v>0</v>
      </c>
      <c r="DI425" s="293">
        <f>-DI423*DI424/2</f>
        <v>0</v>
      </c>
      <c r="DJ425" s="293">
        <f>+DI425+DH425</f>
        <v>0</v>
      </c>
      <c r="DL425" s="293">
        <f>-DL423*DL424/2</f>
        <v>0</v>
      </c>
      <c r="DM425" s="293">
        <f>-DM423*DM424/2</f>
        <v>0</v>
      </c>
      <c r="DN425" s="293">
        <f>+DM425+DL425</f>
        <v>0</v>
      </c>
      <c r="DP425" s="293">
        <f>-DP423*DP424/2</f>
        <v>0</v>
      </c>
      <c r="DQ425" s="293">
        <f>-DQ423*DQ424/2</f>
        <v>0</v>
      </c>
      <c r="DR425" s="293">
        <f>+DQ425+DP425</f>
        <v>0</v>
      </c>
      <c r="DU425" s="293"/>
      <c r="DV425" s="293"/>
      <c r="DW425" s="293"/>
    </row>
    <row r="426" spans="1:138" s="786" customFormat="1">
      <c r="A426" s="786" t="s">
        <v>158</v>
      </c>
      <c r="C426" s="787"/>
      <c r="P426" s="787"/>
      <c r="Q426" s="787"/>
      <c r="R426" s="787"/>
      <c r="S426" s="787"/>
      <c r="T426" s="787"/>
      <c r="U426" s="787"/>
      <c r="V426" s="787"/>
      <c r="W426" s="787"/>
      <c r="X426" s="769"/>
      <c r="Y426" s="769"/>
      <c r="Z426" s="769"/>
      <c r="AA426" s="787"/>
      <c r="AB426" s="769"/>
      <c r="AC426" s="769"/>
      <c r="AD426" s="769"/>
      <c r="AE426" s="769"/>
      <c r="AF426" s="769"/>
      <c r="AG426" s="769"/>
      <c r="AH426" s="769"/>
      <c r="AI426" s="788"/>
      <c r="AJ426" s="769"/>
      <c r="AK426" s="769"/>
      <c r="AL426" s="769"/>
      <c r="AM426" s="787"/>
      <c r="AN426" s="769"/>
      <c r="AO426" s="769"/>
      <c r="AP426" s="769"/>
      <c r="AQ426" s="787"/>
      <c r="AR426" s="769"/>
      <c r="AS426" s="769"/>
      <c r="AT426" s="769"/>
      <c r="AU426" s="787"/>
      <c r="AV426" s="769">
        <f>DIVISIONS!AV725</f>
        <v>-6</v>
      </c>
      <c r="AW426" s="769">
        <f>DIVISIONS!AW725</f>
        <v>-2</v>
      </c>
      <c r="AX426" s="769">
        <f>DIVISIONS!AX725</f>
        <v>-8</v>
      </c>
      <c r="AY426" s="787"/>
      <c r="AZ426" s="769">
        <f>DIVISIONS!AZ725</f>
        <v>-2</v>
      </c>
      <c r="BA426" s="769">
        <f>DIVISIONS!BA725</f>
        <v>-2</v>
      </c>
      <c r="BB426" s="769">
        <f>DIVISIONS!BB725</f>
        <v>-4</v>
      </c>
      <c r="BC426" s="787"/>
      <c r="BD426" s="769">
        <f>DIVISIONS!BD725</f>
        <v>-2</v>
      </c>
      <c r="BE426" s="769">
        <f>DIVISIONS!BE725</f>
        <v>-2</v>
      </c>
      <c r="BF426" s="769">
        <f>DIVISIONS!BF725</f>
        <v>-4</v>
      </c>
      <c r="BG426" s="787"/>
      <c r="BH426" s="769">
        <f>DIVISIONS!BH725</f>
        <v>-2</v>
      </c>
      <c r="BI426" s="769">
        <f>DIVISIONS!BI725</f>
        <v>-2</v>
      </c>
      <c r="BJ426" s="769">
        <f>DIVISIONS!BJ725</f>
        <v>-4</v>
      </c>
      <c r="BK426" s="787"/>
      <c r="BL426" s="769">
        <f>DIVISIONS!BL725</f>
        <v>-2</v>
      </c>
      <c r="BM426" s="769">
        <f>DIVISIONS!BM725</f>
        <v>-2</v>
      </c>
      <c r="BN426" s="769">
        <f>DIVISIONS!BN725</f>
        <v>-4</v>
      </c>
      <c r="BO426" s="787"/>
      <c r="BP426" s="769">
        <f>DIVISIONS!BP725</f>
        <v>-2</v>
      </c>
      <c r="BQ426" s="769">
        <f>DIVISIONS!BQ725</f>
        <v>-3</v>
      </c>
      <c r="BR426" s="769">
        <f>DIVISIONS!BR725</f>
        <v>-5</v>
      </c>
      <c r="BS426" s="787"/>
      <c r="BT426" s="769">
        <f>DIVISIONS!BT725</f>
        <v>-1</v>
      </c>
      <c r="BU426" s="769">
        <f>DIVISIONS!BU725</f>
        <v>0</v>
      </c>
      <c r="BV426" s="769">
        <f>DIVISIONS!BV725</f>
        <v>-1</v>
      </c>
      <c r="BW426" s="787"/>
      <c r="BX426" s="769">
        <f>DIVISIONS!BX725</f>
        <v>0</v>
      </c>
      <c r="BY426" s="769">
        <f>DIVISIONS!BY725</f>
        <v>0</v>
      </c>
      <c r="BZ426" s="769">
        <f>DIVISIONS!BZ725</f>
        <v>0</v>
      </c>
      <c r="CA426" s="787"/>
      <c r="CB426" s="769">
        <f>DIVISIONS!CB725</f>
        <v>0</v>
      </c>
      <c r="CC426" s="769">
        <f>DIVISIONS!CC725</f>
        <v>0</v>
      </c>
      <c r="CD426" s="769">
        <f>DIVISIONS!CD725</f>
        <v>0</v>
      </c>
      <c r="CE426" s="787"/>
      <c r="CF426" s="769">
        <f>DIVISIONS!CF725</f>
        <v>0</v>
      </c>
      <c r="CG426" s="769">
        <f>DIVISIONS!CG725</f>
        <v>0</v>
      </c>
      <c r="CH426" s="769">
        <f>DIVISIONS!CH725</f>
        <v>0</v>
      </c>
      <c r="CI426" s="787"/>
      <c r="CJ426" s="769">
        <v>0</v>
      </c>
      <c r="CK426" s="769">
        <v>0</v>
      </c>
      <c r="CL426" s="769">
        <v>0</v>
      </c>
      <c r="CM426" s="787"/>
      <c r="CN426" s="769">
        <f>DIVISIONS!CN725</f>
        <v>0</v>
      </c>
      <c r="CO426" s="769">
        <v>0</v>
      </c>
      <c r="CP426" s="769">
        <v>0</v>
      </c>
      <c r="CQ426" s="787"/>
      <c r="CR426" s="769">
        <f>DIVISIONS!CR725</f>
        <v>0</v>
      </c>
      <c r="CS426" s="769">
        <f>DIVISIONS!CS725</f>
        <v>0</v>
      </c>
      <c r="CT426" s="769">
        <f>DIVISIONS!CT725</f>
        <v>0</v>
      </c>
      <c r="CU426" s="787"/>
      <c r="CV426" s="769">
        <f>DIVISIONS!CV725</f>
        <v>0</v>
      </c>
      <c r="CW426" s="1817">
        <f>DIVISIONS!CW725</f>
        <v>0</v>
      </c>
      <c r="CX426" s="769">
        <f>DIVISIONS!CX725</f>
        <v>0</v>
      </c>
      <c r="CY426" s="787"/>
      <c r="CZ426" s="769">
        <f>DIVISIONS!CZ725</f>
        <v>0</v>
      </c>
      <c r="DA426" s="1817">
        <f>DIVISIONS!DA725</f>
        <v>0</v>
      </c>
      <c r="DB426" s="769">
        <f>DIVISIONS!DB725</f>
        <v>0</v>
      </c>
      <c r="DC426" s="787"/>
      <c r="DD426" s="769">
        <f>DIVISIONS!DD725</f>
        <v>0</v>
      </c>
      <c r="DE426" s="1817">
        <f>DIVISIONS!DE725</f>
        <v>0</v>
      </c>
      <c r="DF426" s="769">
        <f>DIVISIONS!DF725</f>
        <v>0</v>
      </c>
      <c r="DG426" s="787"/>
      <c r="DH426" s="769">
        <f>DIVISIONS!DH725</f>
        <v>0</v>
      </c>
      <c r="DI426" s="769">
        <f>DIVISIONS!DI725</f>
        <v>0</v>
      </c>
      <c r="DJ426" s="769">
        <f>DIVISIONS!DJ725</f>
        <v>0</v>
      </c>
      <c r="DK426" s="787"/>
      <c r="DL426" s="769">
        <f>DIVISIONS!DL725</f>
        <v>0</v>
      </c>
      <c r="DM426" s="769">
        <f>DIVISIONS!DM725</f>
        <v>0</v>
      </c>
      <c r="DN426" s="769">
        <f>DIVISIONS!DN725</f>
        <v>0</v>
      </c>
      <c r="DO426" s="787"/>
      <c r="DP426" s="769">
        <f>DIVISIONS!DP725</f>
        <v>0</v>
      </c>
      <c r="DQ426" s="769">
        <f>DIVISIONS!DQ725</f>
        <v>0</v>
      </c>
      <c r="DR426" s="769">
        <f>DIVISIONS!DR725</f>
        <v>0</v>
      </c>
      <c r="DS426" s="787"/>
      <c r="DT426" s="787"/>
      <c r="DU426" s="769"/>
      <c r="DV426" s="769"/>
      <c r="DW426" s="769"/>
      <c r="DX426" s="787"/>
      <c r="EH426"/>
    </row>
    <row r="427" spans="1:138" s="786" customFormat="1">
      <c r="C427" s="787"/>
      <c r="P427" s="787"/>
      <c r="Q427" s="787"/>
      <c r="R427" s="787"/>
      <c r="S427" s="787"/>
      <c r="T427" s="787"/>
      <c r="U427" s="787"/>
      <c r="V427" s="787"/>
      <c r="W427" s="787"/>
      <c r="X427" s="769"/>
      <c r="Y427" s="769"/>
      <c r="Z427" s="769"/>
      <c r="AA427" s="787"/>
      <c r="AB427" s="769"/>
      <c r="AC427" s="769"/>
      <c r="AD427" s="769"/>
      <c r="AE427" s="769"/>
      <c r="AF427" s="769"/>
      <c r="AG427" s="769"/>
      <c r="AH427" s="769"/>
      <c r="AI427" s="788"/>
      <c r="AJ427" s="769"/>
      <c r="AK427" s="769"/>
      <c r="AL427" s="769"/>
      <c r="AM427" s="787"/>
      <c r="AN427" s="769"/>
      <c r="AO427" s="769"/>
      <c r="AP427" s="769"/>
      <c r="AQ427" s="787"/>
      <c r="AR427" s="769"/>
      <c r="AS427" s="769"/>
      <c r="AT427" s="769"/>
      <c r="AU427" s="787"/>
      <c r="AV427" s="769"/>
      <c r="AW427" s="769"/>
      <c r="AX427" s="769"/>
      <c r="AY427" s="787"/>
      <c r="AZ427" s="769"/>
      <c r="BA427" s="769"/>
      <c r="BB427" s="769"/>
      <c r="BC427" s="787"/>
      <c r="BD427" s="769"/>
      <c r="BE427" s="769"/>
      <c r="BF427" s="769"/>
      <c r="BG427" s="787"/>
      <c r="BH427" s="769"/>
      <c r="BI427" s="769"/>
      <c r="BJ427" s="769"/>
      <c r="BK427" s="787"/>
      <c r="BL427" s="769"/>
      <c r="BM427" s="769"/>
      <c r="BN427" s="769"/>
      <c r="BO427" s="787"/>
      <c r="BP427" s="769"/>
      <c r="BQ427" s="769"/>
      <c r="BR427" s="769"/>
      <c r="BS427" s="787"/>
      <c r="BT427" s="769"/>
      <c r="BU427" s="769"/>
      <c r="BV427" s="769"/>
      <c r="BW427" s="787"/>
      <c r="BX427" s="769"/>
      <c r="BY427" s="769"/>
      <c r="BZ427" s="769"/>
      <c r="CA427" s="787"/>
      <c r="CB427" s="769"/>
      <c r="CC427" s="769"/>
      <c r="CD427" s="769"/>
      <c r="CE427" s="787"/>
      <c r="CF427" s="769"/>
      <c r="CG427" s="769"/>
      <c r="CH427" s="769"/>
      <c r="CI427" s="787"/>
      <c r="CJ427" s="769"/>
      <c r="CK427" s="769"/>
      <c r="CL427" s="769"/>
      <c r="CM427" s="787"/>
      <c r="CN427" s="769"/>
      <c r="CO427" s="769"/>
      <c r="CP427" s="769"/>
      <c r="CQ427" s="787"/>
      <c r="CR427" s="769"/>
      <c r="CS427" s="769"/>
      <c r="CT427" s="769"/>
      <c r="CU427" s="787"/>
      <c r="CV427" s="769"/>
      <c r="CW427" s="1817"/>
      <c r="CX427" s="769"/>
      <c r="CY427" s="787"/>
      <c r="CZ427" s="769"/>
      <c r="DA427" s="1817"/>
      <c r="DB427" s="769"/>
      <c r="DC427" s="787"/>
      <c r="DD427" s="769"/>
      <c r="DE427" s="1817"/>
      <c r="DF427" s="769"/>
      <c r="DG427" s="787"/>
      <c r="DH427" s="769"/>
      <c r="DI427" s="769"/>
      <c r="DJ427" s="769"/>
      <c r="DK427" s="787"/>
      <c r="DL427" s="769"/>
      <c r="DM427" s="769"/>
      <c r="DN427" s="769"/>
      <c r="DO427" s="787"/>
      <c r="DP427" s="769"/>
      <c r="DQ427" s="769"/>
      <c r="DR427" s="769"/>
      <c r="DS427" s="787"/>
      <c r="DT427" s="787"/>
      <c r="DU427" s="769"/>
      <c r="DV427" s="769"/>
      <c r="DW427" s="769"/>
      <c r="DX427" s="787"/>
      <c r="EH427"/>
    </row>
    <row r="428" spans="1:138" s="289" customFormat="1">
      <c r="A428" s="289" t="s">
        <v>171</v>
      </c>
      <c r="C428" s="290"/>
      <c r="P428" s="290"/>
      <c r="Q428" s="290"/>
      <c r="R428" s="290"/>
      <c r="S428" s="290"/>
      <c r="T428" s="290"/>
      <c r="U428" s="290"/>
      <c r="V428" s="290"/>
      <c r="W428" s="290"/>
      <c r="X428" s="295"/>
      <c r="Y428" s="295"/>
      <c r="Z428" s="295"/>
      <c r="AA428" s="290"/>
      <c r="AB428" s="295"/>
      <c r="AC428" s="295"/>
      <c r="AD428" s="295"/>
      <c r="AE428" s="295"/>
      <c r="AF428" s="295"/>
      <c r="AG428" s="295"/>
      <c r="AH428" s="295"/>
      <c r="AI428" s="649"/>
      <c r="AJ428" s="295"/>
      <c r="AK428" s="295"/>
      <c r="AL428" s="295"/>
      <c r="AM428" s="290"/>
      <c r="AN428" s="295"/>
      <c r="AO428" s="295"/>
      <c r="AP428" s="295"/>
      <c r="AQ428" s="290"/>
      <c r="AR428" s="295"/>
      <c r="AS428" s="295"/>
      <c r="AT428" s="295"/>
      <c r="AU428" s="290"/>
      <c r="AV428" s="295"/>
      <c r="AW428" s="295"/>
      <c r="AX428" s="295"/>
      <c r="AY428" s="290"/>
      <c r="AZ428" s="295"/>
      <c r="BA428" s="295"/>
      <c r="BB428" s="295"/>
      <c r="BC428" s="290"/>
      <c r="BD428" s="295"/>
      <c r="BE428" s="295"/>
      <c r="BF428" s="295"/>
      <c r="BG428" s="290"/>
      <c r="BH428" s="295"/>
      <c r="BI428" s="295"/>
      <c r="BJ428" s="295"/>
      <c r="BK428" s="290"/>
      <c r="BL428" s="295"/>
      <c r="BM428" s="295"/>
      <c r="BN428" s="295"/>
      <c r="BO428" s="290"/>
      <c r="BP428" s="295"/>
      <c r="BQ428" s="295"/>
      <c r="BR428" s="295"/>
      <c r="BS428" s="290"/>
      <c r="BT428" s="295"/>
      <c r="BU428" s="295"/>
      <c r="BV428" s="295"/>
      <c r="BW428" s="290"/>
      <c r="BX428" s="295"/>
      <c r="BY428" s="295"/>
      <c r="BZ428" s="295"/>
      <c r="CA428" s="290"/>
      <c r="CB428" s="295"/>
      <c r="CC428" s="295"/>
      <c r="CD428" s="295"/>
      <c r="CE428" s="290"/>
      <c r="CF428" s="295"/>
      <c r="CG428" s="295"/>
      <c r="CH428" s="295"/>
      <c r="CI428" s="290"/>
      <c r="CJ428" s="295"/>
      <c r="CK428" s="295"/>
      <c r="CL428" s="295"/>
      <c r="CM428" s="290"/>
      <c r="CN428" s="295"/>
      <c r="CO428" s="295"/>
      <c r="CP428" s="295"/>
      <c r="CQ428" s="290"/>
      <c r="CR428" s="295"/>
      <c r="CS428" s="295"/>
      <c r="CT428" s="295"/>
      <c r="CU428" s="290"/>
      <c r="CV428" s="295"/>
      <c r="CW428" s="1390"/>
      <c r="CX428" s="295"/>
      <c r="CY428" s="290"/>
      <c r="CZ428" s="295"/>
      <c r="DA428" s="1390"/>
      <c r="DB428" s="295"/>
      <c r="DC428" s="290"/>
      <c r="DD428" s="295"/>
      <c r="DE428" s="1390"/>
      <c r="DF428" s="295"/>
      <c r="DG428" s="290"/>
      <c r="DH428" s="295"/>
      <c r="DI428" s="295"/>
      <c r="DJ428" s="295"/>
      <c r="DK428" s="290"/>
      <c r="DL428" s="295"/>
      <c r="DM428" s="295"/>
      <c r="DN428" s="295"/>
      <c r="DO428" s="290"/>
      <c r="DP428" s="295"/>
      <c r="DQ428" s="295"/>
      <c r="DR428" s="295"/>
      <c r="DS428" s="290"/>
      <c r="DT428" s="290"/>
      <c r="DU428" s="295"/>
      <c r="DV428" s="295"/>
      <c r="DW428" s="295"/>
      <c r="DX428" s="290"/>
      <c r="EH428"/>
    </row>
    <row r="429" spans="1:138">
      <c r="A429" s="102" t="s">
        <v>135</v>
      </c>
      <c r="C429" s="103" t="s">
        <v>612</v>
      </c>
      <c r="X429" s="293"/>
      <c r="Y429" s="293"/>
      <c r="Z429" s="293"/>
      <c r="AB429" s="293">
        <f>AB425</f>
        <v>-1</v>
      </c>
      <c r="AC429" s="293">
        <f>AC425</f>
        <v>-26.669197499999999</v>
      </c>
      <c r="AD429" s="293">
        <f>AD425</f>
        <v>-27.669197499999999</v>
      </c>
      <c r="AE429" s="293"/>
      <c r="AF429" s="293">
        <f>AF425</f>
        <v>-25.7426475</v>
      </c>
      <c r="AG429" s="293">
        <f>AG425</f>
        <v>-25.665434999999999</v>
      </c>
      <c r="AH429" s="293">
        <f>AH425</f>
        <v>-51.408082499999999</v>
      </c>
      <c r="AI429" s="320"/>
      <c r="AJ429" s="293">
        <f>AJ425</f>
        <v>-26.715525</v>
      </c>
      <c r="AK429" s="293">
        <f>AK425</f>
        <v>-26.715525</v>
      </c>
      <c r="AL429" s="293">
        <f>AL425</f>
        <v>-53.431049999999999</v>
      </c>
      <c r="AN429" s="293">
        <f>AN425</f>
        <v>-25.619107499999998</v>
      </c>
      <c r="AO429" s="293">
        <f>AO425</f>
        <v>-24.244724999999999</v>
      </c>
      <c r="AP429" s="293">
        <f>AP425</f>
        <v>-49.863832500000001</v>
      </c>
      <c r="AR429" s="293"/>
      <c r="AS429" s="293"/>
      <c r="AT429" s="293"/>
      <c r="AV429" s="293">
        <f>AV425</f>
        <v>-7.4587275000000002</v>
      </c>
      <c r="AW429" s="293">
        <f>AW425</f>
        <v>-2.1001799999999999</v>
      </c>
      <c r="AX429" s="293">
        <f>AX425</f>
        <v>-9.5589075000000001</v>
      </c>
      <c r="AZ429" s="293">
        <f>AZ425</f>
        <v>-2.0847375000000001</v>
      </c>
      <c r="BA429" s="293">
        <f>BA425</f>
        <v>-1.97664</v>
      </c>
      <c r="BB429" s="293">
        <f>BB425</f>
        <v>-4.0613774999999999</v>
      </c>
      <c r="BD429" s="293">
        <f>BD425</f>
        <v>-2.0229675</v>
      </c>
      <c r="BE429" s="293">
        <f>BE425</f>
        <v>-1.97664</v>
      </c>
      <c r="BF429" s="293">
        <f>BF425</f>
        <v>-3.9996074999999998</v>
      </c>
      <c r="BH429" s="293">
        <f>BH425</f>
        <v>-1.9920825</v>
      </c>
      <c r="BI429" s="293">
        <f>BI425</f>
        <v>-1.883985</v>
      </c>
      <c r="BJ429" s="293">
        <f>BJ425</f>
        <v>-3.8760675</v>
      </c>
      <c r="BL429" s="293">
        <f>BL425</f>
        <v>-2.0538525000000001</v>
      </c>
      <c r="BM429" s="293">
        <f>BM425</f>
        <v>-2.378145</v>
      </c>
      <c r="BN429" s="293">
        <f>BN425</f>
        <v>-4.4319974999999996</v>
      </c>
      <c r="BP429" s="293">
        <f>BP425</f>
        <v>-2.40903</v>
      </c>
      <c r="BQ429" s="293">
        <f>BQ425</f>
        <v>-2.5634549999999998</v>
      </c>
      <c r="BR429" s="293">
        <f>BR425</f>
        <v>-4.9724849999999998</v>
      </c>
      <c r="BT429" s="293">
        <f>BT425</f>
        <v>-1.2817274999999999</v>
      </c>
      <c r="BU429" s="293">
        <f>BU425</f>
        <v>-3.0884999999999999E-2</v>
      </c>
      <c r="BV429" s="293">
        <f>BV425</f>
        <v>-1.3126125</v>
      </c>
      <c r="BX429" s="293">
        <f>BX425</f>
        <v>0</v>
      </c>
      <c r="BY429" s="293">
        <f>BY425</f>
        <v>0</v>
      </c>
      <c r="BZ429" s="293">
        <f>BZ425</f>
        <v>0</v>
      </c>
      <c r="CB429" s="293">
        <f>CB425</f>
        <v>0</v>
      </c>
      <c r="CC429" s="293">
        <f>CC425</f>
        <v>0</v>
      </c>
      <c r="CD429" s="293">
        <f>CD425</f>
        <v>0</v>
      </c>
      <c r="CF429" s="293">
        <f>CF425</f>
        <v>0</v>
      </c>
      <c r="CG429" s="293">
        <f>CG425</f>
        <v>0</v>
      </c>
      <c r="CH429" s="293">
        <f>CH425</f>
        <v>0</v>
      </c>
      <c r="CJ429" s="293">
        <f>CJ425</f>
        <v>0</v>
      </c>
      <c r="CK429" s="293">
        <f>CK425</f>
        <v>0</v>
      </c>
      <c r="CL429" s="293">
        <f>CL425</f>
        <v>0</v>
      </c>
      <c r="CN429" s="293">
        <f>CN425</f>
        <v>0</v>
      </c>
      <c r="CO429" s="293">
        <f>CO425</f>
        <v>0</v>
      </c>
      <c r="CP429" s="293">
        <f>CP425</f>
        <v>0</v>
      </c>
      <c r="CR429" s="293">
        <f>CR425</f>
        <v>0</v>
      </c>
      <c r="CS429" s="293">
        <f>CS425</f>
        <v>0</v>
      </c>
      <c r="CT429" s="293">
        <f>CT425</f>
        <v>0</v>
      </c>
      <c r="CV429" s="293">
        <f>CV425</f>
        <v>0</v>
      </c>
      <c r="CW429" s="1495">
        <f>CW425</f>
        <v>0</v>
      </c>
      <c r="CX429" s="293">
        <f>CX425</f>
        <v>0</v>
      </c>
      <c r="CZ429" s="293">
        <f>CZ425</f>
        <v>0</v>
      </c>
      <c r="DA429" s="1495">
        <f>DA425</f>
        <v>0</v>
      </c>
      <c r="DB429" s="293">
        <f>DB425</f>
        <v>0</v>
      </c>
      <c r="DD429" s="293">
        <f>DD425</f>
        <v>0</v>
      </c>
      <c r="DE429" s="1495">
        <f>DE425</f>
        <v>0</v>
      </c>
      <c r="DF429" s="293">
        <f>DF425</f>
        <v>0</v>
      </c>
      <c r="DH429" s="293">
        <f>DH425</f>
        <v>0</v>
      </c>
      <c r="DI429" s="293">
        <f>DI425</f>
        <v>0</v>
      </c>
      <c r="DJ429" s="293">
        <f>DJ425</f>
        <v>0</v>
      </c>
      <c r="DL429" s="293">
        <f>DL425</f>
        <v>0</v>
      </c>
      <c r="DM429" s="293">
        <f>DM425</f>
        <v>0</v>
      </c>
      <c r="DN429" s="293">
        <f>DN425</f>
        <v>0</v>
      </c>
      <c r="DP429" s="293">
        <f>DP425</f>
        <v>0</v>
      </c>
      <c r="DQ429" s="293">
        <f>DQ425</f>
        <v>0</v>
      </c>
      <c r="DR429" s="293">
        <f>DR425</f>
        <v>0</v>
      </c>
      <c r="DU429" s="293"/>
      <c r="DV429" s="293"/>
      <c r="DW429" s="293"/>
    </row>
    <row r="430" spans="1:138">
      <c r="A430" s="102" t="s">
        <v>162</v>
      </c>
      <c r="C430" s="103" t="s">
        <v>612</v>
      </c>
      <c r="X430" s="293"/>
      <c r="Y430" s="293"/>
      <c r="Z430" s="293"/>
      <c r="AB430" s="293"/>
      <c r="AC430" s="293"/>
      <c r="AD430" s="293"/>
      <c r="AE430" s="293"/>
      <c r="AF430" s="293"/>
      <c r="AG430" s="293"/>
      <c r="AH430" s="293"/>
      <c r="AI430" s="320"/>
      <c r="AJ430" s="293"/>
      <c r="AK430" s="293"/>
      <c r="AL430" s="293"/>
      <c r="AN430" s="293"/>
      <c r="AO430" s="293"/>
      <c r="AP430" s="293"/>
      <c r="AR430" s="293"/>
      <c r="AS430" s="293"/>
      <c r="AT430" s="293"/>
      <c r="AV430" s="293">
        <f>AV388</f>
        <v>-16</v>
      </c>
      <c r="AW430" s="293">
        <f>AW388</f>
        <v>-13</v>
      </c>
      <c r="AX430" s="293">
        <f>AX388</f>
        <v>-29</v>
      </c>
      <c r="AZ430" s="293">
        <f>AZ388</f>
        <v>-15</v>
      </c>
      <c r="BA430" s="293">
        <f>BA388</f>
        <v>-13.285692307692312</v>
      </c>
      <c r="BB430" s="293">
        <f>BB388</f>
        <v>-28.285692307692312</v>
      </c>
      <c r="BD430" s="293">
        <f>BD388</f>
        <v>-15</v>
      </c>
      <c r="BE430" s="293">
        <f>BE388</f>
        <v>-12.44</v>
      </c>
      <c r="BF430" s="293">
        <f>BF388</f>
        <v>-27.44</v>
      </c>
      <c r="BH430" s="293">
        <f>BH388</f>
        <v>-13</v>
      </c>
      <c r="BI430" s="293">
        <f>BI388</f>
        <v>-9.58</v>
      </c>
      <c r="BJ430" s="293">
        <f>BJ388</f>
        <v>-22.58</v>
      </c>
      <c r="BL430" s="293">
        <f>BL388</f>
        <v>-9</v>
      </c>
      <c r="BM430" s="293">
        <f>BM388</f>
        <v>-9</v>
      </c>
      <c r="BN430" s="293">
        <f>BN388</f>
        <v>-18</v>
      </c>
      <c r="BP430" s="293">
        <f>BP388</f>
        <v>-9</v>
      </c>
      <c r="BQ430" s="293">
        <f>BQ388</f>
        <v>-10</v>
      </c>
      <c r="BR430" s="293">
        <f>BR388</f>
        <v>-19</v>
      </c>
      <c r="BT430" s="293">
        <f>BT388</f>
        <v>-8</v>
      </c>
      <c r="BU430" s="293">
        <f>BU388</f>
        <v>-8</v>
      </c>
      <c r="BV430" s="293">
        <f>BV388</f>
        <v>-16</v>
      </c>
      <c r="BX430" s="293">
        <f>BX388</f>
        <v>-8</v>
      </c>
      <c r="BY430" s="293">
        <f>BY388</f>
        <v>-7</v>
      </c>
      <c r="BZ430" s="293">
        <f>BZ388</f>
        <v>-16</v>
      </c>
      <c r="CB430" s="293">
        <f>CB388</f>
        <v>-7</v>
      </c>
      <c r="CC430" s="293">
        <f>CC388</f>
        <v>-7</v>
      </c>
      <c r="CD430" s="293">
        <f>CD388</f>
        <v>-14</v>
      </c>
      <c r="CF430" s="293">
        <f>CF388</f>
        <v>-7</v>
      </c>
      <c r="CG430" s="293">
        <f>CG388</f>
        <v>-8</v>
      </c>
      <c r="CH430" s="293">
        <f>CH388</f>
        <v>-15</v>
      </c>
      <c r="CJ430" s="293">
        <f>CJ388</f>
        <v>-7</v>
      </c>
      <c r="CK430" s="293">
        <f>CK388</f>
        <v>19</v>
      </c>
      <c r="CL430" s="293">
        <f>CL388</f>
        <v>12</v>
      </c>
      <c r="CN430" s="293">
        <f>CN388</f>
        <v>0</v>
      </c>
      <c r="CO430" s="293">
        <f>CO388</f>
        <v>0</v>
      </c>
      <c r="CP430" s="293">
        <f>CP388</f>
        <v>0</v>
      </c>
      <c r="CR430" s="293">
        <f>CR388</f>
        <v>0</v>
      </c>
      <c r="CS430" s="293">
        <f>CS388</f>
        <v>0</v>
      </c>
      <c r="CT430" s="293">
        <f>CT388</f>
        <v>0</v>
      </c>
      <c r="CV430" s="293">
        <f>CV388</f>
        <v>0</v>
      </c>
      <c r="CW430" s="1495">
        <f>CW388</f>
        <v>0</v>
      </c>
      <c r="CX430" s="293">
        <f>CX388</f>
        <v>0</v>
      </c>
      <c r="CZ430" s="293">
        <f>CZ388</f>
        <v>0</v>
      </c>
      <c r="DA430" s="1495">
        <f>DA388</f>
        <v>0</v>
      </c>
      <c r="DB430" s="293">
        <f>DB388</f>
        <v>0</v>
      </c>
      <c r="DD430" s="293">
        <f>DD388</f>
        <v>0</v>
      </c>
      <c r="DE430" s="1495">
        <f>DE388</f>
        <v>0</v>
      </c>
      <c r="DF430" s="293">
        <f>DF388</f>
        <v>0</v>
      </c>
      <c r="DH430" s="293">
        <f>DH388</f>
        <v>0</v>
      </c>
      <c r="DI430" s="293">
        <f>DI388</f>
        <v>0</v>
      </c>
      <c r="DJ430" s="293">
        <f>DJ388</f>
        <v>0</v>
      </c>
      <c r="DL430" s="293">
        <f>DL388</f>
        <v>0</v>
      </c>
      <c r="DM430" s="293">
        <f>DM388</f>
        <v>0</v>
      </c>
      <c r="DN430" s="293">
        <f>DN388</f>
        <v>0</v>
      </c>
      <c r="DP430" s="293">
        <f>DP388</f>
        <v>0</v>
      </c>
      <c r="DQ430" s="293">
        <f>DQ388</f>
        <v>0</v>
      </c>
      <c r="DR430" s="293">
        <f>DR388</f>
        <v>0</v>
      </c>
      <c r="DU430" s="293"/>
      <c r="DV430" s="293"/>
      <c r="DW430" s="293"/>
    </row>
    <row r="431" spans="1:138">
      <c r="A431" s="102" t="s">
        <v>163</v>
      </c>
      <c r="C431" s="103" t="s">
        <v>612</v>
      </c>
      <c r="X431" s="293"/>
      <c r="Y431" s="293"/>
      <c r="Z431" s="293"/>
      <c r="AB431" s="293"/>
      <c r="AC431" s="293"/>
      <c r="AD431" s="293"/>
      <c r="AE431" s="293"/>
      <c r="AF431" s="293"/>
      <c r="AG431" s="293"/>
      <c r="AH431" s="293"/>
      <c r="AI431" s="320"/>
      <c r="AJ431" s="293"/>
      <c r="AK431" s="293"/>
      <c r="AL431" s="293"/>
      <c r="AN431" s="293"/>
      <c r="AO431" s="293"/>
      <c r="AP431" s="293"/>
      <c r="AR431" s="293"/>
      <c r="AS431" s="293"/>
      <c r="AT431" s="293"/>
      <c r="AV431" s="293">
        <f>DIVISIONS!AV723</f>
        <v>0</v>
      </c>
      <c r="AW431" s="293">
        <f>DIVISIONS!AW723</f>
        <v>6</v>
      </c>
      <c r="AX431" s="293">
        <f>DIVISIONS!AX723</f>
        <v>6</v>
      </c>
      <c r="AZ431" s="293">
        <f>DIVISIONS!AZ723</f>
        <v>-2</v>
      </c>
      <c r="BA431" s="293">
        <f>DIVISIONS!BA723</f>
        <v>8</v>
      </c>
      <c r="BB431" s="293">
        <f>DIVISIONS!BB723</f>
        <v>6</v>
      </c>
      <c r="BD431" s="293">
        <f>DIVISIONS!BD723</f>
        <v>-5</v>
      </c>
      <c r="BE431" s="293">
        <f>DIVISIONS!BE723</f>
        <v>3</v>
      </c>
      <c r="BF431" s="293">
        <f>DIVISIONS!BF723</f>
        <v>-2</v>
      </c>
      <c r="BH431" s="293">
        <f>DIVISIONS!BH723</f>
        <v>-6</v>
      </c>
      <c r="BI431" s="293">
        <f>DIVISIONS!BI723</f>
        <v>5</v>
      </c>
      <c r="BJ431" s="293">
        <f>DIVISIONS!BJ723</f>
        <v>-1</v>
      </c>
      <c r="BL431" s="293">
        <f>DIVISIONS!BL723</f>
        <v>-3</v>
      </c>
      <c r="BM431" s="293">
        <f>DIVISIONS!BM723</f>
        <v>0</v>
      </c>
      <c r="BN431" s="293">
        <f>DIVISIONS!BN723</f>
        <v>-3</v>
      </c>
      <c r="BP431" s="293">
        <f>DIVISIONS!BP723</f>
        <v>-1</v>
      </c>
      <c r="BQ431" s="293">
        <f>DIVISIONS!BQ723</f>
        <v>1</v>
      </c>
      <c r="BR431" s="293">
        <f>DIVISIONS!BR723</f>
        <v>0</v>
      </c>
      <c r="BT431" s="293">
        <f>DIVISIONS!BT723</f>
        <v>3</v>
      </c>
      <c r="BU431" s="293">
        <f>DIVISIONS!BU723</f>
        <v>-4</v>
      </c>
      <c r="BV431" s="293">
        <f>DIVISIONS!BV723</f>
        <v>-1</v>
      </c>
      <c r="BX431" s="293">
        <f>DIVISIONS!BX723</f>
        <v>0</v>
      </c>
      <c r="BY431" s="293">
        <f>DIVISIONS!BY723</f>
        <v>-2</v>
      </c>
      <c r="BZ431" s="293">
        <f>DIVISIONS!BZ723</f>
        <v>-2</v>
      </c>
      <c r="CB431" s="293">
        <f>DIVISIONS!CB723</f>
        <v>-1</v>
      </c>
      <c r="CC431" s="293">
        <f>DIVISIONS!CC723</f>
        <v>1</v>
      </c>
      <c r="CD431" s="293">
        <f>DIVISIONS!CD723</f>
        <v>0</v>
      </c>
      <c r="CF431" s="293">
        <f>DIVISIONS!CF723</f>
        <v>-2</v>
      </c>
      <c r="CG431" s="293">
        <f>DIVISIONS!CG723</f>
        <v>2</v>
      </c>
      <c r="CH431" s="293">
        <f>DIVISIONS!CH723</f>
        <v>0</v>
      </c>
      <c r="CJ431" s="293">
        <v>0</v>
      </c>
      <c r="CK431" s="293">
        <v>0</v>
      </c>
      <c r="CL431" s="293">
        <v>0</v>
      </c>
      <c r="CN431" s="293">
        <f>DIVISIONS!CN723</f>
        <v>0</v>
      </c>
      <c r="CO431" s="293">
        <v>0</v>
      </c>
      <c r="CP431" s="293">
        <v>0</v>
      </c>
      <c r="CR431" s="293">
        <f>DIVISIONS!CR723</f>
        <v>0</v>
      </c>
      <c r="CS431" s="293">
        <f>DIVISIONS!CS723</f>
        <v>-1</v>
      </c>
      <c r="CT431" s="293">
        <f>DIVISIONS!CT723</f>
        <v>-1</v>
      </c>
      <c r="CV431" s="293">
        <f>DIVISIONS!CV723</f>
        <v>-1</v>
      </c>
      <c r="CW431" s="1495">
        <f>DIVISIONS!CW723</f>
        <v>-1</v>
      </c>
      <c r="CX431" s="293">
        <f>DIVISIONS!CX723</f>
        <v>-2</v>
      </c>
      <c r="CZ431" s="293">
        <f>DIVISIONS!CZ723</f>
        <v>0</v>
      </c>
      <c r="DA431" s="1495">
        <f>DIVISIONS!DA723</f>
        <v>-2</v>
      </c>
      <c r="DB431" s="293">
        <f>DIVISIONS!DB723</f>
        <v>-2</v>
      </c>
      <c r="DD431" s="293">
        <f>DIVISIONS!DD723</f>
        <v>6</v>
      </c>
      <c r="DE431" s="1495">
        <f>DIVISIONS!DE723</f>
        <v>3</v>
      </c>
      <c r="DF431" s="293">
        <f>DIVISIONS!DF723</f>
        <v>9</v>
      </c>
      <c r="DH431" s="293">
        <f>DIVISIONS!DH723</f>
        <v>-1</v>
      </c>
      <c r="DI431" s="293">
        <f>DIVISIONS!DI723</f>
        <v>0</v>
      </c>
      <c r="DJ431" s="293">
        <f>DIVISIONS!DJ723</f>
        <v>-1</v>
      </c>
      <c r="DL431" s="293">
        <f>DIVISIONS!DL723</f>
        <v>0</v>
      </c>
      <c r="DM431" s="293">
        <f>DIVISIONS!DM723</f>
        <v>0</v>
      </c>
      <c r="DN431" s="293">
        <f>DIVISIONS!DN723</f>
        <v>0</v>
      </c>
      <c r="DP431" s="293">
        <f>DIVISIONS!DP723</f>
        <v>0</v>
      </c>
      <c r="DQ431" s="293">
        <f>DIVISIONS!DQ723</f>
        <v>0</v>
      </c>
      <c r="DR431" s="293">
        <f>DIVISIONS!DR723</f>
        <v>0</v>
      </c>
      <c r="DU431" s="293"/>
      <c r="DV431" s="293"/>
      <c r="DW431" s="293"/>
    </row>
    <row r="432" spans="1:138">
      <c r="A432" s="102" t="s">
        <v>164</v>
      </c>
      <c r="C432" s="103" t="s">
        <v>612</v>
      </c>
      <c r="X432" s="293"/>
      <c r="Y432" s="293"/>
      <c r="Z432" s="293"/>
      <c r="AB432" s="293"/>
      <c r="AC432" s="293"/>
      <c r="AD432" s="293"/>
      <c r="AE432" s="293"/>
      <c r="AF432" s="293"/>
      <c r="AG432" s="293"/>
      <c r="AH432" s="293"/>
      <c r="AI432" s="320"/>
      <c r="AJ432" s="293"/>
      <c r="AK432" s="293"/>
      <c r="AL432" s="293"/>
      <c r="AN432" s="293"/>
      <c r="AO432" s="293"/>
      <c r="AP432" s="293"/>
      <c r="AR432" s="293"/>
      <c r="AS432" s="293"/>
      <c r="AT432" s="293"/>
      <c r="AV432" s="293">
        <f>DIVISIONS!AV355</f>
        <v>1</v>
      </c>
      <c r="AW432" s="293">
        <f>DIVISIONS!AW355</f>
        <v>0</v>
      </c>
      <c r="AX432" s="293">
        <f>DIVISIONS!AX355</f>
        <v>1</v>
      </c>
      <c r="AZ432" s="293">
        <f>DIVISIONS!AZ355</f>
        <v>1</v>
      </c>
      <c r="BA432" s="293">
        <f>DIVISIONS!BA355</f>
        <v>5</v>
      </c>
      <c r="BB432" s="293">
        <f>DIVISIONS!BB355</f>
        <v>6</v>
      </c>
      <c r="BD432" s="293">
        <f>DIVISIONS!BD355</f>
        <v>2</v>
      </c>
      <c r="BE432" s="293">
        <f>DIVISIONS!BE355</f>
        <v>1</v>
      </c>
      <c r="BF432" s="293">
        <f>DIVISIONS!BF355</f>
        <v>3</v>
      </c>
      <c r="BH432" s="293">
        <f>DIVISIONS!BH355</f>
        <v>1</v>
      </c>
      <c r="BI432" s="293">
        <f>DIVISIONS!BI355</f>
        <v>0</v>
      </c>
      <c r="BJ432" s="293">
        <f>DIVISIONS!BJ355</f>
        <v>1</v>
      </c>
      <c r="BL432" s="293">
        <f>DIVISIONS!BL355</f>
        <v>0</v>
      </c>
      <c r="BM432" s="293">
        <f>DIVISIONS!BM355</f>
        <v>0</v>
      </c>
      <c r="BN432" s="293">
        <f>DIVISIONS!BN355</f>
        <v>0</v>
      </c>
      <c r="BP432" s="293">
        <f>DIVISIONS!BP355</f>
        <v>0</v>
      </c>
      <c r="BQ432" s="293">
        <f>DIVISIONS!BQ355</f>
        <v>0</v>
      </c>
      <c r="BR432" s="293">
        <f>DIVISIONS!BR355</f>
        <v>0</v>
      </c>
      <c r="BT432" s="293">
        <f>DIVISIONS!BT355</f>
        <v>-13</v>
      </c>
      <c r="BU432" s="293">
        <f>DIVISIONS!BU355</f>
        <v>0</v>
      </c>
      <c r="BV432" s="293">
        <f>DIVISIONS!BV355</f>
        <v>-13</v>
      </c>
      <c r="BX432" s="293">
        <f>DIVISIONS!BX355</f>
        <v>0</v>
      </c>
      <c r="BY432" s="293">
        <f>DIVISIONS!BY355</f>
        <v>-1</v>
      </c>
      <c r="BZ432" s="293">
        <f>DIVISIONS!BZ355</f>
        <v>-1</v>
      </c>
      <c r="CB432" s="293">
        <f>DIVISIONS!CB355</f>
        <v>2</v>
      </c>
      <c r="CC432" s="293">
        <f>DIVISIONS!CC355</f>
        <v>-3</v>
      </c>
      <c r="CD432" s="293">
        <f>DIVISIONS!CD355</f>
        <v>-1</v>
      </c>
      <c r="CF432" s="293">
        <f>DIVISIONS!CF355</f>
        <v>-1</v>
      </c>
      <c r="CG432" s="293">
        <f>DIVISIONS!CG355</f>
        <v>-1</v>
      </c>
      <c r="CH432" s="293">
        <f>DIVISIONS!CH355</f>
        <v>-2</v>
      </c>
      <c r="CJ432" s="293">
        <v>0</v>
      </c>
      <c r="CK432" s="293">
        <v>0</v>
      </c>
      <c r="CL432" s="293">
        <v>0</v>
      </c>
      <c r="CN432" s="293">
        <f>DIVISIONS!CN355</f>
        <v>-6</v>
      </c>
      <c r="CO432" s="293">
        <v>0</v>
      </c>
      <c r="CP432" s="293">
        <v>0</v>
      </c>
      <c r="CR432" s="293">
        <f>DIVISIONS!CR355</f>
        <v>5</v>
      </c>
      <c r="CS432" s="293">
        <f>DIVISIONS!CS355</f>
        <v>-2</v>
      </c>
      <c r="CT432" s="293">
        <f>DIVISIONS!CT355</f>
        <v>3</v>
      </c>
      <c r="CV432" s="293">
        <f>DIVISIONS!CV355</f>
        <v>-6</v>
      </c>
      <c r="CW432" s="1495">
        <f>DIVISIONS!CW355</f>
        <v>-8</v>
      </c>
      <c r="CX432" s="293">
        <f>DIVISIONS!CX355</f>
        <v>-14</v>
      </c>
      <c r="CZ432" s="293">
        <f>DIVISIONS!CZ355</f>
        <v>14</v>
      </c>
      <c r="DA432" s="1495">
        <f>DIVISIONS!DA355</f>
        <v>-1</v>
      </c>
      <c r="DB432" s="293">
        <f>DIVISIONS!DB355</f>
        <v>13</v>
      </c>
      <c r="DD432" s="293">
        <f>DIVISIONS!DD355</f>
        <v>-2</v>
      </c>
      <c r="DE432" s="1495">
        <f>DIVISIONS!DE355</f>
        <v>-24</v>
      </c>
      <c r="DF432" s="293">
        <f>DIVISIONS!DF355</f>
        <v>-26</v>
      </c>
      <c r="DH432" s="293">
        <f>DIVISIONS!DH355</f>
        <v>-15</v>
      </c>
      <c r="DI432" s="293">
        <f>DIVISIONS!DI355</f>
        <v>0</v>
      </c>
      <c r="DJ432" s="293">
        <f>DIVISIONS!DJ355</f>
        <v>-15</v>
      </c>
      <c r="DL432" s="293">
        <f>DIVISIONS!DL355</f>
        <v>0</v>
      </c>
      <c r="DM432" s="293">
        <f>DIVISIONS!DM355</f>
        <v>0</v>
      </c>
      <c r="DN432" s="293">
        <f>DIVISIONS!DN355</f>
        <v>0</v>
      </c>
      <c r="DP432" s="293">
        <f>DIVISIONS!DP355</f>
        <v>0</v>
      </c>
      <c r="DQ432" s="293">
        <f>DIVISIONS!DQ355</f>
        <v>0</v>
      </c>
      <c r="DR432" s="293">
        <f>DIVISIONS!DR355</f>
        <v>0</v>
      </c>
      <c r="DU432" s="293"/>
      <c r="DV432" s="293"/>
      <c r="DW432" s="293"/>
    </row>
    <row r="433" spans="1:138">
      <c r="A433" s="102" t="s">
        <v>165</v>
      </c>
      <c r="C433" s="103" t="s">
        <v>612</v>
      </c>
      <c r="X433" s="293"/>
      <c r="Y433" s="293"/>
      <c r="Z433" s="293"/>
      <c r="AB433" s="293"/>
      <c r="AC433" s="293"/>
      <c r="AD433" s="293"/>
      <c r="AE433" s="293"/>
      <c r="AF433" s="293"/>
      <c r="AG433" s="293"/>
      <c r="AH433" s="293"/>
      <c r="AI433" s="320"/>
      <c r="AJ433" s="293"/>
      <c r="AK433" s="293"/>
      <c r="AL433" s="293"/>
      <c r="AN433" s="293"/>
      <c r="AO433" s="293"/>
      <c r="AP433" s="293"/>
      <c r="AR433" s="293"/>
      <c r="AS433" s="293"/>
      <c r="AT433" s="293"/>
      <c r="AV433" s="293">
        <f>DIVISIONS!AV482</f>
        <v>-1</v>
      </c>
      <c r="AW433" s="293">
        <f>DIVISIONS!AW482</f>
        <v>-1</v>
      </c>
      <c r="AX433" s="293">
        <f>DIVISIONS!AX482</f>
        <v>0</v>
      </c>
      <c r="AZ433" s="293">
        <f>DIVISIONS!AZ482</f>
        <v>0</v>
      </c>
      <c r="BA433" s="293">
        <f>DIVISIONS!BA482</f>
        <v>0</v>
      </c>
      <c r="BB433" s="293">
        <f>DIVISIONS!BB482</f>
        <v>0</v>
      </c>
      <c r="BD433" s="293">
        <f>DIVISIONS!BD482</f>
        <v>-3</v>
      </c>
      <c r="BE433" s="293">
        <f>DIVISIONS!BE482</f>
        <v>0</v>
      </c>
      <c r="BF433" s="293">
        <f>DIVISIONS!BF482</f>
        <v>-3</v>
      </c>
      <c r="BH433" s="293">
        <f>DIVISIONS!BH482</f>
        <v>0</v>
      </c>
      <c r="BI433" s="293">
        <f>DIVISIONS!BI482</f>
        <v>0</v>
      </c>
      <c r="BJ433" s="293">
        <f>DIVISIONS!BJ482</f>
        <v>0</v>
      </c>
      <c r="BL433" s="293">
        <f>DIVISIONS!BL482</f>
        <v>0</v>
      </c>
      <c r="BM433" s="293">
        <f>DIVISIONS!BM482</f>
        <v>0</v>
      </c>
      <c r="BN433" s="293">
        <f>DIVISIONS!BN482</f>
        <v>0</v>
      </c>
      <c r="BP433" s="293">
        <f>DIVISIONS!BP482</f>
        <v>0</v>
      </c>
      <c r="BQ433" s="293">
        <f>DIVISIONS!BQ482</f>
        <v>0</v>
      </c>
      <c r="BR433" s="293">
        <f>DIVISIONS!BR482</f>
        <v>0</v>
      </c>
      <c r="BT433" s="293">
        <f>DIVISIONS!BT482</f>
        <v>0</v>
      </c>
      <c r="BU433" s="293">
        <f>DIVISIONS!BU482</f>
        <v>1</v>
      </c>
      <c r="BV433" s="293">
        <f>DIVISIONS!BV482</f>
        <v>1</v>
      </c>
      <c r="BX433" s="293">
        <f>DIVISIONS!BX482</f>
        <v>1</v>
      </c>
      <c r="BY433" s="293">
        <f>DIVISIONS!BY482</f>
        <v>0</v>
      </c>
      <c r="BZ433" s="293">
        <f>DIVISIONS!BZ482</f>
        <v>1</v>
      </c>
      <c r="CB433" s="293">
        <f>DIVISIONS!CB482</f>
        <v>0</v>
      </c>
      <c r="CC433" s="293">
        <f>DIVISIONS!CC482</f>
        <v>-4</v>
      </c>
      <c r="CD433" s="293">
        <f>DIVISIONS!CD482</f>
        <v>-4</v>
      </c>
      <c r="CF433" s="293">
        <f>DIVISIONS!CF482</f>
        <v>0</v>
      </c>
      <c r="CG433" s="293">
        <f>DIVISIONS!CG482</f>
        <v>0</v>
      </c>
      <c r="CH433" s="293">
        <f>DIVISIONS!CH482</f>
        <v>0</v>
      </c>
      <c r="CJ433" s="293">
        <v>0</v>
      </c>
      <c r="CK433" s="293">
        <v>0</v>
      </c>
      <c r="CL433" s="293">
        <v>0</v>
      </c>
      <c r="CN433" s="293">
        <f>DIVISIONS!CN482</f>
        <v>0</v>
      </c>
      <c r="CO433" s="293">
        <v>0</v>
      </c>
      <c r="CP433" s="293">
        <v>0</v>
      </c>
      <c r="CR433" s="293">
        <f>DIVISIONS!CR482</f>
        <v>0</v>
      </c>
      <c r="CS433" s="293">
        <f>DIVISIONS!CS482</f>
        <v>0</v>
      </c>
      <c r="CT433" s="293">
        <f>DIVISIONS!CT482</f>
        <v>0</v>
      </c>
      <c r="CV433" s="293">
        <f>DIVISIONS!CV482</f>
        <v>0</v>
      </c>
      <c r="CW433" s="1495">
        <f>DIVISIONS!CW482</f>
        <v>0</v>
      </c>
      <c r="CX433" s="293">
        <f>DIVISIONS!CX482</f>
        <v>0</v>
      </c>
      <c r="CZ433" s="293">
        <f>DIVISIONS!CZ482</f>
        <v>0</v>
      </c>
      <c r="DA433" s="1495">
        <f>DIVISIONS!DA482</f>
        <v>0</v>
      </c>
      <c r="DB433" s="293">
        <f>DIVISIONS!DB482</f>
        <v>0</v>
      </c>
      <c r="DD433" s="293">
        <f>DIVISIONS!DD482</f>
        <v>0</v>
      </c>
      <c r="DE433" s="1495">
        <f>DIVISIONS!DE482</f>
        <v>0</v>
      </c>
      <c r="DF433" s="293">
        <f>DIVISIONS!DF482</f>
        <v>0</v>
      </c>
      <c r="DH433" s="293">
        <f>DIVISIONS!DH482</f>
        <v>0</v>
      </c>
      <c r="DI433" s="293">
        <f>DIVISIONS!DI482</f>
        <v>0</v>
      </c>
      <c r="DJ433" s="293">
        <f>DIVISIONS!DJ482</f>
        <v>0</v>
      </c>
      <c r="DL433" s="293">
        <f>DIVISIONS!DL482</f>
        <v>0</v>
      </c>
      <c r="DM433" s="293">
        <f>DIVISIONS!DM482</f>
        <v>0</v>
      </c>
      <c r="DN433" s="293">
        <f>DIVISIONS!DN482</f>
        <v>0</v>
      </c>
      <c r="DP433" s="293">
        <f>DIVISIONS!DP482</f>
        <v>0</v>
      </c>
      <c r="DQ433" s="293">
        <f>DIVISIONS!DQ482</f>
        <v>0</v>
      </c>
      <c r="DR433" s="293">
        <f>DIVISIONS!DR482</f>
        <v>0</v>
      </c>
      <c r="DU433" s="293"/>
      <c r="DV433" s="293"/>
      <c r="DW433" s="293"/>
    </row>
    <row r="434" spans="1:138">
      <c r="A434" s="102" t="s">
        <v>167</v>
      </c>
      <c r="C434" s="103" t="s">
        <v>612</v>
      </c>
      <c r="X434" s="293"/>
      <c r="Y434" s="293"/>
      <c r="Z434" s="293"/>
      <c r="AB434" s="293"/>
      <c r="AC434" s="293"/>
      <c r="AD434" s="293"/>
      <c r="AE434" s="293"/>
      <c r="AF434" s="293"/>
      <c r="AG434" s="293"/>
      <c r="AH434" s="293"/>
      <c r="AI434" s="320"/>
      <c r="AJ434" s="293"/>
      <c r="AK434" s="293"/>
      <c r="AL434" s="293"/>
      <c r="AN434" s="293"/>
      <c r="AO434" s="293"/>
      <c r="AP434" s="293"/>
      <c r="AR434" s="293"/>
      <c r="AS434" s="293"/>
      <c r="AT434" s="293"/>
      <c r="AV434" s="293">
        <f>DIVISIONS!AV557</f>
        <v>-3</v>
      </c>
      <c r="AW434" s="293">
        <f>DIVISIONS!AW557</f>
        <v>-3</v>
      </c>
      <c r="AX434" s="293">
        <f>DIVISIONS!AX557</f>
        <v>-6</v>
      </c>
      <c r="AZ434" s="293">
        <f>DIVISIONS!AZ557</f>
        <v>-5</v>
      </c>
      <c r="BA434" s="293">
        <f>DIVISIONS!BA557</f>
        <v>0</v>
      </c>
      <c r="BB434" s="293">
        <f>DIVISIONS!BB557</f>
        <v>-5</v>
      </c>
      <c r="BD434" s="293">
        <f>DIVISIONS!BD557</f>
        <v>0</v>
      </c>
      <c r="BE434" s="293">
        <f>DIVISIONS!BE557</f>
        <v>0</v>
      </c>
      <c r="BF434" s="293">
        <f>DIVISIONS!BF557</f>
        <v>0</v>
      </c>
      <c r="BH434" s="293">
        <f>DIVISIONS!BH557</f>
        <v>0</v>
      </c>
      <c r="BI434" s="293">
        <f>DIVISIONS!BI557</f>
        <v>0</v>
      </c>
      <c r="BJ434" s="293">
        <f>DIVISIONS!BJ557</f>
        <v>0</v>
      </c>
      <c r="BL434" s="293">
        <f>DIVISIONS!BL557</f>
        <v>0</v>
      </c>
      <c r="BM434" s="293">
        <f>DIVISIONS!BM557</f>
        <v>0</v>
      </c>
      <c r="BN434" s="293">
        <f>DIVISIONS!BN557</f>
        <v>0</v>
      </c>
      <c r="BP434" s="293">
        <f>DIVISIONS!BP557</f>
        <v>0</v>
      </c>
      <c r="BQ434" s="293">
        <f>DIVISIONS!BQ557</f>
        <v>0</v>
      </c>
      <c r="BR434" s="293">
        <f>DIVISIONS!BR557</f>
        <v>0</v>
      </c>
      <c r="BT434" s="293">
        <f>DIVISIONS!BT557</f>
        <v>0</v>
      </c>
      <c r="BU434" s="293">
        <f>DIVISIONS!BU557</f>
        <v>0</v>
      </c>
      <c r="BV434" s="293">
        <f>DIVISIONS!BV557</f>
        <v>0</v>
      </c>
      <c r="BX434" s="293">
        <f>DIVISIONS!BX557</f>
        <v>0</v>
      </c>
      <c r="BY434" s="293">
        <f>DIVISIONS!BY557</f>
        <v>0</v>
      </c>
      <c r="BZ434" s="293">
        <f>DIVISIONS!BZ557</f>
        <v>0</v>
      </c>
      <c r="CB434" s="293">
        <f>DIVISIONS!CB557</f>
        <v>0</v>
      </c>
      <c r="CC434" s="293">
        <f>DIVISIONS!CC557</f>
        <v>0</v>
      </c>
      <c r="CD434" s="293">
        <f>DIVISIONS!CD557</f>
        <v>0</v>
      </c>
      <c r="CF434" s="293">
        <f>DIVISIONS!CF557</f>
        <v>0</v>
      </c>
      <c r="CG434" s="293">
        <f>DIVISIONS!CG557</f>
        <v>0</v>
      </c>
      <c r="CH434" s="293">
        <f>DIVISIONS!CH557</f>
        <v>0</v>
      </c>
      <c r="CJ434" s="293">
        <v>0</v>
      </c>
      <c r="CK434" s="293">
        <v>0</v>
      </c>
      <c r="CL434" s="293">
        <v>0</v>
      </c>
      <c r="CN434" s="293">
        <f>DIVISIONS!CN557</f>
        <v>0</v>
      </c>
      <c r="CO434" s="293">
        <v>0</v>
      </c>
      <c r="CP434" s="293">
        <v>0</v>
      </c>
      <c r="CR434" s="293">
        <f>DIVISIONS!CR557</f>
        <v>0</v>
      </c>
      <c r="CS434" s="293">
        <f>DIVISIONS!CS557</f>
        <v>0</v>
      </c>
      <c r="CT434" s="293">
        <f>DIVISIONS!CT557</f>
        <v>0</v>
      </c>
      <c r="CV434" s="293">
        <f>DIVISIONS!CV557</f>
        <v>0</v>
      </c>
      <c r="CW434" s="1495">
        <f>DIVISIONS!CW557</f>
        <v>0</v>
      </c>
      <c r="CX434" s="293">
        <f>DIVISIONS!CX557</f>
        <v>0</v>
      </c>
      <c r="CZ434" s="293">
        <f>DIVISIONS!CZ557</f>
        <v>0</v>
      </c>
      <c r="DA434" s="1495">
        <f>DIVISIONS!DA557</f>
        <v>0</v>
      </c>
      <c r="DB434" s="293">
        <f>DIVISIONS!DB557</f>
        <v>0</v>
      </c>
      <c r="DD434" s="293">
        <f>DIVISIONS!DD557</f>
        <v>0</v>
      </c>
      <c r="DE434" s="1495">
        <f>DIVISIONS!DE557</f>
        <v>0</v>
      </c>
      <c r="DF434" s="293">
        <f>DIVISIONS!DF557</f>
        <v>0</v>
      </c>
      <c r="DH434" s="293">
        <f>DIVISIONS!DH557</f>
        <v>0</v>
      </c>
      <c r="DI434" s="293">
        <f>DIVISIONS!DI557</f>
        <v>0</v>
      </c>
      <c r="DJ434" s="293">
        <f>DIVISIONS!DJ557</f>
        <v>0</v>
      </c>
      <c r="DL434" s="293">
        <f>DIVISIONS!DL557</f>
        <v>0</v>
      </c>
      <c r="DM434" s="293">
        <f>DIVISIONS!DM557</f>
        <v>0</v>
      </c>
      <c r="DN434" s="293">
        <f>DIVISIONS!DN557</f>
        <v>0</v>
      </c>
      <c r="DP434" s="293">
        <f>DIVISIONS!DP557</f>
        <v>0</v>
      </c>
      <c r="DQ434" s="293">
        <f>DIVISIONS!DQ557</f>
        <v>0</v>
      </c>
      <c r="DR434" s="293">
        <f>DIVISIONS!DR557</f>
        <v>0</v>
      </c>
      <c r="DU434" s="293"/>
      <c r="DV434" s="293"/>
      <c r="DW434" s="293"/>
    </row>
    <row r="435" spans="1:138">
      <c r="A435" s="102" t="s">
        <v>168</v>
      </c>
      <c r="C435" s="103" t="s">
        <v>612</v>
      </c>
      <c r="X435" s="293"/>
      <c r="Y435" s="293"/>
      <c r="Z435" s="293"/>
      <c r="AB435" s="293"/>
      <c r="AC435" s="293"/>
      <c r="AD435" s="293"/>
      <c r="AE435" s="293"/>
      <c r="AF435" s="293"/>
      <c r="AG435" s="293"/>
      <c r="AH435" s="293"/>
      <c r="AI435" s="320"/>
      <c r="AJ435" s="293"/>
      <c r="AK435" s="293"/>
      <c r="AL435" s="293"/>
      <c r="AN435" s="293"/>
      <c r="AO435" s="293"/>
      <c r="AP435" s="293"/>
      <c r="AR435" s="293"/>
      <c r="AS435" s="293"/>
      <c r="AT435" s="293"/>
      <c r="AV435" s="293">
        <f>DIVISIONS!AV50</f>
        <v>0</v>
      </c>
      <c r="AW435" s="293">
        <f>DIVISIONS!AW50</f>
        <v>0</v>
      </c>
      <c r="AX435" s="293">
        <f>DIVISIONS!AX50</f>
        <v>0</v>
      </c>
      <c r="AZ435" s="293">
        <f>DIVISIONS!AZ50</f>
        <v>0</v>
      </c>
      <c r="BA435" s="293">
        <f>DIVISIONS!BA50</f>
        <v>0</v>
      </c>
      <c r="BB435" s="293">
        <f>DIVISIONS!BB50</f>
        <v>0</v>
      </c>
      <c r="BD435" s="293">
        <f>DIVISIONS!BD50</f>
        <v>0</v>
      </c>
      <c r="BE435" s="293">
        <f>DIVISIONS!BE50</f>
        <v>0</v>
      </c>
      <c r="BF435" s="293">
        <f>DIVISIONS!BF50</f>
        <v>0</v>
      </c>
      <c r="BH435" s="293">
        <f>DIVISIONS!BH50</f>
        <v>0</v>
      </c>
      <c r="BI435" s="293">
        <f>DIVISIONS!BI50</f>
        <v>0</v>
      </c>
      <c r="BJ435" s="293">
        <f>DIVISIONS!BJ50</f>
        <v>0</v>
      </c>
      <c r="BL435" s="293">
        <f>DIVISIONS!BL50</f>
        <v>0</v>
      </c>
      <c r="BM435" s="293">
        <f>DIVISIONS!BM50</f>
        <v>0</v>
      </c>
      <c r="BN435" s="293">
        <f>DIVISIONS!BN50</f>
        <v>0</v>
      </c>
      <c r="BP435" s="293">
        <f>DIVISIONS!BP50</f>
        <v>0</v>
      </c>
      <c r="BQ435" s="293">
        <f>DIVISIONS!BQ50</f>
        <v>0</v>
      </c>
      <c r="BR435" s="293">
        <f>DIVISIONS!BR50</f>
        <v>0</v>
      </c>
      <c r="BT435" s="293">
        <f>DIVISIONS!BT50</f>
        <v>0</v>
      </c>
      <c r="BU435" s="293">
        <f>DIVISIONS!BU50</f>
        <v>0</v>
      </c>
      <c r="BV435" s="293">
        <f>DIVISIONS!BV50</f>
        <v>0</v>
      </c>
      <c r="BX435" s="293">
        <f>DIVISIONS!BX50</f>
        <v>0</v>
      </c>
      <c r="BY435" s="293">
        <f>DIVISIONS!BY50</f>
        <v>0</v>
      </c>
      <c r="BZ435" s="293">
        <f>DIVISIONS!BZ50</f>
        <v>0</v>
      </c>
      <c r="CB435" s="293">
        <f>DIVISIONS!CB50</f>
        <v>0</v>
      </c>
      <c r="CC435" s="293">
        <f>DIVISIONS!CC50</f>
        <v>0</v>
      </c>
      <c r="CD435" s="293">
        <f>DIVISIONS!CD50</f>
        <v>0</v>
      </c>
      <c r="CF435" s="293">
        <f>DIVISIONS!CF50</f>
        <v>0</v>
      </c>
      <c r="CG435" s="293">
        <f>DIVISIONS!CG50</f>
        <v>0</v>
      </c>
      <c r="CH435" s="293">
        <f>DIVISIONS!CH50</f>
        <v>0</v>
      </c>
      <c r="CJ435" s="293">
        <v>0</v>
      </c>
      <c r="CK435" s="293">
        <v>0</v>
      </c>
      <c r="CL435" s="293">
        <v>0</v>
      </c>
      <c r="CN435" s="293">
        <f>DIVISIONS!CN50</f>
        <v>0</v>
      </c>
      <c r="CO435" s="293">
        <v>0</v>
      </c>
      <c r="CP435" s="293">
        <v>0</v>
      </c>
      <c r="CR435" s="293">
        <f>DIVISIONS!CR50</f>
        <v>0</v>
      </c>
      <c r="CS435" s="293">
        <f>DIVISIONS!CS50</f>
        <v>0</v>
      </c>
      <c r="CT435" s="293">
        <f>DIVISIONS!CT50</f>
        <v>0</v>
      </c>
      <c r="CV435" s="293">
        <f>DIVISIONS!CV50</f>
        <v>0</v>
      </c>
      <c r="CW435" s="1495">
        <f>DIVISIONS!CW50</f>
        <v>0</v>
      </c>
      <c r="CX435" s="293">
        <f>DIVISIONS!CX50</f>
        <v>0</v>
      </c>
      <c r="CZ435" s="293">
        <f>DIVISIONS!CZ50</f>
        <v>0</v>
      </c>
      <c r="DA435" s="1495">
        <f>DIVISIONS!DA50</f>
        <v>0</v>
      </c>
      <c r="DB435" s="293">
        <f>DIVISIONS!DB50</f>
        <v>0</v>
      </c>
      <c r="DD435" s="293">
        <f>DIVISIONS!DD50</f>
        <v>0</v>
      </c>
      <c r="DE435" s="1495">
        <f>DIVISIONS!DE50</f>
        <v>0</v>
      </c>
      <c r="DF435" s="293">
        <f>DIVISIONS!DF50</f>
        <v>0</v>
      </c>
      <c r="DH435" s="293">
        <f>DIVISIONS!DH50</f>
        <v>0</v>
      </c>
      <c r="DI435" s="293">
        <f>DIVISIONS!DI50</f>
        <v>0</v>
      </c>
      <c r="DJ435" s="293">
        <f>DIVISIONS!DJ50</f>
        <v>0</v>
      </c>
      <c r="DL435" s="293">
        <f>DIVISIONS!DL50</f>
        <v>0</v>
      </c>
      <c r="DM435" s="293">
        <f>DIVISIONS!DM50</f>
        <v>0</v>
      </c>
      <c r="DN435" s="293">
        <f>DIVISIONS!DN50</f>
        <v>0</v>
      </c>
      <c r="DP435" s="293">
        <f>DIVISIONS!DP50</f>
        <v>0</v>
      </c>
      <c r="DQ435" s="293">
        <f>DIVISIONS!DQ50</f>
        <v>0</v>
      </c>
      <c r="DR435" s="293">
        <f>DIVISIONS!DR50</f>
        <v>0</v>
      </c>
      <c r="DU435" s="293"/>
      <c r="DV435" s="293"/>
      <c r="DW435" s="293"/>
    </row>
    <row r="436" spans="1:138">
      <c r="A436" s="102" t="s">
        <v>169</v>
      </c>
      <c r="C436" s="103" t="s">
        <v>612</v>
      </c>
      <c r="X436" s="293"/>
      <c r="Y436" s="293"/>
      <c r="Z436" s="293"/>
      <c r="AB436" s="293"/>
      <c r="AC436" s="293"/>
      <c r="AD436" s="293"/>
      <c r="AE436" s="293"/>
      <c r="AF436" s="293"/>
      <c r="AG436" s="293"/>
      <c r="AH436" s="293"/>
      <c r="AI436" s="320"/>
      <c r="AJ436" s="293"/>
      <c r="AK436" s="293"/>
      <c r="AL436" s="293"/>
      <c r="AN436" s="293"/>
      <c r="AO436" s="293"/>
      <c r="AP436" s="293"/>
      <c r="AR436" s="293"/>
      <c r="AS436" s="293"/>
      <c r="AT436" s="293"/>
      <c r="AV436" s="293">
        <f>DIVISIONS!AV127</f>
        <v>2</v>
      </c>
      <c r="AW436" s="293">
        <f>DIVISIONS!AW127</f>
        <v>-15</v>
      </c>
      <c r="AX436" s="293">
        <f>DIVISIONS!AX127</f>
        <v>-13</v>
      </c>
      <c r="AZ436" s="293">
        <f>DIVISIONS!AZ127</f>
        <v>13</v>
      </c>
      <c r="BA436" s="293">
        <f>DIVISIONS!BA127</f>
        <v>-23</v>
      </c>
      <c r="BB436" s="293">
        <f>DIVISIONS!BB127</f>
        <v>-10</v>
      </c>
      <c r="BD436" s="293">
        <f>DIVISIONS!BD127</f>
        <v>18</v>
      </c>
      <c r="BE436" s="293">
        <f>DIVISIONS!BE127</f>
        <v>-18</v>
      </c>
      <c r="BF436" s="293">
        <f>DIVISIONS!BF127</f>
        <v>0</v>
      </c>
      <c r="BH436" s="293">
        <f>DIVISIONS!BH127</f>
        <v>18</v>
      </c>
      <c r="BI436" s="293">
        <f>DIVISIONS!BI127</f>
        <v>-14</v>
      </c>
      <c r="BJ436" s="293">
        <f>DIVISIONS!BJ127</f>
        <v>4</v>
      </c>
      <c r="BL436" s="293">
        <f>DIVISIONS!BL127</f>
        <v>12</v>
      </c>
      <c r="BM436" s="293">
        <f>DIVISIONS!BM127</f>
        <v>-1</v>
      </c>
      <c r="BN436" s="293">
        <f>DIVISIONS!BN127</f>
        <v>11</v>
      </c>
      <c r="BP436" s="293">
        <f>DIVISIONS!BP127</f>
        <v>1</v>
      </c>
      <c r="BQ436" s="293">
        <f>DIVISIONS!BQ127</f>
        <v>4</v>
      </c>
      <c r="BR436" s="293">
        <f>DIVISIONS!BR127</f>
        <v>5</v>
      </c>
      <c r="BT436" s="293">
        <f>DIVISIONS!BT127</f>
        <v>0</v>
      </c>
      <c r="BU436" s="293">
        <f>DIVISIONS!BU127</f>
        <v>5</v>
      </c>
      <c r="BV436" s="293">
        <f>DIVISIONS!BV127</f>
        <v>5</v>
      </c>
      <c r="BX436" s="293">
        <f>DIVISIONS!BX127</f>
        <v>11</v>
      </c>
      <c r="BY436" s="293">
        <f>DIVISIONS!BY127</f>
        <v>-12</v>
      </c>
      <c r="BZ436" s="293">
        <f>DIVISIONS!BZ127</f>
        <v>-1</v>
      </c>
      <c r="CB436" s="293">
        <f>DIVISIONS!CB127</f>
        <v>-2</v>
      </c>
      <c r="CC436" s="293">
        <f>DIVISIONS!CC127</f>
        <v>-3</v>
      </c>
      <c r="CD436" s="293">
        <f>DIVISIONS!CD127</f>
        <v>-5</v>
      </c>
      <c r="CF436" s="293">
        <f>DIVISIONS!CF127</f>
        <v>-10</v>
      </c>
      <c r="CG436" s="293">
        <f>DIVISIONS!CG127</f>
        <v>23</v>
      </c>
      <c r="CH436" s="293">
        <f>DIVISIONS!CH127</f>
        <v>13</v>
      </c>
      <c r="CJ436" s="293">
        <v>1</v>
      </c>
      <c r="CK436" s="293">
        <v>16</v>
      </c>
      <c r="CL436" s="293">
        <v>17</v>
      </c>
      <c r="CN436" s="293">
        <f>DIVISIONS!CN127</f>
        <v>13</v>
      </c>
      <c r="CO436" s="293">
        <v>4</v>
      </c>
      <c r="CP436" s="293">
        <v>17</v>
      </c>
      <c r="CR436" s="293">
        <f>DIVISIONS!CR127</f>
        <v>-94</v>
      </c>
      <c r="CS436" s="293">
        <f>DIVISIONS!CS127</f>
        <v>-155</v>
      </c>
      <c r="CT436" s="293">
        <f>DIVISIONS!CT127</f>
        <v>-249</v>
      </c>
      <c r="CV436" s="293">
        <f>DIVISIONS!CV127</f>
        <v>19</v>
      </c>
      <c r="CW436" s="1495">
        <f>DIVISIONS!CW127</f>
        <v>11</v>
      </c>
      <c r="CX436" s="293">
        <f>DIVISIONS!CX127</f>
        <v>30</v>
      </c>
      <c r="CZ436" s="293">
        <f>DIVISIONS!CZ127</f>
        <v>-2</v>
      </c>
      <c r="DA436" s="1495">
        <f>DIVISIONS!DA127</f>
        <v>-21</v>
      </c>
      <c r="DB436" s="293">
        <f>DIVISIONS!DB127</f>
        <v>-23</v>
      </c>
      <c r="DD436" s="293">
        <f>DIVISIONS!DD127</f>
        <v>-3</v>
      </c>
      <c r="DE436" s="1495">
        <f>DIVISIONS!DE127</f>
        <v>-8</v>
      </c>
      <c r="DF436" s="293">
        <f>DIVISIONS!DF127</f>
        <v>-11</v>
      </c>
      <c r="DH436" s="293">
        <f>DIVISIONS!DH127</f>
        <v>-11</v>
      </c>
      <c r="DI436" s="293">
        <f>DIVISIONS!DI127</f>
        <v>-2</v>
      </c>
      <c r="DJ436" s="293">
        <f>DIVISIONS!DJ127</f>
        <v>-13</v>
      </c>
      <c r="DL436" s="293">
        <f>DIVISIONS!DL127</f>
        <v>-2</v>
      </c>
      <c r="DM436" s="293">
        <f>DIVISIONS!DM127</f>
        <v>-2</v>
      </c>
      <c r="DN436" s="293">
        <f>DIVISIONS!DN127</f>
        <v>-4</v>
      </c>
      <c r="DP436" s="293">
        <f>DIVISIONS!DP127</f>
        <v>-2</v>
      </c>
      <c r="DQ436" s="293">
        <f>DIVISIONS!DQ127</f>
        <v>-2</v>
      </c>
      <c r="DR436" s="293">
        <f>DIVISIONS!DR127</f>
        <v>-4</v>
      </c>
      <c r="DU436" s="293"/>
      <c r="DV436" s="293"/>
      <c r="DW436" s="293"/>
    </row>
    <row r="437" spans="1:138">
      <c r="A437" s="102" t="s">
        <v>170</v>
      </c>
      <c r="C437" s="103" t="s">
        <v>612</v>
      </c>
      <c r="X437" s="293"/>
      <c r="Y437" s="293"/>
      <c r="Z437" s="293"/>
      <c r="AB437" s="293"/>
      <c r="AC437" s="293"/>
      <c r="AD437" s="293"/>
      <c r="AE437" s="293"/>
      <c r="AF437" s="293"/>
      <c r="AG437" s="293"/>
      <c r="AH437" s="293"/>
      <c r="AI437" s="320"/>
      <c r="AJ437" s="293"/>
      <c r="AK437" s="293"/>
      <c r="AL437" s="293"/>
      <c r="AN437" s="293"/>
      <c r="AO437" s="293"/>
      <c r="AP437" s="293"/>
      <c r="AR437" s="293"/>
      <c r="AS437" s="293"/>
      <c r="AT437" s="293"/>
      <c r="AV437" s="293">
        <f>DIVISIONS!AV244</f>
        <v>0</v>
      </c>
      <c r="AW437" s="293">
        <f>DIVISIONS!AW244</f>
        <v>0</v>
      </c>
      <c r="AX437" s="293">
        <f>DIVISIONS!AX244</f>
        <v>0</v>
      </c>
      <c r="AZ437" s="293">
        <f>DIVISIONS!AZ244</f>
        <v>0</v>
      </c>
      <c r="BA437" s="293">
        <f>DIVISIONS!BA244</f>
        <v>0</v>
      </c>
      <c r="BB437" s="293">
        <f>DIVISIONS!BB244</f>
        <v>0</v>
      </c>
      <c r="BD437" s="293">
        <f>DIVISIONS!BD244</f>
        <v>0</v>
      </c>
      <c r="BE437" s="293">
        <f>DIVISIONS!BE244</f>
        <v>0</v>
      </c>
      <c r="BF437" s="293">
        <f>DIVISIONS!BF244</f>
        <v>0</v>
      </c>
      <c r="BH437" s="293">
        <f>DIVISIONS!BH244</f>
        <v>0</v>
      </c>
      <c r="BI437" s="293">
        <f>DIVISIONS!BI244</f>
        <v>0</v>
      </c>
      <c r="BJ437" s="293">
        <f>DIVISIONS!BJ244</f>
        <v>0</v>
      </c>
      <c r="BL437" s="293">
        <f>DIVISIONS!BL244</f>
        <v>0</v>
      </c>
      <c r="BM437" s="293">
        <f>DIVISIONS!BM244</f>
        <v>0</v>
      </c>
      <c r="BN437" s="293">
        <f>DIVISIONS!BN244</f>
        <v>0</v>
      </c>
      <c r="BP437" s="293">
        <f>DIVISIONS!BP244</f>
        <v>0</v>
      </c>
      <c r="BQ437" s="293">
        <f>DIVISIONS!BQ244</f>
        <v>0</v>
      </c>
      <c r="BR437" s="293">
        <f>DIVISIONS!BR244</f>
        <v>0</v>
      </c>
      <c r="BT437" s="293">
        <f>DIVISIONS!BT244</f>
        <v>0</v>
      </c>
      <c r="BU437" s="293">
        <f>DIVISIONS!BU244</f>
        <v>0</v>
      </c>
      <c r="BV437" s="293">
        <f>DIVISIONS!BV244</f>
        <v>0</v>
      </c>
      <c r="BX437" s="293">
        <f>DIVISIONS!BX244</f>
        <v>-1</v>
      </c>
      <c r="BY437" s="293">
        <f>DIVISIONS!BY244</f>
        <v>0</v>
      </c>
      <c r="BZ437" s="293">
        <f>DIVISIONS!BZ244</f>
        <v>-1</v>
      </c>
      <c r="CB437" s="293">
        <f>DIVISIONS!CB244</f>
        <v>0</v>
      </c>
      <c r="CC437" s="293">
        <f>DIVISIONS!CC244</f>
        <v>0</v>
      </c>
      <c r="CD437" s="293">
        <f>DIVISIONS!CD244</f>
        <v>0</v>
      </c>
      <c r="CF437" s="293">
        <f>DIVISIONS!CF244</f>
        <v>-1</v>
      </c>
      <c r="CG437" s="293">
        <f>DIVISIONS!CG244</f>
        <v>-1</v>
      </c>
      <c r="CH437" s="293">
        <f>DIVISIONS!CH244</f>
        <v>-2</v>
      </c>
      <c r="CJ437" s="293">
        <v>1.1739130434782608</v>
      </c>
      <c r="CK437" s="293">
        <v>2.3529411764705883</v>
      </c>
      <c r="CL437" s="293">
        <v>1.6749999999999998</v>
      </c>
      <c r="CN437" s="293">
        <f>DIVISIONS!CN244</f>
        <v>0</v>
      </c>
      <c r="CO437" s="293">
        <v>-0.15789473684210531</v>
      </c>
      <c r="CP437" s="293">
        <v>-8.411214953271029E-2</v>
      </c>
      <c r="CR437" s="293">
        <f>DIVISIONS!CR244</f>
        <v>0</v>
      </c>
      <c r="CS437" s="293">
        <f>DIVISIONS!CS244</f>
        <v>0</v>
      </c>
      <c r="CT437" s="293">
        <f>DIVISIONS!CT244</f>
        <v>0</v>
      </c>
      <c r="CV437" s="293">
        <f>DIVISIONS!CV244</f>
        <v>0</v>
      </c>
      <c r="CW437" s="1495">
        <f>DIVISIONS!CW244</f>
        <v>0</v>
      </c>
      <c r="CX437" s="293">
        <f>DIVISIONS!CX244</f>
        <v>0</v>
      </c>
      <c r="CZ437" s="293">
        <f>DIVISIONS!CZ244</f>
        <v>-1</v>
      </c>
      <c r="DA437" s="1495">
        <f>DIVISIONS!DA244</f>
        <v>0</v>
      </c>
      <c r="DB437" s="293">
        <f>DIVISIONS!DB244</f>
        <v>-1</v>
      </c>
      <c r="DD437" s="293">
        <f>DIVISIONS!DD244</f>
        <v>0</v>
      </c>
      <c r="DE437" s="1495">
        <f>DIVISIONS!DE244</f>
        <v>1</v>
      </c>
      <c r="DF437" s="293">
        <f>DIVISIONS!DF244</f>
        <v>1</v>
      </c>
      <c r="DH437" s="293">
        <f>DIVISIONS!DH244</f>
        <v>1</v>
      </c>
      <c r="DI437" s="293">
        <f>DIVISIONS!DI244</f>
        <v>0</v>
      </c>
      <c r="DJ437" s="293">
        <f>DIVISIONS!DJ244</f>
        <v>1</v>
      </c>
      <c r="DL437" s="293">
        <f>DIVISIONS!DL244</f>
        <v>0</v>
      </c>
      <c r="DM437" s="293">
        <f>DIVISIONS!DM244</f>
        <v>0</v>
      </c>
      <c r="DN437" s="293">
        <f>DIVISIONS!DN244</f>
        <v>0</v>
      </c>
      <c r="DP437" s="293">
        <f>DIVISIONS!DP244</f>
        <v>0</v>
      </c>
      <c r="DQ437" s="293">
        <f>DIVISIONS!DQ244</f>
        <v>0</v>
      </c>
      <c r="DR437" s="293">
        <f>DIVISIONS!DR244</f>
        <v>0</v>
      </c>
      <c r="DU437" s="293"/>
      <c r="DV437" s="293"/>
      <c r="DW437" s="293"/>
    </row>
    <row r="438" spans="1:138">
      <c r="A438" s="302" t="s">
        <v>166</v>
      </c>
      <c r="B438" s="302"/>
      <c r="C438" s="304" t="s">
        <v>612</v>
      </c>
      <c r="D438" s="302"/>
      <c r="E438" s="302"/>
      <c r="F438" s="302"/>
      <c r="G438" s="302"/>
      <c r="H438" s="302"/>
      <c r="I438" s="302"/>
      <c r="J438" s="302"/>
      <c r="K438" s="302"/>
      <c r="L438" s="302"/>
      <c r="M438" s="302"/>
      <c r="N438" s="302"/>
      <c r="O438" s="302"/>
      <c r="P438" s="304"/>
      <c r="Q438" s="304"/>
      <c r="R438" s="304"/>
      <c r="S438" s="304"/>
      <c r="T438" s="304"/>
      <c r="U438" s="304"/>
      <c r="V438" s="304"/>
      <c r="W438" s="304"/>
      <c r="X438" s="303"/>
      <c r="Y438" s="303"/>
      <c r="Z438" s="303"/>
      <c r="AA438" s="304"/>
      <c r="AB438" s="303"/>
      <c r="AC438" s="303"/>
      <c r="AD438" s="303"/>
      <c r="AE438" s="303"/>
      <c r="AF438" s="303"/>
      <c r="AG438" s="303"/>
      <c r="AH438" s="303"/>
      <c r="AI438" s="628"/>
      <c r="AJ438" s="303"/>
      <c r="AK438" s="303"/>
      <c r="AL438" s="303"/>
      <c r="AM438" s="304"/>
      <c r="AN438" s="303"/>
      <c r="AO438" s="303"/>
      <c r="AP438" s="303"/>
      <c r="AQ438" s="304"/>
      <c r="AR438" s="303"/>
      <c r="AS438" s="303"/>
      <c r="AT438" s="303"/>
      <c r="AU438" s="304"/>
      <c r="AV438" s="627">
        <v>0</v>
      </c>
      <c r="AW438" s="627">
        <v>0</v>
      </c>
      <c r="AX438" s="303">
        <f>+AW438+AV438</f>
        <v>0</v>
      </c>
      <c r="AY438" s="304"/>
      <c r="AZ438" s="627">
        <v>2</v>
      </c>
      <c r="BA438" s="627">
        <v>0</v>
      </c>
      <c r="BB438" s="303">
        <f>+BA438+AZ438</f>
        <v>2</v>
      </c>
      <c r="BC438" s="304"/>
      <c r="BD438" s="627">
        <v>2</v>
      </c>
      <c r="BE438" s="627">
        <v>-1</v>
      </c>
      <c r="BF438" s="303">
        <f>+BE438+BD438</f>
        <v>1</v>
      </c>
      <c r="BG438" s="304"/>
      <c r="BH438" s="627">
        <v>2</v>
      </c>
      <c r="BI438" s="627">
        <v>-1</v>
      </c>
      <c r="BJ438" s="303">
        <f>+BI438+BH438</f>
        <v>1</v>
      </c>
      <c r="BK438" s="304"/>
      <c r="BL438" s="627">
        <v>2</v>
      </c>
      <c r="BM438" s="627">
        <v>-1</v>
      </c>
      <c r="BN438" s="303">
        <f>+BM438+BL438</f>
        <v>1</v>
      </c>
      <c r="BO438" s="304"/>
      <c r="BP438" s="627">
        <v>0</v>
      </c>
      <c r="BQ438" s="627">
        <v>-1</v>
      </c>
      <c r="BR438" s="303">
        <f>+BQ438+BP438</f>
        <v>-1</v>
      </c>
      <c r="BS438" s="304"/>
      <c r="BT438" s="627">
        <v>0</v>
      </c>
      <c r="BU438" s="627">
        <v>0</v>
      </c>
      <c r="BV438" s="303">
        <f>+BU438+BT438</f>
        <v>0</v>
      </c>
      <c r="BW438" s="304"/>
      <c r="BX438" s="627">
        <v>0</v>
      </c>
      <c r="BY438" s="627">
        <v>0</v>
      </c>
      <c r="BZ438" s="303">
        <f>+BY438+BX438</f>
        <v>0</v>
      </c>
      <c r="CA438" s="304"/>
      <c r="CB438" s="627">
        <v>0</v>
      </c>
      <c r="CC438" s="627">
        <v>0</v>
      </c>
      <c r="CD438" s="303">
        <f>+CC438+CB438</f>
        <v>0</v>
      </c>
      <c r="CE438" s="304"/>
      <c r="CF438" s="627">
        <v>0</v>
      </c>
      <c r="CG438" s="627">
        <v>0</v>
      </c>
      <c r="CH438" s="303">
        <f>+CG438+CF438</f>
        <v>0</v>
      </c>
      <c r="CI438" s="304"/>
      <c r="CJ438" s="627">
        <v>0</v>
      </c>
      <c r="CK438" s="627">
        <v>0</v>
      </c>
      <c r="CL438" s="303">
        <f>+CK438+CJ438</f>
        <v>0</v>
      </c>
      <c r="CM438" s="304"/>
      <c r="CN438" s="627">
        <v>0</v>
      </c>
      <c r="CO438" s="627">
        <v>0</v>
      </c>
      <c r="CP438" s="303">
        <f>+CO438+CN438</f>
        <v>0</v>
      </c>
      <c r="CQ438" s="304"/>
      <c r="CR438" s="627">
        <v>0</v>
      </c>
      <c r="CS438" s="627">
        <v>0</v>
      </c>
      <c r="CT438" s="303">
        <f>+CS438+CR438</f>
        <v>0</v>
      </c>
      <c r="CU438" s="304"/>
      <c r="CV438" s="627">
        <v>0</v>
      </c>
      <c r="CW438" s="1818">
        <v>0</v>
      </c>
      <c r="CX438" s="303">
        <f>+CW438+CV438</f>
        <v>0</v>
      </c>
      <c r="CY438" s="304"/>
      <c r="CZ438" s="627">
        <v>0</v>
      </c>
      <c r="DA438" s="1818">
        <v>0</v>
      </c>
      <c r="DB438" s="303">
        <f>+DA438+CZ438</f>
        <v>0</v>
      </c>
      <c r="DC438" s="304"/>
      <c r="DD438" s="678">
        <v>0</v>
      </c>
      <c r="DE438" s="1818">
        <v>0</v>
      </c>
      <c r="DF438" s="303">
        <f>+DE438+DD438</f>
        <v>0</v>
      </c>
      <c r="DG438" s="304"/>
      <c r="DH438" s="678">
        <v>0</v>
      </c>
      <c r="DI438" s="627">
        <v>0</v>
      </c>
      <c r="DJ438" s="303">
        <f>+DI438+DH438</f>
        <v>0</v>
      </c>
      <c r="DK438" s="304"/>
      <c r="DL438" s="627">
        <v>0</v>
      </c>
      <c r="DM438" s="627">
        <v>0</v>
      </c>
      <c r="DN438" s="303">
        <f>+DM438+DL438</f>
        <v>0</v>
      </c>
      <c r="DO438" s="304"/>
      <c r="DP438" s="627">
        <v>0</v>
      </c>
      <c r="DQ438" s="627">
        <v>0</v>
      </c>
      <c r="DR438" s="303">
        <f>+DQ438+DP438</f>
        <v>0</v>
      </c>
      <c r="DS438" s="304"/>
      <c r="DU438" s="293"/>
      <c r="DV438" s="293"/>
      <c r="DW438" s="293"/>
    </row>
    <row r="439" spans="1:138" s="289" customFormat="1">
      <c r="A439" s="289" t="s">
        <v>134</v>
      </c>
      <c r="C439" s="290" t="s">
        <v>612</v>
      </c>
      <c r="P439" s="290"/>
      <c r="Q439" s="290"/>
      <c r="R439" s="290"/>
      <c r="S439" s="290"/>
      <c r="T439" s="290"/>
      <c r="U439" s="290"/>
      <c r="V439" s="290"/>
      <c r="W439" s="290"/>
      <c r="X439" s="295"/>
      <c r="Y439" s="295"/>
      <c r="Z439" s="295"/>
      <c r="AA439" s="290"/>
      <c r="AB439" s="295"/>
      <c r="AC439" s="295"/>
      <c r="AD439" s="295"/>
      <c r="AE439" s="295"/>
      <c r="AF439" s="295"/>
      <c r="AG439" s="295"/>
      <c r="AH439" s="295"/>
      <c r="AI439" s="649"/>
      <c r="AJ439" s="295"/>
      <c r="AK439" s="295"/>
      <c r="AL439" s="295"/>
      <c r="AM439" s="290"/>
      <c r="AN439" s="295"/>
      <c r="AO439" s="295"/>
      <c r="AP439" s="295"/>
      <c r="AQ439" s="290"/>
      <c r="AR439" s="295"/>
      <c r="AS439" s="295"/>
      <c r="AT439" s="295"/>
      <c r="AU439" s="290"/>
      <c r="AV439" s="295">
        <f>SUM(AV429:AV438)</f>
        <v>-24.458727500000002</v>
      </c>
      <c r="AW439" s="295">
        <f>SUM(AW429:AW438)</f>
        <v>-28.100180000000002</v>
      </c>
      <c r="AX439" s="295">
        <f>SUM(AX429:AX438)</f>
        <v>-50.558907500000004</v>
      </c>
      <c r="AY439" s="290"/>
      <c r="AZ439" s="295">
        <f>SUM(AZ429:AZ438)</f>
        <v>-8.0847374999999992</v>
      </c>
      <c r="BA439" s="295">
        <f>SUM(BA429:BA438)</f>
        <v>-25.262332307692311</v>
      </c>
      <c r="BB439" s="295">
        <f>SUM(BB429:BB438)</f>
        <v>-33.347069807692314</v>
      </c>
      <c r="BC439" s="290"/>
      <c r="BD439" s="295">
        <f>SUM(BD429:BD438)</f>
        <v>-3.0229675</v>
      </c>
      <c r="BE439" s="295">
        <f>SUM(BE429:BE438)</f>
        <v>-29.416640000000001</v>
      </c>
      <c r="BF439" s="295">
        <f>SUM(BF429:BF438)</f>
        <v>-32.439607500000001</v>
      </c>
      <c r="BG439" s="290"/>
      <c r="BH439" s="295">
        <f>SUM(BH429:BH438)</f>
        <v>7.9174999999978013E-3</v>
      </c>
      <c r="BI439" s="295">
        <f>SUM(BI429:BI438)</f>
        <v>-21.463985000000001</v>
      </c>
      <c r="BJ439" s="295">
        <f>SUM(BJ429:BJ438)</f>
        <v>-21.4560675</v>
      </c>
      <c r="BK439" s="290"/>
      <c r="BL439" s="295">
        <f>SUM(BL429:BL438)</f>
        <v>-5.3852499999999637E-2</v>
      </c>
      <c r="BM439" s="295">
        <f>SUM(BM429:BM438)</f>
        <v>-13.378145</v>
      </c>
      <c r="BN439" s="295">
        <f>SUM(BN429:BN438)</f>
        <v>-13.431997500000001</v>
      </c>
      <c r="BO439" s="290"/>
      <c r="BP439" s="295">
        <f>SUM(BP429:BP438)</f>
        <v>-11.40903</v>
      </c>
      <c r="BQ439" s="295">
        <f>SUM(BQ429:BQ438)</f>
        <v>-8.5634549999999994</v>
      </c>
      <c r="BR439" s="295">
        <f>SUM(BR429:BR438)</f>
        <v>-19.972484999999999</v>
      </c>
      <c r="BS439" s="290"/>
      <c r="BT439" s="295">
        <f>SUM(BT429:BT438)</f>
        <v>-19.281727500000002</v>
      </c>
      <c r="BU439" s="295">
        <f>SUM(BU429:BU438)</f>
        <v>-6.0308849999999996</v>
      </c>
      <c r="BV439" s="295">
        <f>SUM(BV429:BV438)</f>
        <v>-25.3126125</v>
      </c>
      <c r="BW439" s="290"/>
      <c r="BX439" s="295">
        <f>SUM(BX429:BX438)</f>
        <v>3</v>
      </c>
      <c r="BY439" s="295">
        <f>SUM(BY429:BY438)</f>
        <v>-22</v>
      </c>
      <c r="BZ439" s="295">
        <f>SUM(BZ429:BZ438)</f>
        <v>-20</v>
      </c>
      <c r="CA439" s="290"/>
      <c r="CB439" s="295">
        <f>SUM(CB429:CB438)</f>
        <v>-8</v>
      </c>
      <c r="CC439" s="295">
        <f>SUM(CC429:CC438)</f>
        <v>-16</v>
      </c>
      <c r="CD439" s="295">
        <f>SUM(CD429:CD438)</f>
        <v>-24</v>
      </c>
      <c r="CE439" s="290"/>
      <c r="CF439" s="295">
        <f>SUM(CF429:CF438)</f>
        <v>-21</v>
      </c>
      <c r="CG439" s="295">
        <f>SUM(CG429:CG438)</f>
        <v>15</v>
      </c>
      <c r="CH439" s="295">
        <f>SUM(CH429:CH438)</f>
        <v>-6</v>
      </c>
      <c r="CI439" s="290"/>
      <c r="CJ439" s="295">
        <f>SUM(CJ429:CJ438)</f>
        <v>-4.8260869565217392</v>
      </c>
      <c r="CK439" s="295">
        <f>SUM(CK429:CK438)</f>
        <v>37.352941176470587</v>
      </c>
      <c r="CL439" s="295">
        <f>SUM(CL429:CL438)</f>
        <v>30.675000000000001</v>
      </c>
      <c r="CM439" s="290"/>
      <c r="CN439" s="295">
        <f>SUM(CN429:CN438)</f>
        <v>7</v>
      </c>
      <c r="CO439" s="295">
        <f>SUM(CO429:CO438)</f>
        <v>3.8421052631578947</v>
      </c>
      <c r="CP439" s="295">
        <f>SUM(CP429:CP438)</f>
        <v>16.915887850467289</v>
      </c>
      <c r="CQ439" s="290"/>
      <c r="CR439" s="295">
        <f>SUM(CR429:CR438)</f>
        <v>-89</v>
      </c>
      <c r="CS439" s="295">
        <f>SUM(CS429:CS438)</f>
        <v>-158</v>
      </c>
      <c r="CT439" s="295">
        <f>SUM(CT429:CT438)</f>
        <v>-247</v>
      </c>
      <c r="CU439" s="290"/>
      <c r="CV439" s="295">
        <f>SUM(CV429:CV438)</f>
        <v>12</v>
      </c>
      <c r="CW439" s="1390">
        <f>SUM(CW429:CW438)</f>
        <v>2</v>
      </c>
      <c r="CX439" s="295">
        <f>SUM(CX429:CX438)</f>
        <v>14</v>
      </c>
      <c r="CY439" s="290"/>
      <c r="CZ439" s="295">
        <f>SUM(CZ429:CZ438)</f>
        <v>11</v>
      </c>
      <c r="DA439" s="1390">
        <f>SUM(DA429:DA438)</f>
        <v>-24</v>
      </c>
      <c r="DB439" s="295">
        <f>SUM(DB429:DB438)</f>
        <v>-13</v>
      </c>
      <c r="DC439" s="290"/>
      <c r="DD439" s="295">
        <f>SUM(DD429:DD438)</f>
        <v>1</v>
      </c>
      <c r="DE439" s="1390">
        <f>SUM(DE429:DE438)</f>
        <v>-28</v>
      </c>
      <c r="DF439" s="295">
        <f>SUM(DF429:DF438)</f>
        <v>-27</v>
      </c>
      <c r="DG439" s="290"/>
      <c r="DH439" s="295">
        <f>SUM(DH429:DH438)</f>
        <v>-26</v>
      </c>
      <c r="DI439" s="295">
        <f>SUM(DI429:DI438)</f>
        <v>-2</v>
      </c>
      <c r="DJ439" s="295">
        <f>SUM(DJ429:DJ438)</f>
        <v>-28</v>
      </c>
      <c r="DK439" s="290"/>
      <c r="DL439" s="295">
        <f>SUM(DL429:DL438)</f>
        <v>-2</v>
      </c>
      <c r="DM439" s="295">
        <f>SUM(DM429:DM438)</f>
        <v>-2</v>
      </c>
      <c r="DN439" s="295">
        <f>SUM(DN429:DN438)</f>
        <v>-4</v>
      </c>
      <c r="DO439" s="290"/>
      <c r="DP439" s="295">
        <f>SUM(DP429:DP438)</f>
        <v>-2</v>
      </c>
      <c r="DQ439" s="295">
        <f>SUM(DQ429:DQ438)</f>
        <v>-2</v>
      </c>
      <c r="DR439" s="295">
        <f>SUM(DR429:DR438)</f>
        <v>-4</v>
      </c>
      <c r="DS439" s="290"/>
      <c r="DT439" s="290"/>
      <c r="DU439" s="295"/>
      <c r="DV439" s="295"/>
      <c r="DW439" s="295"/>
      <c r="DX439" s="290"/>
      <c r="EH439"/>
    </row>
    <row r="440" spans="1:138">
      <c r="A440" s="289"/>
      <c r="X440" s="293"/>
      <c r="Y440" s="293"/>
      <c r="Z440" s="293"/>
      <c r="AB440" s="293"/>
      <c r="AC440" s="293"/>
      <c r="AD440" s="293"/>
      <c r="AE440" s="293"/>
      <c r="AF440" s="293"/>
      <c r="AG440" s="293"/>
      <c r="AH440" s="293"/>
      <c r="AI440" s="320"/>
      <c r="AJ440" s="293"/>
      <c r="AK440" s="293"/>
      <c r="AL440" s="293"/>
      <c r="AN440" s="293"/>
      <c r="AO440" s="293"/>
      <c r="AP440" s="293"/>
      <c r="AR440" s="293"/>
      <c r="AS440" s="293"/>
      <c r="AT440" s="293"/>
      <c r="AV440" s="293">
        <f>'P&amp;L'!AV26+'P&amp;L'!AV28+'P&amp;L'!AV29</f>
        <v>-17</v>
      </c>
      <c r="AW440" s="293">
        <f>'P&amp;L'!AW26+'P&amp;L'!AW28+'P&amp;L'!AW29</f>
        <v>-26</v>
      </c>
      <c r="AX440" s="293">
        <f>'P&amp;L'!AX26+'P&amp;L'!AX28+'P&amp;L'!AX29</f>
        <v>-43</v>
      </c>
      <c r="AZ440" s="293">
        <f>'P&amp;L'!AZ26+'P&amp;L'!AZ28+'P&amp;L'!AZ29</f>
        <v>-8</v>
      </c>
      <c r="BA440" s="293">
        <f>'P&amp;L'!BA26+'P&amp;L'!BA28+'P&amp;L'!BA29</f>
        <v>-25</v>
      </c>
      <c r="BB440" s="293">
        <f>'P&amp;L'!BB26+'P&amp;L'!BB28+'P&amp;L'!BB29</f>
        <v>-33</v>
      </c>
      <c r="BD440" s="293">
        <f>'P&amp;L'!BD26+'P&amp;L'!BD28+'P&amp;L'!BD29</f>
        <v>-3</v>
      </c>
      <c r="BE440" s="293">
        <f>'P&amp;L'!BE26+'P&amp;L'!BE28+'P&amp;L'!BE29</f>
        <v>-29</v>
      </c>
      <c r="BF440" s="293">
        <f>'P&amp;L'!BF26+'P&amp;L'!BF28+'P&amp;L'!BF29</f>
        <v>-32</v>
      </c>
      <c r="BH440" s="293">
        <f>'P&amp;L'!BH26+'P&amp;L'!BH28+'P&amp;L'!BH29</f>
        <v>0</v>
      </c>
      <c r="BI440" s="293">
        <f>'P&amp;L'!BI26+'P&amp;L'!BI28+'P&amp;L'!BI29</f>
        <v>-21</v>
      </c>
      <c r="BJ440" s="293">
        <f>'P&amp;L'!BJ26+'P&amp;L'!BJ28+'P&amp;L'!BJ29</f>
        <v>-21</v>
      </c>
      <c r="BL440" s="293">
        <f>'P&amp;L'!BL26+'P&amp;L'!BL28+'P&amp;L'!BL29</f>
        <v>-2</v>
      </c>
      <c r="BM440" s="293">
        <f>'P&amp;L'!BM26+'P&amp;L'!BM28+'P&amp;L'!BM29</f>
        <v>-12</v>
      </c>
      <c r="BN440" s="293">
        <f>'P&amp;L'!BN26+'P&amp;L'!BN28+'P&amp;L'!BN29</f>
        <v>-14</v>
      </c>
      <c r="BP440" s="293">
        <f>'P&amp;L'!BP26+'P&amp;L'!BP28+'P&amp;L'!BP29</f>
        <v>-11</v>
      </c>
      <c r="BQ440" s="293">
        <f>'P&amp;L'!BQ26+'P&amp;L'!BQ28+'P&amp;L'!BQ29</f>
        <v>-8</v>
      </c>
      <c r="BR440" s="293">
        <f>'P&amp;L'!BR26+'P&amp;L'!BR28+'P&amp;L'!BR29</f>
        <v>-19</v>
      </c>
      <c r="BT440" s="293">
        <f>'P&amp;L'!BT26+'P&amp;L'!BT28+'P&amp;L'!BT29</f>
        <v>-19</v>
      </c>
      <c r="BU440" s="293">
        <f>'P&amp;L'!BU26+'P&amp;L'!BU28+'P&amp;L'!BU29</f>
        <v>-6</v>
      </c>
      <c r="BV440" s="293">
        <f>'P&amp;L'!BV26+'P&amp;L'!BV28+'P&amp;L'!BV29</f>
        <v>-25</v>
      </c>
      <c r="BX440" s="293">
        <f>'P&amp;L'!BX26+'P&amp;L'!BX28+'P&amp;L'!BX29</f>
        <v>3</v>
      </c>
      <c r="BY440" s="293">
        <f>'P&amp;L'!BY26+'P&amp;L'!BY28+'P&amp;L'!BY29</f>
        <v>-22</v>
      </c>
      <c r="BZ440" s="293">
        <f>'P&amp;L'!BZ26+'P&amp;L'!BZ28+'P&amp;L'!BZ29</f>
        <v>-19</v>
      </c>
      <c r="CB440" s="293">
        <f>'P&amp;L'!CB26+'P&amp;L'!CB28+'P&amp;L'!CB29</f>
        <v>-8</v>
      </c>
      <c r="CC440" s="293">
        <f>'P&amp;L'!CC26+'P&amp;L'!CC28+'P&amp;L'!CC29</f>
        <v>-16</v>
      </c>
      <c r="CD440" s="293">
        <f>'P&amp;L'!CD26+'P&amp;L'!CD28+'P&amp;L'!CD29</f>
        <v>-24</v>
      </c>
      <c r="CF440" s="293">
        <f>'P&amp;L'!CF26+'P&amp;L'!CF28+'P&amp;L'!CF29</f>
        <v>-21</v>
      </c>
      <c r="CG440" s="293">
        <f>'P&amp;L'!CG26+'P&amp;L'!CG28+'P&amp;L'!CG29</f>
        <v>15</v>
      </c>
      <c r="CH440" s="293">
        <f>'P&amp;L'!CH26+'P&amp;L'!CH28+'P&amp;L'!CH29</f>
        <v>-6</v>
      </c>
      <c r="CJ440" s="293">
        <v>-7</v>
      </c>
      <c r="CK440" s="293">
        <v>12</v>
      </c>
      <c r="CL440" s="293">
        <v>5</v>
      </c>
      <c r="CN440" s="293">
        <f>'P&amp;L'!CN26+'P&amp;L'!CN28+'P&amp;L'!CN29</f>
        <v>7</v>
      </c>
      <c r="CO440" s="293">
        <v>0</v>
      </c>
      <c r="CP440" s="293">
        <v>7</v>
      </c>
      <c r="CR440" s="293">
        <f>'P&amp;L'!CR26+'P&amp;L'!CR28+'P&amp;L'!CR29</f>
        <v>-89</v>
      </c>
      <c r="CS440" s="293">
        <f>'P&amp;L'!CS26+'P&amp;L'!CS28+'P&amp;L'!CS29</f>
        <v>-158</v>
      </c>
      <c r="CT440" s="293">
        <f>'P&amp;L'!CT26+'P&amp;L'!CT28+'P&amp;L'!CT29</f>
        <v>-247</v>
      </c>
      <c r="CV440" s="293">
        <f>'P&amp;L'!CV26+'P&amp;L'!CV28+'P&amp;L'!CV29</f>
        <v>12</v>
      </c>
      <c r="CW440" s="1495">
        <f>'P&amp;L'!CW26+'P&amp;L'!CW28+'P&amp;L'!CW29</f>
        <v>2</v>
      </c>
      <c r="CX440" s="293">
        <f>'P&amp;L'!CX26+'P&amp;L'!CX28+'P&amp;L'!CX29</f>
        <v>14</v>
      </c>
      <c r="CZ440" s="293">
        <f>'P&amp;L'!CZ26+'P&amp;L'!CZ28+'P&amp;L'!CZ29</f>
        <v>11</v>
      </c>
      <c r="DA440" s="1495">
        <f>'P&amp;L'!DA26+'P&amp;L'!DA28+'P&amp;L'!DA29</f>
        <v>-24</v>
      </c>
      <c r="DB440" s="293">
        <f>'P&amp;L'!DB26+'P&amp;L'!DB28+'P&amp;L'!DB29</f>
        <v>-13</v>
      </c>
      <c r="DD440" s="293">
        <f>'P&amp;L'!DD26+'P&amp;L'!DD28+'P&amp;L'!DD29</f>
        <v>1</v>
      </c>
      <c r="DE440" s="1495">
        <f>'P&amp;L'!DE26+'P&amp;L'!DE28+'P&amp;L'!DE29</f>
        <v>-28</v>
      </c>
      <c r="DF440" s="293">
        <f>'P&amp;L'!DF26+'P&amp;L'!DF28+'P&amp;L'!DF29</f>
        <v>-27</v>
      </c>
      <c r="DH440" s="293">
        <f>'P&amp;L'!DH26+'P&amp;L'!DH28+'P&amp;L'!DH29</f>
        <v>-26</v>
      </c>
      <c r="DI440" s="293">
        <f>'P&amp;L'!DI26+'P&amp;L'!DI28+'P&amp;L'!DI29</f>
        <v>-2</v>
      </c>
      <c r="DJ440" s="293">
        <f>'P&amp;L'!DJ26+'P&amp;L'!DJ28+'P&amp;L'!DJ29</f>
        <v>-28</v>
      </c>
      <c r="DL440" s="293">
        <f>'P&amp;L'!DL26+'P&amp;L'!DL28+'P&amp;L'!DL29</f>
        <v>-2</v>
      </c>
      <c r="DM440" s="293">
        <f>'P&amp;L'!DM26+'P&amp;L'!DM28+'P&amp;L'!DM29</f>
        <v>-2</v>
      </c>
      <c r="DN440" s="293">
        <f>'P&amp;L'!DN26+'P&amp;L'!DN28+'P&amp;L'!DN29</f>
        <v>-4</v>
      </c>
      <c r="DP440" s="293">
        <f>'P&amp;L'!DP26+'P&amp;L'!DP28+'P&amp;L'!DP29</f>
        <v>-2</v>
      </c>
      <c r="DQ440" s="293">
        <f>'P&amp;L'!DQ26+'P&amp;L'!DQ28+'P&amp;L'!DQ29</f>
        <v>-2</v>
      </c>
      <c r="DR440" s="293">
        <f>'P&amp;L'!DR26+'P&amp;L'!DR28+'P&amp;L'!DR29</f>
        <v>-4</v>
      </c>
      <c r="DU440" s="293"/>
      <c r="DV440" s="293"/>
      <c r="DW440" s="293"/>
    </row>
    <row r="441" spans="1:138" s="786" customFormat="1">
      <c r="C441" s="787"/>
      <c r="P441" s="787"/>
      <c r="Q441" s="787"/>
      <c r="R441" s="787"/>
      <c r="S441" s="787"/>
      <c r="T441" s="787"/>
      <c r="U441" s="787"/>
      <c r="V441" s="787"/>
      <c r="W441" s="787"/>
      <c r="X441" s="769"/>
      <c r="Y441" s="769"/>
      <c r="Z441" s="769"/>
      <c r="AA441" s="787"/>
      <c r="AB441" s="769"/>
      <c r="AC441" s="769"/>
      <c r="AD441" s="769"/>
      <c r="AE441" s="769"/>
      <c r="AF441" s="769"/>
      <c r="AG441" s="769"/>
      <c r="AH441" s="769"/>
      <c r="AI441" s="788"/>
      <c r="AJ441" s="769"/>
      <c r="AK441" s="769"/>
      <c r="AL441" s="769"/>
      <c r="AM441" s="787"/>
      <c r="AN441" s="769"/>
      <c r="AO441" s="769"/>
      <c r="AP441" s="769"/>
      <c r="AQ441" s="787"/>
      <c r="AR441" s="769"/>
      <c r="AS441" s="769"/>
      <c r="AT441" s="769"/>
      <c r="AU441" s="787"/>
      <c r="AV441" s="769"/>
      <c r="AW441" s="769"/>
      <c r="AX441" s="769"/>
      <c r="AY441" s="787"/>
      <c r="AZ441" s="769"/>
      <c r="BA441" s="769"/>
      <c r="BB441" s="769"/>
      <c r="BC441" s="787"/>
      <c r="BD441" s="769"/>
      <c r="BE441" s="769"/>
      <c r="BF441" s="769"/>
      <c r="BG441" s="787"/>
      <c r="BH441" s="769"/>
      <c r="BI441" s="769"/>
      <c r="BJ441" s="769"/>
      <c r="BK441" s="787"/>
      <c r="BL441" s="769"/>
      <c r="BM441" s="769"/>
      <c r="BN441" s="769"/>
      <c r="BO441" s="787"/>
      <c r="BP441" s="769"/>
      <c r="BQ441" s="769"/>
      <c r="BR441" s="769"/>
      <c r="BS441" s="787"/>
      <c r="BT441" s="769"/>
      <c r="BU441" s="769"/>
      <c r="BV441" s="769"/>
      <c r="BW441" s="787"/>
      <c r="BX441" s="769"/>
      <c r="BY441" s="769"/>
      <c r="BZ441" s="769"/>
      <c r="CA441" s="787"/>
      <c r="CB441" s="769"/>
      <c r="CC441" s="769"/>
      <c r="CD441" s="769"/>
      <c r="CE441" s="787"/>
      <c r="CF441" s="769"/>
      <c r="CG441" s="769"/>
      <c r="CH441" s="769"/>
      <c r="CI441" s="787"/>
      <c r="CJ441" s="769"/>
      <c r="CK441" s="769"/>
      <c r="CL441" s="769"/>
      <c r="CM441" s="787"/>
      <c r="CN441" s="769"/>
      <c r="CO441" s="769"/>
      <c r="CP441" s="769"/>
      <c r="CQ441" s="787"/>
      <c r="CR441" s="769"/>
      <c r="CS441" s="769"/>
      <c r="CT441" s="769"/>
      <c r="CU441" s="787"/>
      <c r="CV441" s="769"/>
      <c r="CW441" s="1817"/>
      <c r="CX441" s="769"/>
      <c r="CY441" s="787"/>
      <c r="CZ441" s="769"/>
      <c r="DA441" s="769"/>
      <c r="DB441" s="769"/>
      <c r="DC441" s="787"/>
      <c r="DD441" s="769"/>
      <c r="DE441" s="769"/>
      <c r="DF441" s="769"/>
      <c r="DG441" s="787"/>
      <c r="DH441" s="769"/>
      <c r="DI441" s="769"/>
      <c r="DJ441" s="769"/>
      <c r="DK441" s="787"/>
      <c r="DL441" s="769"/>
      <c r="DM441" s="769"/>
      <c r="DN441" s="769"/>
      <c r="DO441" s="787"/>
      <c r="DP441" s="769"/>
      <c r="DQ441" s="769"/>
      <c r="DR441" s="769"/>
      <c r="DS441" s="787"/>
      <c r="DT441" s="787"/>
      <c r="DU441" s="769"/>
      <c r="DV441" s="769"/>
      <c r="DW441" s="769"/>
      <c r="DX441" s="787"/>
      <c r="EH441"/>
    </row>
    <row r="442" spans="1:138">
      <c r="A442" s="620" t="s">
        <v>144</v>
      </c>
      <c r="B442" s="621"/>
      <c r="C442" s="622"/>
      <c r="D442" s="621"/>
      <c r="E442" s="621"/>
      <c r="F442" s="621"/>
      <c r="G442" s="621"/>
      <c r="H442" s="621"/>
      <c r="I442" s="621"/>
      <c r="J442" s="621"/>
      <c r="K442" s="621"/>
      <c r="L442" s="621"/>
      <c r="M442" s="621"/>
      <c r="N442" s="621"/>
      <c r="O442" s="621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4"/>
      <c r="AW442" s="624"/>
      <c r="AX442" s="624"/>
      <c r="AY442" s="622"/>
      <c r="AZ442" s="624"/>
      <c r="BA442" s="624"/>
      <c r="BB442" s="624"/>
      <c r="BC442" s="622"/>
      <c r="BD442" s="624"/>
      <c r="BE442" s="624"/>
      <c r="BF442" s="624"/>
      <c r="BG442" s="622"/>
      <c r="BH442" s="624"/>
      <c r="BI442" s="624"/>
      <c r="BJ442" s="624"/>
      <c r="BK442" s="622"/>
      <c r="BL442" s="624"/>
      <c r="BM442" s="624"/>
      <c r="BN442" s="624"/>
      <c r="BO442" s="622"/>
      <c r="BP442" s="624"/>
      <c r="BQ442" s="624"/>
      <c r="BR442" s="624"/>
      <c r="BS442" s="622"/>
      <c r="BT442" s="624"/>
      <c r="BU442" s="624"/>
      <c r="BV442" s="624"/>
      <c r="BW442" s="622"/>
      <c r="BX442" s="624"/>
      <c r="BY442" s="624"/>
      <c r="BZ442" s="624"/>
      <c r="CA442" s="622"/>
      <c r="CB442" s="624"/>
      <c r="CC442" s="624"/>
      <c r="CD442" s="624"/>
      <c r="CE442" s="622"/>
      <c r="CF442" s="624"/>
      <c r="CG442" s="624"/>
      <c r="CH442" s="624"/>
      <c r="CI442" s="622"/>
      <c r="CJ442" s="624"/>
      <c r="CK442" s="624"/>
      <c r="CL442" s="624"/>
      <c r="CM442" s="622"/>
      <c r="CN442" s="624"/>
      <c r="CO442" s="624"/>
      <c r="CP442" s="624"/>
      <c r="CQ442" s="622"/>
      <c r="CR442" s="624"/>
      <c r="CS442" s="624"/>
      <c r="CT442" s="624"/>
      <c r="CU442" s="622"/>
      <c r="CV442" s="624"/>
      <c r="CW442" s="1801"/>
      <c r="CX442" s="624"/>
      <c r="CY442" s="622"/>
      <c r="CZ442" s="624"/>
      <c r="DA442" s="624"/>
      <c r="DB442" s="624"/>
      <c r="DC442" s="622"/>
      <c r="DD442" s="624"/>
      <c r="DE442" s="624"/>
      <c r="DF442" s="624"/>
      <c r="DG442" s="622"/>
      <c r="DH442" s="624"/>
      <c r="DI442" s="624"/>
      <c r="DJ442" s="624"/>
      <c r="DK442" s="622"/>
      <c r="DL442" s="624"/>
      <c r="DM442" s="624"/>
      <c r="DN442" s="624"/>
      <c r="DO442" s="622"/>
      <c r="DP442" s="624"/>
      <c r="DQ442" s="624"/>
      <c r="DR442" s="624"/>
      <c r="DS442" s="622"/>
      <c r="DU442" s="293"/>
      <c r="DV442" s="293"/>
      <c r="DW442" s="293"/>
      <c r="DZ442" s="102"/>
    </row>
    <row r="443" spans="1:138">
      <c r="A443" s="289"/>
      <c r="AV443" s="293"/>
      <c r="AW443" s="293"/>
      <c r="AX443" s="293"/>
      <c r="AZ443" s="293"/>
      <c r="BA443" s="685"/>
      <c r="BB443" s="293"/>
      <c r="BD443" s="293"/>
      <c r="BE443" s="293"/>
      <c r="BF443" s="293"/>
      <c r="BH443" s="293"/>
      <c r="BI443" s="293"/>
      <c r="BJ443" s="293"/>
      <c r="BL443" s="293"/>
      <c r="BM443" s="293"/>
      <c r="BN443" s="293"/>
      <c r="BP443" s="293"/>
      <c r="BQ443" s="293"/>
      <c r="BR443" s="293"/>
      <c r="BT443" s="293"/>
      <c r="BU443" s="293"/>
      <c r="BV443" s="293"/>
      <c r="BX443" s="293"/>
      <c r="BY443" s="293"/>
      <c r="BZ443" s="293"/>
      <c r="CB443" s="293"/>
      <c r="CC443" s="293"/>
      <c r="CD443" s="293"/>
      <c r="CF443" s="293"/>
      <c r="CG443" s="293"/>
      <c r="CH443" s="293"/>
      <c r="CJ443" s="293"/>
      <c r="CK443" s="293"/>
      <c r="CL443" s="293"/>
      <c r="CN443" s="293"/>
      <c r="CO443" s="293"/>
      <c r="CP443" s="293"/>
      <c r="CR443" s="293"/>
      <c r="CS443" s="293"/>
      <c r="CT443" s="293"/>
      <c r="CV443" s="293"/>
      <c r="CW443" s="1495"/>
      <c r="CX443" s="293"/>
      <c r="CZ443" s="293"/>
      <c r="DA443" s="293"/>
      <c r="DB443" s="293"/>
      <c r="DD443" s="293"/>
      <c r="DE443" s="293"/>
      <c r="DF443" s="293"/>
      <c r="DH443" s="293"/>
      <c r="DI443" s="293"/>
      <c r="DJ443" s="293"/>
      <c r="DL443" s="293"/>
      <c r="DM443" s="293"/>
      <c r="DN443" s="293"/>
      <c r="DP443" s="293"/>
      <c r="DQ443" s="293"/>
      <c r="DR443" s="293"/>
      <c r="DU443" s="293"/>
      <c r="DV443" s="293"/>
      <c r="DW443" s="293"/>
      <c r="DZ443" s="102"/>
    </row>
    <row r="444" spans="1:138">
      <c r="A444" s="102" t="s">
        <v>62</v>
      </c>
      <c r="C444" s="103" t="s">
        <v>612</v>
      </c>
      <c r="P444" s="705">
        <v>617</v>
      </c>
      <c r="Q444" s="702">
        <f>P448</f>
        <v>717</v>
      </c>
      <c r="R444" s="702">
        <f>P444</f>
        <v>617</v>
      </c>
      <c r="T444" s="702">
        <f>R448</f>
        <v>659</v>
      </c>
      <c r="U444" s="702">
        <f>T448</f>
        <v>901</v>
      </c>
      <c r="V444" s="702">
        <f>T444</f>
        <v>659</v>
      </c>
      <c r="X444" s="702">
        <f>V448</f>
        <v>1040</v>
      </c>
      <c r="Y444" s="702">
        <f>X448</f>
        <v>1173</v>
      </c>
      <c r="Z444" s="702">
        <f>X444</f>
        <v>1040</v>
      </c>
      <c r="AB444" s="702">
        <f>V448</f>
        <v>1040</v>
      </c>
      <c r="AC444" s="704">
        <f>AB448</f>
        <v>1101</v>
      </c>
      <c r="AD444" s="704">
        <f>AB444</f>
        <v>1040</v>
      </c>
      <c r="AE444" s="293"/>
      <c r="AF444" s="704">
        <f>AD448</f>
        <v>1523</v>
      </c>
      <c r="AG444" s="704">
        <f>AF448</f>
        <v>1708</v>
      </c>
      <c r="AH444" s="704">
        <f>AF444</f>
        <v>1523</v>
      </c>
      <c r="AJ444" s="704">
        <f>AH448</f>
        <v>1934</v>
      </c>
      <c r="AK444" s="704">
        <f>AJ448</f>
        <v>2374</v>
      </c>
      <c r="AL444" s="704">
        <f>AJ444</f>
        <v>1934</v>
      </c>
      <c r="AN444" s="704">
        <f>AL448</f>
        <v>2795</v>
      </c>
      <c r="AO444" s="704">
        <f>AN448</f>
        <v>3373</v>
      </c>
      <c r="AP444" s="704">
        <f>AN444</f>
        <v>2795</v>
      </c>
      <c r="AR444" s="704">
        <f>AP448</f>
        <v>3718</v>
      </c>
      <c r="AS444" s="704">
        <f>AR448</f>
        <v>3770</v>
      </c>
      <c r="AT444" s="704">
        <f>AR444</f>
        <v>3718</v>
      </c>
      <c r="AV444" s="704">
        <f>AT448</f>
        <v>3627</v>
      </c>
      <c r="AW444" s="702">
        <f>AV448</f>
        <v>3984</v>
      </c>
      <c r="AX444" s="702">
        <f>AV444</f>
        <v>3627</v>
      </c>
      <c r="AZ444" s="704">
        <f>AX448</f>
        <v>4268</v>
      </c>
      <c r="BA444" s="702">
        <f>AZ448</f>
        <v>4325</v>
      </c>
      <c r="BB444" s="702">
        <f>AZ444</f>
        <v>4268</v>
      </c>
      <c r="BD444" s="704">
        <f>BB448</f>
        <v>4581</v>
      </c>
      <c r="BE444" s="702">
        <f>BD448</f>
        <v>4539</v>
      </c>
      <c r="BF444" s="702">
        <f>BD444</f>
        <v>4581</v>
      </c>
      <c r="BH444" s="704">
        <f>BF448</f>
        <v>4924</v>
      </c>
      <c r="BI444" s="702">
        <f>BH448</f>
        <v>5155</v>
      </c>
      <c r="BJ444" s="702">
        <f>BH444</f>
        <v>4924</v>
      </c>
      <c r="BL444" s="704">
        <f>BJ448</f>
        <v>5439</v>
      </c>
      <c r="BM444" s="702">
        <f>BL448</f>
        <v>5610</v>
      </c>
      <c r="BN444" s="702">
        <f>BL444</f>
        <v>5439</v>
      </c>
      <c r="BP444" s="704">
        <f>BN448</f>
        <v>5637</v>
      </c>
      <c r="BQ444" s="702">
        <f>BP448</f>
        <v>5801</v>
      </c>
      <c r="BR444" s="702">
        <f>BP444</f>
        <v>5637</v>
      </c>
      <c r="BT444" s="704">
        <f>BR448</f>
        <v>6306</v>
      </c>
      <c r="BU444" s="702">
        <f>BT448</f>
        <v>6705</v>
      </c>
      <c r="BV444" s="702">
        <f>BT444</f>
        <v>6306</v>
      </c>
      <c r="BX444" s="704">
        <f>BV448</f>
        <v>7158</v>
      </c>
      <c r="BY444" s="702">
        <f>BX448</f>
        <v>7392</v>
      </c>
      <c r="BZ444" s="702">
        <f>BX444</f>
        <v>7158</v>
      </c>
      <c r="CB444" s="704">
        <f>BZ448</f>
        <v>7877</v>
      </c>
      <c r="CC444" s="702">
        <f>CB448</f>
        <v>8170</v>
      </c>
      <c r="CD444" s="702">
        <f>CB444</f>
        <v>7877</v>
      </c>
      <c r="CF444" s="704">
        <f>CD448</f>
        <v>8817</v>
      </c>
      <c r="CG444" s="702">
        <f>CF448</f>
        <v>8849</v>
      </c>
      <c r="CH444" s="702">
        <f>CF444</f>
        <v>8817</v>
      </c>
      <c r="CJ444" s="704">
        <f>CH448</f>
        <v>9807</v>
      </c>
      <c r="CK444" s="702">
        <f>CJ448</f>
        <v>9969</v>
      </c>
      <c r="CL444" s="702">
        <f>CJ444</f>
        <v>9807</v>
      </c>
      <c r="CN444" s="704">
        <f>CL448</f>
        <v>10439</v>
      </c>
      <c r="CO444" s="702">
        <f ca="1">CN448</f>
        <v>10712.00463098864</v>
      </c>
      <c r="CP444" s="702">
        <f>CN444</f>
        <v>10439</v>
      </c>
      <c r="CR444" s="704">
        <f>CP448</f>
        <v>12231</v>
      </c>
      <c r="CS444" s="704">
        <f ca="1">CR448</f>
        <v>12975.067711667192</v>
      </c>
      <c r="CT444" s="704">
        <f>CR444</f>
        <v>12231</v>
      </c>
      <c r="CV444" s="704">
        <f ca="1">CT448</f>
        <v>14741.37077078214</v>
      </c>
      <c r="CW444" s="704">
        <f ca="1">CV448</f>
        <v>15676.951667797108</v>
      </c>
      <c r="CX444" s="704">
        <f ca="1">CV444</f>
        <v>14741.37077078214</v>
      </c>
      <c r="CZ444" s="704">
        <f ca="1">CX448</f>
        <v>17317.011405797108</v>
      </c>
      <c r="DA444" s="704">
        <f ca="1">CZ448</f>
        <v>16992.866012797109</v>
      </c>
      <c r="DB444" s="704">
        <f ca="1">CZ444</f>
        <v>17317.011405797108</v>
      </c>
      <c r="DD444" s="704">
        <f ca="1">DB448</f>
        <v>18114.840290097105</v>
      </c>
      <c r="DE444" s="704">
        <f ca="1">DD448</f>
        <v>18252.434538047106</v>
      </c>
      <c r="DF444" s="704">
        <f ca="1">DD444</f>
        <v>18114.840290097105</v>
      </c>
      <c r="DH444" s="704">
        <f ca="1">DF448</f>
        <v>19364.964659047102</v>
      </c>
      <c r="DI444" s="704">
        <f ca="1">DH448</f>
        <v>19533.524840547103</v>
      </c>
      <c r="DJ444" s="704">
        <f ca="1">DH444</f>
        <v>19364.964659047102</v>
      </c>
      <c r="DL444" s="704">
        <f ca="1">DJ448</f>
        <v>20984.02747651087</v>
      </c>
      <c r="DM444" s="704">
        <f ca="1">DL448</f>
        <v>21256.872294363966</v>
      </c>
      <c r="DN444" s="704">
        <f ca="1">DL444</f>
        <v>20984.02747651087</v>
      </c>
      <c r="DP444" s="704">
        <f ca="1">DN448</f>
        <v>23913.745341565842</v>
      </c>
      <c r="DQ444" s="704">
        <f ca="1">DP448</f>
        <v>24270.950536440429</v>
      </c>
      <c r="DR444" s="704">
        <f ca="1">DP444</f>
        <v>23913.745341565842</v>
      </c>
      <c r="DU444" s="407"/>
      <c r="DV444" s="407"/>
      <c r="DW444" s="407"/>
    </row>
    <row r="445" spans="1:138">
      <c r="A445" s="102" t="s">
        <v>769</v>
      </c>
      <c r="C445" s="103" t="s">
        <v>612</v>
      </c>
      <c r="P445" s="705">
        <v>183</v>
      </c>
      <c r="Q445" s="705">
        <v>150</v>
      </c>
      <c r="R445" s="705">
        <v>333</v>
      </c>
      <c r="S445" s="730"/>
      <c r="T445" s="705">
        <v>242</v>
      </c>
      <c r="U445" s="705">
        <v>252</v>
      </c>
      <c r="V445" s="705">
        <v>494</v>
      </c>
      <c r="W445" s="730"/>
      <c r="X445" s="705">
        <v>284</v>
      </c>
      <c r="Y445" s="705">
        <v>539</v>
      </c>
      <c r="Z445" s="705">
        <v>823</v>
      </c>
      <c r="AA445" s="730"/>
      <c r="AB445" s="703">
        <v>256</v>
      </c>
      <c r="AC445" s="703">
        <v>556</v>
      </c>
      <c r="AD445" s="703">
        <v>812</v>
      </c>
      <c r="AE445" s="626"/>
      <c r="AF445" s="703">
        <v>482</v>
      </c>
      <c r="AG445" s="703">
        <v>434</v>
      </c>
      <c r="AH445" s="703">
        <v>916</v>
      </c>
      <c r="AI445" s="730"/>
      <c r="AJ445" s="703">
        <v>730</v>
      </c>
      <c r="AK445" s="703">
        <v>733</v>
      </c>
      <c r="AL445" s="703">
        <v>1463</v>
      </c>
      <c r="AM445" s="730"/>
      <c r="AN445" s="703">
        <v>1060</v>
      </c>
      <c r="AO445" s="703">
        <v>743</v>
      </c>
      <c r="AP445" s="703">
        <v>1803</v>
      </c>
      <c r="AQ445" s="730"/>
      <c r="AR445" s="703">
        <v>604</v>
      </c>
      <c r="AS445" s="703">
        <v>267</v>
      </c>
      <c r="AT445" s="703">
        <v>871</v>
      </c>
      <c r="AU445" s="730"/>
      <c r="AV445" s="703">
        <v>479</v>
      </c>
      <c r="AW445" s="705">
        <v>571</v>
      </c>
      <c r="AX445" s="705">
        <v>1050</v>
      </c>
      <c r="AY445" s="730"/>
      <c r="AZ445" s="703">
        <v>403</v>
      </c>
      <c r="BA445" s="705">
        <v>553</v>
      </c>
      <c r="BB445" s="705">
        <v>956</v>
      </c>
      <c r="BC445" s="730"/>
      <c r="BD445" s="704">
        <f>'P&amp;L'!BD30</f>
        <v>304.32956000000013</v>
      </c>
      <c r="BE445" s="704">
        <f>'P&amp;L'!BE30</f>
        <v>426.32420000000025</v>
      </c>
      <c r="BF445" s="704">
        <f>'P&amp;L'!BF30</f>
        <v>730.65376000000037</v>
      </c>
      <c r="BG445" s="730"/>
      <c r="BH445" s="704">
        <f>'P&amp;L'!BH30</f>
        <v>361</v>
      </c>
      <c r="BI445" s="704">
        <f>'P&amp;L'!BI30</f>
        <v>490.49</v>
      </c>
      <c r="BJ445" s="704">
        <f>'P&amp;L'!BJ30</f>
        <v>851.49</v>
      </c>
      <c r="BK445" s="730"/>
      <c r="BL445" s="704">
        <f>'P&amp;L'!BL30</f>
        <v>501</v>
      </c>
      <c r="BM445" s="704">
        <f>'P&amp;L'!BM30</f>
        <v>766.49</v>
      </c>
      <c r="BN445" s="704">
        <f>'P&amp;L'!BN30</f>
        <v>1267.49</v>
      </c>
      <c r="BP445" s="704">
        <f>'P&amp;L'!BP30</f>
        <v>678</v>
      </c>
      <c r="BQ445" s="704">
        <f>'P&amp;L'!BQ30</f>
        <v>926.49</v>
      </c>
      <c r="BR445" s="704">
        <f>'P&amp;L'!BR30</f>
        <v>1604.49</v>
      </c>
      <c r="BT445" s="704">
        <f>'P&amp;L'!BT30</f>
        <v>1070</v>
      </c>
      <c r="BU445" s="704">
        <f>'P&amp;L'!BU30</f>
        <v>993.49</v>
      </c>
      <c r="BV445" s="704">
        <f>'P&amp;L'!BV30</f>
        <v>2063.4899999999998</v>
      </c>
      <c r="BX445" s="704">
        <f>'P&amp;L'!BX30</f>
        <v>1050</v>
      </c>
      <c r="BY445" s="704">
        <f>'P&amp;L'!BY30</f>
        <v>1167.49</v>
      </c>
      <c r="BZ445" s="704">
        <f>'P&amp;L'!BZ30</f>
        <v>2217.4899999999998</v>
      </c>
      <c r="CB445" s="704">
        <f>'P&amp;L'!CB30</f>
        <v>1248</v>
      </c>
      <c r="CC445" s="704">
        <f>'P&amp;L'!CC30</f>
        <v>1309.49</v>
      </c>
      <c r="CD445" s="704">
        <f>'P&amp;L'!CD30</f>
        <v>2557.4899999999998</v>
      </c>
      <c r="CF445" s="704">
        <f>'P&amp;L'!CF30</f>
        <v>1310</v>
      </c>
      <c r="CG445" s="704">
        <f>'P&amp;L'!CG30</f>
        <v>1672.49</v>
      </c>
      <c r="CH445" s="704">
        <f>'P&amp;L'!CH30</f>
        <v>2982.49</v>
      </c>
      <c r="CJ445" s="704">
        <v>1457</v>
      </c>
      <c r="CK445" s="704">
        <v>1274.49</v>
      </c>
      <c r="CL445" s="704">
        <v>2731.49</v>
      </c>
      <c r="CN445" s="704">
        <f>'P&amp;L'!CN30</f>
        <v>985</v>
      </c>
      <c r="CO445" s="704">
        <v>2030.49</v>
      </c>
      <c r="CP445" s="704">
        <v>3015.49</v>
      </c>
      <c r="CR445" s="704">
        <f>'P&amp;L'!CR30</f>
        <v>2043</v>
      </c>
      <c r="CS445" s="704">
        <f>'P&amp;L'!CS30</f>
        <v>2663.49</v>
      </c>
      <c r="CT445" s="704">
        <f>'P&amp;L'!CT30</f>
        <v>4706.49</v>
      </c>
      <c r="CV445" s="704">
        <f>'P&amp;L'!CV30</f>
        <v>2383</v>
      </c>
      <c r="CW445" s="704">
        <f>'P&amp;L'!CW30</f>
        <v>2799.49</v>
      </c>
      <c r="CX445" s="704">
        <f>'P&amp;L'!CX30</f>
        <v>5182.49</v>
      </c>
      <c r="CZ445" s="704">
        <f>'P&amp;L'!CZ30</f>
        <v>1415</v>
      </c>
      <c r="DA445" s="704">
        <f>'P&amp;L'!DA30</f>
        <v>2107.4899999999998</v>
      </c>
      <c r="DB445" s="704">
        <f>'P&amp;L'!DB30</f>
        <v>3522.49</v>
      </c>
      <c r="DD445" s="704">
        <f>'P&amp;L'!DD30</f>
        <v>1612</v>
      </c>
      <c r="DE445" s="704">
        <f ca="1">'P&amp;L'!DE30</f>
        <v>2103.4899999999998</v>
      </c>
      <c r="DF445" s="704">
        <f ca="1">'P&amp;L'!DF30</f>
        <v>3715.49</v>
      </c>
      <c r="DH445" s="704">
        <f>'P&amp;L'!DH30</f>
        <v>1655</v>
      </c>
      <c r="DI445" s="704">
        <f>'P&amp;L'!DI30</f>
        <v>2517.6901979637678</v>
      </c>
      <c r="DJ445" s="704">
        <f>'P&amp;L'!DJ30</f>
        <v>4172.6901979637678</v>
      </c>
      <c r="DL445" s="704">
        <f>'P&amp;L'!DL30</f>
        <v>1915.8372403143462</v>
      </c>
      <c r="DM445" s="704">
        <f>'P&amp;L'!DM30</f>
        <v>2656.8730472018797</v>
      </c>
      <c r="DN445" s="704">
        <f>'P&amp;L'!DN30</f>
        <v>4572.7102875162254</v>
      </c>
      <c r="DP445" s="704">
        <f>'P&amp;L'!DP30</f>
        <v>2085.2236692333981</v>
      </c>
      <c r="DQ445" s="704">
        <f>'P&amp;L'!DQ30</f>
        <v>2837.5443840796966</v>
      </c>
      <c r="DR445" s="704">
        <f>'P&amp;L'!DR30</f>
        <v>4922.7680533130952</v>
      </c>
      <c r="DU445" s="407"/>
      <c r="DV445" s="407"/>
      <c r="DW445" s="407"/>
    </row>
    <row r="446" spans="1:138">
      <c r="A446" s="102" t="s">
        <v>145</v>
      </c>
      <c r="C446" s="103" t="s">
        <v>612</v>
      </c>
      <c r="P446" s="705">
        <v>-83</v>
      </c>
      <c r="Q446" s="705">
        <v>-208</v>
      </c>
      <c r="R446" s="702">
        <f>+Q446+P446</f>
        <v>-291</v>
      </c>
      <c r="T446" s="705">
        <v>-208</v>
      </c>
      <c r="U446" s="789"/>
      <c r="V446" s="789"/>
      <c r="X446" s="789"/>
      <c r="Y446" s="789"/>
      <c r="Z446" s="789"/>
      <c r="AB446" s="705">
        <v>-151</v>
      </c>
      <c r="AC446" s="704">
        <f>-'EPS and DPS'!X46</f>
        <v>-134.05420633999998</v>
      </c>
      <c r="AD446" s="704">
        <f>+AC446+AB446</f>
        <v>-285.05420633999995</v>
      </c>
      <c r="AE446" s="293"/>
      <c r="AF446" s="704">
        <f>-'EPS and DPS'!Y46</f>
        <v>-313.15702879999998</v>
      </c>
      <c r="AG446" s="704">
        <f>-'EPS and DPS'!AF46</f>
        <v>-207.28747530000001</v>
      </c>
      <c r="AH446" s="704">
        <f>+AG446+AF446</f>
        <v>-520.44450410000002</v>
      </c>
      <c r="AJ446" s="704">
        <f>-'EPS and DPS'!AG46</f>
        <v>-290.55046125000001</v>
      </c>
      <c r="AK446" s="704">
        <f>-'EPS and DPS'!AJ46</f>
        <v>-312.10406124999997</v>
      </c>
      <c r="AL446" s="704">
        <f>+AK446+AJ446</f>
        <v>-602.65452249999998</v>
      </c>
      <c r="AN446" s="704">
        <f>-'EPS and DPS'!AK46</f>
        <v>-482.48828950000001</v>
      </c>
      <c r="AO446" s="704">
        <f>-'EPS and DPS'!AN46</f>
        <v>-393.07565264999999</v>
      </c>
      <c r="AP446" s="704">
        <f>+AO446+AN446</f>
        <v>-875.56394215</v>
      </c>
      <c r="AR446" s="704">
        <f>-'EPS and DPS'!AO46</f>
        <v>-549.14168000000006</v>
      </c>
      <c r="AS446" s="704">
        <f>-'EPS and DPS'!AR46</f>
        <v>-407.4737336</v>
      </c>
      <c r="AT446" s="704">
        <f>+AS446+AR446</f>
        <v>-956.61541360000001</v>
      </c>
      <c r="AV446" s="704">
        <f>-'EPS and DPS'!AS46</f>
        <v>-113.37520000000001</v>
      </c>
      <c r="AW446" s="704">
        <f>-'EPS and DPS'!AV46</f>
        <v>-294.27740064</v>
      </c>
      <c r="AX446" s="704">
        <f>+AW446+AV446</f>
        <v>-407.65260064</v>
      </c>
      <c r="AZ446" s="704">
        <f>-'EPS and DPS'!AW46</f>
        <v>-344.24427100000003</v>
      </c>
      <c r="BA446" s="704">
        <f>-'EPS and DPS'!AZ46</f>
        <v>-297.21711885999997</v>
      </c>
      <c r="BB446" s="704">
        <f>+BA446+AZ446</f>
        <v>-641.46138986000005</v>
      </c>
      <c r="BD446" s="704">
        <f>-'EPS and DPS'!BA46</f>
        <v>-346.81496099999998</v>
      </c>
      <c r="BE446" s="704">
        <f>-'EPS and DPS'!BD46</f>
        <v>-226.3852708</v>
      </c>
      <c r="BF446" s="704">
        <f>+BE446+BD446</f>
        <v>-573.20023179999998</v>
      </c>
      <c r="BH446" s="704">
        <f>-'EPS and DPS'!BE46</f>
        <v>-261.43828724999997</v>
      </c>
      <c r="BI446" s="704">
        <f>-'EPS and DPS'!BH46</f>
        <v>-254.25683325000003</v>
      </c>
      <c r="BJ446" s="704">
        <f>+BI446+BH446</f>
        <v>-515.69512050000003</v>
      </c>
      <c r="BL446" s="704">
        <f>-'EPS and DPS'!BI46</f>
        <v>-424.38322249999999</v>
      </c>
      <c r="BM446" s="704">
        <f>-'EPS and DPS'!BL46</f>
        <v>-339.888036</v>
      </c>
      <c r="BN446" s="704">
        <f>+BM446+BL446</f>
        <v>-764.27125849999993</v>
      </c>
      <c r="BP446" s="704">
        <f>-'EPS and DPS'!BM46</f>
        <v>-513.71960000000001</v>
      </c>
      <c r="BQ446" s="704">
        <f>-'EPS and DPS'!BP46</f>
        <v>-417.5638922</v>
      </c>
      <c r="BR446" s="704">
        <f>+BQ446+BP446</f>
        <v>-931.28349219999996</v>
      </c>
      <c r="BT446" s="704">
        <f>-'EPS and DPS'!BQ46</f>
        <v>-666.91555399999993</v>
      </c>
      <c r="BU446" s="704">
        <f>-'EPS and DPS'!BT46</f>
        <v>-533.65113600000006</v>
      </c>
      <c r="BV446" s="704">
        <f>+BU446+BT446</f>
        <v>-1200.5666900000001</v>
      </c>
      <c r="BX446" s="704">
        <f>-'EPS and DPS'!BU46</f>
        <v>-816.72573360000013</v>
      </c>
      <c r="BY446" s="704">
        <f>-'EPS and DPS'!BX46</f>
        <v>-646.64310060000003</v>
      </c>
      <c r="BZ446" s="704">
        <f>+BY446+BX446</f>
        <v>-1463.3688342</v>
      </c>
      <c r="CB446" s="704">
        <f>-'EPS and DPS'!BY46</f>
        <v>-952.9848467999999</v>
      </c>
      <c r="CC446" s="704">
        <f>-'EPS and DPS'!CB46</f>
        <v>-697.73370115</v>
      </c>
      <c r="CD446" s="704">
        <f>+CC446+CB446</f>
        <v>-1650.7185479499999</v>
      </c>
      <c r="CF446" s="704">
        <f>-'EPS and DPS'!CC46</f>
        <v>-1089.167424</v>
      </c>
      <c r="CG446" s="704">
        <f>-'EPS and DPS'!CF46</f>
        <v>-731.82288670000014</v>
      </c>
      <c r="CH446" s="704">
        <f>+CG446+CF446</f>
        <v>-1820.9903107</v>
      </c>
      <c r="CJ446" s="704">
        <v>-1225.3778568</v>
      </c>
      <c r="CK446" s="704">
        <v>-885.94116750000001</v>
      </c>
      <c r="CL446" s="704">
        <f>+CK446+CJ446</f>
        <v>-2111.3190242999999</v>
      </c>
      <c r="CN446" s="704">
        <f>-'EPS and DPS'!CK46</f>
        <v>-637.88651279999999</v>
      </c>
      <c r="CO446" s="704">
        <v>-488.02989645000002</v>
      </c>
      <c r="CP446" s="704">
        <f>+CO446+CN446</f>
        <v>-1125.91640925</v>
      </c>
      <c r="CR446" s="704">
        <f>-'EPS and DPS'!CO46</f>
        <v>-1212.1016129499999</v>
      </c>
      <c r="CS446" s="704">
        <f>-'EPS and DPS'!CR46</f>
        <v>-1003.1990196800001</v>
      </c>
      <c r="CT446" s="704">
        <f>+CS446+CR446</f>
        <v>-2215.3006326300001</v>
      </c>
      <c r="CV446" s="704">
        <f>-'EPS and DPS'!CS46</f>
        <v>-1342.7667294999999</v>
      </c>
      <c r="CW446" s="704">
        <f>-'EPS and DPS'!CV46</f>
        <v>-1159.4302620000001</v>
      </c>
      <c r="CX446" s="704">
        <f>+CW446+CV446</f>
        <v>-2502.1969915</v>
      </c>
      <c r="CZ446" s="704">
        <f>-'EPS and DPS'!CW46</f>
        <v>-1739.145393</v>
      </c>
      <c r="DA446" s="704">
        <f>-'EPS and DPS'!CZ46</f>
        <v>-985.51572270000008</v>
      </c>
      <c r="DB446" s="704">
        <f>+DA446+CZ446</f>
        <v>-2724.6611157000002</v>
      </c>
      <c r="DD446" s="704">
        <f>-'EPS and DPS'!DA46</f>
        <v>-1474.40575205</v>
      </c>
      <c r="DE446" s="704">
        <f>-'EPS and DPS'!DD46</f>
        <v>-990.95987900000011</v>
      </c>
      <c r="DF446" s="704">
        <f>+DE446+DD446</f>
        <v>-2465.36563105</v>
      </c>
      <c r="DH446" s="704">
        <f>-'EPS and DPS'!DE46</f>
        <v>-1486.4398185</v>
      </c>
      <c r="DI446" s="704">
        <f>-'EPS and DPS'!DH46</f>
        <v>-1067.1875620000001</v>
      </c>
      <c r="DJ446" s="704">
        <f>+DI446+DH446</f>
        <v>-2553.6273805000001</v>
      </c>
      <c r="DL446" s="704">
        <f>-'EPS and DPS'!DI46</f>
        <v>-1642.99242246125</v>
      </c>
      <c r="DM446" s="704">
        <f>-'EPS and DPS'!DT46</f>
        <v>0</v>
      </c>
      <c r="DN446" s="704">
        <f>+DM446+DL446</f>
        <v>-1642.99242246125</v>
      </c>
      <c r="DP446" s="704">
        <f>-'EPS and DPS'!DM46</f>
        <v>-1728.0184743588106</v>
      </c>
      <c r="DQ446" s="704">
        <f>-'EPS and DPS'!DX46</f>
        <v>0</v>
      </c>
      <c r="DR446" s="704">
        <f>+DQ446+DP446</f>
        <v>-1728.0184743588106</v>
      </c>
      <c r="DU446" s="407"/>
      <c r="DV446" s="407"/>
      <c r="DW446" s="407"/>
    </row>
    <row r="447" spans="1:138">
      <c r="A447" s="102" t="s">
        <v>542</v>
      </c>
      <c r="C447" s="103" t="s">
        <v>612</v>
      </c>
      <c r="P447" s="293">
        <f>+P448-P444-P445-P446</f>
        <v>0</v>
      </c>
      <c r="Q447" s="293">
        <f>+Q448-Q444-Q445-Q446</f>
        <v>0</v>
      </c>
      <c r="R447" s="293">
        <f>Q447+P447</f>
        <v>0</v>
      </c>
      <c r="T447" s="293">
        <f>+T448-T444-T445-T446</f>
        <v>208</v>
      </c>
      <c r="U447" s="790"/>
      <c r="V447" s="790"/>
      <c r="X447" s="790"/>
      <c r="Y447" s="790"/>
      <c r="Z447" s="790"/>
      <c r="AB447" s="293">
        <f>+AB448-AB444-AB445-AB446</f>
        <v>-44</v>
      </c>
      <c r="AC447" s="293">
        <f>+AC448-AC444-AC445-AC446</f>
        <v>5.4206339999979036E-2</v>
      </c>
      <c r="AD447" s="293">
        <f>AC447+AB447</f>
        <v>-43.945793660000021</v>
      </c>
      <c r="AE447" s="293"/>
      <c r="AF447" s="293">
        <f>+AF448-AF444-AF445-AF446</f>
        <v>16.157028799999978</v>
      </c>
      <c r="AG447" s="293">
        <f>+AG448-AG444-AG445-AG446</f>
        <v>-0.7125246999999888</v>
      </c>
      <c r="AH447" s="293">
        <f>AG447+AF447</f>
        <v>15.444504099999989</v>
      </c>
      <c r="AI447" s="320"/>
      <c r="AJ447" s="293">
        <f>+AJ448-AJ444-AJ445-AJ446</f>
        <v>0.55046125000001211</v>
      </c>
      <c r="AK447" s="293">
        <f>+AK448-AK444-AK445-AK446</f>
        <v>0.10406124999997246</v>
      </c>
      <c r="AL447" s="293">
        <f>AK447+AJ447</f>
        <v>0.65452249999998457</v>
      </c>
      <c r="AN447" s="293">
        <f>+AN448-AN444-AN445-AN446</f>
        <v>0.48828950000000759</v>
      </c>
      <c r="AO447" s="293">
        <f>+AO448-AO444-AO445-AO446</f>
        <v>-4.924347350000005</v>
      </c>
      <c r="AP447" s="293">
        <f>AO447+AN447</f>
        <v>-4.4360578499999974</v>
      </c>
      <c r="AR447" s="293">
        <f>+AR448-AR444-AR445-AR446</f>
        <v>-2.8583199999999351</v>
      </c>
      <c r="AS447" s="293">
        <f>+AS448-AS444-AS445-AS446</f>
        <v>-2.5262663999999972</v>
      </c>
      <c r="AT447" s="293">
        <f>AS447+AR447</f>
        <v>-5.3845863999999324</v>
      </c>
      <c r="AV447" s="293">
        <f>+AV448-AV444-AV445-AV446</f>
        <v>-8.6247999999999934</v>
      </c>
      <c r="AW447" s="293">
        <f>+AW448-AW444-AW445-AW446</f>
        <v>7.2774006399999962</v>
      </c>
      <c r="AX447" s="293">
        <f>AW447+AV447</f>
        <v>-1.3473993599999972</v>
      </c>
      <c r="AZ447" s="293">
        <f>+AZ448-AZ444-AZ445-AZ446</f>
        <v>-1.7557289999999739</v>
      </c>
      <c r="BA447" s="293">
        <f>+BA448-BA444-BA445-BA446</f>
        <v>0.21711885999997094</v>
      </c>
      <c r="BB447" s="293">
        <f>BA447+AZ447</f>
        <v>-1.538610140000003</v>
      </c>
      <c r="BD447" s="293">
        <f>+BD448-BD444-BD445-BD446</f>
        <v>0.48540099999985387</v>
      </c>
      <c r="BE447" s="293">
        <f>+BE448-BE444-BE445-BE446</f>
        <v>185.06107079999975</v>
      </c>
      <c r="BF447" s="293">
        <f>BE447+BD447</f>
        <v>185.54647179999961</v>
      </c>
      <c r="BH447" s="293">
        <f>+BH448-BH444-BH445-BH446</f>
        <v>131.43828724999997</v>
      </c>
      <c r="BI447" s="293">
        <f>+BI448-BI444-BI445-BI446</f>
        <v>47.766833250000019</v>
      </c>
      <c r="BJ447" s="293">
        <f>BI447+BH447</f>
        <v>179.20512049999999</v>
      </c>
      <c r="BL447" s="293">
        <f>+BL448-BL444-BL445-BL446</f>
        <v>94.383222499999988</v>
      </c>
      <c r="BM447" s="293">
        <f>+BM448-BM444-BM445-BM446</f>
        <v>-399.60196400000001</v>
      </c>
      <c r="BN447" s="293">
        <f>BM447+BL447</f>
        <v>-305.21874150000002</v>
      </c>
      <c r="BP447" s="293">
        <f>+BP448-BP444-BP445-BP446</f>
        <v>-0.28039999999998599</v>
      </c>
      <c r="BQ447" s="293">
        <f>+BQ448-BQ444-BQ445-BQ446</f>
        <v>-3.9261078000000111</v>
      </c>
      <c r="BR447" s="293">
        <f>BQ447+BP447</f>
        <v>-4.2065077999999971</v>
      </c>
      <c r="BT447" s="293">
        <f>+BT448-BT444-BT445-BT446</f>
        <v>-4.0844460000000709</v>
      </c>
      <c r="BU447" s="293">
        <f>+BU448-BU444-BU445-BU446</f>
        <v>-6.8388639999999441</v>
      </c>
      <c r="BV447" s="293">
        <f>BU447+BT447</f>
        <v>-10.923310000000015</v>
      </c>
      <c r="BX447" s="293">
        <f>+BX448-BX444-BX445-BX446</f>
        <v>0.72573360000012599</v>
      </c>
      <c r="BY447" s="293">
        <f>+BY448-BY444-BY445-BY446</f>
        <v>-35.846899399999984</v>
      </c>
      <c r="BZ447" s="293">
        <f>BY447+BX447</f>
        <v>-35.121165799999858</v>
      </c>
      <c r="CB447" s="293">
        <f>+CB448-CB444-CB445-CB446</f>
        <v>-2.0151532000000998</v>
      </c>
      <c r="CC447" s="293">
        <f>+CC448-CC444-CC445-CC446</f>
        <v>35.243701149999993</v>
      </c>
      <c r="CD447" s="293">
        <f>CC447+CB447</f>
        <v>33.228547949999893</v>
      </c>
      <c r="CF447" s="293">
        <f>+CF448-CF444-CF445-CF446</f>
        <v>-188.83257600000002</v>
      </c>
      <c r="CG447" s="293">
        <f>+CG448-CG444-CG445-CG446</f>
        <v>17.332886700000131</v>
      </c>
      <c r="CH447" s="293">
        <f>CG447+CF447</f>
        <v>-171.49968929999989</v>
      </c>
      <c r="CJ447" s="293">
        <f>+CJ448-CJ444-CJ445-CJ446</f>
        <v>-69.622143199999982</v>
      </c>
      <c r="CK447" s="293">
        <f>+CK448-CK444-CK445-CK446</f>
        <v>81.451167499999997</v>
      </c>
      <c r="CL447" s="293">
        <f>CK447+CJ447</f>
        <v>11.829024300000015</v>
      </c>
      <c r="CN447" s="702">
        <f ca="1">CN444*CN450*CN$1/CN$2</f>
        <v>-74.10885621135921</v>
      </c>
      <c r="CO447" s="293">
        <f ca="1">+CO448-CO444-CO445-CO446</f>
        <v>-23.464734538640187</v>
      </c>
      <c r="CP447" s="293">
        <f ca="1">CO447+CN447</f>
        <v>-97.573590749999397</v>
      </c>
      <c r="CR447" s="702">
        <f ca="1">CR444*CR450*CR$1/CR$2</f>
        <v>-86.830675382808181</v>
      </c>
      <c r="CS447" s="702">
        <f ca="1">CS444*CS450*CS$1/CS$2</f>
        <v>106.01207879494896</v>
      </c>
      <c r="CT447" s="293">
        <f ca="1">CS447+CR447</f>
        <v>19.181403412140781</v>
      </c>
      <c r="CV447" s="702">
        <f ca="1">CV444*CV450*CV$1/CV$2</f>
        <v>-104.65237348502991</v>
      </c>
      <c r="CW447" s="702">
        <f ca="1">CW444*CW450*CW$1/CW$2</f>
        <v>0</v>
      </c>
      <c r="CX447" s="293">
        <f ca="1">CW447+CV447</f>
        <v>-104.65237348502991</v>
      </c>
      <c r="CZ447" s="702">
        <f ca="1">CZ444*CZ450*CZ$1/CZ$2</f>
        <v>0</v>
      </c>
      <c r="DA447" s="702">
        <f ca="1">DA444*DA450*DA$1/DA$2</f>
        <v>0</v>
      </c>
      <c r="DB447" s="293">
        <f ca="1">DA447+CZ447</f>
        <v>0</v>
      </c>
      <c r="DD447" s="702">
        <f ca="1">DD444*DD450*DD$1/DD$2</f>
        <v>0</v>
      </c>
      <c r="DE447" s="702">
        <f ca="1">DE444*DE450*DE$1/DE$2</f>
        <v>0</v>
      </c>
      <c r="DF447" s="293">
        <f ca="1">DE447+DD447</f>
        <v>0</v>
      </c>
      <c r="DH447" s="702">
        <f ca="1">DH444*DH450*DH$1/DH$2</f>
        <v>0</v>
      </c>
      <c r="DI447" s="702">
        <f ca="1">DI444*DI450*DI$1/DI$2</f>
        <v>0</v>
      </c>
      <c r="DJ447" s="293">
        <f ca="1">DI447+DH447</f>
        <v>0</v>
      </c>
      <c r="DL447" s="702">
        <f ca="1">DL444*DL450*DL$1/DL$2</f>
        <v>0</v>
      </c>
      <c r="DM447" s="702">
        <f ca="1">DM444*DM450*DM$1/DM$2</f>
        <v>0</v>
      </c>
      <c r="DN447" s="293">
        <f ca="1">DM447+DL447</f>
        <v>0</v>
      </c>
      <c r="DP447" s="702">
        <f ca="1">DP444*DP450*DP$1/DP$2</f>
        <v>0</v>
      </c>
      <c r="DQ447" s="702">
        <f ca="1">DQ444*DQ450*DQ$1/DQ$2</f>
        <v>0</v>
      </c>
      <c r="DR447" s="293">
        <f ca="1">DQ447+DP447</f>
        <v>0</v>
      </c>
      <c r="DU447" s="407"/>
      <c r="DV447" s="407"/>
      <c r="DW447" s="293"/>
    </row>
    <row r="448" spans="1:138" s="289" customFormat="1">
      <c r="A448" s="289" t="s">
        <v>67</v>
      </c>
      <c r="C448" s="290" t="s">
        <v>612</v>
      </c>
      <c r="P448" s="295">
        <f>P108</f>
        <v>717</v>
      </c>
      <c r="Q448" s="295">
        <f>Q108</f>
        <v>659</v>
      </c>
      <c r="R448" s="295">
        <f>R108</f>
        <v>659</v>
      </c>
      <c r="S448" s="290"/>
      <c r="T448" s="295">
        <f>T108</f>
        <v>901</v>
      </c>
      <c r="U448" s="295">
        <f>U108</f>
        <v>1040</v>
      </c>
      <c r="V448" s="295">
        <f>V108</f>
        <v>1040</v>
      </c>
      <c r="W448" s="290"/>
      <c r="X448" s="295">
        <f>X108</f>
        <v>1173</v>
      </c>
      <c r="Y448" s="295">
        <f>Y108</f>
        <v>1578</v>
      </c>
      <c r="Z448" s="295">
        <f>Z108</f>
        <v>1578</v>
      </c>
      <c r="AA448" s="290"/>
      <c r="AB448" s="295">
        <f>AB108</f>
        <v>1101</v>
      </c>
      <c r="AC448" s="295">
        <f>AC108</f>
        <v>1523</v>
      </c>
      <c r="AD448" s="295">
        <f>AD108</f>
        <v>1523</v>
      </c>
      <c r="AE448" s="295"/>
      <c r="AF448" s="295">
        <f>AF108</f>
        <v>1708</v>
      </c>
      <c r="AG448" s="295">
        <f>AG108</f>
        <v>1934</v>
      </c>
      <c r="AH448" s="295">
        <f>AH108</f>
        <v>1934</v>
      </c>
      <c r="AI448" s="649"/>
      <c r="AJ448" s="295">
        <f>AJ108</f>
        <v>2374</v>
      </c>
      <c r="AK448" s="295">
        <f>AK108</f>
        <v>2795</v>
      </c>
      <c r="AL448" s="295">
        <f>AL108</f>
        <v>2795</v>
      </c>
      <c r="AM448" s="290"/>
      <c r="AN448" s="295">
        <f>AN108</f>
        <v>3373</v>
      </c>
      <c r="AO448" s="295">
        <f>AO108</f>
        <v>3718</v>
      </c>
      <c r="AP448" s="295">
        <f>AP108</f>
        <v>3718</v>
      </c>
      <c r="AQ448" s="290"/>
      <c r="AR448" s="295">
        <f>AR108</f>
        <v>3770</v>
      </c>
      <c r="AS448" s="295">
        <f>AS108</f>
        <v>3627</v>
      </c>
      <c r="AT448" s="295">
        <f>AT108</f>
        <v>3627</v>
      </c>
      <c r="AU448" s="290"/>
      <c r="AV448" s="295">
        <f>AV108</f>
        <v>3984</v>
      </c>
      <c r="AW448" s="295">
        <f>AW108</f>
        <v>4268</v>
      </c>
      <c r="AX448" s="295">
        <f>AX108</f>
        <v>4268</v>
      </c>
      <c r="AY448" s="290"/>
      <c r="AZ448" s="295">
        <f>AZ108</f>
        <v>4325</v>
      </c>
      <c r="BA448" s="295">
        <f>BA108</f>
        <v>4581</v>
      </c>
      <c r="BB448" s="295">
        <f>BB108</f>
        <v>4581</v>
      </c>
      <c r="BC448" s="290"/>
      <c r="BD448" s="295">
        <f>BD108</f>
        <v>4539</v>
      </c>
      <c r="BE448" s="295">
        <f>BE108</f>
        <v>4924</v>
      </c>
      <c r="BF448" s="295">
        <f>BF108</f>
        <v>4924</v>
      </c>
      <c r="BG448" s="290"/>
      <c r="BH448" s="295">
        <f>BH108</f>
        <v>5155</v>
      </c>
      <c r="BI448" s="295">
        <f>BI108</f>
        <v>5439</v>
      </c>
      <c r="BJ448" s="295">
        <f>BJ108</f>
        <v>5439</v>
      </c>
      <c r="BK448" s="290"/>
      <c r="BL448" s="295">
        <f>BL108</f>
        <v>5610</v>
      </c>
      <c r="BM448" s="295">
        <f>BM108</f>
        <v>5637</v>
      </c>
      <c r="BN448" s="295">
        <f>BN108</f>
        <v>5637</v>
      </c>
      <c r="BO448" s="290"/>
      <c r="BP448" s="295">
        <f>BP108</f>
        <v>5801</v>
      </c>
      <c r="BQ448" s="295">
        <f>BQ108</f>
        <v>6306</v>
      </c>
      <c r="BR448" s="295">
        <f>BR108</f>
        <v>6306</v>
      </c>
      <c r="BS448" s="290"/>
      <c r="BT448" s="295">
        <f>BT108</f>
        <v>6705</v>
      </c>
      <c r="BU448" s="295">
        <f>BU108</f>
        <v>7158</v>
      </c>
      <c r="BV448" s="295">
        <f>BV108</f>
        <v>7158</v>
      </c>
      <c r="BW448" s="290"/>
      <c r="BX448" s="295">
        <f>BX108</f>
        <v>7392</v>
      </c>
      <c r="BY448" s="295">
        <f>BY108</f>
        <v>7877</v>
      </c>
      <c r="BZ448" s="295">
        <f>BZ108</f>
        <v>7877</v>
      </c>
      <c r="CA448" s="290"/>
      <c r="CB448" s="295">
        <f>CB108</f>
        <v>8170</v>
      </c>
      <c r="CC448" s="295">
        <f>CC108</f>
        <v>8817</v>
      </c>
      <c r="CD448" s="295">
        <f>CD108</f>
        <v>8817</v>
      </c>
      <c r="CE448" s="290"/>
      <c r="CF448" s="295">
        <f>CF108</f>
        <v>8849</v>
      </c>
      <c r="CG448" s="295">
        <f>CG108</f>
        <v>9807</v>
      </c>
      <c r="CH448" s="295">
        <f>CH108</f>
        <v>9807</v>
      </c>
      <c r="CI448" s="290"/>
      <c r="CJ448" s="295">
        <f>CJ108</f>
        <v>9969</v>
      </c>
      <c r="CK448" s="295">
        <f>CK108</f>
        <v>10439</v>
      </c>
      <c r="CL448" s="295">
        <f>CL108</f>
        <v>10439</v>
      </c>
      <c r="CM448" s="290"/>
      <c r="CN448" s="295">
        <f ca="1">SUM(CN444:CN447)</f>
        <v>10712.00463098864</v>
      </c>
      <c r="CO448" s="295">
        <f>CO108</f>
        <v>12231</v>
      </c>
      <c r="CP448" s="295">
        <f>CP108</f>
        <v>12231</v>
      </c>
      <c r="CQ448" s="290"/>
      <c r="CR448" s="295">
        <f ca="1">SUM(CR444:CR447)</f>
        <v>12975.067711667192</v>
      </c>
      <c r="CS448" s="295">
        <f ca="1">SUM(CS444:CS447)</f>
        <v>14741.370770782141</v>
      </c>
      <c r="CT448" s="295">
        <f ca="1">SUM(CT444:CT447)</f>
        <v>14741.37077078214</v>
      </c>
      <c r="CU448" s="290"/>
      <c r="CV448" s="295">
        <f ca="1">SUM(CV444:CV447)</f>
        <v>15676.951667797108</v>
      </c>
      <c r="CW448" s="1390">
        <f ca="1">SUM(CW444:CW447)</f>
        <v>17317.011405797108</v>
      </c>
      <c r="CX448" s="295">
        <f ca="1">SUM(CX444:CX447)</f>
        <v>17317.011405797108</v>
      </c>
      <c r="CY448" s="290"/>
      <c r="CZ448" s="295">
        <f ca="1">SUM(CZ444:CZ447)</f>
        <v>16992.866012797109</v>
      </c>
      <c r="DA448" s="1390">
        <f ca="1">SUM(DA444:DA447)</f>
        <v>18114.840290097105</v>
      </c>
      <c r="DB448" s="295">
        <f ca="1">SUM(DB444:DB447)</f>
        <v>18114.840290097105</v>
      </c>
      <c r="DC448" s="290"/>
      <c r="DD448" s="295">
        <f ca="1">SUM(DD444:DD447)</f>
        <v>18252.434538047106</v>
      </c>
      <c r="DE448" s="1390">
        <f ca="1">SUM(DE444:DE447)</f>
        <v>19364.964659047102</v>
      </c>
      <c r="DF448" s="295">
        <f ca="1">SUM(DF444:DF447)</f>
        <v>19364.964659047102</v>
      </c>
      <c r="DG448" s="290"/>
      <c r="DH448" s="295">
        <f ca="1">SUM(DH444:DH447)</f>
        <v>19533.524840547103</v>
      </c>
      <c r="DI448" s="295">
        <f ca="1">SUM(DI444:DI447)</f>
        <v>20984.02747651087</v>
      </c>
      <c r="DJ448" s="295">
        <f ca="1">SUM(DJ444:DJ447)</f>
        <v>20984.02747651087</v>
      </c>
      <c r="DK448" s="290"/>
      <c r="DL448" s="295">
        <f ca="1">SUM(DL444:DL447)</f>
        <v>21256.872294363966</v>
      </c>
      <c r="DM448" s="295">
        <f ca="1">SUM(DM444:DM447)</f>
        <v>23913.745341565846</v>
      </c>
      <c r="DN448" s="295">
        <f ca="1">SUM(DN444:DN447)</f>
        <v>23913.745341565842</v>
      </c>
      <c r="DO448" s="290"/>
      <c r="DP448" s="295">
        <f ca="1">SUM(DP444:DP447)</f>
        <v>24270.950536440429</v>
      </c>
      <c r="DQ448" s="295">
        <f ca="1">SUM(DQ444:DQ447)</f>
        <v>27108.494920520126</v>
      </c>
      <c r="DR448" s="295">
        <f ca="1">SUM(DR444:DR447)</f>
        <v>27108.494920520126</v>
      </c>
      <c r="DS448" s="290"/>
      <c r="DT448" s="290"/>
      <c r="DU448" s="295"/>
      <c r="DV448" s="295"/>
      <c r="DW448" s="295"/>
      <c r="DX448" s="290"/>
      <c r="EH448"/>
    </row>
    <row r="449" spans="1:138">
      <c r="A449" s="289"/>
      <c r="X449" s="293"/>
      <c r="Y449" s="293"/>
      <c r="Z449" s="293"/>
      <c r="AB449" s="791"/>
      <c r="AC449" s="293"/>
      <c r="AD449" s="293"/>
      <c r="AE449" s="293"/>
      <c r="AF449" s="293"/>
      <c r="AG449" s="293"/>
      <c r="AH449" s="293"/>
      <c r="DA449" s="1408"/>
      <c r="DE449" s="1408"/>
    </row>
    <row r="450" spans="1:138" s="323" customFormat="1">
      <c r="A450" s="642" t="s">
        <v>797</v>
      </c>
      <c r="B450" s="642"/>
      <c r="C450" s="300"/>
      <c r="D450" s="642"/>
      <c r="E450" s="642"/>
      <c r="F450" s="642"/>
      <c r="G450" s="642"/>
      <c r="H450" s="642"/>
      <c r="I450" s="642"/>
      <c r="J450" s="642"/>
      <c r="K450" s="642"/>
      <c r="L450" s="642"/>
      <c r="M450" s="642"/>
      <c r="N450" s="642"/>
      <c r="O450" s="642"/>
      <c r="P450" s="668">
        <f>(P447*P$2/P$1)/P444</f>
        <v>0</v>
      </c>
      <c r="Q450" s="668">
        <f>(Q447*Q$2/Q$1)/Q444</f>
        <v>0</v>
      </c>
      <c r="R450" s="668">
        <f>(R447*R$2/R$1)/R444</f>
        <v>0</v>
      </c>
      <c r="S450" s="300"/>
      <c r="T450" s="668">
        <f>(T447*T$2/T$1)/T444</f>
        <v>0.6312594840667678</v>
      </c>
      <c r="U450" s="668">
        <f>(U447*U$2/U$1)/U444</f>
        <v>0</v>
      </c>
      <c r="V450" s="668">
        <f>(V447*V$2/V$1)/V444</f>
        <v>0</v>
      </c>
      <c r="W450" s="300"/>
      <c r="X450" s="668">
        <f>(X447*X$2/X$1)/X444</f>
        <v>0</v>
      </c>
      <c r="Y450" s="668">
        <f>(Y447*Y$2/Y$1)/Y444</f>
        <v>0</v>
      </c>
      <c r="Z450" s="668">
        <f>(Z447*Z$2/Z$1)/Z444</f>
        <v>0</v>
      </c>
      <c r="AA450" s="300"/>
      <c r="AB450" s="668">
        <f>(AB447*AB$2/AB$1)/AB444</f>
        <v>-8.461538461538462E-2</v>
      </c>
      <c r="AC450" s="668">
        <f>(AC447*AC$2/AC$1)/AC444</f>
        <v>9.8467465940016419E-5</v>
      </c>
      <c r="AD450" s="668">
        <f>(AD447*AD$2/AD$1)/AD444</f>
        <v>-4.2255570826923099E-2</v>
      </c>
      <c r="AE450" s="720"/>
      <c r="AF450" s="668">
        <f>(AF447*AF$2/AF$1)/AF444</f>
        <v>2.1217372028890319E-2</v>
      </c>
      <c r="AG450" s="668">
        <f>(AG447*AG$2/AG$1)/AG444</f>
        <v>-8.3433805620607582E-4</v>
      </c>
      <c r="AH450" s="668">
        <f>(AH447*AH$2/AH$1)/AH444</f>
        <v>1.0140843138542343E-2</v>
      </c>
      <c r="AI450" s="300"/>
      <c r="AJ450" s="668">
        <f>(AJ447*AJ$2/AJ$1)/AJ444</f>
        <v>5.6924638055844069E-4</v>
      </c>
      <c r="AK450" s="668">
        <f>(AK447*AK$2/AK$1)/AK444</f>
        <v>8.7667438921628019E-5</v>
      </c>
      <c r="AL450" s="668">
        <f>(AL447*AL$2/AL$1)/AL444</f>
        <v>3.3842942088934053E-4</v>
      </c>
      <c r="AM450" s="300"/>
      <c r="AN450" s="668">
        <f>(AN447*AN$2/AN$1)/AN444</f>
        <v>3.4940214669052422E-4</v>
      </c>
      <c r="AO450" s="668">
        <f>(AO447*AO$2/AO$1)/AO444</f>
        <v>-2.9198620515861282E-3</v>
      </c>
      <c r="AP450" s="668">
        <f>(AP447*AP$2/AP$1)/AP444</f>
        <v>-1.5871405545617163E-3</v>
      </c>
      <c r="AQ450" s="300"/>
      <c r="AR450" s="668">
        <f>(AR447*AR$2/AR$1)/AR444</f>
        <v>-1.5375578267885612E-3</v>
      </c>
      <c r="AS450" s="668">
        <f>(AS447*AS$2/AS$1)/AS444</f>
        <v>-1.3401943766578235E-3</v>
      </c>
      <c r="AT450" s="668">
        <f>(AT447*AT$2/AT$1)/AT444</f>
        <v>-1.448248090371149E-3</v>
      </c>
      <c r="AU450" s="300"/>
      <c r="AV450" s="668">
        <f>(AV447*AV$2/AV$1)/AV444</f>
        <v>-4.7558864074993068E-3</v>
      </c>
      <c r="AW450" s="668">
        <f>(AW447*AW$2/AW$1)/AW444</f>
        <v>3.6533135742971867E-3</v>
      </c>
      <c r="AX450" s="668">
        <f>(AX447*AX$2/AX$1)/AX444</f>
        <v>-3.7149141439205875E-4</v>
      </c>
      <c r="AY450" s="300"/>
      <c r="AZ450" s="668">
        <f>(AZ447*AZ$2/AZ$1)/AZ444</f>
        <v>-8.2274086223054074E-4</v>
      </c>
      <c r="BA450" s="668">
        <f>(BA447*BA$2/BA$1)/BA444</f>
        <v>1.0040178497108483E-4</v>
      </c>
      <c r="BB450" s="668">
        <f>(BB447*BB$2/BB$1)/BB444</f>
        <v>-3.6049909559512716E-4</v>
      </c>
      <c r="BC450" s="300"/>
      <c r="BD450" s="668">
        <f>(BD447*BD$2/BD$1)/BD444</f>
        <v>2.1191923160875523E-4</v>
      </c>
      <c r="BE450" s="668">
        <f>(BE447*BE$2/BE$1)/BE444</f>
        <v>8.1542661731658861E-2</v>
      </c>
      <c r="BF450" s="668">
        <f>(BF447*BF$2/BF$1)/BF444</f>
        <v>4.0503486531324955E-2</v>
      </c>
      <c r="BG450" s="300"/>
      <c r="BH450" s="668">
        <f>(BH447*BH$2/BH$1)/BH444</f>
        <v>5.338679417140535E-2</v>
      </c>
      <c r="BI450" s="668">
        <f>(BI447*BI$2/BI$1)/BI444</f>
        <v>1.8532234044616888E-2</v>
      </c>
      <c r="BJ450" s="668">
        <f>(BJ447*BJ$2/BJ$1)/BJ444</f>
        <v>3.6394216186027617E-2</v>
      </c>
      <c r="BK450" s="300"/>
      <c r="BL450" s="668">
        <f>(BL447*BL$2/BL$1)/BL444</f>
        <v>3.470609395109394E-2</v>
      </c>
      <c r="BM450" s="668">
        <f>(BM447*BM$2/BM$1)/BM444</f>
        <v>-0.14246059322638147</v>
      </c>
      <c r="BN450" s="668">
        <f>(BN447*BN$2/BN$1)/BN444</f>
        <v>-5.6116701875344739E-2</v>
      </c>
      <c r="BO450" s="300"/>
      <c r="BP450" s="668">
        <f>(BP447*BP$2/BP$1)/BP444</f>
        <v>-9.9485541954935601E-5</v>
      </c>
      <c r="BQ450" s="668">
        <f>(BQ447*BQ$2/BQ$1)/BQ444</f>
        <v>-1.353596897086713E-3</v>
      </c>
      <c r="BR450" s="668">
        <f>(BR447*BR$2/BR$1)/BR444</f>
        <v>-7.4623164803973698E-4</v>
      </c>
      <c r="BS450" s="300"/>
      <c r="BT450" s="668">
        <f>(BT447*BT$2/BT$1)/BT444</f>
        <v>-1.2954157944814687E-3</v>
      </c>
      <c r="BU450" s="668">
        <f>(BU447*BU$2/BU$1)/BU444</f>
        <v>-2.0399296047725413E-3</v>
      </c>
      <c r="BV450" s="668">
        <f>(BV447*BV$2/BV$1)/BV444</f>
        <v>-1.7322090072946425E-3</v>
      </c>
      <c r="BW450" s="300"/>
      <c r="BX450" s="668">
        <f>(BX447*BX$2/BX$1)/BX444</f>
        <v>2.0277552388938978E-4</v>
      </c>
      <c r="BY450" s="668">
        <f>(BY447*BY$2/BY$1)/BY444</f>
        <v>-9.6988364177489142E-3</v>
      </c>
      <c r="BZ450" s="668">
        <f>(BZ447*BZ$2/BZ$1)/BZ444</f>
        <v>-4.9065613020396557E-3</v>
      </c>
      <c r="CA450" s="300"/>
      <c r="CB450" s="668">
        <f>(CB447*CB$2/CB$1)/CB444</f>
        <v>-5.116549955567094E-4</v>
      </c>
      <c r="CC450" s="668">
        <f>(CC447*CC$2/CC$1)/CC444</f>
        <v>8.6275890208078309E-3</v>
      </c>
      <c r="CD450" s="668">
        <f>(CD447*CD$2/CD$1)/CD444</f>
        <v>4.2184268058905539E-3</v>
      </c>
      <c r="CE450" s="300"/>
      <c r="CF450" s="668">
        <f>(CF447*CF$2/CF$1)/CF444</f>
        <v>-4.2833747533174552E-2</v>
      </c>
      <c r="CG450" s="668">
        <f>(CG447*CG$2/CG$1)/CG444</f>
        <v>3.917479195389339E-3</v>
      </c>
      <c r="CH450" s="668">
        <f>(CH447*CH$2/CH$1)/CH444</f>
        <v>-1.9451025212657354E-2</v>
      </c>
      <c r="CI450" s="300"/>
      <c r="CJ450" s="668">
        <f>(CJ447*CJ$2/CJ$1)/CJ444</f>
        <v>-1.419845889670643E-2</v>
      </c>
      <c r="CK450" s="668">
        <f>(CK447*CK$2/CK$1)/CK444</f>
        <v>1.6340890259805396E-2</v>
      </c>
      <c r="CL450" s="668">
        <f>(CL447*CL$2/CL$1)/CL444</f>
        <v>1.2061817375344157E-3</v>
      </c>
      <c r="CM450" s="300"/>
      <c r="CN450" s="668">
        <f ca="1">(CN447*CN$2/CN$1)/CN444</f>
        <v>-1.419845889670643E-2</v>
      </c>
      <c r="CO450" s="668">
        <f ca="1">(CO447*CO$2/CO$1)/CO444</f>
        <v>-4.3810165038128002E-3</v>
      </c>
      <c r="CP450" s="668">
        <f ca="1">(CP447*CP$2/CP$1)/CP444</f>
        <v>-9.3470246910623053E-3</v>
      </c>
      <c r="CQ450" s="300"/>
      <c r="CR450" s="668">
        <f ca="1">(CR447*CR$2/CR$1)/CR444</f>
        <v>-1.4198458896706432E-2</v>
      </c>
      <c r="CS450" s="668">
        <f ca="1">(CS447*CS$2/CS$1)/CS444</f>
        <v>1.6340890259805396E-2</v>
      </c>
      <c r="CT450" s="668">
        <f ca="1">(CT447*CT$2/CT$1)/CT444</f>
        <v>1.5682612551827964E-3</v>
      </c>
      <c r="CU450" s="300"/>
      <c r="CV450" s="668">
        <f ca="1">(CV447*CV$2/CV$1)/CV444</f>
        <v>-1.4198458896706432E-2</v>
      </c>
      <c r="CW450" s="668">
        <f ca="1">(CW447*CW$2/CW$1)/CW444</f>
        <v>0</v>
      </c>
      <c r="CX450" s="668">
        <f ca="1">(CX447*CX$2/CX$1)/CX444</f>
        <v>-7.099229448353216E-3</v>
      </c>
      <c r="CY450" s="300"/>
      <c r="CZ450" s="668">
        <f ca="1">(CZ447*CZ$2/CZ$1)/CZ444</f>
        <v>0</v>
      </c>
      <c r="DA450" s="668">
        <f ca="1">(DA447*DA$2/DA$1)/DA444</f>
        <v>0</v>
      </c>
      <c r="DB450" s="668">
        <f ca="1">(DB447*DB$2/DB$1)/DB444</f>
        <v>0</v>
      </c>
      <c r="DC450" s="300"/>
      <c r="DD450" s="668">
        <f ca="1">(DD447*DD$2/DD$1)/DD444</f>
        <v>0</v>
      </c>
      <c r="DE450" s="668">
        <f ca="1">(DE447*DE$2/DE$1)/DE444</f>
        <v>0</v>
      </c>
      <c r="DF450" s="668">
        <f ca="1">(DF447*DF$2/DF$1)/DF444</f>
        <v>0</v>
      </c>
      <c r="DG450" s="300"/>
      <c r="DH450" s="668">
        <f ca="1">(DH447*DH$2/DH$1)/DH444</f>
        <v>0</v>
      </c>
      <c r="DI450" s="669">
        <v>0</v>
      </c>
      <c r="DJ450" s="668">
        <f ca="1">(DJ447*DJ$2/DJ$1)/DJ444</f>
        <v>0</v>
      </c>
      <c r="DK450" s="300"/>
      <c r="DL450" s="669">
        <v>0</v>
      </c>
      <c r="DM450" s="669">
        <v>0</v>
      </c>
      <c r="DN450" s="668">
        <f ca="1">(DN447*DN$2/DN$1)/DN444</f>
        <v>0</v>
      </c>
      <c r="DO450" s="300"/>
      <c r="DP450" s="669">
        <v>0</v>
      </c>
      <c r="DQ450" s="669">
        <v>0</v>
      </c>
      <c r="DR450" s="668">
        <f ca="1">(DR447*DR$2/DR$1)/DR444</f>
        <v>0</v>
      </c>
      <c r="DS450" s="300"/>
      <c r="DT450" s="115"/>
      <c r="DU450" s="1130"/>
      <c r="DV450" s="1130"/>
      <c r="DW450" s="1056"/>
      <c r="DX450" s="115"/>
      <c r="EH450"/>
    </row>
    <row r="451" spans="1:138">
      <c r="DA451" s="1408"/>
    </row>
    <row r="452" spans="1:138">
      <c r="A452" s="792" t="s">
        <v>389</v>
      </c>
      <c r="B452" s="793"/>
      <c r="C452" s="794"/>
      <c r="D452" s="793"/>
      <c r="E452" s="793"/>
      <c r="F452" s="793"/>
      <c r="G452" s="793"/>
      <c r="H452" s="793"/>
      <c r="I452" s="793"/>
      <c r="J452" s="793"/>
      <c r="K452" s="793"/>
      <c r="L452" s="793"/>
      <c r="M452" s="793"/>
      <c r="N452" s="793"/>
      <c r="O452" s="793"/>
      <c r="P452" s="793"/>
      <c r="Q452" s="793"/>
      <c r="R452" s="793"/>
      <c r="S452" s="793"/>
      <c r="T452" s="793"/>
      <c r="U452" s="793"/>
      <c r="V452" s="793"/>
      <c r="W452" s="793"/>
      <c r="X452" s="793"/>
      <c r="Y452" s="793"/>
      <c r="Z452" s="793"/>
      <c r="AA452" s="793"/>
      <c r="AB452" s="793"/>
      <c r="AC452" s="793"/>
      <c r="AD452" s="793"/>
      <c r="AE452" s="793"/>
      <c r="AF452" s="793"/>
      <c r="AG452" s="793"/>
      <c r="AH452" s="793"/>
      <c r="AI452" s="793"/>
      <c r="AJ452" s="793"/>
      <c r="AK452" s="793"/>
      <c r="AL452" s="793"/>
      <c r="AM452" s="793"/>
      <c r="AN452" s="794"/>
      <c r="AO452" s="794"/>
      <c r="AP452" s="794"/>
      <c r="AQ452" s="794"/>
      <c r="AR452" s="794"/>
      <c r="AS452" s="794"/>
      <c r="AT452" s="794"/>
      <c r="AU452" s="794"/>
      <c r="AV452" s="794"/>
      <c r="AW452" s="794"/>
      <c r="AX452" s="794"/>
      <c r="AY452" s="794"/>
      <c r="AZ452" s="794"/>
      <c r="BA452" s="794"/>
      <c r="BB452" s="794"/>
      <c r="BC452" s="794"/>
      <c r="BD452" s="794"/>
      <c r="BE452" s="794"/>
      <c r="BF452" s="794"/>
      <c r="BG452" s="794"/>
      <c r="BH452" s="794"/>
      <c r="BI452" s="794"/>
      <c r="BJ452" s="794"/>
      <c r="BK452" s="794"/>
      <c r="BL452" s="794"/>
      <c r="BM452" s="794"/>
      <c r="BN452" s="794"/>
      <c r="BO452" s="794"/>
      <c r="BP452" s="794"/>
      <c r="BQ452" s="794"/>
      <c r="BR452" s="794"/>
      <c r="BS452" s="794"/>
      <c r="BT452" s="794"/>
      <c r="BU452" s="794"/>
      <c r="BV452" s="794"/>
      <c r="BW452" s="794"/>
      <c r="BX452" s="794"/>
      <c r="BY452" s="794"/>
      <c r="BZ452" s="794"/>
      <c r="CA452" s="794"/>
      <c r="CB452" s="794"/>
      <c r="CC452" s="794"/>
      <c r="CD452" s="794"/>
      <c r="CE452" s="794"/>
      <c r="CF452" s="794"/>
      <c r="CG452" s="794"/>
      <c r="CH452" s="794"/>
      <c r="CI452" s="794"/>
      <c r="CJ452" s="794"/>
      <c r="CK452" s="794"/>
      <c r="CL452" s="794"/>
      <c r="CM452" s="794"/>
      <c r="CN452" s="794"/>
      <c r="CO452" s="794"/>
      <c r="CP452" s="794"/>
      <c r="CQ452" s="794"/>
      <c r="CR452" s="794"/>
      <c r="CS452" s="794"/>
      <c r="CT452" s="794"/>
      <c r="CU452" s="794"/>
      <c r="CV452" s="794"/>
      <c r="CW452" s="1819"/>
      <c r="CX452" s="794"/>
      <c r="CY452" s="794"/>
      <c r="CZ452" s="794"/>
      <c r="DA452" s="1819"/>
      <c r="DB452" s="794"/>
      <c r="DC452" s="794"/>
      <c r="DD452" s="794"/>
      <c r="DE452" s="794"/>
      <c r="DF452" s="794"/>
      <c r="DG452" s="794"/>
      <c r="DH452" s="794"/>
      <c r="DI452" s="794"/>
      <c r="DJ452" s="794"/>
      <c r="DK452" s="794"/>
      <c r="DL452" s="794"/>
      <c r="DM452" s="794"/>
      <c r="DN452" s="794"/>
      <c r="DO452" s="794"/>
      <c r="DP452" s="794"/>
      <c r="DQ452" s="794"/>
      <c r="DR452" s="794"/>
      <c r="DS452" s="794"/>
    </row>
    <row r="453" spans="1:138"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  <c r="AA453" s="102"/>
      <c r="AB453" s="102"/>
      <c r="AC453" s="102"/>
      <c r="AD453" s="102"/>
      <c r="AE453" s="102"/>
      <c r="AF453" s="102"/>
      <c r="AG453" s="102"/>
      <c r="AH453" s="102"/>
      <c r="AI453" s="102"/>
      <c r="AJ453" s="102"/>
      <c r="AK453" s="102"/>
      <c r="AL453" s="102"/>
      <c r="AM453" s="102"/>
      <c r="DA453" s="1408"/>
    </row>
    <row r="454" spans="1:138">
      <c r="A454" s="102" t="s">
        <v>9</v>
      </c>
      <c r="C454" s="103" t="s">
        <v>366</v>
      </c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  <c r="AA454" s="102"/>
      <c r="AB454" s="102"/>
      <c r="AC454" s="102"/>
      <c r="AD454" s="102"/>
      <c r="AE454" s="102"/>
      <c r="AF454" s="102"/>
      <c r="AG454" s="102"/>
      <c r="AH454" s="102"/>
      <c r="AI454" s="102"/>
      <c r="AJ454" s="102"/>
      <c r="AK454" s="102"/>
      <c r="AL454" s="102"/>
      <c r="AM454" s="102"/>
      <c r="BH454" s="309">
        <f>BH27/1000</f>
        <v>152.18</v>
      </c>
      <c r="BI454" s="309">
        <f>BI27/1000</f>
        <v>144.74799999999999</v>
      </c>
      <c r="BJ454" s="309">
        <f>BI454</f>
        <v>144.74799999999999</v>
      </c>
      <c r="BL454" s="309">
        <f>BL27/1000</f>
        <v>154.6</v>
      </c>
      <c r="BM454" s="309">
        <f>BM27/1000</f>
        <v>153.904</v>
      </c>
      <c r="BN454" s="309">
        <f>BM454</f>
        <v>153.904</v>
      </c>
      <c r="BP454" s="309">
        <f>BP27/1000</f>
        <v>162.33199999999999</v>
      </c>
      <c r="BQ454" s="309">
        <f>BQ27/1000</f>
        <v>187.976</v>
      </c>
      <c r="BR454" s="309">
        <f>BQ454</f>
        <v>187.976</v>
      </c>
      <c r="BT454" s="309">
        <f>BT27/1000</f>
        <v>209.09</v>
      </c>
      <c r="BU454" s="309">
        <f>BU27/1000</f>
        <v>196.755</v>
      </c>
      <c r="BV454" s="309">
        <f>BU454</f>
        <v>196.755</v>
      </c>
      <c r="BX454" s="309">
        <f>BX27/1000</f>
        <v>193.09299999999999</v>
      </c>
      <c r="BY454" s="309">
        <f>BY27/1000</f>
        <v>182.87700000000001</v>
      </c>
      <c r="BZ454" s="309">
        <f>BY454</f>
        <v>182.87700000000001</v>
      </c>
      <c r="CB454" s="309">
        <f>CB27/1000</f>
        <v>189.76</v>
      </c>
      <c r="CC454" s="309">
        <f>CC27/1000</f>
        <v>191.32499999999999</v>
      </c>
      <c r="CD454" s="309">
        <f>CC454</f>
        <v>191.32499999999999</v>
      </c>
      <c r="CF454" s="309">
        <f>CF27/1000</f>
        <v>205.59800000000001</v>
      </c>
      <c r="CG454" s="309">
        <f>CG27/1000</f>
        <v>203.18199999999999</v>
      </c>
      <c r="CH454" s="309">
        <f>CG454</f>
        <v>203.18199999999999</v>
      </c>
      <c r="CJ454" s="309">
        <f>CJ27/1000</f>
        <v>219.495</v>
      </c>
      <c r="CK454" s="309">
        <f>CK27/1000</f>
        <v>255.80199999999999</v>
      </c>
      <c r="CL454" s="309">
        <f>CK454</f>
        <v>255.80199999999999</v>
      </c>
      <c r="CN454" s="309">
        <f>CN27/1000</f>
        <v>230.73500000000001</v>
      </c>
      <c r="CO454" s="309">
        <f>CO27/1000</f>
        <v>245.65299999999999</v>
      </c>
      <c r="CP454" s="309">
        <f>CO454</f>
        <v>245.65299999999999</v>
      </c>
      <c r="CR454" s="309">
        <f>CR27/1000</f>
        <v>348.56700000000001</v>
      </c>
      <c r="CS454" s="309">
        <f>CS27/1000</f>
        <v>399.17599999999999</v>
      </c>
      <c r="CT454" s="309">
        <f>CS454</f>
        <v>399.17599999999999</v>
      </c>
      <c r="CV454" s="309">
        <f>CV27/1000</f>
        <v>486.57400000000001</v>
      </c>
      <c r="CW454" s="1796">
        <f>CW27/1000</f>
        <v>387.87200000000001</v>
      </c>
      <c r="CX454" s="309">
        <f>CW454</f>
        <v>387.87200000000001</v>
      </c>
      <c r="CZ454" s="309">
        <f>CZ27/1000</f>
        <v>394.59399999999999</v>
      </c>
      <c r="DA454" s="1796">
        <f>DA27/1000</f>
        <v>403.404</v>
      </c>
      <c r="DB454" s="309">
        <f>DA454</f>
        <v>403.404</v>
      </c>
      <c r="DD454" s="309">
        <f>DD27/1000</f>
        <v>414.315</v>
      </c>
      <c r="DE454" s="1796">
        <f>DE27/1000</f>
        <v>445.221</v>
      </c>
      <c r="DF454" s="309">
        <f>DE454</f>
        <v>445.221</v>
      </c>
      <c r="DH454" s="309">
        <f>DH27/1000</f>
        <v>484.21600000000001</v>
      </c>
      <c r="DI454" s="309">
        <f>DI27/1000</f>
        <v>519.30393450381678</v>
      </c>
      <c r="DJ454" s="309">
        <f>DI454</f>
        <v>519.30393450381678</v>
      </c>
      <c r="DL454" s="309">
        <f>DL27/1000</f>
        <v>546.22116514045797</v>
      </c>
      <c r="DM454" s="309">
        <f>DM27/1000</f>
        <v>568.94102307803053</v>
      </c>
      <c r="DN454" s="309">
        <f>DM454</f>
        <v>568.94102307803053</v>
      </c>
      <c r="DP454" s="309">
        <f>DP27/1000</f>
        <v>592.73344829936718</v>
      </c>
      <c r="DQ454" s="309">
        <f>DQ27/1000</f>
        <v>617.65420206129374</v>
      </c>
      <c r="DR454" s="309">
        <f>DQ454</f>
        <v>617.65420206129374</v>
      </c>
      <c r="DU454" s="309"/>
      <c r="DV454" s="309"/>
      <c r="DW454" s="309"/>
    </row>
    <row r="455" spans="1:138">
      <c r="A455" s="102" t="s">
        <v>515</v>
      </c>
      <c r="C455" s="103" t="s">
        <v>366</v>
      </c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  <c r="AA455" s="102"/>
      <c r="AB455" s="102"/>
      <c r="AC455" s="102"/>
      <c r="AD455" s="102"/>
      <c r="AE455" s="102"/>
      <c r="AF455" s="102"/>
      <c r="AG455" s="102"/>
      <c r="AH455" s="102"/>
      <c r="AI455" s="102"/>
      <c r="AJ455" s="102"/>
      <c r="AK455" s="102"/>
      <c r="AL455" s="102"/>
      <c r="AM455" s="102"/>
      <c r="BH455" s="309">
        <f>+BH456-BH454</f>
        <v>-63.78</v>
      </c>
      <c r="BI455" s="309">
        <f>+BI456-BI454</f>
        <v>-57.147999999999996</v>
      </c>
      <c r="BJ455" s="309">
        <f t="shared" ref="BJ455:BJ460" si="372">BI455</f>
        <v>-57.147999999999996</v>
      </c>
      <c r="BL455" s="309">
        <f>+BL456-BL454</f>
        <v>-60.8</v>
      </c>
      <c r="BM455" s="309">
        <f>+BM456-BM454</f>
        <v>-61.304000000000002</v>
      </c>
      <c r="BN455" s="309">
        <f t="shared" ref="BN455:BN460" si="373">BM455</f>
        <v>-61.304000000000002</v>
      </c>
      <c r="BP455" s="309">
        <f>+BP456-BP454</f>
        <v>-64.431999999999988</v>
      </c>
      <c r="BQ455" s="309">
        <f>+BQ456-BQ454</f>
        <v>-75.176000000000002</v>
      </c>
      <c r="BR455" s="309">
        <f>BQ455</f>
        <v>-75.176000000000002</v>
      </c>
      <c r="BT455" s="309">
        <f>+BT456-BT454</f>
        <v>-85.39</v>
      </c>
      <c r="BU455" s="309">
        <f>+BU456-BU454</f>
        <v>-65.754999999999995</v>
      </c>
      <c r="BV455" s="309">
        <f>BU455</f>
        <v>-65.754999999999995</v>
      </c>
      <c r="BX455" s="309">
        <f>+BX456-BX454</f>
        <v>-70.792999999999992</v>
      </c>
      <c r="BY455" s="309">
        <f>+BY456-BY454</f>
        <v>-62.077000000000012</v>
      </c>
      <c r="BZ455" s="309">
        <f>BY455</f>
        <v>-62.077000000000012</v>
      </c>
      <c r="CB455" s="309">
        <f>+CB456-CB454</f>
        <v>-65.859999999999985</v>
      </c>
      <c r="CC455" s="309">
        <f>+CC456-CC454</f>
        <v>-62.524999999999977</v>
      </c>
      <c r="CD455" s="309">
        <f>CC455</f>
        <v>-62.524999999999977</v>
      </c>
      <c r="CF455" s="309">
        <f>+CF456-CF454</f>
        <v>-71.198000000000008</v>
      </c>
      <c r="CG455" s="309">
        <f>+CG456-CG454</f>
        <v>-62.681999999999988</v>
      </c>
      <c r="CH455" s="309">
        <f>CG455</f>
        <v>-62.681999999999988</v>
      </c>
      <c r="CJ455" s="309">
        <f>+CJ456-CJ454</f>
        <v>-73.094999999999999</v>
      </c>
      <c r="CK455" s="309">
        <f>+CK456-CK454</f>
        <v>-94.201999999999998</v>
      </c>
      <c r="CL455" s="309">
        <f>CK455</f>
        <v>-94.201999999999998</v>
      </c>
      <c r="CN455" s="309">
        <f>+CN456-CN454</f>
        <v>-58.235000000000014</v>
      </c>
      <c r="CO455" s="309">
        <f>+CO456-CO454</f>
        <v>-59.252999999999986</v>
      </c>
      <c r="CP455" s="309">
        <f>CO455</f>
        <v>-59.252999999999986</v>
      </c>
      <c r="CR455" s="309">
        <f>+CR456-CR454</f>
        <v>-123.667</v>
      </c>
      <c r="CS455" s="309">
        <f>+CS456-CS454</f>
        <v>-133.27600000000001</v>
      </c>
      <c r="CT455" s="309">
        <f>CS455</f>
        <v>-133.27600000000001</v>
      </c>
      <c r="CV455" s="309">
        <f>+CV456-CV454</f>
        <v>-180.07400000000001</v>
      </c>
      <c r="CW455" s="1796">
        <f>+CW456-CW454</f>
        <v>-78.872000000000014</v>
      </c>
      <c r="CX455" s="309">
        <f>CW455</f>
        <v>-78.872000000000014</v>
      </c>
      <c r="CZ455" s="309">
        <f>+CZ456-CZ454</f>
        <v>-77.593999999999994</v>
      </c>
      <c r="DA455" s="1796">
        <f>+DA456-DA454</f>
        <v>-73.303999999999974</v>
      </c>
      <c r="DB455" s="309">
        <f>DA455</f>
        <v>-73.303999999999974</v>
      </c>
      <c r="DD455" s="309">
        <f>+DD456-DD454</f>
        <v>-73.514999999999986</v>
      </c>
      <c r="DE455" s="1796">
        <f>+DE456-DE454</f>
        <v>-77.120999999999981</v>
      </c>
      <c r="DF455" s="309">
        <f>DE455</f>
        <v>-77.120999999999981</v>
      </c>
      <c r="DH455" s="309">
        <f>+DH456-DH454</f>
        <v>-82.915999999999997</v>
      </c>
      <c r="DI455" s="309">
        <f>+DI456-DI454</f>
        <v>-88.924374728052101</v>
      </c>
      <c r="DJ455" s="309">
        <f>DI455</f>
        <v>-88.924374728052101</v>
      </c>
      <c r="DL455" s="309">
        <f>+DL456-DL454</f>
        <v>-93.533617494643295</v>
      </c>
      <c r="DM455" s="309">
        <f>+DM456-DM454</f>
        <v>-97.424112110169801</v>
      </c>
      <c r="DN455" s="309">
        <f>DM455</f>
        <v>-97.424112110169801</v>
      </c>
      <c r="DP455" s="309">
        <f>+DP456-DP454</f>
        <v>-101.49827060483403</v>
      </c>
      <c r="DQ455" s="309">
        <f>+DQ456-DQ454</f>
        <v>-105.7656414040722</v>
      </c>
      <c r="DR455" s="309">
        <f>DQ455</f>
        <v>-105.7656414040722</v>
      </c>
      <c r="DU455" s="309"/>
      <c r="DV455" s="309"/>
      <c r="DW455" s="309"/>
    </row>
    <row r="456" spans="1:138" s="289" customFormat="1">
      <c r="A456" s="289" t="s">
        <v>10</v>
      </c>
      <c r="C456" s="103" t="s">
        <v>366</v>
      </c>
      <c r="AN456" s="290"/>
      <c r="AO456" s="290"/>
      <c r="AP456" s="290"/>
      <c r="AQ456" s="290"/>
      <c r="AR456" s="290"/>
      <c r="AS456" s="290"/>
      <c r="AT456" s="290"/>
      <c r="AU456" s="290"/>
      <c r="AV456" s="290"/>
      <c r="AW456" s="290"/>
      <c r="AX456" s="290"/>
      <c r="AY456" s="290"/>
      <c r="AZ456" s="290"/>
      <c r="BA456" s="290"/>
      <c r="BB456" s="290"/>
      <c r="BC456" s="290"/>
      <c r="BD456" s="290"/>
      <c r="BE456" s="290"/>
      <c r="BF456" s="290"/>
      <c r="BG456" s="290"/>
      <c r="BH456" s="674">
        <v>88.4</v>
      </c>
      <c r="BI456" s="674">
        <v>87.6</v>
      </c>
      <c r="BJ456" s="310">
        <f t="shared" si="372"/>
        <v>87.6</v>
      </c>
      <c r="BK456" s="290"/>
      <c r="BL456" s="674">
        <v>93.8</v>
      </c>
      <c r="BM456" s="674">
        <v>92.6</v>
      </c>
      <c r="BN456" s="310">
        <f t="shared" si="373"/>
        <v>92.6</v>
      </c>
      <c r="BO456" s="290"/>
      <c r="BP456" s="674">
        <v>97.9</v>
      </c>
      <c r="BQ456" s="674">
        <v>112.8</v>
      </c>
      <c r="BR456" s="310">
        <f>BQ456</f>
        <v>112.8</v>
      </c>
      <c r="BS456" s="290"/>
      <c r="BT456" s="674">
        <v>123.7</v>
      </c>
      <c r="BU456" s="674">
        <v>131</v>
      </c>
      <c r="BV456" s="310">
        <f>BU456</f>
        <v>131</v>
      </c>
      <c r="BW456" s="290"/>
      <c r="BX456" s="674">
        <v>122.3</v>
      </c>
      <c r="BY456" s="674">
        <v>120.8</v>
      </c>
      <c r="BZ456" s="310">
        <f>BY456</f>
        <v>120.8</v>
      </c>
      <c r="CA456" s="290"/>
      <c r="CB456" s="674">
        <v>123.9</v>
      </c>
      <c r="CC456" s="674">
        <v>128.80000000000001</v>
      </c>
      <c r="CD456" s="310">
        <f>CC456</f>
        <v>128.80000000000001</v>
      </c>
      <c r="CE456" s="290"/>
      <c r="CF456" s="674">
        <v>134.4</v>
      </c>
      <c r="CG456" s="674">
        <v>140.5</v>
      </c>
      <c r="CH456" s="310">
        <f>CG456</f>
        <v>140.5</v>
      </c>
      <c r="CI456" s="290"/>
      <c r="CJ456" s="674">
        <v>146.4</v>
      </c>
      <c r="CK456" s="1454">
        <v>161.6</v>
      </c>
      <c r="CL456" s="1455">
        <f>CK456</f>
        <v>161.6</v>
      </c>
      <c r="CM456" s="1424"/>
      <c r="CN456" s="1456">
        <v>172.5</v>
      </c>
      <c r="CO456" s="1456">
        <v>186.4</v>
      </c>
      <c r="CP456" s="1455">
        <f>CO456</f>
        <v>186.4</v>
      </c>
      <c r="CQ456" s="1424"/>
      <c r="CR456" s="1457">
        <v>224.9</v>
      </c>
      <c r="CS456" s="1456">
        <v>265.89999999999998</v>
      </c>
      <c r="CT456" s="310">
        <f>CS456</f>
        <v>265.89999999999998</v>
      </c>
      <c r="CU456" s="290"/>
      <c r="CV456" s="1457">
        <v>306.5</v>
      </c>
      <c r="CW456" s="1829">
        <v>309</v>
      </c>
      <c r="CX456" s="310">
        <f>CW456</f>
        <v>309</v>
      </c>
      <c r="CY456" s="290"/>
      <c r="CZ456" s="1456">
        <v>317</v>
      </c>
      <c r="DA456" s="1456">
        <v>330.1</v>
      </c>
      <c r="DB456" s="310">
        <f>DA456</f>
        <v>330.1</v>
      </c>
      <c r="DC456" s="290"/>
      <c r="DD456" s="1456">
        <v>340.8</v>
      </c>
      <c r="DE456" s="2185">
        <v>368.1</v>
      </c>
      <c r="DF456" s="310">
        <f>DE456</f>
        <v>368.1</v>
      </c>
      <c r="DG456" s="290"/>
      <c r="DH456" s="1456">
        <v>401.3</v>
      </c>
      <c r="DI456" s="715">
        <f>+DI454*DI457</f>
        <v>430.37955977576468</v>
      </c>
      <c r="DJ456" s="310">
        <f>DI456</f>
        <v>430.37955977576468</v>
      </c>
      <c r="DK456" s="290"/>
      <c r="DL456" s="715">
        <f>+DL454*DL457</f>
        <v>452.68754764581467</v>
      </c>
      <c r="DM456" s="715">
        <f>+DM454*DM457</f>
        <v>471.51691096786072</v>
      </c>
      <c r="DN456" s="310">
        <f>DM456</f>
        <v>471.51691096786072</v>
      </c>
      <c r="DO456" s="290"/>
      <c r="DP456" s="715">
        <f>+DP454*DP457</f>
        <v>491.23517769453315</v>
      </c>
      <c r="DQ456" s="715">
        <f>+DQ454*DQ457</f>
        <v>511.88856065722155</v>
      </c>
      <c r="DR456" s="310">
        <f>DQ456</f>
        <v>511.88856065722155</v>
      </c>
      <c r="DS456" s="290"/>
      <c r="DT456" s="290"/>
      <c r="DU456" s="715"/>
      <c r="DV456" s="715"/>
      <c r="DW456" s="310"/>
      <c r="DX456" s="290"/>
      <c r="EH456"/>
    </row>
    <row r="457" spans="1:138" s="323" customFormat="1">
      <c r="A457" s="642" t="s">
        <v>508</v>
      </c>
      <c r="B457" s="642"/>
      <c r="C457" s="300" t="s">
        <v>917</v>
      </c>
      <c r="D457" s="642"/>
      <c r="E457" s="642"/>
      <c r="F457" s="642"/>
      <c r="G457" s="642"/>
      <c r="H457" s="642"/>
      <c r="I457" s="642"/>
      <c r="J457" s="642"/>
      <c r="K457" s="642"/>
      <c r="L457" s="642"/>
      <c r="M457" s="642"/>
      <c r="N457" s="642"/>
      <c r="O457" s="642"/>
      <c r="P457" s="642"/>
      <c r="Q457" s="642"/>
      <c r="R457" s="642"/>
      <c r="S457" s="642"/>
      <c r="T457" s="642"/>
      <c r="U457" s="642"/>
      <c r="V457" s="642"/>
      <c r="W457" s="642"/>
      <c r="X457" s="642"/>
      <c r="Y457" s="642"/>
      <c r="Z457" s="642"/>
      <c r="AA457" s="642"/>
      <c r="AB457" s="642"/>
      <c r="AC457" s="642"/>
      <c r="AD457" s="642"/>
      <c r="AE457" s="642"/>
      <c r="AF457" s="642"/>
      <c r="AG457" s="642"/>
      <c r="AH457" s="642"/>
      <c r="AI457" s="642"/>
      <c r="AJ457" s="642"/>
      <c r="AK457" s="642"/>
      <c r="AL457" s="642"/>
      <c r="AM457" s="642"/>
      <c r="AN457" s="300"/>
      <c r="AO457" s="300"/>
      <c r="AP457" s="300"/>
      <c r="AQ457" s="300"/>
      <c r="AR457" s="300"/>
      <c r="AS457" s="300"/>
      <c r="AT457" s="300"/>
      <c r="AU457" s="300"/>
      <c r="AV457" s="300"/>
      <c r="AW457" s="300"/>
      <c r="AX457" s="300"/>
      <c r="AY457" s="300"/>
      <c r="AZ457" s="300"/>
      <c r="BA457" s="300"/>
      <c r="BB457" s="300"/>
      <c r="BC457" s="300"/>
      <c r="BD457" s="300"/>
      <c r="BE457" s="300"/>
      <c r="BF457" s="300"/>
      <c r="BG457" s="300"/>
      <c r="BH457" s="668">
        <f>+BH456/BH454</f>
        <v>0.58089105007228281</v>
      </c>
      <c r="BI457" s="668">
        <f>+BI456/BI454</f>
        <v>0.60518970901152347</v>
      </c>
      <c r="BJ457" s="668">
        <f>+BJ456/BJ454</f>
        <v>0.60518970901152347</v>
      </c>
      <c r="BK457" s="795"/>
      <c r="BL457" s="668">
        <f>+BL456/BL454</f>
        <v>0.60672703751617074</v>
      </c>
      <c r="BM457" s="668">
        <f>+BM456/BM454</f>
        <v>0.60167377066223093</v>
      </c>
      <c r="BN457" s="668">
        <f>+BN456/BN454</f>
        <v>0.60167377066223093</v>
      </c>
      <c r="BO457" s="795"/>
      <c r="BP457" s="668">
        <f>+BP456/BP454</f>
        <v>0.60308503560604199</v>
      </c>
      <c r="BQ457" s="668">
        <f>+BQ456/BQ454</f>
        <v>0.60007660552410946</v>
      </c>
      <c r="BR457" s="668">
        <f>+BR456/BR454</f>
        <v>0.60007660552410946</v>
      </c>
      <c r="BS457" s="795"/>
      <c r="BT457" s="668">
        <f>+BT456/BT454</f>
        <v>0.59161126787507767</v>
      </c>
      <c r="BU457" s="668">
        <f>+BU456/BU454</f>
        <v>0.66580264796320299</v>
      </c>
      <c r="BV457" s="668">
        <f>+BV456/BV454</f>
        <v>0.66580264796320299</v>
      </c>
      <c r="BW457" s="300"/>
      <c r="BX457" s="668">
        <f>+BX456/BX454</f>
        <v>0.63337355574774856</v>
      </c>
      <c r="BY457" s="668">
        <f>+BY456/BY454</f>
        <v>0.6605532680435483</v>
      </c>
      <c r="BZ457" s="668">
        <f>+BZ456/BZ454</f>
        <v>0.6605532680435483</v>
      </c>
      <c r="CA457" s="300"/>
      <c r="CB457" s="668">
        <f>+CB456/CB454</f>
        <v>0.65293001686340646</v>
      </c>
      <c r="CC457" s="668">
        <f>+CC456/CC454</f>
        <v>0.6732000522670849</v>
      </c>
      <c r="CD457" s="668">
        <f>+CD456/CD454</f>
        <v>0.6732000522670849</v>
      </c>
      <c r="CE457" s="300"/>
      <c r="CF457" s="668">
        <f>+CF456/CF454</f>
        <v>0.65370285703168318</v>
      </c>
      <c r="CG457" s="668">
        <f>+CG456/CG454</f>
        <v>0.6914982626413757</v>
      </c>
      <c r="CH457" s="668">
        <f>+CH456/CH454</f>
        <v>0.6914982626413757</v>
      </c>
      <c r="CI457" s="300"/>
      <c r="CJ457" s="668">
        <f>+CJ456/CJ454</f>
        <v>0.66698558053714208</v>
      </c>
      <c r="CK457" s="668">
        <f>+CK456/CK454</f>
        <v>0.6317386103314282</v>
      </c>
      <c r="CL457" s="668">
        <f>+CL456/CL454</f>
        <v>0.6317386103314282</v>
      </c>
      <c r="CM457" s="300"/>
      <c r="CN457" s="668">
        <f>+CN456/CN454</f>
        <v>0.74761089561618299</v>
      </c>
      <c r="CO457" s="668">
        <f>+CO456/CO454</f>
        <v>0.75879390848066175</v>
      </c>
      <c r="CP457" s="668">
        <f>+CP456/CP454</f>
        <v>0.75879390848066175</v>
      </c>
      <c r="CQ457" s="300"/>
      <c r="CR457" s="668">
        <f>+CR456/CR454</f>
        <v>0.6452131154125319</v>
      </c>
      <c r="CS457" s="668">
        <f>+CS456/CS454</f>
        <v>0.66612221175621777</v>
      </c>
      <c r="CT457" s="668">
        <f>+CT456/CT454</f>
        <v>0.66612221175621777</v>
      </c>
      <c r="CU457" s="300"/>
      <c r="CV457" s="1956">
        <f>+CV456/CV454</f>
        <v>0.62991446316490396</v>
      </c>
      <c r="CW457" s="1956">
        <f>+CW456/CW454</f>
        <v>0.79665456645491295</v>
      </c>
      <c r="CX457" s="1956">
        <f>+CX456/CX454</f>
        <v>0.79665456645491295</v>
      </c>
      <c r="CY457" s="1946"/>
      <c r="CZ457" s="1956">
        <f>+CZ456/CZ454</f>
        <v>0.80335737492207182</v>
      </c>
      <c r="DA457" s="1956">
        <f>+DA456/DA454</f>
        <v>0.81828638288167699</v>
      </c>
      <c r="DB457" s="1956">
        <f>+DB456/DB454</f>
        <v>0.81828638288167699</v>
      </c>
      <c r="DC457" s="1946"/>
      <c r="DD457" s="1956">
        <f>+DD456/DD454</f>
        <v>0.82256254299265052</v>
      </c>
      <c r="DE457" s="1956">
        <f>+DE456/DE454</f>
        <v>0.82678040793224039</v>
      </c>
      <c r="DF457" s="1956">
        <f>+DF456/DF454</f>
        <v>0.82678040793224039</v>
      </c>
      <c r="DG457" s="1946"/>
      <c r="DH457" s="1956">
        <f>+DH456/DH454</f>
        <v>0.82876237051233337</v>
      </c>
      <c r="DI457" s="1957">
        <f>DH457</f>
        <v>0.82876237051233337</v>
      </c>
      <c r="DJ457" s="1956">
        <f>+DJ456/DJ454</f>
        <v>0.82876237051233337</v>
      </c>
      <c r="DK457" s="1946"/>
      <c r="DL457" s="1957">
        <f>DI457</f>
        <v>0.82876237051233337</v>
      </c>
      <c r="DM457" s="1957">
        <f>DL457</f>
        <v>0.82876237051233337</v>
      </c>
      <c r="DN457" s="1956">
        <f>+DN456/DN454</f>
        <v>0.82876237051233337</v>
      </c>
      <c r="DO457" s="1946"/>
      <c r="DP457" s="1957">
        <f>DM457</f>
        <v>0.82876237051233337</v>
      </c>
      <c r="DQ457" s="1957">
        <f>DP457</f>
        <v>0.82876237051233337</v>
      </c>
      <c r="DR457" s="1956">
        <f>+DR456/DR454</f>
        <v>0.82876237051233337</v>
      </c>
      <c r="DS457" s="1946"/>
      <c r="DT457" s="115"/>
      <c r="DU457" s="1130"/>
      <c r="DV457" s="1130"/>
      <c r="DW457" s="1056"/>
      <c r="DX457" s="115"/>
      <c r="EH457"/>
    </row>
    <row r="458" spans="1:138" s="289" customFormat="1">
      <c r="C458" s="103"/>
      <c r="AN458" s="290"/>
      <c r="AO458" s="290"/>
      <c r="AP458" s="290"/>
      <c r="AQ458" s="290"/>
      <c r="AR458" s="290"/>
      <c r="AS458" s="290"/>
      <c r="AT458" s="290"/>
      <c r="AU458" s="290"/>
      <c r="AV458" s="290"/>
      <c r="AW458" s="290"/>
      <c r="AX458" s="290"/>
      <c r="AY458" s="290"/>
      <c r="AZ458" s="290"/>
      <c r="BA458" s="290"/>
      <c r="BB458" s="290"/>
      <c r="BC458" s="290"/>
      <c r="BD458" s="290"/>
      <c r="BE458" s="290"/>
      <c r="BF458" s="290"/>
      <c r="BG458" s="290"/>
      <c r="BH458" s="674"/>
      <c r="BI458" s="674"/>
      <c r="BJ458" s="310"/>
      <c r="BK458" s="290"/>
      <c r="BL458" s="674"/>
      <c r="BM458" s="674"/>
      <c r="BN458" s="310"/>
      <c r="BO458" s="290"/>
      <c r="BP458" s="674"/>
      <c r="BQ458" s="674"/>
      <c r="BR458" s="310"/>
      <c r="BS458" s="290"/>
      <c r="BT458" s="674"/>
      <c r="BU458" s="674"/>
      <c r="BV458" s="310"/>
      <c r="BW458" s="290"/>
      <c r="BX458" s="674"/>
      <c r="BY458" s="674"/>
      <c r="BZ458" s="310"/>
      <c r="CA458" s="290"/>
      <c r="CB458" s="674"/>
      <c r="CC458" s="674"/>
      <c r="CD458" s="310"/>
      <c r="CE458" s="290"/>
      <c r="CF458" s="674"/>
      <c r="CG458" s="674"/>
      <c r="CH458" s="310"/>
      <c r="CI458" s="290"/>
      <c r="CJ458" s="674"/>
      <c r="CK458" s="674"/>
      <c r="CL458" s="310"/>
      <c r="CM458" s="290"/>
      <c r="CN458" s="674"/>
      <c r="CO458" s="674"/>
      <c r="CP458" s="310"/>
      <c r="CQ458" s="290"/>
      <c r="CR458" s="674"/>
      <c r="CS458" s="1496"/>
      <c r="CT458" s="310"/>
      <c r="CU458" s="290"/>
      <c r="CV458" s="674"/>
      <c r="CW458" s="1496"/>
      <c r="CX458" s="310"/>
      <c r="CY458" s="290"/>
      <c r="CZ458" s="674"/>
      <c r="DA458" s="1496"/>
      <c r="DB458" s="310"/>
      <c r="DC458" s="290"/>
      <c r="DD458" s="674"/>
      <c r="DE458" s="1496"/>
      <c r="DF458" s="310"/>
      <c r="DG458" s="290"/>
      <c r="DH458" s="674"/>
      <c r="DI458" s="290"/>
      <c r="DJ458" s="310"/>
      <c r="DK458" s="290"/>
      <c r="DL458" s="290"/>
      <c r="DM458" s="290"/>
      <c r="DN458" s="310"/>
      <c r="DO458" s="290"/>
      <c r="DP458" s="290"/>
      <c r="DQ458" s="290"/>
      <c r="DR458" s="310"/>
      <c r="DS458" s="290"/>
      <c r="DT458" s="290"/>
      <c r="DU458" s="290"/>
      <c r="DV458" s="290"/>
      <c r="DW458" s="310"/>
      <c r="DX458" s="290"/>
      <c r="EH458"/>
    </row>
    <row r="459" spans="1:138">
      <c r="A459" s="102" t="s">
        <v>499</v>
      </c>
      <c r="C459" s="103" t="s">
        <v>366</v>
      </c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  <c r="AA459" s="102"/>
      <c r="AB459" s="102"/>
      <c r="AC459" s="102"/>
      <c r="AD459" s="102"/>
      <c r="AE459" s="102"/>
      <c r="AF459" s="102"/>
      <c r="AG459" s="102"/>
      <c r="AH459" s="102"/>
      <c r="AI459" s="102"/>
      <c r="AJ459" s="102"/>
      <c r="AK459" s="102"/>
      <c r="AL459" s="102"/>
      <c r="AM459" s="102"/>
      <c r="BH459" s="730">
        <v>75.900000000000006</v>
      </c>
      <c r="BI459" s="730">
        <v>73.900000000000006</v>
      </c>
      <c r="BJ459" s="309">
        <f t="shared" si="372"/>
        <v>73.900000000000006</v>
      </c>
      <c r="BL459" s="730">
        <v>79.2</v>
      </c>
      <c r="BM459" s="730">
        <v>78.400000000000006</v>
      </c>
      <c r="BN459" s="309">
        <f t="shared" si="373"/>
        <v>78.400000000000006</v>
      </c>
      <c r="BP459" s="730">
        <v>84.7</v>
      </c>
      <c r="BQ459" s="730">
        <v>97.1</v>
      </c>
      <c r="BR459" s="309">
        <f>BQ459</f>
        <v>97.1</v>
      </c>
      <c r="BT459" s="730">
        <v>106.2</v>
      </c>
      <c r="BU459" s="730">
        <v>114.6</v>
      </c>
      <c r="BV459" s="309">
        <f>BU459</f>
        <v>114.6</v>
      </c>
      <c r="BX459" s="730">
        <v>106.6</v>
      </c>
      <c r="BY459" s="730">
        <v>104.6</v>
      </c>
      <c r="BZ459" s="309">
        <f>BY459</f>
        <v>104.6</v>
      </c>
      <c r="CB459" s="730">
        <v>107.9</v>
      </c>
      <c r="CC459" s="730">
        <v>104.7</v>
      </c>
      <c r="CD459" s="309">
        <f>CC459</f>
        <v>104.7</v>
      </c>
      <c r="CF459" s="730">
        <v>107.8</v>
      </c>
      <c r="CG459" s="730">
        <v>100.6</v>
      </c>
      <c r="CH459" s="309">
        <f>CG459</f>
        <v>100.6</v>
      </c>
      <c r="CJ459" s="730">
        <v>110.2</v>
      </c>
      <c r="CK459" s="1011">
        <v>123.5</v>
      </c>
      <c r="CL459" s="1458">
        <f>CK459</f>
        <v>123.5</v>
      </c>
      <c r="CM459" s="1009"/>
      <c r="CN459" s="1011">
        <v>128.80000000000001</v>
      </c>
      <c r="CO459" s="1011">
        <v>143.4</v>
      </c>
      <c r="CP459" s="1458">
        <f>CO459</f>
        <v>143.4</v>
      </c>
      <c r="CQ459" s="1009"/>
      <c r="CR459" s="1459">
        <v>224.9</v>
      </c>
      <c r="CS459" s="1456">
        <v>265.89999999999998</v>
      </c>
      <c r="CT459" s="309">
        <f>CS459</f>
        <v>265.89999999999998</v>
      </c>
      <c r="CV459" s="1457">
        <v>306.5</v>
      </c>
      <c r="CW459" s="1829">
        <v>309</v>
      </c>
      <c r="CX459" s="309">
        <f>CW459</f>
        <v>309</v>
      </c>
      <c r="CZ459" s="1456">
        <v>317</v>
      </c>
      <c r="DA459" s="1456">
        <v>330.1</v>
      </c>
      <c r="DB459" s="309">
        <f>DA459</f>
        <v>330.1</v>
      </c>
      <c r="DD459" s="1456">
        <v>340.8</v>
      </c>
      <c r="DE459" s="2185">
        <v>368.1</v>
      </c>
      <c r="DF459" s="309">
        <f>DE459</f>
        <v>368.1</v>
      </c>
      <c r="DH459" s="1456">
        <v>401.3</v>
      </c>
      <c r="DI459" s="711">
        <f>+DI456*DI461</f>
        <v>430.37955977576468</v>
      </c>
      <c r="DJ459" s="711">
        <f>DI459</f>
        <v>430.37955977576468</v>
      </c>
      <c r="DL459" s="711">
        <f>+DL456*DL461</f>
        <v>452.68754764581467</v>
      </c>
      <c r="DM459" s="711">
        <f>+DM456*DM461</f>
        <v>471.51691096786072</v>
      </c>
      <c r="DN459" s="711">
        <f>DM459</f>
        <v>471.51691096786072</v>
      </c>
      <c r="DP459" s="711">
        <f>+DP456*DP461</f>
        <v>491.23517769453315</v>
      </c>
      <c r="DQ459" s="711">
        <f>+DQ456*DQ461</f>
        <v>511.88856065722155</v>
      </c>
      <c r="DR459" s="711">
        <f>DQ459</f>
        <v>511.88856065722155</v>
      </c>
      <c r="DU459" s="711"/>
      <c r="DV459" s="711"/>
      <c r="DW459" s="711"/>
    </row>
    <row r="460" spans="1:138">
      <c r="A460" s="102" t="s">
        <v>452</v>
      </c>
      <c r="C460" s="103" t="s">
        <v>366</v>
      </c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  <c r="AA460" s="102"/>
      <c r="AB460" s="102"/>
      <c r="AC460" s="102"/>
      <c r="AD460" s="102"/>
      <c r="AE460" s="102"/>
      <c r="AF460" s="102"/>
      <c r="AG460" s="102"/>
      <c r="AH460" s="102"/>
      <c r="AI460" s="102"/>
      <c r="AJ460" s="102"/>
      <c r="AK460" s="102"/>
      <c r="AL460" s="102"/>
      <c r="AM460" s="102"/>
      <c r="BH460" s="103">
        <f>+BH456-BH459</f>
        <v>12.5</v>
      </c>
      <c r="BI460" s="103">
        <f>+BI456-BI459</f>
        <v>13.699999999999989</v>
      </c>
      <c r="BJ460" s="309">
        <f t="shared" si="372"/>
        <v>13.699999999999989</v>
      </c>
      <c r="BL460" s="103">
        <f>+BL456-BL459</f>
        <v>14.599999999999994</v>
      </c>
      <c r="BM460" s="103">
        <f>+BM456-BM459</f>
        <v>14.199999999999989</v>
      </c>
      <c r="BN460" s="309">
        <f t="shared" si="373"/>
        <v>14.199999999999989</v>
      </c>
      <c r="BP460" s="103">
        <f>+BP456-BP459</f>
        <v>13.200000000000003</v>
      </c>
      <c r="BQ460" s="103">
        <f>+BQ456-BQ459</f>
        <v>15.700000000000003</v>
      </c>
      <c r="BR460" s="309">
        <f>BQ460</f>
        <v>15.700000000000003</v>
      </c>
      <c r="BT460" s="103">
        <f>+BT456-BT459</f>
        <v>17.5</v>
      </c>
      <c r="BU460" s="103">
        <f>+BU456-BU459</f>
        <v>16.400000000000006</v>
      </c>
      <c r="BV460" s="309">
        <f>BU460</f>
        <v>16.400000000000006</v>
      </c>
      <c r="BX460" s="103">
        <f>+BX456-BX459</f>
        <v>15.700000000000003</v>
      </c>
      <c r="BY460" s="103">
        <f>+BY456-BY459</f>
        <v>16.200000000000003</v>
      </c>
      <c r="BZ460" s="309">
        <f>BY460</f>
        <v>16.200000000000003</v>
      </c>
      <c r="CB460" s="309">
        <f>+CB456-CB459</f>
        <v>16</v>
      </c>
      <c r="CC460" s="103">
        <f>+CC456-CC459</f>
        <v>24.100000000000009</v>
      </c>
      <c r="CD460" s="309">
        <f>CC460</f>
        <v>24.100000000000009</v>
      </c>
      <c r="CF460" s="309">
        <f>+CF456-CF459</f>
        <v>26.600000000000009</v>
      </c>
      <c r="CG460" s="103">
        <f>+CG456-CG459</f>
        <v>39.900000000000006</v>
      </c>
      <c r="CH460" s="309">
        <f>CG460</f>
        <v>39.900000000000006</v>
      </c>
      <c r="CJ460" s="309">
        <f>+CJ456-CJ459</f>
        <v>36.200000000000003</v>
      </c>
      <c r="CK460" s="103">
        <f>+CK456-CK459</f>
        <v>38.099999999999994</v>
      </c>
      <c r="CL460" s="309">
        <f>CK460</f>
        <v>38.099999999999994</v>
      </c>
      <c r="CN460" s="309">
        <f>+CN456-CN459</f>
        <v>43.699999999999989</v>
      </c>
      <c r="CO460" s="103">
        <f>+CO456-CO459</f>
        <v>43</v>
      </c>
      <c r="CP460" s="309">
        <f>CO460</f>
        <v>43</v>
      </c>
      <c r="CR460" s="309">
        <f>+CR456-CR459</f>
        <v>0</v>
      </c>
      <c r="CS460" s="103">
        <f>+CS456-CS459</f>
        <v>0</v>
      </c>
      <c r="CT460" s="309">
        <f>CS460</f>
        <v>0</v>
      </c>
      <c r="CV460" s="309">
        <f>+CV456-CV459</f>
        <v>0</v>
      </c>
      <c r="CW460" s="1408">
        <f>+CW456-CW459</f>
        <v>0</v>
      </c>
      <c r="CX460" s="309">
        <f>CW460</f>
        <v>0</v>
      </c>
      <c r="CZ460" s="309">
        <f>+CZ456-CZ459</f>
        <v>0</v>
      </c>
      <c r="DA460" s="1408">
        <f>+DA456-DA459</f>
        <v>0</v>
      </c>
      <c r="DB460" s="309">
        <f>DA460</f>
        <v>0</v>
      </c>
      <c r="DD460" s="309">
        <f>+DD456-DD459</f>
        <v>0</v>
      </c>
      <c r="DE460" s="1408">
        <f>+DE456-DE459</f>
        <v>0</v>
      </c>
      <c r="DF460" s="309">
        <f>DE460</f>
        <v>0</v>
      </c>
      <c r="DH460" s="309">
        <f>+DH456-DH459</f>
        <v>0</v>
      </c>
      <c r="DI460" s="711">
        <f>+DI456-DI459</f>
        <v>0</v>
      </c>
      <c r="DJ460" s="711">
        <f>DI460</f>
        <v>0</v>
      </c>
      <c r="DL460" s="711">
        <f>+DL456-DL459</f>
        <v>0</v>
      </c>
      <c r="DM460" s="711">
        <f>+DM456-DM459</f>
        <v>0</v>
      </c>
      <c r="DN460" s="711">
        <f>DM460</f>
        <v>0</v>
      </c>
      <c r="DP460" s="711">
        <f>+DP456-DP459</f>
        <v>0</v>
      </c>
      <c r="DQ460" s="711">
        <f>+DQ456-DQ459</f>
        <v>0</v>
      </c>
      <c r="DR460" s="711">
        <f>DQ460</f>
        <v>0</v>
      </c>
      <c r="DU460" s="711"/>
      <c r="DV460" s="711"/>
      <c r="DW460" s="711"/>
    </row>
    <row r="461" spans="1:138" s="323" customFormat="1">
      <c r="A461" s="642" t="s">
        <v>500</v>
      </c>
      <c r="B461" s="642"/>
      <c r="C461" s="300"/>
      <c r="D461" s="642"/>
      <c r="E461" s="642"/>
      <c r="F461" s="642"/>
      <c r="G461" s="642"/>
      <c r="H461" s="642"/>
      <c r="I461" s="642"/>
      <c r="J461" s="642"/>
      <c r="K461" s="642"/>
      <c r="L461" s="642"/>
      <c r="M461" s="642"/>
      <c r="N461" s="642"/>
      <c r="O461" s="642"/>
      <c r="P461" s="642"/>
      <c r="Q461" s="642"/>
      <c r="R461" s="642"/>
      <c r="S461" s="642"/>
      <c r="T461" s="642"/>
      <c r="U461" s="642"/>
      <c r="V461" s="642"/>
      <c r="W461" s="642"/>
      <c r="X461" s="642"/>
      <c r="Y461" s="642"/>
      <c r="Z461" s="642"/>
      <c r="AA461" s="642"/>
      <c r="AB461" s="642"/>
      <c r="AC461" s="642"/>
      <c r="AD461" s="642"/>
      <c r="AE461" s="642"/>
      <c r="AF461" s="642"/>
      <c r="AG461" s="642"/>
      <c r="AH461" s="642"/>
      <c r="AI461" s="642"/>
      <c r="AJ461" s="642"/>
      <c r="AK461" s="642"/>
      <c r="AL461" s="642"/>
      <c r="AM461" s="642"/>
      <c r="AN461" s="300"/>
      <c r="AO461" s="300"/>
      <c r="AP461" s="300"/>
      <c r="AQ461" s="300"/>
      <c r="AR461" s="300"/>
      <c r="AS461" s="300"/>
      <c r="AT461" s="300"/>
      <c r="AU461" s="300"/>
      <c r="AV461" s="300"/>
      <c r="AW461" s="300"/>
      <c r="AX461" s="300"/>
      <c r="AY461" s="300"/>
      <c r="AZ461" s="300"/>
      <c r="BA461" s="300"/>
      <c r="BB461" s="300"/>
      <c r="BC461" s="300"/>
      <c r="BD461" s="300"/>
      <c r="BE461" s="300"/>
      <c r="BF461" s="300"/>
      <c r="BG461" s="300"/>
      <c r="BH461" s="668">
        <f>+BH459/BH456</f>
        <v>0.85859728506787336</v>
      </c>
      <c r="BI461" s="668">
        <f>+BI459/BI456</f>
        <v>0.84360730593607314</v>
      </c>
      <c r="BJ461" s="668">
        <f>+BJ459/BJ456</f>
        <v>0.84360730593607314</v>
      </c>
      <c r="BK461" s="300"/>
      <c r="BL461" s="668">
        <f>+BL459/BL456</f>
        <v>0.84434968017057577</v>
      </c>
      <c r="BM461" s="668">
        <f>+BM459/BM456</f>
        <v>0.84665226781857461</v>
      </c>
      <c r="BN461" s="668">
        <f>+BN459/BN456</f>
        <v>0.84665226781857461</v>
      </c>
      <c r="BO461" s="300"/>
      <c r="BP461" s="668">
        <f>+BP459/BP456</f>
        <v>0.8651685393258427</v>
      </c>
      <c r="BQ461" s="668">
        <f>+BQ459/BQ456</f>
        <v>0.86081560283687941</v>
      </c>
      <c r="BR461" s="668">
        <f>+BR459/BR456</f>
        <v>0.86081560283687941</v>
      </c>
      <c r="BS461" s="300"/>
      <c r="BT461" s="668">
        <f>+BT459/BT456</f>
        <v>0.85852869846402591</v>
      </c>
      <c r="BU461" s="668">
        <f>+BU459/BU456</f>
        <v>0.8748091603053435</v>
      </c>
      <c r="BV461" s="668">
        <f>+BV459/BV456</f>
        <v>0.8748091603053435</v>
      </c>
      <c r="BW461" s="300"/>
      <c r="BX461" s="668">
        <f>+BX459/BX456</f>
        <v>0.87162714636140637</v>
      </c>
      <c r="BY461" s="668">
        <f>+BY459/BY456</f>
        <v>0.86589403973509926</v>
      </c>
      <c r="BZ461" s="668">
        <f>+BZ459/BZ456</f>
        <v>0.86589403973509926</v>
      </c>
      <c r="CA461" s="300"/>
      <c r="CB461" s="668">
        <f>+CB459/CB456</f>
        <v>0.87086359967715898</v>
      </c>
      <c r="CC461" s="668">
        <f>+CC459/CC456</f>
        <v>0.81288819875776397</v>
      </c>
      <c r="CD461" s="668">
        <f>+CD459/CD456</f>
        <v>0.81288819875776397</v>
      </c>
      <c r="CE461" s="300"/>
      <c r="CF461" s="668">
        <f>+CF459/CF456</f>
        <v>0.80208333333333326</v>
      </c>
      <c r="CG461" s="668">
        <f>+CG459/CG456</f>
        <v>0.7160142348754448</v>
      </c>
      <c r="CH461" s="668">
        <f>+CH459/CH456</f>
        <v>0.7160142348754448</v>
      </c>
      <c r="CI461" s="300"/>
      <c r="CJ461" s="668">
        <f>+CJ459/CJ456</f>
        <v>0.75273224043715847</v>
      </c>
      <c r="CK461" s="668">
        <f>+CK459/CK456</f>
        <v>0.7642326732673268</v>
      </c>
      <c r="CL461" s="668">
        <f>+CL459/CL456</f>
        <v>0.7642326732673268</v>
      </c>
      <c r="CM461" s="300"/>
      <c r="CN461" s="668">
        <f>+CN459/CN456</f>
        <v>0.7466666666666667</v>
      </c>
      <c r="CO461" s="668">
        <f>+CO459/CO456</f>
        <v>0.7693133047210301</v>
      </c>
      <c r="CP461" s="668">
        <f>+CP459/CP456</f>
        <v>0.7693133047210301</v>
      </c>
      <c r="CQ461" s="300"/>
      <c r="CR461" s="668">
        <f>+CR459/CR456</f>
        <v>1</v>
      </c>
      <c r="CS461" s="668">
        <f>+CS459/CS456</f>
        <v>1</v>
      </c>
      <c r="CT461" s="668">
        <f>+CT459/CT456</f>
        <v>1</v>
      </c>
      <c r="CU461" s="300"/>
      <c r="CV461" s="1956">
        <f>+CV459/CV456</f>
        <v>1</v>
      </c>
      <c r="CW461" s="1956">
        <f>+CW459/CW456</f>
        <v>1</v>
      </c>
      <c r="CX461" s="1956">
        <f>+CX459/CX456</f>
        <v>1</v>
      </c>
      <c r="CY461" s="1946"/>
      <c r="CZ461" s="1956">
        <f>+CZ459/CZ456</f>
        <v>1</v>
      </c>
      <c r="DA461" s="1956">
        <f>+DA459/DA456</f>
        <v>1</v>
      </c>
      <c r="DB461" s="1956">
        <f>+DB459/DB456</f>
        <v>1</v>
      </c>
      <c r="DC461" s="1946"/>
      <c r="DD461" s="1956">
        <f>+DD459/DD456</f>
        <v>1</v>
      </c>
      <c r="DE461" s="1956">
        <f>+DE459/DE456</f>
        <v>1</v>
      </c>
      <c r="DF461" s="1956">
        <f>+DF459/DF456</f>
        <v>1</v>
      </c>
      <c r="DG461" s="1946"/>
      <c r="DH461" s="1956">
        <f>+DH459/DH456</f>
        <v>1</v>
      </c>
      <c r="DI461" s="1957">
        <f>DH461</f>
        <v>1</v>
      </c>
      <c r="DJ461" s="1956">
        <f>+DJ459/DJ456</f>
        <v>1</v>
      </c>
      <c r="DK461" s="1946"/>
      <c r="DL461" s="1957">
        <f>DI461</f>
        <v>1</v>
      </c>
      <c r="DM461" s="1957">
        <f>DL461</f>
        <v>1</v>
      </c>
      <c r="DN461" s="1956">
        <f>+DN459/DN456</f>
        <v>1</v>
      </c>
      <c r="DO461" s="1946"/>
      <c r="DP461" s="1957">
        <f>DM461</f>
        <v>1</v>
      </c>
      <c r="DQ461" s="1957">
        <f>DP461</f>
        <v>1</v>
      </c>
      <c r="DR461" s="1956">
        <f>+DR459/DR456</f>
        <v>1</v>
      </c>
      <c r="DS461" s="1946"/>
      <c r="DT461" s="115"/>
      <c r="DU461" s="1130"/>
      <c r="DV461" s="1130"/>
      <c r="DW461" s="1056"/>
      <c r="DX461" s="115"/>
      <c r="EH461"/>
    </row>
    <row r="462" spans="1:138" s="323" customFormat="1">
      <c r="C462" s="115"/>
      <c r="AN462" s="115"/>
      <c r="AO462" s="115"/>
      <c r="AP462" s="115"/>
      <c r="AQ462" s="115"/>
      <c r="AR462" s="115"/>
      <c r="AS462" s="115"/>
      <c r="AT462" s="115"/>
      <c r="AU462" s="115"/>
      <c r="AV462" s="115"/>
      <c r="AW462" s="115"/>
      <c r="AX462" s="115"/>
      <c r="AY462" s="115"/>
      <c r="AZ462" s="115"/>
      <c r="BA462" s="115"/>
      <c r="BB462" s="115"/>
      <c r="BC462" s="115"/>
      <c r="BD462" s="115"/>
      <c r="BE462" s="115"/>
      <c r="BF462" s="115"/>
      <c r="BG462" s="115"/>
      <c r="BH462" s="115"/>
      <c r="BI462" s="115"/>
      <c r="BJ462" s="115"/>
      <c r="BK462" s="115"/>
      <c r="BL462" s="115"/>
      <c r="BM462" s="115"/>
      <c r="BN462" s="115"/>
      <c r="BO462" s="115"/>
      <c r="BP462" s="115"/>
      <c r="BQ462" s="115"/>
      <c r="BR462" s="115"/>
      <c r="BS462" s="115"/>
      <c r="BT462" s="115"/>
      <c r="BU462" s="115"/>
      <c r="BV462" s="115"/>
      <c r="BW462" s="115"/>
      <c r="BX462" s="115"/>
      <c r="BY462" s="115"/>
      <c r="BZ462" s="115"/>
      <c r="CA462" s="115"/>
      <c r="CB462" s="115"/>
      <c r="CC462" s="115"/>
      <c r="CD462" s="115"/>
      <c r="CE462" s="115"/>
      <c r="CF462" s="115"/>
      <c r="CG462" s="115"/>
      <c r="CH462" s="115"/>
      <c r="CI462" s="115"/>
      <c r="CJ462" s="115"/>
      <c r="CK462" s="115"/>
      <c r="CL462" s="115"/>
      <c r="CM462" s="115"/>
      <c r="CN462" s="115"/>
      <c r="CO462" s="115"/>
      <c r="CP462" s="115"/>
      <c r="CQ462" s="115"/>
      <c r="CR462" s="115"/>
      <c r="CS462" s="115"/>
      <c r="CT462" s="115"/>
      <c r="CU462" s="115"/>
      <c r="CV462" s="115"/>
      <c r="CW462" s="1820"/>
      <c r="CX462" s="115"/>
      <c r="CY462" s="115"/>
      <c r="CZ462" s="115"/>
      <c r="DA462" s="1820"/>
      <c r="DB462" s="115"/>
      <c r="DC462" s="115"/>
      <c r="DD462" s="115"/>
      <c r="DE462" s="1820"/>
      <c r="DF462" s="115"/>
      <c r="DG462" s="115"/>
      <c r="DH462" s="115"/>
      <c r="DI462" s="115"/>
      <c r="DJ462" s="115"/>
      <c r="DK462" s="115"/>
      <c r="DL462" s="115"/>
      <c r="DM462" s="115"/>
      <c r="DN462" s="115"/>
      <c r="DO462" s="115"/>
      <c r="DP462" s="115"/>
      <c r="DQ462" s="115"/>
      <c r="DR462" s="115"/>
      <c r="DS462" s="115"/>
      <c r="DT462" s="115"/>
      <c r="DU462" s="115"/>
      <c r="DV462" s="115"/>
      <c r="DW462" s="115"/>
      <c r="DX462" s="115"/>
      <c r="EH462"/>
    </row>
    <row r="463" spans="1:138" s="289" customFormat="1">
      <c r="A463" s="289" t="s">
        <v>10</v>
      </c>
      <c r="CW463" s="1410"/>
      <c r="DA463" s="1410"/>
      <c r="DE463" s="1410"/>
      <c r="EH463"/>
    </row>
    <row r="464" spans="1:138">
      <c r="A464" s="102" t="s">
        <v>728</v>
      </c>
      <c r="C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  <c r="AA464" s="102"/>
      <c r="AB464" s="102"/>
      <c r="AC464" s="102"/>
      <c r="AD464" s="102"/>
      <c r="AE464" s="102"/>
      <c r="AF464" s="102"/>
      <c r="AG464" s="102"/>
      <c r="AH464" s="102"/>
      <c r="AI464" s="102"/>
      <c r="AJ464" s="102"/>
      <c r="AK464" s="102"/>
      <c r="AL464" s="102"/>
      <c r="AM464" s="102"/>
      <c r="AN464" s="102"/>
      <c r="AO464" s="102"/>
      <c r="AP464" s="102"/>
      <c r="AQ464" s="102"/>
      <c r="AR464" s="102"/>
      <c r="AS464" s="102"/>
      <c r="AT464" s="102"/>
      <c r="AU464" s="102"/>
      <c r="AV464" s="102"/>
      <c r="AW464" s="102"/>
      <c r="AX464" s="102"/>
      <c r="AY464" s="102"/>
      <c r="AZ464" s="102"/>
      <c r="BA464" s="102"/>
      <c r="BB464" s="102"/>
      <c r="BC464" s="102"/>
      <c r="BD464" s="102"/>
      <c r="BE464" s="102"/>
      <c r="BF464" s="102"/>
      <c r="BG464" s="102"/>
      <c r="BH464" s="309">
        <f ca="1">BH124</f>
        <v>40.1</v>
      </c>
      <c r="BI464" s="309">
        <f ca="1">BI124</f>
        <v>42.9</v>
      </c>
      <c r="BJ464" s="309">
        <f ca="1">BJ124</f>
        <v>42.9</v>
      </c>
      <c r="BK464" s="102"/>
      <c r="BL464" s="309">
        <f>BL124</f>
        <v>45.9</v>
      </c>
      <c r="BM464" s="309">
        <f>BM124</f>
        <v>47.2</v>
      </c>
      <c r="BN464" s="309">
        <f>BN124</f>
        <v>47.2</v>
      </c>
      <c r="BO464" s="102"/>
      <c r="BP464" s="309">
        <f>BP124</f>
        <v>49.9</v>
      </c>
      <c r="BQ464" s="309">
        <f>BQ124</f>
        <v>55.2</v>
      </c>
      <c r="BR464" s="309">
        <f>BR124</f>
        <v>55.2</v>
      </c>
      <c r="BS464" s="102"/>
      <c r="BT464" s="309">
        <f>BT124</f>
        <v>61.3</v>
      </c>
      <c r="BU464" s="309">
        <f>BU124</f>
        <v>69.099999999999994</v>
      </c>
      <c r="BV464" s="309">
        <f>BV124</f>
        <v>69.099999999999994</v>
      </c>
      <c r="BW464" s="102"/>
      <c r="BX464" s="309">
        <f>BX124</f>
        <v>68.2</v>
      </c>
      <c r="BY464" s="309">
        <f>BY124</f>
        <v>67.5</v>
      </c>
      <c r="BZ464" s="309">
        <f>BZ124</f>
        <v>67.5</v>
      </c>
      <c r="CA464" s="102"/>
      <c r="CB464" s="309">
        <f>CB124</f>
        <v>70.099999999999994</v>
      </c>
      <c r="CC464" s="309">
        <f>CC124</f>
        <v>75.3</v>
      </c>
      <c r="CD464" s="309">
        <f>CD124</f>
        <v>75.3</v>
      </c>
      <c r="CE464" s="102"/>
      <c r="CF464" s="309">
        <f>CF124</f>
        <v>80.599999999999994</v>
      </c>
      <c r="CG464" s="309">
        <f>CG124</f>
        <v>83</v>
      </c>
      <c r="CH464" s="309">
        <f>CH124</f>
        <v>83</v>
      </c>
      <c r="CI464" s="102"/>
      <c r="CJ464" s="309">
        <f>CJ124</f>
        <v>81.2</v>
      </c>
      <c r="CK464" s="309">
        <f>CK124</f>
        <v>86.5</v>
      </c>
      <c r="CL464" s="309">
        <f>CL124</f>
        <v>86.5</v>
      </c>
      <c r="CM464" s="102"/>
      <c r="CN464" s="309">
        <f>CN124</f>
        <v>96.3</v>
      </c>
      <c r="CO464" s="309">
        <f>CO124</f>
        <v>107.4</v>
      </c>
      <c r="CP464" s="309">
        <f>CP124</f>
        <v>107.4</v>
      </c>
      <c r="CQ464" s="102"/>
      <c r="CR464" s="309">
        <f>CR124</f>
        <v>122.1</v>
      </c>
      <c r="CS464" s="309">
        <f>CS124</f>
        <v>138.6</v>
      </c>
      <c r="CT464" s="309">
        <f>CT124</f>
        <v>138.6</v>
      </c>
      <c r="CU464" s="102"/>
      <c r="CV464" s="309">
        <f>CV124</f>
        <v>153.1</v>
      </c>
      <c r="CW464" s="1796">
        <f>CW124</f>
        <v>163.5</v>
      </c>
      <c r="CX464" s="309">
        <f>CX124</f>
        <v>163.5</v>
      </c>
      <c r="CY464" s="102"/>
      <c r="CZ464" s="309">
        <f>CZ124</f>
        <v>172.6</v>
      </c>
      <c r="DA464" s="1796">
        <f>DA124</f>
        <v>181.5</v>
      </c>
      <c r="DB464" s="309">
        <f>DB124</f>
        <v>181.5</v>
      </c>
      <c r="DC464" s="102"/>
      <c r="DD464" s="309">
        <f>DD124</f>
        <v>191.9</v>
      </c>
      <c r="DE464" s="1796">
        <f>DE124</f>
        <v>205.6</v>
      </c>
      <c r="DF464" s="309">
        <f>DF124</f>
        <v>205.6</v>
      </c>
      <c r="DG464" s="102"/>
      <c r="DH464" s="309">
        <f>DH124</f>
        <v>224</v>
      </c>
      <c r="DI464" s="309">
        <f>DI124</f>
        <v>249.75300000000001</v>
      </c>
      <c r="DJ464" s="309">
        <f>DJ124</f>
        <v>249.75300000000001</v>
      </c>
      <c r="DK464" s="102"/>
      <c r="DL464" s="309">
        <f>DL124</f>
        <v>268.96002000000004</v>
      </c>
      <c r="DM464" s="309">
        <f>DM124</f>
        <v>283.73698920000004</v>
      </c>
      <c r="DN464" s="309">
        <f>DN124</f>
        <v>283.73698920000004</v>
      </c>
      <c r="DO464" s="102"/>
      <c r="DP464" s="309">
        <f>DP124</f>
        <v>299.34615127200004</v>
      </c>
      <c r="DQ464" s="309">
        <f>DQ124</f>
        <v>315.83526077712008</v>
      </c>
      <c r="DR464" s="309">
        <f>DR124</f>
        <v>315.83526077712008</v>
      </c>
      <c r="DS464" s="102"/>
      <c r="DT464" s="102"/>
      <c r="DU464" s="309"/>
      <c r="DV464" s="309"/>
      <c r="DW464" s="309"/>
      <c r="DX464" s="102"/>
    </row>
    <row r="465" spans="1:138">
      <c r="A465" s="102" t="s">
        <v>403</v>
      </c>
      <c r="C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  <c r="AA465" s="102"/>
      <c r="AB465" s="102"/>
      <c r="AC465" s="102"/>
      <c r="AD465" s="102"/>
      <c r="AE465" s="102"/>
      <c r="AF465" s="102"/>
      <c r="AG465" s="102"/>
      <c r="AH465" s="102"/>
      <c r="AI465" s="102"/>
      <c r="AJ465" s="102"/>
      <c r="AK465" s="102"/>
      <c r="AL465" s="102"/>
      <c r="AM465" s="102"/>
      <c r="AN465" s="102"/>
      <c r="AO465" s="102"/>
      <c r="AP465" s="102"/>
      <c r="AQ465" s="102"/>
      <c r="AR465" s="102"/>
      <c r="AS465" s="102"/>
      <c r="AT465" s="102"/>
      <c r="AU465" s="102"/>
      <c r="AV465" s="102"/>
      <c r="AW465" s="102"/>
      <c r="AX465" s="102"/>
      <c r="AY465" s="102"/>
      <c r="AZ465" s="102"/>
      <c r="BA465" s="102"/>
      <c r="BB465" s="102"/>
      <c r="BC465" s="102"/>
      <c r="BD465" s="102"/>
      <c r="BE465" s="102"/>
      <c r="BF465" s="102"/>
      <c r="BG465" s="102"/>
      <c r="BH465" s="102"/>
      <c r="BI465" s="102"/>
      <c r="BJ465" s="102"/>
      <c r="BK465" s="102"/>
      <c r="BL465" s="102"/>
      <c r="BM465" s="102"/>
      <c r="BN465" s="102"/>
      <c r="BO465" s="102"/>
      <c r="BP465" s="102"/>
      <c r="BQ465" s="102"/>
      <c r="BR465" s="102"/>
      <c r="BS465" s="102"/>
      <c r="BT465" s="102"/>
      <c r="BU465" s="102"/>
      <c r="BV465" s="102"/>
      <c r="BW465" s="102"/>
      <c r="BX465" s="102"/>
      <c r="BY465" s="102"/>
      <c r="BZ465" s="102"/>
      <c r="CA465" s="102"/>
      <c r="CB465" s="102"/>
      <c r="CC465" s="102"/>
      <c r="CD465" s="102"/>
      <c r="CE465" s="102"/>
      <c r="CF465" s="102"/>
      <c r="CG465" s="102"/>
      <c r="CH465" s="102"/>
      <c r="CI465" s="102"/>
      <c r="CJ465" s="102"/>
      <c r="CK465" s="102"/>
      <c r="CL465" s="102"/>
      <c r="CM465" s="102"/>
      <c r="CN465" s="102"/>
      <c r="CO465" s="102"/>
      <c r="CP465" s="102"/>
      <c r="CQ465" s="102"/>
      <c r="CR465" s="102"/>
      <c r="CS465" s="102"/>
      <c r="CT465" s="102"/>
      <c r="CU465" s="102"/>
      <c r="CV465" s="102"/>
      <c r="CW465" s="1407"/>
      <c r="CX465" s="102"/>
      <c r="CY465" s="102"/>
      <c r="CZ465" s="102"/>
      <c r="DA465" s="102"/>
      <c r="DB465" s="102"/>
      <c r="DC465" s="102"/>
      <c r="DD465" s="102"/>
      <c r="DE465" s="102"/>
      <c r="DF465" s="102"/>
      <c r="DG465" s="102"/>
      <c r="DH465" s="102"/>
      <c r="DI465" s="102"/>
      <c r="DJ465" s="102"/>
      <c r="DK465" s="102"/>
      <c r="DL465" s="102"/>
      <c r="DM465" s="102"/>
      <c r="DN465" s="102"/>
      <c r="DO465" s="102"/>
      <c r="DP465" s="102"/>
      <c r="DQ465" s="102"/>
      <c r="DR465" s="102"/>
      <c r="DS465" s="102"/>
      <c r="DT465" s="102"/>
      <c r="DU465" s="102"/>
      <c r="DV465" s="102"/>
      <c r="DW465" s="102"/>
      <c r="DX465" s="102"/>
    </row>
    <row r="466" spans="1:138">
      <c r="A466" s="102" t="s">
        <v>235</v>
      </c>
      <c r="C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  <c r="AA466" s="102"/>
      <c r="AB466" s="102"/>
      <c r="AC466" s="102"/>
      <c r="AD466" s="102"/>
      <c r="AE466" s="102"/>
      <c r="AF466" s="102"/>
      <c r="AG466" s="102"/>
      <c r="AH466" s="102"/>
      <c r="AI466" s="102"/>
      <c r="AJ466" s="102"/>
      <c r="AK466" s="102"/>
      <c r="AL466" s="102"/>
      <c r="AM466" s="102"/>
      <c r="AN466" s="102"/>
      <c r="AO466" s="102"/>
      <c r="AP466" s="102"/>
      <c r="AQ466" s="102"/>
      <c r="AR466" s="102"/>
      <c r="AS466" s="102"/>
      <c r="AT466" s="102"/>
      <c r="AU466" s="102"/>
      <c r="AV466" s="102"/>
      <c r="AW466" s="102"/>
      <c r="AX466" s="102"/>
      <c r="AY466" s="102"/>
      <c r="AZ466" s="102"/>
      <c r="BA466" s="102"/>
      <c r="BB466" s="102"/>
      <c r="BC466" s="102"/>
      <c r="BD466" s="102"/>
      <c r="BE466" s="102"/>
      <c r="BF466" s="102"/>
      <c r="BG466" s="102"/>
      <c r="BH466" s="102"/>
      <c r="BI466" s="102"/>
      <c r="BJ466" s="102"/>
      <c r="BK466" s="102"/>
      <c r="BL466" s="102"/>
      <c r="BM466" s="102"/>
      <c r="BN466" s="102"/>
      <c r="BO466" s="102"/>
      <c r="BP466" s="102"/>
      <c r="BQ466" s="102"/>
      <c r="BR466" s="102"/>
      <c r="BS466" s="102"/>
      <c r="BT466" s="102"/>
      <c r="BU466" s="102"/>
      <c r="BV466" s="102"/>
      <c r="BW466" s="102"/>
      <c r="BX466" s="102"/>
      <c r="BY466" s="102"/>
      <c r="BZ466" s="102"/>
      <c r="CA466" s="102"/>
      <c r="CB466" s="102"/>
      <c r="CC466" s="102"/>
      <c r="CD466" s="102"/>
      <c r="CE466" s="102"/>
      <c r="CF466" s="102"/>
      <c r="CG466" s="102"/>
      <c r="CH466" s="102"/>
      <c r="CI466" s="102"/>
      <c r="CJ466" s="102"/>
      <c r="CK466" s="102"/>
      <c r="CL466" s="102"/>
      <c r="CM466" s="102"/>
      <c r="CN466" s="102"/>
      <c r="CO466" s="102"/>
      <c r="CP466" s="102"/>
      <c r="CQ466" s="102"/>
      <c r="CR466" s="102"/>
      <c r="CS466" s="102"/>
      <c r="CT466" s="102"/>
      <c r="CU466" s="102"/>
      <c r="CV466" s="102"/>
      <c r="CW466" s="1407"/>
      <c r="CX466" s="102"/>
      <c r="CY466" s="102"/>
      <c r="CZ466" s="102"/>
      <c r="DA466" s="102"/>
      <c r="DB466" s="102"/>
      <c r="DC466" s="102"/>
      <c r="DD466" s="102"/>
      <c r="DE466" s="102"/>
      <c r="DF466" s="102"/>
      <c r="DG466" s="102"/>
      <c r="DH466" s="102"/>
      <c r="DI466" s="102"/>
      <c r="DJ466" s="102"/>
      <c r="DK466" s="102"/>
      <c r="DL466" s="102"/>
      <c r="DM466" s="102"/>
      <c r="DN466" s="102"/>
      <c r="DO466" s="102"/>
      <c r="DP466" s="102"/>
      <c r="DQ466" s="102"/>
      <c r="DR466" s="102"/>
      <c r="DS466" s="102"/>
      <c r="DT466" s="102"/>
      <c r="DU466" s="102"/>
      <c r="DV466" s="102"/>
      <c r="DW466" s="102"/>
      <c r="DX466" s="102"/>
    </row>
    <row r="467" spans="1:138">
      <c r="A467" s="102" t="s">
        <v>396</v>
      </c>
      <c r="C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  <c r="AA467" s="102"/>
      <c r="AB467" s="102"/>
      <c r="AC467" s="102"/>
      <c r="AD467" s="102"/>
      <c r="AE467" s="102"/>
      <c r="AF467" s="102"/>
      <c r="AG467" s="102"/>
      <c r="AH467" s="102"/>
      <c r="AI467" s="102"/>
      <c r="AJ467" s="102"/>
      <c r="AK467" s="102"/>
      <c r="AL467" s="102"/>
      <c r="AM467" s="102"/>
      <c r="AN467" s="102"/>
      <c r="AO467" s="102"/>
      <c r="AP467" s="102"/>
      <c r="AQ467" s="102"/>
      <c r="AR467" s="102"/>
      <c r="AS467" s="102"/>
      <c r="AT467" s="102"/>
      <c r="AU467" s="102"/>
      <c r="AV467" s="102"/>
      <c r="AW467" s="102"/>
      <c r="AX467" s="102"/>
      <c r="AY467" s="102"/>
      <c r="AZ467" s="102"/>
      <c r="BA467" s="102"/>
      <c r="BB467" s="102"/>
      <c r="BC467" s="102"/>
      <c r="BD467" s="102"/>
      <c r="BE467" s="102"/>
      <c r="BF467" s="102"/>
      <c r="BG467" s="102"/>
      <c r="BH467" s="102"/>
      <c r="BI467" s="102"/>
      <c r="BJ467" s="102"/>
      <c r="BK467" s="102"/>
      <c r="BL467" s="102"/>
      <c r="BM467" s="102"/>
      <c r="BN467" s="102"/>
      <c r="BO467" s="102"/>
      <c r="BP467" s="102"/>
      <c r="BQ467" s="102"/>
      <c r="BR467" s="102"/>
      <c r="BS467" s="102"/>
      <c r="BT467" s="102"/>
      <c r="BU467" s="102"/>
      <c r="BV467" s="102"/>
      <c r="BW467" s="102"/>
      <c r="BX467" s="102"/>
      <c r="BY467" s="102"/>
      <c r="BZ467" s="102"/>
      <c r="CA467" s="102"/>
      <c r="CB467" s="102"/>
      <c r="CC467" s="102"/>
      <c r="CD467" s="102"/>
      <c r="CE467" s="102"/>
      <c r="CF467" s="102"/>
      <c r="CG467" s="102"/>
      <c r="CH467" s="102"/>
      <c r="CI467" s="102"/>
      <c r="CJ467" s="102"/>
      <c r="CK467" s="102"/>
      <c r="CL467" s="102"/>
      <c r="CM467" s="102"/>
      <c r="CN467" s="102"/>
      <c r="CO467" s="102"/>
      <c r="CP467" s="102"/>
      <c r="CQ467" s="102"/>
      <c r="CR467" s="102"/>
      <c r="CS467" s="102"/>
      <c r="CT467" s="102"/>
      <c r="CU467" s="102"/>
      <c r="CV467" s="102"/>
      <c r="CW467" s="1407"/>
      <c r="CX467" s="102"/>
      <c r="CY467" s="102"/>
      <c r="CZ467" s="102"/>
      <c r="DA467" s="102"/>
      <c r="DB467" s="102"/>
      <c r="DC467" s="102"/>
      <c r="DD467" s="102"/>
      <c r="DE467" s="102"/>
      <c r="DF467" s="102"/>
      <c r="DG467" s="102"/>
      <c r="DH467" s="102"/>
      <c r="DI467" s="102"/>
      <c r="DJ467" s="102"/>
      <c r="DK467" s="102"/>
      <c r="DL467" s="102"/>
      <c r="DM467" s="102"/>
      <c r="DN467" s="102"/>
      <c r="DO467" s="102"/>
      <c r="DP467" s="102"/>
      <c r="DQ467" s="102"/>
      <c r="DR467" s="102"/>
      <c r="DS467" s="102"/>
      <c r="DT467" s="102"/>
      <c r="DU467" s="102"/>
      <c r="DV467" s="102"/>
      <c r="DW467" s="102"/>
      <c r="DX467" s="102"/>
    </row>
    <row r="468" spans="1:138">
      <c r="A468" s="102" t="s">
        <v>405</v>
      </c>
      <c r="C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  <c r="AA468" s="102"/>
      <c r="AB468" s="102"/>
      <c r="AC468" s="102"/>
      <c r="AD468" s="102"/>
      <c r="AE468" s="102"/>
      <c r="AF468" s="102"/>
      <c r="AG468" s="102"/>
      <c r="AH468" s="102"/>
      <c r="AI468" s="102"/>
      <c r="AJ468" s="102"/>
      <c r="AK468" s="102"/>
      <c r="AL468" s="102"/>
      <c r="AM468" s="102"/>
      <c r="AN468" s="102"/>
      <c r="AO468" s="102"/>
      <c r="AP468" s="102"/>
      <c r="AQ468" s="102"/>
      <c r="AR468" s="102"/>
      <c r="AS468" s="102"/>
      <c r="AT468" s="102"/>
      <c r="AU468" s="102"/>
      <c r="AV468" s="102"/>
      <c r="AW468" s="102"/>
      <c r="AX468" s="102"/>
      <c r="AY468" s="102"/>
      <c r="AZ468" s="102"/>
      <c r="BA468" s="102"/>
      <c r="BB468" s="102"/>
      <c r="BC468" s="102"/>
      <c r="BD468" s="102"/>
      <c r="BE468" s="102"/>
      <c r="BF468" s="102"/>
      <c r="BG468" s="102"/>
      <c r="BH468" s="102"/>
      <c r="BI468" s="102"/>
      <c r="BJ468" s="102"/>
      <c r="BK468" s="102"/>
      <c r="BL468" s="102"/>
      <c r="BM468" s="102"/>
      <c r="BN468" s="102"/>
      <c r="BO468" s="102"/>
      <c r="BP468" s="102"/>
      <c r="BQ468" s="102"/>
      <c r="BR468" s="102"/>
      <c r="BS468" s="102"/>
      <c r="BT468" s="102"/>
      <c r="BU468" s="102"/>
      <c r="BV468" s="102"/>
      <c r="BW468" s="102"/>
      <c r="BX468" s="102"/>
      <c r="BY468" s="102"/>
      <c r="BZ468" s="102"/>
      <c r="CA468" s="102"/>
      <c r="CB468" s="102"/>
      <c r="CC468" s="102"/>
      <c r="CD468" s="102"/>
      <c r="CE468" s="102"/>
      <c r="CF468" s="102"/>
      <c r="CG468" s="102"/>
      <c r="CH468" s="102"/>
      <c r="CI468" s="102"/>
      <c r="CJ468" s="102"/>
      <c r="CK468" s="102"/>
      <c r="CL468" s="102"/>
      <c r="CM468" s="102"/>
      <c r="CN468" s="102"/>
      <c r="CO468" s="102"/>
      <c r="CP468" s="102"/>
      <c r="CQ468" s="102"/>
      <c r="CR468" s="102"/>
      <c r="CS468" s="102"/>
      <c r="CT468" s="102"/>
      <c r="CU468" s="102"/>
      <c r="CV468" s="102"/>
      <c r="CW468" s="1407"/>
      <c r="CX468" s="102"/>
      <c r="CY468" s="102"/>
      <c r="CZ468" s="102"/>
      <c r="DA468" s="102"/>
      <c r="DB468" s="102"/>
      <c r="DC468" s="102"/>
      <c r="DD468" s="102"/>
      <c r="DE468" s="102"/>
      <c r="DF468" s="102"/>
      <c r="DG468" s="102"/>
      <c r="DH468" s="102"/>
      <c r="DI468" s="102"/>
      <c r="DJ468" s="102"/>
      <c r="DK468" s="102"/>
      <c r="DL468" s="102"/>
      <c r="DM468" s="102"/>
      <c r="DN468" s="102"/>
      <c r="DO468" s="102"/>
      <c r="DP468" s="102"/>
      <c r="DQ468" s="102"/>
      <c r="DR468" s="102"/>
      <c r="DS468" s="102"/>
      <c r="DT468" s="102"/>
      <c r="DU468" s="102"/>
      <c r="DV468" s="102"/>
      <c r="DW468" s="102"/>
      <c r="DX468" s="102"/>
    </row>
    <row r="469" spans="1:138">
      <c r="A469" s="102" t="s">
        <v>402</v>
      </c>
      <c r="C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  <c r="AA469" s="102"/>
      <c r="AB469" s="102"/>
      <c r="AC469" s="102"/>
      <c r="AD469" s="102"/>
      <c r="AE469" s="102"/>
      <c r="AF469" s="102"/>
      <c r="AG469" s="102"/>
      <c r="AH469" s="102"/>
      <c r="AI469" s="102"/>
      <c r="AJ469" s="102"/>
      <c r="AK469" s="102"/>
      <c r="AL469" s="102"/>
      <c r="AM469" s="102"/>
      <c r="AN469" s="102"/>
      <c r="AO469" s="102"/>
      <c r="AP469" s="102"/>
      <c r="AQ469" s="102"/>
      <c r="AR469" s="102"/>
      <c r="AS469" s="102"/>
      <c r="AT469" s="102"/>
      <c r="AU469" s="102"/>
      <c r="AV469" s="102"/>
      <c r="AW469" s="102"/>
      <c r="AX469" s="102"/>
      <c r="AY469" s="102"/>
      <c r="AZ469" s="102"/>
      <c r="BA469" s="102"/>
      <c r="BB469" s="102"/>
      <c r="BC469" s="102"/>
      <c r="BD469" s="102"/>
      <c r="BE469" s="102"/>
      <c r="BF469" s="102"/>
      <c r="BG469" s="102"/>
      <c r="BH469" s="102"/>
      <c r="BI469" s="102"/>
      <c r="BJ469" s="102"/>
      <c r="BK469" s="102"/>
      <c r="BL469" s="102"/>
      <c r="BM469" s="102"/>
      <c r="BN469" s="102"/>
      <c r="BO469" s="102"/>
      <c r="BP469" s="102"/>
      <c r="BQ469" s="102"/>
      <c r="BR469" s="102"/>
      <c r="BS469" s="102"/>
      <c r="BT469" s="102"/>
      <c r="BU469" s="102"/>
      <c r="BV469" s="102"/>
      <c r="BW469" s="102"/>
      <c r="BX469" s="102"/>
      <c r="BY469" s="102"/>
      <c r="BZ469" s="102"/>
      <c r="CA469" s="102"/>
      <c r="CB469" s="102"/>
      <c r="CC469" s="102"/>
      <c r="CD469" s="102"/>
      <c r="CE469" s="102"/>
      <c r="CF469" s="102"/>
      <c r="CG469" s="102"/>
      <c r="CH469" s="102"/>
      <c r="CI469" s="102"/>
      <c r="CJ469" s="102"/>
      <c r="CK469" s="102"/>
      <c r="CL469" s="102"/>
      <c r="CM469" s="102"/>
      <c r="CN469" s="102"/>
      <c r="CO469" s="102"/>
      <c r="CP469" s="102"/>
      <c r="CQ469" s="102"/>
      <c r="CR469" s="102"/>
      <c r="CS469" s="102"/>
      <c r="CT469" s="102"/>
      <c r="CU469" s="102"/>
      <c r="CV469" s="102"/>
      <c r="CW469" s="1407"/>
      <c r="CX469" s="102"/>
      <c r="CY469" s="102"/>
      <c r="CZ469" s="102"/>
      <c r="DA469" s="102"/>
      <c r="DB469" s="102"/>
      <c r="DC469" s="102"/>
      <c r="DD469" s="102"/>
      <c r="DE469" s="102"/>
      <c r="DF469" s="102"/>
      <c r="DG469" s="102"/>
      <c r="DH469" s="102"/>
      <c r="DI469" s="102"/>
      <c r="DJ469" s="102"/>
      <c r="DK469" s="102"/>
      <c r="DL469" s="102"/>
      <c r="DM469" s="102"/>
      <c r="DN469" s="102"/>
      <c r="DO469" s="102"/>
      <c r="DP469" s="102"/>
      <c r="DQ469" s="102"/>
      <c r="DR469" s="102"/>
      <c r="DS469" s="102"/>
      <c r="DT469" s="102"/>
      <c r="DU469" s="102"/>
      <c r="DV469" s="102"/>
      <c r="DW469" s="102"/>
      <c r="DX469" s="102"/>
    </row>
    <row r="470" spans="1:138">
      <c r="A470" s="102" t="s">
        <v>232</v>
      </c>
      <c r="C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  <c r="AA470" s="102"/>
      <c r="AB470" s="102"/>
      <c r="AC470" s="102"/>
      <c r="AD470" s="102"/>
      <c r="AE470" s="102"/>
      <c r="AF470" s="102"/>
      <c r="AG470" s="102"/>
      <c r="AH470" s="102"/>
      <c r="AI470" s="102"/>
      <c r="AJ470" s="102"/>
      <c r="AK470" s="102"/>
      <c r="AL470" s="102"/>
      <c r="AM470" s="102"/>
      <c r="AN470" s="102"/>
      <c r="AO470" s="102"/>
      <c r="AP470" s="102"/>
      <c r="AQ470" s="102"/>
      <c r="AR470" s="102"/>
      <c r="AS470" s="102"/>
      <c r="AT470" s="102"/>
      <c r="AU470" s="102"/>
      <c r="AV470" s="102"/>
      <c r="AW470" s="102"/>
      <c r="AX470" s="102"/>
      <c r="AY470" s="102"/>
      <c r="AZ470" s="102"/>
      <c r="BA470" s="102"/>
      <c r="BB470" s="102"/>
      <c r="BC470" s="102"/>
      <c r="BD470" s="102"/>
      <c r="BE470" s="102"/>
      <c r="BF470" s="102"/>
      <c r="BG470" s="102"/>
      <c r="BH470" s="102"/>
      <c r="BI470" s="102"/>
      <c r="BJ470" s="102"/>
      <c r="BK470" s="102"/>
      <c r="BL470" s="102"/>
      <c r="BM470" s="102"/>
      <c r="BN470" s="102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407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  <c r="DT470" s="102"/>
      <c r="DU470" s="102"/>
      <c r="DV470" s="102"/>
      <c r="DW470" s="102"/>
      <c r="DX470" s="102"/>
    </row>
    <row r="471" spans="1:138">
      <c r="A471" s="289" t="s">
        <v>225</v>
      </c>
      <c r="C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  <c r="AA471" s="102"/>
      <c r="AB471" s="102"/>
      <c r="AC471" s="102"/>
      <c r="AD471" s="102"/>
      <c r="AE471" s="102"/>
      <c r="AF471" s="102"/>
      <c r="AG471" s="102"/>
      <c r="AH471" s="102"/>
      <c r="AI471" s="102"/>
      <c r="AJ471" s="102"/>
      <c r="AK471" s="102"/>
      <c r="AL471" s="102"/>
      <c r="AM471" s="102"/>
      <c r="AN471" s="102"/>
      <c r="AO471" s="102"/>
      <c r="AP471" s="102"/>
      <c r="AQ471" s="102"/>
      <c r="AR471" s="102"/>
      <c r="AS471" s="102"/>
      <c r="AT471" s="102"/>
      <c r="AU471" s="102"/>
      <c r="AV471" s="102"/>
      <c r="AW471" s="102"/>
      <c r="AX471" s="102"/>
      <c r="AY471" s="102"/>
      <c r="AZ471" s="102"/>
      <c r="BA471" s="102"/>
      <c r="BB471" s="102"/>
      <c r="BC471" s="102"/>
      <c r="BD471" s="102"/>
      <c r="BE471" s="102"/>
      <c r="BF471" s="102"/>
      <c r="BG471" s="102"/>
      <c r="BH471" s="102"/>
      <c r="BI471" s="102"/>
      <c r="BJ471" s="102"/>
      <c r="BK471" s="102"/>
      <c r="BL471" s="102"/>
      <c r="BM471" s="102"/>
      <c r="BN471" s="102"/>
      <c r="BO471" s="102"/>
      <c r="BP471" s="102"/>
      <c r="BQ471" s="102"/>
      <c r="BR471" s="102"/>
      <c r="BS471" s="102"/>
      <c r="BT471" s="102"/>
      <c r="BU471" s="102"/>
      <c r="BV471" s="102"/>
      <c r="BW471" s="102"/>
      <c r="BX471" s="102"/>
      <c r="BY471" s="102"/>
      <c r="BZ471" s="102"/>
      <c r="CA471" s="102"/>
      <c r="CB471" s="102"/>
      <c r="CC471" s="102"/>
      <c r="CD471" s="102"/>
      <c r="CE471" s="102"/>
      <c r="CF471" s="102"/>
      <c r="CG471" s="102"/>
      <c r="CH471" s="102"/>
      <c r="CI471" s="102"/>
      <c r="CJ471" s="102"/>
      <c r="CK471" s="102"/>
      <c r="CL471" s="102"/>
      <c r="CM471" s="102"/>
      <c r="CN471" s="102"/>
      <c r="CO471" s="102"/>
      <c r="CP471" s="102"/>
      <c r="CQ471" s="102"/>
      <c r="CR471" s="102"/>
      <c r="CS471" s="102"/>
      <c r="CT471" s="102"/>
      <c r="CU471" s="102"/>
      <c r="CV471" s="102"/>
      <c r="CW471" s="1407"/>
      <c r="CX471" s="102"/>
      <c r="CY471" s="102"/>
      <c r="CZ471" s="102"/>
      <c r="DA471" s="102"/>
      <c r="DB471" s="102"/>
      <c r="DC471" s="102"/>
      <c r="DD471" s="102"/>
      <c r="DE471" s="102"/>
      <c r="DF471" s="102"/>
      <c r="DG471" s="102"/>
      <c r="DH471" s="102"/>
      <c r="DI471" s="102"/>
      <c r="DJ471" s="102"/>
      <c r="DK471" s="102"/>
      <c r="DL471" s="102"/>
      <c r="DM471" s="102"/>
      <c r="DN471" s="102"/>
      <c r="DO471" s="102"/>
      <c r="DP471" s="102"/>
      <c r="DQ471" s="102"/>
      <c r="DR471" s="102"/>
      <c r="DS471" s="102"/>
      <c r="DT471" s="102"/>
      <c r="DU471" s="102"/>
      <c r="DV471" s="102"/>
      <c r="DW471" s="102"/>
      <c r="DX471" s="102"/>
    </row>
    <row r="472" spans="1:138">
      <c r="C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  <c r="AA472" s="102"/>
      <c r="AB472" s="102"/>
      <c r="AC472" s="102"/>
      <c r="AD472" s="102"/>
      <c r="AE472" s="102"/>
      <c r="AF472" s="102"/>
      <c r="AG472" s="102"/>
      <c r="AH472" s="102"/>
      <c r="AI472" s="102"/>
      <c r="AJ472" s="102"/>
      <c r="AK472" s="102"/>
      <c r="AL472" s="102"/>
      <c r="AM472" s="102"/>
      <c r="AN472" s="102"/>
      <c r="AO472" s="102"/>
      <c r="AP472" s="102"/>
      <c r="AQ472" s="102"/>
      <c r="AR472" s="102"/>
      <c r="AS472" s="102"/>
      <c r="AT472" s="102"/>
      <c r="AU472" s="102"/>
      <c r="AV472" s="102"/>
      <c r="AW472" s="102"/>
      <c r="AX472" s="102"/>
      <c r="AY472" s="102"/>
      <c r="AZ472" s="102"/>
      <c r="BA472" s="102"/>
      <c r="BB472" s="102"/>
      <c r="BC472" s="102"/>
      <c r="BD472" s="102"/>
      <c r="BE472" s="102"/>
      <c r="BF472" s="102"/>
      <c r="BG472" s="102"/>
      <c r="BH472" s="102"/>
      <c r="BI472" s="102"/>
      <c r="BJ472" s="102"/>
      <c r="BK472" s="102"/>
      <c r="BL472" s="102"/>
      <c r="BM472" s="102"/>
      <c r="BN472" s="102"/>
      <c r="BO472" s="102"/>
      <c r="BP472" s="102"/>
      <c r="BQ472" s="102"/>
      <c r="BR472" s="102"/>
      <c r="BS472" s="102"/>
      <c r="BT472" s="102"/>
      <c r="BU472" s="102"/>
      <c r="BV472" s="102"/>
      <c r="BW472" s="102"/>
      <c r="BX472" s="102"/>
      <c r="BY472" s="102"/>
      <c r="BZ472" s="102"/>
      <c r="CA472" s="102"/>
      <c r="CB472" s="102"/>
      <c r="CC472" s="102"/>
      <c r="CD472" s="102"/>
      <c r="CE472" s="102"/>
      <c r="CF472" s="102"/>
      <c r="CG472" s="102"/>
      <c r="CH472" s="102"/>
      <c r="CI472" s="102"/>
      <c r="CJ472" s="102"/>
      <c r="CK472" s="102"/>
      <c r="CL472" s="102"/>
      <c r="CM472" s="102"/>
      <c r="CN472" s="102"/>
      <c r="CO472" s="102"/>
      <c r="CP472" s="102"/>
      <c r="CQ472" s="102"/>
      <c r="CR472" s="102"/>
      <c r="CS472" s="102"/>
      <c r="CT472" s="102"/>
      <c r="CU472" s="102"/>
      <c r="CV472" s="102"/>
      <c r="CW472" s="1407"/>
      <c r="CX472" s="102"/>
      <c r="CY472" s="102"/>
      <c r="CZ472" s="102"/>
      <c r="DA472" s="102"/>
      <c r="DB472" s="102"/>
      <c r="DC472" s="102"/>
      <c r="DD472" s="102"/>
      <c r="DE472" s="102"/>
      <c r="DF472" s="102"/>
      <c r="DG472" s="102"/>
      <c r="DH472" s="102"/>
      <c r="DI472" s="102"/>
      <c r="DJ472" s="102"/>
      <c r="DK472" s="102"/>
      <c r="DL472" s="102"/>
      <c r="DM472" s="102"/>
      <c r="DN472" s="102"/>
      <c r="DO472" s="102"/>
      <c r="DP472" s="102"/>
      <c r="DQ472" s="102"/>
      <c r="DR472" s="102"/>
      <c r="DS472" s="102"/>
      <c r="DT472" s="102"/>
      <c r="DU472" s="102"/>
      <c r="DV472" s="102"/>
      <c r="DW472" s="102"/>
      <c r="DX472" s="102"/>
    </row>
    <row r="473" spans="1:138">
      <c r="A473" s="289" t="s">
        <v>728</v>
      </c>
      <c r="C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  <c r="AA473" s="102"/>
      <c r="AB473" s="102"/>
      <c r="AC473" s="102"/>
      <c r="AD473" s="102"/>
      <c r="AE473" s="102"/>
      <c r="AF473" s="102"/>
      <c r="AG473" s="102"/>
      <c r="AH473" s="102"/>
      <c r="AI473" s="102"/>
      <c r="AJ473" s="102"/>
      <c r="AK473" s="102"/>
      <c r="AL473" s="102"/>
      <c r="AM473" s="102"/>
      <c r="AN473" s="102"/>
      <c r="AO473" s="102"/>
      <c r="AP473" s="102"/>
      <c r="AQ473" s="102"/>
      <c r="AR473" s="102"/>
      <c r="AS473" s="102"/>
      <c r="AT473" s="102"/>
      <c r="AU473" s="102"/>
      <c r="AV473" s="102"/>
      <c r="AW473" s="102"/>
      <c r="AX473" s="102"/>
      <c r="AY473" s="102"/>
      <c r="AZ473" s="102"/>
      <c r="BA473" s="102"/>
      <c r="BB473" s="102"/>
      <c r="BC473" s="102"/>
      <c r="BD473" s="102"/>
      <c r="BE473" s="102"/>
      <c r="BF473" s="102"/>
      <c r="BG473" s="102"/>
      <c r="BH473" s="102"/>
      <c r="BI473" s="102"/>
      <c r="BJ473" s="102"/>
      <c r="BK473" s="102"/>
      <c r="BL473" s="102"/>
      <c r="BM473" s="102"/>
      <c r="BN473" s="102"/>
      <c r="BO473" s="102"/>
      <c r="BP473" s="102"/>
      <c r="BQ473" s="102"/>
      <c r="BR473" s="102"/>
      <c r="BS473" s="102"/>
      <c r="BT473" s="102"/>
      <c r="BU473" s="102"/>
      <c r="BV473" s="102"/>
      <c r="BW473" s="102"/>
      <c r="BX473" s="102"/>
      <c r="BY473" s="102"/>
      <c r="BZ473" s="102"/>
      <c r="CA473" s="102"/>
      <c r="CB473" s="102"/>
      <c r="CC473" s="102"/>
      <c r="CD473" s="102"/>
      <c r="CE473" s="102"/>
      <c r="CF473" s="102"/>
      <c r="CG473" s="102"/>
      <c r="CH473" s="102"/>
      <c r="CI473" s="102"/>
      <c r="CJ473" s="102"/>
      <c r="CK473" s="102"/>
      <c r="CL473" s="102"/>
      <c r="CM473" s="102"/>
      <c r="CN473" s="102"/>
      <c r="CO473" s="102"/>
      <c r="CP473" s="102"/>
      <c r="CQ473" s="102"/>
      <c r="CR473" s="102"/>
      <c r="CS473" s="102"/>
      <c r="CT473" s="102"/>
      <c r="CU473" s="102"/>
      <c r="CV473" s="102"/>
      <c r="CW473" s="1407"/>
      <c r="CX473" s="102"/>
      <c r="CY473" s="102"/>
      <c r="CZ473" s="102"/>
      <c r="DA473" s="102"/>
      <c r="DB473" s="102"/>
      <c r="DC473" s="102"/>
      <c r="DD473" s="102"/>
      <c r="DE473" s="102"/>
      <c r="DF473" s="102"/>
      <c r="DG473" s="102"/>
      <c r="DH473" s="102"/>
      <c r="DI473" s="102"/>
      <c r="DJ473" s="102"/>
      <c r="DK473" s="102"/>
      <c r="DL473" s="102"/>
      <c r="DM473" s="102"/>
      <c r="DN473" s="102"/>
      <c r="DO473" s="102"/>
      <c r="DP473" s="102"/>
      <c r="DQ473" s="102"/>
      <c r="DR473" s="102"/>
      <c r="DS473" s="102"/>
      <c r="DT473" s="102"/>
      <c r="DU473" s="102"/>
      <c r="DV473" s="102"/>
      <c r="DW473" s="102"/>
      <c r="DX473" s="102"/>
    </row>
    <row r="474" spans="1:138">
      <c r="A474" s="102" t="s">
        <v>519</v>
      </c>
      <c r="C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  <c r="AA474" s="102"/>
      <c r="AB474" s="102"/>
      <c r="AC474" s="102"/>
      <c r="AD474" s="102"/>
      <c r="AE474" s="102"/>
      <c r="AF474" s="102"/>
      <c r="AG474" s="102"/>
      <c r="AH474" s="102"/>
      <c r="AI474" s="102"/>
      <c r="AJ474" s="102"/>
      <c r="AK474" s="102"/>
      <c r="AL474" s="102"/>
      <c r="AM474" s="102"/>
      <c r="AN474" s="102"/>
      <c r="AO474" s="102"/>
      <c r="AP474" s="102"/>
      <c r="AQ474" s="102"/>
      <c r="AR474" s="102"/>
      <c r="AS474" s="102"/>
      <c r="AT474" s="102"/>
      <c r="AU474" s="102"/>
      <c r="AV474" s="102"/>
      <c r="AW474" s="102"/>
      <c r="AX474" s="102"/>
      <c r="AY474" s="102"/>
      <c r="AZ474" s="102"/>
      <c r="BA474" s="102"/>
      <c r="BB474" s="102"/>
      <c r="BC474" s="102"/>
      <c r="BD474" s="102"/>
      <c r="BE474" s="102"/>
      <c r="BF474" s="102"/>
      <c r="BG474" s="102"/>
      <c r="BH474" s="796">
        <v>4.5</v>
      </c>
      <c r="BI474" s="796">
        <v>6.2</v>
      </c>
      <c r="BJ474" s="309">
        <f>BI474</f>
        <v>6.2</v>
      </c>
      <c r="BK474" s="102"/>
      <c r="BL474" s="796">
        <v>6.2</v>
      </c>
      <c r="BM474" s="796">
        <v>7.4</v>
      </c>
      <c r="BN474" s="309">
        <f>BM474</f>
        <v>7.4</v>
      </c>
      <c r="BO474" s="102"/>
      <c r="BP474" s="796">
        <v>7.9</v>
      </c>
      <c r="BQ474" s="796">
        <v>9.5</v>
      </c>
      <c r="BR474" s="309">
        <f>BQ474</f>
        <v>9.5</v>
      </c>
      <c r="BS474" s="102"/>
      <c r="BT474" s="796">
        <v>10.4</v>
      </c>
      <c r="BU474" s="796">
        <v>13.9</v>
      </c>
      <c r="BV474" s="309">
        <f>BU474</f>
        <v>13.9</v>
      </c>
      <c r="BW474" s="102"/>
      <c r="BX474" s="796">
        <v>15.4</v>
      </c>
      <c r="BY474" s="796">
        <v>16.5</v>
      </c>
      <c r="BZ474" s="309">
        <f>BY474</f>
        <v>16.5</v>
      </c>
      <c r="CA474" s="102"/>
      <c r="CB474" s="796">
        <v>16.7</v>
      </c>
      <c r="CC474" s="796">
        <v>15.5</v>
      </c>
      <c r="CD474" s="309">
        <f>CC474</f>
        <v>15.5</v>
      </c>
      <c r="CE474" s="102"/>
      <c r="CF474" s="796">
        <v>17.2</v>
      </c>
      <c r="CG474" s="796">
        <v>21.1</v>
      </c>
      <c r="CH474" s="309">
        <f>CG474</f>
        <v>21.1</v>
      </c>
      <c r="CI474" s="102"/>
      <c r="CJ474" s="796">
        <v>23.6</v>
      </c>
      <c r="CK474" s="1460">
        <v>23.5</v>
      </c>
      <c r="CL474" s="1458">
        <f>CK474</f>
        <v>23.5</v>
      </c>
      <c r="CM474" s="1008"/>
      <c r="CN474" s="1460">
        <v>23.1</v>
      </c>
      <c r="CO474" s="1460">
        <v>33.1</v>
      </c>
      <c r="CP474" s="1458">
        <f>CO474</f>
        <v>33.1</v>
      </c>
      <c r="CQ474" s="1008"/>
      <c r="CR474" s="1461">
        <v>15.5</v>
      </c>
      <c r="CS474" s="1461">
        <v>0</v>
      </c>
      <c r="CT474" s="309">
        <f>CS474</f>
        <v>0</v>
      </c>
      <c r="CU474" s="102"/>
      <c r="CV474" s="1461">
        <v>0</v>
      </c>
      <c r="CW474" s="1830">
        <v>0</v>
      </c>
      <c r="CX474" s="309">
        <f>CW474</f>
        <v>0</v>
      </c>
      <c r="CY474" s="102"/>
      <c r="CZ474" s="1461">
        <v>0</v>
      </c>
      <c r="DA474" s="1461">
        <v>0</v>
      </c>
      <c r="DB474" s="309">
        <f>DA474</f>
        <v>0</v>
      </c>
      <c r="DC474" s="102"/>
      <c r="DD474" s="1461">
        <v>0</v>
      </c>
      <c r="DE474" s="1830">
        <v>0</v>
      </c>
      <c r="DF474" s="309">
        <f>DE474</f>
        <v>0</v>
      </c>
      <c r="DG474" s="102"/>
      <c r="DH474" s="1461">
        <v>0</v>
      </c>
      <c r="DI474" s="309">
        <f>+DI464*DI477</f>
        <v>0</v>
      </c>
      <c r="DJ474" s="309">
        <f>DI474</f>
        <v>0</v>
      </c>
      <c r="DK474" s="102"/>
      <c r="DL474" s="309">
        <f>+DL464*DL477</f>
        <v>0</v>
      </c>
      <c r="DM474" s="309">
        <f>+DM464*DM477</f>
        <v>0</v>
      </c>
      <c r="DN474" s="309">
        <f>DM474</f>
        <v>0</v>
      </c>
      <c r="DO474" s="102"/>
      <c r="DP474" s="309">
        <f>+DP464*DP477</f>
        <v>0</v>
      </c>
      <c r="DQ474" s="309">
        <f>+DQ464*DQ477</f>
        <v>0</v>
      </c>
      <c r="DR474" s="309">
        <f>DQ474</f>
        <v>0</v>
      </c>
      <c r="DS474" s="102"/>
      <c r="DT474" s="102"/>
      <c r="DU474" s="309"/>
      <c r="DV474" s="309"/>
      <c r="DW474" s="309"/>
      <c r="DX474" s="102"/>
    </row>
    <row r="475" spans="1:138">
      <c r="A475" s="102" t="s">
        <v>516</v>
      </c>
      <c r="C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  <c r="AA475" s="102"/>
      <c r="AB475" s="102"/>
      <c r="AC475" s="102"/>
      <c r="AD475" s="102"/>
      <c r="AE475" s="102"/>
      <c r="AF475" s="102"/>
      <c r="AG475" s="102"/>
      <c r="AH475" s="102"/>
      <c r="AI475" s="102"/>
      <c r="AJ475" s="102"/>
      <c r="AK475" s="102"/>
      <c r="AL475" s="102"/>
      <c r="AM475" s="102"/>
      <c r="AN475" s="102"/>
      <c r="AO475" s="102"/>
      <c r="AP475" s="102"/>
      <c r="AQ475" s="102"/>
      <c r="AR475" s="102"/>
      <c r="AS475" s="102"/>
      <c r="AT475" s="102"/>
      <c r="AU475" s="102"/>
      <c r="AV475" s="102"/>
      <c r="AW475" s="102"/>
      <c r="AX475" s="102"/>
      <c r="AY475" s="102"/>
      <c r="AZ475" s="102"/>
      <c r="BA475" s="102"/>
      <c r="BB475" s="102"/>
      <c r="BC475" s="102"/>
      <c r="BD475" s="102"/>
      <c r="BE475" s="102"/>
      <c r="BF475" s="102"/>
      <c r="BG475" s="102"/>
      <c r="BH475" s="796">
        <v>26.5</v>
      </c>
      <c r="BI475" s="796">
        <v>26.8</v>
      </c>
      <c r="BJ475" s="309">
        <f>BI475</f>
        <v>26.8</v>
      </c>
      <c r="BK475" s="102"/>
      <c r="BL475" s="796">
        <v>26.7</v>
      </c>
      <c r="BM475" s="796">
        <v>26.9</v>
      </c>
      <c r="BN475" s="309">
        <f>BM475</f>
        <v>26.9</v>
      </c>
      <c r="BO475" s="102"/>
      <c r="BP475" s="796">
        <v>29.8</v>
      </c>
      <c r="BQ475" s="796">
        <v>34.299999999999997</v>
      </c>
      <c r="BR475" s="309">
        <f>BQ475</f>
        <v>34.299999999999997</v>
      </c>
      <c r="BS475" s="102"/>
      <c r="BT475" s="796">
        <v>38.4</v>
      </c>
      <c r="BU475" s="796">
        <v>42.1</v>
      </c>
      <c r="BV475" s="309">
        <f>BU475</f>
        <v>42.1</v>
      </c>
      <c r="BW475" s="102"/>
      <c r="BX475" s="796">
        <v>37.9</v>
      </c>
      <c r="BY475" s="796">
        <v>37.1</v>
      </c>
      <c r="BZ475" s="309">
        <f>BY475</f>
        <v>37.1</v>
      </c>
      <c r="CA475" s="102"/>
      <c r="CB475" s="796">
        <v>39</v>
      </c>
      <c r="CC475" s="796">
        <v>44.7</v>
      </c>
      <c r="CD475" s="309">
        <f>CC475</f>
        <v>44.7</v>
      </c>
      <c r="CE475" s="102"/>
      <c r="CF475" s="796">
        <v>46.8</v>
      </c>
      <c r="CG475" s="796">
        <v>35.299999999999997</v>
      </c>
      <c r="CH475" s="309">
        <f>CG475</f>
        <v>35.299999999999997</v>
      </c>
      <c r="CI475" s="102"/>
      <c r="CJ475" s="796">
        <v>38.299999999999997</v>
      </c>
      <c r="CK475" s="1460">
        <v>41.7</v>
      </c>
      <c r="CL475" s="1458">
        <f>CK475</f>
        <v>41.7</v>
      </c>
      <c r="CM475" s="1008"/>
      <c r="CN475" s="1460">
        <v>44.1</v>
      </c>
      <c r="CO475" s="1460">
        <v>46.1</v>
      </c>
      <c r="CP475" s="1458">
        <f>CO475</f>
        <v>46.1</v>
      </c>
      <c r="CQ475" s="1008"/>
      <c r="CR475" s="1461">
        <v>33.4</v>
      </c>
      <c r="CS475" s="1461">
        <v>35.5</v>
      </c>
      <c r="CT475" s="309">
        <f>CS475</f>
        <v>35.5</v>
      </c>
      <c r="CU475" s="102"/>
      <c r="CV475" s="1461">
        <v>38.700000000000003</v>
      </c>
      <c r="CW475" s="1830">
        <v>39.799999999999997</v>
      </c>
      <c r="CX475" s="309">
        <f>CW475</f>
        <v>39.799999999999997</v>
      </c>
      <c r="CY475" s="102"/>
      <c r="CZ475" s="1461">
        <v>43.5</v>
      </c>
      <c r="DA475" s="1461">
        <v>46.5</v>
      </c>
      <c r="DB475" s="309">
        <f>DA475</f>
        <v>46.5</v>
      </c>
      <c r="DC475" s="102"/>
      <c r="DD475" s="1461">
        <v>48.2</v>
      </c>
      <c r="DE475" s="2184">
        <v>49.5</v>
      </c>
      <c r="DF475" s="309">
        <f>DE475</f>
        <v>49.5</v>
      </c>
      <c r="DG475" s="102"/>
      <c r="DH475" s="1461">
        <v>51.1</v>
      </c>
      <c r="DI475" s="309">
        <f>+DI464-DI474-DI476</f>
        <v>56.974903124999997</v>
      </c>
      <c r="DJ475" s="309">
        <f>DI475</f>
        <v>56.974903124999997</v>
      </c>
      <c r="DK475" s="102"/>
      <c r="DL475" s="309">
        <f>+DL464-DL474-DL476</f>
        <v>61.356504562500021</v>
      </c>
      <c r="DM475" s="309">
        <f>+DM464-DM474-DM476</f>
        <v>64.727500661250019</v>
      </c>
      <c r="DN475" s="309">
        <f>DM475</f>
        <v>64.727500661250019</v>
      </c>
      <c r="DO475" s="102"/>
      <c r="DP475" s="309">
        <f>+DP464-DP474-DP476</f>
        <v>68.288340758925017</v>
      </c>
      <c r="DQ475" s="309">
        <f>+DQ464-DQ474-DQ476</f>
        <v>72.049918864780523</v>
      </c>
      <c r="DR475" s="309">
        <f>DQ475</f>
        <v>72.049918864780523</v>
      </c>
      <c r="DS475" s="102"/>
      <c r="DT475" s="102"/>
      <c r="DU475" s="309"/>
      <c r="DV475" s="309"/>
      <c r="DW475" s="309"/>
      <c r="DX475" s="102"/>
    </row>
    <row r="476" spans="1:138">
      <c r="A476" s="102" t="s">
        <v>517</v>
      </c>
      <c r="C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  <c r="AA476" s="102"/>
      <c r="AB476" s="102"/>
      <c r="AC476" s="102"/>
      <c r="AD476" s="102"/>
      <c r="AE476" s="102"/>
      <c r="AF476" s="102"/>
      <c r="AG476" s="102"/>
      <c r="AH476" s="102"/>
      <c r="AI476" s="102"/>
      <c r="AJ476" s="102"/>
      <c r="AK476" s="102"/>
      <c r="AL476" s="102"/>
      <c r="AM476" s="102"/>
      <c r="AN476" s="102"/>
      <c r="AO476" s="102"/>
      <c r="AP476" s="102"/>
      <c r="AQ476" s="102"/>
      <c r="AR476" s="102"/>
      <c r="AS476" s="102"/>
      <c r="AT476" s="102"/>
      <c r="AU476" s="102"/>
      <c r="AV476" s="102"/>
      <c r="AW476" s="102"/>
      <c r="AX476" s="102"/>
      <c r="AY476" s="102"/>
      <c r="AZ476" s="102"/>
      <c r="BA476" s="102"/>
      <c r="BB476" s="102"/>
      <c r="BC476" s="102"/>
      <c r="BD476" s="102"/>
      <c r="BE476" s="102"/>
      <c r="BF476" s="102"/>
      <c r="BG476" s="102"/>
      <c r="BH476" s="309">
        <f ca="1">+BH464-BH475-BH474</f>
        <v>9.1000000000000014</v>
      </c>
      <c r="BI476" s="309">
        <f ca="1">+BI464-BI475-BI474</f>
        <v>9.8999999999999986</v>
      </c>
      <c r="BJ476" s="309">
        <f ca="1">+BJ464-BJ475-BJ474</f>
        <v>9.8999999999999986</v>
      </c>
      <c r="BK476" s="102"/>
      <c r="BL476" s="309">
        <f>+BL464-BL475-BL474</f>
        <v>13</v>
      </c>
      <c r="BM476" s="309">
        <f>+BM464-BM475-BM474</f>
        <v>12.900000000000004</v>
      </c>
      <c r="BN476" s="309">
        <f>+BN464-BN475-BN474</f>
        <v>12.900000000000004</v>
      </c>
      <c r="BO476" s="102"/>
      <c r="BP476" s="309">
        <f>+BP464-BP475-BP474</f>
        <v>12.199999999999998</v>
      </c>
      <c r="BQ476" s="309">
        <f>+BQ464-BQ475-BQ474</f>
        <v>11.400000000000006</v>
      </c>
      <c r="BR476" s="309">
        <f>+BR464-BR475-BR474</f>
        <v>11.400000000000006</v>
      </c>
      <c r="BS476" s="102"/>
      <c r="BT476" s="309">
        <f>+BT464-BT475-BT474</f>
        <v>12.499999999999998</v>
      </c>
      <c r="BU476" s="309">
        <f>+BU464-BU475-BU474</f>
        <v>13.099999999999993</v>
      </c>
      <c r="BV476" s="309">
        <f>+BV464-BV475-BV474</f>
        <v>13.099999999999993</v>
      </c>
      <c r="BW476" s="102"/>
      <c r="BX476" s="309">
        <f>+BX464-BX475-BX474</f>
        <v>14.900000000000004</v>
      </c>
      <c r="BY476" s="309">
        <f>+BY464-BY475-BY474</f>
        <v>13.899999999999999</v>
      </c>
      <c r="BZ476" s="309">
        <f>+BZ464-BZ475-BZ474</f>
        <v>13.899999999999999</v>
      </c>
      <c r="CA476" s="102"/>
      <c r="CB476" s="309">
        <f>+CB464-CB475-CB474</f>
        <v>14.399999999999995</v>
      </c>
      <c r="CC476" s="309">
        <f>+CC464-CC475-CC474</f>
        <v>15.099999999999994</v>
      </c>
      <c r="CD476" s="309">
        <f>+CD464-CD475-CD474</f>
        <v>15.099999999999994</v>
      </c>
      <c r="CE476" s="102"/>
      <c r="CF476" s="309">
        <f>+CF464-CF475-CF474</f>
        <v>16.599999999999998</v>
      </c>
      <c r="CG476" s="309">
        <f>+CG464-CG475-CG474</f>
        <v>26.6</v>
      </c>
      <c r="CH476" s="309">
        <f>+CH464-CH475-CH474</f>
        <v>26.6</v>
      </c>
      <c r="CI476" s="102"/>
      <c r="CJ476" s="309">
        <f>+CJ464-CJ475-CJ474</f>
        <v>19.300000000000004</v>
      </c>
      <c r="CK476" s="309">
        <f>+CK464-CK475-CK474</f>
        <v>21.299999999999997</v>
      </c>
      <c r="CL476" s="309">
        <f>+CL464-CL475-CL474</f>
        <v>21.299999999999997</v>
      </c>
      <c r="CM476" s="102"/>
      <c r="CN476" s="309">
        <f>+CN464-CN475-CN474</f>
        <v>29.099999999999994</v>
      </c>
      <c r="CO476" s="309">
        <f>+CO464-CO475-CO474</f>
        <v>28.200000000000003</v>
      </c>
      <c r="CP476" s="309">
        <f>+CP464-CP475-CP474</f>
        <v>28.200000000000003</v>
      </c>
      <c r="CQ476" s="102"/>
      <c r="CR476" s="309">
        <f>+CR464-CR475-CR474</f>
        <v>73.199999999999989</v>
      </c>
      <c r="CS476" s="309">
        <f>+CS464-CS475-CS474</f>
        <v>103.1</v>
      </c>
      <c r="CT476" s="309">
        <f>+CT464-CT475-CT474</f>
        <v>103.1</v>
      </c>
      <c r="CU476" s="102"/>
      <c r="CV476" s="309">
        <f>+CV464-CV475-CV474</f>
        <v>114.39999999999999</v>
      </c>
      <c r="CW476" s="1796">
        <f>+CW464-CW475-CW474</f>
        <v>123.7</v>
      </c>
      <c r="CX476" s="309">
        <f>+CX464-CX475-CX474</f>
        <v>123.7</v>
      </c>
      <c r="CY476" s="102"/>
      <c r="CZ476" s="1458">
        <f>+CZ464-CZ475-CZ474</f>
        <v>129.1</v>
      </c>
      <c r="DA476" s="2029">
        <f>+DA464-DA475-DA474</f>
        <v>135</v>
      </c>
      <c r="DB476" s="309">
        <f>+DB464-DB475-DB474</f>
        <v>135</v>
      </c>
      <c r="DC476" s="102"/>
      <c r="DD476" s="1458">
        <f>+DD464-DD475-DD474</f>
        <v>143.69999999999999</v>
      </c>
      <c r="DE476" s="2029">
        <f>+DE464-DE475-DE474</f>
        <v>156.1</v>
      </c>
      <c r="DF476" s="309">
        <f>+DF464-DF475-DF474</f>
        <v>156.1</v>
      </c>
      <c r="DG476" s="102"/>
      <c r="DH476" s="1458">
        <f>+DH464-DH475-DH474</f>
        <v>172.9</v>
      </c>
      <c r="DI476" s="309">
        <f>+DI464*DI478</f>
        <v>192.77809687500002</v>
      </c>
      <c r="DJ476" s="309">
        <f>+DJ464-DJ475-DJ474</f>
        <v>192.77809687500002</v>
      </c>
      <c r="DK476" s="102"/>
      <c r="DL476" s="309">
        <f>+DL464*DL478</f>
        <v>207.60351543750002</v>
      </c>
      <c r="DM476" s="309">
        <f>+DM464*DM478</f>
        <v>219.00948853875002</v>
      </c>
      <c r="DN476" s="309">
        <f>+DN464-DN475-DN474</f>
        <v>219.00948853875002</v>
      </c>
      <c r="DO476" s="102"/>
      <c r="DP476" s="309">
        <f>+DP464*DP478</f>
        <v>231.05781051307503</v>
      </c>
      <c r="DQ476" s="309">
        <f>+DQ464*DQ478</f>
        <v>243.78534191233956</v>
      </c>
      <c r="DR476" s="309">
        <f>+DR464-DR475-DR474</f>
        <v>243.78534191233956</v>
      </c>
      <c r="DS476" s="102"/>
      <c r="DT476" s="102"/>
      <c r="DU476" s="309"/>
      <c r="DV476" s="309"/>
      <c r="DW476" s="309"/>
      <c r="DX476" s="102"/>
    </row>
    <row r="477" spans="1:138">
      <c r="A477" s="642" t="s">
        <v>529</v>
      </c>
      <c r="B477" s="302"/>
      <c r="C477" s="302"/>
      <c r="D477" s="302"/>
      <c r="E477" s="302"/>
      <c r="F477" s="302"/>
      <c r="G477" s="302"/>
      <c r="H477" s="302"/>
      <c r="I477" s="302"/>
      <c r="J477" s="302"/>
      <c r="K477" s="302"/>
      <c r="L477" s="302"/>
      <c r="M477" s="302"/>
      <c r="N477" s="302"/>
      <c r="O477" s="302"/>
      <c r="P477" s="302"/>
      <c r="Q477" s="302"/>
      <c r="R477" s="302"/>
      <c r="S477" s="302"/>
      <c r="T477" s="302"/>
      <c r="U477" s="302"/>
      <c r="V477" s="302"/>
      <c r="W477" s="302"/>
      <c r="X477" s="302"/>
      <c r="Y477" s="302"/>
      <c r="Z477" s="302"/>
      <c r="AA477" s="302"/>
      <c r="AB477" s="302"/>
      <c r="AC477" s="302"/>
      <c r="AD477" s="302"/>
      <c r="AE477" s="302"/>
      <c r="AF477" s="302"/>
      <c r="AG477" s="302"/>
      <c r="AH477" s="302"/>
      <c r="AI477" s="302"/>
      <c r="AJ477" s="302"/>
      <c r="AK477" s="302"/>
      <c r="AL477" s="302"/>
      <c r="AM477" s="302"/>
      <c r="AN477" s="302"/>
      <c r="AO477" s="302"/>
      <c r="AP477" s="302"/>
      <c r="AQ477" s="302"/>
      <c r="AR477" s="302"/>
      <c r="AS477" s="302"/>
      <c r="AT477" s="302"/>
      <c r="AU477" s="302"/>
      <c r="AV477" s="302"/>
      <c r="AW477" s="302"/>
      <c r="AX477" s="302"/>
      <c r="AY477" s="302"/>
      <c r="AZ477" s="302"/>
      <c r="BA477" s="302"/>
      <c r="BB477" s="302"/>
      <c r="BC477" s="302"/>
      <c r="BD477" s="302"/>
      <c r="BE477" s="302"/>
      <c r="BF477" s="302"/>
      <c r="BG477" s="302"/>
      <c r="BH477" s="668">
        <f ca="1">BH474/BH464</f>
        <v>0.11221945137157106</v>
      </c>
      <c r="BI477" s="668">
        <f ca="1">BI474/BI464</f>
        <v>0.14452214452214454</v>
      </c>
      <c r="BJ477" s="668">
        <f ca="1">BJ474/BJ464</f>
        <v>0.14452214452214454</v>
      </c>
      <c r="BK477" s="302"/>
      <c r="BL477" s="668">
        <f>BL474/BL464</f>
        <v>0.13507625272331156</v>
      </c>
      <c r="BM477" s="668">
        <f>BM474/BM464</f>
        <v>0.15677966101694915</v>
      </c>
      <c r="BN477" s="668">
        <f>BN474/BN464</f>
        <v>0.15677966101694915</v>
      </c>
      <c r="BO477" s="302"/>
      <c r="BP477" s="668">
        <f>BP474/BP464</f>
        <v>0.15831663326653309</v>
      </c>
      <c r="BQ477" s="668">
        <f>BQ474/BQ464</f>
        <v>0.17210144927536231</v>
      </c>
      <c r="BR477" s="668">
        <f>BR474/BR464</f>
        <v>0.17210144927536231</v>
      </c>
      <c r="BS477" s="302"/>
      <c r="BT477" s="668">
        <f>BT474/BT464</f>
        <v>0.16965742251223492</v>
      </c>
      <c r="BU477" s="668">
        <f>BU474/BU464</f>
        <v>0.20115774240231551</v>
      </c>
      <c r="BV477" s="668">
        <f>BV474/BV464</f>
        <v>0.20115774240231551</v>
      </c>
      <c r="BW477" s="302"/>
      <c r="BX477" s="668">
        <f>BX474/BX464</f>
        <v>0.22580645161290322</v>
      </c>
      <c r="BY477" s="668">
        <f>BY474/BY464</f>
        <v>0.24444444444444444</v>
      </c>
      <c r="BZ477" s="668">
        <f>BZ474/BZ464</f>
        <v>0.24444444444444444</v>
      </c>
      <c r="CA477" s="302"/>
      <c r="CB477" s="668">
        <f>CB474/CB464</f>
        <v>0.23823109843081314</v>
      </c>
      <c r="CC477" s="668">
        <f>CC474/CC464</f>
        <v>0.20584329349269589</v>
      </c>
      <c r="CD477" s="668">
        <f>CD474/CD464</f>
        <v>0.20584329349269589</v>
      </c>
      <c r="CE477" s="302"/>
      <c r="CF477" s="668">
        <f>CF474/CF464</f>
        <v>0.21339950372208438</v>
      </c>
      <c r="CG477" s="668">
        <f>CG474/CG464</f>
        <v>0.25421686746987954</v>
      </c>
      <c r="CH477" s="668">
        <f>CH474/CH464</f>
        <v>0.25421686746987954</v>
      </c>
      <c r="CI477" s="302"/>
      <c r="CJ477" s="668">
        <f>CJ474/CJ464</f>
        <v>0.29064039408866998</v>
      </c>
      <c r="CK477" s="668">
        <f>CK474/CK464</f>
        <v>0.27167630057803466</v>
      </c>
      <c r="CL477" s="668">
        <f>CL474/CL464</f>
        <v>0.27167630057803466</v>
      </c>
      <c r="CM477" s="302"/>
      <c r="CN477" s="668">
        <f>CN474/CN464</f>
        <v>0.23987538940809972</v>
      </c>
      <c r="CO477" s="668">
        <f>CO474/CO464</f>
        <v>0.30819366852886404</v>
      </c>
      <c r="CP477" s="668">
        <f>CP474/CP464</f>
        <v>0.30819366852886404</v>
      </c>
      <c r="CQ477" s="302"/>
      <c r="CR477" s="668">
        <f>CR474/CR464</f>
        <v>0.12694512694512694</v>
      </c>
      <c r="CS477" s="668">
        <f>CS474/CS464</f>
        <v>0</v>
      </c>
      <c r="CT477" s="668">
        <f>CT474/CT464</f>
        <v>0</v>
      </c>
      <c r="CU477" s="302"/>
      <c r="CV477" s="1956">
        <f>CV474/CV464</f>
        <v>0</v>
      </c>
      <c r="CW477" s="1956">
        <f>CW474/CW464</f>
        <v>0</v>
      </c>
      <c r="CX477" s="1956">
        <f>CX474/CX464</f>
        <v>0</v>
      </c>
      <c r="CY477" s="1944"/>
      <c r="CZ477" s="1956">
        <f>CZ474/CZ464</f>
        <v>0</v>
      </c>
      <c r="DA477" s="1956">
        <f>DA474/DA464</f>
        <v>0</v>
      </c>
      <c r="DB477" s="1956">
        <f>DB474/DB464</f>
        <v>0</v>
      </c>
      <c r="DC477" s="1944"/>
      <c r="DD477" s="1956">
        <f>DD474/DD464</f>
        <v>0</v>
      </c>
      <c r="DE477" s="1956">
        <f>DE474/DE464</f>
        <v>0</v>
      </c>
      <c r="DF477" s="1956">
        <f>DF474/DF464</f>
        <v>0</v>
      </c>
      <c r="DG477" s="1944"/>
      <c r="DH477" s="1956">
        <f>DH474/DH464</f>
        <v>0</v>
      </c>
      <c r="DI477" s="1957">
        <f>DH477</f>
        <v>0</v>
      </c>
      <c r="DJ477" s="1956">
        <f>DJ474/DJ464</f>
        <v>0</v>
      </c>
      <c r="DK477" s="1944"/>
      <c r="DL477" s="1957">
        <f>DI477</f>
        <v>0</v>
      </c>
      <c r="DM477" s="1957">
        <f>DL477</f>
        <v>0</v>
      </c>
      <c r="DN477" s="1956">
        <f>DN474/DN464</f>
        <v>0</v>
      </c>
      <c r="DO477" s="1944"/>
      <c r="DP477" s="1957">
        <f>DM477</f>
        <v>0</v>
      </c>
      <c r="DQ477" s="1957">
        <f>DP477</f>
        <v>0</v>
      </c>
      <c r="DR477" s="1956">
        <f>DR474/DR464</f>
        <v>0</v>
      </c>
      <c r="DS477" s="1944"/>
      <c r="DT477" s="102"/>
      <c r="DU477" s="1130"/>
      <c r="DV477" s="1130"/>
      <c r="DW477" s="1056"/>
      <c r="DX477" s="102"/>
      <c r="DZ477" s="102"/>
    </row>
    <row r="478" spans="1:138">
      <c r="A478" s="642" t="s">
        <v>518</v>
      </c>
      <c r="B478" s="302"/>
      <c r="C478" s="302"/>
      <c r="D478" s="302"/>
      <c r="E478" s="302"/>
      <c r="F478" s="302"/>
      <c r="G478" s="302"/>
      <c r="H478" s="302"/>
      <c r="I478" s="302"/>
      <c r="J478" s="302"/>
      <c r="K478" s="302"/>
      <c r="L478" s="302"/>
      <c r="M478" s="302"/>
      <c r="N478" s="302"/>
      <c r="O478" s="302"/>
      <c r="P478" s="302"/>
      <c r="Q478" s="302"/>
      <c r="R478" s="302"/>
      <c r="S478" s="302"/>
      <c r="T478" s="302"/>
      <c r="U478" s="302"/>
      <c r="V478" s="302"/>
      <c r="W478" s="302"/>
      <c r="X478" s="302"/>
      <c r="Y478" s="302"/>
      <c r="Z478" s="302"/>
      <c r="AA478" s="302"/>
      <c r="AB478" s="302"/>
      <c r="AC478" s="302"/>
      <c r="AD478" s="302"/>
      <c r="AE478" s="302"/>
      <c r="AF478" s="302"/>
      <c r="AG478" s="302"/>
      <c r="AH478" s="302"/>
      <c r="AI478" s="302"/>
      <c r="AJ478" s="302"/>
      <c r="AK478" s="302"/>
      <c r="AL478" s="302"/>
      <c r="AM478" s="302"/>
      <c r="AN478" s="302"/>
      <c r="AO478" s="302"/>
      <c r="AP478" s="302"/>
      <c r="AQ478" s="302"/>
      <c r="AR478" s="302"/>
      <c r="AS478" s="302"/>
      <c r="AT478" s="302"/>
      <c r="AU478" s="302"/>
      <c r="AV478" s="302"/>
      <c r="AW478" s="302"/>
      <c r="AX478" s="302"/>
      <c r="AY478" s="302"/>
      <c r="AZ478" s="302"/>
      <c r="BA478" s="302"/>
      <c r="BB478" s="302"/>
      <c r="BC478" s="302"/>
      <c r="BD478" s="302"/>
      <c r="BE478" s="302"/>
      <c r="BF478" s="302"/>
      <c r="BG478" s="302"/>
      <c r="BH478" s="668">
        <f ca="1">+BH476/BH464</f>
        <v>0.22693266832917708</v>
      </c>
      <c r="BI478" s="668">
        <f ca="1">+BI476/BI464</f>
        <v>0.23076923076923075</v>
      </c>
      <c r="BJ478" s="668">
        <f ca="1">+BJ476/BJ464</f>
        <v>0.23076923076923075</v>
      </c>
      <c r="BK478" s="302"/>
      <c r="BL478" s="668">
        <f>+BL476/BL464</f>
        <v>0.28322440087145972</v>
      </c>
      <c r="BM478" s="668">
        <f>+BM476/BM464</f>
        <v>0.27330508474576276</v>
      </c>
      <c r="BN478" s="668">
        <f>+BN476/BN464</f>
        <v>0.27330508474576276</v>
      </c>
      <c r="BO478" s="302"/>
      <c r="BP478" s="668">
        <f>+BP476/BP464</f>
        <v>0.24448897795591179</v>
      </c>
      <c r="BQ478" s="668">
        <f>+BQ476/BQ464</f>
        <v>0.20652173913043487</v>
      </c>
      <c r="BR478" s="668">
        <f>+BR476/BR464</f>
        <v>0.20652173913043487</v>
      </c>
      <c r="BS478" s="302"/>
      <c r="BT478" s="668">
        <f>+BT476/BT464</f>
        <v>0.20391517128874387</v>
      </c>
      <c r="BU478" s="668">
        <f>+BU476/BU464</f>
        <v>0.18958031837916053</v>
      </c>
      <c r="BV478" s="668">
        <f>+BV476/BV464</f>
        <v>0.18958031837916053</v>
      </c>
      <c r="BW478" s="302"/>
      <c r="BX478" s="668">
        <f>+BX476/BX464</f>
        <v>0.21847507331378305</v>
      </c>
      <c r="BY478" s="668">
        <f>+BY476/BY464</f>
        <v>0.2059259259259259</v>
      </c>
      <c r="BZ478" s="668">
        <f>+BZ476/BZ464</f>
        <v>0.2059259259259259</v>
      </c>
      <c r="CA478" s="302"/>
      <c r="CB478" s="668">
        <f>+CB476/CB464</f>
        <v>0.20542082738944359</v>
      </c>
      <c r="CC478" s="668">
        <f>+CC476/CC464</f>
        <v>0.20053120849933592</v>
      </c>
      <c r="CD478" s="668">
        <f>+CD476/CD464</f>
        <v>0.20053120849933592</v>
      </c>
      <c r="CE478" s="302"/>
      <c r="CF478" s="668">
        <f>+CF476/CF464</f>
        <v>0.20595533498759305</v>
      </c>
      <c r="CG478" s="668">
        <f>+CG476/CG464</f>
        <v>0.32048192771084338</v>
      </c>
      <c r="CH478" s="668">
        <f>+CH476/CH464</f>
        <v>0.32048192771084338</v>
      </c>
      <c r="CI478" s="302"/>
      <c r="CJ478" s="668">
        <f>+CJ476/CJ464</f>
        <v>0.23768472906403945</v>
      </c>
      <c r="CK478" s="668">
        <f>+CK476/CK464</f>
        <v>0.24624277456647395</v>
      </c>
      <c r="CL478" s="668">
        <f>+CL476/CL464</f>
        <v>0.24624277456647395</v>
      </c>
      <c r="CM478" s="302"/>
      <c r="CN478" s="668">
        <f>+CN476/CN464</f>
        <v>0.30218068535825537</v>
      </c>
      <c r="CO478" s="668">
        <f>+CO476/CO464</f>
        <v>0.26256983240223464</v>
      </c>
      <c r="CP478" s="668">
        <f>+CP476/CP464</f>
        <v>0.26256983240223464</v>
      </c>
      <c r="CQ478" s="302"/>
      <c r="CR478" s="668">
        <f>+CR476/CR464</f>
        <v>0.59950859950859947</v>
      </c>
      <c r="CS478" s="668">
        <f>+CS476/CS464</f>
        <v>0.7438672438672439</v>
      </c>
      <c r="CT478" s="668">
        <f>+CT476/CT464</f>
        <v>0.7438672438672439</v>
      </c>
      <c r="CU478" s="302"/>
      <c r="CV478" s="1956">
        <f>+CV476/CV464</f>
        <v>0.74722403657740033</v>
      </c>
      <c r="CW478" s="1956">
        <f>+CW476/CW464</f>
        <v>0.75657492354740064</v>
      </c>
      <c r="CX478" s="1956">
        <f>+CX476/CX464</f>
        <v>0.75657492354740064</v>
      </c>
      <c r="CY478" s="1944"/>
      <c r="CZ478" s="1956">
        <f>+CZ476/CZ464</f>
        <v>0.74797219003476245</v>
      </c>
      <c r="DA478" s="1956">
        <f>+DA476/DA464</f>
        <v>0.74380165289256195</v>
      </c>
      <c r="DB478" s="1956">
        <f>+DB476/DB464</f>
        <v>0.74380165289256195</v>
      </c>
      <c r="DC478" s="1944"/>
      <c r="DD478" s="1956">
        <f>+DD476/DD464</f>
        <v>0.74882751433038031</v>
      </c>
      <c r="DE478" s="1956">
        <f>+DE476/DE464</f>
        <v>0.75924124513618674</v>
      </c>
      <c r="DF478" s="1956">
        <f>+DF476/DF464</f>
        <v>0.75924124513618674</v>
      </c>
      <c r="DG478" s="1944"/>
      <c r="DH478" s="1956">
        <f>+DH476/DH464</f>
        <v>0.77187499999999998</v>
      </c>
      <c r="DI478" s="1957">
        <f>DH478</f>
        <v>0.77187499999999998</v>
      </c>
      <c r="DJ478" s="1956">
        <f>+DJ476/DJ464</f>
        <v>0.77187499999999998</v>
      </c>
      <c r="DK478" s="1944"/>
      <c r="DL478" s="1957">
        <f>DI478</f>
        <v>0.77187499999999998</v>
      </c>
      <c r="DM478" s="1957">
        <f>DL478</f>
        <v>0.77187499999999998</v>
      </c>
      <c r="DN478" s="1956">
        <f>+DN476/DN464</f>
        <v>0.77187499999999998</v>
      </c>
      <c r="DO478" s="1944"/>
      <c r="DP478" s="1957">
        <f>DM478</f>
        <v>0.77187499999999998</v>
      </c>
      <c r="DQ478" s="1957">
        <f>DP478</f>
        <v>0.77187499999999998</v>
      </c>
      <c r="DR478" s="1956">
        <f>+DR476/DR464</f>
        <v>0.77187499999999998</v>
      </c>
      <c r="DS478" s="1944"/>
      <c r="DT478" s="102"/>
      <c r="DU478" s="1130"/>
      <c r="DV478" s="1130"/>
      <c r="DW478" s="1056"/>
      <c r="DX478" s="102"/>
      <c r="DZ478" s="102"/>
    </row>
    <row r="479" spans="1:138">
      <c r="C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  <c r="AA479" s="102"/>
      <c r="AB479" s="102"/>
      <c r="AC479" s="102"/>
      <c r="AD479" s="102"/>
      <c r="AE479" s="102"/>
      <c r="AF479" s="102"/>
      <c r="AG479" s="102"/>
      <c r="AH479" s="102"/>
      <c r="AI479" s="102"/>
      <c r="AJ479" s="102"/>
      <c r="AK479" s="102"/>
      <c r="AL479" s="102"/>
      <c r="AM479" s="102"/>
      <c r="AN479" s="102"/>
      <c r="AO479" s="102"/>
      <c r="AP479" s="102"/>
      <c r="AQ479" s="102"/>
      <c r="AR479" s="102"/>
      <c r="AS479" s="102"/>
      <c r="AT479" s="102"/>
      <c r="AU479" s="102"/>
      <c r="AV479" s="102"/>
      <c r="AW479" s="102"/>
      <c r="AX479" s="102"/>
      <c r="AY479" s="102"/>
      <c r="AZ479" s="102"/>
      <c r="BA479" s="102"/>
      <c r="BB479" s="102"/>
      <c r="BC479" s="102"/>
      <c r="BD479" s="102"/>
      <c r="BE479" s="102"/>
      <c r="BF479" s="102"/>
      <c r="BG479" s="102"/>
      <c r="BH479" s="102"/>
      <c r="BI479" s="102"/>
      <c r="BJ479" s="102"/>
      <c r="BK479" s="102"/>
      <c r="BL479" s="102"/>
      <c r="BM479" s="102"/>
      <c r="BN479" s="102"/>
      <c r="BO479" s="102"/>
      <c r="BP479" s="102"/>
      <c r="BQ479" s="102"/>
      <c r="BR479" s="102"/>
      <c r="BS479" s="102"/>
      <c r="BT479" s="102"/>
      <c r="BU479" s="102"/>
      <c r="BV479" s="102"/>
      <c r="BW479" s="102"/>
      <c r="BX479" s="102"/>
      <c r="BY479" s="102"/>
      <c r="BZ479" s="102"/>
      <c r="CA479" s="102"/>
      <c r="CB479" s="102"/>
      <c r="CC479" s="102"/>
      <c r="CD479" s="102"/>
      <c r="CE479" s="102"/>
      <c r="CF479" s="102"/>
      <c r="CG479" s="102"/>
      <c r="CH479" s="102"/>
      <c r="CI479" s="102"/>
      <c r="CJ479" s="102"/>
      <c r="CK479" s="102"/>
      <c r="CL479" s="102"/>
      <c r="CM479" s="102"/>
      <c r="CN479" s="102"/>
      <c r="CO479" s="102"/>
      <c r="CP479" s="102"/>
      <c r="CQ479" s="102"/>
      <c r="CR479" s="102"/>
      <c r="CS479" s="102"/>
      <c r="CT479" s="102"/>
      <c r="CU479" s="102"/>
      <c r="CV479" s="102"/>
      <c r="CW479" s="1407"/>
      <c r="CX479" s="102"/>
      <c r="CY479" s="102"/>
      <c r="CZ479" s="102"/>
      <c r="DA479" s="1407"/>
      <c r="DB479" s="102"/>
      <c r="DC479" s="102"/>
      <c r="DD479" s="102"/>
      <c r="DE479" s="1407"/>
      <c r="DF479" s="102"/>
      <c r="DG479" s="102"/>
      <c r="DH479" s="102"/>
      <c r="DI479" s="102"/>
      <c r="DJ479" s="102"/>
      <c r="DK479" s="102"/>
      <c r="DL479" s="102"/>
      <c r="DM479" s="102"/>
      <c r="DN479" s="102"/>
      <c r="DO479" s="102"/>
      <c r="DP479" s="102"/>
      <c r="DQ479" s="102"/>
      <c r="DR479" s="102"/>
      <c r="DS479" s="102"/>
      <c r="DT479" s="102"/>
      <c r="DU479" s="102"/>
      <c r="DV479" s="102"/>
      <c r="DW479" s="102"/>
      <c r="DX479" s="102"/>
    </row>
    <row r="480" spans="1:138" s="289" customFormat="1">
      <c r="A480" s="289" t="s">
        <v>390</v>
      </c>
      <c r="CW480" s="1410"/>
      <c r="DA480" s="1410"/>
      <c r="DE480" s="1410"/>
      <c r="EH480"/>
    </row>
    <row r="481" spans="1:138">
      <c r="A481" s="102" t="s">
        <v>391</v>
      </c>
      <c r="C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  <c r="AA481" s="102"/>
      <c r="AB481" s="102"/>
      <c r="AC481" s="102"/>
      <c r="AD481" s="102"/>
      <c r="AE481" s="102"/>
      <c r="AF481" s="102"/>
      <c r="AG481" s="102"/>
      <c r="AH481" s="102"/>
      <c r="AI481" s="102"/>
      <c r="AJ481" s="102"/>
      <c r="AK481" s="309"/>
      <c r="AL481" s="309"/>
      <c r="AM481" s="102"/>
      <c r="AN481" s="309"/>
      <c r="AO481" s="309">
        <f>'Bal Sheet'!AO101/1000</f>
        <v>10.061</v>
      </c>
      <c r="AP481" s="309">
        <f>'Bal Sheet'!AP101/1000</f>
        <v>10.061</v>
      </c>
      <c r="AQ481" s="102"/>
      <c r="AR481" s="309">
        <f>'Bal Sheet'!AR101/1000</f>
        <v>10.281000000000001</v>
      </c>
      <c r="AS481" s="309">
        <f>'Bal Sheet'!AS101/1000</f>
        <v>9.56</v>
      </c>
      <c r="AT481" s="309">
        <f>'Bal Sheet'!AT101/1000</f>
        <v>9.56</v>
      </c>
      <c r="AU481" s="102"/>
      <c r="AV481" s="309">
        <f>'Bal Sheet'!AV101/1000</f>
        <v>11.22</v>
      </c>
      <c r="AW481" s="309">
        <f>'Bal Sheet'!AW101/1000</f>
        <v>11.769</v>
      </c>
      <c r="AX481" s="309">
        <f>'Bal Sheet'!AX101/1000</f>
        <v>11.769</v>
      </c>
      <c r="AY481" s="102"/>
      <c r="AZ481" s="309">
        <f>'Bal Sheet'!AZ101/1000</f>
        <v>11.593</v>
      </c>
      <c r="BA481" s="309">
        <f>'Bal Sheet'!BA101/1000</f>
        <v>11.932</v>
      </c>
      <c r="BB481" s="309">
        <f>'Bal Sheet'!BB101/1000</f>
        <v>11.932</v>
      </c>
      <c r="BC481" s="102"/>
      <c r="BD481" s="309">
        <f>'Bal Sheet'!BD101/1000</f>
        <v>11.763999999999999</v>
      </c>
      <c r="BE481" s="309">
        <f>'Bal Sheet'!BE101/1000</f>
        <v>11.731999999999999</v>
      </c>
      <c r="BF481" s="309">
        <f>'Bal Sheet'!BF101/1000</f>
        <v>11.731999999999999</v>
      </c>
      <c r="BG481" s="102"/>
      <c r="BH481" s="309">
        <f>'Bal Sheet'!BH101/1000</f>
        <v>11.504</v>
      </c>
      <c r="BI481" s="309">
        <f>'Bal Sheet'!BI101/1000</f>
        <v>11.955</v>
      </c>
      <c r="BJ481" s="309">
        <f t="shared" ref="BJ481:BJ486" si="374">BI481</f>
        <v>11.955</v>
      </c>
      <c r="BK481" s="102"/>
      <c r="BL481" s="309">
        <f>'Bal Sheet'!BL101/1000</f>
        <v>12.718999999999999</v>
      </c>
      <c r="BM481" s="309">
        <f>'Bal Sheet'!BM101/1000</f>
        <v>11.914</v>
      </c>
      <c r="BN481" s="309">
        <f t="shared" ref="BN481:BN486" si="375">BM481</f>
        <v>11.914</v>
      </c>
      <c r="BO481" s="102"/>
      <c r="BP481" s="309">
        <f>'Bal Sheet'!BP101/1000</f>
        <v>12.215999999999999</v>
      </c>
      <c r="BQ481" s="309">
        <f>'Bal Sheet'!BQ101/1000</f>
        <v>14.396000000000001</v>
      </c>
      <c r="BR481" s="309">
        <f t="shared" ref="BR481:BR486" si="376">BQ481</f>
        <v>14.396000000000001</v>
      </c>
      <c r="BS481" s="102"/>
      <c r="BT481" s="309">
        <f>'Bal Sheet'!BT101/1000</f>
        <v>15.217000000000001</v>
      </c>
      <c r="BU481" s="309">
        <f>'Bal Sheet'!BU101/1000</f>
        <v>15.664</v>
      </c>
      <c r="BV481" s="309">
        <f>BU481</f>
        <v>15.664</v>
      </c>
      <c r="BW481" s="102"/>
      <c r="BX481" s="309">
        <f>'Bal Sheet'!BX101/1000</f>
        <v>15.462999999999999</v>
      </c>
      <c r="BY481" s="309">
        <f>'Bal Sheet'!BY101/1000</f>
        <v>17.27</v>
      </c>
      <c r="BZ481" s="309">
        <f>BY481</f>
        <v>17.27</v>
      </c>
      <c r="CA481" s="102"/>
      <c r="CB481" s="309">
        <f>'Bal Sheet'!CB101/1000</f>
        <v>17.099</v>
      </c>
      <c r="CC481" s="309">
        <f>'Bal Sheet'!CC101/1000</f>
        <v>18.18</v>
      </c>
      <c r="CD481" s="309">
        <f>CC481</f>
        <v>18.18</v>
      </c>
      <c r="CE481" s="102"/>
      <c r="CF481" s="309">
        <f>'Bal Sheet'!CF101/1000</f>
        <v>17.158999999999999</v>
      </c>
      <c r="CG481" s="309">
        <f>'Bal Sheet'!CG101/1000</f>
        <v>18.364000000000001</v>
      </c>
      <c r="CH481" s="309">
        <f>CG481</f>
        <v>18.364000000000001</v>
      </c>
      <c r="CI481" s="102"/>
      <c r="CJ481" s="309">
        <v>20.312000000000001</v>
      </c>
      <c r="CK481" s="309">
        <f>'Bal Sheet'!CK101/1000</f>
        <v>21.783999999999999</v>
      </c>
      <c r="CL481" s="309">
        <f>CK481</f>
        <v>21.783999999999999</v>
      </c>
      <c r="CM481" s="102"/>
      <c r="CN481" s="309">
        <f>'Bal Sheet'!CN101/1000</f>
        <v>20.789000000000001</v>
      </c>
      <c r="CO481" s="309">
        <f>'Bal Sheet'!CO101/1000</f>
        <v>22.350999999999999</v>
      </c>
      <c r="CP481" s="309">
        <f>CO481</f>
        <v>22.350999999999999</v>
      </c>
      <c r="CQ481" s="102"/>
      <c r="CR481" s="309">
        <f>'Bal Sheet'!CR101/1000</f>
        <v>24.414000000000001</v>
      </c>
      <c r="CS481" s="309">
        <f>'Bal Sheet'!CS101/1000</f>
        <v>28.806000000000001</v>
      </c>
      <c r="CT481" s="309">
        <f>CS481</f>
        <v>28.806000000000001</v>
      </c>
      <c r="CU481" s="102"/>
      <c r="CV481" s="309">
        <f>'Bal Sheet'!CV101/1000</f>
        <v>31.687000000000001</v>
      </c>
      <c r="CW481" s="1796">
        <f>'Bal Sheet'!CW101/1000</f>
        <v>34.106000000000002</v>
      </c>
      <c r="CX481" s="309">
        <f>CW481</f>
        <v>34.106000000000002</v>
      </c>
      <c r="CY481" s="102"/>
      <c r="CZ481" s="309">
        <f>'Bal Sheet'!CZ101/1000</f>
        <v>33.137999999999998</v>
      </c>
      <c r="DA481" s="2029">
        <f>'Bal Sheet'!DA101/1000</f>
        <v>33.996000000000002</v>
      </c>
      <c r="DB481" s="309">
        <f>DA481</f>
        <v>33.996000000000002</v>
      </c>
      <c r="DC481" s="102"/>
      <c r="DD481" s="309">
        <f>'Bal Sheet'!DD101/1000</f>
        <v>32.834000000000003</v>
      </c>
      <c r="DE481" s="2029">
        <f>'Bal Sheet'!DE101/1000</f>
        <v>35.789000000000001</v>
      </c>
      <c r="DF481" s="309">
        <f>DE481</f>
        <v>35.789000000000001</v>
      </c>
      <c r="DG481" s="102"/>
      <c r="DH481" s="309">
        <f>'Bal Sheet'!DH101/1000</f>
        <v>35.194000000000003</v>
      </c>
      <c r="DI481" s="309">
        <f ca="1">'Bal Sheet'!DI101/1000</f>
        <v>36.661200914198375</v>
      </c>
      <c r="DJ481" s="309">
        <f t="shared" ref="DJ481:DJ486" ca="1" si="377">DI481</f>
        <v>36.661200914198375</v>
      </c>
      <c r="DK481" s="102"/>
      <c r="DL481" s="309">
        <f ca="1">'Bal Sheet'!DL101/1000</f>
        <v>37.054003791897266</v>
      </c>
      <c r="DM481" s="309">
        <f ca="1">'Bal Sheet'!DM101/1000</f>
        <v>39.839085631694338</v>
      </c>
      <c r="DN481" s="309">
        <f t="shared" ref="DN481:DN486" ca="1" si="378">DM481</f>
        <v>39.839085631694338</v>
      </c>
      <c r="DO481" s="102"/>
      <c r="DP481" s="309">
        <f ca="1">'Bal Sheet'!DP101/1000</f>
        <v>40.333242684919931</v>
      </c>
      <c r="DQ481" s="309">
        <f ca="1">'Bal Sheet'!DQ101/1000</f>
        <v>43.317001979283233</v>
      </c>
      <c r="DR481" s="309">
        <f t="shared" ref="DR481:DR486" ca="1" si="379">DQ481</f>
        <v>43.317001979283233</v>
      </c>
      <c r="DS481" s="102"/>
      <c r="DT481" s="102"/>
      <c r="DU481" s="309"/>
      <c r="DV481" s="309"/>
      <c r="DW481" s="309"/>
      <c r="DX481" s="102"/>
    </row>
    <row r="482" spans="1:138">
      <c r="A482" s="102" t="s">
        <v>392</v>
      </c>
      <c r="C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  <c r="AA482" s="102"/>
      <c r="AB482" s="102"/>
      <c r="AC482" s="102"/>
      <c r="AD482" s="102"/>
      <c r="AE482" s="102"/>
      <c r="AF482" s="102"/>
      <c r="AG482" s="102"/>
      <c r="AH482" s="102"/>
      <c r="AI482" s="102"/>
      <c r="AJ482" s="102"/>
      <c r="AK482" s="796"/>
      <c r="AL482" s="309"/>
      <c r="AM482" s="102"/>
      <c r="AN482" s="796"/>
      <c r="AO482" s="796">
        <v>6.6</v>
      </c>
      <c r="AP482" s="309">
        <f t="shared" ref="AP482:AP485" si="380">AO482</f>
        <v>6.6</v>
      </c>
      <c r="AQ482" s="102"/>
      <c r="AR482" s="796">
        <v>16.7</v>
      </c>
      <c r="AS482" s="796">
        <v>13.4</v>
      </c>
      <c r="AT482" s="309">
        <f t="shared" ref="AT482:AT486" si="381">AS482</f>
        <v>13.4</v>
      </c>
      <c r="AU482" s="102"/>
      <c r="AV482" s="796">
        <v>13.9</v>
      </c>
      <c r="AW482" s="796">
        <v>15.5</v>
      </c>
      <c r="AX482" s="309">
        <f t="shared" ref="AX482:AX486" si="382">AW482</f>
        <v>15.5</v>
      </c>
      <c r="AY482" s="102"/>
      <c r="AZ482" s="796">
        <v>26.5</v>
      </c>
      <c r="BA482" s="796">
        <v>26.6</v>
      </c>
      <c r="BB482" s="309">
        <f t="shared" ref="BB482:BB486" si="383">BA482</f>
        <v>26.6</v>
      </c>
      <c r="BC482" s="102"/>
      <c r="BD482" s="796">
        <v>28.6</v>
      </c>
      <c r="BE482" s="796">
        <v>29</v>
      </c>
      <c r="BF482" s="309">
        <f t="shared" ref="BF482:BF486" si="384">BE482</f>
        <v>29</v>
      </c>
      <c r="BG482" s="102"/>
      <c r="BH482" s="796">
        <v>29</v>
      </c>
      <c r="BI482" s="796">
        <v>31</v>
      </c>
      <c r="BJ482" s="309">
        <f t="shared" si="374"/>
        <v>31</v>
      </c>
      <c r="BK482" s="102"/>
      <c r="BL482" s="796">
        <v>33.1</v>
      </c>
      <c r="BM482" s="796">
        <v>33.299999999999997</v>
      </c>
      <c r="BN482" s="309">
        <f t="shared" si="375"/>
        <v>33.299999999999997</v>
      </c>
      <c r="BO482" s="102"/>
      <c r="BP482" s="796">
        <v>35.299999999999997</v>
      </c>
      <c r="BQ482" s="796">
        <v>37.299999999999997</v>
      </c>
      <c r="BR482" s="309">
        <f t="shared" si="376"/>
        <v>37.299999999999997</v>
      </c>
      <c r="BS482" s="102"/>
      <c r="BT482" s="796">
        <v>42.8</v>
      </c>
      <c r="BU482" s="796">
        <v>43.6</v>
      </c>
      <c r="BV482" s="309">
        <f>BU482</f>
        <v>43.6</v>
      </c>
      <c r="BW482" s="102"/>
      <c r="BX482" s="796">
        <v>46.1</v>
      </c>
      <c r="BY482" s="796">
        <v>47.8</v>
      </c>
      <c r="BZ482" s="309">
        <f>BY482</f>
        <v>47.8</v>
      </c>
      <c r="CA482" s="102"/>
      <c r="CB482" s="796">
        <v>49.4</v>
      </c>
      <c r="CC482" s="796">
        <v>48.1</v>
      </c>
      <c r="CD482" s="309">
        <f>CC482</f>
        <v>48.1</v>
      </c>
      <c r="CE482" s="102"/>
      <c r="CF482" s="796">
        <v>52.3</v>
      </c>
      <c r="CG482" s="796">
        <v>56</v>
      </c>
      <c r="CH482" s="309">
        <f>CG482</f>
        <v>56</v>
      </c>
      <c r="CI482" s="102"/>
      <c r="CJ482" s="796">
        <v>58.8</v>
      </c>
      <c r="CK482" s="1460">
        <v>67.099999999999994</v>
      </c>
      <c r="CL482" s="1458">
        <f>CK482</f>
        <v>67.099999999999994</v>
      </c>
      <c r="CM482" s="1008"/>
      <c r="CN482" s="1460">
        <v>77.099999999999994</v>
      </c>
      <c r="CO482" s="1460">
        <v>84</v>
      </c>
      <c r="CP482" s="1458">
        <f>CO482</f>
        <v>84</v>
      </c>
      <c r="CQ482" s="1008"/>
      <c r="CR482" s="1461">
        <v>91.5</v>
      </c>
      <c r="CS482" s="1461">
        <v>101.5</v>
      </c>
      <c r="CT482" s="309">
        <f>CS482</f>
        <v>101.5</v>
      </c>
      <c r="CU482" s="102"/>
      <c r="CV482" s="1461">
        <v>122</v>
      </c>
      <c r="CW482" s="1830">
        <v>134.5</v>
      </c>
      <c r="CX482" s="309">
        <f>CW482</f>
        <v>134.5</v>
      </c>
      <c r="CY482" s="102"/>
      <c r="CZ482" s="1461">
        <v>135.80000000000001</v>
      </c>
      <c r="DA482" s="1461">
        <v>148.30000000000001</v>
      </c>
      <c r="DB482" s="309">
        <f>DA482</f>
        <v>148.30000000000001</v>
      </c>
      <c r="DC482" s="102"/>
      <c r="DD482" s="1461">
        <v>158.30000000000001</v>
      </c>
      <c r="DE482" s="2184">
        <v>177.7</v>
      </c>
      <c r="DF482" s="309">
        <f>DE482</f>
        <v>177.7</v>
      </c>
      <c r="DG482" s="102"/>
      <c r="DH482" s="1461">
        <v>198.8</v>
      </c>
      <c r="DI482" s="309">
        <f>DI498</f>
        <v>208.74</v>
      </c>
      <c r="DJ482" s="309">
        <f t="shared" si="377"/>
        <v>208.74</v>
      </c>
      <c r="DK482" s="102"/>
      <c r="DL482" s="309">
        <f>DL498</f>
        <v>219.17700000000002</v>
      </c>
      <c r="DM482" s="309">
        <f>DM498</f>
        <v>230.13585000000003</v>
      </c>
      <c r="DN482" s="309">
        <f t="shared" si="378"/>
        <v>230.13585000000003</v>
      </c>
      <c r="DO482" s="102"/>
      <c r="DP482" s="309">
        <f>DP498</f>
        <v>241.64264250000002</v>
      </c>
      <c r="DQ482" s="309">
        <f>DQ498</f>
        <v>253.72477462500007</v>
      </c>
      <c r="DR482" s="309">
        <f t="shared" si="379"/>
        <v>253.72477462500007</v>
      </c>
      <c r="DS482" s="102"/>
      <c r="DT482" s="102"/>
      <c r="DU482" s="309"/>
      <c r="DV482" s="309"/>
      <c r="DW482" s="309"/>
      <c r="DX482" s="102"/>
    </row>
    <row r="483" spans="1:138">
      <c r="A483" s="102" t="s">
        <v>393</v>
      </c>
      <c r="C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  <c r="AA483" s="102"/>
      <c r="AB483" s="102"/>
      <c r="AC483" s="102"/>
      <c r="AD483" s="102"/>
      <c r="AE483" s="102"/>
      <c r="AF483" s="102"/>
      <c r="AG483" s="102"/>
      <c r="AH483" s="102"/>
      <c r="AI483" s="102"/>
      <c r="AJ483" s="102"/>
      <c r="AK483" s="1830"/>
      <c r="AL483" s="309"/>
      <c r="AM483" s="102"/>
      <c r="AN483" s="796"/>
      <c r="AO483" s="1830">
        <v>6.6</v>
      </c>
      <c r="AP483" s="309">
        <f t="shared" si="380"/>
        <v>6.6</v>
      </c>
      <c r="AQ483" s="102"/>
      <c r="AR483" s="796">
        <v>0</v>
      </c>
      <c r="AS483" s="1830">
        <v>5.4</v>
      </c>
      <c r="AT483" s="309">
        <f t="shared" si="381"/>
        <v>5.4</v>
      </c>
      <c r="AU483" s="102"/>
      <c r="AV483" s="796">
        <v>3.1</v>
      </c>
      <c r="AW483" s="1830">
        <v>4.0999999999999996</v>
      </c>
      <c r="AX483" s="309">
        <f t="shared" si="382"/>
        <v>4.0999999999999996</v>
      </c>
      <c r="AY483" s="102"/>
      <c r="AZ483" s="796">
        <v>4.7</v>
      </c>
      <c r="BA483" s="1830">
        <v>2.9</v>
      </c>
      <c r="BB483" s="309">
        <f t="shared" si="383"/>
        <v>2.9</v>
      </c>
      <c r="BC483" s="102"/>
      <c r="BD483" s="796">
        <v>5.9</v>
      </c>
      <c r="BE483" s="1830">
        <v>4.9000000000000004</v>
      </c>
      <c r="BF483" s="309">
        <f t="shared" si="384"/>
        <v>4.9000000000000004</v>
      </c>
      <c r="BG483" s="102"/>
      <c r="BH483" s="796">
        <v>4.9000000000000004</v>
      </c>
      <c r="BI483" s="796">
        <v>5.2</v>
      </c>
      <c r="BJ483" s="309">
        <f t="shared" si="374"/>
        <v>5.2</v>
      </c>
      <c r="BK483" s="102"/>
      <c r="BL483" s="796">
        <v>4.9000000000000004</v>
      </c>
      <c r="BM483" s="796">
        <v>3.6</v>
      </c>
      <c r="BN483" s="309">
        <f t="shared" si="375"/>
        <v>3.6</v>
      </c>
      <c r="BO483" s="102"/>
      <c r="BP483" s="796">
        <v>3.5</v>
      </c>
      <c r="BQ483" s="796">
        <v>2.4</v>
      </c>
      <c r="BR483" s="309">
        <f t="shared" si="376"/>
        <v>2.4</v>
      </c>
      <c r="BS483" s="102"/>
      <c r="BT483" s="796">
        <v>0</v>
      </c>
      <c r="BU483" s="796">
        <v>0</v>
      </c>
      <c r="BV483" s="309">
        <f>BU483</f>
        <v>0</v>
      </c>
      <c r="BW483" s="102"/>
      <c r="BX483" s="796">
        <v>0</v>
      </c>
      <c r="BY483" s="796">
        <v>0</v>
      </c>
      <c r="BZ483" s="309">
        <f>BY483</f>
        <v>0</v>
      </c>
      <c r="CA483" s="102"/>
      <c r="CB483" s="796">
        <v>0</v>
      </c>
      <c r="CC483" s="796">
        <v>0</v>
      </c>
      <c r="CD483" s="309">
        <f>CC483</f>
        <v>0</v>
      </c>
      <c r="CE483" s="102"/>
      <c r="CF483" s="796">
        <v>0</v>
      </c>
      <c r="CG483" s="796">
        <v>0</v>
      </c>
      <c r="CH483" s="309">
        <f>CG483</f>
        <v>0</v>
      </c>
      <c r="CI483" s="102"/>
      <c r="CJ483" s="796">
        <v>0</v>
      </c>
      <c r="CK483" s="1460">
        <v>0</v>
      </c>
      <c r="CL483" s="1458">
        <f>CK483</f>
        <v>0</v>
      </c>
      <c r="CM483" s="1008"/>
      <c r="CN483" s="1460">
        <v>0</v>
      </c>
      <c r="CO483" s="1460">
        <v>0</v>
      </c>
      <c r="CP483" s="1458">
        <f>CO483</f>
        <v>0</v>
      </c>
      <c r="CQ483" s="1008"/>
      <c r="CR483" s="1461">
        <v>0</v>
      </c>
      <c r="CS483" s="1461">
        <v>0</v>
      </c>
      <c r="CT483" s="309">
        <f>CS483</f>
        <v>0</v>
      </c>
      <c r="CU483" s="102"/>
      <c r="CV483" s="1461">
        <v>0</v>
      </c>
      <c r="CW483" s="1830">
        <v>0</v>
      </c>
      <c r="CX483" s="309">
        <f>CW483</f>
        <v>0</v>
      </c>
      <c r="CY483" s="102"/>
      <c r="CZ483" s="1461">
        <v>0</v>
      </c>
      <c r="DA483" s="1461">
        <v>0</v>
      </c>
      <c r="DB483" s="309">
        <f>DA483</f>
        <v>0</v>
      </c>
      <c r="DC483" s="102"/>
      <c r="DD483" s="1461">
        <v>0</v>
      </c>
      <c r="DE483" s="1830">
        <v>0</v>
      </c>
      <c r="DF483" s="309">
        <f>DE483</f>
        <v>0</v>
      </c>
      <c r="DG483" s="102"/>
      <c r="DH483" s="1461">
        <v>0</v>
      </c>
      <c r="DI483" s="309">
        <f>DI499</f>
        <v>0</v>
      </c>
      <c r="DJ483" s="309">
        <f t="shared" si="377"/>
        <v>0</v>
      </c>
      <c r="DK483" s="102"/>
      <c r="DL483" s="309">
        <f>DL499</f>
        <v>0</v>
      </c>
      <c r="DM483" s="309">
        <f>DM499</f>
        <v>0</v>
      </c>
      <c r="DN483" s="309">
        <f t="shared" si="378"/>
        <v>0</v>
      </c>
      <c r="DO483" s="102"/>
      <c r="DP483" s="309">
        <f>DP499</f>
        <v>0</v>
      </c>
      <c r="DQ483" s="309">
        <f>DQ499</f>
        <v>0</v>
      </c>
      <c r="DR483" s="309">
        <f t="shared" si="379"/>
        <v>0</v>
      </c>
      <c r="DS483" s="102"/>
      <c r="DT483" s="102"/>
      <c r="DU483" s="309"/>
      <c r="DV483" s="309"/>
      <c r="DW483" s="309"/>
      <c r="DX483" s="102"/>
    </row>
    <row r="484" spans="1:138">
      <c r="A484" s="102" t="s">
        <v>250</v>
      </c>
      <c r="C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  <c r="AA484" s="102"/>
      <c r="AB484" s="102"/>
      <c r="AC484" s="102"/>
      <c r="AD484" s="102"/>
      <c r="AE484" s="102"/>
      <c r="AF484" s="102"/>
      <c r="AG484" s="102"/>
      <c r="AH484" s="102"/>
      <c r="AI484" s="102"/>
      <c r="AJ484" s="102"/>
      <c r="AK484" s="309"/>
      <c r="AL484" s="309"/>
      <c r="AM484" s="102"/>
      <c r="AN484" s="309"/>
      <c r="AO484" s="309">
        <f>'Bal Sheet'!AO68/1000</f>
        <v>2.35</v>
      </c>
      <c r="AP484" s="309">
        <f t="shared" si="380"/>
        <v>2.35</v>
      </c>
      <c r="AQ484" s="102"/>
      <c r="AR484" s="309">
        <f>'Bal Sheet'!AR68/1000</f>
        <v>2.6509999999999998</v>
      </c>
      <c r="AS484" s="309">
        <f>'Bal Sheet'!AS68/1000</f>
        <v>2.5379999999999998</v>
      </c>
      <c r="AT484" s="309">
        <f t="shared" si="381"/>
        <v>2.5379999999999998</v>
      </c>
      <c r="AU484" s="102"/>
      <c r="AV484" s="309">
        <f>'Bal Sheet'!AV68/1000</f>
        <v>2.1240000000000001</v>
      </c>
      <c r="AW484" s="309">
        <f>'Bal Sheet'!AW68/1000</f>
        <v>2.008</v>
      </c>
      <c r="AX484" s="309">
        <f t="shared" si="382"/>
        <v>2.008</v>
      </c>
      <c r="AY484" s="102"/>
      <c r="AZ484" s="309">
        <f>'Bal Sheet'!AZ68/1000</f>
        <v>2.5630000000000002</v>
      </c>
      <c r="BA484" s="309">
        <f>'Bal Sheet'!BA68/1000</f>
        <v>2.8940000000000001</v>
      </c>
      <c r="BB484" s="309">
        <f t="shared" si="383"/>
        <v>2.8940000000000001</v>
      </c>
      <c r="BC484" s="102"/>
      <c r="BD484" s="309">
        <f>'Bal Sheet'!BD68/1000</f>
        <v>3.6219999999999999</v>
      </c>
      <c r="BE484" s="309">
        <f>'Bal Sheet'!BE68/1000</f>
        <v>3.343</v>
      </c>
      <c r="BF484" s="309">
        <f t="shared" si="384"/>
        <v>3.343</v>
      </c>
      <c r="BG484" s="102"/>
      <c r="BH484" s="309">
        <f>'Bal Sheet'!BH68/1000</f>
        <v>2.9929999999999999</v>
      </c>
      <c r="BI484" s="309">
        <f>'Bal Sheet'!BI68/1000</f>
        <v>3.22</v>
      </c>
      <c r="BJ484" s="309">
        <f t="shared" si="374"/>
        <v>3.22</v>
      </c>
      <c r="BK484" s="102"/>
      <c r="BL484" s="309">
        <f>'Bal Sheet'!BL68/1000</f>
        <v>3.4380000000000002</v>
      </c>
      <c r="BM484" s="309">
        <f>'Bal Sheet'!BM68/1000</f>
        <v>3.5070000000000001</v>
      </c>
      <c r="BN484" s="309">
        <f t="shared" si="375"/>
        <v>3.5070000000000001</v>
      </c>
      <c r="BO484" s="102"/>
      <c r="BP484" s="309">
        <f>'Bal Sheet'!BP68/1000</f>
        <v>3.6040000000000001</v>
      </c>
      <c r="BQ484" s="309">
        <f>'Bal Sheet'!BQ68/1000</f>
        <v>4.3840000000000003</v>
      </c>
      <c r="BR484" s="309">
        <f t="shared" si="376"/>
        <v>4.3840000000000003</v>
      </c>
      <c r="BS484" s="102"/>
      <c r="BT484" s="309">
        <f>'Bal Sheet'!BT68/1000</f>
        <v>5.782</v>
      </c>
      <c r="BU484" s="309">
        <f>'Bal Sheet'!BU68/1000</f>
        <v>5.2089999999999996</v>
      </c>
      <c r="BV484" s="309">
        <f>BU484</f>
        <v>5.2089999999999996</v>
      </c>
      <c r="BW484" s="102"/>
      <c r="BX484" s="309">
        <f>'Bal Sheet'!BX68/1000</f>
        <v>4.9420000000000002</v>
      </c>
      <c r="BY484" s="309">
        <f>'Bal Sheet'!BY68/1000</f>
        <v>5.7480000000000002</v>
      </c>
      <c r="BZ484" s="309">
        <f>BY484</f>
        <v>5.7480000000000002</v>
      </c>
      <c r="CA484" s="102"/>
      <c r="CB484" s="309">
        <f>'Bal Sheet'!CB68/1000</f>
        <v>5.38</v>
      </c>
      <c r="CC484" s="309">
        <f>'Bal Sheet'!CC68/1000</f>
        <v>5.3920000000000003</v>
      </c>
      <c r="CD484" s="309">
        <f>CC484</f>
        <v>5.3920000000000003</v>
      </c>
      <c r="CE484" s="102"/>
      <c r="CF484" s="309">
        <f>'Bal Sheet'!CF68/1000</f>
        <v>5.883</v>
      </c>
      <c r="CG484" s="309">
        <f>'Bal Sheet'!CG68/1000</f>
        <v>6.9630000000000001</v>
      </c>
      <c r="CH484" s="309">
        <f>CG484</f>
        <v>6.9630000000000001</v>
      </c>
      <c r="CI484" s="102"/>
      <c r="CJ484" s="309">
        <f>'Bal Sheet'!CJ68/1000</f>
        <v>7.2460000000000004</v>
      </c>
      <c r="CK484" s="309">
        <f>'Bal Sheet'!CK68/1000</f>
        <v>7.4139999999999997</v>
      </c>
      <c r="CL484" s="309">
        <f t="shared" ref="CL484" si="385">CK484</f>
        <v>7.4139999999999997</v>
      </c>
      <c r="CM484" s="102"/>
      <c r="CN484" s="309">
        <f>'Bal Sheet'!CN68/1000</f>
        <v>8.4109999999999996</v>
      </c>
      <c r="CO484" s="309">
        <f>'Bal Sheet'!CO68/1000</f>
        <v>9.423</v>
      </c>
      <c r="CP484" s="309">
        <f t="shared" ref="CP484" si="386">CO484</f>
        <v>9.423</v>
      </c>
      <c r="CQ484" s="102"/>
      <c r="CR484" s="309">
        <f>'Bal Sheet'!CR68/1000</f>
        <v>9.9610000000000003</v>
      </c>
      <c r="CS484" s="309">
        <f>'Bal Sheet'!CS68/1000</f>
        <v>9.5129999999999999</v>
      </c>
      <c r="CT484" s="309">
        <f t="shared" ref="CT484" si="387">CS484</f>
        <v>9.5129999999999999</v>
      </c>
      <c r="CU484" s="102"/>
      <c r="CV484" s="309">
        <f>'Bal Sheet'!CV68/1000</f>
        <v>11.457000000000001</v>
      </c>
      <c r="CW484" s="1796">
        <f>'Bal Sheet'!CW68/1000</f>
        <v>12.891</v>
      </c>
      <c r="CX484" s="309">
        <f t="shared" ref="CX484" si="388">CW484</f>
        <v>12.891</v>
      </c>
      <c r="CY484" s="102"/>
      <c r="CZ484" s="309">
        <f>'Bal Sheet'!CZ68/1000</f>
        <v>12.833</v>
      </c>
      <c r="DA484" s="2029">
        <f>'Bal Sheet'!DA68/1000</f>
        <v>14.201000000000001</v>
      </c>
      <c r="DB484" s="309">
        <f t="shared" ref="DB484:DB485" si="389">DA484</f>
        <v>14.201000000000001</v>
      </c>
      <c r="DC484" s="102"/>
      <c r="DD484" s="309">
        <f>'Bal Sheet'!DD68/1000</f>
        <v>16.271000000000001</v>
      </c>
      <c r="DE484" s="2029">
        <f>'Bal Sheet'!DE68/1000</f>
        <v>16.401</v>
      </c>
      <c r="DF484" s="309">
        <f t="shared" ref="DF484:DF485" si="390">DE484</f>
        <v>16.401</v>
      </c>
      <c r="DG484" s="102"/>
      <c r="DH484" s="309">
        <f>'Bal Sheet'!DH68/1000</f>
        <v>17.045999999999999</v>
      </c>
      <c r="DI484" s="309">
        <f>'Bal Sheet'!DI68/1000</f>
        <v>17.557380000000002</v>
      </c>
      <c r="DJ484" s="309">
        <f t="shared" si="377"/>
        <v>17.557380000000002</v>
      </c>
      <c r="DK484" s="102"/>
      <c r="DL484" s="309">
        <f>'Bal Sheet'!DL68/1000</f>
        <v>18.084101400000002</v>
      </c>
      <c r="DM484" s="309">
        <f>'Bal Sheet'!DM68/1000</f>
        <v>18.626624442000004</v>
      </c>
      <c r="DN484" s="309">
        <f t="shared" si="378"/>
        <v>18.626624442000004</v>
      </c>
      <c r="DO484" s="102"/>
      <c r="DP484" s="309">
        <f>'Bal Sheet'!DP68/1000</f>
        <v>19.185423175260006</v>
      </c>
      <c r="DQ484" s="309">
        <f>'Bal Sheet'!DQ68/1000</f>
        <v>19.760985870517807</v>
      </c>
      <c r="DR484" s="309">
        <f t="shared" si="379"/>
        <v>19.760985870517807</v>
      </c>
      <c r="DS484" s="102"/>
      <c r="DT484" s="102"/>
      <c r="DU484" s="309"/>
      <c r="DV484" s="309"/>
      <c r="DW484" s="309"/>
      <c r="DX484" s="102"/>
    </row>
    <row r="485" spans="1:138">
      <c r="A485" s="102" t="s">
        <v>394</v>
      </c>
      <c r="C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  <c r="AA485" s="102"/>
      <c r="AB485" s="102"/>
      <c r="AC485" s="102"/>
      <c r="AD485" s="102"/>
      <c r="AE485" s="102"/>
      <c r="AF485" s="102"/>
      <c r="AG485" s="102"/>
      <c r="AH485" s="102"/>
      <c r="AI485" s="102"/>
      <c r="AJ485" s="102"/>
      <c r="AK485" s="309"/>
      <c r="AL485" s="309"/>
      <c r="AM485" s="102"/>
      <c r="AN485" s="309"/>
      <c r="AO485" s="309">
        <f t="shared" ref="AO485" si="391">+AO486-AO481-AO482-AO483-AO484</f>
        <v>48.088999999999999</v>
      </c>
      <c r="AP485" s="309">
        <f t="shared" si="380"/>
        <v>48.088999999999999</v>
      </c>
      <c r="AQ485" s="102"/>
      <c r="AR485" s="309">
        <f>+AR486-AR481-AR482-AR483-AR484</f>
        <v>41.968000000000004</v>
      </c>
      <c r="AS485" s="309">
        <f t="shared" ref="AS485" si="392">+AS486-AS481-AS482-AS483-AS484</f>
        <v>43.701999999999998</v>
      </c>
      <c r="AT485" s="309">
        <f t="shared" si="381"/>
        <v>43.701999999999998</v>
      </c>
      <c r="AU485" s="102"/>
      <c r="AV485" s="309">
        <f>+AV486-AV481-AV482-AV483-AV484</f>
        <v>41.255999999999993</v>
      </c>
      <c r="AW485" s="309">
        <f t="shared" ref="AW485" si="393">+AW486-AW481-AW482-AW483-AW484</f>
        <v>41.523000000000003</v>
      </c>
      <c r="AX485" s="309">
        <f t="shared" si="382"/>
        <v>41.523000000000003</v>
      </c>
      <c r="AY485" s="102"/>
      <c r="AZ485" s="309">
        <f>+AZ486-AZ481-AZ482-AZ483-AZ484</f>
        <v>39.643999999999991</v>
      </c>
      <c r="BA485" s="309">
        <f t="shared" ref="BA485" si="394">+BA486-BA481-BA482-BA483-BA484</f>
        <v>43.273999999999994</v>
      </c>
      <c r="BB485" s="309">
        <f t="shared" si="383"/>
        <v>43.273999999999994</v>
      </c>
      <c r="BC485" s="102"/>
      <c r="BD485" s="309">
        <f>+BD486-BD481-BD482-BD483-BD484</f>
        <v>41.713999999999999</v>
      </c>
      <c r="BE485" s="309">
        <f t="shared" ref="BE485" si="395">+BE486-BE481-BE482-BE483-BE484</f>
        <v>37.225000000000009</v>
      </c>
      <c r="BF485" s="309">
        <f t="shared" si="384"/>
        <v>37.225000000000009</v>
      </c>
      <c r="BG485" s="102"/>
      <c r="BH485" s="309">
        <f>+BH486-BH481-BH482-BH483-BH484</f>
        <v>40.003</v>
      </c>
      <c r="BI485" s="309">
        <f>+BI486-BI481-BI482-BI483-BI484</f>
        <v>36.224999999999994</v>
      </c>
      <c r="BJ485" s="309">
        <f t="shared" si="374"/>
        <v>36.224999999999994</v>
      </c>
      <c r="BK485" s="102"/>
      <c r="BL485" s="309">
        <f>+BL486-BL481-BL482-BL483-BL484</f>
        <v>39.643000000000001</v>
      </c>
      <c r="BM485" s="309">
        <f>+BM486-BM481-BM482-BM483-BM484</f>
        <v>40.278999999999996</v>
      </c>
      <c r="BN485" s="309">
        <f t="shared" si="375"/>
        <v>40.278999999999996</v>
      </c>
      <c r="BO485" s="102"/>
      <c r="BP485" s="309">
        <f>+BP486-BP481-BP482-BP483-BP484</f>
        <v>43.280000000000015</v>
      </c>
      <c r="BQ485" s="309">
        <f>+BQ486-BQ481-BQ482-BQ483-BQ484</f>
        <v>54.32</v>
      </c>
      <c r="BR485" s="309">
        <f t="shared" si="376"/>
        <v>54.32</v>
      </c>
      <c r="BS485" s="102"/>
      <c r="BT485" s="309">
        <f>+BT486-BT481-BT482-BT483-BT484</f>
        <v>59.90100000000001</v>
      </c>
      <c r="BU485" s="309">
        <f>+BU486-BU481-BU482-BU483-BU484</f>
        <v>66.526999999999987</v>
      </c>
      <c r="BV485" s="309">
        <f>BU485</f>
        <v>66.526999999999987</v>
      </c>
      <c r="BW485" s="102"/>
      <c r="BX485" s="309">
        <f>+BX486-BX481-BX482-BX483-BX484</f>
        <v>55.795000000000002</v>
      </c>
      <c r="BY485" s="309">
        <f>+BY486-BY481-BY482-BY483-BY484</f>
        <v>49.982000000000006</v>
      </c>
      <c r="BZ485" s="309">
        <f>BY485</f>
        <v>49.982000000000006</v>
      </c>
      <c r="CA485" s="102"/>
      <c r="CB485" s="309">
        <f>+CB486-CB481-CB482-CB483-CB484</f>
        <v>52.021000000000001</v>
      </c>
      <c r="CC485" s="309">
        <f>+CC486-CC481-CC482-CC483-CC484</f>
        <v>57.128</v>
      </c>
      <c r="CD485" s="309">
        <f>CC485</f>
        <v>57.128</v>
      </c>
      <c r="CE485" s="102"/>
      <c r="CF485" s="309">
        <f>+CF486-CF481-CF482-CF483-CF484</f>
        <v>59.058000000000014</v>
      </c>
      <c r="CG485" s="309">
        <f>+CG486-CG481-CG482-CG483-CG484</f>
        <v>59.172999999999995</v>
      </c>
      <c r="CH485" s="309">
        <f>CG485</f>
        <v>59.172999999999995</v>
      </c>
      <c r="CI485" s="102"/>
      <c r="CJ485" s="309">
        <f t="shared" ref="CJ485:CK485" si="396">+CJ486-CJ481-CJ482-CJ483-CJ484</f>
        <v>60.042000000000009</v>
      </c>
      <c r="CK485" s="309">
        <f t="shared" si="396"/>
        <v>65.302000000000007</v>
      </c>
      <c r="CL485" s="309">
        <f t="shared" ref="CL485" si="397">CK485</f>
        <v>65.302000000000007</v>
      </c>
      <c r="CM485" s="102"/>
      <c r="CN485" s="309">
        <f t="shared" ref="CN485:CO485" si="398">+CN486-CN481-CN482-CN483-CN484</f>
        <v>66.200000000000017</v>
      </c>
      <c r="CO485" s="309">
        <f t="shared" si="398"/>
        <v>70.626000000000005</v>
      </c>
      <c r="CP485" s="309">
        <f t="shared" ref="CP485" si="399">CO485</f>
        <v>70.626000000000005</v>
      </c>
      <c r="CQ485" s="102"/>
      <c r="CR485" s="309">
        <f t="shared" ref="CR485:CS485" si="400">+CR486-CR481-CR482-CR483-CR484</f>
        <v>99.024999999999991</v>
      </c>
      <c r="CS485" s="309">
        <f t="shared" si="400"/>
        <v>126.08099999999996</v>
      </c>
      <c r="CT485" s="309">
        <f t="shared" ref="CT485" si="401">CS485</f>
        <v>126.08099999999996</v>
      </c>
      <c r="CU485" s="102"/>
      <c r="CV485" s="309">
        <f t="shared" ref="CV485:CW485" si="402">+CV486-CV481-CV482-CV483-CV484</f>
        <v>141.35599999999999</v>
      </c>
      <c r="CW485" s="1796">
        <f t="shared" si="402"/>
        <v>127.503</v>
      </c>
      <c r="CX485" s="309">
        <f t="shared" ref="CX485" si="403">CW485</f>
        <v>127.503</v>
      </c>
      <c r="CY485" s="102"/>
      <c r="CZ485" s="309">
        <f t="shared" ref="CZ485:DA485" si="404">+CZ486-CZ481-CZ482-CZ483-CZ484</f>
        <v>135.22900000000001</v>
      </c>
      <c r="DA485" s="1796">
        <f t="shared" si="404"/>
        <v>133.60300000000004</v>
      </c>
      <c r="DB485" s="309">
        <f t="shared" si="389"/>
        <v>133.60300000000004</v>
      </c>
      <c r="DC485" s="102"/>
      <c r="DD485" s="309">
        <f t="shared" ref="DD485:DE485" si="405">+DD486-DD481-DD482-DD483-DD484</f>
        <v>133.39499999999998</v>
      </c>
      <c r="DE485" s="1796">
        <f t="shared" si="405"/>
        <v>138.21000000000004</v>
      </c>
      <c r="DF485" s="309">
        <f t="shared" si="390"/>
        <v>138.21000000000004</v>
      </c>
      <c r="DG485" s="102"/>
      <c r="DH485" s="309">
        <f t="shared" ref="DH485" si="406">+DH486-DH481-DH482-DH483-DH484</f>
        <v>150.26</v>
      </c>
      <c r="DI485" s="309">
        <f ca="1">+DI486-DI481-DI482-DI483-DI484</f>
        <v>167.42097886156628</v>
      </c>
      <c r="DJ485" s="309">
        <f t="shared" ca="1" si="377"/>
        <v>167.42097886156628</v>
      </c>
      <c r="DK485" s="102"/>
      <c r="DL485" s="309">
        <f ca="1">+DL486-DL481-DL482-DL483-DL484</f>
        <v>178.37244245391736</v>
      </c>
      <c r="DM485" s="309">
        <f ca="1">+DM486-DM481-DM482-DM483-DM484</f>
        <v>182.91535089416635</v>
      </c>
      <c r="DN485" s="309">
        <f t="shared" ca="1" si="378"/>
        <v>182.91535089416635</v>
      </c>
      <c r="DO485" s="102"/>
      <c r="DP485" s="309">
        <f ca="1">+DP486-DP481-DP482-DP483-DP484</f>
        <v>190.07386933435319</v>
      </c>
      <c r="DQ485" s="309">
        <f ca="1">+DQ486-DQ481-DQ482-DQ483-DQ484</f>
        <v>195.08579818242043</v>
      </c>
      <c r="DR485" s="309">
        <f t="shared" ca="1" si="379"/>
        <v>195.08579818242043</v>
      </c>
      <c r="DS485" s="102"/>
      <c r="DT485" s="102"/>
      <c r="DU485" s="309"/>
      <c r="DV485" s="309"/>
      <c r="DW485" s="309"/>
      <c r="DX485" s="102"/>
    </row>
    <row r="486" spans="1:138" s="289" customFormat="1">
      <c r="A486" s="289" t="s">
        <v>395</v>
      </c>
      <c r="AK486" s="674"/>
      <c r="AL486" s="290"/>
      <c r="AN486" s="674"/>
      <c r="AO486" s="674">
        <v>73.7</v>
      </c>
      <c r="AP486" s="290">
        <f t="shared" ref="AP486" si="407">AO486</f>
        <v>73.7</v>
      </c>
      <c r="AR486" s="674">
        <v>71.599999999999994</v>
      </c>
      <c r="AS486" s="674">
        <v>74.599999999999994</v>
      </c>
      <c r="AT486" s="290">
        <f t="shared" si="381"/>
        <v>74.599999999999994</v>
      </c>
      <c r="AV486" s="674">
        <v>71.599999999999994</v>
      </c>
      <c r="AW486" s="674">
        <v>74.900000000000006</v>
      </c>
      <c r="AX486" s="290">
        <f t="shared" si="382"/>
        <v>74.900000000000006</v>
      </c>
      <c r="AZ486" s="674">
        <v>85</v>
      </c>
      <c r="BA486" s="674">
        <v>87.6</v>
      </c>
      <c r="BB486" s="290">
        <f t="shared" si="383"/>
        <v>87.6</v>
      </c>
      <c r="BD486" s="674">
        <v>91.6</v>
      </c>
      <c r="BE486" s="674">
        <v>86.2</v>
      </c>
      <c r="BF486" s="290">
        <f t="shared" si="384"/>
        <v>86.2</v>
      </c>
      <c r="BH486" s="674">
        <v>88.4</v>
      </c>
      <c r="BI486" s="674">
        <v>87.6</v>
      </c>
      <c r="BJ486" s="290">
        <f t="shared" si="374"/>
        <v>87.6</v>
      </c>
      <c r="BL486" s="716">
        <v>93.8</v>
      </c>
      <c r="BM486" s="674">
        <v>92.6</v>
      </c>
      <c r="BN486" s="290">
        <f t="shared" si="375"/>
        <v>92.6</v>
      </c>
      <c r="BO486" s="797"/>
      <c r="BP486" s="716">
        <v>97.9</v>
      </c>
      <c r="BQ486" s="716">
        <v>112.8</v>
      </c>
      <c r="BR486" s="290">
        <f t="shared" si="376"/>
        <v>112.8</v>
      </c>
      <c r="BS486" s="797"/>
      <c r="BT486" s="798">
        <f>BT456</f>
        <v>123.7</v>
      </c>
      <c r="BU486" s="798">
        <f>BU456</f>
        <v>131</v>
      </c>
      <c r="BV486" s="798">
        <f>BV456</f>
        <v>131</v>
      </c>
      <c r="BX486" s="798">
        <f>BX456</f>
        <v>122.3</v>
      </c>
      <c r="BY486" s="798">
        <f>BY456</f>
        <v>120.8</v>
      </c>
      <c r="BZ486" s="798">
        <f>BZ456</f>
        <v>120.8</v>
      </c>
      <c r="CB486" s="798">
        <f>CB456</f>
        <v>123.9</v>
      </c>
      <c r="CC486" s="798">
        <f>CC456</f>
        <v>128.80000000000001</v>
      </c>
      <c r="CD486" s="798">
        <f>CD456</f>
        <v>128.80000000000001</v>
      </c>
      <c r="CF486" s="798">
        <f>CF456</f>
        <v>134.4</v>
      </c>
      <c r="CG486" s="798">
        <f>CG456</f>
        <v>140.5</v>
      </c>
      <c r="CH486" s="798">
        <f>CH456</f>
        <v>140.5</v>
      </c>
      <c r="CJ486" s="798">
        <f t="shared" ref="CJ486:CL486" si="408">CJ456</f>
        <v>146.4</v>
      </c>
      <c r="CK486" s="798">
        <f t="shared" si="408"/>
        <v>161.6</v>
      </c>
      <c r="CL486" s="798">
        <f t="shared" si="408"/>
        <v>161.6</v>
      </c>
      <c r="CN486" s="798">
        <f t="shared" ref="CN486:CP486" si="409">CN456</f>
        <v>172.5</v>
      </c>
      <c r="CO486" s="798">
        <f t="shared" si="409"/>
        <v>186.4</v>
      </c>
      <c r="CP486" s="798">
        <f t="shared" si="409"/>
        <v>186.4</v>
      </c>
      <c r="CR486" s="798">
        <f t="shared" ref="CR486:CT486" si="410">CR456</f>
        <v>224.9</v>
      </c>
      <c r="CS486" s="798">
        <f t="shared" si="410"/>
        <v>265.89999999999998</v>
      </c>
      <c r="CT486" s="798">
        <f t="shared" si="410"/>
        <v>265.89999999999998</v>
      </c>
      <c r="CV486" s="798">
        <f t="shared" ref="CV486:CX486" si="411">CV456</f>
        <v>306.5</v>
      </c>
      <c r="CW486" s="1821">
        <f t="shared" si="411"/>
        <v>309</v>
      </c>
      <c r="CX486" s="798">
        <f t="shared" si="411"/>
        <v>309</v>
      </c>
      <c r="CZ486" s="798">
        <f t="shared" ref="CZ486:DB486" si="412">CZ456</f>
        <v>317</v>
      </c>
      <c r="DA486" s="1821">
        <f t="shared" si="412"/>
        <v>330.1</v>
      </c>
      <c r="DB486" s="798">
        <f t="shared" si="412"/>
        <v>330.1</v>
      </c>
      <c r="DD486" s="798">
        <f t="shared" ref="DD486:DF486" si="413">DD456</f>
        <v>340.8</v>
      </c>
      <c r="DE486" s="1821">
        <f t="shared" si="413"/>
        <v>368.1</v>
      </c>
      <c r="DF486" s="798">
        <f t="shared" si="413"/>
        <v>368.1</v>
      </c>
      <c r="DH486" s="798">
        <f t="shared" ref="DH486" si="414">DH456</f>
        <v>401.3</v>
      </c>
      <c r="DI486" s="715">
        <f>DI456</f>
        <v>430.37955977576468</v>
      </c>
      <c r="DJ486" s="715">
        <f t="shared" si="377"/>
        <v>430.37955977576468</v>
      </c>
      <c r="DL486" s="715">
        <f>DL456</f>
        <v>452.68754764581467</v>
      </c>
      <c r="DM486" s="715">
        <f>DM456</f>
        <v>471.51691096786072</v>
      </c>
      <c r="DN486" s="715">
        <f t="shared" si="378"/>
        <v>471.51691096786072</v>
      </c>
      <c r="DP486" s="715">
        <f>DP456</f>
        <v>491.23517769453315</v>
      </c>
      <c r="DQ486" s="715">
        <f>DQ456</f>
        <v>511.88856065722155</v>
      </c>
      <c r="DR486" s="715">
        <f t="shared" si="379"/>
        <v>511.88856065722155</v>
      </c>
      <c r="DU486" s="715"/>
      <c r="DV486" s="715"/>
      <c r="DW486" s="715"/>
      <c r="EH486"/>
    </row>
    <row r="487" spans="1:138">
      <c r="C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  <c r="AA487" s="102"/>
      <c r="AB487" s="102"/>
      <c r="AC487" s="102"/>
      <c r="AD487" s="102"/>
      <c r="AE487" s="102"/>
      <c r="AF487" s="102"/>
      <c r="AG487" s="102"/>
      <c r="AH487" s="102"/>
      <c r="AI487" s="102"/>
      <c r="AJ487" s="102"/>
      <c r="AK487" s="102"/>
      <c r="AL487" s="102"/>
      <c r="AM487" s="102"/>
      <c r="AN487" s="102"/>
      <c r="AO487" s="102"/>
      <c r="AP487" s="102"/>
      <c r="AQ487" s="102"/>
      <c r="AR487" s="102"/>
      <c r="AS487" s="102"/>
      <c r="AT487" s="102"/>
      <c r="AU487" s="102"/>
      <c r="AV487" s="102"/>
      <c r="AW487" s="102"/>
      <c r="AX487" s="102"/>
      <c r="AY487" s="102"/>
      <c r="AZ487" s="102"/>
      <c r="BA487" s="102"/>
      <c r="BB487" s="102"/>
      <c r="BC487" s="102"/>
      <c r="BD487" s="102"/>
      <c r="BE487" s="102"/>
      <c r="BF487" s="102"/>
      <c r="BG487" s="102"/>
      <c r="BH487" s="102"/>
      <c r="BI487" s="102"/>
      <c r="BJ487" s="102"/>
      <c r="BK487" s="102"/>
      <c r="BL487" s="102"/>
      <c r="BM487" s="102"/>
      <c r="BN487" s="102"/>
      <c r="BO487" s="102"/>
      <c r="BP487" s="102"/>
      <c r="BQ487" s="102"/>
      <c r="BR487" s="102"/>
      <c r="BS487" s="102"/>
      <c r="BT487" s="102"/>
      <c r="BU487" s="102"/>
      <c r="BV487" s="102"/>
      <c r="BW487" s="102"/>
      <c r="BX487" s="102"/>
      <c r="BY487" s="102"/>
      <c r="BZ487" s="102"/>
      <c r="CA487" s="102"/>
      <c r="CB487" s="102"/>
      <c r="CC487" s="102"/>
      <c r="CD487" s="102"/>
      <c r="CE487" s="102"/>
      <c r="CF487" s="102"/>
      <c r="CG487" s="102"/>
      <c r="CH487" s="102"/>
      <c r="CI487" s="102"/>
      <c r="CJ487" s="102"/>
      <c r="CK487" s="102"/>
      <c r="CL487" s="102"/>
      <c r="CM487" s="102"/>
      <c r="CN487" s="102"/>
      <c r="CO487" s="102"/>
      <c r="CP487" s="102"/>
      <c r="CQ487" s="102"/>
      <c r="CR487" s="102"/>
      <c r="CS487" s="102"/>
      <c r="CT487" s="102"/>
      <c r="CU487" s="102"/>
      <c r="CV487" s="102"/>
      <c r="CW487" s="1407"/>
      <c r="CX487" s="102"/>
      <c r="CY487" s="102"/>
      <c r="CZ487" s="102"/>
      <c r="DA487" s="1407"/>
      <c r="DB487" s="102"/>
      <c r="DC487" s="102"/>
      <c r="DD487" s="102"/>
      <c r="DE487" s="1407"/>
      <c r="DF487" s="102"/>
      <c r="DG487" s="102"/>
      <c r="DH487" s="102"/>
      <c r="DI487" s="102"/>
      <c r="DJ487" s="102"/>
      <c r="DK487" s="102"/>
      <c r="DL487" s="102"/>
      <c r="DM487" s="102"/>
      <c r="DN487" s="102"/>
      <c r="DO487" s="102"/>
      <c r="DP487" s="102"/>
      <c r="DQ487" s="102"/>
      <c r="DR487" s="102"/>
      <c r="DS487" s="102"/>
      <c r="DT487" s="102"/>
      <c r="DU487" s="102"/>
      <c r="DV487" s="102"/>
      <c r="DW487" s="102"/>
      <c r="DX487" s="102"/>
    </row>
    <row r="488" spans="1:138" s="323" customFormat="1">
      <c r="A488" s="323" t="s">
        <v>547</v>
      </c>
      <c r="BH488" s="324">
        <f>+BH481/BH$486</f>
        <v>0.13013574660633484</v>
      </c>
      <c r="BI488" s="324">
        <f>+BI481/BI$486</f>
        <v>0.13647260273972603</v>
      </c>
      <c r="BJ488" s="324">
        <f>+BJ481/BJ$486</f>
        <v>0.13647260273972603</v>
      </c>
      <c r="BL488" s="324">
        <f>+BL481/BL$486</f>
        <v>0.13559701492537313</v>
      </c>
      <c r="BM488" s="324">
        <f>+BM481/BM$486</f>
        <v>0.12866090712742981</v>
      </c>
      <c r="BN488" s="324">
        <f>+BN481/BN$486</f>
        <v>0.12866090712742981</v>
      </c>
      <c r="BP488" s="324">
        <f>+BP481/BP$486</f>
        <v>0.12478038815117465</v>
      </c>
      <c r="BQ488" s="324">
        <f>+BQ481/BQ$486</f>
        <v>0.12762411347517733</v>
      </c>
      <c r="BR488" s="324">
        <f>+BR481/BR$486</f>
        <v>0.12762411347517733</v>
      </c>
      <c r="BT488" s="324">
        <f>+BT481/BT$486</f>
        <v>0.12301535974130962</v>
      </c>
      <c r="BU488" s="324">
        <f>+BU481/BU$486</f>
        <v>0.11957251908396946</v>
      </c>
      <c r="BV488" s="324">
        <f>+BV481/BV$486</f>
        <v>0.11957251908396946</v>
      </c>
      <c r="BX488" s="324">
        <f>+BX481/BX$486</f>
        <v>0.12643499591169255</v>
      </c>
      <c r="BY488" s="324">
        <f>+BY481/BY$486</f>
        <v>0.1429635761589404</v>
      </c>
      <c r="BZ488" s="324">
        <f>+BZ481/BZ$486</f>
        <v>0.1429635761589404</v>
      </c>
      <c r="CB488" s="324">
        <f>+CB481/CB$486</f>
        <v>0.13800645682001614</v>
      </c>
      <c r="CC488" s="324">
        <f>+CC481/CC$486</f>
        <v>0.14114906832298135</v>
      </c>
      <c r="CD488" s="324">
        <f>+CD481/CD$486</f>
        <v>0.14114906832298135</v>
      </c>
      <c r="CF488" s="324">
        <f>+CF481/CF$486</f>
        <v>0.12767113095238095</v>
      </c>
      <c r="CG488" s="324">
        <f>+CG481/CG$486</f>
        <v>0.13070462633451957</v>
      </c>
      <c r="CH488" s="324">
        <f>+CH481/CH$486</f>
        <v>0.13070462633451957</v>
      </c>
      <c r="CJ488" s="324">
        <f>+CJ481/CJ$486</f>
        <v>0.1387431693989071</v>
      </c>
      <c r="CK488" s="324">
        <f>+CK481/CK$486</f>
        <v>0.13480198019801981</v>
      </c>
      <c r="CL488" s="324">
        <f>+CL481/CL$486</f>
        <v>0.13480198019801981</v>
      </c>
      <c r="CN488" s="324">
        <f>+CN481/CN$486</f>
        <v>0.12051594202898551</v>
      </c>
      <c r="CO488" s="324">
        <f>+CO481/CO$486</f>
        <v>0.1199087982832618</v>
      </c>
      <c r="CP488" s="324">
        <f>+CP481/CP$486</f>
        <v>0.1199087982832618</v>
      </c>
      <c r="CR488" s="324">
        <f>+CR481/CR$486</f>
        <v>0.10855491329479769</v>
      </c>
      <c r="CS488" s="324">
        <f>+CS481/CS$486</f>
        <v>0.10833396013538926</v>
      </c>
      <c r="CT488" s="324">
        <f>+CT481/CT$486</f>
        <v>0.10833396013538926</v>
      </c>
      <c r="CV488" s="324">
        <f>+CV481/CV$486</f>
        <v>0.10338336052202285</v>
      </c>
      <c r="CW488" s="324">
        <f>+CW481/CW$486</f>
        <v>0.11037540453074435</v>
      </c>
      <c r="CX488" s="324">
        <f>+CX481/CX$486</f>
        <v>0.11037540453074435</v>
      </c>
      <c r="CZ488" s="324">
        <f>+CZ481/CZ$486</f>
        <v>0.10453627760252365</v>
      </c>
      <c r="DA488" s="324">
        <f>+DA481/DA$486</f>
        <v>0.10298697364435019</v>
      </c>
      <c r="DB488" s="324">
        <f>+DB481/DB$486</f>
        <v>0.10298697364435019</v>
      </c>
      <c r="DD488" s="324">
        <f>+DD481/DD$486</f>
        <v>9.6343896713615026E-2</v>
      </c>
      <c r="DE488" s="324">
        <f>+DE481/DE$486</f>
        <v>9.722629720184732E-2</v>
      </c>
      <c r="DF488" s="324">
        <f>+DF481/DF$486</f>
        <v>9.722629720184732E-2</v>
      </c>
      <c r="DH488" s="324">
        <f>+DH481/DH$486</f>
        <v>8.76999750809868E-2</v>
      </c>
      <c r="DI488" s="324">
        <f ca="1">+DI481/DI$486</f>
        <v>8.5183415618761041E-2</v>
      </c>
      <c r="DJ488" s="324">
        <f ca="1">+DJ481/DJ$486</f>
        <v>8.5183415618761041E-2</v>
      </c>
      <c r="DL488" s="324">
        <f ca="1">+DL481/DL$486</f>
        <v>8.1853375434326123E-2</v>
      </c>
      <c r="DM488" s="324">
        <f ca="1">+DM481/DM$486</f>
        <v>8.4491318773527141E-2</v>
      </c>
      <c r="DN488" s="324">
        <f ca="1">+DN481/DN$486</f>
        <v>8.4491318773527141E-2</v>
      </c>
      <c r="DP488" s="324">
        <f ca="1">+DP481/DP$486</f>
        <v>8.2105770344485629E-2</v>
      </c>
      <c r="DQ488" s="324">
        <f ca="1">+DQ481/DQ$486</f>
        <v>8.4621937875829598E-2</v>
      </c>
      <c r="DR488" s="324">
        <f ca="1">+DR481/DR$486</f>
        <v>8.4621937875829598E-2</v>
      </c>
      <c r="DU488" s="1072"/>
      <c r="DV488" s="1072"/>
      <c r="DW488" s="1072"/>
      <c r="EH488"/>
    </row>
    <row r="489" spans="1:138" s="323" customFormat="1">
      <c r="A489" s="323" t="s">
        <v>546</v>
      </c>
      <c r="BH489" s="324">
        <f>(BH482+BH483)/BH$486</f>
        <v>0.38348416289592757</v>
      </c>
      <c r="BI489" s="324">
        <f>(BI482+BI483)/BI$486</f>
        <v>0.41324200913242015</v>
      </c>
      <c r="BJ489" s="324">
        <f>(BJ482+BJ483)/BJ$486</f>
        <v>0.41324200913242015</v>
      </c>
      <c r="BL489" s="324">
        <f>(BL482+BL483)/BL$486</f>
        <v>0.40511727078891258</v>
      </c>
      <c r="BM489" s="324">
        <f>(BM482+BM483)/BM$486</f>
        <v>0.39848812095032399</v>
      </c>
      <c r="BN489" s="324">
        <f>(BN482+BN483)/BN$486</f>
        <v>0.39848812095032399</v>
      </c>
      <c r="BP489" s="324">
        <f>(BP482+BP483)/BP$486</f>
        <v>0.3963227783452502</v>
      </c>
      <c r="BQ489" s="324">
        <f>(BQ482+BQ483)/BQ$486</f>
        <v>0.35195035460992907</v>
      </c>
      <c r="BR489" s="324">
        <f>(BR482+BR483)/BR$486</f>
        <v>0.35195035460992907</v>
      </c>
      <c r="BT489" s="324">
        <f>(BT482+BT483)/BT$486</f>
        <v>0.34599838318512527</v>
      </c>
      <c r="BU489" s="324">
        <f>(BU482+BU483)/BU$486</f>
        <v>0.33282442748091606</v>
      </c>
      <c r="BV489" s="324">
        <f>(BV482+BV483)/BV$486</f>
        <v>0.33282442748091606</v>
      </c>
      <c r="BX489" s="324">
        <f>(BX482+BX483)/BX$486</f>
        <v>0.37694194603434178</v>
      </c>
      <c r="BY489" s="324">
        <f>(BY482+BY483)/BY$486</f>
        <v>0.39569536423841056</v>
      </c>
      <c r="BZ489" s="324">
        <f>(BZ482+BZ483)/BZ$486</f>
        <v>0.39569536423841056</v>
      </c>
      <c r="CB489" s="324">
        <f>(CB482+CB483)/CB$486</f>
        <v>0.39870863599677159</v>
      </c>
      <c r="CC489" s="324">
        <f>(CC482+CC483)/CC$486</f>
        <v>0.37344720496894407</v>
      </c>
      <c r="CD489" s="324">
        <f>(CD482+CD483)/CD$486</f>
        <v>0.37344720496894407</v>
      </c>
      <c r="CF489" s="324">
        <f>(CF482+CF483)/CF$486</f>
        <v>0.38913690476190471</v>
      </c>
      <c r="CG489" s="324">
        <f>(CG482+CG483)/CG$486</f>
        <v>0.39857651245551601</v>
      </c>
      <c r="CH489" s="324">
        <f>(CH482+CH483)/CH$486</f>
        <v>0.39857651245551601</v>
      </c>
      <c r="CJ489" s="324">
        <f>(CJ482+CJ483)/CJ$486</f>
        <v>0.40163934426229503</v>
      </c>
      <c r="CK489" s="324">
        <f>(CK482+CK483)/CK$486</f>
        <v>0.4152227722772277</v>
      </c>
      <c r="CL489" s="324">
        <f>(CL482+CL483)/CL$486</f>
        <v>0.4152227722772277</v>
      </c>
      <c r="CN489" s="324">
        <f>(CN482+CN483)/CN$486</f>
        <v>0.44695652173913042</v>
      </c>
      <c r="CO489" s="324">
        <f>(CO482+CO483)/CO$486</f>
        <v>0.45064377682403434</v>
      </c>
      <c r="CP489" s="324">
        <f>(CP482+CP483)/CP$486</f>
        <v>0.45064377682403434</v>
      </c>
      <c r="CR489" s="324">
        <f>(CR482+CR483)/CR$486</f>
        <v>0.40684748777234325</v>
      </c>
      <c r="CS489" s="324">
        <f>(CS482+CS483)/CS$486</f>
        <v>0.38172245204964278</v>
      </c>
      <c r="CT489" s="324">
        <f>(CT482+CT483)/CT$486</f>
        <v>0.38172245204964278</v>
      </c>
      <c r="CV489" s="324">
        <f>(CV482+CV483)/CV$486</f>
        <v>0.39804241435562804</v>
      </c>
      <c r="CW489" s="324">
        <f>(CW482+CW483)/CW$486</f>
        <v>0.43527508090614886</v>
      </c>
      <c r="CX489" s="324">
        <f>(CX482+CX483)/CX$486</f>
        <v>0.43527508090614886</v>
      </c>
      <c r="CZ489" s="324">
        <f>(CZ482+CZ483)/CZ$486</f>
        <v>0.42839116719242903</v>
      </c>
      <c r="DA489" s="324">
        <f>(DA482+DA483)/DA$486</f>
        <v>0.4492578006664647</v>
      </c>
      <c r="DB489" s="324">
        <f>(DB482+DB483)/DB$486</f>
        <v>0.4492578006664647</v>
      </c>
      <c r="DD489" s="324">
        <f>(DD482+DD483)/DD$486</f>
        <v>0.46449530516431925</v>
      </c>
      <c r="DE489" s="324">
        <f>(DE482+DE483)/DE$486</f>
        <v>0.48274925292040199</v>
      </c>
      <c r="DF489" s="324">
        <f>(DF482+DF483)/DF$486</f>
        <v>0.48274925292040199</v>
      </c>
      <c r="DH489" s="324">
        <f>(DH482+DH483)/DH$486</f>
        <v>0.49538998255669076</v>
      </c>
      <c r="DI489" s="324">
        <f>(DI482+DI483)/DI$486</f>
        <v>0.485013740217489</v>
      </c>
      <c r="DJ489" s="324">
        <f>(DJ482+DJ483)/DJ$486</f>
        <v>0.485013740217489</v>
      </c>
      <c r="DL489" s="324">
        <f>(DL482+DL483)/DL$486</f>
        <v>0.48416838753312774</v>
      </c>
      <c r="DM489" s="324">
        <f>(DM482+DM483)/DM$486</f>
        <v>0.48807549559062668</v>
      </c>
      <c r="DN489" s="324">
        <f>(DN482+DN483)/DN$486</f>
        <v>0.48807549559062668</v>
      </c>
      <c r="DP489" s="324">
        <f>(DP482+DP483)/DP$486</f>
        <v>0.49190826201429266</v>
      </c>
      <c r="DQ489" s="324">
        <f>(DQ482+DQ483)/DQ$486</f>
        <v>0.49566408418902536</v>
      </c>
      <c r="DR489" s="324">
        <f>(DR482+DR483)/DR$486</f>
        <v>0.49566408418902536</v>
      </c>
      <c r="DU489" s="1072"/>
      <c r="DV489" s="1072"/>
      <c r="DW489" s="1072"/>
      <c r="EH489"/>
    </row>
    <row r="490" spans="1:138" s="323" customFormat="1">
      <c r="A490" s="323" t="s">
        <v>544</v>
      </c>
      <c r="BH490" s="324">
        <f>(BH485+BH484)/BH$486</f>
        <v>0.48638009049773756</v>
      </c>
      <c r="BI490" s="324">
        <f>(BI485+BI484)/BI$486</f>
        <v>0.45028538812785385</v>
      </c>
      <c r="BJ490" s="324">
        <f>(BJ485+BJ484)/BJ$486</f>
        <v>0.45028538812785385</v>
      </c>
      <c r="BL490" s="324">
        <f>(BL485+BL484)/BL$486</f>
        <v>0.45928571428571435</v>
      </c>
      <c r="BM490" s="324">
        <f>(BM485+BM484)/BM$486</f>
        <v>0.47285097192224618</v>
      </c>
      <c r="BN490" s="324">
        <f>(BN485+BN484)/BN$486</f>
        <v>0.47285097192224618</v>
      </c>
      <c r="BP490" s="324">
        <f>(BP485+BP484)/BP$486</f>
        <v>0.4788968335035752</v>
      </c>
      <c r="BQ490" s="324">
        <f>(BQ485+BQ484)/BQ$486</f>
        <v>0.5204255319148936</v>
      </c>
      <c r="BR490" s="324">
        <f>(BR485+BR484)/BR$486</f>
        <v>0.5204255319148936</v>
      </c>
      <c r="BT490" s="324">
        <f>(BT485+BT484)/BT$486</f>
        <v>0.53098625707356517</v>
      </c>
      <c r="BU490" s="324">
        <f>(BU485+BU484)/BU$486</f>
        <v>0.5476030534351144</v>
      </c>
      <c r="BV490" s="324">
        <f>(BV485+BV484)/BV$486</f>
        <v>0.5476030534351144</v>
      </c>
      <c r="BX490" s="324">
        <f>(BX485+BX484)/BX$486</f>
        <v>0.49662305805396567</v>
      </c>
      <c r="BY490" s="324">
        <f>(BY485+BY484)/BY$486</f>
        <v>0.46134105960264904</v>
      </c>
      <c r="BZ490" s="324">
        <f>(BZ485+BZ484)/BZ$486</f>
        <v>0.46134105960264904</v>
      </c>
      <c r="CB490" s="324">
        <f>(CB485+CB484)/CB$486</f>
        <v>0.46328490718321225</v>
      </c>
      <c r="CC490" s="324">
        <f>(CC485+CC484)/CC$486</f>
        <v>0.48540372670807452</v>
      </c>
      <c r="CD490" s="324">
        <f>(CD485+CD484)/CD$486</f>
        <v>0.48540372670807452</v>
      </c>
      <c r="CF490" s="324">
        <f>(CF485+CF484)/CF$486</f>
        <v>0.48319196428571437</v>
      </c>
      <c r="CG490" s="324">
        <f>(CG485+CG484)/CG$486</f>
        <v>0.47071886120996437</v>
      </c>
      <c r="CH490" s="324">
        <f>(CH485+CH484)/CH$486</f>
        <v>0.47071886120996437</v>
      </c>
      <c r="CJ490" s="324">
        <f>(CJ485+CJ484)/CJ$486</f>
        <v>0.4596174863387979</v>
      </c>
      <c r="CK490" s="324">
        <f>(CK485+CK484)/CK$486</f>
        <v>0.44997524752475254</v>
      </c>
      <c r="CL490" s="324">
        <f>(CL485+CL484)/CL$486</f>
        <v>0.44997524752475254</v>
      </c>
      <c r="CN490" s="324">
        <f>(CN485+CN484)/CN$486</f>
        <v>0.43252753623188417</v>
      </c>
      <c r="CO490" s="324">
        <f>(CO485+CO484)/CO$486</f>
        <v>0.42944742489270388</v>
      </c>
      <c r="CP490" s="324">
        <f>(CP485+CP484)/CP$486</f>
        <v>0.42944742489270388</v>
      </c>
      <c r="CR490" s="324">
        <f>(CR485+CR484)/CR$486</f>
        <v>0.48459759893285898</v>
      </c>
      <c r="CS490" s="324">
        <f>(CS485+CS484)/CS$486</f>
        <v>0.50994358781496796</v>
      </c>
      <c r="CT490" s="324">
        <f>(CT485+CT484)/CT$486</f>
        <v>0.50994358781496796</v>
      </c>
      <c r="CV490" s="324">
        <f>(CV485+CV484)/CV$486</f>
        <v>0.49857422512234906</v>
      </c>
      <c r="CW490" s="324">
        <f>(CW485+CW484)/CW$486</f>
        <v>0.45434951456310679</v>
      </c>
      <c r="CX490" s="324">
        <f>(CX485+CX484)/CX$486</f>
        <v>0.45434951456310679</v>
      </c>
      <c r="CZ490" s="324">
        <f>(CZ485+CZ484)/CZ$486</f>
        <v>0.46707255520504737</v>
      </c>
      <c r="DA490" s="324">
        <f>(DA485+DA484)/DA$486</f>
        <v>0.44775522568918513</v>
      </c>
      <c r="DB490" s="324">
        <f>(DB485+DB484)/DB$486</f>
        <v>0.44775522568918513</v>
      </c>
      <c r="DD490" s="324">
        <f>(DD485+DD484)/DD$486</f>
        <v>0.43916079812206571</v>
      </c>
      <c r="DE490" s="324">
        <f>(DE485+DE484)/DE$486</f>
        <v>0.42002444987775073</v>
      </c>
      <c r="DF490" s="324">
        <f>(DF485+DF484)/DF$486</f>
        <v>0.42002444987775073</v>
      </c>
      <c r="DH490" s="324">
        <f>(DH485+DH484)/DH$486</f>
        <v>0.41691004236232238</v>
      </c>
      <c r="DI490" s="324">
        <f ca="1">(DI485+DI484)/DI$486</f>
        <v>0.42980284416374992</v>
      </c>
      <c r="DJ490" s="324">
        <f ca="1">(DJ485+DJ484)/DJ$486</f>
        <v>0.42980284416374992</v>
      </c>
      <c r="DL490" s="324">
        <f ca="1">(DL485+DL484)/DL$486</f>
        <v>0.43397823703254612</v>
      </c>
      <c r="DM490" s="324">
        <f ca="1">(DM485+DM484)/DM$486</f>
        <v>0.42743318563584615</v>
      </c>
      <c r="DN490" s="324">
        <f ca="1">(DN485+DN484)/DN$486</f>
        <v>0.42743318563584615</v>
      </c>
      <c r="DP490" s="324">
        <f ca="1">(DP485+DP484)/DP$486</f>
        <v>0.42598596764122171</v>
      </c>
      <c r="DQ490" s="324">
        <f ca="1">(DQ485+DQ484)/DQ$486</f>
        <v>0.41971397793514503</v>
      </c>
      <c r="DR490" s="324">
        <f ca="1">(DR485+DR484)/DR$486</f>
        <v>0.41971397793514503</v>
      </c>
      <c r="DU490" s="1072"/>
      <c r="DV490" s="1072"/>
      <c r="DW490" s="1072"/>
      <c r="EH490"/>
    </row>
    <row r="491" spans="1:138" s="323" customFormat="1">
      <c r="A491" s="323" t="s">
        <v>548</v>
      </c>
      <c r="BH491" s="324">
        <f ca="1">+BH464/(BH482+BH483)</f>
        <v>1.1828908554572273</v>
      </c>
      <c r="BI491" s="324">
        <f ca="1">+BI464/(BI482+BI483)</f>
        <v>1.1850828729281766</v>
      </c>
      <c r="BJ491" s="324">
        <f ca="1">+BJ464/(BJ482+BJ483)</f>
        <v>1.1850828729281766</v>
      </c>
      <c r="BL491" s="324">
        <f>+BL464/(BL482+BL483)</f>
        <v>1.2078947368421051</v>
      </c>
      <c r="BM491" s="324">
        <f>+BM464/(BM482+BM483)</f>
        <v>1.2791327913279134</v>
      </c>
      <c r="BN491" s="324">
        <f>+BN464/(BN482+BN483)</f>
        <v>1.2791327913279134</v>
      </c>
      <c r="BP491" s="324">
        <f>+BP464/(BP482+BP483)</f>
        <v>1.2860824742268042</v>
      </c>
      <c r="BQ491" s="324">
        <f>+BQ464/(BQ482+BQ483)</f>
        <v>1.390428211586902</v>
      </c>
      <c r="BR491" s="324">
        <f>+BR464/(BR482+BR483)</f>
        <v>1.390428211586902</v>
      </c>
      <c r="BT491" s="324">
        <f>+BT464/(BT482+BT483)</f>
        <v>1.4322429906542056</v>
      </c>
      <c r="BU491" s="324">
        <f>+BU464/(BU482+BU483)</f>
        <v>1.5848623853211008</v>
      </c>
      <c r="BV491" s="324">
        <f>+BV464/(BV482+BV483)</f>
        <v>1.5848623853211008</v>
      </c>
      <c r="BX491" s="324">
        <f>+BX464/(BX482+BX483)</f>
        <v>1.4793926247288502</v>
      </c>
      <c r="BY491" s="324">
        <f>+BY464/(BY482+BY483)</f>
        <v>1.4121338912133892</v>
      </c>
      <c r="BZ491" s="324">
        <f>+BZ464/(BZ482+BZ483)</f>
        <v>1.4121338912133892</v>
      </c>
      <c r="CB491" s="324">
        <f>+CB464/(CB482+CB483)</f>
        <v>1.4190283400809716</v>
      </c>
      <c r="CC491" s="324">
        <f>+CC464/(CC482+CC483)</f>
        <v>1.5654885654885653</v>
      </c>
      <c r="CD491" s="324">
        <f>+CD464/(CD482+CD483)</f>
        <v>1.5654885654885653</v>
      </c>
      <c r="CF491" s="324">
        <f>+CF464/(CF482+CF483)</f>
        <v>1.5411089866156789</v>
      </c>
      <c r="CG491" s="324">
        <f>+CG464/(CG482+CG483)</f>
        <v>1.4821428571428572</v>
      </c>
      <c r="CH491" s="324">
        <f>+CH464/(CH482+CH483)</f>
        <v>1.4821428571428572</v>
      </c>
      <c r="CJ491" s="324">
        <f>+CJ464/(CJ482+CJ483)</f>
        <v>1.3809523809523812</v>
      </c>
      <c r="CK491" s="324">
        <f>+CK464/(CK482+CK483)</f>
        <v>1.2891207153502238</v>
      </c>
      <c r="CL491" s="324">
        <f>+CL464/(CL482+CL483)</f>
        <v>1.2891207153502238</v>
      </c>
      <c r="CN491" s="324">
        <f>+CN464/(CN482+CN483)</f>
        <v>1.2490272373540856</v>
      </c>
      <c r="CO491" s="324">
        <f>+CO464/(CO482+CO483)</f>
        <v>1.2785714285714287</v>
      </c>
      <c r="CP491" s="324">
        <f>+CP464/(CP482+CP483)</f>
        <v>1.2785714285714287</v>
      </c>
      <c r="CR491" s="324">
        <f>+CR464/(CR482+CR483)</f>
        <v>1.3344262295081966</v>
      </c>
      <c r="CS491" s="324">
        <f>+CS464/(CS482+CS483)</f>
        <v>1.3655172413793102</v>
      </c>
      <c r="CT491" s="324">
        <f>+CT464/(CT482+CT483)</f>
        <v>1.3655172413793102</v>
      </c>
      <c r="CV491" s="324">
        <f>+CV464/(CV482+CV483)</f>
        <v>1.2549180327868852</v>
      </c>
      <c r="CW491" s="324">
        <f>+CW464/(CW482+CW483)</f>
        <v>1.2156133828996283</v>
      </c>
      <c r="CX491" s="324">
        <f>+CX464/(CX482+CX483)</f>
        <v>1.2156133828996283</v>
      </c>
      <c r="CZ491" s="324">
        <f>+CZ464/(CZ482+CZ483)</f>
        <v>1.2709867452135493</v>
      </c>
      <c r="DA491" s="324">
        <f>+DA464/(DA482+DA483)</f>
        <v>1.2238705327039783</v>
      </c>
      <c r="DB491" s="324">
        <f>+DB464/(DB482+DB483)</f>
        <v>1.2238705327039783</v>
      </c>
      <c r="DD491" s="324">
        <f>+DD464/(DD482+DD483)</f>
        <v>1.2122552116234997</v>
      </c>
      <c r="DE491" s="324">
        <f>+DE464/(DE482+DE483)</f>
        <v>1.157006190208216</v>
      </c>
      <c r="DF491" s="324">
        <f>+DF464/(DF482+DF483)</f>
        <v>1.157006190208216</v>
      </c>
      <c r="DH491" s="324">
        <f>+DH464/(DH482+DH483)</f>
        <v>1.1267605633802815</v>
      </c>
      <c r="DI491" s="324">
        <f>+DI464/(DI482+DI483)</f>
        <v>1.1964788732394367</v>
      </c>
      <c r="DJ491" s="324">
        <f>+DJ464/(DJ482+DJ483)</f>
        <v>1.1964788732394367</v>
      </c>
      <c r="DL491" s="324">
        <f>+DL464/(DL482+DL483)</f>
        <v>1.2271361502347418</v>
      </c>
      <c r="DM491" s="324">
        <f>+DM464/(DM482+DM483)</f>
        <v>1.2329108619973812</v>
      </c>
      <c r="DN491" s="324">
        <f>+DN464/(DN482+DN483)</f>
        <v>1.2329108619973812</v>
      </c>
      <c r="DP491" s="324">
        <f>+DP464/(DP482+DP483)</f>
        <v>1.2387968786262549</v>
      </c>
      <c r="DQ491" s="324">
        <f>+DQ464/(DQ482+DQ483)</f>
        <v>1.244794723904743</v>
      </c>
      <c r="DR491" s="324">
        <f>+DR464/(DR482+DR483)</f>
        <v>1.244794723904743</v>
      </c>
      <c r="DU491" s="1072"/>
      <c r="DV491" s="1072"/>
      <c r="DW491" s="1072"/>
      <c r="EH491"/>
    </row>
    <row r="492" spans="1:138">
      <c r="C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  <c r="AA492" s="102"/>
      <c r="AB492" s="102"/>
      <c r="AC492" s="102"/>
      <c r="AD492" s="102"/>
      <c r="AE492" s="102"/>
      <c r="AF492" s="102"/>
      <c r="AG492" s="102"/>
      <c r="AH492" s="102"/>
      <c r="AI492" s="102"/>
      <c r="AJ492" s="102"/>
      <c r="AK492" s="102"/>
      <c r="AL492" s="102"/>
      <c r="AM492" s="102"/>
      <c r="AN492" s="102"/>
      <c r="AO492" s="102"/>
      <c r="AP492" s="102"/>
      <c r="AQ492" s="102"/>
      <c r="AR492" s="102"/>
      <c r="AS492" s="102"/>
      <c r="AT492" s="102"/>
      <c r="AU492" s="102"/>
      <c r="AV492" s="102"/>
      <c r="AW492" s="102"/>
      <c r="AX492" s="102"/>
      <c r="AY492" s="102"/>
      <c r="AZ492" s="102"/>
      <c r="BA492" s="102"/>
      <c r="BB492" s="102"/>
      <c r="BC492" s="102"/>
      <c r="BD492" s="102"/>
      <c r="BE492" s="102"/>
      <c r="BF492" s="102"/>
      <c r="BG492" s="102"/>
      <c r="BH492" s="102"/>
      <c r="BI492" s="102"/>
      <c r="BJ492" s="102"/>
      <c r="BK492" s="102"/>
      <c r="BL492" s="102"/>
      <c r="BM492" s="102"/>
      <c r="BN492" s="102"/>
      <c r="BO492" s="102"/>
      <c r="BP492" s="102"/>
      <c r="BQ492" s="102"/>
      <c r="BR492" s="102"/>
      <c r="BS492" s="102"/>
      <c r="BT492" s="102"/>
      <c r="BU492" s="102"/>
      <c r="BV492" s="102"/>
      <c r="BW492" s="102"/>
      <c r="BX492" s="102"/>
      <c r="BY492" s="102"/>
      <c r="BZ492" s="102"/>
      <c r="CA492" s="102"/>
      <c r="CB492" s="102"/>
      <c r="CC492" s="102"/>
      <c r="CD492" s="102"/>
      <c r="CE492" s="102"/>
      <c r="CF492" s="102"/>
      <c r="CG492" s="102"/>
      <c r="CH492" s="102"/>
      <c r="CI492" s="102"/>
      <c r="CJ492" s="102"/>
      <c r="CK492" s="102"/>
      <c r="CL492" s="102"/>
      <c r="CM492" s="102"/>
      <c r="CN492" s="102"/>
      <c r="CO492" s="102"/>
      <c r="CP492" s="102"/>
      <c r="CQ492" s="102"/>
      <c r="CR492" s="102"/>
      <c r="CS492" s="102"/>
      <c r="CT492" s="102"/>
      <c r="CU492" s="102"/>
      <c r="CV492" s="102"/>
      <c r="CW492" s="1407"/>
      <c r="CX492" s="102"/>
      <c r="CY492" s="102"/>
      <c r="CZ492" s="102"/>
      <c r="DA492" s="1407"/>
      <c r="DB492" s="102"/>
      <c r="DC492" s="102"/>
      <c r="DD492" s="102"/>
      <c r="DE492" s="1407"/>
      <c r="DF492" s="102"/>
      <c r="DG492" s="102"/>
      <c r="DH492" s="102"/>
      <c r="DI492" s="102"/>
      <c r="DJ492" s="102"/>
      <c r="DK492" s="102"/>
      <c r="DL492" s="102"/>
      <c r="DM492" s="102"/>
      <c r="DN492" s="102"/>
      <c r="DO492" s="102"/>
      <c r="DP492" s="102"/>
      <c r="DQ492" s="102"/>
      <c r="DR492" s="102"/>
      <c r="DS492" s="102"/>
      <c r="DT492" s="102"/>
      <c r="DU492" s="102"/>
      <c r="DV492" s="102"/>
      <c r="DW492" s="102"/>
      <c r="DX492" s="102"/>
    </row>
    <row r="493" spans="1:138">
      <c r="A493" s="289" t="s">
        <v>243</v>
      </c>
      <c r="DA493" s="1408"/>
      <c r="DE493" s="1408"/>
    </row>
    <row r="494" spans="1:138">
      <c r="A494" s="102" t="s">
        <v>509</v>
      </c>
      <c r="BH494" s="711">
        <f>BH54/1000</f>
        <v>39.959000000000003</v>
      </c>
      <c r="BI494" s="711">
        <f>BI54/1000</f>
        <v>41.103000000000002</v>
      </c>
      <c r="BJ494" s="711">
        <f>BJ54/1000</f>
        <v>41.103000000000002</v>
      </c>
      <c r="BL494" s="711">
        <f>BL54/1000</f>
        <v>42.694000000000003</v>
      </c>
      <c r="BM494" s="711">
        <f>BM54/1000</f>
        <v>42.401000000000003</v>
      </c>
      <c r="BN494" s="711">
        <f>BN54/1000</f>
        <v>42.401000000000003</v>
      </c>
      <c r="BP494" s="711">
        <f>BP54/1000</f>
        <v>44.216000000000001</v>
      </c>
      <c r="BQ494" s="711">
        <f>BQ54/1000</f>
        <v>47.386000000000003</v>
      </c>
      <c r="BR494" s="711">
        <f>BR54/1000</f>
        <v>47.386000000000003</v>
      </c>
      <c r="BT494" s="711">
        <f>BT54/1000</f>
        <v>51.914999999999999</v>
      </c>
      <c r="BU494" s="711">
        <f>BU54/1000</f>
        <v>52.244999999999997</v>
      </c>
      <c r="BV494" s="711">
        <f>BV54/1000</f>
        <v>52.244999999999997</v>
      </c>
      <c r="BX494" s="711">
        <f>BX54/1000</f>
        <v>55.438000000000002</v>
      </c>
      <c r="BY494" s="711">
        <f>BY54/1000</f>
        <v>57.707999999999998</v>
      </c>
      <c r="BZ494" s="711">
        <f>BZ54/1000</f>
        <v>57.707999999999998</v>
      </c>
      <c r="CB494" s="711">
        <f>CB54/1000</f>
        <v>49.33</v>
      </c>
      <c r="CC494" s="711">
        <f>CC54/1000</f>
        <v>48.395000000000003</v>
      </c>
      <c r="CD494" s="711">
        <f>CD54/1000</f>
        <v>48.395000000000003</v>
      </c>
      <c r="CF494" s="711">
        <f>CF54/1000</f>
        <v>52.62</v>
      </c>
      <c r="CG494" s="711">
        <f>CG54/1000</f>
        <v>56.191000000000003</v>
      </c>
      <c r="CH494" s="711">
        <f>CH54/1000</f>
        <v>56.191000000000003</v>
      </c>
      <c r="CJ494" s="711">
        <f>CJ54/1000</f>
        <v>59.042000000000002</v>
      </c>
      <c r="CK494" s="711">
        <f>CK54/1000</f>
        <v>67.341999999999999</v>
      </c>
      <c r="CL494" s="711">
        <f>CL54/1000</f>
        <v>67.341999999999999</v>
      </c>
      <c r="CN494" s="711">
        <f>CN54/1000</f>
        <v>77.257999999999996</v>
      </c>
      <c r="CO494" s="711">
        <f>CO54/1000</f>
        <v>84.198999999999998</v>
      </c>
      <c r="CP494" s="711">
        <f>CP54/1000</f>
        <v>84.198999999999998</v>
      </c>
      <c r="CR494" s="711">
        <f>CR54/1000</f>
        <v>91.736000000000004</v>
      </c>
      <c r="CS494" s="711">
        <f>CS54/1000</f>
        <v>101.667</v>
      </c>
      <c r="CT494" s="711">
        <f>CT54/1000</f>
        <v>101.667</v>
      </c>
      <c r="CV494" s="711">
        <f>CV54/1000</f>
        <v>122.227</v>
      </c>
      <c r="CW494" s="1809">
        <f>CW54/1000</f>
        <v>134.714</v>
      </c>
      <c r="CX494" s="711">
        <f>CX54/1000</f>
        <v>134.714</v>
      </c>
      <c r="CZ494" s="711">
        <f>CZ54/1000</f>
        <v>135.96600000000001</v>
      </c>
      <c r="DA494" s="1809">
        <f>DA54/1000</f>
        <v>148.416</v>
      </c>
      <c r="DB494" s="711">
        <f>DB54/1000</f>
        <v>148.416</v>
      </c>
      <c r="DD494" s="711">
        <f>DD54/1000</f>
        <v>158.47200000000001</v>
      </c>
      <c r="DE494" s="1809">
        <f>DE54/1000</f>
        <v>177.67099999999999</v>
      </c>
      <c r="DF494" s="711">
        <f>DF54/1000</f>
        <v>177.67099999999999</v>
      </c>
      <c r="DH494" s="711">
        <f>DH54/1000</f>
        <v>198.76900000000001</v>
      </c>
      <c r="DI494" s="711">
        <f>DI54/1000</f>
        <v>208.70745000000002</v>
      </c>
      <c r="DJ494" s="711">
        <f>DJ54/1000</f>
        <v>208.70745000000002</v>
      </c>
      <c r="DL494" s="711">
        <f>DL54/1000</f>
        <v>219.14282250000002</v>
      </c>
      <c r="DM494" s="711">
        <f>DM54/1000</f>
        <v>230.09996362500004</v>
      </c>
      <c r="DN494" s="711">
        <f>DN54/1000</f>
        <v>230.09996362500004</v>
      </c>
      <c r="DP494" s="711">
        <f>DP54/1000</f>
        <v>241.60496180625003</v>
      </c>
      <c r="DQ494" s="711">
        <f>DQ54/1000</f>
        <v>253.68520989656255</v>
      </c>
      <c r="DR494" s="711">
        <f>DR54/1000</f>
        <v>253.68520989656255</v>
      </c>
      <c r="DU494" s="711"/>
      <c r="DV494" s="711"/>
      <c r="DW494" s="711"/>
    </row>
    <row r="495" spans="1:138">
      <c r="A495" s="102" t="s">
        <v>510</v>
      </c>
      <c r="BH495" s="711">
        <f>BH482+BH483</f>
        <v>33.9</v>
      </c>
      <c r="BI495" s="711">
        <f>BI482+BI483</f>
        <v>36.200000000000003</v>
      </c>
      <c r="BJ495" s="711">
        <f>BJ482+BJ483</f>
        <v>36.200000000000003</v>
      </c>
      <c r="BL495" s="711">
        <f>BL482+BL483</f>
        <v>38</v>
      </c>
      <c r="BM495" s="711">
        <f>BM482+BM483</f>
        <v>36.9</v>
      </c>
      <c r="BN495" s="711">
        <f>BN482+BN483</f>
        <v>36.9</v>
      </c>
      <c r="BP495" s="711">
        <f>BP482+BP483</f>
        <v>38.799999999999997</v>
      </c>
      <c r="BQ495" s="711">
        <f>BQ482+BQ483</f>
        <v>39.699999999999996</v>
      </c>
      <c r="BR495" s="711">
        <f>BR482+BR483</f>
        <v>39.699999999999996</v>
      </c>
      <c r="BT495" s="711">
        <f>BT482+BT483</f>
        <v>42.8</v>
      </c>
      <c r="BU495" s="711">
        <f>BU482+BU483</f>
        <v>43.6</v>
      </c>
      <c r="BV495" s="711">
        <f>BV482+BV483</f>
        <v>43.6</v>
      </c>
      <c r="BX495" s="711">
        <f>BX482+BX483</f>
        <v>46.1</v>
      </c>
      <c r="BY495" s="711">
        <f>BY482+BY483</f>
        <v>47.8</v>
      </c>
      <c r="BZ495" s="711">
        <f>BZ482+BZ483</f>
        <v>47.8</v>
      </c>
      <c r="CB495" s="711">
        <f>CB482+CB483</f>
        <v>49.4</v>
      </c>
      <c r="CC495" s="711">
        <f>CC482+CC483</f>
        <v>48.1</v>
      </c>
      <c r="CD495" s="711">
        <f>CD482+CD483</f>
        <v>48.1</v>
      </c>
      <c r="CF495" s="711">
        <f>CF482+CF483</f>
        <v>52.3</v>
      </c>
      <c r="CG495" s="711">
        <f>CG482+CG483</f>
        <v>56</v>
      </c>
      <c r="CH495" s="711">
        <f>CH482+CH483</f>
        <v>56</v>
      </c>
      <c r="CJ495" s="711">
        <f>CJ482+CJ483</f>
        <v>58.8</v>
      </c>
      <c r="CK495" s="711">
        <f>CK482+CK483</f>
        <v>67.099999999999994</v>
      </c>
      <c r="CL495" s="711">
        <f>CL482+CL483</f>
        <v>67.099999999999994</v>
      </c>
      <c r="CN495" s="711">
        <f>CN482+CN483</f>
        <v>77.099999999999994</v>
      </c>
      <c r="CO495" s="711">
        <f>CO482+CO483</f>
        <v>84</v>
      </c>
      <c r="CP495" s="711">
        <f>CP482+CP483</f>
        <v>84</v>
      </c>
      <c r="CR495" s="711">
        <f>CR482+CR483</f>
        <v>91.5</v>
      </c>
      <c r="CS495" s="711">
        <f>CS482+CS483</f>
        <v>101.5</v>
      </c>
      <c r="CT495" s="711">
        <f>CT482+CT483</f>
        <v>101.5</v>
      </c>
      <c r="CV495" s="711">
        <f>CV482+CV483</f>
        <v>122</v>
      </c>
      <c r="CW495" s="1809">
        <f>CW482+CW483</f>
        <v>134.5</v>
      </c>
      <c r="CX495" s="711">
        <f>CX482+CX483</f>
        <v>134.5</v>
      </c>
      <c r="CZ495" s="711">
        <f>CZ482+CZ483</f>
        <v>135.80000000000001</v>
      </c>
      <c r="DA495" s="1809">
        <f>DA482+DA483</f>
        <v>148.30000000000001</v>
      </c>
      <c r="DB495" s="711">
        <f>DB482+DB483</f>
        <v>148.30000000000001</v>
      </c>
      <c r="DD495" s="711">
        <f>DD482+DD483</f>
        <v>158.30000000000001</v>
      </c>
      <c r="DE495" s="1809">
        <f>DE482+DE483</f>
        <v>177.7</v>
      </c>
      <c r="DF495" s="711">
        <f>DF482+DF483</f>
        <v>177.7</v>
      </c>
      <c r="DH495" s="711">
        <f>DH482+DH483</f>
        <v>198.8</v>
      </c>
      <c r="DI495" s="711">
        <f>+DI494*DI496</f>
        <v>208.74</v>
      </c>
      <c r="DJ495" s="711">
        <f>DJ482+DJ483</f>
        <v>208.74</v>
      </c>
      <c r="DL495" s="711">
        <f>+DL494*DL496</f>
        <v>219.17700000000002</v>
      </c>
      <c r="DM495" s="711">
        <f>+DM494*DM496</f>
        <v>230.13585000000003</v>
      </c>
      <c r="DN495" s="711">
        <f>DN482+DN483</f>
        <v>230.13585000000003</v>
      </c>
      <c r="DP495" s="711">
        <f>+DP494*DP496</f>
        <v>241.64264250000002</v>
      </c>
      <c r="DQ495" s="711">
        <f>+DQ494*DQ496</f>
        <v>253.72477462500007</v>
      </c>
      <c r="DR495" s="711">
        <f>DR482+DR483</f>
        <v>253.72477462500007</v>
      </c>
      <c r="DU495" s="711"/>
      <c r="DV495" s="711"/>
      <c r="DW495" s="711"/>
    </row>
    <row r="496" spans="1:138">
      <c r="A496" s="323" t="s">
        <v>508</v>
      </c>
      <c r="BH496" s="684">
        <f>+BH495/BH494</f>
        <v>0.84836957881828867</v>
      </c>
      <c r="BI496" s="684">
        <f>+BI495/BI494</f>
        <v>0.88071430309223175</v>
      </c>
      <c r="BJ496" s="684">
        <f>+BJ495/BJ494</f>
        <v>0.88071430309223175</v>
      </c>
      <c r="BL496" s="684">
        <f>+BL495/BL494</f>
        <v>0.89005480863821607</v>
      </c>
      <c r="BM496" s="684">
        <f>+BM495/BM494</f>
        <v>0.87026249380910814</v>
      </c>
      <c r="BN496" s="684">
        <f>+BN495/BN494</f>
        <v>0.87026249380910814</v>
      </c>
      <c r="BP496" s="684">
        <f>+BP495/BP494</f>
        <v>0.87751040347385556</v>
      </c>
      <c r="BQ496" s="684">
        <f>+BQ495/BQ494</f>
        <v>0.83780019415017082</v>
      </c>
      <c r="BR496" s="684">
        <f>+BR495/BR494</f>
        <v>0.83780019415017082</v>
      </c>
      <c r="BT496" s="684">
        <f>+BT495/BT494</f>
        <v>0.8244245401136473</v>
      </c>
      <c r="BU496" s="684">
        <f>+BU495/BU494</f>
        <v>0.83452962005933584</v>
      </c>
      <c r="BV496" s="684">
        <f>+BV495/BV494</f>
        <v>0.83452962005933584</v>
      </c>
      <c r="BX496" s="684">
        <f>+BX495/BX494</f>
        <v>0.83155958007143116</v>
      </c>
      <c r="BY496" s="684">
        <f>+BY495/BY494</f>
        <v>0.82830803354820814</v>
      </c>
      <c r="BZ496" s="684">
        <f>+BZ495/BZ494</f>
        <v>0.82830803354820814</v>
      </c>
      <c r="CB496" s="684">
        <f>+CB495/CB494</f>
        <v>1.0014190147982971</v>
      </c>
      <c r="CC496" s="684">
        <f>+CC495/CC494</f>
        <v>0.99390432895960323</v>
      </c>
      <c r="CD496" s="684">
        <f>+CD495/CD494</f>
        <v>0.99390432895960323</v>
      </c>
      <c r="CF496" s="684">
        <f>+CF495/CF494</f>
        <v>0.99391866210566326</v>
      </c>
      <c r="CG496" s="684">
        <f>+CG495/CG494</f>
        <v>0.99660087914434692</v>
      </c>
      <c r="CH496" s="684">
        <f>+CH495/CH494</f>
        <v>0.99660087914434692</v>
      </c>
      <c r="CJ496" s="684">
        <f>+CJ495/CJ494</f>
        <v>0.99590122285830418</v>
      </c>
      <c r="CK496" s="684">
        <f>+CK495/CK494</f>
        <v>0.99640640313622997</v>
      </c>
      <c r="CL496" s="684">
        <f>+CL495/CL494</f>
        <v>0.99640640313622997</v>
      </c>
      <c r="CN496" s="684">
        <f>+CN495/CN494</f>
        <v>0.99795490434647538</v>
      </c>
      <c r="CO496" s="684">
        <f>+CO495/CO494</f>
        <v>0.99763655150298702</v>
      </c>
      <c r="CP496" s="684">
        <f>+CP495/CP494</f>
        <v>0.99763655150298702</v>
      </c>
      <c r="CR496" s="684">
        <f>+CR495/CR494</f>
        <v>0.99742740036626842</v>
      </c>
      <c r="CS496" s="684">
        <f>+CS495/CS494</f>
        <v>0.99835738243481165</v>
      </c>
      <c r="CT496" s="684">
        <f>+CT495/CT494</f>
        <v>0.99835738243481165</v>
      </c>
      <c r="CV496" s="684">
        <f>+CV495/CV494</f>
        <v>0.99814279987236865</v>
      </c>
      <c r="CW496" s="684">
        <f>+CW495/CW494</f>
        <v>0.9984114494410381</v>
      </c>
      <c r="CX496" s="684">
        <f>+CX495/CX494</f>
        <v>0.9984114494410381</v>
      </c>
      <c r="CZ496" s="684">
        <f>+CZ495/CZ494</f>
        <v>0.99877910654134128</v>
      </c>
      <c r="DA496" s="684">
        <f>+DA495/DA494</f>
        <v>0.99921841310909887</v>
      </c>
      <c r="DB496" s="684">
        <f>+DB495/DB494</f>
        <v>0.99921841310909887</v>
      </c>
      <c r="DD496" s="684">
        <f>+DD495/DD494</f>
        <v>0.99891463476197695</v>
      </c>
      <c r="DE496" s="684">
        <f>+DE495/DE494</f>
        <v>1.0001632230358359</v>
      </c>
      <c r="DF496" s="684">
        <f>+DF495/DF494</f>
        <v>1.0001632230358359</v>
      </c>
      <c r="DH496" s="684">
        <f>+DH495/DH494</f>
        <v>1.00015595993339</v>
      </c>
      <c r="DI496" s="1536">
        <f>DH496</f>
        <v>1.00015595993339</v>
      </c>
      <c r="DJ496" s="684">
        <f>+DJ495/DJ494</f>
        <v>1.00015595993339</v>
      </c>
      <c r="DL496" s="1536">
        <f>DI496</f>
        <v>1.00015595993339</v>
      </c>
      <c r="DM496" s="1536">
        <f>DL496</f>
        <v>1.00015595993339</v>
      </c>
      <c r="DN496" s="684">
        <f>+DN495/DN494</f>
        <v>1.00015595993339</v>
      </c>
      <c r="DP496" s="1536">
        <f>DM496</f>
        <v>1.00015595993339</v>
      </c>
      <c r="DQ496" s="1536">
        <f>DP496</f>
        <v>1.00015595993339</v>
      </c>
      <c r="DR496" s="684">
        <f>+DR495/DR494</f>
        <v>1.00015595993339</v>
      </c>
      <c r="DU496" s="1130"/>
      <c r="DV496" s="1130"/>
      <c r="DW496" s="1056"/>
      <c r="DZ496" s="102"/>
    </row>
    <row r="497" spans="1:138">
      <c r="DA497" s="1408"/>
      <c r="DE497" s="1408"/>
    </row>
    <row r="498" spans="1:138">
      <c r="A498" s="102" t="s">
        <v>392</v>
      </c>
      <c r="BH498" s="309">
        <f t="shared" ref="BH498:BJ499" si="415">+BH482</f>
        <v>29</v>
      </c>
      <c r="BI498" s="309">
        <f t="shared" si="415"/>
        <v>31</v>
      </c>
      <c r="BJ498" s="309">
        <f t="shared" si="415"/>
        <v>31</v>
      </c>
      <c r="BL498" s="309">
        <f t="shared" ref="BL498:BN499" si="416">+BL482</f>
        <v>33.1</v>
      </c>
      <c r="BM498" s="309">
        <f t="shared" si="416"/>
        <v>33.299999999999997</v>
      </c>
      <c r="BN498" s="309">
        <f t="shared" si="416"/>
        <v>33.299999999999997</v>
      </c>
      <c r="BP498" s="309">
        <f t="shared" ref="BP498:BR499" si="417">+BP482</f>
        <v>35.299999999999997</v>
      </c>
      <c r="BQ498" s="309">
        <f t="shared" si="417"/>
        <v>37.299999999999997</v>
      </c>
      <c r="BR498" s="309">
        <f t="shared" si="417"/>
        <v>37.299999999999997</v>
      </c>
      <c r="BT498" s="309">
        <f t="shared" ref="BT498:BV499" si="418">+BT482</f>
        <v>42.8</v>
      </c>
      <c r="BU498" s="309">
        <f t="shared" si="418"/>
        <v>43.6</v>
      </c>
      <c r="BV498" s="309">
        <f t="shared" si="418"/>
        <v>43.6</v>
      </c>
      <c r="BX498" s="309">
        <f t="shared" ref="BX498:BZ499" si="419">+BX482</f>
        <v>46.1</v>
      </c>
      <c r="BY498" s="309">
        <f t="shared" si="419"/>
        <v>47.8</v>
      </c>
      <c r="BZ498" s="309">
        <f t="shared" si="419"/>
        <v>47.8</v>
      </c>
      <c r="CB498" s="309">
        <f>+CB482</f>
        <v>49.4</v>
      </c>
      <c r="CC498" s="309">
        <f t="shared" ref="CC498:CD498" si="420">+CC482</f>
        <v>48.1</v>
      </c>
      <c r="CD498" s="309">
        <f t="shared" si="420"/>
        <v>48.1</v>
      </c>
      <c r="CF498" s="309">
        <f>+CF482</f>
        <v>52.3</v>
      </c>
      <c r="CG498" s="309">
        <f t="shared" ref="CG498:CH498" si="421">+CG482</f>
        <v>56</v>
      </c>
      <c r="CH498" s="309">
        <f t="shared" si="421"/>
        <v>56</v>
      </c>
      <c r="CJ498" s="309">
        <f>+CJ482</f>
        <v>58.8</v>
      </c>
      <c r="CK498" s="309">
        <f t="shared" ref="CK498:CL499" si="422">+CK482</f>
        <v>67.099999999999994</v>
      </c>
      <c r="CL498" s="309">
        <f t="shared" si="422"/>
        <v>67.099999999999994</v>
      </c>
      <c r="CN498" s="309">
        <f>+CN482</f>
        <v>77.099999999999994</v>
      </c>
      <c r="CO498" s="309">
        <f t="shared" ref="CO498:CP498" si="423">+CO482</f>
        <v>84</v>
      </c>
      <c r="CP498" s="309">
        <f t="shared" si="423"/>
        <v>84</v>
      </c>
      <c r="CR498" s="309">
        <f>+CR482</f>
        <v>91.5</v>
      </c>
      <c r="CS498" s="309">
        <f t="shared" ref="CS498:CT498" si="424">+CS482</f>
        <v>101.5</v>
      </c>
      <c r="CT498" s="309">
        <f t="shared" si="424"/>
        <v>101.5</v>
      </c>
      <c r="CV498" s="309">
        <f>+CV482</f>
        <v>122</v>
      </c>
      <c r="CW498" s="1796">
        <f t="shared" ref="CW498:CW499" si="425">+CW482</f>
        <v>134.5</v>
      </c>
      <c r="CX498" s="309">
        <f t="shared" ref="CX498" si="426">+CX482</f>
        <v>134.5</v>
      </c>
      <c r="CZ498" s="309">
        <f>+CZ482</f>
        <v>135.80000000000001</v>
      </c>
      <c r="DA498" s="1796">
        <f t="shared" ref="DA498:DB499" si="427">+DA482</f>
        <v>148.30000000000001</v>
      </c>
      <c r="DB498" s="309">
        <f t="shared" si="427"/>
        <v>148.30000000000001</v>
      </c>
      <c r="DD498" s="309">
        <f>+DD482</f>
        <v>158.30000000000001</v>
      </c>
      <c r="DE498" s="1796">
        <f t="shared" ref="DE498:DF498" si="428">+DE482</f>
        <v>177.7</v>
      </c>
      <c r="DF498" s="309">
        <f t="shared" si="428"/>
        <v>177.7</v>
      </c>
      <c r="DH498" s="309">
        <f>+DH482</f>
        <v>198.8</v>
      </c>
      <c r="DI498" s="309">
        <f>+DI495*DI500</f>
        <v>208.74</v>
      </c>
      <c r="DJ498" s="309">
        <f>+DJ482</f>
        <v>208.74</v>
      </c>
      <c r="DL498" s="309">
        <f>+DL495*DL500</f>
        <v>219.17700000000002</v>
      </c>
      <c r="DM498" s="309">
        <f>+DM495*DM500</f>
        <v>230.13585000000003</v>
      </c>
      <c r="DN498" s="309">
        <f>+DN482</f>
        <v>230.13585000000003</v>
      </c>
      <c r="DP498" s="309">
        <f>+DP495*DP500</f>
        <v>241.64264250000002</v>
      </c>
      <c r="DQ498" s="309">
        <f>+DQ495*DQ500</f>
        <v>253.72477462500007</v>
      </c>
      <c r="DR498" s="309">
        <f>+DR482</f>
        <v>253.72477462500007</v>
      </c>
      <c r="DU498" s="309"/>
      <c r="DV498" s="309"/>
      <c r="DW498" s="309"/>
    </row>
    <row r="499" spans="1:138">
      <c r="A499" s="102" t="s">
        <v>511</v>
      </c>
      <c r="BH499" s="309">
        <f t="shared" si="415"/>
        <v>4.9000000000000004</v>
      </c>
      <c r="BI499" s="309">
        <f t="shared" si="415"/>
        <v>5.2</v>
      </c>
      <c r="BJ499" s="309">
        <f t="shared" si="415"/>
        <v>5.2</v>
      </c>
      <c r="BL499" s="309">
        <f t="shared" si="416"/>
        <v>4.9000000000000004</v>
      </c>
      <c r="BM499" s="309">
        <f t="shared" si="416"/>
        <v>3.6</v>
      </c>
      <c r="BN499" s="309">
        <f t="shared" si="416"/>
        <v>3.6</v>
      </c>
      <c r="BP499" s="309">
        <f t="shared" si="417"/>
        <v>3.5</v>
      </c>
      <c r="BQ499" s="309">
        <f t="shared" si="417"/>
        <v>2.4</v>
      </c>
      <c r="BR499" s="309">
        <f t="shared" si="417"/>
        <v>2.4</v>
      </c>
      <c r="BT499" s="309">
        <f t="shared" si="418"/>
        <v>0</v>
      </c>
      <c r="BU499" s="309">
        <f t="shared" si="418"/>
        <v>0</v>
      </c>
      <c r="BV499" s="309">
        <f t="shared" si="418"/>
        <v>0</v>
      </c>
      <c r="BX499" s="309">
        <f t="shared" si="419"/>
        <v>0</v>
      </c>
      <c r="BY499" s="309">
        <f t="shared" si="419"/>
        <v>0</v>
      </c>
      <c r="BZ499" s="309">
        <f t="shared" si="419"/>
        <v>0</v>
      </c>
      <c r="CB499" s="309">
        <f>+CB483</f>
        <v>0</v>
      </c>
      <c r="CC499" s="309">
        <f t="shared" ref="CC499:CD499" si="429">+CC483</f>
        <v>0</v>
      </c>
      <c r="CD499" s="309">
        <f t="shared" si="429"/>
        <v>0</v>
      </c>
      <c r="CF499" s="309">
        <f>+CF483</f>
        <v>0</v>
      </c>
      <c r="CG499" s="309">
        <f t="shared" ref="CG499:CH499" si="430">+CG483</f>
        <v>0</v>
      </c>
      <c r="CH499" s="309">
        <f t="shared" si="430"/>
        <v>0</v>
      </c>
      <c r="CJ499" s="309">
        <f>+CJ483</f>
        <v>0</v>
      </c>
      <c r="CK499" s="309">
        <f t="shared" si="422"/>
        <v>0</v>
      </c>
      <c r="CL499" s="309">
        <f t="shared" si="422"/>
        <v>0</v>
      </c>
      <c r="CN499" s="309">
        <f>+CN483</f>
        <v>0</v>
      </c>
      <c r="CO499" s="309">
        <f t="shared" ref="CO499:CP499" si="431">+CO483</f>
        <v>0</v>
      </c>
      <c r="CP499" s="309">
        <f t="shared" si="431"/>
        <v>0</v>
      </c>
      <c r="CR499" s="309">
        <f>+CR483</f>
        <v>0</v>
      </c>
      <c r="CS499" s="309">
        <f t="shared" ref="CS499:CT499" si="432">+CS483</f>
        <v>0</v>
      </c>
      <c r="CT499" s="309">
        <f t="shared" si="432"/>
        <v>0</v>
      </c>
      <c r="CV499" s="309">
        <f>+CV483</f>
        <v>0</v>
      </c>
      <c r="CW499" s="1796">
        <f t="shared" si="425"/>
        <v>0</v>
      </c>
      <c r="CX499" s="309">
        <f t="shared" ref="CX499" si="433">+CX483</f>
        <v>0</v>
      </c>
      <c r="CZ499" s="309">
        <f>+CZ483</f>
        <v>0</v>
      </c>
      <c r="DA499" s="1796">
        <f t="shared" si="427"/>
        <v>0</v>
      </c>
      <c r="DB499" s="309">
        <f t="shared" si="427"/>
        <v>0</v>
      </c>
      <c r="DD499" s="309">
        <f>+DD483</f>
        <v>0</v>
      </c>
      <c r="DE499" s="1796">
        <f t="shared" ref="DE499:DF499" si="434">+DE483</f>
        <v>0</v>
      </c>
      <c r="DF499" s="309">
        <f t="shared" si="434"/>
        <v>0</v>
      </c>
      <c r="DH499" s="309">
        <f>+DH483</f>
        <v>0</v>
      </c>
      <c r="DI499" s="309">
        <f>+DI495-DI498</f>
        <v>0</v>
      </c>
      <c r="DJ499" s="309">
        <f>+DJ483</f>
        <v>0</v>
      </c>
      <c r="DL499" s="309">
        <f>+DL495-DL498</f>
        <v>0</v>
      </c>
      <c r="DM499" s="309">
        <f>+DM495-DM498</f>
        <v>0</v>
      </c>
      <c r="DN499" s="309">
        <f>+DN483</f>
        <v>0</v>
      </c>
      <c r="DP499" s="309">
        <f>+DP495-DP498</f>
        <v>0</v>
      </c>
      <c r="DQ499" s="309">
        <f>+DQ495-DQ498</f>
        <v>0</v>
      </c>
      <c r="DR499" s="309">
        <f>+DR483</f>
        <v>0</v>
      </c>
      <c r="DU499" s="309"/>
      <c r="DV499" s="309"/>
      <c r="DW499" s="309"/>
    </row>
    <row r="500" spans="1:138">
      <c r="A500" s="323" t="s">
        <v>512</v>
      </c>
      <c r="BH500" s="632">
        <f>+BH498/BH495</f>
        <v>0.85545722713864314</v>
      </c>
      <c r="BI500" s="632">
        <f>+BI498/BI495</f>
        <v>0.85635359116022092</v>
      </c>
      <c r="BJ500" s="632">
        <f>+BJ498/BJ495</f>
        <v>0.85635359116022092</v>
      </c>
      <c r="BL500" s="632">
        <f>+BL498/BL495</f>
        <v>0.87105263157894741</v>
      </c>
      <c r="BM500" s="632">
        <f>+BM498/BM495</f>
        <v>0.90243902439024382</v>
      </c>
      <c r="BN500" s="632">
        <f>+BN498/BN495</f>
        <v>0.90243902439024382</v>
      </c>
      <c r="BP500" s="632">
        <f>+BP498/BP495</f>
        <v>0.90979381443298968</v>
      </c>
      <c r="BQ500" s="632">
        <f>+BQ498/BQ495</f>
        <v>0.93954659949622166</v>
      </c>
      <c r="BR500" s="632">
        <f>+BR498/BR495</f>
        <v>0.93954659949622166</v>
      </c>
      <c r="BT500" s="632">
        <f>+BT498/BT495</f>
        <v>1</v>
      </c>
      <c r="BU500" s="632">
        <f>+BU498/BU495</f>
        <v>1</v>
      </c>
      <c r="BV500" s="632">
        <f>+BV498/BV495</f>
        <v>1</v>
      </c>
      <c r="BX500" s="632">
        <f>+BX498/BX495</f>
        <v>1</v>
      </c>
      <c r="BY500" s="632">
        <f>+BY498/BY495</f>
        <v>1</v>
      </c>
      <c r="BZ500" s="632">
        <f>+BZ498/BZ495</f>
        <v>1</v>
      </c>
      <c r="CB500" s="632">
        <f>+CB498/CB495</f>
        <v>1</v>
      </c>
      <c r="CC500" s="632">
        <f>+CC498/CC495</f>
        <v>1</v>
      </c>
      <c r="CD500" s="632">
        <f>+CD498/CD495</f>
        <v>1</v>
      </c>
      <c r="CF500" s="632">
        <f>+CF498/CF495</f>
        <v>1</v>
      </c>
      <c r="CG500" s="632">
        <f>+CG498/CG495</f>
        <v>1</v>
      </c>
      <c r="CH500" s="632">
        <f>+CH498/CH495</f>
        <v>1</v>
      </c>
      <c r="CJ500" s="632">
        <f>+CJ498/CJ495</f>
        <v>1</v>
      </c>
      <c r="CK500" s="632">
        <f>+CK498/CK495</f>
        <v>1</v>
      </c>
      <c r="CL500" s="632">
        <f>+CL498/CL495</f>
        <v>1</v>
      </c>
      <c r="CN500" s="632">
        <f>+CN498/CN495</f>
        <v>1</v>
      </c>
      <c r="CO500" s="632">
        <f>+CO498/CO495</f>
        <v>1</v>
      </c>
      <c r="CP500" s="632">
        <f>+CP498/CP495</f>
        <v>1</v>
      </c>
      <c r="CR500" s="632">
        <f>+CR498/CR495</f>
        <v>1</v>
      </c>
      <c r="CS500" s="632">
        <f>+CS498/CS495</f>
        <v>1</v>
      </c>
      <c r="CT500" s="632">
        <f>+CT498/CT495</f>
        <v>1</v>
      </c>
      <c r="CV500" s="632">
        <f>+CV498/CV495</f>
        <v>1</v>
      </c>
      <c r="CW500" s="632">
        <f>+CW498/CW495</f>
        <v>1</v>
      </c>
      <c r="CX500" s="632">
        <f>+CX498/CX495</f>
        <v>1</v>
      </c>
      <c r="CZ500" s="632">
        <f>+CZ498/CZ495</f>
        <v>1</v>
      </c>
      <c r="DA500" s="632">
        <f>+DA498/DA495</f>
        <v>1</v>
      </c>
      <c r="DB500" s="632">
        <f>+DB498/DB495</f>
        <v>1</v>
      </c>
      <c r="DD500" s="632">
        <f>+DD498/DD495</f>
        <v>1</v>
      </c>
      <c r="DE500" s="632">
        <f>+DE498/DE495</f>
        <v>1</v>
      </c>
      <c r="DF500" s="632">
        <f>+DF498/DF495</f>
        <v>1</v>
      </c>
      <c r="DH500" s="632">
        <f>+DH498/DH495</f>
        <v>1</v>
      </c>
      <c r="DI500" s="1536">
        <f>DH500</f>
        <v>1</v>
      </c>
      <c r="DJ500" s="632">
        <f>+DJ498/DJ495</f>
        <v>1</v>
      </c>
      <c r="DL500" s="1536">
        <f>DI500</f>
        <v>1</v>
      </c>
      <c r="DM500" s="1536">
        <f>DL500</f>
        <v>1</v>
      </c>
      <c r="DN500" s="632">
        <f>+DN498/DN495</f>
        <v>1</v>
      </c>
      <c r="DP500" s="1536">
        <f>DM500</f>
        <v>1</v>
      </c>
      <c r="DQ500" s="1536">
        <f>DP500</f>
        <v>1</v>
      </c>
      <c r="DR500" s="632">
        <f>+DR498/DR495</f>
        <v>1</v>
      </c>
      <c r="DU500" s="1130"/>
      <c r="DV500" s="1130"/>
      <c r="DW500" s="1125"/>
      <c r="DZ500" s="102"/>
    </row>
    <row r="502" spans="1:138">
      <c r="A502" s="692" t="s">
        <v>17</v>
      </c>
      <c r="B502" s="693"/>
      <c r="C502" s="694"/>
      <c r="D502" s="693"/>
      <c r="E502" s="693"/>
      <c r="F502" s="693"/>
      <c r="G502" s="693"/>
      <c r="H502" s="693"/>
      <c r="I502" s="693"/>
      <c r="J502" s="693"/>
      <c r="K502" s="693"/>
      <c r="L502" s="693"/>
      <c r="M502" s="693"/>
      <c r="N502" s="693"/>
      <c r="O502" s="693"/>
      <c r="P502" s="694"/>
      <c r="Q502" s="694"/>
      <c r="R502" s="694"/>
      <c r="S502" s="694"/>
      <c r="T502" s="694"/>
      <c r="U502" s="694"/>
      <c r="V502" s="694"/>
      <c r="W502" s="694"/>
      <c r="X502" s="694"/>
      <c r="Y502" s="694"/>
      <c r="Z502" s="694"/>
      <c r="AA502" s="694"/>
      <c r="AB502" s="694"/>
      <c r="AC502" s="694"/>
      <c r="AD502" s="694"/>
      <c r="AE502" s="694"/>
      <c r="AF502" s="694"/>
      <c r="AG502" s="694"/>
      <c r="AH502" s="694"/>
      <c r="AI502" s="694"/>
      <c r="AJ502" s="694"/>
      <c r="AK502" s="694"/>
      <c r="AL502" s="694"/>
      <c r="AM502" s="694"/>
      <c r="AN502" s="694"/>
      <c r="AO502" s="694"/>
      <c r="AP502" s="694"/>
      <c r="AQ502" s="694"/>
      <c r="AR502" s="694"/>
      <c r="AS502" s="694"/>
      <c r="AT502" s="694"/>
      <c r="AU502" s="694"/>
      <c r="AV502" s="799"/>
      <c r="AW502" s="799"/>
      <c r="AX502" s="799"/>
      <c r="AY502" s="694"/>
      <c r="AZ502" s="799"/>
      <c r="BA502" s="799"/>
      <c r="BB502" s="799"/>
      <c r="BC502" s="694"/>
      <c r="BD502" s="799"/>
      <c r="BE502" s="799"/>
      <c r="BF502" s="799"/>
      <c r="BG502" s="694"/>
      <c r="BH502" s="799"/>
      <c r="BI502" s="799"/>
      <c r="BJ502" s="799"/>
      <c r="BK502" s="694"/>
      <c r="BL502" s="799"/>
      <c r="BM502" s="799"/>
      <c r="BN502" s="799"/>
      <c r="BO502" s="694"/>
      <c r="BP502" s="799"/>
      <c r="BQ502" s="799"/>
      <c r="BR502" s="799"/>
      <c r="BS502" s="694"/>
      <c r="BT502" s="799"/>
      <c r="BU502" s="799"/>
      <c r="BV502" s="799"/>
      <c r="BW502" s="694"/>
      <c r="BX502" s="799"/>
      <c r="BY502" s="799"/>
      <c r="BZ502" s="799"/>
      <c r="CA502" s="694"/>
      <c r="CB502" s="799"/>
      <c r="CC502" s="799"/>
      <c r="CD502" s="799"/>
      <c r="CE502" s="694"/>
      <c r="CF502" s="799"/>
      <c r="CG502" s="799"/>
      <c r="CH502" s="799"/>
      <c r="CI502" s="694"/>
      <c r="CJ502" s="799"/>
      <c r="CK502" s="799"/>
      <c r="CL502" s="799"/>
      <c r="CM502" s="694"/>
      <c r="CN502" s="799"/>
      <c r="CO502" s="799"/>
      <c r="CP502" s="799"/>
      <c r="CQ502" s="694"/>
      <c r="CR502" s="799"/>
      <c r="CS502" s="799"/>
      <c r="CT502" s="799"/>
      <c r="CU502" s="694"/>
      <c r="CV502" s="799"/>
      <c r="CW502" s="1822"/>
      <c r="CX502" s="799"/>
      <c r="CY502" s="694"/>
      <c r="CZ502" s="799"/>
      <c r="DA502" s="799"/>
      <c r="DB502" s="799"/>
      <c r="DC502" s="694"/>
      <c r="DD502" s="799"/>
      <c r="DE502" s="799"/>
      <c r="DF502" s="799"/>
      <c r="DG502" s="694"/>
      <c r="DH502" s="799"/>
      <c r="DI502" s="799"/>
      <c r="DJ502" s="799"/>
      <c r="DK502" s="694"/>
      <c r="DL502" s="799"/>
      <c r="DM502" s="799"/>
      <c r="DN502" s="799"/>
      <c r="DO502" s="694"/>
      <c r="DP502" s="799"/>
      <c r="DQ502" s="799"/>
      <c r="DR502" s="799"/>
      <c r="DS502" s="694"/>
      <c r="DU502" s="293"/>
      <c r="DV502" s="293"/>
      <c r="DW502" s="293"/>
    </row>
    <row r="503" spans="1:138">
      <c r="A503" s="289"/>
      <c r="X503" s="293"/>
      <c r="Y503" s="293"/>
      <c r="Z503" s="293"/>
      <c r="AB503" s="293"/>
      <c r="AC503" s="293"/>
      <c r="AD503" s="293"/>
      <c r="AE503" s="293"/>
      <c r="AF503" s="293"/>
      <c r="AG503" s="293"/>
      <c r="AH503" s="293"/>
      <c r="AJ503" s="293"/>
      <c r="AK503" s="293"/>
      <c r="AL503" s="293"/>
      <c r="AN503" s="293"/>
      <c r="AO503" s="293"/>
      <c r="AP503" s="293"/>
      <c r="AR503" s="293"/>
      <c r="AS503" s="293"/>
      <c r="AT503" s="293"/>
      <c r="AV503" s="700"/>
      <c r="AZ503" s="700"/>
      <c r="BD503" s="700"/>
      <c r="BH503" s="700"/>
      <c r="BL503" s="700"/>
      <c r="BP503" s="700"/>
      <c r="BT503" s="700"/>
      <c r="BX503" s="700"/>
      <c r="CB503" s="700"/>
      <c r="CF503" s="700"/>
      <c r="CJ503" s="700"/>
      <c r="CN503" s="700"/>
      <c r="CR503" s="700"/>
      <c r="CV503" s="700"/>
      <c r="CZ503" s="700"/>
      <c r="DD503" s="700"/>
      <c r="DH503" s="700"/>
      <c r="DL503" s="700"/>
      <c r="DP503" s="700"/>
      <c r="DU503" s="700"/>
    </row>
    <row r="504" spans="1:138">
      <c r="A504" s="102" t="s">
        <v>61</v>
      </c>
      <c r="C504" s="103" t="s">
        <v>63</v>
      </c>
      <c r="P504" s="711">
        <f>'EPS and DPS'!P43</f>
        <v>202.53310300000001</v>
      </c>
      <c r="Q504" s="711">
        <f>'EPS and DPS'!Q43</f>
        <v>204.49814400000002</v>
      </c>
      <c r="R504" s="711">
        <f>'EPS and DPS'!R43</f>
        <v>204.49814400000002</v>
      </c>
      <c r="S504" s="654"/>
      <c r="T504" s="711">
        <f>'EPS and DPS'!T43</f>
        <v>217.567485</v>
      </c>
      <c r="U504" s="711">
        <f>'EPS and DPS'!U43</f>
        <v>215.91628500000002</v>
      </c>
      <c r="V504" s="711">
        <f>'EPS and DPS'!V43</f>
        <v>215.91628499999999</v>
      </c>
      <c r="W504" s="654"/>
      <c r="X504" s="711">
        <f>'EPS and DPS'!X43</f>
        <v>219.76099399999998</v>
      </c>
      <c r="Y504" s="711">
        <f>'EPS and DPS'!Y43</f>
        <v>223.68359199999998</v>
      </c>
      <c r="Z504" s="711">
        <f>'EPS and DPS'!Z43</f>
        <v>223.68359199999998</v>
      </c>
      <c r="AA504" s="654"/>
      <c r="AB504" s="711">
        <f>'EPS and DPS'!AB43</f>
        <v>219.76099399999998</v>
      </c>
      <c r="AC504" s="711">
        <f>'EPS and DPS'!AC43</f>
        <v>223.68359199999998</v>
      </c>
      <c r="AD504" s="711">
        <f>'EPS and DPS'!AD43</f>
        <v>223.68359199999998</v>
      </c>
      <c r="AE504" s="800"/>
      <c r="AF504" s="711">
        <f>'EPS and DPS'!AF43</f>
        <v>230.31941699999999</v>
      </c>
      <c r="AG504" s="711">
        <f>'EPS and DPS'!AG43</f>
        <v>232.440369</v>
      </c>
      <c r="AH504" s="711">
        <f>'EPS and DPS'!AH43</f>
        <v>232.44036899999998</v>
      </c>
      <c r="AI504" s="654"/>
      <c r="AJ504" s="711">
        <f>'EPS and DPS'!AJ43</f>
        <v>249.68324899999999</v>
      </c>
      <c r="AK504" s="711">
        <f>'EPS and DPS'!AK43</f>
        <v>253.941205</v>
      </c>
      <c r="AL504" s="711">
        <f>'EPS and DPS'!AL43</f>
        <v>253.941205</v>
      </c>
      <c r="AM504" s="654"/>
      <c r="AN504" s="711">
        <f>'EPS and DPS'!AN43</f>
        <v>271.086657</v>
      </c>
      <c r="AO504" s="711">
        <f>'EPS and DPS'!AO43</f>
        <v>274.57084000000003</v>
      </c>
      <c r="AP504" s="711">
        <f>'EPS and DPS'!AP43</f>
        <v>274.57084000000003</v>
      </c>
      <c r="AQ504" s="654"/>
      <c r="AR504" s="711">
        <f>'EPS and DPS'!AR43</f>
        <v>281.016368</v>
      </c>
      <c r="AS504" s="711">
        <f>'EPS and DPS'!AS43</f>
        <v>283.43799999999999</v>
      </c>
      <c r="AT504" s="711">
        <f>'EPS and DPS'!AT43</f>
        <v>283.43799999999999</v>
      </c>
      <c r="AV504" s="711">
        <f>'EPS and DPS'!AV43</f>
        <v>342.18302399999999</v>
      </c>
      <c r="AW504" s="711">
        <f>'EPS and DPS'!AW43</f>
        <v>344.24427100000003</v>
      </c>
      <c r="AX504" s="711">
        <f>'EPS and DPS'!AX43</f>
        <v>344.24427100000003</v>
      </c>
      <c r="AY504" s="654"/>
      <c r="AZ504" s="711">
        <f>'EPS and DPS'!AZ43</f>
        <v>345.60130099999998</v>
      </c>
      <c r="BA504" s="711">
        <f>'EPS and DPS'!BA43</f>
        <v>346.81496099999998</v>
      </c>
      <c r="BB504" s="711">
        <f>'EPS and DPS'!BB43</f>
        <v>346.81496099999998</v>
      </c>
      <c r="BC504" s="654"/>
      <c r="BD504" s="711">
        <f>'EPS and DPS'!BD43</f>
        <v>348.285032</v>
      </c>
      <c r="BE504" s="711">
        <f>'EPS and DPS'!BE43</f>
        <v>348.584383</v>
      </c>
      <c r="BF504" s="711">
        <f>'EPS and DPS'!BF43</f>
        <v>348.584383</v>
      </c>
      <c r="BG504" s="654"/>
      <c r="BH504" s="711">
        <f>'EPS and DPS'!BH43</f>
        <v>339.00911100000002</v>
      </c>
      <c r="BI504" s="711">
        <f>'EPS and DPS'!BI43</f>
        <v>339.50657799999999</v>
      </c>
      <c r="BJ504" s="711">
        <f>'EPS and DPS'!BJ43</f>
        <v>339.50657799999999</v>
      </c>
      <c r="BK504" s="654"/>
      <c r="BL504" s="711">
        <f>'EPS and DPS'!BL43</f>
        <v>339.888036</v>
      </c>
      <c r="BM504" s="711">
        <f>'EPS and DPS'!BM43</f>
        <v>321.07474999999999</v>
      </c>
      <c r="BN504" s="711">
        <f>'EPS and DPS'!BN43</f>
        <v>321.07474999999999</v>
      </c>
      <c r="BO504" s="654"/>
      <c r="BP504" s="711">
        <f>'EPS and DPS'!BP43</f>
        <v>321.20299399999999</v>
      </c>
      <c r="BQ504" s="711">
        <f>'EPS and DPS'!BQ43</f>
        <v>333.45777699999996</v>
      </c>
      <c r="BR504" s="711">
        <f>'EPS and DPS'!BR43</f>
        <v>333.45777700000002</v>
      </c>
      <c r="BS504" s="654"/>
      <c r="BT504" s="711">
        <f>'EPS and DPS'!BT43</f>
        <v>333.53196000000003</v>
      </c>
      <c r="BU504" s="711">
        <f>'EPS and DPS'!BU43</f>
        <v>340.30238900000006</v>
      </c>
      <c r="BV504" s="711">
        <f>'EPS and DPS'!BV43</f>
        <v>340.30238900000001</v>
      </c>
      <c r="BW504" s="654"/>
      <c r="BX504" s="711">
        <f>'EPS and DPS'!BX43</f>
        <v>340.33847400000002</v>
      </c>
      <c r="BY504" s="711">
        <f>'EPS and DPS'!BY43</f>
        <v>340.35173099999997</v>
      </c>
      <c r="BZ504" s="711">
        <f>'EPS and DPS'!BZ43</f>
        <v>340.35173099999997</v>
      </c>
      <c r="CA504" s="654"/>
      <c r="CB504" s="711">
        <f>'EPS and DPS'!CB43</f>
        <v>340.35790300000002</v>
      </c>
      <c r="CC504" s="711">
        <f>'EPS and DPS'!CC43</f>
        <v>340.36482000000001</v>
      </c>
      <c r="CD504" s="711">
        <f>'EPS and DPS'!CD43</f>
        <v>340.36482000000001</v>
      </c>
      <c r="CE504" s="654"/>
      <c r="CF504" s="711">
        <f>'EPS and DPS'!CF43</f>
        <v>340.38273800000002</v>
      </c>
      <c r="CG504" s="711">
        <f>'EPS and DPS'!CG43</f>
        <v>340.38273800000002</v>
      </c>
      <c r="CH504" s="711">
        <f>'EPS and DPS'!CH43</f>
        <v>340.38273800000002</v>
      </c>
      <c r="CI504" s="654"/>
      <c r="CJ504" s="711">
        <f>'EPS and DPS'!CJ43</f>
        <v>354.37646699999999</v>
      </c>
      <c r="CK504" s="711">
        <f>'EPS and DPS'!CK43</f>
        <v>354.381396</v>
      </c>
      <c r="CL504" s="711">
        <f>'EPS and DPS'!CL43</f>
        <v>354.381396</v>
      </c>
      <c r="CM504" s="654"/>
      <c r="CN504" s="711">
        <f>'EPS and DPS'!CN43</f>
        <v>361.50362699999999</v>
      </c>
      <c r="CO504" s="711">
        <f>'EPS and DPS'!CO43</f>
        <v>361.82137699999998</v>
      </c>
      <c r="CP504" s="711">
        <f>'EPS and DPS'!CP43</f>
        <v>361.82137699999998</v>
      </c>
      <c r="CQ504" s="654"/>
      <c r="CR504" s="711">
        <f>'EPS and DPS'!CR43</f>
        <v>368.82316900000001</v>
      </c>
      <c r="CS504" s="711">
        <f>'EPS and DPS'!CS43</f>
        <v>383.64763699999997</v>
      </c>
      <c r="CT504" s="711">
        <f>'EPS and DPS'!CT43</f>
        <v>383.64763699999997</v>
      </c>
      <c r="CU504" s="654"/>
      <c r="CV504" s="711">
        <f>'EPS and DPS'!CV43</f>
        <v>386.47675400000003</v>
      </c>
      <c r="CW504" s="1809">
        <f>'EPS and DPS'!CW43</f>
        <v>386.47675400000003</v>
      </c>
      <c r="CX504" s="711">
        <f>'EPS and DPS'!CX43</f>
        <v>386.47675400000003</v>
      </c>
      <c r="CY504" s="654"/>
      <c r="CZ504" s="711">
        <f>'EPS and DPS'!CZ43</f>
        <v>386.47675400000003</v>
      </c>
      <c r="DA504" s="1809">
        <f>'EPS and DPS'!DA43</f>
        <v>382.96253300000001</v>
      </c>
      <c r="DB504" s="711">
        <f>'EPS and DPS'!DB43</f>
        <v>382.96253300000001</v>
      </c>
      <c r="DC504" s="654"/>
      <c r="DD504" s="711">
        <f>'EPS and DPS'!DD43</f>
        <v>381.13841500000001</v>
      </c>
      <c r="DE504" s="1809">
        <f>'EPS and DPS'!DE43</f>
        <v>381.13841500000001</v>
      </c>
      <c r="DF504" s="711">
        <f>'EPS and DPS'!DF43</f>
        <v>381.13841500000001</v>
      </c>
      <c r="DG504" s="654"/>
      <c r="DH504" s="711">
        <f>'EPS and DPS'!DH43</f>
        <v>381.13841500000001</v>
      </c>
      <c r="DI504" s="711">
        <f>'EPS and DPS'!DI43</f>
        <v>382.09126103750003</v>
      </c>
      <c r="DJ504" s="711">
        <f>'EPS and DPS'!DJ43</f>
        <v>382.09126103750003</v>
      </c>
      <c r="DK504" s="654"/>
      <c r="DL504" s="711">
        <f>'EPS and DPS'!DL43</f>
        <v>383.04648919009378</v>
      </c>
      <c r="DM504" s="711">
        <f>'EPS and DPS'!DM43</f>
        <v>384.004105413069</v>
      </c>
      <c r="DN504" s="711">
        <f>'EPS and DPS'!DN43</f>
        <v>384.004105413069</v>
      </c>
      <c r="DO504" s="654"/>
      <c r="DP504" s="711">
        <f>'EPS and DPS'!DP43</f>
        <v>384.96411567660169</v>
      </c>
      <c r="DQ504" s="711">
        <f>'EPS and DPS'!DQ43</f>
        <v>385.92652596579319</v>
      </c>
      <c r="DR504" s="711">
        <f>'EPS and DPS'!DR43</f>
        <v>385.92652596579319</v>
      </c>
      <c r="DS504" s="654"/>
      <c r="DU504" s="711"/>
      <c r="DV504" s="711"/>
      <c r="DW504" s="711"/>
    </row>
    <row r="505" spans="1:138">
      <c r="A505" s="102" t="s">
        <v>957</v>
      </c>
      <c r="C505" s="103" t="s">
        <v>63</v>
      </c>
      <c r="P505" s="711"/>
      <c r="Q505" s="711"/>
      <c r="R505" s="711"/>
      <c r="S505" s="654"/>
      <c r="T505" s="711"/>
      <c r="U505" s="711"/>
      <c r="V505" s="711"/>
      <c r="W505" s="654"/>
      <c r="X505" s="711"/>
      <c r="Y505" s="711"/>
      <c r="Z505" s="711"/>
      <c r="AA505" s="654"/>
      <c r="AB505" s="711"/>
      <c r="AC505" s="711"/>
      <c r="AD505" s="711"/>
      <c r="AE505" s="800"/>
      <c r="AF505" s="711"/>
      <c r="AG505" s="711"/>
      <c r="AH505" s="711"/>
      <c r="AI505" s="654"/>
      <c r="AJ505" s="711"/>
      <c r="AK505" s="711"/>
      <c r="AL505" s="711"/>
      <c r="AM505" s="654"/>
      <c r="AN505" s="711">
        <f>'EPS and DPS'!AN24+'EPS and DPS'!AN25+'EPS and DPS'!AN26+AN504</f>
        <v>280.84324800000002</v>
      </c>
      <c r="AO505" s="711">
        <f>'EPS and DPS'!AO24+'EPS and DPS'!AO25+'EPS and DPS'!AO26+AO504</f>
        <v>278.82849400000003</v>
      </c>
      <c r="AP505" s="711">
        <f>'EPS and DPS'!AP24+'EPS and DPS'!AP25+'EPS and DPS'!AP26+AP504</f>
        <v>281.59387800000002</v>
      </c>
      <c r="AQ505" s="654"/>
      <c r="AR505" s="711">
        <f>'EPS and DPS'!AR24+'EPS and DPS'!AR25+'EPS and DPS'!AR26+AR504</f>
        <v>282.81961100000001</v>
      </c>
      <c r="AS505" s="711">
        <f>'EPS and DPS'!AS24+'EPS and DPS'!AS25+'EPS and DPS'!AS26+AS504</f>
        <v>283.54234299999996</v>
      </c>
      <c r="AT505" s="711">
        <f>'EPS and DPS'!AT24+'EPS and DPS'!AT25+'EPS and DPS'!AT26+AT504</f>
        <v>284.39179300000001</v>
      </c>
      <c r="AV505" s="711">
        <f>'EPS and DPS'!AV24+'EPS and DPS'!AV25+'EPS and DPS'!AV26+AV504</f>
        <v>354.21289400000001</v>
      </c>
      <c r="AW505" s="711">
        <f>'EPS and DPS'!AW24+'EPS and DPS'!AW25+'EPS and DPS'!AW26+AW504</f>
        <v>358.08477700000003</v>
      </c>
      <c r="AX505" s="711">
        <f>'EPS and DPS'!AX24+'EPS and DPS'!AX25+'EPS and DPS'!AX26+AX504</f>
        <v>357.17945900000001</v>
      </c>
      <c r="AY505" s="654"/>
      <c r="AZ505" s="711">
        <f>'EPS and DPS'!AZ24+'EPS and DPS'!AZ25+'EPS and DPS'!AZ26+AZ504</f>
        <v>365.311533</v>
      </c>
      <c r="BA505" s="711">
        <f>'EPS and DPS'!BA24+'EPS and DPS'!BA25+'EPS and DPS'!BA26+BA504</f>
        <v>368.88344499999999</v>
      </c>
      <c r="BB505" s="711">
        <f>'EPS and DPS'!BB24+'EPS and DPS'!BB25+'EPS and DPS'!BB26+BB504</f>
        <v>367.704319</v>
      </c>
      <c r="BC505" s="654"/>
      <c r="BD505" s="711">
        <f>'EPS and DPS'!BD24+'EPS and DPS'!BD25+'EPS and DPS'!BD26+BD504</f>
        <v>353.19838299999998</v>
      </c>
      <c r="BE505" s="711">
        <f>'EPS and DPS'!BE24+'EPS and DPS'!BE25+'EPS and DPS'!BE26+BE504</f>
        <v>360.94529699999998</v>
      </c>
      <c r="BF505" s="711">
        <f>'EPS and DPS'!BF24+'EPS and DPS'!BF25+'EPS and DPS'!BF26+BF504</f>
        <v>361.10364500000003</v>
      </c>
      <c r="BG505" s="654"/>
      <c r="BH505" s="711">
        <f>'EPS and DPS'!BH24+'EPS and DPS'!BH25+'EPS and DPS'!BH26+BH504</f>
        <v>363.37196800000004</v>
      </c>
      <c r="BI505" s="711">
        <f>'EPS and DPS'!BI24+'EPS and DPS'!BI25+'EPS and DPS'!BI26+BI504</f>
        <v>382.07956999999999</v>
      </c>
      <c r="BJ505" s="711">
        <f>'EPS and DPS'!BJ24+'EPS and DPS'!BJ25+'EPS and DPS'!BJ26+BJ504</f>
        <v>381.34187800000001</v>
      </c>
      <c r="BK505" s="654"/>
      <c r="BL505" s="711">
        <f>'EPS and DPS'!BL24+'EPS and DPS'!BL25+'EPS and DPS'!BL26+BL504</f>
        <v>382.60365100000001</v>
      </c>
      <c r="BM505" s="711">
        <f>'EPS and DPS'!BM24+'EPS and DPS'!BM25+'EPS and DPS'!BM26+BM504</f>
        <v>361.02064999999999</v>
      </c>
      <c r="BN505" s="711">
        <f>'EPS and DPS'!BN24+'EPS and DPS'!BN25+'EPS and DPS'!BN26+BN504</f>
        <v>360.886796</v>
      </c>
      <c r="BO505" s="654"/>
      <c r="BP505" s="711">
        <f>'EPS and DPS'!BP24+'EPS and DPS'!BP25+'EPS and DPS'!BP26+BP504</f>
        <v>356.73744999999997</v>
      </c>
      <c r="BQ505" s="711">
        <f>'EPS and DPS'!BQ24+'EPS and DPS'!BQ25+'EPS and DPS'!BQ26+BQ504</f>
        <v>370.25777699999998</v>
      </c>
      <c r="BR505" s="711">
        <f>'EPS and DPS'!BR24+'EPS and DPS'!BR25+'EPS and DPS'!BR26+BR504</f>
        <v>367.69370200000003</v>
      </c>
      <c r="BS505" s="654"/>
      <c r="BT505" s="711">
        <f>'EPS and DPS'!BT24+'EPS and DPS'!BT25+'EPS and DPS'!BT26+BT504</f>
        <v>370.03143500000004</v>
      </c>
      <c r="BU505" s="711">
        <f>'EPS and DPS'!BU24+'EPS and DPS'!BU25+'EPS and DPS'!BU26+BU504</f>
        <v>381.88567800000004</v>
      </c>
      <c r="BV505" s="711">
        <f>'EPS and DPS'!BV24+'EPS and DPS'!BV25+'EPS and DPS'!BV26+BV504</f>
        <v>379.343771</v>
      </c>
      <c r="BW505" s="654"/>
      <c r="BX505" s="711">
        <f>'EPS and DPS'!BX24+'EPS and DPS'!BX25+'EPS and DPS'!BX26+BX504</f>
        <v>376.26608200000004</v>
      </c>
      <c r="BY505" s="711">
        <f>'EPS and DPS'!BY24+'EPS and DPS'!BY25+'EPS and DPS'!BY26+BY504</f>
        <v>373.33197699999999</v>
      </c>
      <c r="BZ505" s="711">
        <f>'EPS and DPS'!BZ24+'EPS and DPS'!BZ25+'EPS and DPS'!BZ26+BZ504</f>
        <v>374.80565799999999</v>
      </c>
      <c r="CA505" s="654"/>
      <c r="CB505" s="711">
        <f>'EPS and DPS'!CB24+'EPS and DPS'!CB25+'EPS and DPS'!CB26+CB504</f>
        <v>372.49470300000002</v>
      </c>
      <c r="CC505" s="711">
        <f>'EPS and DPS'!CC24+'EPS and DPS'!CC25+'EPS and DPS'!CC26+CC504</f>
        <v>365.390198</v>
      </c>
      <c r="CD505" s="711">
        <f>'EPS and DPS'!CD24+'EPS and DPS'!CD25+'EPS and DPS'!CD26+CD504</f>
        <v>368.94590900000003</v>
      </c>
      <c r="CE505" s="654"/>
      <c r="CF505" s="711">
        <f>'EPS and DPS'!CF24+'EPS and DPS'!CF25+'EPS and DPS'!CF26+CF504</f>
        <v>363.07229900000004</v>
      </c>
      <c r="CG505" s="711">
        <f>'EPS and DPS'!CG24+'EPS and DPS'!CG25+'EPS and DPS'!CG26+CG504</f>
        <v>372.13565700000004</v>
      </c>
      <c r="CH505" s="711">
        <f>'EPS and DPS'!CH24+'EPS and DPS'!CH25+'EPS and DPS'!CH26+CH504</f>
        <v>367.60397800000004</v>
      </c>
      <c r="CI505" s="654"/>
      <c r="CJ505" s="711">
        <f>'EPS and DPS'!CJ24+'EPS and DPS'!CJ25+'EPS and DPS'!CJ26+CJ504</f>
        <v>387.86576400000001</v>
      </c>
      <c r="CK505" s="711">
        <f>'EPS and DPS'!CK24+'EPS and DPS'!CK25+'EPS and DPS'!CK26+CK504</f>
        <v>395.54323899999997</v>
      </c>
      <c r="CL505" s="711">
        <f>'EPS and DPS'!CL24+'EPS and DPS'!CL25+'EPS and DPS'!CL26+CL504</f>
        <v>391.70696599999997</v>
      </c>
      <c r="CM505" s="654"/>
      <c r="CN505" s="711">
        <f>'EPS and DPS'!CN24+'EPS and DPS'!CN25+'EPS and DPS'!CN26+CN504</f>
        <v>389.37796500000002</v>
      </c>
      <c r="CO505" s="711">
        <f>'EPS and DPS'!CO24+'EPS and DPS'!CO25+'EPS and DPS'!CO26+CO504</f>
        <v>392.96251100000001</v>
      </c>
      <c r="CP505" s="711">
        <f>'EPS and DPS'!CP24+'EPS and DPS'!CP25+'EPS and DPS'!CP26+CP504</f>
        <v>391.32911300000001</v>
      </c>
      <c r="CQ505" s="654"/>
      <c r="CR505" s="711">
        <f>'EPS and DPS'!CR24+'EPS and DPS'!CR25+'EPS and DPS'!CR26+CR504</f>
        <v>398.56136300000003</v>
      </c>
      <c r="CS505" s="711">
        <f>'EPS and DPS'!CS24+'EPS and DPS'!CS25+'EPS and DPS'!CS26+CS504</f>
        <v>414.56942499999997</v>
      </c>
      <c r="CT505" s="711">
        <f>'EPS and DPS'!CT24+'EPS and DPS'!CT25+'EPS and DPS'!CT26+CT504</f>
        <v>413.97762799999998</v>
      </c>
      <c r="CU505" s="654"/>
      <c r="CV505" s="711">
        <f>'EPS and DPS'!CV24+'EPS and DPS'!CV25+'EPS and DPS'!CV26+CV504</f>
        <v>421.89343800000006</v>
      </c>
      <c r="CW505" s="1809">
        <f>'EPS and DPS'!CW24+'EPS and DPS'!CW25+'EPS and DPS'!CW26+CW504</f>
        <v>423.29631600000005</v>
      </c>
      <c r="CX505" s="711">
        <f>'EPS and DPS'!CX24+'EPS and DPS'!CX25+'EPS and DPS'!CX26+CX504</f>
        <v>422.594877</v>
      </c>
      <c r="CY505" s="654"/>
      <c r="CZ505" s="711">
        <f>'EPS and DPS'!CZ24+'EPS and DPS'!CZ25+'EPS and DPS'!CZ26+CZ504</f>
        <v>397.18537200000003</v>
      </c>
      <c r="DA505" s="1809">
        <f>'EPS and DPS'!DA24+'EPS and DPS'!DA25+'EPS and DPS'!DA26+DA504</f>
        <v>394.86566900000003</v>
      </c>
      <c r="DB505" s="711">
        <f>'EPS and DPS'!DB24+'EPS and DPS'!DB25+'EPS and DPS'!DB26+DB504</f>
        <v>394.26841000000002</v>
      </c>
      <c r="DC505" s="654"/>
      <c r="DD505" s="711">
        <f>'EPS and DPS'!DD24+'EPS and DPS'!DD25+'EPS and DPS'!DD26+DD504</f>
        <v>391.32843700000001</v>
      </c>
      <c r="DE505" s="1809">
        <f>'EPS and DPS'!DE24+'EPS and DPS'!DE25+'EPS and DPS'!DE26+DE504</f>
        <v>391.88746300000003</v>
      </c>
      <c r="DF505" s="711">
        <f>'EPS and DPS'!DF24+'EPS and DPS'!DF25+'EPS and DPS'!DF26+DF504</f>
        <v>391.60795000000002</v>
      </c>
      <c r="DG505" s="654"/>
      <c r="DH505" s="711">
        <f>'EPS and DPS'!DH24+'EPS and DPS'!DH25+'EPS and DPS'!DH26+DH504</f>
        <v>390.657377</v>
      </c>
      <c r="DI505" s="711"/>
      <c r="DJ505" s="711"/>
      <c r="DK505" s="654"/>
      <c r="DL505" s="711"/>
      <c r="DM505" s="711"/>
      <c r="DN505" s="711"/>
      <c r="DO505" s="654"/>
      <c r="DP505" s="711"/>
      <c r="DQ505" s="711"/>
      <c r="DR505" s="711"/>
      <c r="DS505" s="654"/>
      <c r="DU505" s="711"/>
      <c r="DV505" s="711"/>
      <c r="DW505" s="711"/>
    </row>
    <row r="506" spans="1:138">
      <c r="A506" s="289"/>
      <c r="P506" s="293"/>
      <c r="Q506" s="293"/>
      <c r="R506" s="293"/>
      <c r="T506" s="293"/>
      <c r="U506" s="293"/>
      <c r="V506" s="293"/>
      <c r="X506" s="293"/>
      <c r="Y506" s="293"/>
      <c r="Z506" s="293"/>
      <c r="AB506" s="293"/>
      <c r="AC506" s="293"/>
      <c r="AD506" s="293"/>
      <c r="AE506" s="293"/>
      <c r="AF506" s="293"/>
      <c r="AG506" s="293"/>
      <c r="AH506" s="293"/>
      <c r="AJ506" s="293"/>
      <c r="AK506" s="293"/>
      <c r="AL506" s="293"/>
      <c r="AN506" s="293"/>
      <c r="AO506" s="293"/>
      <c r="AP506" s="293"/>
      <c r="AR506" s="293"/>
      <c r="AS506" s="293"/>
      <c r="AT506" s="293"/>
      <c r="AV506" s="293"/>
      <c r="AW506" s="293"/>
      <c r="AX506" s="293"/>
      <c r="AZ506" s="293"/>
      <c r="BA506" s="293"/>
      <c r="BB506" s="293"/>
      <c r="BD506" s="293"/>
      <c r="BE506" s="293"/>
      <c r="BF506" s="293"/>
      <c r="BH506" s="293"/>
      <c r="BI506" s="293"/>
      <c r="BJ506" s="293"/>
      <c r="BL506" s="293"/>
      <c r="BM506" s="293"/>
      <c r="BN506" s="293"/>
      <c r="BP506" s="293"/>
      <c r="BQ506" s="293"/>
      <c r="BR506" s="293"/>
      <c r="BT506" s="293"/>
      <c r="BU506" s="293"/>
      <c r="BV506" s="293"/>
      <c r="BX506" s="293"/>
      <c r="BY506" s="293"/>
      <c r="BZ506" s="293"/>
      <c r="CB506" s="293"/>
      <c r="CC506" s="293"/>
      <c r="CD506" s="293"/>
      <c r="CF506" s="293"/>
      <c r="CG506" s="293"/>
      <c r="CH506" s="293"/>
      <c r="CJ506" s="293"/>
      <c r="CK506" s="293"/>
      <c r="CL506" s="293"/>
      <c r="CN506" s="293"/>
      <c r="CO506" s="293"/>
      <c r="CP506" s="293"/>
      <c r="CR506" s="293"/>
      <c r="CS506" s="293"/>
      <c r="CT506" s="293"/>
      <c r="CV506" s="293"/>
      <c r="CW506" s="1495"/>
      <c r="CX506" s="293"/>
      <c r="CZ506" s="293"/>
      <c r="DA506" s="1495"/>
      <c r="DB506" s="293"/>
      <c r="DD506" s="293"/>
      <c r="DE506" s="1495"/>
      <c r="DF506" s="293"/>
      <c r="DH506" s="293"/>
      <c r="DI506" s="293"/>
      <c r="DJ506" s="293"/>
      <c r="DL506" s="293"/>
      <c r="DM506" s="293"/>
      <c r="DN506" s="293"/>
      <c r="DP506" s="293"/>
      <c r="DQ506" s="293"/>
      <c r="DR506" s="293"/>
      <c r="DU506" s="293"/>
      <c r="DV506" s="293"/>
      <c r="DW506" s="293"/>
    </row>
    <row r="507" spans="1:138" s="289" customFormat="1">
      <c r="A507" s="289" t="s">
        <v>172</v>
      </c>
      <c r="C507" s="290" t="s">
        <v>612</v>
      </c>
      <c r="L507" s="295"/>
      <c r="M507" s="295"/>
      <c r="N507" s="295"/>
      <c r="P507" s="295">
        <f>P101</f>
        <v>2602</v>
      </c>
      <c r="Q507" s="295">
        <f>Q101</f>
        <v>2585</v>
      </c>
      <c r="R507" s="295">
        <f>R101</f>
        <v>2585</v>
      </c>
      <c r="S507" s="290"/>
      <c r="T507" s="295">
        <f>T101</f>
        <v>3341</v>
      </c>
      <c r="U507" s="295">
        <f>U101</f>
        <v>2833</v>
      </c>
      <c r="V507" s="295">
        <f>V101</f>
        <v>2833</v>
      </c>
      <c r="W507" s="290"/>
      <c r="X507" s="295">
        <f>X101</f>
        <v>3942</v>
      </c>
      <c r="Y507" s="295">
        <f>Y101</f>
        <v>4432</v>
      </c>
      <c r="Z507" s="295">
        <f>Z101</f>
        <v>4432</v>
      </c>
      <c r="AA507" s="290"/>
      <c r="AB507" s="295">
        <f>AB101</f>
        <v>3891</v>
      </c>
      <c r="AC507" s="295">
        <f>AC101</f>
        <v>4425</v>
      </c>
      <c r="AD507" s="295">
        <f>AD101</f>
        <v>4425</v>
      </c>
      <c r="AE507" s="295"/>
      <c r="AF507" s="295">
        <f>AF101</f>
        <v>4993</v>
      </c>
      <c r="AG507" s="295">
        <f>AG101</f>
        <v>5337</v>
      </c>
      <c r="AH507" s="295">
        <f>AH101</f>
        <v>5337</v>
      </c>
      <c r="AI507" s="290"/>
      <c r="AJ507" s="295">
        <f>AJ101</f>
        <v>6801</v>
      </c>
      <c r="AK507" s="295">
        <f>AK101</f>
        <v>7519</v>
      </c>
      <c r="AL507" s="295">
        <f>AL101</f>
        <v>7519</v>
      </c>
      <c r="AM507" s="290"/>
      <c r="AN507" s="295">
        <f>AN101</f>
        <v>9415</v>
      </c>
      <c r="AO507" s="295">
        <f>AO101</f>
        <v>10061</v>
      </c>
      <c r="AP507" s="295">
        <f>AP101</f>
        <v>10061</v>
      </c>
      <c r="AQ507" s="290"/>
      <c r="AR507" s="295">
        <f>AR101</f>
        <v>10281</v>
      </c>
      <c r="AS507" s="295">
        <f>AS101</f>
        <v>9560</v>
      </c>
      <c r="AT507" s="295">
        <f>AT101</f>
        <v>9560</v>
      </c>
      <c r="AU507" s="290"/>
      <c r="AV507" s="295">
        <f>AV101</f>
        <v>11220</v>
      </c>
      <c r="AW507" s="295">
        <f>AW101</f>
        <v>11769</v>
      </c>
      <c r="AX507" s="295">
        <f>AX101</f>
        <v>11769</v>
      </c>
      <c r="AY507" s="290"/>
      <c r="AZ507" s="295">
        <f>AZ101</f>
        <v>11593</v>
      </c>
      <c r="BA507" s="295">
        <f>BA101</f>
        <v>11932</v>
      </c>
      <c r="BB507" s="295">
        <f>BB101</f>
        <v>11932</v>
      </c>
      <c r="BC507" s="290"/>
      <c r="BD507" s="295">
        <f>BD101</f>
        <v>11764</v>
      </c>
      <c r="BE507" s="295">
        <f>BE101</f>
        <v>11732</v>
      </c>
      <c r="BF507" s="295">
        <f>BF101</f>
        <v>11732</v>
      </c>
      <c r="BG507" s="290"/>
      <c r="BH507" s="295">
        <f>BH101</f>
        <v>11504</v>
      </c>
      <c r="BI507" s="295">
        <f>BI101</f>
        <v>11955</v>
      </c>
      <c r="BJ507" s="295">
        <f>BJ101</f>
        <v>11955</v>
      </c>
      <c r="BK507" s="290"/>
      <c r="BL507" s="295">
        <f>BL101</f>
        <v>12719</v>
      </c>
      <c r="BM507" s="295">
        <f>BM101</f>
        <v>11914</v>
      </c>
      <c r="BN507" s="295">
        <f>BN101</f>
        <v>11914</v>
      </c>
      <c r="BO507" s="290"/>
      <c r="BP507" s="295">
        <f>BP101</f>
        <v>12216</v>
      </c>
      <c r="BQ507" s="295">
        <f>BQ101</f>
        <v>14396</v>
      </c>
      <c r="BR507" s="295">
        <f>BR101</f>
        <v>14396</v>
      </c>
      <c r="BS507" s="290"/>
      <c r="BT507" s="295">
        <f>BT101</f>
        <v>15217</v>
      </c>
      <c r="BU507" s="295">
        <f>BU101</f>
        <v>15664</v>
      </c>
      <c r="BV507" s="295">
        <f>BV101</f>
        <v>15664</v>
      </c>
      <c r="BW507" s="290"/>
      <c r="BX507" s="295">
        <f>BX101</f>
        <v>15463</v>
      </c>
      <c r="BY507" s="295">
        <f>BY101</f>
        <v>17270</v>
      </c>
      <c r="BZ507" s="295">
        <f>BZ101</f>
        <v>17270</v>
      </c>
      <c r="CA507" s="290"/>
      <c r="CB507" s="295">
        <f>CB101</f>
        <v>17099</v>
      </c>
      <c r="CC507" s="295">
        <f>CC101</f>
        <v>18180</v>
      </c>
      <c r="CD507" s="295">
        <f>CD101</f>
        <v>18180</v>
      </c>
      <c r="CE507" s="290"/>
      <c r="CF507" s="295">
        <f>CF101</f>
        <v>17159</v>
      </c>
      <c r="CG507" s="295">
        <f>CG101</f>
        <v>18364</v>
      </c>
      <c r="CH507" s="295">
        <f>CH101</f>
        <v>18364</v>
      </c>
      <c r="CI507" s="290"/>
      <c r="CJ507" s="295">
        <f>CJ101</f>
        <v>20312</v>
      </c>
      <c r="CK507" s="295">
        <f>CK101</f>
        <v>21784</v>
      </c>
      <c r="CL507" s="295">
        <f>CL101</f>
        <v>21784</v>
      </c>
      <c r="CM507" s="290"/>
      <c r="CN507" s="295">
        <f>CN101</f>
        <v>20789</v>
      </c>
      <c r="CO507" s="295">
        <f>CO101</f>
        <v>22351</v>
      </c>
      <c r="CP507" s="295">
        <f>CP101</f>
        <v>22351</v>
      </c>
      <c r="CQ507" s="290"/>
      <c r="CR507" s="295">
        <f>CR101</f>
        <v>24414</v>
      </c>
      <c r="CS507" s="295">
        <f>CS101</f>
        <v>28806</v>
      </c>
      <c r="CT507" s="295">
        <f>CT101</f>
        <v>28806</v>
      </c>
      <c r="CU507" s="290"/>
      <c r="CV507" s="295">
        <f>CV101</f>
        <v>31687</v>
      </c>
      <c r="CW507" s="1390">
        <f>CW101</f>
        <v>34106</v>
      </c>
      <c r="CX507" s="295">
        <f>CX101</f>
        <v>34106</v>
      </c>
      <c r="CY507" s="290"/>
      <c r="CZ507" s="295">
        <f>CZ101</f>
        <v>33138</v>
      </c>
      <c r="DA507" s="1390">
        <f>DA101</f>
        <v>33996</v>
      </c>
      <c r="DB507" s="295">
        <f>DB101</f>
        <v>33996</v>
      </c>
      <c r="DC507" s="290"/>
      <c r="DD507" s="295">
        <f>DD101</f>
        <v>32834</v>
      </c>
      <c r="DE507" s="1390">
        <f>DE101</f>
        <v>35789</v>
      </c>
      <c r="DF507" s="295">
        <f>DF101</f>
        <v>35789</v>
      </c>
      <c r="DG507" s="290"/>
      <c r="DH507" s="295">
        <f>DH101</f>
        <v>35194</v>
      </c>
      <c r="DI507" s="295">
        <f ca="1">DI101</f>
        <v>36661.200914198373</v>
      </c>
      <c r="DJ507" s="295">
        <f ca="1">DJ101</f>
        <v>36661.200914198373</v>
      </c>
      <c r="DK507" s="290"/>
      <c r="DL507" s="295">
        <f ca="1">DL101</f>
        <v>37054.003791897267</v>
      </c>
      <c r="DM507" s="295">
        <f ca="1">DM101</f>
        <v>39839.085631694339</v>
      </c>
      <c r="DN507" s="295">
        <f ca="1">DN101</f>
        <v>39839.085631694339</v>
      </c>
      <c r="DO507" s="290"/>
      <c r="DP507" s="295">
        <f ca="1">DP101</f>
        <v>40333.242684919933</v>
      </c>
      <c r="DQ507" s="295">
        <f ca="1">DQ101</f>
        <v>43317.001979283232</v>
      </c>
      <c r="DR507" s="295">
        <f ca="1">DR101</f>
        <v>43317.001979283232</v>
      </c>
      <c r="DS507" s="290"/>
      <c r="DT507" s="290"/>
      <c r="DU507" s="295"/>
      <c r="DV507" s="295"/>
      <c r="DW507" s="295"/>
      <c r="DX507" s="290"/>
      <c r="EH507"/>
    </row>
    <row r="508" spans="1:138">
      <c r="A508" s="102" t="s">
        <v>255</v>
      </c>
      <c r="C508" s="103" t="s">
        <v>612</v>
      </c>
      <c r="L508" s="293"/>
      <c r="M508" s="293"/>
      <c r="N508" s="293"/>
      <c r="P508" s="293">
        <f>P110</f>
        <v>391</v>
      </c>
      <c r="Q508" s="293">
        <f>Q110</f>
        <v>391</v>
      </c>
      <c r="R508" s="293">
        <f>R110</f>
        <v>391</v>
      </c>
      <c r="T508" s="293">
        <f>T110</f>
        <v>391</v>
      </c>
      <c r="U508" s="293">
        <f>U110</f>
        <v>391</v>
      </c>
      <c r="V508" s="293">
        <f>V110</f>
        <v>391</v>
      </c>
      <c r="X508" s="293">
        <f>X110</f>
        <v>391</v>
      </c>
      <c r="Y508" s="293">
        <f>Y110</f>
        <v>391</v>
      </c>
      <c r="Z508" s="293">
        <f>Z110</f>
        <v>391</v>
      </c>
      <c r="AB508" s="293">
        <f>AB110</f>
        <v>391</v>
      </c>
      <c r="AC508" s="293">
        <f>AC110</f>
        <v>391</v>
      </c>
      <c r="AD508" s="293">
        <f>AD110</f>
        <v>391</v>
      </c>
      <c r="AE508" s="293"/>
      <c r="AF508" s="293">
        <f>AF110</f>
        <v>391</v>
      </c>
      <c r="AG508" s="293">
        <f>AG110</f>
        <v>391</v>
      </c>
      <c r="AH508" s="293">
        <f>AH110</f>
        <v>391</v>
      </c>
      <c r="AJ508" s="293">
        <f>AJ110</f>
        <v>391</v>
      </c>
      <c r="AK508" s="293">
        <f>AK110</f>
        <v>391</v>
      </c>
      <c r="AL508" s="293">
        <f>AL110</f>
        <v>391</v>
      </c>
      <c r="AN508" s="293">
        <f>AN110</f>
        <v>391</v>
      </c>
      <c r="AO508" s="293">
        <f>AO110</f>
        <v>391</v>
      </c>
      <c r="AP508" s="293">
        <f>AP110</f>
        <v>391</v>
      </c>
      <c r="AR508" s="293">
        <f>AR110</f>
        <v>391</v>
      </c>
      <c r="AS508" s="293">
        <f>AS110</f>
        <v>391</v>
      </c>
      <c r="AT508" s="293">
        <f>AT110</f>
        <v>391</v>
      </c>
      <c r="AV508" s="293">
        <f>AV110</f>
        <v>391</v>
      </c>
      <c r="AW508" s="293">
        <f>AW110</f>
        <v>391</v>
      </c>
      <c r="AX508" s="293">
        <f>AX110</f>
        <v>391</v>
      </c>
      <c r="AZ508" s="293">
        <f>AZ110</f>
        <v>391</v>
      </c>
      <c r="BA508" s="293">
        <f>BA110</f>
        <v>391</v>
      </c>
      <c r="BB508" s="293">
        <f>BB110</f>
        <v>391</v>
      </c>
      <c r="BD508" s="293">
        <f>BD110</f>
        <v>391</v>
      </c>
      <c r="BE508" s="293">
        <f>BE110</f>
        <v>391</v>
      </c>
      <c r="BF508" s="293">
        <f>BF110</f>
        <v>391</v>
      </c>
      <c r="BH508" s="293">
        <f>BH110</f>
        <v>391</v>
      </c>
      <c r="BI508" s="293">
        <f>BI110</f>
        <v>391</v>
      </c>
      <c r="BJ508" s="293">
        <f>BJ110</f>
        <v>391</v>
      </c>
      <c r="BL508" s="293">
        <f>BL110</f>
        <v>391</v>
      </c>
      <c r="BM508" s="293">
        <f>BM110</f>
        <v>391</v>
      </c>
      <c r="BN508" s="293">
        <f>BN110</f>
        <v>391</v>
      </c>
      <c r="BP508" s="293">
        <f>BP110</f>
        <v>391</v>
      </c>
      <c r="BQ508" s="293">
        <f>BQ110</f>
        <v>391</v>
      </c>
      <c r="BR508" s="293">
        <f>BR110</f>
        <v>391</v>
      </c>
      <c r="BT508" s="293">
        <f>BT110</f>
        <v>391</v>
      </c>
      <c r="BU508" s="293">
        <f>BU110</f>
        <v>391</v>
      </c>
      <c r="BV508" s="293">
        <f>BV110</f>
        <v>391</v>
      </c>
      <c r="BX508" s="293">
        <f>BX110</f>
        <v>391</v>
      </c>
      <c r="BY508" s="293">
        <f>BY110</f>
        <v>391</v>
      </c>
      <c r="BZ508" s="293">
        <f>BZ110</f>
        <v>391</v>
      </c>
      <c r="CB508" s="293">
        <f>CB110</f>
        <v>391</v>
      </c>
      <c r="CC508" s="293">
        <f>CC110</f>
        <v>391</v>
      </c>
      <c r="CD508" s="293">
        <f>CD110</f>
        <v>391</v>
      </c>
      <c r="CF508" s="293">
        <f>CF110</f>
        <v>391</v>
      </c>
      <c r="CG508" s="293">
        <f>CG110</f>
        <v>391</v>
      </c>
      <c r="CH508" s="293">
        <f>CH110</f>
        <v>391</v>
      </c>
      <c r="CJ508" s="293">
        <f>CJ110</f>
        <v>391</v>
      </c>
      <c r="CK508" s="293">
        <f>CK110</f>
        <v>391</v>
      </c>
      <c r="CL508" s="293">
        <f>CL110</f>
        <v>391</v>
      </c>
      <c r="CN508" s="293">
        <f>CN110</f>
        <v>0</v>
      </c>
      <c r="CO508" s="293">
        <f>CO110</f>
        <v>0</v>
      </c>
      <c r="CP508" s="293">
        <f>CP110</f>
        <v>0</v>
      </c>
      <c r="CR508" s="293">
        <f>CR110</f>
        <v>0</v>
      </c>
      <c r="CS508" s="293">
        <f>CS110</f>
        <v>0</v>
      </c>
      <c r="CT508" s="293">
        <f>CT110</f>
        <v>0</v>
      </c>
      <c r="CV508" s="293">
        <f>CV110</f>
        <v>0</v>
      </c>
      <c r="CW508" s="1495">
        <f>CW110</f>
        <v>0</v>
      </c>
      <c r="CX508" s="293">
        <f>CX110</f>
        <v>0</v>
      </c>
      <c r="CZ508" s="293">
        <f>CZ110</f>
        <v>0</v>
      </c>
      <c r="DA508" s="1495">
        <f>DA110</f>
        <v>0</v>
      </c>
      <c r="DB508" s="293">
        <f>DB110</f>
        <v>0</v>
      </c>
      <c r="DD508" s="293">
        <f>DD110</f>
        <v>0</v>
      </c>
      <c r="DE508" s="1495">
        <f>DE110</f>
        <v>0</v>
      </c>
      <c r="DF508" s="293">
        <f>DF110</f>
        <v>0</v>
      </c>
      <c r="DH508" s="293">
        <f>DH110</f>
        <v>0</v>
      </c>
      <c r="DI508" s="293">
        <f>DI110</f>
        <v>0</v>
      </c>
      <c r="DJ508" s="293">
        <f>DJ110</f>
        <v>0</v>
      </c>
      <c r="DL508" s="293">
        <f>DL110</f>
        <v>0</v>
      </c>
      <c r="DM508" s="293">
        <f>DM110</f>
        <v>0</v>
      </c>
      <c r="DN508" s="293">
        <f>DN110</f>
        <v>0</v>
      </c>
      <c r="DP508" s="293">
        <f>DP110</f>
        <v>0</v>
      </c>
      <c r="DQ508" s="293">
        <f>DQ110</f>
        <v>0</v>
      </c>
      <c r="DR508" s="293">
        <f>DR110</f>
        <v>0</v>
      </c>
      <c r="DU508" s="293"/>
      <c r="DV508" s="293"/>
      <c r="DW508" s="293"/>
    </row>
    <row r="509" spans="1:138">
      <c r="A509" s="102" t="s">
        <v>481</v>
      </c>
      <c r="C509" s="103" t="s">
        <v>612</v>
      </c>
      <c r="L509" s="293"/>
      <c r="M509" s="293"/>
      <c r="N509" s="293"/>
      <c r="P509" s="293">
        <f>P113</f>
        <v>398</v>
      </c>
      <c r="Q509" s="293">
        <f>Q113</f>
        <v>398</v>
      </c>
      <c r="R509" s="293">
        <f>R113</f>
        <v>398</v>
      </c>
      <c r="T509" s="293">
        <f>T113</f>
        <v>584</v>
      </c>
      <c r="U509" s="293">
        <f>U113</f>
        <v>20</v>
      </c>
      <c r="V509" s="293">
        <f>V113</f>
        <v>20</v>
      </c>
      <c r="X509" s="293">
        <f>X113</f>
        <v>904</v>
      </c>
      <c r="Y509" s="293">
        <f>Y113</f>
        <v>863</v>
      </c>
      <c r="Z509" s="293">
        <f>Z113</f>
        <v>863</v>
      </c>
      <c r="AB509" s="293">
        <f>AB113</f>
        <v>904</v>
      </c>
      <c r="AC509" s="293">
        <f>AC113</f>
        <v>863</v>
      </c>
      <c r="AD509" s="293">
        <f>AD113</f>
        <v>863</v>
      </c>
      <c r="AE509" s="293"/>
      <c r="AF509" s="293">
        <f>AF113</f>
        <v>940</v>
      </c>
      <c r="AG509" s="293">
        <f>AG113</f>
        <v>848</v>
      </c>
      <c r="AH509" s="293">
        <f>AH113</f>
        <v>848</v>
      </c>
      <c r="AJ509" s="293">
        <f>AJ113</f>
        <v>884</v>
      </c>
      <c r="AK509" s="293">
        <f>AK113</f>
        <v>857</v>
      </c>
      <c r="AL509" s="293">
        <f>AL113</f>
        <v>857</v>
      </c>
      <c r="AN509" s="293">
        <f>AN113</f>
        <v>812</v>
      </c>
      <c r="AO509" s="293">
        <f>AO113</f>
        <v>841</v>
      </c>
      <c r="AP509" s="293">
        <f>AP113</f>
        <v>841</v>
      </c>
      <c r="AR509" s="293">
        <f>AR113</f>
        <v>885</v>
      </c>
      <c r="AS509" s="293">
        <f>AS113</f>
        <v>505</v>
      </c>
      <c r="AT509" s="293">
        <f>AT113</f>
        <v>505</v>
      </c>
      <c r="AV509" s="293">
        <f>AV113</f>
        <v>145</v>
      </c>
      <c r="AW509" s="293">
        <f>AW113</f>
        <v>146</v>
      </c>
      <c r="AX509" s="293">
        <f>AX113</f>
        <v>146</v>
      </c>
      <c r="AZ509" s="293">
        <f>AZ113</f>
        <v>141</v>
      </c>
      <c r="BA509" s="293">
        <f>BA113</f>
        <v>137</v>
      </c>
      <c r="BB509" s="293">
        <f>BB113</f>
        <v>137</v>
      </c>
      <c r="BD509" s="293">
        <f>BD113</f>
        <v>122</v>
      </c>
      <c r="BE509" s="293">
        <f>BE113</f>
        <v>138</v>
      </c>
      <c r="BF509" s="293">
        <f>BF113</f>
        <v>138</v>
      </c>
      <c r="BH509" s="293">
        <f>BH113</f>
        <v>57</v>
      </c>
      <c r="BI509" s="293">
        <f>BI113</f>
        <v>101</v>
      </c>
      <c r="BJ509" s="293">
        <f>BJ113</f>
        <v>101</v>
      </c>
      <c r="BL509" s="293">
        <f>BL113</f>
        <v>28</v>
      </c>
      <c r="BM509" s="293">
        <f>BM113</f>
        <v>29</v>
      </c>
      <c r="BN509" s="293">
        <f>BN113</f>
        <v>29</v>
      </c>
      <c r="BP509" s="293">
        <f>BP113</f>
        <v>57</v>
      </c>
      <c r="BQ509" s="293">
        <f>BQ113</f>
        <v>14</v>
      </c>
      <c r="BR509" s="293">
        <f>BR113</f>
        <v>14</v>
      </c>
      <c r="BT509" s="293">
        <f>BT113</f>
        <v>195</v>
      </c>
      <c r="BU509" s="293">
        <f>BU113</f>
        <v>157</v>
      </c>
      <c r="BV509" s="293">
        <f>BV113</f>
        <v>157</v>
      </c>
      <c r="BX509" s="293">
        <f>BX113</f>
        <v>151</v>
      </c>
      <c r="BY509" s="293">
        <f>BY113</f>
        <v>1316</v>
      </c>
      <c r="BZ509" s="293">
        <f>BZ113</f>
        <v>1316</v>
      </c>
      <c r="CB509" s="293">
        <f>CB113</f>
        <v>1351</v>
      </c>
      <c r="CC509" s="293">
        <f>CC113</f>
        <v>1432</v>
      </c>
      <c r="CD509" s="293">
        <f>CD113</f>
        <v>1432</v>
      </c>
      <c r="CF509" s="293">
        <f>CF113</f>
        <v>208</v>
      </c>
      <c r="CG509" s="293">
        <f>CG113</f>
        <v>212</v>
      </c>
      <c r="CH509" s="293">
        <f>CH113</f>
        <v>212</v>
      </c>
      <c r="CJ509" s="293">
        <f>CJ113</f>
        <v>304</v>
      </c>
      <c r="CK509" s="293">
        <f>CK113</f>
        <v>330</v>
      </c>
      <c r="CL509" s="293">
        <f>CL113</f>
        <v>330</v>
      </c>
      <c r="CN509" s="293">
        <f>CN113</f>
        <v>281</v>
      </c>
      <c r="CO509" s="293">
        <f>CO113</f>
        <v>303</v>
      </c>
      <c r="CP509" s="293">
        <f>CP113</f>
        <v>303</v>
      </c>
      <c r="CR509" s="293">
        <f>CR113</f>
        <v>350</v>
      </c>
      <c r="CS509" s="293">
        <f>CS113</f>
        <v>245</v>
      </c>
      <c r="CT509" s="293">
        <f>CT113</f>
        <v>245</v>
      </c>
      <c r="CV509" s="293">
        <f>CV113</f>
        <v>350</v>
      </c>
      <c r="CW509" s="1495">
        <f>CW113</f>
        <v>951</v>
      </c>
      <c r="CX509" s="293">
        <f>CX113</f>
        <v>951</v>
      </c>
      <c r="CZ509" s="293">
        <f>CZ113</f>
        <v>487</v>
      </c>
      <c r="DA509" s="1495">
        <f>DA113</f>
        <v>515</v>
      </c>
      <c r="DB509" s="293">
        <f>DB113</f>
        <v>515</v>
      </c>
      <c r="DD509" s="293">
        <f>DD113</f>
        <v>535</v>
      </c>
      <c r="DE509" s="1495">
        <f>DE113</f>
        <v>433</v>
      </c>
      <c r="DF509" s="293">
        <f>DF113</f>
        <v>433</v>
      </c>
      <c r="DH509" s="293">
        <f>DH113</f>
        <v>633</v>
      </c>
      <c r="DI509" s="293">
        <f>DI113</f>
        <v>633</v>
      </c>
      <c r="DJ509" s="293">
        <f>DJ113</f>
        <v>633</v>
      </c>
      <c r="DL509" s="293">
        <f>DL113</f>
        <v>633</v>
      </c>
      <c r="DM509" s="293">
        <f>DM113</f>
        <v>633</v>
      </c>
      <c r="DN509" s="293">
        <f>DN113</f>
        <v>633</v>
      </c>
      <c r="DP509" s="293">
        <f>DP113</f>
        <v>633</v>
      </c>
      <c r="DQ509" s="293">
        <f>DQ113</f>
        <v>633</v>
      </c>
      <c r="DR509" s="293">
        <f>DR113</f>
        <v>633</v>
      </c>
      <c r="DU509" s="293"/>
      <c r="DV509" s="293"/>
      <c r="DW509" s="293"/>
    </row>
    <row r="510" spans="1:138" s="289" customFormat="1">
      <c r="A510" s="289" t="s">
        <v>11</v>
      </c>
      <c r="C510" s="290" t="s">
        <v>612</v>
      </c>
      <c r="L510" s="295"/>
      <c r="M510" s="295"/>
      <c r="N510" s="295"/>
      <c r="P510" s="295">
        <f>+P507-P508-P509</f>
        <v>1813</v>
      </c>
      <c r="Q510" s="295">
        <f>+Q507-Q508-Q509</f>
        <v>1796</v>
      </c>
      <c r="R510" s="295">
        <f>+R507-R508-R509</f>
        <v>1796</v>
      </c>
      <c r="S510" s="290"/>
      <c r="T510" s="295">
        <f>+T507-T508-T509</f>
        <v>2366</v>
      </c>
      <c r="U510" s="295">
        <f>+U507-U508-U509</f>
        <v>2422</v>
      </c>
      <c r="V510" s="295">
        <f>+V507-V508-V509</f>
        <v>2422</v>
      </c>
      <c r="W510" s="290"/>
      <c r="X510" s="295">
        <f>+X507-X508-X509</f>
        <v>2647</v>
      </c>
      <c r="Y510" s="295">
        <f>+Y507-Y508-Y509</f>
        <v>3178</v>
      </c>
      <c r="Z510" s="295">
        <f>+Z507-Z508-Z509</f>
        <v>3178</v>
      </c>
      <c r="AA510" s="290"/>
      <c r="AB510" s="295">
        <f>+AB507-AB508-AB509</f>
        <v>2596</v>
      </c>
      <c r="AC510" s="295">
        <f>+AC507-AC508-AC509</f>
        <v>3171</v>
      </c>
      <c r="AD510" s="295">
        <f>+AD507-AD508-AD509</f>
        <v>3171</v>
      </c>
      <c r="AE510" s="295"/>
      <c r="AF510" s="295">
        <f>+AF507-AF508-AF509</f>
        <v>3662</v>
      </c>
      <c r="AG510" s="295">
        <f>+AG507-AG508-AG509</f>
        <v>4098</v>
      </c>
      <c r="AH510" s="295">
        <f>+AH507-AH508-AH509</f>
        <v>4098</v>
      </c>
      <c r="AI510" s="290"/>
      <c r="AJ510" s="295">
        <f>+AJ507-AJ508-AJ509</f>
        <v>5526</v>
      </c>
      <c r="AK510" s="295">
        <f>+AK507-AK508-AK509</f>
        <v>6271</v>
      </c>
      <c r="AL510" s="295">
        <f>+AL507-AL508-AL509</f>
        <v>6271</v>
      </c>
      <c r="AM510" s="290"/>
      <c r="AN510" s="295">
        <f>+AN507-AN508-AN509</f>
        <v>8212</v>
      </c>
      <c r="AO510" s="295">
        <f>+AO507-AO508-AO509</f>
        <v>8829</v>
      </c>
      <c r="AP510" s="295">
        <f>+AP507-AP508-AP509</f>
        <v>8829</v>
      </c>
      <c r="AQ510" s="290"/>
      <c r="AR510" s="295">
        <f>+AR507-AR508-AR509</f>
        <v>9005</v>
      </c>
      <c r="AS510" s="295">
        <f>+AS507-AS508-AS509</f>
        <v>8664</v>
      </c>
      <c r="AT510" s="295">
        <f>+AT507-AT508-AT509</f>
        <v>8664</v>
      </c>
      <c r="AU510" s="290"/>
      <c r="AV510" s="295">
        <f>+AV507-AV508-AV509</f>
        <v>10684</v>
      </c>
      <c r="AW510" s="295">
        <f>+AW507-AW508-AW509</f>
        <v>11232</v>
      </c>
      <c r="AX510" s="295">
        <f>+AX507-AX508-AX509</f>
        <v>11232</v>
      </c>
      <c r="AY510" s="290"/>
      <c r="AZ510" s="295">
        <f>+AZ507-AZ508-AZ509</f>
        <v>11061</v>
      </c>
      <c r="BA510" s="295">
        <f>+BA507-BA508-BA509</f>
        <v>11404</v>
      </c>
      <c r="BB510" s="295">
        <f>+BB507-BB508-BB509</f>
        <v>11404</v>
      </c>
      <c r="BC510" s="290"/>
      <c r="BD510" s="295">
        <f>+BD507-BD508-BD509</f>
        <v>11251</v>
      </c>
      <c r="BE510" s="295">
        <f>+BE507-BE508-BE509</f>
        <v>11203</v>
      </c>
      <c r="BF510" s="295">
        <f>+BF507-BF508-BF509</f>
        <v>11203</v>
      </c>
      <c r="BG510" s="290"/>
      <c r="BH510" s="295">
        <f>+BH507-BH508-BH509</f>
        <v>11056</v>
      </c>
      <c r="BI510" s="295">
        <f>+BI507-BI508-BI509</f>
        <v>11463</v>
      </c>
      <c r="BJ510" s="295">
        <f>+BJ507-BJ508-BJ509</f>
        <v>11463</v>
      </c>
      <c r="BK510" s="290"/>
      <c r="BL510" s="295">
        <f>+BL507-BL508-BL509</f>
        <v>12300</v>
      </c>
      <c r="BM510" s="295">
        <f>+BM507-BM508-BM509</f>
        <v>11494</v>
      </c>
      <c r="BN510" s="295">
        <f>+BN507-BN508-BN509</f>
        <v>11494</v>
      </c>
      <c r="BO510" s="290"/>
      <c r="BP510" s="295">
        <f>+BP507-BP508-BP509</f>
        <v>11768</v>
      </c>
      <c r="BQ510" s="295">
        <f>+BQ507-BQ508-BQ509</f>
        <v>13991</v>
      </c>
      <c r="BR510" s="295">
        <f>+BR507-BR508-BR509</f>
        <v>13991</v>
      </c>
      <c r="BS510" s="290"/>
      <c r="BT510" s="295">
        <f>+BT507-BT508-BT509</f>
        <v>14631</v>
      </c>
      <c r="BU510" s="295">
        <f>+BU507-BU508-BU509</f>
        <v>15116</v>
      </c>
      <c r="BV510" s="295">
        <f>+BV507-BV508-BV509</f>
        <v>15116</v>
      </c>
      <c r="BW510" s="290"/>
      <c r="BX510" s="295">
        <f>+BX507-BX508-BX509</f>
        <v>14921</v>
      </c>
      <c r="BY510" s="295">
        <f>+BY507-BY508-BY509</f>
        <v>15563</v>
      </c>
      <c r="BZ510" s="295">
        <f>+BZ507-BZ508-BZ509</f>
        <v>15563</v>
      </c>
      <c r="CA510" s="290"/>
      <c r="CB510" s="295">
        <f>+CB507-CB508-CB509</f>
        <v>15357</v>
      </c>
      <c r="CC510" s="295">
        <f>+CC507-CC508-CC509</f>
        <v>16357</v>
      </c>
      <c r="CD510" s="295">
        <f>+CD507-CD508-CD509</f>
        <v>16357</v>
      </c>
      <c r="CE510" s="290"/>
      <c r="CF510" s="295">
        <f>+CF507-CF508-CF509</f>
        <v>16560</v>
      </c>
      <c r="CG510" s="295">
        <f>+CG507-CG508-CG509</f>
        <v>17761</v>
      </c>
      <c r="CH510" s="295">
        <f>+CH507-CH508-CH509</f>
        <v>17761</v>
      </c>
      <c r="CI510" s="290"/>
      <c r="CJ510" s="295">
        <f>+CJ507-CJ508-CJ509</f>
        <v>19617</v>
      </c>
      <c r="CK510" s="295">
        <f>+CK507-CK508-CK509</f>
        <v>21063</v>
      </c>
      <c r="CL510" s="295">
        <f>+CL507-CL508-CL509</f>
        <v>21063</v>
      </c>
      <c r="CM510" s="290"/>
      <c r="CN510" s="295">
        <f>+CN507-CN508-CN509</f>
        <v>20508</v>
      </c>
      <c r="CO510" s="295">
        <f>+CO507-CO508-CO509</f>
        <v>22048</v>
      </c>
      <c r="CP510" s="295">
        <f>+CP507-CP508-CP509</f>
        <v>22048</v>
      </c>
      <c r="CQ510" s="290"/>
      <c r="CR510" s="295">
        <f>+CR507-CR508-CR509</f>
        <v>24064</v>
      </c>
      <c r="CS510" s="295">
        <f>+CS507-CS508-CS509</f>
        <v>28561</v>
      </c>
      <c r="CT510" s="295">
        <f>+CT507-CT508-CT509</f>
        <v>28561</v>
      </c>
      <c r="CU510" s="290"/>
      <c r="CV510" s="295">
        <f>+CV507-CV508-CV509</f>
        <v>31337</v>
      </c>
      <c r="CW510" s="1390">
        <f>+CW507-CW508-CW509</f>
        <v>33155</v>
      </c>
      <c r="CX510" s="295">
        <f>+CX507-CX508-CX509</f>
        <v>33155</v>
      </c>
      <c r="CY510" s="290"/>
      <c r="CZ510" s="295">
        <f>+CZ507-CZ508-CZ509</f>
        <v>32651</v>
      </c>
      <c r="DA510" s="1390">
        <f>+DA507-DA508-DA509</f>
        <v>33481</v>
      </c>
      <c r="DB510" s="295">
        <f>+DB507-DB508-DB509</f>
        <v>33481</v>
      </c>
      <c r="DC510" s="290"/>
      <c r="DD510" s="295">
        <f>+DD507-DD508-DD509</f>
        <v>32299</v>
      </c>
      <c r="DE510" s="1390">
        <f>+DE507-DE508-DE509</f>
        <v>35356</v>
      </c>
      <c r="DF510" s="295">
        <f>+DF507-DF508-DF509</f>
        <v>35356</v>
      </c>
      <c r="DG510" s="290"/>
      <c r="DH510" s="295">
        <f>+DH507-DH508-DH509</f>
        <v>34561</v>
      </c>
      <c r="DI510" s="295">
        <f ca="1">+DI507-DI508-DI509</f>
        <v>36028.200914198373</v>
      </c>
      <c r="DJ510" s="295">
        <f ca="1">+DJ507-DJ508-DJ509</f>
        <v>36028.200914198373</v>
      </c>
      <c r="DK510" s="290"/>
      <c r="DL510" s="295">
        <f ca="1">+DL507-DL508-DL509</f>
        <v>36421.003791897267</v>
      </c>
      <c r="DM510" s="295">
        <f ca="1">+DM507-DM508-DM509</f>
        <v>39206.085631694339</v>
      </c>
      <c r="DN510" s="295">
        <f ca="1">+DN507-DN508-DN509</f>
        <v>39206.085631694339</v>
      </c>
      <c r="DO510" s="290"/>
      <c r="DP510" s="295">
        <f ca="1">+DP507-DP508-DP509</f>
        <v>39700.242684919933</v>
      </c>
      <c r="DQ510" s="295">
        <f ca="1">+DQ507-DQ508-DQ509</f>
        <v>42684.001979283232</v>
      </c>
      <c r="DR510" s="295">
        <f ca="1">+DR507-DR508-DR509</f>
        <v>42684.001979283232</v>
      </c>
      <c r="DS510" s="290"/>
      <c r="DT510" s="290"/>
      <c r="DU510" s="295"/>
      <c r="DV510" s="295"/>
      <c r="DW510" s="295"/>
      <c r="DX510" s="290"/>
      <c r="EH510"/>
    </row>
    <row r="511" spans="1:138">
      <c r="A511" s="102" t="s">
        <v>213</v>
      </c>
      <c r="C511" s="103" t="s">
        <v>612</v>
      </c>
      <c r="L511" s="293"/>
      <c r="M511" s="293"/>
      <c r="N511" s="293"/>
      <c r="P511" s="293">
        <f>-P20</f>
        <v>0</v>
      </c>
      <c r="Q511" s="293">
        <f>-Q20</f>
        <v>0</v>
      </c>
      <c r="R511" s="293">
        <f>-R20</f>
        <v>0</v>
      </c>
      <c r="T511" s="293">
        <f>-T20</f>
        <v>0</v>
      </c>
      <c r="U511" s="293">
        <f>-U20</f>
        <v>0</v>
      </c>
      <c r="V511" s="293">
        <f>-V20</f>
        <v>0</v>
      </c>
      <c r="X511" s="293">
        <f>-X20</f>
        <v>-706</v>
      </c>
      <c r="Y511" s="293">
        <f>-Y20</f>
        <v>-339</v>
      </c>
      <c r="Z511" s="293">
        <f>-Z20</f>
        <v>-339</v>
      </c>
      <c r="AB511" s="293">
        <f>-AB20</f>
        <v>-382</v>
      </c>
      <c r="AC511" s="293">
        <f>-AC20</f>
        <v>-371</v>
      </c>
      <c r="AD511" s="293">
        <f>-AD20</f>
        <v>-371</v>
      </c>
      <c r="AE511" s="293"/>
      <c r="AF511" s="293">
        <f>-AF20</f>
        <v>-122</v>
      </c>
      <c r="AG511" s="293">
        <f>-AG20</f>
        <v>-150</v>
      </c>
      <c r="AH511" s="293">
        <f>-AH20</f>
        <v>-150</v>
      </c>
      <c r="AJ511" s="293">
        <f>-AJ20</f>
        <v>-168</v>
      </c>
      <c r="AK511" s="293">
        <f>-AK20</f>
        <v>-100</v>
      </c>
      <c r="AL511" s="293">
        <f>-AL20</f>
        <v>-100</v>
      </c>
      <c r="AN511" s="293">
        <f>-AN20</f>
        <v>-101</v>
      </c>
      <c r="AO511" s="293">
        <f>-AO20</f>
        <v>-494</v>
      </c>
      <c r="AP511" s="293">
        <f>-AP20</f>
        <v>-494</v>
      </c>
      <c r="AR511" s="293">
        <f>-AR20</f>
        <v>-566</v>
      </c>
      <c r="AS511" s="293">
        <f>-AS20</f>
        <v>-759</v>
      </c>
      <c r="AT511" s="293">
        <f>-AT20</f>
        <v>-759</v>
      </c>
      <c r="AV511" s="293">
        <f>-AV20</f>
        <v>-715</v>
      </c>
      <c r="AW511" s="293">
        <f>-AW20</f>
        <v>-1456</v>
      </c>
      <c r="AX511" s="293">
        <f>-AX20</f>
        <v>-1456</v>
      </c>
      <c r="AZ511" s="293">
        <f>-AZ20</f>
        <v>-1411</v>
      </c>
      <c r="BA511" s="293">
        <f>-BA20</f>
        <v>-1317</v>
      </c>
      <c r="BB511" s="293">
        <f>-BB20</f>
        <v>-1317</v>
      </c>
      <c r="BD511" s="293">
        <f>-BD20</f>
        <v>-1393</v>
      </c>
      <c r="BE511" s="293">
        <f>-BE20</f>
        <v>-1351</v>
      </c>
      <c r="BF511" s="293">
        <f>-BF20</f>
        <v>-1351</v>
      </c>
      <c r="BG511" s="293"/>
      <c r="BH511" s="293">
        <f>-BH20</f>
        <v>-1304</v>
      </c>
      <c r="BI511" s="293">
        <f>-BI20</f>
        <v>-1221</v>
      </c>
      <c r="BJ511" s="293">
        <f>-BJ20</f>
        <v>-1221</v>
      </c>
      <c r="BL511" s="293">
        <f>-BL20</f>
        <v>-1276</v>
      </c>
      <c r="BM511" s="293">
        <f>-BM20</f>
        <v>-1221</v>
      </c>
      <c r="BN511" s="293">
        <f>-BN20</f>
        <v>-1221</v>
      </c>
      <c r="BP511" s="293">
        <f>-BP20</f>
        <v>-1237</v>
      </c>
      <c r="BQ511" s="293">
        <f>-BQ20</f>
        <v>-1164</v>
      </c>
      <c r="BR511" s="293">
        <f>-BR20</f>
        <v>-1164</v>
      </c>
      <c r="BT511" s="293">
        <f>-BT20</f>
        <v>-1182</v>
      </c>
      <c r="BU511" s="293">
        <f>-BU20</f>
        <v>-1078</v>
      </c>
      <c r="BV511" s="293">
        <f>-BV20</f>
        <v>-1078</v>
      </c>
      <c r="BX511" s="293">
        <f>-BX20</f>
        <v>-993</v>
      </c>
      <c r="BY511" s="293">
        <f>-BY20</f>
        <v>-1009</v>
      </c>
      <c r="BZ511" s="293">
        <f>-BZ20</f>
        <v>-1009</v>
      </c>
      <c r="CB511" s="293">
        <f>-CB20</f>
        <v>-991</v>
      </c>
      <c r="CC511" s="293">
        <f>-CC20</f>
        <v>-993</v>
      </c>
      <c r="CD511" s="293">
        <f>-CD20</f>
        <v>-993</v>
      </c>
      <c r="CF511" s="293">
        <f>-CF20</f>
        <v>-1894</v>
      </c>
      <c r="CG511" s="293">
        <f>-CG20</f>
        <v>-2031</v>
      </c>
      <c r="CH511" s="293">
        <f>-CH20</f>
        <v>-2031</v>
      </c>
      <c r="CJ511" s="293">
        <f>-CJ20</f>
        <v>-2666</v>
      </c>
      <c r="CK511" s="293">
        <f>-CK20</f>
        <v>-3268</v>
      </c>
      <c r="CL511" s="293">
        <f>-CL20</f>
        <v>-3268</v>
      </c>
      <c r="CN511" s="293">
        <f>-CN20</f>
        <v>-2816</v>
      </c>
      <c r="CO511" s="293">
        <f>-CO20</f>
        <v>-2543</v>
      </c>
      <c r="CP511" s="293">
        <f>-CP20</f>
        <v>-2543</v>
      </c>
      <c r="CR511" s="293">
        <f>-CR20</f>
        <v>-3497</v>
      </c>
      <c r="CS511" s="293">
        <f>-CS20</f>
        <v>-3780</v>
      </c>
      <c r="CT511" s="293">
        <f>-CT20</f>
        <v>-3780</v>
      </c>
      <c r="CV511" s="293">
        <f>-CV20</f>
        <v>-4170</v>
      </c>
      <c r="CW511" s="1495">
        <f>-CW20</f>
        <v>-3827</v>
      </c>
      <c r="CX511" s="293">
        <f>-CX20</f>
        <v>-3827</v>
      </c>
      <c r="CZ511" s="293">
        <f>-CZ20</f>
        <v>-4249</v>
      </c>
      <c r="DA511" s="1495">
        <f>-DA20</f>
        <v>-4254</v>
      </c>
      <c r="DB511" s="293">
        <f>-DB20</f>
        <v>-4254</v>
      </c>
      <c r="DD511" s="293">
        <f>-DD20</f>
        <v>-3482</v>
      </c>
      <c r="DE511" s="1495">
        <f>-DE20</f>
        <v>-1671</v>
      </c>
      <c r="DF511" s="293">
        <f>-DF20</f>
        <v>-1671</v>
      </c>
      <c r="DH511" s="293">
        <f>-DH20</f>
        <v>-1786</v>
      </c>
      <c r="DI511" s="293">
        <f>-DI20</f>
        <v>-1786</v>
      </c>
      <c r="DJ511" s="293">
        <f>-DJ20</f>
        <v>-1786</v>
      </c>
      <c r="DL511" s="293">
        <f>-DL20</f>
        <v>-1786</v>
      </c>
      <c r="DM511" s="293">
        <f>-DM20</f>
        <v>-1786</v>
      </c>
      <c r="DN511" s="293">
        <f>-DN20</f>
        <v>-1786</v>
      </c>
      <c r="DP511" s="293">
        <f>-DP20</f>
        <v>-1786</v>
      </c>
      <c r="DQ511" s="293">
        <f>-DQ20</f>
        <v>-1786</v>
      </c>
      <c r="DR511" s="293">
        <f>-DR20</f>
        <v>-1786</v>
      </c>
      <c r="DU511" s="293"/>
      <c r="DV511" s="293"/>
      <c r="DW511" s="293"/>
    </row>
    <row r="512" spans="1:138">
      <c r="A512" s="102" t="s">
        <v>482</v>
      </c>
      <c r="C512" s="103" t="s">
        <v>612</v>
      </c>
      <c r="L512" s="293"/>
      <c r="M512" s="293"/>
      <c r="N512" s="293"/>
      <c r="P512" s="293">
        <f>-P25</f>
        <v>-213</v>
      </c>
      <c r="Q512" s="293">
        <f>-Q25</f>
        <v>-146</v>
      </c>
      <c r="R512" s="293">
        <f>-R25</f>
        <v>-146</v>
      </c>
      <c r="T512" s="293">
        <f>-T25</f>
        <v>-117</v>
      </c>
      <c r="U512" s="293">
        <f>-U25</f>
        <v>-184</v>
      </c>
      <c r="V512" s="293">
        <f>-V25</f>
        <v>-184</v>
      </c>
      <c r="X512" s="293">
        <f>-X25</f>
        <v>-161</v>
      </c>
      <c r="Y512" s="293">
        <f>-Y25</f>
        <v>-201</v>
      </c>
      <c r="Z512" s="293">
        <f>-Z25</f>
        <v>-201</v>
      </c>
      <c r="AB512" s="293">
        <f>-AB25</f>
        <v>-178</v>
      </c>
      <c r="AC512" s="293">
        <f>-AC25</f>
        <v>-203</v>
      </c>
      <c r="AD512" s="293">
        <f>-AD25</f>
        <v>-203</v>
      </c>
      <c r="AE512" s="293"/>
      <c r="AF512" s="293">
        <f>-AF25</f>
        <v>-238</v>
      </c>
      <c r="AG512" s="293">
        <f>-AG25</f>
        <v>-240</v>
      </c>
      <c r="AH512" s="293">
        <f>-AH25</f>
        <v>-240</v>
      </c>
      <c r="AJ512" s="293">
        <f>-AJ25</f>
        <v>-393</v>
      </c>
      <c r="AK512" s="293">
        <f>-AK25</f>
        <v>-457</v>
      </c>
      <c r="AL512" s="293">
        <f>-AL25</f>
        <v>-457</v>
      </c>
      <c r="AN512" s="293">
        <f>-AN25</f>
        <v>-639</v>
      </c>
      <c r="AO512" s="293">
        <f>-AO25</f>
        <v>-718</v>
      </c>
      <c r="AP512" s="293">
        <f>-AP25</f>
        <v>-718</v>
      </c>
      <c r="AR512" s="293">
        <f>-AR25</f>
        <v>-825</v>
      </c>
      <c r="AS512" s="293">
        <f>-AS25</f>
        <v>-1186</v>
      </c>
      <c r="AT512" s="293">
        <f>-AT25</f>
        <v>-1186</v>
      </c>
      <c r="AV512" s="293">
        <f>-AV25</f>
        <v>-1401</v>
      </c>
      <c r="AW512" s="293">
        <f>-AW25</f>
        <v>-1124</v>
      </c>
      <c r="AX512" s="293">
        <f>-AX25</f>
        <v>-1124</v>
      </c>
      <c r="AZ512" s="293">
        <f>-AZ25</f>
        <v>-1107</v>
      </c>
      <c r="BA512" s="293">
        <f>-BA25</f>
        <v>-1245</v>
      </c>
      <c r="BB512" s="293">
        <f>-BB25</f>
        <v>-1245</v>
      </c>
      <c r="BD512" s="293">
        <f>-BD25</f>
        <v>-1251</v>
      </c>
      <c r="BE512" s="293">
        <f>-BE25</f>
        <v>-1279</v>
      </c>
      <c r="BF512" s="293">
        <f>-BF25</f>
        <v>-1279</v>
      </c>
      <c r="BH512" s="293">
        <f>-BH25</f>
        <v>-1248</v>
      </c>
      <c r="BI512" s="293">
        <f>-BI25</f>
        <v>-1270</v>
      </c>
      <c r="BJ512" s="293">
        <f>-BJ25</f>
        <v>-1270</v>
      </c>
      <c r="BL512" s="293">
        <f>-BL25</f>
        <v>-1010</v>
      </c>
      <c r="BM512" s="293">
        <f>-BM25</f>
        <v>-766</v>
      </c>
      <c r="BN512" s="293">
        <f>-BN25</f>
        <v>-766</v>
      </c>
      <c r="BP512" s="293">
        <f>-BP25</f>
        <v>-733</v>
      </c>
      <c r="BQ512" s="293">
        <f>-BQ25</f>
        <v>-874</v>
      </c>
      <c r="BR512" s="293">
        <f>-BR25</f>
        <v>-874</v>
      </c>
      <c r="BT512" s="293">
        <f>-BT25</f>
        <v>-908</v>
      </c>
      <c r="BU512" s="293">
        <f>-BU25</f>
        <v>-850</v>
      </c>
      <c r="BV512" s="293">
        <f>-BV25</f>
        <v>-850</v>
      </c>
      <c r="BX512" s="293">
        <f>-BX25</f>
        <v>-763</v>
      </c>
      <c r="BY512" s="293">
        <f>-BY25</f>
        <v>-638</v>
      </c>
      <c r="BZ512" s="293">
        <f>-BZ25</f>
        <v>-638</v>
      </c>
      <c r="CB512" s="293">
        <f>-CB25</f>
        <v>-689</v>
      </c>
      <c r="CC512" s="293">
        <f>-CC25</f>
        <v>-650</v>
      </c>
      <c r="CD512" s="293">
        <f>-CD25</f>
        <v>-650</v>
      </c>
      <c r="CF512" s="293">
        <f>-CF25</f>
        <v>-775</v>
      </c>
      <c r="CG512" s="293">
        <f>-CG25</f>
        <v>-1031</v>
      </c>
      <c r="CH512" s="293">
        <f>-CH25</f>
        <v>-1031</v>
      </c>
      <c r="CJ512" s="293">
        <f>-CJ25</f>
        <v>-1079</v>
      </c>
      <c r="CK512" s="293">
        <f>-CK25</f>
        <v>-1340</v>
      </c>
      <c r="CL512" s="293">
        <f>-CL25</f>
        <v>-1340</v>
      </c>
      <c r="CN512" s="293">
        <f>-CN25</f>
        <v>-1231</v>
      </c>
      <c r="CO512" s="293">
        <f>-CO25</f>
        <v>-1472</v>
      </c>
      <c r="CP512" s="293">
        <f>-CP25</f>
        <v>-1472</v>
      </c>
      <c r="CR512" s="293">
        <f>-CR25</f>
        <v>-1411</v>
      </c>
      <c r="CS512" s="293">
        <f>-CS25</f>
        <v>-1552</v>
      </c>
      <c r="CT512" s="293">
        <f>-CT25</f>
        <v>-1552</v>
      </c>
      <c r="CV512" s="293">
        <f>-CV25</f>
        <v>-1452</v>
      </c>
      <c r="CW512" s="1495">
        <f>-CW25</f>
        <v>-1797</v>
      </c>
      <c r="CX512" s="293">
        <f>-CX25</f>
        <v>-1797</v>
      </c>
      <c r="CZ512" s="293">
        <f>-CZ25</f>
        <v>-1586</v>
      </c>
      <c r="DA512" s="1495">
        <f>-DA25</f>
        <v>-2077</v>
      </c>
      <c r="DB512" s="293">
        <f>-DB25</f>
        <v>-2077</v>
      </c>
      <c r="DD512" s="293">
        <f>-DD25</f>
        <v>-1741</v>
      </c>
      <c r="DE512" s="1495">
        <f>-DE25</f>
        <v>-2085</v>
      </c>
      <c r="DF512" s="293">
        <f>-DF25</f>
        <v>-2085</v>
      </c>
      <c r="DH512" s="293">
        <f>-DH25</f>
        <v>-1744</v>
      </c>
      <c r="DI512" s="293">
        <f>-DI25</f>
        <v>-1796.32</v>
      </c>
      <c r="DJ512" s="293">
        <f>-DJ25</f>
        <v>-1796.32</v>
      </c>
      <c r="DL512" s="293">
        <f>-DL25</f>
        <v>-1850.2095999999999</v>
      </c>
      <c r="DM512" s="293">
        <f>-DM25</f>
        <v>-1905.7158879999999</v>
      </c>
      <c r="DN512" s="293">
        <f>-DN25</f>
        <v>-1905.7158879999999</v>
      </c>
      <c r="DP512" s="293">
        <f>-DP25</f>
        <v>-1962.88736464</v>
      </c>
      <c r="DQ512" s="293">
        <f>-DQ25</f>
        <v>-2021.7739855792001</v>
      </c>
      <c r="DR512" s="293">
        <f>-DR25</f>
        <v>-2021.7739855792001</v>
      </c>
      <c r="DU512" s="293"/>
      <c r="DV512" s="293"/>
      <c r="DW512" s="293"/>
    </row>
    <row r="513" spans="1:138">
      <c r="A513" s="102" t="s">
        <v>483</v>
      </c>
      <c r="C513" s="103" t="s">
        <v>612</v>
      </c>
      <c r="L513" s="293"/>
      <c r="M513" s="293"/>
      <c r="N513" s="293"/>
      <c r="P513" s="293">
        <f>P61</f>
        <v>119</v>
      </c>
      <c r="Q513" s="293">
        <f>Q61</f>
        <v>30</v>
      </c>
      <c r="R513" s="293">
        <f>R61</f>
        <v>30</v>
      </c>
      <c r="T513" s="293">
        <f>T61</f>
        <v>28</v>
      </c>
      <c r="U513" s="293">
        <f>U61</f>
        <v>413</v>
      </c>
      <c r="V513" s="293">
        <f>V61</f>
        <v>413</v>
      </c>
      <c r="X513" s="293">
        <f>X61</f>
        <v>258</v>
      </c>
      <c r="Y513" s="293">
        <f>Y61</f>
        <v>189</v>
      </c>
      <c r="Z513" s="293">
        <f>Z61</f>
        <v>189</v>
      </c>
      <c r="AB513" s="293">
        <f>AB61</f>
        <v>100</v>
      </c>
      <c r="AC513" s="293">
        <f>AC61</f>
        <v>189</v>
      </c>
      <c r="AD513" s="293">
        <f>AD61</f>
        <v>189</v>
      </c>
      <c r="AE513" s="293"/>
      <c r="AF513" s="293">
        <f>AF61</f>
        <v>116</v>
      </c>
      <c r="AG513" s="293">
        <f>AG61</f>
        <v>157</v>
      </c>
      <c r="AH513" s="293">
        <f>AH61</f>
        <v>157</v>
      </c>
      <c r="AJ513" s="293">
        <f>AJ61</f>
        <v>53</v>
      </c>
      <c r="AK513" s="293">
        <f>AK61</f>
        <v>78</v>
      </c>
      <c r="AL513" s="293">
        <f>AL61</f>
        <v>78</v>
      </c>
      <c r="AN513" s="293">
        <f>AN61</f>
        <v>106</v>
      </c>
      <c r="AO513" s="293">
        <f>AO61</f>
        <v>121</v>
      </c>
      <c r="AP513" s="293">
        <f>AP61</f>
        <v>121</v>
      </c>
      <c r="AR513" s="293">
        <f>AR61</f>
        <v>40</v>
      </c>
      <c r="AS513" s="293">
        <f>AS61</f>
        <v>4</v>
      </c>
      <c r="AT513" s="293">
        <f>AT61</f>
        <v>4</v>
      </c>
      <c r="AV513" s="293">
        <f>AV61</f>
        <v>210</v>
      </c>
      <c r="AW513" s="293">
        <f>AW61</f>
        <v>235</v>
      </c>
      <c r="AX513" s="293">
        <f>AX61</f>
        <v>235</v>
      </c>
      <c r="AZ513" s="293">
        <f>AZ61</f>
        <v>235</v>
      </c>
      <c r="BA513" s="293">
        <f>BA61</f>
        <v>287</v>
      </c>
      <c r="BB513" s="293">
        <f>BB61</f>
        <v>287</v>
      </c>
      <c r="BD513" s="293">
        <f>BD61</f>
        <v>351</v>
      </c>
      <c r="BE513" s="293">
        <f>BE61</f>
        <v>436</v>
      </c>
      <c r="BF513" s="293">
        <f>BF61</f>
        <v>436</v>
      </c>
      <c r="BH513" s="293">
        <f>BH61</f>
        <v>514</v>
      </c>
      <c r="BI513" s="293">
        <f>BI61</f>
        <v>542</v>
      </c>
      <c r="BJ513" s="293">
        <f>BJ61</f>
        <v>542</v>
      </c>
      <c r="BL513" s="293">
        <f>BL61</f>
        <v>667</v>
      </c>
      <c r="BM513" s="293">
        <f>BM61</f>
        <v>551</v>
      </c>
      <c r="BN513" s="293">
        <f>BN61</f>
        <v>551</v>
      </c>
      <c r="BP513" s="293">
        <f>BP61</f>
        <v>635</v>
      </c>
      <c r="BQ513" s="293">
        <f>BQ61</f>
        <v>464</v>
      </c>
      <c r="BR513" s="293">
        <f>BR61</f>
        <v>464</v>
      </c>
      <c r="BT513" s="293">
        <f>BT61</f>
        <v>546</v>
      </c>
      <c r="BU513" s="293">
        <f>BU61</f>
        <v>543</v>
      </c>
      <c r="BV513" s="293">
        <f>BV61</f>
        <v>543</v>
      </c>
      <c r="BX513" s="293">
        <f>BX61</f>
        <v>540</v>
      </c>
      <c r="BY513" s="293">
        <f>BY61</f>
        <v>621</v>
      </c>
      <c r="BZ513" s="293">
        <f>BZ61</f>
        <v>621</v>
      </c>
      <c r="CB513" s="293">
        <f>CB61</f>
        <v>746</v>
      </c>
      <c r="CC513" s="293">
        <f>CC61</f>
        <v>749</v>
      </c>
      <c r="CD513" s="293">
        <f>CD61</f>
        <v>749</v>
      </c>
      <c r="CF513" s="293">
        <f>CF61</f>
        <v>800</v>
      </c>
      <c r="CG513" s="293">
        <f>CG61</f>
        <v>425</v>
      </c>
      <c r="CH513" s="293">
        <f>CH61</f>
        <v>425</v>
      </c>
      <c r="CJ513" s="293">
        <f>CJ61</f>
        <v>297</v>
      </c>
      <c r="CK513" s="293">
        <f>CK61</f>
        <v>234</v>
      </c>
      <c r="CL513" s="293">
        <f>CL61</f>
        <v>234</v>
      </c>
      <c r="CN513" s="293">
        <f>CN61</f>
        <v>165</v>
      </c>
      <c r="CO513" s="293">
        <f>CO61</f>
        <v>204</v>
      </c>
      <c r="CP513" s="293">
        <f>CP61</f>
        <v>204</v>
      </c>
      <c r="CR513" s="293">
        <f>CR61</f>
        <v>320</v>
      </c>
      <c r="CS513" s="293">
        <f>CS61</f>
        <v>216</v>
      </c>
      <c r="CT513" s="293">
        <f>CT61</f>
        <v>216</v>
      </c>
      <c r="CV513" s="293">
        <f>CV61</f>
        <v>258</v>
      </c>
      <c r="CW513" s="1495">
        <f>CW61</f>
        <v>196</v>
      </c>
      <c r="CX513" s="293">
        <f>CX61</f>
        <v>196</v>
      </c>
      <c r="CZ513" s="293">
        <f>CZ61</f>
        <v>241</v>
      </c>
      <c r="DA513" s="1495">
        <f>DA61</f>
        <v>383</v>
      </c>
      <c r="DB513" s="293">
        <f>DB61</f>
        <v>383</v>
      </c>
      <c r="DD513" s="293">
        <f>DD61</f>
        <v>304</v>
      </c>
      <c r="DE513" s="1495">
        <f>DE61</f>
        <v>272</v>
      </c>
      <c r="DF513" s="293">
        <f>DF61</f>
        <v>272</v>
      </c>
      <c r="DH513" s="293">
        <f>DH61</f>
        <v>318</v>
      </c>
      <c r="DI513" s="293">
        <f>DI61</f>
        <v>327.54000000000002</v>
      </c>
      <c r="DJ513" s="293">
        <f>DJ61</f>
        <v>327.54000000000002</v>
      </c>
      <c r="DL513" s="293">
        <f>DL61</f>
        <v>337.36620000000005</v>
      </c>
      <c r="DM513" s="293">
        <f>DM61</f>
        <v>347.48718600000007</v>
      </c>
      <c r="DN513" s="293">
        <f>DN61</f>
        <v>347.48718600000007</v>
      </c>
      <c r="DP513" s="293">
        <f>DP61</f>
        <v>357.91180158000009</v>
      </c>
      <c r="DQ513" s="293">
        <f>DQ61</f>
        <v>368.64915562740009</v>
      </c>
      <c r="DR513" s="293">
        <f>DR61</f>
        <v>368.64915562740009</v>
      </c>
      <c r="DU513" s="293"/>
      <c r="DV513" s="293"/>
      <c r="DW513" s="293"/>
    </row>
    <row r="514" spans="1:138" s="289" customFormat="1">
      <c r="A514" s="289" t="s">
        <v>173</v>
      </c>
      <c r="C514" s="290" t="s">
        <v>612</v>
      </c>
      <c r="L514" s="295"/>
      <c r="M514" s="295"/>
      <c r="N514" s="295"/>
      <c r="P514" s="295">
        <f>SUM(P510:P513)</f>
        <v>1719</v>
      </c>
      <c r="Q514" s="295">
        <f>SUM(Q510:Q513)</f>
        <v>1680</v>
      </c>
      <c r="R514" s="295">
        <f>SUM(R510:R513)</f>
        <v>1680</v>
      </c>
      <c r="S514" s="290"/>
      <c r="T514" s="295">
        <f>SUM(T510:T513)</f>
        <v>2277</v>
      </c>
      <c r="U514" s="295">
        <f>SUM(U510:U513)</f>
        <v>2651</v>
      </c>
      <c r="V514" s="295">
        <f>SUM(V510:V513)</f>
        <v>2651</v>
      </c>
      <c r="W514" s="290"/>
      <c r="X514" s="295">
        <f>SUM(X510:X513)</f>
        <v>2038</v>
      </c>
      <c r="Y514" s="295">
        <f>SUM(Y510:Y513)</f>
        <v>2827</v>
      </c>
      <c r="Z514" s="295">
        <f>SUM(Z510:Z513)</f>
        <v>2827</v>
      </c>
      <c r="AA514" s="290"/>
      <c r="AB514" s="295">
        <f>SUM(AB510:AB513)</f>
        <v>2136</v>
      </c>
      <c r="AC514" s="295">
        <f>SUM(AC510:AC513)</f>
        <v>2786</v>
      </c>
      <c r="AD514" s="295">
        <f>SUM(AD510:AD513)</f>
        <v>2786</v>
      </c>
      <c r="AE514" s="295"/>
      <c r="AF514" s="295">
        <f>SUM(AF510:AF513)</f>
        <v>3418</v>
      </c>
      <c r="AG514" s="295">
        <f>SUM(AG510:AG513)</f>
        <v>3865</v>
      </c>
      <c r="AH514" s="295">
        <f>SUM(AH510:AH513)</f>
        <v>3865</v>
      </c>
      <c r="AI514" s="290"/>
      <c r="AJ514" s="295">
        <f>SUM(AJ510:AJ513)</f>
        <v>5018</v>
      </c>
      <c r="AK514" s="295">
        <f>SUM(AK510:AK513)</f>
        <v>5792</v>
      </c>
      <c r="AL514" s="295">
        <f>SUM(AL510:AL513)</f>
        <v>5792</v>
      </c>
      <c r="AM514" s="290"/>
      <c r="AN514" s="295">
        <f>SUM(AN510:AN513)</f>
        <v>7578</v>
      </c>
      <c r="AO514" s="295">
        <f>SUM(AO510:AO513)</f>
        <v>7738</v>
      </c>
      <c r="AP514" s="295">
        <f>SUM(AP510:AP513)</f>
        <v>7738</v>
      </c>
      <c r="AQ514" s="290"/>
      <c r="AR514" s="295">
        <f>SUM(AR510:AR513)</f>
        <v>7654</v>
      </c>
      <c r="AS514" s="295">
        <f>SUM(AS510:AS513)</f>
        <v>6723</v>
      </c>
      <c r="AT514" s="295">
        <f>SUM(AT510:AT513)</f>
        <v>6723</v>
      </c>
      <c r="AU514" s="290"/>
      <c r="AV514" s="295">
        <f>SUM(AV510:AV513)</f>
        <v>8778</v>
      </c>
      <c r="AW514" s="295">
        <f>SUM(AW510:AW513)</f>
        <v>8887</v>
      </c>
      <c r="AX514" s="295">
        <f>SUM(AX510:AX513)</f>
        <v>8887</v>
      </c>
      <c r="AY514" s="290"/>
      <c r="AZ514" s="295">
        <f>SUM(AZ510:AZ513)</f>
        <v>8778</v>
      </c>
      <c r="BA514" s="295">
        <f>SUM(BA510:BA513)</f>
        <v>9129</v>
      </c>
      <c r="BB514" s="295">
        <f>SUM(BB510:BB513)</f>
        <v>9129</v>
      </c>
      <c r="BC514" s="290"/>
      <c r="BD514" s="295">
        <f>SUM(BD510:BD513)</f>
        <v>8958</v>
      </c>
      <c r="BE514" s="295">
        <f>SUM(BE510:BE513)</f>
        <v>9009</v>
      </c>
      <c r="BF514" s="295">
        <f>SUM(BF510:BF513)</f>
        <v>9009</v>
      </c>
      <c r="BG514" s="290"/>
      <c r="BH514" s="295">
        <f>SUM(BH510:BH513)</f>
        <v>9018</v>
      </c>
      <c r="BI514" s="295">
        <f>SUM(BI510:BI513)</f>
        <v>9514</v>
      </c>
      <c r="BJ514" s="295">
        <f>SUM(BJ510:BJ513)</f>
        <v>9514</v>
      </c>
      <c r="BK514" s="290"/>
      <c r="BL514" s="295">
        <f>SUM(BL510:BL513)</f>
        <v>10681</v>
      </c>
      <c r="BM514" s="295">
        <f>SUM(BM510:BM513)</f>
        <v>10058</v>
      </c>
      <c r="BN514" s="295">
        <f>SUM(BN510:BN513)</f>
        <v>10058</v>
      </c>
      <c r="BO514" s="290"/>
      <c r="BP514" s="295">
        <f>SUM(BP510:BP513)</f>
        <v>10433</v>
      </c>
      <c r="BQ514" s="295">
        <f>SUM(BQ510:BQ513)</f>
        <v>12417</v>
      </c>
      <c r="BR514" s="295">
        <f>SUM(BR510:BR513)</f>
        <v>12417</v>
      </c>
      <c r="BS514" s="290"/>
      <c r="BT514" s="295">
        <f>SUM(BT510:BT513)</f>
        <v>13087</v>
      </c>
      <c r="BU514" s="295">
        <f>SUM(BU510:BU513)</f>
        <v>13731</v>
      </c>
      <c r="BV514" s="295">
        <f>SUM(BV510:BV513)</f>
        <v>13731</v>
      </c>
      <c r="BW514" s="290"/>
      <c r="BX514" s="295">
        <f>SUM(BX510:BX513)</f>
        <v>13705</v>
      </c>
      <c r="BY514" s="295">
        <f>SUM(BY510:BY513)</f>
        <v>14537</v>
      </c>
      <c r="BZ514" s="295">
        <f>SUM(BZ510:BZ513)</f>
        <v>14537</v>
      </c>
      <c r="CA514" s="290"/>
      <c r="CB514" s="295">
        <f>SUM(CB510:CB513)</f>
        <v>14423</v>
      </c>
      <c r="CC514" s="295">
        <f>SUM(CC510:CC513)</f>
        <v>15463</v>
      </c>
      <c r="CD514" s="295">
        <f>SUM(CD510:CD513)</f>
        <v>15463</v>
      </c>
      <c r="CE514" s="290"/>
      <c r="CF514" s="295">
        <f>SUM(CF510:CF513)</f>
        <v>14691</v>
      </c>
      <c r="CG514" s="295">
        <f>SUM(CG510:CG513)</f>
        <v>15124</v>
      </c>
      <c r="CH514" s="295">
        <f>SUM(CH510:CH513)</f>
        <v>15124</v>
      </c>
      <c r="CI514" s="290"/>
      <c r="CJ514" s="295">
        <f>SUM(CJ510:CJ513)</f>
        <v>16169</v>
      </c>
      <c r="CK514" s="295">
        <f>SUM(CK510:CK513)</f>
        <v>16689</v>
      </c>
      <c r="CL514" s="295">
        <f>SUM(CL510:CL513)</f>
        <v>16689</v>
      </c>
      <c r="CM514" s="290"/>
      <c r="CN514" s="295">
        <f>SUM(CN510:CN513)</f>
        <v>16626</v>
      </c>
      <c r="CO514" s="295">
        <f>SUM(CO510:CO513)</f>
        <v>18237</v>
      </c>
      <c r="CP514" s="295">
        <f>SUM(CP510:CP513)</f>
        <v>18237</v>
      </c>
      <c r="CQ514" s="290"/>
      <c r="CR514" s="295">
        <f>SUM(CR510:CR513)</f>
        <v>19476</v>
      </c>
      <c r="CS514" s="295">
        <f>SUM(CS510:CS513)</f>
        <v>23445</v>
      </c>
      <c r="CT514" s="295">
        <f>SUM(CT510:CT513)</f>
        <v>23445</v>
      </c>
      <c r="CU514" s="290"/>
      <c r="CV514" s="295">
        <f>SUM(CV510:CV513)</f>
        <v>25973</v>
      </c>
      <c r="CW514" s="1390">
        <f>SUM(CW510:CW513)</f>
        <v>27727</v>
      </c>
      <c r="CX514" s="295">
        <f>SUM(CX510:CX513)</f>
        <v>27727</v>
      </c>
      <c r="CY514" s="290"/>
      <c r="CZ514" s="295">
        <f>SUM(CZ510:CZ513)</f>
        <v>27057</v>
      </c>
      <c r="DA514" s="1390">
        <f>SUM(DA510:DA513)</f>
        <v>27533</v>
      </c>
      <c r="DB514" s="295">
        <f>SUM(DB510:DB513)</f>
        <v>27533</v>
      </c>
      <c r="DC514" s="290"/>
      <c r="DD514" s="295">
        <f>SUM(DD510:DD513)</f>
        <v>27380</v>
      </c>
      <c r="DE514" s="1390">
        <f>SUM(DE510:DE513)</f>
        <v>31872</v>
      </c>
      <c r="DF514" s="295">
        <f>SUM(DF510:DF513)</f>
        <v>31872</v>
      </c>
      <c r="DG514" s="290"/>
      <c r="DH514" s="295">
        <f>SUM(DH510:DH513)</f>
        <v>31349</v>
      </c>
      <c r="DI514" s="295">
        <f ca="1">SUM(DI510:DI513)</f>
        <v>32773.420914198374</v>
      </c>
      <c r="DJ514" s="295">
        <f ca="1">SUM(DJ510:DJ513)</f>
        <v>32773.420914198374</v>
      </c>
      <c r="DK514" s="290"/>
      <c r="DL514" s="295">
        <f ca="1">SUM(DL510:DL513)</f>
        <v>33122.160391897261</v>
      </c>
      <c r="DM514" s="295">
        <f ca="1">SUM(DM510:DM513)</f>
        <v>35861.856929694339</v>
      </c>
      <c r="DN514" s="295">
        <f ca="1">SUM(DN510:DN513)</f>
        <v>35861.856929694339</v>
      </c>
      <c r="DO514" s="290"/>
      <c r="DP514" s="295">
        <f ca="1">SUM(DP510:DP513)</f>
        <v>36309.267121859928</v>
      </c>
      <c r="DQ514" s="295">
        <f ca="1">SUM(DQ510:DQ513)</f>
        <v>39244.877149331427</v>
      </c>
      <c r="DR514" s="295">
        <f ca="1">SUM(DR510:DR513)</f>
        <v>39244.877149331427</v>
      </c>
      <c r="DS514" s="290"/>
      <c r="DT514" s="290"/>
      <c r="DU514" s="295"/>
      <c r="DV514" s="295"/>
      <c r="DW514" s="295"/>
      <c r="DX514" s="290"/>
      <c r="EH514"/>
    </row>
    <row r="515" spans="1:138" s="289" customFormat="1">
      <c r="A515" s="289" t="s">
        <v>555</v>
      </c>
      <c r="C515" s="290" t="s">
        <v>105</v>
      </c>
      <c r="L515" s="801"/>
      <c r="M515" s="801"/>
      <c r="N515" s="801"/>
      <c r="P515" s="801">
        <f>+P510/P504</f>
        <v>8.951623083560813</v>
      </c>
      <c r="Q515" s="801">
        <f>+Q510/Q504</f>
        <v>8.7824757959661479</v>
      </c>
      <c r="R515" s="801">
        <f>+R510/R504</f>
        <v>8.7824757959661479</v>
      </c>
      <c r="S515" s="290"/>
      <c r="T515" s="801">
        <f>+T510/T504</f>
        <v>10.874786735710991</v>
      </c>
      <c r="U515" s="801">
        <f>+U510/U504</f>
        <v>11.217310449742129</v>
      </c>
      <c r="V515" s="801">
        <f>+V510/V504</f>
        <v>11.217310449742131</v>
      </c>
      <c r="W515" s="290"/>
      <c r="X515" s="801">
        <f>+X510/X504</f>
        <v>12.044903655650558</v>
      </c>
      <c r="Y515" s="801">
        <f>+Y510/Y504</f>
        <v>14.207568698199376</v>
      </c>
      <c r="Z515" s="801">
        <f>+Z510/Z504</f>
        <v>14.207568698199376</v>
      </c>
      <c r="AA515" s="290"/>
      <c r="AB515" s="801">
        <f>+AB510/AB504</f>
        <v>11.812833354767227</v>
      </c>
      <c r="AC515" s="801">
        <f>+AC510/AC504</f>
        <v>14.176274494018321</v>
      </c>
      <c r="AD515" s="801">
        <f>+AD510/AD504</f>
        <v>14.176274494018321</v>
      </c>
      <c r="AE515" s="295"/>
      <c r="AF515" s="801">
        <f>+AF510/AF504</f>
        <v>15.899658169072216</v>
      </c>
      <c r="AG515" s="801">
        <f>+AG510/AG504</f>
        <v>17.630328232700403</v>
      </c>
      <c r="AH515" s="801">
        <f>+AH510/AH504</f>
        <v>17.630328232700407</v>
      </c>
      <c r="AI515" s="290"/>
      <c r="AJ515" s="801">
        <f>+AJ510/AJ504</f>
        <v>22.132041384962914</v>
      </c>
      <c r="AK515" s="801">
        <f>+AK510/AK504</f>
        <v>24.694692615954153</v>
      </c>
      <c r="AL515" s="801">
        <f>+AL510/AL504</f>
        <v>24.694692615954153</v>
      </c>
      <c r="AM515" s="290"/>
      <c r="AN515" s="801">
        <f>+AN510/AN504</f>
        <v>30.292896341261091</v>
      </c>
      <c r="AO515" s="801">
        <f>+AO510/AO504</f>
        <v>32.155636046420661</v>
      </c>
      <c r="AP515" s="801">
        <f>+AP510/AP504</f>
        <v>32.155636046420661</v>
      </c>
      <c r="AQ515" s="290"/>
      <c r="AR515" s="801">
        <f>+AR510/AR504</f>
        <v>32.044396787592099</v>
      </c>
      <c r="AS515" s="801">
        <f>+AS510/AS504</f>
        <v>30.567531523648913</v>
      </c>
      <c r="AT515" s="801">
        <f>+AT510/AT504</f>
        <v>30.567531523648913</v>
      </c>
      <c r="AU515" s="290"/>
      <c r="AV515" s="801">
        <f>+AV510/AV504</f>
        <v>31.22305681651817</v>
      </c>
      <c r="AW515" s="801">
        <f>+AW510/AW504</f>
        <v>32.627993974662253</v>
      </c>
      <c r="AX515" s="801">
        <f>+AX510/AX504</f>
        <v>32.627993974662253</v>
      </c>
      <c r="AY515" s="290"/>
      <c r="AZ515" s="801">
        <f>+AZ510/AZ504</f>
        <v>32.005087851217318</v>
      </c>
      <c r="BA515" s="801">
        <f>+BA510/BA504</f>
        <v>32.882087805894855</v>
      </c>
      <c r="BB515" s="801">
        <f>+BB510/BB504</f>
        <v>32.882087805894855</v>
      </c>
      <c r="BC515" s="290"/>
      <c r="BD515" s="801">
        <f>+BD510/BD504</f>
        <v>32.30400093679593</v>
      </c>
      <c r="BE515" s="801">
        <f>+BE510/BE504</f>
        <v>32.138559689864245</v>
      </c>
      <c r="BF515" s="801">
        <f>+BF510/BF504</f>
        <v>32.138559689864245</v>
      </c>
      <c r="BG515" s="290"/>
      <c r="BH515" s="801">
        <f>+BH510/BH504</f>
        <v>32.612692819338413</v>
      </c>
      <c r="BI515" s="801">
        <f>+BI510/BI504</f>
        <v>33.763705161553602</v>
      </c>
      <c r="BJ515" s="801">
        <f>+BJ510/BJ504</f>
        <v>33.763705161553602</v>
      </c>
      <c r="BK515" s="290"/>
      <c r="BL515" s="801">
        <f>+BL510/BL504</f>
        <v>36.188387637157078</v>
      </c>
      <c r="BM515" s="801">
        <f>+BM510/BM504</f>
        <v>35.798517323458171</v>
      </c>
      <c r="BN515" s="801">
        <f>+BN510/BN504</f>
        <v>35.798517323458171</v>
      </c>
      <c r="BO515" s="290"/>
      <c r="BP515" s="801">
        <f>+BP510/BP504</f>
        <v>36.637267459592856</v>
      </c>
      <c r="BQ515" s="801">
        <f>+BQ510/BQ504</f>
        <v>41.957336025784166</v>
      </c>
      <c r="BR515" s="801">
        <f>+BR510/BR504</f>
        <v>41.957336025784159</v>
      </c>
      <c r="BS515" s="290"/>
      <c r="BT515" s="801">
        <f>+BT510/BT504</f>
        <v>43.86686061509667</v>
      </c>
      <c r="BU515" s="801">
        <f>+BU510/BU504</f>
        <v>44.419317902584567</v>
      </c>
      <c r="BV515" s="801">
        <f>+BV510/BV504</f>
        <v>44.419317902584574</v>
      </c>
      <c r="BW515" s="290"/>
      <c r="BX515" s="801">
        <f>+BX510/BX504</f>
        <v>43.841649240044482</v>
      </c>
      <c r="BY515" s="801">
        <f>+BY510/BY504</f>
        <v>45.726225496999163</v>
      </c>
      <c r="BZ515" s="801">
        <f>+BZ510/BZ504</f>
        <v>45.726225496999163</v>
      </c>
      <c r="CA515" s="290"/>
      <c r="CB515" s="801">
        <f>+CB510/CB504</f>
        <v>45.120151066390839</v>
      </c>
      <c r="CC515" s="801">
        <f>+CC510/CC504</f>
        <v>48.057258091479603</v>
      </c>
      <c r="CD515" s="801">
        <f>+CD510/CD504</f>
        <v>48.057258091479603</v>
      </c>
      <c r="CE515" s="290"/>
      <c r="CF515" s="801">
        <f>+CF510/CF504</f>
        <v>48.651115791894242</v>
      </c>
      <c r="CG515" s="801">
        <f>+CG510/CG504</f>
        <v>52.179496834531015</v>
      </c>
      <c r="CH515" s="801">
        <f>+CH510/CH504</f>
        <v>52.179496834531015</v>
      </c>
      <c r="CI515" s="290"/>
      <c r="CJ515" s="801">
        <f>+CJ510/CJ504</f>
        <v>55.356384598754971</v>
      </c>
      <c r="CK515" s="801">
        <f>+CK510/CK504</f>
        <v>59.435964296500487</v>
      </c>
      <c r="CL515" s="801">
        <f>+CL510/CL504</f>
        <v>59.435964296500487</v>
      </c>
      <c r="CM515" s="290"/>
      <c r="CN515" s="801">
        <f>+CN510/CN504</f>
        <v>56.7297212760745</v>
      </c>
      <c r="CO515" s="801">
        <f>+CO510/CO504</f>
        <v>60.936145295804344</v>
      </c>
      <c r="CP515" s="801">
        <f>+CP510/CP504</f>
        <v>60.936145295804344</v>
      </c>
      <c r="CQ515" s="290"/>
      <c r="CR515" s="801">
        <f>+CR510/CR504</f>
        <v>65.245358813128135</v>
      </c>
      <c r="CS515" s="801">
        <f>+CS510/CS504</f>
        <v>74.44591663156784</v>
      </c>
      <c r="CT515" s="801">
        <f>+CT510/CT504</f>
        <v>74.44591663156784</v>
      </c>
      <c r="CU515" s="290"/>
      <c r="CV515" s="801">
        <f>+CV510/CV504</f>
        <v>81.083790100348438</v>
      </c>
      <c r="CW515" s="1823">
        <f>+CW510/CW504</f>
        <v>85.787824641064958</v>
      </c>
      <c r="CX515" s="801">
        <f>+CX510/CX504</f>
        <v>85.787824641064958</v>
      </c>
      <c r="CY515" s="290"/>
      <c r="CZ515" s="801">
        <f>+CZ510/CZ504</f>
        <v>84.48373585749998</v>
      </c>
      <c r="DA515" s="1823">
        <f>+DA510/DA504</f>
        <v>87.426307053384775</v>
      </c>
      <c r="DB515" s="801">
        <f>+DB510/DB504</f>
        <v>87.426307053384775</v>
      </c>
      <c r="DC515" s="290"/>
      <c r="DD515" s="801">
        <f>+DD510/DD504</f>
        <v>84.74349141636641</v>
      </c>
      <c r="DE515" s="1823">
        <f>+DE510/DE504</f>
        <v>92.764199588750458</v>
      </c>
      <c r="DF515" s="801">
        <f>+DF510/DF504</f>
        <v>92.764199588750458</v>
      </c>
      <c r="DG515" s="290"/>
      <c r="DH515" s="801">
        <f>+DH510/DH504</f>
        <v>90.678343194558337</v>
      </c>
      <c r="DI515" s="801">
        <f ca="1">+DI510/DI504</f>
        <v>94.292135382448365</v>
      </c>
      <c r="DJ515" s="801">
        <f ca="1">+DJ510/DJ504</f>
        <v>94.292135382448365</v>
      </c>
      <c r="DK515" s="290"/>
      <c r="DL515" s="801">
        <f ca="1">+DL510/DL504</f>
        <v>95.082463407784118</v>
      </c>
      <c r="DM515" s="801">
        <f ca="1">+DM510/DM504</f>
        <v>102.09808978349537</v>
      </c>
      <c r="DN515" s="801">
        <f ca="1">+DN510/DN504</f>
        <v>102.09808978349537</v>
      </c>
      <c r="DO515" s="290"/>
      <c r="DP515" s="801">
        <f ca="1">+DP510/DP504</f>
        <v>103.12712553777628</v>
      </c>
      <c r="DQ515" s="801">
        <f ca="1">+DQ510/DQ504</f>
        <v>110.60136867364891</v>
      </c>
      <c r="DR515" s="801">
        <f ca="1">+DR510/DR504</f>
        <v>110.60136867364891</v>
      </c>
      <c r="DS515" s="290"/>
      <c r="DT515" s="290"/>
      <c r="DU515" s="801"/>
      <c r="DV515" s="801"/>
      <c r="DW515" s="801"/>
      <c r="DX515" s="290"/>
      <c r="EH515"/>
    </row>
    <row r="516" spans="1:138" s="289" customFormat="1">
      <c r="A516" s="289" t="s">
        <v>556</v>
      </c>
      <c r="C516" s="290" t="s">
        <v>105</v>
      </c>
      <c r="L516" s="801"/>
      <c r="M516" s="801"/>
      <c r="N516" s="801"/>
      <c r="P516" s="801">
        <f>+P514/P504</f>
        <v>8.487501423409288</v>
      </c>
      <c r="Q516" s="801">
        <f>+Q514/Q504</f>
        <v>8.2152334839772418</v>
      </c>
      <c r="R516" s="801">
        <f>+R514/R504</f>
        <v>8.2152334839772418</v>
      </c>
      <c r="S516" s="290"/>
      <c r="T516" s="801">
        <f>+T514/T504</f>
        <v>10.465718257486866</v>
      </c>
      <c r="U516" s="801">
        <f>+U514/U504</f>
        <v>12.277906689622785</v>
      </c>
      <c r="V516" s="801">
        <f>+V514/V504</f>
        <v>12.277906689622787</v>
      </c>
      <c r="W516" s="290"/>
      <c r="X516" s="801">
        <f>+X514/X504</f>
        <v>9.2737112392201873</v>
      </c>
      <c r="Y516" s="801">
        <f>+Y514/Y504</f>
        <v>12.638387888549287</v>
      </c>
      <c r="Z516" s="801">
        <f>+Z514/Z504</f>
        <v>12.638387888549287</v>
      </c>
      <c r="AA516" s="290"/>
      <c r="AB516" s="801">
        <f>+AB514/AB504</f>
        <v>9.7196502487607059</v>
      </c>
      <c r="AC516" s="801">
        <f>+AC514/AC504</f>
        <v>12.455093264060245</v>
      </c>
      <c r="AD516" s="801">
        <f>+AD514/AD504</f>
        <v>12.455093264060245</v>
      </c>
      <c r="AE516" s="295"/>
      <c r="AF516" s="801">
        <f>+AF514/AF504</f>
        <v>14.840259863978382</v>
      </c>
      <c r="AG516" s="801">
        <f>+AG514/AG504</f>
        <v>16.627920600143256</v>
      </c>
      <c r="AH516" s="801">
        <f>+AH514/AH504</f>
        <v>16.627920600143259</v>
      </c>
      <c r="AI516" s="290"/>
      <c r="AJ516" s="801">
        <f>+AJ514/AJ504</f>
        <v>20.097463566728901</v>
      </c>
      <c r="AK516" s="801">
        <f>+AK514/AK504</f>
        <v>22.808429218881592</v>
      </c>
      <c r="AL516" s="801">
        <f>+AL514/AL504</f>
        <v>22.808429218881592</v>
      </c>
      <c r="AM516" s="290"/>
      <c r="AN516" s="801">
        <f>+AN514/AN504</f>
        <v>27.954160798109662</v>
      </c>
      <c r="AO516" s="801">
        <f>+AO514/AO504</f>
        <v>28.182162388402205</v>
      </c>
      <c r="AP516" s="801">
        <f>+AP514/AP504</f>
        <v>28.182162388402205</v>
      </c>
      <c r="AQ516" s="290"/>
      <c r="AR516" s="801">
        <f>+AR514/AR504</f>
        <v>27.236847641558018</v>
      </c>
      <c r="AS516" s="801">
        <f>+AS514/AS504</f>
        <v>23.719473041723411</v>
      </c>
      <c r="AT516" s="801">
        <f>+AT514/AT504</f>
        <v>23.719473041723411</v>
      </c>
      <c r="AU516" s="290"/>
      <c r="AV516" s="801">
        <f>+AV514/AV504</f>
        <v>25.652938294215321</v>
      </c>
      <c r="AW516" s="801">
        <f>+AW514/AW504</f>
        <v>25.815970659973594</v>
      </c>
      <c r="AX516" s="801">
        <f>+AX514/AX504</f>
        <v>25.815970659973594</v>
      </c>
      <c r="AY516" s="290"/>
      <c r="AZ516" s="801">
        <f>+AZ514/AZ504</f>
        <v>25.399209941052856</v>
      </c>
      <c r="BA516" s="801">
        <f>+BA514/BA504</f>
        <v>26.322393860050347</v>
      </c>
      <c r="BB516" s="801">
        <f>+BB514/BB504</f>
        <v>26.322393860050347</v>
      </c>
      <c r="BC516" s="290"/>
      <c r="BD516" s="801">
        <f>+BD514/BD504</f>
        <v>25.720312895904179</v>
      </c>
      <c r="BE516" s="801">
        <f>+BE514/BE504</f>
        <v>25.844531308219853</v>
      </c>
      <c r="BF516" s="801">
        <f>+BF514/BF504</f>
        <v>25.844531308219853</v>
      </c>
      <c r="BG516" s="290"/>
      <c r="BH516" s="801">
        <f>+BH514/BH504</f>
        <v>26.601054978725923</v>
      </c>
      <c r="BI516" s="801">
        <f>+BI514/BI504</f>
        <v>28.02302110329067</v>
      </c>
      <c r="BJ516" s="801">
        <f>+BJ514/BJ504</f>
        <v>28.02302110329067</v>
      </c>
      <c r="BK516" s="290"/>
      <c r="BL516" s="801">
        <f>+BL514/BL504</f>
        <v>31.425054337599573</v>
      </c>
      <c r="BM516" s="801">
        <f>+BM514/BM504</f>
        <v>31.326038562671155</v>
      </c>
      <c r="BN516" s="801">
        <f>+BN514/BN504</f>
        <v>31.326038562671155</v>
      </c>
      <c r="BO516" s="290"/>
      <c r="BP516" s="801">
        <f>+BP514/BP504</f>
        <v>32.481017284664539</v>
      </c>
      <c r="BQ516" s="801">
        <f>+BQ514/BQ504</f>
        <v>37.237098236878133</v>
      </c>
      <c r="BR516" s="801">
        <f>+BR514/BR504</f>
        <v>37.237098236878126</v>
      </c>
      <c r="BS516" s="290"/>
      <c r="BT516" s="801">
        <f>+BT514/BT504</f>
        <v>39.237619087538114</v>
      </c>
      <c r="BU516" s="801">
        <f>+BU514/BU504</f>
        <v>40.349408184730663</v>
      </c>
      <c r="BV516" s="801">
        <f>+BV514/BV504</f>
        <v>40.34940818473067</v>
      </c>
      <c r="BW516" s="290"/>
      <c r="BX516" s="801">
        <f>+BX514/BX504</f>
        <v>40.268735529442374</v>
      </c>
      <c r="BY516" s="801">
        <f>+BY514/BY504</f>
        <v>42.711696976796048</v>
      </c>
      <c r="BZ516" s="801">
        <f>+BZ514/BZ504</f>
        <v>42.711696976796048</v>
      </c>
      <c r="CA516" s="290"/>
      <c r="CB516" s="801">
        <f>+CB514/CB504</f>
        <v>42.375980909719026</v>
      </c>
      <c r="CC516" s="801">
        <f>+CC514/CC504</f>
        <v>45.430664661524062</v>
      </c>
      <c r="CD516" s="801">
        <f>+CD514/CD504</f>
        <v>45.430664661524062</v>
      </c>
      <c r="CE516" s="290"/>
      <c r="CF516" s="801">
        <f>+CF514/CF504</f>
        <v>43.160238049439506</v>
      </c>
      <c r="CG516" s="801">
        <f>+CG514/CG504</f>
        <v>44.432335461147851</v>
      </c>
      <c r="CH516" s="801">
        <f>+CH514/CH504</f>
        <v>44.432335461147851</v>
      </c>
      <c r="CI516" s="290"/>
      <c r="CJ516" s="801">
        <f>+CJ514/CJ504</f>
        <v>45.626618880423571</v>
      </c>
      <c r="CK516" s="801">
        <f>+CK514/CK504</f>
        <v>47.093329921867571</v>
      </c>
      <c r="CL516" s="801">
        <f>+CL514/CL504</f>
        <v>47.093329921867571</v>
      </c>
      <c r="CM516" s="290"/>
      <c r="CN516" s="801">
        <f>+CN514/CN504</f>
        <v>45.991239805735063</v>
      </c>
      <c r="CO516" s="801">
        <f>+CO514/CO504</f>
        <v>50.403323737281561</v>
      </c>
      <c r="CP516" s="801">
        <f>+CP514/CP504</f>
        <v>50.403323737281561</v>
      </c>
      <c r="CQ516" s="290"/>
      <c r="CR516" s="801">
        <f>+CR514/CR504</f>
        <v>52.805793228244831</v>
      </c>
      <c r="CS516" s="801">
        <f>+CS514/CS504</f>
        <v>61.110763468614827</v>
      </c>
      <c r="CT516" s="801">
        <f>+CT514/CT504</f>
        <v>61.110763468614827</v>
      </c>
      <c r="CU516" s="290"/>
      <c r="CV516" s="801">
        <f>+CV514/CV504</f>
        <v>67.204559475264062</v>
      </c>
      <c r="CW516" s="1823">
        <f>+CW514/CW504</f>
        <v>71.742995440289789</v>
      </c>
      <c r="CX516" s="801">
        <f>+CX514/CX504</f>
        <v>71.742995440289789</v>
      </c>
      <c r="CY516" s="290"/>
      <c r="CZ516" s="801">
        <f>+CZ514/CZ504</f>
        <v>70.009385351026822</v>
      </c>
      <c r="DA516" s="1823">
        <f>+DA514/DA504</f>
        <v>71.894761569273413</v>
      </c>
      <c r="DB516" s="801">
        <f>+DB514/DB504</f>
        <v>71.894761569273413</v>
      </c>
      <c r="DC516" s="290"/>
      <c r="DD516" s="801">
        <f>+DD514/DD504</f>
        <v>71.837418959723593</v>
      </c>
      <c r="DE516" s="1823">
        <f>+DE514/DE504</f>
        <v>83.623163516592783</v>
      </c>
      <c r="DF516" s="801">
        <f>+DF514/DF504</f>
        <v>83.623163516592783</v>
      </c>
      <c r="DG516" s="290"/>
      <c r="DH516" s="801">
        <f>+DH514/DH504</f>
        <v>82.250958618275192</v>
      </c>
      <c r="DI516" s="801">
        <f ca="1">+DI514/DI504</f>
        <v>85.773803947277017</v>
      </c>
      <c r="DJ516" s="801">
        <f ca="1">+DJ514/DJ504</f>
        <v>85.773803947277017</v>
      </c>
      <c r="DK516" s="290"/>
      <c r="DL516" s="801">
        <f ca="1">+DL514/DL504</f>
        <v>86.470340615652503</v>
      </c>
      <c r="DM516" s="801">
        <f ca="1">+DM514/DM504</f>
        <v>93.389253979767048</v>
      </c>
      <c r="DN516" s="801">
        <f ca="1">+DN514/DN504</f>
        <v>93.389253979767048</v>
      </c>
      <c r="DO516" s="290"/>
      <c r="DP516" s="801">
        <f ca="1">+DP514/DP504</f>
        <v>94.31857579256139</v>
      </c>
      <c r="DQ516" s="801">
        <f ca="1">+DQ514/DQ504</f>
        <v>101.69002260500207</v>
      </c>
      <c r="DR516" s="801">
        <f ca="1">+DR514/DR504</f>
        <v>101.69002260500207</v>
      </c>
      <c r="DS516" s="290"/>
      <c r="DT516" s="290"/>
      <c r="DU516" s="801"/>
      <c r="DV516" s="801"/>
      <c r="DW516" s="801"/>
      <c r="DX516" s="290"/>
      <c r="EH516"/>
    </row>
    <row r="517" spans="1:138" s="289" customFormat="1">
      <c r="A517" s="102" t="s">
        <v>958</v>
      </c>
      <c r="B517" s="102"/>
      <c r="C517" s="103"/>
      <c r="D517" s="102"/>
      <c r="E517" s="102"/>
      <c r="F517" s="102"/>
      <c r="G517" s="102"/>
      <c r="H517" s="102"/>
      <c r="I517" s="102"/>
      <c r="J517" s="102"/>
      <c r="K517" s="102"/>
      <c r="L517" s="369"/>
      <c r="M517" s="369"/>
      <c r="N517" s="369"/>
      <c r="O517" s="102"/>
      <c r="P517" s="369"/>
      <c r="Q517" s="369"/>
      <c r="R517" s="369"/>
      <c r="S517" s="103"/>
      <c r="T517" s="369"/>
      <c r="U517" s="369"/>
      <c r="V517" s="369"/>
      <c r="W517" s="103"/>
      <c r="X517" s="369"/>
      <c r="Y517" s="369"/>
      <c r="Z517" s="369"/>
      <c r="AA517" s="103"/>
      <c r="AB517" s="369"/>
      <c r="AC517" s="369"/>
      <c r="AD517" s="369"/>
      <c r="AE517" s="293"/>
      <c r="AF517" s="369"/>
      <c r="AG517" s="369"/>
      <c r="AH517" s="369"/>
      <c r="AI517" s="103"/>
      <c r="AJ517" s="369"/>
      <c r="AK517" s="369"/>
      <c r="AL517" s="369"/>
      <c r="AM517" s="103"/>
      <c r="AN517" s="369"/>
      <c r="AO517" s="369"/>
      <c r="AP517" s="369"/>
      <c r="AQ517" s="103"/>
      <c r="AR517" s="369"/>
      <c r="AS517" s="369"/>
      <c r="AT517" s="369"/>
      <c r="AU517" s="103"/>
      <c r="AV517" s="369"/>
      <c r="AW517" s="369"/>
      <c r="AX517" s="369"/>
      <c r="AY517" s="103"/>
      <c r="AZ517" s="369"/>
      <c r="BA517" s="369"/>
      <c r="BB517" s="369"/>
      <c r="BC517" s="103"/>
      <c r="BD517" s="369">
        <f>+BD510/BD505</f>
        <v>31.854619221175767</v>
      </c>
      <c r="BE517" s="369">
        <f>+BE510/BE505</f>
        <v>31.037944234524826</v>
      </c>
      <c r="BF517" s="369">
        <f>+BF510/BF505</f>
        <v>31.024333747724974</v>
      </c>
      <c r="BG517" s="103"/>
      <c r="BH517" s="369">
        <f>+BH510/BH505</f>
        <v>30.426122468533396</v>
      </c>
      <c r="BI517" s="369">
        <f>+BI510/BI505</f>
        <v>30.001604116126913</v>
      </c>
      <c r="BJ517" s="369">
        <f>+BJ510/BJ505</f>
        <v>30.059641128635757</v>
      </c>
      <c r="BK517" s="103"/>
      <c r="BL517" s="369">
        <f>+BL510/BL505</f>
        <v>32.148151142446885</v>
      </c>
      <c r="BM517" s="369">
        <f>+BM510/BM505</f>
        <v>31.837514003700342</v>
      </c>
      <c r="BN517" s="369">
        <f>+BN510/BN505</f>
        <v>31.849322633571774</v>
      </c>
      <c r="BO517" s="103"/>
      <c r="BP517" s="369">
        <f>+BP510/BP505</f>
        <v>32.987845823307872</v>
      </c>
      <c r="BQ517" s="369">
        <f>+BQ510/BQ505</f>
        <v>37.787187384317932</v>
      </c>
      <c r="BR517" s="369">
        <f>+BR510/BR505</f>
        <v>38.050692529947113</v>
      </c>
      <c r="BS517" s="103"/>
      <c r="BT517" s="369">
        <f>+BT510/BT505</f>
        <v>39.539883956075244</v>
      </c>
      <c r="BU517" s="369">
        <f>+BU510/BU505</f>
        <v>39.582526580114376</v>
      </c>
      <c r="BV517" s="369">
        <f>+BV510/BV505</f>
        <v>39.847761201277244</v>
      </c>
      <c r="BW517" s="103"/>
      <c r="BX517" s="369">
        <f>+BX510/BX505</f>
        <v>39.655447869999612</v>
      </c>
      <c r="BY517" s="369">
        <f>+BY510/BY505</f>
        <v>41.68675859233992</v>
      </c>
      <c r="BZ517" s="369">
        <f>+BZ510/BZ505</f>
        <v>41.522852357794449</v>
      </c>
      <c r="CA517" s="290"/>
      <c r="CB517" s="369">
        <f>+CB510/CB505</f>
        <v>41.227431897199352</v>
      </c>
      <c r="CC517" s="369">
        <f>+CC510/CC505</f>
        <v>44.765842350264691</v>
      </c>
      <c r="CD517" s="369">
        <f>+CD510/CD505</f>
        <v>44.33441217530887</v>
      </c>
      <c r="CE517" s="290"/>
      <c r="CF517" s="369">
        <f>+CF510/CF505</f>
        <v>45.610750381152044</v>
      </c>
      <c r="CG517" s="369">
        <f>+CG510/CG505</f>
        <v>47.72721900175236</v>
      </c>
      <c r="CH517" s="369">
        <f>+CH510/CH505</f>
        <v>48.315581612122813</v>
      </c>
      <c r="CI517" s="290"/>
      <c r="CJ517" s="369">
        <f>+CJ510/CJ505</f>
        <v>50.576776350902676</v>
      </c>
      <c r="CK517" s="369">
        <f>+CK510/CK505</f>
        <v>53.250815393156046</v>
      </c>
      <c r="CL517" s="369">
        <f>+CL510/CL505</f>
        <v>53.772339601435633</v>
      </c>
      <c r="CM517" s="290"/>
      <c r="CN517" s="369">
        <f>+CN510/CN505</f>
        <v>52.668619807492185</v>
      </c>
      <c r="CO517" s="369">
        <f>+CO510/CO505</f>
        <v>56.107133334151563</v>
      </c>
      <c r="CP517" s="369">
        <f>+CP510/CP505</f>
        <v>56.341323115410532</v>
      </c>
      <c r="CQ517" s="290"/>
      <c r="CR517" s="369">
        <f>+CR510/CR505</f>
        <v>60.377152012098065</v>
      </c>
      <c r="CS517" s="369">
        <f>+CS510/CS505</f>
        <v>68.893165481270117</v>
      </c>
      <c r="CT517" s="369">
        <f>+CT510/CT505</f>
        <v>68.991650920807729</v>
      </c>
      <c r="CU517" s="290"/>
      <c r="CV517" s="369">
        <f>+CV510/CV505</f>
        <v>74.277050026077902</v>
      </c>
      <c r="CW517" s="1501">
        <f>+CW510/CW505</f>
        <v>78.32574663843755</v>
      </c>
      <c r="CX517" s="369">
        <f>+CX510/CX505</f>
        <v>78.455754682515945</v>
      </c>
      <c r="CY517" s="290"/>
      <c r="CZ517" s="369">
        <f>+CZ510/CZ505</f>
        <v>82.205947906862988</v>
      </c>
      <c r="DA517" s="1501">
        <f>+DA510/DA505</f>
        <v>84.790860863621944</v>
      </c>
      <c r="DB517" s="369">
        <f>+DB510/DB505</f>
        <v>84.91930662159821</v>
      </c>
      <c r="DC517" s="290"/>
      <c r="DD517" s="369">
        <f>+DD510/DD505</f>
        <v>82.536807822121034</v>
      </c>
      <c r="DE517" s="1501">
        <f>+DE510/DE505</f>
        <v>90.219778222402581</v>
      </c>
      <c r="DF517" s="369">
        <f>+DF510/DF505</f>
        <v>90.284173240098923</v>
      </c>
      <c r="DG517" s="290"/>
      <c r="DH517" s="369">
        <f>+DH510/DH505</f>
        <v>88.468827250637077</v>
      </c>
      <c r="DI517" s="801"/>
      <c r="DJ517" s="801"/>
      <c r="DK517" s="290"/>
      <c r="DL517" s="801"/>
      <c r="DM517" s="801"/>
      <c r="DN517" s="801"/>
      <c r="DO517" s="290"/>
      <c r="DP517" s="801"/>
      <c r="DQ517" s="801"/>
      <c r="DR517" s="801"/>
      <c r="DS517" s="290"/>
      <c r="DT517" s="290"/>
      <c r="DU517" s="801"/>
      <c r="DV517" s="801"/>
      <c r="DW517" s="801"/>
      <c r="DX517" s="290"/>
      <c r="EH517"/>
    </row>
    <row r="518" spans="1:138" s="289" customFormat="1">
      <c r="A518" s="102" t="s">
        <v>959</v>
      </c>
      <c r="B518" s="102"/>
      <c r="C518" s="103"/>
      <c r="D518" s="102"/>
      <c r="E518" s="102"/>
      <c r="F518" s="102"/>
      <c r="G518" s="102"/>
      <c r="H518" s="102"/>
      <c r="I518" s="102"/>
      <c r="J518" s="102"/>
      <c r="K518" s="102"/>
      <c r="L518" s="369"/>
      <c r="M518" s="369"/>
      <c r="N518" s="369"/>
      <c r="O518" s="102"/>
      <c r="P518" s="369"/>
      <c r="Q518" s="369"/>
      <c r="R518" s="369"/>
      <c r="S518" s="103"/>
      <c r="T518" s="369"/>
      <c r="U518" s="369"/>
      <c r="V518" s="369"/>
      <c r="W518" s="103"/>
      <c r="X518" s="369"/>
      <c r="Y518" s="369"/>
      <c r="Z518" s="369"/>
      <c r="AA518" s="103"/>
      <c r="AB518" s="369"/>
      <c r="AC518" s="369"/>
      <c r="AD518" s="369"/>
      <c r="AE518" s="293"/>
      <c r="AF518" s="369"/>
      <c r="AG518" s="369"/>
      <c r="AH518" s="369"/>
      <c r="AI518" s="103"/>
      <c r="AJ518" s="369"/>
      <c r="AK518" s="369"/>
      <c r="AL518" s="369"/>
      <c r="AM518" s="103"/>
      <c r="AN518" s="369"/>
      <c r="AO518" s="369"/>
      <c r="AP518" s="369"/>
      <c r="AQ518" s="103"/>
      <c r="AR518" s="369"/>
      <c r="AS518" s="369"/>
      <c r="AT518" s="369"/>
      <c r="AU518" s="103"/>
      <c r="AV518" s="369"/>
      <c r="AW518" s="369"/>
      <c r="AX518" s="369"/>
      <c r="AY518" s="103"/>
      <c r="AZ518" s="369"/>
      <c r="BA518" s="369"/>
      <c r="BB518" s="369"/>
      <c r="BC518" s="103"/>
      <c r="BD518" s="369">
        <f>+BD514/BD505</f>
        <v>25.362517019224295</v>
      </c>
      <c r="BE518" s="369">
        <f>+BE514/BE505</f>
        <v>24.959460823782393</v>
      </c>
      <c r="BF518" s="369">
        <f>+BF514/BF505</f>
        <v>24.948515820160164</v>
      </c>
      <c r="BG518" s="103"/>
      <c r="BH518" s="369">
        <f>+BH514/BH505</f>
        <v>24.817544538823643</v>
      </c>
      <c r="BI518" s="369">
        <f>+BI514/BI505</f>
        <v>24.900572412181056</v>
      </c>
      <c r="BJ518" s="369">
        <f>+BJ514/BJ505</f>
        <v>24.948741664297359</v>
      </c>
      <c r="BK518" s="103"/>
      <c r="BL518" s="369">
        <f>+BL514/BL505</f>
        <v>27.916618077437008</v>
      </c>
      <c r="BM518" s="369">
        <f>+BM514/BM505</f>
        <v>27.8599021967303</v>
      </c>
      <c r="BN518" s="369">
        <f>+BN514/BN505</f>
        <v>27.870235518397852</v>
      </c>
      <c r="BO518" s="103"/>
      <c r="BP518" s="369">
        <f>+BP514/BP505</f>
        <v>29.245597847941113</v>
      </c>
      <c r="BQ518" s="369">
        <f>+BQ514/BQ505</f>
        <v>33.536095043318973</v>
      </c>
      <c r="BR518" s="369">
        <f>+BR514/BR505</f>
        <v>33.769955624641071</v>
      </c>
      <c r="BS518" s="103"/>
      <c r="BT518" s="369">
        <f>+BT514/BT505</f>
        <v>35.367265486511975</v>
      </c>
      <c r="BU518" s="369">
        <f>+BU514/BU505</f>
        <v>35.955786747257903</v>
      </c>
      <c r="BV518" s="369">
        <f>+BV514/BV505</f>
        <v>36.196719307669873</v>
      </c>
      <c r="BW518" s="103"/>
      <c r="BX518" s="369">
        <f>+BX514/BX505</f>
        <v>36.423692316757901</v>
      </c>
      <c r="BY518" s="369">
        <f>+BY514/BY505</f>
        <v>38.938534322228712</v>
      </c>
      <c r="BZ518" s="369">
        <f>+BZ514/BZ505</f>
        <v>38.785433703351408</v>
      </c>
      <c r="CA518" s="290"/>
      <c r="CB518" s="369">
        <f>+CB514/CB505</f>
        <v>38.720013691040322</v>
      </c>
      <c r="CC518" s="369">
        <f>+CC514/CC505</f>
        <v>42.319142890636599</v>
      </c>
      <c r="CD518" s="369">
        <f>+CD514/CD505</f>
        <v>41.911292747252006</v>
      </c>
      <c r="CE518" s="290"/>
      <c r="CF518" s="369">
        <f>+CF514/CF505</f>
        <v>40.46301532907637</v>
      </c>
      <c r="CG518" s="369">
        <f>+CG514/CG505</f>
        <v>40.64109341717824</v>
      </c>
      <c r="CH518" s="369">
        <f>+CH514/CH505</f>
        <v>41.142101024815346</v>
      </c>
      <c r="CI518" s="290"/>
      <c r="CJ518" s="369">
        <f>+CJ514/CJ505</f>
        <v>41.687102860669086</v>
      </c>
      <c r="CK518" s="369">
        <f>+CK514/CK505</f>
        <v>42.192605901171781</v>
      </c>
      <c r="CL518" s="369">
        <f>+CL514/CL505</f>
        <v>42.605828970629034</v>
      </c>
      <c r="CM518" s="290"/>
      <c r="CN518" s="369">
        <f>+CN514/CN505</f>
        <v>42.698872289807156</v>
      </c>
      <c r="CO518" s="369">
        <f>+CO514/CO505</f>
        <v>46.409007194073027</v>
      </c>
      <c r="CP518" s="369">
        <f>+CP514/CP505</f>
        <v>46.602717237651575</v>
      </c>
      <c r="CQ518" s="290"/>
      <c r="CR518" s="369">
        <f>+CR514/CR505</f>
        <v>48.865750190642537</v>
      </c>
      <c r="CS518" s="369">
        <f>+CS514/CS505</f>
        <v>56.552650982401808</v>
      </c>
      <c r="CT518" s="369">
        <f>+CT514/CT505</f>
        <v>56.633495180082534</v>
      </c>
      <c r="CU518" s="290"/>
      <c r="CV518" s="369">
        <f>+CV514/CV505</f>
        <v>61.562939028219716</v>
      </c>
      <c r="CW518" s="1501">
        <f>+CW514/CW505</f>
        <v>65.502578104176081</v>
      </c>
      <c r="CX518" s="369">
        <f>+CX514/CX505</f>
        <v>65.611301766916597</v>
      </c>
      <c r="CY518" s="290"/>
      <c r="CZ518" s="369">
        <f>+CZ514/CZ505</f>
        <v>68.121844124712624</v>
      </c>
      <c r="DA518" s="1501">
        <f>+DA514/DA505</f>
        <v>69.727510294140046</v>
      </c>
      <c r="DB518" s="369">
        <f>+DB514/DB505</f>
        <v>69.833137278231348</v>
      </c>
      <c r="DC518" s="290"/>
      <c r="DD518" s="369">
        <f>+DD514/DD505</f>
        <v>69.966803869149942</v>
      </c>
      <c r="DE518" s="1501">
        <f>+DE514/DE505</f>
        <v>81.329470853728225</v>
      </c>
      <c r="DF518" s="369">
        <f>+DF514/DF505</f>
        <v>81.387520350391256</v>
      </c>
      <c r="DG518" s="290"/>
      <c r="DH518" s="369">
        <f>+DH514/DH505</f>
        <v>80.24678873528606</v>
      </c>
      <c r="DI518" s="801"/>
      <c r="DJ518" s="801"/>
      <c r="DK518" s="290"/>
      <c r="DL518" s="801"/>
      <c r="DM518" s="801"/>
      <c r="DN518" s="801"/>
      <c r="DO518" s="290"/>
      <c r="DP518" s="801"/>
      <c r="DQ518" s="801"/>
      <c r="DR518" s="801"/>
      <c r="DS518" s="290"/>
      <c r="DT518" s="290"/>
      <c r="DU518" s="801"/>
      <c r="DV518" s="801"/>
      <c r="DW518" s="801"/>
      <c r="DX518" s="290"/>
      <c r="EH518"/>
    </row>
    <row r="519" spans="1:138">
      <c r="L519" s="700"/>
      <c r="M519" s="293"/>
      <c r="N519" s="293"/>
      <c r="P519" s="700"/>
      <c r="Q519" s="293"/>
      <c r="R519" s="293"/>
      <c r="T519" s="700"/>
      <c r="U519" s="293"/>
      <c r="V519" s="293"/>
      <c r="X519" s="700"/>
      <c r="Y519" s="293"/>
      <c r="Z519" s="293"/>
      <c r="AB519" s="700"/>
      <c r="AC519" s="293"/>
      <c r="AD519" s="293"/>
      <c r="AE519" s="293"/>
      <c r="AF519" s="700"/>
      <c r="AG519" s="293"/>
      <c r="AH519" s="293"/>
      <c r="AJ519" s="700"/>
      <c r="AK519" s="293"/>
      <c r="AL519" s="293"/>
      <c r="AN519" s="700"/>
      <c r="AO519" s="293"/>
      <c r="AP519" s="293"/>
      <c r="AR519" s="700"/>
      <c r="AS519" s="293"/>
      <c r="AT519" s="293"/>
      <c r="AV519" s="700"/>
      <c r="AW519" s="293"/>
      <c r="AX519" s="293"/>
      <c r="AZ519" s="700"/>
      <c r="BA519" s="293"/>
      <c r="BB519" s="293"/>
      <c r="BD519" s="700"/>
      <c r="BE519" s="293"/>
      <c r="BF519" s="293"/>
      <c r="BH519" s="700"/>
      <c r="BI519" s="293"/>
      <c r="BJ519" s="293"/>
      <c r="BL519" s="700"/>
      <c r="BM519" s="293"/>
      <c r="BN519" s="293"/>
      <c r="BP519" s="700"/>
      <c r="BQ519" s="293"/>
      <c r="BR519" s="293"/>
      <c r="BT519" s="700"/>
      <c r="BU519" s="293"/>
      <c r="BV519" s="293"/>
      <c r="BX519" s="700"/>
      <c r="BY519" s="293"/>
      <c r="BZ519" s="293"/>
      <c r="CB519" s="700"/>
      <c r="CC519" s="293"/>
      <c r="CD519" s="293"/>
      <c r="CF519" s="700"/>
      <c r="CG519" s="293"/>
      <c r="CH519" s="293"/>
      <c r="CJ519" s="700"/>
      <c r="CK519" s="293"/>
      <c r="CL519" s="293"/>
      <c r="CN519" s="700"/>
      <c r="CO519" s="293"/>
      <c r="CP519" s="293"/>
      <c r="CR519" s="700"/>
      <c r="CS519" s="293"/>
      <c r="CT519" s="293"/>
      <c r="CV519" s="700"/>
      <c r="CW519" s="1495"/>
      <c r="CX519" s="293"/>
      <c r="CZ519" s="700"/>
      <c r="DA519" s="1495"/>
      <c r="DB519" s="293"/>
      <c r="DD519" s="700"/>
      <c r="DE519" s="1495"/>
      <c r="DF519" s="293"/>
      <c r="DH519" s="700"/>
      <c r="DI519" s="293"/>
      <c r="DJ519" s="293"/>
      <c r="DL519" s="700"/>
      <c r="DM519" s="293"/>
      <c r="DN519" s="293"/>
      <c r="DP519" s="700"/>
      <c r="DQ519" s="293"/>
      <c r="DR519" s="293"/>
      <c r="DU519" s="700"/>
      <c r="DV519" s="293"/>
      <c r="DW519" s="293"/>
    </row>
    <row r="520" spans="1:138">
      <c r="A520" s="289" t="s">
        <v>220</v>
      </c>
      <c r="L520" s="369"/>
      <c r="M520" s="369"/>
      <c r="N520" s="369"/>
      <c r="P520" s="369">
        <f>SUMMARY!$FI$3/P515</f>
        <v>23.962134910921129</v>
      </c>
      <c r="Q520" s="369">
        <f>SUMMARY!$FI$3/Q515</f>
        <v>24.423636908685971</v>
      </c>
      <c r="R520" s="369">
        <f>SUMMARY!$FI$3/R515</f>
        <v>24.423636908685971</v>
      </c>
      <c r="T520" s="369">
        <f>SUMMARY!$FI$3/T515</f>
        <v>19.724524739010988</v>
      </c>
      <c r="U520" s="369">
        <f>SUMMARY!$FI$3/U515</f>
        <v>19.122230855697772</v>
      </c>
      <c r="V520" s="369">
        <f>SUMMARY!$FI$3/V515</f>
        <v>19.122230855697769</v>
      </c>
      <c r="X520" s="369">
        <f>SUMMARY!$FI$3/X515</f>
        <v>17.808361621836038</v>
      </c>
      <c r="Y520" s="369">
        <f>SUMMARY!$FI$3/Y515</f>
        <v>15.097586684707361</v>
      </c>
      <c r="Z520" s="369">
        <f>SUMMARY!$FI$3/Z515</f>
        <v>15.097586684707361</v>
      </c>
      <c r="AB520" s="369">
        <f>SUMMARY!$FI$3/AB515</f>
        <v>18.158217724576268</v>
      </c>
      <c r="AC520" s="369">
        <f>SUMMARY!$FI$3/AC515</f>
        <v>15.130914690633867</v>
      </c>
      <c r="AD520" s="369">
        <f>SUMMARY!$FI$3/AD515</f>
        <v>15.130914690633867</v>
      </c>
      <c r="AE520" s="293"/>
      <c r="AF520" s="369">
        <f>SUMMARY!$FI$3/AF515</f>
        <v>13.490856074959037</v>
      </c>
      <c r="AG520" s="369">
        <f>SUMMARY!$FI$3/AG515</f>
        <v>12.166534687774526</v>
      </c>
      <c r="AH520" s="369">
        <f>SUMMARY!$FI$3/AH515</f>
        <v>12.166534687774522</v>
      </c>
      <c r="AJ520" s="369">
        <f>SUMMARY!$FI$3/AJ515</f>
        <v>9.691830783659066</v>
      </c>
      <c r="AK520" s="369">
        <f>SUMMARY!$FI$3/AK515</f>
        <v>8.6860769370913733</v>
      </c>
      <c r="AL520" s="369">
        <f>SUMMARY!$FI$3/AL515</f>
        <v>8.6860769370913733</v>
      </c>
      <c r="AN520" s="369">
        <f>SUMMARY!$FI$3/AN515</f>
        <v>7.0808679891013151</v>
      </c>
      <c r="AO520" s="369">
        <f>SUMMARY!$FI$3/AO515</f>
        <v>6.6706812979952428</v>
      </c>
      <c r="AP520" s="369">
        <f>SUMMARY!$FI$3/AP515</f>
        <v>6.6706812979952428</v>
      </c>
      <c r="AR520" s="369">
        <f>SUMMARY!$FI$3/AR515</f>
        <v>6.6938379717934486</v>
      </c>
      <c r="AS520" s="369">
        <f>SUMMARY!$FI$3/AS515</f>
        <v>7.0172496537396114</v>
      </c>
      <c r="AT520" s="369">
        <f>SUMMARY!$FI$3/AT515</f>
        <v>7.0172496537396114</v>
      </c>
      <c r="AV520" s="369">
        <f>SUMMARY!$FI$3/AV515</f>
        <v>6.8699231231748401</v>
      </c>
      <c r="AW520" s="369">
        <f>SUMMARY!$FI$3/AW515</f>
        <v>6.5741093420138892</v>
      </c>
      <c r="AX520" s="369">
        <f>SUMMARY!$FI$3/AX515</f>
        <v>6.5741093420138892</v>
      </c>
      <c r="AZ520" s="369">
        <f>SUMMARY!$FI$3/AZ515</f>
        <v>6.7020594037157579</v>
      </c>
      <c r="BA520" s="369">
        <f>SUMMARY!$FI$3/BA515</f>
        <v>6.5233084123553144</v>
      </c>
      <c r="BB520" s="369">
        <f>SUMMARY!$FI$3/BB515</f>
        <v>6.5233084123553144</v>
      </c>
      <c r="BD520" s="369">
        <f>SUMMARY!$FI$3/BD515</f>
        <v>6.6400443839658694</v>
      </c>
      <c r="BE520" s="369">
        <f>SUMMARY!$FI$3/BE515</f>
        <v>6.674225667544408</v>
      </c>
      <c r="BF520" s="369">
        <f>SUMMARY!$FI$3/BF515</f>
        <v>6.674225667544408</v>
      </c>
      <c r="BH520" s="369">
        <f>SUMMARY!$FI$3/BH515</f>
        <v>6.5771937689489874</v>
      </c>
      <c r="BI520" s="369">
        <f>SUMMARY!$FI$3/BI515</f>
        <v>6.3529757464014649</v>
      </c>
      <c r="BJ520" s="369">
        <f>SUMMARY!$FI$3/BJ515</f>
        <v>6.3529757464014649</v>
      </c>
      <c r="BL520" s="369">
        <f>SUMMARY!$FI$3/BL515</f>
        <v>5.9273157497560973</v>
      </c>
      <c r="BM520" s="369">
        <f>SUMMARY!$FI$3/BM515</f>
        <v>5.9918682682269004</v>
      </c>
      <c r="BN520" s="369">
        <f>SUMMARY!$FI$3/BN515</f>
        <v>5.9918682682269004</v>
      </c>
      <c r="BP520" s="369">
        <f>SUMMARY!$FI$3/BP515</f>
        <v>5.854694273708362</v>
      </c>
      <c r="BQ520" s="369">
        <f>SUMMARY!$FI$3/BQ515</f>
        <v>5.1123360136158951</v>
      </c>
      <c r="BR520" s="369">
        <f>SUMMARY!$FI$3/BR515</f>
        <v>5.112336013615896</v>
      </c>
      <c r="BT520" s="369">
        <f>SUMMARY!$FI$3/BT515</f>
        <v>4.8897960098421169</v>
      </c>
      <c r="BU520" s="369">
        <f>SUMMARY!$FI$3/BU515</f>
        <v>4.8289800503109293</v>
      </c>
      <c r="BV520" s="369">
        <f>SUMMARY!$FI$3/BV515</f>
        <v>4.8289800503109293</v>
      </c>
      <c r="BX520" s="369">
        <f>SUMMARY!$FI$3/BX515</f>
        <v>4.892607913209571</v>
      </c>
      <c r="BY520" s="369">
        <f>SUMMARY!$FI$3/BY515</f>
        <v>4.6909623015806723</v>
      </c>
      <c r="BZ520" s="369">
        <f>SUMMARY!$FI$3/BZ515</f>
        <v>4.6909623015806723</v>
      </c>
      <c r="CB520" s="369">
        <f>SUMMARY!$FI$3/CB515</f>
        <v>4.7539734449111153</v>
      </c>
      <c r="CC520" s="369">
        <f>SUMMARY!$FI$3/CC515</f>
        <v>4.4634256825823808</v>
      </c>
      <c r="CD520" s="369">
        <f>SUMMARY!$FI$3/CD515</f>
        <v>4.4634256825823808</v>
      </c>
      <c r="CF520" s="369">
        <f>SUMMARY!$FI$3/CF515</f>
        <v>4.4089430737318844</v>
      </c>
      <c r="CG520" s="369">
        <f>SUMMARY!$FI$3/CG515</f>
        <v>4.1108100501660942</v>
      </c>
      <c r="CH520" s="369">
        <f>SUMMARY!$FI$3/CH515</f>
        <v>4.1108100501660942</v>
      </c>
      <c r="CJ520" s="369">
        <f>SUMMARY!$FI$3/CJ515</f>
        <v>3.8748917862823062</v>
      </c>
      <c r="CK520" s="369">
        <f>SUMMARY!$FI$3/CK515</f>
        <v>3.6089260524141857</v>
      </c>
      <c r="CL520" s="369">
        <f>SUMMARY!$FI$3/CL515</f>
        <v>3.6089260524141857</v>
      </c>
      <c r="CN520" s="369">
        <f>SUMMARY!$FI$3/CN515</f>
        <v>3.7810867949824458</v>
      </c>
      <c r="CO520" s="369">
        <f>SUMMARY!$FI$3/CO515</f>
        <v>3.5200782550117924</v>
      </c>
      <c r="CP520" s="369">
        <f>SUMMARY!$FI$3/CP515</f>
        <v>3.5200782550117924</v>
      </c>
      <c r="CR520" s="369">
        <f>SUMMARY!$FI$3/CR515</f>
        <v>3.287590165828624</v>
      </c>
      <c r="CS520" s="369">
        <f>SUMMARY!$FI$3/CS515</f>
        <v>2.8812863042785617</v>
      </c>
      <c r="CT520" s="369">
        <f>SUMMARY!$FI$3/CT515</f>
        <v>2.8812863042785617</v>
      </c>
      <c r="CV520" s="369">
        <f>SUMMARY!$FI$3/CV515</f>
        <v>2.6454116135239496</v>
      </c>
      <c r="CW520" s="1501">
        <f>SUMMARY!$FI$3/CW515</f>
        <v>2.5003548102247022</v>
      </c>
      <c r="CX520" s="369">
        <f>SUMMARY!$FI$3/CX515</f>
        <v>2.5003548102247022</v>
      </c>
      <c r="CZ520" s="369">
        <f>SUMMARY!$FI$3/CZ515</f>
        <v>2.5389502230559553</v>
      </c>
      <c r="DA520" s="1501">
        <f>SUMMARY!$FI$3/DA515</f>
        <v>2.4534949173710463</v>
      </c>
      <c r="DB520" s="369">
        <f>SUMMARY!$FI$3/DB515</f>
        <v>2.4534949173710463</v>
      </c>
      <c r="DD520" s="369">
        <f>SUMMARY!$FI$3/DD515</f>
        <v>2.5311678385553735</v>
      </c>
      <c r="DE520" s="1501">
        <f>SUMMARY!$FI$3/DE515</f>
        <v>2.312314459144134</v>
      </c>
      <c r="DF520" s="369">
        <f>SUMMARY!$FI$3/DF515</f>
        <v>2.312314459144134</v>
      </c>
      <c r="DH520" s="369">
        <f>SUMMARY!$FI$3/DH515</f>
        <v>2.3655041815196318</v>
      </c>
      <c r="DI520" s="369">
        <f ca="1">SUMMARY!$FI$3/DI515</f>
        <v>2.2748450772695858</v>
      </c>
      <c r="DJ520" s="369">
        <f ca="1">SUMMARY!$FI$3/DJ515</f>
        <v>2.2748450772695858</v>
      </c>
      <c r="DL520" s="369">
        <f ca="1">SUMMARY!$FI$3/DL515</f>
        <v>2.2559365030338445</v>
      </c>
      <c r="DM520" s="369">
        <f ca="1">SUMMARY!$FI$3/DM515</f>
        <v>2.1009207954317177</v>
      </c>
      <c r="DN520" s="369">
        <f ca="1">SUMMARY!$FI$3/DN515</f>
        <v>2.1009207954317177</v>
      </c>
      <c r="DP520" s="369">
        <f ca="1">SUMMARY!$FI$3/DP515</f>
        <v>2.0799571294307717</v>
      </c>
      <c r="DQ520" s="369">
        <f ca="1">SUMMARY!$FI$3/DQ515</f>
        <v>1.9393973381371477</v>
      </c>
      <c r="DR520" s="369">
        <f ca="1">SUMMARY!$FI$3/DR515</f>
        <v>1.9393973381371477</v>
      </c>
      <c r="DU520" s="369"/>
      <c r="DV520" s="369"/>
      <c r="DW520" s="369"/>
    </row>
    <row r="521" spans="1:138">
      <c r="A521" s="289" t="s">
        <v>221</v>
      </c>
      <c r="L521" s="369"/>
      <c r="M521" s="369"/>
      <c r="N521" s="369"/>
      <c r="P521" s="369">
        <f>SUMMARY!$FI$3/P516</f>
        <v>25.272455260907506</v>
      </c>
      <c r="Q521" s="369">
        <f>SUMMARY!$FI$3/Q516</f>
        <v>26.110030885714291</v>
      </c>
      <c r="R521" s="369">
        <f>SUMMARY!$FI$3/R516</f>
        <v>26.110030885714291</v>
      </c>
      <c r="T521" s="369">
        <f>SUMMARY!$FI$3/T516</f>
        <v>20.495487717391306</v>
      </c>
      <c r="U521" s="369">
        <f>SUMMARY!$FI$3/U516</f>
        <v>17.470404802904564</v>
      </c>
      <c r="V521" s="369">
        <f>SUMMARY!$FI$3/V516</f>
        <v>17.470404802904564</v>
      </c>
      <c r="X521" s="369">
        <f>SUMMARY!$FI$3/X516</f>
        <v>23.129898534347397</v>
      </c>
      <c r="Y521" s="369">
        <f>SUMMARY!$FI$3/Y516</f>
        <v>16.972101338521398</v>
      </c>
      <c r="Z521" s="369">
        <f>SUMMARY!$FI$3/Z516</f>
        <v>16.972101338521398</v>
      </c>
      <c r="AB521" s="369">
        <f>SUMMARY!$FI$3/AB516</f>
        <v>22.068695324438202</v>
      </c>
      <c r="AC521" s="369">
        <f>SUMMARY!$FI$3/AC516</f>
        <v>17.221870238334528</v>
      </c>
      <c r="AD521" s="369">
        <f>SUMMARY!$FI$3/AD516</f>
        <v>17.221870238334528</v>
      </c>
      <c r="AE521" s="293"/>
      <c r="AF521" s="369">
        <f>SUMMARY!$FI$3/AF516</f>
        <v>14.453924794177881</v>
      </c>
      <c r="AG521" s="369">
        <f>SUMMARY!$FI$3/AG516</f>
        <v>12.899989430918501</v>
      </c>
      <c r="AH521" s="369">
        <f>SUMMARY!$FI$3/AH516</f>
        <v>12.899989430918497</v>
      </c>
      <c r="AJ521" s="369">
        <f>SUMMARY!$FI$3/AJ516</f>
        <v>10.672988623056995</v>
      </c>
      <c r="AK521" s="369">
        <f>SUMMARY!$FI$3/AK516</f>
        <v>9.4044178992575969</v>
      </c>
      <c r="AL521" s="369">
        <f>SUMMARY!$FI$3/AL516</f>
        <v>9.4044178992575969</v>
      </c>
      <c r="AN521" s="369">
        <f>SUMMARY!$FI$3/AN516</f>
        <v>7.6732763165083133</v>
      </c>
      <c r="AO521" s="369">
        <f>SUMMARY!$FI$3/AO516</f>
        <v>7.6111973610752139</v>
      </c>
      <c r="AP521" s="369">
        <f>SUMMARY!$FI$3/AP516</f>
        <v>7.6111973610752139</v>
      </c>
      <c r="AR521" s="369">
        <f>SUMMARY!$FI$3/AR516</f>
        <v>7.8753607180559184</v>
      </c>
      <c r="AS521" s="369">
        <f>SUMMARY!$FI$3/AS516</f>
        <v>9.0432025881302991</v>
      </c>
      <c r="AT521" s="369">
        <f>SUMMARY!$FI$3/AT516</f>
        <v>9.0432025881302991</v>
      </c>
      <c r="AV521" s="369">
        <f>SUMMARY!$FI$3/AV516</f>
        <v>8.3616152481202999</v>
      </c>
      <c r="AW521" s="369">
        <f>SUMMARY!$FI$3/AW516</f>
        <v>8.3088101867334316</v>
      </c>
      <c r="AX521" s="369">
        <f>SUMMARY!$FI$3/AX516</f>
        <v>8.3088101867334316</v>
      </c>
      <c r="AZ521" s="369">
        <f>SUMMARY!$FI$3/AZ516</f>
        <v>8.4451445733082711</v>
      </c>
      <c r="BA521" s="369">
        <f>SUMMARY!$FI$3/BA516</f>
        <v>8.1489548838317436</v>
      </c>
      <c r="BB521" s="369">
        <f>SUMMARY!$FI$3/BB516</f>
        <v>8.1489548838317436</v>
      </c>
      <c r="BD521" s="369">
        <f>SUMMARY!$FI$3/BD516</f>
        <v>8.3397119182853316</v>
      </c>
      <c r="BE521" s="369">
        <f>SUMMARY!$FI$3/BE516</f>
        <v>8.2996281666666665</v>
      </c>
      <c r="BF521" s="369">
        <f>SUMMARY!$FI$3/BF516</f>
        <v>8.2996281666666665</v>
      </c>
      <c r="BH521" s="369">
        <f>SUMMARY!$FI$3/BH516</f>
        <v>8.0635899655688625</v>
      </c>
      <c r="BI521" s="369">
        <f>SUMMARY!$FI$3/BI516</f>
        <v>7.6544209565902879</v>
      </c>
      <c r="BJ521" s="369">
        <f>SUMMARY!$FI$3/BJ516</f>
        <v>7.6544209565902879</v>
      </c>
      <c r="BL521" s="369">
        <f>SUMMARY!$FI$3/BL516</f>
        <v>6.8257638537590113</v>
      </c>
      <c r="BM521" s="369">
        <f>SUMMARY!$FI$3/BM516</f>
        <v>6.8473388223304834</v>
      </c>
      <c r="BN521" s="369">
        <f>SUMMARY!$FI$3/BN516</f>
        <v>6.8473388223304834</v>
      </c>
      <c r="BP521" s="369">
        <f>SUMMARY!$FI$3/BP516</f>
        <v>6.6038572043515771</v>
      </c>
      <c r="BQ521" s="369">
        <f>SUMMARY!$FI$3/BQ516</f>
        <v>5.7603844057743405</v>
      </c>
      <c r="BR521" s="369">
        <f>SUMMARY!$FI$3/BR516</f>
        <v>5.7603844057743423</v>
      </c>
      <c r="BT521" s="369">
        <f>SUMMARY!$FI$3/BT516</f>
        <v>5.4666925513868732</v>
      </c>
      <c r="BU521" s="369">
        <f>SUMMARY!$FI$3/BU516</f>
        <v>5.3160631010487229</v>
      </c>
      <c r="BV521" s="369">
        <f>SUMMARY!$FI$3/BV516</f>
        <v>5.316063101048722</v>
      </c>
      <c r="BX521" s="369">
        <f>SUMMARY!$FI$3/BX516</f>
        <v>5.3267130735497998</v>
      </c>
      <c r="BY521" s="369">
        <f>SUMMARY!$FI$3/BY516</f>
        <v>5.0220434958725999</v>
      </c>
      <c r="BZ521" s="369">
        <f>SUMMARY!$FI$3/BZ516</f>
        <v>5.0220434958725999</v>
      </c>
      <c r="CB521" s="369">
        <f>SUMMARY!$FI$3/CB516</f>
        <v>5.061829729841226</v>
      </c>
      <c r="CC521" s="369">
        <f>SUMMARY!$FI$3/CC516</f>
        <v>4.7214805593998586</v>
      </c>
      <c r="CD521" s="369">
        <f>SUMMARY!$FI$3/CD516</f>
        <v>4.7214805593998586</v>
      </c>
      <c r="CF521" s="369">
        <f>SUMMARY!$FI$3/CF516</f>
        <v>4.969852106800082</v>
      </c>
      <c r="CG521" s="369">
        <f>SUMMARY!$FI$3/CG516</f>
        <v>4.8275652804152349</v>
      </c>
      <c r="CH521" s="369">
        <f>SUMMARY!$FI$3/CH516</f>
        <v>4.8275652804152349</v>
      </c>
      <c r="CJ521" s="369">
        <f>SUMMARY!$FI$3/CJ516</f>
        <v>4.7012030534665099</v>
      </c>
      <c r="CK521" s="369">
        <f>SUMMARY!$FI$3/CK516</f>
        <v>4.5547851544130866</v>
      </c>
      <c r="CL521" s="369">
        <f>SUMMARY!$FI$3/CL516</f>
        <v>4.5547851544130866</v>
      </c>
      <c r="CN521" s="369">
        <f>SUMMARY!$FI$3/CN516</f>
        <v>4.6639316727715627</v>
      </c>
      <c r="CO521" s="369">
        <f>SUMMARY!$FI$3/CO516</f>
        <v>4.2556717314525416</v>
      </c>
      <c r="CP521" s="369">
        <f>SUMMARY!$FI$3/CP516</f>
        <v>4.2556717314525416</v>
      </c>
      <c r="CR521" s="369">
        <f>SUMMARY!$FI$3/CR516</f>
        <v>4.0620543104590263</v>
      </c>
      <c r="CS521" s="369">
        <f>SUMMARY!$FI$3/CS516</f>
        <v>3.5100199674344208</v>
      </c>
      <c r="CT521" s="369">
        <f>SUMMARY!$FI$3/CT516</f>
        <v>3.5100199674344208</v>
      </c>
      <c r="CV521" s="369">
        <f>SUMMARY!$FI$3/CV516</f>
        <v>3.1917477277557467</v>
      </c>
      <c r="CW521" s="1501">
        <f>SUMMARY!$FI$3/CW516</f>
        <v>2.9898389199336388</v>
      </c>
      <c r="CX521" s="369">
        <f>SUMMARY!$FI$3/CX516</f>
        <v>2.9898389199336388</v>
      </c>
      <c r="CZ521" s="369">
        <f>SUMMARY!$FI$3/CZ516</f>
        <v>3.0638749208337956</v>
      </c>
      <c r="DA521" s="1501">
        <f>SUMMARY!$FI$3/DA516</f>
        <v>2.9835275243707549</v>
      </c>
      <c r="DB521" s="369">
        <f>SUMMARY!$FI$3/DB516</f>
        <v>2.9835275243707549</v>
      </c>
      <c r="DD521" s="369">
        <f>SUMMARY!$FI$3/DD516</f>
        <v>2.9859090583455079</v>
      </c>
      <c r="DE521" s="1501">
        <f>SUMMARY!$FI$3/DE516</f>
        <v>2.5650787530591117</v>
      </c>
      <c r="DF521" s="369">
        <f>SUMMARY!$FI$3/DF516</f>
        <v>2.5650787530591117</v>
      </c>
      <c r="DH521" s="369">
        <f>SUMMARY!$FI$3/DH516</f>
        <v>2.6078723409837639</v>
      </c>
      <c r="DI521" s="369">
        <f ca="1">SUMMARY!$FI$3/DI516</f>
        <v>2.5007635213642585</v>
      </c>
      <c r="DJ521" s="369">
        <f ca="1">SUMMARY!$FI$3/DJ516</f>
        <v>2.5007635213642585</v>
      </c>
      <c r="DL521" s="369">
        <f ca="1">SUMMARY!$FI$3/DL516</f>
        <v>2.4806193484702441</v>
      </c>
      <c r="DM521" s="369">
        <f ca="1">SUMMARY!$FI$3/DM516</f>
        <v>2.2968381356432275</v>
      </c>
      <c r="DN521" s="369">
        <f ca="1">SUMMARY!$FI$3/DN516</f>
        <v>2.2968381356432275</v>
      </c>
      <c r="DP521" s="369">
        <f ca="1">SUMMARY!$FI$3/DP516</f>
        <v>2.274207367928863</v>
      </c>
      <c r="DQ521" s="369">
        <f ca="1">SUMMARY!$FI$3/DQ516</f>
        <v>2.1093514831163866</v>
      </c>
      <c r="DR521" s="369">
        <f ca="1">SUMMARY!$FI$3/DR516</f>
        <v>2.1093514831163866</v>
      </c>
      <c r="DU521" s="369"/>
      <c r="DV521" s="369"/>
      <c r="DW521" s="369"/>
    </row>
    <row r="522" spans="1:138">
      <c r="X522" s="293"/>
      <c r="Y522" s="293"/>
      <c r="Z522" s="293"/>
      <c r="AB522" s="293"/>
      <c r="AC522" s="293"/>
      <c r="AD522" s="293"/>
      <c r="AE522" s="293"/>
      <c r="AF522" s="293"/>
      <c r="AG522" s="293"/>
      <c r="AH522" s="293"/>
      <c r="AJ522" s="293"/>
      <c r="AK522" s="293"/>
      <c r="AL522" s="293"/>
      <c r="AN522" s="293"/>
      <c r="AO522" s="293"/>
      <c r="AP522" s="293"/>
      <c r="AR522" s="293"/>
      <c r="AS522" s="293"/>
      <c r="AT522" s="293"/>
      <c r="AV522" s="700"/>
      <c r="AZ522" s="700"/>
      <c r="BD522" s="700"/>
      <c r="BH522" s="700"/>
      <c r="BL522" s="700"/>
      <c r="BP522" s="700"/>
      <c r="BT522" s="700"/>
      <c r="BX522" s="700"/>
      <c r="CB522" s="700"/>
      <c r="CF522" s="700"/>
      <c r="CJ522" s="700"/>
      <c r="CN522" s="700"/>
      <c r="CR522" s="700"/>
      <c r="CV522" s="700"/>
      <c r="CZ522" s="700"/>
      <c r="DD522" s="700"/>
      <c r="DH522" s="700"/>
      <c r="DL522" s="700"/>
      <c r="DP522" s="700"/>
      <c r="DU522" s="700"/>
    </row>
    <row r="523" spans="1:138">
      <c r="X523" s="293"/>
      <c r="Y523" s="293"/>
      <c r="Z523" s="293"/>
      <c r="AB523" s="293"/>
      <c r="AC523" s="293"/>
      <c r="AD523" s="293"/>
      <c r="AE523" s="293"/>
      <c r="AF523" s="293"/>
      <c r="AG523" s="293"/>
      <c r="AH523" s="293"/>
      <c r="AJ523" s="293"/>
      <c r="AK523" s="293"/>
      <c r="AL523" s="293"/>
      <c r="AN523" s="293"/>
      <c r="AO523" s="293"/>
      <c r="AP523" s="293"/>
      <c r="AR523" s="293"/>
      <c r="AS523" s="293"/>
      <c r="AT523" s="293"/>
      <c r="AV523" s="700"/>
      <c r="AZ523" s="700"/>
      <c r="BD523" s="700"/>
      <c r="BH523" s="700"/>
      <c r="BL523" s="700"/>
      <c r="BP523" s="700"/>
      <c r="BT523" s="700"/>
      <c r="BX523" s="700"/>
      <c r="CB523" s="700"/>
      <c r="CF523" s="700"/>
      <c r="CJ523" s="700"/>
      <c r="CN523" s="700"/>
      <c r="CR523" s="700"/>
      <c r="CV523" s="700"/>
      <c r="CZ523" s="700"/>
      <c r="DD523" s="700"/>
      <c r="DH523" s="700"/>
      <c r="DL523" s="700"/>
      <c r="DP523" s="700"/>
      <c r="DU523" s="700"/>
    </row>
    <row r="524" spans="1:138">
      <c r="A524" s="692" t="s">
        <v>492</v>
      </c>
      <c r="B524" s="693"/>
      <c r="C524" s="694"/>
      <c r="D524" s="693"/>
      <c r="E524" s="693"/>
      <c r="F524" s="693"/>
      <c r="G524" s="693"/>
      <c r="H524" s="693"/>
      <c r="I524" s="693"/>
      <c r="J524" s="693"/>
      <c r="K524" s="693"/>
      <c r="L524" s="693"/>
      <c r="M524" s="693"/>
      <c r="N524" s="693"/>
      <c r="O524" s="693"/>
      <c r="P524" s="694"/>
      <c r="Q524" s="694"/>
      <c r="R524" s="694"/>
      <c r="S524" s="694"/>
      <c r="T524" s="694"/>
      <c r="U524" s="694"/>
      <c r="V524" s="694"/>
      <c r="W524" s="694"/>
      <c r="X524" s="694"/>
      <c r="Y524" s="694"/>
      <c r="Z524" s="694"/>
      <c r="AA524" s="694"/>
      <c r="AB524" s="694"/>
      <c r="AC524" s="694"/>
      <c r="AD524" s="694"/>
      <c r="AE524" s="694"/>
      <c r="AF524" s="694"/>
      <c r="AG524" s="694"/>
      <c r="AH524" s="694"/>
      <c r="AI524" s="694"/>
      <c r="AJ524" s="694"/>
      <c r="AK524" s="694"/>
      <c r="AL524" s="694"/>
      <c r="AM524" s="694"/>
      <c r="AN524" s="694"/>
      <c r="AO524" s="694"/>
      <c r="AP524" s="694"/>
      <c r="AQ524" s="694"/>
      <c r="AR524" s="694"/>
      <c r="AS524" s="694"/>
      <c r="AT524" s="694"/>
      <c r="AU524" s="694"/>
      <c r="AV524" s="799"/>
      <c r="AW524" s="799"/>
      <c r="AX524" s="799"/>
      <c r="AY524" s="694"/>
      <c r="AZ524" s="799"/>
      <c r="BA524" s="799"/>
      <c r="BB524" s="799"/>
      <c r="BC524" s="694"/>
      <c r="BD524" s="799"/>
      <c r="BE524" s="799"/>
      <c r="BF524" s="799"/>
      <c r="BG524" s="694"/>
      <c r="BH524" s="799"/>
      <c r="BI524" s="799"/>
      <c r="BJ524" s="799"/>
      <c r="BK524" s="694"/>
      <c r="BL524" s="799"/>
      <c r="BM524" s="799"/>
      <c r="BN524" s="799"/>
      <c r="BO524" s="694"/>
      <c r="BP524" s="799"/>
      <c r="BQ524" s="799"/>
      <c r="BR524" s="799"/>
      <c r="BS524" s="694"/>
      <c r="BT524" s="799"/>
      <c r="BU524" s="799"/>
      <c r="BV524" s="799"/>
      <c r="BW524" s="694"/>
      <c r="BX524" s="799"/>
      <c r="BY524" s="799"/>
      <c r="BZ524" s="799"/>
      <c r="CA524" s="694"/>
      <c r="CB524" s="799"/>
      <c r="CC524" s="799"/>
      <c r="CD524" s="799"/>
      <c r="CE524" s="694"/>
      <c r="CF524" s="799"/>
      <c r="CG524" s="799"/>
      <c r="CH524" s="799"/>
      <c r="CI524" s="694"/>
      <c r="CJ524" s="799"/>
      <c r="CK524" s="799"/>
      <c r="CL524" s="799"/>
      <c r="CM524" s="694"/>
      <c r="CN524" s="799"/>
      <c r="CO524" s="799"/>
      <c r="CP524" s="799"/>
      <c r="CQ524" s="694"/>
      <c r="CR524" s="799"/>
      <c r="CS524" s="799"/>
      <c r="CT524" s="799"/>
      <c r="CU524" s="694"/>
      <c r="CV524" s="799"/>
      <c r="CW524" s="1822"/>
      <c r="CX524" s="799"/>
      <c r="CY524" s="694"/>
      <c r="CZ524" s="799"/>
      <c r="DA524" s="799"/>
      <c r="DB524" s="799"/>
      <c r="DC524" s="694"/>
      <c r="DD524" s="799"/>
      <c r="DE524" s="799"/>
      <c r="DF524" s="799"/>
      <c r="DG524" s="694"/>
      <c r="DH524" s="799"/>
      <c r="DI524" s="799"/>
      <c r="DJ524" s="799"/>
      <c r="DK524" s="694"/>
      <c r="DL524" s="799"/>
      <c r="DM524" s="799"/>
      <c r="DN524" s="799"/>
      <c r="DO524" s="694"/>
      <c r="DP524" s="799"/>
      <c r="DQ524" s="799"/>
      <c r="DR524" s="799"/>
      <c r="DS524" s="694"/>
      <c r="DU524" s="293"/>
      <c r="DV524" s="293"/>
      <c r="DW524" s="293"/>
    </row>
    <row r="525" spans="1:138">
      <c r="X525" s="293"/>
      <c r="Y525" s="293"/>
      <c r="Z525" s="293"/>
      <c r="AB525" s="293"/>
      <c r="AC525" s="293"/>
      <c r="AD525" s="293"/>
      <c r="AE525" s="293"/>
      <c r="AF525" s="293"/>
      <c r="AG525" s="293"/>
      <c r="AH525" s="293"/>
      <c r="AJ525" s="293"/>
      <c r="AK525" s="293"/>
      <c r="AL525" s="293"/>
      <c r="AN525" s="293"/>
      <c r="AO525" s="293"/>
      <c r="AP525" s="293"/>
      <c r="AR525" s="293"/>
      <c r="AS525" s="293"/>
      <c r="AT525" s="293"/>
      <c r="AV525" s="700"/>
      <c r="AZ525" s="700"/>
      <c r="BD525" s="700"/>
      <c r="BH525" s="700"/>
      <c r="BL525" s="700"/>
      <c r="BP525" s="700"/>
      <c r="BT525" s="700"/>
      <c r="BX525" s="700"/>
      <c r="CB525" s="700"/>
      <c r="CF525" s="700"/>
      <c r="CJ525" s="700"/>
      <c r="CN525" s="700"/>
      <c r="CR525" s="700"/>
      <c r="CV525" s="700"/>
      <c r="CZ525" s="700"/>
      <c r="DD525" s="700"/>
      <c r="DH525" s="700"/>
      <c r="DL525" s="700"/>
      <c r="DP525" s="700"/>
      <c r="DU525" s="700"/>
    </row>
    <row r="526" spans="1:138">
      <c r="A526" s="102" t="s">
        <v>9</v>
      </c>
      <c r="P526" s="293">
        <f>P27</f>
        <v>32475</v>
      </c>
      <c r="Q526" s="293">
        <f>Q27</f>
        <v>32462</v>
      </c>
      <c r="R526" s="293">
        <f>R27</f>
        <v>32462</v>
      </c>
      <c r="T526" s="293">
        <f>T27</f>
        <v>36802</v>
      </c>
      <c r="U526" s="293">
        <f>U27</f>
        <v>43771</v>
      </c>
      <c r="V526" s="293">
        <f>V27</f>
        <v>43771</v>
      </c>
      <c r="X526" s="293">
        <f>X27</f>
        <v>42114</v>
      </c>
      <c r="Y526" s="293">
        <f>Y27</f>
        <v>49313</v>
      </c>
      <c r="Z526" s="293">
        <f>Z27</f>
        <v>49313</v>
      </c>
      <c r="AB526" s="293">
        <f>AB27</f>
        <v>59150</v>
      </c>
      <c r="AC526" s="293">
        <f>AC27</f>
        <v>67980</v>
      </c>
      <c r="AD526" s="293">
        <f>AD27</f>
        <v>67980</v>
      </c>
      <c r="AE526" s="293"/>
      <c r="AF526" s="293">
        <f>AF27</f>
        <v>84220</v>
      </c>
      <c r="AG526" s="293">
        <f>AG27</f>
        <v>106211</v>
      </c>
      <c r="AH526" s="293">
        <f>AH27</f>
        <v>106211</v>
      </c>
      <c r="AJ526" s="293">
        <f>AJ27</f>
        <v>112637</v>
      </c>
      <c r="AK526" s="293">
        <f>AK27</f>
        <v>136389</v>
      </c>
      <c r="AL526" s="293">
        <f>AL27</f>
        <v>136389</v>
      </c>
      <c r="AN526" s="293">
        <f>AN27</f>
        <v>152458</v>
      </c>
      <c r="AO526" s="293">
        <f>AO27</f>
        <v>167250</v>
      </c>
      <c r="AP526" s="293">
        <f>AP27</f>
        <v>167250</v>
      </c>
      <c r="AR526" s="293">
        <f>AR27</f>
        <v>167435</v>
      </c>
      <c r="AS526" s="293">
        <f>AS27</f>
        <v>149144</v>
      </c>
      <c r="AT526" s="293">
        <f>AT27</f>
        <v>149144</v>
      </c>
      <c r="AV526" s="293">
        <f>AV27</f>
        <v>146931</v>
      </c>
      <c r="AW526" s="293">
        <f>AW27</f>
        <v>145940</v>
      </c>
      <c r="AX526" s="293">
        <f>AX27</f>
        <v>145940</v>
      </c>
      <c r="AZ526" s="293">
        <f>AZ27</f>
        <v>158060</v>
      </c>
      <c r="BA526" s="293">
        <f>BA27</f>
        <v>157568</v>
      </c>
      <c r="BB526" s="293">
        <f>BB27</f>
        <v>157568</v>
      </c>
      <c r="BD526" s="293">
        <f>BD27</f>
        <v>174688</v>
      </c>
      <c r="BE526" s="293">
        <f>BE27</f>
        <v>153626</v>
      </c>
      <c r="BF526" s="293">
        <f>BF27</f>
        <v>153626</v>
      </c>
      <c r="BH526" s="293">
        <f>BH27</f>
        <v>152180</v>
      </c>
      <c r="BI526" s="293">
        <f>BI27</f>
        <v>144748</v>
      </c>
      <c r="BJ526" s="293">
        <f>BJ27</f>
        <v>144748</v>
      </c>
      <c r="BL526" s="293">
        <f>BL27</f>
        <v>154600</v>
      </c>
      <c r="BM526" s="293">
        <f>BM27</f>
        <v>153904</v>
      </c>
      <c r="BN526" s="293">
        <f>BN27</f>
        <v>153904</v>
      </c>
      <c r="BP526" s="293">
        <f>BP27</f>
        <v>162332</v>
      </c>
      <c r="BQ526" s="293">
        <f>BQ27</f>
        <v>187976</v>
      </c>
      <c r="BR526" s="293">
        <f>BR27</f>
        <v>187976</v>
      </c>
      <c r="BT526" s="293">
        <f>BT27</f>
        <v>209090</v>
      </c>
      <c r="BU526" s="293">
        <f>BU27</f>
        <v>196755</v>
      </c>
      <c r="BV526" s="293">
        <f>BV27</f>
        <v>196755</v>
      </c>
      <c r="BX526" s="293">
        <f>BX27</f>
        <v>193093</v>
      </c>
      <c r="BY526" s="293">
        <f>BY27</f>
        <v>182877</v>
      </c>
      <c r="BZ526" s="293">
        <f>BZ27</f>
        <v>182877</v>
      </c>
      <c r="CB526" s="293">
        <f>CB27</f>
        <v>189760</v>
      </c>
      <c r="CC526" s="293">
        <f>CC27</f>
        <v>191325</v>
      </c>
      <c r="CD526" s="293">
        <f>CD27</f>
        <v>191325</v>
      </c>
      <c r="CF526" s="293">
        <f>CF27</f>
        <v>205598</v>
      </c>
      <c r="CG526" s="293">
        <f>CG27</f>
        <v>203182</v>
      </c>
      <c r="CH526" s="293">
        <f>CH27</f>
        <v>203182</v>
      </c>
      <c r="CJ526" s="293">
        <f>CJ27</f>
        <v>219495</v>
      </c>
      <c r="CK526" s="293">
        <f>CK27</f>
        <v>255802</v>
      </c>
      <c r="CL526" s="293">
        <f>CL27</f>
        <v>255802</v>
      </c>
      <c r="CN526" s="293">
        <f>CN27</f>
        <v>230735</v>
      </c>
      <c r="CO526" s="293">
        <f>CO27</f>
        <v>245653</v>
      </c>
      <c r="CP526" s="293">
        <f>CP27</f>
        <v>245653</v>
      </c>
      <c r="CR526" s="293">
        <f>CR27</f>
        <v>348567</v>
      </c>
      <c r="CS526" s="293">
        <f>CS27</f>
        <v>399176</v>
      </c>
      <c r="CT526" s="293">
        <f>CT27</f>
        <v>399176</v>
      </c>
      <c r="CV526" s="293">
        <f>CV27</f>
        <v>486574</v>
      </c>
      <c r="CW526" s="1495">
        <f>CW27</f>
        <v>387872</v>
      </c>
      <c r="CX526" s="293">
        <f>CX27</f>
        <v>387872</v>
      </c>
      <c r="CZ526" s="293">
        <f>CZ27</f>
        <v>394594</v>
      </c>
      <c r="DA526" s="1495">
        <f>DA27</f>
        <v>403404</v>
      </c>
      <c r="DB526" s="293">
        <f>DB27</f>
        <v>403404</v>
      </c>
      <c r="DD526" s="293">
        <f>DD27</f>
        <v>414315</v>
      </c>
      <c r="DE526" s="1495">
        <f>DE27</f>
        <v>445221</v>
      </c>
      <c r="DF526" s="293">
        <f>DF27</f>
        <v>445221</v>
      </c>
      <c r="DH526" s="293">
        <f>DH27</f>
        <v>484216</v>
      </c>
      <c r="DI526" s="293">
        <f>DI27</f>
        <v>519303.93450381682</v>
      </c>
      <c r="DJ526" s="293">
        <f>DJ27</f>
        <v>519303.93450381682</v>
      </c>
      <c r="DL526" s="293">
        <f>DL27</f>
        <v>546221.16514045792</v>
      </c>
      <c r="DM526" s="293">
        <f>DM27</f>
        <v>568941.02307803056</v>
      </c>
      <c r="DN526" s="293">
        <f>DN27</f>
        <v>568941.02307803056</v>
      </c>
      <c r="DP526" s="293">
        <f>DP27</f>
        <v>592733.44829936721</v>
      </c>
      <c r="DQ526" s="293">
        <f>DQ27</f>
        <v>617654.20206129376</v>
      </c>
      <c r="DR526" s="293">
        <f>DR27</f>
        <v>617654.20206129376</v>
      </c>
      <c r="DU526" s="293"/>
      <c r="DV526" s="293"/>
      <c r="DW526" s="293"/>
    </row>
    <row r="527" spans="1:138">
      <c r="A527" s="102" t="s">
        <v>10</v>
      </c>
      <c r="P527" s="802"/>
      <c r="Q527" s="802"/>
      <c r="R527" s="802"/>
      <c r="T527" s="802"/>
      <c r="U527" s="802"/>
      <c r="V527" s="802"/>
      <c r="X527" s="802"/>
      <c r="Y527" s="802"/>
      <c r="Z527" s="802"/>
      <c r="AB527" s="802"/>
      <c r="AC527" s="802"/>
      <c r="AD527" s="802"/>
      <c r="AE527" s="293"/>
      <c r="AF527" s="802"/>
      <c r="AG527" s="802"/>
      <c r="AH527" s="802"/>
      <c r="AJ527" s="802"/>
      <c r="AK527" s="802"/>
      <c r="AL527" s="802"/>
      <c r="AN527" s="803"/>
      <c r="AO527" s="626">
        <v>72800</v>
      </c>
      <c r="AP527" s="293">
        <f>AO527</f>
        <v>72800</v>
      </c>
      <c r="AR527" s="626">
        <v>76400</v>
      </c>
      <c r="AS527" s="626">
        <v>74600</v>
      </c>
      <c r="AT527" s="293">
        <f>AS527</f>
        <v>74600</v>
      </c>
      <c r="AV527" s="626">
        <v>71600</v>
      </c>
      <c r="AW527" s="626">
        <v>74900</v>
      </c>
      <c r="AX527" s="293">
        <f>AW527</f>
        <v>74900</v>
      </c>
      <c r="AZ527" s="626">
        <v>74900</v>
      </c>
      <c r="BA527" s="626">
        <v>87600</v>
      </c>
      <c r="BB527" s="293">
        <f>BA527</f>
        <v>87600</v>
      </c>
      <c r="BD527" s="626">
        <v>91600</v>
      </c>
      <c r="BE527" s="626">
        <v>86200</v>
      </c>
      <c r="BF527" s="293">
        <f>BE527</f>
        <v>86200</v>
      </c>
      <c r="BH527" s="293">
        <f>BH456*1000</f>
        <v>88400</v>
      </c>
      <c r="BI527" s="293">
        <f>BI456*1000</f>
        <v>87600</v>
      </c>
      <c r="BJ527" s="293">
        <f>BJ456*1000</f>
        <v>87600</v>
      </c>
      <c r="BL527" s="293">
        <f>BL456*1000</f>
        <v>93800</v>
      </c>
      <c r="BM527" s="293">
        <f>BM456*1000</f>
        <v>92600</v>
      </c>
      <c r="BN527" s="293">
        <f>BN456*1000</f>
        <v>92600</v>
      </c>
      <c r="BP527" s="293">
        <f>BP456*1000</f>
        <v>97900</v>
      </c>
      <c r="BQ527" s="293">
        <f>BQ456*1000</f>
        <v>112800</v>
      </c>
      <c r="BR527" s="293">
        <f>BR456*1000</f>
        <v>112800</v>
      </c>
      <c r="BT527" s="293">
        <f>BT456*1000</f>
        <v>123700</v>
      </c>
      <c r="BU527" s="293">
        <f>BU456*1000</f>
        <v>131000</v>
      </c>
      <c r="BV527" s="293">
        <f>BV456*1000</f>
        <v>131000</v>
      </c>
      <c r="BX527" s="293">
        <f>BX456*1000</f>
        <v>122300</v>
      </c>
      <c r="BY527" s="293">
        <f>BY456*1000</f>
        <v>120800</v>
      </c>
      <c r="BZ527" s="293">
        <f>BZ456*1000</f>
        <v>120800</v>
      </c>
      <c r="CB527" s="293">
        <f>CB456*1000</f>
        <v>123900</v>
      </c>
      <c r="CC527" s="293">
        <f>CC456*1000</f>
        <v>128800.00000000001</v>
      </c>
      <c r="CD527" s="293">
        <f>CD456*1000</f>
        <v>128800.00000000001</v>
      </c>
      <c r="CF527" s="293">
        <f>CF456*1000</f>
        <v>134400</v>
      </c>
      <c r="CG527" s="293">
        <f>CG456*1000</f>
        <v>140500</v>
      </c>
      <c r="CH527" s="293">
        <f>CH456*1000</f>
        <v>140500</v>
      </c>
      <c r="CJ527" s="293">
        <f>CJ456*1000</f>
        <v>146400</v>
      </c>
      <c r="CK527" s="293">
        <f>CK456*1000</f>
        <v>161600</v>
      </c>
      <c r="CL527" s="293">
        <f>CL456*1000</f>
        <v>161600</v>
      </c>
      <c r="CN527" s="293">
        <f>CN456*1000</f>
        <v>172500</v>
      </c>
      <c r="CO527" s="293">
        <f>CO456*1000</f>
        <v>186400</v>
      </c>
      <c r="CP527" s="293">
        <f>CP456*1000</f>
        <v>186400</v>
      </c>
      <c r="CR527" s="293">
        <f>CR456*1000</f>
        <v>224900</v>
      </c>
      <c r="CS527" s="293">
        <f>CS456*1000</f>
        <v>265900</v>
      </c>
      <c r="CT527" s="293">
        <f>CT456*1000</f>
        <v>265900</v>
      </c>
      <c r="CV527" s="293">
        <f>CV456*1000</f>
        <v>306500</v>
      </c>
      <c r="CW527" s="1495">
        <f>CW456*1000</f>
        <v>309000</v>
      </c>
      <c r="CX527" s="293">
        <f>CX456*1000</f>
        <v>309000</v>
      </c>
      <c r="CZ527" s="293">
        <f>CZ456*1000</f>
        <v>317000</v>
      </c>
      <c r="DA527" s="1495">
        <f>DA456*1000</f>
        <v>330100</v>
      </c>
      <c r="DB527" s="293">
        <f>DB456*1000</f>
        <v>330100</v>
      </c>
      <c r="DD527" s="293">
        <f>DD456*1000</f>
        <v>340800</v>
      </c>
      <c r="DE527" s="1495">
        <f>DE456*1000</f>
        <v>368100</v>
      </c>
      <c r="DF527" s="293">
        <f>DF456*1000</f>
        <v>368100</v>
      </c>
      <c r="DH527" s="293">
        <f>DH456*1000</f>
        <v>401300</v>
      </c>
      <c r="DI527" s="293">
        <f>DI456*1000</f>
        <v>430379.5597757647</v>
      </c>
      <c r="DJ527" s="293">
        <f>DJ456*1000</f>
        <v>430379.5597757647</v>
      </c>
      <c r="DL527" s="293">
        <f>DL456*1000</f>
        <v>452687.54764581466</v>
      </c>
      <c r="DM527" s="293">
        <f>DM456*1000</f>
        <v>471516.91096786072</v>
      </c>
      <c r="DN527" s="293">
        <f>DN456*1000</f>
        <v>471516.91096786072</v>
      </c>
      <c r="DP527" s="293">
        <f>DP456*1000</f>
        <v>491235.17769453314</v>
      </c>
      <c r="DQ527" s="293">
        <f>DQ456*1000</f>
        <v>511888.56065722153</v>
      </c>
      <c r="DR527" s="293">
        <f>DR456*1000</f>
        <v>511888.56065722153</v>
      </c>
      <c r="DU527" s="293"/>
      <c r="DV527" s="293"/>
      <c r="DW527" s="293"/>
    </row>
    <row r="528" spans="1:138">
      <c r="A528" s="102" t="s">
        <v>151</v>
      </c>
      <c r="P528" s="293">
        <f>P101</f>
        <v>2602</v>
      </c>
      <c r="Q528" s="293">
        <f>Q101</f>
        <v>2585</v>
      </c>
      <c r="R528" s="293">
        <f>R101</f>
        <v>2585</v>
      </c>
      <c r="T528" s="293">
        <f>T101</f>
        <v>3341</v>
      </c>
      <c r="U528" s="293">
        <f>U101</f>
        <v>2833</v>
      </c>
      <c r="V528" s="293">
        <f>V101</f>
        <v>2833</v>
      </c>
      <c r="X528" s="293">
        <f>X101</f>
        <v>3942</v>
      </c>
      <c r="Y528" s="293">
        <f>Y101</f>
        <v>4432</v>
      </c>
      <c r="Z528" s="293">
        <f>Z101</f>
        <v>4432</v>
      </c>
      <c r="AB528" s="293">
        <f>AB101</f>
        <v>3891</v>
      </c>
      <c r="AC528" s="293">
        <f>AC101</f>
        <v>4425</v>
      </c>
      <c r="AD528" s="293">
        <f>AD101</f>
        <v>4425</v>
      </c>
      <c r="AE528" s="293"/>
      <c r="AF528" s="293">
        <f>AF101</f>
        <v>4993</v>
      </c>
      <c r="AG528" s="293">
        <f>AG101</f>
        <v>5337</v>
      </c>
      <c r="AH528" s="293">
        <f>AH101</f>
        <v>5337</v>
      </c>
      <c r="AJ528" s="293">
        <f>AJ101</f>
        <v>6801</v>
      </c>
      <c r="AK528" s="293">
        <f>AK101</f>
        <v>7519</v>
      </c>
      <c r="AL528" s="293">
        <f>AL101</f>
        <v>7519</v>
      </c>
      <c r="AN528" s="293">
        <f>AN101</f>
        <v>9415</v>
      </c>
      <c r="AO528" s="293">
        <f>AO101</f>
        <v>10061</v>
      </c>
      <c r="AP528" s="293">
        <f>AP101</f>
        <v>10061</v>
      </c>
      <c r="AR528" s="293">
        <f>AR101</f>
        <v>10281</v>
      </c>
      <c r="AS528" s="293">
        <f>AS101</f>
        <v>9560</v>
      </c>
      <c r="AT528" s="293">
        <f>AT101</f>
        <v>9560</v>
      </c>
      <c r="AV528" s="293">
        <f>AV101</f>
        <v>11220</v>
      </c>
      <c r="AW528" s="293">
        <f>AW101</f>
        <v>11769</v>
      </c>
      <c r="AX528" s="293">
        <f>AX101</f>
        <v>11769</v>
      </c>
      <c r="AZ528" s="293">
        <f>AZ101</f>
        <v>11593</v>
      </c>
      <c r="BA528" s="293">
        <f>BA101</f>
        <v>11932</v>
      </c>
      <c r="BB528" s="293">
        <f>BB101</f>
        <v>11932</v>
      </c>
      <c r="BD528" s="293">
        <f>BD101</f>
        <v>11764</v>
      </c>
      <c r="BE528" s="293">
        <f>BE101</f>
        <v>11732</v>
      </c>
      <c r="BF528" s="293">
        <f>BF101</f>
        <v>11732</v>
      </c>
      <c r="BH528" s="293">
        <f>BH101</f>
        <v>11504</v>
      </c>
      <c r="BI528" s="293">
        <f>BI101</f>
        <v>11955</v>
      </c>
      <c r="BJ528" s="293">
        <f>BJ101</f>
        <v>11955</v>
      </c>
      <c r="BL528" s="293">
        <f>BL101</f>
        <v>12719</v>
      </c>
      <c r="BM528" s="293">
        <f>BM101</f>
        <v>11914</v>
      </c>
      <c r="BN528" s="293">
        <f>BN101</f>
        <v>11914</v>
      </c>
      <c r="BP528" s="293">
        <f>BP101</f>
        <v>12216</v>
      </c>
      <c r="BQ528" s="293">
        <f>BQ101</f>
        <v>14396</v>
      </c>
      <c r="BR528" s="293">
        <f>BR101</f>
        <v>14396</v>
      </c>
      <c r="BT528" s="293">
        <f>BT101</f>
        <v>15217</v>
      </c>
      <c r="BU528" s="293">
        <f>BU101</f>
        <v>15664</v>
      </c>
      <c r="BV528" s="293">
        <f>BV101</f>
        <v>15664</v>
      </c>
      <c r="BX528" s="293">
        <f>BX101</f>
        <v>15463</v>
      </c>
      <c r="BY528" s="293">
        <f>BY101</f>
        <v>17270</v>
      </c>
      <c r="BZ528" s="293">
        <f>BZ101</f>
        <v>17270</v>
      </c>
      <c r="CB528" s="293">
        <f>CB101</f>
        <v>17099</v>
      </c>
      <c r="CC528" s="293">
        <f>CC101</f>
        <v>18180</v>
      </c>
      <c r="CD528" s="293">
        <f>CD101</f>
        <v>18180</v>
      </c>
      <c r="CF528" s="293">
        <f>CF101</f>
        <v>17159</v>
      </c>
      <c r="CG528" s="293">
        <f>CG101</f>
        <v>18364</v>
      </c>
      <c r="CH528" s="293">
        <f>CH101</f>
        <v>18364</v>
      </c>
      <c r="CJ528" s="293">
        <f>CJ101</f>
        <v>20312</v>
      </c>
      <c r="CK528" s="293">
        <f>CK101</f>
        <v>21784</v>
      </c>
      <c r="CL528" s="293">
        <f>CL101</f>
        <v>21784</v>
      </c>
      <c r="CN528" s="293">
        <f>CN101</f>
        <v>20789</v>
      </c>
      <c r="CO528" s="293">
        <f>CO101</f>
        <v>22351</v>
      </c>
      <c r="CP528" s="293">
        <f>CP101</f>
        <v>22351</v>
      </c>
      <c r="CR528" s="293">
        <f>CR101</f>
        <v>24414</v>
      </c>
      <c r="CS528" s="293">
        <f>CS101</f>
        <v>28806</v>
      </c>
      <c r="CT528" s="293">
        <f>CT101</f>
        <v>28806</v>
      </c>
      <c r="CV528" s="293">
        <f>CV101</f>
        <v>31687</v>
      </c>
      <c r="CW528" s="1495">
        <f>CW101</f>
        <v>34106</v>
      </c>
      <c r="CX528" s="293">
        <f>CX101</f>
        <v>34106</v>
      </c>
      <c r="CZ528" s="293">
        <f>CZ101</f>
        <v>33138</v>
      </c>
      <c r="DA528" s="1495">
        <f>DA101</f>
        <v>33996</v>
      </c>
      <c r="DB528" s="293">
        <f>DB101</f>
        <v>33996</v>
      </c>
      <c r="DD528" s="293">
        <f>DD101</f>
        <v>32834</v>
      </c>
      <c r="DE528" s="1495">
        <f>DE101</f>
        <v>35789</v>
      </c>
      <c r="DF528" s="293">
        <f>DF101</f>
        <v>35789</v>
      </c>
      <c r="DH528" s="293">
        <f>DH101</f>
        <v>35194</v>
      </c>
      <c r="DI528" s="293">
        <f ca="1">DI101</f>
        <v>36661.200914198373</v>
      </c>
      <c r="DJ528" s="293">
        <f ca="1">DJ101</f>
        <v>36661.200914198373</v>
      </c>
      <c r="DL528" s="293">
        <f ca="1">DL101</f>
        <v>37054.003791897267</v>
      </c>
      <c r="DM528" s="293">
        <f ca="1">DM101</f>
        <v>39839.085631694339</v>
      </c>
      <c r="DN528" s="293">
        <f ca="1">DN101</f>
        <v>39839.085631694339</v>
      </c>
      <c r="DP528" s="293">
        <f ca="1">DP101</f>
        <v>40333.242684919933</v>
      </c>
      <c r="DQ528" s="293">
        <f ca="1">DQ101</f>
        <v>43317.001979283232</v>
      </c>
      <c r="DR528" s="293">
        <f ca="1">DR101</f>
        <v>43317.001979283232</v>
      </c>
      <c r="DU528" s="293"/>
      <c r="DV528" s="293"/>
      <c r="DW528" s="293"/>
    </row>
    <row r="529" spans="1:138">
      <c r="A529" s="102" t="s">
        <v>562</v>
      </c>
      <c r="P529" s="293">
        <f>P99</f>
        <v>1813</v>
      </c>
      <c r="Q529" s="293">
        <f>Q99</f>
        <v>1796</v>
      </c>
      <c r="R529" s="293">
        <f>R99</f>
        <v>1796</v>
      </c>
      <c r="T529" s="293">
        <f>T99</f>
        <v>2366</v>
      </c>
      <c r="U529" s="293">
        <f>U99</f>
        <v>2422</v>
      </c>
      <c r="V529" s="293">
        <f>V99</f>
        <v>2422</v>
      </c>
      <c r="X529" s="293">
        <f>X99</f>
        <v>2647</v>
      </c>
      <c r="Y529" s="293">
        <f>Y99</f>
        <v>3178</v>
      </c>
      <c r="Z529" s="293">
        <f>Z99</f>
        <v>3178</v>
      </c>
      <c r="AB529" s="293">
        <f>AB99</f>
        <v>2596</v>
      </c>
      <c r="AC529" s="293">
        <f>AC99</f>
        <v>3171</v>
      </c>
      <c r="AD529" s="293">
        <f>AD99</f>
        <v>3171</v>
      </c>
      <c r="AE529" s="293"/>
      <c r="AF529" s="293">
        <f>AF99</f>
        <v>3662</v>
      </c>
      <c r="AG529" s="293">
        <f>AG99</f>
        <v>4098</v>
      </c>
      <c r="AH529" s="293">
        <f>AH99</f>
        <v>4098</v>
      </c>
      <c r="AJ529" s="293">
        <f>AJ99</f>
        <v>5526</v>
      </c>
      <c r="AK529" s="293">
        <f>AK99</f>
        <v>6271</v>
      </c>
      <c r="AL529" s="293">
        <f>AL99</f>
        <v>6271</v>
      </c>
      <c r="AN529" s="293">
        <f>AN99</f>
        <v>8212</v>
      </c>
      <c r="AO529" s="293">
        <f>AO99</f>
        <v>8829</v>
      </c>
      <c r="AP529" s="293">
        <f>AP99</f>
        <v>8829</v>
      </c>
      <c r="AR529" s="293">
        <f>AR99</f>
        <v>9005</v>
      </c>
      <c r="AS529" s="293">
        <f>AS99</f>
        <v>8664</v>
      </c>
      <c r="AT529" s="293">
        <f>AT99</f>
        <v>8664</v>
      </c>
      <c r="AV529" s="293">
        <f>AV99</f>
        <v>10684</v>
      </c>
      <c r="AW529" s="293">
        <f>AW99</f>
        <v>11232</v>
      </c>
      <c r="AX529" s="293">
        <f>AX99</f>
        <v>11232</v>
      </c>
      <c r="AZ529" s="293">
        <f>AZ99</f>
        <v>11061</v>
      </c>
      <c r="BA529" s="293">
        <f>BA99</f>
        <v>11404</v>
      </c>
      <c r="BB529" s="293">
        <f>BB99</f>
        <v>11404</v>
      </c>
      <c r="BD529" s="293">
        <f>BD99</f>
        <v>11251</v>
      </c>
      <c r="BE529" s="293">
        <f>BE99</f>
        <v>11203</v>
      </c>
      <c r="BF529" s="293">
        <f>BF99</f>
        <v>11203</v>
      </c>
      <c r="BH529" s="293">
        <f>BH99</f>
        <v>10992</v>
      </c>
      <c r="BI529" s="293">
        <f>BI99</f>
        <v>11403</v>
      </c>
      <c r="BJ529" s="293">
        <f>BJ99</f>
        <v>11403</v>
      </c>
      <c r="BL529" s="293">
        <f>BL99</f>
        <v>12229</v>
      </c>
      <c r="BM529" s="293">
        <f>BM99</f>
        <v>11418</v>
      </c>
      <c r="BN529" s="293">
        <f>BN99</f>
        <v>11418</v>
      </c>
      <c r="BP529" s="293">
        <f>BP99</f>
        <v>11690</v>
      </c>
      <c r="BQ529" s="293">
        <f>BQ99</f>
        <v>13909</v>
      </c>
      <c r="BR529" s="293">
        <f>BR99</f>
        <v>13909</v>
      </c>
      <c r="BT529" s="293">
        <f>BT99</f>
        <v>14631</v>
      </c>
      <c r="BU529" s="293">
        <f>BU99</f>
        <v>15116</v>
      </c>
      <c r="BV529" s="293">
        <f>BV99</f>
        <v>15116</v>
      </c>
      <c r="BX529" s="293">
        <f>BX99</f>
        <v>14921</v>
      </c>
      <c r="BY529" s="293">
        <f>BY99</f>
        <v>15563</v>
      </c>
      <c r="BZ529" s="293">
        <f>BZ99</f>
        <v>15563</v>
      </c>
      <c r="CB529" s="293">
        <f>CB99</f>
        <v>15357</v>
      </c>
      <c r="CC529" s="293">
        <f>CC99</f>
        <v>16357</v>
      </c>
      <c r="CD529" s="293">
        <f>CD99</f>
        <v>16357</v>
      </c>
      <c r="CF529" s="293">
        <f>CF99</f>
        <v>16560</v>
      </c>
      <c r="CG529" s="293">
        <f>CG99</f>
        <v>17761</v>
      </c>
      <c r="CH529" s="293">
        <f>CH99</f>
        <v>17761</v>
      </c>
      <c r="CJ529" s="293">
        <f>CJ99</f>
        <v>19617</v>
      </c>
      <c r="CK529" s="293">
        <f>CK99</f>
        <v>21063</v>
      </c>
      <c r="CL529" s="293">
        <f>CL99</f>
        <v>21063</v>
      </c>
      <c r="CN529" s="293">
        <f>CN99</f>
        <v>20508</v>
      </c>
      <c r="CO529" s="293">
        <f>CO99</f>
        <v>22048</v>
      </c>
      <c r="CP529" s="293">
        <f>CP99</f>
        <v>22048</v>
      </c>
      <c r="CR529" s="293">
        <f>CR99</f>
        <v>24064</v>
      </c>
      <c r="CS529" s="293">
        <f>CS99</f>
        <v>28561</v>
      </c>
      <c r="CT529" s="293">
        <f>CT99</f>
        <v>28561</v>
      </c>
      <c r="CV529" s="293">
        <f>CV99</f>
        <v>31337</v>
      </c>
      <c r="CW529" s="1495">
        <f>CW99</f>
        <v>33155</v>
      </c>
      <c r="CX529" s="293">
        <f>CX99</f>
        <v>33155</v>
      </c>
      <c r="CZ529" s="293">
        <f>CZ99</f>
        <v>32651</v>
      </c>
      <c r="DA529" s="1495">
        <f>DA99</f>
        <v>33481</v>
      </c>
      <c r="DB529" s="293">
        <f>DB99</f>
        <v>33481</v>
      </c>
      <c r="DD529" s="293">
        <f>DD99</f>
        <v>32299</v>
      </c>
      <c r="DE529" s="1495">
        <f>DE99</f>
        <v>35356</v>
      </c>
      <c r="DF529" s="293">
        <f>DF99</f>
        <v>35356</v>
      </c>
      <c r="DH529" s="293">
        <f>DH99</f>
        <v>34561</v>
      </c>
      <c r="DI529" s="293">
        <f ca="1">DI99</f>
        <v>36028.200914198373</v>
      </c>
      <c r="DJ529" s="293">
        <f ca="1">DJ99</f>
        <v>36028.200914198373</v>
      </c>
      <c r="DL529" s="293">
        <f ca="1">DL99</f>
        <v>36421.003791897267</v>
      </c>
      <c r="DM529" s="293">
        <f ca="1">DM99</f>
        <v>39206.085631694339</v>
      </c>
      <c r="DN529" s="293">
        <f ca="1">DN99</f>
        <v>39206.085631694339</v>
      </c>
      <c r="DP529" s="293">
        <f ca="1">DP99</f>
        <v>39700.242684919933</v>
      </c>
      <c r="DQ529" s="293">
        <f ca="1">DQ99</f>
        <v>42684.001979283232</v>
      </c>
      <c r="DR529" s="293">
        <f ca="1">DR99</f>
        <v>42684.001979283232</v>
      </c>
      <c r="DU529" s="293"/>
      <c r="DV529" s="293"/>
      <c r="DW529" s="293"/>
    </row>
    <row r="530" spans="1:138">
      <c r="P530" s="293"/>
      <c r="Q530" s="293"/>
      <c r="R530" s="293"/>
      <c r="T530" s="293"/>
      <c r="U530" s="293"/>
      <c r="V530" s="293"/>
      <c r="X530" s="293"/>
      <c r="Y530" s="293"/>
      <c r="Z530" s="293"/>
      <c r="AB530" s="293"/>
      <c r="AC530" s="293"/>
      <c r="AD530" s="293"/>
      <c r="AE530" s="293"/>
      <c r="AF530" s="293"/>
      <c r="AG530" s="293"/>
      <c r="AH530" s="293"/>
      <c r="AJ530" s="293"/>
      <c r="AK530" s="293"/>
      <c r="AL530" s="293"/>
      <c r="AN530" s="293"/>
      <c r="AO530" s="293"/>
      <c r="AP530" s="293"/>
      <c r="AR530" s="293"/>
      <c r="AS530" s="293"/>
      <c r="AT530" s="293"/>
      <c r="AV530" s="293"/>
      <c r="AW530" s="293"/>
      <c r="AX530" s="293"/>
      <c r="AZ530" s="293"/>
      <c r="BA530" s="293"/>
      <c r="BB530" s="293"/>
      <c r="BD530" s="293"/>
      <c r="BE530" s="293"/>
      <c r="BF530" s="293"/>
      <c r="BH530" s="293"/>
      <c r="BI530" s="293"/>
      <c r="BJ530" s="293"/>
      <c r="BL530" s="293"/>
      <c r="BM530" s="293"/>
      <c r="BN530" s="293"/>
      <c r="BP530" s="293"/>
      <c r="BQ530" s="293"/>
      <c r="BR530" s="293"/>
      <c r="BT530" s="293"/>
      <c r="BU530" s="293"/>
      <c r="BV530" s="293"/>
      <c r="BX530" s="293"/>
      <c r="BY530" s="293"/>
      <c r="BZ530" s="293"/>
      <c r="CB530" s="293"/>
      <c r="CC530" s="293"/>
      <c r="CD530" s="293"/>
      <c r="CF530" s="293"/>
      <c r="CG530" s="293"/>
      <c r="CH530" s="293"/>
      <c r="CJ530" s="293"/>
      <c r="CK530" s="293"/>
      <c r="CL530" s="293"/>
      <c r="CN530" s="293"/>
      <c r="CO530" s="293"/>
      <c r="CP530" s="293"/>
      <c r="CR530" s="293"/>
      <c r="CS530" s="293"/>
      <c r="CT530" s="293"/>
      <c r="CV530" s="293"/>
      <c r="CW530" s="1495"/>
      <c r="CX530" s="293"/>
      <c r="CZ530" s="293"/>
      <c r="DA530" s="1495"/>
      <c r="DB530" s="293"/>
      <c r="DD530" s="293"/>
      <c r="DE530" s="1495"/>
      <c r="DF530" s="293"/>
      <c r="DH530" s="293"/>
      <c r="DI530" s="293"/>
      <c r="DJ530" s="293"/>
      <c r="DL530" s="293"/>
      <c r="DM530" s="293"/>
      <c r="DN530" s="293"/>
      <c r="DP530" s="293"/>
      <c r="DQ530" s="293"/>
      <c r="DR530" s="293"/>
      <c r="DU530" s="293"/>
      <c r="DV530" s="293"/>
      <c r="DW530" s="293"/>
    </row>
    <row r="531" spans="1:138">
      <c r="A531" s="102" t="s">
        <v>493</v>
      </c>
      <c r="P531" s="804">
        <f>+P526/P528</f>
        <v>12.480784012298232</v>
      </c>
      <c r="Q531" s="804">
        <f>+Q526/Q528</f>
        <v>12.557833655705997</v>
      </c>
      <c r="R531" s="804">
        <f>+R526/R528</f>
        <v>12.557833655705997</v>
      </c>
      <c r="T531" s="804">
        <f>+T526/T528</f>
        <v>11.015264890751272</v>
      </c>
      <c r="U531" s="804">
        <f>+U526/U528</f>
        <v>15.450405930109424</v>
      </c>
      <c r="V531" s="804">
        <f>+V526/V528</f>
        <v>15.450405930109424</v>
      </c>
      <c r="X531" s="804">
        <f>+X526/X528</f>
        <v>10.683409436834093</v>
      </c>
      <c r="Y531" s="804">
        <f>+Y526/Y528</f>
        <v>11.126579422382671</v>
      </c>
      <c r="Z531" s="804">
        <f>+Z526/Z528</f>
        <v>11.126579422382671</v>
      </c>
      <c r="AB531" s="804">
        <f>+AB526/AB528</f>
        <v>15.201747622719095</v>
      </c>
      <c r="AC531" s="804">
        <f>+AC526/AC528</f>
        <v>15.36271186440678</v>
      </c>
      <c r="AD531" s="804">
        <f>+AD526/AD528</f>
        <v>15.36271186440678</v>
      </c>
      <c r="AE531" s="293"/>
      <c r="AF531" s="804">
        <f>+AF526/AF528</f>
        <v>16.867614660524733</v>
      </c>
      <c r="AG531" s="804">
        <f>+AG526/AG528</f>
        <v>19.900880644556867</v>
      </c>
      <c r="AH531" s="804">
        <f>+AH526/AH528</f>
        <v>19.900880644556867</v>
      </c>
      <c r="AJ531" s="804">
        <f>+AJ526/AJ528</f>
        <v>16.561829142773121</v>
      </c>
      <c r="AK531" s="804">
        <f>+AK526/AK528</f>
        <v>18.139247240324512</v>
      </c>
      <c r="AL531" s="804">
        <f>+AL526/AL528</f>
        <v>18.139247240324512</v>
      </c>
      <c r="AN531" s="804">
        <f>+AN526/AN528</f>
        <v>16.193096123207649</v>
      </c>
      <c r="AO531" s="804">
        <f>+AO526/AO528</f>
        <v>16.623596064009543</v>
      </c>
      <c r="AP531" s="804">
        <f>+AP526/AP528</f>
        <v>16.623596064009543</v>
      </c>
      <c r="AR531" s="804">
        <f>+AR526/AR528</f>
        <v>16.28586713354732</v>
      </c>
      <c r="AS531" s="804">
        <f>+AS526/AS528</f>
        <v>15.600836820083682</v>
      </c>
      <c r="AT531" s="804">
        <f>+AT526/AT528</f>
        <v>15.600836820083682</v>
      </c>
      <c r="AV531" s="804">
        <f>+AV526/AV528</f>
        <v>13.095454545454546</v>
      </c>
      <c r="AW531" s="804">
        <f>+AW526/AW528</f>
        <v>12.400373863539809</v>
      </c>
      <c r="AX531" s="804">
        <f>+AX526/AX528</f>
        <v>12.400373863539809</v>
      </c>
      <c r="AZ531" s="804">
        <f>+AZ526/AZ528</f>
        <v>13.634089536789443</v>
      </c>
      <c r="BA531" s="804">
        <f>+BA526/BA528</f>
        <v>13.205497820985585</v>
      </c>
      <c r="BB531" s="804">
        <f>+BB526/BB528</f>
        <v>13.205497820985585</v>
      </c>
      <c r="BD531" s="804">
        <f>+BD526/BD528</f>
        <v>14.849370962257735</v>
      </c>
      <c r="BE531" s="804">
        <f>+BE526/BE528</f>
        <v>13.094613024207296</v>
      </c>
      <c r="BF531" s="804">
        <f>+BF526/BF528</f>
        <v>13.094613024207296</v>
      </c>
      <c r="BH531" s="804">
        <f>+BH526/BH528</f>
        <v>13.228442280945758</v>
      </c>
      <c r="BI531" s="804">
        <f>+BI526/BI528</f>
        <v>12.107737348389795</v>
      </c>
      <c r="BJ531" s="804">
        <f>+BJ526/BJ528</f>
        <v>12.107737348389795</v>
      </c>
      <c r="BL531" s="804">
        <f>+BL526/BL528</f>
        <v>12.155043635505937</v>
      </c>
      <c r="BM531" s="804">
        <f>+BM526/BM528</f>
        <v>12.917911700520396</v>
      </c>
      <c r="BN531" s="804">
        <f>+BN526/BN528</f>
        <v>12.917911700520396</v>
      </c>
      <c r="BP531" s="804">
        <f>+BP526/BP528</f>
        <v>13.288474132285527</v>
      </c>
      <c r="BQ531" s="804">
        <f>+BQ526/BQ528</f>
        <v>13.057515976660184</v>
      </c>
      <c r="BR531" s="804">
        <f>+BR526/BR528</f>
        <v>13.057515976660184</v>
      </c>
      <c r="BT531" s="804">
        <f>+BT526/BT528</f>
        <v>13.740553328514162</v>
      </c>
      <c r="BU531" s="804">
        <f>+BU526/BU528</f>
        <v>12.56096782431052</v>
      </c>
      <c r="BV531" s="804">
        <f>+BV526/BV528</f>
        <v>12.56096782431052</v>
      </c>
      <c r="BX531" s="804">
        <f>+BX526/BX528</f>
        <v>12.487421587014163</v>
      </c>
      <c r="BY531" s="804">
        <f>+BY526/BY528</f>
        <v>10.589287782281414</v>
      </c>
      <c r="BZ531" s="804">
        <f>+BZ526/BZ528</f>
        <v>10.589287782281414</v>
      </c>
      <c r="CB531" s="804">
        <f>+CB526/CB528</f>
        <v>11.097725013158664</v>
      </c>
      <c r="CC531" s="804">
        <f>+CC526/CC528</f>
        <v>10.523927392739274</v>
      </c>
      <c r="CD531" s="804">
        <f>+CD526/CD528</f>
        <v>10.523927392739274</v>
      </c>
      <c r="CF531" s="804">
        <f>+CF526/CF528</f>
        <v>11.98193367911883</v>
      </c>
      <c r="CG531" s="804">
        <f>+CG526/CG528</f>
        <v>11.064147244609018</v>
      </c>
      <c r="CH531" s="804">
        <f>+CH526/CH528</f>
        <v>11.064147244609018</v>
      </c>
      <c r="CJ531" s="804">
        <f>+CJ526/CJ528</f>
        <v>10.806173690429302</v>
      </c>
      <c r="CK531" s="804">
        <f>+CK526/CK528</f>
        <v>11.742655159750276</v>
      </c>
      <c r="CL531" s="804">
        <f>+CL526/CL528</f>
        <v>11.742655159750276</v>
      </c>
      <c r="CN531" s="804">
        <f>+CN526/CN528</f>
        <v>11.098898455914185</v>
      </c>
      <c r="CO531" s="804">
        <f>+CO526/CO528</f>
        <v>10.99069392868328</v>
      </c>
      <c r="CP531" s="804">
        <f>+CP526/CP528</f>
        <v>10.99069392868328</v>
      </c>
      <c r="CR531" s="804">
        <f>+CR526/CR528</f>
        <v>14.277340869992628</v>
      </c>
      <c r="CS531" s="804">
        <f>+CS526/CS528</f>
        <v>13.857390821356661</v>
      </c>
      <c r="CT531" s="804">
        <f>+CT526/CT528</f>
        <v>13.857390821356661</v>
      </c>
      <c r="CV531" s="804">
        <f>+CV526/CV528</f>
        <v>15.355634802916022</v>
      </c>
      <c r="CW531" s="1824">
        <f>+CW526/CW528</f>
        <v>11.372544420336597</v>
      </c>
      <c r="CX531" s="804">
        <f>+CX526/CX528</f>
        <v>11.372544420336597</v>
      </c>
      <c r="CZ531" s="804">
        <f>+CZ526/CZ528</f>
        <v>11.907598527370391</v>
      </c>
      <c r="DA531" s="1824">
        <f>+DA526/DA528</f>
        <v>11.866219555241793</v>
      </c>
      <c r="DB531" s="804">
        <f>+DB526/DB528</f>
        <v>11.866219555241793</v>
      </c>
      <c r="DD531" s="804">
        <f>+DD526/DD528</f>
        <v>12.61847475178169</v>
      </c>
      <c r="DE531" s="1824">
        <f>+DE526/DE528</f>
        <v>12.440163178630305</v>
      </c>
      <c r="DF531" s="804">
        <f>+DF526/DF528</f>
        <v>12.440163178630305</v>
      </c>
      <c r="DH531" s="804">
        <f>+DH526/DH528</f>
        <v>13.758481559356708</v>
      </c>
      <c r="DI531" s="804">
        <f ca="1">+DI526/DI528</f>
        <v>14.164946088896331</v>
      </c>
      <c r="DJ531" s="804">
        <f ca="1">+DJ526/DJ528</f>
        <v>14.164946088896331</v>
      </c>
      <c r="DL531" s="804">
        <f ca="1">+DL526/DL528</f>
        <v>14.74121847150839</v>
      </c>
      <c r="DM531" s="804">
        <f ca="1">+DM526/DM528</f>
        <v>14.280975932474828</v>
      </c>
      <c r="DN531" s="804">
        <f ca="1">+DN526/DN528</f>
        <v>14.280975932474828</v>
      </c>
      <c r="DP531" s="804">
        <f ca="1">+DP526/DP528</f>
        <v>14.695903647761563</v>
      </c>
      <c r="DQ531" s="804">
        <f ca="1">+DQ526/DQ528</f>
        <v>14.258932378484845</v>
      </c>
      <c r="DR531" s="804">
        <f ca="1">+DR526/DR528</f>
        <v>14.258932378484845</v>
      </c>
      <c r="DU531" s="804"/>
      <c r="DV531" s="804"/>
      <c r="DW531" s="804"/>
    </row>
    <row r="532" spans="1:138">
      <c r="A532" s="102" t="s">
        <v>491</v>
      </c>
      <c r="P532" s="804">
        <f>+P527/P528</f>
        <v>0</v>
      </c>
      <c r="Q532" s="804">
        <f>+Q527/Q528</f>
        <v>0</v>
      </c>
      <c r="R532" s="804">
        <f>+R527/R528</f>
        <v>0</v>
      </c>
      <c r="T532" s="804">
        <f>+T527/T528</f>
        <v>0</v>
      </c>
      <c r="U532" s="804">
        <f>+U527/U528</f>
        <v>0</v>
      </c>
      <c r="V532" s="804">
        <f>+V527/V528</f>
        <v>0</v>
      </c>
      <c r="X532" s="804">
        <f>+X527/X528</f>
        <v>0</v>
      </c>
      <c r="Y532" s="804">
        <f>+Y527/Y528</f>
        <v>0</v>
      </c>
      <c r="Z532" s="804">
        <f>+Z527/Z528</f>
        <v>0</v>
      </c>
      <c r="AB532" s="804">
        <f>+AB527/AB528</f>
        <v>0</v>
      </c>
      <c r="AC532" s="804">
        <f>+AC527/AC528</f>
        <v>0</v>
      </c>
      <c r="AD532" s="804">
        <f>+AD527/AD528</f>
        <v>0</v>
      </c>
      <c r="AE532" s="293"/>
      <c r="AF532" s="804">
        <f>+AF527/AF528</f>
        <v>0</v>
      </c>
      <c r="AG532" s="804">
        <f>+AG527/AG528</f>
        <v>0</v>
      </c>
      <c r="AH532" s="804">
        <f>+AH527/AH528</f>
        <v>0</v>
      </c>
      <c r="AJ532" s="804">
        <f>+AJ527/AJ528</f>
        <v>0</v>
      </c>
      <c r="AK532" s="804">
        <f>+AK527/AK528</f>
        <v>0</v>
      </c>
      <c r="AL532" s="804">
        <f>+AL527/AL528</f>
        <v>0</v>
      </c>
      <c r="AN532" s="804">
        <f>+AN527/AN528</f>
        <v>0</v>
      </c>
      <c r="AO532" s="804">
        <f>+AO527/AO528</f>
        <v>7.2358612463969783</v>
      </c>
      <c r="AP532" s="804">
        <f>+AP527/AP528</f>
        <v>7.2358612463969783</v>
      </c>
      <c r="AR532" s="804">
        <f>+AR527/AR528</f>
        <v>7.4311837369905653</v>
      </c>
      <c r="AS532" s="804">
        <f>+AS527/AS528</f>
        <v>7.8033472803347284</v>
      </c>
      <c r="AT532" s="804">
        <f>+AT527/AT528</f>
        <v>7.8033472803347284</v>
      </c>
      <c r="AV532" s="804">
        <f>+AV527/AV528</f>
        <v>6.381461675579323</v>
      </c>
      <c r="AW532" s="804">
        <f>+AW527/AW528</f>
        <v>6.3641770753674907</v>
      </c>
      <c r="AX532" s="804">
        <f>+AX527/AX528</f>
        <v>6.3641770753674907</v>
      </c>
      <c r="AZ532" s="804">
        <f>+AZ527/AZ528</f>
        <v>6.4607953075131546</v>
      </c>
      <c r="BA532" s="804">
        <f>+BA527/BA528</f>
        <v>7.3416024136775055</v>
      </c>
      <c r="BB532" s="804">
        <f>+BB527/BB528</f>
        <v>7.3416024136775055</v>
      </c>
      <c r="BD532" s="804">
        <f>+BD527/BD528</f>
        <v>7.7864671880312821</v>
      </c>
      <c r="BE532" s="804">
        <f>+BE527/BE528</f>
        <v>7.3474258438458913</v>
      </c>
      <c r="BF532" s="804">
        <f>+BF527/BF528</f>
        <v>7.3474258438458913</v>
      </c>
      <c r="BH532" s="804">
        <f>+BH527/BH528</f>
        <v>7.6842837273991655</v>
      </c>
      <c r="BI532" s="804">
        <f>+BI527/BI528</f>
        <v>7.3274780426599753</v>
      </c>
      <c r="BJ532" s="804">
        <f>+BJ527/BJ528</f>
        <v>7.3274780426599753</v>
      </c>
      <c r="BL532" s="804">
        <f>+BL527/BL528</f>
        <v>7.3747936158503027</v>
      </c>
      <c r="BM532" s="804">
        <f>+BM527/BM528</f>
        <v>7.7723686419338591</v>
      </c>
      <c r="BN532" s="804">
        <f>+BN527/BN528</f>
        <v>7.7723686419338591</v>
      </c>
      <c r="BP532" s="804">
        <f>+BP527/BP528</f>
        <v>8.0140798952193837</v>
      </c>
      <c r="BQ532" s="804">
        <f>+BQ527/BQ528</f>
        <v>7.8355098638510698</v>
      </c>
      <c r="BR532" s="804">
        <f>+BR527/BR528</f>
        <v>7.8355098638510698</v>
      </c>
      <c r="BT532" s="804">
        <f>+BT527/BT528</f>
        <v>8.1290661759873828</v>
      </c>
      <c r="BU532" s="804">
        <f>+BU527/BU528</f>
        <v>8.3631256384065367</v>
      </c>
      <c r="BV532" s="804">
        <f>+BV527/BV528</f>
        <v>8.3631256384065367</v>
      </c>
      <c r="BX532" s="804">
        <f>+BX527/BX528</f>
        <v>7.909202612688353</v>
      </c>
      <c r="BY532" s="804">
        <f>+BY527/BY528</f>
        <v>6.994788650839606</v>
      </c>
      <c r="BZ532" s="804">
        <f>+BZ527/BZ528</f>
        <v>6.994788650839606</v>
      </c>
      <c r="CB532" s="804">
        <f>+CB527/CB528</f>
        <v>7.2460377799871338</v>
      </c>
      <c r="CC532" s="804">
        <f>+CC527/CC528</f>
        <v>7.0847084708470858</v>
      </c>
      <c r="CD532" s="804">
        <f>+CD527/CD528</f>
        <v>7.0847084708470858</v>
      </c>
      <c r="CF532" s="804">
        <f>+CF527/CF528</f>
        <v>7.8326242788041265</v>
      </c>
      <c r="CG532" s="804">
        <f>+CG527/CG528</f>
        <v>7.6508385972554995</v>
      </c>
      <c r="CH532" s="804">
        <f>+CH527/CH528</f>
        <v>7.6508385972554995</v>
      </c>
      <c r="CJ532" s="804">
        <f>+CJ527/CJ528</f>
        <v>7.2075620322961793</v>
      </c>
      <c r="CK532" s="804">
        <f>+CK527/CK528</f>
        <v>7.4182886522218139</v>
      </c>
      <c r="CL532" s="804">
        <f>+CL527/CL528</f>
        <v>7.4182886522218139</v>
      </c>
      <c r="CN532" s="804">
        <f>+CN527/CN528</f>
        <v>8.2976574149790761</v>
      </c>
      <c r="CO532" s="804">
        <f>+CO527/CO528</f>
        <v>8.3396716030602658</v>
      </c>
      <c r="CP532" s="804">
        <f>+CP527/CP528</f>
        <v>8.3396716030602658</v>
      </c>
      <c r="CR532" s="804">
        <f>+CR527/CR528</f>
        <v>9.2119275825346119</v>
      </c>
      <c r="CS532" s="804">
        <f>+CS527/CS528</f>
        <v>9.230715823092412</v>
      </c>
      <c r="CT532" s="804">
        <f>+CT527/CT528</f>
        <v>9.230715823092412</v>
      </c>
      <c r="CV532" s="804">
        <f>+CV527/CV528</f>
        <v>9.6727364534351619</v>
      </c>
      <c r="CW532" s="1824">
        <f>+CW527/CW528</f>
        <v>9.0599894446724925</v>
      </c>
      <c r="CX532" s="804">
        <f>+CX527/CX528</f>
        <v>9.0599894446724925</v>
      </c>
      <c r="CZ532" s="804">
        <f>+CZ527/CZ528</f>
        <v>9.5660570945742052</v>
      </c>
      <c r="DA532" s="1824">
        <f>+DA527/DA528</f>
        <v>9.7099658783386289</v>
      </c>
      <c r="DB532" s="804">
        <f>+DB527/DB528</f>
        <v>9.7099658783386289</v>
      </c>
      <c r="DD532" s="804">
        <f>+DD527/DD528</f>
        <v>10.379484680514102</v>
      </c>
      <c r="DE532" s="1824">
        <f>+DE527/DE528</f>
        <v>10.285283187571601</v>
      </c>
      <c r="DF532" s="804">
        <f>+DF527/DF528</f>
        <v>10.285283187571601</v>
      </c>
      <c r="DH532" s="804">
        <f>+DH527/DH528</f>
        <v>11.40251179178269</v>
      </c>
      <c r="DI532" s="804">
        <f ca="1">+DI527/DI528</f>
        <v>11.739374298813127</v>
      </c>
      <c r="DJ532" s="804">
        <f ca="1">+DJ527/DJ528</f>
        <v>11.739374298813127</v>
      </c>
      <c r="DL532" s="804">
        <f ca="1">+DL527/DL528</f>
        <v>12.216967164687491</v>
      </c>
      <c r="DM532" s="804">
        <f ca="1">+DM527/DM528</f>
        <v>11.835535467027418</v>
      </c>
      <c r="DN532" s="804">
        <f ca="1">+DN527/DN528</f>
        <v>11.835535467027418</v>
      </c>
      <c r="DP532" s="804">
        <f ca="1">+DP527/DP528</f>
        <v>12.179411943939719</v>
      </c>
      <c r="DQ532" s="804">
        <f ca="1">+DQ527/DQ528</f>
        <v>11.817266598968162</v>
      </c>
      <c r="DR532" s="804">
        <f ca="1">+DR527/DR528</f>
        <v>11.817266598968162</v>
      </c>
      <c r="DU532" s="804"/>
      <c r="DV532" s="804"/>
      <c r="DW532" s="804"/>
    </row>
    <row r="533" spans="1:138">
      <c r="A533" s="102" t="s">
        <v>494</v>
      </c>
      <c r="P533" s="804">
        <f>+P527/P529</f>
        <v>0</v>
      </c>
      <c r="Q533" s="804">
        <f>+Q527/Q529</f>
        <v>0</v>
      </c>
      <c r="R533" s="804">
        <f>+R527/R529</f>
        <v>0</v>
      </c>
      <c r="T533" s="804">
        <f>+T527/T529</f>
        <v>0</v>
      </c>
      <c r="U533" s="804">
        <f>+U527/U529</f>
        <v>0</v>
      </c>
      <c r="V533" s="804">
        <f>+V527/V529</f>
        <v>0</v>
      </c>
      <c r="X533" s="804">
        <f>+X527/X529</f>
        <v>0</v>
      </c>
      <c r="Y533" s="804">
        <f>+Y527/Y529</f>
        <v>0</v>
      </c>
      <c r="Z533" s="804">
        <f>+Z527/Z529</f>
        <v>0</v>
      </c>
      <c r="AB533" s="804">
        <f>+AB527/AB529</f>
        <v>0</v>
      </c>
      <c r="AC533" s="804">
        <f>+AC527/AC529</f>
        <v>0</v>
      </c>
      <c r="AD533" s="804">
        <f>+AD527/AD529</f>
        <v>0</v>
      </c>
      <c r="AE533" s="293"/>
      <c r="AF533" s="804">
        <f>+AF527/AF529</f>
        <v>0</v>
      </c>
      <c r="AG533" s="804">
        <f>+AG527/AG529</f>
        <v>0</v>
      </c>
      <c r="AH533" s="804">
        <f>+AH527/AH529</f>
        <v>0</v>
      </c>
      <c r="AJ533" s="804">
        <f>+AJ527/AJ529</f>
        <v>0</v>
      </c>
      <c r="AK533" s="804">
        <f>+AK527/AK529</f>
        <v>0</v>
      </c>
      <c r="AL533" s="804">
        <f>+AL527/AL529</f>
        <v>0</v>
      </c>
      <c r="AN533" s="804">
        <f>+AN527/AN529</f>
        <v>0</v>
      </c>
      <c r="AO533" s="804">
        <f>+AO527/AO529</f>
        <v>8.2455544229244531</v>
      </c>
      <c r="AP533" s="804">
        <f>+AP527/AP529</f>
        <v>8.2455544229244531</v>
      </c>
      <c r="AR533" s="804">
        <f>+AR527/AR529</f>
        <v>8.4841754580788447</v>
      </c>
      <c r="AS533" s="804">
        <f>+AS527/AS529</f>
        <v>8.6103416435826414</v>
      </c>
      <c r="AT533" s="804">
        <f>+AT527/AT529</f>
        <v>8.6103416435826414</v>
      </c>
      <c r="AV533" s="804">
        <f>+AV527/AV529</f>
        <v>6.7016098839386</v>
      </c>
      <c r="AW533" s="804">
        <f>+AW527/AW529</f>
        <v>6.6684472934472936</v>
      </c>
      <c r="AX533" s="804">
        <f>+AX527/AX529</f>
        <v>6.6684472934472936</v>
      </c>
      <c r="AZ533" s="804">
        <f>+AZ527/AZ529</f>
        <v>6.7715396437935089</v>
      </c>
      <c r="BA533" s="804">
        <f>+BA527/BA529</f>
        <v>7.6815152578042794</v>
      </c>
      <c r="BB533" s="804">
        <f>+BB527/BB529</f>
        <v>7.6815152578042794</v>
      </c>
      <c r="BD533" s="804">
        <f>+BD527/BD529</f>
        <v>8.1414985334636913</v>
      </c>
      <c r="BE533" s="804">
        <f>+BE527/BE529</f>
        <v>7.6943675801124698</v>
      </c>
      <c r="BF533" s="804">
        <f>+BF527/BF529</f>
        <v>7.6943675801124698</v>
      </c>
      <c r="BH533" s="804">
        <f>+BH527/BH529</f>
        <v>8.0422125181950506</v>
      </c>
      <c r="BI533" s="804">
        <f>+BI527/BI529</f>
        <v>7.6821888976585111</v>
      </c>
      <c r="BJ533" s="804">
        <f>+BJ527/BJ529</f>
        <v>7.6821888976585111</v>
      </c>
      <c r="BL533" s="804">
        <f>+BL527/BL529</f>
        <v>7.6702919290211788</v>
      </c>
      <c r="BM533" s="804">
        <f>+BM527/BM529</f>
        <v>8.1100017516202492</v>
      </c>
      <c r="BN533" s="804">
        <f>+BN527/BN529</f>
        <v>8.1100017516202492</v>
      </c>
      <c r="BP533" s="804">
        <f>+BP527/BP529</f>
        <v>8.3746792130025671</v>
      </c>
      <c r="BQ533" s="804">
        <f>+BQ527/BQ529</f>
        <v>8.1098569271694583</v>
      </c>
      <c r="BR533" s="804">
        <f>+BR527/BR529</f>
        <v>8.1098569271694583</v>
      </c>
      <c r="BT533" s="804">
        <f>+BT527/BT529</f>
        <v>8.4546510833162465</v>
      </c>
      <c r="BU533" s="804">
        <f>+BU527/BU529</f>
        <v>8.6663138396401163</v>
      </c>
      <c r="BV533" s="804">
        <f>+BV527/BV529</f>
        <v>8.6663138396401163</v>
      </c>
      <c r="BX533" s="804">
        <f>+BX527/BX529</f>
        <v>8.1965015749614629</v>
      </c>
      <c r="BY533" s="804">
        <f>+BY527/BY529</f>
        <v>7.7619996144702181</v>
      </c>
      <c r="BZ533" s="804">
        <f>+BZ527/BZ529</f>
        <v>7.7619996144702181</v>
      </c>
      <c r="CB533" s="804">
        <f>+CB527/CB529</f>
        <v>8.0679820277397933</v>
      </c>
      <c r="CC533" s="804">
        <f>+CC527/CC529</f>
        <v>7.8743045790792943</v>
      </c>
      <c r="CD533" s="804">
        <f>+CD527/CD529</f>
        <v>7.8743045790792943</v>
      </c>
      <c r="CF533" s="804">
        <f>+CF527/CF529</f>
        <v>8.1159420289855078</v>
      </c>
      <c r="CG533" s="804">
        <f>+CG527/CG529</f>
        <v>7.910590619897528</v>
      </c>
      <c r="CH533" s="804">
        <f>+CH527/CH529</f>
        <v>7.910590619897528</v>
      </c>
      <c r="CJ533" s="804">
        <f>+CJ527/CJ529</f>
        <v>7.4629148187796295</v>
      </c>
      <c r="CK533" s="804">
        <f>+CK527/CK529</f>
        <v>7.6722214309452594</v>
      </c>
      <c r="CL533" s="804">
        <f>+CL527/CL529</f>
        <v>7.6722214309452594</v>
      </c>
      <c r="CN533" s="804">
        <f>+CN527/CN529</f>
        <v>8.4113516676418953</v>
      </c>
      <c r="CO533" s="804">
        <f>+CO527/CO529</f>
        <v>8.4542815674891152</v>
      </c>
      <c r="CP533" s="804">
        <f>+CP527/CP529</f>
        <v>8.4542815674891152</v>
      </c>
      <c r="CR533" s="804">
        <f>+CR527/CR529</f>
        <v>9.3459109042553195</v>
      </c>
      <c r="CS533" s="804">
        <f>+CS527/CS529</f>
        <v>9.309898112811176</v>
      </c>
      <c r="CT533" s="804">
        <f>+CT527/CT529</f>
        <v>9.309898112811176</v>
      </c>
      <c r="CV533" s="804">
        <f>+CV527/CV529</f>
        <v>9.7807703353862845</v>
      </c>
      <c r="CW533" s="1824">
        <f>+CW527/CW529</f>
        <v>9.3198612577288493</v>
      </c>
      <c r="CX533" s="804">
        <f>+CX527/CX529</f>
        <v>9.3198612577288493</v>
      </c>
      <c r="CZ533" s="804">
        <f>+CZ527/CZ529</f>
        <v>9.7087378640776691</v>
      </c>
      <c r="DA533" s="1824">
        <f>+DA527/DA529</f>
        <v>9.8593231982318326</v>
      </c>
      <c r="DB533" s="804">
        <f>+DB527/DB529</f>
        <v>9.8593231982318326</v>
      </c>
      <c r="DD533" s="804">
        <f>+DD527/DD529</f>
        <v>10.551410260379578</v>
      </c>
      <c r="DE533" s="1824">
        <f>+DE527/DE529</f>
        <v>10.411245616019912</v>
      </c>
      <c r="DF533" s="804">
        <f>+DF527/DF529</f>
        <v>10.411245616019912</v>
      </c>
      <c r="DH533" s="804">
        <f>+DH527/DH529</f>
        <v>11.611353838141257</v>
      </c>
      <c r="DI533" s="804">
        <f ca="1">+DI527/DI529</f>
        <v>11.945630057984832</v>
      </c>
      <c r="DJ533" s="804">
        <f ca="1">+DJ527/DJ529</f>
        <v>11.945630057984832</v>
      </c>
      <c r="DL533" s="804">
        <f ca="1">+DL527/DL529</f>
        <v>12.429299044924345</v>
      </c>
      <c r="DM533" s="804">
        <f ca="1">+DM527/DM529</f>
        <v>12.026625544751777</v>
      </c>
      <c r="DN533" s="804">
        <f ca="1">+DN527/DN529</f>
        <v>12.026625544751777</v>
      </c>
      <c r="DP533" s="804">
        <f ca="1">+DP527/DP529</f>
        <v>12.373606418308571</v>
      </c>
      <c r="DQ533" s="804">
        <f ca="1">+DQ527/DQ529</f>
        <v>11.992515624604922</v>
      </c>
      <c r="DR533" s="804">
        <f ca="1">+DR527/DR529</f>
        <v>11.992515624604922</v>
      </c>
      <c r="DU533" s="804"/>
      <c r="DV533" s="804"/>
      <c r="DW533" s="804"/>
    </row>
    <row r="534" spans="1:138">
      <c r="X534" s="293"/>
      <c r="Y534" s="293"/>
      <c r="Z534" s="293"/>
      <c r="AB534" s="293"/>
      <c r="AC534" s="293"/>
      <c r="AD534" s="293"/>
      <c r="AE534" s="293"/>
      <c r="AF534" s="293"/>
      <c r="AG534" s="293"/>
      <c r="AH534" s="293"/>
      <c r="AJ534" s="293"/>
      <c r="AK534" s="293"/>
      <c r="AL534" s="293"/>
      <c r="AN534" s="293"/>
      <c r="AO534" s="293"/>
      <c r="AP534" s="293"/>
      <c r="AR534" s="293"/>
      <c r="AS534" s="293"/>
      <c r="AT534" s="293"/>
      <c r="AV534" s="700"/>
      <c r="AZ534" s="700"/>
      <c r="BD534" s="700"/>
      <c r="BH534" s="700"/>
      <c r="BL534" s="700"/>
      <c r="BP534" s="700"/>
      <c r="BT534" s="700"/>
      <c r="BX534" s="700"/>
      <c r="CB534" s="700"/>
      <c r="CF534" s="700"/>
      <c r="CJ534" s="700"/>
      <c r="CN534" s="700"/>
      <c r="CR534" s="700"/>
      <c r="CV534" s="700"/>
      <c r="CZ534" s="700"/>
      <c r="DA534" s="1408"/>
      <c r="DD534" s="700"/>
      <c r="DH534" s="700"/>
      <c r="DL534" s="700"/>
      <c r="DP534" s="700"/>
      <c r="DU534" s="700"/>
    </row>
    <row r="535" spans="1:138">
      <c r="A535" s="692" t="s">
        <v>216</v>
      </c>
      <c r="B535" s="693"/>
      <c r="C535" s="694"/>
      <c r="D535" s="693"/>
      <c r="E535" s="693"/>
      <c r="F535" s="693"/>
      <c r="G535" s="693"/>
      <c r="H535" s="693"/>
      <c r="I535" s="693"/>
      <c r="J535" s="693"/>
      <c r="K535" s="693"/>
      <c r="L535" s="693"/>
      <c r="M535" s="693"/>
      <c r="N535" s="693"/>
      <c r="O535" s="693"/>
      <c r="P535" s="694"/>
      <c r="Q535" s="694"/>
      <c r="R535" s="694"/>
      <c r="S535" s="694"/>
      <c r="T535" s="694"/>
      <c r="U535" s="694"/>
      <c r="V535" s="694"/>
      <c r="W535" s="694"/>
      <c r="X535" s="694"/>
      <c r="Y535" s="694"/>
      <c r="Z535" s="694"/>
      <c r="AA535" s="694"/>
      <c r="AB535" s="694"/>
      <c r="AC535" s="694"/>
      <c r="AD535" s="694"/>
      <c r="AE535" s="694"/>
      <c r="AF535" s="694"/>
      <c r="AG535" s="694"/>
      <c r="AH535" s="694"/>
      <c r="AI535" s="694"/>
      <c r="AJ535" s="694"/>
      <c r="AK535" s="694"/>
      <c r="AL535" s="694"/>
      <c r="AM535" s="694"/>
      <c r="AN535" s="694"/>
      <c r="AO535" s="694"/>
      <c r="AP535" s="694"/>
      <c r="AQ535" s="694"/>
      <c r="AR535" s="694"/>
      <c r="AS535" s="694"/>
      <c r="AT535" s="694"/>
      <c r="AU535" s="694"/>
      <c r="AV535" s="799"/>
      <c r="AW535" s="799"/>
      <c r="AX535" s="799"/>
      <c r="AY535" s="694"/>
      <c r="AZ535" s="799"/>
      <c r="BA535" s="799"/>
      <c r="BB535" s="799"/>
      <c r="BC535" s="694"/>
      <c r="BD535" s="799"/>
      <c r="BE535" s="799"/>
      <c r="BF535" s="799"/>
      <c r="BG535" s="694"/>
      <c r="BH535" s="799"/>
      <c r="BI535" s="799"/>
      <c r="BJ535" s="805"/>
      <c r="BK535" s="805"/>
      <c r="BL535" s="799"/>
      <c r="BM535" s="799"/>
      <c r="BN535" s="805"/>
      <c r="BO535" s="805"/>
      <c r="BP535" s="799"/>
      <c r="BQ535" s="799"/>
      <c r="BR535" s="805"/>
      <c r="BS535" s="805"/>
      <c r="BT535" s="799"/>
      <c r="BU535" s="799"/>
      <c r="BV535" s="805"/>
      <c r="BW535" s="805"/>
      <c r="BX535" s="799"/>
      <c r="BY535" s="799"/>
      <c r="BZ535" s="805"/>
      <c r="CA535" s="805"/>
      <c r="CB535" s="805"/>
      <c r="CC535" s="805"/>
      <c r="CD535" s="805"/>
      <c r="CE535" s="805"/>
      <c r="CF535" s="805"/>
      <c r="CG535" s="805"/>
      <c r="CH535" s="805"/>
      <c r="CI535" s="805"/>
      <c r="CJ535" s="805"/>
      <c r="CK535" s="805"/>
      <c r="CL535" s="805"/>
      <c r="CM535" s="805"/>
      <c r="CN535" s="805"/>
      <c r="CO535" s="805"/>
      <c r="CP535" s="805"/>
      <c r="CQ535" s="805"/>
      <c r="CR535" s="805"/>
      <c r="CS535" s="805"/>
      <c r="CT535" s="805"/>
      <c r="CU535" s="805"/>
      <c r="CV535" s="805"/>
      <c r="CW535" s="1825"/>
      <c r="CX535" s="805"/>
      <c r="CY535" s="805"/>
      <c r="CZ535" s="805"/>
      <c r="DA535" s="1825"/>
      <c r="DB535" s="805"/>
      <c r="DC535" s="805"/>
      <c r="DD535" s="805"/>
      <c r="DE535" s="805"/>
      <c r="DF535" s="805"/>
      <c r="DG535" s="805"/>
      <c r="DH535" s="805"/>
      <c r="DI535" s="805"/>
      <c r="DJ535" s="805"/>
      <c r="DK535" s="805"/>
      <c r="DL535" s="805"/>
      <c r="DM535" s="805"/>
      <c r="DN535" s="805"/>
      <c r="DO535" s="805"/>
      <c r="DP535" s="805"/>
      <c r="DQ535" s="805"/>
      <c r="DR535" s="805"/>
      <c r="DS535" s="805"/>
      <c r="DU535" s="685"/>
      <c r="DV535" s="685"/>
      <c r="DW535" s="685"/>
    </row>
    <row r="536" spans="1:138">
      <c r="A536" s="289"/>
      <c r="X536" s="293"/>
      <c r="Y536" s="293"/>
      <c r="Z536" s="293"/>
      <c r="AB536" s="293"/>
      <c r="AC536" s="293"/>
      <c r="AD536" s="293"/>
      <c r="AE536" s="293"/>
      <c r="AF536" s="293"/>
      <c r="AG536" s="293"/>
      <c r="AH536" s="293"/>
      <c r="AJ536" s="293"/>
      <c r="AK536" s="293"/>
      <c r="AL536" s="293"/>
      <c r="AN536" s="293"/>
      <c r="AO536" s="293"/>
      <c r="AP536" s="293"/>
      <c r="AR536" s="293"/>
      <c r="AS536" s="293"/>
      <c r="AT536" s="293"/>
      <c r="AV536" s="700"/>
      <c r="AZ536" s="700"/>
      <c r="BD536" s="700"/>
      <c r="BH536" s="700"/>
      <c r="BL536" s="700"/>
      <c r="BP536" s="700"/>
      <c r="BT536" s="700"/>
      <c r="BX536" s="700"/>
      <c r="CB536" s="700"/>
      <c r="CF536" s="700"/>
      <c r="CJ536" s="700"/>
      <c r="CN536" s="700"/>
      <c r="CR536" s="700"/>
      <c r="CV536" s="700"/>
      <c r="CZ536" s="700"/>
      <c r="DA536" s="1408"/>
      <c r="DD536" s="700"/>
      <c r="DH536" s="700"/>
      <c r="DL536" s="700"/>
      <c r="DP536" s="700"/>
      <c r="DU536" s="700"/>
    </row>
    <row r="537" spans="1:138">
      <c r="A537" s="102" t="s">
        <v>217</v>
      </c>
      <c r="P537" s="293">
        <f>AVERAGE(P27,M27)</f>
        <v>32475</v>
      </c>
      <c r="Q537" s="293">
        <f>AVERAGE(Q27,P27)</f>
        <v>32468.5</v>
      </c>
      <c r="R537" s="293">
        <f>AVERAGE(P537:Q537)</f>
        <v>32471.75</v>
      </c>
      <c r="T537" s="293">
        <f>AVERAGE(T27,Q27)</f>
        <v>34632</v>
      </c>
      <c r="U537" s="293">
        <f>AVERAGE(U27,T27)</f>
        <v>40286.5</v>
      </c>
      <c r="V537" s="293">
        <f>AVERAGE(T537:U537)</f>
        <v>37459.25</v>
      </c>
      <c r="X537" s="293">
        <f>AVERAGE(X27,U27)</f>
        <v>42942.5</v>
      </c>
      <c r="Y537" s="293">
        <f>AVERAGE(Y27,X27)</f>
        <v>45713.5</v>
      </c>
      <c r="Z537" s="293">
        <f>AVERAGE(X537:Y537)</f>
        <v>44328</v>
      </c>
      <c r="AB537" s="293"/>
      <c r="AC537" s="293"/>
      <c r="AD537" s="293"/>
      <c r="AE537" s="293"/>
      <c r="AF537" s="293">
        <f>AVERAGE(AF27,AC27)</f>
        <v>76100</v>
      </c>
      <c r="AG537" s="293">
        <f>AVERAGE(AG27,AF27)</f>
        <v>95215.5</v>
      </c>
      <c r="AH537" s="293">
        <f>AVERAGE(AF537:AG537)</f>
        <v>85657.75</v>
      </c>
      <c r="AJ537" s="293">
        <f>AVERAGE(AJ27,AG27)</f>
        <v>109424</v>
      </c>
      <c r="AK537" s="293">
        <f>AVERAGE(AK27,AJ27)</f>
        <v>124513</v>
      </c>
      <c r="AL537" s="293">
        <f>AVERAGE(AJ537:AK537)</f>
        <v>116968.5</v>
      </c>
      <c r="AN537" s="293">
        <f>AVERAGE(AN27,AK27)</f>
        <v>144423.5</v>
      </c>
      <c r="AO537" s="293">
        <f>AVERAGE(AO27,AN27)</f>
        <v>159854</v>
      </c>
      <c r="AP537" s="293">
        <f>AVERAGE(AN537:AO537)</f>
        <v>152138.75</v>
      </c>
      <c r="AR537" s="293">
        <f>AVERAGE(AR27,AO27)</f>
        <v>167342.5</v>
      </c>
      <c r="AS537" s="293">
        <f>AVERAGE(AS27,AR27)</f>
        <v>158289.5</v>
      </c>
      <c r="AT537" s="293">
        <f>AVERAGE(AR537:AS537)</f>
        <v>162816</v>
      </c>
      <c r="AV537" s="293">
        <f>AVERAGE(AV27,AS27)</f>
        <v>148037.5</v>
      </c>
      <c r="AW537" s="293">
        <f>AVERAGE(AW27,AV27)</f>
        <v>146435.5</v>
      </c>
      <c r="AX537" s="293">
        <f>AVERAGE(AV537:AW537)</f>
        <v>147236.5</v>
      </c>
      <c r="AZ537" s="293">
        <f>AVERAGE(AZ27,AW27)</f>
        <v>152000</v>
      </c>
      <c r="BA537" s="293">
        <f>AVERAGE(BA27,AZ27)</f>
        <v>157814</v>
      </c>
      <c r="BB537" s="293">
        <f>AVERAGE(AZ537:BA537)</f>
        <v>154907</v>
      </c>
      <c r="BD537" s="293">
        <f>AVERAGE(BD27,BA27)</f>
        <v>166128</v>
      </c>
      <c r="BE537" s="293">
        <f>AVERAGE(BE27,BD27)</f>
        <v>164157</v>
      </c>
      <c r="BF537" s="293">
        <f>AVERAGE(BD537:BE537)</f>
        <v>165142.5</v>
      </c>
      <c r="BH537" s="293">
        <f>AVERAGE(BH27,BE27)</f>
        <v>152903</v>
      </c>
      <c r="BI537" s="293">
        <f>AVERAGE(BI27,BH27)</f>
        <v>148464</v>
      </c>
      <c r="BJ537" s="293">
        <f>AVERAGE(BH537:BI537)</f>
        <v>150683.5</v>
      </c>
      <c r="BL537" s="293">
        <f>AVERAGE(BL27,BI27)</f>
        <v>149674</v>
      </c>
      <c r="BM537" s="293">
        <f>AVERAGE(BM27,BL27)</f>
        <v>154252</v>
      </c>
      <c r="BN537" s="293">
        <f>AVERAGE(BL537:BM537)</f>
        <v>151963</v>
      </c>
      <c r="BP537" s="293">
        <f>AVERAGE(BP27,BM27)</f>
        <v>158118</v>
      </c>
      <c r="BQ537" s="293">
        <f>AVERAGE(BQ27,BP27)</f>
        <v>175154</v>
      </c>
      <c r="BR537" s="293">
        <f>AVERAGE(BP537:BQ537)</f>
        <v>166636</v>
      </c>
      <c r="BT537" s="293">
        <f>AVERAGE(BT27,BQ27)</f>
        <v>198533</v>
      </c>
      <c r="BU537" s="293">
        <f>AVERAGE(BU27,BT27)</f>
        <v>202922.5</v>
      </c>
      <c r="BV537" s="293">
        <f>AVERAGE(BT537:BU537)</f>
        <v>200727.75</v>
      </c>
      <c r="BX537" s="293">
        <f>AVERAGE(BX27,BU27)</f>
        <v>194924</v>
      </c>
      <c r="BY537" s="293">
        <f>AVERAGE(BY27,BX27)</f>
        <v>187985</v>
      </c>
      <c r="BZ537" s="293">
        <f>AVERAGE(BX537:BY537)</f>
        <v>191454.5</v>
      </c>
      <c r="CB537" s="293">
        <f>AVERAGE(CB27,BY27)</f>
        <v>186318.5</v>
      </c>
      <c r="CC537" s="293">
        <f>AVERAGE(CC27,CB27)</f>
        <v>190542.5</v>
      </c>
      <c r="CD537" s="293">
        <f>AVERAGE(CB537:CC537)</f>
        <v>188430.5</v>
      </c>
      <c r="CF537" s="293">
        <f>AVERAGE(CF27,CC27)</f>
        <v>198461.5</v>
      </c>
      <c r="CG537" s="293">
        <f>AVERAGE(CG27,CF27)</f>
        <v>204390</v>
      </c>
      <c r="CH537" s="293">
        <f>AVERAGE(CF537:CG537)</f>
        <v>201425.75</v>
      </c>
      <c r="CJ537" s="293">
        <f>AVERAGE(CJ27,CG27)</f>
        <v>211338.5</v>
      </c>
      <c r="CK537" s="293">
        <f>AVERAGE(CK27,CJ27)</f>
        <v>237648.5</v>
      </c>
      <c r="CL537" s="293">
        <f>AVERAGE(CJ537:CK537)</f>
        <v>224493.5</v>
      </c>
      <c r="CN537" s="293">
        <f>AVERAGE(CN27,CK27)</f>
        <v>243268.5</v>
      </c>
      <c r="CO537" s="293">
        <f>AVERAGE(CO27,CN27)</f>
        <v>238194</v>
      </c>
      <c r="CP537" s="293">
        <f>AVERAGE(CN537:CO537)</f>
        <v>240731.25</v>
      </c>
      <c r="CR537" s="293">
        <f>AVERAGE(CR27,CO27)</f>
        <v>297110</v>
      </c>
      <c r="CS537" s="293">
        <f>AVERAGE(CS27,CR27)</f>
        <v>373871.5</v>
      </c>
      <c r="CT537" s="293">
        <f>AVERAGE(CR537:CS537)</f>
        <v>335490.75</v>
      </c>
      <c r="CV537" s="293">
        <f>AVERAGE(CV27,CS27)</f>
        <v>442875</v>
      </c>
      <c r="CW537" s="1495">
        <f>AVERAGE(CW27,CV27)</f>
        <v>437223</v>
      </c>
      <c r="CX537" s="293">
        <f>AVERAGE(CV537:CW537)</f>
        <v>440049</v>
      </c>
      <c r="CZ537" s="293">
        <f>AVERAGE(CZ27,CW27)</f>
        <v>391233</v>
      </c>
      <c r="DA537" s="1495">
        <f>AVERAGE(DA27,CZ27)</f>
        <v>398999</v>
      </c>
      <c r="DB537" s="293">
        <f>AVERAGE(CZ537:DA537)</f>
        <v>395116</v>
      </c>
      <c r="DD537" s="293">
        <f>AVERAGE(DD27,DA27)</f>
        <v>408859.5</v>
      </c>
      <c r="DE537" s="1495">
        <f>AVERAGE(DE27,DD27)</f>
        <v>429768</v>
      </c>
      <c r="DF537" s="293">
        <f>AVERAGE(DD537:DE537)</f>
        <v>419313.75</v>
      </c>
      <c r="DH537" s="293">
        <f>AVERAGE(DH27,DE27)</f>
        <v>464718.5</v>
      </c>
      <c r="DI537" s="293">
        <f>AVERAGE(DI27,DH27)</f>
        <v>501759.96725190838</v>
      </c>
      <c r="DJ537" s="293">
        <f>AVERAGE(DH537:DI537)</f>
        <v>483239.23362595419</v>
      </c>
      <c r="DL537" s="293">
        <f>AVERAGE(DL27,DI27)</f>
        <v>532762.54982213734</v>
      </c>
      <c r="DM537" s="293">
        <f>AVERAGE(DM27,DL27)</f>
        <v>557581.09410924418</v>
      </c>
      <c r="DN537" s="293">
        <f>AVERAGE(DL537:DM537)</f>
        <v>545171.8219656907</v>
      </c>
      <c r="DP537" s="293">
        <f>AVERAGE(DP27,DM27)</f>
        <v>580837.23568869894</v>
      </c>
      <c r="DQ537" s="293">
        <f>AVERAGE(DQ27,DP27)</f>
        <v>605193.82518033055</v>
      </c>
      <c r="DR537" s="293">
        <f>AVERAGE(DP537:DQ537)</f>
        <v>593015.53043451475</v>
      </c>
      <c r="DU537" s="293"/>
      <c r="DV537" s="293"/>
      <c r="DW537" s="293"/>
    </row>
    <row r="538" spans="1:138">
      <c r="A538" s="102" t="s">
        <v>908</v>
      </c>
      <c r="P538" s="293">
        <f>AVERAGE(P101,M101)</f>
        <v>2602</v>
      </c>
      <c r="Q538" s="293">
        <f>AVERAGE(Q101,P101)</f>
        <v>2593.5</v>
      </c>
      <c r="R538" s="293">
        <f>AVERAGE(P538:Q538)</f>
        <v>2597.75</v>
      </c>
      <c r="T538" s="293">
        <f>AVERAGE(T101,Q101)</f>
        <v>2963</v>
      </c>
      <c r="U538" s="293">
        <f>AVERAGE(U101,T101)</f>
        <v>3087</v>
      </c>
      <c r="V538" s="293">
        <f>AVERAGE(T538:U538)</f>
        <v>3025</v>
      </c>
      <c r="X538" s="293">
        <f>AVERAGE(X101,U101)</f>
        <v>3387.5</v>
      </c>
      <c r="Y538" s="293">
        <f>AVERAGE(Y101,X101)</f>
        <v>4187</v>
      </c>
      <c r="Z538" s="293">
        <f>AVERAGE(X538:Y538)</f>
        <v>3787.25</v>
      </c>
      <c r="AB538" s="293"/>
      <c r="AC538" s="293"/>
      <c r="AD538" s="293"/>
      <c r="AE538" s="293"/>
      <c r="AF538" s="293">
        <f>AVERAGE(AF101,AC101)</f>
        <v>4709</v>
      </c>
      <c r="AG538" s="293">
        <f>AVERAGE(AG101,AF101)</f>
        <v>5165</v>
      </c>
      <c r="AH538" s="293">
        <f>AVERAGE(AF538:AG538)</f>
        <v>4937</v>
      </c>
      <c r="AJ538" s="293">
        <f>AVERAGE(AJ101,AG101)</f>
        <v>6069</v>
      </c>
      <c r="AK538" s="293">
        <f>AVERAGE(AK101,AJ101)</f>
        <v>7160</v>
      </c>
      <c r="AL538" s="293">
        <f>AVERAGE(AJ538:AK538)</f>
        <v>6614.5</v>
      </c>
      <c r="AN538" s="293">
        <f>AVERAGE(AN101,AK101)</f>
        <v>8467</v>
      </c>
      <c r="AO538" s="293">
        <f>AVERAGE(AO101,AN101)</f>
        <v>9738</v>
      </c>
      <c r="AP538" s="293">
        <f>AVERAGE(AN538:AO538)</f>
        <v>9102.5</v>
      </c>
      <c r="AR538" s="293">
        <f>AVERAGE(AR101,AO101)</f>
        <v>10171</v>
      </c>
      <c r="AS538" s="293">
        <f>AVERAGE(AS101,AR101)</f>
        <v>9920.5</v>
      </c>
      <c r="AT538" s="293">
        <f>AVERAGE(AR538:AS538)</f>
        <v>10045.75</v>
      </c>
      <c r="AV538" s="293">
        <f>AVERAGE(AV101,AS101)</f>
        <v>10390</v>
      </c>
      <c r="AW538" s="293">
        <f>AVERAGE(AW101,AV101)</f>
        <v>11494.5</v>
      </c>
      <c r="AX538" s="293">
        <f>AVERAGE(AV538:AW538)</f>
        <v>10942.25</v>
      </c>
      <c r="AZ538" s="293">
        <f>AVERAGE(AZ101,AW101)</f>
        <v>11681</v>
      </c>
      <c r="BA538" s="293">
        <f>AVERAGE(BA101,AZ101)</f>
        <v>11762.5</v>
      </c>
      <c r="BB538" s="293">
        <f>AVERAGE(AZ538:BA538)</f>
        <v>11721.75</v>
      </c>
      <c r="BD538" s="293">
        <f>AVERAGE(BD101,BA101)</f>
        <v>11848</v>
      </c>
      <c r="BE538" s="293">
        <f>AVERAGE(BE101,BD101)</f>
        <v>11748</v>
      </c>
      <c r="BF538" s="293">
        <f>AVERAGE(BD538:BE538)</f>
        <v>11798</v>
      </c>
      <c r="BH538" s="293">
        <f>AVERAGE(BH101,BE101)</f>
        <v>11618</v>
      </c>
      <c r="BI538" s="293">
        <f>AVERAGE(BI101,BH101)</f>
        <v>11729.5</v>
      </c>
      <c r="BJ538" s="293">
        <f>AVERAGE(BH538:BI538)</f>
        <v>11673.75</v>
      </c>
      <c r="BL538" s="293">
        <f>AVERAGE(BL101,BI101)</f>
        <v>12337</v>
      </c>
      <c r="BM538" s="293">
        <f>AVERAGE(BM101,BL101)</f>
        <v>12316.5</v>
      </c>
      <c r="BN538" s="293">
        <f>AVERAGE(BL538:BM538)</f>
        <v>12326.75</v>
      </c>
      <c r="BP538" s="293">
        <f>AVERAGE(BP101,BM101)</f>
        <v>12065</v>
      </c>
      <c r="BQ538" s="293">
        <f>AVERAGE(BQ101,BP101)</f>
        <v>13306</v>
      </c>
      <c r="BR538" s="293">
        <f>AVERAGE(BP538:BQ538)</f>
        <v>12685.5</v>
      </c>
      <c r="BT538" s="293">
        <f>AVERAGE(BT101,BQ101)</f>
        <v>14806.5</v>
      </c>
      <c r="BU538" s="293">
        <f>AVERAGE(BU101,BT101)</f>
        <v>15440.5</v>
      </c>
      <c r="BV538" s="293">
        <f>AVERAGE(BT538:BU538)</f>
        <v>15123.5</v>
      </c>
      <c r="BX538" s="293">
        <f>AVERAGE(BX101,BU101)</f>
        <v>15563.5</v>
      </c>
      <c r="BY538" s="293">
        <f>AVERAGE(BY101,BX101)</f>
        <v>16366.5</v>
      </c>
      <c r="BZ538" s="293">
        <f>AVERAGE(BX538:BY538)</f>
        <v>15965</v>
      </c>
      <c r="CB538" s="293">
        <f>AVERAGE(CB101,BY101)</f>
        <v>17184.5</v>
      </c>
      <c r="CC538" s="293">
        <f>AVERAGE(CC101,CB101)</f>
        <v>17639.5</v>
      </c>
      <c r="CD538" s="293">
        <f>AVERAGE(CB538:CC538)</f>
        <v>17412</v>
      </c>
      <c r="CF538" s="293">
        <f>AVERAGE(CF101,CC101)</f>
        <v>17669.5</v>
      </c>
      <c r="CG538" s="293">
        <f>AVERAGE(CG101,CF101)</f>
        <v>17761.5</v>
      </c>
      <c r="CH538" s="293">
        <f>AVERAGE(CF538:CG538)</f>
        <v>17715.5</v>
      </c>
      <c r="CJ538" s="293">
        <f>AVERAGE(CJ101,CG101)</f>
        <v>19338</v>
      </c>
      <c r="CK538" s="293">
        <f>AVERAGE(CK101,CJ101)</f>
        <v>21048</v>
      </c>
      <c r="CL538" s="293">
        <f>AVERAGE(CJ538:CK538)</f>
        <v>20193</v>
      </c>
      <c r="CN538" s="293">
        <f>AVERAGE(CN101,CK101)</f>
        <v>21286.5</v>
      </c>
      <c r="CO538" s="293">
        <f>AVERAGE(CO101,CN101)</f>
        <v>21570</v>
      </c>
      <c r="CP538" s="293">
        <f>AVERAGE(CN538:CO538)</f>
        <v>21428.25</v>
      </c>
      <c r="CR538" s="293">
        <f>AVERAGE(CR101,CO101)</f>
        <v>23382.5</v>
      </c>
      <c r="CS538" s="293">
        <f>AVERAGE(CS101,CR101)</f>
        <v>26610</v>
      </c>
      <c r="CT538" s="293">
        <f>AVERAGE(CR538:CS538)</f>
        <v>24996.25</v>
      </c>
      <c r="CV538" s="293">
        <f>AVERAGE(CV101,CS101)</f>
        <v>30246.5</v>
      </c>
      <c r="CW538" s="1495">
        <f>AVERAGE(CW101,CV101)</f>
        <v>32896.5</v>
      </c>
      <c r="CX538" s="293">
        <f>AVERAGE(CV538:CW538)</f>
        <v>31571.5</v>
      </c>
      <c r="CZ538" s="293">
        <f>AVERAGE(CZ101,CW101)</f>
        <v>33622</v>
      </c>
      <c r="DA538" s="1495">
        <f>AVERAGE(DA101,CZ101)</f>
        <v>33567</v>
      </c>
      <c r="DB538" s="293">
        <f>AVERAGE(CZ538:DA538)</f>
        <v>33594.5</v>
      </c>
      <c r="DD538" s="293">
        <f>AVERAGE(DD101,DA101)</f>
        <v>33415</v>
      </c>
      <c r="DE538" s="1495">
        <f>AVERAGE(DE101,DD101)</f>
        <v>34311.5</v>
      </c>
      <c r="DF538" s="293">
        <f>AVERAGE(DD538:DE538)</f>
        <v>33863.25</v>
      </c>
      <c r="DH538" s="293">
        <f>AVERAGE(DH101,DE101)</f>
        <v>35491.5</v>
      </c>
      <c r="DI538" s="293">
        <f ca="1">AVERAGE(DI101,DH101)</f>
        <v>35927.600457099186</v>
      </c>
      <c r="DJ538" s="293">
        <f ca="1">AVERAGE(DH538:DI538)</f>
        <v>35709.55022854959</v>
      </c>
      <c r="DL538" s="293">
        <f ca="1">AVERAGE(DL101,DI101)</f>
        <v>36857.60235304782</v>
      </c>
      <c r="DM538" s="293">
        <f ca="1">AVERAGE(DM101,DL101)</f>
        <v>38446.544711795803</v>
      </c>
      <c r="DN538" s="293">
        <f ca="1">AVERAGE(DL538:DM538)</f>
        <v>37652.073532421811</v>
      </c>
      <c r="DP538" s="293">
        <f ca="1">AVERAGE(DP101,DM101)</f>
        <v>40086.164158307132</v>
      </c>
      <c r="DQ538" s="293">
        <f ca="1">AVERAGE(DQ101,DP101)</f>
        <v>41825.122332101586</v>
      </c>
      <c r="DR538" s="293">
        <f ca="1">AVERAGE(DP538:DQ538)</f>
        <v>40955.643245204359</v>
      </c>
      <c r="DU538" s="293"/>
      <c r="DV538" s="293"/>
      <c r="DW538" s="293"/>
    </row>
    <row r="539" spans="1:138">
      <c r="A539" s="102" t="s">
        <v>485</v>
      </c>
      <c r="P539" s="293">
        <f>AVERAGE(P99,M99)</f>
        <v>1813</v>
      </c>
      <c r="Q539" s="293">
        <f>AVERAGE(Q99,P99)</f>
        <v>1804.5</v>
      </c>
      <c r="R539" s="293">
        <f>AVERAGE(P539:Q539)</f>
        <v>1808.75</v>
      </c>
      <c r="T539" s="293">
        <f>AVERAGE(T99,Q99)</f>
        <v>2081</v>
      </c>
      <c r="U539" s="293">
        <f>AVERAGE(U99,T99)</f>
        <v>2394</v>
      </c>
      <c r="V539" s="293">
        <f>AVERAGE(T539:U539)</f>
        <v>2237.5</v>
      </c>
      <c r="X539" s="293">
        <f>AVERAGE(X99,U99)</f>
        <v>2534.5</v>
      </c>
      <c r="Y539" s="293">
        <f>AVERAGE(Y99,X99)</f>
        <v>2912.5</v>
      </c>
      <c r="Z539" s="293">
        <f>AVERAGE(X539:Y539)</f>
        <v>2723.5</v>
      </c>
      <c r="AB539" s="293"/>
      <c r="AC539" s="293"/>
      <c r="AD539" s="293"/>
      <c r="AE539" s="293"/>
      <c r="AF539" s="293">
        <f>AVERAGE(AF99,AC99)</f>
        <v>3416.5</v>
      </c>
      <c r="AG539" s="293">
        <f>AVERAGE(AG99,AF99)</f>
        <v>3880</v>
      </c>
      <c r="AH539" s="293">
        <f>AVERAGE(AF539:AG539)</f>
        <v>3648.25</v>
      </c>
      <c r="AJ539" s="293">
        <f>AVERAGE(AJ99,AG99)</f>
        <v>4812</v>
      </c>
      <c r="AK539" s="293">
        <f>AVERAGE(AK99,AJ99)</f>
        <v>5898.5</v>
      </c>
      <c r="AL539" s="293">
        <f>AVERAGE(AJ539:AK539)</f>
        <v>5355.25</v>
      </c>
      <c r="AN539" s="293">
        <f>AVERAGE(AN99,AK99)</f>
        <v>7241.5</v>
      </c>
      <c r="AO539" s="293">
        <f>AVERAGE(AO99,AN99)</f>
        <v>8520.5</v>
      </c>
      <c r="AP539" s="293">
        <f>AVERAGE(AN539:AO539)</f>
        <v>7881</v>
      </c>
      <c r="AR539" s="293">
        <f>AVERAGE(AR99,AO99)</f>
        <v>8917</v>
      </c>
      <c r="AS539" s="293">
        <f>AVERAGE(AS99,AR99)</f>
        <v>8834.5</v>
      </c>
      <c r="AT539" s="293">
        <f>AVERAGE(AR539:AS539)</f>
        <v>8875.75</v>
      </c>
      <c r="AV539" s="293">
        <f>AVERAGE(AV99,AS99)</f>
        <v>9674</v>
      </c>
      <c r="AW539" s="293">
        <f>AVERAGE(AW99,AV99)</f>
        <v>10958</v>
      </c>
      <c r="AX539" s="293">
        <f>AVERAGE(AV539:AW539)</f>
        <v>10316</v>
      </c>
      <c r="AZ539" s="293">
        <f>AVERAGE(AZ99,AW99)</f>
        <v>11146.5</v>
      </c>
      <c r="BA539" s="293">
        <f>AVERAGE(BA99,AZ99)</f>
        <v>11232.5</v>
      </c>
      <c r="BB539" s="293">
        <f>AVERAGE(AZ539:BA539)</f>
        <v>11189.5</v>
      </c>
      <c r="BD539" s="293">
        <f>AVERAGE(BD99,BA99)</f>
        <v>11327.5</v>
      </c>
      <c r="BE539" s="293">
        <f>AVERAGE(BE99,BD99)</f>
        <v>11227</v>
      </c>
      <c r="BF539" s="293">
        <f>AVERAGE(BD539:BE539)</f>
        <v>11277.25</v>
      </c>
      <c r="BH539" s="293">
        <f>AVERAGE(BH99,BE99)</f>
        <v>11097.5</v>
      </c>
      <c r="BI539" s="293">
        <f>AVERAGE(BI99,BH99)</f>
        <v>11197.5</v>
      </c>
      <c r="BJ539" s="293">
        <f>AVERAGE(BH539:BI539)</f>
        <v>11147.5</v>
      </c>
      <c r="BL539" s="293">
        <f>AVERAGE(BL99,BI99)</f>
        <v>11816</v>
      </c>
      <c r="BM539" s="293">
        <f>AVERAGE(BM99,BL99)</f>
        <v>11823.5</v>
      </c>
      <c r="BN539" s="293">
        <f>AVERAGE(BL539:BM539)</f>
        <v>11819.75</v>
      </c>
      <c r="BP539" s="293">
        <f>AVERAGE(BP99,BM99)</f>
        <v>11554</v>
      </c>
      <c r="BQ539" s="293">
        <f>AVERAGE(BQ99,BP99)</f>
        <v>12799.5</v>
      </c>
      <c r="BR539" s="293">
        <f>AVERAGE(BP539:BQ539)</f>
        <v>12176.75</v>
      </c>
      <c r="BT539" s="293">
        <f>AVERAGE(BT99,BQ99)</f>
        <v>14270</v>
      </c>
      <c r="BU539" s="293">
        <f>AVERAGE(BU99,BT99)</f>
        <v>14873.5</v>
      </c>
      <c r="BV539" s="293">
        <f>AVERAGE(BT539:BU539)</f>
        <v>14571.75</v>
      </c>
      <c r="BX539" s="293">
        <f>AVERAGE(BX99,BU99)</f>
        <v>15018.5</v>
      </c>
      <c r="BY539" s="293">
        <f>AVERAGE(BY99,BX99)</f>
        <v>15242</v>
      </c>
      <c r="BZ539" s="293">
        <f>AVERAGE(BX539:BY539)</f>
        <v>15130.25</v>
      </c>
      <c r="CB539" s="293">
        <f>AVERAGE(CB99,BY99)</f>
        <v>15460</v>
      </c>
      <c r="CC539" s="293">
        <f>AVERAGE(CC99,CB99)</f>
        <v>15857</v>
      </c>
      <c r="CD539" s="293">
        <f>AVERAGE(CB539:CC539)</f>
        <v>15658.5</v>
      </c>
      <c r="CF539" s="293">
        <f>AVERAGE(CF99,CC99)</f>
        <v>16458.5</v>
      </c>
      <c r="CG539" s="293">
        <f>AVERAGE(CG99,CF99)</f>
        <v>17160.5</v>
      </c>
      <c r="CH539" s="293">
        <f>AVERAGE(CF539:CG539)</f>
        <v>16809.5</v>
      </c>
      <c r="CJ539" s="293">
        <f>AVERAGE(CJ99,CG99)</f>
        <v>18689</v>
      </c>
      <c r="CK539" s="293">
        <f>AVERAGE(CK99,CJ99)</f>
        <v>20340</v>
      </c>
      <c r="CL539" s="293">
        <f>AVERAGE(CJ539:CK539)</f>
        <v>19514.5</v>
      </c>
      <c r="CN539" s="293">
        <f>AVERAGE(CN99,CK99)</f>
        <v>20785.5</v>
      </c>
      <c r="CO539" s="293">
        <f>AVERAGE(CO99,CN99)</f>
        <v>21278</v>
      </c>
      <c r="CP539" s="293">
        <f>AVERAGE(CN539:CO539)</f>
        <v>21031.75</v>
      </c>
      <c r="CR539" s="293">
        <f>AVERAGE(CR99,CO99)</f>
        <v>23056</v>
      </c>
      <c r="CS539" s="293">
        <f>AVERAGE(CS99,CR99)</f>
        <v>26312.5</v>
      </c>
      <c r="CT539" s="293">
        <f>AVERAGE(CR539:CS539)</f>
        <v>24684.25</v>
      </c>
      <c r="CV539" s="293">
        <f>AVERAGE(CV99,CS99)</f>
        <v>29949</v>
      </c>
      <c r="CW539" s="1495">
        <f>AVERAGE(CW99,CV99)</f>
        <v>32246</v>
      </c>
      <c r="CX539" s="293">
        <f>AVERAGE(CV539:CW539)</f>
        <v>31097.5</v>
      </c>
      <c r="CZ539" s="293">
        <f>AVERAGE(CZ99,CW99)</f>
        <v>32903</v>
      </c>
      <c r="DA539" s="1495">
        <f>AVERAGE(DA99,CZ99)</f>
        <v>33066</v>
      </c>
      <c r="DB539" s="293">
        <f>AVERAGE(CZ539:DA539)</f>
        <v>32984.5</v>
      </c>
      <c r="DD539" s="293">
        <f>AVERAGE(DD99,DA99)</f>
        <v>32890</v>
      </c>
      <c r="DE539" s="1495">
        <f>AVERAGE(DE99,DD99)</f>
        <v>33827.5</v>
      </c>
      <c r="DF539" s="293">
        <f>AVERAGE(DD539:DE539)</f>
        <v>33358.75</v>
      </c>
      <c r="DH539" s="293">
        <f>AVERAGE(DH99,DE99)</f>
        <v>34958.5</v>
      </c>
      <c r="DI539" s="293">
        <f ca="1">AVERAGE(DI99,DH99)</f>
        <v>35294.600457099186</v>
      </c>
      <c r="DJ539" s="293">
        <f ca="1">AVERAGE(DH539:DI539)</f>
        <v>35126.55022854959</v>
      </c>
      <c r="DL539" s="293">
        <f ca="1">AVERAGE(DL99,DI99)</f>
        <v>36224.60235304782</v>
      </c>
      <c r="DM539" s="293">
        <f ca="1">AVERAGE(DM99,DL99)</f>
        <v>37813.544711795803</v>
      </c>
      <c r="DN539" s="293">
        <f ca="1">AVERAGE(DL539:DM539)</f>
        <v>37019.073532421811</v>
      </c>
      <c r="DP539" s="293">
        <f ca="1">AVERAGE(DP99,DM99)</f>
        <v>39453.164158307132</v>
      </c>
      <c r="DQ539" s="293">
        <f ca="1">AVERAGE(DQ99,DP99)</f>
        <v>41192.122332101586</v>
      </c>
      <c r="DR539" s="293">
        <f ca="1">AVERAGE(DP539:DQ539)</f>
        <v>40322.643245204359</v>
      </c>
      <c r="DU539" s="293"/>
      <c r="DV539" s="293"/>
      <c r="DW539" s="293"/>
    </row>
    <row r="540" spans="1:138">
      <c r="A540" s="1319" t="s">
        <v>486</v>
      </c>
      <c r="P540" s="293">
        <f>P541-P539</f>
        <v>-27.634146341463293</v>
      </c>
      <c r="Q540" s="293">
        <f>Q541-Q539</f>
        <v>106.32802547770689</v>
      </c>
      <c r="R540" s="293">
        <f>R541-R539</f>
        <v>41.25</v>
      </c>
      <c r="T540" s="293">
        <f>T541-T539</f>
        <v>5.206896551724185</v>
      </c>
      <c r="U540" s="293">
        <f>U541-U539</f>
        <v>-38.85981308411192</v>
      </c>
      <c r="V540" s="293">
        <f>V541-V539</f>
        <v>-22.253363228699527</v>
      </c>
      <c r="X540" s="293">
        <f>X541-X539</f>
        <v>-21.225663716814324</v>
      </c>
      <c r="Y540" s="293">
        <f>Y541-Y539</f>
        <v>24.82970027247984</v>
      </c>
      <c r="Z540" s="293">
        <f>Z541-Z539</f>
        <v>1.6655629139072516</v>
      </c>
      <c r="AB540" s="293"/>
      <c r="AC540" s="293"/>
      <c r="AD540" s="293"/>
      <c r="AE540" s="293"/>
      <c r="AF540" s="293">
        <f>AF541-AF539</f>
        <v>-69.277777777777374</v>
      </c>
      <c r="AG540" s="293">
        <f>AG541-AG539</f>
        <v>-186.38297872340399</v>
      </c>
      <c r="AH540" s="293">
        <f>AH541-AH539</f>
        <v>-125.17307692307713</v>
      </c>
      <c r="AJ540" s="293">
        <f>AJ541-AJ539</f>
        <v>-87.080906148867143</v>
      </c>
      <c r="AK540" s="293">
        <f>AK541-AK539</f>
        <v>-216.32945736434158</v>
      </c>
      <c r="AL540" s="293">
        <f>AL541-AL539</f>
        <v>-148.84430604982299</v>
      </c>
      <c r="AN540" s="293">
        <f>AN541-AN539</f>
        <v>-221.63245033112526</v>
      </c>
      <c r="AO540" s="293">
        <f>AO541-AO539</f>
        <v>-310.55524861878439</v>
      </c>
      <c r="AP540" s="293">
        <f>AP541-AP539</f>
        <v>-273.4050632911385</v>
      </c>
      <c r="AR540" s="293">
        <f>AR541-AR539</f>
        <v>-227.90297803789872</v>
      </c>
      <c r="AS540" s="293">
        <f>AS541-AS539</f>
        <v>59.755508852378625</v>
      </c>
      <c r="AT540" s="293">
        <f>AT541-AT539</f>
        <v>-80.599411192551997</v>
      </c>
      <c r="AV540" s="293">
        <f>AV541-AV539</f>
        <v>305.16666666666606</v>
      </c>
      <c r="AW540" s="293">
        <f>AW541-AW539</f>
        <v>129.37864077670019</v>
      </c>
      <c r="AX540" s="293">
        <f>AX541-AX539</f>
        <v>184</v>
      </c>
      <c r="AZ540" s="293">
        <f>AZ541-AZ539</f>
        <v>-245.58918918918425</v>
      </c>
      <c r="BA540" s="293">
        <f>BA541-BA539</f>
        <v>-382.82607843137521</v>
      </c>
      <c r="BB540" s="293">
        <f>BB541-BB539</f>
        <v>-318.28329545454471</v>
      </c>
      <c r="BD540" s="293">
        <f>BD541-BD539</f>
        <v>-649.26982456139922</v>
      </c>
      <c r="BE540" s="293">
        <f>BE541-BE539</f>
        <v>-295.61025641024935</v>
      </c>
      <c r="BF540" s="293">
        <f>BF541-BF539</f>
        <v>-532.34176470587772</v>
      </c>
      <c r="BH540" s="293">
        <f>BH541-BH539</f>
        <v>-158.10606060606187</v>
      </c>
      <c r="BI540" s="293">
        <f>BI541-BI539</f>
        <v>-175.25280898876372</v>
      </c>
      <c r="BJ540" s="293">
        <f>BJ541-BJ539</f>
        <v>-230.96153846153902</v>
      </c>
      <c r="BL540" s="293">
        <f>BL541-BL539</f>
        <v>-298.75862068965398</v>
      </c>
      <c r="BM540" s="293">
        <f>BM541-BM539</f>
        <v>-468.09259259259306</v>
      </c>
      <c r="BN540" s="293">
        <f>BN541-BN539</f>
        <v>-400.9211711711705</v>
      </c>
      <c r="BP540" s="293">
        <f>BP541-BP539</f>
        <v>-706</v>
      </c>
      <c r="BQ540" s="293">
        <f>BQ541-BQ539</f>
        <v>-767.16233766233745</v>
      </c>
      <c r="BR540" s="293">
        <f>BR541-BR539</f>
        <v>-716.10714285714312</v>
      </c>
      <c r="BT540" s="293">
        <f>BT541-BT539</f>
        <v>-725.69620253164612</v>
      </c>
      <c r="BU540" s="293">
        <f>BU541-BU539</f>
        <v>-369.99635036496511</v>
      </c>
      <c r="BV540" s="293">
        <f>BV541-BV539</f>
        <v>-534.40306122448965</v>
      </c>
      <c r="BX540" s="293">
        <f>BX541-BX539</f>
        <v>-634.93835616438264</v>
      </c>
      <c r="BY540" s="293">
        <f>BY541-BY539</f>
        <v>-463.64556962025381</v>
      </c>
      <c r="BZ540" s="293">
        <f>BZ541-BZ539</f>
        <v>-541.50000000000182</v>
      </c>
      <c r="CB540" s="293">
        <f>CB541-CB539</f>
        <v>-513.89221556886332</v>
      </c>
      <c r="CC540" s="293">
        <f>CC541-CC539</f>
        <v>-360.07692307692378</v>
      </c>
      <c r="CD540" s="293">
        <f>CD541-CD539</f>
        <v>-435.34523809524035</v>
      </c>
      <c r="CF540" s="293">
        <f>CF541-CF539</f>
        <v>-384.88036809816003</v>
      </c>
      <c r="CG540" s="293">
        <f>CG541-CG539</f>
        <v>-6.7564102564101631</v>
      </c>
      <c r="CH540" s="293">
        <f>CH541-CH539</f>
        <v>-240.11111111111313</v>
      </c>
      <c r="CJ540" s="293">
        <f>CJ541-CJ539</f>
        <v>-920.707317073171</v>
      </c>
      <c r="CK540" s="293">
        <f>CK541-CK539</f>
        <v>-269.29133858267596</v>
      </c>
      <c r="CL540" s="293">
        <f>CL541-CL539</f>
        <v>-676.63793103448188</v>
      </c>
      <c r="CN540" s="293">
        <f>CN541-CN539</f>
        <v>-48.657894736843446</v>
      </c>
      <c r="CO540" s="293">
        <f>CO541-CO539</f>
        <v>95.578947368419904</v>
      </c>
      <c r="CP540" s="293">
        <f>CP541-CP539</f>
        <v>55.59265734265864</v>
      </c>
      <c r="CR540" s="293">
        <f>CR541-CR539</f>
        <v>-100.94382022471837</v>
      </c>
      <c r="CS540" s="293">
        <f>CS541-CS539</f>
        <v>865.96938775509989</v>
      </c>
      <c r="CT540" s="293">
        <f>CT541-CT539</f>
        <v>484.14572192513151</v>
      </c>
      <c r="CV540" s="293">
        <f>CV541-CV539</f>
        <v>602.28205128205082</v>
      </c>
      <c r="CW540" s="1495">
        <f>CW541-CW539</f>
        <v>-1312.4088397790074</v>
      </c>
      <c r="CX540" s="293">
        <f>CX541-CX539</f>
        <v>-431.87869822485663</v>
      </c>
      <c r="CZ540" s="293">
        <f>CZ541-CZ539</f>
        <v>-374.26436781608936</v>
      </c>
      <c r="DA540" s="1495">
        <f>DA541-DA539</f>
        <v>-391.73643410853037</v>
      </c>
      <c r="DB540" s="293">
        <f>DB541-DB539</f>
        <v>-368.85185185185401</v>
      </c>
      <c r="DD540" s="293">
        <f>DD541-DD539</f>
        <v>-324.34343434343464</v>
      </c>
      <c r="DE540" s="1495">
        <f ca="1">DE541-DE539</f>
        <v>-171.66000000000349</v>
      </c>
      <c r="DF540" s="293">
        <f ca="1">DF541-DF539</f>
        <v>-184.73214285714494</v>
      </c>
      <c r="DH540" s="293">
        <f>DH541-DH539</f>
        <v>-479.33333333333576</v>
      </c>
      <c r="DI540" s="293">
        <f>DH540</f>
        <v>-479.33333333333576</v>
      </c>
      <c r="DJ540" s="293">
        <f>AVERAGE(DH540:DI540)</f>
        <v>-479.33333333333576</v>
      </c>
      <c r="DL540" s="293">
        <f>DI540</f>
        <v>-479.33333333333576</v>
      </c>
      <c r="DM540" s="293">
        <f>DL540</f>
        <v>-479.33333333333576</v>
      </c>
      <c r="DN540" s="293">
        <f>AVERAGE(DL540:DM540)</f>
        <v>-479.33333333333576</v>
      </c>
      <c r="DP540" s="293">
        <f>DM540</f>
        <v>-479.33333333333576</v>
      </c>
      <c r="DQ540" s="293">
        <f>DP540</f>
        <v>-479.33333333333576</v>
      </c>
      <c r="DR540" s="293">
        <f>AVERAGE(DP540:DQ540)</f>
        <v>-479.33333333333576</v>
      </c>
      <c r="DU540" s="293"/>
      <c r="DV540" s="293"/>
      <c r="DW540" s="293"/>
    </row>
    <row r="541" spans="1:138">
      <c r="A541" s="289" t="s">
        <v>484</v>
      </c>
      <c r="P541" s="293">
        <f>P543*(P$2/P$1)/P544</f>
        <v>1785.3658536585367</v>
      </c>
      <c r="Q541" s="293">
        <f>Q543*(Q$2/Q$1)/Q544</f>
        <v>1910.8280254777069</v>
      </c>
      <c r="R541" s="293">
        <f>R543*(R$2/R$1)/R544</f>
        <v>1850</v>
      </c>
      <c r="T541" s="293">
        <f>T543*(T$2/T$1)/T544</f>
        <v>2086.2068965517242</v>
      </c>
      <c r="U541" s="293">
        <f>U543*(U$2/U$1)/U544</f>
        <v>2355.1401869158881</v>
      </c>
      <c r="V541" s="293">
        <f>V543*(V$2/V$1)/V544</f>
        <v>2215.2466367713005</v>
      </c>
      <c r="X541" s="293">
        <f>X543*(X$2/X$1)/X544</f>
        <v>2513.2743362831857</v>
      </c>
      <c r="Y541" s="293">
        <f>Y543*(Y$2/Y$1)/Y544</f>
        <v>2937.3297002724798</v>
      </c>
      <c r="Z541" s="293">
        <f>Z543*(Z$2/Z$1)/Z544</f>
        <v>2725.1655629139073</v>
      </c>
      <c r="AB541" s="293"/>
      <c r="AC541" s="293"/>
      <c r="AD541" s="293"/>
      <c r="AE541" s="293"/>
      <c r="AF541" s="293">
        <f>AF543*(AF$2/AF$1)/AF544</f>
        <v>3347.2222222222226</v>
      </c>
      <c r="AG541" s="293">
        <f>AG543*(AG$2/AG$1)/AG544</f>
        <v>3693.617021276596</v>
      </c>
      <c r="AH541" s="293">
        <f>AH543*(AH$2/AH$1)/AH544</f>
        <v>3523.0769230769229</v>
      </c>
      <c r="AJ541" s="293">
        <f>AJ543*(AJ$2/AJ$1)/AJ544</f>
        <v>4724.9190938511329</v>
      </c>
      <c r="AK541" s="293">
        <f>AK543*(AK$2/AK$1)/AK544</f>
        <v>5682.1705426356584</v>
      </c>
      <c r="AL541" s="293">
        <f>AL543*(AL$2/AL$1)/AL544</f>
        <v>5206.405693950177</v>
      </c>
      <c r="AN541" s="293">
        <f>AN543*(AN$2/AN$1)/AN544</f>
        <v>7019.8675496688747</v>
      </c>
      <c r="AO541" s="293">
        <f>AO543*(AO$2/AO$1)/AO544</f>
        <v>8209.9447513812156</v>
      </c>
      <c r="AP541" s="293">
        <f>AP543*(AP$2/AP$1)/AP544</f>
        <v>7607.5949367088615</v>
      </c>
      <c r="AR541" s="293">
        <f>AR543*(AR$2/AR$1)/AR544</f>
        <v>8689.0970219621013</v>
      </c>
      <c r="AS541" s="293">
        <f>AS543*(AS$2/AS$1)/AS544</f>
        <v>8894.2555088523786</v>
      </c>
      <c r="AT541" s="293">
        <f>AT543*(AT$2/AT$1)/AT544</f>
        <v>8795.150588807448</v>
      </c>
      <c r="AV541" s="293">
        <f>AV543*(AV$2/AV$1)/AV544</f>
        <v>9979.1666666666661</v>
      </c>
      <c r="AW541" s="293">
        <f>AW543*(AW$2/AW$1)/AW544</f>
        <v>11087.3786407767</v>
      </c>
      <c r="AX541" s="293">
        <f>AX543*(AX$2/AX$1)/AX544</f>
        <v>10500</v>
      </c>
      <c r="AZ541" s="293">
        <f>AZ543*(AZ$2/AZ$1)/AZ544</f>
        <v>10900.910810810816</v>
      </c>
      <c r="BA541" s="293">
        <f>BA543*(BA$2/BA$1)/BA544</f>
        <v>10849.673921568625</v>
      </c>
      <c r="BB541" s="293">
        <f>BB543*(BB$2/BB$1)/BB544</f>
        <v>10871.216704545455</v>
      </c>
      <c r="BD541" s="293">
        <f>BD543*(BD$2/BD$1)/BD544</f>
        <v>10678.230175438601</v>
      </c>
      <c r="BE541" s="293">
        <f>BE543*(BE$2/BE$1)/BE544</f>
        <v>10931.389743589751</v>
      </c>
      <c r="BF541" s="293">
        <f>BF543*(BF$2/BF$1)/BF544</f>
        <v>10744.908235294122</v>
      </c>
      <c r="BH541" s="293">
        <f>BH543*(BH$2/BH$1)/BH544</f>
        <v>10939.393939393938</v>
      </c>
      <c r="BI541" s="293">
        <f>BI543*(BI$2/BI$1)/BI544</f>
        <v>11022.247191011236</v>
      </c>
      <c r="BJ541" s="293">
        <f>BJ543*(BJ$2/BJ$1)/BJ544</f>
        <v>10916.538461538461</v>
      </c>
      <c r="BL541" s="293">
        <f>BL543*(BL$2/BL$1)/BL544</f>
        <v>11517.241379310346</v>
      </c>
      <c r="BM541" s="293">
        <f>BM543*(BM$2/BM$1)/BM544</f>
        <v>11355.407407407407</v>
      </c>
      <c r="BN541" s="293">
        <f>BN543*(BN$2/BN$1)/BN544</f>
        <v>11418.82882882883</v>
      </c>
      <c r="BP541" s="293">
        <f>BP543*(BP$2/BP$1)/BP544</f>
        <v>10848</v>
      </c>
      <c r="BQ541" s="293">
        <f>BQ543*(BQ$2/BQ$1)/BQ544</f>
        <v>12032.337662337663</v>
      </c>
      <c r="BR541" s="293">
        <f>BR543*(BR$2/BR$1)/BR544</f>
        <v>11460.642857142857</v>
      </c>
      <c r="BT541" s="293">
        <f>BT543*(BT$2/BT$1)/BT544</f>
        <v>13544.303797468354</v>
      </c>
      <c r="BU541" s="293">
        <f>BU543*(BU$2/BU$1)/BU544</f>
        <v>14503.503649635035</v>
      </c>
      <c r="BV541" s="293">
        <f>BV543*(BV$2/BV$1)/BV544</f>
        <v>14037.34693877551</v>
      </c>
      <c r="BX541" s="293">
        <f>BX543*(BX$2/BX$1)/BX544</f>
        <v>14383.561643835617</v>
      </c>
      <c r="BY541" s="293">
        <f>BY543*(BY$2/BY$1)/BY544</f>
        <v>14778.354430379746</v>
      </c>
      <c r="BZ541" s="293">
        <f>BZ543*(BZ$2/BZ$1)/BZ544</f>
        <v>14588.749999999998</v>
      </c>
      <c r="CB541" s="293">
        <f>CB543*(CB$2/CB$1)/CB544</f>
        <v>14946.107784431137</v>
      </c>
      <c r="CC541" s="293">
        <f>CC543*(CC$2/CC$1)/CC544</f>
        <v>15496.923076923076</v>
      </c>
      <c r="CD541" s="293">
        <f>CD543*(CD$2/CD$1)/CD544</f>
        <v>15223.15476190476</v>
      </c>
      <c r="CF541" s="293">
        <f>CF543*(CF$2/CF$1)/CF544</f>
        <v>16073.61963190184</v>
      </c>
      <c r="CG541" s="293">
        <f>CG543*(CG$2/CG$1)/CG544</f>
        <v>17153.74358974359</v>
      </c>
      <c r="CH541" s="293">
        <f>CH543*(CH$2/CH$1)/CH544</f>
        <v>16569.388888888887</v>
      </c>
      <c r="CJ541" s="293">
        <f>CJ543*(CJ$2/CJ$1)/CJ544</f>
        <v>17768.292682926829</v>
      </c>
      <c r="CK541" s="293">
        <f>CK543*(CK$2/CK$1)/CK544</f>
        <v>20070.708661417324</v>
      </c>
      <c r="CL541" s="293">
        <f>CL543*(CL$2/CL$1)/CL544</f>
        <v>18837.862068965518</v>
      </c>
      <c r="CN541" s="293">
        <f>CN543*(CN$2/CN$1)/CN544</f>
        <v>20736.842105263157</v>
      </c>
      <c r="CO541" s="293">
        <f>CO543*(CO$2/CO$1)/CO544</f>
        <v>21373.57894736842</v>
      </c>
      <c r="CP541" s="293">
        <f>CP543*(CP$2/CP$1)/CP544</f>
        <v>21087.342657342659</v>
      </c>
      <c r="CR541" s="293">
        <f>CR543*(CR$2/CR$1)/CR544</f>
        <v>22955.056179775282</v>
      </c>
      <c r="CS541" s="293">
        <f>CS543*(CS$2/CS$1)/CS544</f>
        <v>27178.4693877551</v>
      </c>
      <c r="CT541" s="293">
        <f>CT543*(CT$2/CT$1)/CT544</f>
        <v>25168.395721925132</v>
      </c>
      <c r="CV541" s="293">
        <f>CV543*(CV$2/CV$1)/CV544</f>
        <v>30551.282051282051</v>
      </c>
      <c r="CW541" s="1495">
        <f>CW543*(CW$2/CW$1)/CW544</f>
        <v>30933.591160220993</v>
      </c>
      <c r="CX541" s="293">
        <f>CX543*(CX$2/CX$1)/CX544</f>
        <v>30665.621301775143</v>
      </c>
      <c r="CZ541" s="293">
        <f>CZ543*(CZ$2/CZ$1)/CZ544</f>
        <v>32528.735632183911</v>
      </c>
      <c r="DA541" s="1495">
        <f>DA543*(DA$2/DA$1)/DA544</f>
        <v>32674.26356589147</v>
      </c>
      <c r="DB541" s="293">
        <f>DB543*(DB$2/DB$1)/DB544</f>
        <v>32615.648148148146</v>
      </c>
      <c r="DD541" s="293">
        <f>DD543*(DD$2/DD$1)/DD544</f>
        <v>32565.656565656565</v>
      </c>
      <c r="DE541" s="1495">
        <f ca="1">DE543*(DE$2/DE$1)/DE544</f>
        <v>33655.839999999997</v>
      </c>
      <c r="DF541" s="293">
        <f ca="1">DF543*(DF$2/DF$1)/DF544</f>
        <v>33174.017857142855</v>
      </c>
      <c r="DH541" s="293">
        <f>DH543*(DH$2/DH$1)/DH544</f>
        <v>34479.166666666664</v>
      </c>
      <c r="DI541" s="293">
        <f ca="1">+DI539+DI540</f>
        <v>34815.267123765851</v>
      </c>
      <c r="DJ541" s="293">
        <f ca="1">+DJ539+DJ540</f>
        <v>34647.216895216254</v>
      </c>
      <c r="DL541" s="293">
        <f ca="1">+DL539+DL540</f>
        <v>35745.269019714484</v>
      </c>
      <c r="DM541" s="293">
        <f ca="1">+DM539+DM540</f>
        <v>37334.211378462467</v>
      </c>
      <c r="DN541" s="293">
        <f ca="1">+DN539+DN540</f>
        <v>36539.740199088475</v>
      </c>
      <c r="DP541" s="293">
        <f ca="1">+DP539+DP540</f>
        <v>38973.830824973797</v>
      </c>
      <c r="DQ541" s="293">
        <f ca="1">+DQ539+DQ540</f>
        <v>40712.78899876825</v>
      </c>
      <c r="DR541" s="293">
        <f ca="1">+DR539+DR540</f>
        <v>39843.309911871023</v>
      </c>
      <c r="DU541" s="293"/>
      <c r="DV541" s="293"/>
      <c r="DW541" s="293"/>
    </row>
    <row r="542" spans="1:138">
      <c r="A542" s="289"/>
      <c r="P542" s="293"/>
      <c r="Q542" s="293"/>
      <c r="R542" s="293"/>
      <c r="T542" s="293"/>
      <c r="U542" s="293"/>
      <c r="V542" s="293"/>
      <c r="X542" s="293"/>
      <c r="Y542" s="293"/>
      <c r="Z542" s="293"/>
      <c r="AB542" s="293"/>
      <c r="AC542" s="293"/>
      <c r="AD542" s="293"/>
      <c r="AE542" s="293"/>
      <c r="AF542" s="293"/>
      <c r="AG542" s="293"/>
      <c r="AH542" s="293"/>
      <c r="AJ542" s="293"/>
      <c r="AK542" s="293"/>
      <c r="AL542" s="293"/>
      <c r="AN542" s="293"/>
      <c r="AO542" s="293"/>
      <c r="AP542" s="293"/>
      <c r="AR542" s="293"/>
      <c r="AS542" s="293"/>
      <c r="AT542" s="293"/>
      <c r="AV542" s="293"/>
      <c r="AW542" s="293"/>
      <c r="AX542" s="293"/>
      <c r="AZ542" s="293"/>
      <c r="BA542" s="293"/>
      <c r="BB542" s="293"/>
      <c r="BD542" s="293"/>
      <c r="BE542" s="293"/>
      <c r="BF542" s="293"/>
      <c r="BH542" s="293"/>
      <c r="BI542" s="293"/>
      <c r="BJ542" s="293"/>
      <c r="BL542" s="293"/>
      <c r="BM542" s="293"/>
      <c r="BN542" s="293"/>
      <c r="BP542" s="293"/>
      <c r="BQ542" s="293"/>
      <c r="BR542" s="293"/>
      <c r="BT542" s="293"/>
      <c r="BU542" s="293"/>
      <c r="BV542" s="293"/>
      <c r="BX542" s="293"/>
      <c r="BY542" s="293"/>
      <c r="BZ542" s="293"/>
      <c r="CB542" s="293"/>
      <c r="CC542" s="293"/>
      <c r="CD542" s="293"/>
      <c r="CF542" s="293"/>
      <c r="CG542" s="293"/>
      <c r="CH542" s="293"/>
      <c r="CJ542" s="293"/>
      <c r="CK542" s="293"/>
      <c r="CL542" s="293"/>
      <c r="CN542" s="293"/>
      <c r="CO542" s="293"/>
      <c r="CP542" s="293"/>
      <c r="CR542" s="293"/>
      <c r="CS542" s="293"/>
      <c r="CT542" s="293"/>
      <c r="CV542" s="293"/>
      <c r="CW542" s="1495"/>
      <c r="CX542" s="293"/>
      <c r="CZ542" s="293"/>
      <c r="DA542" s="1495"/>
      <c r="DB542" s="293"/>
      <c r="DD542" s="293"/>
      <c r="DE542" s="1495"/>
      <c r="DF542" s="293"/>
      <c r="DH542" s="293"/>
      <c r="DI542" s="293"/>
      <c r="DJ542" s="293"/>
      <c r="DL542" s="293"/>
      <c r="DM542" s="293"/>
      <c r="DN542" s="293"/>
      <c r="DP542" s="293"/>
      <c r="DQ542" s="293"/>
      <c r="DR542" s="293"/>
      <c r="DU542" s="293"/>
      <c r="DV542" s="293"/>
      <c r="DW542" s="293"/>
    </row>
    <row r="543" spans="1:138">
      <c r="A543" s="102" t="s">
        <v>769</v>
      </c>
      <c r="P543" s="626">
        <v>183</v>
      </c>
      <c r="Q543" s="626">
        <v>150</v>
      </c>
      <c r="R543" s="293">
        <f>+P543+Q543</f>
        <v>333</v>
      </c>
      <c r="T543" s="626">
        <v>242</v>
      </c>
      <c r="U543" s="626">
        <v>252</v>
      </c>
      <c r="V543" s="293">
        <f>+T543+U543</f>
        <v>494</v>
      </c>
      <c r="X543" s="626">
        <v>284</v>
      </c>
      <c r="Y543" s="626">
        <v>539</v>
      </c>
      <c r="Z543" s="293">
        <f>+X543+Y543</f>
        <v>823</v>
      </c>
      <c r="AB543" s="626">
        <v>256</v>
      </c>
      <c r="AC543" s="626">
        <v>556</v>
      </c>
      <c r="AD543" s="293">
        <f>+AB543+AC543</f>
        <v>812</v>
      </c>
      <c r="AE543" s="293"/>
      <c r="AF543" s="626">
        <v>482</v>
      </c>
      <c r="AG543" s="626">
        <v>434</v>
      </c>
      <c r="AH543" s="293">
        <f>+AF543+AG543</f>
        <v>916</v>
      </c>
      <c r="AJ543" s="626">
        <v>730</v>
      </c>
      <c r="AK543" s="626">
        <v>733</v>
      </c>
      <c r="AL543" s="293">
        <f>+AJ543+AK543</f>
        <v>1463</v>
      </c>
      <c r="AN543" s="293">
        <f>'P&amp;L'!AN30</f>
        <v>1060</v>
      </c>
      <c r="AO543" s="293">
        <f>'P&amp;L'!AO30</f>
        <v>743</v>
      </c>
      <c r="AP543" s="293">
        <f>'P&amp;L'!AP30</f>
        <v>1803</v>
      </c>
      <c r="AR543" s="293">
        <f>'P&amp;L'!AR30</f>
        <v>603.89224302636603</v>
      </c>
      <c r="AS543" s="293">
        <f>'P&amp;L'!AS30</f>
        <v>266.82766526557134</v>
      </c>
      <c r="AT543" s="293">
        <f>'P&amp;L'!AT30</f>
        <v>870.71990829193737</v>
      </c>
      <c r="AV543" s="293">
        <f>'P&amp;L'!AV30</f>
        <v>479</v>
      </c>
      <c r="AW543" s="293">
        <f>'P&amp;L'!AW30</f>
        <v>571</v>
      </c>
      <c r="AX543" s="293">
        <f>'P&amp;L'!AX30</f>
        <v>1050</v>
      </c>
      <c r="AZ543" s="293">
        <f>'P&amp;L'!AZ30</f>
        <v>403.33370000000014</v>
      </c>
      <c r="BA543" s="293">
        <f>'P&amp;L'!BA30</f>
        <v>553.33336999999983</v>
      </c>
      <c r="BB543" s="293">
        <f>'P&amp;L'!BB30</f>
        <v>956.66706999999997</v>
      </c>
      <c r="BD543" s="293">
        <f>'P&amp;L'!BD30</f>
        <v>304.32956000000013</v>
      </c>
      <c r="BE543" s="293">
        <f>'P&amp;L'!BE30</f>
        <v>426.32420000000025</v>
      </c>
      <c r="BF543" s="293">
        <f>'P&amp;L'!BF30</f>
        <v>730.65376000000037</v>
      </c>
      <c r="BH543" s="293">
        <f>'P&amp;L'!BH30</f>
        <v>361</v>
      </c>
      <c r="BI543" s="293">
        <f>'P&amp;L'!BI30</f>
        <v>490.49</v>
      </c>
      <c r="BJ543" s="293">
        <f>'P&amp;L'!BJ30</f>
        <v>851.49</v>
      </c>
      <c r="BL543" s="293">
        <f>'P&amp;L'!BL30</f>
        <v>501</v>
      </c>
      <c r="BM543" s="293">
        <f>'P&amp;L'!BM30</f>
        <v>766.49</v>
      </c>
      <c r="BN543" s="293">
        <f>'P&amp;L'!BN30</f>
        <v>1267.49</v>
      </c>
      <c r="BP543" s="293">
        <f>'P&amp;L'!BP30</f>
        <v>678</v>
      </c>
      <c r="BQ543" s="293">
        <f>'P&amp;L'!BQ30</f>
        <v>926.49</v>
      </c>
      <c r="BR543" s="293">
        <f>'P&amp;L'!BR30</f>
        <v>1604.49</v>
      </c>
      <c r="BT543" s="293">
        <f>'P&amp;L'!BT30</f>
        <v>1070</v>
      </c>
      <c r="BU543" s="293">
        <f>'P&amp;L'!BU30</f>
        <v>993.49</v>
      </c>
      <c r="BV543" s="293">
        <f>'P&amp;L'!BV30</f>
        <v>2063.4899999999998</v>
      </c>
      <c r="BX543" s="293">
        <f>'P&amp;L'!BX30</f>
        <v>1050</v>
      </c>
      <c r="BY543" s="293">
        <f>'P&amp;L'!BY30</f>
        <v>1167.49</v>
      </c>
      <c r="BZ543" s="293">
        <f>'P&amp;L'!BZ30</f>
        <v>2217.4899999999998</v>
      </c>
      <c r="CB543" s="293">
        <f>'P&amp;L'!CB30</f>
        <v>1248</v>
      </c>
      <c r="CC543" s="293">
        <f>'P&amp;L'!CC30</f>
        <v>1309.49</v>
      </c>
      <c r="CD543" s="293">
        <f>'P&amp;L'!CD30</f>
        <v>2557.4899999999998</v>
      </c>
      <c r="CF543" s="293">
        <f>'P&amp;L'!CF30</f>
        <v>1310</v>
      </c>
      <c r="CG543" s="293">
        <f>'P&amp;L'!CG30</f>
        <v>1672.49</v>
      </c>
      <c r="CH543" s="293">
        <f>'P&amp;L'!CH30</f>
        <v>2982.49</v>
      </c>
      <c r="CJ543" s="293">
        <f>'P&amp;L'!CJ30</f>
        <v>1457</v>
      </c>
      <c r="CK543" s="293">
        <f>'P&amp;L'!CK30</f>
        <v>1274.49</v>
      </c>
      <c r="CL543" s="293">
        <f>'P&amp;L'!CL30</f>
        <v>2731.49</v>
      </c>
      <c r="CN543" s="293">
        <f>'P&amp;L'!CN30</f>
        <v>985</v>
      </c>
      <c r="CO543" s="293">
        <f>'P&amp;L'!CO30</f>
        <v>2030.49</v>
      </c>
      <c r="CP543" s="293">
        <f>'P&amp;L'!CP30</f>
        <v>3015.49</v>
      </c>
      <c r="CR543" s="293">
        <f>'P&amp;L'!CR30</f>
        <v>2043</v>
      </c>
      <c r="CS543" s="293">
        <f>'P&amp;L'!CS30</f>
        <v>2663.49</v>
      </c>
      <c r="CT543" s="293">
        <f>'P&amp;L'!CT30</f>
        <v>4706.49</v>
      </c>
      <c r="CV543" s="293">
        <f>'P&amp;L'!CV30</f>
        <v>2383</v>
      </c>
      <c r="CW543" s="1495">
        <f>'P&amp;L'!CW30</f>
        <v>2799.49</v>
      </c>
      <c r="CX543" s="293">
        <f>'P&amp;L'!CX30</f>
        <v>5182.49</v>
      </c>
      <c r="CZ543" s="293">
        <f>'P&amp;L'!CZ30</f>
        <v>1415</v>
      </c>
      <c r="DA543" s="1490">
        <f>'P&amp;L'!DA30</f>
        <v>2107.4899999999998</v>
      </c>
      <c r="DB543" s="1010">
        <f>'P&amp;L'!DB30</f>
        <v>3522.49</v>
      </c>
      <c r="DC543" s="1009"/>
      <c r="DD543" s="293">
        <f>'P&amp;L'!DD30</f>
        <v>1612</v>
      </c>
      <c r="DE543" s="1490">
        <f ca="1">'P&amp;L'!DE30</f>
        <v>2103.4899999999998</v>
      </c>
      <c r="DF543" s="1010">
        <f ca="1">'P&amp;L'!DF30</f>
        <v>3715.49</v>
      </c>
      <c r="DH543" s="293">
        <f>'P&amp;L'!DH30</f>
        <v>1655</v>
      </c>
      <c r="DI543" s="293">
        <f>'P&amp;L'!DI30</f>
        <v>2517.6901979637678</v>
      </c>
      <c r="DJ543" s="293">
        <f>'P&amp;L'!DJ30</f>
        <v>4172.6901979637678</v>
      </c>
      <c r="DL543" s="293">
        <f>'P&amp;L'!DL30</f>
        <v>1915.8372403143462</v>
      </c>
      <c r="DM543" s="293">
        <f>'P&amp;L'!DM30</f>
        <v>2656.8730472018797</v>
      </c>
      <c r="DN543" s="293">
        <f>'P&amp;L'!DN30</f>
        <v>4572.7102875162254</v>
      </c>
      <c r="DP543" s="293">
        <f>'P&amp;L'!DP30</f>
        <v>2085.2236692333981</v>
      </c>
      <c r="DQ543" s="293">
        <f>'P&amp;L'!DQ30</f>
        <v>2837.5443840796966</v>
      </c>
      <c r="DR543" s="293">
        <f>'P&amp;L'!DR30</f>
        <v>4922.7680533130952</v>
      </c>
      <c r="DU543" s="293"/>
      <c r="DV543" s="293"/>
      <c r="DW543" s="293"/>
    </row>
    <row r="544" spans="1:138" s="289" customFormat="1">
      <c r="A544" s="289" t="s">
        <v>214</v>
      </c>
      <c r="C544" s="290"/>
      <c r="P544" s="806">
        <v>0.20499999999999999</v>
      </c>
      <c r="Q544" s="806">
        <v>0.157</v>
      </c>
      <c r="R544" s="806">
        <v>0.18</v>
      </c>
      <c r="S544" s="290"/>
      <c r="T544" s="806">
        <v>0.23200000000000001</v>
      </c>
      <c r="U544" s="806">
        <v>0.214</v>
      </c>
      <c r="V544" s="806">
        <v>0.223</v>
      </c>
      <c r="W544" s="290"/>
      <c r="X544" s="806">
        <v>0.22600000000000001</v>
      </c>
      <c r="Y544" s="806">
        <v>0.36699999999999999</v>
      </c>
      <c r="Z544" s="806">
        <v>0.30199999999999999</v>
      </c>
      <c r="AA544" s="290"/>
      <c r="AB544" s="806">
        <v>0.20300000000000001</v>
      </c>
      <c r="AC544" s="806">
        <v>0.379</v>
      </c>
      <c r="AD544" s="806">
        <v>0.29799999999999999</v>
      </c>
      <c r="AE544" s="295"/>
      <c r="AF544" s="806">
        <v>0.28799999999999998</v>
      </c>
      <c r="AG544" s="806">
        <v>0.23499999999999999</v>
      </c>
      <c r="AH544" s="806">
        <v>0.26</v>
      </c>
      <c r="AI544" s="290"/>
      <c r="AJ544" s="806">
        <v>0.309</v>
      </c>
      <c r="AK544" s="806">
        <v>0.25800000000000001</v>
      </c>
      <c r="AL544" s="806">
        <v>0.28100000000000003</v>
      </c>
      <c r="AM544" s="290"/>
      <c r="AN544" s="806">
        <v>0.30199999999999999</v>
      </c>
      <c r="AO544" s="806">
        <v>0.18099999999999999</v>
      </c>
      <c r="AP544" s="806">
        <v>0.23699999999999999</v>
      </c>
      <c r="AQ544" s="290"/>
      <c r="AR544" s="734">
        <v>0.13900000000000001</v>
      </c>
      <c r="AS544" s="734">
        <v>0.06</v>
      </c>
      <c r="AT544" s="734">
        <v>9.9000000000000005E-2</v>
      </c>
      <c r="AU544" s="290"/>
      <c r="AV544" s="806">
        <v>9.6000000000000002E-2</v>
      </c>
      <c r="AW544" s="734">
        <v>0.10299999999999999</v>
      </c>
      <c r="AX544" s="734">
        <v>0.1</v>
      </c>
      <c r="AY544" s="290"/>
      <c r="AZ544" s="734">
        <v>7.3999999999999996E-2</v>
      </c>
      <c r="BA544" s="734">
        <v>0.10199999999999999</v>
      </c>
      <c r="BB544" s="734">
        <v>8.7999999999999995E-2</v>
      </c>
      <c r="BC544" s="290"/>
      <c r="BD544" s="734">
        <v>5.7000000000000002E-2</v>
      </c>
      <c r="BE544" s="734">
        <v>7.8E-2</v>
      </c>
      <c r="BF544" s="734">
        <v>6.8000000000000005E-2</v>
      </c>
      <c r="BG544" s="290"/>
      <c r="BH544" s="734">
        <v>6.6000000000000003E-2</v>
      </c>
      <c r="BI544" s="734">
        <v>8.8999999999999996E-2</v>
      </c>
      <c r="BJ544" s="734">
        <v>7.8E-2</v>
      </c>
      <c r="BK544" s="290"/>
      <c r="BL544" s="734">
        <v>8.6999999999999994E-2</v>
      </c>
      <c r="BM544" s="734">
        <v>0.13500000000000001</v>
      </c>
      <c r="BN544" s="734">
        <v>0.111</v>
      </c>
      <c r="BO544" s="649"/>
      <c r="BP544" s="734">
        <v>0.125</v>
      </c>
      <c r="BQ544" s="734">
        <v>0.154</v>
      </c>
      <c r="BR544" s="734">
        <v>0.14000000000000001</v>
      </c>
      <c r="BS544" s="649"/>
      <c r="BT544" s="734">
        <v>0.158</v>
      </c>
      <c r="BU544" s="734">
        <v>0.13700000000000001</v>
      </c>
      <c r="BV544" s="734">
        <v>0.14699999999999999</v>
      </c>
      <c r="BW544" s="290"/>
      <c r="BX544" s="734">
        <v>0.14599999999999999</v>
      </c>
      <c r="BY544" s="734">
        <v>0.158</v>
      </c>
      <c r="BZ544" s="734">
        <v>0.152</v>
      </c>
      <c r="CA544" s="290"/>
      <c r="CB544" s="734">
        <v>0.16700000000000001</v>
      </c>
      <c r="CC544" s="734">
        <v>0.16900000000000001</v>
      </c>
      <c r="CD544" s="734">
        <v>0.16800000000000001</v>
      </c>
      <c r="CE544" s="290"/>
      <c r="CF544" s="734">
        <v>0.16300000000000001</v>
      </c>
      <c r="CG544" s="734">
        <v>0.19500000000000001</v>
      </c>
      <c r="CH544" s="734">
        <v>0.18</v>
      </c>
      <c r="CI544" s="290"/>
      <c r="CJ544" s="734">
        <v>0.16400000000000001</v>
      </c>
      <c r="CK544" s="1462">
        <v>0.127</v>
      </c>
      <c r="CL544" s="1462">
        <v>0.14499999999999999</v>
      </c>
      <c r="CM544" s="1424"/>
      <c r="CN544" s="1462">
        <v>9.5000000000000001E-2</v>
      </c>
      <c r="CO544" s="1462">
        <v>0.19</v>
      </c>
      <c r="CP544" s="1462">
        <v>0.14299999999999999</v>
      </c>
      <c r="CQ544" s="1424"/>
      <c r="CR544" s="1462">
        <v>0.17799999999999999</v>
      </c>
      <c r="CS544" s="1462">
        <v>0.19600000000000001</v>
      </c>
      <c r="CT544" s="1462">
        <v>0.187</v>
      </c>
      <c r="CU544" s="290"/>
      <c r="CV544" s="1462">
        <v>0.156</v>
      </c>
      <c r="CW544" s="734">
        <v>0.18099999999999999</v>
      </c>
      <c r="CX544" s="734">
        <v>0.16900000000000001</v>
      </c>
      <c r="CY544" s="290"/>
      <c r="CZ544" s="1462">
        <v>8.6999999999999994E-2</v>
      </c>
      <c r="DA544" s="1462">
        <v>0.129</v>
      </c>
      <c r="DB544" s="1462">
        <v>0.108</v>
      </c>
      <c r="DC544" s="1424"/>
      <c r="DD544" s="1462">
        <v>9.9000000000000005E-2</v>
      </c>
      <c r="DE544" s="734">
        <v>0.125</v>
      </c>
      <c r="DF544" s="2189">
        <v>0.112</v>
      </c>
      <c r="DG544" s="290"/>
      <c r="DH544" s="1462">
        <v>9.6000000000000002E-2</v>
      </c>
      <c r="DI544" s="649">
        <f ca="1">+DI543*2/DI541</f>
        <v>0.14463138766182976</v>
      </c>
      <c r="DJ544" s="649">
        <f ca="1">+DJ543/DJ541</f>
        <v>0.12043363282491794</v>
      </c>
      <c r="DK544" s="290"/>
      <c r="DL544" s="649">
        <f ca="1">+DL543*2/DL541</f>
        <v>0.10719389126755265</v>
      </c>
      <c r="DM544" s="649">
        <f ca="1">+DM543*2/DM541</f>
        <v>0.14232913722316304</v>
      </c>
      <c r="DN544" s="649">
        <f ca="1">+DN543/DN541</f>
        <v>0.12514348111403092</v>
      </c>
      <c r="DO544" s="290"/>
      <c r="DP544" s="649">
        <f ca="1">+DP543*2/DP541</f>
        <v>0.10700634888050167</v>
      </c>
      <c r="DQ544" s="649">
        <f ca="1">+DQ543*2/DQ541</f>
        <v>0.13939326947930517</v>
      </c>
      <c r="DR544" s="649">
        <f ca="1">+DR543/DR541</f>
        <v>0.12355319033990177</v>
      </c>
      <c r="DS544" s="290"/>
      <c r="DT544" s="290"/>
      <c r="DU544" s="1124"/>
      <c r="DV544" s="1124"/>
      <c r="DW544" s="1124"/>
      <c r="DX544" s="290"/>
      <c r="EH544"/>
    </row>
    <row r="545" spans="1:138">
      <c r="A545" s="102" t="s">
        <v>771</v>
      </c>
      <c r="P545" s="293"/>
      <c r="Q545" s="293"/>
      <c r="R545" s="293"/>
      <c r="T545" s="293"/>
      <c r="U545" s="293"/>
      <c r="V545" s="293"/>
      <c r="X545" s="293"/>
      <c r="Y545" s="293"/>
      <c r="Z545" s="293"/>
      <c r="AB545" s="293"/>
      <c r="AC545" s="293"/>
      <c r="AD545" s="293"/>
      <c r="AE545" s="293"/>
      <c r="AF545" s="293"/>
      <c r="AG545" s="293"/>
      <c r="AH545" s="293"/>
      <c r="AJ545" s="293"/>
      <c r="AK545" s="293"/>
      <c r="AL545" s="293"/>
      <c r="AN545" s="293">
        <f>'P&amp;L'!AN32</f>
        <v>1060</v>
      </c>
      <c r="AO545" s="293">
        <f>'P&amp;L'!AO32</f>
        <v>743</v>
      </c>
      <c r="AP545" s="293">
        <f>'P&amp;L'!AP32</f>
        <v>1803</v>
      </c>
      <c r="AR545" s="293">
        <f>'P&amp;L'!AR32</f>
        <v>603.89224302636603</v>
      </c>
      <c r="AS545" s="293">
        <f>'P&amp;L'!AS32</f>
        <v>266.82766526557134</v>
      </c>
      <c r="AT545" s="293">
        <f>'P&amp;L'!AT32</f>
        <v>870.71990829193737</v>
      </c>
      <c r="AV545" s="293">
        <f>'P&amp;L'!AV32</f>
        <v>479</v>
      </c>
      <c r="AW545" s="293">
        <f>'P&amp;L'!AW32</f>
        <v>571</v>
      </c>
      <c r="AX545" s="293">
        <f>'P&amp;L'!AX32</f>
        <v>1050</v>
      </c>
      <c r="AZ545" s="293">
        <f>'P&amp;L'!AZ32</f>
        <v>403.33370000000014</v>
      </c>
      <c r="BA545" s="293">
        <f>'P&amp;L'!BA32</f>
        <v>553.33336999999983</v>
      </c>
      <c r="BB545" s="293">
        <f>'P&amp;L'!BB32</f>
        <v>956.66706999999997</v>
      </c>
      <c r="BD545" s="293">
        <f>'P&amp;L'!BD32</f>
        <v>304.32956000000013</v>
      </c>
      <c r="BE545" s="293">
        <f>'P&amp;L'!BE32</f>
        <v>426.32420000000025</v>
      </c>
      <c r="BF545" s="293">
        <f>'P&amp;L'!BF32</f>
        <v>730.65376000000037</v>
      </c>
      <c r="BH545" s="293">
        <f>'P&amp;L'!BH32</f>
        <v>361</v>
      </c>
      <c r="BI545" s="293">
        <f>'P&amp;L'!BI32</f>
        <v>490.49</v>
      </c>
      <c r="BJ545" s="293">
        <f>'P&amp;L'!BJ32</f>
        <v>851.49</v>
      </c>
      <c r="BL545" s="293">
        <f>'P&amp;L'!BL32</f>
        <v>501</v>
      </c>
      <c r="BM545" s="293">
        <f>'P&amp;L'!BM32</f>
        <v>766.49</v>
      </c>
      <c r="BN545" s="293">
        <f>'P&amp;L'!BN32</f>
        <v>1267.49</v>
      </c>
      <c r="BP545" s="293">
        <f>'P&amp;L'!BP32</f>
        <v>678</v>
      </c>
      <c r="BQ545" s="293">
        <f>'P&amp;L'!BQ32</f>
        <v>926.49</v>
      </c>
      <c r="BR545" s="293">
        <f>'P&amp;L'!BR32</f>
        <v>1604.49</v>
      </c>
      <c r="BT545" s="293">
        <f>'P&amp;L'!BT32</f>
        <v>1070</v>
      </c>
      <c r="BU545" s="293">
        <f>'P&amp;L'!BU32</f>
        <v>993.49</v>
      </c>
      <c r="BV545" s="293">
        <f>'P&amp;L'!BV32</f>
        <v>2063.4899999999998</v>
      </c>
      <c r="BX545" s="293">
        <f>'P&amp;L'!BX32</f>
        <v>1050</v>
      </c>
      <c r="BY545" s="293">
        <f>'P&amp;L'!BY32</f>
        <v>1167.49</v>
      </c>
      <c r="BZ545" s="293">
        <f>'P&amp;L'!BZ32</f>
        <v>2217.4899999999998</v>
      </c>
      <c r="CB545" s="293">
        <f>'P&amp;L'!CB32</f>
        <v>1248</v>
      </c>
      <c r="CC545" s="293">
        <f>'P&amp;L'!CC32</f>
        <v>1309.49</v>
      </c>
      <c r="CD545" s="293">
        <f>'P&amp;L'!CD32</f>
        <v>2557.4899999999998</v>
      </c>
      <c r="CF545" s="293">
        <f>'P&amp;L'!CF32</f>
        <v>1310</v>
      </c>
      <c r="CG545" s="293">
        <f>'P&amp;L'!CG32</f>
        <v>1672.49</v>
      </c>
      <c r="CH545" s="293">
        <f>'P&amp;L'!CH32</f>
        <v>2982.49</v>
      </c>
      <c r="CJ545" s="293">
        <f>'P&amp;L'!CJ32</f>
        <v>1457</v>
      </c>
      <c r="CK545" s="293">
        <f>'P&amp;L'!CK32</f>
        <v>1274.49</v>
      </c>
      <c r="CL545" s="293">
        <f>'P&amp;L'!CL32</f>
        <v>2731.49</v>
      </c>
      <c r="CN545" s="293">
        <f>'P&amp;L'!CN32</f>
        <v>985</v>
      </c>
      <c r="CO545" s="293">
        <f>'P&amp;L'!CO32</f>
        <v>2030.49</v>
      </c>
      <c r="CP545" s="293">
        <f>'P&amp;L'!CP32</f>
        <v>3015.49</v>
      </c>
      <c r="CR545" s="293">
        <f>'P&amp;L'!CR32</f>
        <v>2043</v>
      </c>
      <c r="CS545" s="293">
        <f>'P&amp;L'!CS32</f>
        <v>2663.49</v>
      </c>
      <c r="CT545" s="293">
        <f>'P&amp;L'!CT32</f>
        <v>4706.49</v>
      </c>
      <c r="CV545" s="293">
        <f>'P&amp;L'!CV32</f>
        <v>2383</v>
      </c>
      <c r="CW545" s="1495">
        <f>'P&amp;L'!CW32</f>
        <v>2799.49</v>
      </c>
      <c r="CX545" s="293">
        <f>'P&amp;L'!CX32</f>
        <v>5182.49</v>
      </c>
      <c r="CZ545" s="293">
        <f>'P&amp;L'!CZ32</f>
        <v>1415</v>
      </c>
      <c r="DA545" s="1490">
        <f>'P&amp;L'!DA32</f>
        <v>2107.4899999999998</v>
      </c>
      <c r="DB545" s="1010">
        <f>'P&amp;L'!DB32</f>
        <v>3522.49</v>
      </c>
      <c r="DC545" s="1009"/>
      <c r="DD545" s="293">
        <f>'P&amp;L'!DD32</f>
        <v>1612</v>
      </c>
      <c r="DE545" s="1490">
        <f ca="1">'P&amp;L'!DE32</f>
        <v>2103.4899999999998</v>
      </c>
      <c r="DF545" s="1010">
        <f ca="1">'P&amp;L'!DF32</f>
        <v>3715.49</v>
      </c>
      <c r="DH545" s="293">
        <f>'P&amp;L'!DH32</f>
        <v>1655</v>
      </c>
      <c r="DI545" s="293">
        <f>'P&amp;L'!DI32</f>
        <v>2517.6901979637678</v>
      </c>
      <c r="DJ545" s="293">
        <f>'P&amp;L'!DJ32</f>
        <v>4172.6901979637678</v>
      </c>
      <c r="DL545" s="293">
        <f>'P&amp;L'!DL32</f>
        <v>1915.8372403143462</v>
      </c>
      <c r="DM545" s="293">
        <f>'P&amp;L'!DM32</f>
        <v>2656.8730472018797</v>
      </c>
      <c r="DN545" s="293">
        <f>'P&amp;L'!DN32</f>
        <v>4572.7102875162254</v>
      </c>
      <c r="DP545" s="293">
        <f>'P&amp;L'!DP32</f>
        <v>2085.2236692333981</v>
      </c>
      <c r="DQ545" s="293">
        <f>'P&amp;L'!DQ32</f>
        <v>2837.5443840796966</v>
      </c>
      <c r="DR545" s="293">
        <f>'P&amp;L'!DR32</f>
        <v>4922.7680533130952</v>
      </c>
      <c r="DU545" s="293"/>
      <c r="DV545" s="293"/>
      <c r="DW545" s="293"/>
    </row>
    <row r="546" spans="1:138">
      <c r="A546" s="289" t="s">
        <v>218</v>
      </c>
      <c r="P546" s="807"/>
      <c r="Q546" s="807"/>
      <c r="R546" s="807"/>
      <c r="T546" s="807"/>
      <c r="U546" s="807"/>
      <c r="V546" s="807"/>
      <c r="X546" s="807"/>
      <c r="Y546" s="807"/>
      <c r="Z546" s="807"/>
      <c r="AB546" s="807"/>
      <c r="AC546" s="807"/>
      <c r="AD546" s="807"/>
      <c r="AE546" s="293"/>
      <c r="AF546" s="807"/>
      <c r="AG546" s="807"/>
      <c r="AH546" s="807"/>
      <c r="AI546" s="290"/>
      <c r="AJ546" s="808"/>
      <c r="AK546" s="808"/>
      <c r="AL546" s="808"/>
      <c r="AM546" s="290"/>
      <c r="AN546" s="808">
        <f>+AN545*(AN$2/AN$1)/AN537</f>
        <v>1.467905153939629E-2</v>
      </c>
      <c r="AO546" s="808">
        <f>+AO545*(AO$2/AO$1)/AO537</f>
        <v>9.2959825841079993E-3</v>
      </c>
      <c r="AP546" s="808">
        <f>+AP545*(AP$2/AP$1)/AP537</f>
        <v>1.1851024147365481E-2</v>
      </c>
      <c r="AQ546" s="290"/>
      <c r="AR546" s="808">
        <f>+AR545*(AR$2/AR$1)/AR537</f>
        <v>7.2174401963203136E-3</v>
      </c>
      <c r="AS546" s="808">
        <f>+AS545*(AS$2/AS$1)/AS537</f>
        <v>3.371388061312612E-3</v>
      </c>
      <c r="AT546" s="808">
        <f>+AT545*(AT$2/AT$1)/AT537</f>
        <v>5.3478767952285858E-3</v>
      </c>
      <c r="AV546" s="808">
        <f>+AV545*(AV$2/AV$1)/AV537</f>
        <v>6.4713332770412902E-3</v>
      </c>
      <c r="AW546" s="808">
        <f>+AW545*(AW$2/AW$1)/AW537</f>
        <v>7.7986553806966208E-3</v>
      </c>
      <c r="AX546" s="808">
        <f>+AX545*(AX$2/AX$1)/AX537</f>
        <v>7.13138386201791E-3</v>
      </c>
      <c r="AZ546" s="808">
        <f>+AZ545*(AZ$2/AZ$1)/AZ537</f>
        <v>5.3070223684210547E-3</v>
      </c>
      <c r="BA546" s="808">
        <f>+BA545*(BA$2/BA$1)/BA537</f>
        <v>7.0124750655835332E-3</v>
      </c>
      <c r="BB546" s="808">
        <f>+BB545*(BB$2/BB$1)/BB537</f>
        <v>6.1757510635413503E-3</v>
      </c>
      <c r="BD546" s="808">
        <f>+BD545*(BD$2/BD$1)/BD537</f>
        <v>3.6637961090243685E-3</v>
      </c>
      <c r="BE546" s="808">
        <f>+BE545*(BE$2/BE$1)/BE537</f>
        <v>5.1941032060771122E-3</v>
      </c>
      <c r="BF546" s="808">
        <f>+BF545*(BF$2/BF$1)/BF537</f>
        <v>4.4243835475422768E-3</v>
      </c>
      <c r="BH546" s="808">
        <f>+BH545*(BH$2/BH$1)/BH537</f>
        <v>4.7219479016108248E-3</v>
      </c>
      <c r="BI546" s="808">
        <f>+BI545*(BI$2/BI$1)/BI537</f>
        <v>6.6075277508352197E-3</v>
      </c>
      <c r="BJ546" s="808">
        <f>+BJ545*(BJ$2/BJ$1)/BJ537</f>
        <v>5.6508509558113526E-3</v>
      </c>
      <c r="BL546" s="808">
        <f>+BL545*(BL$2/BL$1)/BL537</f>
        <v>6.6945494875529487E-3</v>
      </c>
      <c r="BM546" s="808">
        <f>+BM545*(BM$2/BM$1)/BM537</f>
        <v>9.9381531519850633E-3</v>
      </c>
      <c r="BN546" s="808">
        <f>+BN545*(BN$2/BN$1)/BN537</f>
        <v>8.340780321525635E-3</v>
      </c>
      <c r="BP546" s="808">
        <f>+BP545*(BP$2/BP$1)/BP537</f>
        <v>8.5758737145676008E-3</v>
      </c>
      <c r="BQ546" s="808">
        <f>+BQ545*(BQ$2/BQ$1)/BQ537</f>
        <v>1.0579147493063247E-2</v>
      </c>
      <c r="BR546" s="808">
        <f>+BR545*(BR$2/BR$1)/BR537</f>
        <v>9.628711682949662E-3</v>
      </c>
      <c r="BT546" s="808">
        <f>+BT545*(BT$2/BT$1)/BT537</f>
        <v>1.0779064437650164E-2</v>
      </c>
      <c r="BU546" s="808">
        <f>+BU545*(BU$2/BU$1)/BU537</f>
        <v>9.7918170730204885E-3</v>
      </c>
      <c r="BV546" s="808">
        <f>+BV545*(BV$2/BV$1)/BV537</f>
        <v>1.0280043491744413E-2</v>
      </c>
      <c r="BX546" s="808">
        <f>+BX545*(BX$2/BX$1)/BX537</f>
        <v>1.0773429644374218E-2</v>
      </c>
      <c r="BY546" s="808">
        <f>+BY545*(BY$2/BY$1)/BY537</f>
        <v>1.2421097427986276E-2</v>
      </c>
      <c r="BZ546" s="808">
        <f>+BZ545*(BZ$2/BZ$1)/BZ537</f>
        <v>1.1582334183840023E-2</v>
      </c>
      <c r="CB546" s="808">
        <f>+CB545*(CB$2/CB$1)/CB537</f>
        <v>1.3396415278139315E-2</v>
      </c>
      <c r="CC546" s="808">
        <f>+CC545*(CC$2/CC$1)/CC537</f>
        <v>1.3744860070587927E-2</v>
      </c>
      <c r="CD546" s="808">
        <f>+CD545*(CD$2/CD$1)/CD537</f>
        <v>1.3572590424586252E-2</v>
      </c>
      <c r="CF546" s="808">
        <f>+CF545*(CF$2/CF$1)/CF537</f>
        <v>1.3201552946037393E-2</v>
      </c>
      <c r="CG546" s="808">
        <f>+CG545*(CG$2/CG$1)/CG537</f>
        <v>1.6365673467390773E-2</v>
      </c>
      <c r="CH546" s="808">
        <f>+CH545*(CH$2/CH$1)/CH537</f>
        <v>1.480689534481068E-2</v>
      </c>
      <c r="CJ546" s="808">
        <f>+CJ545*(CJ$2/CJ$1)/CJ537</f>
        <v>1.3788306437303189E-2</v>
      </c>
      <c r="CK546" s="808">
        <f>+CK545*(CK$2/CK$1)/CK537</f>
        <v>1.0725840895271798E-2</v>
      </c>
      <c r="CL546" s="808">
        <f>+CL545*(CL$2/CL$1)/CL537</f>
        <v>1.2167345602433922E-2</v>
      </c>
      <c r="CN546" s="808">
        <f>+CN545*(CN$2/CN$1)/CN537</f>
        <v>8.0980480415672393E-3</v>
      </c>
      <c r="CO546" s="808">
        <f>+CO545*(CO$2/CO$1)/CO537</f>
        <v>1.7049044056525353E-2</v>
      </c>
      <c r="CP546" s="808">
        <f>+CP545*(CP$2/CP$1)/CP537</f>
        <v>1.2526375366721187E-2</v>
      </c>
      <c r="CR546" s="808">
        <f>+CR545*(CR$2/CR$1)/CR537</f>
        <v>1.3752482245632931E-2</v>
      </c>
      <c r="CS546" s="808">
        <f>+CS545*(CS$2/CS$1)/CS537</f>
        <v>1.4248157455168419E-2</v>
      </c>
      <c r="CT546" s="808">
        <f>+CT545*(CT$2/CT$1)/CT537</f>
        <v>1.4028672921682639E-2</v>
      </c>
      <c r="CV546" s="808">
        <f>+CV545*(CV$2/CV$1)/CV537</f>
        <v>1.0761501552356759E-2</v>
      </c>
      <c r="CW546" s="808">
        <f>+CW545*(CW$2/CW$1)/CW537</f>
        <v>1.2805776457322693E-2</v>
      </c>
      <c r="CX546" s="808">
        <f>+CX545*(CX$2/CX$1)/CX537</f>
        <v>1.177707482575804E-2</v>
      </c>
      <c r="CZ546" s="808">
        <f>+CZ545*(CZ$2/CZ$1)/CZ537</f>
        <v>7.2335411378896975E-3</v>
      </c>
      <c r="DA546" s="2030">
        <f>+DA545*(DA$2/DA$1)/DA537</f>
        <v>1.0563886125027882E-2</v>
      </c>
      <c r="DB546" s="2030">
        <f>+DB545*(DB$2/DB$1)/DB537</f>
        <v>8.9150781036455105E-3</v>
      </c>
      <c r="DC546" s="1009"/>
      <c r="DD546" s="808">
        <f>+DD545*(DD$2/DD$1)/DD537</f>
        <v>7.8853493681814903E-3</v>
      </c>
      <c r="DE546" s="2030">
        <f ca="1">+DE545*(DE$2/DE$1)/DE537</f>
        <v>9.7889559017888712E-3</v>
      </c>
      <c r="DF546" s="2030">
        <f ca="1">+DF545*(DF$2/DF$1)/DF537</f>
        <v>8.8608828114985494E-3</v>
      </c>
      <c r="DH546" s="808">
        <f>+DH545*(DH$2/DH$1)/DH537</f>
        <v>7.1225914182456692E-3</v>
      </c>
      <c r="DI546" s="808">
        <f>+DI545*(DI$2/DI$1)/DI537</f>
        <v>1.0035436711911943E-2</v>
      </c>
      <c r="DJ546" s="808">
        <f>+DJ545*(DJ$2/DJ$1)/DJ537</f>
        <v>8.634833241196618E-3</v>
      </c>
      <c r="DL546" s="808">
        <f>+DL545*(DL$2/DL$1)/DL537</f>
        <v>7.1920867596791402E-3</v>
      </c>
      <c r="DM546" s="808">
        <f>+DM545*(DM$2/DM$1)/DM537</f>
        <v>9.5299968929051654E-3</v>
      </c>
      <c r="DN546" s="808">
        <f>+DN545*(DN$2/DN$1)/DN537</f>
        <v>8.3876497340392622E-3</v>
      </c>
      <c r="DP546" s="808">
        <f>+DP545*(DP$2/DP$1)/DP537</f>
        <v>7.1800619557764664E-3</v>
      </c>
      <c r="DQ546" s="808">
        <f>+DQ545*(DQ$2/DQ$1)/DQ537</f>
        <v>9.3773077847718912E-3</v>
      </c>
      <c r="DR546" s="808">
        <f>+DR545*(DR$2/DR$1)/DR537</f>
        <v>8.3012464272328272E-3</v>
      </c>
      <c r="DU546" s="1123"/>
      <c r="DV546" s="1123"/>
      <c r="DW546" s="1123"/>
    </row>
    <row r="547" spans="1:138">
      <c r="A547" s="289" t="s">
        <v>215</v>
      </c>
      <c r="P547" s="649"/>
      <c r="Q547" s="649"/>
      <c r="R547" s="649"/>
      <c r="T547" s="649"/>
      <c r="U547" s="649"/>
      <c r="V547" s="649"/>
      <c r="X547" s="649"/>
      <c r="Y547" s="649"/>
      <c r="Z547" s="649"/>
      <c r="AB547" s="649"/>
      <c r="AC547" s="649"/>
      <c r="AD547" s="649"/>
      <c r="AE547" s="293"/>
      <c r="AF547" s="649"/>
      <c r="AG547" s="649"/>
      <c r="AH547" s="649"/>
      <c r="AI547" s="290"/>
      <c r="AJ547" s="744"/>
      <c r="AK547" s="744"/>
      <c r="AL547" s="744"/>
      <c r="AM547" s="290"/>
      <c r="AN547" s="744">
        <f>+AN545*(AN$2/AN$1)/AN541</f>
        <v>0.30199999999999999</v>
      </c>
      <c r="AO547" s="744">
        <f>+AO545*(AO$2/AO$1)/AO541</f>
        <v>0.18099999999999999</v>
      </c>
      <c r="AP547" s="744">
        <f>+AP545*(AP$2/AP$1)/AP541</f>
        <v>0.23699999999999999</v>
      </c>
      <c r="AQ547" s="290"/>
      <c r="AR547" s="744">
        <f>+AR545*(AR$2/AR$1)/AR541</f>
        <v>0.13899999999999998</v>
      </c>
      <c r="AS547" s="744">
        <f>+AS545*(AS$2/AS$1)/AS541</f>
        <v>0.06</v>
      </c>
      <c r="AT547" s="744">
        <f>+AT545*(AT$2/AT$1)/AT541</f>
        <v>9.9000000000000005E-2</v>
      </c>
      <c r="AV547" s="744">
        <f>+AV545*(AV$2/AV$1)/AV541</f>
        <v>9.6000000000000002E-2</v>
      </c>
      <c r="AW547" s="744">
        <f>+AW545*(AW$2/AW$1)/AW541</f>
        <v>0.10299999999999999</v>
      </c>
      <c r="AX547" s="744">
        <f>+AX545*(AX$2/AX$1)/AX541</f>
        <v>0.1</v>
      </c>
      <c r="AZ547" s="744">
        <f>+AZ545*(AZ$2/AZ$1)/AZ541</f>
        <v>7.3999999999999996E-2</v>
      </c>
      <c r="BA547" s="744">
        <f>+BA545*(BA$2/BA$1)/BA541</f>
        <v>0.10199999999999999</v>
      </c>
      <c r="BB547" s="744">
        <f>+BB545*(BB$2/BB$1)/BB541</f>
        <v>8.7999999999999995E-2</v>
      </c>
      <c r="BD547" s="744">
        <f>+BD545*(BD$2/BD$1)/BD541</f>
        <v>5.7000000000000002E-2</v>
      </c>
      <c r="BE547" s="744">
        <f>+BE545*(BE$2/BE$1)/BE541</f>
        <v>7.8E-2</v>
      </c>
      <c r="BF547" s="744">
        <f>+BF545*(BF$2/BF$1)/BF541</f>
        <v>6.8000000000000005E-2</v>
      </c>
      <c r="BH547" s="744">
        <f>+BH545*(BH$2/BH$1)/BH541</f>
        <v>6.6000000000000003E-2</v>
      </c>
      <c r="BI547" s="744">
        <f>+BI545*(BI$2/BI$1)/BI541</f>
        <v>8.8999999999999996E-2</v>
      </c>
      <c r="BJ547" s="744">
        <f>+BJ545*(BJ$2/BJ$1)/BJ541</f>
        <v>7.8E-2</v>
      </c>
      <c r="BL547" s="744">
        <f>+BL545*(BL$2/BL$1)/BL541</f>
        <v>8.6999999999999994E-2</v>
      </c>
      <c r="BM547" s="744">
        <f>+BM545*(BM$2/BM$1)/BM541</f>
        <v>0.13500000000000001</v>
      </c>
      <c r="BN547" s="744">
        <f>+BN545*(BN$2/BN$1)/BN541</f>
        <v>0.11099999999999999</v>
      </c>
      <c r="BP547" s="744">
        <f>+BP545*(BP$2/BP$1)/BP541</f>
        <v>0.125</v>
      </c>
      <c r="BQ547" s="744">
        <f>+BQ545*(BQ$2/BQ$1)/BQ541</f>
        <v>0.154</v>
      </c>
      <c r="BR547" s="744">
        <f>+BR545*(BR$2/BR$1)/BR541</f>
        <v>0.14000000000000001</v>
      </c>
      <c r="BT547" s="744">
        <f>+BT545*(BT$2/BT$1)/BT541</f>
        <v>0.158</v>
      </c>
      <c r="BU547" s="744">
        <f>+BU545*(BU$2/BU$1)/BU541</f>
        <v>0.13700000000000001</v>
      </c>
      <c r="BV547" s="744">
        <f>+BV545*(BV$2/BV$1)/BV541</f>
        <v>0.14699999999999999</v>
      </c>
      <c r="BX547" s="744">
        <f>+BX545*(BX$2/BX$1)/BX541</f>
        <v>0.14599999999999999</v>
      </c>
      <c r="BY547" s="744">
        <f>+BY545*(BY$2/BY$1)/BY541</f>
        <v>0.158</v>
      </c>
      <c r="BZ547" s="744">
        <f>+BZ545*(BZ$2/BZ$1)/BZ541</f>
        <v>0.152</v>
      </c>
      <c r="CB547" s="744">
        <f>+CB545*(CB$2/CB$1)/CB541</f>
        <v>0.16700000000000001</v>
      </c>
      <c r="CC547" s="744">
        <f>+CC545*(CC$2/CC$1)/CC541</f>
        <v>0.16900000000000001</v>
      </c>
      <c r="CD547" s="744">
        <f>+CD545*(CD$2/CD$1)/CD541</f>
        <v>0.16800000000000001</v>
      </c>
      <c r="CF547" s="744">
        <f>+CF545*(CF$2/CF$1)/CF541</f>
        <v>0.16300000000000001</v>
      </c>
      <c r="CG547" s="744">
        <f>+CG545*(CG$2/CG$1)/CG541</f>
        <v>0.19500000000000001</v>
      </c>
      <c r="CH547" s="744">
        <f>+CH545*(CH$2/CH$1)/CH541</f>
        <v>0.18000000000000002</v>
      </c>
      <c r="CJ547" s="744">
        <f>+CJ545*(CJ$2/CJ$1)/CJ541</f>
        <v>0.16400000000000001</v>
      </c>
      <c r="CK547" s="744">
        <f>+CK545*(CK$2/CK$1)/CK541</f>
        <v>0.127</v>
      </c>
      <c r="CL547" s="744">
        <f>+CL545*(CL$2/CL$1)/CL541</f>
        <v>0.14499999999999999</v>
      </c>
      <c r="CN547" s="744">
        <f>+CN545*(CN$2/CN$1)/CN541</f>
        <v>9.5000000000000001E-2</v>
      </c>
      <c r="CO547" s="744">
        <f>+CO545*(CO$2/CO$1)/CO541</f>
        <v>0.19</v>
      </c>
      <c r="CP547" s="744">
        <f>+CP545*(CP$2/CP$1)/CP541</f>
        <v>0.14299999999999999</v>
      </c>
      <c r="CR547" s="744">
        <f>+CR545*(CR$2/CR$1)/CR541</f>
        <v>0.17799999999999999</v>
      </c>
      <c r="CS547" s="744">
        <f>+CS545*(CS$2/CS$1)/CS541</f>
        <v>0.19600000000000001</v>
      </c>
      <c r="CT547" s="744">
        <f>+CT545*(CT$2/CT$1)/CT541</f>
        <v>0.187</v>
      </c>
      <c r="CV547" s="744">
        <f>+CV545*(CV$2/CV$1)/CV541</f>
        <v>0.156</v>
      </c>
      <c r="CW547" s="744">
        <f>+CW545*(CW$2/CW$1)/CW541</f>
        <v>0.18099999999999999</v>
      </c>
      <c r="CX547" s="744">
        <f>+CX545*(CX$2/CX$1)/CX541</f>
        <v>0.16900000000000001</v>
      </c>
      <c r="CZ547" s="744">
        <f>+CZ545*(CZ$2/CZ$1)/CZ541</f>
        <v>8.6999999999999994E-2</v>
      </c>
      <c r="DA547" s="744">
        <f>+DA545*(DA$2/DA$1)/DA541</f>
        <v>0.129</v>
      </c>
      <c r="DB547" s="744">
        <f>+DB545*(DB$2/DB$1)/DB541</f>
        <v>0.108</v>
      </c>
      <c r="DD547" s="744">
        <f>+DD545*(DD$2/DD$1)/DD541</f>
        <v>9.9000000000000005E-2</v>
      </c>
      <c r="DE547" s="744">
        <f ca="1">+DE545*(DE$2/DE$1)/DE541</f>
        <v>0.125</v>
      </c>
      <c r="DF547" s="744">
        <f ca="1">+DF545*(DF$2/DF$1)/DF541</f>
        <v>0.112</v>
      </c>
      <c r="DH547" s="744">
        <f>+DH545*(DH$2/DH$1)/DH541</f>
        <v>9.6000000000000002E-2</v>
      </c>
      <c r="DI547" s="744">
        <f ca="1">+DI545*(DI$2/DI$1)/DI541</f>
        <v>0.14463138766182976</v>
      </c>
      <c r="DJ547" s="744">
        <f ca="1">+DJ545*(DJ$2/DJ$1)/DJ541</f>
        <v>0.12043363282491794</v>
      </c>
      <c r="DL547" s="744">
        <f ca="1">+DL545*(DL$2/DL$1)/DL541</f>
        <v>0.10719389126755265</v>
      </c>
      <c r="DM547" s="744">
        <f ca="1">+DM545*(DM$2/DM$1)/DM541</f>
        <v>0.14232913722316304</v>
      </c>
      <c r="DN547" s="744">
        <f ca="1">+DN545*(DN$2/DN$1)/DN541</f>
        <v>0.12514348111403092</v>
      </c>
      <c r="DP547" s="744">
        <f ca="1">+DP545*(DP$2/DP$1)/DP541</f>
        <v>0.10700634888050167</v>
      </c>
      <c r="DQ547" s="744">
        <f ca="1">+DQ545*(DQ$2/DQ$1)/DQ541</f>
        <v>0.13939326947930517</v>
      </c>
      <c r="DR547" s="744">
        <f ca="1">+DR545*(DR$2/DR$1)/DR541</f>
        <v>0.12355319033990177</v>
      </c>
      <c r="DU547" s="1124"/>
      <c r="DV547" s="1124"/>
      <c r="DW547" s="1124"/>
    </row>
    <row r="548" spans="1:138">
      <c r="A548" s="289" t="s">
        <v>554</v>
      </c>
      <c r="X548" s="293"/>
      <c r="Y548" s="293"/>
      <c r="Z548" s="293"/>
      <c r="AB548" s="293"/>
      <c r="AC548" s="293"/>
      <c r="AD548" s="293"/>
      <c r="AE548" s="293"/>
      <c r="AF548" s="293"/>
      <c r="AG548" s="293"/>
      <c r="AH548" s="320"/>
      <c r="AJ548" s="293"/>
      <c r="AK548" s="293"/>
      <c r="AL548" s="293"/>
      <c r="AN548" s="293"/>
      <c r="AO548" s="293"/>
      <c r="AP548" s="293"/>
      <c r="AR548" s="293"/>
      <c r="AS548" s="293"/>
      <c r="AT548" s="293"/>
      <c r="AV548" s="293"/>
      <c r="AX548" s="376"/>
      <c r="AZ548" s="293"/>
      <c r="BB548" s="376"/>
      <c r="BD548" s="700"/>
      <c r="BF548" s="376"/>
      <c r="BH548" s="700"/>
      <c r="BJ548" s="376"/>
      <c r="BL548" s="700"/>
      <c r="BN548" s="376"/>
      <c r="BP548" s="700"/>
      <c r="BR548" s="376"/>
      <c r="BT548" s="700"/>
      <c r="BV548" s="376"/>
      <c r="BX548" s="700"/>
      <c r="BZ548" s="376"/>
      <c r="CB548" s="700"/>
      <c r="CD548" s="376"/>
      <c r="CF548" s="700"/>
      <c r="CH548" s="376"/>
      <c r="CJ548" s="360"/>
      <c r="CK548" s="360"/>
      <c r="CL548" s="360"/>
      <c r="CN548" s="700"/>
      <c r="CO548" s="360"/>
      <c r="CP548" s="360"/>
      <c r="CR548" s="700"/>
      <c r="CS548" s="360"/>
      <c r="CT548" s="360"/>
      <c r="CV548" s="700"/>
      <c r="CW548" s="1826"/>
      <c r="CX548" s="360"/>
      <c r="CZ548" s="700"/>
      <c r="DA548" s="1826"/>
      <c r="DB548" s="360"/>
      <c r="DD548" s="700"/>
      <c r="DE548" s="1826"/>
      <c r="DF548" s="360"/>
      <c r="DH548" s="700"/>
      <c r="DJ548" s="376">
        <f ca="1">+AVERAGE(DJ547,DF547,DB547,CX547,CT547,CP547,CL547,CH547,CD547,BZ547)</f>
        <v>0.14844336328249177</v>
      </c>
      <c r="DL548" s="700"/>
      <c r="DN548" s="376">
        <f ca="1">+AVERAGE(DN547,DJ547,DF547,DB547,CX547,CT547,CP547,CL547,CH547,CD547)</f>
        <v>0.14575771139389487</v>
      </c>
      <c r="DP548" s="700"/>
      <c r="DR548" s="376">
        <f ca="1">+AVERAGE(DR547,DN547,DJ547,DF547,DB547,CX547,CT547,CP547,CL547,CH547)</f>
        <v>0.14131303042788507</v>
      </c>
      <c r="DU548" s="700"/>
      <c r="DW548" s="376"/>
    </row>
    <row r="549" spans="1:138">
      <c r="BL549" s="293"/>
      <c r="BM549" s="293"/>
      <c r="BN549" s="293"/>
      <c r="DA549" s="1408"/>
      <c r="DE549" s="1408"/>
    </row>
    <row r="550" spans="1:138">
      <c r="BL550" s="293"/>
      <c r="BM550" s="293"/>
      <c r="BN550" s="293"/>
      <c r="DA550" s="1408"/>
      <c r="DE550" s="1408"/>
    </row>
    <row r="551" spans="1:138">
      <c r="A551" s="102" t="str">
        <f>A541</f>
        <v>Average Ordinary Equity (for ROE)</v>
      </c>
      <c r="AN551" s="293">
        <f t="shared" ref="AN551:AP551" si="435">AN541</f>
        <v>7019.8675496688747</v>
      </c>
      <c r="AO551" s="293">
        <f t="shared" si="435"/>
        <v>8209.9447513812156</v>
      </c>
      <c r="AP551" s="293">
        <f t="shared" si="435"/>
        <v>7607.5949367088615</v>
      </c>
      <c r="AR551" s="293">
        <f t="shared" ref="AR551:AT551" si="436">AR541</f>
        <v>8689.0970219621013</v>
      </c>
      <c r="AS551" s="293">
        <f t="shared" si="436"/>
        <v>8894.2555088523786</v>
      </c>
      <c r="AT551" s="293">
        <f t="shared" si="436"/>
        <v>8795.150588807448</v>
      </c>
      <c r="AV551" s="293">
        <f t="shared" ref="AV551:AX551" si="437">AV541</f>
        <v>9979.1666666666661</v>
      </c>
      <c r="AW551" s="293">
        <f t="shared" si="437"/>
        <v>11087.3786407767</v>
      </c>
      <c r="AX551" s="293">
        <f t="shared" si="437"/>
        <v>10500</v>
      </c>
      <c r="AZ551" s="293">
        <f t="shared" ref="AZ551:BB551" si="438">AZ541</f>
        <v>10900.910810810816</v>
      </c>
      <c r="BA551" s="293">
        <f t="shared" si="438"/>
        <v>10849.673921568625</v>
      </c>
      <c r="BB551" s="293">
        <f t="shared" si="438"/>
        <v>10871.216704545455</v>
      </c>
      <c r="BD551" s="293">
        <f t="shared" ref="BD551:BF551" si="439">BD541</f>
        <v>10678.230175438601</v>
      </c>
      <c r="BE551" s="293">
        <f t="shared" si="439"/>
        <v>10931.389743589751</v>
      </c>
      <c r="BF551" s="293">
        <f t="shared" si="439"/>
        <v>10744.908235294122</v>
      </c>
      <c r="BH551" s="293">
        <f>BH541</f>
        <v>10939.393939393938</v>
      </c>
      <c r="BI551" s="293">
        <f>BI541</f>
        <v>11022.247191011236</v>
      </c>
      <c r="BJ551" s="293">
        <f>BJ541</f>
        <v>10916.538461538461</v>
      </c>
      <c r="BL551" s="293">
        <f>BL541</f>
        <v>11517.241379310346</v>
      </c>
      <c r="BM551" s="293">
        <f>BM541</f>
        <v>11355.407407407407</v>
      </c>
      <c r="BN551" s="293">
        <f>BN541</f>
        <v>11418.82882882883</v>
      </c>
      <c r="BP551" s="293">
        <f>BP541</f>
        <v>10848</v>
      </c>
      <c r="BQ551" s="293">
        <f>BQ541</f>
        <v>12032.337662337663</v>
      </c>
      <c r="BR551" s="293">
        <f>BR541</f>
        <v>11460.642857142857</v>
      </c>
      <c r="BT551" s="293">
        <f>BT541</f>
        <v>13544.303797468354</v>
      </c>
      <c r="BU551" s="293">
        <f>BU541</f>
        <v>14503.503649635035</v>
      </c>
      <c r="BV551" s="293">
        <f>BV541</f>
        <v>14037.34693877551</v>
      </c>
      <c r="BX551" s="293">
        <f>BX541</f>
        <v>14383.561643835617</v>
      </c>
      <c r="BY551" s="293">
        <f>BY541</f>
        <v>14778.354430379746</v>
      </c>
      <c r="BZ551" s="293">
        <f>BZ541</f>
        <v>14588.749999999998</v>
      </c>
      <c r="CB551" s="293">
        <f>CB541</f>
        <v>14946.107784431137</v>
      </c>
      <c r="CC551" s="293">
        <f>CC541</f>
        <v>15496.923076923076</v>
      </c>
      <c r="CD551" s="293">
        <f>CD541</f>
        <v>15223.15476190476</v>
      </c>
      <c r="CF551" s="293">
        <f>CF541</f>
        <v>16073.61963190184</v>
      </c>
      <c r="CG551" s="293">
        <f>CG541</f>
        <v>17153.74358974359</v>
      </c>
      <c r="CH551" s="293">
        <f>CH541</f>
        <v>16569.388888888887</v>
      </c>
      <c r="CJ551" s="293">
        <f>CJ541</f>
        <v>17768.292682926829</v>
      </c>
      <c r="CK551" s="293">
        <f>CK541</f>
        <v>20070.708661417324</v>
      </c>
      <c r="CL551" s="293">
        <f>CL541</f>
        <v>18837.862068965518</v>
      </c>
      <c r="CN551" s="293">
        <f>CN541</f>
        <v>20736.842105263157</v>
      </c>
      <c r="CO551" s="293">
        <f>CO541</f>
        <v>21373.57894736842</v>
      </c>
      <c r="CP551" s="293">
        <f>CP541</f>
        <v>21087.342657342659</v>
      </c>
      <c r="CR551" s="293">
        <f>CR541</f>
        <v>22955.056179775282</v>
      </c>
      <c r="CS551" s="293">
        <f>CS541</f>
        <v>27178.4693877551</v>
      </c>
      <c r="CT551" s="293">
        <f>CT541</f>
        <v>25168.395721925132</v>
      </c>
      <c r="CV551" s="293">
        <f>CV541</f>
        <v>30551.282051282051</v>
      </c>
      <c r="CW551" s="1495">
        <f>CW541</f>
        <v>30933.591160220993</v>
      </c>
      <c r="CX551" s="293">
        <f>CX541</f>
        <v>30665.621301775143</v>
      </c>
      <c r="CZ551" s="293">
        <f>CZ541</f>
        <v>32528.735632183911</v>
      </c>
      <c r="DA551" s="1495">
        <f>DA541</f>
        <v>32674.26356589147</v>
      </c>
      <c r="DB551" s="293">
        <f>DB541</f>
        <v>32615.648148148146</v>
      </c>
      <c r="DD551" s="293">
        <f>DD541</f>
        <v>32565.656565656565</v>
      </c>
      <c r="DE551" s="1495">
        <f ca="1">DE541</f>
        <v>33655.839999999997</v>
      </c>
      <c r="DF551" s="293">
        <f ca="1">DF541</f>
        <v>33174.017857142855</v>
      </c>
      <c r="DH551" s="293">
        <f>DH541</f>
        <v>34479.166666666664</v>
      </c>
      <c r="DI551" s="293">
        <f ca="1">DI541</f>
        <v>34815.267123765851</v>
      </c>
      <c r="DJ551" s="293">
        <f ca="1">DJ541</f>
        <v>34647.216895216254</v>
      </c>
      <c r="DL551" s="293">
        <f ca="1">DL541</f>
        <v>35745.269019714484</v>
      </c>
      <c r="DM551" s="293">
        <f ca="1">DM541</f>
        <v>37334.211378462467</v>
      </c>
      <c r="DN551" s="293">
        <f ca="1">DN541</f>
        <v>36539.740199088475</v>
      </c>
      <c r="DP551" s="293">
        <f ca="1">DP541</f>
        <v>38973.830824973797</v>
      </c>
      <c r="DQ551" s="293">
        <f ca="1">DQ541</f>
        <v>40712.78899876825</v>
      </c>
      <c r="DR551" s="293">
        <f ca="1">DR541</f>
        <v>39843.309911871023</v>
      </c>
    </row>
    <row r="552" spans="1:138">
      <c r="A552" s="102" t="s">
        <v>794</v>
      </c>
      <c r="AN552" s="293">
        <f t="shared" ref="AN552:AP552" si="440">SUM(AN511:AN513)</f>
        <v>-634</v>
      </c>
      <c r="AO552" s="293">
        <f t="shared" si="440"/>
        <v>-1091</v>
      </c>
      <c r="AP552" s="293">
        <f t="shared" si="440"/>
        <v>-1091</v>
      </c>
      <c r="AR552" s="293">
        <f t="shared" ref="AR552:AT552" si="441">SUM(AR511:AR513)</f>
        <v>-1351</v>
      </c>
      <c r="AS552" s="293">
        <f t="shared" si="441"/>
        <v>-1941</v>
      </c>
      <c r="AT552" s="293">
        <f t="shared" si="441"/>
        <v>-1941</v>
      </c>
      <c r="AV552" s="293">
        <f t="shared" ref="AV552:AX552" si="442">SUM(AV511:AV513)</f>
        <v>-1906</v>
      </c>
      <c r="AW552" s="293">
        <f t="shared" si="442"/>
        <v>-2345</v>
      </c>
      <c r="AX552" s="293">
        <f t="shared" si="442"/>
        <v>-2345</v>
      </c>
      <c r="AZ552" s="293">
        <f t="shared" ref="AZ552:BB552" si="443">SUM(AZ511:AZ513)</f>
        <v>-2283</v>
      </c>
      <c r="BA552" s="293">
        <f t="shared" si="443"/>
        <v>-2275</v>
      </c>
      <c r="BB552" s="293">
        <f t="shared" si="443"/>
        <v>-2275</v>
      </c>
      <c r="BD552" s="293">
        <f t="shared" ref="BD552:BF552" si="444">SUM(BD511:BD513)</f>
        <v>-2293</v>
      </c>
      <c r="BE552" s="293">
        <f t="shared" si="444"/>
        <v>-2194</v>
      </c>
      <c r="BF552" s="293">
        <f t="shared" si="444"/>
        <v>-2194</v>
      </c>
      <c r="BH552" s="293">
        <f t="shared" ref="BH552:BJ552" si="445">SUM(BH511:BH513)</f>
        <v>-2038</v>
      </c>
      <c r="BI552" s="293">
        <f t="shared" si="445"/>
        <v>-1949</v>
      </c>
      <c r="BJ552" s="293">
        <f t="shared" si="445"/>
        <v>-1949</v>
      </c>
      <c r="BL552" s="293">
        <f t="shared" ref="BL552:BN552" si="446">SUM(BL511:BL513)</f>
        <v>-1619</v>
      </c>
      <c r="BM552" s="293">
        <f t="shared" si="446"/>
        <v>-1436</v>
      </c>
      <c r="BN552" s="293">
        <f t="shared" si="446"/>
        <v>-1436</v>
      </c>
      <c r="BP552" s="293">
        <f t="shared" ref="BP552:BR552" si="447">SUM(BP511:BP513)</f>
        <v>-1335</v>
      </c>
      <c r="BQ552" s="293">
        <f t="shared" si="447"/>
        <v>-1574</v>
      </c>
      <c r="BR552" s="293">
        <f t="shared" si="447"/>
        <v>-1574</v>
      </c>
      <c r="BT552" s="293">
        <f t="shared" ref="BT552:BV552" si="448">SUM(BT511:BT513)</f>
        <v>-1544</v>
      </c>
      <c r="BU552" s="293">
        <f t="shared" si="448"/>
        <v>-1385</v>
      </c>
      <c r="BV552" s="293">
        <f t="shared" si="448"/>
        <v>-1385</v>
      </c>
      <c r="BX552" s="293">
        <f t="shared" ref="BX552:BZ552" si="449">SUM(BX511:BX513)</f>
        <v>-1216</v>
      </c>
      <c r="BY552" s="293">
        <f t="shared" si="449"/>
        <v>-1026</v>
      </c>
      <c r="BZ552" s="293">
        <f t="shared" si="449"/>
        <v>-1026</v>
      </c>
      <c r="CB552" s="293">
        <f t="shared" ref="CB552:CD552" si="450">SUM(CB511:CB513)</f>
        <v>-934</v>
      </c>
      <c r="CC552" s="293">
        <f t="shared" si="450"/>
        <v>-894</v>
      </c>
      <c r="CD552" s="293">
        <f t="shared" si="450"/>
        <v>-894</v>
      </c>
      <c r="CF552" s="293">
        <f t="shared" ref="CF552:CH552" si="451">SUM(CF511:CF513)</f>
        <v>-1869</v>
      </c>
      <c r="CG552" s="293">
        <f t="shared" si="451"/>
        <v>-2637</v>
      </c>
      <c r="CH552" s="293">
        <f t="shared" si="451"/>
        <v>-2637</v>
      </c>
      <c r="CJ552" s="293">
        <f>SUM(CJ511:CJ513)</f>
        <v>-3448</v>
      </c>
      <c r="CK552" s="293">
        <f>SUM(CK511:CK513)</f>
        <v>-4374</v>
      </c>
      <c r="CL552" s="293">
        <f>SUM(CL511:CL513)</f>
        <v>-4374</v>
      </c>
      <c r="CN552" s="293">
        <f t="shared" ref="CN552:CP552" si="452">SUM(CN511:CN513)</f>
        <v>-3882</v>
      </c>
      <c r="CO552" s="293">
        <f t="shared" si="452"/>
        <v>-3811</v>
      </c>
      <c r="CP552" s="293">
        <f t="shared" si="452"/>
        <v>-3811</v>
      </c>
      <c r="CR552" s="293">
        <f t="shared" ref="CR552:CT552" si="453">SUM(CR511:CR513)</f>
        <v>-4588</v>
      </c>
      <c r="CS552" s="293">
        <f t="shared" si="453"/>
        <v>-5116</v>
      </c>
      <c r="CT552" s="293">
        <f t="shared" si="453"/>
        <v>-5116</v>
      </c>
      <c r="CV552" s="293">
        <f t="shared" ref="CV552:CX552" si="454">SUM(CV511:CV513)</f>
        <v>-5364</v>
      </c>
      <c r="CW552" s="293">
        <f t="shared" si="454"/>
        <v>-5428</v>
      </c>
      <c r="CX552" s="293">
        <f t="shared" si="454"/>
        <v>-5428</v>
      </c>
      <c r="CZ552" s="293">
        <f t="shared" ref="CZ552:DB552" si="455">SUM(CZ511:CZ513)</f>
        <v>-5594</v>
      </c>
      <c r="DA552" s="293">
        <f t="shared" si="455"/>
        <v>-5948</v>
      </c>
      <c r="DB552" s="293">
        <f t="shared" si="455"/>
        <v>-5948</v>
      </c>
      <c r="DD552" s="293">
        <f t="shared" ref="DD552:DF552" si="456">SUM(DD511:DD513)</f>
        <v>-4919</v>
      </c>
      <c r="DE552" s="293">
        <f t="shared" si="456"/>
        <v>-3484</v>
      </c>
      <c r="DF552" s="293">
        <f t="shared" si="456"/>
        <v>-3484</v>
      </c>
      <c r="DH552" s="293">
        <f t="shared" ref="DH552" si="457">SUM(DH511:DH513)</f>
        <v>-3212</v>
      </c>
      <c r="DI552" s="293">
        <f t="shared" ref="DI552:DJ552" si="458">SUM(DI511:DI513)</f>
        <v>-3254.7799999999997</v>
      </c>
      <c r="DJ552" s="293">
        <f t="shared" si="458"/>
        <v>-3254.7799999999997</v>
      </c>
      <c r="DL552" s="293">
        <f t="shared" ref="DL552:DN552" si="459">SUM(DL511:DL513)</f>
        <v>-3298.8434000000002</v>
      </c>
      <c r="DM552" s="293">
        <f t="shared" si="459"/>
        <v>-3344.2287019999994</v>
      </c>
      <c r="DN552" s="293">
        <f t="shared" si="459"/>
        <v>-3344.2287019999994</v>
      </c>
      <c r="DP552" s="293">
        <f t="shared" ref="DP552:DR552" si="460">SUM(DP511:DP513)</f>
        <v>-3390.9755630599998</v>
      </c>
      <c r="DQ552" s="293">
        <f t="shared" si="460"/>
        <v>-3439.1248299518002</v>
      </c>
      <c r="DR552" s="293">
        <f t="shared" si="460"/>
        <v>-3439.1248299518002</v>
      </c>
    </row>
    <row r="553" spans="1:138">
      <c r="A553" s="102" t="s">
        <v>793</v>
      </c>
      <c r="AN553" s="293">
        <f t="shared" ref="AN553" si="461">AVERAGE(AK552,AN552)</f>
        <v>-634</v>
      </c>
      <c r="AO553" s="293">
        <f t="shared" ref="AO553" si="462">AVERAGE(AN552:AO552)</f>
        <v>-862.5</v>
      </c>
      <c r="AP553" s="293">
        <f t="shared" ref="AP553" si="463">AVERAGE(AN553:AO553)</f>
        <v>-748.25</v>
      </c>
      <c r="AR553" s="293">
        <f t="shared" ref="AR553" si="464">AVERAGE(AO552,AR552)</f>
        <v>-1221</v>
      </c>
      <c r="AS553" s="293">
        <f t="shared" ref="AS553" si="465">AVERAGE(AR552:AS552)</f>
        <v>-1646</v>
      </c>
      <c r="AT553" s="293">
        <f t="shared" ref="AT553" si="466">AVERAGE(AR553:AS553)</f>
        <v>-1433.5</v>
      </c>
      <c r="AV553" s="293">
        <f t="shared" ref="AV553" si="467">AVERAGE(AS552,AV552)</f>
        <v>-1923.5</v>
      </c>
      <c r="AW553" s="293">
        <f t="shared" ref="AW553" si="468">AVERAGE(AV552:AW552)</f>
        <v>-2125.5</v>
      </c>
      <c r="AX553" s="293">
        <f t="shared" ref="AX553" si="469">AVERAGE(AV553:AW553)</f>
        <v>-2024.5</v>
      </c>
      <c r="AZ553" s="293">
        <f t="shared" ref="AZ553" si="470">AVERAGE(AW552,AZ552)</f>
        <v>-2314</v>
      </c>
      <c r="BA553" s="293">
        <f t="shared" ref="BA553" si="471">AVERAGE(AZ552:BA552)</f>
        <v>-2279</v>
      </c>
      <c r="BB553" s="293">
        <f t="shared" ref="BB553" si="472">AVERAGE(AZ553:BA553)</f>
        <v>-2296.5</v>
      </c>
      <c r="BD553" s="293">
        <f t="shared" ref="BD553" si="473">AVERAGE(BA552,BD552)</f>
        <v>-2284</v>
      </c>
      <c r="BE553" s="293">
        <f t="shared" ref="BE553" si="474">AVERAGE(BD552:BE552)</f>
        <v>-2243.5</v>
      </c>
      <c r="BF553" s="293">
        <f t="shared" ref="BF553" si="475">AVERAGE(BD553:BE553)</f>
        <v>-2263.75</v>
      </c>
      <c r="BH553" s="293">
        <f t="shared" ref="BH553" si="476">AVERAGE(BE552,BH552)</f>
        <v>-2116</v>
      </c>
      <c r="BI553" s="293">
        <f t="shared" ref="BI553" si="477">AVERAGE(BH552:BI552)</f>
        <v>-1993.5</v>
      </c>
      <c r="BJ553" s="293">
        <f t="shared" ref="BJ553" si="478">AVERAGE(BH553:BI553)</f>
        <v>-2054.75</v>
      </c>
      <c r="BL553" s="293">
        <f t="shared" ref="BL553" si="479">AVERAGE(BI552,BL552)</f>
        <v>-1784</v>
      </c>
      <c r="BM553" s="293">
        <f t="shared" ref="BM553" si="480">AVERAGE(BL552:BM552)</f>
        <v>-1527.5</v>
      </c>
      <c r="BN553" s="293">
        <f t="shared" ref="BN553" si="481">AVERAGE(BL553:BM553)</f>
        <v>-1655.75</v>
      </c>
      <c r="BP553" s="293">
        <f t="shared" ref="BP553" si="482">AVERAGE(BM552,BP552)</f>
        <v>-1385.5</v>
      </c>
      <c r="BQ553" s="293">
        <f t="shared" ref="BQ553" si="483">AVERAGE(BP552:BQ552)</f>
        <v>-1454.5</v>
      </c>
      <c r="BR553" s="293">
        <f t="shared" ref="BR553" si="484">AVERAGE(BP553:BQ553)</f>
        <v>-1420</v>
      </c>
      <c r="BT553" s="293">
        <f t="shared" ref="BT553" si="485">AVERAGE(BQ552,BT552)</f>
        <v>-1559</v>
      </c>
      <c r="BU553" s="293">
        <f t="shared" ref="BU553" si="486">AVERAGE(BT552:BU552)</f>
        <v>-1464.5</v>
      </c>
      <c r="BV553" s="293">
        <f t="shared" ref="BV553" si="487">AVERAGE(BT553:BU553)</f>
        <v>-1511.75</v>
      </c>
      <c r="BX553" s="293">
        <f t="shared" ref="BX553" si="488">AVERAGE(BU552,BX552)</f>
        <v>-1300.5</v>
      </c>
      <c r="BY553" s="293">
        <f t="shared" ref="BY553" si="489">AVERAGE(BX552:BY552)</f>
        <v>-1121</v>
      </c>
      <c r="BZ553" s="293">
        <f t="shared" ref="BZ553" si="490">AVERAGE(BX553:BY553)</f>
        <v>-1210.75</v>
      </c>
      <c r="CB553" s="293">
        <f t="shared" ref="CB553" si="491">AVERAGE(BY552,CB552)</f>
        <v>-980</v>
      </c>
      <c r="CC553" s="293">
        <f t="shared" ref="CC553" si="492">AVERAGE(CB552:CC552)</f>
        <v>-914</v>
      </c>
      <c r="CD553" s="293">
        <f t="shared" ref="CD553" si="493">AVERAGE(CB553:CC553)</f>
        <v>-947</v>
      </c>
      <c r="CF553" s="293">
        <f t="shared" ref="CF553" si="494">AVERAGE(CC552,CF552)</f>
        <v>-1381.5</v>
      </c>
      <c r="CG553" s="293">
        <f t="shared" ref="CG553" si="495">AVERAGE(CF552:CG552)</f>
        <v>-2253</v>
      </c>
      <c r="CH553" s="293">
        <f t="shared" ref="CH553" si="496">AVERAGE(CF553:CG553)</f>
        <v>-1817.25</v>
      </c>
      <c r="CJ553" s="293">
        <f>AVERAGE(CG552,CJ552)</f>
        <v>-3042.5</v>
      </c>
      <c r="CK553" s="293">
        <f>AVERAGE(CJ552:CK552)</f>
        <v>-3911</v>
      </c>
      <c r="CL553" s="293">
        <f>AVERAGE(CJ553:CK553)</f>
        <v>-3476.75</v>
      </c>
      <c r="CN553" s="293">
        <f t="shared" ref="CN553" si="497">AVERAGE(CK552,CN552)</f>
        <v>-4128</v>
      </c>
      <c r="CO553" s="293">
        <f t="shared" ref="CO553" si="498">AVERAGE(CN552:CO552)</f>
        <v>-3846.5</v>
      </c>
      <c r="CP553" s="293">
        <f t="shared" ref="CP553" si="499">AVERAGE(CN553:CO553)</f>
        <v>-3987.25</v>
      </c>
      <c r="CR553" s="293">
        <f t="shared" ref="CR553" si="500">AVERAGE(CO552,CR552)</f>
        <v>-4199.5</v>
      </c>
      <c r="CS553" s="293">
        <f t="shared" ref="CS553" si="501">AVERAGE(CR552:CS552)</f>
        <v>-4852</v>
      </c>
      <c r="CT553" s="293">
        <f t="shared" ref="CT553" si="502">AVERAGE(CR553:CS553)</f>
        <v>-4525.75</v>
      </c>
      <c r="CV553" s="293">
        <f t="shared" ref="CV553" si="503">AVERAGE(CS552,CV552)</f>
        <v>-5240</v>
      </c>
      <c r="CW553" s="293">
        <f t="shared" ref="CW553" si="504">AVERAGE(CV552:CW552)</f>
        <v>-5396</v>
      </c>
      <c r="CX553" s="293">
        <f t="shared" ref="CX553" si="505">AVERAGE(CV553:CW553)</f>
        <v>-5318</v>
      </c>
      <c r="CZ553" s="293">
        <f t="shared" ref="CZ553" si="506">AVERAGE(CW552,CZ552)</f>
        <v>-5511</v>
      </c>
      <c r="DA553" s="293">
        <f t="shared" ref="DA553" si="507">AVERAGE(CZ552:DA552)</f>
        <v>-5771</v>
      </c>
      <c r="DB553" s="293">
        <f t="shared" ref="DB553" si="508">AVERAGE(CZ553:DA553)</f>
        <v>-5641</v>
      </c>
      <c r="DD553" s="293">
        <f t="shared" ref="DD553" si="509">AVERAGE(DA552,DD552)</f>
        <v>-5433.5</v>
      </c>
      <c r="DE553" s="293">
        <f t="shared" ref="DE553" si="510">AVERAGE(DD552:DE552)</f>
        <v>-4201.5</v>
      </c>
      <c r="DF553" s="293">
        <f t="shared" ref="DF553" si="511">AVERAGE(DD553:DE553)</f>
        <v>-4817.5</v>
      </c>
      <c r="DH553" s="293">
        <f t="shared" ref="DH553" si="512">AVERAGE(DE552,DH552)</f>
        <v>-3348</v>
      </c>
      <c r="DI553" s="293">
        <f t="shared" ref="DI553" si="513">AVERAGE(DH552:DI552)</f>
        <v>-3233.39</v>
      </c>
      <c r="DJ553" s="293">
        <f t="shared" ref="DJ553" si="514">AVERAGE(DH553:DI553)</f>
        <v>-3290.6949999999997</v>
      </c>
      <c r="DL553" s="293">
        <f t="shared" ref="DL553" si="515">AVERAGE(DI552,DL552)</f>
        <v>-3276.8117000000002</v>
      </c>
      <c r="DM553" s="293">
        <f t="shared" ref="DM553" si="516">AVERAGE(DL552:DM552)</f>
        <v>-3321.536051</v>
      </c>
      <c r="DN553" s="293">
        <f t="shared" ref="DN553" si="517">AVERAGE(DL553:DM553)</f>
        <v>-3299.1738755000001</v>
      </c>
      <c r="DP553" s="293">
        <f t="shared" ref="DP553" si="518">AVERAGE(DM552,DP552)</f>
        <v>-3367.6021325299998</v>
      </c>
      <c r="DQ553" s="293">
        <f t="shared" ref="DQ553" si="519">AVERAGE(DP552:DQ552)</f>
        <v>-3415.0501965059002</v>
      </c>
      <c r="DR553" s="293">
        <f t="shared" ref="DR553" si="520">AVERAGE(DP553:DQ553)</f>
        <v>-3391.32616451795</v>
      </c>
    </row>
    <row r="554" spans="1:138">
      <c r="A554" s="102" t="s">
        <v>792</v>
      </c>
      <c r="AN554" s="293">
        <f t="shared" ref="AN554:AP554" si="521">AN551+AN553</f>
        <v>6385.8675496688747</v>
      </c>
      <c r="AO554" s="293">
        <f t="shared" si="521"/>
        <v>7347.4447513812156</v>
      </c>
      <c r="AP554" s="293">
        <f t="shared" si="521"/>
        <v>6859.3449367088615</v>
      </c>
      <c r="AR554" s="293">
        <f t="shared" ref="AR554:AT554" si="522">AR551+AR553</f>
        <v>7468.0970219621013</v>
      </c>
      <c r="AS554" s="293">
        <f t="shared" si="522"/>
        <v>7248.2555088523786</v>
      </c>
      <c r="AT554" s="293">
        <f t="shared" si="522"/>
        <v>7361.650588807448</v>
      </c>
      <c r="AV554" s="293">
        <f t="shared" ref="AV554:AX554" si="523">AV551+AV553</f>
        <v>8055.6666666666661</v>
      </c>
      <c r="AW554" s="293">
        <f t="shared" si="523"/>
        <v>8961.8786407767002</v>
      </c>
      <c r="AX554" s="293">
        <f t="shared" si="523"/>
        <v>8475.5</v>
      </c>
      <c r="AZ554" s="293">
        <f t="shared" ref="AZ554:BB554" si="524">AZ551+AZ553</f>
        <v>8586.9108108108157</v>
      </c>
      <c r="BA554" s="293">
        <f t="shared" si="524"/>
        <v>8570.6739215686248</v>
      </c>
      <c r="BB554" s="293">
        <f t="shared" si="524"/>
        <v>8574.7167045454553</v>
      </c>
      <c r="BD554" s="293">
        <f t="shared" ref="BD554:BF554" si="525">BD551+BD553</f>
        <v>8394.2301754386008</v>
      </c>
      <c r="BE554" s="293">
        <f t="shared" si="525"/>
        <v>8687.8897435897507</v>
      </c>
      <c r="BF554" s="293">
        <f t="shared" si="525"/>
        <v>8481.1582352941223</v>
      </c>
      <c r="BH554" s="293">
        <f>BH551+BH553</f>
        <v>8823.3939393939381</v>
      </c>
      <c r="BI554" s="293">
        <f>BI551+BI553</f>
        <v>9028.7471910112363</v>
      </c>
      <c r="BJ554" s="293">
        <f>BJ551+BJ553</f>
        <v>8861.788461538461</v>
      </c>
      <c r="BL554" s="293">
        <f>BL551+BL553</f>
        <v>9733.241379310346</v>
      </c>
      <c r="BM554" s="293">
        <f>BM551+BM553</f>
        <v>9827.9074074074069</v>
      </c>
      <c r="BN554" s="293">
        <f>BN551+BN553</f>
        <v>9763.0788288288295</v>
      </c>
      <c r="BP554" s="293">
        <f>BP551+BP553</f>
        <v>9462.5</v>
      </c>
      <c r="BQ554" s="293">
        <f>BQ551+BQ553</f>
        <v>10577.837662337663</v>
      </c>
      <c r="BR554" s="293">
        <f>BR551+BR553</f>
        <v>10040.642857142857</v>
      </c>
      <c r="BT554" s="293">
        <f>BT551+BT553</f>
        <v>11985.303797468354</v>
      </c>
      <c r="BU554" s="293">
        <f>BU551+BU553</f>
        <v>13039.003649635035</v>
      </c>
      <c r="BV554" s="293">
        <f>BV551+BV553</f>
        <v>12525.59693877551</v>
      </c>
      <c r="BX554" s="293">
        <f>BX551+BX553</f>
        <v>13083.061643835617</v>
      </c>
      <c r="BY554" s="293">
        <f>BY551+BY553</f>
        <v>13657.354430379746</v>
      </c>
      <c r="BZ554" s="293">
        <f>BZ551+BZ553</f>
        <v>13377.999999999998</v>
      </c>
      <c r="CB554" s="293">
        <f>CB551+CB553</f>
        <v>13966.107784431137</v>
      </c>
      <c r="CC554" s="293">
        <f>CC551+CC553</f>
        <v>14582.923076923076</v>
      </c>
      <c r="CD554" s="293">
        <f>CD551+CD553</f>
        <v>14276.15476190476</v>
      </c>
      <c r="CF554" s="293">
        <f>CF551+CF553</f>
        <v>14692.11963190184</v>
      </c>
      <c r="CG554" s="293">
        <f>CG551+CG553</f>
        <v>14900.74358974359</v>
      </c>
      <c r="CH554" s="293">
        <f>CH551+CH553</f>
        <v>14752.138888888887</v>
      </c>
      <c r="CJ554" s="293">
        <f>CJ551+CJ553</f>
        <v>14725.792682926829</v>
      </c>
      <c r="CK554" s="293">
        <f>CK551+CK553</f>
        <v>16159.708661417324</v>
      </c>
      <c r="CL554" s="293">
        <f>CL551+CL553</f>
        <v>15361.112068965518</v>
      </c>
      <c r="CN554" s="293">
        <f>CN551+CN553</f>
        <v>16608.842105263157</v>
      </c>
      <c r="CO554" s="293">
        <f>CO551+CO553</f>
        <v>17527.07894736842</v>
      </c>
      <c r="CP554" s="293">
        <f>CP551+CP553</f>
        <v>17100.092657342659</v>
      </c>
      <c r="CR554" s="293">
        <f>CR551+CR553</f>
        <v>18755.556179775282</v>
      </c>
      <c r="CS554" s="293">
        <f>CS551+CS553</f>
        <v>22326.4693877551</v>
      </c>
      <c r="CT554" s="293">
        <f>CT551+CT553</f>
        <v>20642.645721925132</v>
      </c>
      <c r="CV554" s="293">
        <f>CV551+CV553</f>
        <v>25311.282051282051</v>
      </c>
      <c r="CW554" s="1495">
        <f>CW551+CW553</f>
        <v>25537.591160220993</v>
      </c>
      <c r="CX554" s="293">
        <f>CX551+CX553</f>
        <v>25347.621301775143</v>
      </c>
      <c r="CZ554" s="293">
        <f>CZ551+CZ553</f>
        <v>27017.735632183911</v>
      </c>
      <c r="DA554" s="1495">
        <f>DA551+DA553</f>
        <v>26903.26356589147</v>
      </c>
      <c r="DB554" s="293">
        <f>DB551+DB553</f>
        <v>26974.648148148146</v>
      </c>
      <c r="DD554" s="293">
        <f>DD551+DD553</f>
        <v>27132.156565656565</v>
      </c>
      <c r="DE554" s="1495">
        <f ca="1">DE551+DE553</f>
        <v>29454.339999999997</v>
      </c>
      <c r="DF554" s="293">
        <f ca="1">DF551+DF553</f>
        <v>28356.517857142855</v>
      </c>
      <c r="DH554" s="293">
        <f>DH551+DH553</f>
        <v>31131.166666666664</v>
      </c>
      <c r="DI554" s="293">
        <f ca="1">DI551+DI553</f>
        <v>31581.877123765851</v>
      </c>
      <c r="DJ554" s="293">
        <f ca="1">DJ551+DJ553</f>
        <v>31356.521895216254</v>
      </c>
      <c r="DL554" s="293">
        <f ca="1">DL551+DL553</f>
        <v>32468.457319714485</v>
      </c>
      <c r="DM554" s="293">
        <f ca="1">DM551+DM553</f>
        <v>34012.675327462464</v>
      </c>
      <c r="DN554" s="293">
        <f ca="1">DN551+DN553</f>
        <v>33240.566323588479</v>
      </c>
      <c r="DP554" s="293">
        <f ca="1">DP551+DP553</f>
        <v>35606.228692443794</v>
      </c>
      <c r="DQ554" s="293">
        <f ca="1">DQ551+DQ553</f>
        <v>37297.738802262349</v>
      </c>
      <c r="DR554" s="293">
        <f ca="1">DR551+DR553</f>
        <v>36451.983747353072</v>
      </c>
    </row>
    <row r="555" spans="1:138" s="289" customFormat="1">
      <c r="A555" s="289" t="s">
        <v>795</v>
      </c>
      <c r="C555" s="290"/>
      <c r="P555" s="290"/>
      <c r="Q555" s="290"/>
      <c r="R555" s="290"/>
      <c r="S555" s="290"/>
      <c r="T555" s="290"/>
      <c r="U555" s="290"/>
      <c r="V555" s="290"/>
      <c r="W555" s="290"/>
      <c r="X555" s="290"/>
      <c r="Y555" s="290"/>
      <c r="Z555" s="290"/>
      <c r="AA555" s="290"/>
      <c r="AB555" s="290"/>
      <c r="AC555" s="290"/>
      <c r="AD555" s="290"/>
      <c r="AE555" s="290"/>
      <c r="AF555" s="290"/>
      <c r="AG555" s="290"/>
      <c r="AH555" s="290"/>
      <c r="AI555" s="290"/>
      <c r="AJ555" s="290"/>
      <c r="AK555" s="290"/>
      <c r="AL555" s="290"/>
      <c r="AM555" s="290"/>
      <c r="AN555" s="649">
        <f t="shared" ref="AN555:AO555" si="526">AN543/AN554*2</f>
        <v>0.33198308350600347</v>
      </c>
      <c r="AO555" s="649">
        <f t="shared" si="526"/>
        <v>0.20224718256243479</v>
      </c>
      <c r="AP555" s="649">
        <f t="shared" ref="AP555" si="527">AP543/AP554</f>
        <v>0.26285308825205195</v>
      </c>
      <c r="AQ555" s="290"/>
      <c r="AR555" s="649">
        <f t="shared" ref="AR555:AS555" si="528">AR543/AR554*2</f>
        <v>0.16172586972302208</v>
      </c>
      <c r="AS555" s="649">
        <f t="shared" si="528"/>
        <v>7.3625347489390133E-2</v>
      </c>
      <c r="AT555" s="649">
        <f t="shared" ref="AT555" si="529">AT543/AT554</f>
        <v>0.11827780981832633</v>
      </c>
      <c r="AU555" s="290"/>
      <c r="AV555" s="649">
        <f t="shared" ref="AV555:AW555" si="530">AV543/AV554*2</f>
        <v>0.11892249762072248</v>
      </c>
      <c r="AW555" s="649">
        <f t="shared" si="530"/>
        <v>0.12742863921453706</v>
      </c>
      <c r="AX555" s="649">
        <f t="shared" ref="AX555" si="531">AX543/AX554</f>
        <v>0.12388649637189546</v>
      </c>
      <c r="AY555" s="290"/>
      <c r="AZ555" s="649">
        <f t="shared" ref="AZ555:BA555" si="532">AZ543/AZ554*2</f>
        <v>9.3941513749556574E-2</v>
      </c>
      <c r="BA555" s="649">
        <f t="shared" si="532"/>
        <v>0.12912248793120051</v>
      </c>
      <c r="BB555" s="649">
        <f t="shared" ref="BB555" si="533">BB543/BB554</f>
        <v>0.11156835881153612</v>
      </c>
      <c r="BC555" s="290"/>
      <c r="BD555" s="649">
        <f t="shared" ref="BD555:BE555" si="534">BD543/BD554*2</f>
        <v>7.2509224464791092E-2</v>
      </c>
      <c r="BE555" s="649">
        <f t="shared" si="534"/>
        <v>9.8142175506902157E-2</v>
      </c>
      <c r="BF555" s="649">
        <f t="shared" ref="BF555" si="535">BF543/BF554</f>
        <v>8.6150233226330281E-2</v>
      </c>
      <c r="BG555" s="290"/>
      <c r="BH555" s="649">
        <f>BH543/BH554*2</f>
        <v>8.1827923014575588E-2</v>
      </c>
      <c r="BI555" s="649">
        <f>BI543/BI554*2</f>
        <v>0.10865073295845915</v>
      </c>
      <c r="BJ555" s="649">
        <f>BJ543/BJ554</f>
        <v>9.6085570502568288E-2</v>
      </c>
      <c r="BK555" s="290"/>
      <c r="BL555" s="649">
        <f>BL543/BL554*2</f>
        <v>0.10294617804608451</v>
      </c>
      <c r="BM555" s="649">
        <f>BM543/BM554*2</f>
        <v>0.15598234053818774</v>
      </c>
      <c r="BN555" s="649">
        <f>BN543/BN554</f>
        <v>0.12982482495760481</v>
      </c>
      <c r="BO555" s="290"/>
      <c r="BP555" s="649">
        <f>BP543/BP554*2</f>
        <v>0.14330250990752971</v>
      </c>
      <c r="BQ555" s="649">
        <f>BQ543/BQ554*2</f>
        <v>0.1751756889404274</v>
      </c>
      <c r="BR555" s="649">
        <f>BR543/BR554</f>
        <v>0.15979952905690445</v>
      </c>
      <c r="BS555" s="290"/>
      <c r="BT555" s="649">
        <f>BT543/BT554*2</f>
        <v>0.17855200303325064</v>
      </c>
      <c r="BU555" s="649">
        <f>BU543/BU554*2</f>
        <v>0.15238741037208131</v>
      </c>
      <c r="BV555" s="649">
        <f>BV543/BV554</f>
        <v>0.16474184903811254</v>
      </c>
      <c r="BW555" s="290"/>
      <c r="BX555" s="649">
        <f>BX543/BX554*2</f>
        <v>0.16051288736298686</v>
      </c>
      <c r="BY555" s="649">
        <f>BY543/BY554*2</f>
        <v>0.17096869030549683</v>
      </c>
      <c r="BZ555" s="649">
        <f>BZ543/BZ554</f>
        <v>0.1657564658394379</v>
      </c>
      <c r="CA555" s="290"/>
      <c r="CB555" s="649">
        <f>CB543/CB554*2</f>
        <v>0.17871836867695107</v>
      </c>
      <c r="CC555" s="649">
        <f>CC543/CC554*2</f>
        <v>0.17959225226555825</v>
      </c>
      <c r="CD555" s="649">
        <f>CD543/CD554</f>
        <v>0.17914417731198462</v>
      </c>
      <c r="CE555" s="290"/>
      <c r="CF555" s="649">
        <f>CF543/CF554*2</f>
        <v>0.17832688990028669</v>
      </c>
      <c r="CG555" s="649">
        <f>CG543/CG554*2</f>
        <v>0.2244840990554593</v>
      </c>
      <c r="CH555" s="649">
        <f>CH543/CH554</f>
        <v>0.20217339481845384</v>
      </c>
      <c r="CI555" s="290"/>
      <c r="CJ555" s="649">
        <f>CJ543/CJ554*2</f>
        <v>0.19788408425568213</v>
      </c>
      <c r="CK555" s="649">
        <f>CK543/CK554*2</f>
        <v>0.15773675462886941</v>
      </c>
      <c r="CL555" s="649">
        <f>CL543/CL554</f>
        <v>0.17781850609100788</v>
      </c>
      <c r="CM555" s="290"/>
      <c r="CN555" s="649">
        <f>CN543/CN554*2</f>
        <v>0.11861151954570806</v>
      </c>
      <c r="CO555" s="649">
        <f>CO543/CO554*2</f>
        <v>0.23169747863831758</v>
      </c>
      <c r="CP555" s="649">
        <f>CP543/CP554</f>
        <v>0.17634348891701296</v>
      </c>
      <c r="CQ555" s="290"/>
      <c r="CR555" s="649">
        <f>CR543/CR554*2</f>
        <v>0.21785544298633303</v>
      </c>
      <c r="CS555" s="649">
        <f>CS543/CS554*2</f>
        <v>0.23859482247209088</v>
      </c>
      <c r="CT555" s="649">
        <f>CT543/CT554</f>
        <v>0.22799839048737366</v>
      </c>
      <c r="CU555" s="290"/>
      <c r="CV555" s="649">
        <f>CV543/CV554*2</f>
        <v>0.1882954798711429</v>
      </c>
      <c r="CW555" s="649">
        <f>CW543/CW554*2</f>
        <v>0.2192446407678941</v>
      </c>
      <c r="CX555" s="649">
        <f>CX543/CX554</f>
        <v>0.20445666038245017</v>
      </c>
      <c r="CY555" s="290"/>
      <c r="CZ555" s="649">
        <f>CZ543/CZ554*2</f>
        <v>0.10474600975178926</v>
      </c>
      <c r="DA555" s="649">
        <f>DA543/DA554*2</f>
        <v>0.15667169857205879</v>
      </c>
      <c r="DB555" s="649">
        <f>DB543/DB554</f>
        <v>0.13058520654853564</v>
      </c>
      <c r="DC555" s="290"/>
      <c r="DD555" s="649">
        <f>DD543/DD554*2</f>
        <v>0.1188257922733973</v>
      </c>
      <c r="DE555" s="649">
        <f ca="1">DE543/DE554*2</f>
        <v>0.14283056418850329</v>
      </c>
      <c r="DF555" s="649">
        <f ca="1">DF543/DF554</f>
        <v>0.13102772416268621</v>
      </c>
      <c r="DG555" s="290"/>
      <c r="DH555" s="649">
        <f>DH543/DH554*2</f>
        <v>0.10632431593205095</v>
      </c>
      <c r="DI555" s="649">
        <f ca="1">DI543/DI554*2</f>
        <v>0.15943892049843783</v>
      </c>
      <c r="DJ555" s="649">
        <f ca="1">DJ543/DJ554</f>
        <v>0.13307248207909031</v>
      </c>
      <c r="DK555" s="290"/>
      <c r="DL555" s="649">
        <f ca="1">DL543/DL554*2</f>
        <v>0.1180122123727185</v>
      </c>
      <c r="DM555" s="649">
        <f ca="1">DM543/DM554*2</f>
        <v>0.1562284072994794</v>
      </c>
      <c r="DN555" s="649">
        <f ca="1">DN543/DN554</f>
        <v>0.13756415107378289</v>
      </c>
      <c r="DO555" s="290"/>
      <c r="DP555" s="649">
        <f ca="1">DP543/DP554*2</f>
        <v>0.11712690424166801</v>
      </c>
      <c r="DQ555" s="649">
        <f ca="1">DQ543/DQ554*2</f>
        <v>0.15215637597352583</v>
      </c>
      <c r="DR555" s="649">
        <f ca="1">DR543/DR554</f>
        <v>0.13504801514871073</v>
      </c>
      <c r="DS555" s="290"/>
      <c r="DT555" s="290"/>
      <c r="DU555" s="290"/>
      <c r="DV555" s="290"/>
      <c r="DW555" s="290"/>
      <c r="DX555" s="290"/>
      <c r="DZ555" s="771"/>
      <c r="EH555"/>
    </row>
    <row r="556" spans="1:138">
      <c r="A556" s="289" t="s">
        <v>1439</v>
      </c>
      <c r="AP556" s="649">
        <f t="shared" ref="AP556" si="536">+AP555</f>
        <v>0.26285308825205195</v>
      </c>
      <c r="AT556" s="649">
        <f t="shared" ref="AT556" si="537">+AT555</f>
        <v>0.11827780981832633</v>
      </c>
      <c r="AX556" s="649">
        <f t="shared" ref="AX556" si="538">+AX555</f>
        <v>0.12388649637189546</v>
      </c>
      <c r="BB556" s="649">
        <f t="shared" ref="BB556" si="539">+BB555</f>
        <v>0.11156835881153612</v>
      </c>
      <c r="BF556" s="649">
        <f t="shared" ref="BF556" si="540">+BF555</f>
        <v>8.6150233226330281E-2</v>
      </c>
      <c r="BJ556" s="649">
        <f>+BJ555</f>
        <v>9.6085570502568288E-2</v>
      </c>
      <c r="BN556" s="649">
        <f>+BN555</f>
        <v>0.12982482495760481</v>
      </c>
      <c r="BR556" s="649">
        <f>+BR555</f>
        <v>0.15979952905690445</v>
      </c>
      <c r="BV556" s="734">
        <v>0.16</v>
      </c>
      <c r="BW556" s="1462"/>
      <c r="BX556" s="1462"/>
      <c r="BY556" s="1462"/>
      <c r="BZ556" s="734">
        <v>0.16400000000000001</v>
      </c>
      <c r="CA556" s="1462"/>
      <c r="CB556" s="1462"/>
      <c r="CC556" s="1462"/>
      <c r="CD556" s="734">
        <v>0.18</v>
      </c>
      <c r="CE556" s="1462"/>
      <c r="CF556" s="1462"/>
      <c r="CG556" s="1462"/>
      <c r="CH556" s="734">
        <v>0.19900000000000001</v>
      </c>
      <c r="CI556" s="1462"/>
      <c r="CJ556" s="1462"/>
      <c r="CK556" s="1462"/>
      <c r="CL556" s="734">
        <v>0.16900000000000001</v>
      </c>
      <c r="CM556" s="1462"/>
      <c r="CN556" s="1462"/>
      <c r="CO556" s="1462"/>
      <c r="CP556" s="734">
        <v>0.16600000000000001</v>
      </c>
      <c r="CQ556" s="1462"/>
      <c r="CR556" s="1462"/>
      <c r="CS556" s="1462"/>
      <c r="CT556" s="734">
        <v>0.22</v>
      </c>
      <c r="CU556" s="1462"/>
      <c r="CV556" s="1462"/>
      <c r="CW556" s="1462"/>
      <c r="CX556" s="734">
        <v>0.19400000000000001</v>
      </c>
      <c r="CZ556" s="1462"/>
      <c r="DA556" s="1462"/>
      <c r="DB556" s="1462">
        <v>0.124</v>
      </c>
      <c r="DD556" s="1462">
        <v>0.114</v>
      </c>
      <c r="DE556" s="1462">
        <v>0.13900000000000001</v>
      </c>
      <c r="DF556" s="2189">
        <v>0.127</v>
      </c>
      <c r="DH556" s="1462">
        <v>0.10199999999999999</v>
      </c>
      <c r="DI556" s="1599">
        <f t="shared" ref="DI556:DJ556" ca="1" si="541">DI555</f>
        <v>0.15943892049843783</v>
      </c>
      <c r="DJ556" s="1599">
        <f t="shared" ca="1" si="541"/>
        <v>0.13307248207909031</v>
      </c>
      <c r="DL556" s="1599">
        <f ca="1">DL555</f>
        <v>0.1180122123727185</v>
      </c>
      <c r="DM556" s="1599">
        <f t="shared" ref="DM556" ca="1" si="542">DM555</f>
        <v>0.1562284072994794</v>
      </c>
      <c r="DN556" s="1599">
        <f t="shared" ref="DN556" ca="1" si="543">DN555</f>
        <v>0.13756415107378289</v>
      </c>
      <c r="DP556" s="1599">
        <f ca="1">DP555</f>
        <v>0.11712690424166801</v>
      </c>
      <c r="DQ556" s="1599">
        <f t="shared" ref="DQ556" ca="1" si="544">DQ555</f>
        <v>0.15215637597352583</v>
      </c>
      <c r="DR556" s="1599">
        <f t="shared" ref="DR556" ca="1" si="545">DR555</f>
        <v>0.13504801514871073</v>
      </c>
    </row>
    <row r="559" spans="1:138" s="289" customFormat="1">
      <c r="A559" s="620" t="s">
        <v>238</v>
      </c>
      <c r="B559" s="620"/>
      <c r="C559" s="651"/>
      <c r="D559" s="620"/>
      <c r="E559" s="620"/>
      <c r="F559" s="620"/>
      <c r="G559" s="620"/>
      <c r="H559" s="620"/>
      <c r="I559" s="620"/>
      <c r="J559" s="620"/>
      <c r="K559" s="620"/>
      <c r="L559" s="620"/>
      <c r="M559" s="620"/>
      <c r="N559" s="620"/>
      <c r="O559" s="620"/>
      <c r="P559" s="652"/>
      <c r="Q559" s="652"/>
      <c r="R559" s="624"/>
      <c r="S559" s="651"/>
      <c r="T559" s="652"/>
      <c r="U559" s="652"/>
      <c r="V559" s="624"/>
      <c r="W559" s="651"/>
      <c r="X559" s="652"/>
      <c r="Y559" s="652"/>
      <c r="Z559" s="624"/>
      <c r="AA559" s="651"/>
      <c r="AB559" s="652"/>
      <c r="AC559" s="652"/>
      <c r="AD559" s="624"/>
      <c r="AE559" s="651"/>
      <c r="AF559" s="652"/>
      <c r="AG559" s="652"/>
      <c r="AH559" s="624"/>
      <c r="AI559" s="653"/>
      <c r="AJ559" s="652"/>
      <c r="AK559" s="652"/>
      <c r="AL559" s="624"/>
      <c r="AM559" s="651"/>
      <c r="AN559" s="652"/>
      <c r="AO559" s="652"/>
      <c r="AP559" s="624"/>
      <c r="AQ559" s="651"/>
      <c r="AR559" s="652"/>
      <c r="AS559" s="652"/>
      <c r="AT559" s="624"/>
      <c r="AU559" s="651"/>
      <c r="AV559" s="652"/>
      <c r="AW559" s="652"/>
      <c r="AX559" s="624"/>
      <c r="AY559" s="651"/>
      <c r="AZ559" s="652"/>
      <c r="BA559" s="652"/>
      <c r="BB559" s="624"/>
      <c r="BC559" s="651"/>
      <c r="BD559" s="652"/>
      <c r="BE559" s="652"/>
      <c r="BF559" s="624"/>
      <c r="BG559" s="651"/>
      <c r="BH559" s="652"/>
      <c r="BI559" s="652"/>
      <c r="BJ559" s="624"/>
      <c r="BK559" s="651"/>
      <c r="BL559" s="652"/>
      <c r="BM559" s="652"/>
      <c r="BN559" s="624"/>
      <c r="BO559" s="651"/>
      <c r="BP559" s="652"/>
      <c r="BQ559" s="652"/>
      <c r="BR559" s="624"/>
      <c r="BS559" s="651"/>
      <c r="BT559" s="652"/>
      <c r="BU559" s="652"/>
      <c r="BV559" s="624"/>
      <c r="BW559" s="651"/>
      <c r="BX559" s="652"/>
      <c r="BY559" s="652"/>
      <c r="BZ559" s="624"/>
      <c r="CA559" s="651"/>
      <c r="CB559" s="652"/>
      <c r="CC559" s="652"/>
      <c r="CD559" s="624"/>
      <c r="CE559" s="651"/>
      <c r="CF559" s="652"/>
      <c r="CG559" s="652"/>
      <c r="CH559" s="624"/>
      <c r="CI559" s="651"/>
      <c r="CJ559" s="652"/>
      <c r="CK559" s="652"/>
      <c r="CL559" s="624"/>
      <c r="CM559" s="651"/>
      <c r="CN559" s="652"/>
      <c r="CO559" s="652"/>
      <c r="CP559" s="624"/>
      <c r="CQ559" s="651"/>
      <c r="CR559" s="652"/>
      <c r="CS559" s="652"/>
      <c r="CT559" s="624"/>
      <c r="CU559" s="651"/>
      <c r="CV559" s="652"/>
      <c r="CW559" s="1792"/>
      <c r="CX559" s="624"/>
      <c r="CY559" s="651"/>
      <c r="CZ559" s="652"/>
      <c r="DA559" s="652"/>
      <c r="DB559" s="624"/>
      <c r="DC559" s="651"/>
      <c r="DD559" s="652"/>
      <c r="DE559" s="652"/>
      <c r="DF559" s="624"/>
      <c r="DG559" s="651"/>
      <c r="DH559" s="652"/>
      <c r="DI559" s="652"/>
      <c r="DJ559" s="624"/>
      <c r="DK559" s="651"/>
      <c r="DL559" s="652"/>
      <c r="DM559" s="652"/>
      <c r="DN559" s="624"/>
      <c r="DO559" s="651"/>
      <c r="DP559" s="652"/>
      <c r="DQ559" s="652"/>
      <c r="DR559" s="624"/>
      <c r="DS559" s="651"/>
      <c r="DT559" s="290"/>
      <c r="DU559" s="295"/>
      <c r="DV559" s="295"/>
      <c r="DW559" s="293"/>
      <c r="DX559" s="290"/>
      <c r="EH559"/>
    </row>
    <row r="561" spans="1:1">
      <c r="A561" s="102" t="s">
        <v>996</v>
      </c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4">
    <tabColor indexed="13"/>
  </sheetPr>
  <dimension ref="A1:DT419"/>
  <sheetViews>
    <sheetView showGridLines="0" zoomScale="115" zoomScaleNormal="115" workbookViewId="0">
      <pane xSplit="3" ySplit="4" topLeftCell="DG93" activePane="bottomRight" state="frozen"/>
      <selection activeCell="JH1" sqref="JH1"/>
      <selection pane="topRight" activeCell="JH1" sqref="JH1"/>
      <selection pane="bottomLeft" activeCell="JH1" sqref="JH1"/>
      <selection pane="bottomRight" activeCell="DG97" sqref="DG97"/>
    </sheetView>
  </sheetViews>
  <sheetFormatPr defaultColWidth="9.109375" defaultRowHeight="13.8" outlineLevelRow="1" outlineLevelCol="1"/>
  <cols>
    <col min="1" max="1" width="13.33203125" style="102" customWidth="1"/>
    <col min="2" max="2" width="8.33203125" style="102" customWidth="1"/>
    <col min="3" max="3" width="35" style="103" customWidth="1"/>
    <col min="4" max="6" width="6.109375" style="102" hidden="1" customWidth="1" outlineLevel="1"/>
    <col min="7" max="7" width="3.109375" style="102" hidden="1" customWidth="1" outlineLevel="1"/>
    <col min="8" max="10" width="6.109375" style="102" hidden="1" customWidth="1" outlineLevel="1"/>
    <col min="11" max="11" width="3.109375" style="102" hidden="1" customWidth="1" outlineLevel="1"/>
    <col min="12" max="14" width="6.109375" style="102" hidden="1" customWidth="1" outlineLevel="1"/>
    <col min="15" max="15" width="3.109375" style="102" hidden="1" customWidth="1" outlineLevel="1"/>
    <col min="16" max="18" width="6.44140625" style="102" hidden="1" customWidth="1" outlineLevel="1"/>
    <col min="19" max="19" width="3.109375" style="102" hidden="1" customWidth="1" outlineLevel="1"/>
    <col min="20" max="22" width="6.44140625" style="102" hidden="1" customWidth="1" outlineLevel="1"/>
    <col min="23" max="23" width="3.109375" style="102" hidden="1" customWidth="1" outlineLevel="1"/>
    <col min="24" max="24" width="6.109375" style="102" hidden="1" customWidth="1" outlineLevel="1"/>
    <col min="25" max="26" width="6.44140625" style="102" hidden="1" customWidth="1" outlineLevel="1"/>
    <col min="27" max="27" width="3.109375" style="102" hidden="1" customWidth="1" outlineLevel="1"/>
    <col min="28" max="28" width="6.109375" style="102" hidden="1" customWidth="1" outlineLevel="1"/>
    <col min="29" max="30" width="6.44140625" style="102" hidden="1" customWidth="1" outlineLevel="1"/>
    <col min="31" max="31" width="3.109375" style="102" hidden="1" customWidth="1" outlineLevel="1"/>
    <col min="32" max="32" width="6.109375" style="102" hidden="1" customWidth="1" outlineLevel="1"/>
    <col min="33" max="34" width="6.5546875" style="102" hidden="1" customWidth="1" outlineLevel="1"/>
    <col min="35" max="35" width="5.5546875" style="102" hidden="1" customWidth="1" outlineLevel="1"/>
    <col min="36" max="38" width="6.5546875" style="102" hidden="1" customWidth="1" outlineLevel="1"/>
    <col min="39" max="39" width="5.5546875" style="102" hidden="1" customWidth="1" outlineLevel="1"/>
    <col min="40" max="64" width="9.109375" style="103" hidden="1" customWidth="1" outlineLevel="1"/>
    <col min="65" max="65" width="10.109375" style="103" hidden="1" customWidth="1" outlineLevel="1"/>
    <col min="66" max="67" width="9.109375" style="103" hidden="1" customWidth="1" outlineLevel="1"/>
    <col min="68" max="69" width="10.109375" style="103" hidden="1" customWidth="1" outlineLevel="1"/>
    <col min="70" max="71" width="9.109375" style="103" hidden="1" customWidth="1" outlineLevel="1"/>
    <col min="72" max="72" width="10.109375" style="103" customWidth="1" collapsed="1"/>
    <col min="73" max="73" width="10.109375" style="103" customWidth="1"/>
    <col min="74" max="75" width="9.109375" style="103"/>
    <col min="76" max="77" width="10.109375" style="103" customWidth="1"/>
    <col min="78" max="79" width="9.109375" style="103"/>
    <col min="80" max="81" width="10.109375" style="103" customWidth="1"/>
    <col min="82" max="83" width="9.109375" style="103"/>
    <col min="84" max="84" width="10.44140625" style="103" customWidth="1"/>
    <col min="85" max="85" width="9.88671875" style="103" customWidth="1"/>
    <col min="86" max="87" width="9.109375" style="103"/>
    <col min="88" max="88" width="10.44140625" style="103" customWidth="1"/>
    <col min="89" max="89" width="9.88671875" style="103" customWidth="1"/>
    <col min="90" max="91" width="9.109375" style="103"/>
    <col min="92" max="93" width="10.109375" style="103" customWidth="1"/>
    <col min="94" max="95" width="9.109375" style="103"/>
    <col min="96" max="97" width="10.109375" style="103" customWidth="1"/>
    <col min="98" max="99" width="9.109375" style="103"/>
    <col min="100" max="100" width="12.88671875" style="103" customWidth="1"/>
    <col min="101" max="101" width="10.109375" style="1408" customWidth="1"/>
    <col min="102" max="102" width="9.109375" style="1408"/>
    <col min="103" max="103" width="9.109375" style="103"/>
    <col min="104" max="105" width="10.109375" style="103" customWidth="1"/>
    <col min="106" max="107" width="9.109375" style="103"/>
    <col min="108" max="109" width="10.109375" style="103" customWidth="1"/>
    <col min="110" max="111" width="9.109375" style="103"/>
    <col min="112" max="113" width="10.109375" style="103" customWidth="1"/>
    <col min="114" max="114" width="9.109375" style="103"/>
    <col min="115" max="115" width="9.44140625" style="103" customWidth="1"/>
    <col min="116" max="117" width="10.109375" style="103" customWidth="1"/>
    <col min="118" max="119" width="9.109375" style="103"/>
    <col min="120" max="121" width="10.109375" style="103" customWidth="1"/>
    <col min="122" max="123" width="9.109375" style="103"/>
    <col min="125" max="16384" width="9.109375" style="102"/>
  </cols>
  <sheetData>
    <row r="1" spans="1:123" ht="18" customHeight="1">
      <c r="A1" s="1091"/>
      <c r="B1" s="1139"/>
      <c r="C1" s="1140"/>
      <c r="D1" s="1139"/>
      <c r="E1" s="1140"/>
      <c r="F1" s="1141"/>
      <c r="G1" s="1140"/>
      <c r="H1" s="1140"/>
      <c r="I1" s="1140"/>
      <c r="J1" s="1141"/>
      <c r="K1" s="1139"/>
      <c r="L1" s="1139"/>
      <c r="M1" s="1139"/>
      <c r="N1" s="1139"/>
      <c r="O1" s="1139"/>
      <c r="P1" s="1139"/>
      <c r="Q1" s="1139"/>
      <c r="R1" s="1139"/>
      <c r="S1" s="1139"/>
      <c r="T1" s="1139"/>
      <c r="U1" s="1139"/>
      <c r="V1" s="1139"/>
      <c r="W1" s="1139"/>
      <c r="X1" s="1139"/>
      <c r="Y1" s="1139"/>
      <c r="Z1" s="1139"/>
      <c r="AA1" s="1139"/>
      <c r="AB1" s="1139"/>
      <c r="AC1" s="1139"/>
      <c r="AD1" s="1139"/>
      <c r="AE1" s="1139"/>
      <c r="AF1" s="1142"/>
      <c r="AG1" s="1142"/>
      <c r="AH1" s="1142"/>
      <c r="AI1" s="1142"/>
      <c r="AJ1" s="1142"/>
      <c r="AK1" s="1142"/>
      <c r="AL1" s="1142"/>
      <c r="AM1" s="1142"/>
      <c r="AN1" s="1143"/>
      <c r="AO1" s="1143"/>
      <c r="AP1" s="1143"/>
      <c r="AQ1" s="1143"/>
      <c r="AR1" s="1143"/>
      <c r="AS1" s="1143"/>
      <c r="AT1" s="1143"/>
      <c r="AU1" s="1143"/>
      <c r="AV1" s="1143"/>
      <c r="AW1" s="1143"/>
      <c r="AX1" s="1143"/>
      <c r="AY1" s="1143"/>
      <c r="AZ1" s="1143"/>
      <c r="BA1" s="1143"/>
      <c r="BB1" s="1143"/>
      <c r="BC1" s="1143"/>
      <c r="BD1" s="1143"/>
      <c r="BE1" s="1143"/>
      <c r="BF1" s="1143"/>
      <c r="BG1" s="1143"/>
      <c r="BH1" s="1143"/>
      <c r="BI1" s="1143"/>
      <c r="BJ1" s="1143"/>
      <c r="BK1" s="1143"/>
      <c r="BL1" s="1143"/>
      <c r="BM1" s="1143"/>
      <c r="BN1" s="1143"/>
      <c r="BO1" s="1143"/>
      <c r="BP1" s="1143"/>
      <c r="BQ1" s="1143"/>
      <c r="BR1" s="1143"/>
      <c r="BS1" s="1143"/>
      <c r="BT1" s="1143"/>
      <c r="BU1" s="1143"/>
      <c r="BV1" s="1143"/>
      <c r="BW1" s="1143"/>
      <c r="BX1" s="1143"/>
      <c r="BY1" s="1143"/>
      <c r="BZ1" s="1143"/>
      <c r="CA1" s="1143"/>
      <c r="CB1" s="1143"/>
      <c r="CC1" s="1143"/>
      <c r="CD1" s="1143"/>
      <c r="CE1" s="1143"/>
      <c r="CF1" s="1143"/>
      <c r="CG1" s="1143"/>
      <c r="CH1" s="1143"/>
      <c r="CI1" s="1143"/>
      <c r="CJ1" s="1143"/>
      <c r="CK1" s="1143"/>
      <c r="CL1" s="1143"/>
      <c r="CM1" s="1143"/>
      <c r="CN1" s="1143"/>
      <c r="CO1" s="1143"/>
      <c r="CP1" s="1143"/>
      <c r="CQ1" s="1143"/>
      <c r="CR1" s="1143"/>
      <c r="CS1" s="1143"/>
      <c r="CT1" s="1143"/>
      <c r="CU1" s="1143"/>
      <c r="CV1" s="1143"/>
      <c r="CW1" s="1831"/>
      <c r="CX1" s="1831"/>
      <c r="CY1" s="1143"/>
      <c r="CZ1" s="1143"/>
      <c r="DA1" s="1143"/>
      <c r="DB1" s="1143"/>
      <c r="DC1" s="1143"/>
      <c r="DD1" s="1143"/>
      <c r="DE1" s="1143"/>
      <c r="DF1" s="1143"/>
      <c r="DG1" s="1143"/>
      <c r="DH1" s="1143"/>
      <c r="DI1" s="1143"/>
      <c r="DJ1" s="1143"/>
      <c r="DK1" s="1143"/>
      <c r="DL1" s="1143"/>
      <c r="DM1" s="1143"/>
      <c r="DN1" s="1143"/>
      <c r="DO1" s="1143"/>
      <c r="DP1" s="1143"/>
      <c r="DQ1" s="1143"/>
      <c r="DR1" s="1143"/>
      <c r="DS1" s="1143"/>
    </row>
    <row r="2" spans="1:123" ht="13.5" customHeight="1">
      <c r="A2" s="1144"/>
      <c r="B2" s="616"/>
      <c r="C2" s="617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1145"/>
      <c r="P2" s="308"/>
      <c r="Q2" s="308"/>
      <c r="R2" s="308"/>
      <c r="S2" s="1145"/>
      <c r="T2" s="308"/>
      <c r="U2" s="308"/>
      <c r="V2" s="308"/>
      <c r="W2" s="1145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308"/>
      <c r="AM2" s="308"/>
      <c r="AN2" s="317"/>
      <c r="AO2" s="317"/>
      <c r="AP2" s="317"/>
      <c r="AQ2" s="317"/>
      <c r="AR2" s="317"/>
      <c r="AS2" s="317"/>
      <c r="AT2" s="317"/>
      <c r="AU2" s="317"/>
      <c r="AV2" s="317"/>
      <c r="AW2" s="317"/>
      <c r="AX2" s="317"/>
      <c r="AY2" s="317"/>
      <c r="AZ2" s="317"/>
      <c r="BA2" s="317"/>
      <c r="BB2" s="317"/>
      <c r="BC2" s="317"/>
      <c r="BD2" s="317"/>
      <c r="BE2" s="317"/>
      <c r="BF2" s="317"/>
      <c r="BG2" s="317"/>
      <c r="BH2" s="317"/>
      <c r="BI2" s="317"/>
      <c r="BJ2" s="317"/>
      <c r="BK2" s="317"/>
      <c r="BL2" s="317"/>
      <c r="BM2" s="317"/>
      <c r="BN2" s="317"/>
      <c r="BO2" s="317"/>
      <c r="BP2" s="317"/>
      <c r="BQ2" s="317"/>
      <c r="BR2" s="317"/>
      <c r="BS2" s="317"/>
      <c r="BT2" s="317"/>
      <c r="BU2" s="317"/>
      <c r="BV2" s="317"/>
      <c r="BW2" s="317"/>
      <c r="BX2" s="317"/>
      <c r="BY2" s="317"/>
      <c r="BZ2" s="317"/>
      <c r="CA2" s="317"/>
      <c r="CB2" s="317"/>
      <c r="CC2" s="317"/>
      <c r="CD2" s="317"/>
      <c r="CE2" s="317"/>
      <c r="CF2" s="317"/>
      <c r="CG2" s="317"/>
      <c r="CH2" s="317"/>
      <c r="CI2" s="317"/>
      <c r="CJ2" s="317"/>
      <c r="CK2" s="317"/>
      <c r="CL2" s="317"/>
      <c r="CM2" s="317"/>
      <c r="CN2" s="317"/>
      <c r="CO2" s="317"/>
      <c r="CP2" s="317"/>
      <c r="CQ2" s="317"/>
      <c r="CR2" s="317"/>
      <c r="CS2" s="317"/>
      <c r="CT2" s="317"/>
      <c r="CU2" s="317"/>
      <c r="CV2" s="317"/>
      <c r="CW2" s="1832"/>
      <c r="CX2" s="1832"/>
      <c r="CY2" s="317"/>
      <c r="CZ2" s="317"/>
      <c r="DA2" s="317"/>
      <c r="DB2" s="317"/>
      <c r="DC2" s="317"/>
      <c r="DD2" s="317"/>
      <c r="DE2" s="317"/>
      <c r="DF2" s="317"/>
      <c r="DG2" s="317"/>
      <c r="DH2" s="317"/>
      <c r="DI2" s="317"/>
      <c r="DJ2" s="317"/>
      <c r="DK2" s="317"/>
      <c r="DL2" s="317"/>
      <c r="DM2" s="317"/>
      <c r="DN2" s="317"/>
      <c r="DO2" s="317"/>
      <c r="DP2" s="317"/>
      <c r="DQ2" s="317"/>
      <c r="DR2" s="317"/>
      <c r="DS2" s="317"/>
    </row>
    <row r="3" spans="1:123" ht="13.5" customHeight="1">
      <c r="A3" s="1571" t="s">
        <v>622</v>
      </c>
      <c r="B3" s="1572"/>
      <c r="C3" s="1573"/>
      <c r="D3" s="1574" t="s">
        <v>623</v>
      </c>
      <c r="E3" s="1574" t="s">
        <v>624</v>
      </c>
      <c r="F3" s="1572" t="s">
        <v>625</v>
      </c>
      <c r="G3" s="1572" t="s">
        <v>626</v>
      </c>
      <c r="H3" s="1574" t="s">
        <v>627</v>
      </c>
      <c r="I3" s="1574" t="s">
        <v>628</v>
      </c>
      <c r="J3" s="1572" t="s">
        <v>629</v>
      </c>
      <c r="K3" s="1572" t="s">
        <v>626</v>
      </c>
      <c r="L3" s="1574" t="s">
        <v>630</v>
      </c>
      <c r="M3" s="1574" t="s">
        <v>631</v>
      </c>
      <c r="N3" s="1572" t="s">
        <v>632</v>
      </c>
      <c r="O3" s="1572" t="s">
        <v>626</v>
      </c>
      <c r="P3" s="1574" t="s">
        <v>633</v>
      </c>
      <c r="Q3" s="1574" t="s">
        <v>634</v>
      </c>
      <c r="R3" s="1572" t="s">
        <v>635</v>
      </c>
      <c r="S3" s="1572" t="s">
        <v>626</v>
      </c>
      <c r="T3" s="1574" t="s">
        <v>636</v>
      </c>
      <c r="U3" s="1574" t="s">
        <v>637</v>
      </c>
      <c r="V3" s="1572" t="s">
        <v>638</v>
      </c>
      <c r="W3" s="1572" t="s">
        <v>626</v>
      </c>
      <c r="X3" s="1574" t="s">
        <v>639</v>
      </c>
      <c r="Y3" s="1574" t="s">
        <v>640</v>
      </c>
      <c r="Z3" s="1575">
        <v>2005</v>
      </c>
      <c r="AA3" s="1576" t="s">
        <v>626</v>
      </c>
      <c r="AB3" s="1574" t="s">
        <v>639</v>
      </c>
      <c r="AC3" s="1574" t="s">
        <v>640</v>
      </c>
      <c r="AD3" s="1572" t="s">
        <v>641</v>
      </c>
      <c r="AE3" s="1576" t="s">
        <v>626</v>
      </c>
      <c r="AF3" s="1574" t="s">
        <v>642</v>
      </c>
      <c r="AG3" s="1574" t="s">
        <v>643</v>
      </c>
      <c r="AH3" s="1572" t="s">
        <v>644</v>
      </c>
      <c r="AI3" s="1576" t="s">
        <v>626</v>
      </c>
      <c r="AJ3" s="1572" t="s">
        <v>645</v>
      </c>
      <c r="AK3" s="1572" t="s">
        <v>646</v>
      </c>
      <c r="AL3" s="1572" t="s">
        <v>647</v>
      </c>
      <c r="AM3" s="1576" t="s">
        <v>626</v>
      </c>
      <c r="AN3" s="1572" t="s">
        <v>609</v>
      </c>
      <c r="AO3" s="1572" t="s">
        <v>610</v>
      </c>
      <c r="AP3" s="1572" t="s">
        <v>611</v>
      </c>
      <c r="AQ3" s="1576" t="s">
        <v>626</v>
      </c>
      <c r="AR3" s="1572" t="s">
        <v>573</v>
      </c>
      <c r="AS3" s="1572" t="s">
        <v>574</v>
      </c>
      <c r="AT3" s="1572" t="s">
        <v>583</v>
      </c>
      <c r="AU3" s="1576" t="s">
        <v>626</v>
      </c>
      <c r="AV3" s="1572" t="s">
        <v>575</v>
      </c>
      <c r="AW3" s="1572" t="s">
        <v>582</v>
      </c>
      <c r="AX3" s="1572" t="s">
        <v>584</v>
      </c>
      <c r="AY3" s="1576" t="s">
        <v>626</v>
      </c>
      <c r="AZ3" s="1572" t="s">
        <v>603</v>
      </c>
      <c r="BA3" s="1572" t="s">
        <v>813</v>
      </c>
      <c r="BB3" s="1572" t="s">
        <v>814</v>
      </c>
      <c r="BC3" s="1576" t="s">
        <v>626</v>
      </c>
      <c r="BD3" s="1572" t="s">
        <v>826</v>
      </c>
      <c r="BE3" s="1572" t="s">
        <v>885</v>
      </c>
      <c r="BF3" s="1572" t="s">
        <v>886</v>
      </c>
      <c r="BG3" s="1576" t="s">
        <v>626</v>
      </c>
      <c r="BH3" s="1572" t="s">
        <v>893</v>
      </c>
      <c r="BI3" s="1572" t="s">
        <v>901</v>
      </c>
      <c r="BJ3" s="1572" t="s">
        <v>902</v>
      </c>
      <c r="BK3" s="1572" t="s">
        <v>626</v>
      </c>
      <c r="BL3" s="1572" t="s">
        <v>69</v>
      </c>
      <c r="BM3" s="1572" t="s">
        <v>1</v>
      </c>
      <c r="BN3" s="1572" t="s">
        <v>2</v>
      </c>
      <c r="BO3" s="1572" t="s">
        <v>626</v>
      </c>
      <c r="BP3" s="1572" t="s">
        <v>944</v>
      </c>
      <c r="BQ3" s="1572" t="s">
        <v>894</v>
      </c>
      <c r="BR3" s="1572" t="s">
        <v>501</v>
      </c>
      <c r="BS3" s="1572" t="s">
        <v>626</v>
      </c>
      <c r="BT3" s="1572" t="str">
        <f>'P&amp;L'!BT4</f>
        <v>1H16</v>
      </c>
      <c r="BU3" s="1572" t="str">
        <f>'P&amp;L'!BU4</f>
        <v>2H16</v>
      </c>
      <c r="BV3" s="1572" t="str">
        <f>'P&amp;L'!BV4</f>
        <v>FY16</v>
      </c>
      <c r="BW3" s="1576" t="str">
        <f>'P&amp;L'!BW4</f>
        <v>Ch</v>
      </c>
      <c r="BX3" s="1572" t="str">
        <f>'P&amp;L'!BX4</f>
        <v>1H17</v>
      </c>
      <c r="BY3" s="1572" t="str">
        <f>'P&amp;L'!BY4</f>
        <v>2H17</v>
      </c>
      <c r="BZ3" s="1572" t="str">
        <f>'P&amp;L'!BZ4</f>
        <v>FY17</v>
      </c>
      <c r="CA3" s="1576" t="str">
        <f>'P&amp;L'!CA4</f>
        <v>Ch</v>
      </c>
      <c r="CB3" s="1572" t="str">
        <f>'P&amp;L'!CB4</f>
        <v>1H18</v>
      </c>
      <c r="CC3" s="1572" t="str">
        <f>'P&amp;L'!CC4</f>
        <v>2H18</v>
      </c>
      <c r="CD3" s="1572" t="str">
        <f>'P&amp;L'!CD4</f>
        <v>FY18</v>
      </c>
      <c r="CE3" s="1576" t="str">
        <f>'P&amp;L'!CE4</f>
        <v>Ch</v>
      </c>
      <c r="CF3" s="1572" t="str">
        <f>'P&amp;L'!CF4</f>
        <v>1H19</v>
      </c>
      <c r="CG3" s="1572" t="str">
        <f>'P&amp;L'!CG4</f>
        <v>2H19</v>
      </c>
      <c r="CH3" s="1572" t="str">
        <f>'P&amp;L'!CH4</f>
        <v>FY19</v>
      </c>
      <c r="CI3" s="1576" t="str">
        <f>'P&amp;L'!CI4</f>
        <v>Ch</v>
      </c>
      <c r="CJ3" s="1572" t="str">
        <f>'P&amp;L'!CJ4</f>
        <v>1H20</v>
      </c>
      <c r="CK3" s="1572" t="str">
        <f>'P&amp;L'!CK4</f>
        <v>2H20</v>
      </c>
      <c r="CL3" s="1572" t="str">
        <f>'P&amp;L'!CL4</f>
        <v>FY20</v>
      </c>
      <c r="CM3" s="1576" t="str">
        <f>'P&amp;L'!CM4</f>
        <v>Ch</v>
      </c>
      <c r="CN3" s="1572" t="str">
        <f>'P&amp;L'!CN4</f>
        <v>1H21</v>
      </c>
      <c r="CO3" s="1572" t="str">
        <f>'P&amp;L'!CO4</f>
        <v>2H21</v>
      </c>
      <c r="CP3" s="1572" t="str">
        <f>'P&amp;L'!CP4</f>
        <v>FY21</v>
      </c>
      <c r="CQ3" s="1576" t="str">
        <f>'P&amp;L'!CQ4</f>
        <v>Ch</v>
      </c>
      <c r="CR3" s="1572" t="str">
        <f>'P&amp;L'!CR4</f>
        <v>1H22</v>
      </c>
      <c r="CS3" s="1572" t="str">
        <f>'P&amp;L'!CS4</f>
        <v>2H22</v>
      </c>
      <c r="CT3" s="1572" t="str">
        <f>'P&amp;L'!CT4</f>
        <v>FY22</v>
      </c>
      <c r="CU3" s="1576" t="str">
        <f>'P&amp;L'!CU4</f>
        <v>Ch</v>
      </c>
      <c r="CV3" s="1572" t="str">
        <f>'P&amp;L'!CV4</f>
        <v>1H23</v>
      </c>
      <c r="CW3" s="1572" t="str">
        <f>'P&amp;L'!CW4</f>
        <v>2H23</v>
      </c>
      <c r="CX3" s="1572" t="str">
        <f>'P&amp;L'!CX4</f>
        <v>FY23</v>
      </c>
      <c r="CY3" s="1576" t="str">
        <f>'P&amp;L'!CY4</f>
        <v>Ch</v>
      </c>
      <c r="CZ3" s="1572" t="str">
        <f>'P&amp;L'!CZ4</f>
        <v>1H24</v>
      </c>
      <c r="DA3" s="1572" t="str">
        <f>'P&amp;L'!DA4</f>
        <v>2H24</v>
      </c>
      <c r="DB3" s="1572" t="str">
        <f>'P&amp;L'!DB4</f>
        <v>FY24</v>
      </c>
      <c r="DC3" s="1576" t="str">
        <f>'P&amp;L'!DC4</f>
        <v>Ch</v>
      </c>
      <c r="DD3" s="1572" t="str">
        <f>'P&amp;L'!DD4</f>
        <v>1H25</v>
      </c>
      <c r="DE3" s="1572" t="str">
        <f>'P&amp;L'!DE4</f>
        <v>2H25</v>
      </c>
      <c r="DF3" s="1572" t="str">
        <f>'P&amp;L'!DF4</f>
        <v>FY25</v>
      </c>
      <c r="DG3" s="1576" t="str">
        <f>'P&amp;L'!DG4</f>
        <v>Ch</v>
      </c>
      <c r="DH3" s="1572" t="str">
        <f>'P&amp;L'!DH4</f>
        <v>1H26</v>
      </c>
      <c r="DI3" s="1109" t="str">
        <f>'P&amp;L'!DI4</f>
        <v>2H26E</v>
      </c>
      <c r="DJ3" s="1109" t="str">
        <f>'P&amp;L'!DJ4</f>
        <v>FY26E</v>
      </c>
      <c r="DK3" s="1109" t="str">
        <f>'P&amp;L'!DK4</f>
        <v>Ch</v>
      </c>
      <c r="DL3" s="1109" t="str">
        <f>'P&amp;L'!DL4</f>
        <v>1H27E</v>
      </c>
      <c r="DM3" s="1109" t="str">
        <f>'P&amp;L'!DM4</f>
        <v>2H27E</v>
      </c>
      <c r="DN3" s="1109" t="str">
        <f>'P&amp;L'!DN4</f>
        <v>FY27E</v>
      </c>
      <c r="DO3" s="1109" t="str">
        <f>'P&amp;L'!DO4</f>
        <v>Ch</v>
      </c>
      <c r="DP3" s="1109" t="str">
        <f>'P&amp;L'!DP4</f>
        <v>1H28E</v>
      </c>
      <c r="DQ3" s="1109" t="str">
        <f>'P&amp;L'!DQ4</f>
        <v>2H28E</v>
      </c>
      <c r="DR3" s="1109" t="str">
        <f>'P&amp;L'!DR4</f>
        <v>FY28E</v>
      </c>
      <c r="DS3" s="1109" t="str">
        <f>'P&amp;L'!DS4</f>
        <v>Ch</v>
      </c>
    </row>
    <row r="4" spans="1:123" ht="13.5" customHeight="1">
      <c r="A4" s="1577" t="s">
        <v>648</v>
      </c>
      <c r="B4" s="1578"/>
      <c r="C4" s="1578"/>
      <c r="D4" s="1579" t="s">
        <v>649</v>
      </c>
      <c r="E4" s="1579" t="s">
        <v>649</v>
      </c>
      <c r="F4" s="1579" t="s">
        <v>649</v>
      </c>
      <c r="G4" s="1578"/>
      <c r="H4" s="1579" t="s">
        <v>649</v>
      </c>
      <c r="I4" s="1579" t="s">
        <v>649</v>
      </c>
      <c r="J4" s="1579" t="s">
        <v>649</v>
      </c>
      <c r="K4" s="1578"/>
      <c r="L4" s="1579" t="s">
        <v>649</v>
      </c>
      <c r="M4" s="1579" t="s">
        <v>649</v>
      </c>
      <c r="N4" s="1579" t="s">
        <v>649</v>
      </c>
      <c r="O4" s="1578"/>
      <c r="P4" s="1579" t="s">
        <v>649</v>
      </c>
      <c r="Q4" s="1579" t="s">
        <v>649</v>
      </c>
      <c r="R4" s="1579" t="s">
        <v>649</v>
      </c>
      <c r="S4" s="1578"/>
      <c r="T4" s="1579" t="s">
        <v>649</v>
      </c>
      <c r="U4" s="1579" t="s">
        <v>649</v>
      </c>
      <c r="V4" s="1579" t="s">
        <v>649</v>
      </c>
      <c r="W4" s="1578"/>
      <c r="X4" s="1579" t="s">
        <v>649</v>
      </c>
      <c r="Y4" s="1579" t="s">
        <v>649</v>
      </c>
      <c r="Z4" s="1579" t="s">
        <v>649</v>
      </c>
      <c r="AA4" s="1580"/>
      <c r="AB4" s="1579" t="s">
        <v>650</v>
      </c>
      <c r="AC4" s="1579" t="s">
        <v>650</v>
      </c>
      <c r="AD4" s="1579" t="s">
        <v>650</v>
      </c>
      <c r="AE4" s="1580"/>
      <c r="AF4" s="1579" t="s">
        <v>650</v>
      </c>
      <c r="AG4" s="1579" t="s">
        <v>650</v>
      </c>
      <c r="AH4" s="1579" t="s">
        <v>650</v>
      </c>
      <c r="AI4" s="1580"/>
      <c r="AJ4" s="1579" t="s">
        <v>650</v>
      </c>
      <c r="AK4" s="1579" t="s">
        <v>650</v>
      </c>
      <c r="AL4" s="1579" t="s">
        <v>650</v>
      </c>
      <c r="AM4" s="1580"/>
      <c r="AN4" s="1579" t="s">
        <v>650</v>
      </c>
      <c r="AO4" s="1579" t="s">
        <v>650</v>
      </c>
      <c r="AP4" s="1579" t="s">
        <v>650</v>
      </c>
      <c r="AQ4" s="1580"/>
      <c r="AR4" s="1579" t="s">
        <v>650</v>
      </c>
      <c r="AS4" s="1579" t="s">
        <v>650</v>
      </c>
      <c r="AT4" s="1579" t="s">
        <v>650</v>
      </c>
      <c r="AU4" s="1580"/>
      <c r="AV4" s="1579" t="s">
        <v>650</v>
      </c>
      <c r="AW4" s="1579" t="s">
        <v>650</v>
      </c>
      <c r="AX4" s="1579" t="s">
        <v>650</v>
      </c>
      <c r="AY4" s="1580"/>
      <c r="AZ4" s="1579" t="s">
        <v>650</v>
      </c>
      <c r="BA4" s="1579" t="s">
        <v>650</v>
      </c>
      <c r="BB4" s="1579" t="s">
        <v>650</v>
      </c>
      <c r="BC4" s="1580"/>
      <c r="BD4" s="1579" t="s">
        <v>650</v>
      </c>
      <c r="BE4" s="1579" t="s">
        <v>650</v>
      </c>
      <c r="BF4" s="1579" t="s">
        <v>650</v>
      </c>
      <c r="BG4" s="1580"/>
      <c r="BH4" s="1579" t="s">
        <v>650</v>
      </c>
      <c r="BI4" s="1579" t="s">
        <v>650</v>
      </c>
      <c r="BJ4" s="1579" t="s">
        <v>650</v>
      </c>
      <c r="BK4" s="1579"/>
      <c r="BL4" s="1579" t="s">
        <v>650</v>
      </c>
      <c r="BM4" s="1579" t="s">
        <v>650</v>
      </c>
      <c r="BN4" s="1579" t="s">
        <v>650</v>
      </c>
      <c r="BO4" s="1579"/>
      <c r="BP4" s="1579" t="s">
        <v>650</v>
      </c>
      <c r="BQ4" s="1579" t="s">
        <v>650</v>
      </c>
      <c r="BR4" s="1579" t="s">
        <v>650</v>
      </c>
      <c r="BS4" s="1579"/>
      <c r="BT4" s="1579" t="str">
        <f>'P&amp;L'!BT5</f>
        <v>AIFRS</v>
      </c>
      <c r="BU4" s="1579" t="str">
        <f>'P&amp;L'!BU5</f>
        <v>AIFRS</v>
      </c>
      <c r="BV4" s="1579" t="str">
        <f>'P&amp;L'!BV5</f>
        <v>AIFRS</v>
      </c>
      <c r="BW4" s="1580"/>
      <c r="BX4" s="1579" t="str">
        <f>'P&amp;L'!BX5</f>
        <v>AIFRS</v>
      </c>
      <c r="BY4" s="1579" t="str">
        <f>'P&amp;L'!BY5</f>
        <v>AIFRS</v>
      </c>
      <c r="BZ4" s="1579" t="str">
        <f>'P&amp;L'!BZ5</f>
        <v>AIFRS</v>
      </c>
      <c r="CA4" s="1580"/>
      <c r="CB4" s="1579" t="str">
        <f>'P&amp;L'!CB5</f>
        <v>AIFRS</v>
      </c>
      <c r="CC4" s="1579" t="str">
        <f>'P&amp;L'!CC5</f>
        <v>AIFRS</v>
      </c>
      <c r="CD4" s="1579" t="str">
        <f>'P&amp;L'!CD5</f>
        <v>AIFRS</v>
      </c>
      <c r="CE4" s="1580"/>
      <c r="CF4" s="1579" t="str">
        <f>'P&amp;L'!CF5</f>
        <v>AIFRS</v>
      </c>
      <c r="CG4" s="1579" t="str">
        <f>'P&amp;L'!CG5</f>
        <v>AIFRS</v>
      </c>
      <c r="CH4" s="1579" t="str">
        <f>'P&amp;L'!CH5</f>
        <v>AIFRS</v>
      </c>
      <c r="CI4" s="1580"/>
      <c r="CJ4" s="1579" t="str">
        <f>'P&amp;L'!CJ5</f>
        <v>AIFRS</v>
      </c>
      <c r="CK4" s="1579" t="str">
        <f>'P&amp;L'!CK5</f>
        <v>AIFRS</v>
      </c>
      <c r="CL4" s="1579" t="str">
        <f>'P&amp;L'!CL5</f>
        <v>AIFRS</v>
      </c>
      <c r="CM4" s="1580"/>
      <c r="CN4" s="1579" t="str">
        <f>'P&amp;L'!CN5</f>
        <v>AIFRS</v>
      </c>
      <c r="CO4" s="1579" t="str">
        <f>'P&amp;L'!CO5</f>
        <v>AIFRS</v>
      </c>
      <c r="CP4" s="1579" t="str">
        <f>'P&amp;L'!CP5</f>
        <v>AIFRS</v>
      </c>
      <c r="CQ4" s="1580"/>
      <c r="CR4" s="1579" t="str">
        <f>'P&amp;L'!CR5</f>
        <v>AIFRS</v>
      </c>
      <c r="CS4" s="1579" t="str">
        <f>'P&amp;L'!CS5</f>
        <v>AIFRS</v>
      </c>
      <c r="CT4" s="1579" t="str">
        <f>'P&amp;L'!CT5</f>
        <v>AIFRS</v>
      </c>
      <c r="CU4" s="1580"/>
      <c r="CV4" s="1579" t="str">
        <f>'P&amp;L'!CV5</f>
        <v>AIFRS</v>
      </c>
      <c r="CW4" s="1579" t="str">
        <f>'P&amp;L'!CW5</f>
        <v>AIFRS</v>
      </c>
      <c r="CX4" s="1579" t="str">
        <f>'P&amp;L'!CX5</f>
        <v>AIFRS</v>
      </c>
      <c r="CY4" s="1580"/>
      <c r="CZ4" s="1579" t="str">
        <f>'P&amp;L'!CZ5</f>
        <v>AIFRS</v>
      </c>
      <c r="DA4" s="1579" t="str">
        <f>'P&amp;L'!DA5</f>
        <v>AIFRS</v>
      </c>
      <c r="DB4" s="1579" t="str">
        <f>'P&amp;L'!DB5</f>
        <v>AIFRS</v>
      </c>
      <c r="DC4" s="1580"/>
      <c r="DD4" s="1579" t="str">
        <f>'P&amp;L'!DD5</f>
        <v>AIFRS</v>
      </c>
      <c r="DE4" s="1579" t="str">
        <f>'P&amp;L'!DE5</f>
        <v>AIFRS</v>
      </c>
      <c r="DF4" s="1579" t="str">
        <f>'P&amp;L'!DF5</f>
        <v>AIFRS</v>
      </c>
      <c r="DG4" s="1580"/>
      <c r="DH4" s="1579" t="str">
        <f>'P&amp;L'!DH5</f>
        <v>AIFRS</v>
      </c>
      <c r="DI4" s="618" t="str">
        <f>'P&amp;L'!DI5</f>
        <v>AIFRS</v>
      </c>
      <c r="DJ4" s="618" t="str">
        <f>'P&amp;L'!DJ5</f>
        <v>AIFRS</v>
      </c>
      <c r="DK4" s="617"/>
      <c r="DL4" s="618" t="str">
        <f>'P&amp;L'!DL5</f>
        <v>AIFRS</v>
      </c>
      <c r="DM4" s="618" t="str">
        <f>'P&amp;L'!DM5</f>
        <v>AIFRS</v>
      </c>
      <c r="DN4" s="618" t="str">
        <f>'P&amp;L'!DN5</f>
        <v>AIFRS</v>
      </c>
      <c r="DO4" s="617"/>
      <c r="DP4" s="618" t="str">
        <f>'P&amp;L'!DP5</f>
        <v>AIFRS</v>
      </c>
      <c r="DQ4" s="618" t="str">
        <f>'P&amp;L'!DQ5</f>
        <v>AIFRS</v>
      </c>
      <c r="DR4" s="618" t="str">
        <f>'P&amp;L'!DR5</f>
        <v>AIFRS</v>
      </c>
      <c r="DS4" s="617"/>
    </row>
    <row r="5" spans="1:123" ht="13.5" customHeight="1">
      <c r="A5" s="1147"/>
      <c r="B5" s="1148"/>
      <c r="C5" s="816"/>
      <c r="D5" s="1146"/>
      <c r="E5" s="1146"/>
      <c r="F5" s="1146"/>
      <c r="G5" s="1146"/>
      <c r="H5" s="1149"/>
      <c r="I5" s="1149"/>
      <c r="J5" s="854"/>
      <c r="K5" s="1146"/>
      <c r="L5" s="1149"/>
      <c r="M5" s="371"/>
      <c r="N5" s="854"/>
      <c r="O5" s="1146"/>
      <c r="R5" s="1149"/>
      <c r="V5" s="854"/>
      <c r="W5" s="854"/>
      <c r="AF5" s="1148"/>
      <c r="AG5" s="1148"/>
      <c r="AJ5" s="1148"/>
      <c r="AK5" s="1148"/>
      <c r="AN5" s="816"/>
      <c r="AO5" s="816"/>
      <c r="AR5" s="816"/>
      <c r="AS5" s="816"/>
      <c r="AV5" s="816"/>
      <c r="AW5" s="816"/>
      <c r="AZ5" s="816"/>
      <c r="BA5" s="816"/>
      <c r="BD5" s="816"/>
      <c r="BE5" s="816"/>
      <c r="BH5" s="816"/>
      <c r="BI5" s="816"/>
      <c r="BL5" s="816"/>
      <c r="BM5" s="816"/>
      <c r="BP5" s="816"/>
      <c r="BQ5" s="816"/>
      <c r="BT5" s="816"/>
      <c r="BU5" s="816"/>
      <c r="BX5" s="816"/>
      <c r="BY5" s="816"/>
      <c r="CB5" s="816"/>
      <c r="CC5" s="816"/>
      <c r="CF5" s="816"/>
      <c r="CG5" s="816"/>
      <c r="CJ5" s="816"/>
      <c r="CK5" s="816"/>
      <c r="CN5" s="816"/>
      <c r="CO5" s="816"/>
      <c r="CR5" s="816"/>
      <c r="CS5" s="816"/>
      <c r="CV5" s="816"/>
      <c r="CW5" s="1833"/>
      <c r="CZ5" s="816"/>
      <c r="DA5" s="816"/>
      <c r="DD5" s="816"/>
      <c r="DE5" s="816"/>
      <c r="DH5" s="816"/>
      <c r="DI5" s="816"/>
      <c r="DL5" s="816"/>
      <c r="DM5" s="816"/>
      <c r="DP5" s="816"/>
      <c r="DQ5" s="816"/>
    </row>
    <row r="6" spans="1:123">
      <c r="A6" s="792" t="s">
        <v>18</v>
      </c>
      <c r="B6" s="793"/>
      <c r="C6" s="794"/>
      <c r="D6" s="793"/>
      <c r="E6" s="793"/>
      <c r="F6" s="793"/>
      <c r="G6" s="793"/>
      <c r="H6" s="793"/>
      <c r="I6" s="793"/>
      <c r="J6" s="793"/>
      <c r="K6" s="793"/>
      <c r="L6" s="793"/>
      <c r="M6" s="793"/>
      <c r="N6" s="793"/>
      <c r="O6" s="793"/>
      <c r="P6" s="793"/>
      <c r="Q6" s="793"/>
      <c r="R6" s="793"/>
      <c r="S6" s="793"/>
      <c r="T6" s="793"/>
      <c r="U6" s="793"/>
      <c r="V6" s="793"/>
      <c r="W6" s="793"/>
      <c r="X6" s="793"/>
      <c r="Y6" s="793"/>
      <c r="Z6" s="793"/>
      <c r="AA6" s="793"/>
      <c r="AB6" s="793"/>
      <c r="AC6" s="793"/>
      <c r="AD6" s="793"/>
      <c r="AE6" s="793"/>
      <c r="AF6" s="793"/>
      <c r="AG6" s="793"/>
      <c r="AH6" s="793"/>
      <c r="AI6" s="793"/>
      <c r="AJ6" s="793"/>
      <c r="AK6" s="793"/>
      <c r="AL6" s="793"/>
      <c r="AM6" s="793"/>
      <c r="AN6" s="794"/>
      <c r="AO6" s="794"/>
      <c r="AP6" s="794"/>
      <c r="AQ6" s="794"/>
      <c r="AR6" s="794"/>
      <c r="AS6" s="794"/>
      <c r="AT6" s="794"/>
      <c r="AU6" s="794"/>
      <c r="AV6" s="794"/>
      <c r="AW6" s="794"/>
      <c r="AX6" s="794"/>
      <c r="AY6" s="794"/>
      <c r="AZ6" s="794"/>
      <c r="BA6" s="794"/>
      <c r="BB6" s="794"/>
      <c r="BC6" s="794"/>
      <c r="BD6" s="794"/>
      <c r="BE6" s="794"/>
      <c r="BF6" s="794"/>
      <c r="BG6" s="794"/>
      <c r="BH6" s="794"/>
      <c r="BI6" s="794"/>
      <c r="BJ6" s="794"/>
      <c r="BK6" s="794"/>
      <c r="BL6" s="794"/>
      <c r="BM6" s="794"/>
      <c r="BN6" s="794"/>
      <c r="BO6" s="794"/>
      <c r="BP6" s="794"/>
      <c r="BQ6" s="794"/>
      <c r="BR6" s="794"/>
      <c r="BS6" s="794"/>
      <c r="BT6" s="794"/>
      <c r="BU6" s="794"/>
      <c r="BV6" s="794"/>
      <c r="BW6" s="794"/>
      <c r="BX6" s="794"/>
      <c r="BY6" s="794"/>
      <c r="BZ6" s="794"/>
      <c r="CA6" s="794"/>
      <c r="CB6" s="794"/>
      <c r="CC6" s="794"/>
      <c r="CD6" s="794"/>
      <c r="CE6" s="794"/>
      <c r="CF6" s="794"/>
      <c r="CG6" s="794"/>
      <c r="CH6" s="794"/>
      <c r="CI6" s="794"/>
      <c r="CJ6" s="794"/>
      <c r="CK6" s="794"/>
      <c r="CL6" s="794"/>
      <c r="CM6" s="794"/>
      <c r="CN6" s="794"/>
      <c r="CO6" s="794"/>
      <c r="CP6" s="794"/>
      <c r="CQ6" s="794"/>
      <c r="CR6" s="794"/>
      <c r="CS6" s="794"/>
      <c r="CT6" s="794"/>
      <c r="CU6" s="794"/>
      <c r="CV6" s="794"/>
      <c r="CW6" s="1819"/>
      <c r="CX6" s="1819"/>
      <c r="CY6" s="794"/>
      <c r="CZ6" s="794"/>
      <c r="DA6" s="794"/>
      <c r="DB6" s="794"/>
      <c r="DC6" s="794"/>
      <c r="DD6" s="794"/>
      <c r="DE6" s="794"/>
      <c r="DF6" s="794"/>
      <c r="DG6" s="794"/>
      <c r="DH6" s="794"/>
      <c r="DI6" s="794"/>
      <c r="DJ6" s="794"/>
      <c r="DK6" s="794"/>
      <c r="DL6" s="794"/>
      <c r="DM6" s="794"/>
      <c r="DN6" s="794"/>
      <c r="DO6" s="794"/>
      <c r="DP6" s="794"/>
      <c r="DQ6" s="794"/>
      <c r="DR6" s="794"/>
      <c r="DS6" s="794"/>
    </row>
    <row r="8" spans="1:123">
      <c r="A8" s="692" t="s">
        <v>256</v>
      </c>
      <c r="B8" s="693"/>
      <c r="C8" s="694"/>
      <c r="D8" s="693"/>
      <c r="E8" s="693"/>
      <c r="F8" s="693"/>
      <c r="G8" s="693"/>
      <c r="H8" s="693"/>
      <c r="I8" s="693"/>
      <c r="J8" s="693"/>
      <c r="K8" s="693"/>
      <c r="L8" s="693"/>
      <c r="M8" s="693"/>
      <c r="N8" s="693"/>
      <c r="O8" s="693"/>
      <c r="P8" s="693"/>
      <c r="Q8" s="693"/>
      <c r="R8" s="693"/>
      <c r="S8" s="693"/>
      <c r="T8" s="693"/>
      <c r="U8" s="693"/>
      <c r="V8" s="693"/>
      <c r="W8" s="693"/>
      <c r="X8" s="693"/>
      <c r="Y8" s="693"/>
      <c r="Z8" s="693"/>
      <c r="AA8" s="693"/>
      <c r="AB8" s="693"/>
      <c r="AC8" s="693"/>
      <c r="AD8" s="693"/>
      <c r="AE8" s="693"/>
      <c r="AF8" s="693"/>
      <c r="AG8" s="693"/>
      <c r="AH8" s="693"/>
      <c r="AI8" s="693"/>
      <c r="AJ8" s="693"/>
      <c r="AK8" s="693"/>
      <c r="AL8" s="693"/>
      <c r="AM8" s="693"/>
      <c r="AN8" s="694"/>
      <c r="AO8" s="694"/>
      <c r="AP8" s="694"/>
      <c r="AQ8" s="694"/>
      <c r="AR8" s="694"/>
      <c r="AS8" s="694"/>
      <c r="AT8" s="694"/>
      <c r="AU8" s="694"/>
      <c r="AV8" s="694"/>
      <c r="AW8" s="694"/>
      <c r="AX8" s="694"/>
      <c r="AY8" s="694"/>
      <c r="AZ8" s="694"/>
      <c r="BA8" s="694"/>
      <c r="BB8" s="694"/>
      <c r="BC8" s="694"/>
      <c r="BD8" s="694"/>
      <c r="BE8" s="694"/>
      <c r="BF8" s="694"/>
      <c r="BG8" s="694"/>
      <c r="BH8" s="694"/>
      <c r="BI8" s="694"/>
      <c r="BJ8" s="694"/>
      <c r="BK8" s="694"/>
      <c r="BL8" s="694"/>
      <c r="BM8" s="694"/>
      <c r="BN8" s="694"/>
      <c r="BO8" s="694"/>
      <c r="BP8" s="694"/>
      <c r="BQ8" s="694"/>
      <c r="BR8" s="694"/>
      <c r="BS8" s="694"/>
      <c r="BT8" s="694"/>
      <c r="BU8" s="694"/>
      <c r="BV8" s="694"/>
      <c r="BW8" s="694"/>
      <c r="BX8" s="694"/>
      <c r="BY8" s="694"/>
      <c r="BZ8" s="694"/>
      <c r="CA8" s="694"/>
      <c r="CB8" s="694"/>
      <c r="CC8" s="694"/>
      <c r="CD8" s="694"/>
      <c r="CE8" s="694"/>
      <c r="CF8" s="694"/>
      <c r="CG8" s="694"/>
      <c r="CH8" s="694"/>
      <c r="CI8" s="694"/>
      <c r="CJ8" s="694"/>
      <c r="CK8" s="694"/>
      <c r="CL8" s="694"/>
      <c r="CM8" s="694"/>
      <c r="CN8" s="694"/>
      <c r="CO8" s="694"/>
      <c r="CP8" s="694"/>
      <c r="CQ8" s="694"/>
      <c r="CR8" s="694"/>
      <c r="CS8" s="694"/>
      <c r="CT8" s="694"/>
      <c r="CU8" s="694"/>
      <c r="CV8" s="694"/>
      <c r="CW8" s="1800"/>
      <c r="CX8" s="1800"/>
      <c r="CY8" s="694"/>
      <c r="CZ8" s="694"/>
      <c r="DA8" s="694"/>
      <c r="DB8" s="694"/>
      <c r="DC8" s="694"/>
      <c r="DD8" s="694"/>
      <c r="DE8" s="694"/>
      <c r="DF8" s="694"/>
      <c r="DG8" s="694"/>
      <c r="DH8" s="694"/>
      <c r="DI8" s="694"/>
      <c r="DJ8" s="694"/>
      <c r="DK8" s="694"/>
      <c r="DL8" s="694"/>
      <c r="DM8" s="694"/>
      <c r="DN8" s="694"/>
      <c r="DO8" s="694"/>
      <c r="DP8" s="694"/>
      <c r="DQ8" s="694"/>
      <c r="DR8" s="694"/>
      <c r="DS8" s="694"/>
    </row>
    <row r="10" spans="1:123">
      <c r="A10" s="620" t="s">
        <v>282</v>
      </c>
      <c r="B10" s="621"/>
      <c r="C10" s="622"/>
      <c r="D10" s="621"/>
      <c r="E10" s="621"/>
      <c r="F10" s="621"/>
      <c r="G10" s="621"/>
      <c r="H10" s="621"/>
      <c r="I10" s="621"/>
      <c r="J10" s="621"/>
      <c r="K10" s="621"/>
      <c r="L10" s="621"/>
      <c r="M10" s="621"/>
      <c r="N10" s="621"/>
      <c r="O10" s="621"/>
      <c r="P10" s="621"/>
      <c r="Q10" s="621"/>
      <c r="R10" s="621"/>
      <c r="S10" s="621"/>
      <c r="T10" s="621"/>
      <c r="U10" s="621"/>
      <c r="V10" s="621"/>
      <c r="W10" s="621"/>
      <c r="X10" s="621"/>
      <c r="Y10" s="621"/>
      <c r="Z10" s="621"/>
      <c r="AA10" s="621"/>
      <c r="AB10" s="621"/>
      <c r="AC10" s="621"/>
      <c r="AD10" s="621"/>
      <c r="AE10" s="621"/>
      <c r="AF10" s="621"/>
      <c r="AG10" s="621"/>
      <c r="AH10" s="621"/>
      <c r="AI10" s="621"/>
      <c r="AJ10" s="621"/>
      <c r="AK10" s="621"/>
      <c r="AL10" s="621"/>
      <c r="AM10" s="621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  <c r="AZ10" s="622"/>
      <c r="BA10" s="622"/>
      <c r="BB10" s="622"/>
      <c r="BC10" s="622"/>
      <c r="BD10" s="622"/>
      <c r="BE10" s="622"/>
      <c r="BF10" s="622"/>
      <c r="BG10" s="622"/>
      <c r="BH10" s="622"/>
      <c r="BI10" s="622"/>
      <c r="BJ10" s="622"/>
      <c r="BK10" s="622"/>
      <c r="BL10" s="622"/>
      <c r="BM10" s="622"/>
      <c r="BN10" s="622"/>
      <c r="BO10" s="622"/>
      <c r="BP10" s="622"/>
      <c r="BQ10" s="622"/>
      <c r="BR10" s="622"/>
      <c r="BS10" s="622"/>
      <c r="BT10" s="622"/>
      <c r="BU10" s="622"/>
      <c r="BV10" s="622"/>
      <c r="BW10" s="622"/>
      <c r="BX10" s="622"/>
      <c r="BY10" s="622"/>
      <c r="BZ10" s="622"/>
      <c r="CA10" s="622"/>
      <c r="CB10" s="622"/>
      <c r="CC10" s="622"/>
      <c r="CD10" s="622"/>
      <c r="CE10" s="622"/>
      <c r="CF10" s="622"/>
      <c r="CG10" s="622"/>
      <c r="CH10" s="622"/>
      <c r="CI10" s="622"/>
      <c r="CJ10" s="622"/>
      <c r="CK10" s="622"/>
      <c r="CL10" s="622"/>
      <c r="CM10" s="622"/>
      <c r="CN10" s="622"/>
      <c r="CO10" s="622"/>
      <c r="CP10" s="622"/>
      <c r="CQ10" s="622"/>
      <c r="CR10" s="622"/>
      <c r="CS10" s="622"/>
      <c r="CT10" s="622"/>
      <c r="CU10" s="622"/>
      <c r="CV10" s="622"/>
      <c r="CW10" s="1791"/>
      <c r="CX10" s="1791"/>
      <c r="CY10" s="622"/>
      <c r="CZ10" s="622"/>
      <c r="DA10" s="622"/>
      <c r="DB10" s="622"/>
      <c r="DC10" s="622"/>
      <c r="DD10" s="622"/>
      <c r="DE10" s="622"/>
      <c r="DF10" s="622"/>
      <c r="DG10" s="622"/>
      <c r="DH10" s="622"/>
      <c r="DI10" s="622"/>
      <c r="DJ10" s="622"/>
      <c r="DK10" s="622"/>
      <c r="DL10" s="622"/>
      <c r="DM10" s="622"/>
      <c r="DN10" s="622"/>
      <c r="DO10" s="622"/>
      <c r="DP10" s="622"/>
      <c r="DQ10" s="622"/>
      <c r="DR10" s="622"/>
      <c r="DS10" s="622"/>
    </row>
    <row r="12" spans="1:123">
      <c r="A12" s="289" t="s">
        <v>283</v>
      </c>
    </row>
    <row r="13" spans="1:123">
      <c r="A13" s="102" t="s">
        <v>100</v>
      </c>
      <c r="AO13" s="626">
        <v>4534</v>
      </c>
      <c r="AP13" s="293">
        <f>AO13</f>
        <v>4534</v>
      </c>
      <c r="AR13" s="626">
        <v>4832</v>
      </c>
      <c r="AS13" s="626">
        <v>4906</v>
      </c>
      <c r="AT13" s="293">
        <f>AS13</f>
        <v>4906</v>
      </c>
      <c r="AV13" s="626">
        <f>6267</f>
        <v>6267</v>
      </c>
      <c r="AW13" s="626">
        <v>6990</v>
      </c>
      <c r="AX13" s="293">
        <f>AW13</f>
        <v>6990</v>
      </c>
      <c r="AZ13" s="626">
        <v>7063</v>
      </c>
      <c r="BA13" s="626">
        <v>7140</v>
      </c>
      <c r="BB13" s="293">
        <f>BA13</f>
        <v>7140</v>
      </c>
      <c r="BD13" s="626">
        <v>7103</v>
      </c>
      <c r="BE13" s="626">
        <v>7127</v>
      </c>
      <c r="BF13" s="293">
        <f>BE13</f>
        <v>7127</v>
      </c>
      <c r="BH13" s="626">
        <v>6876</v>
      </c>
      <c r="BI13" s="626">
        <v>6882</v>
      </c>
      <c r="BJ13" s="293">
        <f>BI13</f>
        <v>6882</v>
      </c>
      <c r="BL13" s="626">
        <v>6884</v>
      </c>
      <c r="BM13" s="626">
        <v>6075</v>
      </c>
      <c r="BN13" s="293">
        <f>BM13</f>
        <v>6075</v>
      </c>
      <c r="BP13" s="626">
        <v>6041</v>
      </c>
      <c r="BQ13" s="626">
        <v>6901</v>
      </c>
      <c r="BR13" s="293">
        <f>BQ13</f>
        <v>6901</v>
      </c>
      <c r="BT13" s="819">
        <f>'Bal Sheet'!BT104</f>
        <v>6911</v>
      </c>
      <c r="BU13" s="819">
        <f>'Bal Sheet'!BU104</f>
        <v>7446</v>
      </c>
      <c r="BV13" s="293">
        <f>BU13</f>
        <v>7446</v>
      </c>
      <c r="BX13" s="819">
        <f>'Bal Sheet'!BX104</f>
        <v>7444</v>
      </c>
      <c r="BY13" s="819">
        <f>'Bal Sheet'!BY104</f>
        <v>7467</v>
      </c>
      <c r="BZ13" s="293">
        <f>BY13</f>
        <v>7467</v>
      </c>
      <c r="CB13" s="819">
        <f>'Bal Sheet'!CB104</f>
        <v>7485</v>
      </c>
      <c r="CC13" s="819">
        <f>'Bal Sheet'!CC104</f>
        <v>7498</v>
      </c>
      <c r="CD13" s="293">
        <f>CC13</f>
        <v>7498</v>
      </c>
      <c r="CF13" s="819">
        <f>'Bal Sheet'!CF104</f>
        <v>7550</v>
      </c>
      <c r="CG13" s="819">
        <f>'Bal Sheet'!CG104</f>
        <v>7546</v>
      </c>
      <c r="CH13" s="293">
        <f>CG13</f>
        <v>7546</v>
      </c>
      <c r="CJ13" s="819">
        <f>'Bal Sheet'!CJ104</f>
        <v>9282</v>
      </c>
      <c r="CK13" s="819">
        <f>'Bal Sheet'!CK104</f>
        <v>9290</v>
      </c>
      <c r="CL13" s="293">
        <f>CK13</f>
        <v>9290</v>
      </c>
      <c r="CN13" s="819">
        <f>'Bal Sheet'!CN104</f>
        <v>10138</v>
      </c>
      <c r="CO13" s="819">
        <f>'Bal Sheet'!CO104</f>
        <v>10166</v>
      </c>
      <c r="CP13" s="293">
        <f>CO13</f>
        <v>10166</v>
      </c>
      <c r="CR13" s="819">
        <f>'Bal Sheet'!CR104</f>
        <v>11290</v>
      </c>
      <c r="CS13" s="819">
        <f>'Bal Sheet'!CS104</f>
        <v>14156</v>
      </c>
      <c r="CT13" s="293">
        <f>CS13</f>
        <v>14156</v>
      </c>
      <c r="CV13" s="819">
        <f>'Bal Sheet'!CV104</f>
        <v>14741</v>
      </c>
      <c r="CW13" s="1506">
        <f>'Bal Sheet'!CW104</f>
        <v>14735</v>
      </c>
      <c r="CX13" s="1495">
        <f>CW13</f>
        <v>14735</v>
      </c>
      <c r="CZ13" s="819">
        <f>'Bal Sheet'!CZ104</f>
        <v>14812</v>
      </c>
      <c r="DA13" s="1506">
        <f>'Bal Sheet'!DA104</f>
        <v>14156</v>
      </c>
      <c r="DB13" s="1495">
        <f>DA13</f>
        <v>14156</v>
      </c>
      <c r="DD13" s="819">
        <f>'Bal Sheet'!DD104</f>
        <v>13887</v>
      </c>
      <c r="DE13" s="1506">
        <f>'Bal Sheet'!DE104</f>
        <v>13834</v>
      </c>
      <c r="DF13" s="1495">
        <f>DE13</f>
        <v>13834</v>
      </c>
      <c r="DH13" s="819">
        <f>'Bal Sheet'!DH104</f>
        <v>13925</v>
      </c>
      <c r="DI13" s="293">
        <f>'Bal Sheet'!DI104</f>
        <v>14120.333437687499</v>
      </c>
      <c r="DJ13" s="293">
        <f>'Bal Sheet'!DJ104</f>
        <v>14120.333437687499</v>
      </c>
      <c r="DL13" s="293">
        <f>'Bal Sheet'!DL104</f>
        <v>14325.946297533304</v>
      </c>
      <c r="DM13" s="293">
        <f>'Bal Sheet'!DM104</f>
        <v>14542.379534128495</v>
      </c>
      <c r="DN13" s="293">
        <f>'Bal Sheet'!DN104</f>
        <v>14542.379534128493</v>
      </c>
      <c r="DP13" s="293">
        <f>'Bal Sheet'!DP104</f>
        <v>14770.202569799505</v>
      </c>
      <c r="DQ13" s="293">
        <f>'Bal Sheet'!DQ104</f>
        <v>15010.014792722704</v>
      </c>
      <c r="DR13" s="293">
        <f>'Bal Sheet'!DR104</f>
        <v>15010.014792722704</v>
      </c>
    </row>
    <row r="14" spans="1:123">
      <c r="A14" s="102" t="s">
        <v>128</v>
      </c>
      <c r="AO14" s="626">
        <v>-12</v>
      </c>
      <c r="AP14" s="293">
        <f t="shared" ref="AP14:AP47" si="0">AO14</f>
        <v>-12</v>
      </c>
      <c r="AR14" s="626">
        <v>-2</v>
      </c>
      <c r="AS14" s="626">
        <v>-2</v>
      </c>
      <c r="AT14" s="293">
        <f t="shared" ref="AT14:AT47" si="1">AS14</f>
        <v>-2</v>
      </c>
      <c r="AV14" s="626">
        <v>-2</v>
      </c>
      <c r="AW14" s="626">
        <v>-443</v>
      </c>
      <c r="AX14" s="293">
        <f t="shared" ref="AX14:AX47" si="2">AW14</f>
        <v>-443</v>
      </c>
      <c r="AZ14" s="626">
        <v>-719</v>
      </c>
      <c r="BA14" s="626">
        <v>-731</v>
      </c>
      <c r="BB14" s="293">
        <f t="shared" ref="BB14:BB35" si="3">BA14</f>
        <v>-731</v>
      </c>
      <c r="BD14" s="626">
        <v>-993</v>
      </c>
      <c r="BE14" s="626">
        <v>-974</v>
      </c>
      <c r="BF14" s="293">
        <f t="shared" ref="BF14:BF22" si="4">BE14</f>
        <v>-974</v>
      </c>
      <c r="BH14" s="626">
        <v>-1063</v>
      </c>
      <c r="BI14" s="626">
        <v>-1011</v>
      </c>
      <c r="BJ14" s="293">
        <f t="shared" ref="BJ14:BJ22" si="5">BI14</f>
        <v>-1011</v>
      </c>
      <c r="BL14" s="626">
        <v>-1025</v>
      </c>
      <c r="BM14" s="626">
        <v>-990</v>
      </c>
      <c r="BN14" s="293">
        <f t="shared" ref="BN14:BN22" si="6">BM14</f>
        <v>-990</v>
      </c>
      <c r="BP14" s="626">
        <v>-1003</v>
      </c>
      <c r="BQ14" s="626">
        <v>-971</v>
      </c>
      <c r="BR14" s="293">
        <f>BQ14</f>
        <v>-971</v>
      </c>
      <c r="BT14" s="819">
        <f>'Bal Sheet'!BT105</f>
        <v>-1088</v>
      </c>
      <c r="BU14" s="819">
        <f>'Bal Sheet'!BU105</f>
        <v>-1036</v>
      </c>
      <c r="BV14" s="293">
        <f>BU14</f>
        <v>-1036</v>
      </c>
      <c r="BX14" s="819">
        <f>'Bal Sheet'!BX105</f>
        <v>-1221</v>
      </c>
      <c r="BY14" s="819">
        <f>'Bal Sheet'!BY105</f>
        <v>-1187</v>
      </c>
      <c r="BZ14" s="293">
        <f>BY14</f>
        <v>-1187</v>
      </c>
      <c r="CB14" s="819">
        <f>'Bal Sheet'!CB105</f>
        <v>-1307</v>
      </c>
      <c r="CC14" s="819">
        <f>'Bal Sheet'!CC105</f>
        <v>-1264</v>
      </c>
      <c r="CD14" s="293">
        <f>CC14</f>
        <v>-1264</v>
      </c>
      <c r="CF14" s="819">
        <f>'Bal Sheet'!CF105</f>
        <v>-1413</v>
      </c>
      <c r="CG14" s="819">
        <f>'Bal Sheet'!CG105</f>
        <v>-1372</v>
      </c>
      <c r="CH14" s="293">
        <f>CG14</f>
        <v>-1372</v>
      </c>
      <c r="CJ14" s="819">
        <f>'Bal Sheet'!CJ105</f>
        <v>-1568</v>
      </c>
      <c r="CK14" s="819">
        <f>'Bal Sheet'!CK105</f>
        <v>-1446</v>
      </c>
      <c r="CL14" s="293">
        <f>CK14</f>
        <v>-1446</v>
      </c>
      <c r="CN14" s="819">
        <f>'Bal Sheet'!CN105</f>
        <v>-1702</v>
      </c>
      <c r="CO14" s="819">
        <f>'Bal Sheet'!CO105</f>
        <v>-1633</v>
      </c>
      <c r="CP14" s="293">
        <f>CO14</f>
        <v>-1633</v>
      </c>
      <c r="CR14" s="819">
        <f>'Bal Sheet'!CR105</f>
        <v>-1896</v>
      </c>
      <c r="CS14" s="819">
        <f>'Bal Sheet'!CS105</f>
        <v>-1858</v>
      </c>
      <c r="CT14" s="293">
        <f>CS14</f>
        <v>-1858</v>
      </c>
      <c r="CV14" s="819">
        <f>'Bal Sheet'!CV105</f>
        <v>-2389</v>
      </c>
      <c r="CW14" s="1506">
        <f>'Bal Sheet'!CW105</f>
        <v>-2328</v>
      </c>
      <c r="CX14" s="1495">
        <f>CW14</f>
        <v>-2328</v>
      </c>
      <c r="CZ14" s="819">
        <f>'Bal Sheet'!CZ105</f>
        <v>-2871</v>
      </c>
      <c r="DA14" s="1506">
        <f>'Bal Sheet'!DA105</f>
        <v>-2784</v>
      </c>
      <c r="DB14" s="1495">
        <f>DA14</f>
        <v>-2784</v>
      </c>
      <c r="DD14" s="819">
        <f>'Bal Sheet'!DD105</f>
        <v>-2873</v>
      </c>
      <c r="DE14" s="1506">
        <f>'Bal Sheet'!DE105</f>
        <v>-2764</v>
      </c>
      <c r="DF14" s="1495">
        <f>DE14</f>
        <v>-2764</v>
      </c>
      <c r="DH14" s="819">
        <f>'Bal Sheet'!DH105</f>
        <v>-2772</v>
      </c>
      <c r="DI14" s="293">
        <f>'Bal Sheet'!DI105</f>
        <v>-2855.16</v>
      </c>
      <c r="DJ14" s="293">
        <f>'Bal Sheet'!DJ105</f>
        <v>-2855.16</v>
      </c>
      <c r="DL14" s="293">
        <f>'Bal Sheet'!DL105</f>
        <v>-2940.8147999999997</v>
      </c>
      <c r="DM14" s="293">
        <f>'Bal Sheet'!DM105</f>
        <v>-3029.0392439999996</v>
      </c>
      <c r="DN14" s="293">
        <f>'Bal Sheet'!DN105</f>
        <v>-3029.0392439999996</v>
      </c>
      <c r="DP14" s="293">
        <f>'Bal Sheet'!DP105</f>
        <v>-3119.9104213199994</v>
      </c>
      <c r="DQ14" s="293">
        <f>'Bal Sheet'!DQ105</f>
        <v>-3213.5077339595991</v>
      </c>
      <c r="DR14" s="293">
        <f>'Bal Sheet'!DR105</f>
        <v>-3213.5077339595996</v>
      </c>
    </row>
    <row r="15" spans="1:123">
      <c r="A15" s="102" t="s">
        <v>110</v>
      </c>
      <c r="AO15" s="626">
        <v>133</v>
      </c>
      <c r="AP15" s="293">
        <f t="shared" si="0"/>
        <v>133</v>
      </c>
      <c r="AR15" s="626">
        <v>122</v>
      </c>
      <c r="AS15" s="626">
        <v>116</v>
      </c>
      <c r="AT15" s="293">
        <f t="shared" si="1"/>
        <v>116</v>
      </c>
      <c r="AV15" s="626">
        <v>159</v>
      </c>
      <c r="AW15" s="626">
        <v>137</v>
      </c>
      <c r="AX15" s="293">
        <f t="shared" si="2"/>
        <v>137</v>
      </c>
      <c r="AZ15" s="626">
        <v>129</v>
      </c>
      <c r="BA15" s="626">
        <v>104</v>
      </c>
      <c r="BB15" s="293">
        <f t="shared" si="3"/>
        <v>104</v>
      </c>
      <c r="BD15" s="626">
        <v>98</v>
      </c>
      <c r="BE15" s="626">
        <v>82</v>
      </c>
      <c r="BF15" s="293">
        <f t="shared" si="4"/>
        <v>82</v>
      </c>
      <c r="BH15" s="626">
        <v>69</v>
      </c>
      <c r="BI15" s="626">
        <v>36</v>
      </c>
      <c r="BJ15" s="293">
        <f t="shared" si="5"/>
        <v>36</v>
      </c>
      <c r="BL15" s="626">
        <v>34</v>
      </c>
      <c r="BM15" s="626">
        <v>27</v>
      </c>
      <c r="BN15" s="293">
        <f t="shared" si="6"/>
        <v>27</v>
      </c>
      <c r="BP15" s="626">
        <v>25</v>
      </c>
      <c r="BQ15" s="626">
        <v>17</v>
      </c>
      <c r="BR15" s="293">
        <f>BQ15</f>
        <v>17</v>
      </c>
      <c r="BT15" s="819">
        <f>'Bal Sheet'!BT106</f>
        <v>13</v>
      </c>
      <c r="BU15" s="819">
        <f>'Bal Sheet'!BU106</f>
        <v>12</v>
      </c>
      <c r="BV15" s="293">
        <f>BU15</f>
        <v>12</v>
      </c>
      <c r="BX15" s="819">
        <f>'Bal Sheet'!BX106</f>
        <v>11</v>
      </c>
      <c r="BY15" s="819">
        <f>'Bal Sheet'!BY106</f>
        <v>10</v>
      </c>
      <c r="BZ15" s="293">
        <f>BY15</f>
        <v>10</v>
      </c>
      <c r="CB15" s="819">
        <f>'Bal Sheet'!CB106</f>
        <v>10</v>
      </c>
      <c r="CC15" s="819">
        <f>'Bal Sheet'!CC106</f>
        <v>9</v>
      </c>
      <c r="CD15" s="293">
        <f>CC15</f>
        <v>9</v>
      </c>
      <c r="CF15" s="819">
        <f>'Bal Sheet'!CF106</f>
        <v>7</v>
      </c>
      <c r="CG15" s="819">
        <f>'Bal Sheet'!CG106</f>
        <v>7</v>
      </c>
      <c r="CH15" s="293">
        <f>CG15</f>
        <v>7</v>
      </c>
      <c r="CJ15" s="819">
        <f>'Bal Sheet'!CJ106</f>
        <v>7</v>
      </c>
      <c r="CK15" s="819">
        <f>'Bal Sheet'!CK106</f>
        <v>7</v>
      </c>
      <c r="CL15" s="293">
        <f>CK15</f>
        <v>7</v>
      </c>
      <c r="CN15" s="819">
        <f>'Bal Sheet'!CN106</f>
        <v>-2</v>
      </c>
      <c r="CO15" s="819">
        <f>'Bal Sheet'!CO106</f>
        <v>-2</v>
      </c>
      <c r="CP15" s="293">
        <f>CO15</f>
        <v>-2</v>
      </c>
      <c r="CR15" s="819">
        <f>'Bal Sheet'!CR106</f>
        <v>0</v>
      </c>
      <c r="CS15" s="819">
        <f>'Bal Sheet'!CS106</f>
        <v>0</v>
      </c>
      <c r="CT15" s="293">
        <f>CS15</f>
        <v>0</v>
      </c>
      <c r="CV15" s="819">
        <f>'Bal Sheet'!CV106</f>
        <v>0</v>
      </c>
      <c r="CW15" s="1506">
        <f>'Bal Sheet'!CW106</f>
        <v>0</v>
      </c>
      <c r="CX15" s="1495">
        <f>CW15</f>
        <v>0</v>
      </c>
      <c r="CZ15" s="819">
        <f>'Bal Sheet'!CZ106</f>
        <v>0</v>
      </c>
      <c r="DA15" s="1506">
        <f>'Bal Sheet'!DA106</f>
        <v>0</v>
      </c>
      <c r="DB15" s="1495">
        <f>DA15</f>
        <v>0</v>
      </c>
      <c r="DD15" s="819">
        <f>'Bal Sheet'!DD106</f>
        <v>0</v>
      </c>
      <c r="DE15" s="1506">
        <f>'Bal Sheet'!DE106</f>
        <v>0</v>
      </c>
      <c r="DF15" s="1495">
        <f>DE15</f>
        <v>0</v>
      </c>
      <c r="DH15" s="819">
        <f>'Bal Sheet'!DH106</f>
        <v>0</v>
      </c>
      <c r="DI15" s="293">
        <f>'Bal Sheet'!DI106</f>
        <v>0</v>
      </c>
      <c r="DJ15" s="293">
        <f>'Bal Sheet'!DJ106</f>
        <v>0</v>
      </c>
      <c r="DL15" s="293">
        <f>'Bal Sheet'!DL106</f>
        <v>0</v>
      </c>
      <c r="DM15" s="293">
        <f>'Bal Sheet'!DM106</f>
        <v>0</v>
      </c>
      <c r="DN15" s="293">
        <f>'Bal Sheet'!DN106</f>
        <v>0</v>
      </c>
      <c r="DP15" s="293">
        <f>'Bal Sheet'!DP106</f>
        <v>0</v>
      </c>
      <c r="DQ15" s="293">
        <f>'Bal Sheet'!DQ106</f>
        <v>0</v>
      </c>
      <c r="DR15" s="293">
        <f>'Bal Sheet'!DR106</f>
        <v>0</v>
      </c>
    </row>
    <row r="16" spans="1:123">
      <c r="A16" s="102" t="s">
        <v>130</v>
      </c>
      <c r="AO16" s="626">
        <v>456</v>
      </c>
      <c r="AP16" s="293">
        <f t="shared" si="0"/>
        <v>456</v>
      </c>
      <c r="AR16" s="626">
        <v>283</v>
      </c>
      <c r="AS16" s="626">
        <v>17</v>
      </c>
      <c r="AT16" s="293">
        <f t="shared" si="1"/>
        <v>17</v>
      </c>
      <c r="AV16" s="626">
        <v>276</v>
      </c>
      <c r="AW16" s="626">
        <v>280</v>
      </c>
      <c r="AX16" s="293">
        <f t="shared" si="2"/>
        <v>280</v>
      </c>
      <c r="AZ16" s="626">
        <v>263</v>
      </c>
      <c r="BA16" s="626">
        <v>310</v>
      </c>
      <c r="BB16" s="293">
        <f t="shared" si="3"/>
        <v>310</v>
      </c>
      <c r="BD16" s="626">
        <v>504</v>
      </c>
      <c r="BE16" s="626">
        <v>44</v>
      </c>
      <c r="BF16" s="293">
        <f t="shared" si="4"/>
        <v>44</v>
      </c>
      <c r="BH16" s="626">
        <v>-50</v>
      </c>
      <c r="BI16" s="626">
        <v>57</v>
      </c>
      <c r="BJ16" s="293">
        <f t="shared" si="5"/>
        <v>57</v>
      </c>
      <c r="BL16" s="626">
        <v>726</v>
      </c>
      <c r="BM16" s="626">
        <v>669</v>
      </c>
      <c r="BN16" s="293">
        <f t="shared" si="6"/>
        <v>669</v>
      </c>
      <c r="BP16" s="626">
        <v>826</v>
      </c>
      <c r="BQ16" s="626">
        <v>1656</v>
      </c>
      <c r="BR16" s="293">
        <f>BQ16</f>
        <v>1656</v>
      </c>
      <c r="BT16" s="819">
        <f>'Bal Sheet'!BT107</f>
        <v>2090</v>
      </c>
      <c r="BU16" s="819">
        <f>'Bal Sheet'!BU107</f>
        <v>1536</v>
      </c>
      <c r="BV16" s="293">
        <f>BU16</f>
        <v>1536</v>
      </c>
      <c r="BX16" s="819">
        <f>'Bal Sheet'!BX107</f>
        <v>1295</v>
      </c>
      <c r="BY16" s="819">
        <f>'Bal Sheet'!BY107</f>
        <v>1396</v>
      </c>
      <c r="BZ16" s="293">
        <f>BY16</f>
        <v>1396</v>
      </c>
      <c r="CB16" s="819">
        <f>'Bal Sheet'!CB107</f>
        <v>999</v>
      </c>
      <c r="CC16" s="819">
        <f>'Bal Sheet'!CC107</f>
        <v>1297</v>
      </c>
      <c r="CD16" s="293">
        <f>CC16</f>
        <v>1297</v>
      </c>
      <c r="CF16" s="819">
        <f>'Bal Sheet'!CF107</f>
        <v>1567</v>
      </c>
      <c r="CG16" s="819">
        <f>'Bal Sheet'!CG107</f>
        <v>1773</v>
      </c>
      <c r="CH16" s="293">
        <f>CG16</f>
        <v>1773</v>
      </c>
      <c r="CJ16" s="819">
        <f>'Bal Sheet'!CJ107</f>
        <v>1927</v>
      </c>
      <c r="CK16" s="819">
        <f>'Bal Sheet'!CK107</f>
        <v>2773</v>
      </c>
      <c r="CL16" s="293">
        <f>CK16</f>
        <v>2773</v>
      </c>
      <c r="CN16" s="819">
        <f>'Bal Sheet'!CN107</f>
        <v>1378</v>
      </c>
      <c r="CO16" s="819">
        <f>'Bal Sheet'!CO107</f>
        <v>1286</v>
      </c>
      <c r="CP16" s="293">
        <f>CO16</f>
        <v>1286</v>
      </c>
      <c r="CR16" s="819">
        <f>'Bal Sheet'!CR107</f>
        <v>1613</v>
      </c>
      <c r="CS16" s="819">
        <f>'Bal Sheet'!CS107</f>
        <v>1523</v>
      </c>
      <c r="CT16" s="293">
        <f>CS16</f>
        <v>1523</v>
      </c>
      <c r="CV16" s="819">
        <f>'Bal Sheet'!CV107</f>
        <v>3250</v>
      </c>
      <c r="CW16" s="1506">
        <f>'Bal Sheet'!CW107</f>
        <v>3302</v>
      </c>
      <c r="CX16" s="1495">
        <f>CW16</f>
        <v>3302</v>
      </c>
      <c r="CZ16" s="819">
        <f>'Bal Sheet'!CZ107</f>
        <v>3590</v>
      </c>
      <c r="DA16" s="1506">
        <f>'Bal Sheet'!DA107</f>
        <v>3891</v>
      </c>
      <c r="DB16" s="1495">
        <f>DA16</f>
        <v>3891</v>
      </c>
      <c r="DD16" s="819">
        <f>'Bal Sheet'!DD107</f>
        <v>2920</v>
      </c>
      <c r="DE16" s="1506">
        <f>'Bal Sheet'!DE107</f>
        <v>4829</v>
      </c>
      <c r="DF16" s="1495">
        <f>DE16</f>
        <v>4829</v>
      </c>
      <c r="DH16" s="819">
        <f>'Bal Sheet'!DH107</f>
        <v>3779</v>
      </c>
      <c r="DI16" s="293">
        <f>'Bal Sheet'!DI107</f>
        <v>3779</v>
      </c>
      <c r="DJ16" s="293">
        <f>'Bal Sheet'!DJ107</f>
        <v>3779</v>
      </c>
      <c r="DL16" s="293">
        <f>'Bal Sheet'!DL107</f>
        <v>3779</v>
      </c>
      <c r="DM16" s="293">
        <f>'Bal Sheet'!DM107</f>
        <v>3779</v>
      </c>
      <c r="DN16" s="293">
        <f>'Bal Sheet'!DN107</f>
        <v>3779</v>
      </c>
      <c r="DP16" s="293">
        <f>'Bal Sheet'!DP107</f>
        <v>3779</v>
      </c>
      <c r="DQ16" s="293">
        <f>'Bal Sheet'!DQ107</f>
        <v>3779</v>
      </c>
      <c r="DR16" s="293">
        <f>'Bal Sheet'!DR107</f>
        <v>3779</v>
      </c>
    </row>
    <row r="17" spans="1:122">
      <c r="A17" s="102" t="s">
        <v>144</v>
      </c>
      <c r="AO17" s="626">
        <v>3718</v>
      </c>
      <c r="AP17" s="293">
        <f t="shared" si="0"/>
        <v>3718</v>
      </c>
      <c r="AR17" s="626">
        <v>3770</v>
      </c>
      <c r="AS17" s="626">
        <v>3627</v>
      </c>
      <c r="AT17" s="293">
        <f t="shared" si="1"/>
        <v>3627</v>
      </c>
      <c r="AV17" s="626">
        <v>3984</v>
      </c>
      <c r="AW17" s="626">
        <v>4268</v>
      </c>
      <c r="AX17" s="293">
        <f t="shared" si="2"/>
        <v>4268</v>
      </c>
      <c r="AZ17" s="626">
        <v>4325</v>
      </c>
      <c r="BA17" s="626">
        <v>4581</v>
      </c>
      <c r="BB17" s="293">
        <f t="shared" si="3"/>
        <v>4581</v>
      </c>
      <c r="BD17" s="626">
        <v>4539</v>
      </c>
      <c r="BE17" s="626">
        <v>4924</v>
      </c>
      <c r="BF17" s="293">
        <f t="shared" si="4"/>
        <v>4924</v>
      </c>
      <c r="BH17" s="626">
        <v>5155</v>
      </c>
      <c r="BI17" s="626">
        <v>5439</v>
      </c>
      <c r="BJ17" s="293">
        <f t="shared" si="5"/>
        <v>5439</v>
      </c>
      <c r="BL17" s="626">
        <v>5610</v>
      </c>
      <c r="BM17" s="626">
        <v>5637</v>
      </c>
      <c r="BN17" s="293">
        <f t="shared" si="6"/>
        <v>5637</v>
      </c>
      <c r="BP17" s="626">
        <v>5801</v>
      </c>
      <c r="BQ17" s="626">
        <v>6306</v>
      </c>
      <c r="BR17" s="293">
        <f>BQ17</f>
        <v>6306</v>
      </c>
      <c r="BT17" s="819">
        <f>'Bal Sheet'!BT108</f>
        <v>6705</v>
      </c>
      <c r="BU17" s="819">
        <f>'Bal Sheet'!BU108</f>
        <v>7158</v>
      </c>
      <c r="BV17" s="293">
        <f>BU17</f>
        <v>7158</v>
      </c>
      <c r="BX17" s="819">
        <f>'Bal Sheet'!BX108</f>
        <v>7392</v>
      </c>
      <c r="BY17" s="819">
        <f>'Bal Sheet'!BY108</f>
        <v>7877</v>
      </c>
      <c r="BZ17" s="293">
        <f>BY17</f>
        <v>7877</v>
      </c>
      <c r="CB17" s="819">
        <f>'Bal Sheet'!CB108</f>
        <v>8170</v>
      </c>
      <c r="CC17" s="819">
        <f>'Bal Sheet'!CC108</f>
        <v>8817</v>
      </c>
      <c r="CD17" s="293">
        <f>CC17</f>
        <v>8817</v>
      </c>
      <c r="CF17" s="819">
        <f>'Bal Sheet'!CF108</f>
        <v>8849</v>
      </c>
      <c r="CG17" s="819">
        <f>'Bal Sheet'!CG108</f>
        <v>9807</v>
      </c>
      <c r="CH17" s="293">
        <f>CG17</f>
        <v>9807</v>
      </c>
      <c r="CJ17" s="819">
        <f>'Bal Sheet'!CJ108</f>
        <v>9969</v>
      </c>
      <c r="CK17" s="819">
        <f>'Bal Sheet'!CK108</f>
        <v>10439</v>
      </c>
      <c r="CL17" s="293">
        <f>CK17</f>
        <v>10439</v>
      </c>
      <c r="CN17" s="819">
        <f>'Bal Sheet'!CN108</f>
        <v>10696</v>
      </c>
      <c r="CO17" s="819">
        <f>'Bal Sheet'!CO108</f>
        <v>12231</v>
      </c>
      <c r="CP17" s="293">
        <f>CO17</f>
        <v>12231</v>
      </c>
      <c r="CR17" s="819">
        <f>'Bal Sheet'!CR108</f>
        <v>13057</v>
      </c>
      <c r="CS17" s="819">
        <f>'Bal Sheet'!CS108</f>
        <v>14740</v>
      </c>
      <c r="CT17" s="293">
        <f>CS17</f>
        <v>14740</v>
      </c>
      <c r="CV17" s="819">
        <f>'Bal Sheet'!CV108</f>
        <v>15735</v>
      </c>
      <c r="CW17" s="1506">
        <f>'Bal Sheet'!CW108</f>
        <v>17446</v>
      </c>
      <c r="CX17" s="1495">
        <f>CW17</f>
        <v>17446</v>
      </c>
      <c r="CZ17" s="819">
        <f>'Bal Sheet'!CZ108</f>
        <v>17120</v>
      </c>
      <c r="DA17" s="1506">
        <f>'Bal Sheet'!DA108</f>
        <v>18218</v>
      </c>
      <c r="DB17" s="1495">
        <f>DA17</f>
        <v>18218</v>
      </c>
      <c r="DD17" s="819">
        <f>'Bal Sheet'!DD108</f>
        <v>18365</v>
      </c>
      <c r="DE17" s="1506">
        <f>'Bal Sheet'!DE108</f>
        <v>19457</v>
      </c>
      <c r="DF17" s="1495">
        <f>DE17</f>
        <v>19457</v>
      </c>
      <c r="DH17" s="819">
        <f>'Bal Sheet'!DH108</f>
        <v>19629</v>
      </c>
      <c r="DI17" s="293">
        <f ca="1">'Bal Sheet'!DI108</f>
        <v>20984.02747651087</v>
      </c>
      <c r="DJ17" s="293">
        <f ca="1">'Bal Sheet'!DJ108</f>
        <v>20984.02747651087</v>
      </c>
      <c r="DL17" s="293">
        <f ca="1">'Bal Sheet'!DL108</f>
        <v>21256.872294363966</v>
      </c>
      <c r="DM17" s="293">
        <f ca="1">'Bal Sheet'!DM108</f>
        <v>23913.745341565846</v>
      </c>
      <c r="DN17" s="293">
        <f ca="1">'Bal Sheet'!DN108</f>
        <v>23913.745341565842</v>
      </c>
      <c r="DP17" s="293">
        <f ca="1">'Bal Sheet'!DP108</f>
        <v>24270.950536440429</v>
      </c>
      <c r="DQ17" s="293">
        <f ca="1">'Bal Sheet'!DQ108</f>
        <v>27108.494920520126</v>
      </c>
      <c r="DR17" s="293">
        <f ca="1">'Bal Sheet'!DR108</f>
        <v>27108.494920520126</v>
      </c>
    </row>
    <row r="18" spans="1:122">
      <c r="A18" s="289" t="s">
        <v>150</v>
      </c>
      <c r="AO18" s="295">
        <f>SUM(AO13:AO17)</f>
        <v>8829</v>
      </c>
      <c r="AP18" s="295">
        <f>SUM(AP13:AP17)</f>
        <v>8829</v>
      </c>
      <c r="AR18" s="295">
        <f>SUM(AR13:AR17)</f>
        <v>9005</v>
      </c>
      <c r="AS18" s="295">
        <f>SUM(AS13:AS17)</f>
        <v>8664</v>
      </c>
      <c r="AT18" s="295">
        <f>SUM(AT13:AT17)</f>
        <v>8664</v>
      </c>
      <c r="AV18" s="295">
        <f>SUM(AV13:AV17)</f>
        <v>10684</v>
      </c>
      <c r="AW18" s="295">
        <f>SUM(AW13:AW17)</f>
        <v>11232</v>
      </c>
      <c r="AX18" s="295">
        <f>SUM(AX13:AX17)</f>
        <v>11232</v>
      </c>
      <c r="AZ18" s="295">
        <f>SUM(AZ13:AZ17)</f>
        <v>11061</v>
      </c>
      <c r="BA18" s="295">
        <f>SUM(BA13:BA17)</f>
        <v>11404</v>
      </c>
      <c r="BB18" s="295">
        <f>SUM(BB13:BB17)</f>
        <v>11404</v>
      </c>
      <c r="BD18" s="295">
        <f>SUM(BD13:BD17)</f>
        <v>11251</v>
      </c>
      <c r="BE18" s="295">
        <f>SUM(BE13:BE17)</f>
        <v>11203</v>
      </c>
      <c r="BF18" s="295">
        <f>SUM(BF13:BF17)</f>
        <v>11203</v>
      </c>
      <c r="BH18" s="295">
        <f>SUM(BH13:BH17)</f>
        <v>10987</v>
      </c>
      <c r="BI18" s="295">
        <f>SUM(BI13:BI17)</f>
        <v>11403</v>
      </c>
      <c r="BJ18" s="295">
        <f>SUM(BJ13:BJ17)</f>
        <v>11403</v>
      </c>
      <c r="BL18" s="295">
        <f>SUM(BL13:BL17)</f>
        <v>12229</v>
      </c>
      <c r="BM18" s="295">
        <f>SUM(BM13:BM17)</f>
        <v>11418</v>
      </c>
      <c r="BN18" s="295">
        <f>SUM(BN13:BN17)</f>
        <v>11418</v>
      </c>
      <c r="BP18" s="295">
        <f>SUM(BP13:BP17)</f>
        <v>11690</v>
      </c>
      <c r="BQ18" s="295">
        <f>SUM(BQ13:BQ17)</f>
        <v>13909</v>
      </c>
      <c r="BR18" s="295">
        <f>SUM(BR13:BR17)</f>
        <v>13909</v>
      </c>
      <c r="BT18" s="295">
        <f>SUM(BT13:BT17)</f>
        <v>14631</v>
      </c>
      <c r="BU18" s="295">
        <f>SUM(BU13:BU17)</f>
        <v>15116</v>
      </c>
      <c r="BV18" s="295">
        <f>SUM(BV13:BV17)</f>
        <v>15116</v>
      </c>
      <c r="BX18" s="295">
        <f>SUM(BX13:BX17)</f>
        <v>14921</v>
      </c>
      <c r="BY18" s="295">
        <f>SUM(BY13:BY17)</f>
        <v>15563</v>
      </c>
      <c r="BZ18" s="295">
        <f>SUM(BZ13:BZ17)</f>
        <v>15563</v>
      </c>
      <c r="CB18" s="295">
        <f>SUM(CB13:CB17)</f>
        <v>15357</v>
      </c>
      <c r="CC18" s="295">
        <f>SUM(CC13:CC17)</f>
        <v>16357</v>
      </c>
      <c r="CD18" s="295">
        <f>SUM(CD13:CD17)</f>
        <v>16357</v>
      </c>
      <c r="CF18" s="295">
        <f>SUM(CF13:CF17)</f>
        <v>16560</v>
      </c>
      <c r="CG18" s="295">
        <f>SUM(CG13:CG17)</f>
        <v>17761</v>
      </c>
      <c r="CH18" s="295">
        <f>SUM(CH13:CH17)</f>
        <v>17761</v>
      </c>
      <c r="CJ18" s="295">
        <f>SUM(CJ13:CJ17)</f>
        <v>19617</v>
      </c>
      <c r="CK18" s="295">
        <f>SUM(CK13:CK17)</f>
        <v>21063</v>
      </c>
      <c r="CL18" s="295">
        <f>SUM(CL13:CL17)</f>
        <v>21063</v>
      </c>
      <c r="CN18" s="295">
        <f>SUM(CN13:CN17)</f>
        <v>20508</v>
      </c>
      <c r="CO18" s="295">
        <f>SUM(CO13:CO17)</f>
        <v>22048</v>
      </c>
      <c r="CP18" s="295">
        <f>SUM(CP13:CP17)</f>
        <v>22048</v>
      </c>
      <c r="CR18" s="295">
        <f>SUM(CR13:CR17)</f>
        <v>24064</v>
      </c>
      <c r="CS18" s="295">
        <f>SUM(CS13:CS17)</f>
        <v>28561</v>
      </c>
      <c r="CT18" s="295">
        <f>SUM(CT13:CT17)</f>
        <v>28561</v>
      </c>
      <c r="CV18" s="295">
        <f>SUM(CV13:CV17)</f>
        <v>31337</v>
      </c>
      <c r="CW18" s="1390">
        <f>SUM(CW13:CW17)</f>
        <v>33155</v>
      </c>
      <c r="CX18" s="1390">
        <f>SUM(CX13:CX17)</f>
        <v>33155</v>
      </c>
      <c r="CZ18" s="295">
        <f>SUM(CZ13:CZ17)</f>
        <v>32651</v>
      </c>
      <c r="DA18" s="1390">
        <f>SUM(DA13:DA17)</f>
        <v>33481</v>
      </c>
      <c r="DB18" s="1390">
        <f>SUM(DB13:DB17)</f>
        <v>33481</v>
      </c>
      <c r="DD18" s="295">
        <f>SUM(DD13:DD17)</f>
        <v>32299</v>
      </c>
      <c r="DE18" s="1390">
        <f>SUM(DE13:DE17)</f>
        <v>35356</v>
      </c>
      <c r="DF18" s="1390">
        <f>SUM(DF13:DF17)</f>
        <v>35356</v>
      </c>
      <c r="DH18" s="295">
        <f>SUM(DH13:DH17)</f>
        <v>34561</v>
      </c>
      <c r="DI18" s="295">
        <f ca="1">SUM(DI13:DI17)</f>
        <v>36028.200914198373</v>
      </c>
      <c r="DJ18" s="295">
        <f ca="1">SUM(DJ13:DJ17)</f>
        <v>36028.200914198373</v>
      </c>
      <c r="DL18" s="295">
        <f ca="1">SUM(DL13:DL17)</f>
        <v>36421.003791897267</v>
      </c>
      <c r="DM18" s="295">
        <f ca="1">SUM(DM13:DM17)</f>
        <v>39206.085631694339</v>
      </c>
      <c r="DN18" s="295">
        <f ca="1">SUM(DN13:DN17)</f>
        <v>39206.085631694339</v>
      </c>
      <c r="DP18" s="295">
        <f ca="1">SUM(DP13:DP17)</f>
        <v>39700.242684919933</v>
      </c>
      <c r="DQ18" s="295">
        <f ca="1">SUM(DQ13:DQ17)</f>
        <v>42684.001979283232</v>
      </c>
      <c r="DR18" s="295">
        <f ca="1">SUM(DR13:DR17)</f>
        <v>42684.001979283232</v>
      </c>
    </row>
    <row r="19" spans="1:122">
      <c r="A19" s="102" t="s">
        <v>676</v>
      </c>
      <c r="AO19" s="626">
        <v>752</v>
      </c>
      <c r="AP19" s="293">
        <f t="shared" si="0"/>
        <v>752</v>
      </c>
      <c r="AR19" s="626">
        <v>780</v>
      </c>
      <c r="AS19" s="626">
        <v>398</v>
      </c>
      <c r="AT19" s="293">
        <f t="shared" si="1"/>
        <v>398</v>
      </c>
      <c r="AV19" s="626">
        <v>74</v>
      </c>
      <c r="AW19" s="626">
        <v>67</v>
      </c>
      <c r="AX19" s="293">
        <f t="shared" si="2"/>
        <v>67</v>
      </c>
      <c r="AZ19" s="626">
        <v>66</v>
      </c>
      <c r="BA19" s="626">
        <v>63</v>
      </c>
      <c r="BB19" s="293">
        <f t="shared" si="3"/>
        <v>63</v>
      </c>
      <c r="BD19" s="626">
        <v>66</v>
      </c>
      <c r="BE19" s="626">
        <v>63</v>
      </c>
      <c r="BF19" s="293">
        <f t="shared" si="4"/>
        <v>63</v>
      </c>
      <c r="BH19" s="626">
        <v>64</v>
      </c>
      <c r="BI19" s="626">
        <v>60</v>
      </c>
      <c r="BJ19" s="293">
        <f t="shared" si="5"/>
        <v>60</v>
      </c>
      <c r="BL19" s="626">
        <v>71</v>
      </c>
      <c r="BM19" s="626">
        <v>76</v>
      </c>
      <c r="BN19" s="293">
        <f t="shared" si="6"/>
        <v>76</v>
      </c>
      <c r="BP19" s="626">
        <v>78</v>
      </c>
      <c r="BQ19" s="626">
        <v>82</v>
      </c>
      <c r="BR19" s="293">
        <f>BQ19</f>
        <v>82</v>
      </c>
      <c r="BT19" s="626">
        <v>0</v>
      </c>
      <c r="BU19" s="626">
        <v>0</v>
      </c>
      <c r="BV19" s="293">
        <f>BU19</f>
        <v>0</v>
      </c>
      <c r="BX19" s="626">
        <v>0</v>
      </c>
      <c r="BY19" s="626">
        <v>0</v>
      </c>
      <c r="BZ19" s="293">
        <f>BY19</f>
        <v>0</v>
      </c>
      <c r="CB19" s="626">
        <v>0</v>
      </c>
      <c r="CC19" s="626">
        <v>0</v>
      </c>
      <c r="CD19" s="293">
        <f>CC19</f>
        <v>0</v>
      </c>
      <c r="CF19" s="626">
        <v>0</v>
      </c>
      <c r="CG19" s="626">
        <v>0</v>
      </c>
      <c r="CH19" s="293">
        <f>CG19</f>
        <v>0</v>
      </c>
      <c r="CJ19" s="626">
        <v>0</v>
      </c>
      <c r="CK19" s="626">
        <v>0</v>
      </c>
      <c r="CL19" s="293">
        <f>CK19</f>
        <v>0</v>
      </c>
      <c r="CN19" s="1388">
        <v>0</v>
      </c>
      <c r="CO19" s="1388">
        <v>0</v>
      </c>
      <c r="CP19" s="1010">
        <f>CO19</f>
        <v>0</v>
      </c>
      <c r="CQ19" s="1009"/>
      <c r="CR19" s="1388">
        <v>0</v>
      </c>
      <c r="CS19" s="1388">
        <v>0</v>
      </c>
      <c r="CT19" s="293">
        <f>CS19</f>
        <v>0</v>
      </c>
      <c r="CV19" s="1388">
        <v>0</v>
      </c>
      <c r="CW19" s="1488">
        <v>0</v>
      </c>
      <c r="CX19" s="1495">
        <f>CW19</f>
        <v>0</v>
      </c>
      <c r="CZ19" s="1388">
        <v>0</v>
      </c>
      <c r="DA19" s="1488">
        <v>0</v>
      </c>
      <c r="DB19" s="1495">
        <f>DA19</f>
        <v>0</v>
      </c>
      <c r="DD19" s="626">
        <v>0</v>
      </c>
      <c r="DE19" s="1497">
        <v>0</v>
      </c>
      <c r="DF19" s="1495">
        <f>DE19</f>
        <v>0</v>
      </c>
      <c r="DH19" s="626">
        <v>0</v>
      </c>
      <c r="DI19" s="293">
        <f>'Bal Sheet'!DI111</f>
        <v>0</v>
      </c>
      <c r="DJ19" s="293">
        <f>'Bal Sheet'!DJ111</f>
        <v>0</v>
      </c>
      <c r="DL19" s="293">
        <f>'Bal Sheet'!DL111</f>
        <v>0</v>
      </c>
      <c r="DM19" s="293">
        <f>'Bal Sheet'!DM111</f>
        <v>0</v>
      </c>
      <c r="DN19" s="293">
        <f>'Bal Sheet'!DN111</f>
        <v>0</v>
      </c>
      <c r="DP19" s="293">
        <f>'Bal Sheet'!DP111</f>
        <v>0</v>
      </c>
      <c r="DQ19" s="293">
        <f>'Bal Sheet'!DQ111</f>
        <v>0</v>
      </c>
      <c r="DR19" s="293">
        <f>'Bal Sheet'!DR111</f>
        <v>0</v>
      </c>
    </row>
    <row r="20" spans="1:122">
      <c r="A20" s="102" t="s">
        <v>677</v>
      </c>
      <c r="AO20" s="626">
        <v>391</v>
      </c>
      <c r="AP20" s="293">
        <f t="shared" si="0"/>
        <v>391</v>
      </c>
      <c r="AR20" s="626">
        <v>391</v>
      </c>
      <c r="AS20" s="626">
        <v>391</v>
      </c>
      <c r="AT20" s="293">
        <f t="shared" si="1"/>
        <v>391</v>
      </c>
      <c r="AV20" s="626">
        <v>391</v>
      </c>
      <c r="AW20" s="626">
        <v>391</v>
      </c>
      <c r="AX20" s="293">
        <f t="shared" si="2"/>
        <v>391</v>
      </c>
      <c r="AZ20" s="626">
        <v>391</v>
      </c>
      <c r="BA20" s="626">
        <v>391</v>
      </c>
      <c r="BB20" s="293">
        <f t="shared" si="3"/>
        <v>391</v>
      </c>
      <c r="BD20" s="626">
        <v>391</v>
      </c>
      <c r="BE20" s="626">
        <v>391</v>
      </c>
      <c r="BF20" s="293">
        <f t="shared" si="4"/>
        <v>391</v>
      </c>
      <c r="BH20" s="626">
        <v>391</v>
      </c>
      <c r="BI20" s="626">
        <v>391</v>
      </c>
      <c r="BJ20" s="293">
        <f t="shared" si="5"/>
        <v>391</v>
      </c>
      <c r="BL20" s="626">
        <v>391</v>
      </c>
      <c r="BM20" s="626">
        <v>391</v>
      </c>
      <c r="BN20" s="293">
        <f t="shared" si="6"/>
        <v>391</v>
      </c>
      <c r="BP20" s="626">
        <v>391</v>
      </c>
      <c r="BQ20" s="626">
        <v>391</v>
      </c>
      <c r="BR20" s="293">
        <f>BQ20</f>
        <v>391</v>
      </c>
      <c r="BT20" s="819">
        <f>'Bal Sheet'!BT110</f>
        <v>391</v>
      </c>
      <c r="BU20" s="819">
        <f>'Bal Sheet'!BU110</f>
        <v>391</v>
      </c>
      <c r="BV20" s="293">
        <f>BU20</f>
        <v>391</v>
      </c>
      <c r="BX20" s="819">
        <f>'Bal Sheet'!BX110</f>
        <v>391</v>
      </c>
      <c r="BY20" s="819">
        <f>'Bal Sheet'!BY110</f>
        <v>391</v>
      </c>
      <c r="BZ20" s="293">
        <f>BY20</f>
        <v>391</v>
      </c>
      <c r="CB20" s="819">
        <f>'Bal Sheet'!CB110</f>
        <v>391</v>
      </c>
      <c r="CC20" s="819">
        <f>'Bal Sheet'!CC110</f>
        <v>391</v>
      </c>
      <c r="CD20" s="293">
        <f>CC20</f>
        <v>391</v>
      </c>
      <c r="CF20" s="819">
        <f>'Bal Sheet'!CF110</f>
        <v>391</v>
      </c>
      <c r="CG20" s="819">
        <f>'Bal Sheet'!CG110</f>
        <v>391</v>
      </c>
      <c r="CH20" s="293">
        <f>CG20</f>
        <v>391</v>
      </c>
      <c r="CJ20" s="819">
        <f>'Bal Sheet'!CJ110</f>
        <v>391</v>
      </c>
      <c r="CK20" s="819">
        <f>'Bal Sheet'!CK110</f>
        <v>391</v>
      </c>
      <c r="CL20" s="293">
        <f>CK20</f>
        <v>391</v>
      </c>
      <c r="CN20" s="819">
        <f>'Bal Sheet'!CN110</f>
        <v>0</v>
      </c>
      <c r="CO20" s="819">
        <f>'Bal Sheet'!CO110</f>
        <v>0</v>
      </c>
      <c r="CP20" s="293">
        <f>CO20</f>
        <v>0</v>
      </c>
      <c r="CR20" s="819">
        <f>'Bal Sheet'!CR110</f>
        <v>0</v>
      </c>
      <c r="CS20" s="819">
        <f>'Bal Sheet'!CS110</f>
        <v>0</v>
      </c>
      <c r="CT20" s="293">
        <f>CS20</f>
        <v>0</v>
      </c>
      <c r="CV20" s="819">
        <f>'Bal Sheet'!CV110</f>
        <v>0</v>
      </c>
      <c r="CW20" s="1506">
        <f>'Bal Sheet'!CW110</f>
        <v>0</v>
      </c>
      <c r="CX20" s="1495">
        <f>CW20</f>
        <v>0</v>
      </c>
      <c r="CZ20" s="819">
        <f>'Bal Sheet'!CZ110</f>
        <v>0</v>
      </c>
      <c r="DA20" s="1506">
        <f>'Bal Sheet'!DA110</f>
        <v>0</v>
      </c>
      <c r="DB20" s="1495">
        <f>DA20</f>
        <v>0</v>
      </c>
      <c r="DD20" s="819">
        <f>'Bal Sheet'!DD110</f>
        <v>0</v>
      </c>
      <c r="DE20" s="1506">
        <f>'Bal Sheet'!DE110</f>
        <v>0</v>
      </c>
      <c r="DF20" s="1495">
        <f>DE20</f>
        <v>0</v>
      </c>
      <c r="DH20" s="819">
        <f>'Bal Sheet'!DH110</f>
        <v>0</v>
      </c>
      <c r="DI20" s="293">
        <f>'Bal Sheet'!DI110</f>
        <v>0</v>
      </c>
      <c r="DJ20" s="293">
        <f>'Bal Sheet'!DJ110</f>
        <v>0</v>
      </c>
      <c r="DL20" s="293">
        <f>'Bal Sheet'!DL110</f>
        <v>0</v>
      </c>
      <c r="DM20" s="293">
        <f>'Bal Sheet'!DM110</f>
        <v>0</v>
      </c>
      <c r="DN20" s="293">
        <f>'Bal Sheet'!DN110</f>
        <v>0</v>
      </c>
      <c r="DP20" s="293">
        <f>'Bal Sheet'!DP110</f>
        <v>0</v>
      </c>
      <c r="DQ20" s="293">
        <f>'Bal Sheet'!DQ110</f>
        <v>0</v>
      </c>
      <c r="DR20" s="293">
        <f>'Bal Sheet'!DR110</f>
        <v>0</v>
      </c>
    </row>
    <row r="21" spans="1:122">
      <c r="A21" s="102" t="s">
        <v>699</v>
      </c>
      <c r="AO21" s="626"/>
      <c r="AP21" s="293"/>
      <c r="AR21" s="626"/>
      <c r="AS21" s="626"/>
      <c r="AT21" s="293"/>
      <c r="AV21" s="626"/>
      <c r="AW21" s="626"/>
      <c r="AX21" s="293"/>
      <c r="AZ21" s="626"/>
      <c r="BA21" s="626"/>
      <c r="BB21" s="293"/>
      <c r="BD21" s="626"/>
      <c r="BE21" s="626"/>
      <c r="BF21" s="293"/>
      <c r="BH21" s="626"/>
      <c r="BI21" s="626"/>
      <c r="BJ21" s="293"/>
      <c r="BL21" s="626"/>
      <c r="BM21" s="626"/>
      <c r="BN21" s="293"/>
      <c r="BP21" s="626"/>
      <c r="BQ21" s="626"/>
      <c r="BR21" s="293"/>
      <c r="BT21" s="626"/>
      <c r="BU21" s="626"/>
      <c r="BV21" s="293"/>
      <c r="BX21" s="626"/>
      <c r="BY21" s="626"/>
      <c r="BZ21" s="293"/>
      <c r="CB21" s="626"/>
      <c r="CC21" s="626"/>
      <c r="CD21" s="293"/>
      <c r="CF21" s="626"/>
      <c r="CG21" s="626"/>
      <c r="CH21" s="293"/>
      <c r="CJ21" s="626"/>
      <c r="CK21" s="626"/>
      <c r="CL21" s="293"/>
      <c r="CN21" s="626"/>
      <c r="CO21" s="626"/>
      <c r="CP21" s="293"/>
      <c r="CR21" s="626"/>
      <c r="CS21" s="626"/>
      <c r="CT21" s="293"/>
      <c r="CV21" s="626"/>
      <c r="CW21" s="1497"/>
      <c r="CX21" s="1495"/>
      <c r="CZ21" s="626"/>
      <c r="DA21" s="1497"/>
      <c r="DB21" s="1495"/>
      <c r="DD21" s="626"/>
      <c r="DE21" s="1497"/>
      <c r="DF21" s="1495"/>
      <c r="DH21" s="626"/>
      <c r="DI21" s="293">
        <f>'Bal Sheet'!DI112</f>
        <v>0</v>
      </c>
      <c r="DJ21" s="293">
        <f>'Bal Sheet'!DJ112</f>
        <v>0</v>
      </c>
      <c r="DL21" s="293">
        <f>'Bal Sheet'!DL112</f>
        <v>0</v>
      </c>
      <c r="DM21" s="293">
        <f>'Bal Sheet'!DM112</f>
        <v>0</v>
      </c>
      <c r="DN21" s="293">
        <f>'Bal Sheet'!DN112</f>
        <v>0</v>
      </c>
      <c r="DP21" s="293">
        <f>'Bal Sheet'!DP112</f>
        <v>0</v>
      </c>
      <c r="DQ21" s="293">
        <f>'Bal Sheet'!DQ112</f>
        <v>0</v>
      </c>
      <c r="DR21" s="293">
        <f>'Bal Sheet'!DR112</f>
        <v>0</v>
      </c>
    </row>
    <row r="22" spans="1:122">
      <c r="A22" s="102" t="s">
        <v>284</v>
      </c>
      <c r="AO22" s="626">
        <v>89</v>
      </c>
      <c r="AP22" s="293">
        <f t="shared" si="0"/>
        <v>89</v>
      </c>
      <c r="AR22" s="626">
        <v>105</v>
      </c>
      <c r="AS22" s="626">
        <v>107</v>
      </c>
      <c r="AT22" s="293">
        <f t="shared" si="1"/>
        <v>107</v>
      </c>
      <c r="AV22" s="626">
        <v>71</v>
      </c>
      <c r="AW22" s="626">
        <v>79</v>
      </c>
      <c r="AX22" s="293">
        <f t="shared" si="2"/>
        <v>79</v>
      </c>
      <c r="AZ22" s="626">
        <v>75</v>
      </c>
      <c r="BA22" s="626">
        <v>74</v>
      </c>
      <c r="BB22" s="293">
        <f t="shared" si="3"/>
        <v>74</v>
      </c>
      <c r="BD22" s="626">
        <v>56</v>
      </c>
      <c r="BE22" s="626">
        <v>75</v>
      </c>
      <c r="BF22" s="293">
        <f t="shared" si="4"/>
        <v>75</v>
      </c>
      <c r="BH22" s="626">
        <v>57</v>
      </c>
      <c r="BI22" s="626">
        <v>101</v>
      </c>
      <c r="BJ22" s="293">
        <f t="shared" si="5"/>
        <v>101</v>
      </c>
      <c r="BL22" s="626">
        <v>28</v>
      </c>
      <c r="BM22" s="626">
        <v>29</v>
      </c>
      <c r="BN22" s="293">
        <f t="shared" si="6"/>
        <v>29</v>
      </c>
      <c r="BP22" s="626">
        <v>57</v>
      </c>
      <c r="BQ22" s="626">
        <v>14</v>
      </c>
      <c r="BR22" s="293">
        <f>BQ22</f>
        <v>14</v>
      </c>
      <c r="BT22" s="819">
        <f>'Bal Sheet'!BT113</f>
        <v>195</v>
      </c>
      <c r="BU22" s="819">
        <f>'Bal Sheet'!BU113</f>
        <v>157</v>
      </c>
      <c r="BV22" s="293">
        <f>BU22</f>
        <v>157</v>
      </c>
      <c r="BX22" s="819">
        <f>'Bal Sheet'!BX113</f>
        <v>151</v>
      </c>
      <c r="BY22" s="819">
        <f>'Bal Sheet'!BY113</f>
        <v>1316</v>
      </c>
      <c r="BZ22" s="293">
        <f>BY22</f>
        <v>1316</v>
      </c>
      <c r="CB22" s="819">
        <f>'Bal Sheet'!CB113</f>
        <v>1351</v>
      </c>
      <c r="CC22" s="819">
        <f>'Bal Sheet'!CC113</f>
        <v>1432</v>
      </c>
      <c r="CD22" s="293">
        <f>CC22</f>
        <v>1432</v>
      </c>
      <c r="CF22" s="819">
        <f>'Bal Sheet'!CF113</f>
        <v>208</v>
      </c>
      <c r="CG22" s="819">
        <f>'Bal Sheet'!CG113</f>
        <v>212</v>
      </c>
      <c r="CH22" s="293">
        <f>CG22</f>
        <v>212</v>
      </c>
      <c r="CJ22" s="819">
        <f>'Bal Sheet'!CJ113</f>
        <v>304</v>
      </c>
      <c r="CK22" s="819">
        <f>'Bal Sheet'!CK113</f>
        <v>330</v>
      </c>
      <c r="CL22" s="293">
        <f>CK22</f>
        <v>330</v>
      </c>
      <c r="CN22" s="819">
        <f>'Bal Sheet'!CN113</f>
        <v>281</v>
      </c>
      <c r="CO22" s="819">
        <f>'Bal Sheet'!CO113</f>
        <v>303</v>
      </c>
      <c r="CP22" s="293">
        <f>CO22</f>
        <v>303</v>
      </c>
      <c r="CR22" s="819">
        <f>'Bal Sheet'!CR113</f>
        <v>350</v>
      </c>
      <c r="CS22" s="819">
        <f>'Bal Sheet'!CS113</f>
        <v>245</v>
      </c>
      <c r="CT22" s="293">
        <f>CS22</f>
        <v>245</v>
      </c>
      <c r="CV22" s="819">
        <f>'Bal Sheet'!CV113</f>
        <v>350</v>
      </c>
      <c r="CW22" s="1506">
        <f>'Bal Sheet'!CW113</f>
        <v>951</v>
      </c>
      <c r="CX22" s="1495">
        <f>CW22</f>
        <v>951</v>
      </c>
      <c r="CZ22" s="819">
        <f>'Bal Sheet'!CZ113</f>
        <v>487</v>
      </c>
      <c r="DA22" s="1506">
        <f>'Bal Sheet'!DA113</f>
        <v>515</v>
      </c>
      <c r="DB22" s="1495">
        <f>DA22</f>
        <v>515</v>
      </c>
      <c r="DD22" s="819">
        <f>'Bal Sheet'!DD113</f>
        <v>535</v>
      </c>
      <c r="DE22" s="1506">
        <f>'Bal Sheet'!DE113</f>
        <v>433</v>
      </c>
      <c r="DF22" s="1495">
        <f>DE22</f>
        <v>433</v>
      </c>
      <c r="DH22" s="819">
        <f>'Bal Sheet'!DH113</f>
        <v>633</v>
      </c>
      <c r="DI22" s="293">
        <f>'Bal Sheet'!DI113</f>
        <v>633</v>
      </c>
      <c r="DJ22" s="293">
        <f>'Bal Sheet'!DJ113</f>
        <v>633</v>
      </c>
      <c r="DL22" s="293">
        <f>'Bal Sheet'!DL113</f>
        <v>633</v>
      </c>
      <c r="DM22" s="293">
        <f>'Bal Sheet'!DM113</f>
        <v>633</v>
      </c>
      <c r="DN22" s="293">
        <f>'Bal Sheet'!DN113</f>
        <v>633</v>
      </c>
      <c r="DP22" s="293">
        <f>'Bal Sheet'!DP113</f>
        <v>633</v>
      </c>
      <c r="DQ22" s="293">
        <f>'Bal Sheet'!DQ113</f>
        <v>633</v>
      </c>
      <c r="DR22" s="293">
        <f>'Bal Sheet'!DR113</f>
        <v>633</v>
      </c>
    </row>
    <row r="23" spans="1:122">
      <c r="A23" s="289" t="s">
        <v>151</v>
      </c>
      <c r="AO23" s="295">
        <f>SUM(AO18:AO22)</f>
        <v>10061</v>
      </c>
      <c r="AP23" s="295">
        <f>SUM(AP18:AP22)</f>
        <v>10061</v>
      </c>
      <c r="AR23" s="295">
        <f>SUM(AR18:AR22)</f>
        <v>10281</v>
      </c>
      <c r="AS23" s="295">
        <f>SUM(AS18:AS22)</f>
        <v>9560</v>
      </c>
      <c r="AT23" s="295">
        <f>SUM(AT18:AT22)</f>
        <v>9560</v>
      </c>
      <c r="AV23" s="295">
        <f>SUM(AV18:AV22)</f>
        <v>11220</v>
      </c>
      <c r="AW23" s="295">
        <f>SUM(AW18:AW22)</f>
        <v>11769</v>
      </c>
      <c r="AX23" s="295">
        <f>SUM(AX18:AX22)</f>
        <v>11769</v>
      </c>
      <c r="AZ23" s="295">
        <f>SUM(AZ18:AZ22)</f>
        <v>11593</v>
      </c>
      <c r="BA23" s="295">
        <f>SUM(BA18:BA22)</f>
        <v>11932</v>
      </c>
      <c r="BB23" s="295">
        <f>SUM(BB18:BB22)</f>
        <v>11932</v>
      </c>
      <c r="BD23" s="295">
        <f>SUM(BD18:BD22)</f>
        <v>11764</v>
      </c>
      <c r="BE23" s="295">
        <f>SUM(BE18:BE22)</f>
        <v>11732</v>
      </c>
      <c r="BF23" s="295">
        <f>SUM(BF18:BF22)</f>
        <v>11732</v>
      </c>
      <c r="BH23" s="295">
        <f>SUM(BH18:BH22)</f>
        <v>11499</v>
      </c>
      <c r="BI23" s="295">
        <f>SUM(BI18:BI22)</f>
        <v>11955</v>
      </c>
      <c r="BJ23" s="295">
        <f>SUM(BJ18:BJ22)</f>
        <v>11955</v>
      </c>
      <c r="BL23" s="295">
        <f>SUM(BL18:BL22)</f>
        <v>12719</v>
      </c>
      <c r="BM23" s="295">
        <f>SUM(BM18:BM22)</f>
        <v>11914</v>
      </c>
      <c r="BN23" s="295">
        <f>SUM(BN18:BN22)</f>
        <v>11914</v>
      </c>
      <c r="BP23" s="295">
        <f>SUM(BP18:BP22)</f>
        <v>12216</v>
      </c>
      <c r="BQ23" s="295">
        <f>SUM(BQ18:BQ22)</f>
        <v>14396</v>
      </c>
      <c r="BR23" s="295">
        <f>SUM(BR18:BR22)</f>
        <v>14396</v>
      </c>
      <c r="BT23" s="295">
        <f>SUM(BT18:BT22)</f>
        <v>15217</v>
      </c>
      <c r="BU23" s="295">
        <f>SUM(BU18:BU22)</f>
        <v>15664</v>
      </c>
      <c r="BV23" s="295">
        <f>SUM(BV18:BV22)</f>
        <v>15664</v>
      </c>
      <c r="BX23" s="295">
        <f>SUM(BX18:BX22)</f>
        <v>15463</v>
      </c>
      <c r="BY23" s="295">
        <f>SUM(BY18:BY22)</f>
        <v>17270</v>
      </c>
      <c r="BZ23" s="295">
        <f>SUM(BZ18:BZ22)</f>
        <v>17270</v>
      </c>
      <c r="CB23" s="295">
        <f>SUM(CB18:CB22)</f>
        <v>17099</v>
      </c>
      <c r="CC23" s="295">
        <f>SUM(CC18:CC22)</f>
        <v>18180</v>
      </c>
      <c r="CD23" s="295">
        <f>SUM(CD18:CD22)</f>
        <v>18180</v>
      </c>
      <c r="CF23" s="295">
        <f>SUM(CF18:CF22)</f>
        <v>17159</v>
      </c>
      <c r="CG23" s="295">
        <f>SUM(CG18:CG22)</f>
        <v>18364</v>
      </c>
      <c r="CH23" s="295">
        <f>SUM(CH18:CH22)</f>
        <v>18364</v>
      </c>
      <c r="CJ23" s="295">
        <f>SUM(CJ18:CJ22)</f>
        <v>20312</v>
      </c>
      <c r="CK23" s="295">
        <f>SUM(CK18:CK22)</f>
        <v>21784</v>
      </c>
      <c r="CL23" s="295">
        <f>SUM(CL18:CL22)</f>
        <v>21784</v>
      </c>
      <c r="CN23" s="295">
        <f>SUM(CN18:CN22)</f>
        <v>20789</v>
      </c>
      <c r="CO23" s="295">
        <f>SUM(CO18:CO22)</f>
        <v>22351</v>
      </c>
      <c r="CP23" s="295">
        <f>SUM(CP18:CP22)</f>
        <v>22351</v>
      </c>
      <c r="CR23" s="295">
        <f>SUM(CR18:CR22)</f>
        <v>24414</v>
      </c>
      <c r="CS23" s="295">
        <f>SUM(CS18:CS22)</f>
        <v>28806</v>
      </c>
      <c r="CT23" s="295">
        <f>SUM(CT18:CT22)</f>
        <v>28806</v>
      </c>
      <c r="CV23" s="295">
        <f>SUM(CV18:CV22)</f>
        <v>31687</v>
      </c>
      <c r="CW23" s="1390">
        <f>SUM(CW18:CW22)</f>
        <v>34106</v>
      </c>
      <c r="CX23" s="1390">
        <f>SUM(CX18:CX22)</f>
        <v>34106</v>
      </c>
      <c r="CZ23" s="295">
        <f>SUM(CZ18:CZ22)</f>
        <v>33138</v>
      </c>
      <c r="DA23" s="1390">
        <f>SUM(DA18:DA22)</f>
        <v>33996</v>
      </c>
      <c r="DB23" s="1390">
        <f>SUM(DB18:DB22)</f>
        <v>33996</v>
      </c>
      <c r="DD23" s="295">
        <f>SUM(DD18:DD22)</f>
        <v>32834</v>
      </c>
      <c r="DE23" s="1390">
        <f>SUM(DE18:DE22)</f>
        <v>35789</v>
      </c>
      <c r="DF23" s="1390">
        <f>SUM(DF18:DF22)</f>
        <v>35789</v>
      </c>
      <c r="DH23" s="295">
        <f>SUM(DH18:DH22)</f>
        <v>35194</v>
      </c>
      <c r="DI23" s="295">
        <f ca="1">SUM(DI18:DI22)</f>
        <v>36661.200914198373</v>
      </c>
      <c r="DJ23" s="295">
        <f ca="1">SUM(DJ18:DJ22)</f>
        <v>36661.200914198373</v>
      </c>
      <c r="DL23" s="295">
        <f ca="1">SUM(DL18:DL22)</f>
        <v>37054.003791897267</v>
      </c>
      <c r="DM23" s="295">
        <f ca="1">SUM(DM18:DM22)</f>
        <v>39839.085631694339</v>
      </c>
      <c r="DN23" s="295">
        <f ca="1">SUM(DN18:DN22)</f>
        <v>39839.085631694339</v>
      </c>
      <c r="DP23" s="295">
        <f ca="1">SUM(DP18:DP22)</f>
        <v>40333.242684919933</v>
      </c>
      <c r="DQ23" s="295">
        <f ca="1">SUM(DQ18:DQ22)</f>
        <v>43317.001979283232</v>
      </c>
      <c r="DR23" s="295">
        <f ca="1">SUM(DR18:DR22)</f>
        <v>43317.001979283232</v>
      </c>
    </row>
    <row r="24" spans="1:122">
      <c r="A24" s="289"/>
      <c r="AO24" s="295"/>
      <c r="AP24" s="295"/>
      <c r="AR24" s="295"/>
      <c r="AS24" s="295"/>
      <c r="AT24" s="295"/>
      <c r="AV24" s="295"/>
      <c r="AW24" s="295"/>
      <c r="AX24" s="295"/>
      <c r="AZ24" s="295"/>
      <c r="BA24" s="295"/>
      <c r="BB24" s="295"/>
      <c r="BD24" s="295"/>
      <c r="BE24" s="295"/>
      <c r="BF24" s="295"/>
      <c r="BH24" s="295"/>
      <c r="BI24" s="295"/>
      <c r="BJ24" s="295"/>
      <c r="BL24" s="295"/>
      <c r="BM24" s="295"/>
      <c r="BN24" s="295"/>
      <c r="BP24" s="295"/>
      <c r="BQ24" s="295"/>
      <c r="BR24" s="295"/>
      <c r="BT24" s="295"/>
      <c r="BU24" s="295"/>
      <c r="BV24" s="295"/>
      <c r="BX24" s="295"/>
      <c r="BY24" s="295"/>
      <c r="BZ24" s="295"/>
      <c r="CB24" s="295"/>
      <c r="CC24" s="295"/>
      <c r="CD24" s="295"/>
      <c r="CF24" s="295"/>
      <c r="CG24" s="295"/>
      <c r="CH24" s="295"/>
      <c r="CJ24" s="295"/>
      <c r="CK24" s="295"/>
      <c r="CL24" s="295"/>
      <c r="CN24" s="295"/>
      <c r="CO24" s="295"/>
      <c r="CP24" s="295"/>
      <c r="CR24" s="295"/>
      <c r="CS24" s="295"/>
      <c r="CT24" s="295"/>
      <c r="CV24" s="295"/>
      <c r="CW24" s="1390"/>
      <c r="CX24" s="1390"/>
      <c r="CZ24" s="295"/>
      <c r="DA24" s="1390"/>
      <c r="DB24" s="1390"/>
      <c r="DD24" s="295"/>
      <c r="DE24" s="1390"/>
      <c r="DF24" s="1390"/>
      <c r="DH24" s="295"/>
      <c r="DI24" s="295"/>
      <c r="DJ24" s="295"/>
      <c r="DL24" s="295"/>
      <c r="DM24" s="295"/>
      <c r="DN24" s="295"/>
      <c r="DP24" s="295"/>
      <c r="DQ24" s="295"/>
      <c r="DR24" s="295"/>
    </row>
    <row r="25" spans="1:122">
      <c r="A25" s="289" t="s">
        <v>285</v>
      </c>
      <c r="AO25" s="626"/>
      <c r="AP25" s="293"/>
      <c r="AR25" s="626"/>
      <c r="AS25" s="626"/>
      <c r="AT25" s="293"/>
      <c r="AV25" s="626"/>
      <c r="AW25" s="626"/>
      <c r="AX25" s="293"/>
      <c r="AZ25" s="626"/>
      <c r="BB25" s="293"/>
      <c r="BD25" s="626"/>
      <c r="BF25" s="293"/>
      <c r="BH25" s="626"/>
      <c r="BJ25" s="293"/>
      <c r="BL25" s="626"/>
      <c r="BN25" s="293"/>
      <c r="BP25" s="626"/>
      <c r="BR25" s="293"/>
      <c r="BT25" s="626"/>
      <c r="BV25" s="293"/>
      <c r="BX25" s="626"/>
      <c r="BZ25" s="293"/>
      <c r="CB25" s="626"/>
      <c r="CD25" s="293"/>
      <c r="CF25" s="626"/>
      <c r="CH25" s="293"/>
      <c r="CJ25" s="626"/>
      <c r="CL25" s="293"/>
      <c r="CN25" s="626"/>
      <c r="CP25" s="293"/>
      <c r="CR25" s="626"/>
      <c r="CT25" s="293"/>
      <c r="CX25" s="1495"/>
      <c r="DA25" s="1408"/>
      <c r="DB25" s="1495"/>
      <c r="DE25" s="1408"/>
      <c r="DF25" s="1495"/>
    </row>
    <row r="26" spans="1:122">
      <c r="A26" s="102" t="s">
        <v>100</v>
      </c>
      <c r="AO26" s="293">
        <f>AO283</f>
        <v>3604</v>
      </c>
      <c r="AP26" s="293">
        <f t="shared" si="0"/>
        <v>3604</v>
      </c>
      <c r="AR26" s="293">
        <f>AR283</f>
        <v>3927</v>
      </c>
      <c r="AS26" s="293">
        <f>AS283</f>
        <v>4560</v>
      </c>
      <c r="AT26" s="293">
        <f t="shared" si="1"/>
        <v>4560</v>
      </c>
      <c r="AV26" s="293">
        <f>AV283</f>
        <v>5250</v>
      </c>
      <c r="AW26" s="492">
        <f>AW283</f>
        <v>6595</v>
      </c>
      <c r="AX26" s="492">
        <f t="shared" si="2"/>
        <v>6595</v>
      </c>
      <c r="AZ26" s="293">
        <f>AZ283</f>
        <v>7235</v>
      </c>
      <c r="BA26" s="293">
        <f>BA283</f>
        <v>7379</v>
      </c>
      <c r="BB26" s="293">
        <f t="shared" si="3"/>
        <v>7379</v>
      </c>
      <c r="BD26" s="293">
        <f>BD283</f>
        <v>7689</v>
      </c>
      <c r="BE26" s="293">
        <f ca="1">+BE13-BE39</f>
        <v>7366</v>
      </c>
      <c r="BF26" s="293">
        <f t="shared" ref="BF26:BF35" ca="1" si="7">BE26</f>
        <v>7366</v>
      </c>
      <c r="BH26" s="293">
        <f>BH283</f>
        <v>7690</v>
      </c>
      <c r="BI26" s="293">
        <f>BI125</f>
        <v>7680</v>
      </c>
      <c r="BJ26" s="293">
        <f t="shared" ref="BJ26:BJ35" si="8">BI26</f>
        <v>7680</v>
      </c>
      <c r="BL26" s="293">
        <f>BL125</f>
        <v>7681</v>
      </c>
      <c r="BM26" s="293">
        <f>BM125</f>
        <v>7710</v>
      </c>
      <c r="BN26" s="293">
        <f t="shared" ref="BN26:BN35" si="9">BM26</f>
        <v>7710</v>
      </c>
      <c r="BP26" s="293">
        <f>BP125</f>
        <v>7709</v>
      </c>
      <c r="BQ26" s="293">
        <f>BQ125</f>
        <v>8690</v>
      </c>
      <c r="BR26" s="293">
        <f>BQ26</f>
        <v>8690</v>
      </c>
      <c r="BT26" s="293">
        <f>BT125</f>
        <v>8692</v>
      </c>
      <c r="BU26" s="293">
        <f>BU125</f>
        <v>9491</v>
      </c>
      <c r="BV26" s="293">
        <f>BU26</f>
        <v>9491</v>
      </c>
      <c r="BX26" s="293">
        <f>BX125</f>
        <v>9500</v>
      </c>
      <c r="BY26" s="293">
        <f>BY125</f>
        <v>9520</v>
      </c>
      <c r="BZ26" s="293">
        <f>BY26</f>
        <v>9520</v>
      </c>
      <c r="CB26" s="293">
        <f>CB125</f>
        <v>9523</v>
      </c>
      <c r="CC26" s="293">
        <f>CC125</f>
        <v>9537</v>
      </c>
      <c r="CD26" s="293">
        <f>CC26</f>
        <v>9537</v>
      </c>
      <c r="CF26" s="293">
        <f>CF125</f>
        <v>9545</v>
      </c>
      <c r="CG26" s="293">
        <f>CG125</f>
        <v>7507</v>
      </c>
      <c r="CH26" s="293">
        <f>CG26</f>
        <v>7507</v>
      </c>
      <c r="CJ26" s="293">
        <f>CJ125</f>
        <v>7507</v>
      </c>
      <c r="CK26" s="293">
        <f>CK125</f>
        <v>8508</v>
      </c>
      <c r="CL26" s="293">
        <f>CK26</f>
        <v>8508</v>
      </c>
      <c r="CN26" s="293">
        <f>CN125</f>
        <v>8501</v>
      </c>
      <c r="CO26" s="293">
        <f>CO125</f>
        <v>8521</v>
      </c>
      <c r="CP26" s="293">
        <f>CO26</f>
        <v>8521</v>
      </c>
      <c r="CR26" s="293">
        <f>CR125</f>
        <v>9040</v>
      </c>
      <c r="CS26" s="293">
        <f>CS125</f>
        <v>9562</v>
      </c>
      <c r="CT26" s="293">
        <f>CS26</f>
        <v>9562</v>
      </c>
      <c r="CV26" s="293">
        <f>CV125</f>
        <v>10140</v>
      </c>
      <c r="CW26" s="1495">
        <f>CW125</f>
        <v>10161</v>
      </c>
      <c r="CX26" s="1495">
        <f>CW26</f>
        <v>10161</v>
      </c>
      <c r="CZ26" s="293">
        <f>CZ125</f>
        <v>10148</v>
      </c>
      <c r="DA26" s="1495">
        <f>DA125</f>
        <v>10182</v>
      </c>
      <c r="DB26" s="1495">
        <f>DA26</f>
        <v>10182</v>
      </c>
      <c r="DD26" s="293">
        <f>DD125</f>
        <v>10209</v>
      </c>
      <c r="DE26" s="1495">
        <f>DE125</f>
        <v>10192</v>
      </c>
      <c r="DF26" s="1495">
        <f>DE26</f>
        <v>10192</v>
      </c>
      <c r="DH26" s="293">
        <f>DH125</f>
        <v>10267</v>
      </c>
      <c r="DI26" s="293">
        <f>+DI13-DI39</f>
        <v>10462.333437687499</v>
      </c>
      <c r="DJ26" s="293">
        <f>DI26</f>
        <v>10462.333437687499</v>
      </c>
      <c r="DL26" s="293">
        <f>+DL13-DL39</f>
        <v>10667.946297533304</v>
      </c>
      <c r="DM26" s="293">
        <f>+DM13-DM39</f>
        <v>10884.379534128495</v>
      </c>
      <c r="DN26" s="293">
        <f>DM26</f>
        <v>10884.379534128495</v>
      </c>
      <c r="DP26" s="293">
        <f>+DP13-DP39</f>
        <v>11112.202569799505</v>
      </c>
      <c r="DQ26" s="293">
        <f>+DQ13-DQ39</f>
        <v>11352.014792722704</v>
      </c>
      <c r="DR26" s="293">
        <f>DQ26</f>
        <v>11352.014792722704</v>
      </c>
    </row>
    <row r="27" spans="1:122">
      <c r="A27" s="102" t="s">
        <v>128</v>
      </c>
      <c r="AO27" s="626">
        <v>0</v>
      </c>
      <c r="AP27" s="293">
        <f t="shared" si="0"/>
        <v>0</v>
      </c>
      <c r="AR27" s="626">
        <v>0</v>
      </c>
      <c r="AS27" s="626">
        <v>0</v>
      </c>
      <c r="AT27" s="293">
        <f t="shared" si="1"/>
        <v>0</v>
      </c>
      <c r="AV27" s="626">
        <v>0</v>
      </c>
      <c r="AW27" s="626">
        <v>0</v>
      </c>
      <c r="AX27" s="293">
        <f t="shared" si="2"/>
        <v>0</v>
      </c>
      <c r="AZ27" s="626">
        <v>0</v>
      </c>
      <c r="BA27" s="626">
        <v>0</v>
      </c>
      <c r="BB27" s="293">
        <f t="shared" si="3"/>
        <v>0</v>
      </c>
      <c r="BD27" s="626">
        <v>0</v>
      </c>
      <c r="BE27" s="626">
        <v>0</v>
      </c>
      <c r="BF27" s="293">
        <f t="shared" si="7"/>
        <v>0</v>
      </c>
      <c r="BH27" s="626">
        <v>0</v>
      </c>
      <c r="BI27" s="626">
        <v>0</v>
      </c>
      <c r="BJ27" s="293">
        <f t="shared" si="8"/>
        <v>0</v>
      </c>
      <c r="BL27" s="626">
        <v>0</v>
      </c>
      <c r="BM27" s="626">
        <v>0</v>
      </c>
      <c r="BN27" s="293">
        <f t="shared" si="9"/>
        <v>0</v>
      </c>
      <c r="BP27" s="626">
        <v>0</v>
      </c>
      <c r="BQ27" s="626">
        <v>0</v>
      </c>
      <c r="BR27" s="293">
        <f>BQ27</f>
        <v>0</v>
      </c>
      <c r="BT27" s="626">
        <v>0</v>
      </c>
      <c r="BU27" s="626">
        <v>0</v>
      </c>
      <c r="BV27" s="293">
        <f>BU27</f>
        <v>0</v>
      </c>
      <c r="BX27" s="626">
        <v>0</v>
      </c>
      <c r="BY27" s="626">
        <v>0</v>
      </c>
      <c r="BZ27" s="293">
        <f>BY27</f>
        <v>0</v>
      </c>
      <c r="CB27" s="626">
        <v>0</v>
      </c>
      <c r="CC27" s="626">
        <v>0</v>
      </c>
      <c r="CD27" s="293">
        <f>CC27</f>
        <v>0</v>
      </c>
      <c r="CF27" s="626">
        <v>0</v>
      </c>
      <c r="CG27" s="626">
        <v>0</v>
      </c>
      <c r="CH27" s="293">
        <f>CG27</f>
        <v>0</v>
      </c>
      <c r="CJ27" s="626">
        <v>0</v>
      </c>
      <c r="CK27" s="626">
        <v>0</v>
      </c>
      <c r="CL27" s="293">
        <f>CK27</f>
        <v>0</v>
      </c>
      <c r="CN27" s="1388">
        <v>0</v>
      </c>
      <c r="CO27" s="1388">
        <v>0</v>
      </c>
      <c r="CP27" s="1010">
        <f>CO27</f>
        <v>0</v>
      </c>
      <c r="CQ27" s="1009"/>
      <c r="CR27" s="1388">
        <v>0</v>
      </c>
      <c r="CS27" s="1388">
        <v>0</v>
      </c>
      <c r="CT27" s="293">
        <f>CS27</f>
        <v>0</v>
      </c>
      <c r="CV27" s="1388">
        <v>0</v>
      </c>
      <c r="CW27" s="1488">
        <v>0</v>
      </c>
      <c r="CX27" s="1495">
        <f>CW27</f>
        <v>0</v>
      </c>
      <c r="CZ27" s="1388">
        <v>0</v>
      </c>
      <c r="DA27" s="1488">
        <v>0</v>
      </c>
      <c r="DB27" s="1495">
        <f>DA27</f>
        <v>0</v>
      </c>
      <c r="DD27" s="626">
        <v>0</v>
      </c>
      <c r="DE27" s="1497">
        <v>0</v>
      </c>
      <c r="DF27" s="1495">
        <f>DE27</f>
        <v>0</v>
      </c>
      <c r="DH27" s="626">
        <v>0</v>
      </c>
      <c r="DI27" s="487">
        <v>0</v>
      </c>
      <c r="DJ27" s="293">
        <f>DI27</f>
        <v>0</v>
      </c>
      <c r="DL27" s="487">
        <v>0</v>
      </c>
      <c r="DM27" s="487">
        <v>0</v>
      </c>
      <c r="DN27" s="293">
        <f>DM27</f>
        <v>0</v>
      </c>
      <c r="DP27" s="487">
        <v>0</v>
      </c>
      <c r="DQ27" s="487">
        <v>0</v>
      </c>
      <c r="DR27" s="293">
        <f>DQ27</f>
        <v>0</v>
      </c>
    </row>
    <row r="28" spans="1:122">
      <c r="A28" s="102" t="s">
        <v>110</v>
      </c>
      <c r="AO28" s="626">
        <v>0</v>
      </c>
      <c r="AP28" s="293">
        <f t="shared" si="0"/>
        <v>0</v>
      </c>
      <c r="AR28" s="626">
        <v>0</v>
      </c>
      <c r="AS28" s="626">
        <v>0</v>
      </c>
      <c r="AT28" s="293">
        <f t="shared" si="1"/>
        <v>0</v>
      </c>
      <c r="AV28" s="626">
        <v>0</v>
      </c>
      <c r="AW28" s="626">
        <v>0</v>
      </c>
      <c r="AX28" s="293">
        <f t="shared" si="2"/>
        <v>0</v>
      </c>
      <c r="AZ28" s="626">
        <v>0</v>
      </c>
      <c r="BA28" s="626">
        <v>0</v>
      </c>
      <c r="BB28" s="293">
        <f t="shared" si="3"/>
        <v>0</v>
      </c>
      <c r="BD28" s="626">
        <v>0</v>
      </c>
      <c r="BE28" s="626">
        <v>0</v>
      </c>
      <c r="BF28" s="293">
        <f t="shared" si="7"/>
        <v>0</v>
      </c>
      <c r="BH28" s="626">
        <v>0</v>
      </c>
      <c r="BI28" s="626">
        <v>0</v>
      </c>
      <c r="BJ28" s="293">
        <f t="shared" si="8"/>
        <v>0</v>
      </c>
      <c r="BL28" s="626">
        <v>0</v>
      </c>
      <c r="BM28" s="626">
        <v>0</v>
      </c>
      <c r="BN28" s="293">
        <f t="shared" si="9"/>
        <v>0</v>
      </c>
      <c r="BP28" s="626">
        <v>0</v>
      </c>
      <c r="BQ28" s="626">
        <v>0</v>
      </c>
      <c r="BR28" s="293">
        <f>BQ28</f>
        <v>0</v>
      </c>
      <c r="BT28" s="626">
        <v>0</v>
      </c>
      <c r="BU28" s="626">
        <v>0</v>
      </c>
      <c r="BV28" s="293">
        <f>BU28</f>
        <v>0</v>
      </c>
      <c r="BX28" s="626">
        <v>0</v>
      </c>
      <c r="BY28" s="626">
        <v>0</v>
      </c>
      <c r="BZ28" s="293">
        <f>BY28</f>
        <v>0</v>
      </c>
      <c r="CB28" s="626">
        <v>0</v>
      </c>
      <c r="CC28" s="626">
        <v>0</v>
      </c>
      <c r="CD28" s="293">
        <f>CC28</f>
        <v>0</v>
      </c>
      <c r="CF28" s="626">
        <v>0</v>
      </c>
      <c r="CG28" s="626">
        <v>0</v>
      </c>
      <c r="CH28" s="293">
        <f>CG28</f>
        <v>0</v>
      </c>
      <c r="CJ28" s="626">
        <v>0</v>
      </c>
      <c r="CK28" s="626">
        <v>0</v>
      </c>
      <c r="CL28" s="293">
        <f>CK28</f>
        <v>0</v>
      </c>
      <c r="CN28" s="1388">
        <v>0</v>
      </c>
      <c r="CO28" s="1388">
        <v>0</v>
      </c>
      <c r="CP28" s="1010">
        <f>CO28</f>
        <v>0</v>
      </c>
      <c r="CQ28" s="1009"/>
      <c r="CR28" s="1388">
        <v>0</v>
      </c>
      <c r="CS28" s="1388">
        <v>0</v>
      </c>
      <c r="CT28" s="293">
        <f>CS28</f>
        <v>0</v>
      </c>
      <c r="CV28" s="1388">
        <v>0</v>
      </c>
      <c r="CW28" s="1488">
        <v>0</v>
      </c>
      <c r="CX28" s="1495">
        <f>CW28</f>
        <v>0</v>
      </c>
      <c r="CZ28" s="1388">
        <v>0</v>
      </c>
      <c r="DA28" s="1488">
        <v>0</v>
      </c>
      <c r="DB28" s="1495">
        <f>DA28</f>
        <v>0</v>
      </c>
      <c r="DD28" s="626">
        <v>0</v>
      </c>
      <c r="DE28" s="1497">
        <v>0</v>
      </c>
      <c r="DF28" s="1495">
        <f>DE28</f>
        <v>0</v>
      </c>
      <c r="DH28" s="626">
        <v>0</v>
      </c>
      <c r="DI28" s="487">
        <v>0</v>
      </c>
      <c r="DJ28" s="293">
        <f>DI28</f>
        <v>0</v>
      </c>
      <c r="DL28" s="487">
        <v>0</v>
      </c>
      <c r="DM28" s="487">
        <v>0</v>
      </c>
      <c r="DN28" s="293">
        <f>DM28</f>
        <v>0</v>
      </c>
      <c r="DP28" s="487">
        <v>0</v>
      </c>
      <c r="DQ28" s="487">
        <v>0</v>
      </c>
      <c r="DR28" s="293">
        <f>DQ28</f>
        <v>0</v>
      </c>
    </row>
    <row r="29" spans="1:122">
      <c r="A29" s="102" t="s">
        <v>130</v>
      </c>
      <c r="AO29" s="293">
        <f>AO284</f>
        <v>170</v>
      </c>
      <c r="AP29" s="293">
        <f t="shared" si="0"/>
        <v>170</v>
      </c>
      <c r="AR29" s="293">
        <f>AR284</f>
        <v>180</v>
      </c>
      <c r="AS29" s="293">
        <f>AS284</f>
        <v>190</v>
      </c>
      <c r="AT29" s="293">
        <f t="shared" si="1"/>
        <v>190</v>
      </c>
      <c r="AV29" s="293">
        <f>AV284</f>
        <v>186</v>
      </c>
      <c r="AW29" s="293">
        <f>AW284</f>
        <v>-86</v>
      </c>
      <c r="AX29" s="293">
        <f t="shared" si="2"/>
        <v>-86</v>
      </c>
      <c r="AZ29" s="293">
        <f>AZ284</f>
        <v>-257</v>
      </c>
      <c r="BA29" s="293">
        <f>BA284</f>
        <v>-457</v>
      </c>
      <c r="BB29" s="293">
        <f t="shared" si="3"/>
        <v>-457</v>
      </c>
      <c r="BD29" s="293">
        <f>BD284</f>
        <v>-185</v>
      </c>
      <c r="BE29" s="293">
        <f>BE284</f>
        <v>-654</v>
      </c>
      <c r="BF29" s="293">
        <f t="shared" si="7"/>
        <v>-654</v>
      </c>
      <c r="BH29" s="293">
        <f>BH284</f>
        <v>-592</v>
      </c>
      <c r="BI29" s="293">
        <f>BI126</f>
        <v>-574</v>
      </c>
      <c r="BJ29" s="293">
        <f t="shared" si="8"/>
        <v>-574</v>
      </c>
      <c r="BL29" s="293">
        <f>BL126</f>
        <v>-129</v>
      </c>
      <c r="BM29" s="293">
        <f>BM126</f>
        <v>-42</v>
      </c>
      <c r="BN29" s="293">
        <f t="shared" si="9"/>
        <v>-42</v>
      </c>
      <c r="BP29" s="293">
        <f>BP126</f>
        <v>169</v>
      </c>
      <c r="BQ29" s="293">
        <f>BQ126</f>
        <v>639</v>
      </c>
      <c r="BR29" s="293">
        <f>BQ29</f>
        <v>639</v>
      </c>
      <c r="BT29" s="293">
        <f>BT126</f>
        <v>1113</v>
      </c>
      <c r="BU29" s="293">
        <f>BU126</f>
        <v>529</v>
      </c>
      <c r="BV29" s="293">
        <f>BU29</f>
        <v>529</v>
      </c>
      <c r="BX29" s="293">
        <f>BX126</f>
        <v>368</v>
      </c>
      <c r="BY29" s="293">
        <f>BY126</f>
        <v>411</v>
      </c>
      <c r="BZ29" s="293">
        <f>BY29</f>
        <v>411</v>
      </c>
      <c r="CB29" s="293">
        <f>CB126</f>
        <v>355</v>
      </c>
      <c r="CC29" s="293">
        <f>CC126</f>
        <v>478</v>
      </c>
      <c r="CD29" s="293">
        <f>CC29</f>
        <v>478</v>
      </c>
      <c r="CF29" s="293">
        <f>CF126</f>
        <v>758</v>
      </c>
      <c r="CG29" s="293">
        <f>CG126</f>
        <v>515</v>
      </c>
      <c r="CH29" s="293">
        <f>CG29</f>
        <v>515</v>
      </c>
      <c r="CJ29" s="293">
        <f>CJ126</f>
        <v>637</v>
      </c>
      <c r="CK29" s="293">
        <f>CK126</f>
        <v>990</v>
      </c>
      <c r="CL29" s="293">
        <f>CK29</f>
        <v>990</v>
      </c>
      <c r="CN29" s="1010">
        <f>CN126</f>
        <v>423</v>
      </c>
      <c r="CO29" s="1010">
        <f>CO126</f>
        <v>305</v>
      </c>
      <c r="CP29" s="1010">
        <f>CO29</f>
        <v>305</v>
      </c>
      <c r="CQ29" s="1009"/>
      <c r="CR29" s="1010">
        <f>CR126</f>
        <v>515</v>
      </c>
      <c r="CS29" s="1010">
        <f>CS126</f>
        <v>434</v>
      </c>
      <c r="CT29" s="293">
        <f>CS29</f>
        <v>434</v>
      </c>
      <c r="CV29" s="1010">
        <f>CV126</f>
        <v>1315</v>
      </c>
      <c r="CW29" s="1490">
        <f>CW126</f>
        <v>1057</v>
      </c>
      <c r="CX29" s="1495">
        <f>CW29</f>
        <v>1057</v>
      </c>
      <c r="CZ29" s="1010">
        <f>CZ126</f>
        <v>1302</v>
      </c>
      <c r="DA29" s="1490">
        <f>DA126</f>
        <v>1237</v>
      </c>
      <c r="DB29" s="1495">
        <f>DA29</f>
        <v>1237</v>
      </c>
      <c r="DD29" s="293">
        <f>DD126</f>
        <v>847</v>
      </c>
      <c r="DE29" s="1490">
        <f>DE126</f>
        <v>1612</v>
      </c>
      <c r="DF29" s="1495">
        <f>DE29</f>
        <v>1612</v>
      </c>
      <c r="DH29" s="293">
        <f>DH126</f>
        <v>1140</v>
      </c>
      <c r="DI29" s="293">
        <f>+DI16-DI42</f>
        <v>1140</v>
      </c>
      <c r="DJ29" s="293">
        <f>DI29</f>
        <v>1140</v>
      </c>
      <c r="DL29" s="293">
        <f>+DL16-DL42</f>
        <v>1140</v>
      </c>
      <c r="DM29" s="293">
        <f>+DM16-DM42</f>
        <v>1140</v>
      </c>
      <c r="DN29" s="293">
        <f>DM29</f>
        <v>1140</v>
      </c>
      <c r="DP29" s="293">
        <f>+DP16-DP42</f>
        <v>1140</v>
      </c>
      <c r="DQ29" s="293">
        <f>+DQ16-DQ42</f>
        <v>1140</v>
      </c>
      <c r="DR29" s="293">
        <f>DQ29</f>
        <v>1140</v>
      </c>
    </row>
    <row r="30" spans="1:122">
      <c r="A30" s="102" t="s">
        <v>144</v>
      </c>
      <c r="AO30" s="293">
        <f>AO285</f>
        <v>1025</v>
      </c>
      <c r="AP30" s="293">
        <f t="shared" si="0"/>
        <v>1025</v>
      </c>
      <c r="AR30" s="293">
        <f>AR285</f>
        <v>884</v>
      </c>
      <c r="AS30" s="293">
        <f>AS285</f>
        <v>882</v>
      </c>
      <c r="AT30" s="293">
        <f t="shared" si="1"/>
        <v>882</v>
      </c>
      <c r="AV30" s="293">
        <f>AV285</f>
        <v>1070</v>
      </c>
      <c r="AW30" s="293">
        <f>AW285</f>
        <v>962</v>
      </c>
      <c r="AX30" s="293">
        <f t="shared" si="2"/>
        <v>962</v>
      </c>
      <c r="AZ30" s="293">
        <f>AZ285</f>
        <v>1011</v>
      </c>
      <c r="BA30" s="293">
        <f>BA285</f>
        <v>1142</v>
      </c>
      <c r="BB30" s="293">
        <f t="shared" si="3"/>
        <v>1142</v>
      </c>
      <c r="BD30" s="293">
        <f>BD285</f>
        <v>1260</v>
      </c>
      <c r="BE30" s="293">
        <f>BE285</f>
        <v>1338</v>
      </c>
      <c r="BF30" s="293">
        <f t="shared" si="7"/>
        <v>1338</v>
      </c>
      <c r="BH30" s="293">
        <f>BH285</f>
        <v>932</v>
      </c>
      <c r="BI30" s="293">
        <f>BI127</f>
        <v>1202</v>
      </c>
      <c r="BJ30" s="293">
        <f t="shared" si="8"/>
        <v>1202</v>
      </c>
      <c r="BL30" s="293">
        <f>BL127</f>
        <v>1389</v>
      </c>
      <c r="BM30" s="293">
        <f>BM127</f>
        <v>1371</v>
      </c>
      <c r="BN30" s="293">
        <f t="shared" si="9"/>
        <v>1371</v>
      </c>
      <c r="BP30" s="293">
        <f>BP127</f>
        <v>1113</v>
      </c>
      <c r="BQ30" s="293">
        <f>BQ127</f>
        <v>1884</v>
      </c>
      <c r="BR30" s="293">
        <f>BQ30</f>
        <v>1884</v>
      </c>
      <c r="BT30" s="293">
        <f>BT127</f>
        <v>1751</v>
      </c>
      <c r="BU30" s="293">
        <f>BU127</f>
        <v>2410</v>
      </c>
      <c r="BV30" s="293">
        <f>BU30</f>
        <v>2410</v>
      </c>
      <c r="BX30" s="293">
        <f>BX127</f>
        <v>2139</v>
      </c>
      <c r="BY30" s="293">
        <f>BY127</f>
        <v>2354</v>
      </c>
      <c r="BZ30" s="293">
        <f>BY30</f>
        <v>2354</v>
      </c>
      <c r="CB30" s="293">
        <f>CB127</f>
        <v>2348</v>
      </c>
      <c r="CC30" s="293">
        <f>CC127</f>
        <v>2647</v>
      </c>
      <c r="CD30" s="293">
        <f>CC30</f>
        <v>2647</v>
      </c>
      <c r="CF30" s="293">
        <f>CF127</f>
        <v>2341</v>
      </c>
      <c r="CG30" s="293">
        <f>CG127</f>
        <v>2852</v>
      </c>
      <c r="CH30" s="293">
        <f>CG30</f>
        <v>2852</v>
      </c>
      <c r="CJ30" s="293">
        <f>CJ127</f>
        <v>3824</v>
      </c>
      <c r="CK30" s="293">
        <f>CK127</f>
        <v>4350</v>
      </c>
      <c r="CL30" s="293">
        <f>CK30</f>
        <v>4350</v>
      </c>
      <c r="CN30" s="1010">
        <f>CN127</f>
        <v>4923</v>
      </c>
      <c r="CO30" s="1010">
        <f>CO127</f>
        <v>5253</v>
      </c>
      <c r="CP30" s="1010">
        <f>CO30</f>
        <v>5253</v>
      </c>
      <c r="CQ30" s="1009"/>
      <c r="CR30" s="1010">
        <f>CR127</f>
        <v>6513</v>
      </c>
      <c r="CS30" s="1010">
        <f>CS127</f>
        <v>7962</v>
      </c>
      <c r="CT30" s="293">
        <f>CS30</f>
        <v>7962</v>
      </c>
      <c r="CV30" s="1010">
        <f>CV127</f>
        <v>9198</v>
      </c>
      <c r="CW30" s="1490">
        <f>CW127</f>
        <v>9135</v>
      </c>
      <c r="CX30" s="1495">
        <f>CW30</f>
        <v>9135</v>
      </c>
      <c r="CZ30" s="1010">
        <f>CZ127</f>
        <v>8698</v>
      </c>
      <c r="DA30" s="1490">
        <f>DA127</f>
        <v>9934</v>
      </c>
      <c r="DB30" s="1495">
        <f>DA30</f>
        <v>9934</v>
      </c>
      <c r="DD30" s="293">
        <f>DD127</f>
        <v>9916</v>
      </c>
      <c r="DE30" s="1490">
        <f>DE127</f>
        <v>11249</v>
      </c>
      <c r="DF30" s="1495">
        <f>DE30</f>
        <v>11249</v>
      </c>
      <c r="DH30" s="293">
        <f>DH127</f>
        <v>11476</v>
      </c>
      <c r="DI30" s="293">
        <f ca="1">+DI17-DI43</f>
        <v>12831.02747651087</v>
      </c>
      <c r="DJ30" s="293">
        <f ca="1">DI30</f>
        <v>12831.02747651087</v>
      </c>
      <c r="DL30" s="293">
        <f ca="1">+DL17-DL43</f>
        <v>13103.872294363966</v>
      </c>
      <c r="DM30" s="293">
        <f ca="1">+DM17-DM43</f>
        <v>15760.745341565846</v>
      </c>
      <c r="DN30" s="293">
        <f ca="1">DM30</f>
        <v>15760.745341565846</v>
      </c>
      <c r="DP30" s="293">
        <f ca="1">+DP17-DP43</f>
        <v>16117.950536440429</v>
      </c>
      <c r="DQ30" s="293">
        <f ca="1">+DQ17-DQ43</f>
        <v>18955.494920520126</v>
      </c>
      <c r="DR30" s="293">
        <f ca="1">DQ30</f>
        <v>18955.494920520126</v>
      </c>
    </row>
    <row r="31" spans="1:122">
      <c r="A31" s="289" t="s">
        <v>150</v>
      </c>
      <c r="AO31" s="295">
        <f>SUM(AO26:AO30)</f>
        <v>4799</v>
      </c>
      <c r="AP31" s="295">
        <f>SUM(AP26:AP30)</f>
        <v>4799</v>
      </c>
      <c r="AR31" s="295">
        <f>SUM(AR26:AR30)</f>
        <v>4991</v>
      </c>
      <c r="AS31" s="295">
        <f>SUM(AS26:AS30)</f>
        <v>5632</v>
      </c>
      <c r="AT31" s="295">
        <f>SUM(AT26:AT30)</f>
        <v>5632</v>
      </c>
      <c r="AV31" s="295">
        <f>SUM(AV26:AV30)</f>
        <v>6506</v>
      </c>
      <c r="AW31" s="295">
        <f>SUM(AW26:AW30)</f>
        <v>7471</v>
      </c>
      <c r="AX31" s="295">
        <f>SUM(AX26:AX30)</f>
        <v>7471</v>
      </c>
      <c r="AZ31" s="295">
        <f>SUM(AZ26:AZ30)</f>
        <v>7989</v>
      </c>
      <c r="BA31" s="295">
        <f>SUM(BA26:BA30)</f>
        <v>8064</v>
      </c>
      <c r="BB31" s="295">
        <f>SUM(BB26:BB30)</f>
        <v>8064</v>
      </c>
      <c r="BD31" s="295">
        <f>SUM(BD26:BD30)</f>
        <v>8764</v>
      </c>
      <c r="BE31" s="295">
        <f ca="1">SUM(BE26:BE30)</f>
        <v>8050</v>
      </c>
      <c r="BF31" s="295">
        <f ca="1">SUM(BF26:BF30)</f>
        <v>8050</v>
      </c>
      <c r="BH31" s="295">
        <f>SUM(BH26:BH30)</f>
        <v>8030</v>
      </c>
      <c r="BI31" s="295">
        <f>SUM(BI26:BI30)</f>
        <v>8308</v>
      </c>
      <c r="BJ31" s="295">
        <f>SUM(BJ26:BJ30)</f>
        <v>8308</v>
      </c>
      <c r="BL31" s="295">
        <f>SUM(BL26:BL30)</f>
        <v>8941</v>
      </c>
      <c r="BM31" s="295">
        <f>SUM(BM26:BM30)</f>
        <v>9039</v>
      </c>
      <c r="BN31" s="295">
        <f>SUM(BN26:BN30)</f>
        <v>9039</v>
      </c>
      <c r="BP31" s="295">
        <f>SUM(BP26:BP30)</f>
        <v>8991</v>
      </c>
      <c r="BQ31" s="295">
        <f>SUM(BQ26:BQ30)</f>
        <v>11213</v>
      </c>
      <c r="BR31" s="295">
        <f>SUM(BR26:BR30)</f>
        <v>11213</v>
      </c>
      <c r="BT31" s="295">
        <f>SUM(BT26:BT30)</f>
        <v>11556</v>
      </c>
      <c r="BU31" s="295">
        <f>SUM(BU26:BU30)</f>
        <v>12430</v>
      </c>
      <c r="BV31" s="295">
        <f>SUM(BV26:BV30)</f>
        <v>12430</v>
      </c>
      <c r="BX31" s="295">
        <f>SUM(BX26:BX30)</f>
        <v>12007</v>
      </c>
      <c r="BY31" s="295">
        <f>SUM(BY26:BY30)</f>
        <v>12285</v>
      </c>
      <c r="BZ31" s="295">
        <f>SUM(BZ26:BZ30)</f>
        <v>12285</v>
      </c>
      <c r="CB31" s="295">
        <f>SUM(CB26:CB30)</f>
        <v>12226</v>
      </c>
      <c r="CC31" s="295">
        <f>SUM(CC26:CC30)</f>
        <v>12662</v>
      </c>
      <c r="CD31" s="295">
        <f>SUM(CD26:CD30)</f>
        <v>12662</v>
      </c>
      <c r="CF31" s="295">
        <f>SUM(CF26:CF30)</f>
        <v>12644</v>
      </c>
      <c r="CG31" s="295">
        <f>SUM(CG26:CG30)</f>
        <v>10874</v>
      </c>
      <c r="CH31" s="295">
        <f>SUM(CH26:CH30)</f>
        <v>10874</v>
      </c>
      <c r="CJ31" s="295">
        <f>SUM(CJ26:CJ30)</f>
        <v>11968</v>
      </c>
      <c r="CK31" s="295">
        <f>SUM(CK26:CK30)</f>
        <v>13848</v>
      </c>
      <c r="CL31" s="295">
        <f>SUM(CL26:CL30)</f>
        <v>13848</v>
      </c>
      <c r="CN31" s="1412">
        <f>SUM(CN26:CN30)</f>
        <v>13847</v>
      </c>
      <c r="CO31" s="1412">
        <f>SUM(CO26:CO30)</f>
        <v>14079</v>
      </c>
      <c r="CP31" s="1412">
        <f>SUM(CP26:CP30)</f>
        <v>14079</v>
      </c>
      <c r="CQ31" s="1009"/>
      <c r="CR31" s="1412">
        <f>SUM(CR26:CR30)</f>
        <v>16068</v>
      </c>
      <c r="CS31" s="1412">
        <f>SUM(CS26:CS30)</f>
        <v>17958</v>
      </c>
      <c r="CT31" s="295">
        <f>SUM(CT26:CT30)</f>
        <v>17958</v>
      </c>
      <c r="CV31" s="1412">
        <f>SUM(CV26:CV30)</f>
        <v>20653</v>
      </c>
      <c r="CW31" s="1491">
        <f>SUM(CW26:CW30)</f>
        <v>20353</v>
      </c>
      <c r="CX31" s="1390">
        <f>SUM(CX26:CX30)</f>
        <v>20353</v>
      </c>
      <c r="CZ31" s="1412">
        <f>SUM(CZ26:CZ30)</f>
        <v>20148</v>
      </c>
      <c r="DA31" s="1491">
        <f>SUM(DA26:DA30)</f>
        <v>21353</v>
      </c>
      <c r="DB31" s="1390">
        <f>SUM(DB26:DB30)</f>
        <v>21353</v>
      </c>
      <c r="DD31" s="295">
        <f>SUM(DD26:DD30)</f>
        <v>20972</v>
      </c>
      <c r="DE31" s="1491">
        <f>SUM(DE26:DE30)</f>
        <v>23053</v>
      </c>
      <c r="DF31" s="1390">
        <f>SUM(DF26:DF30)</f>
        <v>23053</v>
      </c>
      <c r="DH31" s="295">
        <f>SUM(DH26:DH30)</f>
        <v>22883</v>
      </c>
      <c r="DI31" s="295">
        <f ca="1">SUM(DI26:DI30)</f>
        <v>24433.360914198369</v>
      </c>
      <c r="DJ31" s="295">
        <f ca="1">SUM(DJ26:DJ30)</f>
        <v>24433.360914198369</v>
      </c>
      <c r="DL31" s="295">
        <f ca="1">SUM(DL26:DL30)</f>
        <v>24911.81859189727</v>
      </c>
      <c r="DM31" s="295">
        <f ca="1">SUM(DM26:DM30)</f>
        <v>27785.124875694339</v>
      </c>
      <c r="DN31" s="295">
        <f ca="1">SUM(DN26:DN30)</f>
        <v>27785.124875694339</v>
      </c>
      <c r="DP31" s="295">
        <f ca="1">SUM(DP26:DP30)</f>
        <v>28370.153106239934</v>
      </c>
      <c r="DQ31" s="295">
        <f ca="1">SUM(DQ26:DQ30)</f>
        <v>31447.509713242831</v>
      </c>
      <c r="DR31" s="295">
        <f ca="1">SUM(DR26:DR30)</f>
        <v>31447.509713242831</v>
      </c>
    </row>
    <row r="32" spans="1:122">
      <c r="A32" s="102" t="s">
        <v>676</v>
      </c>
      <c r="AO32" s="293">
        <f>AO19</f>
        <v>752</v>
      </c>
      <c r="AP32" s="293">
        <f t="shared" si="0"/>
        <v>752</v>
      </c>
      <c r="AR32" s="293">
        <f>AR19</f>
        <v>780</v>
      </c>
      <c r="AS32" s="293">
        <f>AS19</f>
        <v>398</v>
      </c>
      <c r="AT32" s="293">
        <f t="shared" si="1"/>
        <v>398</v>
      </c>
      <c r="AV32" s="293">
        <f>AV19</f>
        <v>74</v>
      </c>
      <c r="AW32" s="293">
        <f>AW19</f>
        <v>67</v>
      </c>
      <c r="AX32" s="293">
        <f t="shared" si="2"/>
        <v>67</v>
      </c>
      <c r="AZ32" s="293">
        <f>AZ19</f>
        <v>66</v>
      </c>
      <c r="BA32" s="293">
        <f>BA19</f>
        <v>63</v>
      </c>
      <c r="BB32" s="293">
        <f t="shared" si="3"/>
        <v>63</v>
      </c>
      <c r="BD32" s="293">
        <f>BD19</f>
        <v>66</v>
      </c>
      <c r="BE32" s="293">
        <f>BE19</f>
        <v>63</v>
      </c>
      <c r="BF32" s="293">
        <f t="shared" si="7"/>
        <v>63</v>
      </c>
      <c r="BH32" s="293">
        <f>BH19</f>
        <v>64</v>
      </c>
      <c r="BI32" s="293">
        <f>BI19</f>
        <v>60</v>
      </c>
      <c r="BJ32" s="293">
        <f t="shared" si="8"/>
        <v>60</v>
      </c>
      <c r="BL32" s="293">
        <f t="shared" ref="BL32:BM34" si="10">BL19</f>
        <v>71</v>
      </c>
      <c r="BM32" s="293">
        <f t="shared" si="10"/>
        <v>76</v>
      </c>
      <c r="BN32" s="293">
        <f t="shared" si="9"/>
        <v>76</v>
      </c>
      <c r="BP32" s="293">
        <f t="shared" ref="BP32:BQ34" si="11">BP19</f>
        <v>78</v>
      </c>
      <c r="BQ32" s="293">
        <f t="shared" si="11"/>
        <v>82</v>
      </c>
      <c r="BR32" s="293">
        <f>BQ32</f>
        <v>82</v>
      </c>
      <c r="BT32" s="293">
        <f t="shared" ref="BT32:BU34" si="12">BT19</f>
        <v>0</v>
      </c>
      <c r="BU32" s="293">
        <f t="shared" si="12"/>
        <v>0</v>
      </c>
      <c r="BV32" s="293">
        <f>BU32</f>
        <v>0</v>
      </c>
      <c r="BX32" s="293">
        <f t="shared" ref="BX32:BY34" si="13">BX19</f>
        <v>0</v>
      </c>
      <c r="BY32" s="293">
        <f t="shared" si="13"/>
        <v>0</v>
      </c>
      <c r="BZ32" s="293">
        <f>BY32</f>
        <v>0</v>
      </c>
      <c r="CB32" s="293">
        <f>CB19</f>
        <v>0</v>
      </c>
      <c r="CC32" s="293">
        <f t="shared" ref="CC32" si="14">CC19</f>
        <v>0</v>
      </c>
      <c r="CD32" s="293">
        <f>CC32</f>
        <v>0</v>
      </c>
      <c r="CF32" s="293">
        <f>CF19</f>
        <v>0</v>
      </c>
      <c r="CG32" s="293">
        <f t="shared" ref="CG32:CG34" si="15">CG19</f>
        <v>0</v>
      </c>
      <c r="CH32" s="293">
        <f>CG32</f>
        <v>0</v>
      </c>
      <c r="CJ32" s="293">
        <f>CJ19</f>
        <v>0</v>
      </c>
      <c r="CK32" s="293">
        <f t="shared" ref="CK32:CK34" si="16">CK19</f>
        <v>0</v>
      </c>
      <c r="CL32" s="293">
        <f>CK32</f>
        <v>0</v>
      </c>
      <c r="CN32" s="1010">
        <f>CN19</f>
        <v>0</v>
      </c>
      <c r="CO32" s="1010">
        <f t="shared" ref="CO32:CO34" si="17">CO19</f>
        <v>0</v>
      </c>
      <c r="CP32" s="1010">
        <f>CO32</f>
        <v>0</v>
      </c>
      <c r="CQ32" s="1009"/>
      <c r="CR32" s="1010">
        <f>CR19</f>
        <v>0</v>
      </c>
      <c r="CS32" s="1010">
        <f t="shared" ref="CS32:CS34" si="18">CS19</f>
        <v>0</v>
      </c>
      <c r="CT32" s="293">
        <f>CS32</f>
        <v>0</v>
      </c>
      <c r="CV32" s="1010">
        <f>CV19</f>
        <v>0</v>
      </c>
      <c r="CW32" s="1490">
        <f t="shared" ref="CW32:CW34" si="19">CW19</f>
        <v>0</v>
      </c>
      <c r="CX32" s="1495">
        <f>CW32</f>
        <v>0</v>
      </c>
      <c r="CZ32" s="1010">
        <f>CZ19</f>
        <v>0</v>
      </c>
      <c r="DA32" s="1490">
        <f t="shared" ref="DA32:DA34" si="20">DA19</f>
        <v>0</v>
      </c>
      <c r="DB32" s="1495">
        <f>DA32</f>
        <v>0</v>
      </c>
      <c r="DD32" s="293">
        <f>DD19</f>
        <v>0</v>
      </c>
      <c r="DE32" s="1490">
        <f t="shared" ref="DE32:DE34" si="21">DE19</f>
        <v>0</v>
      </c>
      <c r="DF32" s="1495">
        <f>DE32</f>
        <v>0</v>
      </c>
      <c r="DH32" s="293">
        <f>DH19</f>
        <v>0</v>
      </c>
      <c r="DI32" s="293">
        <f>+DI19-DI45</f>
        <v>0</v>
      </c>
      <c r="DJ32" s="293">
        <f>DI32</f>
        <v>0</v>
      </c>
      <c r="DL32" s="293">
        <f>+DL19-DL45</f>
        <v>0</v>
      </c>
      <c r="DM32" s="293">
        <f>+DM19-DM45</f>
        <v>0</v>
      </c>
      <c r="DN32" s="293">
        <f>DM32</f>
        <v>0</v>
      </c>
      <c r="DP32" s="293">
        <f>+DP19-DP45</f>
        <v>0</v>
      </c>
      <c r="DQ32" s="293">
        <f>+DQ19-DQ45</f>
        <v>0</v>
      </c>
      <c r="DR32" s="293">
        <f>DQ32</f>
        <v>0</v>
      </c>
    </row>
    <row r="33" spans="1:122">
      <c r="A33" s="102" t="s">
        <v>677</v>
      </c>
      <c r="AO33" s="293">
        <f>AO20</f>
        <v>391</v>
      </c>
      <c r="AP33" s="293">
        <f t="shared" si="0"/>
        <v>391</v>
      </c>
      <c r="AR33" s="293">
        <f>AR20</f>
        <v>391</v>
      </c>
      <c r="AS33" s="293">
        <f>AS20</f>
        <v>391</v>
      </c>
      <c r="AT33" s="293">
        <f t="shared" si="1"/>
        <v>391</v>
      </c>
      <c r="AV33" s="293">
        <f>AV20</f>
        <v>391</v>
      </c>
      <c r="AW33" s="293">
        <f>AW20</f>
        <v>391</v>
      </c>
      <c r="AX33" s="293">
        <f t="shared" si="2"/>
        <v>391</v>
      </c>
      <c r="AZ33" s="293">
        <f>AZ20</f>
        <v>391</v>
      </c>
      <c r="BA33" s="293">
        <f>BA20</f>
        <v>391</v>
      </c>
      <c r="BB33" s="293">
        <f t="shared" si="3"/>
        <v>391</v>
      </c>
      <c r="BD33" s="293">
        <f>BD20</f>
        <v>391</v>
      </c>
      <c r="BE33" s="293">
        <f>BE20</f>
        <v>391</v>
      </c>
      <c r="BF33" s="293">
        <f t="shared" si="7"/>
        <v>391</v>
      </c>
      <c r="BH33" s="293">
        <f>BH20</f>
        <v>391</v>
      </c>
      <c r="BI33" s="293">
        <f>BI20</f>
        <v>391</v>
      </c>
      <c r="BJ33" s="293">
        <f t="shared" si="8"/>
        <v>391</v>
      </c>
      <c r="BL33" s="293">
        <f t="shared" si="10"/>
        <v>391</v>
      </c>
      <c r="BM33" s="293">
        <f t="shared" si="10"/>
        <v>391</v>
      </c>
      <c r="BN33" s="293">
        <f t="shared" si="9"/>
        <v>391</v>
      </c>
      <c r="BP33" s="293">
        <f t="shared" si="11"/>
        <v>391</v>
      </c>
      <c r="BQ33" s="293">
        <f t="shared" si="11"/>
        <v>391</v>
      </c>
      <c r="BR33" s="293">
        <f>BQ33</f>
        <v>391</v>
      </c>
      <c r="BT33" s="293">
        <f t="shared" si="12"/>
        <v>391</v>
      </c>
      <c r="BU33" s="293">
        <f t="shared" si="12"/>
        <v>391</v>
      </c>
      <c r="BV33" s="293">
        <f>BU33</f>
        <v>391</v>
      </c>
      <c r="BX33" s="293">
        <f t="shared" si="13"/>
        <v>391</v>
      </c>
      <c r="BY33" s="293">
        <f t="shared" si="13"/>
        <v>391</v>
      </c>
      <c r="BZ33" s="293">
        <f>BY33</f>
        <v>391</v>
      </c>
      <c r="CB33" s="293">
        <f>CB20</f>
        <v>391</v>
      </c>
      <c r="CC33" s="293">
        <f t="shared" ref="CC33" si="22">CC20</f>
        <v>391</v>
      </c>
      <c r="CD33" s="293">
        <f>CC33</f>
        <v>391</v>
      </c>
      <c r="CF33" s="293">
        <f>CF20</f>
        <v>391</v>
      </c>
      <c r="CG33" s="293">
        <f t="shared" si="15"/>
        <v>391</v>
      </c>
      <c r="CH33" s="293">
        <f>CG33</f>
        <v>391</v>
      </c>
      <c r="CJ33" s="293">
        <f>CJ20</f>
        <v>391</v>
      </c>
      <c r="CK33" s="293">
        <f t="shared" si="16"/>
        <v>391</v>
      </c>
      <c r="CL33" s="293">
        <f>CK33</f>
        <v>391</v>
      </c>
      <c r="CN33" s="1010">
        <f>CN20</f>
        <v>0</v>
      </c>
      <c r="CO33" s="1010">
        <f t="shared" si="17"/>
        <v>0</v>
      </c>
      <c r="CP33" s="1010">
        <f>CO33</f>
        <v>0</v>
      </c>
      <c r="CQ33" s="1009"/>
      <c r="CR33" s="1010">
        <f>CR20</f>
        <v>0</v>
      </c>
      <c r="CS33" s="1010">
        <f t="shared" si="18"/>
        <v>0</v>
      </c>
      <c r="CT33" s="293">
        <f>CS33</f>
        <v>0</v>
      </c>
      <c r="CV33" s="1010">
        <f>CV20</f>
        <v>0</v>
      </c>
      <c r="CW33" s="1490">
        <f t="shared" si="19"/>
        <v>0</v>
      </c>
      <c r="CX33" s="1495">
        <f>CW33</f>
        <v>0</v>
      </c>
      <c r="CZ33" s="1010">
        <f>CZ20</f>
        <v>0</v>
      </c>
      <c r="DA33" s="1490">
        <f t="shared" si="20"/>
        <v>0</v>
      </c>
      <c r="DB33" s="1495">
        <f>DA33</f>
        <v>0</v>
      </c>
      <c r="DD33" s="293">
        <f>DD20</f>
        <v>0</v>
      </c>
      <c r="DE33" s="1490">
        <f t="shared" si="21"/>
        <v>0</v>
      </c>
      <c r="DF33" s="1495">
        <f>DE33</f>
        <v>0</v>
      </c>
      <c r="DH33" s="293">
        <f>DH20</f>
        <v>0</v>
      </c>
      <c r="DI33" s="293">
        <f>+DI20-DI46</f>
        <v>0</v>
      </c>
      <c r="DJ33" s="293">
        <f>DI33</f>
        <v>0</v>
      </c>
      <c r="DL33" s="293">
        <f>+DL20-DL46</f>
        <v>0</v>
      </c>
      <c r="DM33" s="293">
        <f>+DM20-DM46</f>
        <v>0</v>
      </c>
      <c r="DN33" s="293">
        <f>DM33</f>
        <v>0</v>
      </c>
      <c r="DP33" s="293">
        <f>+DP20-DP46</f>
        <v>0</v>
      </c>
      <c r="DQ33" s="293">
        <f>+DQ20-DQ46</f>
        <v>0</v>
      </c>
      <c r="DR33" s="293">
        <f>DQ33</f>
        <v>0</v>
      </c>
    </row>
    <row r="34" spans="1:122">
      <c r="A34" s="102" t="s">
        <v>699</v>
      </c>
      <c r="AO34" s="293"/>
      <c r="AP34" s="293"/>
      <c r="AR34" s="293"/>
      <c r="AS34" s="293"/>
      <c r="AT34" s="293"/>
      <c r="AV34" s="293"/>
      <c r="AW34" s="293"/>
      <c r="AX34" s="293"/>
      <c r="AZ34" s="293"/>
      <c r="BA34" s="293"/>
      <c r="BB34" s="293"/>
      <c r="BD34" s="293"/>
      <c r="BE34" s="293"/>
      <c r="BF34" s="293"/>
      <c r="BH34" s="293"/>
      <c r="BI34" s="293"/>
      <c r="BJ34" s="293"/>
      <c r="BL34" s="293">
        <f t="shared" si="10"/>
        <v>0</v>
      </c>
      <c r="BM34" s="293">
        <f t="shared" si="10"/>
        <v>0</v>
      </c>
      <c r="BN34" s="293">
        <f t="shared" si="9"/>
        <v>0</v>
      </c>
      <c r="BP34" s="293">
        <f t="shared" si="11"/>
        <v>0</v>
      </c>
      <c r="BQ34" s="293">
        <f t="shared" si="11"/>
        <v>0</v>
      </c>
      <c r="BR34" s="293">
        <f>BQ34</f>
        <v>0</v>
      </c>
      <c r="BT34" s="293">
        <f t="shared" si="12"/>
        <v>0</v>
      </c>
      <c r="BU34" s="293">
        <f t="shared" si="12"/>
        <v>0</v>
      </c>
      <c r="BV34" s="293">
        <f>BU34</f>
        <v>0</v>
      </c>
      <c r="BX34" s="293">
        <f t="shared" si="13"/>
        <v>0</v>
      </c>
      <c r="BY34" s="293">
        <f t="shared" si="13"/>
        <v>0</v>
      </c>
      <c r="BZ34" s="293">
        <f>BY34</f>
        <v>0</v>
      </c>
      <c r="CB34" s="293">
        <f>CB21</f>
        <v>0</v>
      </c>
      <c r="CC34" s="293">
        <f t="shared" ref="CC34" si="23">CC21</f>
        <v>0</v>
      </c>
      <c r="CD34" s="293">
        <f>CC34</f>
        <v>0</v>
      </c>
      <c r="CF34" s="293">
        <f>CF21</f>
        <v>0</v>
      </c>
      <c r="CG34" s="293">
        <f t="shared" si="15"/>
        <v>0</v>
      </c>
      <c r="CH34" s="293">
        <f>CG34</f>
        <v>0</v>
      </c>
      <c r="CJ34" s="293">
        <f>CJ21</f>
        <v>0</v>
      </c>
      <c r="CK34" s="293">
        <f t="shared" si="16"/>
        <v>0</v>
      </c>
      <c r="CL34" s="293">
        <f>CK34</f>
        <v>0</v>
      </c>
      <c r="CN34" s="1010">
        <f>CN21</f>
        <v>0</v>
      </c>
      <c r="CO34" s="1010">
        <f t="shared" si="17"/>
        <v>0</v>
      </c>
      <c r="CP34" s="1010">
        <f>CO34</f>
        <v>0</v>
      </c>
      <c r="CQ34" s="1009"/>
      <c r="CR34" s="1010">
        <f>CR21</f>
        <v>0</v>
      </c>
      <c r="CS34" s="1010">
        <f t="shared" si="18"/>
        <v>0</v>
      </c>
      <c r="CT34" s="293">
        <f>CS34</f>
        <v>0</v>
      </c>
      <c r="CV34" s="1010">
        <f>CV21</f>
        <v>0</v>
      </c>
      <c r="CW34" s="1490">
        <f t="shared" si="19"/>
        <v>0</v>
      </c>
      <c r="CX34" s="1495">
        <f>CW34</f>
        <v>0</v>
      </c>
      <c r="CZ34" s="1010">
        <f>CZ21</f>
        <v>0</v>
      </c>
      <c r="DA34" s="1490">
        <f t="shared" si="20"/>
        <v>0</v>
      </c>
      <c r="DB34" s="1495">
        <f>DA34</f>
        <v>0</v>
      </c>
      <c r="DD34" s="293">
        <f>DD21</f>
        <v>0</v>
      </c>
      <c r="DE34" s="1490">
        <f t="shared" si="21"/>
        <v>0</v>
      </c>
      <c r="DF34" s="1495">
        <f>DE34</f>
        <v>0</v>
      </c>
      <c r="DH34" s="293">
        <f>DH21</f>
        <v>0</v>
      </c>
      <c r="DI34" s="293">
        <f>DI21</f>
        <v>0</v>
      </c>
      <c r="DJ34" s="293">
        <f>DJ21</f>
        <v>0</v>
      </c>
      <c r="DL34" s="293">
        <f>DL21</f>
        <v>0</v>
      </c>
      <c r="DM34" s="293">
        <f>DM21</f>
        <v>0</v>
      </c>
      <c r="DN34" s="293">
        <f>DN21</f>
        <v>0</v>
      </c>
      <c r="DP34" s="293">
        <f>DP21</f>
        <v>0</v>
      </c>
      <c r="DQ34" s="293">
        <f>DQ21</f>
        <v>0</v>
      </c>
      <c r="DR34" s="293">
        <f>DR21</f>
        <v>0</v>
      </c>
    </row>
    <row r="35" spans="1:122">
      <c r="A35" s="102" t="s">
        <v>284</v>
      </c>
      <c r="AO35" s="626">
        <v>0</v>
      </c>
      <c r="AP35" s="293">
        <f t="shared" si="0"/>
        <v>0</v>
      </c>
      <c r="AR35" s="626">
        <v>0</v>
      </c>
      <c r="AS35" s="626">
        <v>0</v>
      </c>
      <c r="AT35" s="293">
        <f t="shared" si="1"/>
        <v>0</v>
      </c>
      <c r="AV35" s="626">
        <v>0</v>
      </c>
      <c r="AW35" s="626">
        <v>0</v>
      </c>
      <c r="AX35" s="293">
        <f t="shared" si="2"/>
        <v>0</v>
      </c>
      <c r="AZ35" s="626">
        <v>0</v>
      </c>
      <c r="BA35" s="626">
        <v>0</v>
      </c>
      <c r="BB35" s="293">
        <f t="shared" si="3"/>
        <v>0</v>
      </c>
      <c r="BD35" s="626">
        <v>0</v>
      </c>
      <c r="BE35" s="626">
        <v>0</v>
      </c>
      <c r="BF35" s="293">
        <f t="shared" si="7"/>
        <v>0</v>
      </c>
      <c r="BH35" s="626">
        <v>0</v>
      </c>
      <c r="BI35" s="626">
        <v>0</v>
      </c>
      <c r="BJ35" s="293">
        <f t="shared" si="8"/>
        <v>0</v>
      </c>
      <c r="BL35" s="626">
        <v>0</v>
      </c>
      <c r="BM35" s="626">
        <v>0</v>
      </c>
      <c r="BN35" s="293">
        <f t="shared" si="9"/>
        <v>0</v>
      </c>
      <c r="BP35" s="626">
        <v>0</v>
      </c>
      <c r="BQ35" s="626">
        <v>0</v>
      </c>
      <c r="BR35" s="293">
        <f>BQ35</f>
        <v>0</v>
      </c>
      <c r="BT35" s="626">
        <v>0</v>
      </c>
      <c r="BU35" s="626">
        <v>0</v>
      </c>
      <c r="BV35" s="293">
        <f>BU35</f>
        <v>0</v>
      </c>
      <c r="BX35" s="626">
        <v>0</v>
      </c>
      <c r="BY35" s="626">
        <v>0</v>
      </c>
      <c r="BZ35" s="293">
        <f>BY35</f>
        <v>0</v>
      </c>
      <c r="CB35" s="626">
        <v>0</v>
      </c>
      <c r="CC35" s="626">
        <v>0</v>
      </c>
      <c r="CD35" s="293">
        <f>CC35</f>
        <v>0</v>
      </c>
      <c r="CF35" s="626">
        <v>0</v>
      </c>
      <c r="CG35" s="626">
        <v>0</v>
      </c>
      <c r="CH35" s="293">
        <f>CG35</f>
        <v>0</v>
      </c>
      <c r="CJ35" s="626">
        <v>0</v>
      </c>
      <c r="CK35" s="626">
        <v>0</v>
      </c>
      <c r="CL35" s="293">
        <f>CK35</f>
        <v>0</v>
      </c>
      <c r="CN35" s="1388">
        <v>0</v>
      </c>
      <c r="CO35" s="1388">
        <v>0</v>
      </c>
      <c r="CP35" s="1010">
        <f>CO35</f>
        <v>0</v>
      </c>
      <c r="CQ35" s="1009"/>
      <c r="CR35" s="1388">
        <v>0</v>
      </c>
      <c r="CS35" s="1388">
        <v>0</v>
      </c>
      <c r="CT35" s="293">
        <f>CS35</f>
        <v>0</v>
      </c>
      <c r="CV35" s="1388">
        <v>0</v>
      </c>
      <c r="CW35" s="1488">
        <v>0</v>
      </c>
      <c r="CX35" s="1495">
        <f>CW35</f>
        <v>0</v>
      </c>
      <c r="CZ35" s="1388">
        <v>0</v>
      </c>
      <c r="DA35" s="1488">
        <v>0</v>
      </c>
      <c r="DB35" s="1495">
        <f>DA35</f>
        <v>0</v>
      </c>
      <c r="DD35" s="626">
        <v>0</v>
      </c>
      <c r="DE35" s="1497">
        <v>0</v>
      </c>
      <c r="DF35" s="1495">
        <f>DE35</f>
        <v>0</v>
      </c>
      <c r="DH35" s="626">
        <v>0</v>
      </c>
      <c r="DI35" s="293">
        <f>+DI22-DI47</f>
        <v>200</v>
      </c>
      <c r="DJ35" s="293">
        <f>DI35</f>
        <v>200</v>
      </c>
      <c r="DL35" s="293">
        <f>+DL22-DL47</f>
        <v>200</v>
      </c>
      <c r="DM35" s="293">
        <f>+DM22-DM47</f>
        <v>200</v>
      </c>
      <c r="DN35" s="293">
        <f>DM35</f>
        <v>200</v>
      </c>
      <c r="DP35" s="293">
        <f>+DP22-DP47</f>
        <v>200</v>
      </c>
      <c r="DQ35" s="293">
        <f>+DQ22-DQ47</f>
        <v>200</v>
      </c>
      <c r="DR35" s="293">
        <f>DQ35</f>
        <v>200</v>
      </c>
    </row>
    <row r="36" spans="1:122">
      <c r="A36" s="289" t="s">
        <v>286</v>
      </c>
      <c r="AO36" s="295">
        <f>SUM(AO31:AO35)</f>
        <v>5942</v>
      </c>
      <c r="AP36" s="295">
        <f>SUM(AP31:AP35)</f>
        <v>5942</v>
      </c>
      <c r="AR36" s="295">
        <f>SUM(AR31:AR35)</f>
        <v>6162</v>
      </c>
      <c r="AS36" s="295">
        <f>SUM(AS31:AS35)</f>
        <v>6421</v>
      </c>
      <c r="AT36" s="295">
        <f>SUM(AT31:AT35)</f>
        <v>6421</v>
      </c>
      <c r="AV36" s="295">
        <f>SUM(AV31:AV35)</f>
        <v>6971</v>
      </c>
      <c r="AW36" s="295">
        <f>SUM(AW31:AW35)</f>
        <v>7929</v>
      </c>
      <c r="AX36" s="295">
        <f>SUM(AX31:AX35)</f>
        <v>7929</v>
      </c>
      <c r="AZ36" s="295">
        <f>SUM(AZ31:AZ35)</f>
        <v>8446</v>
      </c>
      <c r="BA36" s="295">
        <f>SUM(BA31:BA35)</f>
        <v>8518</v>
      </c>
      <c r="BB36" s="295">
        <f>SUM(BB31:BB35)</f>
        <v>8518</v>
      </c>
      <c r="BD36" s="295">
        <f>SUM(BD31:BD35)</f>
        <v>9221</v>
      </c>
      <c r="BE36" s="295">
        <f ca="1">SUM(BE31:BE35)</f>
        <v>8504</v>
      </c>
      <c r="BF36" s="295">
        <f ca="1">SUM(BF31:BF35)</f>
        <v>8504</v>
      </c>
      <c r="BH36" s="295">
        <f>SUM(BH31:BH35)</f>
        <v>8485</v>
      </c>
      <c r="BI36" s="295">
        <f>SUM(BI31:BI35)</f>
        <v>8759</v>
      </c>
      <c r="BJ36" s="295">
        <f>SUM(BJ31:BJ35)</f>
        <v>8759</v>
      </c>
      <c r="BL36" s="295">
        <f>SUM(BL31:BL35)</f>
        <v>9403</v>
      </c>
      <c r="BM36" s="295">
        <f>SUM(BM31:BM35)</f>
        <v>9506</v>
      </c>
      <c r="BN36" s="295">
        <f>SUM(BN31:BN35)</f>
        <v>9506</v>
      </c>
      <c r="BP36" s="295">
        <f>SUM(BP31:BP35)</f>
        <v>9460</v>
      </c>
      <c r="BQ36" s="295">
        <f>SUM(BQ31:BQ35)</f>
        <v>11686</v>
      </c>
      <c r="BR36" s="295">
        <f>SUM(BR31:BR35)</f>
        <v>11686</v>
      </c>
      <c r="BT36" s="295">
        <f>SUM(BT31:BT35)</f>
        <v>11947</v>
      </c>
      <c r="BU36" s="295">
        <f>SUM(BU31:BU35)</f>
        <v>12821</v>
      </c>
      <c r="BV36" s="295">
        <f>SUM(BV31:BV35)</f>
        <v>12821</v>
      </c>
      <c r="BX36" s="295">
        <f>SUM(BX31:BX35)</f>
        <v>12398</v>
      </c>
      <c r="BY36" s="295">
        <f>SUM(BY31:BY35)</f>
        <v>12676</v>
      </c>
      <c r="BZ36" s="295">
        <f>SUM(BZ31:BZ35)</f>
        <v>12676</v>
      </c>
      <c r="CB36" s="295">
        <f>SUM(CB31:CB35)</f>
        <v>12617</v>
      </c>
      <c r="CC36" s="295">
        <f>SUM(CC31:CC35)</f>
        <v>13053</v>
      </c>
      <c r="CD36" s="295">
        <f>SUM(CD31:CD35)</f>
        <v>13053</v>
      </c>
      <c r="CF36" s="295">
        <f>SUM(CF31:CF35)</f>
        <v>13035</v>
      </c>
      <c r="CG36" s="295">
        <f>SUM(CG31:CG35)</f>
        <v>11265</v>
      </c>
      <c r="CH36" s="295">
        <f>SUM(CH31:CH35)</f>
        <v>11265</v>
      </c>
      <c r="CJ36" s="295">
        <f>SUM(CJ31:CJ35)</f>
        <v>12359</v>
      </c>
      <c r="CK36" s="295">
        <f>SUM(CK31:CK35)</f>
        <v>14239</v>
      </c>
      <c r="CL36" s="295">
        <f>SUM(CL31:CL35)</f>
        <v>14239</v>
      </c>
      <c r="CN36" s="295">
        <f>SUM(CN31:CN35)</f>
        <v>13847</v>
      </c>
      <c r="CO36" s="295">
        <f>SUM(CO31:CO35)</f>
        <v>14079</v>
      </c>
      <c r="CP36" s="295">
        <f>SUM(CP31:CP35)</f>
        <v>14079</v>
      </c>
      <c r="CR36" s="295">
        <f>SUM(CR31:CR35)</f>
        <v>16068</v>
      </c>
      <c r="CS36" s="295">
        <f>SUM(CS31:CS35)</f>
        <v>17958</v>
      </c>
      <c r="CT36" s="295">
        <f>SUM(CT31:CT35)</f>
        <v>17958</v>
      </c>
      <c r="CV36" s="295">
        <f>SUM(CV31:CV35)</f>
        <v>20653</v>
      </c>
      <c r="CW36" s="1390">
        <f>SUM(CW31:CW35)</f>
        <v>20353</v>
      </c>
      <c r="CX36" s="1390">
        <f>SUM(CX31:CX35)</f>
        <v>20353</v>
      </c>
      <c r="CZ36" s="295">
        <f>SUM(CZ31:CZ35)</f>
        <v>20148</v>
      </c>
      <c r="DA36" s="1390">
        <f>SUM(DA31:DA35)</f>
        <v>21353</v>
      </c>
      <c r="DB36" s="1390">
        <f>SUM(DB31:DB35)</f>
        <v>21353</v>
      </c>
      <c r="DD36" s="295">
        <f>SUM(DD31:DD35)</f>
        <v>20972</v>
      </c>
      <c r="DE36" s="1390">
        <f>SUM(DE31:DE35)</f>
        <v>23053</v>
      </c>
      <c r="DF36" s="1390">
        <f>SUM(DF31:DF35)</f>
        <v>23053</v>
      </c>
      <c r="DH36" s="295">
        <f>SUM(DH31:DH35)</f>
        <v>22883</v>
      </c>
      <c r="DI36" s="295">
        <f ca="1">SUM(DI31:DI35)</f>
        <v>24633.360914198369</v>
      </c>
      <c r="DJ36" s="295">
        <f ca="1">SUM(DJ31:DJ35)</f>
        <v>24633.360914198369</v>
      </c>
      <c r="DL36" s="295">
        <f ca="1">SUM(DL31:DL35)</f>
        <v>25111.81859189727</v>
      </c>
      <c r="DM36" s="295">
        <f ca="1">SUM(DM31:DM35)</f>
        <v>27985.124875694339</v>
      </c>
      <c r="DN36" s="295">
        <f ca="1">SUM(DN31:DN35)</f>
        <v>27985.124875694339</v>
      </c>
      <c r="DP36" s="295">
        <f ca="1">SUM(DP31:DP35)</f>
        <v>28570.153106239934</v>
      </c>
      <c r="DQ36" s="295">
        <f ca="1">SUM(DQ31:DQ35)</f>
        <v>31647.509713242831</v>
      </c>
      <c r="DR36" s="295">
        <f ca="1">SUM(DR31:DR35)</f>
        <v>31647.509713242831</v>
      </c>
    </row>
    <row r="37" spans="1:122">
      <c r="A37" s="289"/>
      <c r="AO37" s="295"/>
      <c r="AP37" s="295"/>
      <c r="AR37" s="295"/>
      <c r="AS37" s="295"/>
      <c r="AT37" s="295"/>
      <c r="AV37" s="295"/>
      <c r="AW37" s="295"/>
      <c r="AX37" s="295"/>
      <c r="AZ37" s="295"/>
      <c r="BA37" s="295"/>
      <c r="BB37" s="295"/>
      <c r="BD37" s="295"/>
      <c r="BE37" s="295"/>
      <c r="BF37" s="295"/>
      <c r="BH37" s="331"/>
      <c r="BI37" s="331"/>
      <c r="BJ37" s="295"/>
      <c r="BL37" s="331"/>
      <c r="BM37" s="331"/>
      <c r="BN37" s="295"/>
      <c r="BP37" s="331"/>
      <c r="BQ37" s="331"/>
      <c r="BR37" s="295"/>
      <c r="BT37" s="331"/>
      <c r="BU37" s="331"/>
      <c r="BV37" s="295"/>
      <c r="BX37" s="331"/>
      <c r="BY37" s="331"/>
      <c r="BZ37" s="295"/>
      <c r="CB37" s="331"/>
      <c r="CC37" s="331"/>
      <c r="CD37" s="295"/>
      <c r="CF37" s="331"/>
      <c r="CG37" s="331"/>
      <c r="CH37" s="295"/>
      <c r="CJ37" s="331"/>
      <c r="CK37" s="331"/>
      <c r="CL37" s="295"/>
      <c r="CN37" s="331"/>
      <c r="CO37" s="331"/>
      <c r="CP37" s="295"/>
      <c r="CR37" s="295"/>
      <c r="CS37" s="295"/>
      <c r="CT37" s="295"/>
      <c r="CV37" s="295"/>
      <c r="CW37" s="1390"/>
      <c r="CX37" s="1390"/>
      <c r="CZ37" s="295"/>
      <c r="DA37" s="1390"/>
      <c r="DB37" s="1390"/>
      <c r="DD37" s="295"/>
      <c r="DE37" s="1390"/>
      <c r="DF37" s="1390"/>
      <c r="DH37" s="295"/>
      <c r="DI37" s="295"/>
      <c r="DJ37" s="295"/>
      <c r="DL37" s="295"/>
      <c r="DM37" s="295"/>
      <c r="DN37" s="295"/>
      <c r="DP37" s="295"/>
      <c r="DQ37" s="295"/>
      <c r="DR37" s="295"/>
    </row>
    <row r="38" spans="1:122">
      <c r="A38" s="289" t="s">
        <v>300</v>
      </c>
      <c r="AO38" s="626"/>
      <c r="AP38" s="293"/>
      <c r="AR38" s="626"/>
      <c r="AS38" s="626"/>
      <c r="AT38" s="293"/>
      <c r="AV38" s="626"/>
      <c r="AW38" s="626"/>
      <c r="AX38" s="293"/>
      <c r="AZ38" s="626"/>
      <c r="BA38" s="626"/>
      <c r="BB38" s="293"/>
      <c r="BD38" s="626"/>
      <c r="BE38" s="626"/>
      <c r="BF38" s="293"/>
      <c r="BH38" s="626"/>
      <c r="BI38" s="626"/>
      <c r="BJ38" s="293"/>
      <c r="BL38" s="626"/>
      <c r="BM38" s="626"/>
      <c r="BN38" s="293"/>
      <c r="BP38" s="626"/>
      <c r="BQ38" s="626"/>
      <c r="BR38" s="293"/>
      <c r="BT38" s="626"/>
      <c r="BU38" s="626"/>
      <c r="BV38" s="293"/>
      <c r="BX38" s="626"/>
      <c r="BY38" s="626"/>
      <c r="BZ38" s="293"/>
      <c r="CB38" s="626"/>
      <c r="CC38" s="626"/>
      <c r="CD38" s="293"/>
      <c r="CF38" s="626"/>
      <c r="CG38" s="626"/>
      <c r="CH38" s="293"/>
      <c r="CJ38" s="626"/>
      <c r="CK38" s="626"/>
      <c r="CL38" s="293"/>
      <c r="CN38" s="626"/>
      <c r="CO38" s="626"/>
      <c r="CP38" s="293"/>
      <c r="CR38" s="626"/>
      <c r="CS38" s="626"/>
      <c r="CT38" s="293"/>
      <c r="CV38" s="626"/>
      <c r="CW38" s="1497"/>
      <c r="CX38" s="1495"/>
      <c r="CZ38" s="626"/>
      <c r="DA38" s="1497"/>
      <c r="DB38" s="1495"/>
      <c r="DD38" s="626"/>
      <c r="DE38" s="1497"/>
      <c r="DF38" s="1495"/>
      <c r="DH38" s="626"/>
      <c r="DI38" s="626"/>
      <c r="DJ38" s="293"/>
      <c r="DL38" s="626"/>
      <c r="DM38" s="626"/>
      <c r="DN38" s="293"/>
      <c r="DP38" s="626"/>
      <c r="DQ38" s="626"/>
      <c r="DR38" s="293"/>
    </row>
    <row r="39" spans="1:122">
      <c r="A39" s="102" t="s">
        <v>100</v>
      </c>
      <c r="AO39" s="293">
        <f t="shared" ref="AO39:AO46" si="24">+AO13-AO26</f>
        <v>930</v>
      </c>
      <c r="AP39" s="293">
        <f t="shared" si="0"/>
        <v>930</v>
      </c>
      <c r="AR39" s="293">
        <f t="shared" ref="AR39:AS46" si="25">+AR13-AR26</f>
        <v>905</v>
      </c>
      <c r="AS39" s="293">
        <f t="shared" si="25"/>
        <v>346</v>
      </c>
      <c r="AT39" s="293">
        <f t="shared" si="1"/>
        <v>346</v>
      </c>
      <c r="AV39" s="293">
        <f t="shared" ref="AV39:AW46" si="26">+AV13-AV26</f>
        <v>1017</v>
      </c>
      <c r="AW39" s="293">
        <f t="shared" si="26"/>
        <v>395</v>
      </c>
      <c r="AX39" s="293">
        <f t="shared" si="2"/>
        <v>395</v>
      </c>
      <c r="AZ39" s="293">
        <f t="shared" ref="AZ39:BA46" si="27">+AZ13-AZ26</f>
        <v>-172</v>
      </c>
      <c r="BA39" s="293">
        <f t="shared" si="27"/>
        <v>-239</v>
      </c>
      <c r="BB39" s="293">
        <f t="shared" ref="BB39:BB47" si="28">BA39</f>
        <v>-239</v>
      </c>
      <c r="BD39" s="293">
        <f t="shared" ref="BD39:BE46" si="29">+BD13-BD26</f>
        <v>-586</v>
      </c>
      <c r="BE39" s="293">
        <f t="shared" ca="1" si="29"/>
        <v>-239</v>
      </c>
      <c r="BF39" s="293">
        <f t="shared" ref="BF39:BF47" ca="1" si="30">BE39</f>
        <v>-239</v>
      </c>
      <c r="BH39" s="293">
        <f t="shared" ref="BH39:BJ46" si="31">+BH13-BH26</f>
        <v>-814</v>
      </c>
      <c r="BI39" s="293">
        <f t="shared" si="31"/>
        <v>-798</v>
      </c>
      <c r="BJ39" s="293">
        <f t="shared" si="31"/>
        <v>-798</v>
      </c>
      <c r="BL39" s="293">
        <f t="shared" ref="BL39:BN46" si="32">+BL13-BL26</f>
        <v>-797</v>
      </c>
      <c r="BM39" s="293">
        <f t="shared" si="32"/>
        <v>-1635</v>
      </c>
      <c r="BN39" s="293">
        <f t="shared" si="32"/>
        <v>-1635</v>
      </c>
      <c r="BP39" s="293">
        <f t="shared" ref="BP39:BR46" si="33">+BP13-BP26</f>
        <v>-1668</v>
      </c>
      <c r="BQ39" s="293">
        <f t="shared" si="33"/>
        <v>-1789</v>
      </c>
      <c r="BR39" s="293">
        <f t="shared" si="33"/>
        <v>-1789</v>
      </c>
      <c r="BT39" s="293">
        <f t="shared" ref="BT39:BV46" si="34">+BT13-BT26</f>
        <v>-1781</v>
      </c>
      <c r="BU39" s="293">
        <f t="shared" si="34"/>
        <v>-2045</v>
      </c>
      <c r="BV39" s="293">
        <f t="shared" si="34"/>
        <v>-2045</v>
      </c>
      <c r="BX39" s="293">
        <f t="shared" ref="BX39:BZ46" si="35">+BX13-BX26</f>
        <v>-2056</v>
      </c>
      <c r="BY39" s="293">
        <f t="shared" si="35"/>
        <v>-2053</v>
      </c>
      <c r="BZ39" s="293">
        <f t="shared" si="35"/>
        <v>-2053</v>
      </c>
      <c r="CB39" s="293">
        <f t="shared" ref="CB39:CD46" si="36">+CB13-CB26</f>
        <v>-2038</v>
      </c>
      <c r="CC39" s="293">
        <f t="shared" si="36"/>
        <v>-2039</v>
      </c>
      <c r="CD39" s="293">
        <f t="shared" si="36"/>
        <v>-2039</v>
      </c>
      <c r="CF39" s="293">
        <f t="shared" ref="CF39:CH39" si="37">+CF13-CF26</f>
        <v>-1995</v>
      </c>
      <c r="CG39" s="293">
        <f t="shared" si="37"/>
        <v>39</v>
      </c>
      <c r="CH39" s="293">
        <f t="shared" si="37"/>
        <v>39</v>
      </c>
      <c r="CJ39" s="293">
        <f t="shared" ref="CJ39:CL39" si="38">+CJ13-CJ26</f>
        <v>1775</v>
      </c>
      <c r="CK39" s="293">
        <f t="shared" si="38"/>
        <v>782</v>
      </c>
      <c r="CL39" s="293">
        <f t="shared" si="38"/>
        <v>782</v>
      </c>
      <c r="CN39" s="293">
        <f t="shared" ref="CN39:CP39" si="39">+CN13-CN26</f>
        <v>1637</v>
      </c>
      <c r="CO39" s="293">
        <f t="shared" si="39"/>
        <v>1645</v>
      </c>
      <c r="CP39" s="293">
        <f t="shared" si="39"/>
        <v>1645</v>
      </c>
      <c r="CR39" s="293">
        <f t="shared" ref="CR39:CT39" si="40">+CR13-CR26</f>
        <v>2250</v>
      </c>
      <c r="CS39" s="293">
        <f t="shared" si="40"/>
        <v>4594</v>
      </c>
      <c r="CT39" s="293">
        <f t="shared" si="40"/>
        <v>4594</v>
      </c>
      <c r="CV39" s="293">
        <f t="shared" ref="CV39:CX46" si="41">+CV13-CV26</f>
        <v>4601</v>
      </c>
      <c r="CW39" s="1495">
        <f t="shared" si="41"/>
        <v>4574</v>
      </c>
      <c r="CX39" s="1495">
        <f t="shared" si="41"/>
        <v>4574</v>
      </c>
      <c r="CZ39" s="293">
        <f t="shared" ref="CZ39:DB46" si="42">+CZ13-CZ26</f>
        <v>4664</v>
      </c>
      <c r="DA39" s="1495">
        <f t="shared" si="42"/>
        <v>3974</v>
      </c>
      <c r="DB39" s="1495">
        <f t="shared" si="42"/>
        <v>3974</v>
      </c>
      <c r="DD39" s="293">
        <f t="shared" ref="DD39:DF39" si="43">+DD13-DD26</f>
        <v>3678</v>
      </c>
      <c r="DE39" s="1495">
        <f t="shared" si="43"/>
        <v>3642</v>
      </c>
      <c r="DF39" s="1495">
        <f t="shared" si="43"/>
        <v>3642</v>
      </c>
      <c r="DH39" s="293">
        <f t="shared" ref="DH39" si="44">+DH13-DH26</f>
        <v>3658</v>
      </c>
      <c r="DI39" s="293">
        <f>+DH39</f>
        <v>3658</v>
      </c>
      <c r="DJ39" s="293">
        <f>DI39</f>
        <v>3658</v>
      </c>
      <c r="DL39" s="293">
        <f t="shared" ref="DL39:DL42" si="45">DI39</f>
        <v>3658</v>
      </c>
      <c r="DM39" s="293">
        <f>+DL39</f>
        <v>3658</v>
      </c>
      <c r="DN39" s="293">
        <f>DM39</f>
        <v>3658</v>
      </c>
      <c r="DP39" s="293">
        <f t="shared" ref="DP39:DP42" si="46">DM39</f>
        <v>3658</v>
      </c>
      <c r="DQ39" s="293">
        <f>+DP39</f>
        <v>3658</v>
      </c>
      <c r="DR39" s="293">
        <f>DQ39</f>
        <v>3658</v>
      </c>
    </row>
    <row r="40" spans="1:122">
      <c r="A40" s="102" t="s">
        <v>128</v>
      </c>
      <c r="AO40" s="293">
        <f t="shared" si="24"/>
        <v>-12</v>
      </c>
      <c r="AP40" s="293">
        <f t="shared" si="0"/>
        <v>-12</v>
      </c>
      <c r="AR40" s="293">
        <f t="shared" si="25"/>
        <v>-2</v>
      </c>
      <c r="AS40" s="293">
        <f t="shared" si="25"/>
        <v>-2</v>
      </c>
      <c r="AT40" s="293">
        <f t="shared" si="1"/>
        <v>-2</v>
      </c>
      <c r="AV40" s="293">
        <f t="shared" si="26"/>
        <v>-2</v>
      </c>
      <c r="AW40" s="293">
        <f t="shared" si="26"/>
        <v>-443</v>
      </c>
      <c r="AX40" s="293">
        <f t="shared" si="2"/>
        <v>-443</v>
      </c>
      <c r="AZ40" s="293">
        <f t="shared" si="27"/>
        <v>-719</v>
      </c>
      <c r="BA40" s="293">
        <f t="shared" si="27"/>
        <v>-731</v>
      </c>
      <c r="BB40" s="293">
        <f t="shared" si="28"/>
        <v>-731</v>
      </c>
      <c r="BD40" s="293">
        <f t="shared" si="29"/>
        <v>-993</v>
      </c>
      <c r="BE40" s="293">
        <f t="shared" si="29"/>
        <v>-974</v>
      </c>
      <c r="BF40" s="293">
        <f t="shared" si="30"/>
        <v>-974</v>
      </c>
      <c r="BH40" s="293">
        <f t="shared" si="31"/>
        <v>-1063</v>
      </c>
      <c r="BI40" s="293">
        <f t="shared" si="31"/>
        <v>-1011</v>
      </c>
      <c r="BJ40" s="293">
        <f t="shared" si="31"/>
        <v>-1011</v>
      </c>
      <c r="BL40" s="293">
        <f t="shared" si="32"/>
        <v>-1025</v>
      </c>
      <c r="BM40" s="293">
        <f t="shared" si="32"/>
        <v>-990</v>
      </c>
      <c r="BN40" s="293">
        <f t="shared" si="32"/>
        <v>-990</v>
      </c>
      <c r="BP40" s="293">
        <f t="shared" si="33"/>
        <v>-1003</v>
      </c>
      <c r="BQ40" s="293">
        <f t="shared" si="33"/>
        <v>-971</v>
      </c>
      <c r="BR40" s="293">
        <f t="shared" si="33"/>
        <v>-971</v>
      </c>
      <c r="BT40" s="293">
        <f t="shared" si="34"/>
        <v>-1088</v>
      </c>
      <c r="BU40" s="293">
        <f t="shared" si="34"/>
        <v>-1036</v>
      </c>
      <c r="BV40" s="293">
        <f t="shared" si="34"/>
        <v>-1036</v>
      </c>
      <c r="BX40" s="293">
        <f t="shared" si="35"/>
        <v>-1221</v>
      </c>
      <c r="BY40" s="293">
        <f t="shared" si="35"/>
        <v>-1187</v>
      </c>
      <c r="BZ40" s="293">
        <f t="shared" si="35"/>
        <v>-1187</v>
      </c>
      <c r="CB40" s="293">
        <f t="shared" si="36"/>
        <v>-1307</v>
      </c>
      <c r="CC40" s="293">
        <f t="shared" si="36"/>
        <v>-1264</v>
      </c>
      <c r="CD40" s="293">
        <f t="shared" si="36"/>
        <v>-1264</v>
      </c>
      <c r="CF40" s="293">
        <f t="shared" ref="CF40:CH40" si="47">+CF14-CF27</f>
        <v>-1413</v>
      </c>
      <c r="CG40" s="293">
        <f t="shared" si="47"/>
        <v>-1372</v>
      </c>
      <c r="CH40" s="293">
        <f t="shared" si="47"/>
        <v>-1372</v>
      </c>
      <c r="CJ40" s="293">
        <f t="shared" ref="CJ40:CL40" si="48">+CJ14-CJ27</f>
        <v>-1568</v>
      </c>
      <c r="CK40" s="293">
        <f t="shared" si="48"/>
        <v>-1446</v>
      </c>
      <c r="CL40" s="293">
        <f t="shared" si="48"/>
        <v>-1446</v>
      </c>
      <c r="CN40" s="293">
        <f t="shared" ref="CN40:CP40" si="49">+CN14-CN27</f>
        <v>-1702</v>
      </c>
      <c r="CO40" s="293">
        <f t="shared" si="49"/>
        <v>-1633</v>
      </c>
      <c r="CP40" s="293">
        <f t="shared" si="49"/>
        <v>-1633</v>
      </c>
      <c r="CR40" s="293">
        <f t="shared" ref="CR40:CT40" si="50">+CR14-CR27</f>
        <v>-1896</v>
      </c>
      <c r="CS40" s="293">
        <f t="shared" si="50"/>
        <v>-1858</v>
      </c>
      <c r="CT40" s="293">
        <f t="shared" si="50"/>
        <v>-1858</v>
      </c>
      <c r="CV40" s="293">
        <f t="shared" ref="CV40" si="51">+CV14-CV27</f>
        <v>-2389</v>
      </c>
      <c r="CW40" s="1495">
        <f t="shared" si="41"/>
        <v>-2328</v>
      </c>
      <c r="CX40" s="1495">
        <f t="shared" si="41"/>
        <v>-2328</v>
      </c>
      <c r="CZ40" s="293">
        <f t="shared" si="42"/>
        <v>-2871</v>
      </c>
      <c r="DA40" s="1495">
        <f t="shared" si="42"/>
        <v>-2784</v>
      </c>
      <c r="DB40" s="1495">
        <f t="shared" si="42"/>
        <v>-2784</v>
      </c>
      <c r="DD40" s="293">
        <f t="shared" ref="DD40:DF40" si="52">+DD14-DD27</f>
        <v>-2873</v>
      </c>
      <c r="DE40" s="1495">
        <f t="shared" si="52"/>
        <v>-2764</v>
      </c>
      <c r="DF40" s="1495">
        <f t="shared" si="52"/>
        <v>-2764</v>
      </c>
      <c r="DH40" s="293">
        <f t="shared" ref="DH40" si="53">+DH14-DH27</f>
        <v>-2772</v>
      </c>
      <c r="DI40" s="293">
        <f t="shared" ref="DI40:DI41" si="54">DF40</f>
        <v>-2764</v>
      </c>
      <c r="DJ40" s="293">
        <f>DI40</f>
        <v>-2764</v>
      </c>
      <c r="DL40" s="293">
        <f t="shared" si="45"/>
        <v>-2764</v>
      </c>
      <c r="DM40" s="293">
        <f t="shared" ref="DM40:DM41" si="55">DJ40</f>
        <v>-2764</v>
      </c>
      <c r="DN40" s="293">
        <f>DM40</f>
        <v>-2764</v>
      </c>
      <c r="DP40" s="293">
        <f t="shared" si="46"/>
        <v>-2764</v>
      </c>
      <c r="DQ40" s="293">
        <f t="shared" ref="DQ40:DQ41" si="56">DN40</f>
        <v>-2764</v>
      </c>
      <c r="DR40" s="293">
        <f>DQ40</f>
        <v>-2764</v>
      </c>
    </row>
    <row r="41" spans="1:122">
      <c r="A41" s="102" t="s">
        <v>110</v>
      </c>
      <c r="AO41" s="293">
        <f t="shared" si="24"/>
        <v>133</v>
      </c>
      <c r="AP41" s="293">
        <f t="shared" si="0"/>
        <v>133</v>
      </c>
      <c r="AR41" s="293">
        <f t="shared" si="25"/>
        <v>122</v>
      </c>
      <c r="AS41" s="293">
        <f t="shared" si="25"/>
        <v>116</v>
      </c>
      <c r="AT41" s="293">
        <f t="shared" si="1"/>
        <v>116</v>
      </c>
      <c r="AV41" s="293">
        <f t="shared" si="26"/>
        <v>159</v>
      </c>
      <c r="AW41" s="293">
        <f t="shared" si="26"/>
        <v>137</v>
      </c>
      <c r="AX41" s="293">
        <f t="shared" si="2"/>
        <v>137</v>
      </c>
      <c r="AZ41" s="293">
        <f t="shared" si="27"/>
        <v>129</v>
      </c>
      <c r="BA41" s="293">
        <f t="shared" si="27"/>
        <v>104</v>
      </c>
      <c r="BB41" s="293">
        <f t="shared" si="28"/>
        <v>104</v>
      </c>
      <c r="BD41" s="293">
        <f t="shared" si="29"/>
        <v>98</v>
      </c>
      <c r="BE41" s="293">
        <f t="shared" si="29"/>
        <v>82</v>
      </c>
      <c r="BF41" s="293">
        <f t="shared" si="30"/>
        <v>82</v>
      </c>
      <c r="BH41" s="293">
        <f t="shared" si="31"/>
        <v>69</v>
      </c>
      <c r="BI41" s="293">
        <f t="shared" si="31"/>
        <v>36</v>
      </c>
      <c r="BJ41" s="293">
        <f t="shared" si="31"/>
        <v>36</v>
      </c>
      <c r="BL41" s="293">
        <f t="shared" si="32"/>
        <v>34</v>
      </c>
      <c r="BM41" s="293">
        <f t="shared" si="32"/>
        <v>27</v>
      </c>
      <c r="BN41" s="293">
        <f t="shared" si="32"/>
        <v>27</v>
      </c>
      <c r="BP41" s="293">
        <f t="shared" si="33"/>
        <v>25</v>
      </c>
      <c r="BQ41" s="293">
        <f t="shared" si="33"/>
        <v>17</v>
      </c>
      <c r="BR41" s="293">
        <f t="shared" si="33"/>
        <v>17</v>
      </c>
      <c r="BT41" s="293">
        <f t="shared" si="34"/>
        <v>13</v>
      </c>
      <c r="BU41" s="293">
        <f t="shared" si="34"/>
        <v>12</v>
      </c>
      <c r="BV41" s="293">
        <f t="shared" si="34"/>
        <v>12</v>
      </c>
      <c r="BX41" s="293">
        <f t="shared" si="35"/>
        <v>11</v>
      </c>
      <c r="BY41" s="293">
        <f t="shared" si="35"/>
        <v>10</v>
      </c>
      <c r="BZ41" s="293">
        <f t="shared" si="35"/>
        <v>10</v>
      </c>
      <c r="CB41" s="293">
        <f t="shared" si="36"/>
        <v>10</v>
      </c>
      <c r="CC41" s="293">
        <f t="shared" si="36"/>
        <v>9</v>
      </c>
      <c r="CD41" s="293">
        <f t="shared" si="36"/>
        <v>9</v>
      </c>
      <c r="CF41" s="293">
        <f t="shared" ref="CF41:CH41" si="57">+CF15-CF28</f>
        <v>7</v>
      </c>
      <c r="CG41" s="293">
        <f t="shared" si="57"/>
        <v>7</v>
      </c>
      <c r="CH41" s="293">
        <f t="shared" si="57"/>
        <v>7</v>
      </c>
      <c r="CJ41" s="293">
        <f t="shared" ref="CJ41:CL41" si="58">+CJ15-CJ28</f>
        <v>7</v>
      </c>
      <c r="CK41" s="293">
        <f t="shared" si="58"/>
        <v>7</v>
      </c>
      <c r="CL41" s="293">
        <f t="shared" si="58"/>
        <v>7</v>
      </c>
      <c r="CN41" s="293">
        <f t="shared" ref="CN41:CP41" si="59">+CN15-CN28</f>
        <v>-2</v>
      </c>
      <c r="CO41" s="293">
        <f t="shared" si="59"/>
        <v>-2</v>
      </c>
      <c r="CP41" s="293">
        <f t="shared" si="59"/>
        <v>-2</v>
      </c>
      <c r="CR41" s="293">
        <f t="shared" ref="CR41:CT41" si="60">+CR15-CR28</f>
        <v>0</v>
      </c>
      <c r="CS41" s="293">
        <f t="shared" si="60"/>
        <v>0</v>
      </c>
      <c r="CT41" s="293">
        <f t="shared" si="60"/>
        <v>0</v>
      </c>
      <c r="CV41" s="293">
        <f t="shared" ref="CV41" si="61">+CV15-CV28</f>
        <v>0</v>
      </c>
      <c r="CW41" s="1495">
        <f t="shared" si="41"/>
        <v>0</v>
      </c>
      <c r="CX41" s="1495">
        <f t="shared" si="41"/>
        <v>0</v>
      </c>
      <c r="CZ41" s="293">
        <f t="shared" si="42"/>
        <v>0</v>
      </c>
      <c r="DA41" s="1495">
        <f t="shared" si="42"/>
        <v>0</v>
      </c>
      <c r="DB41" s="1495">
        <f t="shared" si="42"/>
        <v>0</v>
      </c>
      <c r="DD41" s="293">
        <f t="shared" ref="DD41:DF41" si="62">+DD15-DD28</f>
        <v>0</v>
      </c>
      <c r="DE41" s="1495">
        <f t="shared" si="62"/>
        <v>0</v>
      </c>
      <c r="DF41" s="1495">
        <f t="shared" si="62"/>
        <v>0</v>
      </c>
      <c r="DH41" s="293">
        <f t="shared" ref="DH41" si="63">+DH15-DH28</f>
        <v>0</v>
      </c>
      <c r="DI41" s="293">
        <f t="shared" si="54"/>
        <v>0</v>
      </c>
      <c r="DJ41" s="293">
        <f>DI41</f>
        <v>0</v>
      </c>
      <c r="DL41" s="293">
        <f t="shared" si="45"/>
        <v>0</v>
      </c>
      <c r="DM41" s="293">
        <f t="shared" si="55"/>
        <v>0</v>
      </c>
      <c r="DN41" s="293">
        <f>DM41</f>
        <v>0</v>
      </c>
      <c r="DP41" s="293">
        <f t="shared" si="46"/>
        <v>0</v>
      </c>
      <c r="DQ41" s="293">
        <f t="shared" si="56"/>
        <v>0</v>
      </c>
      <c r="DR41" s="293">
        <f>DQ41</f>
        <v>0</v>
      </c>
    </row>
    <row r="42" spans="1:122">
      <c r="A42" s="102" t="s">
        <v>130</v>
      </c>
      <c r="AO42" s="293">
        <f t="shared" si="24"/>
        <v>286</v>
      </c>
      <c r="AP42" s="293">
        <f t="shared" si="0"/>
        <v>286</v>
      </c>
      <c r="AR42" s="293">
        <f t="shared" si="25"/>
        <v>103</v>
      </c>
      <c r="AS42" s="293">
        <f t="shared" si="25"/>
        <v>-173</v>
      </c>
      <c r="AT42" s="293">
        <f t="shared" si="1"/>
        <v>-173</v>
      </c>
      <c r="AV42" s="293">
        <f t="shared" si="26"/>
        <v>90</v>
      </c>
      <c r="AW42" s="293">
        <f t="shared" si="26"/>
        <v>366</v>
      </c>
      <c r="AX42" s="293">
        <f t="shared" si="2"/>
        <v>366</v>
      </c>
      <c r="AZ42" s="293">
        <f t="shared" si="27"/>
        <v>520</v>
      </c>
      <c r="BA42" s="293">
        <f t="shared" si="27"/>
        <v>767</v>
      </c>
      <c r="BB42" s="293">
        <f t="shared" si="28"/>
        <v>767</v>
      </c>
      <c r="BD42" s="293">
        <f t="shared" si="29"/>
        <v>689</v>
      </c>
      <c r="BE42" s="293">
        <f t="shared" si="29"/>
        <v>698</v>
      </c>
      <c r="BF42" s="293">
        <f t="shared" si="30"/>
        <v>698</v>
      </c>
      <c r="BH42" s="293">
        <f t="shared" si="31"/>
        <v>542</v>
      </c>
      <c r="BI42" s="293">
        <f t="shared" si="31"/>
        <v>631</v>
      </c>
      <c r="BJ42" s="293">
        <f t="shared" si="31"/>
        <v>631</v>
      </c>
      <c r="BL42" s="293">
        <f t="shared" si="32"/>
        <v>855</v>
      </c>
      <c r="BM42" s="293">
        <f t="shared" si="32"/>
        <v>711</v>
      </c>
      <c r="BN42" s="293">
        <f t="shared" si="32"/>
        <v>711</v>
      </c>
      <c r="BP42" s="293">
        <f t="shared" si="33"/>
        <v>657</v>
      </c>
      <c r="BQ42" s="293">
        <f t="shared" si="33"/>
        <v>1017</v>
      </c>
      <c r="BR42" s="293">
        <f t="shared" si="33"/>
        <v>1017</v>
      </c>
      <c r="BT42" s="293">
        <f t="shared" si="34"/>
        <v>977</v>
      </c>
      <c r="BU42" s="293">
        <f t="shared" si="34"/>
        <v>1007</v>
      </c>
      <c r="BV42" s="293">
        <f t="shared" si="34"/>
        <v>1007</v>
      </c>
      <c r="BX42" s="293">
        <f t="shared" si="35"/>
        <v>927</v>
      </c>
      <c r="BY42" s="293">
        <f t="shared" si="35"/>
        <v>985</v>
      </c>
      <c r="BZ42" s="293">
        <f t="shared" si="35"/>
        <v>985</v>
      </c>
      <c r="CB42" s="293">
        <f t="shared" si="36"/>
        <v>644</v>
      </c>
      <c r="CC42" s="293">
        <f t="shared" si="36"/>
        <v>819</v>
      </c>
      <c r="CD42" s="293">
        <f t="shared" si="36"/>
        <v>819</v>
      </c>
      <c r="CF42" s="293">
        <f t="shared" ref="CF42:CH42" si="64">+CF16-CF29</f>
        <v>809</v>
      </c>
      <c r="CG42" s="293">
        <f t="shared" si="64"/>
        <v>1258</v>
      </c>
      <c r="CH42" s="293">
        <f t="shared" si="64"/>
        <v>1258</v>
      </c>
      <c r="CJ42" s="293">
        <f t="shared" ref="CJ42:CL42" si="65">+CJ16-CJ29</f>
        <v>1290</v>
      </c>
      <c r="CK42" s="293">
        <f t="shared" si="65"/>
        <v>1783</v>
      </c>
      <c r="CL42" s="293">
        <f t="shared" si="65"/>
        <v>1783</v>
      </c>
      <c r="CN42" s="293">
        <f t="shared" ref="CN42:CP42" si="66">+CN16-CN29</f>
        <v>955</v>
      </c>
      <c r="CO42" s="293">
        <f t="shared" si="66"/>
        <v>981</v>
      </c>
      <c r="CP42" s="293">
        <f t="shared" si="66"/>
        <v>981</v>
      </c>
      <c r="CR42" s="293">
        <f t="shared" ref="CR42:CT42" si="67">+CR16-CR29</f>
        <v>1098</v>
      </c>
      <c r="CS42" s="293">
        <f t="shared" si="67"/>
        <v>1089</v>
      </c>
      <c r="CT42" s="293">
        <f t="shared" si="67"/>
        <v>1089</v>
      </c>
      <c r="CV42" s="293">
        <f t="shared" ref="CV42" si="68">+CV16-CV29</f>
        <v>1935</v>
      </c>
      <c r="CW42" s="1495">
        <f t="shared" si="41"/>
        <v>2245</v>
      </c>
      <c r="CX42" s="1495">
        <f t="shared" si="41"/>
        <v>2245</v>
      </c>
      <c r="CZ42" s="293">
        <f t="shared" si="42"/>
        <v>2288</v>
      </c>
      <c r="DA42" s="1495">
        <f t="shared" si="42"/>
        <v>2654</v>
      </c>
      <c r="DB42" s="1495">
        <f t="shared" si="42"/>
        <v>2654</v>
      </c>
      <c r="DD42" s="293">
        <f t="shared" ref="DD42:DF42" si="69">+DD16-DD29</f>
        <v>2073</v>
      </c>
      <c r="DE42" s="1495">
        <f t="shared" si="69"/>
        <v>3217</v>
      </c>
      <c r="DF42" s="1495">
        <f t="shared" si="69"/>
        <v>3217</v>
      </c>
      <c r="DH42" s="293">
        <f t="shared" ref="DH42" si="70">+DH16-DH29</f>
        <v>2639</v>
      </c>
      <c r="DI42" s="293">
        <f>+DH42</f>
        <v>2639</v>
      </c>
      <c r="DJ42" s="293">
        <f>DI42</f>
        <v>2639</v>
      </c>
      <c r="DL42" s="293">
        <f t="shared" si="45"/>
        <v>2639</v>
      </c>
      <c r="DM42" s="293">
        <f>+DL42</f>
        <v>2639</v>
      </c>
      <c r="DN42" s="293">
        <f>DM42</f>
        <v>2639</v>
      </c>
      <c r="DP42" s="293">
        <f t="shared" si="46"/>
        <v>2639</v>
      </c>
      <c r="DQ42" s="293">
        <f>+DP42</f>
        <v>2639</v>
      </c>
      <c r="DR42" s="293">
        <f>DQ42</f>
        <v>2639</v>
      </c>
    </row>
    <row r="43" spans="1:122">
      <c r="A43" s="102" t="s">
        <v>144</v>
      </c>
      <c r="AO43" s="293">
        <f t="shared" si="24"/>
        <v>2693</v>
      </c>
      <c r="AP43" s="293">
        <f t="shared" si="0"/>
        <v>2693</v>
      </c>
      <c r="AR43" s="293">
        <f t="shared" si="25"/>
        <v>2886</v>
      </c>
      <c r="AS43" s="293">
        <f t="shared" si="25"/>
        <v>2745</v>
      </c>
      <c r="AT43" s="293">
        <f t="shared" si="1"/>
        <v>2745</v>
      </c>
      <c r="AV43" s="293">
        <f t="shared" si="26"/>
        <v>2914</v>
      </c>
      <c r="AW43" s="293">
        <f t="shared" si="26"/>
        <v>3306</v>
      </c>
      <c r="AX43" s="293">
        <f t="shared" si="2"/>
        <v>3306</v>
      </c>
      <c r="AZ43" s="293">
        <f t="shared" si="27"/>
        <v>3314</v>
      </c>
      <c r="BA43" s="293">
        <f t="shared" si="27"/>
        <v>3439</v>
      </c>
      <c r="BB43" s="293">
        <f t="shared" si="28"/>
        <v>3439</v>
      </c>
      <c r="BD43" s="293">
        <f t="shared" si="29"/>
        <v>3279</v>
      </c>
      <c r="BE43" s="293">
        <f t="shared" si="29"/>
        <v>3586</v>
      </c>
      <c r="BF43" s="293">
        <f t="shared" si="30"/>
        <v>3586</v>
      </c>
      <c r="BH43" s="293">
        <f t="shared" si="31"/>
        <v>4223</v>
      </c>
      <c r="BI43" s="293">
        <f t="shared" si="31"/>
        <v>4237</v>
      </c>
      <c r="BJ43" s="293">
        <f t="shared" si="31"/>
        <v>4237</v>
      </c>
      <c r="BL43" s="293">
        <f t="shared" si="32"/>
        <v>4221</v>
      </c>
      <c r="BM43" s="293">
        <f t="shared" si="32"/>
        <v>4266</v>
      </c>
      <c r="BN43" s="293">
        <f t="shared" si="32"/>
        <v>4266</v>
      </c>
      <c r="BP43" s="293">
        <f t="shared" si="33"/>
        <v>4688</v>
      </c>
      <c r="BQ43" s="293">
        <f t="shared" si="33"/>
        <v>4422</v>
      </c>
      <c r="BR43" s="293">
        <f t="shared" si="33"/>
        <v>4422</v>
      </c>
      <c r="BT43" s="293">
        <f t="shared" si="34"/>
        <v>4954</v>
      </c>
      <c r="BU43" s="293">
        <f t="shared" si="34"/>
        <v>4748</v>
      </c>
      <c r="BV43" s="293">
        <f t="shared" si="34"/>
        <v>4748</v>
      </c>
      <c r="BX43" s="293">
        <f t="shared" si="35"/>
        <v>5253</v>
      </c>
      <c r="BY43" s="293">
        <f t="shared" si="35"/>
        <v>5523</v>
      </c>
      <c r="BZ43" s="293">
        <f t="shared" si="35"/>
        <v>5523</v>
      </c>
      <c r="CB43" s="293">
        <f t="shared" si="36"/>
        <v>5822</v>
      </c>
      <c r="CC43" s="293">
        <f t="shared" si="36"/>
        <v>6170</v>
      </c>
      <c r="CD43" s="293">
        <f t="shared" si="36"/>
        <v>6170</v>
      </c>
      <c r="CF43" s="293">
        <f t="shared" ref="CF43:CH43" si="71">+CF17-CF30</f>
        <v>6508</v>
      </c>
      <c r="CG43" s="293">
        <f t="shared" si="71"/>
        <v>6955</v>
      </c>
      <c r="CH43" s="293">
        <f t="shared" si="71"/>
        <v>6955</v>
      </c>
      <c r="CJ43" s="293">
        <f t="shared" ref="CJ43:CL43" si="72">+CJ17-CJ30</f>
        <v>6145</v>
      </c>
      <c r="CK43" s="293">
        <f t="shared" si="72"/>
        <v>6089</v>
      </c>
      <c r="CL43" s="293">
        <f t="shared" si="72"/>
        <v>6089</v>
      </c>
      <c r="CN43" s="293">
        <f t="shared" ref="CN43:CP43" si="73">+CN17-CN30</f>
        <v>5773</v>
      </c>
      <c r="CO43" s="293">
        <f t="shared" si="73"/>
        <v>6978</v>
      </c>
      <c r="CP43" s="293">
        <f t="shared" si="73"/>
        <v>6978</v>
      </c>
      <c r="CR43" s="293">
        <f t="shared" ref="CR43:CT43" si="74">+CR17-CR30</f>
        <v>6544</v>
      </c>
      <c r="CS43" s="293">
        <f t="shared" si="74"/>
        <v>6778</v>
      </c>
      <c r="CT43" s="293">
        <f t="shared" si="74"/>
        <v>6778</v>
      </c>
      <c r="CV43" s="293">
        <f t="shared" ref="CV43" si="75">+CV17-CV30</f>
        <v>6537</v>
      </c>
      <c r="CW43" s="1495">
        <f t="shared" si="41"/>
        <v>8311</v>
      </c>
      <c r="CX43" s="1495">
        <f t="shared" si="41"/>
        <v>8311</v>
      </c>
      <c r="CZ43" s="293">
        <f t="shared" si="42"/>
        <v>8422</v>
      </c>
      <c r="DA43" s="1495">
        <f t="shared" si="42"/>
        <v>8284</v>
      </c>
      <c r="DB43" s="1495">
        <f t="shared" si="42"/>
        <v>8284</v>
      </c>
      <c r="DD43" s="293">
        <f t="shared" ref="DD43:DF43" si="76">+DD17-DD30</f>
        <v>8449</v>
      </c>
      <c r="DE43" s="1495">
        <f t="shared" si="76"/>
        <v>8208</v>
      </c>
      <c r="DF43" s="1495">
        <f t="shared" si="76"/>
        <v>8208</v>
      </c>
      <c r="DH43" s="293">
        <f t="shared" ref="DH43" si="77">+DH17-DH30</f>
        <v>8153</v>
      </c>
      <c r="DI43" s="293">
        <f>DI57</f>
        <v>8153</v>
      </c>
      <c r="DJ43" s="293">
        <f>DI43</f>
        <v>8153</v>
      </c>
      <c r="DL43" s="293">
        <f>DL57</f>
        <v>8153.0000000000009</v>
      </c>
      <c r="DM43" s="293">
        <f>DM57</f>
        <v>8153</v>
      </c>
      <c r="DN43" s="293">
        <f>DM43</f>
        <v>8153</v>
      </c>
      <c r="DP43" s="293">
        <f>DP57</f>
        <v>8153.0000000000009</v>
      </c>
      <c r="DQ43" s="293">
        <f>DQ57</f>
        <v>8153.0000000000018</v>
      </c>
      <c r="DR43" s="293">
        <f>DQ43</f>
        <v>8153.0000000000018</v>
      </c>
    </row>
    <row r="44" spans="1:122">
      <c r="A44" s="289" t="s">
        <v>150</v>
      </c>
      <c r="AO44" s="295">
        <f t="shared" si="24"/>
        <v>4030</v>
      </c>
      <c r="AP44" s="295">
        <f>SUM(AP39:AP43)</f>
        <v>4030</v>
      </c>
      <c r="AR44" s="295">
        <f t="shared" si="25"/>
        <v>4014</v>
      </c>
      <c r="AS44" s="295">
        <f t="shared" si="25"/>
        <v>3032</v>
      </c>
      <c r="AT44" s="295">
        <f>SUM(AT39:AT43)</f>
        <v>3032</v>
      </c>
      <c r="AV44" s="295">
        <f t="shared" si="26"/>
        <v>4178</v>
      </c>
      <c r="AW44" s="295">
        <f t="shared" si="26"/>
        <v>3761</v>
      </c>
      <c r="AX44" s="295">
        <f>SUM(AX39:AX43)</f>
        <v>3761</v>
      </c>
      <c r="AZ44" s="295">
        <f t="shared" si="27"/>
        <v>3072</v>
      </c>
      <c r="BA44" s="295">
        <f t="shared" si="27"/>
        <v>3340</v>
      </c>
      <c r="BB44" s="295">
        <f>SUM(BB39:BB43)</f>
        <v>3340</v>
      </c>
      <c r="BD44" s="295">
        <f t="shared" si="29"/>
        <v>2487</v>
      </c>
      <c r="BE44" s="295">
        <f t="shared" ca="1" si="29"/>
        <v>3153</v>
      </c>
      <c r="BF44" s="295">
        <f ca="1">SUM(BF39:BF43)</f>
        <v>3153</v>
      </c>
      <c r="BH44" s="295">
        <f t="shared" si="31"/>
        <v>2957</v>
      </c>
      <c r="BI44" s="295">
        <f t="shared" si="31"/>
        <v>3095</v>
      </c>
      <c r="BJ44" s="295">
        <f t="shared" si="31"/>
        <v>3095</v>
      </c>
      <c r="BL44" s="295">
        <f t="shared" si="32"/>
        <v>3288</v>
      </c>
      <c r="BM44" s="295">
        <f t="shared" si="32"/>
        <v>2379</v>
      </c>
      <c r="BN44" s="295">
        <f t="shared" si="32"/>
        <v>2379</v>
      </c>
      <c r="BP44" s="295">
        <f t="shared" si="33"/>
        <v>2699</v>
      </c>
      <c r="BQ44" s="295">
        <f t="shared" si="33"/>
        <v>2696</v>
      </c>
      <c r="BR44" s="295">
        <f t="shared" si="33"/>
        <v>2696</v>
      </c>
      <c r="BT44" s="295">
        <f t="shared" si="34"/>
        <v>3075</v>
      </c>
      <c r="BU44" s="295">
        <f t="shared" si="34"/>
        <v>2686</v>
      </c>
      <c r="BV44" s="295">
        <f t="shared" si="34"/>
        <v>2686</v>
      </c>
      <c r="BX44" s="295">
        <f t="shared" si="35"/>
        <v>2914</v>
      </c>
      <c r="BY44" s="295">
        <f t="shared" si="35"/>
        <v>3278</v>
      </c>
      <c r="BZ44" s="295">
        <f t="shared" si="35"/>
        <v>3278</v>
      </c>
      <c r="CB44" s="295">
        <f t="shared" si="36"/>
        <v>3131</v>
      </c>
      <c r="CC44" s="295">
        <f t="shared" si="36"/>
        <v>3695</v>
      </c>
      <c r="CD44" s="295">
        <f t="shared" si="36"/>
        <v>3695</v>
      </c>
      <c r="CF44" s="295">
        <f t="shared" ref="CF44:CH44" si="78">+CF18-CF31</f>
        <v>3916</v>
      </c>
      <c r="CG44" s="295">
        <f t="shared" si="78"/>
        <v>6887</v>
      </c>
      <c r="CH44" s="295">
        <f t="shared" si="78"/>
        <v>6887</v>
      </c>
      <c r="CJ44" s="295">
        <f t="shared" ref="CJ44:CL44" si="79">+CJ18-CJ31</f>
        <v>7649</v>
      </c>
      <c r="CK44" s="295">
        <f t="shared" si="79"/>
        <v>7215</v>
      </c>
      <c r="CL44" s="295">
        <f t="shared" si="79"/>
        <v>7215</v>
      </c>
      <c r="CN44" s="295">
        <f t="shared" ref="CN44:CP44" si="80">+CN18-CN31</f>
        <v>6661</v>
      </c>
      <c r="CO44" s="295">
        <f t="shared" si="80"/>
        <v>7969</v>
      </c>
      <c r="CP44" s="295">
        <f t="shared" si="80"/>
        <v>7969</v>
      </c>
      <c r="CR44" s="295">
        <f t="shared" ref="CR44:CT44" si="81">+CR18-CR31</f>
        <v>7996</v>
      </c>
      <c r="CS44" s="295">
        <f t="shared" si="81"/>
        <v>10603</v>
      </c>
      <c r="CT44" s="295">
        <f t="shared" si="81"/>
        <v>10603</v>
      </c>
      <c r="CV44" s="295">
        <f t="shared" ref="CV44" si="82">+CV18-CV31</f>
        <v>10684</v>
      </c>
      <c r="CW44" s="1390">
        <f t="shared" si="41"/>
        <v>12802</v>
      </c>
      <c r="CX44" s="1390">
        <f t="shared" si="41"/>
        <v>12802</v>
      </c>
      <c r="CZ44" s="295">
        <f t="shared" si="42"/>
        <v>12503</v>
      </c>
      <c r="DA44" s="1390">
        <f t="shared" si="42"/>
        <v>12128</v>
      </c>
      <c r="DB44" s="1390">
        <f t="shared" si="42"/>
        <v>12128</v>
      </c>
      <c r="DD44" s="295">
        <f t="shared" ref="DD44:DF44" si="83">+DD18-DD31</f>
        <v>11327</v>
      </c>
      <c r="DE44" s="1390">
        <f t="shared" si="83"/>
        <v>12303</v>
      </c>
      <c r="DF44" s="1390">
        <f t="shared" si="83"/>
        <v>12303</v>
      </c>
      <c r="DH44" s="295">
        <f t="shared" ref="DH44" si="84">+DH18-DH31</f>
        <v>11678</v>
      </c>
      <c r="DI44" s="295">
        <f>SUM(DI39:DI43)</f>
        <v>11686</v>
      </c>
      <c r="DJ44" s="295">
        <f>SUM(DJ39:DJ43)</f>
        <v>11686</v>
      </c>
      <c r="DL44" s="295">
        <f>SUM(DL39:DL43)</f>
        <v>11686</v>
      </c>
      <c r="DM44" s="295">
        <f>SUM(DM39:DM43)</f>
        <v>11686</v>
      </c>
      <c r="DN44" s="295">
        <f>SUM(DN39:DN43)</f>
        <v>11686</v>
      </c>
      <c r="DP44" s="295">
        <f>SUM(DP39:DP43)</f>
        <v>11686</v>
      </c>
      <c r="DQ44" s="295">
        <f>SUM(DQ39:DQ43)</f>
        <v>11686.000000000002</v>
      </c>
      <c r="DR44" s="295">
        <f>SUM(DR39:DR43)</f>
        <v>11686.000000000002</v>
      </c>
    </row>
    <row r="45" spans="1:122">
      <c r="A45" s="102" t="s">
        <v>676</v>
      </c>
      <c r="AO45" s="293">
        <f t="shared" si="24"/>
        <v>0</v>
      </c>
      <c r="AP45" s="293">
        <f t="shared" si="0"/>
        <v>0</v>
      </c>
      <c r="AR45" s="293">
        <f t="shared" si="25"/>
        <v>0</v>
      </c>
      <c r="AS45" s="293">
        <f t="shared" si="25"/>
        <v>0</v>
      </c>
      <c r="AT45" s="293">
        <f t="shared" si="1"/>
        <v>0</v>
      </c>
      <c r="AV45" s="293">
        <f t="shared" si="26"/>
        <v>0</v>
      </c>
      <c r="AW45" s="293">
        <f t="shared" si="26"/>
        <v>0</v>
      </c>
      <c r="AX45" s="293">
        <f t="shared" si="2"/>
        <v>0</v>
      </c>
      <c r="AZ45" s="293">
        <f t="shared" si="27"/>
        <v>0</v>
      </c>
      <c r="BA45" s="293">
        <f t="shared" si="27"/>
        <v>0</v>
      </c>
      <c r="BB45" s="293">
        <f t="shared" si="28"/>
        <v>0</v>
      </c>
      <c r="BD45" s="293">
        <f t="shared" si="29"/>
        <v>0</v>
      </c>
      <c r="BE45" s="293">
        <f t="shared" si="29"/>
        <v>0</v>
      </c>
      <c r="BF45" s="293">
        <f t="shared" si="30"/>
        <v>0</v>
      </c>
      <c r="BH45" s="293">
        <f t="shared" si="31"/>
        <v>0</v>
      </c>
      <c r="BI45" s="293">
        <f t="shared" si="31"/>
        <v>0</v>
      </c>
      <c r="BJ45" s="293">
        <f t="shared" si="31"/>
        <v>0</v>
      </c>
      <c r="BL45" s="293">
        <f t="shared" si="32"/>
        <v>0</v>
      </c>
      <c r="BM45" s="293">
        <f t="shared" si="32"/>
        <v>0</v>
      </c>
      <c r="BN45" s="293">
        <f t="shared" si="32"/>
        <v>0</v>
      </c>
      <c r="BP45" s="293">
        <f t="shared" si="33"/>
        <v>0</v>
      </c>
      <c r="BQ45" s="293">
        <f t="shared" si="33"/>
        <v>0</v>
      </c>
      <c r="BR45" s="293">
        <f t="shared" si="33"/>
        <v>0</v>
      </c>
      <c r="BT45" s="293">
        <f t="shared" si="34"/>
        <v>0</v>
      </c>
      <c r="BU45" s="293">
        <f t="shared" si="34"/>
        <v>0</v>
      </c>
      <c r="BV45" s="293">
        <f t="shared" si="34"/>
        <v>0</v>
      </c>
      <c r="BX45" s="293">
        <f t="shared" si="35"/>
        <v>0</v>
      </c>
      <c r="BY45" s="293">
        <f t="shared" si="35"/>
        <v>0</v>
      </c>
      <c r="BZ45" s="293">
        <f t="shared" si="35"/>
        <v>0</v>
      </c>
      <c r="CB45" s="293">
        <f t="shared" si="36"/>
        <v>0</v>
      </c>
      <c r="CC45" s="293">
        <f t="shared" si="36"/>
        <v>0</v>
      </c>
      <c r="CD45" s="293">
        <f t="shared" si="36"/>
        <v>0</v>
      </c>
      <c r="CF45" s="293">
        <f t="shared" ref="CF45:CH45" si="85">+CF19-CF32</f>
        <v>0</v>
      </c>
      <c r="CG45" s="293">
        <f t="shared" si="85"/>
        <v>0</v>
      </c>
      <c r="CH45" s="293">
        <f t="shared" si="85"/>
        <v>0</v>
      </c>
      <c r="CJ45" s="293">
        <f t="shared" ref="CJ45:CL45" si="86">+CJ19-CJ32</f>
        <v>0</v>
      </c>
      <c r="CK45" s="293">
        <f t="shared" si="86"/>
        <v>0</v>
      </c>
      <c r="CL45" s="293">
        <f t="shared" si="86"/>
        <v>0</v>
      </c>
      <c r="CN45" s="293">
        <f t="shared" ref="CN45:CP45" si="87">+CN19-CN32</f>
        <v>0</v>
      </c>
      <c r="CO45" s="293">
        <f t="shared" si="87"/>
        <v>0</v>
      </c>
      <c r="CP45" s="293">
        <f t="shared" si="87"/>
        <v>0</v>
      </c>
      <c r="CR45" s="293">
        <f t="shared" ref="CR45:CT45" si="88">+CR19-CR32</f>
        <v>0</v>
      </c>
      <c r="CS45" s="293">
        <f t="shared" si="88"/>
        <v>0</v>
      </c>
      <c r="CT45" s="293">
        <f t="shared" si="88"/>
        <v>0</v>
      </c>
      <c r="CV45" s="293">
        <f t="shared" ref="CV45" si="89">+CV19-CV32</f>
        <v>0</v>
      </c>
      <c r="CW45" s="1495">
        <f t="shared" si="41"/>
        <v>0</v>
      </c>
      <c r="CX45" s="1495">
        <f t="shared" si="41"/>
        <v>0</v>
      </c>
      <c r="CZ45" s="293">
        <f t="shared" si="42"/>
        <v>0</v>
      </c>
      <c r="DA45" s="1495">
        <f t="shared" si="42"/>
        <v>0</v>
      </c>
      <c r="DB45" s="1495">
        <f t="shared" si="42"/>
        <v>0</v>
      </c>
      <c r="DD45" s="293">
        <f t="shared" ref="DD45:DF45" si="90">+DD19-DD32</f>
        <v>0</v>
      </c>
      <c r="DE45" s="1495">
        <f t="shared" si="90"/>
        <v>0</v>
      </c>
      <c r="DF45" s="1495">
        <f t="shared" si="90"/>
        <v>0</v>
      </c>
      <c r="DH45" s="293">
        <f t="shared" ref="DH45" si="91">+DH19-DH32</f>
        <v>0</v>
      </c>
      <c r="DI45" s="293">
        <f t="shared" ref="DI45:DI47" si="92">DF45</f>
        <v>0</v>
      </c>
      <c r="DJ45" s="293">
        <f>DI45</f>
        <v>0</v>
      </c>
      <c r="DL45" s="293">
        <f t="shared" ref="DL45:DL47" si="93">DI45</f>
        <v>0</v>
      </c>
      <c r="DM45" s="293">
        <f t="shared" ref="DM45:DM47" si="94">DJ45</f>
        <v>0</v>
      </c>
      <c r="DN45" s="293">
        <f>DM45</f>
        <v>0</v>
      </c>
      <c r="DP45" s="293">
        <f t="shared" ref="DP45:DP47" si="95">DM45</f>
        <v>0</v>
      </c>
      <c r="DQ45" s="293">
        <f t="shared" ref="DQ45:DQ47" si="96">DN45</f>
        <v>0</v>
      </c>
      <c r="DR45" s="293">
        <f>DQ45</f>
        <v>0</v>
      </c>
    </row>
    <row r="46" spans="1:122">
      <c r="A46" s="102" t="s">
        <v>677</v>
      </c>
      <c r="AO46" s="293">
        <f t="shared" si="24"/>
        <v>0</v>
      </c>
      <c r="AP46" s="293">
        <f t="shared" si="0"/>
        <v>0</v>
      </c>
      <c r="AR46" s="293">
        <f t="shared" si="25"/>
        <v>0</v>
      </c>
      <c r="AS46" s="293">
        <f t="shared" si="25"/>
        <v>0</v>
      </c>
      <c r="AT46" s="293">
        <f t="shared" si="1"/>
        <v>0</v>
      </c>
      <c r="AV46" s="293">
        <f t="shared" si="26"/>
        <v>0</v>
      </c>
      <c r="AW46" s="293">
        <f t="shared" si="26"/>
        <v>0</v>
      </c>
      <c r="AX46" s="293">
        <f t="shared" si="2"/>
        <v>0</v>
      </c>
      <c r="AZ46" s="293">
        <f t="shared" si="27"/>
        <v>0</v>
      </c>
      <c r="BA46" s="293">
        <f t="shared" si="27"/>
        <v>0</v>
      </c>
      <c r="BB46" s="293">
        <f t="shared" si="28"/>
        <v>0</v>
      </c>
      <c r="BD46" s="293">
        <f t="shared" si="29"/>
        <v>0</v>
      </c>
      <c r="BE46" s="293">
        <f t="shared" si="29"/>
        <v>0</v>
      </c>
      <c r="BF46" s="293">
        <f t="shared" si="30"/>
        <v>0</v>
      </c>
      <c r="BH46" s="293">
        <f t="shared" si="31"/>
        <v>0</v>
      </c>
      <c r="BI46" s="293">
        <f t="shared" si="31"/>
        <v>0</v>
      </c>
      <c r="BJ46" s="293">
        <f t="shared" si="31"/>
        <v>0</v>
      </c>
      <c r="BL46" s="293">
        <f t="shared" si="32"/>
        <v>0</v>
      </c>
      <c r="BM46" s="293">
        <f t="shared" si="32"/>
        <v>0</v>
      </c>
      <c r="BN46" s="293">
        <f t="shared" si="32"/>
        <v>0</v>
      </c>
      <c r="BP46" s="293">
        <f t="shared" si="33"/>
        <v>0</v>
      </c>
      <c r="BQ46" s="293">
        <f t="shared" si="33"/>
        <v>0</v>
      </c>
      <c r="BR46" s="293">
        <f t="shared" si="33"/>
        <v>0</v>
      </c>
      <c r="BT46" s="293">
        <f t="shared" si="34"/>
        <v>0</v>
      </c>
      <c r="BU46" s="293">
        <f t="shared" si="34"/>
        <v>0</v>
      </c>
      <c r="BV46" s="293">
        <f t="shared" si="34"/>
        <v>0</v>
      </c>
      <c r="BX46" s="293">
        <f t="shared" si="35"/>
        <v>0</v>
      </c>
      <c r="BY46" s="293">
        <f t="shared" si="35"/>
        <v>0</v>
      </c>
      <c r="BZ46" s="293">
        <f t="shared" si="35"/>
        <v>0</v>
      </c>
      <c r="CB46" s="293">
        <f t="shared" si="36"/>
        <v>0</v>
      </c>
      <c r="CC46" s="293">
        <f t="shared" si="36"/>
        <v>0</v>
      </c>
      <c r="CD46" s="293">
        <f t="shared" si="36"/>
        <v>0</v>
      </c>
      <c r="CF46" s="293">
        <f t="shared" ref="CF46:CH46" si="97">+CF20-CF33</f>
        <v>0</v>
      </c>
      <c r="CG46" s="293">
        <f t="shared" si="97"/>
        <v>0</v>
      </c>
      <c r="CH46" s="293">
        <f t="shared" si="97"/>
        <v>0</v>
      </c>
      <c r="CJ46" s="293">
        <f t="shared" ref="CJ46:CL46" si="98">+CJ20-CJ33</f>
        <v>0</v>
      </c>
      <c r="CK46" s="293">
        <f t="shared" si="98"/>
        <v>0</v>
      </c>
      <c r="CL46" s="293">
        <f t="shared" si="98"/>
        <v>0</v>
      </c>
      <c r="CN46" s="293">
        <f t="shared" ref="CN46:CP46" si="99">+CN20-CN33</f>
        <v>0</v>
      </c>
      <c r="CO46" s="293">
        <f t="shared" si="99"/>
        <v>0</v>
      </c>
      <c r="CP46" s="293">
        <f t="shared" si="99"/>
        <v>0</v>
      </c>
      <c r="CR46" s="293">
        <f t="shared" ref="CR46:CT46" si="100">+CR20-CR33</f>
        <v>0</v>
      </c>
      <c r="CS46" s="293">
        <f t="shared" si="100"/>
        <v>0</v>
      </c>
      <c r="CT46" s="293">
        <f t="shared" si="100"/>
        <v>0</v>
      </c>
      <c r="CV46" s="293">
        <f t="shared" ref="CV46" si="101">+CV20-CV33</f>
        <v>0</v>
      </c>
      <c r="CW46" s="1495">
        <f t="shared" si="41"/>
        <v>0</v>
      </c>
      <c r="CX46" s="1495">
        <f t="shared" si="41"/>
        <v>0</v>
      </c>
      <c r="CZ46" s="293">
        <f t="shared" si="42"/>
        <v>0</v>
      </c>
      <c r="DA46" s="1495">
        <f t="shared" si="42"/>
        <v>0</v>
      </c>
      <c r="DB46" s="1495">
        <f t="shared" si="42"/>
        <v>0</v>
      </c>
      <c r="DD46" s="293">
        <f t="shared" ref="DD46:DF46" si="102">+DD20-DD33</f>
        <v>0</v>
      </c>
      <c r="DE46" s="1495">
        <f t="shared" si="102"/>
        <v>0</v>
      </c>
      <c r="DF46" s="1495">
        <f t="shared" si="102"/>
        <v>0</v>
      </c>
      <c r="DH46" s="293">
        <f t="shared" ref="DH46" si="103">+DH20-DH33</f>
        <v>0</v>
      </c>
      <c r="DI46" s="293">
        <f t="shared" si="92"/>
        <v>0</v>
      </c>
      <c r="DJ46" s="293">
        <f>DI46</f>
        <v>0</v>
      </c>
      <c r="DL46" s="293">
        <f t="shared" si="93"/>
        <v>0</v>
      </c>
      <c r="DM46" s="293">
        <f t="shared" si="94"/>
        <v>0</v>
      </c>
      <c r="DN46" s="293">
        <f>DM46</f>
        <v>0</v>
      </c>
      <c r="DP46" s="293">
        <f t="shared" si="95"/>
        <v>0</v>
      </c>
      <c r="DQ46" s="293">
        <f t="shared" si="96"/>
        <v>0</v>
      </c>
      <c r="DR46" s="293">
        <f>DQ46</f>
        <v>0</v>
      </c>
    </row>
    <row r="47" spans="1:122">
      <c r="A47" s="102" t="s">
        <v>284</v>
      </c>
      <c r="AO47" s="293">
        <f>+AO22-AO35</f>
        <v>89</v>
      </c>
      <c r="AP47" s="293">
        <f t="shared" si="0"/>
        <v>89</v>
      </c>
      <c r="AR47" s="293">
        <f>+AR22-AR35</f>
        <v>105</v>
      </c>
      <c r="AS47" s="293">
        <f>+AS22-AS35</f>
        <v>107</v>
      </c>
      <c r="AT47" s="293">
        <f t="shared" si="1"/>
        <v>107</v>
      </c>
      <c r="AV47" s="293">
        <f>+AV22-AV35</f>
        <v>71</v>
      </c>
      <c r="AW47" s="293">
        <f>+AW22-AW35</f>
        <v>79</v>
      </c>
      <c r="AX47" s="293">
        <f t="shared" si="2"/>
        <v>79</v>
      </c>
      <c r="AZ47" s="293">
        <f>+AZ22-AZ35</f>
        <v>75</v>
      </c>
      <c r="BA47" s="293">
        <f>+BA22-BA35</f>
        <v>74</v>
      </c>
      <c r="BB47" s="293">
        <f t="shared" si="28"/>
        <v>74</v>
      </c>
      <c r="BD47" s="293">
        <f>+BD22-BD35</f>
        <v>56</v>
      </c>
      <c r="BE47" s="293">
        <f>+BE22-BE35</f>
        <v>75</v>
      </c>
      <c r="BF47" s="293">
        <f t="shared" si="30"/>
        <v>75</v>
      </c>
      <c r="BH47" s="293">
        <f t="shared" ref="BH47:BJ48" si="104">+BH22-BH35</f>
        <v>57</v>
      </c>
      <c r="BI47" s="293">
        <f t="shared" si="104"/>
        <v>101</v>
      </c>
      <c r="BJ47" s="293">
        <f t="shared" si="104"/>
        <v>101</v>
      </c>
      <c r="BL47" s="293">
        <f t="shared" ref="BL47:BN48" si="105">+BL22-BL35</f>
        <v>28</v>
      </c>
      <c r="BM47" s="293">
        <f t="shared" si="105"/>
        <v>29</v>
      </c>
      <c r="BN47" s="293">
        <f t="shared" si="105"/>
        <v>29</v>
      </c>
      <c r="BP47" s="293">
        <f t="shared" ref="BP47:BR48" si="106">+BP22-BP35</f>
        <v>57</v>
      </c>
      <c r="BQ47" s="293">
        <f t="shared" si="106"/>
        <v>14</v>
      </c>
      <c r="BR47" s="293">
        <f t="shared" si="106"/>
        <v>14</v>
      </c>
      <c r="BT47" s="293">
        <f t="shared" ref="BT47:BV48" si="107">+BT22-BT35</f>
        <v>195</v>
      </c>
      <c r="BU47" s="293">
        <f t="shared" si="107"/>
        <v>157</v>
      </c>
      <c r="BV47" s="293">
        <f t="shared" si="107"/>
        <v>157</v>
      </c>
      <c r="BX47" s="293">
        <f t="shared" ref="BX47:BZ48" si="108">+BX22-BX35</f>
        <v>151</v>
      </c>
      <c r="BY47" s="293">
        <f t="shared" si="108"/>
        <v>1316</v>
      </c>
      <c r="BZ47" s="293">
        <f t="shared" si="108"/>
        <v>1316</v>
      </c>
      <c r="CB47" s="293">
        <f>+CB22-CB35</f>
        <v>1351</v>
      </c>
      <c r="CC47" s="293">
        <f t="shared" ref="CC47:CD47" si="109">+CC22-CC35</f>
        <v>1432</v>
      </c>
      <c r="CD47" s="293">
        <f t="shared" si="109"/>
        <v>1432</v>
      </c>
      <c r="CF47" s="293">
        <f>+CF22-CF35</f>
        <v>208</v>
      </c>
      <c r="CG47" s="293">
        <f t="shared" ref="CG47:CH47" si="110">+CG22-CG35</f>
        <v>212</v>
      </c>
      <c r="CH47" s="293">
        <f t="shared" si="110"/>
        <v>212</v>
      </c>
      <c r="CJ47" s="293">
        <f>+CJ22-CJ35</f>
        <v>304</v>
      </c>
      <c r="CK47" s="293">
        <f t="shared" ref="CK47:CL47" si="111">+CK22-CK35</f>
        <v>330</v>
      </c>
      <c r="CL47" s="293">
        <f t="shared" si="111"/>
        <v>330</v>
      </c>
      <c r="CN47" s="293">
        <f>+CN22-CN35</f>
        <v>281</v>
      </c>
      <c r="CO47" s="293">
        <f t="shared" ref="CO47:CP47" si="112">+CO22-CO35</f>
        <v>303</v>
      </c>
      <c r="CP47" s="293">
        <f t="shared" si="112"/>
        <v>303</v>
      </c>
      <c r="CR47" s="293">
        <f>+CR22-CR35</f>
        <v>350</v>
      </c>
      <c r="CS47" s="293">
        <f t="shared" ref="CS47:CT47" si="113">+CS22-CS35</f>
        <v>245</v>
      </c>
      <c r="CT47" s="293">
        <f t="shared" si="113"/>
        <v>245</v>
      </c>
      <c r="CV47" s="293">
        <f>+CV22-CV35</f>
        <v>350</v>
      </c>
      <c r="CW47" s="1495">
        <f t="shared" ref="CW47:CX48" si="114">+CW22-CW35</f>
        <v>951</v>
      </c>
      <c r="CX47" s="1495">
        <f t="shared" si="114"/>
        <v>951</v>
      </c>
      <c r="CZ47" s="293">
        <f>+CZ22-CZ35</f>
        <v>487</v>
      </c>
      <c r="DA47" s="1495">
        <f t="shared" ref="DA47:DB47" si="115">+DA22-DA35</f>
        <v>515</v>
      </c>
      <c r="DB47" s="1495">
        <f t="shared" si="115"/>
        <v>515</v>
      </c>
      <c r="DD47" s="293">
        <f>+DD22-DD35</f>
        <v>535</v>
      </c>
      <c r="DE47" s="1495">
        <f t="shared" ref="DE47:DF47" si="116">+DE22-DE35</f>
        <v>433</v>
      </c>
      <c r="DF47" s="1495">
        <f t="shared" si="116"/>
        <v>433</v>
      </c>
      <c r="DH47" s="293">
        <f>+DH22-DH35</f>
        <v>633</v>
      </c>
      <c r="DI47" s="293">
        <f t="shared" si="92"/>
        <v>433</v>
      </c>
      <c r="DJ47" s="293">
        <f>DI47</f>
        <v>433</v>
      </c>
      <c r="DL47" s="293">
        <f t="shared" si="93"/>
        <v>433</v>
      </c>
      <c r="DM47" s="293">
        <f t="shared" si="94"/>
        <v>433</v>
      </c>
      <c r="DN47" s="293">
        <f>DM47</f>
        <v>433</v>
      </c>
      <c r="DP47" s="293">
        <f t="shared" si="95"/>
        <v>433</v>
      </c>
      <c r="DQ47" s="293">
        <f t="shared" si="96"/>
        <v>433</v>
      </c>
      <c r="DR47" s="293">
        <f>DQ47</f>
        <v>433</v>
      </c>
    </row>
    <row r="48" spans="1:122">
      <c r="A48" s="289" t="s">
        <v>301</v>
      </c>
      <c r="AO48" s="295">
        <f>+AO23-AO36</f>
        <v>4119</v>
      </c>
      <c r="AP48" s="295">
        <f>SUM(AP44:AP47)</f>
        <v>4119</v>
      </c>
      <c r="AR48" s="295">
        <f>+AR23-AR36</f>
        <v>4119</v>
      </c>
      <c r="AS48" s="295">
        <f>+AS23-AS36</f>
        <v>3139</v>
      </c>
      <c r="AT48" s="295">
        <f>SUM(AT44:AT47)</f>
        <v>3139</v>
      </c>
      <c r="AV48" s="295">
        <f>+AV23-AV36</f>
        <v>4249</v>
      </c>
      <c r="AW48" s="295">
        <f>+AW23-AW36</f>
        <v>3840</v>
      </c>
      <c r="AX48" s="295">
        <f>SUM(AX44:AX47)</f>
        <v>3840</v>
      </c>
      <c r="AZ48" s="295">
        <f>+AZ23-AZ36</f>
        <v>3147</v>
      </c>
      <c r="BA48" s="295">
        <f>+BA23-BA36</f>
        <v>3414</v>
      </c>
      <c r="BB48" s="295">
        <f>SUM(BB44:BB47)</f>
        <v>3414</v>
      </c>
      <c r="BD48" s="295">
        <f>+BD23-BD36</f>
        <v>2543</v>
      </c>
      <c r="BE48" s="295">
        <f ca="1">+BE23-BE36</f>
        <v>3228</v>
      </c>
      <c r="BF48" s="295">
        <f ca="1">SUM(BF44:BF47)</f>
        <v>3228</v>
      </c>
      <c r="BH48" s="295">
        <f t="shared" si="104"/>
        <v>3014</v>
      </c>
      <c r="BI48" s="295">
        <f t="shared" si="104"/>
        <v>3196</v>
      </c>
      <c r="BJ48" s="295">
        <f t="shared" si="104"/>
        <v>3196</v>
      </c>
      <c r="BL48" s="295">
        <f t="shared" si="105"/>
        <v>3316</v>
      </c>
      <c r="BM48" s="295">
        <f t="shared" si="105"/>
        <v>2408</v>
      </c>
      <c r="BN48" s="295">
        <f t="shared" si="105"/>
        <v>2408</v>
      </c>
      <c r="BP48" s="295">
        <f t="shared" si="106"/>
        <v>2756</v>
      </c>
      <c r="BQ48" s="295">
        <f t="shared" si="106"/>
        <v>2710</v>
      </c>
      <c r="BR48" s="295">
        <f t="shared" si="106"/>
        <v>2710</v>
      </c>
      <c r="BT48" s="295">
        <f t="shared" si="107"/>
        <v>3270</v>
      </c>
      <c r="BU48" s="295">
        <f t="shared" si="107"/>
        <v>2843</v>
      </c>
      <c r="BV48" s="295">
        <f t="shared" si="107"/>
        <v>2843</v>
      </c>
      <c r="BX48" s="295">
        <f t="shared" si="108"/>
        <v>3065</v>
      </c>
      <c r="BY48" s="295">
        <f t="shared" si="108"/>
        <v>4594</v>
      </c>
      <c r="BZ48" s="295">
        <f t="shared" si="108"/>
        <v>4594</v>
      </c>
      <c r="CB48" s="295">
        <f>+CB23-CB36</f>
        <v>4482</v>
      </c>
      <c r="CC48" s="295">
        <f t="shared" ref="CC48:CD48" si="117">+CC23-CC36</f>
        <v>5127</v>
      </c>
      <c r="CD48" s="295">
        <f t="shared" si="117"/>
        <v>5127</v>
      </c>
      <c r="CF48" s="295">
        <f>+CF23-CF36</f>
        <v>4124</v>
      </c>
      <c r="CG48" s="295">
        <f t="shared" ref="CG48:CH48" si="118">+CG23-CG36</f>
        <v>7099</v>
      </c>
      <c r="CH48" s="295">
        <f t="shared" si="118"/>
        <v>7099</v>
      </c>
      <c r="CJ48" s="295">
        <f>+CJ23-CJ36</f>
        <v>7953</v>
      </c>
      <c r="CK48" s="295">
        <f t="shared" ref="CK48:CL48" si="119">+CK23-CK36</f>
        <v>7545</v>
      </c>
      <c r="CL48" s="295">
        <f t="shared" si="119"/>
        <v>7545</v>
      </c>
      <c r="CN48" s="295">
        <f>+CN23-CN36</f>
        <v>6942</v>
      </c>
      <c r="CO48" s="295">
        <f t="shared" ref="CO48:CP48" si="120">+CO23-CO36</f>
        <v>8272</v>
      </c>
      <c r="CP48" s="295">
        <f t="shared" si="120"/>
        <v>8272</v>
      </c>
      <c r="CR48" s="295">
        <f>+CR23-CR36</f>
        <v>8346</v>
      </c>
      <c r="CS48" s="295">
        <f t="shared" ref="CS48:CT48" si="121">+CS23-CS36</f>
        <v>10848</v>
      </c>
      <c r="CT48" s="295">
        <f t="shared" si="121"/>
        <v>10848</v>
      </c>
      <c r="CV48" s="295">
        <f>+CV23-CV36</f>
        <v>11034</v>
      </c>
      <c r="CW48" s="1390">
        <f t="shared" si="114"/>
        <v>13753</v>
      </c>
      <c r="CX48" s="1390">
        <f t="shared" si="114"/>
        <v>13753</v>
      </c>
      <c r="CZ48" s="295">
        <f>+CZ23-CZ36</f>
        <v>12990</v>
      </c>
      <c r="DA48" s="1390">
        <f t="shared" ref="DA48:DB48" si="122">+DA23-DA36</f>
        <v>12643</v>
      </c>
      <c r="DB48" s="1390">
        <f t="shared" si="122"/>
        <v>12643</v>
      </c>
      <c r="DD48" s="295">
        <f>+DD23-DD36</f>
        <v>11862</v>
      </c>
      <c r="DE48" s="1390">
        <f t="shared" ref="DE48:DF48" si="123">+DE23-DE36</f>
        <v>12736</v>
      </c>
      <c r="DF48" s="1390">
        <f t="shared" si="123"/>
        <v>12736</v>
      </c>
      <c r="DH48" s="295">
        <f>+DH23-DH36</f>
        <v>12311</v>
      </c>
      <c r="DI48" s="295">
        <f>SUM(DI44:DI47)</f>
        <v>12119</v>
      </c>
      <c r="DJ48" s="295">
        <f>SUM(DJ44:DJ47)</f>
        <v>12119</v>
      </c>
      <c r="DL48" s="295">
        <f>SUM(DL44:DL47)</f>
        <v>12119</v>
      </c>
      <c r="DM48" s="295">
        <f>SUM(DM44:DM47)</f>
        <v>12119</v>
      </c>
      <c r="DN48" s="295">
        <f>SUM(DN44:DN47)</f>
        <v>12119</v>
      </c>
      <c r="DP48" s="295">
        <f>SUM(DP44:DP47)</f>
        <v>12119</v>
      </c>
      <c r="DQ48" s="295">
        <f>SUM(DQ44:DQ47)</f>
        <v>12119.000000000002</v>
      </c>
      <c r="DR48" s="295">
        <f>SUM(DR44:DR47)</f>
        <v>12119.000000000002</v>
      </c>
    </row>
    <row r="49" spans="1:124" ht="14.4">
      <c r="A49" s="102" t="s">
        <v>302</v>
      </c>
      <c r="AO49" s="293">
        <f>AO50-AO48</f>
        <v>-4119</v>
      </c>
      <c r="AP49" s="293">
        <f>AP50-AP48</f>
        <v>-4119</v>
      </c>
      <c r="AR49" s="293">
        <f>AR50-AR48</f>
        <v>296</v>
      </c>
      <c r="AS49" s="293">
        <f>AS50-AS48</f>
        <v>688</v>
      </c>
      <c r="AT49" s="293">
        <f>AT50-AT48</f>
        <v>688</v>
      </c>
      <c r="AV49" s="293">
        <f>AV50-AV48</f>
        <v>263</v>
      </c>
      <c r="AW49" s="293">
        <f>AW50-AW48</f>
        <v>40</v>
      </c>
      <c r="AX49" s="293">
        <f>AX50-AX48</f>
        <v>40</v>
      </c>
      <c r="AZ49" s="293">
        <f>AZ50-AZ48</f>
        <v>1</v>
      </c>
      <c r="BA49" s="293">
        <f>BA50-BA48</f>
        <v>156</v>
      </c>
      <c r="BB49" s="293">
        <f>BB50-BB48</f>
        <v>156</v>
      </c>
      <c r="BD49" s="293">
        <f>BD50-BD48</f>
        <v>602</v>
      </c>
      <c r="BE49" s="293">
        <f ca="1">BE50-BE48</f>
        <v>267</v>
      </c>
      <c r="BF49" s="293">
        <f ca="1">BF50-BF48</f>
        <v>267</v>
      </c>
      <c r="BH49" s="293">
        <f>BH50-BH48</f>
        <v>636</v>
      </c>
      <c r="BI49" s="293">
        <f>BI50-BI48</f>
        <v>797</v>
      </c>
      <c r="BJ49" s="293">
        <f>BJ50-BJ48</f>
        <v>797</v>
      </c>
      <c r="BL49" s="293">
        <f>BL50-BL48</f>
        <v>745</v>
      </c>
      <c r="BM49" s="293">
        <f>BM50-BM48</f>
        <v>789</v>
      </c>
      <c r="BN49" s="293">
        <f>BN50-BN48</f>
        <v>789</v>
      </c>
      <c r="BP49" s="293">
        <f>BP50-BP48</f>
        <v>830</v>
      </c>
      <c r="BQ49" s="293">
        <f>BQ50-BQ48</f>
        <v>1070</v>
      </c>
      <c r="BR49" s="293">
        <f>BR50-BR48</f>
        <v>1070</v>
      </c>
      <c r="BT49" s="293">
        <f>BT50-BT48</f>
        <v>974</v>
      </c>
      <c r="BU49" s="293">
        <f>BU50-BU48</f>
        <v>940</v>
      </c>
      <c r="BV49" s="293">
        <f>BV50-BV48</f>
        <v>940</v>
      </c>
      <c r="BX49" s="293">
        <f>BX50-BX48</f>
        <v>800</v>
      </c>
      <c r="BY49" s="293">
        <f>BY50-BY48</f>
        <v>-179</v>
      </c>
      <c r="BZ49" s="293">
        <f>BZ50-BZ48</f>
        <v>-179</v>
      </c>
      <c r="CB49" s="293">
        <f>CB50-CB48</f>
        <v>-179</v>
      </c>
      <c r="CC49" s="293">
        <f>CC50-CC48</f>
        <v>-301</v>
      </c>
      <c r="CD49" s="293">
        <f>CD50-CD48</f>
        <v>-301</v>
      </c>
      <c r="CF49" s="293">
        <f>CF50-CF48</f>
        <v>1400</v>
      </c>
      <c r="CG49" s="293">
        <f>CG50-CG48</f>
        <v>2259</v>
      </c>
      <c r="CH49" s="293">
        <f>CH50-CH48</f>
        <v>2259</v>
      </c>
      <c r="CJ49" s="293">
        <f>CJ50-CJ48</f>
        <v>2174</v>
      </c>
      <c r="CK49" s="293">
        <f>CK50-CK48</f>
        <v>2044</v>
      </c>
      <c r="CL49" s="293">
        <f>CL50-CL48</f>
        <v>2044</v>
      </c>
      <c r="CN49" s="293">
        <f>CN50-CN48</f>
        <v>2133</v>
      </c>
      <c r="CO49" s="293">
        <f>CO50-CO48</f>
        <v>2316</v>
      </c>
      <c r="CP49" s="293">
        <f>CP50-CP48</f>
        <v>2316</v>
      </c>
      <c r="CR49" s="293">
        <f>CR50-CR48</f>
        <v>2358</v>
      </c>
      <c r="CS49" s="293">
        <f>CS50-CS48</f>
        <v>2467</v>
      </c>
      <c r="CT49" s="293">
        <f>CT50-CT48</f>
        <v>2467</v>
      </c>
      <c r="CV49" s="293">
        <f>CV50-CV48</f>
        <v>3065</v>
      </c>
      <c r="CW49" s="1495">
        <f>CW50-CW48</f>
        <v>2550</v>
      </c>
      <c r="CX49" s="1495">
        <f>CX50-CX48</f>
        <v>2550</v>
      </c>
      <c r="CZ49" s="293">
        <f>CZ50-CZ48</f>
        <v>3010</v>
      </c>
      <c r="DA49" s="1495">
        <f>DA50-DA48</f>
        <v>2899</v>
      </c>
      <c r="DB49" s="1495">
        <f>DB50-DB48</f>
        <v>2899</v>
      </c>
      <c r="DD49" s="293">
        <f>DD50-DD48</f>
        <v>3647</v>
      </c>
      <c r="DE49" s="1495">
        <f>DE50-DE48</f>
        <v>3564</v>
      </c>
      <c r="DF49" s="1495">
        <f>DF50-DF48</f>
        <v>3564</v>
      </c>
      <c r="DH49" s="293">
        <f>DH50-DH48</f>
        <v>3374</v>
      </c>
      <c r="DI49" s="2235">
        <f>DH49*1.025+1000</f>
        <v>4458.3500000000004</v>
      </c>
      <c r="DJ49" s="293">
        <f>DI49</f>
        <v>4458.3500000000004</v>
      </c>
      <c r="DL49" s="487">
        <f>DI49*1.025</f>
        <v>4569.8087500000001</v>
      </c>
      <c r="DM49" s="487">
        <f>DL49*1.025</f>
        <v>4684.0539687499995</v>
      </c>
      <c r="DN49" s="293">
        <f>DM49</f>
        <v>4684.0539687499995</v>
      </c>
      <c r="DP49" s="487">
        <f>DM49*1.025</f>
        <v>4801.1553179687489</v>
      </c>
      <c r="DQ49" s="487">
        <f>DP49*1.025</f>
        <v>4921.1842009179672</v>
      </c>
      <c r="DR49" s="293">
        <f>DQ49</f>
        <v>4921.1842009179672</v>
      </c>
    </row>
    <row r="50" spans="1:124">
      <c r="A50" s="289" t="s">
        <v>303</v>
      </c>
      <c r="AO50" s="295">
        <f>AO357</f>
        <v>0</v>
      </c>
      <c r="AP50" s="295">
        <f>AP357</f>
        <v>0</v>
      </c>
      <c r="AR50" s="295">
        <f>AR357</f>
        <v>4415</v>
      </c>
      <c r="AS50" s="295">
        <f>AS357</f>
        <v>3827</v>
      </c>
      <c r="AT50" s="295">
        <f>AT357</f>
        <v>3827</v>
      </c>
      <c r="AV50" s="295">
        <f>AV357</f>
        <v>4512</v>
      </c>
      <c r="AW50" s="295">
        <f>AW357</f>
        <v>3880</v>
      </c>
      <c r="AX50" s="295">
        <f>AX357</f>
        <v>3880</v>
      </c>
      <c r="AZ50" s="295">
        <f>AZ357</f>
        <v>3148</v>
      </c>
      <c r="BA50" s="295">
        <f>BA357</f>
        <v>3570</v>
      </c>
      <c r="BB50" s="295">
        <f>BB357</f>
        <v>3570</v>
      </c>
      <c r="BD50" s="295">
        <f>BD357</f>
        <v>3145</v>
      </c>
      <c r="BE50" s="295">
        <f>BE357</f>
        <v>3495</v>
      </c>
      <c r="BF50" s="295">
        <f>BF357</f>
        <v>3495</v>
      </c>
      <c r="BH50" s="295">
        <f>BH357</f>
        <v>3650</v>
      </c>
      <c r="BI50" s="295">
        <f>BI79</f>
        <v>3993</v>
      </c>
      <c r="BJ50" s="295">
        <f>BJ79</f>
        <v>3993</v>
      </c>
      <c r="BL50" s="295">
        <f>BL79</f>
        <v>4061</v>
      </c>
      <c r="BM50" s="295">
        <f>BM79</f>
        <v>3197</v>
      </c>
      <c r="BN50" s="295">
        <f>BN79</f>
        <v>3197</v>
      </c>
      <c r="BP50" s="295">
        <f>BP79</f>
        <v>3586</v>
      </c>
      <c r="BQ50" s="295">
        <f>BQ79</f>
        <v>3780</v>
      </c>
      <c r="BR50" s="295">
        <f>BR79</f>
        <v>3780</v>
      </c>
      <c r="BT50" s="295">
        <f>BT79</f>
        <v>4244</v>
      </c>
      <c r="BU50" s="295">
        <f>BU79</f>
        <v>3783</v>
      </c>
      <c r="BV50" s="295">
        <f>BV79</f>
        <v>3783</v>
      </c>
      <c r="BX50" s="295">
        <f>BX79</f>
        <v>3865</v>
      </c>
      <c r="BY50" s="295">
        <f>BY79</f>
        <v>4415</v>
      </c>
      <c r="BZ50" s="295">
        <f>BZ79</f>
        <v>4415</v>
      </c>
      <c r="CB50" s="295">
        <f>CB79</f>
        <v>4303</v>
      </c>
      <c r="CC50" s="295">
        <f>CC79</f>
        <v>4826</v>
      </c>
      <c r="CD50" s="295">
        <f>CD79</f>
        <v>4826</v>
      </c>
      <c r="CF50" s="295">
        <f>CF79</f>
        <v>5524</v>
      </c>
      <c r="CG50" s="295">
        <f>CG79</f>
        <v>9358</v>
      </c>
      <c r="CH50" s="295">
        <f>CH79</f>
        <v>9358</v>
      </c>
      <c r="CJ50" s="295">
        <f>CJ79</f>
        <v>10127</v>
      </c>
      <c r="CK50" s="295">
        <f>CK79</f>
        <v>9589</v>
      </c>
      <c r="CL50" s="295">
        <f>CL79</f>
        <v>9589</v>
      </c>
      <c r="CN50" s="295">
        <f>CN79</f>
        <v>9075</v>
      </c>
      <c r="CO50" s="295">
        <f>CO79</f>
        <v>10588</v>
      </c>
      <c r="CP50" s="295">
        <f>CP79</f>
        <v>10588</v>
      </c>
      <c r="CR50" s="295">
        <f>CR79</f>
        <v>10704</v>
      </c>
      <c r="CS50" s="295">
        <f>CS79</f>
        <v>13315</v>
      </c>
      <c r="CT50" s="295">
        <f>CT79</f>
        <v>13315</v>
      </c>
      <c r="CV50" s="295">
        <f>CV79</f>
        <v>14099</v>
      </c>
      <c r="CW50" s="1390">
        <f>CW79</f>
        <v>16303</v>
      </c>
      <c r="CX50" s="1390">
        <f>CX79</f>
        <v>16303</v>
      </c>
      <c r="CZ50" s="295">
        <f>CZ79</f>
        <v>16000</v>
      </c>
      <c r="DA50" s="1390">
        <f>DA79</f>
        <v>15542</v>
      </c>
      <c r="DB50" s="1390">
        <f>DB79</f>
        <v>15542</v>
      </c>
      <c r="DD50" s="295">
        <f>DD79</f>
        <v>15509</v>
      </c>
      <c r="DE50" s="1390">
        <f>DE79</f>
        <v>16300</v>
      </c>
      <c r="DF50" s="1390">
        <f>DF79</f>
        <v>16300</v>
      </c>
      <c r="DH50" s="295">
        <f>DH79</f>
        <v>15685</v>
      </c>
      <c r="DI50" s="295">
        <f>SUM(DI48:DI49)</f>
        <v>16577.349999999999</v>
      </c>
      <c r="DJ50" s="295">
        <f>SUM(DJ48:DJ49)</f>
        <v>16577.349999999999</v>
      </c>
      <c r="DL50" s="295">
        <f>SUM(DL48:DL49)</f>
        <v>16688.80875</v>
      </c>
      <c r="DM50" s="295">
        <f>SUM(DM48:DM49)</f>
        <v>16803.053968749999</v>
      </c>
      <c r="DN50" s="295">
        <f>SUM(DN48:DN49)</f>
        <v>16803.053968749999</v>
      </c>
      <c r="DP50" s="295">
        <f>SUM(DP48:DP49)</f>
        <v>16920.155317968747</v>
      </c>
      <c r="DQ50" s="295">
        <f>SUM(DQ48:DQ49)</f>
        <v>17040.184200917967</v>
      </c>
      <c r="DR50" s="295">
        <f>SUM(DR48:DR49)</f>
        <v>17040.184200917967</v>
      </c>
    </row>
    <row r="51" spans="1:124" s="641" customFormat="1">
      <c r="A51" s="1032"/>
      <c r="C51" s="638"/>
      <c r="AN51" s="638"/>
      <c r="AO51" s="769">
        <f>AO357</f>
        <v>0</v>
      </c>
      <c r="AP51" s="769">
        <f>AP357</f>
        <v>0</v>
      </c>
      <c r="AQ51" s="787"/>
      <c r="AR51" s="769">
        <f>AR357</f>
        <v>4415</v>
      </c>
      <c r="AS51" s="769">
        <f>AS357</f>
        <v>3827</v>
      </c>
      <c r="AT51" s="769">
        <f>AT357</f>
        <v>3827</v>
      </c>
      <c r="AU51" s="638"/>
      <c r="AV51" s="769">
        <f>AV357</f>
        <v>4512</v>
      </c>
      <c r="AW51" s="769">
        <f>AW357</f>
        <v>3880</v>
      </c>
      <c r="AX51" s="769">
        <f>AX357</f>
        <v>3880</v>
      </c>
      <c r="AY51" s="638"/>
      <c r="AZ51" s="769">
        <f>AZ357</f>
        <v>3148</v>
      </c>
      <c r="BA51" s="769">
        <f>BA357</f>
        <v>3570</v>
      </c>
      <c r="BB51" s="769">
        <f>BB357</f>
        <v>3570</v>
      </c>
      <c r="BC51" s="638"/>
      <c r="BD51" s="769">
        <f>BD357</f>
        <v>3145</v>
      </c>
      <c r="BE51" s="769">
        <f>BE357</f>
        <v>3495</v>
      </c>
      <c r="BF51" s="769">
        <f>BF357</f>
        <v>3495</v>
      </c>
      <c r="BG51" s="638"/>
      <c r="BH51" s="769">
        <f>BH357</f>
        <v>3650</v>
      </c>
      <c r="BI51" s="769">
        <f>BI79</f>
        <v>3993</v>
      </c>
      <c r="BJ51" s="769">
        <f>BJ79</f>
        <v>3993</v>
      </c>
      <c r="BK51" s="638"/>
      <c r="BL51" s="769">
        <f>BL79</f>
        <v>4061</v>
      </c>
      <c r="BM51" s="769">
        <f>BM79</f>
        <v>3197</v>
      </c>
      <c r="BN51" s="769">
        <f>BN79</f>
        <v>3197</v>
      </c>
      <c r="BO51" s="638"/>
      <c r="BP51" s="769">
        <f>BP79</f>
        <v>3586</v>
      </c>
      <c r="BQ51" s="769">
        <f>BQ79</f>
        <v>3780</v>
      </c>
      <c r="BR51" s="769">
        <f>BR79</f>
        <v>3780</v>
      </c>
      <c r="BS51" s="638"/>
      <c r="BT51" s="769">
        <f>BT79</f>
        <v>4244</v>
      </c>
      <c r="BU51" s="769">
        <f>BU79</f>
        <v>3783</v>
      </c>
      <c r="BV51" s="769">
        <f>BV79</f>
        <v>3783</v>
      </c>
      <c r="BW51" s="638"/>
      <c r="BX51" s="769"/>
      <c r="BY51" s="769">
        <f>BY79</f>
        <v>4415</v>
      </c>
      <c r="BZ51" s="769">
        <f>BZ79</f>
        <v>4415</v>
      </c>
      <c r="CA51" s="638"/>
      <c r="CB51" s="769">
        <f>CB79</f>
        <v>4303</v>
      </c>
      <c r="CC51" s="769">
        <f>CC79</f>
        <v>4826</v>
      </c>
      <c r="CD51" s="769">
        <f>CD79</f>
        <v>4826</v>
      </c>
      <c r="CE51" s="638"/>
      <c r="CF51" s="769">
        <f>CF79</f>
        <v>5524</v>
      </c>
      <c r="CG51" s="769">
        <f>CG79</f>
        <v>9358</v>
      </c>
      <c r="CH51" s="769">
        <f>CH79</f>
        <v>9358</v>
      </c>
      <c r="CI51" s="638"/>
      <c r="CJ51" s="769">
        <f>CJ79</f>
        <v>10127</v>
      </c>
      <c r="CK51" s="769">
        <f>CK79</f>
        <v>9589</v>
      </c>
      <c r="CL51" s="769">
        <f>CL79</f>
        <v>9589</v>
      </c>
      <c r="CM51" s="638"/>
      <c r="CN51" s="769">
        <f>CN79</f>
        <v>9075</v>
      </c>
      <c r="CO51" s="769">
        <f>CO79</f>
        <v>10588</v>
      </c>
      <c r="CP51" s="769">
        <f>CP79</f>
        <v>10588</v>
      </c>
      <c r="CQ51" s="638"/>
      <c r="CR51" s="769">
        <f>CR79</f>
        <v>10704</v>
      </c>
      <c r="CS51" s="769">
        <f>CS79</f>
        <v>13315</v>
      </c>
      <c r="CT51" s="769">
        <f>CT79</f>
        <v>13315</v>
      </c>
      <c r="CU51" s="638"/>
      <c r="CV51" s="769">
        <f>CV79</f>
        <v>14099</v>
      </c>
      <c r="CW51" s="1817">
        <f>CW79</f>
        <v>16303</v>
      </c>
      <c r="CX51" s="1817">
        <f>CX79</f>
        <v>16303</v>
      </c>
      <c r="CY51" s="638"/>
      <c r="CZ51" s="769">
        <f>CZ79</f>
        <v>16000</v>
      </c>
      <c r="DA51" s="1817">
        <f>DA79</f>
        <v>15542</v>
      </c>
      <c r="DB51" s="1817">
        <f>DB79</f>
        <v>15542</v>
      </c>
      <c r="DC51" s="638"/>
      <c r="DD51" s="769">
        <f>DD79</f>
        <v>15509</v>
      </c>
      <c r="DE51" s="1817">
        <f>DE79</f>
        <v>16300</v>
      </c>
      <c r="DF51" s="1817">
        <f>DF79</f>
        <v>16300</v>
      </c>
      <c r="DG51" s="638"/>
      <c r="DH51" s="769">
        <f>DH79</f>
        <v>15685</v>
      </c>
      <c r="DI51" s="769">
        <f t="shared" ref="DI51:DJ51" si="124">DI79</f>
        <v>16577.349999999999</v>
      </c>
      <c r="DJ51" s="769">
        <f t="shared" si="124"/>
        <v>16577.349999999999</v>
      </c>
      <c r="DK51" s="638"/>
      <c r="DL51" s="769">
        <f>DL79</f>
        <v>16688.80875</v>
      </c>
      <c r="DM51" s="769">
        <f t="shared" ref="DM51:DN51" si="125">DM79</f>
        <v>16803.053968749999</v>
      </c>
      <c r="DN51" s="769">
        <f t="shared" si="125"/>
        <v>16803.053968749999</v>
      </c>
      <c r="DO51" s="638"/>
      <c r="DP51" s="769">
        <f>DP79</f>
        <v>16920.155317968747</v>
      </c>
      <c r="DQ51" s="769">
        <f t="shared" ref="DQ51:DR51" si="126">DQ79</f>
        <v>17040.184200917967</v>
      </c>
      <c r="DR51" s="769">
        <f t="shared" si="126"/>
        <v>17040.184200917967</v>
      </c>
      <c r="DS51" s="638"/>
      <c r="DT51"/>
    </row>
    <row r="52" spans="1:124">
      <c r="AO52" s="626"/>
      <c r="AS52" s="626"/>
      <c r="AW52" s="626"/>
      <c r="DA52" s="1408"/>
      <c r="DB52" s="1408"/>
      <c r="DE52" s="1408"/>
      <c r="DF52" s="1408"/>
    </row>
    <row r="53" spans="1:124">
      <c r="A53" s="289" t="s">
        <v>300</v>
      </c>
      <c r="AO53" s="626"/>
      <c r="AS53" s="626"/>
      <c r="AW53" s="626"/>
      <c r="DA53" s="1408"/>
      <c r="DB53" s="1408"/>
      <c r="DE53" s="1408"/>
      <c r="DF53" s="1408"/>
    </row>
    <row r="54" spans="1:124">
      <c r="A54" s="102" t="s">
        <v>304</v>
      </c>
      <c r="AO54" s="626"/>
      <c r="AR54" s="293">
        <f>AO43</f>
        <v>2693</v>
      </c>
      <c r="AS54" s="293">
        <f>AR57</f>
        <v>2886</v>
      </c>
      <c r="AT54" s="293">
        <f>AR54</f>
        <v>2693</v>
      </c>
      <c r="AV54" s="293">
        <f>+AS57</f>
        <v>2745</v>
      </c>
      <c r="AW54" s="293">
        <f>AV57</f>
        <v>2914</v>
      </c>
      <c r="AX54" s="293">
        <f>AV54</f>
        <v>2745</v>
      </c>
      <c r="AZ54" s="293">
        <f>+AW57</f>
        <v>3306</v>
      </c>
      <c r="BA54" s="293">
        <f>AZ57</f>
        <v>3314</v>
      </c>
      <c r="BB54" s="293">
        <f>AZ54</f>
        <v>3306</v>
      </c>
      <c r="BD54" s="293">
        <f>+BA57</f>
        <v>3439</v>
      </c>
      <c r="BE54" s="293">
        <f>BD57</f>
        <v>3279</v>
      </c>
      <c r="BF54" s="293">
        <f>BD54</f>
        <v>3439</v>
      </c>
      <c r="BH54" s="293">
        <f>+BE57</f>
        <v>3586</v>
      </c>
      <c r="BI54" s="293">
        <f>BH57</f>
        <v>4223</v>
      </c>
      <c r="BJ54" s="293">
        <f>BH54</f>
        <v>3586</v>
      </c>
      <c r="BL54" s="293">
        <f>+BI57</f>
        <v>4237</v>
      </c>
      <c r="BM54" s="293">
        <f>BL57</f>
        <v>4221</v>
      </c>
      <c r="BN54" s="293">
        <f>BL54</f>
        <v>4237</v>
      </c>
      <c r="BP54" s="293">
        <f>+BM57</f>
        <v>4266</v>
      </c>
      <c r="BQ54" s="293">
        <f>BP57</f>
        <v>4688</v>
      </c>
      <c r="BR54" s="293">
        <f>BP54</f>
        <v>4266</v>
      </c>
      <c r="BT54" s="293">
        <f>+BQ57</f>
        <v>4422</v>
      </c>
      <c r="BU54" s="293">
        <f>BT57</f>
        <v>4954</v>
      </c>
      <c r="BV54" s="293">
        <f>BT54</f>
        <v>4422</v>
      </c>
      <c r="BX54" s="293">
        <f>+BU57</f>
        <v>4748</v>
      </c>
      <c r="BY54" s="293">
        <f>BX57</f>
        <v>5253</v>
      </c>
      <c r="BZ54" s="293">
        <f>BX54</f>
        <v>4748</v>
      </c>
      <c r="CB54" s="293">
        <f>+BY57</f>
        <v>5523</v>
      </c>
      <c r="CC54" s="293">
        <f>CB57</f>
        <v>5822</v>
      </c>
      <c r="CD54" s="293">
        <f>CB54</f>
        <v>5523</v>
      </c>
      <c r="CF54" s="293">
        <f>+CC57</f>
        <v>6170</v>
      </c>
      <c r="CG54" s="293">
        <f>CF57</f>
        <v>6508</v>
      </c>
      <c r="CH54" s="293">
        <f>CF54</f>
        <v>6170</v>
      </c>
      <c r="CJ54" s="293">
        <f>+CG57</f>
        <v>6955</v>
      </c>
      <c r="CK54" s="293">
        <f>CJ57</f>
        <v>6145</v>
      </c>
      <c r="CL54" s="293">
        <f>CJ54</f>
        <v>6955</v>
      </c>
      <c r="CN54" s="293">
        <f>+CK57</f>
        <v>6089</v>
      </c>
      <c r="CO54" s="293">
        <f>CN57</f>
        <v>5773</v>
      </c>
      <c r="CP54" s="293">
        <f>CN54</f>
        <v>6089</v>
      </c>
      <c r="CR54" s="293">
        <f>+CO57</f>
        <v>6978</v>
      </c>
      <c r="CS54" s="293">
        <f>CR57</f>
        <v>6544</v>
      </c>
      <c r="CT54" s="293">
        <f>CR54</f>
        <v>6978</v>
      </c>
      <c r="CV54" s="293">
        <f>+CS57</f>
        <v>6778</v>
      </c>
      <c r="CW54" s="1495">
        <f>CV57</f>
        <v>6537</v>
      </c>
      <c r="CX54" s="1495">
        <f>CV54</f>
        <v>6778</v>
      </c>
      <c r="CZ54" s="293">
        <f>+CW57</f>
        <v>8311</v>
      </c>
      <c r="DA54" s="1495">
        <f>CZ57</f>
        <v>8422</v>
      </c>
      <c r="DB54" s="1495">
        <f>CZ54</f>
        <v>8311</v>
      </c>
      <c r="DD54" s="293">
        <f>+DA57</f>
        <v>8284</v>
      </c>
      <c r="DE54" s="1495">
        <f>DD57</f>
        <v>8449</v>
      </c>
      <c r="DF54" s="1495">
        <f>DD54</f>
        <v>8284</v>
      </c>
      <c r="DH54" s="293">
        <f>+DE57</f>
        <v>8208</v>
      </c>
      <c r="DI54" s="293">
        <f>DH57</f>
        <v>8153</v>
      </c>
      <c r="DJ54" s="293">
        <f>DH54</f>
        <v>8208</v>
      </c>
      <c r="DL54" s="293">
        <f>DI43</f>
        <v>8153</v>
      </c>
      <c r="DM54" s="293">
        <f>DL57</f>
        <v>8153.0000000000009</v>
      </c>
      <c r="DN54" s="293">
        <f>DL54</f>
        <v>8153</v>
      </c>
      <c r="DP54" s="293">
        <f>DM43</f>
        <v>8153</v>
      </c>
      <c r="DQ54" s="293">
        <f>DP57</f>
        <v>8153.0000000000009</v>
      </c>
      <c r="DR54" s="293">
        <f>DP54</f>
        <v>8153</v>
      </c>
    </row>
    <row r="55" spans="1:124">
      <c r="A55" s="102" t="s">
        <v>305</v>
      </c>
      <c r="AO55" s="626"/>
      <c r="AR55" s="293">
        <f>+AR58*AR59</f>
        <v>392.6</v>
      </c>
      <c r="AS55" s="293">
        <f>+AS58*AS59</f>
        <v>173.55</v>
      </c>
      <c r="AT55" s="293">
        <f>SUM(AR55:AS55)</f>
        <v>566.15000000000009</v>
      </c>
      <c r="AV55" s="293">
        <f>+AV58*AV59</f>
        <v>311.35000000000002</v>
      </c>
      <c r="AW55" s="293">
        <f>+AW58*AW59</f>
        <v>456.8</v>
      </c>
      <c r="AX55" s="293">
        <f>SUM(AV55:AW55)</f>
        <v>768.15000000000009</v>
      </c>
      <c r="AZ55" s="293">
        <f>+AZ58*AZ59</f>
        <v>262.1669050000001</v>
      </c>
      <c r="BA55" s="293">
        <f>+BA58*BA59</f>
        <v>359.6666904999999</v>
      </c>
      <c r="BB55" s="293">
        <f>SUM(AZ55:BA55)</f>
        <v>621.8335955</v>
      </c>
      <c r="BD55" s="293">
        <f>+BD58*BD59</f>
        <v>197.81421400000008</v>
      </c>
      <c r="BE55" s="293">
        <f>+BE58*BE59</f>
        <v>277.11073000000016</v>
      </c>
      <c r="BF55" s="293">
        <f>SUM(BD55:BE55)</f>
        <v>474.92494400000021</v>
      </c>
      <c r="BH55" s="293">
        <f>+BH58*BH59</f>
        <v>234.65</v>
      </c>
      <c r="BI55" s="293">
        <f>+BI58*BI59</f>
        <v>318.81850000000003</v>
      </c>
      <c r="BJ55" s="293">
        <f>SUM(BH55:BI55)</f>
        <v>553.46850000000006</v>
      </c>
      <c r="BL55" s="293">
        <f>+BL58*BL59</f>
        <v>325.65000000000003</v>
      </c>
      <c r="BM55" s="293">
        <f>+BM58*BM59</f>
        <v>498.21850000000001</v>
      </c>
      <c r="BN55" s="293">
        <f>SUM(BL55:BM55)</f>
        <v>823.86850000000004</v>
      </c>
      <c r="BP55" s="293">
        <f>+BP58*BP59</f>
        <v>440.7</v>
      </c>
      <c r="BQ55" s="293">
        <f>+BQ58*BQ59</f>
        <v>602.21850000000006</v>
      </c>
      <c r="BR55" s="293">
        <f>SUM(BP55:BQ55)</f>
        <v>1042.9185</v>
      </c>
      <c r="BT55" s="293">
        <f>+BT58*BT59</f>
        <v>695.5</v>
      </c>
      <c r="BU55" s="293">
        <f>+BU58*BU59</f>
        <v>645.76850000000002</v>
      </c>
      <c r="BV55" s="293">
        <f>SUM(BT55:BU55)</f>
        <v>1341.2685000000001</v>
      </c>
      <c r="BX55" s="293">
        <f>+BX58*BX59</f>
        <v>682.5</v>
      </c>
      <c r="BY55" s="293">
        <f>+BY58*BY59</f>
        <v>758.86850000000004</v>
      </c>
      <c r="BZ55" s="293">
        <f>SUM(BX55:BY55)</f>
        <v>1441.3685</v>
      </c>
      <c r="CB55" s="293">
        <f>+CB58*CB59</f>
        <v>811.2</v>
      </c>
      <c r="CC55" s="293">
        <f>+CC58*CC59</f>
        <v>851.16849999999999</v>
      </c>
      <c r="CD55" s="293">
        <f>SUM(CB55:CC55)</f>
        <v>1662.3685</v>
      </c>
      <c r="CF55" s="293">
        <f>+CF58*CF59</f>
        <v>851.5</v>
      </c>
      <c r="CG55" s="293">
        <f>+CG58*CG59</f>
        <v>1087.1185</v>
      </c>
      <c r="CH55" s="293">
        <f>SUM(CF55:CG55)</f>
        <v>1938.6185</v>
      </c>
      <c r="CJ55" s="293">
        <f>+CJ58*CJ59</f>
        <v>947.05000000000007</v>
      </c>
      <c r="CK55" s="293">
        <f>+CK58*CK59</f>
        <v>828.41849999999999</v>
      </c>
      <c r="CL55" s="293">
        <f>SUM(CJ55:CK55)</f>
        <v>1775.4684999999999</v>
      </c>
      <c r="CN55" s="293">
        <f>+CN58*CN59</f>
        <v>640.25</v>
      </c>
      <c r="CO55" s="293">
        <f>+CO58*CO59</f>
        <v>1319.8185000000001</v>
      </c>
      <c r="CP55" s="293">
        <f>SUM(CN55:CO55)</f>
        <v>1960.0685000000001</v>
      </c>
      <c r="CR55" s="293">
        <f>+CR58*CR59</f>
        <v>1327.95</v>
      </c>
      <c r="CS55" s="293">
        <f>+CS58*CS59</f>
        <v>1731.2684999999999</v>
      </c>
      <c r="CT55" s="293">
        <f>SUM(CR55:CS55)</f>
        <v>3059.2184999999999</v>
      </c>
      <c r="CV55" s="293">
        <f>+CV58*CV59</f>
        <v>1548.95</v>
      </c>
      <c r="CW55" s="1495">
        <f>+CW58*CW59</f>
        <v>1819.6685</v>
      </c>
      <c r="CX55" s="1495">
        <f>SUM(CV55:CW55)</f>
        <v>3368.6185</v>
      </c>
      <c r="CZ55" s="293">
        <f>+CZ58*CZ59</f>
        <v>919.75</v>
      </c>
      <c r="DA55" s="1495">
        <f>+DA58*DA59</f>
        <v>1369.8684999999998</v>
      </c>
      <c r="DB55" s="1495">
        <f>SUM(CZ55:DA55)</f>
        <v>2289.6184999999996</v>
      </c>
      <c r="DD55" s="293">
        <f>+DD58*DD59</f>
        <v>1047.8</v>
      </c>
      <c r="DE55" s="1495">
        <f ca="1">+DE58*DE59</f>
        <v>1367.2684999999999</v>
      </c>
      <c r="DF55" s="1495">
        <f ca="1">SUM(DD55:DE55)</f>
        <v>2415.0684999999999</v>
      </c>
      <c r="DH55" s="293">
        <f>+DH58*DH59</f>
        <v>1075.75</v>
      </c>
      <c r="DI55" s="293">
        <f>+DI58*DI59</f>
        <v>1636.498628676449</v>
      </c>
      <c r="DJ55" s="293">
        <f>SUM(DH55:DI55)</f>
        <v>2712.2486286764488</v>
      </c>
      <c r="DL55" s="293">
        <f>+DL58*DL59</f>
        <v>1245.2942062043251</v>
      </c>
      <c r="DM55" s="293">
        <f>+DM58*DM59</f>
        <v>1726.9674806812218</v>
      </c>
      <c r="DN55" s="293">
        <f>SUM(DL55:DM55)</f>
        <v>2972.2616868855466</v>
      </c>
      <c r="DP55" s="293">
        <f>+DP58*DP59</f>
        <v>1355.3953850017087</v>
      </c>
      <c r="DQ55" s="293">
        <f>+DQ58*DQ59</f>
        <v>1844.4038496518028</v>
      </c>
      <c r="DR55" s="293">
        <f>SUM(DP55:DQ55)</f>
        <v>3199.7992346535116</v>
      </c>
    </row>
    <row r="56" spans="1:124">
      <c r="A56" s="102" t="s">
        <v>306</v>
      </c>
      <c r="AO56" s="626"/>
      <c r="AR56" s="818">
        <f>+AR57-AR54-AR55</f>
        <v>-199.60000000000002</v>
      </c>
      <c r="AS56" s="818">
        <f>+AS57-AS54-AS55</f>
        <v>-314.55</v>
      </c>
      <c r="AT56" s="818">
        <f>SUM(AR56:AS56)</f>
        <v>-514.15000000000009</v>
      </c>
      <c r="AV56" s="818">
        <f>+AV57-AV54-AV55</f>
        <v>-142.35000000000002</v>
      </c>
      <c r="AW56" s="818">
        <f>+AW57-AW54-AW55</f>
        <v>-64.800000000000011</v>
      </c>
      <c r="AX56" s="818">
        <f>SUM(AV56:AW56)</f>
        <v>-207.15000000000003</v>
      </c>
      <c r="AZ56" s="818">
        <f>+AZ57-AZ54-AZ55</f>
        <v>-254.1669050000001</v>
      </c>
      <c r="BA56" s="818">
        <f>+BA57-BA54-BA55</f>
        <v>-234.6666904999999</v>
      </c>
      <c r="BB56" s="818">
        <f>SUM(AZ56:BA56)</f>
        <v>-488.8335955</v>
      </c>
      <c r="BD56" s="818">
        <f>+BD57-BD54-BD55</f>
        <v>-357.81421400000011</v>
      </c>
      <c r="BE56" s="818">
        <f>+BE57-BE54-BE55</f>
        <v>29.88926999999984</v>
      </c>
      <c r="BF56" s="818">
        <f>SUM(BD56:BE56)</f>
        <v>-327.92494400000027</v>
      </c>
      <c r="BH56" s="818">
        <f>+BH57-BH54-BH55</f>
        <v>402.35</v>
      </c>
      <c r="BI56" s="818">
        <f>+BI57-BI54-BI55</f>
        <v>-304.81850000000003</v>
      </c>
      <c r="BJ56" s="818">
        <f>SUM(BH56:BI56)</f>
        <v>97.531499999999994</v>
      </c>
      <c r="BL56" s="818">
        <f>+BL57-BL54-BL55</f>
        <v>-341.65000000000003</v>
      </c>
      <c r="BM56" s="818">
        <f>+BM57-BM54-BM55</f>
        <v>-453.21850000000001</v>
      </c>
      <c r="BN56" s="818">
        <f>SUM(BL56:BM56)</f>
        <v>-794.86850000000004</v>
      </c>
      <c r="BP56" s="818">
        <f>+BP57-BP54-BP55</f>
        <v>-18.699999999999989</v>
      </c>
      <c r="BQ56" s="818">
        <f>+BQ57-BQ54-BQ55</f>
        <v>-868.21850000000006</v>
      </c>
      <c r="BR56" s="818">
        <f>SUM(BP56:BQ56)</f>
        <v>-886.91849999999999</v>
      </c>
      <c r="BT56" s="818">
        <f>+BT57-BT54-BT55</f>
        <v>-163.5</v>
      </c>
      <c r="BU56" s="818">
        <f>+BU57-BU54-BU55</f>
        <v>-851.76850000000002</v>
      </c>
      <c r="BV56" s="818">
        <f>SUM(BT56:BU56)</f>
        <v>-1015.2685</v>
      </c>
      <c r="BX56" s="818">
        <f>+BX57-BX54-BX55</f>
        <v>-177.5</v>
      </c>
      <c r="BY56" s="818">
        <f>+BY57-BY54-BY55</f>
        <v>-488.86850000000004</v>
      </c>
      <c r="BZ56" s="818">
        <f>SUM(BX56:BY56)</f>
        <v>-666.36850000000004</v>
      </c>
      <c r="CB56" s="818">
        <f>+CB57-CB54-CB55</f>
        <v>-512.20000000000005</v>
      </c>
      <c r="CC56" s="818">
        <f>+CC57-CC54-CC55</f>
        <v>-503.16849999999999</v>
      </c>
      <c r="CD56" s="818">
        <f>SUM(CB56:CC56)</f>
        <v>-1015.3685</v>
      </c>
      <c r="CF56" s="818">
        <f>+CF57-CF54-CF55</f>
        <v>-513.5</v>
      </c>
      <c r="CG56" s="818">
        <f>+CG57-CG54-CG55</f>
        <v>-640.11850000000004</v>
      </c>
      <c r="CH56" s="818">
        <f>SUM(CF56:CG56)</f>
        <v>-1153.6185</v>
      </c>
      <c r="CJ56" s="818">
        <f>+CJ57-CJ54-CJ55</f>
        <v>-1757.0500000000002</v>
      </c>
      <c r="CK56" s="818">
        <f>+CK57-CK54-CK55</f>
        <v>-884.41849999999999</v>
      </c>
      <c r="CL56" s="818">
        <f>SUM(CJ56:CK56)</f>
        <v>-2641.4684999999999</v>
      </c>
      <c r="CN56" s="818">
        <f>+CN57-CN54-CN55</f>
        <v>-956.25</v>
      </c>
      <c r="CO56" s="818">
        <f>+CO57-CO54-CO55</f>
        <v>-114.81850000000009</v>
      </c>
      <c r="CP56" s="818">
        <f>SUM(CN56:CO56)</f>
        <v>-1071.0685000000001</v>
      </c>
      <c r="CR56" s="818">
        <f>+CR57-CR54-CR55</f>
        <v>-1761.95</v>
      </c>
      <c r="CS56" s="818">
        <f>+CS57-CS54-CS55</f>
        <v>-1497.2684999999999</v>
      </c>
      <c r="CT56" s="818">
        <f>SUM(CR56:CS56)</f>
        <v>-3259.2184999999999</v>
      </c>
      <c r="CV56" s="818">
        <f>+CV57-CV54-CV55</f>
        <v>-1789.95</v>
      </c>
      <c r="CW56" s="1409">
        <f>+CW57-CW54-CW55</f>
        <v>-45.668499999999995</v>
      </c>
      <c r="CX56" s="1409">
        <f>SUM(CV56:CW56)</f>
        <v>-1835.6185</v>
      </c>
      <c r="CZ56" s="818">
        <f>+CZ57-CZ54-CZ55</f>
        <v>-808.75</v>
      </c>
      <c r="DA56" s="1409">
        <f>+DA57-DA54-DA55</f>
        <v>-1507.8684999999998</v>
      </c>
      <c r="DB56" s="1409">
        <f>SUM(CZ56:DA56)</f>
        <v>-2316.6184999999996</v>
      </c>
      <c r="DD56" s="818">
        <f>+DD57-DD54-DD55</f>
        <v>-882.8</v>
      </c>
      <c r="DE56" s="1409">
        <f ca="1">+DE57-DE54-DE55</f>
        <v>-1608.2684999999999</v>
      </c>
      <c r="DF56" s="1409">
        <f ca="1">SUM(DD56:DE56)</f>
        <v>-2491.0684999999999</v>
      </c>
      <c r="DH56" s="818">
        <f>+DH57-DH54-DH55</f>
        <v>-1130.75</v>
      </c>
      <c r="DI56" s="818">
        <f>-DI55*DI60</f>
        <v>-1636.498628676449</v>
      </c>
      <c r="DJ56" s="818">
        <f>SUM(DH56:DI56)</f>
        <v>-2767.2486286764488</v>
      </c>
      <c r="DL56" s="818">
        <f>-DL55*DL60</f>
        <v>-1245.2942062043251</v>
      </c>
      <c r="DM56" s="818">
        <f>-DM55*DM60</f>
        <v>-1726.9674806812218</v>
      </c>
      <c r="DN56" s="818">
        <f>SUM(DL56:DM56)</f>
        <v>-2972.2616868855466</v>
      </c>
      <c r="DP56" s="818">
        <f>-DP55*DP60</f>
        <v>-1355.3953850017087</v>
      </c>
      <c r="DQ56" s="818">
        <f>-DQ55*DQ60</f>
        <v>-1844.4038496518028</v>
      </c>
      <c r="DR56" s="818">
        <f>SUM(DP56:DQ56)</f>
        <v>-3199.7992346535116</v>
      </c>
    </row>
    <row r="57" spans="1:124">
      <c r="A57" s="289" t="s">
        <v>307</v>
      </c>
      <c r="AO57" s="626"/>
      <c r="AR57" s="295">
        <f>AR43</f>
        <v>2886</v>
      </c>
      <c r="AS57" s="295">
        <f>AS43</f>
        <v>2745</v>
      </c>
      <c r="AT57" s="295">
        <f>SUM(AT54:AT56)</f>
        <v>2745</v>
      </c>
      <c r="AV57" s="295">
        <f>AV43</f>
        <v>2914</v>
      </c>
      <c r="AW57" s="295">
        <f>AW43</f>
        <v>3306</v>
      </c>
      <c r="AX57" s="295">
        <f>SUM(AX54:AX56)</f>
        <v>3306</v>
      </c>
      <c r="AZ57" s="295">
        <f>AZ43</f>
        <v>3314</v>
      </c>
      <c r="BA57" s="295">
        <f>BA43</f>
        <v>3439</v>
      </c>
      <c r="BB57" s="295">
        <f>SUM(BB54:BB56)</f>
        <v>3439</v>
      </c>
      <c r="BD57" s="295">
        <f>BD43</f>
        <v>3279</v>
      </c>
      <c r="BE57" s="295">
        <f>BE43</f>
        <v>3586</v>
      </c>
      <c r="BF57" s="295">
        <f>SUM(BF54:BF56)</f>
        <v>3586</v>
      </c>
      <c r="BH57" s="295">
        <f>BH43</f>
        <v>4223</v>
      </c>
      <c r="BI57" s="295">
        <f>BI43</f>
        <v>4237</v>
      </c>
      <c r="BJ57" s="295">
        <f>SUM(BJ54:BJ56)</f>
        <v>4237</v>
      </c>
      <c r="BL57" s="295">
        <f>BL43</f>
        <v>4221</v>
      </c>
      <c r="BM57" s="295">
        <f>BM43</f>
        <v>4266</v>
      </c>
      <c r="BN57" s="295">
        <f>SUM(BN54:BN56)</f>
        <v>4266</v>
      </c>
      <c r="BP57" s="295">
        <f>BP43</f>
        <v>4688</v>
      </c>
      <c r="BQ57" s="295">
        <f>BQ43</f>
        <v>4422</v>
      </c>
      <c r="BR57" s="295">
        <f>SUM(BR54:BR56)</f>
        <v>4422</v>
      </c>
      <c r="BT57" s="295">
        <f>BT43</f>
        <v>4954</v>
      </c>
      <c r="BU57" s="295">
        <f>BU43</f>
        <v>4748</v>
      </c>
      <c r="BV57" s="295">
        <f>SUM(BV54:BV56)</f>
        <v>4748</v>
      </c>
      <c r="BX57" s="295">
        <f>BX43</f>
        <v>5253</v>
      </c>
      <c r="BY57" s="295">
        <f>BY43</f>
        <v>5523</v>
      </c>
      <c r="BZ57" s="295">
        <f>SUM(BZ54:BZ56)</f>
        <v>5523</v>
      </c>
      <c r="CB57" s="295">
        <f>CB43</f>
        <v>5822</v>
      </c>
      <c r="CC57" s="295">
        <f>CC43</f>
        <v>6170</v>
      </c>
      <c r="CD57" s="295">
        <f>SUM(CD54:CD56)</f>
        <v>6170</v>
      </c>
      <c r="CF57" s="295">
        <f>CF43</f>
        <v>6508</v>
      </c>
      <c r="CG57" s="295">
        <f>CG43</f>
        <v>6955</v>
      </c>
      <c r="CH57" s="295">
        <f>SUM(CH54:CH56)</f>
        <v>6955</v>
      </c>
      <c r="CJ57" s="295">
        <f>CJ43</f>
        <v>6145</v>
      </c>
      <c r="CK57" s="295">
        <f>CK43</f>
        <v>6089</v>
      </c>
      <c r="CL57" s="295">
        <f>SUM(CL54:CL56)</f>
        <v>6088.9999999999991</v>
      </c>
      <c r="CN57" s="295">
        <f>CN43</f>
        <v>5773</v>
      </c>
      <c r="CO57" s="295">
        <f>CO43</f>
        <v>6978</v>
      </c>
      <c r="CP57" s="295">
        <f>SUM(CP54:CP56)</f>
        <v>6978</v>
      </c>
      <c r="CR57" s="295">
        <f>CR43</f>
        <v>6544</v>
      </c>
      <c r="CS57" s="295">
        <f>CS43</f>
        <v>6778</v>
      </c>
      <c r="CT57" s="295">
        <f>SUM(CT54:CT56)</f>
        <v>6777.9999999999991</v>
      </c>
      <c r="CV57" s="295">
        <f>CV43</f>
        <v>6537</v>
      </c>
      <c r="CW57" s="1390">
        <f>CW43</f>
        <v>8311</v>
      </c>
      <c r="CX57" s="1390">
        <f>SUM(CX54:CX56)</f>
        <v>8311</v>
      </c>
      <c r="CZ57" s="295">
        <f>CZ43</f>
        <v>8422</v>
      </c>
      <c r="DA57" s="1390">
        <f>DA43</f>
        <v>8284</v>
      </c>
      <c r="DB57" s="1390">
        <f>SUM(DB54:DB56)</f>
        <v>8284</v>
      </c>
      <c r="DD57" s="295">
        <f>DD43</f>
        <v>8449</v>
      </c>
      <c r="DE57" s="1390">
        <f>DE43</f>
        <v>8208</v>
      </c>
      <c r="DF57" s="1390">
        <f ca="1">SUM(DF54:DF56)</f>
        <v>8208</v>
      </c>
      <c r="DH57" s="295">
        <f>DH43</f>
        <v>8153</v>
      </c>
      <c r="DI57" s="295">
        <f>SUM(DI54:DI56)</f>
        <v>8153</v>
      </c>
      <c r="DJ57" s="295">
        <f>SUM(DJ54:DJ56)</f>
        <v>8153</v>
      </c>
      <c r="DL57" s="295">
        <f>SUM(DL54:DL56)</f>
        <v>8153.0000000000009</v>
      </c>
      <c r="DM57" s="295">
        <f>SUM(DM54:DM56)</f>
        <v>8153</v>
      </c>
      <c r="DN57" s="295">
        <f>SUM(DN54:DN56)</f>
        <v>8153.0000000000009</v>
      </c>
      <c r="DP57" s="295">
        <f>SUM(DP54:DP56)</f>
        <v>8153.0000000000009</v>
      </c>
      <c r="DQ57" s="295">
        <f>SUM(DQ54:DQ56)</f>
        <v>8153.0000000000018</v>
      </c>
      <c r="DR57" s="295">
        <f>SUM(DR54:DR56)</f>
        <v>8153</v>
      </c>
    </row>
    <row r="58" spans="1:124">
      <c r="A58" s="102" t="s">
        <v>308</v>
      </c>
      <c r="AO58" s="626"/>
      <c r="AR58" s="293">
        <v>604</v>
      </c>
      <c r="AS58" s="293">
        <v>267</v>
      </c>
      <c r="AT58" s="293">
        <v>871</v>
      </c>
      <c r="AV58" s="293">
        <f>'P&amp;L'!AV30</f>
        <v>479</v>
      </c>
      <c r="AW58" s="293">
        <f>'P&amp;L'!AW30</f>
        <v>571</v>
      </c>
      <c r="AX58" s="293">
        <f>'P&amp;L'!AX30</f>
        <v>1050</v>
      </c>
      <c r="AZ58" s="293">
        <f>'P&amp;L'!AZ30</f>
        <v>403.33370000000014</v>
      </c>
      <c r="BA58" s="293">
        <f>'P&amp;L'!BA30</f>
        <v>553.33336999999983</v>
      </c>
      <c r="BB58" s="293">
        <f>'P&amp;L'!BB30</f>
        <v>956.66706999999997</v>
      </c>
      <c r="BD58" s="293">
        <f>'P&amp;L'!BD30</f>
        <v>304.32956000000013</v>
      </c>
      <c r="BE58" s="293">
        <f>'P&amp;L'!BE30</f>
        <v>426.32420000000025</v>
      </c>
      <c r="BF58" s="293">
        <f>'P&amp;L'!BF30</f>
        <v>730.65376000000037</v>
      </c>
      <c r="BH58" s="293">
        <f>'P&amp;L'!BH30</f>
        <v>361</v>
      </c>
      <c r="BI58" s="293">
        <f>'P&amp;L'!BI30</f>
        <v>490.49</v>
      </c>
      <c r="BJ58" s="293">
        <f>'P&amp;L'!BJ30</f>
        <v>851.49</v>
      </c>
      <c r="BL58" s="293">
        <f>'P&amp;L'!BL30</f>
        <v>501</v>
      </c>
      <c r="BM58" s="293">
        <f>'P&amp;L'!BM30</f>
        <v>766.49</v>
      </c>
      <c r="BN58" s="293">
        <f>'P&amp;L'!BN30</f>
        <v>1267.49</v>
      </c>
      <c r="BP58" s="293">
        <f>'P&amp;L'!BP30</f>
        <v>678</v>
      </c>
      <c r="BQ58" s="293">
        <f>'P&amp;L'!BQ30</f>
        <v>926.49</v>
      </c>
      <c r="BR58" s="293">
        <f>'P&amp;L'!BR30</f>
        <v>1604.49</v>
      </c>
      <c r="BT58" s="293">
        <f>'P&amp;L'!BT30</f>
        <v>1070</v>
      </c>
      <c r="BU58" s="293">
        <f>'P&amp;L'!BU30</f>
        <v>993.49</v>
      </c>
      <c r="BV58" s="293">
        <f>'P&amp;L'!BV30</f>
        <v>2063.4899999999998</v>
      </c>
      <c r="BX58" s="293">
        <f>'P&amp;L'!BX30</f>
        <v>1050</v>
      </c>
      <c r="BY58" s="293">
        <f>'P&amp;L'!BY30</f>
        <v>1167.49</v>
      </c>
      <c r="BZ58" s="293">
        <f>'P&amp;L'!BZ30</f>
        <v>2217.4899999999998</v>
      </c>
      <c r="CB58" s="293">
        <f>'P&amp;L'!CB30</f>
        <v>1248</v>
      </c>
      <c r="CC58" s="293">
        <f>'P&amp;L'!CC30</f>
        <v>1309.49</v>
      </c>
      <c r="CD58" s="293">
        <f>'P&amp;L'!CD30</f>
        <v>2557.4899999999998</v>
      </c>
      <c r="CF58" s="293">
        <f>'P&amp;L'!CF30</f>
        <v>1310</v>
      </c>
      <c r="CG58" s="293">
        <f>'P&amp;L'!CG30</f>
        <v>1672.49</v>
      </c>
      <c r="CH58" s="293">
        <f>'P&amp;L'!CH30</f>
        <v>2982.49</v>
      </c>
      <c r="CJ58" s="293">
        <f>'P&amp;L'!CJ30</f>
        <v>1457</v>
      </c>
      <c r="CK58" s="293">
        <f>'P&amp;L'!CK30</f>
        <v>1274.49</v>
      </c>
      <c r="CL58" s="293">
        <f>'P&amp;L'!CL30</f>
        <v>2731.49</v>
      </c>
      <c r="CN58" s="293">
        <f>'P&amp;L'!CN30</f>
        <v>985</v>
      </c>
      <c r="CO58" s="293">
        <f>'P&amp;L'!CO30</f>
        <v>2030.49</v>
      </c>
      <c r="CP58" s="293">
        <f>'P&amp;L'!CP30</f>
        <v>3015.49</v>
      </c>
      <c r="CR58" s="293">
        <f>'P&amp;L'!CR30</f>
        <v>2043</v>
      </c>
      <c r="CS58" s="293">
        <f>'P&amp;L'!CS30</f>
        <v>2663.49</v>
      </c>
      <c r="CT58" s="293">
        <f>'P&amp;L'!CT30</f>
        <v>4706.49</v>
      </c>
      <c r="CV58" s="293">
        <f>'P&amp;L'!CV30</f>
        <v>2383</v>
      </c>
      <c r="CW58" s="1495">
        <f>'P&amp;L'!CW30</f>
        <v>2799.49</v>
      </c>
      <c r="CX58" s="1495">
        <f>'P&amp;L'!CX30</f>
        <v>5182.49</v>
      </c>
      <c r="CZ58" s="293">
        <f>'P&amp;L'!CZ30</f>
        <v>1415</v>
      </c>
      <c r="DA58" s="1495">
        <f>'P&amp;L'!DA30</f>
        <v>2107.4899999999998</v>
      </c>
      <c r="DB58" s="1495">
        <f>'P&amp;L'!DB30</f>
        <v>3522.49</v>
      </c>
      <c r="DD58" s="293">
        <f>'P&amp;L'!DD30</f>
        <v>1612</v>
      </c>
      <c r="DE58" s="1495">
        <f ca="1">'P&amp;L'!DE30</f>
        <v>2103.4899999999998</v>
      </c>
      <c r="DF58" s="1495">
        <f ca="1">'P&amp;L'!DF30</f>
        <v>3715.49</v>
      </c>
      <c r="DH58" s="293">
        <f>'P&amp;L'!DH30</f>
        <v>1655</v>
      </c>
      <c r="DI58" s="293">
        <f>'P&amp;L'!DI30</f>
        <v>2517.6901979637678</v>
      </c>
      <c r="DJ58" s="293">
        <f>'P&amp;L'!DJ30</f>
        <v>4172.6901979637678</v>
      </c>
      <c r="DL58" s="293">
        <f>'P&amp;L'!DL30</f>
        <v>1915.8372403143462</v>
      </c>
      <c r="DM58" s="293">
        <f>'P&amp;L'!DM30</f>
        <v>2656.8730472018797</v>
      </c>
      <c r="DN58" s="293">
        <f>'P&amp;L'!DN30</f>
        <v>4572.7102875162254</v>
      </c>
      <c r="DP58" s="293">
        <f>'P&amp;L'!DP30</f>
        <v>2085.2236692333981</v>
      </c>
      <c r="DQ58" s="293">
        <f>'P&amp;L'!DQ30</f>
        <v>2837.5443840796966</v>
      </c>
      <c r="DR58" s="293">
        <f>'P&amp;L'!DR30</f>
        <v>4922.7680533130952</v>
      </c>
    </row>
    <row r="59" spans="1:124">
      <c r="A59" s="102" t="s">
        <v>309</v>
      </c>
      <c r="AO59" s="626"/>
      <c r="AR59" s="1358">
        <v>0.65</v>
      </c>
      <c r="AS59" s="1358">
        <v>0.65</v>
      </c>
      <c r="AT59" s="829">
        <f>+AT55/AT58</f>
        <v>0.65000000000000013</v>
      </c>
      <c r="AV59" s="1358">
        <v>0.65</v>
      </c>
      <c r="AW59" s="1358">
        <v>0.8</v>
      </c>
      <c r="AX59" s="829">
        <f>+AX55/AX58</f>
        <v>0.73157142857142865</v>
      </c>
      <c r="AZ59" s="1358">
        <v>0.65</v>
      </c>
      <c r="BA59" s="1358">
        <v>0.65</v>
      </c>
      <c r="BB59" s="829">
        <f>+BB55/BB58</f>
        <v>0.65</v>
      </c>
      <c r="BD59" s="1358">
        <v>0.65</v>
      </c>
      <c r="BE59" s="1358">
        <v>0.65</v>
      </c>
      <c r="BF59" s="829">
        <f>+BF55/BF58</f>
        <v>0.64999999999999991</v>
      </c>
      <c r="BH59" s="1358">
        <v>0.65</v>
      </c>
      <c r="BI59" s="1358">
        <v>0.65</v>
      </c>
      <c r="BJ59" s="829">
        <f>+BJ55/BJ58</f>
        <v>0.65</v>
      </c>
      <c r="BL59" s="1358">
        <v>0.65</v>
      </c>
      <c r="BM59" s="1358">
        <v>0.65</v>
      </c>
      <c r="BN59" s="829">
        <f>+BN55/BN58</f>
        <v>0.65</v>
      </c>
      <c r="BP59" s="1358">
        <v>0.65</v>
      </c>
      <c r="BQ59" s="1358">
        <v>0.65</v>
      </c>
      <c r="BR59" s="829">
        <f>+BR55/BR58</f>
        <v>0.65</v>
      </c>
      <c r="BT59" s="1358">
        <v>0.65</v>
      </c>
      <c r="BU59" s="1358">
        <v>0.65</v>
      </c>
      <c r="BV59" s="829">
        <f>+BV55/BV58</f>
        <v>0.65000000000000013</v>
      </c>
      <c r="BX59" s="1358">
        <v>0.65</v>
      </c>
      <c r="BY59" s="1358">
        <v>0.65</v>
      </c>
      <c r="BZ59" s="829">
        <f>+BZ55/BZ58</f>
        <v>0.65000000000000013</v>
      </c>
      <c r="CB59" s="1358">
        <v>0.65</v>
      </c>
      <c r="CC59" s="1358">
        <v>0.65</v>
      </c>
      <c r="CD59" s="829">
        <f>+CD55/CD58</f>
        <v>0.65</v>
      </c>
      <c r="CF59" s="1358">
        <v>0.65</v>
      </c>
      <c r="CG59" s="1358">
        <v>0.65</v>
      </c>
      <c r="CH59" s="829">
        <f>+CH55/CH58</f>
        <v>0.65</v>
      </c>
      <c r="CJ59" s="1358">
        <v>0.65</v>
      </c>
      <c r="CK59" s="1358">
        <v>0.65</v>
      </c>
      <c r="CL59" s="829">
        <f>+CL55/CL58</f>
        <v>0.65</v>
      </c>
      <c r="CN59" s="1358">
        <v>0.65</v>
      </c>
      <c r="CO59" s="1358">
        <v>0.65</v>
      </c>
      <c r="CP59" s="829">
        <f>+CP55/CP58</f>
        <v>0.65</v>
      </c>
      <c r="CR59" s="1358">
        <v>0.65</v>
      </c>
      <c r="CS59" s="1358">
        <v>0.65</v>
      </c>
      <c r="CT59" s="829">
        <f>+CT55/CT58</f>
        <v>0.65</v>
      </c>
      <c r="CV59" s="1358">
        <v>0.65</v>
      </c>
      <c r="CW59" s="1358">
        <v>0.65</v>
      </c>
      <c r="CX59" s="829">
        <f>+CX55/CX58</f>
        <v>0.65</v>
      </c>
      <c r="CZ59" s="1358">
        <v>0.65</v>
      </c>
      <c r="DA59" s="1358">
        <v>0.65</v>
      </c>
      <c r="DB59" s="829">
        <f>+DB55/DB58</f>
        <v>0.64999999999999991</v>
      </c>
      <c r="DD59" s="1358">
        <v>0.65</v>
      </c>
      <c r="DE59" s="1358">
        <v>0.65</v>
      </c>
      <c r="DF59" s="829">
        <f ca="1">+DF55/DF58</f>
        <v>0.65</v>
      </c>
      <c r="DH59" s="1358">
        <v>0.65</v>
      </c>
      <c r="DI59" s="1353">
        <v>0.65</v>
      </c>
      <c r="DJ59" s="829">
        <f>+DJ55/DJ58</f>
        <v>0.64999999999999991</v>
      </c>
      <c r="DL59" s="1353">
        <v>0.65</v>
      </c>
      <c r="DM59" s="1353">
        <v>0.65</v>
      </c>
      <c r="DN59" s="829">
        <f>+DN55/DN58</f>
        <v>0.65</v>
      </c>
      <c r="DP59" s="1353">
        <v>0.65</v>
      </c>
      <c r="DQ59" s="1353">
        <v>0.65</v>
      </c>
      <c r="DR59" s="829">
        <f>+DR55/DR58</f>
        <v>0.64999999999999991</v>
      </c>
    </row>
    <row r="60" spans="1:124">
      <c r="A60" s="102" t="s">
        <v>310</v>
      </c>
      <c r="AO60" s="626"/>
      <c r="AR60" s="360">
        <f>-AR56/AR55</f>
        <v>0.50840550178298527</v>
      </c>
      <c r="AS60" s="360">
        <f>-AS56/AS55</f>
        <v>1.8124459809853068</v>
      </c>
      <c r="AT60" s="360">
        <f>-AT56/AT55</f>
        <v>0.90815154994259473</v>
      </c>
      <c r="AV60" s="360">
        <f>-AV56/AV55</f>
        <v>0.45720250521920675</v>
      </c>
      <c r="AW60" s="360">
        <f>-AW56/AW55</f>
        <v>0.14185639229422067</v>
      </c>
      <c r="AX60" s="360">
        <f>-AX56/AX55</f>
        <v>0.26967389181800433</v>
      </c>
      <c r="AZ60" s="360">
        <f>-AZ56/AZ55</f>
        <v>0.96948508813498024</v>
      </c>
      <c r="BA60" s="360">
        <f>-BA56/BA55</f>
        <v>0.65245600078720656</v>
      </c>
      <c r="BB60" s="360">
        <f>-BB56/BB55</f>
        <v>0.78611641287560508</v>
      </c>
      <c r="BD60" s="360">
        <f>-BD56/BD55</f>
        <v>1.8088397530422156</v>
      </c>
      <c r="BE60" s="360">
        <f>-BE56/BE55</f>
        <v>-0.10786038490822721</v>
      </c>
      <c r="BF60" s="360">
        <f>-BF56/BF55</f>
        <v>0.6904774073100699</v>
      </c>
      <c r="BH60" s="360">
        <f>-BH56/BH55</f>
        <v>-1.7146814404432134</v>
      </c>
      <c r="BI60" s="360">
        <f>-BI56/BI55</f>
        <v>0.95608786817578029</v>
      </c>
      <c r="BJ60" s="360">
        <f>-BJ56/BJ55</f>
        <v>-0.17621870079327004</v>
      </c>
      <c r="BL60" s="360">
        <f>-BL56/BL55</f>
        <v>1.0491325042223245</v>
      </c>
      <c r="BM60" s="360">
        <f>-BM56/BM55</f>
        <v>0.90967818336733786</v>
      </c>
      <c r="BN60" s="360">
        <f>-BN56/BN55</f>
        <v>0.96480020780015252</v>
      </c>
      <c r="BP60" s="360">
        <f>-BP56/BP55</f>
        <v>4.2432493759927366E-2</v>
      </c>
      <c r="BQ60" s="360">
        <f>-BQ56/BQ55</f>
        <v>1.4417001470396542</v>
      </c>
      <c r="BR60" s="360">
        <f>-BR56/BR55</f>
        <v>0.85041975954976345</v>
      </c>
      <c r="BT60" s="360">
        <f>-BT56/BT55</f>
        <v>0.23508267433501079</v>
      </c>
      <c r="BU60" s="360">
        <f>-BU56/BU55</f>
        <v>1.3189997653958037</v>
      </c>
      <c r="BV60" s="360">
        <f>-BV56/BV55</f>
        <v>0.7569465025086326</v>
      </c>
      <c r="BX60" s="360">
        <f>-BX56/BX55</f>
        <v>0.26007326007326009</v>
      </c>
      <c r="BY60" s="360">
        <f>-BY56/BY55</f>
        <v>0.64420713206570046</v>
      </c>
      <c r="BZ60" s="360">
        <f>-BZ56/BZ55</f>
        <v>0.46231654153674095</v>
      </c>
      <c r="CB60" s="360">
        <f>-CB56/CB55</f>
        <v>0.63141025641025639</v>
      </c>
      <c r="CC60" s="360">
        <f>-CC56/CC55</f>
        <v>0.59115028340451981</v>
      </c>
      <c r="CD60" s="360">
        <f>-CD56/CD55</f>
        <v>0.61079628253302443</v>
      </c>
      <c r="CF60" s="360">
        <f>-CF56/CF55</f>
        <v>0.60305343511450382</v>
      </c>
      <c r="CG60" s="360">
        <f>-CG56/CG55</f>
        <v>0.58882127385377037</v>
      </c>
      <c r="CH60" s="360">
        <f>-CH56/CH55</f>
        <v>0.5950724704215915</v>
      </c>
      <c r="CJ60" s="360">
        <f>-CJ56/CJ55</f>
        <v>1.8552874716224064</v>
      </c>
      <c r="CK60" s="360">
        <f>-CK56/CK55</f>
        <v>1.0675986835156386</v>
      </c>
      <c r="CL60" s="360">
        <f>-CL56/CL55</f>
        <v>1.4877585831570652</v>
      </c>
      <c r="CN60" s="360">
        <f>-CN56/CN55</f>
        <v>1.4935572042171026</v>
      </c>
      <c r="CO60" s="360">
        <f>-CO56/CO55</f>
        <v>8.6995674026390815E-2</v>
      </c>
      <c r="CP60" s="360">
        <f>-CP56/CP55</f>
        <v>0.54644442273318516</v>
      </c>
      <c r="CR60" s="360">
        <f>-CR56/CR55</f>
        <v>1.326819533867992</v>
      </c>
      <c r="CS60" s="360">
        <f>-CS56/CS55</f>
        <v>0.86483898944617776</v>
      </c>
      <c r="CT60" s="360">
        <f>-CT56/CT55</f>
        <v>1.0653761736861882</v>
      </c>
      <c r="CV60" s="360">
        <f>-CV56/CV55</f>
        <v>1.1555892701507473</v>
      </c>
      <c r="CW60" s="1826">
        <f>-CW56/CW55</f>
        <v>2.5097153684860728E-2</v>
      </c>
      <c r="CX60" s="1826">
        <f>-CX56/CX55</f>
        <v>0.54491730066791477</v>
      </c>
      <c r="CZ60" s="360">
        <f>-CZ56/CZ55</f>
        <v>0.8793150312584942</v>
      </c>
      <c r="DA60" s="1826">
        <f>-DA56/DA55</f>
        <v>1.1007395965379159</v>
      </c>
      <c r="DB60" s="1826">
        <f>-DB56/DB55</f>
        <v>1.011792357547775</v>
      </c>
      <c r="DD60" s="360">
        <f>-DD56/DD55</f>
        <v>0.84252719984729907</v>
      </c>
      <c r="DE60" s="1826">
        <f ca="1">-DE56/DE55</f>
        <v>1.176263842837014</v>
      </c>
      <c r="DF60" s="1826">
        <f ca="1">-DF56/DF55</f>
        <v>1.0314690866946423</v>
      </c>
      <c r="DH60" s="360">
        <f>-DH56/DH55</f>
        <v>1.0511271206135255</v>
      </c>
      <c r="DI60" s="946">
        <v>1</v>
      </c>
      <c r="DJ60" s="360">
        <f>-DJ56/DJ55</f>
        <v>1.020278376922561</v>
      </c>
      <c r="DL60" s="946">
        <v>1</v>
      </c>
      <c r="DM60" s="946">
        <v>1</v>
      </c>
      <c r="DN60" s="360">
        <f>-DN56/DN55</f>
        <v>1</v>
      </c>
      <c r="DP60" s="946">
        <v>1</v>
      </c>
      <c r="DQ60" s="946">
        <v>1</v>
      </c>
      <c r="DR60" s="360">
        <f>-DR56/DR55</f>
        <v>1</v>
      </c>
    </row>
    <row r="61" spans="1:124">
      <c r="AO61" s="626"/>
      <c r="AS61" s="626"/>
      <c r="AW61" s="626"/>
    </row>
    <row r="63" spans="1:124">
      <c r="A63" s="620" t="s">
        <v>438</v>
      </c>
      <c r="B63" s="621"/>
      <c r="C63" s="622"/>
      <c r="D63" s="621"/>
      <c r="E63" s="621"/>
      <c r="F63" s="621"/>
      <c r="G63" s="621"/>
      <c r="H63" s="621"/>
      <c r="I63" s="621"/>
      <c r="J63" s="621"/>
      <c r="K63" s="621"/>
      <c r="L63" s="621"/>
      <c r="M63" s="621"/>
      <c r="N63" s="621"/>
      <c r="O63" s="621"/>
      <c r="P63" s="621"/>
      <c r="Q63" s="621"/>
      <c r="R63" s="621"/>
      <c r="S63" s="621"/>
      <c r="T63" s="621"/>
      <c r="U63" s="621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2"/>
      <c r="AO63" s="622"/>
      <c r="AP63" s="622"/>
      <c r="AQ63" s="622"/>
      <c r="AR63" s="622"/>
      <c r="AS63" s="622"/>
      <c r="AT63" s="622"/>
      <c r="AU63" s="622"/>
      <c r="AV63" s="622"/>
      <c r="AW63" s="622"/>
      <c r="AX63" s="622"/>
      <c r="AY63" s="622"/>
      <c r="AZ63" s="622"/>
      <c r="BA63" s="622"/>
      <c r="BB63" s="622"/>
      <c r="BC63" s="622"/>
      <c r="BD63" s="622"/>
      <c r="BE63" s="622"/>
      <c r="BF63" s="622"/>
      <c r="BG63" s="622"/>
      <c r="BH63" s="622"/>
      <c r="BI63" s="622"/>
      <c r="BJ63" s="622"/>
      <c r="BK63" s="622"/>
      <c r="BL63" s="622"/>
      <c r="BM63" s="622"/>
      <c r="BN63" s="622"/>
      <c r="BO63" s="622"/>
      <c r="BP63" s="622"/>
      <c r="BQ63" s="622"/>
      <c r="BR63" s="622"/>
      <c r="BS63" s="622"/>
      <c r="BT63" s="622"/>
      <c r="BU63" s="622"/>
      <c r="BV63" s="622"/>
      <c r="BW63" s="622"/>
      <c r="BX63" s="622"/>
      <c r="BY63" s="622"/>
      <c r="BZ63" s="622"/>
      <c r="CA63" s="622"/>
      <c r="CB63" s="622"/>
      <c r="CC63" s="622"/>
      <c r="CD63" s="622"/>
      <c r="CE63" s="622"/>
      <c r="CF63" s="622"/>
      <c r="CG63" s="622"/>
      <c r="CH63" s="622"/>
      <c r="CI63" s="622"/>
      <c r="CJ63" s="622"/>
      <c r="CK63" s="622"/>
      <c r="CL63" s="622"/>
      <c r="CM63" s="622"/>
      <c r="CN63" s="622"/>
      <c r="CO63" s="622"/>
      <c r="CP63" s="622"/>
      <c r="CQ63" s="622"/>
      <c r="CR63" s="622"/>
      <c r="CS63" s="622"/>
      <c r="CT63" s="622"/>
      <c r="CU63" s="622"/>
      <c r="CV63" s="622"/>
      <c r="CW63" s="1791"/>
      <c r="CX63" s="1791"/>
      <c r="CY63" s="622"/>
      <c r="CZ63" s="622"/>
      <c r="DA63" s="622"/>
      <c r="DB63" s="622"/>
      <c r="DC63" s="622"/>
      <c r="DD63" s="622"/>
      <c r="DE63" s="622"/>
      <c r="DF63" s="622"/>
      <c r="DG63" s="622"/>
      <c r="DH63" s="622"/>
      <c r="DI63" s="622"/>
      <c r="DJ63" s="622"/>
      <c r="DK63" s="622"/>
      <c r="DL63" s="622"/>
      <c r="DM63" s="622"/>
      <c r="DN63" s="622"/>
      <c r="DO63" s="622"/>
      <c r="DP63" s="622"/>
      <c r="DQ63" s="622"/>
      <c r="DR63" s="622"/>
      <c r="DS63" s="622"/>
    </row>
    <row r="65" spans="1:124" s="289" customFormat="1">
      <c r="A65" s="620" t="s">
        <v>463</v>
      </c>
      <c r="B65" s="620"/>
      <c r="C65" s="651"/>
      <c r="D65" s="620"/>
      <c r="E65" s="620"/>
      <c r="F65" s="620"/>
      <c r="G65" s="620"/>
      <c r="H65" s="620"/>
      <c r="I65" s="620"/>
      <c r="J65" s="620"/>
      <c r="K65" s="620"/>
      <c r="L65" s="620"/>
      <c r="M65" s="620"/>
      <c r="N65" s="620"/>
      <c r="O65" s="620"/>
      <c r="P65" s="620"/>
      <c r="Q65" s="620"/>
      <c r="R65" s="620"/>
      <c r="S65" s="620"/>
      <c r="T65" s="620"/>
      <c r="U65" s="620"/>
      <c r="V65" s="620"/>
      <c r="W65" s="620"/>
      <c r="X65" s="620"/>
      <c r="Y65" s="620"/>
      <c r="Z65" s="620"/>
      <c r="AA65" s="620"/>
      <c r="AB65" s="620"/>
      <c r="AC65" s="620"/>
      <c r="AD65" s="620"/>
      <c r="AE65" s="620"/>
      <c r="AF65" s="620"/>
      <c r="AG65" s="620"/>
      <c r="AH65" s="620"/>
      <c r="AI65" s="620"/>
      <c r="AJ65" s="620"/>
      <c r="AK65" s="620"/>
      <c r="AL65" s="620"/>
      <c r="AM65" s="620"/>
      <c r="AN65" s="651"/>
      <c r="AO65" s="652"/>
      <c r="AP65" s="652"/>
      <c r="AQ65" s="651"/>
      <c r="AR65" s="652"/>
      <c r="AS65" s="652"/>
      <c r="AT65" s="652"/>
      <c r="AU65" s="651"/>
      <c r="AV65" s="652"/>
      <c r="AW65" s="652"/>
      <c r="AX65" s="652"/>
      <c r="AY65" s="651"/>
      <c r="AZ65" s="652"/>
      <c r="BA65" s="652"/>
      <c r="BB65" s="652"/>
      <c r="BC65" s="651"/>
      <c r="BD65" s="652"/>
      <c r="BE65" s="652"/>
      <c r="BF65" s="652"/>
      <c r="BG65" s="651"/>
      <c r="BH65" s="652"/>
      <c r="BI65" s="652"/>
      <c r="BJ65" s="652"/>
      <c r="BK65" s="651"/>
      <c r="BL65" s="652"/>
      <c r="BM65" s="652"/>
      <c r="BN65" s="652"/>
      <c r="BO65" s="651"/>
      <c r="BP65" s="652"/>
      <c r="BQ65" s="652"/>
      <c r="BR65" s="652"/>
      <c r="BS65" s="651"/>
      <c r="BT65" s="652"/>
      <c r="BU65" s="652"/>
      <c r="BV65" s="652"/>
      <c r="BW65" s="651"/>
      <c r="BX65" s="652"/>
      <c r="BY65" s="652"/>
      <c r="BZ65" s="652"/>
      <c r="CA65" s="651"/>
      <c r="CB65" s="652"/>
      <c r="CC65" s="652"/>
      <c r="CD65" s="652"/>
      <c r="CE65" s="651"/>
      <c r="CF65" s="652"/>
      <c r="CG65" s="652"/>
      <c r="CH65" s="652"/>
      <c r="CI65" s="651"/>
      <c r="CJ65" s="652"/>
      <c r="CK65" s="652"/>
      <c r="CL65" s="652"/>
      <c r="CM65" s="651"/>
      <c r="CN65" s="652"/>
      <c r="CO65" s="652"/>
      <c r="CP65" s="652"/>
      <c r="CQ65" s="651"/>
      <c r="CR65" s="652"/>
      <c r="CS65" s="652"/>
      <c r="CT65" s="652"/>
      <c r="CU65" s="651"/>
      <c r="CV65" s="652"/>
      <c r="CW65" s="1792"/>
      <c r="CX65" s="1792"/>
      <c r="CY65" s="651"/>
      <c r="CZ65" s="652"/>
      <c r="DA65" s="652"/>
      <c r="DB65" s="652"/>
      <c r="DC65" s="651"/>
      <c r="DD65" s="652"/>
      <c r="DE65" s="652"/>
      <c r="DF65" s="652"/>
      <c r="DG65" s="651"/>
      <c r="DH65" s="652"/>
      <c r="DI65" s="652"/>
      <c r="DJ65" s="652"/>
      <c r="DK65" s="651"/>
      <c r="DL65" s="652"/>
      <c r="DM65" s="652"/>
      <c r="DN65" s="652"/>
      <c r="DO65" s="651"/>
      <c r="DP65" s="652"/>
      <c r="DQ65" s="652"/>
      <c r="DR65" s="652"/>
      <c r="DS65" s="651"/>
      <c r="DT65"/>
    </row>
    <row r="66" spans="1:124" s="289" customFormat="1">
      <c r="C66" s="290"/>
      <c r="AN66" s="290"/>
      <c r="AO66" s="295"/>
      <c r="AP66" s="295"/>
      <c r="AQ66" s="290"/>
      <c r="AR66" s="295"/>
      <c r="AS66" s="295"/>
      <c r="AT66" s="295"/>
      <c r="AU66" s="290"/>
      <c r="AV66" s="295"/>
      <c r="AW66" s="295"/>
      <c r="AX66" s="295"/>
      <c r="AY66" s="290"/>
      <c r="AZ66" s="295"/>
      <c r="BA66" s="295"/>
      <c r="BB66" s="295"/>
      <c r="BC66" s="290"/>
      <c r="BD66" s="295"/>
      <c r="BE66" s="295"/>
      <c r="BF66" s="295"/>
      <c r="BG66" s="290"/>
      <c r="BH66" s="295"/>
      <c r="BI66" s="295"/>
      <c r="BJ66" s="295"/>
      <c r="BK66" s="290"/>
      <c r="BL66" s="295"/>
      <c r="BM66" s="295"/>
      <c r="BN66" s="295"/>
      <c r="BO66" s="290"/>
      <c r="BP66" s="295"/>
      <c r="BQ66" s="295"/>
      <c r="BR66" s="295"/>
      <c r="BS66" s="290"/>
      <c r="BT66" s="295"/>
      <c r="BU66" s="295"/>
      <c r="BV66" s="295"/>
      <c r="BW66" s="290"/>
      <c r="BX66" s="295"/>
      <c r="BY66" s="295"/>
      <c r="BZ66" s="295"/>
      <c r="CA66" s="290"/>
      <c r="CB66" s="295"/>
      <c r="CC66" s="295"/>
      <c r="CD66" s="295"/>
      <c r="CE66" s="290"/>
      <c r="CF66" s="295"/>
      <c r="CG66" s="295"/>
      <c r="CH66" s="295"/>
      <c r="CI66" s="290"/>
      <c r="CJ66" s="295"/>
      <c r="CK66" s="295"/>
      <c r="CL66" s="295"/>
      <c r="CM66" s="290"/>
      <c r="CN66" s="295"/>
      <c r="CO66" s="295"/>
      <c r="CP66" s="295"/>
      <c r="CQ66" s="290"/>
      <c r="CR66" s="295"/>
      <c r="CS66" s="295"/>
      <c r="CT66" s="295"/>
      <c r="CU66" s="290"/>
      <c r="CV66" s="295"/>
      <c r="CW66" s="1390"/>
      <c r="CX66" s="1390"/>
      <c r="CY66" s="290"/>
      <c r="CZ66" s="295"/>
      <c r="DA66" s="295"/>
      <c r="DB66" s="295"/>
      <c r="DC66" s="290"/>
      <c r="DD66" s="295"/>
      <c r="DE66" s="295"/>
      <c r="DF66" s="295"/>
      <c r="DG66" s="290"/>
      <c r="DH66" s="295"/>
      <c r="DI66" s="295"/>
      <c r="DJ66" s="295"/>
      <c r="DK66" s="290"/>
      <c r="DL66" s="295"/>
      <c r="DM66" s="295"/>
      <c r="DN66" s="295"/>
      <c r="DO66" s="290"/>
      <c r="DP66" s="295"/>
      <c r="DQ66" s="295"/>
      <c r="DR66" s="295"/>
      <c r="DS66" s="290"/>
      <c r="DT66"/>
    </row>
    <row r="67" spans="1:124" s="289" customFormat="1">
      <c r="A67" s="289" t="s">
        <v>263</v>
      </c>
      <c r="C67" s="290"/>
      <c r="AN67" s="295"/>
      <c r="AO67" s="295"/>
      <c r="AP67" s="295"/>
      <c r="AQ67" s="290"/>
      <c r="AR67" s="295"/>
      <c r="AS67" s="295"/>
      <c r="AT67" s="295"/>
      <c r="AU67" s="290"/>
      <c r="AV67" s="295"/>
      <c r="AW67" s="295"/>
      <c r="AX67" s="295"/>
      <c r="AY67" s="290"/>
      <c r="AZ67" s="295"/>
      <c r="BA67" s="295"/>
      <c r="BB67" s="295"/>
      <c r="BC67" s="290"/>
      <c r="BD67" s="295"/>
      <c r="BE67" s="295"/>
      <c r="BF67" s="295"/>
      <c r="BG67" s="290"/>
      <c r="BH67" s="295">
        <f>BH83+BH90</f>
        <v>92372.5</v>
      </c>
      <c r="BI67" s="295">
        <f>BI83+BI90</f>
        <v>97548</v>
      </c>
      <c r="BJ67" s="295">
        <f t="shared" ref="BJ67:BJ73" si="127">BI67</f>
        <v>97548</v>
      </c>
      <c r="BK67" s="672"/>
      <c r="BL67" s="295">
        <f>BL83+BL90</f>
        <v>105694</v>
      </c>
      <c r="BM67" s="295">
        <f>BM83+BM90</f>
        <v>100985.5</v>
      </c>
      <c r="BN67" s="295">
        <f t="shared" ref="BN67:BN73" si="128">BM67</f>
        <v>100985.5</v>
      </c>
      <c r="BO67" s="672"/>
      <c r="BP67" s="295">
        <f>BP83+BP90</f>
        <v>107293</v>
      </c>
      <c r="BQ67" s="295">
        <f>BQ83+BQ90</f>
        <v>126659</v>
      </c>
      <c r="BR67" s="295">
        <f t="shared" ref="BR67:BR73" si="129">BQ67</f>
        <v>126659</v>
      </c>
      <c r="BS67" s="672"/>
      <c r="BT67" s="295">
        <f>BT83+BT90</f>
        <v>136812</v>
      </c>
      <c r="BU67" s="295">
        <f>BU83+BU90</f>
        <v>131228</v>
      </c>
      <c r="BV67" s="295">
        <f t="shared" ref="BV67:BV73" si="130">BU67</f>
        <v>131228</v>
      </c>
      <c r="BW67" s="672">
        <f>+BV67/BR67-1</f>
        <v>3.6073236011653353E-2</v>
      </c>
      <c r="BX67" s="295">
        <f>BX83+BX90</f>
        <v>130730.5</v>
      </c>
      <c r="BY67" s="295">
        <f>BY83+BY90</f>
        <v>130830.5</v>
      </c>
      <c r="BZ67" s="295">
        <f t="shared" ref="BZ67:BZ73" si="131">BY67</f>
        <v>130830.5</v>
      </c>
      <c r="CA67" s="672">
        <f>+BZ67/BV67-1</f>
        <v>-3.0290791599353328E-3</v>
      </c>
      <c r="CB67" s="295">
        <f>CB83+CB90</f>
        <v>139355</v>
      </c>
      <c r="CC67" s="295">
        <f>CC83+CC90</f>
        <v>148364</v>
      </c>
      <c r="CD67" s="295">
        <f t="shared" ref="CD67:CD73" si="132">CC67</f>
        <v>148364</v>
      </c>
      <c r="CE67" s="672">
        <f>+CD67/BZ67-1</f>
        <v>0.134016915015994</v>
      </c>
      <c r="CF67" s="295">
        <f>CF83+CF90</f>
        <v>165605.5</v>
      </c>
      <c r="CG67" s="295">
        <f>CG83+CG90</f>
        <v>166594.5</v>
      </c>
      <c r="CH67" s="295">
        <f t="shared" ref="CH67:CH73" si="133">CG67</f>
        <v>166594.5</v>
      </c>
      <c r="CI67" s="672">
        <f>+CH67/CD67-1</f>
        <v>0.12287684343910921</v>
      </c>
      <c r="CJ67" s="295">
        <f>CJ83+CJ90</f>
        <v>184451</v>
      </c>
      <c r="CK67" s="295">
        <f>CK83+CK90</f>
        <v>187863.5</v>
      </c>
      <c r="CL67" s="295">
        <f t="shared" ref="CL67:CL73" si="134">CK67</f>
        <v>187863.5</v>
      </c>
      <c r="CM67" s="672">
        <f>+CL67/CH67-1</f>
        <v>0.12766928079858575</v>
      </c>
      <c r="CN67" s="295">
        <f>CN83+CN90</f>
        <v>161921</v>
      </c>
      <c r="CO67" s="295">
        <f>CO83+CO90</f>
        <v>184810</v>
      </c>
      <c r="CP67" s="295">
        <f t="shared" ref="CP67:CP73" si="135">CO67</f>
        <v>184810</v>
      </c>
      <c r="CQ67" s="672">
        <f>+CP67/CL67-1</f>
        <v>-1.6253822589273548E-2</v>
      </c>
      <c r="CR67" s="295">
        <f>CR83+CR90</f>
        <v>220446.5</v>
      </c>
      <c r="CS67" s="295">
        <f>CS83+CS90</f>
        <v>240895.5</v>
      </c>
      <c r="CT67" s="295">
        <f t="shared" ref="CT67:CT73" si="136">CS67</f>
        <v>240895.5</v>
      </c>
      <c r="CU67" s="672">
        <f>+CT67/CP67-1</f>
        <v>0.30347654347708453</v>
      </c>
      <c r="CV67" s="295">
        <f>CV83+CV90</f>
        <v>263892</v>
      </c>
      <c r="CW67" s="1390">
        <f>CW83+CW90</f>
        <v>254230</v>
      </c>
      <c r="CX67" s="1390">
        <f t="shared" ref="CX67:CX73" si="137">CW67</f>
        <v>254230</v>
      </c>
      <c r="CY67" s="672">
        <f>+CX67/CT67-1</f>
        <v>5.535387751120302E-2</v>
      </c>
      <c r="CZ67" s="295">
        <f>CZ83+CZ90</f>
        <v>269408</v>
      </c>
      <c r="DA67" s="1390">
        <f>DA83+DA90</f>
        <v>272588</v>
      </c>
      <c r="DB67" s="1390">
        <f t="shared" ref="DB67:DB73" si="138">DA67</f>
        <v>272588</v>
      </c>
      <c r="DC67" s="672">
        <f>+DB67/CX67-1</f>
        <v>7.221020335916295E-2</v>
      </c>
      <c r="DD67" s="295">
        <f>DD83+DD90</f>
        <v>278438</v>
      </c>
      <c r="DE67" s="1390">
        <f>DE83+DE90</f>
        <v>309562</v>
      </c>
      <c r="DF67" s="1390">
        <f t="shared" ref="DF67:DF73" si="139">DE67</f>
        <v>309562</v>
      </c>
      <c r="DG67" s="672">
        <f>+DF67/DB67-1</f>
        <v>0.13564060046663839</v>
      </c>
      <c r="DH67" s="295">
        <f>DH83+DH90</f>
        <v>322908.5</v>
      </c>
      <c r="DI67" s="295">
        <f>DI83+DI90</f>
        <v>338766.47981602908</v>
      </c>
      <c r="DJ67" s="295">
        <f t="shared" ref="DJ67:DJ73" si="140">DI67</f>
        <v>338766.47981602908</v>
      </c>
      <c r="DK67" s="672">
        <f>+DJ67/DF67-1</f>
        <v>9.4341294525907893E-2</v>
      </c>
      <c r="DL67" s="295">
        <f>DL83+DL90</f>
        <v>347582.87169317901</v>
      </c>
      <c r="DM67" s="295">
        <f>DM83+DM90</f>
        <v>358383.5322935399</v>
      </c>
      <c r="DN67" s="295">
        <f t="shared" ref="DN67:DN73" si="141">DM67</f>
        <v>358383.5322935399</v>
      </c>
      <c r="DO67" s="672">
        <f>+DN67/DJ67-1</f>
        <v>5.7907300888104585E-2</v>
      </c>
      <c r="DP67" s="295">
        <f>DP83+DP90</f>
        <v>369577.26441974251</v>
      </c>
      <c r="DQ67" s="295">
        <f>DQ83+DQ90</f>
        <v>381179.80909249315</v>
      </c>
      <c r="DR67" s="295">
        <f t="shared" ref="DR67:DR73" si="142">DQ67</f>
        <v>381179.80909249315</v>
      </c>
      <c r="DS67" s="672">
        <f>+DR67/DN67-1</f>
        <v>6.3608605710938626E-2</v>
      </c>
      <c r="DT67"/>
    </row>
    <row r="68" spans="1:124">
      <c r="A68" s="102" t="s">
        <v>279</v>
      </c>
      <c r="AN68" s="293"/>
      <c r="AO68" s="293"/>
      <c r="AP68" s="293"/>
      <c r="AR68" s="293"/>
      <c r="AS68" s="293"/>
      <c r="AT68" s="293"/>
      <c r="AV68" s="293"/>
      <c r="AW68" s="293"/>
      <c r="AX68" s="293"/>
      <c r="AZ68" s="293"/>
      <c r="BA68" s="293"/>
      <c r="BB68" s="293"/>
      <c r="BD68" s="293"/>
      <c r="BE68" s="293"/>
      <c r="BF68" s="293"/>
      <c r="BH68" s="293">
        <f>+BH80</f>
        <v>12604</v>
      </c>
      <c r="BI68" s="293">
        <f>+BI80</f>
        <v>12948</v>
      </c>
      <c r="BJ68" s="293">
        <f t="shared" si="127"/>
        <v>12948</v>
      </c>
      <c r="BK68" s="671"/>
      <c r="BL68" s="293">
        <f>+BL80</f>
        <v>13690</v>
      </c>
      <c r="BM68" s="293">
        <f>+BM80</f>
        <v>12879</v>
      </c>
      <c r="BN68" s="293">
        <f t="shared" si="128"/>
        <v>12879</v>
      </c>
      <c r="BO68" s="671"/>
      <c r="BP68" s="293">
        <f>+BP80</f>
        <v>13236</v>
      </c>
      <c r="BQ68" s="293">
        <f>+BQ80</f>
        <v>16077</v>
      </c>
      <c r="BR68" s="293">
        <f t="shared" si="129"/>
        <v>16077</v>
      </c>
      <c r="BS68" s="671"/>
      <c r="BT68" s="293">
        <f>+BT80</f>
        <v>16912</v>
      </c>
      <c r="BU68" s="293">
        <f>+BU80</f>
        <v>17248</v>
      </c>
      <c r="BV68" s="293">
        <f t="shared" si="130"/>
        <v>17248</v>
      </c>
      <c r="BW68" s="671">
        <f>+BV68/BR68-1</f>
        <v>7.2836972071903983E-2</v>
      </c>
      <c r="BX68" s="293">
        <f>+BX80</f>
        <v>16908</v>
      </c>
      <c r="BY68" s="293">
        <f>+BY80</f>
        <v>18670</v>
      </c>
      <c r="BZ68" s="293">
        <f t="shared" si="131"/>
        <v>18670</v>
      </c>
      <c r="CA68" s="671">
        <f>+BZ68/BV68-1</f>
        <v>8.2444341372912788E-2</v>
      </c>
      <c r="CB68" s="293">
        <f>+CB80</f>
        <v>18148</v>
      </c>
      <c r="CC68" s="293">
        <f>+CC80</f>
        <v>19080</v>
      </c>
      <c r="CD68" s="293">
        <f t="shared" si="132"/>
        <v>19080</v>
      </c>
      <c r="CE68" s="671">
        <f>+CD68/BZ68-1</f>
        <v>2.1960364220674933E-2</v>
      </c>
      <c r="CF68" s="293">
        <f>+CF80</f>
        <v>19822</v>
      </c>
      <c r="CG68" s="293">
        <f>+CG80</f>
        <v>21858</v>
      </c>
      <c r="CH68" s="293">
        <f t="shared" si="133"/>
        <v>21858</v>
      </c>
      <c r="CI68" s="671">
        <f>+CH68/CD68-1</f>
        <v>0.14559748427672958</v>
      </c>
      <c r="CJ68" s="293">
        <f>+CJ80</f>
        <v>23776</v>
      </c>
      <c r="CK68" s="293">
        <f>+CK80</f>
        <v>24752</v>
      </c>
      <c r="CL68" s="293">
        <f t="shared" si="134"/>
        <v>24752</v>
      </c>
      <c r="CM68" s="671">
        <f>+CL68/CH68-1</f>
        <v>0.13240003659987187</v>
      </c>
      <c r="CN68" s="293">
        <f>+CN80</f>
        <v>24610</v>
      </c>
      <c r="CO68" s="293">
        <f>+CO80</f>
        <v>26295</v>
      </c>
      <c r="CP68" s="293">
        <f t="shared" si="135"/>
        <v>26295</v>
      </c>
      <c r="CQ68" s="671">
        <f>+CP68/CL68-1</f>
        <v>6.2338396897220427E-2</v>
      </c>
      <c r="CR68" s="293">
        <f>+CR80</f>
        <v>29105</v>
      </c>
      <c r="CS68" s="293">
        <f>+CS80</f>
        <v>33570</v>
      </c>
      <c r="CT68" s="293">
        <f t="shared" si="136"/>
        <v>33570</v>
      </c>
      <c r="CU68" s="671">
        <f>+CT68/CP68-1</f>
        <v>0.27666856816885343</v>
      </c>
      <c r="CV68" s="293">
        <f>+CV80</f>
        <v>37220</v>
      </c>
      <c r="CW68" s="1495">
        <f>+CW80</f>
        <v>39074</v>
      </c>
      <c r="CX68" s="1495">
        <f t="shared" si="137"/>
        <v>39074</v>
      </c>
      <c r="CY68" s="671">
        <f>+CX68/CT68-1</f>
        <v>0.16395591301757517</v>
      </c>
      <c r="CZ68" s="293">
        <f>+CZ80</f>
        <v>38611</v>
      </c>
      <c r="DA68" s="1495">
        <f>+DA80</f>
        <v>39341</v>
      </c>
      <c r="DB68" s="1495">
        <f t="shared" si="138"/>
        <v>39341</v>
      </c>
      <c r="DC68" s="671">
        <f>+DB68/CX68-1</f>
        <v>6.8331883093617485E-3</v>
      </c>
      <c r="DD68" s="293">
        <f>+DD80</f>
        <v>38862</v>
      </c>
      <c r="DE68" s="1495">
        <f>+DE80</f>
        <v>41849</v>
      </c>
      <c r="DF68" s="1495">
        <f t="shared" si="139"/>
        <v>41849</v>
      </c>
      <c r="DG68" s="671">
        <f>+DF68/DB68-1</f>
        <v>6.3750285961210906E-2</v>
      </c>
      <c r="DH68" s="293">
        <f>+DH80</f>
        <v>40998</v>
      </c>
      <c r="DI68" s="293">
        <f ca="1">+DI80</f>
        <v>43440.710914198367</v>
      </c>
      <c r="DJ68" s="293">
        <f t="shared" ca="1" si="140"/>
        <v>43440.710914198367</v>
      </c>
      <c r="DK68" s="671">
        <f ca="1">+DJ68/DF68-1</f>
        <v>3.8034622432993936E-2</v>
      </c>
      <c r="DL68" s="293">
        <f ca="1">+DL80</f>
        <v>44030.627341897271</v>
      </c>
      <c r="DM68" s="293">
        <f ca="1">+DM80</f>
        <v>47018.178844444337</v>
      </c>
      <c r="DN68" s="293">
        <f t="shared" ca="1" si="141"/>
        <v>47018.178844444337</v>
      </c>
      <c r="DO68" s="671">
        <f ca="1">+DN68/DJ68-1</f>
        <v>8.2352886381440227E-2</v>
      </c>
      <c r="DP68" s="293">
        <f ca="1">+DP80</f>
        <v>47720.308424208677</v>
      </c>
      <c r="DQ68" s="293">
        <f ca="1">+DQ80</f>
        <v>50917.693914160802</v>
      </c>
      <c r="DR68" s="293">
        <f t="shared" ca="1" si="142"/>
        <v>50917.693914160802</v>
      </c>
      <c r="DS68" s="671">
        <f ca="1">+DR68/DN68-1</f>
        <v>8.2936327300503931E-2</v>
      </c>
    </row>
    <row r="69" spans="1:124">
      <c r="A69" s="102" t="s">
        <v>280</v>
      </c>
      <c r="AN69" s="293"/>
      <c r="AO69" s="293"/>
      <c r="AP69" s="293"/>
      <c r="AR69" s="293"/>
      <c r="AS69" s="293"/>
      <c r="AT69" s="293"/>
      <c r="AV69" s="293"/>
      <c r="AW69" s="293"/>
      <c r="AX69" s="293"/>
      <c r="AZ69" s="293"/>
      <c r="BA69" s="293"/>
      <c r="BB69" s="293"/>
      <c r="BD69" s="293"/>
      <c r="BE69" s="293"/>
      <c r="BF69" s="293"/>
      <c r="BH69" s="293">
        <f>-BH86</f>
        <v>-2794</v>
      </c>
      <c r="BI69" s="293">
        <f>-BI86</f>
        <v>-2636</v>
      </c>
      <c r="BJ69" s="293">
        <f t="shared" si="127"/>
        <v>-2636</v>
      </c>
      <c r="BL69" s="293">
        <f>-BL86</f>
        <v>-2806</v>
      </c>
      <c r="BM69" s="293">
        <f>-BM86</f>
        <v>-2721</v>
      </c>
      <c r="BN69" s="293">
        <f t="shared" si="128"/>
        <v>-2721</v>
      </c>
      <c r="BP69" s="293">
        <f>-BP86</f>
        <v>-2885</v>
      </c>
      <c r="BQ69" s="293">
        <f>-BQ86</f>
        <v>-2798</v>
      </c>
      <c r="BR69" s="293">
        <f t="shared" si="129"/>
        <v>-2798</v>
      </c>
      <c r="BT69" s="293">
        <f>-BT86</f>
        <v>-2488</v>
      </c>
      <c r="BU69" s="293">
        <f>-BU86</f>
        <v>-2354</v>
      </c>
      <c r="BV69" s="293">
        <f t="shared" si="130"/>
        <v>-2354</v>
      </c>
      <c r="BX69" s="293">
        <f>-BX86</f>
        <v>-2250</v>
      </c>
      <c r="BY69" s="293">
        <f>-BY86</f>
        <v>-2261</v>
      </c>
      <c r="BZ69" s="293">
        <f t="shared" si="131"/>
        <v>-2261</v>
      </c>
      <c r="CB69" s="293">
        <f>-CB86</f>
        <v>-2327</v>
      </c>
      <c r="CC69" s="293">
        <f>-CC86</f>
        <v>-2534</v>
      </c>
      <c r="CD69" s="293">
        <f t="shared" si="132"/>
        <v>-2534</v>
      </c>
      <c r="CF69" s="293">
        <f>-CF86</f>
        <v>-2665</v>
      </c>
      <c r="CG69" s="293">
        <f>-CG86</f>
        <v>-2035</v>
      </c>
      <c r="CH69" s="293">
        <f t="shared" si="133"/>
        <v>-2035</v>
      </c>
      <c r="CJ69" s="293">
        <f>-CJ86</f>
        <v>-1933</v>
      </c>
      <c r="CK69" s="293">
        <f>-CK86</f>
        <v>-2195</v>
      </c>
      <c r="CL69" s="293">
        <f t="shared" si="134"/>
        <v>-2195</v>
      </c>
      <c r="CN69" s="293">
        <f>-CN86</f>
        <v>-1836</v>
      </c>
      <c r="CO69" s="293">
        <f>-CO86</f>
        <v>-2239</v>
      </c>
      <c r="CP69" s="293">
        <f t="shared" si="135"/>
        <v>-2239</v>
      </c>
      <c r="CR69" s="293">
        <f>-CR86</f>
        <v>-2480</v>
      </c>
      <c r="CS69" s="293">
        <f>-CS86</f>
        <v>-2983</v>
      </c>
      <c r="CT69" s="293">
        <f t="shared" si="136"/>
        <v>-2983</v>
      </c>
      <c r="CV69" s="293">
        <f>-CV86</f>
        <v>-3245</v>
      </c>
      <c r="CW69" s="1495">
        <f>-CW86</f>
        <v>-3293</v>
      </c>
      <c r="CX69" s="1495">
        <f t="shared" si="137"/>
        <v>-3293</v>
      </c>
      <c r="CZ69" s="293">
        <f>-CZ86</f>
        <v>-3436</v>
      </c>
      <c r="DA69" s="1495">
        <f>-DA86</f>
        <v>-3645</v>
      </c>
      <c r="DB69" s="1495">
        <f t="shared" si="138"/>
        <v>-3645</v>
      </c>
      <c r="DD69" s="293">
        <f>-DD86</f>
        <v>-3362</v>
      </c>
      <c r="DE69" s="1495">
        <f>-DE86</f>
        <v>-3803</v>
      </c>
      <c r="DF69" s="1495">
        <f t="shared" si="139"/>
        <v>-3803</v>
      </c>
      <c r="DH69" s="293">
        <f>-DH86</f>
        <v>-3760</v>
      </c>
      <c r="DI69" s="293">
        <f>-DI86</f>
        <v>-3902.632956147464</v>
      </c>
      <c r="DJ69" s="293">
        <f t="shared" si="140"/>
        <v>-3902.632956147464</v>
      </c>
      <c r="DL69" s="293">
        <f>-DL86</f>
        <v>-4054.1847737134303</v>
      </c>
      <c r="DM69" s="293">
        <f>-DM86</f>
        <v>-4215.3213496861081</v>
      </c>
      <c r="DN69" s="293">
        <f t="shared" si="141"/>
        <v>-4215.3213496861081</v>
      </c>
      <c r="DP69" s="293">
        <f>-DP86</f>
        <v>-4386.7653805459713</v>
      </c>
      <c r="DQ69" s="293">
        <f>-DQ86</f>
        <v>-4569.3016034276761</v>
      </c>
      <c r="DR69" s="293">
        <f t="shared" si="142"/>
        <v>-4569.3016034276761</v>
      </c>
    </row>
    <row r="70" spans="1:124" s="289" customFormat="1">
      <c r="A70" s="289" t="s">
        <v>281</v>
      </c>
      <c r="C70" s="290"/>
      <c r="AN70" s="295"/>
      <c r="AO70" s="295"/>
      <c r="AP70" s="295"/>
      <c r="AQ70" s="290"/>
      <c r="AR70" s="295"/>
      <c r="AS70" s="295"/>
      <c r="AT70" s="295"/>
      <c r="AU70" s="290"/>
      <c r="AV70" s="295"/>
      <c r="AW70" s="295"/>
      <c r="AX70" s="295"/>
      <c r="AY70" s="290"/>
      <c r="AZ70" s="295"/>
      <c r="BA70" s="295"/>
      <c r="BB70" s="295"/>
      <c r="BC70" s="290"/>
      <c r="BD70" s="295"/>
      <c r="BE70" s="295"/>
      <c r="BF70" s="295"/>
      <c r="BG70" s="295"/>
      <c r="BH70" s="295">
        <f>SUM(BH68:BH69)</f>
        <v>9810</v>
      </c>
      <c r="BI70" s="295">
        <f>SUM(BI68:BI69)</f>
        <v>10312</v>
      </c>
      <c r="BJ70" s="295">
        <f t="shared" si="127"/>
        <v>10312</v>
      </c>
      <c r="BK70" s="672"/>
      <c r="BL70" s="295">
        <f>SUM(BL68:BL69)</f>
        <v>10884</v>
      </c>
      <c r="BM70" s="295">
        <f>SUM(BM68:BM69)</f>
        <v>10158</v>
      </c>
      <c r="BN70" s="295">
        <f t="shared" si="128"/>
        <v>10158</v>
      </c>
      <c r="BO70" s="672"/>
      <c r="BP70" s="295">
        <f>SUM(BP68:BP69)</f>
        <v>10351</v>
      </c>
      <c r="BQ70" s="295">
        <f>SUM(BQ68:BQ69)</f>
        <v>13279</v>
      </c>
      <c r="BR70" s="295">
        <f t="shared" si="129"/>
        <v>13279</v>
      </c>
      <c r="BS70" s="672"/>
      <c r="BT70" s="295">
        <f>SUM(BT68:BT69)</f>
        <v>14424</v>
      </c>
      <c r="BU70" s="295">
        <f>SUM(BU68:BU69)</f>
        <v>14894</v>
      </c>
      <c r="BV70" s="295">
        <f t="shared" si="130"/>
        <v>14894</v>
      </c>
      <c r="BW70" s="672">
        <f>+BV70/BR70-1</f>
        <v>0.1216206039611416</v>
      </c>
      <c r="BX70" s="295">
        <f>SUM(BX68:BX69)</f>
        <v>14658</v>
      </c>
      <c r="BY70" s="295">
        <f>SUM(BY68:BY69)</f>
        <v>16409</v>
      </c>
      <c r="BZ70" s="295">
        <f t="shared" si="131"/>
        <v>16409</v>
      </c>
      <c r="CA70" s="672">
        <f>+BZ70/BV70-1</f>
        <v>0.10171881294480989</v>
      </c>
      <c r="CB70" s="295">
        <f>SUM(CB68:CB69)</f>
        <v>15821</v>
      </c>
      <c r="CC70" s="295">
        <f>SUM(CC68:CC69)</f>
        <v>16546</v>
      </c>
      <c r="CD70" s="295">
        <f t="shared" si="132"/>
        <v>16546</v>
      </c>
      <c r="CE70" s="672">
        <f>+CD70/BZ70-1</f>
        <v>8.3490767261868992E-3</v>
      </c>
      <c r="CF70" s="295">
        <f>SUM(CF68:CF69)</f>
        <v>17157</v>
      </c>
      <c r="CG70" s="295">
        <f>SUM(CG68:CG69)</f>
        <v>19823</v>
      </c>
      <c r="CH70" s="295">
        <f t="shared" si="133"/>
        <v>19823</v>
      </c>
      <c r="CI70" s="672">
        <f>+CH70/CD70-1</f>
        <v>0.19805391031064912</v>
      </c>
      <c r="CJ70" s="295">
        <f>SUM(CJ68:CJ69)</f>
        <v>21843</v>
      </c>
      <c r="CK70" s="295">
        <f>SUM(CK68:CK69)</f>
        <v>22557</v>
      </c>
      <c r="CL70" s="295">
        <f t="shared" si="134"/>
        <v>22557</v>
      </c>
      <c r="CM70" s="672">
        <f>+CL70/CH70-1</f>
        <v>0.13792059728598094</v>
      </c>
      <c r="CN70" s="295">
        <f>SUM(CN68:CN69)</f>
        <v>22774</v>
      </c>
      <c r="CO70" s="295">
        <f>SUM(CO68:CO69)</f>
        <v>24056</v>
      </c>
      <c r="CP70" s="295">
        <f t="shared" si="135"/>
        <v>24056</v>
      </c>
      <c r="CQ70" s="672">
        <f>+CP70/CL70-1</f>
        <v>6.6453872412111537E-2</v>
      </c>
      <c r="CR70" s="295">
        <f>SUM(CR68:CR69)</f>
        <v>26625</v>
      </c>
      <c r="CS70" s="295">
        <f>SUM(CS68:CS69)</f>
        <v>30587</v>
      </c>
      <c r="CT70" s="295">
        <f t="shared" si="136"/>
        <v>30587</v>
      </c>
      <c r="CU70" s="672">
        <f>+CT70/CP70-1</f>
        <v>0.27149151978716324</v>
      </c>
      <c r="CV70" s="295">
        <f>SUM(CV68:CV69)</f>
        <v>33975</v>
      </c>
      <c r="CW70" s="1390">
        <f>SUM(CW68:CW69)</f>
        <v>35781</v>
      </c>
      <c r="CX70" s="1390">
        <f t="shared" si="137"/>
        <v>35781</v>
      </c>
      <c r="CY70" s="672">
        <f>+CX70/CT70-1</f>
        <v>0.16981070389381103</v>
      </c>
      <c r="CZ70" s="295">
        <f>SUM(CZ68:CZ69)</f>
        <v>35175</v>
      </c>
      <c r="DA70" s="1390">
        <f>SUM(DA68:DA69)</f>
        <v>35696</v>
      </c>
      <c r="DB70" s="1390">
        <f t="shared" si="138"/>
        <v>35696</v>
      </c>
      <c r="DC70" s="672">
        <f>+DB70/CX70-1</f>
        <v>-2.3755624493446703E-3</v>
      </c>
      <c r="DD70" s="295">
        <f>SUM(DD68:DD69)</f>
        <v>35500</v>
      </c>
      <c r="DE70" s="1390">
        <f>SUM(DE68:DE69)</f>
        <v>38046</v>
      </c>
      <c r="DF70" s="1390">
        <f t="shared" si="139"/>
        <v>38046</v>
      </c>
      <c r="DG70" s="672">
        <f>+DF70/DB70-1</f>
        <v>6.5833706857911345E-2</v>
      </c>
      <c r="DH70" s="295">
        <f>SUM(DH68:DH69)</f>
        <v>37238</v>
      </c>
      <c r="DI70" s="295">
        <f ca="1">SUM(DI68:DI69)</f>
        <v>39538.077958050904</v>
      </c>
      <c r="DJ70" s="295">
        <f t="shared" ca="1" si="140"/>
        <v>39538.077958050904</v>
      </c>
      <c r="DK70" s="672">
        <f ca="1">+DJ70/DF70-1</f>
        <v>3.9217735321739555E-2</v>
      </c>
      <c r="DL70" s="295">
        <f ca="1">SUM(DL68:DL69)</f>
        <v>39976.44256818384</v>
      </c>
      <c r="DM70" s="295">
        <f ca="1">SUM(DM68:DM69)</f>
        <v>42802.857494758231</v>
      </c>
      <c r="DN70" s="295">
        <f t="shared" ca="1" si="141"/>
        <v>42802.857494758231</v>
      </c>
      <c r="DO70" s="672">
        <f ca="1">+DN70/DJ70-1</f>
        <v>8.2573046170104414E-2</v>
      </c>
      <c r="DP70" s="295">
        <f ca="1">SUM(DP68:DP69)</f>
        <v>43333.543043662707</v>
      </c>
      <c r="DQ70" s="295">
        <f ca="1">SUM(DQ68:DQ69)</f>
        <v>46348.392310733128</v>
      </c>
      <c r="DR70" s="295">
        <f t="shared" ca="1" si="142"/>
        <v>46348.392310733128</v>
      </c>
      <c r="DS70" s="672">
        <f ca="1">+DR70/DN70-1</f>
        <v>8.2834068178955E-2</v>
      </c>
      <c r="DT70"/>
    </row>
    <row r="71" spans="1:124" s="1156" customFormat="1" ht="14.4">
      <c r="A71" s="1151" t="s">
        <v>495</v>
      </c>
      <c r="B71" s="1151"/>
      <c r="C71" s="1152"/>
      <c r="D71" s="1151"/>
      <c r="E71" s="1151"/>
      <c r="F71" s="1151"/>
      <c r="G71" s="1151"/>
      <c r="H71" s="1151"/>
      <c r="I71" s="1151"/>
      <c r="J71" s="1151"/>
      <c r="K71" s="1151"/>
      <c r="L71" s="1151"/>
      <c r="M71" s="1151"/>
      <c r="N71" s="1151"/>
      <c r="O71" s="1151"/>
      <c r="P71" s="1151"/>
      <c r="Q71" s="1151"/>
      <c r="R71" s="1151"/>
      <c r="S71" s="1151"/>
      <c r="T71" s="1151"/>
      <c r="U71" s="1151"/>
      <c r="V71" s="1151"/>
      <c r="W71" s="1151"/>
      <c r="X71" s="1151"/>
      <c r="Y71" s="1151"/>
      <c r="Z71" s="1151"/>
      <c r="AA71" s="1151"/>
      <c r="AB71" s="1151"/>
      <c r="AC71" s="1151"/>
      <c r="AD71" s="1151"/>
      <c r="AE71" s="1151"/>
      <c r="AF71" s="1151"/>
      <c r="AG71" s="1151"/>
      <c r="AH71" s="1151"/>
      <c r="AI71" s="1151"/>
      <c r="AJ71" s="1151"/>
      <c r="AK71" s="1151"/>
      <c r="AL71" s="1151"/>
      <c r="AM71" s="1151"/>
      <c r="AN71" s="1152"/>
      <c r="AO71" s="1153"/>
      <c r="AP71" s="1153"/>
      <c r="AQ71" s="1152"/>
      <c r="AR71" s="1153"/>
      <c r="AS71" s="1153"/>
      <c r="AT71" s="1153"/>
      <c r="AU71" s="1154"/>
      <c r="AV71" s="1153"/>
      <c r="AW71" s="1153"/>
      <c r="AX71" s="1153"/>
      <c r="AY71" s="1152"/>
      <c r="AZ71" s="1153"/>
      <c r="BA71" s="1153"/>
      <c r="BB71" s="1153"/>
      <c r="BC71" s="1152"/>
      <c r="BD71" s="1153"/>
      <c r="BE71" s="1153"/>
      <c r="BF71" s="1153"/>
      <c r="BG71" s="1152"/>
      <c r="BH71" s="1153">
        <f>+BH70/BH67</f>
        <v>0.10620043844217705</v>
      </c>
      <c r="BI71" s="1153">
        <f>+BI70/BI67</f>
        <v>0.10571205970394063</v>
      </c>
      <c r="BJ71" s="1153">
        <f t="shared" si="127"/>
        <v>0.10571205970394063</v>
      </c>
      <c r="BK71" s="1152"/>
      <c r="BL71" s="1153">
        <f>+BL70/BL67</f>
        <v>0.10297651711544648</v>
      </c>
      <c r="BM71" s="1153">
        <f>+BM70/BM67</f>
        <v>0.10058869837748984</v>
      </c>
      <c r="BN71" s="1153">
        <f t="shared" si="128"/>
        <v>0.10058869837748984</v>
      </c>
      <c r="BO71" s="1152"/>
      <c r="BP71" s="1153">
        <f>+BP70/BP67</f>
        <v>9.6474140903880026E-2</v>
      </c>
      <c r="BQ71" s="1153">
        <f>+BQ70/BQ67</f>
        <v>0.10484055613892419</v>
      </c>
      <c r="BR71" s="1153">
        <f t="shared" si="129"/>
        <v>0.10484055613892419</v>
      </c>
      <c r="BS71" s="1152"/>
      <c r="BT71" s="1153">
        <f>+BT70/BT67</f>
        <v>0.10542934830278046</v>
      </c>
      <c r="BU71" s="1153">
        <f>+BU70/BU67</f>
        <v>0.11349711951717621</v>
      </c>
      <c r="BV71" s="1153">
        <f t="shared" si="130"/>
        <v>0.11349711951717621</v>
      </c>
      <c r="BW71" s="1152"/>
      <c r="BX71" s="1153">
        <f>+BX70/BX67</f>
        <v>0.11212379666565951</v>
      </c>
      <c r="BY71" s="1153">
        <f>+BY70/BY67</f>
        <v>0.12542182442167538</v>
      </c>
      <c r="BZ71" s="1153">
        <f t="shared" si="131"/>
        <v>0.12542182442167538</v>
      </c>
      <c r="CA71" s="1152"/>
      <c r="CB71" s="1153">
        <f>+CB70/CB67</f>
        <v>0.11353019267338811</v>
      </c>
      <c r="CC71" s="1153">
        <f>+CC70/CC67</f>
        <v>0.11152301097301232</v>
      </c>
      <c r="CD71" s="1153">
        <f t="shared" si="132"/>
        <v>0.11152301097301232</v>
      </c>
      <c r="CE71" s="1152"/>
      <c r="CF71" s="1153">
        <f>+CF70/CF67</f>
        <v>0.10360163158832285</v>
      </c>
      <c r="CG71" s="1153">
        <f>+CG70/CG67</f>
        <v>0.11898952246322658</v>
      </c>
      <c r="CH71" s="1153">
        <f t="shared" si="133"/>
        <v>0.11898952246322658</v>
      </c>
      <c r="CI71" s="1152"/>
      <c r="CJ71" s="1153">
        <f>+CJ70/CJ67</f>
        <v>0.11842169465061182</v>
      </c>
      <c r="CK71" s="1153">
        <f>+CK70/CK67</f>
        <v>0.12007122192442918</v>
      </c>
      <c r="CL71" s="1153">
        <f t="shared" si="134"/>
        <v>0.12007122192442918</v>
      </c>
      <c r="CM71" s="1152"/>
      <c r="CN71" s="1153">
        <f>+CN70/CN67</f>
        <v>0.14064883492567362</v>
      </c>
      <c r="CO71" s="1153">
        <f>+CO70/CO67</f>
        <v>0.13016611655213461</v>
      </c>
      <c r="CP71" s="1153">
        <f t="shared" si="135"/>
        <v>0.13016611655213461</v>
      </c>
      <c r="CQ71" s="1152"/>
      <c r="CR71" s="1153">
        <f>+CR70/CR67</f>
        <v>0.12077760363625642</v>
      </c>
      <c r="CS71" s="1153">
        <f>+CS70/CS67</f>
        <v>0.12697206880161729</v>
      </c>
      <c r="CT71" s="1153">
        <f t="shared" si="136"/>
        <v>0.12697206880161729</v>
      </c>
      <c r="CU71" s="1152"/>
      <c r="CV71" s="1153">
        <f>+CV70/CV67</f>
        <v>0.12874585057523533</v>
      </c>
      <c r="CW71" s="1153">
        <f>+CW70/CW67</f>
        <v>0.1407426346221925</v>
      </c>
      <c r="CX71" s="1153">
        <f t="shared" si="137"/>
        <v>0.1407426346221925</v>
      </c>
      <c r="CY71" s="1152"/>
      <c r="CZ71" s="1153">
        <f>+CZ70/CZ67</f>
        <v>0.13056405155006534</v>
      </c>
      <c r="DA71" s="1153">
        <f>+DA70/DA67</f>
        <v>0.13095220625999676</v>
      </c>
      <c r="DB71" s="1153">
        <f t="shared" si="138"/>
        <v>0.13095220625999676</v>
      </c>
      <c r="DC71" s="1152"/>
      <c r="DD71" s="1153">
        <f>+DD70/DD67</f>
        <v>0.12749696521308154</v>
      </c>
      <c r="DE71" s="1153">
        <f>+DE70/DE67</f>
        <v>0.12290268185371589</v>
      </c>
      <c r="DF71" s="1153">
        <f t="shared" si="139"/>
        <v>0.12290268185371589</v>
      </c>
      <c r="DG71" s="1152"/>
      <c r="DH71" s="1153">
        <f>+DH70/DH67</f>
        <v>0.11532059391437513</v>
      </c>
      <c r="DI71" s="1153">
        <f ca="1">+DI70/DI67</f>
        <v>0.1167118954021735</v>
      </c>
      <c r="DJ71" s="1153">
        <f t="shared" ca="1" si="140"/>
        <v>0.1167118954021735</v>
      </c>
      <c r="DK71" s="1152"/>
      <c r="DL71" s="1153">
        <f ca="1">+DL70/DL67</f>
        <v>0.1150126943063873</v>
      </c>
      <c r="DM71" s="1153">
        <f ca="1">+DM70/DM67</f>
        <v>0.11943310347111555</v>
      </c>
      <c r="DN71" s="1153">
        <f t="shared" ca="1" si="141"/>
        <v>0.11943310347111555</v>
      </c>
      <c r="DO71" s="1152"/>
      <c r="DP71" s="1153">
        <f ca="1">+DP70/DP67</f>
        <v>0.11725164726163242</v>
      </c>
      <c r="DQ71" s="1153">
        <f ca="1">+DQ70/DQ67</f>
        <v>0.12159193956542097</v>
      </c>
      <c r="DR71" s="1153">
        <f t="shared" ca="1" si="142"/>
        <v>0.12159193956542097</v>
      </c>
      <c r="DS71" s="1152"/>
      <c r="DT71"/>
    </row>
    <row r="72" spans="1:124">
      <c r="A72" s="102" t="s">
        <v>564</v>
      </c>
      <c r="AO72" s="1155"/>
      <c r="AP72" s="1155"/>
      <c r="AR72" s="1155"/>
      <c r="AS72" s="1155"/>
      <c r="AT72" s="1155"/>
      <c r="AU72" s="812"/>
      <c r="AV72" s="1155"/>
      <c r="AW72" s="1155"/>
      <c r="AX72" s="1155"/>
      <c r="AZ72" s="1155"/>
      <c r="BA72" s="1155"/>
      <c r="BB72" s="1155"/>
      <c r="BD72" s="1155"/>
      <c r="BE72" s="1155"/>
      <c r="BF72" s="1155"/>
      <c r="BH72" s="1155">
        <f>BH70-BH136+BH137</f>
        <v>9163</v>
      </c>
      <c r="BI72" s="1155">
        <f>BI70-BI136+BI137</f>
        <v>9665</v>
      </c>
      <c r="BJ72" s="1155">
        <f t="shared" si="127"/>
        <v>9665</v>
      </c>
      <c r="BL72" s="1155">
        <f>BL70-BL136+BL137</f>
        <v>10196</v>
      </c>
      <c r="BM72" s="1155">
        <f>BM70-BM136+BM137</f>
        <v>9515</v>
      </c>
      <c r="BN72" s="1155">
        <f t="shared" si="128"/>
        <v>9515</v>
      </c>
      <c r="BP72" s="1155">
        <f>BP70-BP136+BP137</f>
        <v>9692</v>
      </c>
      <c r="BQ72" s="1155">
        <f>BQ70-BQ136+BQ137</f>
        <v>12195</v>
      </c>
      <c r="BR72" s="1155">
        <f t="shared" si="129"/>
        <v>12195</v>
      </c>
      <c r="BT72" s="1155">
        <f>BT70-BT136+BT137</f>
        <v>13312</v>
      </c>
      <c r="BU72" s="1155">
        <f>BU70-BU136+BU137</f>
        <v>13859</v>
      </c>
      <c r="BV72" s="1155">
        <f t="shared" si="130"/>
        <v>13859</v>
      </c>
      <c r="BX72" s="1155">
        <f>BX70-BX136+BX137</f>
        <v>13622</v>
      </c>
      <c r="BY72" s="1155">
        <f>BY70-BY136+BY137</f>
        <v>14439</v>
      </c>
      <c r="BZ72" s="1155">
        <f t="shared" si="131"/>
        <v>14439</v>
      </c>
      <c r="CB72" s="1155">
        <f>CB70-CB136+CB137</f>
        <v>14202</v>
      </c>
      <c r="CC72" s="1155">
        <f>CC70-CC136+CC137</f>
        <v>14954</v>
      </c>
      <c r="CD72" s="1155">
        <f t="shared" si="132"/>
        <v>14954</v>
      </c>
      <c r="CF72" s="1155">
        <f>CF70-CF136+CF137</f>
        <v>15503</v>
      </c>
      <c r="CG72" s="1155">
        <f>CG70-CG136+CG137</f>
        <v>18197</v>
      </c>
      <c r="CH72" s="1155">
        <f t="shared" si="133"/>
        <v>18197</v>
      </c>
      <c r="CJ72" s="1155">
        <f>CJ70-CJ136+CJ137</f>
        <v>20162</v>
      </c>
      <c r="CK72" s="1155">
        <f>CK70-CK136+CK137</f>
        <v>21242</v>
      </c>
      <c r="CL72" s="1155">
        <f t="shared" si="134"/>
        <v>21242</v>
      </c>
      <c r="CN72" s="1155">
        <f>CN70-CN136+CN137</f>
        <v>21086</v>
      </c>
      <c r="CO72" s="1155">
        <f>CO70-CO136+CO137</f>
        <v>22428</v>
      </c>
      <c r="CP72" s="1155">
        <f t="shared" si="135"/>
        <v>22428</v>
      </c>
      <c r="CR72" s="1155">
        <f>CR70-CR136+CR137</f>
        <v>24292</v>
      </c>
      <c r="CS72" s="1155">
        <f>CS70-CS136+CS137</f>
        <v>28290</v>
      </c>
      <c r="CT72" s="1155">
        <f t="shared" si="136"/>
        <v>28290</v>
      </c>
      <c r="CV72" s="1155">
        <f>CV70-CV136+CV137</f>
        <v>31507</v>
      </c>
      <c r="CW72" s="1155">
        <f>CW70-CW136+CW137</f>
        <v>33363</v>
      </c>
      <c r="CX72" s="1155">
        <f t="shared" si="137"/>
        <v>33363</v>
      </c>
      <c r="CZ72" s="1155">
        <f>CZ70-CZ136+CZ137</f>
        <v>32712</v>
      </c>
      <c r="DA72" s="1155">
        <f>DA70-DA136+DA137</f>
        <v>33250</v>
      </c>
      <c r="DB72" s="1155">
        <f t="shared" si="138"/>
        <v>33250</v>
      </c>
      <c r="DD72" s="1155">
        <f>DD70-DD136+DD137</f>
        <v>33119</v>
      </c>
      <c r="DE72" s="1155">
        <f>DE70-DE136+DE137</f>
        <v>35550</v>
      </c>
      <c r="DF72" s="1155">
        <f t="shared" si="139"/>
        <v>35550</v>
      </c>
      <c r="DH72" s="1155">
        <f>DH70-DH136+DH137</f>
        <v>34808</v>
      </c>
      <c r="DI72" s="1155">
        <f ca="1">DI70-DI136+DI137</f>
        <v>37108.077958050904</v>
      </c>
      <c r="DJ72" s="1155">
        <f t="shared" ca="1" si="140"/>
        <v>37108.077958050904</v>
      </c>
      <c r="DL72" s="1155">
        <f ca="1">DL70-DL136+DL137</f>
        <v>37546.44256818384</v>
      </c>
      <c r="DM72" s="1155">
        <f ca="1">DM70-DM136+DM137</f>
        <v>40372.857494758231</v>
      </c>
      <c r="DN72" s="1155">
        <f t="shared" ca="1" si="141"/>
        <v>40372.857494758231</v>
      </c>
      <c r="DP72" s="1155">
        <f ca="1">DP70-DP136+DP137</f>
        <v>40903.543043662707</v>
      </c>
      <c r="DQ72" s="1155">
        <f ca="1">DQ70-DQ136+DQ137</f>
        <v>43918.392310733128</v>
      </c>
      <c r="DR72" s="1155">
        <f t="shared" ca="1" si="142"/>
        <v>43918.392310733128</v>
      </c>
    </row>
    <row r="73" spans="1:124" s="1156" customFormat="1" ht="14.4">
      <c r="A73" s="1151" t="s">
        <v>219</v>
      </c>
      <c r="B73" s="1151"/>
      <c r="C73" s="1152"/>
      <c r="D73" s="1151"/>
      <c r="E73" s="1151"/>
      <c r="F73" s="1151"/>
      <c r="G73" s="1151"/>
      <c r="H73" s="1151"/>
      <c r="I73" s="1151"/>
      <c r="J73" s="1151"/>
      <c r="K73" s="1151"/>
      <c r="L73" s="1151"/>
      <c r="M73" s="1151"/>
      <c r="N73" s="1151"/>
      <c r="O73" s="1151"/>
      <c r="P73" s="1151"/>
      <c r="Q73" s="1151"/>
      <c r="R73" s="1151"/>
      <c r="S73" s="1151"/>
      <c r="T73" s="1151"/>
      <c r="U73" s="1151"/>
      <c r="V73" s="1151"/>
      <c r="W73" s="1151"/>
      <c r="X73" s="1151"/>
      <c r="Y73" s="1151"/>
      <c r="Z73" s="1151"/>
      <c r="AA73" s="1151"/>
      <c r="AB73" s="1151"/>
      <c r="AC73" s="1151"/>
      <c r="AD73" s="1151"/>
      <c r="AE73" s="1151"/>
      <c r="AF73" s="1151"/>
      <c r="AG73" s="1151"/>
      <c r="AH73" s="1151"/>
      <c r="AI73" s="1151"/>
      <c r="AJ73" s="1151"/>
      <c r="AK73" s="1151"/>
      <c r="AL73" s="1151"/>
      <c r="AM73" s="1151"/>
      <c r="AN73" s="1152"/>
      <c r="AO73" s="1153"/>
      <c r="AP73" s="1153"/>
      <c r="AQ73" s="1152"/>
      <c r="AR73" s="1153"/>
      <c r="AS73" s="1153"/>
      <c r="AT73" s="1153"/>
      <c r="AU73" s="1154"/>
      <c r="AV73" s="1153"/>
      <c r="AW73" s="1153"/>
      <c r="AX73" s="1153"/>
      <c r="AY73" s="1152"/>
      <c r="AZ73" s="1153"/>
      <c r="BA73" s="1153"/>
      <c r="BB73" s="1153"/>
      <c r="BC73" s="1152"/>
      <c r="BD73" s="1153"/>
      <c r="BE73" s="1153"/>
      <c r="BF73" s="1153"/>
      <c r="BG73" s="1152"/>
      <c r="BH73" s="1153">
        <f>+BH72/BH67</f>
        <v>9.9196189342066088E-2</v>
      </c>
      <c r="BI73" s="1153">
        <f>+BI72/BI67</f>
        <v>9.9079427563865993E-2</v>
      </c>
      <c r="BJ73" s="1153">
        <f t="shared" si="127"/>
        <v>9.9079427563865993E-2</v>
      </c>
      <c r="BK73" s="1152"/>
      <c r="BL73" s="1153">
        <f>+BL72/BL67</f>
        <v>9.646715991447008E-2</v>
      </c>
      <c r="BM73" s="1153">
        <f>+BM72/BM67</f>
        <v>9.4221447633571154E-2</v>
      </c>
      <c r="BN73" s="1153">
        <f t="shared" si="128"/>
        <v>9.4221447633571154E-2</v>
      </c>
      <c r="BO73" s="1152"/>
      <c r="BP73" s="1153">
        <f>+BP72/BP67</f>
        <v>9.0332081310057502E-2</v>
      </c>
      <c r="BQ73" s="1153">
        <f>+BQ72/BQ67</f>
        <v>9.6282143392889569E-2</v>
      </c>
      <c r="BR73" s="1153">
        <f t="shared" si="129"/>
        <v>9.6282143392889569E-2</v>
      </c>
      <c r="BS73" s="1152"/>
      <c r="BT73" s="1153">
        <f>+BT72/BT67</f>
        <v>9.7301406309388064E-2</v>
      </c>
      <c r="BU73" s="1153">
        <f>+BU72/BU67</f>
        <v>0.10561008321394824</v>
      </c>
      <c r="BV73" s="1153">
        <f t="shared" si="130"/>
        <v>0.10561008321394824</v>
      </c>
      <c r="BW73" s="1152"/>
      <c r="BX73" s="1153">
        <f>+BX72/BX67</f>
        <v>0.1041990966147915</v>
      </c>
      <c r="BY73" s="1153">
        <f>+BY72/BY67</f>
        <v>0.11036417349165523</v>
      </c>
      <c r="BZ73" s="1153">
        <f t="shared" si="131"/>
        <v>0.11036417349165523</v>
      </c>
      <c r="CA73" s="1152"/>
      <c r="CB73" s="1153">
        <f>+CB72/CB67</f>
        <v>0.10191238204585411</v>
      </c>
      <c r="CC73" s="1153">
        <f>+CC72/CC67</f>
        <v>0.10079264511606589</v>
      </c>
      <c r="CD73" s="1153">
        <f t="shared" si="132"/>
        <v>0.10079264511606589</v>
      </c>
      <c r="CE73" s="1152"/>
      <c r="CF73" s="1153">
        <f>+CF72/CF67</f>
        <v>9.3614040596477779E-2</v>
      </c>
      <c r="CG73" s="1153">
        <f>+CG72/CG67</f>
        <v>0.10922929628529153</v>
      </c>
      <c r="CH73" s="1153">
        <f t="shared" si="133"/>
        <v>0.10922929628529153</v>
      </c>
      <c r="CI73" s="1152"/>
      <c r="CJ73" s="1153">
        <f>+CJ72/CJ67</f>
        <v>0.10930816314359912</v>
      </c>
      <c r="CK73" s="1153">
        <f>+CK72/CK67</f>
        <v>0.11307145879854257</v>
      </c>
      <c r="CL73" s="1153">
        <f t="shared" si="134"/>
        <v>0.11307145879854257</v>
      </c>
      <c r="CM73" s="1152"/>
      <c r="CN73" s="1153">
        <f>+CN72/CN67</f>
        <v>0.13022399812254123</v>
      </c>
      <c r="CO73" s="1153">
        <f>+CO72/CO67</f>
        <v>0.12135706942265029</v>
      </c>
      <c r="CP73" s="1153">
        <f t="shared" si="135"/>
        <v>0.12135706942265029</v>
      </c>
      <c r="CQ73" s="1152"/>
      <c r="CR73" s="1153">
        <f>+CR72/CR67</f>
        <v>0.11019453699650482</v>
      </c>
      <c r="CS73" s="1153">
        <f>+CS72/CS67</f>
        <v>0.11743681388817973</v>
      </c>
      <c r="CT73" s="1153">
        <f t="shared" si="136"/>
        <v>0.11743681388817973</v>
      </c>
      <c r="CU73" s="1152"/>
      <c r="CV73" s="1153">
        <f>+CV72/CV67</f>
        <v>0.11939353978142574</v>
      </c>
      <c r="CW73" s="1153">
        <f>+CW72/CW67</f>
        <v>0.13123156197144317</v>
      </c>
      <c r="CX73" s="1153">
        <f t="shared" si="137"/>
        <v>0.13123156197144317</v>
      </c>
      <c r="CY73" s="1152"/>
      <c r="CZ73" s="1153">
        <f>+CZ72/CZ67</f>
        <v>0.12142178405986459</v>
      </c>
      <c r="DA73" s="1153">
        <f>+DA72/DA67</f>
        <v>0.12197895725417113</v>
      </c>
      <c r="DB73" s="1153">
        <f t="shared" si="138"/>
        <v>0.12197895725417113</v>
      </c>
      <c r="DC73" s="1152"/>
      <c r="DD73" s="1153">
        <f>+DD72/DD67</f>
        <v>0.11894568988428304</v>
      </c>
      <c r="DE73" s="1153">
        <f>+DE72/DE67</f>
        <v>0.11483967670450508</v>
      </c>
      <c r="DF73" s="1153">
        <f t="shared" si="139"/>
        <v>0.11483967670450508</v>
      </c>
      <c r="DG73" s="1152"/>
      <c r="DH73" s="1153">
        <f>+DH72/DH67</f>
        <v>0.10779524230548282</v>
      </c>
      <c r="DI73" s="1153">
        <f ca="1">+DI72/DI67</f>
        <v>0.10953881263046704</v>
      </c>
      <c r="DJ73" s="1153">
        <f t="shared" ca="1" si="140"/>
        <v>0.10953881263046704</v>
      </c>
      <c r="DK73" s="1152"/>
      <c r="DL73" s="1153">
        <f ca="1">+DL72/DL67</f>
        <v>0.10802155579555463</v>
      </c>
      <c r="DM73" s="1153">
        <f ca="1">+DM72/DM67</f>
        <v>0.11265265799570885</v>
      </c>
      <c r="DN73" s="1153">
        <f t="shared" ca="1" si="141"/>
        <v>0.11265265799570885</v>
      </c>
      <c r="DO73" s="1152"/>
      <c r="DP73" s="1153">
        <f ca="1">+DP72/DP67</f>
        <v>0.11067656747739506</v>
      </c>
      <c r="DQ73" s="1153">
        <f ca="1">+DQ72/DQ67</f>
        <v>0.11521699539987006</v>
      </c>
      <c r="DR73" s="1153">
        <f t="shared" ca="1" si="142"/>
        <v>0.11521699539987006</v>
      </c>
      <c r="DS73" s="1152"/>
      <c r="DT73"/>
    </row>
    <row r="74" spans="1:124">
      <c r="BH74" s="293"/>
      <c r="CB74" s="148"/>
    </row>
    <row r="75" spans="1:124" s="289" customFormat="1">
      <c r="A75" s="620" t="s">
        <v>464</v>
      </c>
      <c r="B75" s="620"/>
      <c r="C75" s="651"/>
      <c r="D75" s="620"/>
      <c r="E75" s="620"/>
      <c r="F75" s="620"/>
      <c r="G75" s="620"/>
      <c r="H75" s="620"/>
      <c r="I75" s="620"/>
      <c r="J75" s="620"/>
      <c r="K75" s="620"/>
      <c r="L75" s="620"/>
      <c r="M75" s="620"/>
      <c r="N75" s="620"/>
      <c r="O75" s="620"/>
      <c r="P75" s="620"/>
      <c r="Q75" s="620"/>
      <c r="R75" s="620"/>
      <c r="S75" s="620"/>
      <c r="T75" s="620"/>
      <c r="U75" s="620"/>
      <c r="V75" s="620"/>
      <c r="W75" s="620"/>
      <c r="X75" s="620"/>
      <c r="Y75" s="620"/>
      <c r="Z75" s="620"/>
      <c r="AA75" s="620"/>
      <c r="AB75" s="620"/>
      <c r="AC75" s="620"/>
      <c r="AD75" s="620"/>
      <c r="AE75" s="620"/>
      <c r="AF75" s="620"/>
      <c r="AG75" s="620"/>
      <c r="AH75" s="620"/>
      <c r="AI75" s="620"/>
      <c r="AJ75" s="620"/>
      <c r="AK75" s="620"/>
      <c r="AL75" s="620"/>
      <c r="AM75" s="620"/>
      <c r="AN75" s="651"/>
      <c r="AO75" s="652"/>
      <c r="AP75" s="652"/>
      <c r="AQ75" s="651"/>
      <c r="AR75" s="652"/>
      <c r="AS75" s="652"/>
      <c r="AT75" s="652"/>
      <c r="AU75" s="651"/>
      <c r="AV75" s="652"/>
      <c r="AW75" s="652"/>
      <c r="AX75" s="652"/>
      <c r="AY75" s="651"/>
      <c r="AZ75" s="652"/>
      <c r="BA75" s="652"/>
      <c r="BB75" s="652"/>
      <c r="BC75" s="651"/>
      <c r="BD75" s="652"/>
      <c r="BE75" s="652"/>
      <c r="BF75" s="652"/>
      <c r="BG75" s="651"/>
      <c r="BH75" s="652"/>
      <c r="BI75" s="652"/>
      <c r="BJ75" s="652"/>
      <c r="BK75" s="651"/>
      <c r="BL75" s="652"/>
      <c r="BM75" s="652"/>
      <c r="BN75" s="652"/>
      <c r="BO75" s="651"/>
      <c r="BP75" s="652"/>
      <c r="BQ75" s="652"/>
      <c r="BR75" s="652"/>
      <c r="BS75" s="651"/>
      <c r="BT75" s="652"/>
      <c r="BU75" s="652"/>
      <c r="BV75" s="652"/>
      <c r="BW75" s="651"/>
      <c r="BX75" s="652"/>
      <c r="BY75" s="652"/>
      <c r="BZ75" s="652"/>
      <c r="CA75" s="651"/>
      <c r="CB75" s="652"/>
      <c r="CC75" s="652"/>
      <c r="CD75" s="652"/>
      <c r="CE75" s="651"/>
      <c r="CF75" s="652"/>
      <c r="CG75" s="652"/>
      <c r="CH75" s="652"/>
      <c r="CI75" s="651"/>
      <c r="CJ75" s="652"/>
      <c r="CK75" s="652"/>
      <c r="CL75" s="652"/>
      <c r="CM75" s="651"/>
      <c r="CN75" s="652"/>
      <c r="CO75" s="652"/>
      <c r="CP75" s="652"/>
      <c r="CQ75" s="651"/>
      <c r="CR75" s="652"/>
      <c r="CS75" s="652"/>
      <c r="CT75" s="652"/>
      <c r="CU75" s="651"/>
      <c r="CV75" s="652"/>
      <c r="CW75" s="1792"/>
      <c r="CX75" s="1792"/>
      <c r="CY75" s="651"/>
      <c r="CZ75" s="652"/>
      <c r="DA75" s="652"/>
      <c r="DB75" s="652"/>
      <c r="DC75" s="651"/>
      <c r="DD75" s="652"/>
      <c r="DE75" s="652"/>
      <c r="DF75" s="652"/>
      <c r="DG75" s="651"/>
      <c r="DH75" s="652"/>
      <c r="DI75" s="652"/>
      <c r="DJ75" s="652"/>
      <c r="DK75" s="651"/>
      <c r="DL75" s="652"/>
      <c r="DM75" s="652"/>
      <c r="DN75" s="652"/>
      <c r="DO75" s="651"/>
      <c r="DP75" s="652"/>
      <c r="DQ75" s="652"/>
      <c r="DR75" s="652"/>
      <c r="DS75" s="651"/>
      <c r="DT75"/>
    </row>
    <row r="77" spans="1:124">
      <c r="A77" s="289" t="s">
        <v>257</v>
      </c>
      <c r="CN77" s="1009" t="s">
        <v>1235</v>
      </c>
      <c r="CO77" s="1009"/>
      <c r="CP77" s="1009"/>
    </row>
    <row r="78" spans="1:124">
      <c r="A78" s="102" t="s">
        <v>258</v>
      </c>
      <c r="BH78" s="293">
        <f>+BH128+BH136</f>
        <v>9010</v>
      </c>
      <c r="BI78" s="293">
        <f>+BI128+BI136</f>
        <v>8955</v>
      </c>
      <c r="BJ78" s="293">
        <f>BI78</f>
        <v>8955</v>
      </c>
      <c r="BL78" s="293">
        <f>+BL128+BL136</f>
        <v>9629</v>
      </c>
      <c r="BM78" s="293">
        <f>+BM128+BM136</f>
        <v>9682</v>
      </c>
      <c r="BN78" s="293">
        <f>BM78</f>
        <v>9682</v>
      </c>
      <c r="BP78" s="293">
        <f>+BP128+BP136</f>
        <v>9650</v>
      </c>
      <c r="BQ78" s="293">
        <f>+BQ128+BQ136</f>
        <v>12297</v>
      </c>
      <c r="BR78" s="293">
        <f>BQ78</f>
        <v>12297</v>
      </c>
      <c r="BT78" s="293">
        <f>+BT128+BT136</f>
        <v>12668</v>
      </c>
      <c r="BU78" s="293">
        <f>+BU128+BU136</f>
        <v>13465</v>
      </c>
      <c r="BV78" s="293">
        <f>BU78</f>
        <v>13465</v>
      </c>
      <c r="BX78" s="293">
        <f>+BX128+BX136</f>
        <v>13043</v>
      </c>
      <c r="BY78" s="293">
        <f>+BY128+BY136</f>
        <v>14255</v>
      </c>
      <c r="BZ78" s="293">
        <f>BY78</f>
        <v>14255</v>
      </c>
      <c r="CB78" s="293">
        <f>+CB128+CB136</f>
        <v>13845</v>
      </c>
      <c r="CC78" s="293">
        <f>+CC128+CC136</f>
        <v>14254</v>
      </c>
      <c r="CD78" s="293">
        <f>CC78</f>
        <v>14254</v>
      </c>
      <c r="CF78" s="293">
        <f>+CF128+CF136</f>
        <v>14298</v>
      </c>
      <c r="CG78" s="293">
        <f>+CG128+CG136</f>
        <v>12500</v>
      </c>
      <c r="CH78" s="293">
        <f>CG78</f>
        <v>12500</v>
      </c>
      <c r="CJ78" s="293">
        <f>+CJ128+CJ136</f>
        <v>13649</v>
      </c>
      <c r="CK78" s="293">
        <f>+CK128+CK136</f>
        <v>15163</v>
      </c>
      <c r="CL78" s="293">
        <f>CK78</f>
        <v>15163</v>
      </c>
      <c r="CN78" s="1010">
        <f>+CN128+CN136</f>
        <v>15535</v>
      </c>
      <c r="CO78" s="1010">
        <f>+CO128+CO136</f>
        <v>15707</v>
      </c>
      <c r="CP78" s="1010">
        <f>CO78</f>
        <v>15707</v>
      </c>
      <c r="CR78" s="293">
        <f>+CR128+CR136</f>
        <v>18401</v>
      </c>
      <c r="CS78" s="293">
        <f>+CS128+CS136</f>
        <v>20255</v>
      </c>
      <c r="CT78" s="293">
        <f>CS78</f>
        <v>20255</v>
      </c>
      <c r="CV78" s="293">
        <f>+CV128+CV136</f>
        <v>23121</v>
      </c>
      <c r="CW78" s="1495">
        <f>+CW128+CW136</f>
        <v>22771</v>
      </c>
      <c r="CX78" s="1495">
        <f>CW78</f>
        <v>22771</v>
      </c>
      <c r="CZ78" s="1010">
        <f>+CZ128+CZ136</f>
        <v>22611</v>
      </c>
      <c r="DA78" s="1495">
        <f>+DA128+DA136</f>
        <v>23799</v>
      </c>
      <c r="DB78" s="1495">
        <f>DA78</f>
        <v>23799</v>
      </c>
      <c r="DD78" s="1010">
        <f>+DD128+DD136</f>
        <v>23353</v>
      </c>
      <c r="DE78" s="1495">
        <f>+DE128+DE136</f>
        <v>25549</v>
      </c>
      <c r="DF78" s="1495">
        <f>DE78</f>
        <v>25549</v>
      </c>
      <c r="DH78" s="1010">
        <f>+DH128+DH136</f>
        <v>25313</v>
      </c>
      <c r="DI78" s="293">
        <f ca="1">+DI128+DI136</f>
        <v>26863.360914198369</v>
      </c>
      <c r="DJ78" s="293">
        <f ca="1">DI78</f>
        <v>26863.360914198369</v>
      </c>
      <c r="DL78" s="293">
        <f ca="1">+DL128+DL136</f>
        <v>27341.81859189727</v>
      </c>
      <c r="DM78" s="293">
        <f ca="1">+DM128+DM136</f>
        <v>30215.124875694339</v>
      </c>
      <c r="DN78" s="293">
        <f ca="1">DM78</f>
        <v>30215.124875694339</v>
      </c>
      <c r="DP78" s="293">
        <f ca="1">+DP128+DP136</f>
        <v>30800.153106239934</v>
      </c>
      <c r="DQ78" s="293">
        <f ca="1">+DQ128+DQ136</f>
        <v>33877.509713242835</v>
      </c>
      <c r="DR78" s="293">
        <f ca="1">DQ78</f>
        <v>33877.509713242835</v>
      </c>
    </row>
    <row r="79" spans="1:124">
      <c r="A79" s="102" t="s">
        <v>259</v>
      </c>
      <c r="BH79" s="626">
        <v>3594</v>
      </c>
      <c r="BI79" s="626">
        <v>3993</v>
      </c>
      <c r="BJ79" s="293">
        <f>BI79</f>
        <v>3993</v>
      </c>
      <c r="BL79" s="626">
        <v>4061</v>
      </c>
      <c r="BM79" s="626">
        <v>3197</v>
      </c>
      <c r="BN79" s="293">
        <f>BM79</f>
        <v>3197</v>
      </c>
      <c r="BP79" s="626">
        <v>3586</v>
      </c>
      <c r="BQ79" s="626">
        <v>3780</v>
      </c>
      <c r="BR79" s="293">
        <f>BQ79</f>
        <v>3780</v>
      </c>
      <c r="BT79" s="626">
        <v>4244</v>
      </c>
      <c r="BU79" s="626">
        <v>3783</v>
      </c>
      <c r="BV79" s="293">
        <f>BU79</f>
        <v>3783</v>
      </c>
      <c r="BX79" s="626">
        <v>3865</v>
      </c>
      <c r="BY79" s="626">
        <v>4415</v>
      </c>
      <c r="BZ79" s="293">
        <f>BY79</f>
        <v>4415</v>
      </c>
      <c r="CB79" s="626">
        <v>4303</v>
      </c>
      <c r="CC79" s="626">
        <v>4826</v>
      </c>
      <c r="CD79" s="293">
        <f>CC79</f>
        <v>4826</v>
      </c>
      <c r="CF79" s="626">
        <v>5524</v>
      </c>
      <c r="CG79" s="626">
        <v>9358</v>
      </c>
      <c r="CH79" s="293">
        <f>CG79</f>
        <v>9358</v>
      </c>
      <c r="CJ79" s="626">
        <v>10127</v>
      </c>
      <c r="CK79" s="626">
        <v>9589</v>
      </c>
      <c r="CL79" s="293">
        <f>CK79</f>
        <v>9589</v>
      </c>
      <c r="CN79" s="1388">
        <v>9075</v>
      </c>
      <c r="CO79" s="1388">
        <v>10588</v>
      </c>
      <c r="CP79" s="1010">
        <f>CO79</f>
        <v>10588</v>
      </c>
      <c r="CR79" s="1488">
        <v>10704</v>
      </c>
      <c r="CS79" s="1388">
        <v>13315</v>
      </c>
      <c r="CT79" s="293">
        <f>CS79</f>
        <v>13315</v>
      </c>
      <c r="CV79" s="1488">
        <v>14099</v>
      </c>
      <c r="CW79" s="1497">
        <v>16303</v>
      </c>
      <c r="CX79" s="1495">
        <f>CW79</f>
        <v>16303</v>
      </c>
      <c r="CZ79" s="1488">
        <v>16000</v>
      </c>
      <c r="DA79" s="1488">
        <v>15542</v>
      </c>
      <c r="DB79" s="1495">
        <f>DA79</f>
        <v>15542</v>
      </c>
      <c r="DD79" s="1488">
        <v>15509</v>
      </c>
      <c r="DE79" s="2176">
        <v>16300</v>
      </c>
      <c r="DF79" s="1495">
        <f>DE79</f>
        <v>16300</v>
      </c>
      <c r="DH79" s="2259">
        <v>15685</v>
      </c>
      <c r="DI79" s="293">
        <f>DI50</f>
        <v>16577.349999999999</v>
      </c>
      <c r="DJ79" s="293">
        <f>DI79</f>
        <v>16577.349999999999</v>
      </c>
      <c r="DL79" s="293">
        <f>DL50</f>
        <v>16688.80875</v>
      </c>
      <c r="DM79" s="293">
        <f>DM50</f>
        <v>16803.053968749999</v>
      </c>
      <c r="DN79" s="293">
        <f>DM79</f>
        <v>16803.053968749999</v>
      </c>
      <c r="DP79" s="293">
        <f>DP50</f>
        <v>16920.155317968747</v>
      </c>
      <c r="DQ79" s="293">
        <f>DQ50</f>
        <v>17040.184200917967</v>
      </c>
      <c r="DR79" s="293">
        <f>DQ79</f>
        <v>17040.184200917967</v>
      </c>
    </row>
    <row r="80" spans="1:124" s="1157" customFormat="1" ht="14.4">
      <c r="A80" s="1156" t="s">
        <v>261</v>
      </c>
      <c r="C80" s="1158"/>
      <c r="AN80" s="1158"/>
      <c r="AO80" s="1158"/>
      <c r="AP80" s="1158"/>
      <c r="AQ80" s="1158"/>
      <c r="AR80" s="1158"/>
      <c r="AS80" s="1158"/>
      <c r="AT80" s="1158"/>
      <c r="AU80" s="1158"/>
      <c r="AV80" s="1158"/>
      <c r="AW80" s="1158"/>
      <c r="AX80" s="1158"/>
      <c r="AY80" s="1158"/>
      <c r="AZ80" s="1158"/>
      <c r="BA80" s="1158"/>
      <c r="BB80" s="1158"/>
      <c r="BC80" s="1158"/>
      <c r="BD80" s="1158"/>
      <c r="BE80" s="1158"/>
      <c r="BF80" s="1158"/>
      <c r="BG80" s="1158"/>
      <c r="BH80" s="1159">
        <f>SUM(BH78:BH79)</f>
        <v>12604</v>
      </c>
      <c r="BI80" s="1159">
        <f>SUM(BI78:BI79)</f>
        <v>12948</v>
      </c>
      <c r="BJ80" s="1159">
        <f>BI80</f>
        <v>12948</v>
      </c>
      <c r="BK80" s="1158"/>
      <c r="BL80" s="1159">
        <f>SUM(BL78:BL79)</f>
        <v>13690</v>
      </c>
      <c r="BM80" s="1159">
        <f>SUM(BM78:BM79)</f>
        <v>12879</v>
      </c>
      <c r="BN80" s="1159">
        <f>BM80</f>
        <v>12879</v>
      </c>
      <c r="BO80" s="1158"/>
      <c r="BP80" s="1159">
        <f>SUM(BP78:BP79)</f>
        <v>13236</v>
      </c>
      <c r="BQ80" s="1159">
        <f>SUM(BQ78:BQ79)</f>
        <v>16077</v>
      </c>
      <c r="BR80" s="1159">
        <f>BQ80</f>
        <v>16077</v>
      </c>
      <c r="BS80" s="1158"/>
      <c r="BT80" s="1159">
        <f>SUM(BT78:BT79)</f>
        <v>16912</v>
      </c>
      <c r="BU80" s="1159">
        <f>SUM(BU78:BU79)</f>
        <v>17248</v>
      </c>
      <c r="BV80" s="1159">
        <f>BU80</f>
        <v>17248</v>
      </c>
      <c r="BW80" s="1158"/>
      <c r="BX80" s="1159">
        <f>SUM(BX78:BX79)</f>
        <v>16908</v>
      </c>
      <c r="BY80" s="1159">
        <f>SUM(BY78:BY79)</f>
        <v>18670</v>
      </c>
      <c r="BZ80" s="1159">
        <f>BY80</f>
        <v>18670</v>
      </c>
      <c r="CA80" s="1158"/>
      <c r="CB80" s="1159">
        <f>SUM(CB78:CB79)</f>
        <v>18148</v>
      </c>
      <c r="CC80" s="1159">
        <f>SUM(CC78:CC79)</f>
        <v>19080</v>
      </c>
      <c r="CD80" s="1159">
        <f>CC80</f>
        <v>19080</v>
      </c>
      <c r="CE80" s="1158"/>
      <c r="CF80" s="1159">
        <f>SUM(CF78:CF79)</f>
        <v>19822</v>
      </c>
      <c r="CG80" s="1159">
        <f>SUM(CG78:CG79)</f>
        <v>21858</v>
      </c>
      <c r="CH80" s="1159">
        <f>CG80</f>
        <v>21858</v>
      </c>
      <c r="CI80" s="1158"/>
      <c r="CJ80" s="1159">
        <f>SUM(CJ78:CJ79)</f>
        <v>23776</v>
      </c>
      <c r="CK80" s="1159">
        <f>SUM(CK78:CK79)</f>
        <v>24752</v>
      </c>
      <c r="CL80" s="1159">
        <f>CK80</f>
        <v>24752</v>
      </c>
      <c r="CM80" s="1158"/>
      <c r="CN80" s="1736">
        <f>SUM(CN78:CN79)</f>
        <v>24610</v>
      </c>
      <c r="CO80" s="1736">
        <f>SUM(CO78:CO79)</f>
        <v>26295</v>
      </c>
      <c r="CP80" s="1736">
        <f>CO80</f>
        <v>26295</v>
      </c>
      <c r="CQ80" s="1158"/>
      <c r="CR80" s="1159">
        <f>SUM(CR78:CR79)</f>
        <v>29105</v>
      </c>
      <c r="CS80" s="1159">
        <f>SUM(CS78:CS79)</f>
        <v>33570</v>
      </c>
      <c r="CT80" s="1159">
        <f>CS80</f>
        <v>33570</v>
      </c>
      <c r="CU80" s="1158"/>
      <c r="CV80" s="1734">
        <f>SUM(CV78:CV79)</f>
        <v>37220</v>
      </c>
      <c r="CW80" s="1734">
        <f>SUM(CW78:CW79)</f>
        <v>39074</v>
      </c>
      <c r="CX80" s="1734">
        <f>CW80</f>
        <v>39074</v>
      </c>
      <c r="CY80" s="1158"/>
      <c r="CZ80" s="1891">
        <f>SUM(CZ78:CZ79)</f>
        <v>38611</v>
      </c>
      <c r="DA80" s="1734">
        <f>SUM(DA78:DA79)</f>
        <v>39341</v>
      </c>
      <c r="DB80" s="1734">
        <f>DA80</f>
        <v>39341</v>
      </c>
      <c r="DC80" s="1158"/>
      <c r="DD80" s="1891">
        <f>SUM(DD78:DD79)</f>
        <v>38862</v>
      </c>
      <c r="DE80" s="1734">
        <f>SUM(DE78:DE79)</f>
        <v>41849</v>
      </c>
      <c r="DF80" s="1734">
        <f>DE80</f>
        <v>41849</v>
      </c>
      <c r="DG80" s="1158"/>
      <c r="DH80" s="1891">
        <f>SUM(DH78:DH79)</f>
        <v>40998</v>
      </c>
      <c r="DI80" s="1159">
        <f ca="1">SUM(DI78:DI79)</f>
        <v>43440.710914198367</v>
      </c>
      <c r="DJ80" s="1159">
        <f ca="1">DI80</f>
        <v>43440.710914198367</v>
      </c>
      <c r="DK80" s="1158"/>
      <c r="DL80" s="1159">
        <f ca="1">SUM(DL78:DL79)</f>
        <v>44030.627341897271</v>
      </c>
      <c r="DM80" s="1159">
        <f ca="1">SUM(DM78:DM79)</f>
        <v>47018.178844444337</v>
      </c>
      <c r="DN80" s="1159">
        <f ca="1">DM80</f>
        <v>47018.178844444337</v>
      </c>
      <c r="DO80" s="1158"/>
      <c r="DP80" s="1159">
        <f ca="1">SUM(DP78:DP79)</f>
        <v>47720.308424208677</v>
      </c>
      <c r="DQ80" s="1159">
        <f ca="1">SUM(DQ78:DQ79)</f>
        <v>50917.693914160802</v>
      </c>
      <c r="DR80" s="1159">
        <f ca="1">DQ80</f>
        <v>50917.693914160802</v>
      </c>
      <c r="DS80" s="1158"/>
      <c r="DT80"/>
    </row>
    <row r="81" spans="1:124">
      <c r="CV81" s="1408"/>
      <c r="CZ81" s="1802"/>
      <c r="DA81" s="1408"/>
      <c r="DB81" s="1408"/>
      <c r="DD81" s="1802"/>
      <c r="DE81" s="1408"/>
      <c r="DF81" s="1408"/>
      <c r="DH81" s="1802"/>
    </row>
    <row r="82" spans="1:124">
      <c r="A82" s="289" t="s">
        <v>262</v>
      </c>
      <c r="CV82" s="1408"/>
      <c r="CZ82" s="1802"/>
      <c r="DA82" s="1408"/>
      <c r="DB82" s="1408"/>
      <c r="DD82" s="1802"/>
      <c r="DE82" s="1408"/>
      <c r="DF82" s="1408"/>
      <c r="DH82" s="1802"/>
    </row>
    <row r="83" spans="1:124">
      <c r="A83" s="102" t="s">
        <v>263</v>
      </c>
      <c r="BH83" s="626">
        <v>56010</v>
      </c>
      <c r="BI83" s="626">
        <v>58373</v>
      </c>
      <c r="BL83" s="626">
        <v>62844</v>
      </c>
      <c r="BM83" s="626">
        <v>65698</v>
      </c>
      <c r="BP83" s="626">
        <v>69943</v>
      </c>
      <c r="BQ83" s="626">
        <v>86459</v>
      </c>
      <c r="BR83" s="293">
        <f>BQ83</f>
        <v>86459</v>
      </c>
      <c r="BT83" s="626">
        <v>91912</v>
      </c>
      <c r="BU83" s="626">
        <v>93528</v>
      </c>
      <c r="BV83" s="293">
        <f>BU83</f>
        <v>93528</v>
      </c>
      <c r="BX83" s="626">
        <v>93068</v>
      </c>
      <c r="BY83" s="626">
        <v>89568</v>
      </c>
      <c r="BZ83" s="293">
        <f>BY83</f>
        <v>89568</v>
      </c>
      <c r="CB83" s="626">
        <v>88880</v>
      </c>
      <c r="CC83" s="626">
        <v>91564</v>
      </c>
      <c r="CD83" s="293">
        <f>CC83</f>
        <v>91564</v>
      </c>
      <c r="CE83" s="324">
        <f>+CD83/BZ83-1</f>
        <v>2.2284744551625657E-2</v>
      </c>
      <c r="CF83" s="626">
        <v>95818</v>
      </c>
      <c r="CG83" s="626">
        <v>77182</v>
      </c>
      <c r="CH83" s="293">
        <f>CG83</f>
        <v>77182</v>
      </c>
      <c r="CI83" s="324">
        <f>+CH83/CD83-1</f>
        <v>-0.157070464374645</v>
      </c>
      <c r="CJ83" s="626">
        <v>87076</v>
      </c>
      <c r="CK83" s="626">
        <v>94976</v>
      </c>
      <c r="CL83" s="293">
        <f>CK83</f>
        <v>94976</v>
      </c>
      <c r="CM83" s="324">
        <f>+CL83/CH83-1</f>
        <v>0.23054598222383449</v>
      </c>
      <c r="CN83" s="626">
        <v>87821</v>
      </c>
      <c r="CO83" s="626">
        <v>93335</v>
      </c>
      <c r="CP83" s="293">
        <f>CO83</f>
        <v>93335</v>
      </c>
      <c r="CQ83" s="324">
        <f>+CP83/CL83-1</f>
        <v>-1.7278049191374656E-2</v>
      </c>
      <c r="CR83" s="1488">
        <v>115009</v>
      </c>
      <c r="CS83" s="1388">
        <v>129833</v>
      </c>
      <c r="CT83" s="293">
        <f>CS83</f>
        <v>129833</v>
      </c>
      <c r="CU83" s="324">
        <f>+CT83/CP83-1</f>
        <v>0.39104301708898048</v>
      </c>
      <c r="CV83" s="626">
        <v>135417</v>
      </c>
      <c r="CW83" s="1497">
        <v>124230</v>
      </c>
      <c r="CX83" s="1495">
        <f>CW83</f>
        <v>124230</v>
      </c>
      <c r="CY83" s="324">
        <f>+CX83/CT83-1</f>
        <v>-4.3155438139764191E-2</v>
      </c>
      <c r="CZ83" s="1488">
        <v>125358</v>
      </c>
      <c r="DA83" s="1488">
        <v>128938</v>
      </c>
      <c r="DB83" s="1495">
        <f>DA83</f>
        <v>128938</v>
      </c>
      <c r="DC83" s="324">
        <f>+DB83/CX83-1</f>
        <v>3.7897448281413615E-2</v>
      </c>
      <c r="DD83" s="1488">
        <v>136938</v>
      </c>
      <c r="DE83" s="2176">
        <v>149362</v>
      </c>
      <c r="DF83" s="1495">
        <f>DE83</f>
        <v>149362</v>
      </c>
      <c r="DG83" s="324">
        <f>+DF83/DB83-1</f>
        <v>0.15840171245094536</v>
      </c>
      <c r="DH83" s="2259">
        <v>152771</v>
      </c>
      <c r="DI83" s="293">
        <f>DI151</f>
        <v>164018.42947927551</v>
      </c>
      <c r="DJ83" s="293">
        <f>DI83</f>
        <v>164018.42947927551</v>
      </c>
      <c r="DK83" s="324">
        <f>+DJ83/DF83-1</f>
        <v>9.8126896260598562E-2</v>
      </c>
      <c r="DL83" s="293">
        <f>DL151</f>
        <v>168126.30995913022</v>
      </c>
      <c r="DM83" s="293">
        <f>DM151</f>
        <v>174767.17105095324</v>
      </c>
      <c r="DN83" s="293">
        <f>DM83</f>
        <v>174767.17105095324</v>
      </c>
      <c r="DO83" s="324">
        <f>+DN83/DJ83-1</f>
        <v>6.5533742798310923E-2</v>
      </c>
      <c r="DP83" s="293">
        <f>DP151</f>
        <v>181707.46765756299</v>
      </c>
      <c r="DQ83" s="293">
        <f>DQ151</f>
        <v>188961.87799737774</v>
      </c>
      <c r="DR83" s="293">
        <f>DQ83</f>
        <v>188961.87799737774</v>
      </c>
      <c r="DS83" s="324">
        <f>+DR83/DN83-1</f>
        <v>8.1220671256880594E-2</v>
      </c>
    </row>
    <row r="84" spans="1:124">
      <c r="A84" s="302" t="s">
        <v>266</v>
      </c>
      <c r="BH84" s="733">
        <v>7.0000000000000007E-2</v>
      </c>
      <c r="BI84" s="733">
        <v>7.0000000000000007E-2</v>
      </c>
      <c r="BL84" s="733">
        <v>7.0000000000000007E-2</v>
      </c>
      <c r="BM84" s="733">
        <v>7.0000000000000007E-2</v>
      </c>
      <c r="BP84" s="733">
        <v>7.0000000000000007E-2</v>
      </c>
      <c r="BQ84" s="733">
        <v>7.0000000000000007E-2</v>
      </c>
      <c r="BT84" s="733">
        <v>8.5000000000000006E-2</v>
      </c>
      <c r="BU84" s="733">
        <v>8.5000000000000006E-2</v>
      </c>
      <c r="BX84" s="733">
        <v>8.5000000000000006E-2</v>
      </c>
      <c r="BY84" s="733">
        <v>8.5000000000000006E-2</v>
      </c>
      <c r="CB84" s="733">
        <v>8.5000000000000006E-2</v>
      </c>
      <c r="CC84" s="733">
        <v>8.5000000000000006E-2</v>
      </c>
      <c r="CF84" s="733">
        <v>8.5000000000000006E-2</v>
      </c>
      <c r="CG84" s="733">
        <v>8.5000000000000006E-2</v>
      </c>
      <c r="CJ84" s="733">
        <v>8.5000000000000006E-2</v>
      </c>
      <c r="CK84" s="733">
        <v>8.5000000000000006E-2</v>
      </c>
      <c r="CN84" s="733">
        <v>8.5000000000000006E-2</v>
      </c>
      <c r="CO84" s="733">
        <v>8.5000000000000006E-2</v>
      </c>
      <c r="CR84" s="733">
        <v>8.5000000000000006E-2</v>
      </c>
      <c r="CS84" s="733">
        <v>8.5000000000000006E-2</v>
      </c>
      <c r="CV84" s="766">
        <v>8.5000000000000006E-2</v>
      </c>
      <c r="CW84" s="766">
        <v>0.10249999999999999</v>
      </c>
      <c r="CZ84" s="766">
        <v>0.105</v>
      </c>
      <c r="DA84" s="766">
        <v>0.105</v>
      </c>
      <c r="DB84" s="1408"/>
      <c r="DD84" s="766">
        <v>0.105</v>
      </c>
      <c r="DE84" s="2189">
        <v>0.105</v>
      </c>
      <c r="DF84" s="1408"/>
      <c r="DG84" s="304"/>
      <c r="DH84" s="766">
        <v>0.105</v>
      </c>
      <c r="DI84" s="1041">
        <v>0.105</v>
      </c>
      <c r="DJ84" s="1834"/>
      <c r="DK84" s="304"/>
      <c r="DL84" s="1038">
        <v>0.105</v>
      </c>
      <c r="DM84" s="1041">
        <v>0.105</v>
      </c>
      <c r="DN84" s="1834"/>
      <c r="DO84" s="304"/>
      <c r="DP84" s="1038">
        <v>0.105</v>
      </c>
      <c r="DQ84" s="1041">
        <v>0.105</v>
      </c>
      <c r="DR84" s="1834"/>
      <c r="DS84" s="304"/>
    </row>
    <row r="85" spans="1:124">
      <c r="A85" s="289" t="s">
        <v>267</v>
      </c>
      <c r="BH85" s="295">
        <f>+BH83*BH84</f>
        <v>3920.7000000000003</v>
      </c>
      <c r="BI85" s="295">
        <f>+BI83*BI84</f>
        <v>4086.1100000000006</v>
      </c>
      <c r="BL85" s="295">
        <f>+BL83*BL84</f>
        <v>4399.0800000000008</v>
      </c>
      <c r="BM85" s="295">
        <f>+BM83*BM84</f>
        <v>4598.8600000000006</v>
      </c>
      <c r="BP85" s="295">
        <f>+BP83*BP84</f>
        <v>4896.01</v>
      </c>
      <c r="BQ85" s="295">
        <f>+BQ83*BQ84</f>
        <v>6052.130000000001</v>
      </c>
      <c r="BT85" s="295">
        <f>+BT83*BT84</f>
        <v>7812.52</v>
      </c>
      <c r="BU85" s="295">
        <f>+BU83*BU84</f>
        <v>7949.880000000001</v>
      </c>
      <c r="BX85" s="295">
        <f>+BX83*BX84</f>
        <v>7910.7800000000007</v>
      </c>
      <c r="BY85" s="295">
        <f>+BY83*BY84</f>
        <v>7613.2800000000007</v>
      </c>
      <c r="CB85" s="295">
        <f>+CB83*CB84</f>
        <v>7554.8</v>
      </c>
      <c r="CC85" s="295">
        <f>+CC83*CC84</f>
        <v>7782.9400000000005</v>
      </c>
      <c r="CF85" s="295">
        <f>+CF83*CF84</f>
        <v>8144.5300000000007</v>
      </c>
      <c r="CG85" s="295">
        <f>+CG83*CG84</f>
        <v>6560.47</v>
      </c>
      <c r="CJ85" s="295">
        <f>+CJ83*CJ84</f>
        <v>7401.4600000000009</v>
      </c>
      <c r="CK85" s="295">
        <f>+CK83*CK84</f>
        <v>8072.9600000000009</v>
      </c>
      <c r="CN85" s="295">
        <f>+CN83*CN84</f>
        <v>7464.7850000000008</v>
      </c>
      <c r="CO85" s="295">
        <f>+CO83*CO84</f>
        <v>7933.4750000000004</v>
      </c>
      <c r="CR85" s="1412">
        <f>+CR83*CR84</f>
        <v>9775.7650000000012</v>
      </c>
      <c r="CS85" s="295">
        <f>+CS83*CS84</f>
        <v>11035.805</v>
      </c>
      <c r="CV85" s="1412">
        <f>+CV83*CV84</f>
        <v>11510.445000000002</v>
      </c>
      <c r="CW85" s="1390">
        <f>+CW83*CW84</f>
        <v>12733.574999999999</v>
      </c>
      <c r="CZ85" s="1412">
        <f>+CZ83*CZ84</f>
        <v>13162.59</v>
      </c>
      <c r="DA85" s="1390">
        <f>+DA83*DA84</f>
        <v>13538.49</v>
      </c>
      <c r="DB85" s="1408"/>
      <c r="DD85" s="1412">
        <f>+DD83*DD84</f>
        <v>14378.49</v>
      </c>
      <c r="DE85" s="1390">
        <f>+DE83*DE84</f>
        <v>15683.01</v>
      </c>
      <c r="DF85" s="1408"/>
      <c r="DH85" s="1412">
        <f>+DH83*DH84</f>
        <v>16040.955</v>
      </c>
      <c r="DI85" s="295">
        <f>+DI83*DI84</f>
        <v>17221.935095323926</v>
      </c>
      <c r="DL85" s="295">
        <f>+DL83*DL84</f>
        <v>17653.262545708672</v>
      </c>
      <c r="DM85" s="295">
        <f>+DM83*DM84</f>
        <v>18350.552960350091</v>
      </c>
      <c r="DP85" s="295">
        <f>+DP83*DP84</f>
        <v>19079.284104044113</v>
      </c>
      <c r="DQ85" s="295">
        <f>+DQ83*DQ84</f>
        <v>19840.997189724661</v>
      </c>
    </row>
    <row r="86" spans="1:124">
      <c r="A86" s="102" t="s">
        <v>439</v>
      </c>
      <c r="BH86" s="293">
        <f>-BH134</f>
        <v>2794</v>
      </c>
      <c r="BI86" s="293">
        <f>-BI134</f>
        <v>2636</v>
      </c>
      <c r="BL86" s="293">
        <f>-BL134</f>
        <v>2806</v>
      </c>
      <c r="BM86" s="293">
        <f>-BM134</f>
        <v>2721</v>
      </c>
      <c r="BP86" s="293">
        <f>-BP134</f>
        <v>2885</v>
      </c>
      <c r="BQ86" s="293">
        <f>-BQ134</f>
        <v>2798</v>
      </c>
      <c r="BR86" s="293">
        <f>BQ86</f>
        <v>2798</v>
      </c>
      <c r="BT86" s="293">
        <f>-BT134</f>
        <v>2488</v>
      </c>
      <c r="BU86" s="293">
        <f>-BU134</f>
        <v>2354</v>
      </c>
      <c r="BV86" s="293">
        <f>BU86</f>
        <v>2354</v>
      </c>
      <c r="BX86" s="293">
        <f>-BX134</f>
        <v>2250</v>
      </c>
      <c r="BY86" s="293">
        <f>-BY134</f>
        <v>2261</v>
      </c>
      <c r="BZ86" s="293">
        <f>BY86</f>
        <v>2261</v>
      </c>
      <c r="CB86" s="293">
        <f>-CB134</f>
        <v>2327</v>
      </c>
      <c r="CC86" s="293">
        <f>-CC134</f>
        <v>2534</v>
      </c>
      <c r="CD86" s="293">
        <f>CC86</f>
        <v>2534</v>
      </c>
      <c r="CF86" s="293">
        <f>-CF134</f>
        <v>2665</v>
      </c>
      <c r="CG86" s="293">
        <f>-CG134</f>
        <v>2035</v>
      </c>
      <c r="CH86" s="293">
        <f>CG86</f>
        <v>2035</v>
      </c>
      <c r="CJ86" s="293">
        <f>-CJ134</f>
        <v>1933</v>
      </c>
      <c r="CK86" s="293">
        <f>-CK134</f>
        <v>2195</v>
      </c>
      <c r="CL86" s="293">
        <f>CK86</f>
        <v>2195</v>
      </c>
      <c r="CN86" s="293">
        <f>-CN134</f>
        <v>1836</v>
      </c>
      <c r="CO86" s="293">
        <f>-CO134</f>
        <v>2239</v>
      </c>
      <c r="CP86" s="293">
        <f>CO86</f>
        <v>2239</v>
      </c>
      <c r="CR86" s="1010">
        <f>-CR134</f>
        <v>2480</v>
      </c>
      <c r="CS86" s="293">
        <f>-CS134</f>
        <v>2983</v>
      </c>
      <c r="CT86" s="293">
        <f>CS86</f>
        <v>2983</v>
      </c>
      <c r="CV86" s="1010">
        <f>-CV134</f>
        <v>3245</v>
      </c>
      <c r="CW86" s="1495">
        <f>-CW134</f>
        <v>3293</v>
      </c>
      <c r="CX86" s="1495">
        <f>CW86</f>
        <v>3293</v>
      </c>
      <c r="CZ86" s="1010">
        <f>-CZ134</f>
        <v>3436</v>
      </c>
      <c r="DA86" s="1495">
        <f>-DA134</f>
        <v>3645</v>
      </c>
      <c r="DB86" s="1495">
        <f>DA86</f>
        <v>3645</v>
      </c>
      <c r="DD86" s="1010">
        <f>-DD134</f>
        <v>3362</v>
      </c>
      <c r="DE86" s="1495">
        <f>-DE134</f>
        <v>3803</v>
      </c>
      <c r="DF86" s="1495">
        <f>DE86</f>
        <v>3803</v>
      </c>
      <c r="DH86" s="1010">
        <f>-DH134</f>
        <v>3760</v>
      </c>
      <c r="DI86" s="293">
        <f>-DI134</f>
        <v>3902.632956147464</v>
      </c>
      <c r="DJ86" s="293">
        <f>DI86</f>
        <v>3902.632956147464</v>
      </c>
      <c r="DL86" s="293">
        <f>-DL134</f>
        <v>4054.1847737134303</v>
      </c>
      <c r="DM86" s="293">
        <f>-DM134</f>
        <v>4215.3213496861081</v>
      </c>
      <c r="DN86" s="293">
        <f>DM86</f>
        <v>4215.3213496861081</v>
      </c>
      <c r="DP86" s="293">
        <f>-DP134</f>
        <v>4386.7653805459713</v>
      </c>
      <c r="DQ86" s="293">
        <f>-DQ134</f>
        <v>4569.3016034276761</v>
      </c>
      <c r="DR86" s="293">
        <f>DQ86</f>
        <v>4569.3016034276761</v>
      </c>
    </row>
    <row r="87" spans="1:124">
      <c r="A87" s="289" t="s">
        <v>274</v>
      </c>
      <c r="BH87" s="295">
        <f>SUM(BH85:BH86)</f>
        <v>6714.7000000000007</v>
      </c>
      <c r="BI87" s="295">
        <f>SUM(BI85:BI86)</f>
        <v>6722.1100000000006</v>
      </c>
      <c r="BJ87" s="295">
        <f>BI87</f>
        <v>6722.1100000000006</v>
      </c>
      <c r="BL87" s="295">
        <f>SUM(BL85:BL86)</f>
        <v>7205.0800000000008</v>
      </c>
      <c r="BM87" s="295">
        <f>SUM(BM85:BM86)</f>
        <v>7319.8600000000006</v>
      </c>
      <c r="BN87" s="295">
        <f>BM87</f>
        <v>7319.8600000000006</v>
      </c>
      <c r="BP87" s="295">
        <f>SUM(BP85:BP86)</f>
        <v>7781.01</v>
      </c>
      <c r="BQ87" s="295">
        <f>SUM(BQ85:BQ86)</f>
        <v>8850.130000000001</v>
      </c>
      <c r="BR87" s="295">
        <f>BQ87</f>
        <v>8850.130000000001</v>
      </c>
      <c r="BT87" s="295">
        <f>SUM(BT85:BT86)</f>
        <v>10300.52</v>
      </c>
      <c r="BU87" s="295">
        <f>SUM(BU85:BU86)</f>
        <v>10303.880000000001</v>
      </c>
      <c r="BV87" s="295">
        <f>BU87</f>
        <v>10303.880000000001</v>
      </c>
      <c r="BX87" s="295">
        <f>SUM(BX85:BX86)</f>
        <v>10160.780000000001</v>
      </c>
      <c r="BY87" s="295">
        <f>SUM(BY85:BY86)</f>
        <v>9874.2800000000007</v>
      </c>
      <c r="BZ87" s="295">
        <f>BY87</f>
        <v>9874.2800000000007</v>
      </c>
      <c r="CB87" s="295">
        <f>SUM(CB85:CB86)</f>
        <v>9881.7999999999993</v>
      </c>
      <c r="CC87" s="295">
        <f>SUM(CC85:CC86)</f>
        <v>10316.94</v>
      </c>
      <c r="CD87" s="295">
        <f>CC87</f>
        <v>10316.94</v>
      </c>
      <c r="CF87" s="295">
        <f>SUM(CF85:CF86)</f>
        <v>10809.53</v>
      </c>
      <c r="CG87" s="295">
        <f>SUM(CG85:CG86)</f>
        <v>8595.4700000000012</v>
      </c>
      <c r="CH87" s="295">
        <f>CG87</f>
        <v>8595.4700000000012</v>
      </c>
      <c r="CJ87" s="295">
        <f>SUM(CJ85:CJ86)</f>
        <v>9334.4600000000009</v>
      </c>
      <c r="CK87" s="295">
        <f>SUM(CK85:CK86)</f>
        <v>10267.960000000001</v>
      </c>
      <c r="CL87" s="295">
        <f>CK87</f>
        <v>10267.960000000001</v>
      </c>
      <c r="CN87" s="295">
        <f>SUM(CN85:CN86)</f>
        <v>9300.7849999999999</v>
      </c>
      <c r="CO87" s="295">
        <f>SUM(CO85:CO86)</f>
        <v>10172.475</v>
      </c>
      <c r="CP87" s="295">
        <f>CO87</f>
        <v>10172.475</v>
      </c>
      <c r="CR87" s="1412">
        <f>SUM(CR85:CR86)</f>
        <v>12255.765000000001</v>
      </c>
      <c r="CS87" s="295">
        <f>SUM(CS85:CS86)</f>
        <v>14018.805</v>
      </c>
      <c r="CT87" s="295">
        <f>CS87</f>
        <v>14018.805</v>
      </c>
      <c r="CV87" s="1412">
        <f>SUM(CV85:CV86)</f>
        <v>14755.445000000002</v>
      </c>
      <c r="CW87" s="1390">
        <f>SUM(CW85:CW86)</f>
        <v>16026.574999999999</v>
      </c>
      <c r="CX87" s="1390">
        <f>CW87</f>
        <v>16026.574999999999</v>
      </c>
      <c r="CZ87" s="1412">
        <f>SUM(CZ85:CZ86)</f>
        <v>16598.59</v>
      </c>
      <c r="DA87" s="1390">
        <f>SUM(DA85:DA86)</f>
        <v>17183.489999999998</v>
      </c>
      <c r="DB87" s="1390">
        <f>DA87</f>
        <v>17183.489999999998</v>
      </c>
      <c r="DD87" s="1412">
        <f>SUM(DD85:DD86)</f>
        <v>17740.489999999998</v>
      </c>
      <c r="DE87" s="1390">
        <f>SUM(DE85:DE86)</f>
        <v>19486.010000000002</v>
      </c>
      <c r="DF87" s="1390">
        <f>DE87</f>
        <v>19486.010000000002</v>
      </c>
      <c r="DH87" s="1412">
        <f>SUM(DH85:DH86)</f>
        <v>19800.955000000002</v>
      </c>
      <c r="DI87" s="295">
        <f>SUM(DI85:DI86)</f>
        <v>21124.568051471389</v>
      </c>
      <c r="DJ87" s="295">
        <f>DI87</f>
        <v>21124.568051471389</v>
      </c>
      <c r="DL87" s="295">
        <f>SUM(DL85:DL86)</f>
        <v>21707.447319422103</v>
      </c>
      <c r="DM87" s="295">
        <f>SUM(DM85:DM86)</f>
        <v>22565.874310036197</v>
      </c>
      <c r="DN87" s="295">
        <f>DM87</f>
        <v>22565.874310036197</v>
      </c>
      <c r="DP87" s="295">
        <f>SUM(DP85:DP86)</f>
        <v>23466.049484590083</v>
      </c>
      <c r="DQ87" s="295">
        <f>SUM(DQ85:DQ86)</f>
        <v>24410.298793152338</v>
      </c>
      <c r="DR87" s="295">
        <f>DQ87</f>
        <v>24410.298793152338</v>
      </c>
    </row>
    <row r="88" spans="1:124">
      <c r="BH88" s="626"/>
      <c r="BI88" s="626"/>
      <c r="BL88" s="626"/>
      <c r="BM88" s="626"/>
      <c r="BP88" s="626"/>
      <c r="BQ88" s="626"/>
      <c r="BT88" s="626"/>
      <c r="BU88" s="626"/>
      <c r="BX88" s="626"/>
      <c r="BY88" s="626"/>
      <c r="CB88" s="626"/>
      <c r="CC88" s="626"/>
      <c r="CF88" s="626"/>
      <c r="CG88" s="626"/>
      <c r="CJ88" s="626"/>
      <c r="CK88" s="626"/>
      <c r="CN88" s="626"/>
      <c r="CO88" s="626"/>
      <c r="CR88" s="1388"/>
      <c r="CS88" s="626"/>
      <c r="CV88" s="1388"/>
      <c r="CW88" s="1497"/>
      <c r="CZ88" s="1388"/>
      <c r="DA88" s="1497"/>
      <c r="DB88" s="1408"/>
      <c r="DD88" s="1388"/>
      <c r="DE88" s="1497"/>
      <c r="DF88" s="1408"/>
      <c r="DH88" s="1388"/>
      <c r="DI88" s="626"/>
      <c r="DL88" s="626"/>
      <c r="DM88" s="626"/>
      <c r="DP88" s="626"/>
      <c r="DQ88" s="626"/>
    </row>
    <row r="89" spans="1:124">
      <c r="A89" s="289" t="s">
        <v>275</v>
      </c>
      <c r="BH89" s="626"/>
      <c r="BI89" s="626"/>
      <c r="BL89" s="626"/>
      <c r="BM89" s="626"/>
      <c r="BP89" s="626"/>
      <c r="BQ89" s="626"/>
      <c r="BT89" s="626"/>
      <c r="BU89" s="626"/>
      <c r="BX89" s="626"/>
      <c r="BY89" s="626"/>
      <c r="CB89" s="626"/>
      <c r="CC89" s="626"/>
      <c r="CF89" s="626"/>
      <c r="CG89" s="626"/>
      <c r="CJ89" s="626"/>
      <c r="CK89" s="626"/>
      <c r="CN89" s="626"/>
      <c r="CO89" s="626"/>
      <c r="CR89" s="1388"/>
      <c r="CS89" s="626"/>
      <c r="CV89" s="1388"/>
      <c r="CW89" s="1497"/>
      <c r="CZ89" s="1388"/>
      <c r="DA89" s="1497"/>
      <c r="DB89" s="1408"/>
      <c r="DD89" s="1388"/>
      <c r="DE89" s="1497"/>
      <c r="DF89" s="1408"/>
      <c r="DH89" s="1388"/>
      <c r="DI89" s="626"/>
      <c r="DL89" s="626"/>
      <c r="DM89" s="626"/>
      <c r="DP89" s="626"/>
      <c r="DQ89" s="626"/>
    </row>
    <row r="90" spans="1:124">
      <c r="A90" s="102" t="s">
        <v>263</v>
      </c>
      <c r="BH90" s="295">
        <f>+BH92/BH91</f>
        <v>36362.5</v>
      </c>
      <c r="BI90" s="295">
        <f>BI219</f>
        <v>39175</v>
      </c>
      <c r="BL90" s="295">
        <f>+BL92/BL91</f>
        <v>42850</v>
      </c>
      <c r="BM90" s="295">
        <f>BM219</f>
        <v>35287.5</v>
      </c>
      <c r="BP90" s="295">
        <f>+BP92/BP91</f>
        <v>37350</v>
      </c>
      <c r="BQ90" s="295">
        <f>BQ219</f>
        <v>40200</v>
      </c>
      <c r="BR90" s="293">
        <f>BQ90</f>
        <v>40200</v>
      </c>
      <c r="BT90" s="295">
        <f>+BT92/BT91</f>
        <v>44900</v>
      </c>
      <c r="BU90" s="295">
        <f>BU219</f>
        <v>37700</v>
      </c>
      <c r="BV90" s="293">
        <f>BU90</f>
        <v>37700</v>
      </c>
      <c r="BX90" s="295">
        <f>+BX92/BX91</f>
        <v>37662.5</v>
      </c>
      <c r="BY90" s="295">
        <f>BY219</f>
        <v>41262.5</v>
      </c>
      <c r="BZ90" s="293">
        <f>BY90</f>
        <v>41262.5</v>
      </c>
      <c r="CB90" s="295">
        <f>+CB92/CB91</f>
        <v>50475</v>
      </c>
      <c r="CC90" s="295">
        <f>CC219</f>
        <v>56800</v>
      </c>
      <c r="CD90" s="293">
        <f>CC90</f>
        <v>56800</v>
      </c>
      <c r="CE90" s="324">
        <f>+CD90/BZ90-1</f>
        <v>0.37655255983035452</v>
      </c>
      <c r="CF90" s="295">
        <f>+CF92/CF91</f>
        <v>69787.5</v>
      </c>
      <c r="CG90" s="295">
        <f>CG219</f>
        <v>89412.5</v>
      </c>
      <c r="CH90" s="293">
        <f>CG90</f>
        <v>89412.5</v>
      </c>
      <c r="CI90" s="324">
        <f>+CH90/CD90-1</f>
        <v>0.57416373239436624</v>
      </c>
      <c r="CJ90" s="295">
        <f>+CJ92/CJ91</f>
        <v>97375</v>
      </c>
      <c r="CK90" s="295">
        <f>CK219</f>
        <v>92887.5</v>
      </c>
      <c r="CL90" s="293">
        <f>CK90</f>
        <v>92887.5</v>
      </c>
      <c r="CM90" s="324">
        <f>+CL90/CH90-1</f>
        <v>3.8864811967006752E-2</v>
      </c>
      <c r="CN90" s="295">
        <f>+CN92/CN91</f>
        <v>74100</v>
      </c>
      <c r="CO90" s="295">
        <f>CO219</f>
        <v>91475</v>
      </c>
      <c r="CP90" s="293">
        <f>CO90</f>
        <v>91475</v>
      </c>
      <c r="CQ90" s="324">
        <f>+CP90/CL90-1</f>
        <v>-1.5206567083837941E-2</v>
      </c>
      <c r="CR90" s="1412">
        <f>+CR92/CR91</f>
        <v>105437.5</v>
      </c>
      <c r="CS90" s="295">
        <f>CS219</f>
        <v>111062.5</v>
      </c>
      <c r="CT90" s="293">
        <f>CS90</f>
        <v>111062.5</v>
      </c>
      <c r="CU90" s="324">
        <f>+CT90/CP90-1</f>
        <v>0.21412954359114522</v>
      </c>
      <c r="CV90" s="1412">
        <f>+CV92/CV91</f>
        <v>128475</v>
      </c>
      <c r="CW90" s="1390">
        <f>CW219</f>
        <v>130000</v>
      </c>
      <c r="CX90" s="1495">
        <f>CW90</f>
        <v>130000</v>
      </c>
      <c r="CY90" s="324">
        <f>+CX90/CT90-1</f>
        <v>0.17051209904333153</v>
      </c>
      <c r="CZ90" s="1412">
        <f>+CZ92/CZ91</f>
        <v>144050</v>
      </c>
      <c r="DA90" s="1390">
        <f>DA219</f>
        <v>143650</v>
      </c>
      <c r="DB90" s="1495">
        <f>DA90</f>
        <v>143650</v>
      </c>
      <c r="DC90" s="324">
        <f>+DB90/CX90-1</f>
        <v>0.10499999999999998</v>
      </c>
      <c r="DD90" s="1412">
        <f>+DD92/DD91</f>
        <v>141500</v>
      </c>
      <c r="DE90" s="1390">
        <f>DE219</f>
        <v>160200</v>
      </c>
      <c r="DF90" s="1495">
        <f>DE90</f>
        <v>160200</v>
      </c>
      <c r="DG90" s="324">
        <f>+DF90/DB90-1</f>
        <v>0.11521058127392969</v>
      </c>
      <c r="DH90" s="1412">
        <f>+DH92/DH91</f>
        <v>170137.5</v>
      </c>
      <c r="DI90" s="295">
        <f>DI219</f>
        <v>174748.05033675354</v>
      </c>
      <c r="DJ90" s="293">
        <f>DI90</f>
        <v>174748.05033675354</v>
      </c>
      <c r="DK90" s="324">
        <f>+DJ90/DF90-1</f>
        <v>9.0811799854890962E-2</v>
      </c>
      <c r="DL90" s="295">
        <f>DL219</f>
        <v>179456.56173404877</v>
      </c>
      <c r="DM90" s="295">
        <f>DM219</f>
        <v>183616.36124258666</v>
      </c>
      <c r="DN90" s="293">
        <f>DM90</f>
        <v>183616.36124258666</v>
      </c>
      <c r="DO90" s="324">
        <f>+DN90/DJ90-1</f>
        <v>5.0749126463746963E-2</v>
      </c>
      <c r="DP90" s="295">
        <f>DP219</f>
        <v>187869.79676217953</v>
      </c>
      <c r="DQ90" s="295">
        <f>DQ219</f>
        <v>192217.9310951154</v>
      </c>
      <c r="DR90" s="293">
        <f>DQ90</f>
        <v>192217.9310951154</v>
      </c>
      <c r="DS90" s="324">
        <f>+DR90/DN90-1</f>
        <v>4.6845334447972675E-2</v>
      </c>
    </row>
    <row r="91" spans="1:124">
      <c r="A91" s="102" t="s">
        <v>266</v>
      </c>
      <c r="BH91" s="632">
        <v>0.08</v>
      </c>
      <c r="BI91" s="632">
        <f>BI176</f>
        <v>0.08</v>
      </c>
      <c r="BL91" s="632">
        <f>BL176</f>
        <v>0.08</v>
      </c>
      <c r="BM91" s="632">
        <f>BM176</f>
        <v>0.08</v>
      </c>
      <c r="BP91" s="632">
        <f>BP176</f>
        <v>0.08</v>
      </c>
      <c r="BQ91" s="632">
        <f>BQ176</f>
        <v>0.08</v>
      </c>
      <c r="BT91" s="632">
        <f>BT176</f>
        <v>0.08</v>
      </c>
      <c r="BU91" s="632">
        <f>BU176</f>
        <v>0.08</v>
      </c>
      <c r="BX91" s="632">
        <f>BX176</f>
        <v>0.08</v>
      </c>
      <c r="BY91" s="632">
        <f>BY176</f>
        <v>0.08</v>
      </c>
      <c r="CB91" s="632">
        <f>CB176</f>
        <v>0.08</v>
      </c>
      <c r="CC91" s="632">
        <f>CC176</f>
        <v>0.08</v>
      </c>
      <c r="CF91" s="632">
        <f>CF176</f>
        <v>0.08</v>
      </c>
      <c r="CG91" s="632">
        <f>CG176</f>
        <v>0.08</v>
      </c>
      <c r="CJ91" s="632">
        <f>CJ176</f>
        <v>0.08</v>
      </c>
      <c r="CK91" s="632">
        <f>CK176</f>
        <v>0.08</v>
      </c>
      <c r="CN91" s="632">
        <f>CN176</f>
        <v>0.08</v>
      </c>
      <c r="CO91" s="632">
        <f>CO176</f>
        <v>0.08</v>
      </c>
      <c r="CR91" s="632">
        <f>CR176</f>
        <v>0.08</v>
      </c>
      <c r="CS91" s="632">
        <f>CS176</f>
        <v>0.08</v>
      </c>
      <c r="CV91" s="632">
        <f>CV176</f>
        <v>0.08</v>
      </c>
      <c r="CW91" s="632">
        <f>CW176</f>
        <v>0.08</v>
      </c>
      <c r="CZ91" s="632">
        <f>CZ176</f>
        <v>0.08</v>
      </c>
      <c r="DA91" s="632">
        <f>DA176</f>
        <v>0.08</v>
      </c>
      <c r="DB91" s="1408"/>
      <c r="DD91" s="632">
        <f>DD176</f>
        <v>0.08</v>
      </c>
      <c r="DE91" s="632">
        <f>DE176</f>
        <v>0.08</v>
      </c>
      <c r="DF91" s="1408"/>
      <c r="DH91" s="632">
        <f>DH176</f>
        <v>0.08</v>
      </c>
      <c r="DI91" s="632">
        <f>DI176</f>
        <v>0.08</v>
      </c>
      <c r="DL91" s="632">
        <f>DL176</f>
        <v>0.08</v>
      </c>
      <c r="DM91" s="632">
        <f>DM176</f>
        <v>0.08</v>
      </c>
      <c r="DP91" s="632">
        <f>DP176</f>
        <v>0.08</v>
      </c>
      <c r="DQ91" s="632">
        <f>DQ176</f>
        <v>0.08</v>
      </c>
    </row>
    <row r="92" spans="1:124" s="289" customFormat="1">
      <c r="A92" s="289" t="s">
        <v>274</v>
      </c>
      <c r="C92" s="290"/>
      <c r="AN92" s="290"/>
      <c r="AO92" s="290"/>
      <c r="AP92" s="290"/>
      <c r="AQ92" s="290"/>
      <c r="AR92" s="290"/>
      <c r="AS92" s="290"/>
      <c r="AT92" s="290"/>
      <c r="AU92" s="290"/>
      <c r="AV92" s="290"/>
      <c r="AW92" s="290"/>
      <c r="AX92" s="290"/>
      <c r="AY92" s="290"/>
      <c r="AZ92" s="290"/>
      <c r="BA92" s="290"/>
      <c r="BB92" s="290"/>
      <c r="BC92" s="290"/>
      <c r="BD92" s="290"/>
      <c r="BE92" s="290"/>
      <c r="BF92" s="290"/>
      <c r="BG92" s="290"/>
      <c r="BH92" s="655">
        <v>2909</v>
      </c>
      <c r="BI92" s="655">
        <v>3150</v>
      </c>
      <c r="BJ92" s="295">
        <f>BI92</f>
        <v>3150</v>
      </c>
      <c r="BK92" s="290"/>
      <c r="BL92" s="655">
        <v>3428</v>
      </c>
      <c r="BM92" s="655">
        <v>2823</v>
      </c>
      <c r="BN92" s="295">
        <f>BM92</f>
        <v>2823</v>
      </c>
      <c r="BO92" s="290"/>
      <c r="BP92" s="655">
        <v>2988</v>
      </c>
      <c r="BQ92" s="655">
        <v>3216</v>
      </c>
      <c r="BR92" s="295">
        <f>BQ92</f>
        <v>3216</v>
      </c>
      <c r="BS92" s="290"/>
      <c r="BT92" s="655">
        <v>3592</v>
      </c>
      <c r="BU92" s="655">
        <v>3016</v>
      </c>
      <c r="BV92" s="295">
        <f>BU92</f>
        <v>3016</v>
      </c>
      <c r="BW92" s="290"/>
      <c r="BX92" s="655">
        <v>3013</v>
      </c>
      <c r="BY92" s="655">
        <v>3301</v>
      </c>
      <c r="BZ92" s="295">
        <f>BY92</f>
        <v>3301</v>
      </c>
      <c r="CA92" s="290"/>
      <c r="CB92" s="655">
        <v>4038</v>
      </c>
      <c r="CC92" s="655">
        <v>4544</v>
      </c>
      <c r="CD92" s="295">
        <f>CC92</f>
        <v>4544</v>
      </c>
      <c r="CE92" s="290"/>
      <c r="CF92" s="655">
        <v>5583</v>
      </c>
      <c r="CG92" s="655">
        <v>7153</v>
      </c>
      <c r="CH92" s="295">
        <f>CG92</f>
        <v>7153</v>
      </c>
      <c r="CI92" s="290"/>
      <c r="CJ92" s="655">
        <v>7790</v>
      </c>
      <c r="CK92" s="655">
        <v>7431</v>
      </c>
      <c r="CL92" s="295">
        <f>CK92</f>
        <v>7431</v>
      </c>
      <c r="CM92" s="290"/>
      <c r="CN92" s="1389">
        <v>5928</v>
      </c>
      <c r="CO92" s="1389">
        <v>7318</v>
      </c>
      <c r="CP92" s="1412">
        <f>CO92</f>
        <v>7318</v>
      </c>
      <c r="CQ92" s="290"/>
      <c r="CR92" s="1489">
        <v>8435</v>
      </c>
      <c r="CS92" s="1389">
        <v>8885</v>
      </c>
      <c r="CT92" s="295">
        <f>CS92</f>
        <v>8885</v>
      </c>
      <c r="CU92" s="290"/>
      <c r="CV92" s="1489">
        <v>10278</v>
      </c>
      <c r="CW92" s="1505">
        <v>10400</v>
      </c>
      <c r="CX92" s="1390">
        <f>CW92</f>
        <v>10400</v>
      </c>
      <c r="CY92" s="290"/>
      <c r="CZ92" s="1489">
        <v>11524</v>
      </c>
      <c r="DA92" s="1489">
        <v>11492</v>
      </c>
      <c r="DB92" s="1390">
        <f>DA92</f>
        <v>11492</v>
      </c>
      <c r="DC92" s="290"/>
      <c r="DD92" s="1489">
        <v>11320</v>
      </c>
      <c r="DE92" s="2175">
        <v>12816</v>
      </c>
      <c r="DF92" s="1390">
        <f>DE92</f>
        <v>12816</v>
      </c>
      <c r="DG92" s="290"/>
      <c r="DH92" s="2260">
        <v>13611</v>
      </c>
      <c r="DI92" s="295">
        <f>DI174</f>
        <v>13979.844026940284</v>
      </c>
      <c r="DJ92" s="295">
        <f>DI92</f>
        <v>13979.844026940284</v>
      </c>
      <c r="DK92" s="290"/>
      <c r="DL92" s="295">
        <f>DL174</f>
        <v>14356.524938723902</v>
      </c>
      <c r="DM92" s="295">
        <f>DM174</f>
        <v>14689.308899406933</v>
      </c>
      <c r="DN92" s="295">
        <f>DM92</f>
        <v>14689.308899406933</v>
      </c>
      <c r="DO92" s="290"/>
      <c r="DP92" s="295">
        <f>DP174</f>
        <v>15029.583740974364</v>
      </c>
      <c r="DQ92" s="295">
        <f>DQ174</f>
        <v>15377.434487609233</v>
      </c>
      <c r="DR92" s="295">
        <f>DQ92</f>
        <v>15377.434487609233</v>
      </c>
      <c r="DS92" s="290"/>
      <c r="DT92"/>
    </row>
    <row r="93" spans="1:124">
      <c r="A93" s="289"/>
      <c r="BH93" s="626"/>
      <c r="BI93" s="626"/>
      <c r="BL93" s="626"/>
      <c r="BM93" s="626"/>
      <c r="BP93" s="626"/>
      <c r="BQ93" s="626"/>
      <c r="BT93" s="626"/>
      <c r="BU93" s="626"/>
      <c r="BX93" s="626"/>
      <c r="BY93" s="626"/>
      <c r="CB93" s="626"/>
      <c r="CC93" s="626"/>
      <c r="CF93" s="626"/>
      <c r="CG93" s="626"/>
      <c r="CJ93" s="626"/>
      <c r="CK93" s="626"/>
      <c r="CN93" s="1388"/>
      <c r="CO93" s="1388"/>
      <c r="CP93" s="1009"/>
      <c r="CR93" s="626"/>
      <c r="CS93" s="626"/>
      <c r="CV93" s="626"/>
      <c r="CW93" s="1497"/>
      <c r="CZ93" s="626"/>
      <c r="DA93" s="1497"/>
      <c r="DB93" s="1408"/>
      <c r="DD93" s="626"/>
      <c r="DE93" s="1497"/>
      <c r="DF93" s="1408"/>
      <c r="DH93" s="626"/>
      <c r="DI93" s="626"/>
      <c r="DL93" s="626"/>
      <c r="DM93" s="626"/>
      <c r="DP93" s="626"/>
      <c r="DQ93" s="626"/>
    </row>
    <row r="94" spans="1:124" ht="15.6">
      <c r="A94" s="1360" t="s">
        <v>276</v>
      </c>
      <c r="BH94" s="626"/>
      <c r="BI94" s="626"/>
      <c r="BL94" s="626"/>
      <c r="BM94" s="626"/>
      <c r="BP94" s="626"/>
      <c r="BQ94" s="626"/>
      <c r="BT94" s="626"/>
      <c r="BU94" s="626"/>
      <c r="BX94" s="626"/>
      <c r="BY94" s="626"/>
      <c r="CB94" s="626"/>
      <c r="CC94" s="626"/>
      <c r="CF94" s="626"/>
      <c r="CG94" s="626"/>
      <c r="CJ94" s="626"/>
      <c r="CK94" s="626"/>
      <c r="CN94" s="626"/>
      <c r="CO94" s="626"/>
      <c r="CR94" s="626"/>
      <c r="CS94" s="626"/>
      <c r="CV94" s="626"/>
      <c r="CW94" s="1497"/>
      <c r="CZ94" s="626"/>
      <c r="DA94" s="1497"/>
      <c r="DB94" s="1408"/>
      <c r="DD94" s="626"/>
      <c r="DE94" s="1497"/>
      <c r="DF94" s="1408"/>
      <c r="DH94" s="626"/>
      <c r="DI94" s="626"/>
      <c r="DL94" s="626"/>
      <c r="DM94" s="626"/>
      <c r="DP94" s="626"/>
      <c r="DQ94" s="626"/>
    </row>
    <row r="95" spans="1:124" s="1157" customFormat="1" ht="14.4">
      <c r="A95" s="1157" t="s">
        <v>262</v>
      </c>
      <c r="C95" s="1158"/>
      <c r="AN95" s="1158"/>
      <c r="AO95" s="1158"/>
      <c r="AP95" s="1158"/>
      <c r="AQ95" s="1158"/>
      <c r="AR95" s="1158"/>
      <c r="AS95" s="1158"/>
      <c r="AT95" s="1158"/>
      <c r="AU95" s="1158"/>
      <c r="AV95" s="1158"/>
      <c r="AW95" s="1158"/>
      <c r="AX95" s="1158"/>
      <c r="AY95" s="1158"/>
      <c r="AZ95" s="1158"/>
      <c r="BA95" s="1158"/>
      <c r="BB95" s="1158"/>
      <c r="BC95" s="1158"/>
      <c r="BD95" s="1158"/>
      <c r="BE95" s="1158"/>
      <c r="BF95" s="1158"/>
      <c r="BG95" s="1158"/>
      <c r="BH95" s="2237">
        <f>+BH78-BH87</f>
        <v>2295.2999999999993</v>
      </c>
      <c r="BI95" s="2237">
        <f>+BI78-BI87</f>
        <v>2232.8899999999994</v>
      </c>
      <c r="BJ95" s="2237">
        <f>+BJ78-BJ87</f>
        <v>2232.8899999999994</v>
      </c>
      <c r="BK95" s="1158"/>
      <c r="BL95" s="2237">
        <f>+BL78-BL87</f>
        <v>2423.9199999999992</v>
      </c>
      <c r="BM95" s="2237">
        <f>+BM78-BM87</f>
        <v>2362.1399999999994</v>
      </c>
      <c r="BN95" s="2237">
        <f>+BN78-BN87</f>
        <v>2362.1399999999994</v>
      </c>
      <c r="BO95" s="1158"/>
      <c r="BP95" s="2237">
        <f>+BP78-BP87</f>
        <v>1868.9899999999998</v>
      </c>
      <c r="BQ95" s="2237">
        <f>+BQ78-BQ87</f>
        <v>3446.869999999999</v>
      </c>
      <c r="BR95" s="2237">
        <f>+BR78-BR87</f>
        <v>3446.869999999999</v>
      </c>
      <c r="BS95" s="1158"/>
      <c r="BT95" s="2237">
        <f>+BT78-BT87</f>
        <v>2367.4799999999996</v>
      </c>
      <c r="BU95" s="2237">
        <f>+BU78-BU87</f>
        <v>3161.119999999999</v>
      </c>
      <c r="BV95" s="2237">
        <f>+BV78-BV87</f>
        <v>3161.119999999999</v>
      </c>
      <c r="BW95" s="1158"/>
      <c r="BX95" s="2237">
        <f>+BX78-BX87</f>
        <v>2882.2199999999993</v>
      </c>
      <c r="BY95" s="2237">
        <f>+BY78-BY87</f>
        <v>4380.7199999999993</v>
      </c>
      <c r="BZ95" s="2237">
        <f>+BZ78-BZ87</f>
        <v>4380.7199999999993</v>
      </c>
      <c r="CA95" s="1158"/>
      <c r="CB95" s="2237">
        <f>+CB78-CB87</f>
        <v>3963.2000000000007</v>
      </c>
      <c r="CC95" s="2237">
        <f>+CC78-CC87</f>
        <v>3937.0599999999995</v>
      </c>
      <c r="CD95" s="2237">
        <f>+CD78-CD87</f>
        <v>3937.0599999999995</v>
      </c>
      <c r="CE95" s="1158"/>
      <c r="CF95" s="2237">
        <f>+CF78-CF87</f>
        <v>3488.4699999999993</v>
      </c>
      <c r="CG95" s="2237">
        <f>+CG78-CG87</f>
        <v>3904.5299999999988</v>
      </c>
      <c r="CH95" s="2237">
        <f>+CH78-CH87</f>
        <v>3904.5299999999988</v>
      </c>
      <c r="CI95" s="1158"/>
      <c r="CJ95" s="2237">
        <f>+CJ78-CJ87</f>
        <v>4314.5399999999991</v>
      </c>
      <c r="CK95" s="2237">
        <f>+CK78-CK87</f>
        <v>4895.0399999999991</v>
      </c>
      <c r="CL95" s="2237">
        <f>+CL78-CL87</f>
        <v>4895.0399999999991</v>
      </c>
      <c r="CM95" s="1158"/>
      <c r="CN95" s="2237">
        <f>+CN78-CN87</f>
        <v>6234.2150000000001</v>
      </c>
      <c r="CO95" s="2237">
        <f>+CO78-CO87</f>
        <v>5534.5249999999996</v>
      </c>
      <c r="CP95" s="2237">
        <f>+CP78-CP87</f>
        <v>5534.5249999999996</v>
      </c>
      <c r="CQ95" s="1158"/>
      <c r="CR95" s="2237">
        <f>+CR78-CR87</f>
        <v>6145.2349999999988</v>
      </c>
      <c r="CS95" s="2237">
        <f>+CS78-CS87</f>
        <v>6236.1949999999997</v>
      </c>
      <c r="CT95" s="2237">
        <f>+CT78-CT87</f>
        <v>6236.1949999999997</v>
      </c>
      <c r="CU95" s="1158"/>
      <c r="CV95" s="2237">
        <f>+CV78-CV87</f>
        <v>8365.5549999999985</v>
      </c>
      <c r="CW95" s="2238">
        <f>+CW78-CW87</f>
        <v>6744.4250000000011</v>
      </c>
      <c r="CX95" s="2238">
        <f>+CX78-CX87</f>
        <v>6744.4250000000011</v>
      </c>
      <c r="CY95" s="1158"/>
      <c r="CZ95" s="2237">
        <f>+CZ78-CZ87</f>
        <v>6012.41</v>
      </c>
      <c r="DA95" s="2238">
        <f>+DA78-DA87</f>
        <v>6615.510000000002</v>
      </c>
      <c r="DB95" s="2238">
        <f>+DB78-DB87</f>
        <v>6615.510000000002</v>
      </c>
      <c r="DC95" s="1158"/>
      <c r="DD95" s="2237">
        <f>+DD78-DD87</f>
        <v>5612.510000000002</v>
      </c>
      <c r="DE95" s="2238">
        <f>+DE78-DE87</f>
        <v>6062.989999999998</v>
      </c>
      <c r="DF95" s="2238">
        <f>+DF78-DF87</f>
        <v>6062.989999999998</v>
      </c>
      <c r="DG95" s="1158"/>
      <c r="DH95" s="2237">
        <f>+DH78-DH87</f>
        <v>5512.0449999999983</v>
      </c>
      <c r="DI95" s="2237">
        <f ca="1">+DI78-DI87</f>
        <v>5738.7928627269794</v>
      </c>
      <c r="DJ95" s="2237">
        <f ca="1">+DJ78-DJ87</f>
        <v>5738.7928627269794</v>
      </c>
      <c r="DK95" s="1158"/>
      <c r="DL95" s="2237">
        <f ca="1">+DL78-DL87</f>
        <v>5634.3712724751676</v>
      </c>
      <c r="DM95" s="2237">
        <f ca="1">+DM78-DM87</f>
        <v>7649.2505656581416</v>
      </c>
      <c r="DN95" s="2237">
        <f ca="1">+DN78-DN87</f>
        <v>7649.2505656581416</v>
      </c>
      <c r="DO95" s="1158"/>
      <c r="DP95" s="2237">
        <f ca="1">+DP78-DP87</f>
        <v>7334.1036216498505</v>
      </c>
      <c r="DQ95" s="2237">
        <f ca="1">+DQ78-DQ87</f>
        <v>9467.2109200904961</v>
      </c>
      <c r="DR95" s="2237">
        <f ca="1">+DR78-DR87</f>
        <v>9467.2109200904961</v>
      </c>
      <c r="DS95" s="1158"/>
      <c r="DT95" s="1854"/>
    </row>
    <row r="96" spans="1:124" s="1157" customFormat="1" ht="14.4">
      <c r="A96" s="1157" t="s">
        <v>275</v>
      </c>
      <c r="C96" s="1158"/>
      <c r="AN96" s="1158"/>
      <c r="AO96" s="1158"/>
      <c r="AP96" s="1158"/>
      <c r="AQ96" s="1158"/>
      <c r="AR96" s="1158"/>
      <c r="AS96" s="1158"/>
      <c r="AT96" s="1158"/>
      <c r="AU96" s="1158"/>
      <c r="AV96" s="1158"/>
      <c r="AW96" s="1158"/>
      <c r="AX96" s="1158"/>
      <c r="AY96" s="1158"/>
      <c r="AZ96" s="1158"/>
      <c r="BA96" s="1158"/>
      <c r="BB96" s="1158"/>
      <c r="BC96" s="1158"/>
      <c r="BD96" s="1158"/>
      <c r="BE96" s="1158"/>
      <c r="BF96" s="1158"/>
      <c r="BG96" s="1158"/>
      <c r="BH96" s="2237">
        <f>BH79-BH92</f>
        <v>685</v>
      </c>
      <c r="BI96" s="2237">
        <f>BI79-BI92</f>
        <v>843</v>
      </c>
      <c r="BJ96" s="2237">
        <f>BJ79-BJ92</f>
        <v>843</v>
      </c>
      <c r="BK96" s="1158"/>
      <c r="BL96" s="2237">
        <f>BL79-BL92</f>
        <v>633</v>
      </c>
      <c r="BM96" s="2237">
        <f>BM79-BM92</f>
        <v>374</v>
      </c>
      <c r="BN96" s="2237">
        <f>BN79-BN92</f>
        <v>374</v>
      </c>
      <c r="BO96" s="1158"/>
      <c r="BP96" s="2237">
        <f>BP79-BP92</f>
        <v>598</v>
      </c>
      <c r="BQ96" s="2237">
        <f>BQ79-BQ92</f>
        <v>564</v>
      </c>
      <c r="BR96" s="2237">
        <f>BR79-BR92</f>
        <v>564</v>
      </c>
      <c r="BS96" s="1158"/>
      <c r="BT96" s="2237">
        <f>BT79-BT92</f>
        <v>652</v>
      </c>
      <c r="BU96" s="2237">
        <f>BU79-BU92</f>
        <v>767</v>
      </c>
      <c r="BV96" s="2237">
        <f>BV79-BV92</f>
        <v>767</v>
      </c>
      <c r="BW96" s="1158"/>
      <c r="BX96" s="2237">
        <f>BX79-BX92</f>
        <v>852</v>
      </c>
      <c r="BY96" s="2237">
        <f>BY79-BY92</f>
        <v>1114</v>
      </c>
      <c r="BZ96" s="2237">
        <f>BZ79-BZ92</f>
        <v>1114</v>
      </c>
      <c r="CA96" s="1158"/>
      <c r="CB96" s="2237">
        <f>CB79-CB92</f>
        <v>265</v>
      </c>
      <c r="CC96" s="2237">
        <f>CC79-CC92</f>
        <v>282</v>
      </c>
      <c r="CD96" s="2237">
        <f>CD79-CD92</f>
        <v>282</v>
      </c>
      <c r="CE96" s="1158"/>
      <c r="CF96" s="2237">
        <f>CF79-CF92</f>
        <v>-59</v>
      </c>
      <c r="CG96" s="2237">
        <f>CG79-CG92</f>
        <v>2205</v>
      </c>
      <c r="CH96" s="2237">
        <f>CH79-CH92</f>
        <v>2205</v>
      </c>
      <c r="CI96" s="1158"/>
      <c r="CJ96" s="2237">
        <f>CJ79-CJ92</f>
        <v>2337</v>
      </c>
      <c r="CK96" s="2237">
        <f>CK79-CK92</f>
        <v>2158</v>
      </c>
      <c r="CL96" s="2237">
        <f>CL79-CL92</f>
        <v>2158</v>
      </c>
      <c r="CM96" s="1158"/>
      <c r="CN96" s="2237">
        <f>CN79-CN92</f>
        <v>3147</v>
      </c>
      <c r="CO96" s="2237">
        <f>CO79-CO92</f>
        <v>3270</v>
      </c>
      <c r="CP96" s="2237">
        <f>CP79-CP92</f>
        <v>3270</v>
      </c>
      <c r="CQ96" s="1158"/>
      <c r="CR96" s="2237">
        <f>CR79-CR92</f>
        <v>2269</v>
      </c>
      <c r="CS96" s="2237">
        <f>CS79-CS92</f>
        <v>4430</v>
      </c>
      <c r="CT96" s="2237">
        <f>CT79-CT92</f>
        <v>4430</v>
      </c>
      <c r="CU96" s="1158"/>
      <c r="CV96" s="2237">
        <f>CV79-CV92</f>
        <v>3821</v>
      </c>
      <c r="CW96" s="2238">
        <f>CW79-CW92</f>
        <v>5903</v>
      </c>
      <c r="CX96" s="2238">
        <f>CX79-CX92</f>
        <v>5903</v>
      </c>
      <c r="CY96" s="1158"/>
      <c r="CZ96" s="2237">
        <f>CZ79-CZ92</f>
        <v>4476</v>
      </c>
      <c r="DA96" s="2238">
        <f>DA79-DA92</f>
        <v>4050</v>
      </c>
      <c r="DB96" s="2238">
        <f>DB79-DB92</f>
        <v>4050</v>
      </c>
      <c r="DC96" s="1158"/>
      <c r="DD96" s="2237">
        <f>DD79-DD92</f>
        <v>4189</v>
      </c>
      <c r="DE96" s="2238">
        <f>DE79-DE92</f>
        <v>3484</v>
      </c>
      <c r="DF96" s="2238">
        <f>DF79-DF92</f>
        <v>3484</v>
      </c>
      <c r="DG96" s="1158"/>
      <c r="DH96" s="2237">
        <f>DH79-DH92</f>
        <v>2074</v>
      </c>
      <c r="DI96" s="2237">
        <f>DI79-DI92</f>
        <v>2597.505973059715</v>
      </c>
      <c r="DJ96" s="2237">
        <f>DJ79-DJ92</f>
        <v>2597.505973059715</v>
      </c>
      <c r="DK96" s="1158"/>
      <c r="DL96" s="2237">
        <f>DL79-DL92</f>
        <v>2332.2838112760983</v>
      </c>
      <c r="DM96" s="2237">
        <f>DM79-DM92</f>
        <v>2113.7450693430656</v>
      </c>
      <c r="DN96" s="2237">
        <f>DN79-DN92</f>
        <v>2113.7450693430656</v>
      </c>
      <c r="DO96" s="1158"/>
      <c r="DP96" s="2237">
        <f>DP79-DP92</f>
        <v>1890.5715769943836</v>
      </c>
      <c r="DQ96" s="2237">
        <f>DQ79-DQ92</f>
        <v>1662.7497133087345</v>
      </c>
      <c r="DR96" s="2237">
        <f>DR79-DR92</f>
        <v>1662.7497133087345</v>
      </c>
      <c r="DS96" s="1158"/>
      <c r="DT96" s="1854"/>
    </row>
    <row r="97" spans="1:124" s="1360" customFormat="1" ht="15.6">
      <c r="A97" s="1162" t="s">
        <v>1458</v>
      </c>
      <c r="B97" s="1162"/>
      <c r="C97" s="1892"/>
      <c r="D97" s="1162"/>
      <c r="E97" s="1162"/>
      <c r="F97" s="1162"/>
      <c r="G97" s="1162"/>
      <c r="H97" s="1162"/>
      <c r="I97" s="1162"/>
      <c r="J97" s="1162"/>
      <c r="K97" s="1162"/>
      <c r="L97" s="1162"/>
      <c r="M97" s="1162"/>
      <c r="N97" s="1162"/>
      <c r="O97" s="1162"/>
      <c r="P97" s="1162"/>
      <c r="Q97" s="1162"/>
      <c r="R97" s="1162"/>
      <c r="S97" s="1162"/>
      <c r="T97" s="1162"/>
      <c r="U97" s="1162"/>
      <c r="V97" s="1162"/>
      <c r="W97" s="1162"/>
      <c r="X97" s="1162"/>
      <c r="Y97" s="1162"/>
      <c r="Z97" s="1162"/>
      <c r="AA97" s="1162"/>
      <c r="AB97" s="1162"/>
      <c r="AC97" s="1162"/>
      <c r="AD97" s="1162"/>
      <c r="AE97" s="1162"/>
      <c r="AF97" s="1162"/>
      <c r="AG97" s="1162"/>
      <c r="AH97" s="1162"/>
      <c r="AI97" s="1162"/>
      <c r="AJ97" s="1162"/>
      <c r="AK97" s="1162"/>
      <c r="AL97" s="1162"/>
      <c r="AM97" s="1162"/>
      <c r="AN97" s="1892"/>
      <c r="AO97" s="1892"/>
      <c r="AP97" s="1892"/>
      <c r="AQ97" s="1892"/>
      <c r="AR97" s="1892"/>
      <c r="AS97" s="1892"/>
      <c r="AT97" s="1892"/>
      <c r="AU97" s="1892"/>
      <c r="AV97" s="1892"/>
      <c r="AW97" s="1892"/>
      <c r="AX97" s="1892"/>
      <c r="AY97" s="1892"/>
      <c r="AZ97" s="1892"/>
      <c r="BA97" s="1892"/>
      <c r="BB97" s="1892"/>
      <c r="BC97" s="1892"/>
      <c r="BD97" s="1892"/>
      <c r="BE97" s="1892"/>
      <c r="BF97" s="1892"/>
      <c r="BG97" s="1892"/>
      <c r="BH97" s="1165">
        <f>SUM(BH95:BH96)</f>
        <v>2980.2999999999993</v>
      </c>
      <c r="BI97" s="1165">
        <f>SUM(BI95:BI96)</f>
        <v>3075.8899999999994</v>
      </c>
      <c r="BJ97" s="1165">
        <f>SUM(BJ95:BJ96)</f>
        <v>3075.8899999999994</v>
      </c>
      <c r="BK97" s="1892"/>
      <c r="BL97" s="1165">
        <f>SUM(BL95:BL96)</f>
        <v>3056.9199999999992</v>
      </c>
      <c r="BM97" s="1165">
        <f>SUM(BM95:BM96)</f>
        <v>2736.1399999999994</v>
      </c>
      <c r="BN97" s="1165">
        <f>SUM(BN95:BN96)</f>
        <v>2736.1399999999994</v>
      </c>
      <c r="BO97" s="1892"/>
      <c r="BP97" s="1165">
        <f>SUM(BP95:BP96)</f>
        <v>2466.9899999999998</v>
      </c>
      <c r="BQ97" s="1165">
        <f>SUM(BQ95:BQ96)</f>
        <v>4010.869999999999</v>
      </c>
      <c r="BR97" s="1165">
        <f>SUM(BR95:BR96)</f>
        <v>4010.869999999999</v>
      </c>
      <c r="BS97" s="1892"/>
      <c r="BT97" s="1165">
        <f>SUM(BT95:BT96)</f>
        <v>3019.4799999999996</v>
      </c>
      <c r="BU97" s="1165">
        <f>SUM(BU95:BU96)</f>
        <v>3928.119999999999</v>
      </c>
      <c r="BV97" s="1165">
        <f>SUM(BV95:BV96)</f>
        <v>3928.119999999999</v>
      </c>
      <c r="BW97" s="1892"/>
      <c r="BX97" s="1165">
        <f>SUM(BX95:BX96)</f>
        <v>3734.2199999999993</v>
      </c>
      <c r="BY97" s="1165">
        <f>SUM(BY95:BY96)</f>
        <v>5494.7199999999993</v>
      </c>
      <c r="BZ97" s="1165">
        <f>SUM(BZ95:BZ96)</f>
        <v>5494.7199999999993</v>
      </c>
      <c r="CA97" s="1892"/>
      <c r="CB97" s="1165">
        <f>SUM(CB95:CB96)</f>
        <v>4228.2000000000007</v>
      </c>
      <c r="CC97" s="1165">
        <f>SUM(CC95:CC96)</f>
        <v>4219.0599999999995</v>
      </c>
      <c r="CD97" s="1165">
        <f>SUM(CD95:CD96)</f>
        <v>4219.0599999999995</v>
      </c>
      <c r="CE97" s="1892"/>
      <c r="CF97" s="1165">
        <f>SUM(CF95:CF96)</f>
        <v>3429.4699999999993</v>
      </c>
      <c r="CG97" s="1165">
        <f>SUM(CG95:CG96)</f>
        <v>6109.5299999999988</v>
      </c>
      <c r="CH97" s="1165">
        <f>SUM(CH95:CH96)</f>
        <v>6109.5299999999988</v>
      </c>
      <c r="CI97" s="1892"/>
      <c r="CJ97" s="1165">
        <f>SUM(CJ95:CJ96)</f>
        <v>6651.5399999999991</v>
      </c>
      <c r="CK97" s="1165">
        <f>SUM(CK95:CK96)</f>
        <v>7053.0399999999991</v>
      </c>
      <c r="CL97" s="1165">
        <f>SUM(CL95:CL96)</f>
        <v>7053.0399999999991</v>
      </c>
      <c r="CM97" s="1892"/>
      <c r="CN97" s="1165">
        <f>SUM(CN95:CN96)</f>
        <v>9381.2150000000001</v>
      </c>
      <c r="CO97" s="1165">
        <f>SUM(CO95:CO96)</f>
        <v>8804.5249999999996</v>
      </c>
      <c r="CP97" s="1165">
        <f>SUM(CP95:CP96)</f>
        <v>8804.5249999999996</v>
      </c>
      <c r="CQ97" s="1892"/>
      <c r="CR97" s="1165">
        <f>SUM(CR95:CR96)</f>
        <v>8414.2349999999988</v>
      </c>
      <c r="CS97" s="1165">
        <f>SUM(CS95:CS96)</f>
        <v>10666.195</v>
      </c>
      <c r="CT97" s="1165">
        <f>SUM(CT95:CT96)</f>
        <v>10666.195</v>
      </c>
      <c r="CU97" s="1892"/>
      <c r="CV97" s="1165">
        <f>SUM(CV95:CV96)</f>
        <v>12186.554999999998</v>
      </c>
      <c r="CW97" s="1837">
        <f>SUM(CW95:CW96)</f>
        <v>12647.425000000001</v>
      </c>
      <c r="CX97" s="1837">
        <f>SUM(CX95:CX96)</f>
        <v>12647.425000000001</v>
      </c>
      <c r="CY97" s="1892"/>
      <c r="CZ97" s="1165">
        <f>SUM(CZ95:CZ96)</f>
        <v>10488.41</v>
      </c>
      <c r="DA97" s="1837">
        <f>SUM(DA95:DA96)</f>
        <v>10665.510000000002</v>
      </c>
      <c r="DB97" s="1837">
        <f>SUM(DB95:DB96)</f>
        <v>10665.510000000002</v>
      </c>
      <c r="DC97" s="1892"/>
      <c r="DD97" s="1165">
        <f>SUM(DD95:DD96)</f>
        <v>9801.510000000002</v>
      </c>
      <c r="DE97" s="1837">
        <f>SUM(DE95:DE96)</f>
        <v>9546.989999999998</v>
      </c>
      <c r="DF97" s="1837">
        <f>SUM(DF95:DF96)</f>
        <v>9546.989999999998</v>
      </c>
      <c r="DG97" s="1892"/>
      <c r="DH97" s="1165">
        <f>SUM(DH95:DH96)</f>
        <v>7586.0449999999983</v>
      </c>
      <c r="DI97" s="1165">
        <f ca="1">SUM(DI95:DI96)</f>
        <v>8336.2988357866943</v>
      </c>
      <c r="DJ97" s="1165">
        <f ca="1">SUM(DJ95:DJ96)</f>
        <v>8336.2988357866943</v>
      </c>
      <c r="DK97" s="1892"/>
      <c r="DL97" s="1165">
        <f ca="1">SUM(DL95:DL96)</f>
        <v>7966.6550837512659</v>
      </c>
      <c r="DM97" s="1165">
        <f ca="1">SUM(DM95:DM96)</f>
        <v>9762.9956350012071</v>
      </c>
      <c r="DN97" s="1165">
        <f ca="1">SUM(DN95:DN96)</f>
        <v>9762.9956350012071</v>
      </c>
      <c r="DO97" s="1892"/>
      <c r="DP97" s="1165">
        <f ca="1">SUM(DP95:DP96)</f>
        <v>9224.6751986442341</v>
      </c>
      <c r="DQ97" s="1165">
        <f ca="1">SUM(DQ95:DQ96)</f>
        <v>11129.960633399231</v>
      </c>
      <c r="DR97" s="1165">
        <f ca="1">SUM(DR95:DR96)</f>
        <v>11129.960633399231</v>
      </c>
      <c r="DS97" s="1892"/>
      <c r="DT97" s="2236"/>
    </row>
    <row r="99" spans="1:124">
      <c r="A99" s="289" t="s">
        <v>276</v>
      </c>
    </row>
    <row r="100" spans="1:124" ht="14.4" thickBot="1">
      <c r="A100" s="815" t="s">
        <v>467</v>
      </c>
    </row>
    <row r="101" spans="1:124" ht="14.4" thickBot="1">
      <c r="A101" s="102" t="s">
        <v>451</v>
      </c>
      <c r="B101" s="1890">
        <v>0.105</v>
      </c>
      <c r="BH101" s="812">
        <f>$B101</f>
        <v>0.105</v>
      </c>
      <c r="BI101" s="812">
        <f>$B101</f>
        <v>0.105</v>
      </c>
      <c r="BL101" s="812">
        <f>$B101</f>
        <v>0.105</v>
      </c>
      <c r="BM101" s="812">
        <f>$B101</f>
        <v>0.105</v>
      </c>
      <c r="BP101" s="812">
        <f>$B101</f>
        <v>0.105</v>
      </c>
      <c r="BQ101" s="812">
        <f>$B101</f>
        <v>0.105</v>
      </c>
      <c r="BT101" s="812">
        <f>$B101</f>
        <v>0.105</v>
      </c>
      <c r="BU101" s="812">
        <f>$B101</f>
        <v>0.105</v>
      </c>
      <c r="BX101" s="812">
        <f>$B101</f>
        <v>0.105</v>
      </c>
      <c r="BY101" s="812">
        <f>$B101</f>
        <v>0.105</v>
      </c>
      <c r="CB101" s="812">
        <f>$B101</f>
        <v>0.105</v>
      </c>
      <c r="CC101" s="812">
        <f>$B101</f>
        <v>0.105</v>
      </c>
      <c r="CF101" s="812">
        <f>$B101</f>
        <v>0.105</v>
      </c>
      <c r="CG101" s="812">
        <f>$B101</f>
        <v>0.105</v>
      </c>
      <c r="CJ101" s="812">
        <f>$B101</f>
        <v>0.105</v>
      </c>
      <c r="CK101" s="812">
        <f>$B101</f>
        <v>0.105</v>
      </c>
      <c r="CN101" s="812">
        <f>$B101</f>
        <v>0.105</v>
      </c>
      <c r="CO101" s="812">
        <f>$B101</f>
        <v>0.105</v>
      </c>
      <c r="CR101" s="812">
        <f>$B101</f>
        <v>0.105</v>
      </c>
      <c r="CS101" s="812">
        <f>$B101</f>
        <v>0.105</v>
      </c>
      <c r="CV101" s="812">
        <f>$B101</f>
        <v>0.105</v>
      </c>
      <c r="CW101" s="1835">
        <f>$B101</f>
        <v>0.105</v>
      </c>
      <c r="CZ101" s="812">
        <f>$B101</f>
        <v>0.105</v>
      </c>
      <c r="DA101" s="1835">
        <f>$B101</f>
        <v>0.105</v>
      </c>
      <c r="DB101" s="1408"/>
      <c r="DD101" s="812">
        <f>$B101</f>
        <v>0.105</v>
      </c>
      <c r="DE101" s="1835">
        <f>$B101</f>
        <v>0.105</v>
      </c>
      <c r="DF101" s="1408"/>
      <c r="DH101" s="812">
        <f>$B101</f>
        <v>0.105</v>
      </c>
      <c r="DI101" s="812">
        <f>$B101</f>
        <v>0.105</v>
      </c>
      <c r="DL101" s="812">
        <f>$B101</f>
        <v>0.105</v>
      </c>
      <c r="DM101" s="812">
        <f>$B101</f>
        <v>0.105</v>
      </c>
      <c r="DP101" s="812">
        <f>$B101</f>
        <v>0.105</v>
      </c>
      <c r="DQ101" s="812">
        <f>$B101</f>
        <v>0.105</v>
      </c>
    </row>
    <row r="102" spans="1:124">
      <c r="A102" s="102" t="s">
        <v>281</v>
      </c>
      <c r="BH102" s="293">
        <f>BH101*BH83</f>
        <v>5881.05</v>
      </c>
      <c r="BI102" s="293">
        <f>BI101*BI83</f>
        <v>6129.165</v>
      </c>
      <c r="BL102" s="293">
        <f>BL101*BL83</f>
        <v>6598.62</v>
      </c>
      <c r="BM102" s="293">
        <f>BM101*BM83</f>
        <v>6898.29</v>
      </c>
      <c r="BP102" s="293">
        <f>BP101*BP83</f>
        <v>7344.0149999999994</v>
      </c>
      <c r="BQ102" s="293">
        <f>BQ101*BQ83</f>
        <v>9078.1949999999997</v>
      </c>
      <c r="BT102" s="293">
        <f>BT101*BT83</f>
        <v>9650.76</v>
      </c>
      <c r="BU102" s="293">
        <f>BU101*BU83</f>
        <v>9820.44</v>
      </c>
      <c r="BX102" s="293">
        <f>BX101*BX83</f>
        <v>9772.14</v>
      </c>
      <c r="BY102" s="293">
        <f>BY101*BY83</f>
        <v>9404.64</v>
      </c>
      <c r="CB102" s="293">
        <f>CB101*CB83</f>
        <v>9332.4</v>
      </c>
      <c r="CC102" s="293">
        <f>CC101*CC83</f>
        <v>9614.2199999999993</v>
      </c>
      <c r="CF102" s="293">
        <f>CF101*CF83</f>
        <v>10060.89</v>
      </c>
      <c r="CG102" s="293">
        <f>CG101*CG83</f>
        <v>8104.11</v>
      </c>
      <c r="CJ102" s="293">
        <f>CJ101*CJ83</f>
        <v>9142.98</v>
      </c>
      <c r="CK102" s="293">
        <f>CK101*CK83</f>
        <v>9972.48</v>
      </c>
      <c r="CN102" s="293">
        <f>CN101*CN83</f>
        <v>9221.2049999999999</v>
      </c>
      <c r="CO102" s="293">
        <f>CO101*CO83</f>
        <v>9800.1749999999993</v>
      </c>
      <c r="CR102" s="293">
        <f>CR101*CR83</f>
        <v>12075.945</v>
      </c>
      <c r="CS102" s="293">
        <f>CS101*CS83</f>
        <v>13632.465</v>
      </c>
      <c r="CV102" s="293">
        <f>CV101*CV83</f>
        <v>14218.785</v>
      </c>
      <c r="CW102" s="1495">
        <f>CW101*CW83</f>
        <v>13044.15</v>
      </c>
      <c r="CZ102" s="293">
        <f>CZ101*CZ83</f>
        <v>13162.59</v>
      </c>
      <c r="DA102" s="1495">
        <f>DA101*DA83</f>
        <v>13538.49</v>
      </c>
      <c r="DB102" s="1408"/>
      <c r="DD102" s="293">
        <f>DD101*DD83</f>
        <v>14378.49</v>
      </c>
      <c r="DE102" s="1495">
        <f>DE101*DE83</f>
        <v>15683.01</v>
      </c>
      <c r="DF102" s="1408"/>
      <c r="DH102" s="293">
        <f>DH101*DH83</f>
        <v>16040.955</v>
      </c>
      <c r="DI102" s="293">
        <f>DI101*DI83</f>
        <v>17221.935095323926</v>
      </c>
      <c r="DL102" s="293">
        <f>DL101*DL83</f>
        <v>17653.262545708672</v>
      </c>
      <c r="DM102" s="293">
        <f>DM101*DM83</f>
        <v>18350.552960350091</v>
      </c>
      <c r="DP102" s="293">
        <f>DP101*DP83</f>
        <v>19079.284104044113</v>
      </c>
      <c r="DQ102" s="293">
        <f>DQ101*DQ83</f>
        <v>19840.997189724661</v>
      </c>
    </row>
    <row r="103" spans="1:124">
      <c r="A103" s="102" t="s">
        <v>439</v>
      </c>
      <c r="BH103" s="293">
        <f>BH86</f>
        <v>2794</v>
      </c>
      <c r="BI103" s="293">
        <f>BI86</f>
        <v>2636</v>
      </c>
      <c r="BL103" s="293">
        <f>BL86</f>
        <v>2806</v>
      </c>
      <c r="BM103" s="293">
        <f>BM86</f>
        <v>2721</v>
      </c>
      <c r="BP103" s="293">
        <f>BP86</f>
        <v>2885</v>
      </c>
      <c r="BQ103" s="293">
        <f>BQ86</f>
        <v>2798</v>
      </c>
      <c r="BT103" s="293">
        <f>BT86</f>
        <v>2488</v>
      </c>
      <c r="BU103" s="293">
        <f>BU86</f>
        <v>2354</v>
      </c>
      <c r="BX103" s="293">
        <f>BX86</f>
        <v>2250</v>
      </c>
      <c r="BY103" s="293">
        <f>BY86</f>
        <v>2261</v>
      </c>
      <c r="CB103" s="293">
        <f>CB86</f>
        <v>2327</v>
      </c>
      <c r="CC103" s="293">
        <f>CC86</f>
        <v>2534</v>
      </c>
      <c r="CF103" s="293">
        <f>CF86</f>
        <v>2665</v>
      </c>
      <c r="CG103" s="293">
        <f>CG86</f>
        <v>2035</v>
      </c>
      <c r="CJ103" s="293">
        <f>CJ86</f>
        <v>1933</v>
      </c>
      <c r="CK103" s="293">
        <f>CK86</f>
        <v>2195</v>
      </c>
      <c r="CN103" s="293">
        <f>CN86</f>
        <v>1836</v>
      </c>
      <c r="CO103" s="293">
        <f>CO86</f>
        <v>2239</v>
      </c>
      <c r="CR103" s="293">
        <f>CR86</f>
        <v>2480</v>
      </c>
      <c r="CS103" s="293">
        <f>CS86</f>
        <v>2983</v>
      </c>
      <c r="CV103" s="293">
        <f>CV86</f>
        <v>3245</v>
      </c>
      <c r="CW103" s="1495">
        <f>CW86</f>
        <v>3293</v>
      </c>
      <c r="CZ103" s="293">
        <f>CZ86</f>
        <v>3436</v>
      </c>
      <c r="DA103" s="1495">
        <f>DA86</f>
        <v>3645</v>
      </c>
      <c r="DB103" s="1408"/>
      <c r="DD103" s="293">
        <f>DD86</f>
        <v>3362</v>
      </c>
      <c r="DE103" s="1495">
        <f>DE86</f>
        <v>3803</v>
      </c>
      <c r="DF103" s="1408"/>
      <c r="DH103" s="293">
        <f>DH86</f>
        <v>3760</v>
      </c>
      <c r="DI103" s="293">
        <f>DI86</f>
        <v>3902.632956147464</v>
      </c>
      <c r="DL103" s="293">
        <f>DL86</f>
        <v>4054.1847737134303</v>
      </c>
      <c r="DM103" s="293">
        <f>DM86</f>
        <v>4215.3213496861081</v>
      </c>
      <c r="DP103" s="293">
        <f>DP86</f>
        <v>4386.7653805459713</v>
      </c>
      <c r="DQ103" s="293">
        <f>DQ86</f>
        <v>4569.3016034276761</v>
      </c>
    </row>
    <row r="104" spans="1:124" s="289" customFormat="1">
      <c r="A104" s="289" t="s">
        <v>274</v>
      </c>
      <c r="C104" s="290"/>
      <c r="AN104" s="290"/>
      <c r="AO104" s="290"/>
      <c r="AP104" s="290"/>
      <c r="AQ104" s="290"/>
      <c r="AR104" s="290"/>
      <c r="AS104" s="290"/>
      <c r="AT104" s="290"/>
      <c r="AU104" s="290"/>
      <c r="AV104" s="290"/>
      <c r="AW104" s="290"/>
      <c r="AX104" s="290"/>
      <c r="AY104" s="290"/>
      <c r="AZ104" s="290"/>
      <c r="BA104" s="290"/>
      <c r="BB104" s="290"/>
      <c r="BC104" s="290"/>
      <c r="BD104" s="290"/>
      <c r="BE104" s="290"/>
      <c r="BF104" s="290"/>
      <c r="BG104" s="290"/>
      <c r="BH104" s="295">
        <f>+BH102+BH103</f>
        <v>8675.0499999999993</v>
      </c>
      <c r="BI104" s="295">
        <f>+BI102+BI103</f>
        <v>8765.1650000000009</v>
      </c>
      <c r="BJ104" s="295">
        <f>BI104</f>
        <v>8765.1650000000009</v>
      </c>
      <c r="BK104" s="290"/>
      <c r="BL104" s="295">
        <f>+BL102+BL103</f>
        <v>9404.619999999999</v>
      </c>
      <c r="BM104" s="295">
        <f>+BM102+BM103</f>
        <v>9619.2900000000009</v>
      </c>
      <c r="BN104" s="295">
        <f>BM104</f>
        <v>9619.2900000000009</v>
      </c>
      <c r="BO104" s="290"/>
      <c r="BP104" s="295">
        <f>+BP102+BP103</f>
        <v>10229.014999999999</v>
      </c>
      <c r="BQ104" s="295">
        <f>+BQ102+BQ103</f>
        <v>11876.195</v>
      </c>
      <c r="BR104" s="295">
        <f>BQ104</f>
        <v>11876.195</v>
      </c>
      <c r="BS104" s="290"/>
      <c r="BT104" s="295">
        <f>+BT102+BT103</f>
        <v>12138.76</v>
      </c>
      <c r="BU104" s="295">
        <f>+BU102+BU103</f>
        <v>12174.44</v>
      </c>
      <c r="BV104" s="295">
        <f>BU104</f>
        <v>12174.44</v>
      </c>
      <c r="BW104" s="290"/>
      <c r="BX104" s="295">
        <f>+BX102+BX103</f>
        <v>12022.14</v>
      </c>
      <c r="BY104" s="295">
        <f>+BY102+BY103</f>
        <v>11665.64</v>
      </c>
      <c r="BZ104" s="295">
        <f>BY104</f>
        <v>11665.64</v>
      </c>
      <c r="CA104" s="290"/>
      <c r="CB104" s="295">
        <f>+CB102+CB103</f>
        <v>11659.4</v>
      </c>
      <c r="CC104" s="295">
        <f>+CC102+CC103</f>
        <v>12148.22</v>
      </c>
      <c r="CD104" s="295">
        <f>CC104</f>
        <v>12148.22</v>
      </c>
      <c r="CE104" s="290"/>
      <c r="CF104" s="295">
        <f>+CF102+CF103</f>
        <v>12725.89</v>
      </c>
      <c r="CG104" s="295">
        <f>+CG102+CG103</f>
        <v>10139.11</v>
      </c>
      <c r="CH104" s="295">
        <f>CG104</f>
        <v>10139.11</v>
      </c>
      <c r="CI104" s="290"/>
      <c r="CJ104" s="295">
        <f>+CJ102+CJ103</f>
        <v>11075.98</v>
      </c>
      <c r="CK104" s="295">
        <f>+CK102+CK103</f>
        <v>12167.48</v>
      </c>
      <c r="CL104" s="295">
        <f>CK104</f>
        <v>12167.48</v>
      </c>
      <c r="CM104" s="290"/>
      <c r="CN104" s="295">
        <f>+CN102+CN103</f>
        <v>11057.205</v>
      </c>
      <c r="CO104" s="295">
        <f>+CO102+CO103</f>
        <v>12039.174999999999</v>
      </c>
      <c r="CP104" s="295">
        <f>CO104</f>
        <v>12039.174999999999</v>
      </c>
      <c r="CQ104" s="811">
        <f>+CP104/CL104-1</f>
        <v>-1.0544911518243771E-2</v>
      </c>
      <c r="CR104" s="295">
        <f>+CR102+CR103</f>
        <v>14555.945</v>
      </c>
      <c r="CS104" s="295">
        <f>+CS102+CS103</f>
        <v>16615.465</v>
      </c>
      <c r="CT104" s="295">
        <f>CS104</f>
        <v>16615.465</v>
      </c>
      <c r="CU104" s="811">
        <f>+CT104/CP104-1</f>
        <v>0.38011657775553576</v>
      </c>
      <c r="CV104" s="295">
        <f>+CV102+CV103</f>
        <v>17463.785</v>
      </c>
      <c r="CW104" s="1390">
        <f>+CW102+CW103</f>
        <v>16337.15</v>
      </c>
      <c r="CX104" s="1390">
        <f>CW104</f>
        <v>16337.15</v>
      </c>
      <c r="CY104" s="811">
        <f>+CX104/CT104-1</f>
        <v>-1.6750358777199437E-2</v>
      </c>
      <c r="CZ104" s="295">
        <f>+CZ102+CZ103</f>
        <v>16598.59</v>
      </c>
      <c r="DA104" s="1390">
        <f>+DA102+DA103</f>
        <v>17183.489999999998</v>
      </c>
      <c r="DB104" s="1390">
        <f>DA104</f>
        <v>17183.489999999998</v>
      </c>
      <c r="DC104" s="811">
        <f>+DB104/CX104-1</f>
        <v>5.1804629326412499E-2</v>
      </c>
      <c r="DD104" s="295">
        <f>+DD102+DD103</f>
        <v>17740.489999999998</v>
      </c>
      <c r="DE104" s="1390">
        <f>+DE102+DE103</f>
        <v>19486.010000000002</v>
      </c>
      <c r="DF104" s="1390">
        <f>DE104</f>
        <v>19486.010000000002</v>
      </c>
      <c r="DG104" s="811">
        <f>+DF104/DB104-1</f>
        <v>0.13399606249952734</v>
      </c>
      <c r="DH104" s="295">
        <f>+DH102+DH103</f>
        <v>19800.955000000002</v>
      </c>
      <c r="DI104" s="295">
        <f>+DI102+DI103</f>
        <v>21124.568051471389</v>
      </c>
      <c r="DJ104" s="295">
        <f>DI104</f>
        <v>21124.568051471389</v>
      </c>
      <c r="DK104" s="811">
        <f>+DJ104/DF104-1</f>
        <v>8.408894645293663E-2</v>
      </c>
      <c r="DL104" s="295">
        <f>+DL102+DL103</f>
        <v>21707.447319422103</v>
      </c>
      <c r="DM104" s="295">
        <f>+DM102+DM103</f>
        <v>22565.874310036197</v>
      </c>
      <c r="DN104" s="295">
        <f>DM104</f>
        <v>22565.874310036197</v>
      </c>
      <c r="DO104" s="811">
        <f>+DN104/DJ104-1</f>
        <v>6.8228910293122613E-2</v>
      </c>
      <c r="DP104" s="295">
        <f>+DP102+DP103</f>
        <v>23466.049484590083</v>
      </c>
      <c r="DQ104" s="295">
        <f>+DQ102+DQ103</f>
        <v>24410.298793152338</v>
      </c>
      <c r="DR104" s="295">
        <f>DQ104</f>
        <v>24410.298793152338</v>
      </c>
      <c r="DS104" s="811">
        <f>+DR104/DN104-1</f>
        <v>8.1735121705248215E-2</v>
      </c>
      <c r="DT104"/>
    </row>
    <row r="105" spans="1:124" s="903" customFormat="1">
      <c r="A105" s="903" t="s">
        <v>257</v>
      </c>
      <c r="C105" s="1161"/>
      <c r="AN105" s="1161"/>
      <c r="AO105" s="1161"/>
      <c r="AP105" s="1161"/>
      <c r="AQ105" s="1161"/>
      <c r="AR105" s="1161"/>
      <c r="AS105" s="1161"/>
      <c r="AT105" s="1161"/>
      <c r="AU105" s="1161"/>
      <c r="AV105" s="1161"/>
      <c r="AW105" s="1161"/>
      <c r="AX105" s="1161"/>
      <c r="AY105" s="1161"/>
      <c r="AZ105" s="1161"/>
      <c r="BA105" s="1161"/>
      <c r="BB105" s="1161"/>
      <c r="BC105" s="1161"/>
      <c r="BD105" s="1161"/>
      <c r="BE105" s="1161"/>
      <c r="BF105" s="1161"/>
      <c r="BG105" s="1161"/>
      <c r="BH105" s="904">
        <f>BH78</f>
        <v>9010</v>
      </c>
      <c r="BI105" s="904">
        <f>BI78</f>
        <v>8955</v>
      </c>
      <c r="BJ105" s="904">
        <f>BI105</f>
        <v>8955</v>
      </c>
      <c r="BK105" s="1161"/>
      <c r="BL105" s="904">
        <f>BL78</f>
        <v>9629</v>
      </c>
      <c r="BM105" s="904">
        <f>BM78</f>
        <v>9682</v>
      </c>
      <c r="BN105" s="904">
        <f>BM105</f>
        <v>9682</v>
      </c>
      <c r="BO105" s="1161"/>
      <c r="BP105" s="904">
        <f>BP78</f>
        <v>9650</v>
      </c>
      <c r="BQ105" s="904">
        <f>BQ78</f>
        <v>12297</v>
      </c>
      <c r="BR105" s="904">
        <f>BQ105</f>
        <v>12297</v>
      </c>
      <c r="BS105" s="1161"/>
      <c r="BT105" s="904">
        <f>BT78</f>
        <v>12668</v>
      </c>
      <c r="BU105" s="904">
        <f>BU78</f>
        <v>13465</v>
      </c>
      <c r="BV105" s="904">
        <f>BU105</f>
        <v>13465</v>
      </c>
      <c r="BW105" s="1161"/>
      <c r="BX105" s="904">
        <f>BX78</f>
        <v>13043</v>
      </c>
      <c r="BY105" s="904">
        <f>BY78</f>
        <v>14255</v>
      </c>
      <c r="BZ105" s="904">
        <f>BY105</f>
        <v>14255</v>
      </c>
      <c r="CA105" s="1161"/>
      <c r="CB105" s="904">
        <f>CB78</f>
        <v>13845</v>
      </c>
      <c r="CC105" s="904">
        <f>CC78</f>
        <v>14254</v>
      </c>
      <c r="CD105" s="904">
        <f>CC105</f>
        <v>14254</v>
      </c>
      <c r="CE105" s="1161"/>
      <c r="CF105" s="904">
        <f>CF78</f>
        <v>14298</v>
      </c>
      <c r="CG105" s="904">
        <f>CG78</f>
        <v>12500</v>
      </c>
      <c r="CH105" s="904">
        <f>CG105</f>
        <v>12500</v>
      </c>
      <c r="CI105" s="1161"/>
      <c r="CJ105" s="904">
        <f>CJ78</f>
        <v>13649</v>
      </c>
      <c r="CK105" s="904">
        <f>CK78</f>
        <v>15163</v>
      </c>
      <c r="CL105" s="904">
        <f>CK105</f>
        <v>15163</v>
      </c>
      <c r="CM105" s="1161"/>
      <c r="CN105" s="904">
        <f>CN78</f>
        <v>15535</v>
      </c>
      <c r="CO105" s="904">
        <f>CO78</f>
        <v>15707</v>
      </c>
      <c r="CP105" s="904">
        <f>CO105</f>
        <v>15707</v>
      </c>
      <c r="CQ105" s="1161"/>
      <c r="CR105" s="904">
        <f>CR78</f>
        <v>18401</v>
      </c>
      <c r="CS105" s="904">
        <f>CS78</f>
        <v>20255</v>
      </c>
      <c r="CT105" s="904">
        <f>CS105</f>
        <v>20255</v>
      </c>
      <c r="CU105" s="1161"/>
      <c r="CV105" s="904">
        <f>CV78</f>
        <v>23121</v>
      </c>
      <c r="CW105" s="1836">
        <f>CW78</f>
        <v>22771</v>
      </c>
      <c r="CX105" s="1836">
        <f>CW105</f>
        <v>22771</v>
      </c>
      <c r="CY105" s="1161"/>
      <c r="CZ105" s="904">
        <f>CZ78</f>
        <v>22611</v>
      </c>
      <c r="DA105" s="1836">
        <f>DA78</f>
        <v>23799</v>
      </c>
      <c r="DB105" s="1836">
        <f>DA105</f>
        <v>23799</v>
      </c>
      <c r="DC105" s="1161"/>
      <c r="DD105" s="904">
        <f>DD78</f>
        <v>23353</v>
      </c>
      <c r="DE105" s="1836">
        <f>DE78</f>
        <v>25549</v>
      </c>
      <c r="DF105" s="1836">
        <f>DE105</f>
        <v>25549</v>
      </c>
      <c r="DG105" s="1161"/>
      <c r="DH105" s="904">
        <f>DH78</f>
        <v>25313</v>
      </c>
      <c r="DI105" s="904">
        <f ca="1">DI78</f>
        <v>26863.360914198369</v>
      </c>
      <c r="DJ105" s="904">
        <f ca="1">DI105</f>
        <v>26863.360914198369</v>
      </c>
      <c r="DK105" s="1161"/>
      <c r="DL105" s="904">
        <f ca="1">DL78</f>
        <v>27341.81859189727</v>
      </c>
      <c r="DM105" s="904">
        <f ca="1">DM78</f>
        <v>30215.124875694339</v>
      </c>
      <c r="DN105" s="904">
        <f ca="1">DM105</f>
        <v>30215.124875694339</v>
      </c>
      <c r="DO105" s="1161"/>
      <c r="DP105" s="904">
        <f ca="1">DP78</f>
        <v>30800.153106239934</v>
      </c>
      <c r="DQ105" s="904">
        <f ca="1">DQ78</f>
        <v>33877.509713242835</v>
      </c>
      <c r="DR105" s="904">
        <f ca="1">DQ105</f>
        <v>33877.509713242835</v>
      </c>
      <c r="DS105" s="1161"/>
      <c r="DT105"/>
    </row>
    <row r="106" spans="1:124" s="289" customFormat="1">
      <c r="A106" s="289" t="s">
        <v>276</v>
      </c>
      <c r="C106" s="290"/>
      <c r="AN106" s="290"/>
      <c r="AO106" s="290"/>
      <c r="AP106" s="290"/>
      <c r="AQ106" s="290"/>
      <c r="AR106" s="290"/>
      <c r="AS106" s="290"/>
      <c r="AT106" s="290"/>
      <c r="AU106" s="290"/>
      <c r="AV106" s="290"/>
      <c r="AW106" s="290"/>
      <c r="AX106" s="290"/>
      <c r="AY106" s="290"/>
      <c r="AZ106" s="290"/>
      <c r="BA106" s="290"/>
      <c r="BB106" s="290"/>
      <c r="BC106" s="290"/>
      <c r="BD106" s="290"/>
      <c r="BE106" s="290"/>
      <c r="BF106" s="290"/>
      <c r="BG106" s="290"/>
      <c r="BH106" s="295">
        <f>+BH105-BH104</f>
        <v>334.95000000000073</v>
      </c>
      <c r="BI106" s="295">
        <f>+BI105-BI104</f>
        <v>189.83499999999913</v>
      </c>
      <c r="BJ106" s="295">
        <f>BI106</f>
        <v>189.83499999999913</v>
      </c>
      <c r="BK106" s="290"/>
      <c r="BL106" s="295">
        <f>+BL105-BL104</f>
        <v>224.38000000000102</v>
      </c>
      <c r="BM106" s="295">
        <f>+BM105-BM104</f>
        <v>62.709999999999127</v>
      </c>
      <c r="BN106" s="295">
        <f>BM106</f>
        <v>62.709999999999127</v>
      </c>
      <c r="BO106" s="290"/>
      <c r="BP106" s="295">
        <f>+BP105-BP104</f>
        <v>-579.01499999999942</v>
      </c>
      <c r="BQ106" s="295">
        <f>+BQ105-BQ104</f>
        <v>420.80500000000029</v>
      </c>
      <c r="BR106" s="295">
        <f>BQ106</f>
        <v>420.80500000000029</v>
      </c>
      <c r="BS106" s="290"/>
      <c r="BT106" s="295">
        <f>+BT105-BT104</f>
        <v>529.23999999999978</v>
      </c>
      <c r="BU106" s="295">
        <f>+BU105-BU104</f>
        <v>1290.5599999999995</v>
      </c>
      <c r="BV106" s="295">
        <f>BU106</f>
        <v>1290.5599999999995</v>
      </c>
      <c r="BW106" s="290"/>
      <c r="BX106" s="295">
        <f>+BX105-BX104</f>
        <v>1020.8600000000006</v>
      </c>
      <c r="BY106" s="295">
        <f>+BY105-BY104</f>
        <v>2589.3600000000006</v>
      </c>
      <c r="BZ106" s="295">
        <f>BY106</f>
        <v>2589.3600000000006</v>
      </c>
      <c r="CA106" s="290"/>
      <c r="CB106" s="295">
        <f>+CB105-CB104</f>
        <v>2185.6000000000004</v>
      </c>
      <c r="CC106" s="295">
        <f>+CC105-CC104</f>
        <v>2105.7800000000007</v>
      </c>
      <c r="CD106" s="295">
        <f>CC106</f>
        <v>2105.7800000000007</v>
      </c>
      <c r="CE106" s="290"/>
      <c r="CF106" s="295">
        <f>+CF105-CF104</f>
        <v>1572.1100000000006</v>
      </c>
      <c r="CG106" s="295">
        <f>+CG105-CG104</f>
        <v>2360.8899999999994</v>
      </c>
      <c r="CH106" s="295">
        <f>CG106</f>
        <v>2360.8899999999994</v>
      </c>
      <c r="CI106" s="290"/>
      <c r="CJ106" s="295">
        <f>+CJ105-CJ104</f>
        <v>2573.0200000000004</v>
      </c>
      <c r="CK106" s="295">
        <f>+CK105-CK104</f>
        <v>2995.5200000000004</v>
      </c>
      <c r="CL106" s="295">
        <f>CK106</f>
        <v>2995.5200000000004</v>
      </c>
      <c r="CM106" s="290"/>
      <c r="CN106" s="295">
        <f>+CN105-CN104</f>
        <v>4477.7950000000001</v>
      </c>
      <c r="CO106" s="295">
        <f>+CO105-CO104</f>
        <v>3667.8250000000007</v>
      </c>
      <c r="CP106" s="295">
        <f>CO106</f>
        <v>3667.8250000000007</v>
      </c>
      <c r="CQ106" s="290"/>
      <c r="CR106" s="295">
        <f>+CR105-CR104</f>
        <v>3845.0550000000003</v>
      </c>
      <c r="CS106" s="295">
        <f>+CS105-CS104</f>
        <v>3639.5349999999999</v>
      </c>
      <c r="CT106" s="295">
        <f>CS106</f>
        <v>3639.5349999999999</v>
      </c>
      <c r="CU106" s="290"/>
      <c r="CV106" s="295">
        <f>+CV105-CV104</f>
        <v>5657.2150000000001</v>
      </c>
      <c r="CW106" s="1390">
        <f>+CW105-CW104</f>
        <v>6433.85</v>
      </c>
      <c r="CX106" s="1390">
        <f>CW106</f>
        <v>6433.85</v>
      </c>
      <c r="CY106" s="290"/>
      <c r="CZ106" s="295">
        <f>+CZ105-CZ104</f>
        <v>6012.41</v>
      </c>
      <c r="DA106" s="1390">
        <f>+DA105-DA104</f>
        <v>6615.510000000002</v>
      </c>
      <c r="DB106" s="1390">
        <f>DA106</f>
        <v>6615.510000000002</v>
      </c>
      <c r="DC106" s="290"/>
      <c r="DD106" s="295">
        <f>+DD105-DD104</f>
        <v>5612.510000000002</v>
      </c>
      <c r="DE106" s="1390">
        <f>+DE105-DE104</f>
        <v>6062.989999999998</v>
      </c>
      <c r="DF106" s="1390">
        <f>DE106</f>
        <v>6062.989999999998</v>
      </c>
      <c r="DG106" s="290"/>
      <c r="DH106" s="295">
        <f>+DH105-DH104</f>
        <v>5512.0449999999983</v>
      </c>
      <c r="DI106" s="295">
        <f ca="1">+DI105-DI104</f>
        <v>5738.7928627269794</v>
      </c>
      <c r="DJ106" s="295">
        <f ca="1">DI106</f>
        <v>5738.7928627269794</v>
      </c>
      <c r="DK106" s="290"/>
      <c r="DL106" s="295">
        <f ca="1">+DL105-DL104</f>
        <v>5634.3712724751676</v>
      </c>
      <c r="DM106" s="295">
        <f ca="1">+DM105-DM104</f>
        <v>7649.2505656581416</v>
      </c>
      <c r="DN106" s="295">
        <f ca="1">DM106</f>
        <v>7649.2505656581416</v>
      </c>
      <c r="DO106" s="290"/>
      <c r="DP106" s="295">
        <f ca="1">+DP105-DP104</f>
        <v>7334.1036216498505</v>
      </c>
      <c r="DQ106" s="295">
        <f ca="1">+DQ105-DQ104</f>
        <v>9467.2109200904961</v>
      </c>
      <c r="DR106" s="295">
        <f ca="1">DQ106</f>
        <v>9467.2109200904961</v>
      </c>
      <c r="DS106" s="290"/>
      <c r="DT106"/>
    </row>
    <row r="107" spans="1:124" ht="14.4" thickBot="1">
      <c r="A107" s="815" t="s">
        <v>452</v>
      </c>
      <c r="DA107" s="1408"/>
      <c r="DB107" s="1408"/>
      <c r="DE107" s="1408"/>
      <c r="DF107" s="1408"/>
    </row>
    <row r="108" spans="1:124" ht="14.4" thickBot="1">
      <c r="A108" s="102" t="s">
        <v>451</v>
      </c>
      <c r="B108" s="1160">
        <v>0.08</v>
      </c>
      <c r="C108" s="115" t="s">
        <v>759</v>
      </c>
      <c r="BH108" s="812">
        <f>$B108</f>
        <v>0.08</v>
      </c>
      <c r="BI108" s="812">
        <f>$B108</f>
        <v>0.08</v>
      </c>
      <c r="BL108" s="812">
        <f>$B108</f>
        <v>0.08</v>
      </c>
      <c r="BM108" s="812">
        <f>$B108</f>
        <v>0.08</v>
      </c>
      <c r="BP108" s="812">
        <f>$B108</f>
        <v>0.08</v>
      </c>
      <c r="BQ108" s="812">
        <f>$B108</f>
        <v>0.08</v>
      </c>
      <c r="BT108" s="812">
        <f>$B108</f>
        <v>0.08</v>
      </c>
      <c r="BU108" s="812">
        <f>$B108</f>
        <v>0.08</v>
      </c>
      <c r="BX108" s="812">
        <f>$B108</f>
        <v>0.08</v>
      </c>
      <c r="BY108" s="812">
        <f>$B108</f>
        <v>0.08</v>
      </c>
      <c r="CB108" s="812">
        <f>$B108</f>
        <v>0.08</v>
      </c>
      <c r="CC108" s="812">
        <f>$B108</f>
        <v>0.08</v>
      </c>
      <c r="CF108" s="812">
        <f>$B108</f>
        <v>0.08</v>
      </c>
      <c r="CG108" s="812">
        <f>$B108</f>
        <v>0.08</v>
      </c>
      <c r="CJ108" s="812">
        <f>$B108</f>
        <v>0.08</v>
      </c>
      <c r="CK108" s="812">
        <f>$B108</f>
        <v>0.08</v>
      </c>
      <c r="CN108" s="812">
        <f>$B108</f>
        <v>0.08</v>
      </c>
      <c r="CO108" s="812">
        <f>$B108</f>
        <v>0.08</v>
      </c>
      <c r="CR108" s="812">
        <f>$B108</f>
        <v>0.08</v>
      </c>
      <c r="CS108" s="812">
        <f>$B108</f>
        <v>0.08</v>
      </c>
      <c r="CV108" s="812">
        <f>$B108</f>
        <v>0.08</v>
      </c>
      <c r="CW108" s="1835">
        <f>$B108</f>
        <v>0.08</v>
      </c>
      <c r="CZ108" s="812">
        <f>$B108</f>
        <v>0.08</v>
      </c>
      <c r="DA108" s="1835">
        <f>$B108</f>
        <v>0.08</v>
      </c>
      <c r="DB108" s="1408"/>
      <c r="DD108" s="812">
        <f>$B108</f>
        <v>0.08</v>
      </c>
      <c r="DE108" s="1835">
        <f>$B108</f>
        <v>0.08</v>
      </c>
      <c r="DF108" s="1408"/>
      <c r="DH108" s="812">
        <f>$B108</f>
        <v>0.08</v>
      </c>
      <c r="DI108" s="812">
        <f>$B108</f>
        <v>0.08</v>
      </c>
      <c r="DL108" s="812">
        <f>$B108</f>
        <v>0.08</v>
      </c>
      <c r="DM108" s="812">
        <f>$B108</f>
        <v>0.08</v>
      </c>
      <c r="DP108" s="812">
        <f>$B108</f>
        <v>0.08</v>
      </c>
      <c r="DQ108" s="812">
        <f>$B108</f>
        <v>0.08</v>
      </c>
    </row>
    <row r="109" spans="1:124" s="289" customFormat="1">
      <c r="A109" s="289" t="s">
        <v>274</v>
      </c>
      <c r="C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5">
        <f>+BH108*BH90</f>
        <v>2909</v>
      </c>
      <c r="BI109" s="295">
        <f>+BI108*BI90</f>
        <v>3134</v>
      </c>
      <c r="BJ109" s="295">
        <f>BI109</f>
        <v>3134</v>
      </c>
      <c r="BK109" s="290"/>
      <c r="BL109" s="295">
        <f>+BL108*BL90</f>
        <v>3428</v>
      </c>
      <c r="BM109" s="295">
        <f>+BM108*BM90</f>
        <v>2823</v>
      </c>
      <c r="BN109" s="295">
        <f>BM109</f>
        <v>2823</v>
      </c>
      <c r="BO109" s="290"/>
      <c r="BP109" s="295">
        <f>+BP108*BP90</f>
        <v>2988</v>
      </c>
      <c r="BQ109" s="295">
        <f>+BQ108*BQ90</f>
        <v>3216</v>
      </c>
      <c r="BR109" s="295">
        <f>BQ109</f>
        <v>3216</v>
      </c>
      <c r="BS109" s="290"/>
      <c r="BT109" s="295">
        <f>+BT108*BT90</f>
        <v>3592</v>
      </c>
      <c r="BU109" s="295">
        <f>+BU108*BU90</f>
        <v>3016</v>
      </c>
      <c r="BV109" s="295">
        <f>BU109</f>
        <v>3016</v>
      </c>
      <c r="BW109" s="290"/>
      <c r="BX109" s="295">
        <f>+BX108*BX90</f>
        <v>3013</v>
      </c>
      <c r="BY109" s="295">
        <f>+BY108*BY90</f>
        <v>3301</v>
      </c>
      <c r="BZ109" s="295">
        <f>BY109</f>
        <v>3301</v>
      </c>
      <c r="CA109" s="290"/>
      <c r="CB109" s="295">
        <f>+CB108*CB90</f>
        <v>4038</v>
      </c>
      <c r="CC109" s="295">
        <f>+CC108*CC90</f>
        <v>4544</v>
      </c>
      <c r="CD109" s="295">
        <f>CC109</f>
        <v>4544</v>
      </c>
      <c r="CE109" s="290"/>
      <c r="CF109" s="295">
        <f>+CF108*CF90</f>
        <v>5583</v>
      </c>
      <c r="CG109" s="295">
        <f>+CG108*CG90</f>
        <v>7153</v>
      </c>
      <c r="CH109" s="295">
        <f>CG109</f>
        <v>7153</v>
      </c>
      <c r="CI109" s="290"/>
      <c r="CJ109" s="295">
        <f>+CJ108*CJ90</f>
        <v>7790</v>
      </c>
      <c r="CK109" s="295">
        <f>+CK108*CK90</f>
        <v>7431</v>
      </c>
      <c r="CL109" s="295">
        <f>CK109</f>
        <v>7431</v>
      </c>
      <c r="CM109" s="290"/>
      <c r="CN109" s="295">
        <f>+CN108*CN90</f>
        <v>5928</v>
      </c>
      <c r="CO109" s="295">
        <f>+CO108*CO90</f>
        <v>7318</v>
      </c>
      <c r="CP109" s="295">
        <f>CO109</f>
        <v>7318</v>
      </c>
      <c r="CQ109" s="811">
        <f>+CP109/CL109-1</f>
        <v>-1.5206567083837941E-2</v>
      </c>
      <c r="CR109" s="295">
        <f>+CR108*CR90</f>
        <v>8435</v>
      </c>
      <c r="CS109" s="295">
        <f>+CS108*CS90</f>
        <v>8885</v>
      </c>
      <c r="CT109" s="295">
        <f>CS109</f>
        <v>8885</v>
      </c>
      <c r="CU109" s="811">
        <f>+CT109/CP109-1</f>
        <v>0.21412954359114522</v>
      </c>
      <c r="CV109" s="295">
        <f>+CV108*CV90</f>
        <v>10278</v>
      </c>
      <c r="CW109" s="1390">
        <f>+CW108*CW90</f>
        <v>10400</v>
      </c>
      <c r="CX109" s="1390">
        <f>CW109</f>
        <v>10400</v>
      </c>
      <c r="CY109" s="811">
        <f>+CX109/CT109-1</f>
        <v>0.17051209904333153</v>
      </c>
      <c r="CZ109" s="295">
        <f>+CZ108*CZ90</f>
        <v>11524</v>
      </c>
      <c r="DA109" s="1390">
        <f>+DA108*DA90</f>
        <v>11492</v>
      </c>
      <c r="DB109" s="1390">
        <f>DA109</f>
        <v>11492</v>
      </c>
      <c r="DC109" s="811">
        <f>+DB109/CX109-1</f>
        <v>0.10499999999999998</v>
      </c>
      <c r="DD109" s="295">
        <f>+DD108*DD90</f>
        <v>11320</v>
      </c>
      <c r="DE109" s="1390">
        <f>+DE108*DE90</f>
        <v>12816</v>
      </c>
      <c r="DF109" s="1390">
        <f>DE109</f>
        <v>12816</v>
      </c>
      <c r="DG109" s="811">
        <f>+DF109/DB109-1</f>
        <v>0.11521058127392969</v>
      </c>
      <c r="DH109" s="295">
        <f>+DH108*DH90</f>
        <v>13611</v>
      </c>
      <c r="DI109" s="295">
        <f>+DI108*DI90</f>
        <v>13979.844026940284</v>
      </c>
      <c r="DJ109" s="295">
        <f>DI109</f>
        <v>13979.844026940284</v>
      </c>
      <c r="DK109" s="811">
        <f>+DJ109/DF109-1</f>
        <v>9.0811799854890962E-2</v>
      </c>
      <c r="DL109" s="295">
        <f>+DL108*DL90</f>
        <v>14356.524938723902</v>
      </c>
      <c r="DM109" s="295">
        <f>+DM108*DM90</f>
        <v>14689.308899406933</v>
      </c>
      <c r="DN109" s="295">
        <f>DM109</f>
        <v>14689.308899406933</v>
      </c>
      <c r="DO109" s="811">
        <f>+DN109/DJ109-1</f>
        <v>5.0749126463746963E-2</v>
      </c>
      <c r="DP109" s="295">
        <f>+DP108*DP90</f>
        <v>15029.583740974362</v>
      </c>
      <c r="DQ109" s="295">
        <f>+DQ108*DQ90</f>
        <v>15377.434487609233</v>
      </c>
      <c r="DR109" s="295">
        <f>DQ109</f>
        <v>15377.434487609233</v>
      </c>
      <c r="DS109" s="811">
        <f>+DR109/DN109-1</f>
        <v>4.6845334447972675E-2</v>
      </c>
      <c r="DT109" s="1855"/>
    </row>
    <row r="110" spans="1:124" s="903" customFormat="1">
      <c r="A110" s="903" t="s">
        <v>257</v>
      </c>
      <c r="C110" s="1161"/>
      <c r="AN110" s="1161"/>
      <c r="AO110" s="1161"/>
      <c r="AP110" s="1161"/>
      <c r="AQ110" s="1161"/>
      <c r="AR110" s="1161"/>
      <c r="AS110" s="1161"/>
      <c r="AT110" s="1161"/>
      <c r="AU110" s="1161"/>
      <c r="AV110" s="1161"/>
      <c r="AW110" s="1161"/>
      <c r="AX110" s="1161"/>
      <c r="AY110" s="1161"/>
      <c r="AZ110" s="1161"/>
      <c r="BA110" s="1161"/>
      <c r="BB110" s="1161"/>
      <c r="BC110" s="1161"/>
      <c r="BD110" s="1161"/>
      <c r="BE110" s="1161"/>
      <c r="BF110" s="1161"/>
      <c r="BG110" s="1161"/>
      <c r="BH110" s="904">
        <f>BH79</f>
        <v>3594</v>
      </c>
      <c r="BI110" s="904">
        <f>BI79</f>
        <v>3993</v>
      </c>
      <c r="BJ110" s="904">
        <f>BI110</f>
        <v>3993</v>
      </c>
      <c r="BK110" s="1161"/>
      <c r="BL110" s="904">
        <f>BL79</f>
        <v>4061</v>
      </c>
      <c r="BM110" s="904">
        <f>BM79</f>
        <v>3197</v>
      </c>
      <c r="BN110" s="904">
        <f>BM110</f>
        <v>3197</v>
      </c>
      <c r="BO110" s="1161"/>
      <c r="BP110" s="904">
        <f>BP79</f>
        <v>3586</v>
      </c>
      <c r="BQ110" s="904">
        <f>BQ79</f>
        <v>3780</v>
      </c>
      <c r="BR110" s="904">
        <f>BQ110</f>
        <v>3780</v>
      </c>
      <c r="BS110" s="1161"/>
      <c r="BT110" s="904">
        <f>BT79</f>
        <v>4244</v>
      </c>
      <c r="BU110" s="904">
        <f>BU79</f>
        <v>3783</v>
      </c>
      <c r="BV110" s="904">
        <f>BU110</f>
        <v>3783</v>
      </c>
      <c r="BW110" s="1161"/>
      <c r="BX110" s="904">
        <f>BX79</f>
        <v>3865</v>
      </c>
      <c r="BY110" s="904">
        <f>BY79</f>
        <v>4415</v>
      </c>
      <c r="BZ110" s="904">
        <f>BY110</f>
        <v>4415</v>
      </c>
      <c r="CA110" s="1161"/>
      <c r="CB110" s="904">
        <f>CB79</f>
        <v>4303</v>
      </c>
      <c r="CC110" s="904">
        <f>CC79</f>
        <v>4826</v>
      </c>
      <c r="CD110" s="904">
        <f>CC110</f>
        <v>4826</v>
      </c>
      <c r="CE110" s="1161"/>
      <c r="CF110" s="904">
        <f>CF79</f>
        <v>5524</v>
      </c>
      <c r="CG110" s="904">
        <f>CG79</f>
        <v>9358</v>
      </c>
      <c r="CH110" s="904">
        <f>CG110</f>
        <v>9358</v>
      </c>
      <c r="CI110" s="1161"/>
      <c r="CJ110" s="904">
        <f>CJ79</f>
        <v>10127</v>
      </c>
      <c r="CK110" s="904">
        <f>CK79</f>
        <v>9589</v>
      </c>
      <c r="CL110" s="904">
        <f>CK110</f>
        <v>9589</v>
      </c>
      <c r="CM110" s="1161"/>
      <c r="CN110" s="904">
        <f>CN79</f>
        <v>9075</v>
      </c>
      <c r="CO110" s="904">
        <f>CO79</f>
        <v>10588</v>
      </c>
      <c r="CP110" s="904">
        <f>CO110</f>
        <v>10588</v>
      </c>
      <c r="CQ110" s="1161"/>
      <c r="CR110" s="904">
        <f>CR79</f>
        <v>10704</v>
      </c>
      <c r="CS110" s="904">
        <f>CS79</f>
        <v>13315</v>
      </c>
      <c r="CT110" s="904">
        <f>CS110</f>
        <v>13315</v>
      </c>
      <c r="CU110" s="1161"/>
      <c r="CV110" s="904">
        <f>CV79</f>
        <v>14099</v>
      </c>
      <c r="CW110" s="1836">
        <f>CW79</f>
        <v>16303</v>
      </c>
      <c r="CX110" s="1836">
        <f>CW110</f>
        <v>16303</v>
      </c>
      <c r="CY110" s="1161"/>
      <c r="CZ110" s="904">
        <f>CZ79</f>
        <v>16000</v>
      </c>
      <c r="DA110" s="1836">
        <f>DA79</f>
        <v>15542</v>
      </c>
      <c r="DB110" s="1836">
        <f>DA110</f>
        <v>15542</v>
      </c>
      <c r="DC110" s="1161"/>
      <c r="DD110" s="904">
        <f>DD79</f>
        <v>15509</v>
      </c>
      <c r="DE110" s="1836">
        <f>DE79</f>
        <v>16300</v>
      </c>
      <c r="DF110" s="1836">
        <f>DE110</f>
        <v>16300</v>
      </c>
      <c r="DG110" s="1161"/>
      <c r="DH110" s="904">
        <f>DH79</f>
        <v>15685</v>
      </c>
      <c r="DI110" s="904">
        <f>DI79</f>
        <v>16577.349999999999</v>
      </c>
      <c r="DJ110" s="904">
        <f>DI110</f>
        <v>16577.349999999999</v>
      </c>
      <c r="DK110" s="1161"/>
      <c r="DL110" s="904">
        <f>DL79</f>
        <v>16688.80875</v>
      </c>
      <c r="DM110" s="904">
        <f>DM79</f>
        <v>16803.053968749999</v>
      </c>
      <c r="DN110" s="904">
        <f>DM110</f>
        <v>16803.053968749999</v>
      </c>
      <c r="DO110" s="1161"/>
      <c r="DP110" s="904">
        <f>DP79</f>
        <v>16920.155317968747</v>
      </c>
      <c r="DQ110" s="904">
        <f>DQ79</f>
        <v>17040.184200917967</v>
      </c>
      <c r="DR110" s="904">
        <f>DQ110</f>
        <v>17040.184200917967</v>
      </c>
      <c r="DS110" s="1161"/>
      <c r="DT110"/>
    </row>
    <row r="111" spans="1:124">
      <c r="A111" s="289" t="s">
        <v>276</v>
      </c>
      <c r="BH111" s="295">
        <f>+BH110-BH109</f>
        <v>685</v>
      </c>
      <c r="BI111" s="295">
        <f>+BI110-BI109</f>
        <v>859</v>
      </c>
      <c r="BJ111" s="295">
        <f>BI111</f>
        <v>859</v>
      </c>
      <c r="BL111" s="295">
        <f>+BL110-BL109</f>
        <v>633</v>
      </c>
      <c r="BM111" s="295">
        <f>+BM110-BM109</f>
        <v>374</v>
      </c>
      <c r="BN111" s="295">
        <f>BM111</f>
        <v>374</v>
      </c>
      <c r="BP111" s="295">
        <f>+BP110-BP109</f>
        <v>598</v>
      </c>
      <c r="BQ111" s="295">
        <f>+BQ110-BQ109</f>
        <v>564</v>
      </c>
      <c r="BR111" s="295">
        <f>BQ111</f>
        <v>564</v>
      </c>
      <c r="BT111" s="295">
        <f>+BT110-BT109</f>
        <v>652</v>
      </c>
      <c r="BU111" s="295">
        <f>+BU110-BU109</f>
        <v>767</v>
      </c>
      <c r="BV111" s="295">
        <f>BU111</f>
        <v>767</v>
      </c>
      <c r="BX111" s="295">
        <f>+BX110-BX109</f>
        <v>852</v>
      </c>
      <c r="BY111" s="295">
        <f>+BY110-BY109</f>
        <v>1114</v>
      </c>
      <c r="BZ111" s="295">
        <f>BY111</f>
        <v>1114</v>
      </c>
      <c r="CB111" s="295">
        <f>+CB110-CB109</f>
        <v>265</v>
      </c>
      <c r="CC111" s="295">
        <f>+CC110-CC109</f>
        <v>282</v>
      </c>
      <c r="CD111" s="295">
        <f>CC111</f>
        <v>282</v>
      </c>
      <c r="CF111" s="295">
        <f>+CF110-CF109</f>
        <v>-59</v>
      </c>
      <c r="CG111" s="295">
        <f>+CG110-CG109</f>
        <v>2205</v>
      </c>
      <c r="CH111" s="295">
        <f>CG111</f>
        <v>2205</v>
      </c>
      <c r="CJ111" s="295">
        <f>+CJ110-CJ109</f>
        <v>2337</v>
      </c>
      <c r="CK111" s="295">
        <f>+CK110-CK109</f>
        <v>2158</v>
      </c>
      <c r="CL111" s="295">
        <f>CK111</f>
        <v>2158</v>
      </c>
      <c r="CN111" s="295">
        <f>+CN110-CN109</f>
        <v>3147</v>
      </c>
      <c r="CO111" s="295">
        <f>+CO110-CO109</f>
        <v>3270</v>
      </c>
      <c r="CP111" s="295">
        <f>CO111</f>
        <v>3270</v>
      </c>
      <c r="CR111" s="295">
        <f>+CR110-CR109</f>
        <v>2269</v>
      </c>
      <c r="CS111" s="295">
        <f>+CS110-CS109</f>
        <v>4430</v>
      </c>
      <c r="CT111" s="295">
        <f>CS111</f>
        <v>4430</v>
      </c>
      <c r="CV111" s="295">
        <f>+CV110-CV109</f>
        <v>3821</v>
      </c>
      <c r="CW111" s="1390">
        <f>+CW110-CW109</f>
        <v>5903</v>
      </c>
      <c r="CX111" s="1390">
        <f>CW111</f>
        <v>5903</v>
      </c>
      <c r="CZ111" s="295">
        <f>+CZ110-CZ109</f>
        <v>4476</v>
      </c>
      <c r="DA111" s="1390">
        <f>+DA110-DA109</f>
        <v>4050</v>
      </c>
      <c r="DB111" s="1390">
        <f>DA111</f>
        <v>4050</v>
      </c>
      <c r="DD111" s="295">
        <f>+DD110-DD109</f>
        <v>4189</v>
      </c>
      <c r="DE111" s="1390">
        <f>+DE110-DE109</f>
        <v>3484</v>
      </c>
      <c r="DF111" s="1390">
        <f>DE111</f>
        <v>3484</v>
      </c>
      <c r="DH111" s="295">
        <f>+DH110-DH109</f>
        <v>2074</v>
      </c>
      <c r="DI111" s="295">
        <f>+DI110-DI109</f>
        <v>2597.505973059715</v>
      </c>
      <c r="DJ111" s="295">
        <f>DI111</f>
        <v>2597.505973059715</v>
      </c>
      <c r="DL111" s="295">
        <f>+DL110-DL109</f>
        <v>2332.2838112760983</v>
      </c>
      <c r="DM111" s="295">
        <f>+DM110-DM109</f>
        <v>2113.7450693430656</v>
      </c>
      <c r="DN111" s="295">
        <f>DM111</f>
        <v>2113.7450693430656</v>
      </c>
      <c r="DP111" s="295">
        <f>+DP110-DP109</f>
        <v>1890.5715769943854</v>
      </c>
      <c r="DQ111" s="295">
        <f>+DQ110-DQ109</f>
        <v>1662.7497133087345</v>
      </c>
      <c r="DR111" s="295">
        <f>DQ111</f>
        <v>1662.7497133087345</v>
      </c>
    </row>
    <row r="112" spans="1:124">
      <c r="A112" s="815" t="s">
        <v>694</v>
      </c>
      <c r="DA112" s="1408"/>
      <c r="DB112" s="1408"/>
      <c r="DE112" s="1408"/>
      <c r="DF112" s="1408"/>
    </row>
    <row r="113" spans="1:124">
      <c r="A113" s="289" t="s">
        <v>274</v>
      </c>
      <c r="B113" s="875"/>
      <c r="BH113" s="295">
        <f t="shared" ref="BH113:BI115" si="143">+BH104+BH109</f>
        <v>11584.05</v>
      </c>
      <c r="BI113" s="295">
        <f t="shared" si="143"/>
        <v>11899.165000000001</v>
      </c>
      <c r="BJ113" s="295">
        <f>BI113</f>
        <v>11899.165000000001</v>
      </c>
      <c r="BL113" s="295">
        <f t="shared" ref="BL113:BM115" si="144">+BL104+BL109</f>
        <v>12832.619999999999</v>
      </c>
      <c r="BM113" s="295">
        <f t="shared" si="144"/>
        <v>12442.29</v>
      </c>
      <c r="BN113" s="295">
        <f>BM113</f>
        <v>12442.29</v>
      </c>
      <c r="BP113" s="295">
        <f t="shared" ref="BP113:BQ115" si="145">+BP104+BP109</f>
        <v>13217.014999999999</v>
      </c>
      <c r="BQ113" s="295">
        <f t="shared" si="145"/>
        <v>15092.195</v>
      </c>
      <c r="BR113" s="295">
        <f>BQ113</f>
        <v>15092.195</v>
      </c>
      <c r="BT113" s="295">
        <f t="shared" ref="BT113:BU115" si="146">+BT104+BT109</f>
        <v>15730.76</v>
      </c>
      <c r="BU113" s="295">
        <f t="shared" si="146"/>
        <v>15190.44</v>
      </c>
      <c r="BV113" s="295">
        <f>BU113</f>
        <v>15190.44</v>
      </c>
      <c r="BX113" s="295">
        <f t="shared" ref="BX113:BY115" si="147">+BX104+BX109</f>
        <v>15035.14</v>
      </c>
      <c r="BY113" s="295">
        <f t="shared" si="147"/>
        <v>14966.64</v>
      </c>
      <c r="BZ113" s="295">
        <f>BY113</f>
        <v>14966.64</v>
      </c>
      <c r="CB113" s="295">
        <f t="shared" ref="CB113:CC115" si="148">+CB104+CB109</f>
        <v>15697.4</v>
      </c>
      <c r="CC113" s="295">
        <f t="shared" si="148"/>
        <v>16692.22</v>
      </c>
      <c r="CD113" s="295">
        <f>CC113</f>
        <v>16692.22</v>
      </c>
      <c r="CF113" s="295">
        <f t="shared" ref="CF113:CG113" si="149">+CF104+CF109</f>
        <v>18308.89</v>
      </c>
      <c r="CG113" s="295">
        <f t="shared" si="149"/>
        <v>17292.11</v>
      </c>
      <c r="CH113" s="295">
        <f>CG113</f>
        <v>17292.11</v>
      </c>
      <c r="CJ113" s="295">
        <f t="shared" ref="CJ113:CK113" si="150">+CJ104+CJ109</f>
        <v>18865.98</v>
      </c>
      <c r="CK113" s="295">
        <f t="shared" si="150"/>
        <v>19598.48</v>
      </c>
      <c r="CL113" s="295">
        <f>CK113</f>
        <v>19598.48</v>
      </c>
      <c r="CN113" s="295">
        <f t="shared" ref="CN113:CO113" si="151">+CN104+CN109</f>
        <v>16985.205000000002</v>
      </c>
      <c r="CO113" s="295">
        <f t="shared" si="151"/>
        <v>19357.174999999999</v>
      </c>
      <c r="CP113" s="295">
        <f>CO113</f>
        <v>19357.174999999999</v>
      </c>
      <c r="CR113" s="295">
        <f t="shared" ref="CR113:CS113" si="152">+CR104+CR109</f>
        <v>22990.945</v>
      </c>
      <c r="CS113" s="295">
        <f t="shared" si="152"/>
        <v>25500.465</v>
      </c>
      <c r="CT113" s="295">
        <f>CS113</f>
        <v>25500.465</v>
      </c>
      <c r="CV113" s="295">
        <f t="shared" ref="CV113:CW115" si="153">+CV104+CV109</f>
        <v>27741.785</v>
      </c>
      <c r="CW113" s="1390">
        <f t="shared" si="153"/>
        <v>26737.15</v>
      </c>
      <c r="CX113" s="1390">
        <f>CW113</f>
        <v>26737.15</v>
      </c>
      <c r="CZ113" s="295">
        <f t="shared" ref="CZ113:DA115" si="154">+CZ104+CZ109</f>
        <v>28122.59</v>
      </c>
      <c r="DA113" s="1390">
        <f t="shared" si="154"/>
        <v>28675.489999999998</v>
      </c>
      <c r="DB113" s="1390">
        <f>DA113</f>
        <v>28675.489999999998</v>
      </c>
      <c r="DD113" s="295">
        <f t="shared" ref="DD113:DE113" si="155">+DD104+DD109</f>
        <v>29060.489999999998</v>
      </c>
      <c r="DE113" s="1390">
        <f t="shared" si="155"/>
        <v>32302.010000000002</v>
      </c>
      <c r="DF113" s="1390">
        <f>DE113</f>
        <v>32302.010000000002</v>
      </c>
      <c r="DH113" s="295">
        <f t="shared" ref="DH113" si="156">+DH104+DH109</f>
        <v>33411.955000000002</v>
      </c>
      <c r="DI113" s="295">
        <f t="shared" ref="DI113" si="157">+DI104+DI109</f>
        <v>35104.412078411675</v>
      </c>
      <c r="DJ113" s="295">
        <f>DI113</f>
        <v>35104.412078411675</v>
      </c>
      <c r="DL113" s="295">
        <f t="shared" ref="DL113:DM113" si="158">+DL104+DL109</f>
        <v>36063.972258146008</v>
      </c>
      <c r="DM113" s="295">
        <f t="shared" si="158"/>
        <v>37255.18320944313</v>
      </c>
      <c r="DN113" s="295">
        <f>DM113</f>
        <v>37255.18320944313</v>
      </c>
      <c r="DP113" s="295">
        <f t="shared" ref="DP113:DQ113" si="159">+DP104+DP109</f>
        <v>38495.633225564445</v>
      </c>
      <c r="DQ113" s="295">
        <f t="shared" si="159"/>
        <v>39787.733280761575</v>
      </c>
      <c r="DR113" s="295">
        <f>DQ113</f>
        <v>39787.733280761575</v>
      </c>
    </row>
    <row r="114" spans="1:124" s="903" customFormat="1">
      <c r="A114" s="903" t="s">
        <v>257</v>
      </c>
      <c r="C114" s="1161"/>
      <c r="AN114" s="1161"/>
      <c r="AO114" s="1161"/>
      <c r="AP114" s="1161"/>
      <c r="AQ114" s="1161"/>
      <c r="AR114" s="1161"/>
      <c r="AS114" s="1161"/>
      <c r="AT114" s="1161"/>
      <c r="AU114" s="1161"/>
      <c r="AV114" s="1161"/>
      <c r="AW114" s="1161"/>
      <c r="AX114" s="1161"/>
      <c r="AY114" s="1161"/>
      <c r="AZ114" s="1161"/>
      <c r="BA114" s="1161"/>
      <c r="BB114" s="1161"/>
      <c r="BC114" s="1161"/>
      <c r="BD114" s="1161"/>
      <c r="BE114" s="1161"/>
      <c r="BF114" s="1161"/>
      <c r="BG114" s="1161"/>
      <c r="BH114" s="904">
        <f t="shared" si="143"/>
        <v>12604</v>
      </c>
      <c r="BI114" s="904">
        <f t="shared" si="143"/>
        <v>12948</v>
      </c>
      <c r="BJ114" s="904">
        <f>BI114</f>
        <v>12948</v>
      </c>
      <c r="BK114" s="1161"/>
      <c r="BL114" s="904">
        <f t="shared" si="144"/>
        <v>13690</v>
      </c>
      <c r="BM114" s="904">
        <f t="shared" si="144"/>
        <v>12879</v>
      </c>
      <c r="BN114" s="904">
        <f>BM114</f>
        <v>12879</v>
      </c>
      <c r="BO114" s="1161"/>
      <c r="BP114" s="904">
        <f t="shared" si="145"/>
        <v>13236</v>
      </c>
      <c r="BQ114" s="904">
        <f t="shared" si="145"/>
        <v>16077</v>
      </c>
      <c r="BR114" s="904">
        <f>BQ114</f>
        <v>16077</v>
      </c>
      <c r="BS114" s="1161"/>
      <c r="BT114" s="904">
        <f t="shared" si="146"/>
        <v>16912</v>
      </c>
      <c r="BU114" s="904">
        <f t="shared" si="146"/>
        <v>17248</v>
      </c>
      <c r="BV114" s="904">
        <f>BU114</f>
        <v>17248</v>
      </c>
      <c r="BW114" s="1161"/>
      <c r="BX114" s="904">
        <f t="shared" si="147"/>
        <v>16908</v>
      </c>
      <c r="BY114" s="904">
        <f t="shared" si="147"/>
        <v>18670</v>
      </c>
      <c r="BZ114" s="904">
        <f>BY114</f>
        <v>18670</v>
      </c>
      <c r="CA114" s="1161"/>
      <c r="CB114" s="904">
        <f t="shared" si="148"/>
        <v>18148</v>
      </c>
      <c r="CC114" s="904">
        <f t="shared" si="148"/>
        <v>19080</v>
      </c>
      <c r="CD114" s="904">
        <f>CC114</f>
        <v>19080</v>
      </c>
      <c r="CE114" s="1161"/>
      <c r="CF114" s="904">
        <f t="shared" ref="CF114:CG114" si="160">+CF105+CF110</f>
        <v>19822</v>
      </c>
      <c r="CG114" s="904">
        <f t="shared" si="160"/>
        <v>21858</v>
      </c>
      <c r="CH114" s="904">
        <f>CG114</f>
        <v>21858</v>
      </c>
      <c r="CI114" s="1161"/>
      <c r="CJ114" s="904">
        <f t="shared" ref="CJ114:CK114" si="161">+CJ105+CJ110</f>
        <v>23776</v>
      </c>
      <c r="CK114" s="904">
        <f t="shared" si="161"/>
        <v>24752</v>
      </c>
      <c r="CL114" s="904">
        <f>CK114</f>
        <v>24752</v>
      </c>
      <c r="CM114" s="1161"/>
      <c r="CN114" s="904">
        <f t="shared" ref="CN114:CO114" si="162">+CN105+CN110</f>
        <v>24610</v>
      </c>
      <c r="CO114" s="904">
        <f t="shared" si="162"/>
        <v>26295</v>
      </c>
      <c r="CP114" s="904">
        <f>CO114</f>
        <v>26295</v>
      </c>
      <c r="CQ114" s="1161"/>
      <c r="CR114" s="904">
        <f t="shared" ref="CR114:CS114" si="163">+CR105+CR110</f>
        <v>29105</v>
      </c>
      <c r="CS114" s="904">
        <f t="shared" si="163"/>
        <v>33570</v>
      </c>
      <c r="CT114" s="904">
        <f>CS114</f>
        <v>33570</v>
      </c>
      <c r="CU114" s="1161"/>
      <c r="CV114" s="904">
        <f t="shared" ref="CV114" si="164">+CV105+CV110</f>
        <v>37220</v>
      </c>
      <c r="CW114" s="1836">
        <f t="shared" si="153"/>
        <v>39074</v>
      </c>
      <c r="CX114" s="1836">
        <f>CW114</f>
        <v>39074</v>
      </c>
      <c r="CY114" s="1161"/>
      <c r="CZ114" s="904">
        <f t="shared" si="154"/>
        <v>38611</v>
      </c>
      <c r="DA114" s="1836">
        <f t="shared" si="154"/>
        <v>39341</v>
      </c>
      <c r="DB114" s="1836">
        <f>DA114</f>
        <v>39341</v>
      </c>
      <c r="DC114" s="1161"/>
      <c r="DD114" s="904">
        <f t="shared" ref="DD114:DE114" si="165">+DD105+DD110</f>
        <v>38862</v>
      </c>
      <c r="DE114" s="1836">
        <f t="shared" si="165"/>
        <v>41849</v>
      </c>
      <c r="DF114" s="1836">
        <f>DE114</f>
        <v>41849</v>
      </c>
      <c r="DG114" s="1161"/>
      <c r="DH114" s="904">
        <f t="shared" ref="DH114:DH115" si="166">+DH105+DH110</f>
        <v>40998</v>
      </c>
      <c r="DI114" s="904">
        <f t="shared" ref="DI114" ca="1" si="167">+DI105+DI110</f>
        <v>43440.710914198367</v>
      </c>
      <c r="DJ114" s="904">
        <f ca="1">DI114</f>
        <v>43440.710914198367</v>
      </c>
      <c r="DK114" s="1161"/>
      <c r="DL114" s="904">
        <f t="shared" ref="DL114:DM114" ca="1" si="168">+DL105+DL110</f>
        <v>44030.627341897271</v>
      </c>
      <c r="DM114" s="904">
        <f t="shared" ca="1" si="168"/>
        <v>47018.178844444337</v>
      </c>
      <c r="DN114" s="904">
        <f ca="1">DM114</f>
        <v>47018.178844444337</v>
      </c>
      <c r="DO114" s="1161"/>
      <c r="DP114" s="904">
        <f t="shared" ref="DP114:DQ114" ca="1" si="169">+DP105+DP110</f>
        <v>47720.308424208677</v>
      </c>
      <c r="DQ114" s="904">
        <f t="shared" ca="1" si="169"/>
        <v>50917.693914160802</v>
      </c>
      <c r="DR114" s="904">
        <f ca="1">DQ114</f>
        <v>50917.693914160802</v>
      </c>
      <c r="DS114" s="1161"/>
      <c r="DT114"/>
    </row>
    <row r="115" spans="1:124" s="1182" customFormat="1" ht="19.5" customHeight="1">
      <c r="A115" s="1162" t="s">
        <v>276</v>
      </c>
      <c r="B115" s="1163"/>
      <c r="C115" s="1164"/>
      <c r="D115" s="1163"/>
      <c r="E115" s="1163"/>
      <c r="F115" s="1163"/>
      <c r="G115" s="1163"/>
      <c r="H115" s="1163"/>
      <c r="I115" s="1163"/>
      <c r="J115" s="1163"/>
      <c r="K115" s="1163"/>
      <c r="L115" s="1163"/>
      <c r="M115" s="1163"/>
      <c r="N115" s="1163"/>
      <c r="O115" s="1163"/>
      <c r="P115" s="1163"/>
      <c r="Q115" s="1163"/>
      <c r="R115" s="1163"/>
      <c r="S115" s="1163"/>
      <c r="T115" s="1163"/>
      <c r="U115" s="1163"/>
      <c r="V115" s="1163"/>
      <c r="W115" s="1163"/>
      <c r="X115" s="1163"/>
      <c r="Y115" s="1163"/>
      <c r="Z115" s="1163"/>
      <c r="AA115" s="1163"/>
      <c r="AB115" s="1163"/>
      <c r="AC115" s="1163"/>
      <c r="AD115" s="1163"/>
      <c r="AE115" s="1163"/>
      <c r="AF115" s="1163"/>
      <c r="AG115" s="1163"/>
      <c r="AH115" s="1163"/>
      <c r="AI115" s="1163"/>
      <c r="AJ115" s="1163"/>
      <c r="AK115" s="1163"/>
      <c r="AL115" s="1163"/>
      <c r="AM115" s="1163"/>
      <c r="AN115" s="1164"/>
      <c r="AO115" s="1164"/>
      <c r="AP115" s="1164"/>
      <c r="AQ115" s="1164"/>
      <c r="AR115" s="1164"/>
      <c r="AS115" s="1164"/>
      <c r="AT115" s="1164"/>
      <c r="AU115" s="1164"/>
      <c r="AV115" s="1164"/>
      <c r="AW115" s="1164"/>
      <c r="AX115" s="1164"/>
      <c r="AY115" s="1164"/>
      <c r="AZ115" s="1164"/>
      <c r="BA115" s="1164"/>
      <c r="BB115" s="1164"/>
      <c r="BC115" s="1164"/>
      <c r="BD115" s="1164"/>
      <c r="BE115" s="1164"/>
      <c r="BF115" s="1164"/>
      <c r="BG115" s="1164"/>
      <c r="BH115" s="1165">
        <f t="shared" si="143"/>
        <v>1019.9500000000007</v>
      </c>
      <c r="BI115" s="1165">
        <f t="shared" si="143"/>
        <v>1048.8349999999991</v>
      </c>
      <c r="BJ115" s="1165">
        <f>BI115</f>
        <v>1048.8349999999991</v>
      </c>
      <c r="BK115" s="1164"/>
      <c r="BL115" s="1165">
        <f t="shared" si="144"/>
        <v>857.38000000000102</v>
      </c>
      <c r="BM115" s="1165">
        <f t="shared" si="144"/>
        <v>436.70999999999913</v>
      </c>
      <c r="BN115" s="1165">
        <f>BM115</f>
        <v>436.70999999999913</v>
      </c>
      <c r="BO115" s="1164"/>
      <c r="BP115" s="1165">
        <f t="shared" si="145"/>
        <v>18.985000000000582</v>
      </c>
      <c r="BQ115" s="1165">
        <f t="shared" si="145"/>
        <v>984.80500000000029</v>
      </c>
      <c r="BR115" s="1165">
        <f>BQ115</f>
        <v>984.80500000000029</v>
      </c>
      <c r="BS115" s="1164"/>
      <c r="BT115" s="1165">
        <f t="shared" si="146"/>
        <v>1181.2399999999998</v>
      </c>
      <c r="BU115" s="1165">
        <f t="shared" si="146"/>
        <v>2057.5599999999995</v>
      </c>
      <c r="BV115" s="1165">
        <f>BU115</f>
        <v>2057.5599999999995</v>
      </c>
      <c r="BW115" s="1164"/>
      <c r="BX115" s="1165">
        <f t="shared" si="147"/>
        <v>1872.8600000000006</v>
      </c>
      <c r="BY115" s="1165">
        <f t="shared" si="147"/>
        <v>3703.3600000000006</v>
      </c>
      <c r="BZ115" s="1165">
        <f>BY115</f>
        <v>3703.3600000000006</v>
      </c>
      <c r="CA115" s="1164"/>
      <c r="CB115" s="1165">
        <f t="shared" si="148"/>
        <v>2450.6000000000004</v>
      </c>
      <c r="CC115" s="1165">
        <f t="shared" si="148"/>
        <v>2387.7800000000007</v>
      </c>
      <c r="CD115" s="1165">
        <f>CC115</f>
        <v>2387.7800000000007</v>
      </c>
      <c r="CE115" s="1164"/>
      <c r="CF115" s="1165">
        <f t="shared" ref="CF115:CG115" si="170">+CF106+CF111</f>
        <v>1513.1100000000006</v>
      </c>
      <c r="CG115" s="1165">
        <f t="shared" si="170"/>
        <v>4565.8899999999994</v>
      </c>
      <c r="CH115" s="1165">
        <f>CG115</f>
        <v>4565.8899999999994</v>
      </c>
      <c r="CI115" s="1164"/>
      <c r="CJ115" s="1165">
        <f t="shared" ref="CJ115:CK115" si="171">+CJ106+CJ111</f>
        <v>4910.0200000000004</v>
      </c>
      <c r="CK115" s="1165">
        <f t="shared" si="171"/>
        <v>5153.5200000000004</v>
      </c>
      <c r="CL115" s="1165">
        <f>CK115</f>
        <v>5153.5200000000004</v>
      </c>
      <c r="CM115" s="1164"/>
      <c r="CN115" s="1165">
        <f t="shared" ref="CN115:CO115" si="172">+CN106+CN111</f>
        <v>7624.7950000000001</v>
      </c>
      <c r="CO115" s="1165">
        <f t="shared" si="172"/>
        <v>6937.8250000000007</v>
      </c>
      <c r="CP115" s="1165">
        <f>CO115</f>
        <v>6937.8250000000007</v>
      </c>
      <c r="CQ115" s="1164"/>
      <c r="CR115" s="1165">
        <f t="shared" ref="CR115:CS115" si="173">+CR106+CR111</f>
        <v>6114.0550000000003</v>
      </c>
      <c r="CS115" s="1165">
        <f t="shared" si="173"/>
        <v>8069.5349999999999</v>
      </c>
      <c r="CT115" s="1165">
        <f>CS115</f>
        <v>8069.5349999999999</v>
      </c>
      <c r="CU115" s="1164"/>
      <c r="CV115" s="1165">
        <f t="shared" ref="CV115" si="174">+CV106+CV111</f>
        <v>9478.2150000000001</v>
      </c>
      <c r="CW115" s="1837">
        <f t="shared" si="153"/>
        <v>12336.85</v>
      </c>
      <c r="CX115" s="1837">
        <f>CW115</f>
        <v>12336.85</v>
      </c>
      <c r="CY115" s="1164"/>
      <c r="CZ115" s="1165">
        <f t="shared" si="154"/>
        <v>10488.41</v>
      </c>
      <c r="DA115" s="1837">
        <f t="shared" si="154"/>
        <v>10665.510000000002</v>
      </c>
      <c r="DB115" s="1837">
        <f>DA115</f>
        <v>10665.510000000002</v>
      </c>
      <c r="DC115" s="1164"/>
      <c r="DD115" s="1165">
        <f t="shared" ref="DD115" si="175">+DD106+DD111</f>
        <v>9801.510000000002</v>
      </c>
      <c r="DE115" s="1837">
        <f>+DE106+DE111</f>
        <v>9546.989999999998</v>
      </c>
      <c r="DF115" s="1837">
        <f>DE115</f>
        <v>9546.989999999998</v>
      </c>
      <c r="DG115" s="1164"/>
      <c r="DH115" s="1165">
        <f t="shared" si="166"/>
        <v>7586.0449999999983</v>
      </c>
      <c r="DI115" s="1165">
        <f t="shared" ref="DI115" ca="1" si="176">+DI106+DI111</f>
        <v>8336.2988357866943</v>
      </c>
      <c r="DJ115" s="1165">
        <f ca="1">DI115</f>
        <v>8336.2988357866943</v>
      </c>
      <c r="DK115" s="1164"/>
      <c r="DL115" s="1165">
        <f t="shared" ref="DL115:DM115" ca="1" si="177">+DL106+DL111</f>
        <v>7966.6550837512659</v>
      </c>
      <c r="DM115" s="1165">
        <f t="shared" ca="1" si="177"/>
        <v>9762.9956350012071</v>
      </c>
      <c r="DN115" s="1165">
        <f ca="1">DM115</f>
        <v>9762.9956350012071</v>
      </c>
      <c r="DO115" s="1164"/>
      <c r="DP115" s="1165">
        <f t="shared" ref="DP115:DQ115" ca="1" si="178">+DP106+DP111</f>
        <v>9224.6751986442359</v>
      </c>
      <c r="DQ115" s="1165">
        <f t="shared" ca="1" si="178"/>
        <v>11129.960633399231</v>
      </c>
      <c r="DR115" s="1165">
        <f ca="1">DQ115</f>
        <v>11129.960633399231</v>
      </c>
      <c r="DS115" s="1164"/>
      <c r="DT115"/>
    </row>
    <row r="116" spans="1:124" s="323" customFormat="1">
      <c r="A116" s="328" t="s">
        <v>536</v>
      </c>
      <c r="B116" s="328"/>
      <c r="C116" s="115"/>
      <c r="AN116" s="115"/>
      <c r="AO116" s="115"/>
      <c r="AP116" s="115"/>
      <c r="AQ116" s="115"/>
      <c r="AR116" s="115"/>
      <c r="AS116" s="115"/>
      <c r="AT116" s="115"/>
      <c r="AU116" s="115"/>
      <c r="AV116" s="115"/>
      <c r="AW116" s="115"/>
      <c r="AX116" s="115"/>
      <c r="AY116" s="115"/>
      <c r="AZ116" s="115"/>
      <c r="BA116" s="115"/>
      <c r="BB116" s="115"/>
      <c r="BC116" s="115"/>
      <c r="BD116" s="115"/>
      <c r="BE116" s="115"/>
      <c r="BF116" s="115"/>
      <c r="BG116" s="115"/>
      <c r="BH116" s="661">
        <v>2980</v>
      </c>
      <c r="BI116" s="661">
        <v>3092</v>
      </c>
      <c r="BJ116" s="661"/>
      <c r="BK116" s="661"/>
      <c r="BL116" s="661">
        <v>3057</v>
      </c>
      <c r="BM116" s="661">
        <v>2736</v>
      </c>
      <c r="BN116" s="661"/>
      <c r="BO116" s="115"/>
      <c r="BP116" s="661">
        <v>2467</v>
      </c>
      <c r="BQ116" s="661">
        <v>4011</v>
      </c>
      <c r="BR116" s="661">
        <f>BQ116</f>
        <v>4011</v>
      </c>
      <c r="BS116" s="115"/>
      <c r="BT116" s="661"/>
      <c r="BU116" s="661"/>
      <c r="BV116" s="661"/>
      <c r="BW116" s="115"/>
      <c r="BX116" s="661"/>
      <c r="BY116" s="661"/>
      <c r="BZ116" s="661"/>
      <c r="CA116" s="115"/>
      <c r="CB116" s="1166"/>
      <c r="CC116" s="661"/>
      <c r="CD116" s="661"/>
      <c r="CE116" s="115"/>
      <c r="CF116" s="1166"/>
      <c r="CG116" s="661"/>
      <c r="CH116" s="661"/>
      <c r="CI116" s="115"/>
      <c r="CJ116" s="1166"/>
      <c r="CK116" s="661"/>
      <c r="CL116" s="661"/>
      <c r="CM116" s="115"/>
      <c r="CN116" s="1166"/>
      <c r="CO116" s="661"/>
      <c r="CP116" s="661"/>
      <c r="CQ116" s="115"/>
      <c r="CR116" s="115"/>
      <c r="CS116" s="115"/>
      <c r="CT116" s="115"/>
      <c r="CU116" s="115"/>
      <c r="CV116" s="115"/>
      <c r="CW116" s="1820"/>
      <c r="CX116" s="1820"/>
      <c r="CY116" s="115"/>
      <c r="CZ116" s="115"/>
      <c r="DA116" s="1820"/>
      <c r="DB116" s="1820"/>
      <c r="DC116" s="115"/>
      <c r="DD116" s="115"/>
      <c r="DE116" s="1820"/>
      <c r="DF116" s="1820"/>
      <c r="DG116" s="115"/>
      <c r="DH116" s="115"/>
      <c r="DI116" s="115"/>
      <c r="DJ116" s="115"/>
      <c r="DK116" s="115"/>
      <c r="DL116" s="115"/>
      <c r="DM116" s="115"/>
      <c r="DN116" s="115"/>
      <c r="DO116" s="115"/>
      <c r="DP116" s="115"/>
      <c r="DQ116" s="115"/>
      <c r="DR116" s="115"/>
      <c r="DS116" s="115"/>
      <c r="DT116"/>
    </row>
    <row r="117" spans="1:124">
      <c r="A117" s="328" t="s">
        <v>953</v>
      </c>
      <c r="BM117" s="661">
        <v>1751</v>
      </c>
      <c r="BP117" s="661">
        <v>1418</v>
      </c>
      <c r="BQ117" s="661">
        <v>2714</v>
      </c>
      <c r="BR117" s="661">
        <v>2714</v>
      </c>
      <c r="BT117" s="661"/>
      <c r="BU117" s="661"/>
      <c r="BV117" s="661"/>
      <c r="BX117" s="661"/>
      <c r="BY117" s="661"/>
      <c r="BZ117" s="661"/>
      <c r="CB117" s="1166"/>
      <c r="CC117" s="661"/>
      <c r="CD117" s="661"/>
      <c r="CF117" s="1166"/>
      <c r="CG117" s="661"/>
      <c r="CH117" s="661"/>
      <c r="CI117" s="293"/>
      <c r="CJ117" s="1166"/>
      <c r="CK117" s="661"/>
      <c r="CL117" s="661"/>
      <c r="CM117" s="293"/>
      <c r="CN117" s="1166"/>
      <c r="CO117" s="661"/>
      <c r="CP117" s="661"/>
      <c r="DA117" s="1408"/>
      <c r="DB117" s="1408"/>
      <c r="DE117" s="1408"/>
      <c r="DF117" s="1408"/>
    </row>
    <row r="118" spans="1:124">
      <c r="CI118" s="293"/>
      <c r="CM118" s="293"/>
      <c r="DA118" s="1408"/>
      <c r="DB118" s="1408"/>
      <c r="DE118" s="1408"/>
      <c r="DF118" s="1408"/>
    </row>
    <row r="119" spans="1:124">
      <c r="A119" s="102" t="s">
        <v>1364</v>
      </c>
      <c r="BH119" s="293">
        <f>BH115</f>
        <v>1019.9500000000007</v>
      </c>
      <c r="BI119" s="293">
        <f>BI115</f>
        <v>1048.8349999999991</v>
      </c>
      <c r="BJ119" s="293">
        <f>BJ115</f>
        <v>1048.8349999999991</v>
      </c>
      <c r="BL119" s="293">
        <f>BL115</f>
        <v>857.38000000000102</v>
      </c>
      <c r="BM119" s="293">
        <f>BM115</f>
        <v>436.70999999999913</v>
      </c>
      <c r="BN119" s="293">
        <f>BN115</f>
        <v>436.70999999999913</v>
      </c>
      <c r="BP119" s="293">
        <f>BP115</f>
        <v>18.985000000000582</v>
      </c>
      <c r="BQ119" s="293">
        <f>BQ115</f>
        <v>984.80500000000029</v>
      </c>
      <c r="BR119" s="293">
        <f>BR115</f>
        <v>984.80500000000029</v>
      </c>
      <c r="BT119" s="293">
        <f>BT115</f>
        <v>1181.2399999999998</v>
      </c>
      <c r="BU119" s="293">
        <f>BU115</f>
        <v>2057.5599999999995</v>
      </c>
      <c r="BV119" s="293">
        <f>BV115</f>
        <v>2057.5599999999995</v>
      </c>
      <c r="BX119" s="293">
        <f>BX115</f>
        <v>1872.8600000000006</v>
      </c>
      <c r="BY119" s="293">
        <f>BY115</f>
        <v>3703.3600000000006</v>
      </c>
      <c r="BZ119" s="293">
        <f>BZ115</f>
        <v>3703.3600000000006</v>
      </c>
      <c r="CB119" s="293">
        <f>CB115</f>
        <v>2450.6000000000004</v>
      </c>
      <c r="CC119" s="293">
        <f>CC115</f>
        <v>2387.7800000000007</v>
      </c>
      <c r="CD119" s="293">
        <f>CD115</f>
        <v>2387.7800000000007</v>
      </c>
      <c r="CF119" s="293">
        <f>CF115</f>
        <v>1513.1100000000006</v>
      </c>
      <c r="CG119" s="293">
        <f>CG115</f>
        <v>4565.8899999999994</v>
      </c>
      <c r="CH119" s="293">
        <f>CH115</f>
        <v>4565.8899999999994</v>
      </c>
      <c r="CJ119" s="293">
        <f>CJ115</f>
        <v>4910.0200000000004</v>
      </c>
      <c r="CK119" s="293">
        <f>CK115</f>
        <v>5153.5200000000004</v>
      </c>
      <c r="CL119" s="293">
        <f>CL115</f>
        <v>5153.5200000000004</v>
      </c>
      <c r="CN119" s="293">
        <f>CN115</f>
        <v>7624.7950000000001</v>
      </c>
      <c r="CO119" s="293">
        <f>CO115</f>
        <v>6937.8250000000007</v>
      </c>
      <c r="CP119" s="293">
        <f>CP115</f>
        <v>6937.8250000000007</v>
      </c>
      <c r="CR119" s="293">
        <f>CR115</f>
        <v>6114.0550000000003</v>
      </c>
      <c r="CS119" s="293">
        <f>CS115</f>
        <v>8069.5349999999999</v>
      </c>
      <c r="CT119" s="293">
        <f>CT115</f>
        <v>8069.5349999999999</v>
      </c>
      <c r="CV119" s="293">
        <f>CV115</f>
        <v>9478.2150000000001</v>
      </c>
      <c r="CW119" s="1495">
        <f>CW115</f>
        <v>12336.85</v>
      </c>
      <c r="CX119" s="1495">
        <f>CX115</f>
        <v>12336.85</v>
      </c>
      <c r="CZ119" s="293">
        <f>CZ115</f>
        <v>10488.41</v>
      </c>
      <c r="DA119" s="1495">
        <f>DA115</f>
        <v>10665.510000000002</v>
      </c>
      <c r="DB119" s="1495">
        <f>DB115</f>
        <v>10665.510000000002</v>
      </c>
      <c r="DD119" s="293">
        <f>DD115</f>
        <v>9801.510000000002</v>
      </c>
      <c r="DE119" s="1495">
        <f>DE115</f>
        <v>9546.989999999998</v>
      </c>
      <c r="DF119" s="1495">
        <f>DF115</f>
        <v>9546.989999999998</v>
      </c>
      <c r="DH119" s="293">
        <f>DH115</f>
        <v>7586.0449999999983</v>
      </c>
      <c r="DI119" s="293">
        <f ca="1">DI115</f>
        <v>8336.2988357866943</v>
      </c>
      <c r="DJ119" s="293">
        <f ca="1">DJ115</f>
        <v>8336.2988357866943</v>
      </c>
      <c r="DL119" s="293">
        <f ca="1">DL115</f>
        <v>7966.6550837512659</v>
      </c>
      <c r="DM119" s="293">
        <f ca="1">DM115</f>
        <v>9762.9956350012071</v>
      </c>
      <c r="DN119" s="293">
        <f ca="1">DN115</f>
        <v>9762.9956350012071</v>
      </c>
      <c r="DP119" s="293">
        <f ca="1">DP115</f>
        <v>9224.6751986442359</v>
      </c>
      <c r="DQ119" s="293">
        <f ca="1">DQ115</f>
        <v>11129.960633399231</v>
      </c>
      <c r="DR119" s="293">
        <f ca="1">DR115</f>
        <v>11129.960633399231</v>
      </c>
    </row>
    <row r="120" spans="1:124">
      <c r="A120" s="102" t="s">
        <v>954</v>
      </c>
      <c r="BH120" s="293">
        <f>BH136</f>
        <v>647</v>
      </c>
      <c r="BI120" s="293">
        <f>BI136</f>
        <v>647</v>
      </c>
      <c r="BJ120" s="293">
        <f>BJ136</f>
        <v>647</v>
      </c>
      <c r="BL120" s="293">
        <f>BL136</f>
        <v>688</v>
      </c>
      <c r="BM120" s="293">
        <f>BM136</f>
        <v>643</v>
      </c>
      <c r="BN120" s="293">
        <f>BN136</f>
        <v>643</v>
      </c>
      <c r="BP120" s="293">
        <f>BP136</f>
        <v>659</v>
      </c>
      <c r="BQ120" s="293">
        <f>BQ136</f>
        <v>1084</v>
      </c>
      <c r="BR120" s="293">
        <f>BR136</f>
        <v>1084</v>
      </c>
      <c r="BT120" s="293">
        <f>BT136</f>
        <v>1112</v>
      </c>
      <c r="BU120" s="293">
        <f>BU136</f>
        <v>1035</v>
      </c>
      <c r="BV120" s="293">
        <f>BV136</f>
        <v>1035</v>
      </c>
      <c r="BX120" s="293">
        <f>BX136</f>
        <v>1036</v>
      </c>
      <c r="BY120" s="293">
        <f>BY136</f>
        <v>1970</v>
      </c>
      <c r="BZ120" s="293">
        <f>BZ136</f>
        <v>1970</v>
      </c>
      <c r="CB120" s="293">
        <f>CB136</f>
        <v>1619</v>
      </c>
      <c r="CC120" s="293">
        <f>CC136</f>
        <v>1592</v>
      </c>
      <c r="CD120" s="293">
        <f>CD136</f>
        <v>1592</v>
      </c>
      <c r="CF120" s="293">
        <f>CF136</f>
        <v>1654</v>
      </c>
      <c r="CG120" s="293">
        <f>CG136</f>
        <v>1626</v>
      </c>
      <c r="CH120" s="293">
        <f>CH136</f>
        <v>1626</v>
      </c>
      <c r="CJ120" s="293">
        <f>CJ136</f>
        <v>1681</v>
      </c>
      <c r="CK120" s="293">
        <f>CK136</f>
        <v>1315</v>
      </c>
      <c r="CL120" s="293">
        <f>CL136</f>
        <v>1315</v>
      </c>
      <c r="CN120" s="293">
        <f>CN136</f>
        <v>1688</v>
      </c>
      <c r="CO120" s="293">
        <f>CO136</f>
        <v>1628</v>
      </c>
      <c r="CP120" s="293">
        <f>CP136</f>
        <v>1628</v>
      </c>
      <c r="CR120" s="293">
        <f>CR136</f>
        <v>2333</v>
      </c>
      <c r="CS120" s="293">
        <f>CS136</f>
        <v>2297</v>
      </c>
      <c r="CT120" s="293">
        <f>CS120</f>
        <v>2297</v>
      </c>
      <c r="CV120" s="293">
        <f>CV136</f>
        <v>2468</v>
      </c>
      <c r="CW120" s="1495">
        <f>CW136</f>
        <v>2418</v>
      </c>
      <c r="CX120" s="1495">
        <f>CW120</f>
        <v>2418</v>
      </c>
      <c r="CZ120" s="293">
        <f>CZ136</f>
        <v>2463</v>
      </c>
      <c r="DA120" s="1495">
        <f>DA136</f>
        <v>2446</v>
      </c>
      <c r="DB120" s="1495">
        <f>DA120</f>
        <v>2446</v>
      </c>
      <c r="DD120" s="293">
        <f>DD136</f>
        <v>2381</v>
      </c>
      <c r="DE120" s="1495">
        <f>DE136</f>
        <v>2496</v>
      </c>
      <c r="DF120" s="1495">
        <f>DE120</f>
        <v>2496</v>
      </c>
      <c r="DH120" s="293">
        <f>DH136</f>
        <v>2430</v>
      </c>
      <c r="DI120" s="293">
        <f>DI136</f>
        <v>2430</v>
      </c>
      <c r="DJ120" s="293">
        <f>DI120</f>
        <v>2430</v>
      </c>
      <c r="DL120" s="293">
        <f>DL136</f>
        <v>2430</v>
      </c>
      <c r="DM120" s="293">
        <f>DM136</f>
        <v>2430</v>
      </c>
      <c r="DN120" s="293">
        <f>DM120</f>
        <v>2430</v>
      </c>
      <c r="DP120" s="293">
        <f>DP136</f>
        <v>2430</v>
      </c>
      <c r="DQ120" s="293">
        <f>DQ136</f>
        <v>2430</v>
      </c>
      <c r="DR120" s="293">
        <f>DQ120</f>
        <v>2430</v>
      </c>
    </row>
    <row r="121" spans="1:124" s="289" customFormat="1">
      <c r="A121" s="289" t="s">
        <v>1363</v>
      </c>
      <c r="C121" s="290"/>
      <c r="AN121" s="290"/>
      <c r="AO121" s="290"/>
      <c r="AP121" s="290"/>
      <c r="AQ121" s="290"/>
      <c r="AR121" s="290"/>
      <c r="AS121" s="290"/>
      <c r="AT121" s="290"/>
      <c r="AU121" s="290"/>
      <c r="AV121" s="290"/>
      <c r="AW121" s="290"/>
      <c r="AX121" s="290"/>
      <c r="AY121" s="290"/>
      <c r="AZ121" s="290"/>
      <c r="BA121" s="290"/>
      <c r="BB121" s="290"/>
      <c r="BC121" s="290"/>
      <c r="BD121" s="290"/>
      <c r="BE121" s="290"/>
      <c r="BF121" s="290"/>
      <c r="BG121" s="290"/>
      <c r="BH121" s="295">
        <f>+BH119-BH120</f>
        <v>372.95000000000073</v>
      </c>
      <c r="BI121" s="295">
        <f>+BI119-BI120</f>
        <v>401.83499999999913</v>
      </c>
      <c r="BJ121" s="295">
        <f>+BJ119-BJ120</f>
        <v>401.83499999999913</v>
      </c>
      <c r="BK121" s="290"/>
      <c r="BL121" s="295">
        <f>+BL119-BL120</f>
        <v>169.38000000000102</v>
      </c>
      <c r="BM121" s="295">
        <f>+BM119-BM120</f>
        <v>-206.29000000000087</v>
      </c>
      <c r="BN121" s="295">
        <f>+BN119-BN120</f>
        <v>-206.29000000000087</v>
      </c>
      <c r="BO121" s="290"/>
      <c r="BP121" s="295">
        <f>+BP119-BP120</f>
        <v>-640.01499999999942</v>
      </c>
      <c r="BQ121" s="295">
        <f>+BQ119-BQ120</f>
        <v>-99.194999999999709</v>
      </c>
      <c r="BR121" s="295">
        <f>+BR119-BR120</f>
        <v>-99.194999999999709</v>
      </c>
      <c r="BS121" s="290"/>
      <c r="BT121" s="295">
        <f>+BT119-BT120</f>
        <v>69.239999999999782</v>
      </c>
      <c r="BU121" s="295">
        <f>+BU119-BU120</f>
        <v>1022.5599999999995</v>
      </c>
      <c r="BV121" s="295">
        <f>+BV119-BV120</f>
        <v>1022.5599999999995</v>
      </c>
      <c r="BW121" s="290"/>
      <c r="BX121" s="295">
        <f>+BX119-BX120</f>
        <v>836.86000000000058</v>
      </c>
      <c r="BY121" s="295">
        <f>+BY119-BY120</f>
        <v>1733.3600000000006</v>
      </c>
      <c r="BZ121" s="295">
        <f>+BZ119-BZ120</f>
        <v>1733.3600000000006</v>
      </c>
      <c r="CA121" s="290"/>
      <c r="CB121" s="295">
        <f>+CB119-CB120</f>
        <v>831.60000000000036</v>
      </c>
      <c r="CC121" s="295">
        <f>+CC119-CC120</f>
        <v>795.78000000000065</v>
      </c>
      <c r="CD121" s="295">
        <f>+CD119-CD120</f>
        <v>795.78000000000065</v>
      </c>
      <c r="CE121" s="290"/>
      <c r="CF121" s="295">
        <f>+CF119-CF120</f>
        <v>-140.88999999999942</v>
      </c>
      <c r="CG121" s="295">
        <f>+CG119-CG120</f>
        <v>2939.8899999999994</v>
      </c>
      <c r="CH121" s="295">
        <f>+CH119-CH120</f>
        <v>2939.8899999999994</v>
      </c>
      <c r="CI121" s="290"/>
      <c r="CJ121" s="295">
        <f>+CJ119-CJ120</f>
        <v>3229.0200000000004</v>
      </c>
      <c r="CK121" s="295">
        <f>+CK119-CK120</f>
        <v>3838.5200000000004</v>
      </c>
      <c r="CL121" s="295">
        <f>+CL119-CL120</f>
        <v>3838.5200000000004</v>
      </c>
      <c r="CM121" s="290"/>
      <c r="CN121" s="295">
        <f>+CN119-CN120</f>
        <v>5936.7950000000001</v>
      </c>
      <c r="CO121" s="295">
        <f>+CO119-CO120</f>
        <v>5309.8250000000007</v>
      </c>
      <c r="CP121" s="295">
        <f>+CP119-CP120</f>
        <v>5309.8250000000007</v>
      </c>
      <c r="CQ121" s="290"/>
      <c r="CR121" s="295">
        <f>+CR119-CR120</f>
        <v>3781.0550000000003</v>
      </c>
      <c r="CS121" s="295">
        <f>+CS119-CS120</f>
        <v>5772.5349999999999</v>
      </c>
      <c r="CT121" s="295">
        <f>+CT119-CT120</f>
        <v>5772.5349999999999</v>
      </c>
      <c r="CU121" s="290"/>
      <c r="CV121" s="295">
        <f>+CV119-CV120</f>
        <v>7010.2150000000001</v>
      </c>
      <c r="CW121" s="1390">
        <f>+CW119-CW120</f>
        <v>9918.85</v>
      </c>
      <c r="CX121" s="1390">
        <f>+CX119-CX120</f>
        <v>9918.85</v>
      </c>
      <c r="CY121" s="290"/>
      <c r="CZ121" s="295">
        <f>+CZ119-CZ120</f>
        <v>8025.41</v>
      </c>
      <c r="DA121" s="1390">
        <f>+DA119-DA120</f>
        <v>8219.510000000002</v>
      </c>
      <c r="DB121" s="1390">
        <f>+DB119-DB120</f>
        <v>8219.510000000002</v>
      </c>
      <c r="DC121" s="290"/>
      <c r="DD121" s="295">
        <f>+DD119-DD120</f>
        <v>7420.510000000002</v>
      </c>
      <c r="DE121" s="1390">
        <f>+DE119-DE120</f>
        <v>7050.989999999998</v>
      </c>
      <c r="DF121" s="1390">
        <f>+DF119-DF120</f>
        <v>7050.989999999998</v>
      </c>
      <c r="DG121" s="290"/>
      <c r="DH121" s="295">
        <f>+DH119-DH120</f>
        <v>5156.0449999999983</v>
      </c>
      <c r="DI121" s="295">
        <f ca="1">+DI119-DI120</f>
        <v>5906.2988357866943</v>
      </c>
      <c r="DJ121" s="295">
        <f ca="1">+DJ119-DJ120</f>
        <v>5906.2988357866943</v>
      </c>
      <c r="DK121" s="290"/>
      <c r="DL121" s="295">
        <f ca="1">+DL119-DL120</f>
        <v>5536.6550837512659</v>
      </c>
      <c r="DM121" s="295">
        <f ca="1">+DM119-DM120</f>
        <v>7332.9956350012071</v>
      </c>
      <c r="DN121" s="295">
        <f ca="1">+DN119-DN120</f>
        <v>7332.9956350012071</v>
      </c>
      <c r="DO121" s="290"/>
      <c r="DP121" s="295">
        <f ca="1">+DP119-DP120</f>
        <v>6794.6751986442359</v>
      </c>
      <c r="DQ121" s="295">
        <f ca="1">+DQ119-DQ120</f>
        <v>8699.9606333992306</v>
      </c>
      <c r="DR121" s="295">
        <f ca="1">+DR119-DR120</f>
        <v>8699.9606333992306</v>
      </c>
      <c r="DS121" s="290"/>
      <c r="DT121"/>
    </row>
    <row r="123" spans="1:124">
      <c r="A123" s="620" t="s">
        <v>440</v>
      </c>
      <c r="B123" s="621"/>
      <c r="C123" s="622"/>
      <c r="D123" s="621"/>
      <c r="E123" s="621"/>
      <c r="F123" s="621"/>
      <c r="G123" s="621"/>
      <c r="H123" s="621"/>
      <c r="I123" s="621"/>
      <c r="J123" s="621"/>
      <c r="K123" s="621"/>
      <c r="L123" s="621"/>
      <c r="M123" s="621"/>
      <c r="N123" s="621"/>
      <c r="O123" s="621"/>
      <c r="P123" s="621"/>
      <c r="Q123" s="621"/>
      <c r="R123" s="621"/>
      <c r="S123" s="621"/>
      <c r="T123" s="621"/>
      <c r="U123" s="621"/>
      <c r="V123" s="621"/>
      <c r="W123" s="621"/>
      <c r="X123" s="621"/>
      <c r="Y123" s="621"/>
      <c r="Z123" s="621"/>
      <c r="AA123" s="621"/>
      <c r="AB123" s="621"/>
      <c r="AC123" s="621"/>
      <c r="AD123" s="621"/>
      <c r="AE123" s="621"/>
      <c r="AF123" s="621"/>
      <c r="AG123" s="621"/>
      <c r="AH123" s="621"/>
      <c r="AI123" s="621"/>
      <c r="AJ123" s="621"/>
      <c r="AK123" s="621"/>
      <c r="AL123" s="621"/>
      <c r="AM123" s="621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AZ123" s="622"/>
      <c r="BA123" s="622"/>
      <c r="BB123" s="622"/>
      <c r="BC123" s="622"/>
      <c r="BD123" s="622"/>
      <c r="BE123" s="622"/>
      <c r="BF123" s="622"/>
      <c r="BG123" s="622"/>
      <c r="BH123" s="622"/>
      <c r="BI123" s="622"/>
      <c r="BJ123" s="622"/>
      <c r="BK123" s="622"/>
      <c r="BL123" s="622"/>
      <c r="BM123" s="622"/>
      <c r="BN123" s="622"/>
      <c r="BO123" s="622"/>
      <c r="BP123" s="622"/>
      <c r="BQ123" s="622"/>
      <c r="BR123" s="622"/>
      <c r="BS123" s="622"/>
      <c r="BT123" s="622"/>
      <c r="BU123" s="622"/>
      <c r="BV123" s="622"/>
      <c r="BW123" s="622"/>
      <c r="BX123" s="622"/>
      <c r="BY123" s="622"/>
      <c r="BZ123" s="622"/>
      <c r="CA123" s="622"/>
      <c r="CB123" s="622"/>
      <c r="CC123" s="622"/>
      <c r="CD123" s="622"/>
      <c r="CE123" s="622"/>
      <c r="CF123" s="622"/>
      <c r="CG123" s="622"/>
      <c r="CH123" s="622"/>
      <c r="CI123" s="622"/>
      <c r="CJ123" s="622"/>
      <c r="CK123" s="622"/>
      <c r="CL123" s="622"/>
      <c r="CM123" s="622"/>
      <c r="CN123" s="622"/>
      <c r="CO123" s="622"/>
      <c r="CP123" s="622"/>
      <c r="CQ123" s="622"/>
      <c r="CR123" s="622"/>
      <c r="CS123" s="622"/>
      <c r="CT123" s="622"/>
      <c r="CU123" s="622"/>
      <c r="CV123" s="622"/>
      <c r="CW123" s="1791"/>
      <c r="CX123" s="1791"/>
      <c r="CY123" s="622"/>
      <c r="CZ123" s="622"/>
      <c r="DA123" s="622"/>
      <c r="DB123" s="622"/>
      <c r="DC123" s="622"/>
      <c r="DD123" s="622"/>
      <c r="DE123" s="622"/>
      <c r="DF123" s="622"/>
      <c r="DG123" s="622"/>
      <c r="DH123" s="622"/>
      <c r="DI123" s="622"/>
      <c r="DJ123" s="622"/>
      <c r="DK123" s="622"/>
      <c r="DL123" s="622"/>
      <c r="DM123" s="622"/>
      <c r="DN123" s="622"/>
      <c r="DO123" s="622"/>
      <c r="DP123" s="622"/>
      <c r="DQ123" s="622"/>
      <c r="DR123" s="622"/>
      <c r="DS123" s="622"/>
    </row>
    <row r="125" spans="1:124">
      <c r="A125" s="102" t="s">
        <v>429</v>
      </c>
      <c r="BH125" s="626">
        <v>7690</v>
      </c>
      <c r="BI125" s="626">
        <v>7680</v>
      </c>
      <c r="BJ125" s="293">
        <f>BI125</f>
        <v>7680</v>
      </c>
      <c r="BL125" s="626">
        <v>7681</v>
      </c>
      <c r="BM125" s="626">
        <v>7710</v>
      </c>
      <c r="BN125" s="293">
        <f>BM125</f>
        <v>7710</v>
      </c>
      <c r="BP125" s="626">
        <v>7709</v>
      </c>
      <c r="BQ125" s="626">
        <v>8690</v>
      </c>
      <c r="BR125" s="293">
        <f>BQ125</f>
        <v>8690</v>
      </c>
      <c r="BT125" s="626">
        <v>8692</v>
      </c>
      <c r="BU125" s="626">
        <v>9491</v>
      </c>
      <c r="BV125" s="293">
        <f>BU125</f>
        <v>9491</v>
      </c>
      <c r="BX125" s="626">
        <v>9500</v>
      </c>
      <c r="BY125" s="626">
        <v>9520</v>
      </c>
      <c r="BZ125" s="293">
        <f>BY125</f>
        <v>9520</v>
      </c>
      <c r="CB125" s="626">
        <v>9523</v>
      </c>
      <c r="CC125" s="626">
        <v>9537</v>
      </c>
      <c r="CD125" s="293">
        <f>CC125</f>
        <v>9537</v>
      </c>
      <c r="CF125" s="626">
        <v>9545</v>
      </c>
      <c r="CG125" s="626">
        <v>7507</v>
      </c>
      <c r="CH125" s="293">
        <f>CG125</f>
        <v>7507</v>
      </c>
      <c r="CJ125" s="626">
        <v>7507</v>
      </c>
      <c r="CK125" s="626">
        <v>8508</v>
      </c>
      <c r="CL125" s="293">
        <f>CK125</f>
        <v>8508</v>
      </c>
      <c r="CN125" s="626">
        <v>8501</v>
      </c>
      <c r="CO125" s="626">
        <v>8521</v>
      </c>
      <c r="CP125" s="293">
        <f>CO125</f>
        <v>8521</v>
      </c>
      <c r="CR125" s="626">
        <v>9040</v>
      </c>
      <c r="CS125" s="1388">
        <v>9562</v>
      </c>
      <c r="CT125" s="293">
        <f>CS125</f>
        <v>9562</v>
      </c>
      <c r="CV125" s="626">
        <v>10140</v>
      </c>
      <c r="CW125" s="1497">
        <v>10161</v>
      </c>
      <c r="CX125" s="1495">
        <f>CW125</f>
        <v>10161</v>
      </c>
      <c r="CZ125" s="626">
        <v>10148</v>
      </c>
      <c r="DA125" s="1488">
        <v>10182</v>
      </c>
      <c r="DB125" s="1495">
        <f>DA125</f>
        <v>10182</v>
      </c>
      <c r="DD125" s="626">
        <v>10209</v>
      </c>
      <c r="DE125" s="2176">
        <v>10192</v>
      </c>
      <c r="DF125" s="1495">
        <f>DE125</f>
        <v>10192</v>
      </c>
      <c r="DG125" s="817">
        <f>+DE125/DA125-1</f>
        <v>9.8212531919061874E-4</v>
      </c>
      <c r="DH125" s="626">
        <v>10267</v>
      </c>
      <c r="DI125" s="293">
        <f>DI26</f>
        <v>10462.333437687499</v>
      </c>
      <c r="DK125" s="817">
        <f>+DI125/DE125-1</f>
        <v>2.6524081405759237E-2</v>
      </c>
      <c r="DL125" s="293">
        <f>DL26</f>
        <v>10667.946297533304</v>
      </c>
      <c r="DM125" s="293">
        <f>DM26</f>
        <v>10884.379534128495</v>
      </c>
      <c r="DO125" s="817">
        <f>+DM125/DI125-1</f>
        <v>4.0339576152361722E-2</v>
      </c>
      <c r="DP125" s="293">
        <f>DP26</f>
        <v>11112.202569799505</v>
      </c>
      <c r="DQ125" s="293">
        <f>DQ26</f>
        <v>11352.014792722704</v>
      </c>
      <c r="DS125" s="817">
        <f>+DQ125/DM125-1</f>
        <v>4.296388757190206E-2</v>
      </c>
    </row>
    <row r="126" spans="1:124">
      <c r="A126" s="102" t="s">
        <v>130</v>
      </c>
      <c r="BH126" s="626">
        <v>-566</v>
      </c>
      <c r="BI126" s="626">
        <v>-574</v>
      </c>
      <c r="BJ126" s="293">
        <f>BI126</f>
        <v>-574</v>
      </c>
      <c r="BL126" s="626">
        <v>-129</v>
      </c>
      <c r="BM126" s="626">
        <v>-42</v>
      </c>
      <c r="BN126" s="293">
        <f>BM126</f>
        <v>-42</v>
      </c>
      <c r="BP126" s="626">
        <v>169</v>
      </c>
      <c r="BQ126" s="626">
        <v>639</v>
      </c>
      <c r="BR126" s="293">
        <f>BQ126</f>
        <v>639</v>
      </c>
      <c r="BT126" s="626">
        <v>1113</v>
      </c>
      <c r="BU126" s="626">
        <v>529</v>
      </c>
      <c r="BV126" s="293">
        <f>BU126</f>
        <v>529</v>
      </c>
      <c r="BX126" s="626">
        <v>368</v>
      </c>
      <c r="BY126" s="626">
        <v>411</v>
      </c>
      <c r="BZ126" s="293">
        <f>BY126</f>
        <v>411</v>
      </c>
      <c r="CB126" s="626">
        <v>355</v>
      </c>
      <c r="CC126" s="626">
        <v>478</v>
      </c>
      <c r="CD126" s="293">
        <f>CC126</f>
        <v>478</v>
      </c>
      <c r="CF126" s="626">
        <v>758</v>
      </c>
      <c r="CG126" s="626">
        <v>515</v>
      </c>
      <c r="CH126" s="293">
        <f>CG126</f>
        <v>515</v>
      </c>
      <c r="CJ126" s="626">
        <v>637</v>
      </c>
      <c r="CK126" s="626">
        <v>990</v>
      </c>
      <c r="CL126" s="293">
        <f>CK126</f>
        <v>990</v>
      </c>
      <c r="CN126" s="626">
        <v>423</v>
      </c>
      <c r="CO126" s="626">
        <v>305</v>
      </c>
      <c r="CP126" s="293">
        <f>CO126</f>
        <v>305</v>
      </c>
      <c r="CR126" s="626">
        <v>515</v>
      </c>
      <c r="CS126" s="1388">
        <v>434</v>
      </c>
      <c r="CT126" s="293">
        <f>CS126</f>
        <v>434</v>
      </c>
      <c r="CV126" s="626">
        <v>1315</v>
      </c>
      <c r="CW126" s="1497">
        <v>1057</v>
      </c>
      <c r="CX126" s="1495">
        <f>CW126</f>
        <v>1057</v>
      </c>
      <c r="CZ126" s="626">
        <v>1302</v>
      </c>
      <c r="DA126" s="1488">
        <v>1237</v>
      </c>
      <c r="DB126" s="1495">
        <f>DA126</f>
        <v>1237</v>
      </c>
      <c r="DD126" s="626">
        <v>847</v>
      </c>
      <c r="DE126" s="2176">
        <v>1612</v>
      </c>
      <c r="DF126" s="1495">
        <f>DE126</f>
        <v>1612</v>
      </c>
      <c r="DG126" s="817">
        <f t="shared" ref="DG126:DG138" si="179">+DE126/DA126-1</f>
        <v>0.3031527890056589</v>
      </c>
      <c r="DH126" s="626">
        <v>1140</v>
      </c>
      <c r="DI126" s="293">
        <f>DI29</f>
        <v>1140</v>
      </c>
      <c r="DK126" s="817">
        <f t="shared" ref="DK126:DK138" si="180">+DI126/DE126-1</f>
        <v>-0.29280397022332505</v>
      </c>
      <c r="DL126" s="293">
        <f>DL29</f>
        <v>1140</v>
      </c>
      <c r="DM126" s="293">
        <f>DM29</f>
        <v>1140</v>
      </c>
      <c r="DO126" s="817">
        <f t="shared" ref="DO126:DO138" si="181">+DM126/DI126-1</f>
        <v>0</v>
      </c>
      <c r="DP126" s="293">
        <f>DP29</f>
        <v>1140</v>
      </c>
      <c r="DQ126" s="293">
        <f>DQ29</f>
        <v>1140</v>
      </c>
      <c r="DS126" s="817">
        <f t="shared" ref="DS126:DS138" si="182">+DQ126/DM126-1</f>
        <v>0</v>
      </c>
    </row>
    <row r="127" spans="1:124">
      <c r="A127" s="102" t="s">
        <v>144</v>
      </c>
      <c r="BH127" s="626">
        <v>1239</v>
      </c>
      <c r="BI127" s="626">
        <v>1202</v>
      </c>
      <c r="BJ127" s="293">
        <f>BI127</f>
        <v>1202</v>
      </c>
      <c r="BL127" s="626">
        <v>1389</v>
      </c>
      <c r="BM127" s="626">
        <v>1371</v>
      </c>
      <c r="BN127" s="293">
        <f>BM127</f>
        <v>1371</v>
      </c>
      <c r="BP127" s="626">
        <v>1113</v>
      </c>
      <c r="BQ127" s="626">
        <v>1884</v>
      </c>
      <c r="BR127" s="293">
        <f>BQ127</f>
        <v>1884</v>
      </c>
      <c r="BT127" s="626">
        <v>1751</v>
      </c>
      <c r="BU127" s="626">
        <v>2410</v>
      </c>
      <c r="BV127" s="293">
        <f>BU127</f>
        <v>2410</v>
      </c>
      <c r="BX127" s="626">
        <v>2139</v>
      </c>
      <c r="BY127" s="626">
        <v>2354</v>
      </c>
      <c r="BZ127" s="293">
        <f>BY127</f>
        <v>2354</v>
      </c>
      <c r="CB127" s="626">
        <v>2348</v>
      </c>
      <c r="CC127" s="626">
        <v>2647</v>
      </c>
      <c r="CD127" s="293">
        <f>CC127</f>
        <v>2647</v>
      </c>
      <c r="CF127" s="626">
        <v>2341</v>
      </c>
      <c r="CG127" s="626">
        <v>2852</v>
      </c>
      <c r="CH127" s="293">
        <f>CG127</f>
        <v>2852</v>
      </c>
      <c r="CJ127" s="626">
        <v>3824</v>
      </c>
      <c r="CK127" s="626">
        <v>4350</v>
      </c>
      <c r="CL127" s="293">
        <f>CK127</f>
        <v>4350</v>
      </c>
      <c r="CN127" s="626">
        <v>4923</v>
      </c>
      <c r="CO127" s="626">
        <v>5253</v>
      </c>
      <c r="CP127" s="293">
        <f>CO127</f>
        <v>5253</v>
      </c>
      <c r="CR127" s="626">
        <v>6513</v>
      </c>
      <c r="CS127" s="1388">
        <v>7962</v>
      </c>
      <c r="CT127" s="293">
        <f>CS127</f>
        <v>7962</v>
      </c>
      <c r="CV127" s="626">
        <v>9198</v>
      </c>
      <c r="CW127" s="1497">
        <v>9135</v>
      </c>
      <c r="CX127" s="1495">
        <f>CW127</f>
        <v>9135</v>
      </c>
      <c r="CZ127" s="626">
        <v>8698</v>
      </c>
      <c r="DA127" s="1488">
        <v>9934</v>
      </c>
      <c r="DB127" s="1495">
        <f>DA127</f>
        <v>9934</v>
      </c>
      <c r="DD127" s="626">
        <v>9916</v>
      </c>
      <c r="DE127" s="2176">
        <v>11249</v>
      </c>
      <c r="DF127" s="1495">
        <f>DE127</f>
        <v>11249</v>
      </c>
      <c r="DG127" s="817">
        <f t="shared" si="179"/>
        <v>0.1323736661968995</v>
      </c>
      <c r="DH127" s="626">
        <v>11476</v>
      </c>
      <c r="DI127" s="293">
        <f ca="1">DI30</f>
        <v>12831.02747651087</v>
      </c>
      <c r="DK127" s="817">
        <f t="shared" ca="1" si="180"/>
        <v>0.14063716566013595</v>
      </c>
      <c r="DL127" s="293">
        <f ca="1">DL30</f>
        <v>13103.872294363966</v>
      </c>
      <c r="DM127" s="293">
        <f ca="1">DM30</f>
        <v>15760.745341565846</v>
      </c>
      <c r="DO127" s="817">
        <f t="shared" ca="1" si="181"/>
        <v>0.2283307295864081</v>
      </c>
      <c r="DP127" s="293">
        <f ca="1">DP30</f>
        <v>16117.950536440429</v>
      </c>
      <c r="DQ127" s="293">
        <f ca="1">DQ30</f>
        <v>18955.494920520126</v>
      </c>
      <c r="DS127" s="817">
        <f t="shared" ca="1" si="182"/>
        <v>0.20270295025507212</v>
      </c>
    </row>
    <row r="128" spans="1:124" s="289" customFormat="1">
      <c r="A128" s="289" t="s">
        <v>430</v>
      </c>
      <c r="C128" s="290"/>
      <c r="AN128" s="290"/>
      <c r="AO128" s="290"/>
      <c r="AP128" s="290"/>
      <c r="AQ128" s="290"/>
      <c r="AR128" s="290"/>
      <c r="AS128" s="290"/>
      <c r="AT128" s="290"/>
      <c r="AU128" s="290"/>
      <c r="AV128" s="290"/>
      <c r="AW128" s="290"/>
      <c r="AX128" s="290"/>
      <c r="AY128" s="290"/>
      <c r="AZ128" s="290"/>
      <c r="BA128" s="290"/>
      <c r="BB128" s="290"/>
      <c r="BC128" s="290"/>
      <c r="BD128" s="290"/>
      <c r="BE128" s="290"/>
      <c r="BF128" s="290"/>
      <c r="BG128" s="290"/>
      <c r="BH128" s="295">
        <f>SUM(BH125:BH127)</f>
        <v>8363</v>
      </c>
      <c r="BI128" s="295">
        <f>SUM(BI125:BI127)</f>
        <v>8308</v>
      </c>
      <c r="BJ128" s="295">
        <f>SUM(BJ125:BJ127)</f>
        <v>8308</v>
      </c>
      <c r="BK128" s="290"/>
      <c r="BL128" s="295">
        <f>SUM(BL125:BL127)</f>
        <v>8941</v>
      </c>
      <c r="BM128" s="295">
        <f>SUM(BM125:BM127)</f>
        <v>9039</v>
      </c>
      <c r="BN128" s="295">
        <f>SUM(BN125:BN127)</f>
        <v>9039</v>
      </c>
      <c r="BO128" s="290"/>
      <c r="BP128" s="295">
        <f>SUM(BP125:BP127)</f>
        <v>8991</v>
      </c>
      <c r="BQ128" s="295">
        <f>SUM(BQ125:BQ127)</f>
        <v>11213</v>
      </c>
      <c r="BR128" s="295">
        <f>SUM(BR125:BR127)</f>
        <v>11213</v>
      </c>
      <c r="BS128" s="290"/>
      <c r="BT128" s="295">
        <f>SUM(BT125:BT127)</f>
        <v>11556</v>
      </c>
      <c r="BU128" s="295">
        <f>SUM(BU125:BU127)</f>
        <v>12430</v>
      </c>
      <c r="BV128" s="295">
        <f>SUM(BV125:BV127)</f>
        <v>12430</v>
      </c>
      <c r="BW128" s="290"/>
      <c r="BX128" s="295">
        <f>SUM(BX125:BX127)</f>
        <v>12007</v>
      </c>
      <c r="BY128" s="295">
        <f>SUM(BY125:BY127)</f>
        <v>12285</v>
      </c>
      <c r="BZ128" s="295">
        <f>SUM(BZ125:BZ127)</f>
        <v>12285</v>
      </c>
      <c r="CA128" s="290"/>
      <c r="CB128" s="295">
        <f>SUM(CB125:CB127)</f>
        <v>12226</v>
      </c>
      <c r="CC128" s="295">
        <f>SUM(CC125:CC127)</f>
        <v>12662</v>
      </c>
      <c r="CD128" s="295">
        <f>SUM(CD125:CD127)</f>
        <v>12662</v>
      </c>
      <c r="CE128" s="290"/>
      <c r="CF128" s="295">
        <f>SUM(CF125:CF127)</f>
        <v>12644</v>
      </c>
      <c r="CG128" s="295">
        <f>SUM(CG125:CG127)</f>
        <v>10874</v>
      </c>
      <c r="CH128" s="295">
        <f>SUM(CH125:CH127)</f>
        <v>10874</v>
      </c>
      <c r="CI128" s="290"/>
      <c r="CJ128" s="295">
        <f>SUM(CJ125:CJ127)</f>
        <v>11968</v>
      </c>
      <c r="CK128" s="295">
        <f>SUM(CK125:CK127)</f>
        <v>13848</v>
      </c>
      <c r="CL128" s="295">
        <f>SUM(CL125:CL127)</f>
        <v>13848</v>
      </c>
      <c r="CM128" s="290"/>
      <c r="CN128" s="295">
        <f>SUM(CN125:CN127)</f>
        <v>13847</v>
      </c>
      <c r="CO128" s="295">
        <f>SUM(CO125:CO127)</f>
        <v>14079</v>
      </c>
      <c r="CP128" s="295">
        <f>SUM(CP125:CP127)</f>
        <v>14079</v>
      </c>
      <c r="CQ128" s="290"/>
      <c r="CR128" s="295">
        <f>SUM(CR125:CR127)</f>
        <v>16068</v>
      </c>
      <c r="CS128" s="295">
        <f>SUM(CS125:CS127)</f>
        <v>17958</v>
      </c>
      <c r="CT128" s="295">
        <f>SUM(CT125:CT127)</f>
        <v>17958</v>
      </c>
      <c r="CU128" s="290"/>
      <c r="CV128" s="295">
        <f>SUM(CV125:CV127)</f>
        <v>20653</v>
      </c>
      <c r="CW128" s="1390">
        <f>SUM(CW125:CW127)</f>
        <v>20353</v>
      </c>
      <c r="CX128" s="1390">
        <f>SUM(CX125:CX127)</f>
        <v>20353</v>
      </c>
      <c r="CY128" s="290"/>
      <c r="CZ128" s="295">
        <f>SUM(CZ125:CZ127)</f>
        <v>20148</v>
      </c>
      <c r="DA128" s="1390">
        <f>SUM(DA125:DA127)</f>
        <v>21353</v>
      </c>
      <c r="DB128" s="1390">
        <f>SUM(DB125:DB127)</f>
        <v>21353</v>
      </c>
      <c r="DC128" s="290"/>
      <c r="DD128" s="295">
        <f>SUM(DD125:DD127)</f>
        <v>20972</v>
      </c>
      <c r="DE128" s="1390">
        <f>SUM(DE125:DE127)</f>
        <v>23053</v>
      </c>
      <c r="DF128" s="1390">
        <f>SUM(DF125:DF127)</f>
        <v>23053</v>
      </c>
      <c r="DG128" s="817">
        <f t="shared" si="179"/>
        <v>7.9614105746265151E-2</v>
      </c>
      <c r="DH128" s="295">
        <f>SUM(DH125:DH127)</f>
        <v>22883</v>
      </c>
      <c r="DI128" s="295">
        <f ca="1">SUM(DI125:DI127)</f>
        <v>24433.360914198369</v>
      </c>
      <c r="DJ128" s="290"/>
      <c r="DK128" s="817">
        <f t="shared" ca="1" si="180"/>
        <v>5.9877712844244479E-2</v>
      </c>
      <c r="DL128" s="295">
        <f ca="1">SUM(DL125:DL127)</f>
        <v>24911.81859189727</v>
      </c>
      <c r="DM128" s="295">
        <f ca="1">SUM(DM125:DM127)</f>
        <v>27785.124875694339</v>
      </c>
      <c r="DN128" s="290"/>
      <c r="DO128" s="817">
        <f t="shared" ca="1" si="181"/>
        <v>0.1371798162875022</v>
      </c>
      <c r="DP128" s="295">
        <f ca="1">SUM(DP125:DP127)</f>
        <v>28370.153106239934</v>
      </c>
      <c r="DQ128" s="295">
        <f ca="1">SUM(DQ125:DQ127)</f>
        <v>31447.509713242831</v>
      </c>
      <c r="DR128" s="290"/>
      <c r="DS128" s="817">
        <f t="shared" ca="1" si="182"/>
        <v>0.13181099073455105</v>
      </c>
      <c r="DT128"/>
    </row>
    <row r="129" spans="1:124">
      <c r="A129" s="102" t="s">
        <v>320</v>
      </c>
      <c r="BH129" s="626">
        <v>-133</v>
      </c>
      <c r="BI129" s="626">
        <v>-136</v>
      </c>
      <c r="BJ129" s="293">
        <f>BI129</f>
        <v>-136</v>
      </c>
      <c r="BL129" s="626">
        <v>-185</v>
      </c>
      <c r="BM129" s="626">
        <v>-104</v>
      </c>
      <c r="BN129" s="293">
        <f>BM129</f>
        <v>-104</v>
      </c>
      <c r="BP129" s="626">
        <v>-109</v>
      </c>
      <c r="BQ129" s="626">
        <v>-50</v>
      </c>
      <c r="BR129" s="293">
        <f>BQ129</f>
        <v>-50</v>
      </c>
      <c r="BT129" s="626">
        <v>-51</v>
      </c>
      <c r="BU129" s="626">
        <v>-46</v>
      </c>
      <c r="BV129" s="293">
        <f>BU129</f>
        <v>-46</v>
      </c>
      <c r="BX129" s="626">
        <v>-46</v>
      </c>
      <c r="BY129" s="626">
        <v>-37</v>
      </c>
      <c r="BZ129" s="293">
        <f>BY129</f>
        <v>-37</v>
      </c>
      <c r="CB129" s="626">
        <v>-39</v>
      </c>
      <c r="CC129" s="626">
        <v>-40</v>
      </c>
      <c r="CD129" s="293">
        <f>CC129</f>
        <v>-40</v>
      </c>
      <c r="CF129" s="626">
        <v>-41</v>
      </c>
      <c r="CG129" s="626">
        <v>-42</v>
      </c>
      <c r="CH129" s="293">
        <f>CG129</f>
        <v>-42</v>
      </c>
      <c r="CJ129" s="626">
        <v>-44</v>
      </c>
      <c r="CK129" s="626">
        <v>-47</v>
      </c>
      <c r="CL129" s="293">
        <f>CK129</f>
        <v>-47</v>
      </c>
      <c r="CN129" s="626">
        <v>-41</v>
      </c>
      <c r="CO129" s="626">
        <v>-39</v>
      </c>
      <c r="CP129" s="293">
        <f>CO129</f>
        <v>-39</v>
      </c>
      <c r="CR129" s="626">
        <v>-41</v>
      </c>
      <c r="CS129" s="626">
        <v>-36</v>
      </c>
      <c r="CT129" s="293">
        <f>CS129</f>
        <v>-36</v>
      </c>
      <c r="CV129" s="626">
        <v>-41</v>
      </c>
      <c r="CW129" s="1497">
        <v>-39</v>
      </c>
      <c r="CX129" s="1495">
        <f>CW129</f>
        <v>-39</v>
      </c>
      <c r="CZ129" s="626">
        <v>-41</v>
      </c>
      <c r="DA129" s="1488">
        <v>-40</v>
      </c>
      <c r="DB129" s="1495">
        <f>DA129</f>
        <v>-40</v>
      </c>
      <c r="DD129" s="626">
        <v>-38</v>
      </c>
      <c r="DE129" s="2176">
        <v>-42</v>
      </c>
      <c r="DF129" s="1495">
        <f>DE129</f>
        <v>-42</v>
      </c>
      <c r="DG129" s="817"/>
      <c r="DH129" s="626">
        <v>0</v>
      </c>
      <c r="DI129" s="487">
        <f>DH129</f>
        <v>0</v>
      </c>
      <c r="DK129" s="817"/>
      <c r="DL129" s="487">
        <f>DI129</f>
        <v>0</v>
      </c>
      <c r="DM129" s="487">
        <f>DL129</f>
        <v>0</v>
      </c>
      <c r="DO129" s="817"/>
      <c r="DP129" s="487">
        <f>DM129</f>
        <v>0</v>
      </c>
      <c r="DQ129" s="487">
        <f>DP129</f>
        <v>0</v>
      </c>
      <c r="DS129" s="817"/>
    </row>
    <row r="130" spans="1:124">
      <c r="A130" s="102" t="s">
        <v>431</v>
      </c>
      <c r="BH130" s="626">
        <v>-122</v>
      </c>
      <c r="BI130" s="626">
        <v>-200</v>
      </c>
      <c r="BJ130" s="293">
        <f>BI130</f>
        <v>-200</v>
      </c>
      <c r="BL130" s="626">
        <v>-249</v>
      </c>
      <c r="BM130" s="626">
        <v>-189</v>
      </c>
      <c r="BN130" s="293">
        <f>BM130</f>
        <v>-189</v>
      </c>
      <c r="BP130" s="626">
        <v>-201</v>
      </c>
      <c r="BQ130" s="626">
        <v>-243</v>
      </c>
      <c r="BR130" s="293">
        <f>BQ130</f>
        <v>-243</v>
      </c>
      <c r="BT130" s="626">
        <v>-241</v>
      </c>
      <c r="BU130" s="626">
        <v>-173</v>
      </c>
      <c r="BV130" s="293">
        <f>BU130</f>
        <v>-173</v>
      </c>
      <c r="BX130" s="626">
        <v>-149</v>
      </c>
      <c r="BY130" s="626">
        <v>-157</v>
      </c>
      <c r="BZ130" s="293">
        <f>BY130</f>
        <v>-157</v>
      </c>
      <c r="CB130" s="626">
        <v>-167</v>
      </c>
      <c r="CC130" s="626">
        <v>-142</v>
      </c>
      <c r="CD130" s="293">
        <f>CC130</f>
        <v>-142</v>
      </c>
      <c r="CF130" s="626">
        <v>-198</v>
      </c>
      <c r="CG130" s="626">
        <v>-420</v>
      </c>
      <c r="CH130" s="293">
        <f>CG130</f>
        <v>-420</v>
      </c>
      <c r="CJ130" s="626">
        <v>-437</v>
      </c>
      <c r="CK130" s="626">
        <v>-489</v>
      </c>
      <c r="CL130" s="293">
        <f>CK130</f>
        <v>-489</v>
      </c>
      <c r="CN130" s="626">
        <v>-527</v>
      </c>
      <c r="CO130" s="626">
        <v>-793</v>
      </c>
      <c r="CP130" s="293">
        <f>CO130</f>
        <v>-793</v>
      </c>
      <c r="CR130" s="626">
        <v>-748</v>
      </c>
      <c r="CS130" s="626">
        <v>-853</v>
      </c>
      <c r="CT130" s="293">
        <f>CS130</f>
        <v>-853</v>
      </c>
      <c r="CV130" s="626">
        <v>-912</v>
      </c>
      <c r="CW130" s="1497">
        <v>-1044</v>
      </c>
      <c r="CX130" s="1495">
        <f>CW130</f>
        <v>-1044</v>
      </c>
      <c r="CZ130" s="626">
        <v>-963</v>
      </c>
      <c r="DA130" s="1488">
        <v>-1032</v>
      </c>
      <c r="DB130" s="1495">
        <f>DA130</f>
        <v>-1032</v>
      </c>
      <c r="DD130" s="626">
        <v>-941</v>
      </c>
      <c r="DE130" s="2176">
        <v>-1072</v>
      </c>
      <c r="DF130" s="1495">
        <f>DE130</f>
        <v>-1072</v>
      </c>
      <c r="DG130" s="817">
        <f t="shared" si="179"/>
        <v>3.8759689922480689E-2</v>
      </c>
      <c r="DH130" s="626">
        <v>-895</v>
      </c>
      <c r="DI130" s="487">
        <f>DH130</f>
        <v>-895</v>
      </c>
      <c r="DK130" s="817">
        <f t="shared" si="180"/>
        <v>-0.16511194029850751</v>
      </c>
      <c r="DL130" s="487">
        <f>DI130</f>
        <v>-895</v>
      </c>
      <c r="DM130" s="487">
        <f>DL130</f>
        <v>-895</v>
      </c>
      <c r="DO130" s="817">
        <f t="shared" si="181"/>
        <v>0</v>
      </c>
      <c r="DP130" s="487">
        <f>DM130</f>
        <v>-895</v>
      </c>
      <c r="DQ130" s="487">
        <f>DP130</f>
        <v>-895</v>
      </c>
      <c r="DS130" s="817">
        <f t="shared" si="182"/>
        <v>0</v>
      </c>
    </row>
    <row r="131" spans="1:124">
      <c r="A131" s="102" t="s">
        <v>432</v>
      </c>
      <c r="BH131" s="626">
        <v>-563</v>
      </c>
      <c r="BI131" s="626">
        <v>-380</v>
      </c>
      <c r="BJ131" s="293">
        <f>BI131</f>
        <v>-380</v>
      </c>
      <c r="BL131" s="626">
        <v>-410</v>
      </c>
      <c r="BM131" s="626">
        <v>-443</v>
      </c>
      <c r="BN131" s="293">
        <f>BM131</f>
        <v>-443</v>
      </c>
      <c r="BP131" s="626">
        <v>-438</v>
      </c>
      <c r="BQ131" s="626">
        <v>-479</v>
      </c>
      <c r="BR131" s="293">
        <f>BQ131</f>
        <v>-479</v>
      </c>
      <c r="BT131" s="626">
        <v>-42</v>
      </c>
      <c r="BU131" s="626">
        <v>-36</v>
      </c>
      <c r="BV131" s="293">
        <f>BU131</f>
        <v>-36</v>
      </c>
      <c r="BX131" s="626">
        <v>-39</v>
      </c>
      <c r="BY131" s="626">
        <v>-51</v>
      </c>
      <c r="BZ131" s="293">
        <f>BY131</f>
        <v>-51</v>
      </c>
      <c r="CB131" s="626">
        <v>-51</v>
      </c>
      <c r="CC131" s="626">
        <v>-63</v>
      </c>
      <c r="CD131" s="293">
        <f>CC131</f>
        <v>-63</v>
      </c>
      <c r="CF131" s="626">
        <v>-59</v>
      </c>
      <c r="CG131" s="626">
        <v>-50</v>
      </c>
      <c r="CH131" s="293">
        <f>CG131</f>
        <v>-50</v>
      </c>
      <c r="CJ131" s="626">
        <v>-52</v>
      </c>
      <c r="CK131" s="626">
        <v>-53</v>
      </c>
      <c r="CL131" s="293">
        <f>CK131</f>
        <v>-53</v>
      </c>
      <c r="CN131" s="626">
        <v>-36</v>
      </c>
      <c r="CO131" s="626">
        <v>-35</v>
      </c>
      <c r="CP131" s="293">
        <f>CO131</f>
        <v>-35</v>
      </c>
      <c r="CR131" s="626">
        <v>-34</v>
      </c>
      <c r="CS131" s="626">
        <v>-37</v>
      </c>
      <c r="CT131" s="293">
        <f>CS131</f>
        <v>-37</v>
      </c>
      <c r="CV131" s="626">
        <v>-38</v>
      </c>
      <c r="CW131" s="1497">
        <v>-39</v>
      </c>
      <c r="CX131" s="1495">
        <f>CW131</f>
        <v>-39</v>
      </c>
      <c r="CZ131" s="626">
        <v>-40</v>
      </c>
      <c r="DA131" s="1488">
        <v>-40</v>
      </c>
      <c r="DB131" s="1495">
        <f>DA131</f>
        <v>-40</v>
      </c>
      <c r="DD131" s="626">
        <v>-51</v>
      </c>
      <c r="DE131" s="2176">
        <v>-28</v>
      </c>
      <c r="DF131" s="1495">
        <f>DE131</f>
        <v>-28</v>
      </c>
      <c r="DG131" s="817">
        <f t="shared" si="179"/>
        <v>-0.30000000000000004</v>
      </c>
      <c r="DH131" s="626">
        <v>-24</v>
      </c>
      <c r="DI131" s="487">
        <f>DH131</f>
        <v>-24</v>
      </c>
      <c r="DK131" s="817">
        <f t="shared" si="180"/>
        <v>-0.1428571428571429</v>
      </c>
      <c r="DL131" s="487">
        <f>DI131</f>
        <v>-24</v>
      </c>
      <c r="DM131" s="487">
        <f>DL131</f>
        <v>-24</v>
      </c>
      <c r="DO131" s="817">
        <f t="shared" si="181"/>
        <v>0</v>
      </c>
      <c r="DP131" s="487">
        <f>DM131</f>
        <v>-24</v>
      </c>
      <c r="DQ131" s="487">
        <f>DP131</f>
        <v>-24</v>
      </c>
      <c r="DS131" s="817">
        <f t="shared" si="182"/>
        <v>0</v>
      </c>
    </row>
    <row r="132" spans="1:124">
      <c r="A132" s="102" t="s">
        <v>340</v>
      </c>
      <c r="BH132" s="626">
        <v>-1518</v>
      </c>
      <c r="BI132" s="626">
        <v>-1455</v>
      </c>
      <c r="BJ132" s="293">
        <f>BI132</f>
        <v>-1455</v>
      </c>
      <c r="BL132" s="626">
        <v>-1490</v>
      </c>
      <c r="BM132" s="626">
        <v>-1307</v>
      </c>
      <c r="BN132" s="293">
        <f>BM132</f>
        <v>-1307</v>
      </c>
      <c r="BP132" s="626">
        <v>-1361</v>
      </c>
      <c r="BQ132" s="626">
        <v>-1386</v>
      </c>
      <c r="BR132" s="293">
        <f>BQ132</f>
        <v>-1386</v>
      </c>
      <c r="BT132" s="626">
        <v>-1474</v>
      </c>
      <c r="BU132" s="626">
        <v>-1345</v>
      </c>
      <c r="BV132" s="293">
        <f>BU132</f>
        <v>-1345</v>
      </c>
      <c r="BX132" s="626">
        <v>-1257</v>
      </c>
      <c r="BY132" s="626">
        <v>-1179</v>
      </c>
      <c r="BZ132" s="293">
        <f>BY132</f>
        <v>-1179</v>
      </c>
      <c r="CB132" s="626">
        <v>-1137</v>
      </c>
      <c r="CC132" s="626">
        <v>-1201</v>
      </c>
      <c r="CD132" s="293">
        <f>CC132</f>
        <v>-1201</v>
      </c>
      <c r="CF132" s="626">
        <v>-1279</v>
      </c>
      <c r="CG132" s="626">
        <v>-678</v>
      </c>
      <c r="CH132" s="293">
        <f>CG132</f>
        <v>-678</v>
      </c>
      <c r="CJ132" s="626">
        <v>-565</v>
      </c>
      <c r="CK132" s="626">
        <v>-588</v>
      </c>
      <c r="CL132" s="293">
        <f>CK132</f>
        <v>-588</v>
      </c>
      <c r="CN132" s="626">
        <v>-613</v>
      </c>
      <c r="CO132" s="626">
        <v>-695</v>
      </c>
      <c r="CP132" s="293">
        <f>CO132</f>
        <v>-695</v>
      </c>
      <c r="CR132" s="626">
        <v>-859</v>
      </c>
      <c r="CS132" s="626">
        <v>-952</v>
      </c>
      <c r="CT132" s="293">
        <f>CS132</f>
        <v>-952</v>
      </c>
      <c r="CV132" s="626">
        <v>-975</v>
      </c>
      <c r="CW132" s="1497">
        <v>-998</v>
      </c>
      <c r="CX132" s="1495">
        <f>CW132</f>
        <v>-998</v>
      </c>
      <c r="CZ132" s="626">
        <v>-1044</v>
      </c>
      <c r="DA132" s="1488">
        <v>-1080</v>
      </c>
      <c r="DB132" s="1495">
        <f>DA132</f>
        <v>-1080</v>
      </c>
      <c r="DD132" s="626">
        <v>-1032</v>
      </c>
      <c r="DE132" s="2176">
        <v>-1193</v>
      </c>
      <c r="DF132" s="1495">
        <f>DE132</f>
        <v>-1193</v>
      </c>
      <c r="DG132" s="817">
        <f t="shared" si="179"/>
        <v>0.10462962962962963</v>
      </c>
      <c r="DH132" s="626">
        <v>-1211</v>
      </c>
      <c r="DI132" s="293">
        <f>'Bal Sheet'!DI231</f>
        <v>-1304.7329561474639</v>
      </c>
      <c r="DK132" s="817">
        <f t="shared" si="180"/>
        <v>9.3657130048167669E-2</v>
      </c>
      <c r="DL132" s="293">
        <f>'Bal Sheet'!DL231</f>
        <v>-1405.9177737134305</v>
      </c>
      <c r="DM132" s="293">
        <f>'Bal Sheet'!DM231</f>
        <v>-1515.1763396861081</v>
      </c>
      <c r="DO132" s="817">
        <f t="shared" si="181"/>
        <v>0.16129230318518872</v>
      </c>
      <c r="DP132" s="293">
        <f>'Bal Sheet'!DP231</f>
        <v>-1633.1860202459709</v>
      </c>
      <c r="DQ132" s="293">
        <f>'Bal Sheet'!DQ231</f>
        <v>-1760.6848623186763</v>
      </c>
      <c r="DS132" s="817">
        <f t="shared" si="182"/>
        <v>0.16203297015806695</v>
      </c>
    </row>
    <row r="133" spans="1:124">
      <c r="A133" s="102" t="s">
        <v>433</v>
      </c>
      <c r="BH133" s="626">
        <f>-81-202-235+60</f>
        <v>-458</v>
      </c>
      <c r="BI133" s="626">
        <f>-(86+140+239)</f>
        <v>-465</v>
      </c>
      <c r="BJ133" s="293">
        <f>BI133</f>
        <v>-465</v>
      </c>
      <c r="BL133" s="626">
        <f>-(-20+117+223+152)</f>
        <v>-472</v>
      </c>
      <c r="BM133" s="626">
        <f>-(-9+115+380+192)</f>
        <v>-678</v>
      </c>
      <c r="BN133" s="293">
        <f>BM133</f>
        <v>-678</v>
      </c>
      <c r="BP133" s="626">
        <f>-(-30+173+348+285)</f>
        <v>-776</v>
      </c>
      <c r="BQ133" s="626">
        <f>-(-66+215+263+228)</f>
        <v>-640</v>
      </c>
      <c r="BR133" s="293">
        <f>BQ133</f>
        <v>-640</v>
      </c>
      <c r="BT133" s="626">
        <f>-(-40+265+259+196)</f>
        <v>-680</v>
      </c>
      <c r="BU133" s="626">
        <f>31-278-267-240</f>
        <v>-754</v>
      </c>
      <c r="BV133" s="293">
        <f>BU133</f>
        <v>-754</v>
      </c>
      <c r="BX133" s="626">
        <f>128-320-304-263</f>
        <v>-759</v>
      </c>
      <c r="BY133" s="626">
        <f>-349-338-254+104</f>
        <v>-837</v>
      </c>
      <c r="BZ133" s="293">
        <f>BY133</f>
        <v>-837</v>
      </c>
      <c r="CB133" s="626">
        <f>-384-364-271+86</f>
        <v>-933</v>
      </c>
      <c r="CC133" s="626">
        <f>-397-428-251-12</f>
        <v>-1088</v>
      </c>
      <c r="CD133" s="293">
        <f>CC133</f>
        <v>-1088</v>
      </c>
      <c r="CF133" s="626">
        <f>-429-376-251-32</f>
        <v>-1088</v>
      </c>
      <c r="CG133" s="626">
        <f>-411-269-226+61</f>
        <v>-845</v>
      </c>
      <c r="CH133" s="293">
        <f>CG133</f>
        <v>-845</v>
      </c>
      <c r="CJ133" s="626">
        <f>-415-350-201+131</f>
        <v>-835</v>
      </c>
      <c r="CK133" s="626">
        <f>-203-69-317-441+12</f>
        <v>-1018</v>
      </c>
      <c r="CL133" s="293">
        <f>CK133</f>
        <v>-1018</v>
      </c>
      <c r="CN133" s="626">
        <f>-191-62-80-458+172</f>
        <v>-619</v>
      </c>
      <c r="CO133" s="626">
        <v>-677</v>
      </c>
      <c r="CP133" s="293">
        <f>CO133</f>
        <v>-677</v>
      </c>
      <c r="CR133" s="626">
        <f>84-534-141-51-156</f>
        <v>-798</v>
      </c>
      <c r="CS133" s="626">
        <f>-582-302-22-152-47</f>
        <v>-1105</v>
      </c>
      <c r="CT133" s="293">
        <f>CS133</f>
        <v>-1105</v>
      </c>
      <c r="CV133" s="626">
        <f>-630-231-17-144-257</f>
        <v>-1279</v>
      </c>
      <c r="CW133" s="1497">
        <f>-150-656-218-12-137</f>
        <v>-1173</v>
      </c>
      <c r="CX133" s="1495">
        <f>CW133</f>
        <v>-1173</v>
      </c>
      <c r="CZ133" s="626">
        <f>-169-752-246-9-172</f>
        <v>-1348</v>
      </c>
      <c r="DA133" s="1488">
        <f>-105-783-487-8-70</f>
        <v>-1453</v>
      </c>
      <c r="DB133" s="1495">
        <f>DA133</f>
        <v>-1453</v>
      </c>
      <c r="DD133" s="293">
        <f>+DD134-SUM(DD129:DD132)</f>
        <v>-1300</v>
      </c>
      <c r="DE133" s="1495">
        <f>+DE134-SUM(DE129:DE132)</f>
        <v>-1468</v>
      </c>
      <c r="DF133" s="1495">
        <f>DE133</f>
        <v>-1468</v>
      </c>
      <c r="DG133" s="817">
        <f t="shared" si="179"/>
        <v>1.0323468685478288E-2</v>
      </c>
      <c r="DH133" s="293">
        <f>+DH134-SUM(DH129:DH132)</f>
        <v>-1630</v>
      </c>
      <c r="DI133" s="487">
        <f>+DH133*1.03</f>
        <v>-1678.9</v>
      </c>
      <c r="DK133" s="817">
        <f t="shared" si="180"/>
        <v>0.14366485013623986</v>
      </c>
      <c r="DL133" s="487">
        <f>DI133*1.03</f>
        <v>-1729.2670000000001</v>
      </c>
      <c r="DM133" s="487">
        <f>+DL133*1.03</f>
        <v>-1781.1450100000002</v>
      </c>
      <c r="DO133" s="817">
        <f t="shared" si="181"/>
        <v>6.0899999999999954E-2</v>
      </c>
      <c r="DP133" s="487">
        <f>DM133*1.03</f>
        <v>-1834.5793603000002</v>
      </c>
      <c r="DQ133" s="487">
        <f>+DP133*1.03</f>
        <v>-1889.6167411090003</v>
      </c>
      <c r="DS133" s="817">
        <f t="shared" si="182"/>
        <v>6.0899999999999954E-2</v>
      </c>
    </row>
    <row r="134" spans="1:124">
      <c r="A134" s="289" t="s">
        <v>434</v>
      </c>
      <c r="BH134" s="295">
        <f>SUM(BH129:BH133)</f>
        <v>-2794</v>
      </c>
      <c r="BI134" s="295">
        <f>SUM(BI129:BI133)</f>
        <v>-2636</v>
      </c>
      <c r="BJ134" s="295">
        <f>SUM(BJ129:BJ133)</f>
        <v>-2636</v>
      </c>
      <c r="BL134" s="295">
        <f>SUM(BL129:BL133)</f>
        <v>-2806</v>
      </c>
      <c r="BM134" s="295">
        <f>SUM(BM129:BM133)</f>
        <v>-2721</v>
      </c>
      <c r="BN134" s="295">
        <f>SUM(BN129:BN133)</f>
        <v>-2721</v>
      </c>
      <c r="BP134" s="295">
        <f>SUM(BP129:BP133)</f>
        <v>-2885</v>
      </c>
      <c r="BQ134" s="295">
        <f>SUM(BQ129:BQ133)</f>
        <v>-2798</v>
      </c>
      <c r="BR134" s="295">
        <f>SUM(BR129:BR133)</f>
        <v>-2798</v>
      </c>
      <c r="BT134" s="295">
        <f>SUM(BT129:BT133)</f>
        <v>-2488</v>
      </c>
      <c r="BU134" s="295">
        <f>SUM(BU129:BU133)</f>
        <v>-2354</v>
      </c>
      <c r="BV134" s="295">
        <f>SUM(BV129:BV133)</f>
        <v>-2354</v>
      </c>
      <c r="BX134" s="295">
        <f>SUM(BX129:BX133)</f>
        <v>-2250</v>
      </c>
      <c r="BY134" s="295">
        <f>SUM(BY129:BY133)</f>
        <v>-2261</v>
      </c>
      <c r="BZ134" s="295">
        <f>SUM(BZ129:BZ133)</f>
        <v>-2261</v>
      </c>
      <c r="CB134" s="295">
        <f>SUM(CB129:CB133)</f>
        <v>-2327</v>
      </c>
      <c r="CC134" s="295">
        <f>SUM(CC129:CC133)</f>
        <v>-2534</v>
      </c>
      <c r="CD134" s="295">
        <f>SUM(CD129:CD133)</f>
        <v>-2534</v>
      </c>
      <c r="CF134" s="295">
        <f>SUM(CF129:CF133)</f>
        <v>-2665</v>
      </c>
      <c r="CG134" s="295">
        <f>SUM(CG129:CG133)</f>
        <v>-2035</v>
      </c>
      <c r="CH134" s="295">
        <f>SUM(CH129:CH133)</f>
        <v>-2035</v>
      </c>
      <c r="CJ134" s="295">
        <f>SUM(CJ129:CJ133)</f>
        <v>-1933</v>
      </c>
      <c r="CK134" s="295">
        <f>SUM(CK129:CK133)</f>
        <v>-2195</v>
      </c>
      <c r="CL134" s="295">
        <f>SUM(CL129:CL133)</f>
        <v>-2195</v>
      </c>
      <c r="CN134" s="295">
        <f>SUM(CN129:CN133)</f>
        <v>-1836</v>
      </c>
      <c r="CO134" s="295">
        <f>SUM(CO129:CO133)</f>
        <v>-2239</v>
      </c>
      <c r="CP134" s="295">
        <f>SUM(CP129:CP133)</f>
        <v>-2239</v>
      </c>
      <c r="CR134" s="295">
        <f>SUM(CR129:CR133)</f>
        <v>-2480</v>
      </c>
      <c r="CS134" s="295">
        <f>SUM(CS129:CS133)</f>
        <v>-2983</v>
      </c>
      <c r="CT134" s="295">
        <f>SUM(CT129:CT133)</f>
        <v>-2983</v>
      </c>
      <c r="CV134" s="295">
        <f>SUM(CV129:CV133)</f>
        <v>-3245</v>
      </c>
      <c r="CW134" s="1390">
        <f>SUM(CW129:CW133)</f>
        <v>-3293</v>
      </c>
      <c r="CX134" s="1390">
        <f>SUM(CX129:CX133)</f>
        <v>-3293</v>
      </c>
      <c r="CZ134" s="295">
        <f>SUM(CZ129:CZ133)</f>
        <v>-3436</v>
      </c>
      <c r="DA134" s="1390">
        <f>SUM(DA129:DA133)</f>
        <v>-3645</v>
      </c>
      <c r="DB134" s="1390">
        <f>SUM(DB129:DB133)</f>
        <v>-3645</v>
      </c>
      <c r="DD134" s="1069">
        <v>-3362</v>
      </c>
      <c r="DE134" s="2175">
        <v>-3803</v>
      </c>
      <c r="DF134" s="1390">
        <f>SUM(DF129:DF133)</f>
        <v>-3803</v>
      </c>
      <c r="DG134" s="817">
        <f t="shared" si="179"/>
        <v>4.3347050754458216E-2</v>
      </c>
      <c r="DH134" s="1069">
        <v>-3760</v>
      </c>
      <c r="DI134" s="295">
        <f>SUM(DI129:DI133)</f>
        <v>-3902.632956147464</v>
      </c>
      <c r="DK134" s="817">
        <f t="shared" si="180"/>
        <v>2.6198515947269074E-2</v>
      </c>
      <c r="DL134" s="295">
        <f>SUM(DL129:DL133)</f>
        <v>-4054.1847737134303</v>
      </c>
      <c r="DM134" s="295">
        <f>SUM(DM129:DM133)</f>
        <v>-4215.3213496861081</v>
      </c>
      <c r="DO134" s="817">
        <f t="shared" si="181"/>
        <v>8.0122419159632807E-2</v>
      </c>
      <c r="DP134" s="295">
        <f>SUM(DP129:DP133)</f>
        <v>-4386.7653805459713</v>
      </c>
      <c r="DQ134" s="295">
        <f>SUM(DQ129:DQ133)</f>
        <v>-4569.3016034276761</v>
      </c>
      <c r="DS134" s="817">
        <f t="shared" si="182"/>
        <v>8.3974678174399964E-2</v>
      </c>
    </row>
    <row r="135" spans="1:124" s="289" customFormat="1">
      <c r="A135" s="289" t="s">
        <v>435</v>
      </c>
      <c r="C135" s="290"/>
      <c r="AN135" s="290"/>
      <c r="AO135" s="290"/>
      <c r="AP135" s="290"/>
      <c r="AQ135" s="290"/>
      <c r="AR135" s="290"/>
      <c r="AS135" s="290"/>
      <c r="AT135" s="290"/>
      <c r="AU135" s="290"/>
      <c r="AV135" s="290"/>
      <c r="AW135" s="290"/>
      <c r="AX135" s="290"/>
      <c r="AY135" s="290"/>
      <c r="AZ135" s="290"/>
      <c r="BA135" s="290"/>
      <c r="BB135" s="290"/>
      <c r="BC135" s="290"/>
      <c r="BD135" s="290"/>
      <c r="BE135" s="290"/>
      <c r="BF135" s="290"/>
      <c r="BG135" s="290"/>
      <c r="BH135" s="295">
        <f>+BH128+BH134</f>
        <v>5569</v>
      </c>
      <c r="BI135" s="295">
        <f>+BI128+BI134</f>
        <v>5672</v>
      </c>
      <c r="BJ135" s="295">
        <f>+BJ128+BJ134</f>
        <v>5672</v>
      </c>
      <c r="BK135" s="290"/>
      <c r="BL135" s="295">
        <f>+BL128+BL134</f>
        <v>6135</v>
      </c>
      <c r="BM135" s="295">
        <f>+BM128+BM134</f>
        <v>6318</v>
      </c>
      <c r="BN135" s="295">
        <f>+BN128+BN134</f>
        <v>6318</v>
      </c>
      <c r="BO135" s="290"/>
      <c r="BP135" s="295">
        <f>+BP128+BP134</f>
        <v>6106</v>
      </c>
      <c r="BQ135" s="295">
        <f>+BQ128+BQ134</f>
        <v>8415</v>
      </c>
      <c r="BR135" s="295">
        <f>+BR128+BR134</f>
        <v>8415</v>
      </c>
      <c r="BS135" s="290"/>
      <c r="BT135" s="295">
        <f>+BT128+BT134</f>
        <v>9068</v>
      </c>
      <c r="BU135" s="295">
        <f>+BU128+BU134</f>
        <v>10076</v>
      </c>
      <c r="BV135" s="295">
        <f>+BV128+BV134</f>
        <v>10076</v>
      </c>
      <c r="BW135" s="290"/>
      <c r="BX135" s="295">
        <f>+BX128+BX134</f>
        <v>9757</v>
      </c>
      <c r="BY135" s="295">
        <f>+BY128+BY134</f>
        <v>10024</v>
      </c>
      <c r="BZ135" s="295">
        <f>+BZ128+BZ134</f>
        <v>10024</v>
      </c>
      <c r="CA135" s="290"/>
      <c r="CB135" s="295">
        <f>+CB128+CB134</f>
        <v>9899</v>
      </c>
      <c r="CC135" s="295">
        <f>+CC128+CC134</f>
        <v>10128</v>
      </c>
      <c r="CD135" s="295">
        <f>+CD128+CD134</f>
        <v>10128</v>
      </c>
      <c r="CE135" s="290"/>
      <c r="CF135" s="295">
        <f>+CF128+CF134</f>
        <v>9979</v>
      </c>
      <c r="CG135" s="295">
        <f>+CG128+CG134</f>
        <v>8839</v>
      </c>
      <c r="CH135" s="295">
        <f>+CH128+CH134</f>
        <v>8839</v>
      </c>
      <c r="CI135" s="290"/>
      <c r="CJ135" s="295">
        <f>+CJ128+CJ134</f>
        <v>10035</v>
      </c>
      <c r="CK135" s="295">
        <f>+CK128+CK134</f>
        <v>11653</v>
      </c>
      <c r="CL135" s="295">
        <f>+CL128+CL134</f>
        <v>11653</v>
      </c>
      <c r="CM135" s="290"/>
      <c r="CN135" s="295">
        <f>+CN128+CN134</f>
        <v>12011</v>
      </c>
      <c r="CO135" s="295">
        <f>+CO128+CO134</f>
        <v>11840</v>
      </c>
      <c r="CP135" s="295">
        <f>+CP128+CP134</f>
        <v>11840</v>
      </c>
      <c r="CQ135" s="290"/>
      <c r="CR135" s="295">
        <f>+CR128+CR134</f>
        <v>13588</v>
      </c>
      <c r="CS135" s="295">
        <f>+CS128+CS134</f>
        <v>14975</v>
      </c>
      <c r="CT135" s="295">
        <f>+CT128+CT134</f>
        <v>14975</v>
      </c>
      <c r="CU135" s="290"/>
      <c r="CV135" s="295">
        <f>+CV128+CV134</f>
        <v>17408</v>
      </c>
      <c r="CW135" s="1390">
        <f>+CW128+CW134</f>
        <v>17060</v>
      </c>
      <c r="CX135" s="1390">
        <f>+CX128+CX134</f>
        <v>17060</v>
      </c>
      <c r="CY135" s="290"/>
      <c r="CZ135" s="295">
        <f>+CZ128+CZ134</f>
        <v>16712</v>
      </c>
      <c r="DA135" s="1390">
        <f>+DA128+DA134</f>
        <v>17708</v>
      </c>
      <c r="DB135" s="1390">
        <f>+DB128+DB134</f>
        <v>17708</v>
      </c>
      <c r="DC135" s="290"/>
      <c r="DD135" s="295">
        <f>+DD128+DD134</f>
        <v>17610</v>
      </c>
      <c r="DE135" s="1390">
        <f>+DE128+DE134</f>
        <v>19250</v>
      </c>
      <c r="DF135" s="1390">
        <f>+DF128+DF134</f>
        <v>19250</v>
      </c>
      <c r="DG135" s="817">
        <f t="shared" si="179"/>
        <v>8.7079286198328498E-2</v>
      </c>
      <c r="DH135" s="295">
        <f>+DH128+DH134</f>
        <v>19123</v>
      </c>
      <c r="DI135" s="295">
        <f ca="1">+DI128+DI134</f>
        <v>20530.727958050906</v>
      </c>
      <c r="DJ135" s="290"/>
      <c r="DK135" s="817">
        <f t="shared" ca="1" si="180"/>
        <v>6.6531322496151013E-2</v>
      </c>
      <c r="DL135" s="295">
        <f ca="1">+DL128+DL134</f>
        <v>20857.63381818384</v>
      </c>
      <c r="DM135" s="295">
        <f ca="1">+DM128+DM134</f>
        <v>23569.803526008232</v>
      </c>
      <c r="DN135" s="290"/>
      <c r="DO135" s="817">
        <f t="shared" ca="1" si="181"/>
        <v>0.14802570927669345</v>
      </c>
      <c r="DP135" s="295">
        <f ca="1">+DP128+DP134</f>
        <v>23983.387725693963</v>
      </c>
      <c r="DQ135" s="295">
        <f ca="1">+DQ128+DQ134</f>
        <v>26878.208109815154</v>
      </c>
      <c r="DR135" s="290"/>
      <c r="DS135" s="817">
        <f t="shared" ca="1" si="182"/>
        <v>0.14036623513455448</v>
      </c>
      <c r="DT135"/>
    </row>
    <row r="136" spans="1:124">
      <c r="A136" s="102" t="s">
        <v>436</v>
      </c>
      <c r="BH136" s="626">
        <v>647</v>
      </c>
      <c r="BI136" s="626">
        <v>647</v>
      </c>
      <c r="BJ136" s="293">
        <f>BI136</f>
        <v>647</v>
      </c>
      <c r="BL136" s="626">
        <v>688</v>
      </c>
      <c r="BM136" s="626">
        <v>643</v>
      </c>
      <c r="BN136" s="293">
        <f>BM136</f>
        <v>643</v>
      </c>
      <c r="BP136" s="626">
        <v>659</v>
      </c>
      <c r="BQ136" s="626">
        <v>1084</v>
      </c>
      <c r="BR136" s="293">
        <f>BQ136</f>
        <v>1084</v>
      </c>
      <c r="BT136" s="626">
        <v>1112</v>
      </c>
      <c r="BU136" s="626">
        <v>1035</v>
      </c>
      <c r="BV136" s="293">
        <f>BU136</f>
        <v>1035</v>
      </c>
      <c r="BX136" s="626">
        <v>1036</v>
      </c>
      <c r="BY136" s="626">
        <v>1970</v>
      </c>
      <c r="BZ136" s="293">
        <f>BY136</f>
        <v>1970</v>
      </c>
      <c r="CB136" s="626">
        <v>1619</v>
      </c>
      <c r="CC136" s="626">
        <v>1592</v>
      </c>
      <c r="CD136" s="293">
        <f>CC136</f>
        <v>1592</v>
      </c>
      <c r="CF136" s="626">
        <v>1654</v>
      </c>
      <c r="CG136" s="626">
        <v>1626</v>
      </c>
      <c r="CH136" s="293">
        <f>CG136</f>
        <v>1626</v>
      </c>
      <c r="CJ136" s="626">
        <v>1681</v>
      </c>
      <c r="CK136" s="626">
        <v>1315</v>
      </c>
      <c r="CL136" s="293">
        <f>CK136</f>
        <v>1315</v>
      </c>
      <c r="CN136" s="626">
        <v>1688</v>
      </c>
      <c r="CO136" s="626">
        <v>1628</v>
      </c>
      <c r="CP136" s="293">
        <f>CO136</f>
        <v>1628</v>
      </c>
      <c r="CR136" s="626">
        <v>2333</v>
      </c>
      <c r="CS136" s="626">
        <v>2297</v>
      </c>
      <c r="CT136" s="293">
        <f>CS136</f>
        <v>2297</v>
      </c>
      <c r="CV136" s="626">
        <v>2468</v>
      </c>
      <c r="CW136" s="1497">
        <v>2418</v>
      </c>
      <c r="CX136" s="1495">
        <f>CW136</f>
        <v>2418</v>
      </c>
      <c r="CZ136" s="626">
        <v>2463</v>
      </c>
      <c r="DA136" s="1488">
        <v>2446</v>
      </c>
      <c r="DB136" s="1495">
        <f>DA136</f>
        <v>2446</v>
      </c>
      <c r="DD136" s="626">
        <v>2381</v>
      </c>
      <c r="DE136" s="2176">
        <v>2496</v>
      </c>
      <c r="DF136" s="1495">
        <f>DE136</f>
        <v>2496</v>
      </c>
      <c r="DG136" s="817">
        <f t="shared" si="179"/>
        <v>2.0441537203597759E-2</v>
      </c>
      <c r="DH136" s="626">
        <v>2430</v>
      </c>
      <c r="DI136" s="487">
        <f>DH136</f>
        <v>2430</v>
      </c>
      <c r="DK136" s="817">
        <f t="shared" si="180"/>
        <v>-2.6442307692307709E-2</v>
      </c>
      <c r="DL136" s="487">
        <f>DI136</f>
        <v>2430</v>
      </c>
      <c r="DM136" s="487">
        <f>DL136</f>
        <v>2430</v>
      </c>
      <c r="DO136" s="817">
        <f t="shared" si="181"/>
        <v>0</v>
      </c>
      <c r="DP136" s="487">
        <f>DM136</f>
        <v>2430</v>
      </c>
      <c r="DQ136" s="487">
        <f>DP136</f>
        <v>2430</v>
      </c>
      <c r="DS136" s="817">
        <f t="shared" si="182"/>
        <v>0</v>
      </c>
    </row>
    <row r="137" spans="1:124">
      <c r="A137" s="102" t="s">
        <v>437</v>
      </c>
      <c r="BH137" s="626">
        <v>0</v>
      </c>
      <c r="BI137" s="626">
        <v>0</v>
      </c>
      <c r="BJ137" s="293">
        <f>BI137</f>
        <v>0</v>
      </c>
      <c r="BL137" s="626">
        <v>0</v>
      </c>
      <c r="BM137" s="626">
        <v>0</v>
      </c>
      <c r="BN137" s="293">
        <f>BM137</f>
        <v>0</v>
      </c>
      <c r="BP137" s="626">
        <v>0</v>
      </c>
      <c r="BQ137" s="626">
        <v>0</v>
      </c>
      <c r="BR137" s="293">
        <f>BQ137</f>
        <v>0</v>
      </c>
      <c r="BT137" s="626">
        <v>0</v>
      </c>
      <c r="BU137" s="626">
        <v>0</v>
      </c>
      <c r="BV137" s="293">
        <f>BU137</f>
        <v>0</v>
      </c>
      <c r="BX137" s="626">
        <v>0</v>
      </c>
      <c r="BY137" s="626">
        <v>0</v>
      </c>
      <c r="BZ137" s="293">
        <f>BY137</f>
        <v>0</v>
      </c>
      <c r="CB137" s="626">
        <v>0</v>
      </c>
      <c r="CC137" s="626">
        <v>0</v>
      </c>
      <c r="CD137" s="293">
        <f>CC137</f>
        <v>0</v>
      </c>
      <c r="CF137" s="626">
        <v>0</v>
      </c>
      <c r="CG137" s="626">
        <v>0</v>
      </c>
      <c r="CH137" s="293">
        <f>CG137</f>
        <v>0</v>
      </c>
      <c r="CJ137" s="626">
        <v>0</v>
      </c>
      <c r="CK137" s="626">
        <v>0</v>
      </c>
      <c r="CL137" s="293">
        <f>CK137</f>
        <v>0</v>
      </c>
      <c r="CN137" s="626">
        <v>0</v>
      </c>
      <c r="CO137" s="626">
        <v>0</v>
      </c>
      <c r="CP137" s="293">
        <f>CO137</f>
        <v>0</v>
      </c>
      <c r="CR137" s="626">
        <v>0</v>
      </c>
      <c r="CS137" s="626">
        <v>0</v>
      </c>
      <c r="CT137" s="293">
        <f>CS137</f>
        <v>0</v>
      </c>
      <c r="CV137" s="626">
        <v>0</v>
      </c>
      <c r="CW137" s="1497">
        <v>0</v>
      </c>
      <c r="CX137" s="1495">
        <f>CW137</f>
        <v>0</v>
      </c>
      <c r="CZ137" s="626">
        <v>0</v>
      </c>
      <c r="DA137" s="1488">
        <v>0</v>
      </c>
      <c r="DB137" s="1495">
        <f>DA137</f>
        <v>0</v>
      </c>
      <c r="DD137" s="626">
        <v>0</v>
      </c>
      <c r="DE137" s="1497">
        <v>0</v>
      </c>
      <c r="DF137" s="1495">
        <f>DE137</f>
        <v>0</v>
      </c>
      <c r="DG137" s="817"/>
      <c r="DH137" s="626">
        <v>0</v>
      </c>
      <c r="DI137" s="626">
        <v>0</v>
      </c>
      <c r="DK137" s="817"/>
      <c r="DL137" s="626">
        <v>0</v>
      </c>
      <c r="DM137" s="626">
        <v>0</v>
      </c>
      <c r="DO137" s="817"/>
      <c r="DP137" s="626">
        <v>0</v>
      </c>
      <c r="DQ137" s="626">
        <v>0</v>
      </c>
      <c r="DS137" s="817"/>
    </row>
    <row r="138" spans="1:124">
      <c r="A138" s="289" t="s">
        <v>281</v>
      </c>
      <c r="BH138" s="295">
        <f>SUM(BH135:BH137)</f>
        <v>6216</v>
      </c>
      <c r="BI138" s="295">
        <f>SUM(BI135:BI137)</f>
        <v>6319</v>
      </c>
      <c r="BJ138" s="295">
        <f>SUM(BJ135:BJ137)</f>
        <v>6319</v>
      </c>
      <c r="BL138" s="295">
        <f>SUM(BL135:BL137)</f>
        <v>6823</v>
      </c>
      <c r="BM138" s="295">
        <f>SUM(BM135:BM137)</f>
        <v>6961</v>
      </c>
      <c r="BN138" s="295">
        <f>SUM(BN135:BN137)</f>
        <v>6961</v>
      </c>
      <c r="BP138" s="295">
        <f>SUM(BP135:BP137)</f>
        <v>6765</v>
      </c>
      <c r="BQ138" s="295">
        <f>SUM(BQ135:BQ137)</f>
        <v>9499</v>
      </c>
      <c r="BR138" s="295">
        <f>SUM(BR135:BR137)</f>
        <v>9499</v>
      </c>
      <c r="BT138" s="295">
        <f>SUM(BT135:BT137)</f>
        <v>10180</v>
      </c>
      <c r="BU138" s="295">
        <f>SUM(BU135:BU137)</f>
        <v>11111</v>
      </c>
      <c r="BV138" s="295">
        <f>SUM(BV135:BV137)</f>
        <v>11111</v>
      </c>
      <c r="BX138" s="295">
        <f>SUM(BX135:BX137)</f>
        <v>10793</v>
      </c>
      <c r="BY138" s="295">
        <f>SUM(BY135:BY137)</f>
        <v>11994</v>
      </c>
      <c r="BZ138" s="295">
        <f>SUM(BZ135:BZ137)</f>
        <v>11994</v>
      </c>
      <c r="CB138" s="295">
        <f>SUM(CB135:CB137)</f>
        <v>11518</v>
      </c>
      <c r="CC138" s="295">
        <f>SUM(CC135:CC137)</f>
        <v>11720</v>
      </c>
      <c r="CD138" s="295">
        <f>SUM(CD135:CD137)</f>
        <v>11720</v>
      </c>
      <c r="CF138" s="295">
        <f>SUM(CF135:CF137)</f>
        <v>11633</v>
      </c>
      <c r="CG138" s="295">
        <f>SUM(CG135:CG137)</f>
        <v>10465</v>
      </c>
      <c r="CH138" s="295">
        <f>SUM(CH135:CH137)</f>
        <v>10465</v>
      </c>
      <c r="CJ138" s="295">
        <f>SUM(CJ135:CJ137)</f>
        <v>11716</v>
      </c>
      <c r="CK138" s="295">
        <f>SUM(CK135:CK137)</f>
        <v>12968</v>
      </c>
      <c r="CL138" s="295">
        <f>SUM(CL135:CL137)</f>
        <v>12968</v>
      </c>
      <c r="CN138" s="295">
        <f>SUM(CN135:CN137)</f>
        <v>13699</v>
      </c>
      <c r="CO138" s="295">
        <f>SUM(CO135:CO137)</f>
        <v>13468</v>
      </c>
      <c r="CP138" s="295">
        <f>SUM(CP135:CP137)</f>
        <v>13468</v>
      </c>
      <c r="CR138" s="295">
        <f>SUM(CR135:CR137)</f>
        <v>15921</v>
      </c>
      <c r="CS138" s="295">
        <f>SUM(CS135:CS137)</f>
        <v>17272</v>
      </c>
      <c r="CT138" s="295">
        <f>SUM(CT135:CT137)</f>
        <v>17272</v>
      </c>
      <c r="CV138" s="295">
        <f>SUM(CV135:CV137)</f>
        <v>19876</v>
      </c>
      <c r="CW138" s="1390">
        <f>SUM(CW135:CW137)</f>
        <v>19478</v>
      </c>
      <c r="CX138" s="1390">
        <f>SUM(CX135:CX137)</f>
        <v>19478</v>
      </c>
      <c r="CZ138" s="295">
        <f>SUM(CZ135:CZ137)</f>
        <v>19175</v>
      </c>
      <c r="DA138" s="1390">
        <f>SUM(DA135:DA137)</f>
        <v>20154</v>
      </c>
      <c r="DB138" s="1390">
        <f>SUM(DB135:DB137)</f>
        <v>20154</v>
      </c>
      <c r="DD138" s="295">
        <f>SUM(DD135:DD137)</f>
        <v>19991</v>
      </c>
      <c r="DE138" s="1390">
        <f>SUM(DE135:DE137)</f>
        <v>21746</v>
      </c>
      <c r="DF138" s="1390">
        <f>SUM(DF135:DF137)</f>
        <v>21746</v>
      </c>
      <c r="DG138" s="811">
        <f t="shared" si="179"/>
        <v>7.899176342165326E-2</v>
      </c>
      <c r="DH138" s="295">
        <f>SUM(DH135:DH137)</f>
        <v>21553</v>
      </c>
      <c r="DI138" s="295">
        <f ca="1">SUM(DI135:DI137)</f>
        <v>22960.727958050906</v>
      </c>
      <c r="DK138" s="811">
        <f t="shared" ca="1" si="180"/>
        <v>5.5859834362683047E-2</v>
      </c>
      <c r="DL138" s="295">
        <f ca="1">SUM(DL135:DL137)</f>
        <v>23287.63381818384</v>
      </c>
      <c r="DM138" s="295">
        <f ca="1">SUM(DM135:DM137)</f>
        <v>25999.803526008232</v>
      </c>
      <c r="DO138" s="811">
        <f t="shared" ca="1" si="181"/>
        <v>0.13235972193519729</v>
      </c>
      <c r="DP138" s="295">
        <f ca="1">SUM(DP135:DP137)</f>
        <v>26413.387725693963</v>
      </c>
      <c r="DQ138" s="295">
        <f ca="1">SUM(DQ135:DQ137)</f>
        <v>29308.208109815154</v>
      </c>
      <c r="DS138" s="811">
        <f t="shared" ca="1" si="182"/>
        <v>0.12724729171501026</v>
      </c>
    </row>
    <row r="139" spans="1:124">
      <c r="BH139" s="293"/>
      <c r="BI139" s="293"/>
      <c r="BJ139" s="293"/>
      <c r="DA139" s="1408"/>
      <c r="DB139" s="1408"/>
      <c r="DE139" s="1408"/>
      <c r="DF139" s="1408"/>
    </row>
    <row r="140" spans="1:124">
      <c r="A140" s="289" t="s">
        <v>263</v>
      </c>
      <c r="BH140" s="293"/>
      <c r="BI140" s="293"/>
      <c r="BJ140" s="293"/>
      <c r="BX140" s="103" t="s">
        <v>671</v>
      </c>
      <c r="CB140" s="103" t="s">
        <v>671</v>
      </c>
      <c r="CF140" s="103" t="s">
        <v>671</v>
      </c>
      <c r="CJ140" s="103" t="s">
        <v>671</v>
      </c>
      <c r="CN140" s="103" t="s">
        <v>671</v>
      </c>
      <c r="DA140" s="1408"/>
      <c r="DB140" s="1408"/>
      <c r="DE140" s="1408"/>
      <c r="DF140" s="1408"/>
    </row>
    <row r="141" spans="1:124">
      <c r="A141" s="102" t="s">
        <v>453</v>
      </c>
      <c r="BH141" s="293"/>
      <c r="BI141" s="626">
        <f>2179+482</f>
        <v>2661</v>
      </c>
      <c r="BJ141" s="293"/>
      <c r="BK141" s="102"/>
      <c r="BL141" s="626">
        <f>2334+1453</f>
        <v>3787</v>
      </c>
      <c r="BM141" s="626">
        <f>4075+1479</f>
        <v>5554</v>
      </c>
      <c r="BN141" s="293"/>
      <c r="BP141" s="626">
        <f>4913+1783</f>
        <v>6696</v>
      </c>
      <c r="BQ141" s="626">
        <f>5111+3008</f>
        <v>8119</v>
      </c>
      <c r="BR141" s="293"/>
      <c r="BT141" s="626">
        <f>6150+3259</f>
        <v>9409</v>
      </c>
      <c r="BU141" s="626">
        <f>6582+3271</f>
        <v>9853</v>
      </c>
      <c r="BV141" s="293"/>
      <c r="BX141" s="626">
        <f>10688+1520</f>
        <v>12208</v>
      </c>
      <c r="BY141" s="626">
        <f>10545+1634</f>
        <v>12179</v>
      </c>
      <c r="BZ141" s="293"/>
      <c r="CB141" s="626">
        <f>11597+1635</f>
        <v>13232</v>
      </c>
      <c r="CC141" s="626">
        <f>12654+1630</f>
        <v>14284</v>
      </c>
      <c r="CD141" s="293"/>
      <c r="CE141" s="685"/>
      <c r="CF141" s="626">
        <f>13160+1598</f>
        <v>14758</v>
      </c>
      <c r="CG141" s="626">
        <f>13890+762</f>
        <v>14652</v>
      </c>
      <c r="CH141" s="293"/>
      <c r="CJ141" s="626">
        <f>15948+762</f>
        <v>16710</v>
      </c>
      <c r="CK141" s="626">
        <v>17757</v>
      </c>
      <c r="CL141" s="293"/>
      <c r="CN141" s="626">
        <v>19030</v>
      </c>
      <c r="CO141" s="626">
        <v>21461</v>
      </c>
      <c r="CP141" s="293"/>
      <c r="CR141" s="626">
        <v>23436</v>
      </c>
      <c r="CS141" s="626">
        <v>26802</v>
      </c>
      <c r="CT141" s="293"/>
      <c r="CV141" s="626">
        <v>28477</v>
      </c>
      <c r="CW141" s="1497">
        <v>21066</v>
      </c>
      <c r="CX141" s="1495"/>
      <c r="CZ141" s="626">
        <v>22256</v>
      </c>
      <c r="DA141" s="1488">
        <v>23206</v>
      </c>
      <c r="DB141" s="1495"/>
      <c r="DD141" s="2176">
        <v>28861</v>
      </c>
      <c r="DE141" s="2149">
        <f>DD141/DD145*DE145</f>
        <v>31899.912835257899</v>
      </c>
      <c r="DF141" s="1495"/>
      <c r="DH141" s="2149">
        <f>DE141/DE145*DH145</f>
        <v>33135.863687212819</v>
      </c>
      <c r="DI141" s="293">
        <f>+DI157*DI156</f>
        <v>37774.884603422615</v>
      </c>
      <c r="DL141" s="293">
        <f>+DL157*DL156</f>
        <v>41174.624217730649</v>
      </c>
      <c r="DM141" s="293">
        <f>+DM157*DM156</f>
        <v>43645.101670794487</v>
      </c>
      <c r="DP141" s="293">
        <f>+DP157*DP156</f>
        <v>46263.807771042164</v>
      </c>
      <c r="DQ141" s="293">
        <f>+DQ157*DQ156</f>
        <v>49039.636237304701</v>
      </c>
    </row>
    <row r="142" spans="1:124">
      <c r="A142" s="102" t="s">
        <v>454</v>
      </c>
      <c r="BH142" s="293"/>
      <c r="BI142" s="293">
        <f>BI143-BI141</f>
        <v>31094</v>
      </c>
      <c r="BJ142" s="293"/>
      <c r="BK142" s="102"/>
      <c r="BL142" s="293">
        <f>BL143-BL141</f>
        <v>32663</v>
      </c>
      <c r="BM142" s="293">
        <f>BM143-BM141</f>
        <v>33980</v>
      </c>
      <c r="BN142" s="293"/>
      <c r="BP142" s="293">
        <f>BP143-BP141</f>
        <v>36103</v>
      </c>
      <c r="BQ142" s="293">
        <f>BQ143-BQ141</f>
        <v>44805</v>
      </c>
      <c r="BR142" s="293"/>
      <c r="BT142" s="293">
        <f>BT143-BT141</f>
        <v>49831</v>
      </c>
      <c r="BU142" s="293">
        <f>BU143-BU141</f>
        <v>56197</v>
      </c>
      <c r="BV142" s="293"/>
      <c r="BX142" s="293">
        <f>BX143-BX141</f>
        <v>53141</v>
      </c>
      <c r="BY142" s="293">
        <f>BY143-BY141</f>
        <v>51134</v>
      </c>
      <c r="BZ142" s="293"/>
      <c r="CB142" s="293">
        <f>CB143-CB141</f>
        <v>49112</v>
      </c>
      <c r="CC142" s="293">
        <f>CC143-CC141</f>
        <v>49559</v>
      </c>
      <c r="CD142" s="293"/>
      <c r="CE142" s="685"/>
      <c r="CF142" s="293">
        <f>CF143-CF141</f>
        <v>48861</v>
      </c>
      <c r="CG142" s="293">
        <f>CG143-CG141</f>
        <v>39991</v>
      </c>
      <c r="CH142" s="293"/>
      <c r="CJ142" s="293">
        <f>CJ143-CJ141</f>
        <v>46837</v>
      </c>
      <c r="CK142" s="293">
        <f>CK143-CK141</f>
        <v>51918</v>
      </c>
      <c r="CL142" s="293"/>
      <c r="CN142" s="293">
        <f>CN143-CN141</f>
        <v>45201</v>
      </c>
      <c r="CO142" s="293">
        <f>CO143-CO141</f>
        <v>48359</v>
      </c>
      <c r="CP142" s="293"/>
      <c r="CR142" s="293">
        <f>CR143-CR141</f>
        <v>61456</v>
      </c>
      <c r="CS142" s="293">
        <f>CS143-CS141</f>
        <v>65700</v>
      </c>
      <c r="CT142" s="293"/>
      <c r="CV142" s="293">
        <f>CV143-CV141</f>
        <v>67801</v>
      </c>
      <c r="CW142" s="1495">
        <f>CW143-CW141</f>
        <v>63091</v>
      </c>
      <c r="CX142" s="1495"/>
      <c r="CZ142" s="293">
        <f>CZ143-CZ141</f>
        <v>61737</v>
      </c>
      <c r="DA142" s="1495">
        <f>DA143-DA141</f>
        <v>62884</v>
      </c>
      <c r="DB142" s="1495"/>
      <c r="DD142" s="293">
        <f>DD143-DD141</f>
        <v>64313</v>
      </c>
      <c r="DE142" s="1495">
        <f>DE143-DE141</f>
        <v>71084.823608812629</v>
      </c>
      <c r="DF142" s="1495"/>
      <c r="DH142" s="293">
        <f>DH143-DH141</f>
        <v>73838.979983913159</v>
      </c>
      <c r="DI142" s="293">
        <f>+DI158*DI159</f>
        <v>77530.928983108824</v>
      </c>
      <c r="DL142" s="293">
        <f>+DL158*DL159</f>
        <v>80632.166142433169</v>
      </c>
      <c r="DM142" s="293">
        <f>+DM158*DM159</f>
        <v>83857.452788130511</v>
      </c>
      <c r="DP142" s="293">
        <f>+DP158*DP159</f>
        <v>87211.75089965573</v>
      </c>
      <c r="DQ142" s="293">
        <f>+DQ158*DQ159</f>
        <v>90700.220935641948</v>
      </c>
    </row>
    <row r="143" spans="1:124">
      <c r="A143" s="102" t="s">
        <v>8</v>
      </c>
      <c r="BH143" s="293"/>
      <c r="BI143" s="293">
        <f>BI145-BI144</f>
        <v>33755</v>
      </c>
      <c r="BJ143" s="293"/>
      <c r="BK143" s="102"/>
      <c r="BL143" s="293">
        <f>BL145-BL144</f>
        <v>36450</v>
      </c>
      <c r="BM143" s="293">
        <f>BM145-BM144</f>
        <v>39534</v>
      </c>
      <c r="BN143" s="293"/>
      <c r="BP143" s="293">
        <f>BP145-BP144</f>
        <v>42799</v>
      </c>
      <c r="BQ143" s="293">
        <f>BQ145-BQ144</f>
        <v>52924</v>
      </c>
      <c r="BR143" s="293"/>
      <c r="BT143" s="293">
        <f>BT145-BT144</f>
        <v>59240</v>
      </c>
      <c r="BU143" s="293">
        <f>BU145-BU144</f>
        <v>66050</v>
      </c>
      <c r="BV143" s="293"/>
      <c r="BX143" s="293">
        <f>BX145-BX144</f>
        <v>65349</v>
      </c>
      <c r="BY143" s="293">
        <f>BY145-BY144</f>
        <v>63313</v>
      </c>
      <c r="BZ143" s="293"/>
      <c r="CB143" s="293">
        <f>CB145-CB144</f>
        <v>62344</v>
      </c>
      <c r="CC143" s="293">
        <f>CC145-CC144</f>
        <v>63843</v>
      </c>
      <c r="CD143" s="293"/>
      <c r="CE143" s="685"/>
      <c r="CF143" s="293">
        <f>CF145-CF144</f>
        <v>63619</v>
      </c>
      <c r="CG143" s="293">
        <f>CG145-CG144</f>
        <v>54643</v>
      </c>
      <c r="CH143" s="293"/>
      <c r="CJ143" s="293">
        <f>CJ145-CJ144</f>
        <v>63547</v>
      </c>
      <c r="CK143" s="293">
        <f>CK145-CK144</f>
        <v>69675</v>
      </c>
      <c r="CL143" s="293"/>
      <c r="CN143" s="293">
        <f>CN145-CN144</f>
        <v>64231</v>
      </c>
      <c r="CO143" s="293">
        <f>CO145-CO144</f>
        <v>69820</v>
      </c>
      <c r="CP143" s="293"/>
      <c r="CR143" s="293">
        <f>CR145-CR144</f>
        <v>84892</v>
      </c>
      <c r="CS143" s="293">
        <f>CS145-CS144</f>
        <v>92502</v>
      </c>
      <c r="CT143" s="293"/>
      <c r="CV143" s="293">
        <f>CV145-CV144</f>
        <v>96278</v>
      </c>
      <c r="CW143" s="1495">
        <f>CW145-CW144</f>
        <v>84157</v>
      </c>
      <c r="CX143" s="1495"/>
      <c r="CZ143" s="293">
        <f>CZ145-CZ144</f>
        <v>83993</v>
      </c>
      <c r="DA143" s="1495">
        <f>DA145-DA144</f>
        <v>86090</v>
      </c>
      <c r="DB143" s="1495"/>
      <c r="DD143" s="293">
        <f>DD145-DD144</f>
        <v>93174</v>
      </c>
      <c r="DE143" s="1495">
        <f>DE145-DE144</f>
        <v>102984.73644407053</v>
      </c>
      <c r="DF143" s="1495"/>
      <c r="DH143" s="293">
        <f>DH145-DH144</f>
        <v>106974.84367112599</v>
      </c>
      <c r="DI143" s="293">
        <f>SUM(DI141:DI142)</f>
        <v>115305.81358653144</v>
      </c>
      <c r="DL143" s="293">
        <f>SUM(DL141:DL142)</f>
        <v>121806.79036016381</v>
      </c>
      <c r="DM143" s="293">
        <f>SUM(DM141:DM142)</f>
        <v>127502.55445892501</v>
      </c>
      <c r="DP143" s="293">
        <f>SUM(DP141:DP142)</f>
        <v>133475.55867069791</v>
      </c>
      <c r="DQ143" s="293">
        <f>SUM(DQ141:DQ142)</f>
        <v>139739.85717294665</v>
      </c>
    </row>
    <row r="144" spans="1:124">
      <c r="A144" s="102" t="s">
        <v>232</v>
      </c>
      <c r="BH144" s="293"/>
      <c r="BI144" s="626">
        <f>945+2730+1087+5617</f>
        <v>10379</v>
      </c>
      <c r="BJ144" s="293"/>
      <c r="BK144" s="102"/>
      <c r="BL144" s="626">
        <f>1090+2637+1510+6253</f>
        <v>11490</v>
      </c>
      <c r="BM144" s="626">
        <f>874+2325+1595+6395</f>
        <v>11189</v>
      </c>
      <c r="BN144" s="293"/>
      <c r="BP144" s="626">
        <f>1038+2455+1830+6763</f>
        <v>12086</v>
      </c>
      <c r="BQ144" s="626">
        <f>729+2769+1776+9795</f>
        <v>15069</v>
      </c>
      <c r="BR144" s="293"/>
      <c r="BT144" s="626">
        <f>783+3153+1490+10558</f>
        <v>15984</v>
      </c>
      <c r="BU144" s="626">
        <f>324+2853+1390+9081</f>
        <v>13648</v>
      </c>
      <c r="BV144" s="293"/>
      <c r="BX144" s="626">
        <f>493+2907+1374+9001</f>
        <v>13775</v>
      </c>
      <c r="BY144" s="626">
        <f>441+2457+1232+8554</f>
        <v>12684</v>
      </c>
      <c r="BZ144" s="293"/>
      <c r="CB144" s="626">
        <f>529+3014+1423+8976</f>
        <v>13942</v>
      </c>
      <c r="CC144" s="626">
        <f>609+3712+1274+8276</f>
        <v>13871</v>
      </c>
      <c r="CD144" s="293"/>
      <c r="CE144" s="685"/>
      <c r="CF144" s="626">
        <f>755+4002+1541+8852</f>
        <v>15150</v>
      </c>
      <c r="CG144" s="626">
        <f>875+3093+1644+1769</f>
        <v>7381</v>
      </c>
      <c r="CH144" s="293"/>
      <c r="CJ144" s="626">
        <f>740+5343+716+2426</f>
        <v>9225</v>
      </c>
      <c r="CK144" s="626">
        <f>758+7635+835+2089</f>
        <v>11317</v>
      </c>
      <c r="CL144" s="293"/>
      <c r="CN144" s="626">
        <f>705+6033+752+2245</f>
        <v>9735</v>
      </c>
      <c r="CO144" s="626">
        <f>690+3931+736+2412</f>
        <v>7769</v>
      </c>
      <c r="CP144" s="293"/>
      <c r="CR144" s="626">
        <f>638+7778+522+2626</f>
        <v>11564</v>
      </c>
      <c r="CS144" s="626">
        <f>581+12294+525+2585</f>
        <v>15985</v>
      </c>
      <c r="CT144" s="293"/>
      <c r="CV144" s="626">
        <f>532+13213+576+2918</f>
        <v>17239</v>
      </c>
      <c r="CW144" s="1497">
        <f>801+8975+476+3076</f>
        <v>13328</v>
      </c>
      <c r="CX144" s="1495"/>
      <c r="CZ144" s="626">
        <f>729+8679+594+3788</f>
        <v>13790</v>
      </c>
      <c r="DA144" s="626">
        <f>663+6578+526+4393</f>
        <v>12160</v>
      </c>
      <c r="DB144" s="1495"/>
      <c r="DD144" s="2176">
        <f>584+9505+530+4370</f>
        <v>14989</v>
      </c>
      <c r="DE144" s="2149">
        <f>DD144/DD145*DE145</f>
        <v>16567.263555929476</v>
      </c>
      <c r="DF144" s="1495"/>
      <c r="DH144" s="2149">
        <f>DE144/DE145*DH145</f>
        <v>17209.156328874014</v>
      </c>
      <c r="DI144" s="293">
        <f>+DI160*DI161</f>
        <v>17826.585892744064</v>
      </c>
      <c r="DL144" s="293">
        <f>+DL160*DL161</f>
        <v>18336.548148966394</v>
      </c>
      <c r="DM144" s="293">
        <f>+DM160*DM161</f>
        <v>18861.900570278227</v>
      </c>
      <c r="DP144" s="293">
        <f>+DP160*DP161</f>
        <v>19403.152224788817</v>
      </c>
      <c r="DQ144" s="293">
        <f>+DQ160*DQ161</f>
        <v>19960.832710923714</v>
      </c>
    </row>
    <row r="145" spans="1:124" s="289" customFormat="1">
      <c r="A145" s="289" t="s">
        <v>339</v>
      </c>
      <c r="C145" s="290"/>
      <c r="AN145" s="290"/>
      <c r="AO145" s="290"/>
      <c r="AP145" s="290"/>
      <c r="AQ145" s="290"/>
      <c r="AR145" s="290"/>
      <c r="AS145" s="290"/>
      <c r="AT145" s="290"/>
      <c r="AU145" s="290"/>
      <c r="AV145" s="290"/>
      <c r="AW145" s="290"/>
      <c r="AX145" s="290"/>
      <c r="AY145" s="290"/>
      <c r="AZ145" s="290"/>
      <c r="BA145" s="290"/>
      <c r="BB145" s="290"/>
      <c r="BC145" s="290"/>
      <c r="BD145" s="290"/>
      <c r="BE145" s="290"/>
      <c r="BF145" s="290"/>
      <c r="BG145" s="290"/>
      <c r="BH145" s="295"/>
      <c r="BI145" s="655">
        <v>44134</v>
      </c>
      <c r="BJ145" s="295"/>
      <c r="BL145" s="655">
        <v>47940</v>
      </c>
      <c r="BM145" s="655">
        <v>50723</v>
      </c>
      <c r="BN145" s="295"/>
      <c r="BO145" s="290"/>
      <c r="BP145" s="655">
        <v>54885</v>
      </c>
      <c r="BQ145" s="655">
        <v>67993</v>
      </c>
      <c r="BR145" s="295">
        <f>BQ145</f>
        <v>67993</v>
      </c>
      <c r="BS145" s="684"/>
      <c r="BT145" s="655">
        <v>75224</v>
      </c>
      <c r="BU145" s="655">
        <v>79698</v>
      </c>
      <c r="BV145" s="295">
        <f>BU145</f>
        <v>79698</v>
      </c>
      <c r="BW145" s="684">
        <f>+BV145/BR145-1</f>
        <v>0.17215007427235163</v>
      </c>
      <c r="BX145" s="655">
        <v>79124</v>
      </c>
      <c r="BY145" s="655">
        <v>75997</v>
      </c>
      <c r="BZ145" s="295">
        <f>BY145</f>
        <v>75997</v>
      </c>
      <c r="CA145" s="684">
        <f>+BZ145/BV145-1</f>
        <v>-4.6437802705212139E-2</v>
      </c>
      <c r="CB145" s="655">
        <v>76286</v>
      </c>
      <c r="CC145" s="655">
        <v>77714</v>
      </c>
      <c r="CD145" s="295">
        <f>CC145</f>
        <v>77714</v>
      </c>
      <c r="CE145" s="684">
        <f>+CD145/BZ145-1</f>
        <v>2.2592997091990474E-2</v>
      </c>
      <c r="CF145" s="655">
        <v>78769</v>
      </c>
      <c r="CG145" s="655">
        <v>62024</v>
      </c>
      <c r="CH145" s="295">
        <f>CG145</f>
        <v>62024</v>
      </c>
      <c r="CI145" s="684">
        <f>+CH145/CD145-1</f>
        <v>-0.20189412461075229</v>
      </c>
      <c r="CJ145" s="655">
        <v>72772</v>
      </c>
      <c r="CK145" s="655">
        <v>80992</v>
      </c>
      <c r="CL145" s="295">
        <f>CK145</f>
        <v>80992</v>
      </c>
      <c r="CM145" s="684">
        <f>+CL145/CH145-1</f>
        <v>0.30581710305688126</v>
      </c>
      <c r="CN145" s="655">
        <v>73966</v>
      </c>
      <c r="CO145" s="655">
        <v>77589</v>
      </c>
      <c r="CP145" s="295">
        <f>CO145</f>
        <v>77589</v>
      </c>
      <c r="CQ145" s="684">
        <f>+CP145/CL145-1</f>
        <v>-4.2016495456341341E-2</v>
      </c>
      <c r="CR145" s="655">
        <v>96456</v>
      </c>
      <c r="CS145" s="655">
        <v>108487</v>
      </c>
      <c r="CT145" s="295">
        <f>CS145</f>
        <v>108487</v>
      </c>
      <c r="CU145" s="684">
        <f>+CT145/CP145-1</f>
        <v>0.39822655273299046</v>
      </c>
      <c r="CV145" s="655">
        <v>113517</v>
      </c>
      <c r="CW145" s="1505">
        <v>97485</v>
      </c>
      <c r="CX145" s="1390">
        <f>CW145</f>
        <v>97485</v>
      </c>
      <c r="CY145" s="684">
        <f>+CX145/CT145-1</f>
        <v>-0.10141307253403631</v>
      </c>
      <c r="CZ145" s="655">
        <v>97783</v>
      </c>
      <c r="DA145" s="1489">
        <v>98250</v>
      </c>
      <c r="DB145" s="1390">
        <f>DA145</f>
        <v>98250</v>
      </c>
      <c r="DC145" s="684">
        <f>+DB145/CX145-1</f>
        <v>7.847361132481856E-3</v>
      </c>
      <c r="DD145" s="655">
        <v>108163</v>
      </c>
      <c r="DE145" s="2176">
        <f>76624+42012+916</f>
        <v>119552</v>
      </c>
      <c r="DF145" s="1390">
        <f>DE145</f>
        <v>119552</v>
      </c>
      <c r="DG145" s="684">
        <f>+DF145/DB145-1</f>
        <v>0.21681424936386762</v>
      </c>
      <c r="DH145" s="1069">
        <f>82992+40109+1083</f>
        <v>124184</v>
      </c>
      <c r="DI145" s="295">
        <f>SUM(DI143:DI144)</f>
        <v>133132.39947927551</v>
      </c>
      <c r="DJ145" s="295">
        <f>DI145</f>
        <v>133132.39947927551</v>
      </c>
      <c r="DK145" s="684">
        <f>+DJ145/DF145-1</f>
        <v>0.11359408022680939</v>
      </c>
      <c r="DL145" s="295">
        <f>SUM(DL143:DL144)</f>
        <v>140143.3385091302</v>
      </c>
      <c r="DM145" s="295">
        <f>SUM(DM143:DM144)</f>
        <v>146364.45502920324</v>
      </c>
      <c r="DN145" s="295">
        <f>DM145</f>
        <v>146364.45502920324</v>
      </c>
      <c r="DO145" s="684">
        <f>+DN145/DJ145-1</f>
        <v>9.9390198041067634E-2</v>
      </c>
      <c r="DP145" s="295">
        <f>SUM(DP143:DP144)</f>
        <v>152878.71089548673</v>
      </c>
      <c r="DQ145" s="295">
        <f>SUM(DQ143:DQ144)</f>
        <v>159700.68988387036</v>
      </c>
      <c r="DR145" s="295">
        <f>DQ145</f>
        <v>159700.68988387036</v>
      </c>
      <c r="DS145" s="684">
        <f>+DR145/DN145-1</f>
        <v>9.1116622898682831E-2</v>
      </c>
      <c r="DT145"/>
    </row>
    <row r="146" spans="1:124">
      <c r="A146" s="102" t="s">
        <v>455</v>
      </c>
      <c r="BH146" s="293"/>
      <c r="BI146" s="626">
        <v>0</v>
      </c>
      <c r="BJ146" s="293"/>
      <c r="BK146" s="102"/>
      <c r="BL146" s="626">
        <v>0</v>
      </c>
      <c r="BM146" s="626">
        <v>0</v>
      </c>
      <c r="BN146" s="293"/>
      <c r="BP146" s="626">
        <v>0</v>
      </c>
      <c r="BQ146" s="626">
        <v>0</v>
      </c>
      <c r="BR146" s="293"/>
      <c r="BT146" s="626">
        <v>0</v>
      </c>
      <c r="BU146" s="626">
        <v>0</v>
      </c>
      <c r="BV146" s="293"/>
      <c r="BX146" s="626">
        <v>0</v>
      </c>
      <c r="BY146" s="626">
        <v>0</v>
      </c>
      <c r="BZ146" s="293"/>
      <c r="CB146" s="626">
        <v>0</v>
      </c>
      <c r="CC146" s="626">
        <v>0</v>
      </c>
      <c r="CD146" s="293"/>
      <c r="CF146" s="626">
        <v>0</v>
      </c>
      <c r="CG146" s="626">
        <v>0</v>
      </c>
      <c r="CH146" s="293"/>
      <c r="CJ146" s="626">
        <v>0</v>
      </c>
      <c r="CK146" s="626">
        <v>0</v>
      </c>
      <c r="CL146" s="293"/>
      <c r="CN146" s="626">
        <v>0</v>
      </c>
      <c r="CO146" s="626">
        <v>0</v>
      </c>
      <c r="CP146" s="293"/>
      <c r="CR146" s="626">
        <v>0</v>
      </c>
      <c r="CS146" s="626">
        <v>0</v>
      </c>
      <c r="CT146" s="293"/>
      <c r="CV146" s="626">
        <v>0</v>
      </c>
      <c r="CW146" s="1497">
        <v>0</v>
      </c>
      <c r="CX146" s="1495"/>
      <c r="CZ146" s="626">
        <v>0</v>
      </c>
      <c r="DA146" s="1488">
        <v>0</v>
      </c>
      <c r="DB146" s="1495"/>
      <c r="DD146" s="626">
        <v>0</v>
      </c>
      <c r="DE146" s="1497">
        <v>0</v>
      </c>
      <c r="DF146" s="1495"/>
      <c r="DH146" s="626">
        <v>0</v>
      </c>
      <c r="DI146" s="487">
        <v>0</v>
      </c>
      <c r="DJ146" s="293"/>
      <c r="DL146" s="487">
        <v>0</v>
      </c>
      <c r="DM146" s="487">
        <v>0</v>
      </c>
      <c r="DN146" s="293"/>
      <c r="DP146" s="487">
        <v>0</v>
      </c>
      <c r="DQ146" s="487">
        <v>0</v>
      </c>
      <c r="DR146" s="293"/>
    </row>
    <row r="147" spans="1:124">
      <c r="A147" s="102" t="s">
        <v>341</v>
      </c>
      <c r="BH147" s="293"/>
      <c r="BI147" s="626">
        <v>4536</v>
      </c>
      <c r="BJ147" s="293"/>
      <c r="BK147" s="102"/>
      <c r="BL147" s="626">
        <v>4818</v>
      </c>
      <c r="BM147" s="626">
        <v>4567</v>
      </c>
      <c r="BN147" s="293"/>
      <c r="BP147" s="626">
        <v>4659</v>
      </c>
      <c r="BQ147" s="626">
        <v>6650</v>
      </c>
      <c r="BR147" s="293">
        <f>BQ147</f>
        <v>6650</v>
      </c>
      <c r="BS147" s="684"/>
      <c r="BT147" s="626">
        <v>5487</v>
      </c>
      <c r="BU147" s="626">
        <v>3926</v>
      </c>
      <c r="BV147" s="293">
        <f>BU147</f>
        <v>3926</v>
      </c>
      <c r="BW147" s="684">
        <f>+BV147/BR147-1</f>
        <v>-0.40962406015037589</v>
      </c>
      <c r="BX147" s="626">
        <v>4298</v>
      </c>
      <c r="BY147" s="626">
        <v>3958</v>
      </c>
      <c r="BZ147" s="293">
        <f>BY147</f>
        <v>3958</v>
      </c>
      <c r="CA147" s="684">
        <f>+BZ147/BV147-1</f>
        <v>8.1507896077432918E-3</v>
      </c>
      <c r="CB147" s="626">
        <v>3314</v>
      </c>
      <c r="CC147" s="626">
        <v>3303</v>
      </c>
      <c r="CD147" s="293">
        <f>CC147</f>
        <v>3303</v>
      </c>
      <c r="CE147" s="684">
        <f>+CD147/BZ147-1</f>
        <v>-0.16548762001010608</v>
      </c>
      <c r="CF147" s="626">
        <v>5886</v>
      </c>
      <c r="CG147" s="626">
        <v>5382</v>
      </c>
      <c r="CH147" s="293">
        <f>CG147</f>
        <v>5382</v>
      </c>
      <c r="CI147" s="684">
        <f>+CH147/CD147-1</f>
        <v>0.62942779291553141</v>
      </c>
      <c r="CJ147" s="626">
        <v>4934</v>
      </c>
      <c r="CK147" s="626">
        <v>3971</v>
      </c>
      <c r="CL147" s="293">
        <f>CK147</f>
        <v>3971</v>
      </c>
      <c r="CM147" s="684">
        <f>+CL147/CH147-1</f>
        <v>-0.26217019695280563</v>
      </c>
      <c r="CN147" s="626">
        <v>4280</v>
      </c>
      <c r="CO147" s="626">
        <v>5660</v>
      </c>
      <c r="CP147" s="293">
        <f>CO147</f>
        <v>5660</v>
      </c>
      <c r="CQ147" s="684">
        <f>+CP147/CL147-1</f>
        <v>0.42533366910098214</v>
      </c>
      <c r="CR147" s="626">
        <v>8607</v>
      </c>
      <c r="CS147" s="626">
        <v>10230</v>
      </c>
      <c r="CT147" s="293">
        <f>CS147</f>
        <v>10230</v>
      </c>
      <c r="CU147" s="684">
        <f>+CT147/CP147-1</f>
        <v>0.80742049469964661</v>
      </c>
      <c r="CV147" s="626">
        <v>10773</v>
      </c>
      <c r="CW147" s="1497">
        <v>9743</v>
      </c>
      <c r="CX147" s="1495">
        <f>CW147</f>
        <v>9743</v>
      </c>
      <c r="CY147" s="684">
        <f>+CX147/CT147-1</f>
        <v>-4.7605083088954059E-2</v>
      </c>
      <c r="CZ147" s="626">
        <v>9011</v>
      </c>
      <c r="DA147" s="1488">
        <v>10529</v>
      </c>
      <c r="DB147" s="1495">
        <f>DA147</f>
        <v>10529</v>
      </c>
      <c r="DC147" s="684">
        <f>+DB147/CX147-1</f>
        <v>8.0673303910499872E-2</v>
      </c>
      <c r="DD147" s="626">
        <v>8619</v>
      </c>
      <c r="DE147" s="2176">
        <v>8526</v>
      </c>
      <c r="DF147" s="1495">
        <f>DE147</f>
        <v>8526</v>
      </c>
      <c r="DG147" s="684">
        <f>+DF147/DB147-1</f>
        <v>-0.19023648969512774</v>
      </c>
      <c r="DH147" s="626">
        <v>8436</v>
      </c>
      <c r="DI147" s="487">
        <f>+DH147*1.015</f>
        <v>8562.5399999999991</v>
      </c>
      <c r="DJ147" s="293">
        <f>DI147</f>
        <v>8562.5399999999991</v>
      </c>
      <c r="DK147" s="684">
        <f>+DJ147/DF147-1</f>
        <v>4.2857142857142261E-3</v>
      </c>
      <c r="DL147" s="487">
        <f>+DI147*1.015</f>
        <v>8690.9780999999984</v>
      </c>
      <c r="DM147" s="487">
        <f>+DL147*1.015</f>
        <v>8821.342771499998</v>
      </c>
      <c r="DN147" s="293">
        <f>DM147</f>
        <v>8821.342771499998</v>
      </c>
      <c r="DO147" s="684">
        <f>+DN147/DJ147-1</f>
        <v>3.0224999999999946E-2</v>
      </c>
      <c r="DP147" s="487">
        <f>+DM147*1.015</f>
        <v>8953.6629130724978</v>
      </c>
      <c r="DQ147" s="487">
        <f>+DP147*1.015</f>
        <v>9087.9678567685842</v>
      </c>
      <c r="DR147" s="293">
        <f>DQ147</f>
        <v>9087.9678567685842</v>
      </c>
      <c r="DS147" s="684">
        <f>+DR147/DN147-1</f>
        <v>3.0224999999999946E-2</v>
      </c>
    </row>
    <row r="148" spans="1:124">
      <c r="A148" s="102" t="s">
        <v>456</v>
      </c>
      <c r="BH148" s="293"/>
      <c r="BI148" s="626">
        <v>8125</v>
      </c>
      <c r="BJ148" s="293"/>
      <c r="BK148" s="102"/>
      <c r="BL148" s="626">
        <v>8443</v>
      </c>
      <c r="BM148" s="626">
        <v>8531</v>
      </c>
      <c r="BN148" s="293"/>
      <c r="BP148" s="626">
        <v>8377</v>
      </c>
      <c r="BQ148" s="626">
        <v>9398</v>
      </c>
      <c r="BR148" s="293">
        <f>BQ148</f>
        <v>9398</v>
      </c>
      <c r="BS148" s="684"/>
      <c r="BT148" s="626">
        <v>10389</v>
      </c>
      <c r="BU148" s="626">
        <v>9624</v>
      </c>
      <c r="BV148" s="293">
        <f>BU148</f>
        <v>9624</v>
      </c>
      <c r="BW148" s="684">
        <f>+BV148/BR148-1</f>
        <v>2.4047669716961151E-2</v>
      </c>
      <c r="BX148" s="626">
        <v>9531</v>
      </c>
      <c r="BY148" s="626">
        <v>9979</v>
      </c>
      <c r="BZ148" s="293">
        <f>BY148</f>
        <v>9979</v>
      </c>
      <c r="CA148" s="684">
        <f>+BZ148/BV148-1</f>
        <v>3.6886949293433169E-2</v>
      </c>
      <c r="CB148" s="626">
        <v>10025</v>
      </c>
      <c r="CC148" s="626">
        <v>9960</v>
      </c>
      <c r="CD148" s="293">
        <f>CC148</f>
        <v>9960</v>
      </c>
      <c r="CE148" s="684">
        <f>+CD148/BZ148-1</f>
        <v>-1.903998396632911E-3</v>
      </c>
      <c r="CF148" s="626">
        <v>10157</v>
      </c>
      <c r="CG148" s="626">
        <v>10111</v>
      </c>
      <c r="CH148" s="293">
        <f>CG148</f>
        <v>10111</v>
      </c>
      <c r="CI148" s="684">
        <f>+CH148/CD148-1</f>
        <v>1.5160642570281047E-2</v>
      </c>
      <c r="CJ148" s="626">
        <v>10386</v>
      </c>
      <c r="CK148" s="626">
        <v>10655</v>
      </c>
      <c r="CL148" s="293">
        <f>CK148</f>
        <v>10655</v>
      </c>
      <c r="CM148" s="684">
        <f>+CL148/CH148-1</f>
        <v>5.3802789041637711E-2</v>
      </c>
      <c r="CN148" s="626">
        <v>10521</v>
      </c>
      <c r="CO148" s="626">
        <v>10337</v>
      </c>
      <c r="CP148" s="293">
        <f>CO148</f>
        <v>10337</v>
      </c>
      <c r="CQ148" s="684">
        <f>+CP148/CL148-1</f>
        <v>-2.9845143125293294E-2</v>
      </c>
      <c r="CR148" s="626">
        <v>10366</v>
      </c>
      <c r="CS148" s="626">
        <v>10335</v>
      </c>
      <c r="CT148" s="293">
        <f>CS148</f>
        <v>10335</v>
      </c>
      <c r="CU148" s="684">
        <f>+CT148/CP148-1</f>
        <v>-1.9347973299799204E-4</v>
      </c>
      <c r="CV148" s="626">
        <v>10495</v>
      </c>
      <c r="CW148" s="1497">
        <v>15828</v>
      </c>
      <c r="CX148" s="1495">
        <f>CW148</f>
        <v>15828</v>
      </c>
      <c r="CY148" s="684">
        <f>+CX148/CT148-1</f>
        <v>0.53149492017416544</v>
      </c>
      <c r="CZ148" s="626">
        <v>15828</v>
      </c>
      <c r="DA148" s="1488">
        <v>17512</v>
      </c>
      <c r="DB148" s="1495">
        <f>DA148</f>
        <v>17512</v>
      </c>
      <c r="DC148" s="684">
        <f>+DB148/CX148-1</f>
        <v>0.10639373262572649</v>
      </c>
      <c r="DD148" s="626">
        <v>17512</v>
      </c>
      <c r="DE148" s="2176">
        <v>18726</v>
      </c>
      <c r="DF148" s="1495">
        <f>DE148</f>
        <v>18726</v>
      </c>
      <c r="DG148" s="684">
        <f>+DF148/DB148-1</f>
        <v>6.9323892188213776E-2</v>
      </c>
      <c r="DH148" s="626">
        <v>18726</v>
      </c>
      <c r="DI148" s="487">
        <f>+DH148*1.015</f>
        <v>19006.89</v>
      </c>
      <c r="DJ148" s="293">
        <f>DI148</f>
        <v>19006.89</v>
      </c>
      <c r="DK148" s="684">
        <f>+DJ148/DF148-1</f>
        <v>1.4999999999999902E-2</v>
      </c>
      <c r="DL148" s="487">
        <f>+DI148*1.015</f>
        <v>19291.993349999997</v>
      </c>
      <c r="DM148" s="487">
        <f>+DL148*1.015</f>
        <v>19581.373250249995</v>
      </c>
      <c r="DN148" s="293">
        <f>DM148</f>
        <v>19581.373250249995</v>
      </c>
      <c r="DO148" s="684">
        <f>+DN148/DJ148-1</f>
        <v>3.0224999999999724E-2</v>
      </c>
      <c r="DP148" s="487">
        <f>+DM148*1.015</f>
        <v>19875.093849003744</v>
      </c>
      <c r="DQ148" s="487">
        <f>+DP148*1.015</f>
        <v>20173.220256738798</v>
      </c>
      <c r="DR148" s="293">
        <f>DQ148</f>
        <v>20173.220256738798</v>
      </c>
      <c r="DS148" s="684">
        <f>+DR148/DN148-1</f>
        <v>3.0224999999999724E-2</v>
      </c>
    </row>
    <row r="149" spans="1:124">
      <c r="A149" s="102" t="s">
        <v>1272</v>
      </c>
      <c r="BH149" s="293"/>
      <c r="BI149" s="626">
        <v>0</v>
      </c>
      <c r="BJ149" s="293"/>
      <c r="BK149" s="102"/>
      <c r="BL149" s="626">
        <v>0</v>
      </c>
      <c r="BM149" s="626">
        <v>0</v>
      </c>
      <c r="BN149" s="293"/>
      <c r="BP149" s="626">
        <v>0</v>
      </c>
      <c r="BQ149" s="626">
        <v>0</v>
      </c>
      <c r="BR149" s="293">
        <f>BQ149</f>
        <v>0</v>
      </c>
      <c r="BT149" s="626">
        <v>812</v>
      </c>
      <c r="BU149" s="626">
        <v>576</v>
      </c>
      <c r="BV149" s="293">
        <f>BU149</f>
        <v>576</v>
      </c>
      <c r="BX149" s="626">
        <v>645</v>
      </c>
      <c r="BY149" s="626">
        <v>82</v>
      </c>
      <c r="BZ149" s="293">
        <f>BY149</f>
        <v>82</v>
      </c>
      <c r="CB149" s="626">
        <v>0</v>
      </c>
      <c r="CC149" s="626">
        <v>753</v>
      </c>
      <c r="CD149" s="293">
        <f>CC149</f>
        <v>753</v>
      </c>
      <c r="CF149" s="626">
        <v>1188</v>
      </c>
      <c r="CG149" s="626">
        <v>0</v>
      </c>
      <c r="CH149" s="293">
        <f>CG149</f>
        <v>0</v>
      </c>
      <c r="CJ149" s="626">
        <v>0</v>
      </c>
      <c r="CK149" s="626">
        <v>0</v>
      </c>
      <c r="CL149" s="293">
        <f>CK149</f>
        <v>0</v>
      </c>
      <c r="CN149" s="626">
        <v>0</v>
      </c>
      <c r="CO149" s="626">
        <v>454</v>
      </c>
      <c r="CP149" s="293">
        <f>CO149</f>
        <v>454</v>
      </c>
      <c r="CR149" s="626">
        <v>454</v>
      </c>
      <c r="CS149" s="626">
        <v>1588</v>
      </c>
      <c r="CT149" s="293">
        <f>CS149</f>
        <v>1588</v>
      </c>
      <c r="CV149" s="626">
        <v>1579</v>
      </c>
      <c r="CW149" s="1497">
        <v>1920</v>
      </c>
      <c r="CX149" s="1495">
        <f>CW149</f>
        <v>1920</v>
      </c>
      <c r="CZ149" s="626">
        <v>3706</v>
      </c>
      <c r="DA149" s="1488">
        <v>3748</v>
      </c>
      <c r="DB149" s="1495">
        <f>DA149</f>
        <v>3748</v>
      </c>
      <c r="DD149" s="626">
        <v>3773</v>
      </c>
      <c r="DE149" s="2176">
        <v>4154</v>
      </c>
      <c r="DF149" s="1495">
        <f>DE149</f>
        <v>4154</v>
      </c>
      <c r="DH149" s="626">
        <v>3220</v>
      </c>
      <c r="DI149" s="487">
        <f>+DH149*1.03</f>
        <v>3316.6</v>
      </c>
      <c r="DJ149" s="293">
        <f>DI149</f>
        <v>3316.6</v>
      </c>
      <c r="DL149" s="487">
        <v>0</v>
      </c>
      <c r="DM149" s="487">
        <f>+DL149*1.03</f>
        <v>0</v>
      </c>
      <c r="DN149" s="293">
        <f>DM149</f>
        <v>0</v>
      </c>
      <c r="DP149" s="487">
        <v>0</v>
      </c>
      <c r="DQ149" s="487">
        <f>+DP149*1.03</f>
        <v>0</v>
      </c>
      <c r="DR149" s="293">
        <f>DQ149</f>
        <v>0</v>
      </c>
    </row>
    <row r="150" spans="1:124">
      <c r="A150" s="102" t="s">
        <v>457</v>
      </c>
      <c r="BH150" s="293"/>
      <c r="BI150" s="626">
        <v>1578</v>
      </c>
      <c r="BJ150" s="293"/>
      <c r="BK150" s="102"/>
      <c r="BL150" s="626">
        <v>1643</v>
      </c>
      <c r="BM150" s="626">
        <v>1877</v>
      </c>
      <c r="BN150" s="293"/>
      <c r="BP150" s="626">
        <v>2022</v>
      </c>
      <c r="BQ150" s="626">
        <v>2457</v>
      </c>
      <c r="BR150" s="293"/>
      <c r="BT150" s="626">
        <v>0</v>
      </c>
      <c r="BU150" s="626">
        <v>0</v>
      </c>
      <c r="BV150" s="293"/>
      <c r="BX150" s="626">
        <v>0</v>
      </c>
      <c r="BY150" s="626">
        <v>0</v>
      </c>
      <c r="BZ150" s="293"/>
      <c r="CB150" s="626">
        <v>0</v>
      </c>
      <c r="CC150" s="626">
        <v>0</v>
      </c>
      <c r="CD150" s="293"/>
      <c r="CF150" s="626">
        <v>0</v>
      </c>
      <c r="CG150" s="626">
        <v>0</v>
      </c>
      <c r="CH150" s="293"/>
      <c r="CJ150" s="626">
        <v>0</v>
      </c>
      <c r="CK150" s="626">
        <v>0</v>
      </c>
      <c r="CL150" s="293"/>
      <c r="CN150" s="626">
        <v>0</v>
      </c>
      <c r="CO150" s="626">
        <v>0</v>
      </c>
      <c r="CP150" s="293"/>
      <c r="CR150" s="626">
        <v>0</v>
      </c>
      <c r="CS150" s="626">
        <v>0</v>
      </c>
      <c r="CT150" s="293">
        <f>CS150</f>
        <v>0</v>
      </c>
      <c r="CV150" s="626">
        <v>0</v>
      </c>
      <c r="CW150" s="1497">
        <v>0</v>
      </c>
      <c r="CX150" s="1495">
        <f>CW150</f>
        <v>0</v>
      </c>
      <c r="CZ150" s="626">
        <v>0</v>
      </c>
      <c r="DA150" s="1488">
        <v>0</v>
      </c>
      <c r="DB150" s="1495">
        <f>DA150</f>
        <v>0</v>
      </c>
      <c r="DD150" s="626">
        <v>0</v>
      </c>
      <c r="DE150" s="1497">
        <v>0</v>
      </c>
      <c r="DF150" s="1495">
        <f>DE150</f>
        <v>0</v>
      </c>
      <c r="DH150" s="626">
        <v>0</v>
      </c>
      <c r="DI150" s="293">
        <f>+DI143*DI162</f>
        <v>0</v>
      </c>
      <c r="DJ150" s="293"/>
      <c r="DL150" s="293">
        <f>+DL143*DL162</f>
        <v>0</v>
      </c>
      <c r="DM150" s="293">
        <f>+DM143*DM162</f>
        <v>0</v>
      </c>
      <c r="DN150" s="293"/>
      <c r="DP150" s="293">
        <f>+DP143*DP162</f>
        <v>0</v>
      </c>
      <c r="DQ150" s="293">
        <f>+DQ143*DQ162</f>
        <v>0</v>
      </c>
      <c r="DR150" s="293"/>
    </row>
    <row r="151" spans="1:124">
      <c r="A151" s="289" t="s">
        <v>458</v>
      </c>
      <c r="BH151" s="293"/>
      <c r="BI151" s="295">
        <f>SUM(BI145:BI150)</f>
        <v>58373</v>
      </c>
      <c r="BJ151" s="293">
        <f>BI151</f>
        <v>58373</v>
      </c>
      <c r="BK151" s="102"/>
      <c r="BL151" s="295">
        <f>SUM(BL145:BL150)</f>
        <v>62844</v>
      </c>
      <c r="BM151" s="295">
        <f>SUM(BM145:BM150)</f>
        <v>65698</v>
      </c>
      <c r="BN151" s="293">
        <f>BM151</f>
        <v>65698</v>
      </c>
      <c r="BP151" s="295">
        <f>SUM(BP145:BP150)</f>
        <v>69943</v>
      </c>
      <c r="BQ151" s="295">
        <f>SUM(BQ145:BQ150)</f>
        <v>86498</v>
      </c>
      <c r="BR151" s="295">
        <f>BQ151</f>
        <v>86498</v>
      </c>
      <c r="BS151" s="684"/>
      <c r="BT151" s="295">
        <f>SUM(BT145:BT150)</f>
        <v>91912</v>
      </c>
      <c r="BU151" s="295">
        <f>SUM(BU145:BU150)</f>
        <v>93824</v>
      </c>
      <c r="BV151" s="295">
        <f>BU151</f>
        <v>93824</v>
      </c>
      <c r="BW151" s="684">
        <f>+BV151/BR151-1</f>
        <v>8.4695599898263474E-2</v>
      </c>
      <c r="BX151" s="295">
        <f>SUM(BX145:BX150)</f>
        <v>93598</v>
      </c>
      <c r="BY151" s="295">
        <f>SUM(BY145:BY150)</f>
        <v>90016</v>
      </c>
      <c r="BZ151" s="295">
        <f>BY151</f>
        <v>90016</v>
      </c>
      <c r="CA151" s="684">
        <f>+BZ151/BV151-1</f>
        <v>-4.0586630286493897E-2</v>
      </c>
      <c r="CB151" s="295">
        <f>SUM(CB145:CB150)</f>
        <v>89625</v>
      </c>
      <c r="CC151" s="295">
        <f>SUM(CC145:CC150)</f>
        <v>91730</v>
      </c>
      <c r="CD151" s="295">
        <f>CC151</f>
        <v>91730</v>
      </c>
      <c r="CE151" s="684">
        <f>+CD151/BZ151-1</f>
        <v>1.9041059367223667E-2</v>
      </c>
      <c r="CF151" s="295">
        <f>SUM(CF145:CF150)</f>
        <v>96000</v>
      </c>
      <c r="CG151" s="295">
        <f>SUM(CG145:CG150)</f>
        <v>77517</v>
      </c>
      <c r="CH151" s="295">
        <f>CG151</f>
        <v>77517</v>
      </c>
      <c r="CI151" s="684">
        <f>+CH151/CD151-1</f>
        <v>-0.15494385697154689</v>
      </c>
      <c r="CJ151" s="295">
        <f>SUM(CJ145:CJ150)</f>
        <v>88092</v>
      </c>
      <c r="CK151" s="295">
        <f>SUM(CK145:CK150)</f>
        <v>95618</v>
      </c>
      <c r="CL151" s="295">
        <f>CK151</f>
        <v>95618</v>
      </c>
      <c r="CM151" s="684">
        <f>+CL151/CH151-1</f>
        <v>0.23351006875911096</v>
      </c>
      <c r="CN151" s="295">
        <f>SUM(CN145:CN150)</f>
        <v>88767</v>
      </c>
      <c r="CO151" s="295">
        <f>SUM(CO145:CO150)</f>
        <v>94040</v>
      </c>
      <c r="CP151" s="295">
        <f>CO151</f>
        <v>94040</v>
      </c>
      <c r="CQ151" s="684">
        <f>+CP151/CL151-1</f>
        <v>-1.6503168859419826E-2</v>
      </c>
      <c r="CR151" s="295">
        <f>SUM(CR145:CR150)</f>
        <v>115883</v>
      </c>
      <c r="CS151" s="295">
        <f>SUM(CS145:CS150)</f>
        <v>130640</v>
      </c>
      <c r="CT151" s="295">
        <f>CS151</f>
        <v>130640</v>
      </c>
      <c r="CU151" s="684">
        <f>+CT151/CP151-1</f>
        <v>0.38919608677158646</v>
      </c>
      <c r="CV151" s="295">
        <f>SUM(CV145:CV150)</f>
        <v>136364</v>
      </c>
      <c r="CW151" s="1390">
        <f>SUM(CW145:CW150)</f>
        <v>124976</v>
      </c>
      <c r="CX151" s="1390">
        <f>CW151</f>
        <v>124976</v>
      </c>
      <c r="CY151" s="684">
        <f>+CX151/CT151-1</f>
        <v>-4.3355786895284742E-2</v>
      </c>
      <c r="CZ151" s="295">
        <f>SUM(CZ145:CZ150)</f>
        <v>126328</v>
      </c>
      <c r="DA151" s="1390">
        <f>SUM(DA145:DA150)</f>
        <v>130039</v>
      </c>
      <c r="DB151" s="1390">
        <f>DA151</f>
        <v>130039</v>
      </c>
      <c r="DC151" s="684">
        <f>+DB151/CX151-1</f>
        <v>4.0511778261426157E-2</v>
      </c>
      <c r="DD151" s="295">
        <f>SUM(DD145:DD150)</f>
        <v>138067</v>
      </c>
      <c r="DE151" s="1390">
        <f>SUM(DE145:DE150)</f>
        <v>150958</v>
      </c>
      <c r="DF151" s="1390">
        <f>DE151</f>
        <v>150958</v>
      </c>
      <c r="DG151" s="684">
        <f>+DF151/DB151-1</f>
        <v>0.1608671244780413</v>
      </c>
      <c r="DH151" s="295">
        <f>SUM(DH145:DH150)</f>
        <v>154566</v>
      </c>
      <c r="DI151" s="295">
        <f>SUM(DI145:DI150)</f>
        <v>164018.42947927551</v>
      </c>
      <c r="DJ151" s="295">
        <f>DI151</f>
        <v>164018.42947927551</v>
      </c>
      <c r="DK151" s="684">
        <f>+DJ151/DF151-1</f>
        <v>8.6516974782889999E-2</v>
      </c>
      <c r="DL151" s="295">
        <f>SUM(DL145:DL150)</f>
        <v>168126.30995913022</v>
      </c>
      <c r="DM151" s="295">
        <f>SUM(DM145:DM150)</f>
        <v>174767.17105095324</v>
      </c>
      <c r="DN151" s="295">
        <f>DM151</f>
        <v>174767.17105095324</v>
      </c>
      <c r="DO151" s="684">
        <f>+DN151/DJ151-1</f>
        <v>6.5533742798310923E-2</v>
      </c>
      <c r="DP151" s="295">
        <f>SUM(DP145:DP150)</f>
        <v>181707.46765756299</v>
      </c>
      <c r="DQ151" s="295">
        <f>SUM(DQ145:DQ150)</f>
        <v>188961.87799737774</v>
      </c>
      <c r="DR151" s="295">
        <f>DQ151</f>
        <v>188961.87799737774</v>
      </c>
      <c r="DS151" s="684">
        <f>+DR151/DN151-1</f>
        <v>8.1220671256880594E-2</v>
      </c>
    </row>
    <row r="152" spans="1:124" s="641" customFormat="1">
      <c r="A152" s="786" t="s">
        <v>580</v>
      </c>
      <c r="C152" s="638"/>
      <c r="AN152" s="638"/>
      <c r="AO152" s="638"/>
      <c r="AP152" s="638"/>
      <c r="AQ152" s="638"/>
      <c r="AR152" s="638"/>
      <c r="AS152" s="638"/>
      <c r="AT152" s="638"/>
      <c r="AU152" s="638"/>
      <c r="AV152" s="638"/>
      <c r="AW152" s="638"/>
      <c r="AX152" s="638"/>
      <c r="AY152" s="638"/>
      <c r="AZ152" s="638"/>
      <c r="BA152" s="638"/>
      <c r="BB152" s="638"/>
      <c r="BC152" s="638"/>
      <c r="BD152" s="638"/>
      <c r="BE152" s="638"/>
      <c r="BF152" s="638"/>
      <c r="BG152" s="638"/>
      <c r="BH152" s="487"/>
      <c r="BI152" s="769">
        <f>BI83</f>
        <v>58373</v>
      </c>
      <c r="BJ152" s="487"/>
      <c r="BL152" s="769">
        <f>BL83</f>
        <v>62844</v>
      </c>
      <c r="BM152" s="769">
        <f>BM83</f>
        <v>65698</v>
      </c>
      <c r="BN152" s="487"/>
      <c r="BO152" s="638"/>
      <c r="BP152" s="769">
        <f>BP83</f>
        <v>69943</v>
      </c>
      <c r="BQ152" s="769">
        <v>86498</v>
      </c>
      <c r="BR152" s="487"/>
      <c r="BS152" s="638"/>
      <c r="BT152" s="769">
        <f>BT83</f>
        <v>91912</v>
      </c>
      <c r="BU152" s="769">
        <v>93824</v>
      </c>
      <c r="BV152" s="487"/>
      <c r="BW152" s="638"/>
      <c r="BX152" s="769">
        <v>93598</v>
      </c>
      <c r="BY152" s="769">
        <v>90016</v>
      </c>
      <c r="BZ152" s="487"/>
      <c r="CA152" s="638"/>
      <c r="CB152" s="769">
        <v>89625</v>
      </c>
      <c r="CC152" s="769">
        <v>91730</v>
      </c>
      <c r="CD152" s="487"/>
      <c r="CE152" s="638"/>
      <c r="CF152" s="769">
        <v>96000</v>
      </c>
      <c r="CG152" s="769">
        <v>77517</v>
      </c>
      <c r="CH152" s="487"/>
      <c r="CI152" s="638"/>
      <c r="CJ152" s="769">
        <v>88092</v>
      </c>
      <c r="CK152" s="769">
        <v>95618</v>
      </c>
      <c r="CL152" s="487"/>
      <c r="CM152" s="638"/>
      <c r="CN152" s="769">
        <v>88767</v>
      </c>
      <c r="CO152" s="769">
        <v>93959</v>
      </c>
      <c r="CP152" s="487"/>
      <c r="CQ152" s="638"/>
      <c r="CR152" s="769">
        <v>115883</v>
      </c>
      <c r="CS152" s="1354">
        <v>130640</v>
      </c>
      <c r="CT152" s="487"/>
      <c r="CU152" s="638"/>
      <c r="CV152" s="769">
        <v>136364</v>
      </c>
      <c r="CW152" s="1849">
        <v>124976</v>
      </c>
      <c r="CX152" s="1838"/>
      <c r="CY152" s="638"/>
      <c r="CZ152" s="769">
        <v>126328</v>
      </c>
      <c r="DA152" s="1839">
        <v>130039</v>
      </c>
      <c r="DB152" s="1838"/>
      <c r="DC152" s="638"/>
      <c r="DD152" s="769">
        <v>138067</v>
      </c>
      <c r="DE152" s="2183">
        <v>150958</v>
      </c>
      <c r="DF152" s="1838"/>
      <c r="DG152" s="638"/>
      <c r="DH152" s="769">
        <v>154566</v>
      </c>
      <c r="DI152" s="769">
        <f>DI83</f>
        <v>164018.42947927551</v>
      </c>
      <c r="DJ152" s="487"/>
      <c r="DK152" s="638"/>
      <c r="DL152" s="769">
        <f>DL83</f>
        <v>168126.30995913022</v>
      </c>
      <c r="DM152" s="769">
        <f>DM83</f>
        <v>174767.17105095324</v>
      </c>
      <c r="DN152" s="487"/>
      <c r="DO152" s="638"/>
      <c r="DP152" s="769">
        <f>DP83</f>
        <v>181707.46765756299</v>
      </c>
      <c r="DQ152" s="769">
        <f>DQ83</f>
        <v>188961.87799737774</v>
      </c>
      <c r="DR152" s="487"/>
      <c r="DS152" s="638"/>
      <c r="DT152"/>
    </row>
    <row r="153" spans="1:124">
      <c r="BH153" s="293"/>
      <c r="BI153" s="293"/>
      <c r="BJ153" s="293"/>
      <c r="BK153" s="102"/>
      <c r="BM153" s="293"/>
      <c r="BN153" s="293"/>
      <c r="BQ153" s="293"/>
      <c r="BR153" s="293"/>
      <c r="BU153" s="293"/>
      <c r="BV153" s="293"/>
      <c r="BY153" s="293"/>
      <c r="BZ153" s="293"/>
      <c r="CC153" s="293"/>
      <c r="CD153" s="293"/>
      <c r="CG153" s="360">
        <f>6000/CG151</f>
        <v>7.7402376252950961E-2</v>
      </c>
      <c r="CH153" s="293"/>
      <c r="CI153" s="293">
        <f>+CJ151-CJ153</f>
        <v>88092</v>
      </c>
      <c r="CK153" s="360">
        <f>6000/CK151</f>
        <v>6.2749691480683559E-2</v>
      </c>
      <c r="CL153" s="293"/>
      <c r="CM153" s="293"/>
      <c r="CO153" s="360">
        <f>6000/CO151</f>
        <v>6.3802637175669932E-2</v>
      </c>
      <c r="CP153" s="293"/>
      <c r="CS153" s="1494"/>
      <c r="CT153" s="293"/>
      <c r="CW153" s="1839"/>
      <c r="CX153" s="1495"/>
      <c r="DE153" s="2165">
        <f>+DE154*DE147</f>
        <v>1087.2262483604711</v>
      </c>
    </row>
    <row r="154" spans="1:124" s="1360" customFormat="1" ht="15.6">
      <c r="A154" s="1162" t="s">
        <v>1041</v>
      </c>
      <c r="B154" s="1162"/>
      <c r="C154" s="1892"/>
      <c r="D154" s="1162"/>
      <c r="E154" s="1162"/>
      <c r="F154" s="1162"/>
      <c r="G154" s="1162"/>
      <c r="H154" s="1162"/>
      <c r="I154" s="1162"/>
      <c r="J154" s="1162"/>
      <c r="K154" s="1162"/>
      <c r="L154" s="1162"/>
      <c r="M154" s="1162"/>
      <c r="N154" s="1162"/>
      <c r="O154" s="1162"/>
      <c r="P154" s="1162"/>
      <c r="Q154" s="1162"/>
      <c r="R154" s="1162"/>
      <c r="S154" s="1162"/>
      <c r="T154" s="1162"/>
      <c r="U154" s="1162"/>
      <c r="V154" s="1162"/>
      <c r="W154" s="1162"/>
      <c r="X154" s="1162"/>
      <c r="Y154" s="1162"/>
      <c r="Z154" s="1162"/>
      <c r="AA154" s="1162"/>
      <c r="AB154" s="1162"/>
      <c r="AC154" s="1162"/>
      <c r="AD154" s="1162"/>
      <c r="AE154" s="1162"/>
      <c r="AF154" s="1162"/>
      <c r="AG154" s="1162"/>
      <c r="AH154" s="1162"/>
      <c r="AI154" s="1162"/>
      <c r="AJ154" s="1162"/>
      <c r="AK154" s="1162"/>
      <c r="AL154" s="1162"/>
      <c r="AM154" s="1162"/>
      <c r="AN154" s="1892"/>
      <c r="AO154" s="1893"/>
      <c r="AP154" s="1893"/>
      <c r="AQ154" s="1892"/>
      <c r="AR154" s="1893"/>
      <c r="AS154" s="1893"/>
      <c r="AT154" s="1893"/>
      <c r="AU154" s="1894"/>
      <c r="AV154" s="1893"/>
      <c r="AW154" s="1893"/>
      <c r="AX154" s="1893"/>
      <c r="AY154" s="1892"/>
      <c r="AZ154" s="1893"/>
      <c r="BA154" s="1893"/>
      <c r="BB154" s="1893"/>
      <c r="BC154" s="1892"/>
      <c r="BD154" s="1893"/>
      <c r="BE154" s="1893"/>
      <c r="BF154" s="1893"/>
      <c r="BG154" s="1892"/>
      <c r="BH154" s="1893"/>
      <c r="BI154" s="1893"/>
      <c r="BJ154" s="1893"/>
      <c r="BK154" s="1892"/>
      <c r="BL154" s="1893">
        <f>BL135/BL151</f>
        <v>9.7622684743173579E-2</v>
      </c>
      <c r="BM154" s="1893">
        <f>BM135/BM151</f>
        <v>9.6167311029255076E-2</v>
      </c>
      <c r="BN154" s="1893"/>
      <c r="BO154" s="1892"/>
      <c r="BP154" s="1893">
        <f>BP135/BP151</f>
        <v>8.7299658293181592E-2</v>
      </c>
      <c r="BQ154" s="1893">
        <f>BQ135/BQ151</f>
        <v>9.7285486369627042E-2</v>
      </c>
      <c r="BR154" s="1893"/>
      <c r="BS154" s="1892"/>
      <c r="BT154" s="1893">
        <f>BT135/BT151</f>
        <v>9.8659587431456169E-2</v>
      </c>
      <c r="BU154" s="1893">
        <f>BU135/BU151</f>
        <v>0.10739256480218282</v>
      </c>
      <c r="BV154" s="1893"/>
      <c r="BW154" s="1892"/>
      <c r="BX154" s="1893">
        <f>BX135/BX151</f>
        <v>0.1042436804205218</v>
      </c>
      <c r="BY154" s="1893">
        <f>BY135/BY151</f>
        <v>0.11135798080341272</v>
      </c>
      <c r="BZ154" s="1893"/>
      <c r="CA154" s="1892"/>
      <c r="CB154" s="1893">
        <f>CB135/CB151</f>
        <v>0.11044909344490934</v>
      </c>
      <c r="CC154" s="1893">
        <f>CC135/CC151</f>
        <v>0.11041098877139431</v>
      </c>
      <c r="CD154" s="1893"/>
      <c r="CE154" s="1892"/>
      <c r="CF154" s="1893">
        <f>CF135/CF151</f>
        <v>0.10394791666666667</v>
      </c>
      <c r="CG154" s="1893">
        <f>CG135/CG151</f>
        <v>0.11402660061663893</v>
      </c>
      <c r="CH154" s="1893"/>
      <c r="CI154" s="1892"/>
      <c r="CJ154" s="1893">
        <f>CJ135/CJ151</f>
        <v>0.11391499795668165</v>
      </c>
      <c r="CK154" s="1893">
        <f>CK135/CK151</f>
        <v>0.12187035913740091</v>
      </c>
      <c r="CL154" s="1893"/>
      <c r="CM154" s="1892"/>
      <c r="CN154" s="1893">
        <f>CN135/CN151</f>
        <v>0.13530929286784504</v>
      </c>
      <c r="CO154" s="1893">
        <f>CO135/CO151</f>
        <v>0.12590387069332198</v>
      </c>
      <c r="CP154" s="1893"/>
      <c r="CQ154" s="1892"/>
      <c r="CR154" s="1893">
        <f>CR135/CR151</f>
        <v>0.11725619806183823</v>
      </c>
      <c r="CS154" s="1893">
        <f>CS135/CS151</f>
        <v>0.11462798530312308</v>
      </c>
      <c r="CT154" s="1893"/>
      <c r="CU154" s="1892"/>
      <c r="CV154" s="1893">
        <f>CV135/CV151</f>
        <v>0.12765832624446335</v>
      </c>
      <c r="CW154" s="1893">
        <f>CW135/CW151</f>
        <v>0.13650620919216488</v>
      </c>
      <c r="CX154" s="1893"/>
      <c r="CY154" s="1892"/>
      <c r="CZ154" s="1893">
        <f>CZ135/CZ151</f>
        <v>0.13229054524729275</v>
      </c>
      <c r="DA154" s="1893">
        <f>DA135/DA151</f>
        <v>0.13617453225570791</v>
      </c>
      <c r="DB154" s="1893"/>
      <c r="DC154" s="1892"/>
      <c r="DD154" s="2164">
        <f>DD135/DD151</f>
        <v>0.12754677077071278</v>
      </c>
      <c r="DE154" s="2164">
        <f>DE135/DE151</f>
        <v>0.12751891254521125</v>
      </c>
      <c r="DF154" s="1893"/>
      <c r="DG154" s="1892"/>
      <c r="DH154" s="2164">
        <f>DH135/DH151</f>
        <v>0.12372061125991486</v>
      </c>
      <c r="DI154" s="1893">
        <f ca="1">DI135/DI151</f>
        <v>0.12517329926418458</v>
      </c>
      <c r="DJ154" s="1893"/>
      <c r="DK154" s="1892"/>
      <c r="DL154" s="1893">
        <f ca="1">DL135/DL151</f>
        <v>0.1240593088806512</v>
      </c>
      <c r="DM154" s="1893">
        <f ca="1">DM135/DM151</f>
        <v>0.13486402156808083</v>
      </c>
      <c r="DN154" s="1893"/>
      <c r="DO154" s="1892"/>
      <c r="DP154" s="1893">
        <f ca="1">DP135/DP151</f>
        <v>0.13198900427632332</v>
      </c>
      <c r="DQ154" s="1893">
        <f ca="1">DQ135/DQ151</f>
        <v>0.14224143194739072</v>
      </c>
      <c r="DR154" s="1893"/>
      <c r="DS154" s="1892"/>
      <c r="DT154"/>
    </row>
    <row r="155" spans="1:124">
      <c r="BH155" s="293"/>
      <c r="BI155" s="293"/>
      <c r="BJ155" s="293"/>
      <c r="BK155" s="102"/>
      <c r="BM155" s="293"/>
      <c r="BN155" s="293"/>
      <c r="BQ155" s="293"/>
      <c r="BR155" s="293"/>
      <c r="BU155" s="293"/>
      <c r="BV155" s="293"/>
      <c r="BY155" s="293"/>
      <c r="BZ155" s="293"/>
      <c r="CC155" s="293"/>
      <c r="CD155" s="293"/>
      <c r="CG155" s="293"/>
      <c r="CH155" s="293"/>
      <c r="CK155" s="293"/>
      <c r="CL155" s="293"/>
      <c r="CO155" s="293"/>
      <c r="CP155" s="293"/>
      <c r="DA155" s="1408"/>
      <c r="DB155" s="1408"/>
      <c r="DE155" s="1408"/>
      <c r="DF155" s="1408"/>
    </row>
    <row r="156" spans="1:124">
      <c r="A156" s="102" t="s">
        <v>453</v>
      </c>
      <c r="BH156" s="293"/>
      <c r="BI156" s="293">
        <f>'Bal Sheet'!BI128*1000</f>
        <v>14800</v>
      </c>
      <c r="BJ156" s="293"/>
      <c r="BK156" s="102"/>
      <c r="BL156" s="293">
        <f>'Bal Sheet'!BL128*1000</f>
        <v>15200</v>
      </c>
      <c r="BM156" s="293">
        <f>'Bal Sheet'!BM128*1000</f>
        <v>16200</v>
      </c>
      <c r="BN156" s="293"/>
      <c r="BP156" s="293">
        <f>'Bal Sheet'!BP128*1000</f>
        <v>17800</v>
      </c>
      <c r="BQ156" s="293">
        <f>'Bal Sheet'!BQ128*1000</f>
        <v>21200</v>
      </c>
      <c r="BR156" s="293"/>
      <c r="BT156" s="293">
        <f>'Bal Sheet'!BT128*1000</f>
        <v>21600</v>
      </c>
      <c r="BU156" s="293">
        <f>'Bal Sheet'!BU128*1000</f>
        <v>23100</v>
      </c>
      <c r="BV156" s="293"/>
      <c r="BX156" s="293">
        <f>'Bal Sheet'!BX128*1000</f>
        <v>22600</v>
      </c>
      <c r="BY156" s="293">
        <f>'Bal Sheet'!BY128*1000</f>
        <v>23500</v>
      </c>
      <c r="BZ156" s="293"/>
      <c r="CB156" s="293">
        <f>'Bal Sheet'!CB128*1000</f>
        <v>25400</v>
      </c>
      <c r="CC156" s="293">
        <f>'Bal Sheet'!CC128*1000</f>
        <v>28700</v>
      </c>
      <c r="CD156" s="293"/>
      <c r="CF156" s="293">
        <f>'Bal Sheet'!CF128*1000</f>
        <v>32700.000000000004</v>
      </c>
      <c r="CG156" s="293">
        <f>'Bal Sheet'!CG128*1000</f>
        <v>35600</v>
      </c>
      <c r="CH156" s="293"/>
      <c r="CJ156" s="293">
        <f>'Bal Sheet'!CJ128*1000</f>
        <v>38800</v>
      </c>
      <c r="CK156" s="293">
        <f>'Bal Sheet'!CK128*1000</f>
        <v>43200</v>
      </c>
      <c r="CL156" s="293"/>
      <c r="CN156" s="293">
        <f>'Bal Sheet'!CN128*1000</f>
        <v>57300</v>
      </c>
      <c r="CO156" s="293">
        <f>'Bal Sheet'!CO128*1000</f>
        <v>66900</v>
      </c>
      <c r="CP156" s="293"/>
      <c r="CR156" s="293">
        <f>'Bal Sheet'!CR128*1000</f>
        <v>76800</v>
      </c>
      <c r="CS156" s="293">
        <f>'Bal Sheet'!CS128*1000</f>
        <v>89900</v>
      </c>
      <c r="CV156" s="293">
        <f>'Bal Sheet'!CV128*1000</f>
        <v>108100</v>
      </c>
      <c r="CW156" s="1495">
        <f>'Bal Sheet'!CW128*1000</f>
        <v>109000</v>
      </c>
      <c r="CZ156" s="293">
        <f>'Bal Sheet'!CZ128*1000</f>
        <v>115200</v>
      </c>
      <c r="DA156" s="1495">
        <f>'Bal Sheet'!DA128*1000</f>
        <v>120400</v>
      </c>
      <c r="DB156" s="1408"/>
      <c r="DD156" s="293">
        <f>'Bal Sheet'!DD128*1000</f>
        <v>131000</v>
      </c>
      <c r="DE156" s="1495">
        <f>'Bal Sheet'!DE128*1000</f>
        <v>143000</v>
      </c>
      <c r="DF156" s="1408"/>
      <c r="DH156" s="293">
        <f>'Bal Sheet'!DH128*1000</f>
        <v>161700</v>
      </c>
      <c r="DI156" s="293">
        <f>'Bal Sheet'!DI128*1000</f>
        <v>184338</v>
      </c>
      <c r="DL156" s="293">
        <f>'Bal Sheet'!DL128*1000</f>
        <v>200928.42</v>
      </c>
      <c r="DM156" s="293">
        <f>'Bal Sheet'!DM128*1000</f>
        <v>212984.12520000001</v>
      </c>
      <c r="DP156" s="293">
        <f>'Bal Sheet'!DP128*1000</f>
        <v>225763.17271200003</v>
      </c>
      <c r="DQ156" s="293">
        <f>'Bal Sheet'!DQ128*1000</f>
        <v>239308.96307472006</v>
      </c>
    </row>
    <row r="157" spans="1:124" s="289" customFormat="1">
      <c r="A157" s="289" t="s">
        <v>460</v>
      </c>
      <c r="C157" s="290"/>
      <c r="AN157" s="290"/>
      <c r="AO157" s="290"/>
      <c r="AP157" s="290"/>
      <c r="AQ157" s="290"/>
      <c r="AR157" s="290"/>
      <c r="AS157" s="290"/>
      <c r="AT157" s="290"/>
      <c r="AU157" s="290"/>
      <c r="AV157" s="290"/>
      <c r="AW157" s="290"/>
      <c r="AX157" s="290"/>
      <c r="AY157" s="290"/>
      <c r="AZ157" s="290"/>
      <c r="BA157" s="290"/>
      <c r="BB157" s="290"/>
      <c r="BC157" s="290"/>
      <c r="BD157" s="290"/>
      <c r="BE157" s="290"/>
      <c r="BF157" s="290"/>
      <c r="BG157" s="290"/>
      <c r="BH157" s="295"/>
      <c r="BI157" s="649">
        <f>+BI141/BI156</f>
        <v>0.17979729729729729</v>
      </c>
      <c r="BJ157" s="376"/>
      <c r="BL157" s="649">
        <f>+BL141/BL156</f>
        <v>0.24914473684210525</v>
      </c>
      <c r="BM157" s="649">
        <f>+BM141/BM156</f>
        <v>0.34283950617283948</v>
      </c>
      <c r="BN157" s="376"/>
      <c r="BO157" s="1019"/>
      <c r="BP157" s="649">
        <f>+BP141/BP156</f>
        <v>0.37617977528089885</v>
      </c>
      <c r="BQ157" s="649">
        <f>+BQ141/BQ156</f>
        <v>0.38297169811320753</v>
      </c>
      <c r="BR157" s="376"/>
      <c r="BS157" s="1019"/>
      <c r="BT157" s="649">
        <f>+BT141/BT156</f>
        <v>0.43560185185185185</v>
      </c>
      <c r="BU157" s="649">
        <f>+BU141/BU156</f>
        <v>0.42653679653679655</v>
      </c>
      <c r="BV157" s="376"/>
      <c r="BW157" s="640"/>
      <c r="BX157" s="649">
        <f>+BX141/BX156</f>
        <v>0.54017699115044249</v>
      </c>
      <c r="BY157" s="649">
        <f>+BY141/BY156</f>
        <v>0.51825531914893619</v>
      </c>
      <c r="BZ157" s="376"/>
      <c r="CA157" s="290"/>
      <c r="CB157" s="649">
        <f>+CB141/CB156</f>
        <v>0.52094488188976373</v>
      </c>
      <c r="CC157" s="649">
        <f>+CC141/CC156</f>
        <v>0.49770034843205574</v>
      </c>
      <c r="CD157" s="376"/>
      <c r="CE157" s="290"/>
      <c r="CF157" s="649">
        <f>+CF141/CF156</f>
        <v>0.45131498470948006</v>
      </c>
      <c r="CG157" s="649">
        <f>+CG141/CG156</f>
        <v>0.41157303370786519</v>
      </c>
      <c r="CH157" s="376"/>
      <c r="CI157" s="290"/>
      <c r="CJ157" s="649">
        <f>+CJ141/CJ156</f>
        <v>0.43067010309278353</v>
      </c>
      <c r="CK157" s="649">
        <f>+CK141/CK156</f>
        <v>0.41104166666666669</v>
      </c>
      <c r="CL157" s="376"/>
      <c r="CM157" s="290"/>
      <c r="CN157" s="649">
        <f>+CN141/CN156</f>
        <v>0.33211169284467712</v>
      </c>
      <c r="CO157" s="649">
        <f>+CO141/CO156</f>
        <v>0.32079222720478323</v>
      </c>
      <c r="CP157" s="376"/>
      <c r="CQ157" s="290"/>
      <c r="CR157" s="649">
        <f>+CR141/CR156</f>
        <v>0.30515625000000002</v>
      </c>
      <c r="CS157" s="649">
        <f>+CS141/CS156</f>
        <v>0.29813125695216908</v>
      </c>
      <c r="CT157" s="376"/>
      <c r="CU157" s="290"/>
      <c r="CV157" s="649">
        <f>+CV141/CV156</f>
        <v>0.26343200740055506</v>
      </c>
      <c r="CW157" s="649">
        <f>+CW141/CW156</f>
        <v>0.19326605504587155</v>
      </c>
      <c r="CX157" s="1840"/>
      <c r="CY157" s="290"/>
      <c r="CZ157" s="649">
        <f>+CZ141/CZ156</f>
        <v>0.19319444444444445</v>
      </c>
      <c r="DA157" s="649">
        <f>+DA141/DA156</f>
        <v>0.19274086378737543</v>
      </c>
      <c r="DB157" s="1840"/>
      <c r="DC157" s="290"/>
      <c r="DD157" s="649">
        <f>+DD141/DD156</f>
        <v>0.22031297709923664</v>
      </c>
      <c r="DE157" s="649">
        <f>+DE141/DE156</f>
        <v>0.22307631353327201</v>
      </c>
      <c r="DF157" s="1840"/>
      <c r="DG157" s="290"/>
      <c r="DH157" s="649">
        <f>+DH141/DH156</f>
        <v>0.20492185335320234</v>
      </c>
      <c r="DI157" s="1517">
        <f>DH157</f>
        <v>0.20492185335320234</v>
      </c>
      <c r="DJ157" s="290"/>
      <c r="DK157" s="290"/>
      <c r="DL157" s="1517">
        <f>DI157</f>
        <v>0.20492185335320234</v>
      </c>
      <c r="DM157" s="1517">
        <f>DL157</f>
        <v>0.20492185335320234</v>
      </c>
      <c r="DN157" s="290"/>
      <c r="DO157" s="290"/>
      <c r="DP157" s="1517">
        <f>DM157</f>
        <v>0.20492185335320234</v>
      </c>
      <c r="DQ157" s="1517">
        <f>DP157</f>
        <v>0.20492185335320234</v>
      </c>
      <c r="DR157" s="290"/>
      <c r="DS157" s="290"/>
      <c r="DT157"/>
    </row>
    <row r="158" spans="1:124">
      <c r="A158" s="102" t="s">
        <v>454</v>
      </c>
      <c r="BH158" s="293"/>
      <c r="BI158" s="293">
        <f ca="1">'Bal Sheet'!BI129*1000</f>
        <v>28099.999999999996</v>
      </c>
      <c r="BJ158" s="293"/>
      <c r="BK158" s="102"/>
      <c r="BL158" s="293">
        <f>'Bal Sheet'!BL129*1000</f>
        <v>30700</v>
      </c>
      <c r="BM158" s="293">
        <f>'Bal Sheet'!BM129*1000</f>
        <v>31000.000000000004</v>
      </c>
      <c r="BN158" s="293"/>
      <c r="BP158" s="293">
        <f>'Bal Sheet'!BP129*1000</f>
        <v>32099.999999999993</v>
      </c>
      <c r="BQ158" s="293">
        <f>'Bal Sheet'!BQ129*1000</f>
        <v>34000</v>
      </c>
      <c r="BR158" s="293"/>
      <c r="BT158" s="293">
        <f>'Bal Sheet'!BT129*1000</f>
        <v>39699.999999999993</v>
      </c>
      <c r="BU158" s="293">
        <f>'Bal Sheet'!BU129*1000</f>
        <v>45999.999999999993</v>
      </c>
      <c r="BV158" s="293"/>
      <c r="BX158" s="293">
        <f>'Bal Sheet'!BX129*1000</f>
        <v>45600</v>
      </c>
      <c r="BY158" s="293">
        <f>'Bal Sheet'!BY129*1000</f>
        <v>44000</v>
      </c>
      <c r="BZ158" s="293"/>
      <c r="CB158" s="293">
        <f>'Bal Sheet'!CB129*1000</f>
        <v>44699.999999999993</v>
      </c>
      <c r="CC158" s="293">
        <f>'Bal Sheet'!CC129*1000</f>
        <v>46599.999999999993</v>
      </c>
      <c r="CD158" s="293"/>
      <c r="CF158" s="293">
        <f>'Bal Sheet'!CF129*1000</f>
        <v>47899.999999999993</v>
      </c>
      <c r="CG158" s="293">
        <f>'Bal Sheet'!CG129*1000</f>
        <v>47400</v>
      </c>
      <c r="CH158" s="293"/>
      <c r="CJ158" s="293">
        <f>'Bal Sheet'!CJ129*1000</f>
        <v>42400.000000000007</v>
      </c>
      <c r="CK158" s="293">
        <f>'Bal Sheet'!CK129*1000</f>
        <v>43300</v>
      </c>
      <c r="CL158" s="293"/>
      <c r="CN158" s="293">
        <f>'Bal Sheet'!CN129*1000</f>
        <v>39000</v>
      </c>
      <c r="CO158" s="293">
        <f>'Bal Sheet'!CO129*1000</f>
        <v>40500</v>
      </c>
      <c r="CP158" s="293"/>
      <c r="CR158" s="293">
        <f>'Bal Sheet'!CR129*1000</f>
        <v>45300</v>
      </c>
      <c r="CS158" s="293">
        <f>'Bal Sheet'!CS129*1000</f>
        <v>48699.999999999985</v>
      </c>
      <c r="CV158" s="293">
        <f>'Bal Sheet'!CV129*1000</f>
        <v>45000</v>
      </c>
      <c r="CW158" s="1495">
        <f>'Bal Sheet'!CW129*1000</f>
        <v>54500</v>
      </c>
      <c r="CZ158" s="293">
        <f>'Bal Sheet'!CZ129*1000</f>
        <v>57399.999999999993</v>
      </c>
      <c r="DA158" s="1495">
        <f>'Bal Sheet'!DA129*1000</f>
        <v>61099.999999999993</v>
      </c>
      <c r="DB158" s="1408"/>
      <c r="DD158" s="293">
        <f>'Bal Sheet'!DD129*1000</f>
        <v>60900.000000000007</v>
      </c>
      <c r="DE158" s="1495">
        <f>'Bal Sheet'!DE129*1000</f>
        <v>62599.999999999993</v>
      </c>
      <c r="DF158" s="1408"/>
      <c r="DH158" s="293">
        <f>'Bal Sheet'!DH129*1000</f>
        <v>62300.000000000015</v>
      </c>
      <c r="DI158" s="293">
        <f>'Bal Sheet'!DI129*1000</f>
        <v>65415.000000000022</v>
      </c>
      <c r="DL158" s="293">
        <f>'Bal Sheet'!DL129*1000</f>
        <v>68031.60000000002</v>
      </c>
      <c r="DM158" s="293">
        <f>'Bal Sheet'!DM129*1000</f>
        <v>70752.864000000031</v>
      </c>
      <c r="DP158" s="293">
        <f>'Bal Sheet'!DP129*1000</f>
        <v>73582.978560000032</v>
      </c>
      <c r="DQ158" s="293">
        <f>'Bal Sheet'!DQ129*1000</f>
        <v>76526.297702400028</v>
      </c>
    </row>
    <row r="159" spans="1:124">
      <c r="A159" s="102" t="s">
        <v>459</v>
      </c>
      <c r="BH159" s="293"/>
      <c r="BI159" s="320">
        <f ca="1">+BI142/BI158</f>
        <v>1.1065480427046266</v>
      </c>
      <c r="BJ159" s="293"/>
      <c r="BK159" s="102"/>
      <c r="BL159" s="320">
        <f>+BL142/BL158</f>
        <v>1.063941368078176</v>
      </c>
      <c r="BM159" s="320">
        <f>+BM142/BM158</f>
        <v>1.0961290322580644</v>
      </c>
      <c r="BN159" s="293"/>
      <c r="BO159" s="638"/>
      <c r="BP159" s="320">
        <f>+BP142/BP158</f>
        <v>1.1247040498442371</v>
      </c>
      <c r="BQ159" s="320">
        <f>+BQ142/BQ158</f>
        <v>1.3177941176470589</v>
      </c>
      <c r="BR159" s="293"/>
      <c r="BS159" s="638"/>
      <c r="BT159" s="320">
        <f>+BT142/BT158</f>
        <v>1.2551889168765746</v>
      </c>
      <c r="BU159" s="320">
        <f>+BU142/BU158</f>
        <v>1.2216739130434784</v>
      </c>
      <c r="BV159" s="293"/>
      <c r="BW159" s="638"/>
      <c r="BX159" s="320">
        <f>+BX142/BX158</f>
        <v>1.1653728070175438</v>
      </c>
      <c r="BY159" s="320">
        <f>+BY142/BY158</f>
        <v>1.1621363636363637</v>
      </c>
      <c r="BZ159" s="293"/>
      <c r="CB159" s="320">
        <f>+CB142/CB158</f>
        <v>1.0987024608501121</v>
      </c>
      <c r="CC159" s="320">
        <f>+CC142/CC158</f>
        <v>1.0634978540772533</v>
      </c>
      <c r="CD159" s="293"/>
      <c r="CF159" s="320">
        <f>+CF142/CF158</f>
        <v>1.0200626304801672</v>
      </c>
      <c r="CG159" s="320">
        <f>+CG142/CG158</f>
        <v>0.84369198312236282</v>
      </c>
      <c r="CH159" s="293"/>
      <c r="CJ159" s="320">
        <f>+CJ142/CJ158</f>
        <v>1.1046462264150942</v>
      </c>
      <c r="CK159" s="320">
        <f>+CK142/CK158</f>
        <v>1.1990300230946882</v>
      </c>
      <c r="CL159" s="293"/>
      <c r="CN159" s="320">
        <f>+CN142/CN158</f>
        <v>1.159</v>
      </c>
      <c r="CO159" s="320">
        <f>+CO142/CO158</f>
        <v>1.1940493827160494</v>
      </c>
      <c r="CP159" s="293"/>
      <c r="CR159" s="320">
        <f>+CR142/CR158</f>
        <v>1.3566445916114791</v>
      </c>
      <c r="CS159" s="320">
        <f>+CS142/CS158</f>
        <v>1.3490759753593433</v>
      </c>
      <c r="CV159" s="320">
        <f>+CV142/CV158</f>
        <v>1.506688888888889</v>
      </c>
      <c r="CW159" s="320">
        <f>+CW142/CW158</f>
        <v>1.1576330275229358</v>
      </c>
      <c r="CZ159" s="320">
        <f>+CZ142/CZ158</f>
        <v>1.0755574912891988</v>
      </c>
      <c r="DA159" s="320">
        <f>+DA142/DA158</f>
        <v>1.0291980360065467</v>
      </c>
      <c r="DB159" s="1408"/>
      <c r="DD159" s="320">
        <f>+DD142/DD158</f>
        <v>1.0560426929392446</v>
      </c>
      <c r="DE159" s="320">
        <f>+DE142/DE158</f>
        <v>1.1355403132398185</v>
      </c>
      <c r="DF159" s="1408"/>
      <c r="DH159" s="320">
        <f>+DH142/DH158</f>
        <v>1.1852163721334372</v>
      </c>
      <c r="DI159" s="1167">
        <f>DH159</f>
        <v>1.1852163721334372</v>
      </c>
      <c r="DL159" s="1167">
        <f>DI159</f>
        <v>1.1852163721334372</v>
      </c>
      <c r="DM159" s="1167">
        <f>DL159</f>
        <v>1.1852163721334372</v>
      </c>
      <c r="DP159" s="1167">
        <f>DM159</f>
        <v>1.1852163721334372</v>
      </c>
      <c r="DQ159" s="1167">
        <f>DP159</f>
        <v>1.1852163721334372</v>
      </c>
    </row>
    <row r="160" spans="1:124">
      <c r="A160" s="102" t="s">
        <v>232</v>
      </c>
      <c r="BH160" s="293"/>
      <c r="BI160" s="293">
        <f>'Bal Sheet'!BI27-'Bal Sheet'!BI16</f>
        <v>93955</v>
      </c>
      <c r="BJ160" s="293"/>
      <c r="BK160" s="102"/>
      <c r="BL160" s="293">
        <f>'Bal Sheet'!BL27-'Bal Sheet'!BL16</f>
        <v>98507</v>
      </c>
      <c r="BM160" s="293">
        <f>'Bal Sheet'!BM27-'Bal Sheet'!BM16</f>
        <v>95192</v>
      </c>
      <c r="BN160" s="293"/>
      <c r="BP160" s="293">
        <f>'Bal Sheet'!BP27-'Bal Sheet'!BP16</f>
        <v>97897</v>
      </c>
      <c r="BQ160" s="293">
        <f>'Bal Sheet'!BQ27-'Bal Sheet'!BQ16</f>
        <v>115214</v>
      </c>
      <c r="BR160" s="293"/>
      <c r="BT160" s="293">
        <f>'Bal Sheet'!BT27-'Bal Sheet'!BT16</f>
        <v>132400</v>
      </c>
      <c r="BU160" s="293">
        <f>'Bal Sheet'!BU27-'Bal Sheet'!BU16</f>
        <v>116389</v>
      </c>
      <c r="BV160" s="293"/>
      <c r="BX160" s="293">
        <f>'Bal Sheet'!BX27-'Bal Sheet'!BX16</f>
        <v>115117</v>
      </c>
      <c r="BY160" s="293">
        <f>'Bal Sheet'!BY27-'Bal Sheet'!BY16</f>
        <v>106214</v>
      </c>
      <c r="BZ160" s="293"/>
      <c r="CB160" s="293">
        <f>'Bal Sheet'!CB27-'Bal Sheet'!CB16</f>
        <v>119373</v>
      </c>
      <c r="CC160" s="293">
        <f>'Bal Sheet'!CC27-'Bal Sheet'!CC16</f>
        <v>117816</v>
      </c>
      <c r="CD160" s="293"/>
      <c r="CF160" s="293">
        <f>'Bal Sheet'!CF27-'Bal Sheet'!CF16</f>
        <v>128645</v>
      </c>
      <c r="CG160" s="293">
        <f>'Bal Sheet'!CG27-'Bal Sheet'!CG16</f>
        <v>124708</v>
      </c>
      <c r="CH160" s="293"/>
      <c r="CJ160" s="293">
        <f>'Bal Sheet'!CJ27-'Bal Sheet'!CJ16</f>
        <v>134429</v>
      </c>
      <c r="CK160" s="293">
        <f>'Bal Sheet'!CK27-'Bal Sheet'!CK16</f>
        <v>161685</v>
      </c>
      <c r="CL160" s="293"/>
      <c r="CN160" s="293">
        <f>'Bal Sheet'!CN27-'Bal Sheet'!CN16</f>
        <v>137321</v>
      </c>
      <c r="CO160" s="293">
        <f>'Bal Sheet'!CO27-'Bal Sheet'!CO16</f>
        <v>140627</v>
      </c>
      <c r="CP160" s="293"/>
      <c r="CR160" s="293">
        <f>'Bal Sheet'!CR27-'Bal Sheet'!CR16</f>
        <v>230208</v>
      </c>
      <c r="CS160" s="293">
        <f>'Bal Sheet'!CS27-'Bal Sheet'!CS16</f>
        <v>264432</v>
      </c>
      <c r="CV160" s="293">
        <f>'Bal Sheet'!CV27-'Bal Sheet'!CV16</f>
        <v>337700</v>
      </c>
      <c r="CW160" s="1495">
        <f>'Bal Sheet'!CW27-'Bal Sheet'!CW16</f>
        <v>229300</v>
      </c>
      <c r="CZ160" s="293">
        <f>'Bal Sheet'!CZ27-'Bal Sheet'!CZ16</f>
        <v>227099</v>
      </c>
      <c r="DA160" s="1495">
        <f>'Bal Sheet'!DA27-'Bal Sheet'!DA16</f>
        <v>227033</v>
      </c>
      <c r="DB160" s="1408"/>
      <c r="DD160" s="293">
        <f>'Bal Sheet'!DD27-'Bal Sheet'!DD16</f>
        <v>227251</v>
      </c>
      <c r="DE160" s="1495">
        <f>'Bal Sheet'!DE27-'Bal Sheet'!DE16</f>
        <v>239573</v>
      </c>
      <c r="DF160" s="1408"/>
      <c r="DH160" s="293">
        <f>'Bal Sheet'!DH27-'Bal Sheet'!DH16</f>
        <v>260174</v>
      </c>
      <c r="DI160" s="293">
        <f>'Bal Sheet'!DI27-'Bal Sheet'!DI16</f>
        <v>269508.51450381684</v>
      </c>
      <c r="DL160" s="293">
        <f>'Bal Sheet'!DL27-'Bal Sheet'!DL16</f>
        <v>277218.30094045791</v>
      </c>
      <c r="DM160" s="293">
        <f>'Bal Sheet'!DM27-'Bal Sheet'!DM16</f>
        <v>285160.76123603055</v>
      </c>
      <c r="DP160" s="293">
        <f>'Bal Sheet'!DP27-'Bal Sheet'!DP16</f>
        <v>293343.59165894717</v>
      </c>
      <c r="DQ160" s="293">
        <f>'Bal Sheet'!DQ27-'Bal Sheet'!DQ16</f>
        <v>301774.7988620695</v>
      </c>
    </row>
    <row r="161" spans="1:124">
      <c r="A161" s="102" t="s">
        <v>461</v>
      </c>
      <c r="BH161" s="293"/>
      <c r="BI161" s="320">
        <f>BI144/BI160</f>
        <v>0.1104677771273482</v>
      </c>
      <c r="BJ161" s="293"/>
      <c r="BK161" s="102"/>
      <c r="BL161" s="320">
        <f>BL144/BL160</f>
        <v>0.1166414569522978</v>
      </c>
      <c r="BM161" s="320">
        <f>BM144/BM160</f>
        <v>0.11754139003277586</v>
      </c>
      <c r="BN161" s="293"/>
      <c r="BO161" s="638"/>
      <c r="BP161" s="320">
        <f>BP144/BP160</f>
        <v>0.12345628568801904</v>
      </c>
      <c r="BQ161" s="320">
        <f>BQ144/BQ160</f>
        <v>0.13079139687885152</v>
      </c>
      <c r="BR161" s="293"/>
      <c r="BS161" s="638"/>
      <c r="BT161" s="320">
        <f>BT144/BT160</f>
        <v>0.1207250755287009</v>
      </c>
      <c r="BU161" s="320">
        <f>BU144/BU160</f>
        <v>0.11726194056139326</v>
      </c>
      <c r="BV161" s="293"/>
      <c r="BW161" s="638"/>
      <c r="BX161" s="320">
        <f>BX144/BX160</f>
        <v>0.11966086677032932</v>
      </c>
      <c r="BY161" s="320">
        <f>BY144/BY160</f>
        <v>0.11941928559323629</v>
      </c>
      <c r="BZ161" s="293"/>
      <c r="CB161" s="320">
        <f>CB144/CB160</f>
        <v>0.11679357978772419</v>
      </c>
      <c r="CC161" s="320">
        <f>CC144/CC160</f>
        <v>0.11773443335370408</v>
      </c>
      <c r="CD161" s="293"/>
      <c r="CF161" s="320">
        <f>CF144/CF160</f>
        <v>0.11776594504255898</v>
      </c>
      <c r="CG161" s="320">
        <f>CG144/CG160</f>
        <v>5.9186259101260547E-2</v>
      </c>
      <c r="CH161" s="293"/>
      <c r="CJ161" s="320">
        <f>CJ144/CJ160</f>
        <v>6.8623585684636501E-2</v>
      </c>
      <c r="CK161" s="320">
        <f>CK144/CK160</f>
        <v>6.999412437764789E-2</v>
      </c>
      <c r="CL161" s="293"/>
      <c r="CN161" s="320">
        <f>CN144/CN160</f>
        <v>7.0892288870602463E-2</v>
      </c>
      <c r="CO161" s="320">
        <f>CO144/CO160</f>
        <v>5.524543650934742E-2</v>
      </c>
      <c r="CP161" s="293"/>
      <c r="CR161" s="320">
        <f>CR144/CR160</f>
        <v>5.0232832916319158E-2</v>
      </c>
      <c r="CS161" s="320">
        <f>CS144/CS160</f>
        <v>6.0450323712712528E-2</v>
      </c>
      <c r="CV161" s="320">
        <f>CV144/CV160</f>
        <v>5.1048267693218831E-2</v>
      </c>
      <c r="CW161" s="320">
        <f>CW144/CW160</f>
        <v>5.8124727431312688E-2</v>
      </c>
      <c r="CZ161" s="320">
        <f>CZ144/CZ160</f>
        <v>6.0722416214954708E-2</v>
      </c>
      <c r="DA161" s="320">
        <f>DA144/DA160</f>
        <v>5.356049561077024E-2</v>
      </c>
      <c r="DB161" s="1408"/>
      <c r="DD161" s="320">
        <f>DD144/DD160</f>
        <v>6.5957905575773038E-2</v>
      </c>
      <c r="DE161" s="320">
        <f>DE144/DE160</f>
        <v>6.915330006273443E-2</v>
      </c>
      <c r="DF161" s="1408"/>
      <c r="DH161" s="320">
        <f>DH144/DH160</f>
        <v>6.6144796670205383E-2</v>
      </c>
      <c r="DI161" s="1167">
        <f>DH161</f>
        <v>6.6144796670205383E-2</v>
      </c>
      <c r="DL161" s="1167">
        <f>DI161</f>
        <v>6.6144796670205383E-2</v>
      </c>
      <c r="DM161" s="1167">
        <f>DL161</f>
        <v>6.6144796670205383E-2</v>
      </c>
      <c r="DP161" s="1167">
        <f>DM161</f>
        <v>6.6144796670205383E-2</v>
      </c>
      <c r="DQ161" s="1167">
        <f>DP161</f>
        <v>6.6144796670205383E-2</v>
      </c>
    </row>
    <row r="162" spans="1:124">
      <c r="A162" s="102" t="s">
        <v>462</v>
      </c>
      <c r="BH162" s="293"/>
      <c r="BI162" s="320">
        <f>BI150/BI143</f>
        <v>4.6748629832617392E-2</v>
      </c>
      <c r="BJ162" s="293"/>
      <c r="BK162" s="102"/>
      <c r="BL162" s="320">
        <f>BL150/BL143</f>
        <v>4.5075445816186555E-2</v>
      </c>
      <c r="BM162" s="320">
        <f>BM150/BM143</f>
        <v>4.7478120099155155E-2</v>
      </c>
      <c r="BN162" s="293"/>
      <c r="BO162" s="638"/>
      <c r="BP162" s="320">
        <f>BP150/BP143</f>
        <v>4.7244094488188976E-2</v>
      </c>
      <c r="BQ162" s="320">
        <f>BQ150/BQ143</f>
        <v>4.6425062353563598E-2</v>
      </c>
      <c r="BR162" s="293"/>
      <c r="BS162" s="638"/>
      <c r="BT162" s="320">
        <f>BT150/BT143</f>
        <v>0</v>
      </c>
      <c r="BU162" s="320">
        <f>BU150/BU143</f>
        <v>0</v>
      </c>
      <c r="BV162" s="293"/>
      <c r="BW162" s="638"/>
      <c r="BX162" s="320">
        <f>BX150/BX143</f>
        <v>0</v>
      </c>
      <c r="BY162" s="320">
        <f>BY150/BY143</f>
        <v>0</v>
      </c>
      <c r="BZ162" s="293"/>
      <c r="CB162" s="320">
        <f>CB150/CB143</f>
        <v>0</v>
      </c>
      <c r="CC162" s="320">
        <f>CC150/CC143</f>
        <v>0</v>
      </c>
      <c r="CD162" s="293"/>
      <c r="CF162" s="320">
        <f>CF150/CF143</f>
        <v>0</v>
      </c>
      <c r="CG162" s="320">
        <f>CG150/CG143</f>
        <v>0</v>
      </c>
      <c r="CH162" s="293"/>
      <c r="CJ162" s="320">
        <f>CJ150/CJ143</f>
        <v>0</v>
      </c>
      <c r="CK162" s="320">
        <f>CK150/CK143</f>
        <v>0</v>
      </c>
      <c r="CL162" s="293"/>
      <c r="CN162" s="320">
        <f>CN150/CN143</f>
        <v>0</v>
      </c>
      <c r="CO162" s="320">
        <f>CO150/CO143</f>
        <v>0</v>
      </c>
      <c r="CP162" s="293"/>
      <c r="CR162" s="320">
        <f>CR150/CR143</f>
        <v>0</v>
      </c>
      <c r="CS162" s="320">
        <f>CS150/CS143</f>
        <v>0</v>
      </c>
      <c r="CV162" s="320">
        <f>CV150/CV143</f>
        <v>0</v>
      </c>
      <c r="CW162" s="320">
        <f>CW150/CW143</f>
        <v>0</v>
      </c>
      <c r="CZ162" s="320">
        <f>CZ150/CZ143</f>
        <v>0</v>
      </c>
      <c r="DA162" s="320">
        <f>DA150/DA143</f>
        <v>0</v>
      </c>
      <c r="DB162" s="1408"/>
      <c r="DD162" s="320">
        <f>DD150/DD143</f>
        <v>0</v>
      </c>
      <c r="DE162" s="320">
        <f>DE150/DE143</f>
        <v>0</v>
      </c>
      <c r="DF162" s="1408"/>
      <c r="DH162" s="320">
        <f>DH150/DH143</f>
        <v>0</v>
      </c>
      <c r="DI162" s="876">
        <f>DH162</f>
        <v>0</v>
      </c>
      <c r="DL162" s="876">
        <f>DI162</f>
        <v>0</v>
      </c>
      <c r="DM162" s="876">
        <f>DL162</f>
        <v>0</v>
      </c>
      <c r="DP162" s="876">
        <f>DM162</f>
        <v>0</v>
      </c>
      <c r="DQ162" s="876">
        <f>DP162</f>
        <v>0</v>
      </c>
    </row>
    <row r="163" spans="1:124">
      <c r="BH163" s="293"/>
      <c r="BI163" s="293"/>
      <c r="BJ163" s="293"/>
    </row>
    <row r="164" spans="1:124">
      <c r="A164" s="620" t="s">
        <v>441</v>
      </c>
      <c r="B164" s="621"/>
      <c r="C164" s="622"/>
      <c r="D164" s="621"/>
      <c r="E164" s="621"/>
      <c r="F164" s="621"/>
      <c r="G164" s="621"/>
      <c r="H164" s="621"/>
      <c r="I164" s="621"/>
      <c r="J164" s="621"/>
      <c r="K164" s="621"/>
      <c r="L164" s="621"/>
      <c r="M164" s="621"/>
      <c r="N164" s="621"/>
      <c r="O164" s="621"/>
      <c r="P164" s="621"/>
      <c r="Q164" s="621"/>
      <c r="R164" s="621"/>
      <c r="S164" s="621"/>
      <c r="T164" s="621"/>
      <c r="U164" s="621"/>
      <c r="V164" s="621"/>
      <c r="W164" s="621"/>
      <c r="X164" s="621"/>
      <c r="Y164" s="621"/>
      <c r="Z164" s="621"/>
      <c r="AA164" s="621"/>
      <c r="AB164" s="621"/>
      <c r="AC164" s="621"/>
      <c r="AD164" s="621"/>
      <c r="AE164" s="621"/>
      <c r="AF164" s="621"/>
      <c r="AG164" s="621"/>
      <c r="AH164" s="621"/>
      <c r="AI164" s="621"/>
      <c r="AJ164" s="621"/>
      <c r="AK164" s="621"/>
      <c r="AL164" s="621"/>
      <c r="AM164" s="621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  <c r="AZ164" s="622"/>
      <c r="BA164" s="622"/>
      <c r="BB164" s="622"/>
      <c r="BC164" s="622"/>
      <c r="BD164" s="622"/>
      <c r="BE164" s="622"/>
      <c r="BF164" s="622"/>
      <c r="BG164" s="622"/>
      <c r="BH164" s="622"/>
      <c r="BI164" s="622"/>
      <c r="BJ164" s="622"/>
      <c r="BK164" s="622"/>
      <c r="BL164" s="622"/>
      <c r="BM164" s="622"/>
      <c r="BN164" s="622"/>
      <c r="BO164" s="622"/>
      <c r="BP164" s="622"/>
      <c r="BQ164" s="622"/>
      <c r="BR164" s="622"/>
      <c r="BS164" s="622"/>
      <c r="BT164" s="622"/>
      <c r="BU164" s="622"/>
      <c r="BV164" s="622"/>
      <c r="BW164" s="622"/>
      <c r="BX164" s="622"/>
      <c r="BY164" s="622"/>
      <c r="BZ164" s="622"/>
      <c r="CA164" s="622"/>
      <c r="CB164" s="622"/>
      <c r="CC164" s="622"/>
      <c r="CD164" s="622"/>
      <c r="CE164" s="622"/>
      <c r="CF164" s="622"/>
      <c r="CG164" s="622"/>
      <c r="CH164" s="622"/>
      <c r="CI164" s="622"/>
      <c r="CJ164" s="622"/>
      <c r="CK164" s="622"/>
      <c r="CL164" s="622"/>
      <c r="CM164" s="622"/>
      <c r="CN164" s="622"/>
      <c r="CO164" s="622"/>
      <c r="CP164" s="622"/>
      <c r="CQ164" s="622"/>
      <c r="CR164" s="622"/>
      <c r="CS164" s="622"/>
      <c r="CT164" s="622"/>
      <c r="CU164" s="622"/>
      <c r="CV164" s="622"/>
      <c r="CW164" s="1791"/>
      <c r="CX164" s="1791"/>
      <c r="CY164" s="622"/>
      <c r="CZ164" s="622"/>
      <c r="DA164" s="622"/>
      <c r="DB164" s="622"/>
      <c r="DC164" s="622"/>
      <c r="DD164" s="622"/>
      <c r="DE164" s="622"/>
      <c r="DF164" s="622"/>
      <c r="DG164" s="622"/>
      <c r="DH164" s="622"/>
      <c r="DI164" s="622"/>
      <c r="DJ164" s="622"/>
      <c r="DK164" s="622"/>
      <c r="DL164" s="622"/>
      <c r="DM164" s="622"/>
      <c r="DN164" s="622"/>
      <c r="DO164" s="622"/>
      <c r="DP164" s="622"/>
      <c r="DQ164" s="622"/>
      <c r="DR164" s="622"/>
      <c r="DS164" s="622"/>
    </row>
    <row r="165" spans="1:124">
      <c r="BH165" s="293"/>
      <c r="BI165" s="293"/>
      <c r="BJ165" s="293"/>
    </row>
    <row r="166" spans="1:124">
      <c r="A166" s="289" t="s">
        <v>427</v>
      </c>
      <c r="BH166" s="293"/>
      <c r="BI166" s="626"/>
      <c r="BJ166" s="293"/>
      <c r="CN166" s="103" t="s">
        <v>1234</v>
      </c>
    </row>
    <row r="167" spans="1:124">
      <c r="A167" s="102" t="s">
        <v>402</v>
      </c>
      <c r="BH167" s="293"/>
      <c r="BI167" s="626">
        <v>20</v>
      </c>
      <c r="BJ167" s="293">
        <f>BI167</f>
        <v>20</v>
      </c>
      <c r="BL167" s="626">
        <v>21</v>
      </c>
      <c r="BM167" s="626">
        <v>22</v>
      </c>
      <c r="BN167" s="293">
        <f>BM167</f>
        <v>22</v>
      </c>
      <c r="BP167" s="626">
        <v>23</v>
      </c>
      <c r="BQ167" s="626">
        <v>30</v>
      </c>
      <c r="BR167" s="293">
        <f>BQ167</f>
        <v>30</v>
      </c>
      <c r="BT167" s="626">
        <v>19</v>
      </c>
      <c r="BU167" s="626">
        <v>18</v>
      </c>
      <c r="BV167" s="293">
        <f>BU167</f>
        <v>18</v>
      </c>
      <c r="BX167" s="626">
        <v>22</v>
      </c>
      <c r="BY167" s="626">
        <v>20</v>
      </c>
      <c r="BZ167" s="293">
        <f>BY167</f>
        <v>20</v>
      </c>
      <c r="CB167" s="626">
        <v>22</v>
      </c>
      <c r="CC167" s="626">
        <v>28</v>
      </c>
      <c r="CD167" s="293">
        <f>CC167</f>
        <v>28</v>
      </c>
      <c r="CF167" s="626">
        <v>38</v>
      </c>
      <c r="CG167" s="626">
        <v>34</v>
      </c>
      <c r="CH167" s="293">
        <f>CG167</f>
        <v>34</v>
      </c>
      <c r="CJ167" s="626">
        <v>57</v>
      </c>
      <c r="CK167" s="626">
        <v>51</v>
      </c>
      <c r="CL167" s="293">
        <f>CK167</f>
        <v>51</v>
      </c>
      <c r="CN167" s="626">
        <v>84</v>
      </c>
      <c r="CO167" s="626">
        <v>80</v>
      </c>
      <c r="CP167" s="293">
        <f>CO167</f>
        <v>80</v>
      </c>
      <c r="CR167" s="626">
        <v>143</v>
      </c>
      <c r="CS167" s="1388">
        <v>217</v>
      </c>
      <c r="CT167" s="293">
        <f>CS167</f>
        <v>217</v>
      </c>
      <c r="CV167" s="626">
        <v>293</v>
      </c>
      <c r="CW167" s="1497">
        <v>262</v>
      </c>
      <c r="CX167" s="1495">
        <f>CW167</f>
        <v>262</v>
      </c>
      <c r="CZ167" s="1488">
        <v>305</v>
      </c>
      <c r="DA167" s="1488">
        <v>247</v>
      </c>
      <c r="DB167" s="1495">
        <f>DA167</f>
        <v>247</v>
      </c>
      <c r="DD167" s="2176">
        <v>289</v>
      </c>
      <c r="DE167" s="2149">
        <f t="shared" ref="DE167" si="183">+DE210*DE$176</f>
        <v>286.5916666666667</v>
      </c>
      <c r="DF167" s="1495">
        <f>DE167</f>
        <v>286.5916666666667</v>
      </c>
      <c r="DH167" s="2149">
        <f t="shared" ref="DH167:DH171" si="184">+DH210*DH$176</f>
        <v>255.28333333333336</v>
      </c>
      <c r="DI167" s="293">
        <f t="shared" ref="DI167" si="185">+DI210*DI$176</f>
        <v>262.94183333333336</v>
      </c>
      <c r="DJ167" s="293">
        <f>DI167</f>
        <v>262.94183333333336</v>
      </c>
      <c r="DL167" s="293">
        <f t="shared" ref="DL167:DM167" si="186">+DL210*DL$176</f>
        <v>270.83008833333332</v>
      </c>
      <c r="DM167" s="293">
        <f t="shared" si="186"/>
        <v>278.9549909833334</v>
      </c>
      <c r="DN167" s="293">
        <f>DM167</f>
        <v>278.9549909833334</v>
      </c>
      <c r="DP167" s="293">
        <f t="shared" ref="DP167:DQ167" si="187">+DP210*DP$176</f>
        <v>287.32364071283337</v>
      </c>
      <c r="DQ167" s="293">
        <f t="shared" si="187"/>
        <v>295.94334993421842</v>
      </c>
      <c r="DR167" s="293">
        <f>DQ167</f>
        <v>295.94334993421842</v>
      </c>
    </row>
    <row r="168" spans="1:124">
      <c r="A168" s="102" t="s">
        <v>350</v>
      </c>
      <c r="BH168" s="293"/>
      <c r="BI168" s="626">
        <v>149</v>
      </c>
      <c r="BJ168" s="293">
        <f t="shared" ref="BJ168:BJ174" si="188">BI168</f>
        <v>149</v>
      </c>
      <c r="BL168" s="626">
        <v>192</v>
      </c>
      <c r="BM168" s="626">
        <v>150</v>
      </c>
      <c r="BN168" s="293">
        <f t="shared" ref="BN168:BN174" si="189">BM168</f>
        <v>150</v>
      </c>
      <c r="BP168" s="626">
        <v>137</v>
      </c>
      <c r="BQ168" s="626">
        <v>127</v>
      </c>
      <c r="BR168" s="293">
        <f t="shared" ref="BR168:BR174" si="190">BQ168</f>
        <v>127</v>
      </c>
      <c r="BT168" s="626">
        <v>169</v>
      </c>
      <c r="BU168" s="626">
        <v>120</v>
      </c>
      <c r="BV168" s="293">
        <f t="shared" ref="BV168:BV174" si="191">BU168</f>
        <v>120</v>
      </c>
      <c r="BX168" s="626">
        <v>138</v>
      </c>
      <c r="BY168" s="626">
        <v>118</v>
      </c>
      <c r="BZ168" s="293">
        <f t="shared" ref="BZ168:BZ174" si="192">BY168</f>
        <v>118</v>
      </c>
      <c r="CB168" s="626">
        <v>117</v>
      </c>
      <c r="CC168" s="626">
        <v>124</v>
      </c>
      <c r="CD168" s="293">
        <f t="shared" ref="CD168:CD174" si="193">CC168</f>
        <v>124</v>
      </c>
      <c r="CF168" s="626">
        <v>194</v>
      </c>
      <c r="CG168" s="626">
        <v>1689</v>
      </c>
      <c r="CH168" s="293">
        <f t="shared" ref="CH168:CH174" si="194">CG168</f>
        <v>1689</v>
      </c>
      <c r="CJ168" s="626">
        <v>567</v>
      </c>
      <c r="CK168" s="626">
        <v>758</v>
      </c>
      <c r="CL168" s="293">
        <f t="shared" ref="CL168:CL174" si="195">CK168</f>
        <v>758</v>
      </c>
      <c r="CN168" s="626">
        <v>659</v>
      </c>
      <c r="CO168" s="626">
        <v>695</v>
      </c>
      <c r="CP168" s="293">
        <f t="shared" ref="CP168:CP174" si="196">CO168</f>
        <v>695</v>
      </c>
      <c r="CR168" s="626">
        <v>967</v>
      </c>
      <c r="CS168" s="1388">
        <v>1352</v>
      </c>
      <c r="CT168" s="293">
        <f t="shared" ref="CT168:CT174" si="197">CS168</f>
        <v>1352</v>
      </c>
      <c r="CV168" s="626">
        <v>1664</v>
      </c>
      <c r="CW168" s="1497">
        <v>1842</v>
      </c>
      <c r="CX168" s="1495">
        <f t="shared" ref="CX168:CX174" si="198">CW168</f>
        <v>1842</v>
      </c>
      <c r="CZ168" s="1863">
        <v>1980</v>
      </c>
      <c r="DA168" s="1488">
        <v>2014</v>
      </c>
      <c r="DB168" s="1495">
        <f t="shared" ref="DB168:DB174" si="199">DA168</f>
        <v>2014</v>
      </c>
      <c r="DD168" s="2176">
        <v>2113</v>
      </c>
      <c r="DE168" s="2149">
        <f t="shared" ref="DE168" si="200">+DE211*DE$176</f>
        <v>2244.4755555555557</v>
      </c>
      <c r="DF168" s="1495">
        <f t="shared" ref="DF168:DF174" si="201">DE168</f>
        <v>2244.4755555555557</v>
      </c>
      <c r="DH168" s="2149">
        <f t="shared" si="184"/>
        <v>2244.4755555555557</v>
      </c>
      <c r="DI168" s="293">
        <f t="shared" ref="DI168" si="202">+DI211*DI$176</f>
        <v>2455.6109411166667</v>
      </c>
      <c r="DJ168" s="293">
        <f t="shared" ref="DJ168:DJ174" si="203">DI168</f>
        <v>2455.6109411166667</v>
      </c>
      <c r="DL168" s="293">
        <f t="shared" ref="DL168:DM168" si="204">+DL211*DL$176</f>
        <v>2593.9407266010003</v>
      </c>
      <c r="DM168" s="293">
        <f t="shared" si="204"/>
        <v>2683.1626665672734</v>
      </c>
      <c r="DN168" s="293">
        <f t="shared" ref="DN168:DN174" si="205">DM168</f>
        <v>2683.1626665672734</v>
      </c>
      <c r="DP168" s="293">
        <f t="shared" ref="DP168:DQ168" si="206">+DP211*DP$176</f>
        <v>2774.5470589553711</v>
      </c>
      <c r="DQ168" s="293">
        <f t="shared" si="206"/>
        <v>2868.0586437376396</v>
      </c>
      <c r="DR168" s="293">
        <f t="shared" ref="DR168:DR174" si="207">DQ168</f>
        <v>2868.0586437376396</v>
      </c>
    </row>
    <row r="169" spans="1:124">
      <c r="A169" s="102" t="s">
        <v>442</v>
      </c>
      <c r="BH169" s="293"/>
      <c r="BI169" s="626">
        <v>5</v>
      </c>
      <c r="BJ169" s="293">
        <f t="shared" si="188"/>
        <v>5</v>
      </c>
      <c r="BL169" s="626">
        <v>11</v>
      </c>
      <c r="BM169" s="626">
        <v>54</v>
      </c>
      <c r="BN169" s="293">
        <f t="shared" si="189"/>
        <v>54</v>
      </c>
      <c r="BP169" s="626">
        <v>85</v>
      </c>
      <c r="BQ169" s="626">
        <v>77</v>
      </c>
      <c r="BR169" s="293">
        <f t="shared" si="190"/>
        <v>77</v>
      </c>
      <c r="BT169" s="626">
        <v>48</v>
      </c>
      <c r="BU169" s="626">
        <v>68</v>
      </c>
      <c r="BV169" s="293">
        <f t="shared" si="191"/>
        <v>68</v>
      </c>
      <c r="BX169" s="626">
        <v>73</v>
      </c>
      <c r="BY169" s="626">
        <v>68</v>
      </c>
      <c r="BZ169" s="293">
        <f t="shared" si="192"/>
        <v>68</v>
      </c>
      <c r="CB169" s="626">
        <v>85</v>
      </c>
      <c r="CC169" s="626">
        <v>81</v>
      </c>
      <c r="CD169" s="293">
        <f t="shared" si="193"/>
        <v>81</v>
      </c>
      <c r="CF169" s="626">
        <v>130</v>
      </c>
      <c r="CG169" s="626">
        <v>96</v>
      </c>
      <c r="CH169" s="293">
        <f t="shared" si="194"/>
        <v>96</v>
      </c>
      <c r="CJ169" s="626">
        <v>102</v>
      </c>
      <c r="CK169" s="626">
        <v>54</v>
      </c>
      <c r="CL169" s="293">
        <f t="shared" si="195"/>
        <v>54</v>
      </c>
      <c r="CN169" s="626">
        <v>35</v>
      </c>
      <c r="CO169" s="626">
        <v>67</v>
      </c>
      <c r="CP169" s="293">
        <f t="shared" si="196"/>
        <v>67</v>
      </c>
      <c r="CR169" s="626">
        <v>137</v>
      </c>
      <c r="CS169" s="1388">
        <v>136</v>
      </c>
      <c r="CT169" s="293">
        <f t="shared" si="197"/>
        <v>136</v>
      </c>
      <c r="CV169" s="626">
        <v>144</v>
      </c>
      <c r="CW169" s="1497">
        <v>164</v>
      </c>
      <c r="CX169" s="1495">
        <f t="shared" si="198"/>
        <v>164</v>
      </c>
      <c r="CZ169" s="1863">
        <v>302</v>
      </c>
      <c r="DA169" s="1488">
        <v>162</v>
      </c>
      <c r="DB169" s="1495">
        <f t="shared" si="199"/>
        <v>162</v>
      </c>
      <c r="DD169" s="2176">
        <v>159</v>
      </c>
      <c r="DE169" s="2149">
        <f t="shared" ref="DE169" si="208">+DE212*DE$176</f>
        <v>185.5</v>
      </c>
      <c r="DF169" s="1495">
        <f t="shared" si="201"/>
        <v>185.5</v>
      </c>
      <c r="DH169" s="2149">
        <f t="shared" si="184"/>
        <v>424</v>
      </c>
      <c r="DI169" s="293">
        <f t="shared" ref="DI169" si="209">+DI212*DI$176</f>
        <v>432.48</v>
      </c>
      <c r="DJ169" s="293">
        <f t="shared" si="203"/>
        <v>432.48</v>
      </c>
      <c r="DL169" s="293">
        <f t="shared" ref="DL169:DM169" si="210">+DL212*DL$176</f>
        <v>441.12959999999998</v>
      </c>
      <c r="DM169" s="293">
        <f t="shared" si="210"/>
        <v>449.95219200000003</v>
      </c>
      <c r="DN169" s="293">
        <f t="shared" si="205"/>
        <v>449.95219200000003</v>
      </c>
      <c r="DP169" s="293">
        <f t="shared" ref="DP169:DQ169" si="211">+DP212*DP$176</f>
        <v>458.95123584000004</v>
      </c>
      <c r="DQ169" s="293">
        <f t="shared" si="211"/>
        <v>468.13026055680001</v>
      </c>
      <c r="DR169" s="293">
        <f t="shared" si="207"/>
        <v>468.13026055680001</v>
      </c>
    </row>
    <row r="170" spans="1:124">
      <c r="A170" s="102" t="s">
        <v>443</v>
      </c>
      <c r="BH170" s="293"/>
      <c r="BI170" s="626">
        <v>2121</v>
      </c>
      <c r="BJ170" s="293">
        <f t="shared" si="188"/>
        <v>2121</v>
      </c>
      <c r="BL170" s="626">
        <v>2293</v>
      </c>
      <c r="BM170" s="626">
        <v>1718</v>
      </c>
      <c r="BN170" s="293">
        <f t="shared" si="189"/>
        <v>1718</v>
      </c>
      <c r="BO170" s="293"/>
      <c r="BP170" s="626">
        <v>1662</v>
      </c>
      <c r="BQ170" s="626">
        <v>1868</v>
      </c>
      <c r="BR170" s="293">
        <f t="shared" si="190"/>
        <v>1868</v>
      </c>
      <c r="BS170" s="293"/>
      <c r="BT170" s="626">
        <v>2303</v>
      </c>
      <c r="BU170" s="626">
        <v>2114</v>
      </c>
      <c r="BV170" s="293">
        <f t="shared" si="191"/>
        <v>2114</v>
      </c>
      <c r="BX170" s="626">
        <v>1963</v>
      </c>
      <c r="BY170" s="626">
        <v>2054</v>
      </c>
      <c r="BZ170" s="293">
        <f t="shared" si="192"/>
        <v>2054</v>
      </c>
      <c r="CB170" s="626">
        <v>2715</v>
      </c>
      <c r="CC170" s="626">
        <v>2597</v>
      </c>
      <c r="CD170" s="293">
        <f t="shared" si="193"/>
        <v>2597</v>
      </c>
      <c r="CF170" s="626">
        <v>2509</v>
      </c>
      <c r="CG170" s="626">
        <v>2473</v>
      </c>
      <c r="CH170" s="293">
        <f t="shared" si="194"/>
        <v>2473</v>
      </c>
      <c r="CJ170" s="626">
        <v>4042</v>
      </c>
      <c r="CK170" s="626">
        <v>3411</v>
      </c>
      <c r="CL170" s="293">
        <f t="shared" si="195"/>
        <v>3411</v>
      </c>
      <c r="CN170" s="626">
        <v>2850</v>
      </c>
      <c r="CO170" s="626">
        <v>2355</v>
      </c>
      <c r="CP170" s="293">
        <f t="shared" si="196"/>
        <v>2355</v>
      </c>
      <c r="CR170" s="626">
        <v>2498</v>
      </c>
      <c r="CS170" s="1388">
        <v>2402</v>
      </c>
      <c r="CT170" s="293">
        <f t="shared" si="197"/>
        <v>2402</v>
      </c>
      <c r="CV170" s="626">
        <v>3170</v>
      </c>
      <c r="CW170" s="1497">
        <v>3414</v>
      </c>
      <c r="CX170" s="1495">
        <f t="shared" si="198"/>
        <v>3414</v>
      </c>
      <c r="CZ170" s="1863">
        <v>4008</v>
      </c>
      <c r="DA170" s="1488">
        <v>4493</v>
      </c>
      <c r="DB170" s="1495">
        <f t="shared" si="199"/>
        <v>4493</v>
      </c>
      <c r="DD170" s="2176">
        <v>4517</v>
      </c>
      <c r="DE170" s="2149">
        <f t="shared" ref="DE170" si="212">+DE213*DE$176</f>
        <v>5987.0621169311016</v>
      </c>
      <c r="DF170" s="1495">
        <f t="shared" si="201"/>
        <v>5987.0621169311016</v>
      </c>
      <c r="DH170" s="2149">
        <f t="shared" si="184"/>
        <v>5306.7141490980212</v>
      </c>
      <c r="DI170" s="293">
        <f t="shared" ref="DI170" si="213">+DI213*DI$176</f>
        <v>5412.8484320799835</v>
      </c>
      <c r="DJ170" s="293">
        <f t="shared" si="203"/>
        <v>5412.8484320799835</v>
      </c>
      <c r="DL170" s="293">
        <f t="shared" ref="DL170:DM170" si="214">+DL213*DL$176</f>
        <v>5521.1054007215826</v>
      </c>
      <c r="DM170" s="293">
        <f t="shared" si="214"/>
        <v>5631.5275087360142</v>
      </c>
      <c r="DN170" s="293">
        <f t="shared" si="205"/>
        <v>5631.5275087360142</v>
      </c>
      <c r="DP170" s="293">
        <f t="shared" ref="DP170:DQ170" si="215">+DP213*DP$176</f>
        <v>5744.1580589107343</v>
      </c>
      <c r="DQ170" s="293">
        <f t="shared" si="215"/>
        <v>5859.0412200889477</v>
      </c>
      <c r="DR170" s="293">
        <f t="shared" si="207"/>
        <v>5859.0412200889477</v>
      </c>
    </row>
    <row r="171" spans="1:124">
      <c r="A171" s="102" t="s">
        <v>444</v>
      </c>
      <c r="BH171" s="293"/>
      <c r="BI171" s="626">
        <v>290</v>
      </c>
      <c r="BJ171" s="293">
        <f t="shared" si="188"/>
        <v>290</v>
      </c>
      <c r="BL171" s="626">
        <v>293</v>
      </c>
      <c r="BM171" s="626">
        <v>286</v>
      </c>
      <c r="BN171" s="293">
        <f t="shared" si="189"/>
        <v>286</v>
      </c>
      <c r="BP171" s="626">
        <v>310</v>
      </c>
      <c r="BQ171" s="626">
        <v>254</v>
      </c>
      <c r="BR171" s="293">
        <f t="shared" si="190"/>
        <v>254</v>
      </c>
      <c r="BT171" s="626">
        <v>337</v>
      </c>
      <c r="BU171" s="626">
        <v>249</v>
      </c>
      <c r="BV171" s="293">
        <f t="shared" si="191"/>
        <v>249</v>
      </c>
      <c r="BX171" s="626">
        <v>253</v>
      </c>
      <c r="BY171" s="626">
        <v>198</v>
      </c>
      <c r="BZ171" s="293">
        <f t="shared" si="192"/>
        <v>198</v>
      </c>
      <c r="CB171" s="626">
        <v>275</v>
      </c>
      <c r="CC171" s="626">
        <v>288</v>
      </c>
      <c r="CD171" s="293">
        <f t="shared" si="193"/>
        <v>288</v>
      </c>
      <c r="CF171" s="626">
        <v>914</v>
      </c>
      <c r="CG171" s="626">
        <v>930</v>
      </c>
      <c r="CH171" s="293">
        <f t="shared" si="194"/>
        <v>930</v>
      </c>
      <c r="CJ171" s="626">
        <v>1001</v>
      </c>
      <c r="CK171" s="626">
        <v>1126</v>
      </c>
      <c r="CL171" s="293">
        <f t="shared" si="195"/>
        <v>1126</v>
      </c>
      <c r="CN171" s="626">
        <v>896</v>
      </c>
      <c r="CO171" s="626">
        <v>956</v>
      </c>
      <c r="CP171" s="293">
        <f t="shared" si="196"/>
        <v>956</v>
      </c>
      <c r="CR171" s="626">
        <v>1835</v>
      </c>
      <c r="CS171" s="1388">
        <v>1843</v>
      </c>
      <c r="CT171" s="293">
        <f t="shared" si="197"/>
        <v>1843</v>
      </c>
      <c r="CV171" s="626">
        <v>2012</v>
      </c>
      <c r="CW171" s="1497">
        <v>1925</v>
      </c>
      <c r="CX171" s="1495">
        <f t="shared" si="198"/>
        <v>1925</v>
      </c>
      <c r="CZ171" s="1863">
        <v>2107</v>
      </c>
      <c r="DA171" s="1488">
        <v>1826</v>
      </c>
      <c r="DB171" s="1495">
        <f t="shared" si="199"/>
        <v>1826</v>
      </c>
      <c r="DD171" s="2176">
        <v>1898</v>
      </c>
      <c r="DE171" s="2149">
        <f t="shared" ref="DE171" si="216">+DE214*DE$176</f>
        <v>1620.2439024390246</v>
      </c>
      <c r="DF171" s="1495">
        <f t="shared" si="201"/>
        <v>1620.2439024390246</v>
      </c>
      <c r="DH171" s="2149">
        <f t="shared" si="184"/>
        <v>1527.6585365853659</v>
      </c>
      <c r="DI171" s="293">
        <f t="shared" ref="DI171" si="217">+DI214*DI$176</f>
        <v>1563.0943949825785</v>
      </c>
      <c r="DJ171" s="293">
        <f t="shared" si="203"/>
        <v>1563.0943949825785</v>
      </c>
      <c r="DL171" s="293">
        <f t="shared" ref="DL171:DM171" si="218">+DL214*DL$176</f>
        <v>1599.5933291317074</v>
      </c>
      <c r="DM171" s="293">
        <f t="shared" si="218"/>
        <v>1637.1872313053102</v>
      </c>
      <c r="DN171" s="293">
        <f t="shared" si="205"/>
        <v>1637.1872313053102</v>
      </c>
      <c r="DP171" s="293">
        <f t="shared" ref="DP171:DQ171" si="219">+DP214*DP$176</f>
        <v>1675.9089505441211</v>
      </c>
      <c r="DQ171" s="293">
        <f t="shared" si="219"/>
        <v>1715.7923213600964</v>
      </c>
      <c r="DR171" s="293">
        <f t="shared" si="207"/>
        <v>1715.7923213600964</v>
      </c>
    </row>
    <row r="172" spans="1:124" s="289" customFormat="1">
      <c r="A172" s="289" t="s">
        <v>447</v>
      </c>
      <c r="C172" s="290"/>
      <c r="AN172" s="290"/>
      <c r="AO172" s="290"/>
      <c r="AP172" s="290"/>
      <c r="AQ172" s="290"/>
      <c r="AR172" s="290"/>
      <c r="AS172" s="290"/>
      <c r="AT172" s="290"/>
      <c r="AU172" s="290"/>
      <c r="AV172" s="290"/>
      <c r="AW172" s="290"/>
      <c r="AX172" s="290"/>
      <c r="AY172" s="290"/>
      <c r="AZ172" s="290"/>
      <c r="BA172" s="290"/>
      <c r="BB172" s="290"/>
      <c r="BC172" s="290"/>
      <c r="BD172" s="290"/>
      <c r="BE172" s="290"/>
      <c r="BF172" s="290"/>
      <c r="BG172" s="290"/>
      <c r="BH172" s="295"/>
      <c r="BI172" s="295">
        <f>SUM(BI167:BI171)</f>
        <v>2585</v>
      </c>
      <c r="BJ172" s="293">
        <f t="shared" si="188"/>
        <v>2585</v>
      </c>
      <c r="BK172" s="290"/>
      <c r="BL172" s="295">
        <f>SUM(BL167:BL171)</f>
        <v>2810</v>
      </c>
      <c r="BM172" s="295">
        <f>SUM(BM167:BM171)</f>
        <v>2230</v>
      </c>
      <c r="BN172" s="293">
        <f t="shared" si="189"/>
        <v>2230</v>
      </c>
      <c r="BO172" s="290"/>
      <c r="BP172" s="295">
        <f>SUM(BP167:BP171)</f>
        <v>2217</v>
      </c>
      <c r="BQ172" s="295">
        <f>SUM(BQ167:BQ171)</f>
        <v>2356</v>
      </c>
      <c r="BR172" s="293">
        <f t="shared" si="190"/>
        <v>2356</v>
      </c>
      <c r="BS172" s="290"/>
      <c r="BT172" s="295">
        <f>SUM(BT167:BT171)</f>
        <v>2876</v>
      </c>
      <c r="BU172" s="295">
        <f>SUM(BU167:BU171)</f>
        <v>2569</v>
      </c>
      <c r="BV172" s="293">
        <f t="shared" si="191"/>
        <v>2569</v>
      </c>
      <c r="BW172" s="290"/>
      <c r="BX172" s="295">
        <f>SUM(BX167:BX171)</f>
        <v>2449</v>
      </c>
      <c r="BY172" s="295">
        <f>SUM(BY167:BY171)</f>
        <v>2458</v>
      </c>
      <c r="BZ172" s="293">
        <f t="shared" si="192"/>
        <v>2458</v>
      </c>
      <c r="CA172" s="290"/>
      <c r="CB172" s="295">
        <f>SUM(CB167:CB171)</f>
        <v>3214</v>
      </c>
      <c r="CC172" s="295">
        <f>SUM(CC167:CC171)</f>
        <v>3118</v>
      </c>
      <c r="CD172" s="293">
        <f t="shared" si="193"/>
        <v>3118</v>
      </c>
      <c r="CE172" s="290"/>
      <c r="CF172" s="295">
        <f>SUM(CF167:CF171)</f>
        <v>3785</v>
      </c>
      <c r="CG172" s="295">
        <f>SUM(CG167:CG171)</f>
        <v>5222</v>
      </c>
      <c r="CH172" s="293">
        <f t="shared" si="194"/>
        <v>5222</v>
      </c>
      <c r="CI172" s="290"/>
      <c r="CJ172" s="295">
        <f>SUM(CJ167:CJ171)</f>
        <v>5769</v>
      </c>
      <c r="CK172" s="295">
        <f>SUM(CK167:CK171)</f>
        <v>5400</v>
      </c>
      <c r="CL172" s="293">
        <f t="shared" si="195"/>
        <v>5400</v>
      </c>
      <c r="CM172" s="290"/>
      <c r="CN172" s="295">
        <f>SUM(CN167:CN171)</f>
        <v>4524</v>
      </c>
      <c r="CO172" s="295">
        <f>SUM(CO167:CO171)</f>
        <v>4153</v>
      </c>
      <c r="CP172" s="293">
        <f t="shared" si="196"/>
        <v>4153</v>
      </c>
      <c r="CQ172" s="290"/>
      <c r="CR172" s="295">
        <f>SUM(CR167:CR171)</f>
        <v>5580</v>
      </c>
      <c r="CS172" s="295">
        <f>SUM(CS167:CS171)</f>
        <v>5950</v>
      </c>
      <c r="CT172" s="293">
        <f t="shared" si="197"/>
        <v>5950</v>
      </c>
      <c r="CU172" s="290"/>
      <c r="CV172" s="295">
        <f>SUM(CV167:CV171)</f>
        <v>7283</v>
      </c>
      <c r="CW172" s="1390">
        <f>SUM(CW167:CW171)</f>
        <v>7607</v>
      </c>
      <c r="CX172" s="1495">
        <f t="shared" si="198"/>
        <v>7607</v>
      </c>
      <c r="CY172" s="290"/>
      <c r="CZ172" s="295">
        <f>SUM(CZ167:CZ171)</f>
        <v>8702</v>
      </c>
      <c r="DA172" s="1390">
        <f>SUM(DA167:DA171)</f>
        <v>8742</v>
      </c>
      <c r="DB172" s="1495">
        <f t="shared" si="199"/>
        <v>8742</v>
      </c>
      <c r="DC172" s="290"/>
      <c r="DD172" s="295">
        <f>SUM(DD167:DD171)</f>
        <v>8976</v>
      </c>
      <c r="DE172" s="1390">
        <f>SUM(DE167:DE171)</f>
        <v>10323.873241592348</v>
      </c>
      <c r="DF172" s="1495">
        <f t="shared" si="201"/>
        <v>10323.873241592348</v>
      </c>
      <c r="DG172" s="290"/>
      <c r="DH172" s="295">
        <f>SUM(DH167:DH171)</f>
        <v>9758.1315745722768</v>
      </c>
      <c r="DI172" s="295">
        <f>SUM(DI167:DI171)</f>
        <v>10126.97560151256</v>
      </c>
      <c r="DJ172" s="293">
        <f t="shared" si="203"/>
        <v>10126.97560151256</v>
      </c>
      <c r="DK172" s="290"/>
      <c r="DL172" s="295">
        <f>SUM(DL167:DL171)</f>
        <v>10426.599144787624</v>
      </c>
      <c r="DM172" s="295">
        <f>SUM(DM167:DM171)</f>
        <v>10680.784589591931</v>
      </c>
      <c r="DN172" s="293">
        <f t="shared" si="205"/>
        <v>10680.784589591931</v>
      </c>
      <c r="DO172" s="290"/>
      <c r="DP172" s="295">
        <f>SUM(DP167:DP171)</f>
        <v>10940.888944963061</v>
      </c>
      <c r="DQ172" s="295">
        <f>SUM(DQ167:DQ171)</f>
        <v>11206.965795677703</v>
      </c>
      <c r="DR172" s="293">
        <f t="shared" si="207"/>
        <v>11206.965795677703</v>
      </c>
      <c r="DS172" s="290"/>
      <c r="DT172"/>
    </row>
    <row r="173" spans="1:124">
      <c r="A173" s="102" t="s">
        <v>448</v>
      </c>
      <c r="BH173" s="293"/>
      <c r="BI173" s="626">
        <f>565-16</f>
        <v>549</v>
      </c>
      <c r="BJ173" s="293">
        <f t="shared" si="188"/>
        <v>549</v>
      </c>
      <c r="BL173" s="626">
        <v>618</v>
      </c>
      <c r="BM173" s="626">
        <v>593</v>
      </c>
      <c r="BN173" s="293">
        <f t="shared" si="189"/>
        <v>593</v>
      </c>
      <c r="BP173" s="626">
        <v>771</v>
      </c>
      <c r="BQ173" s="626">
        <v>860</v>
      </c>
      <c r="BR173" s="293">
        <f t="shared" si="190"/>
        <v>860</v>
      </c>
      <c r="BT173" s="626">
        <v>716</v>
      </c>
      <c r="BU173" s="626">
        <v>447</v>
      </c>
      <c r="BV173" s="293">
        <f t="shared" si="191"/>
        <v>447</v>
      </c>
      <c r="BX173" s="626">
        <v>564</v>
      </c>
      <c r="BY173" s="626">
        <v>843</v>
      </c>
      <c r="BZ173" s="293">
        <f t="shared" si="192"/>
        <v>843</v>
      </c>
      <c r="CB173" s="626">
        <v>824</v>
      </c>
      <c r="CC173" s="626">
        <v>1426</v>
      </c>
      <c r="CD173" s="293">
        <f t="shared" si="193"/>
        <v>1426</v>
      </c>
      <c r="CF173" s="626">
        <v>1798</v>
      </c>
      <c r="CG173" s="626">
        <v>1931</v>
      </c>
      <c r="CH173" s="293">
        <f t="shared" si="194"/>
        <v>1931</v>
      </c>
      <c r="CJ173" s="626">
        <f>842+1179</f>
        <v>2021</v>
      </c>
      <c r="CK173" s="626">
        <f>879+1152</f>
        <v>2031</v>
      </c>
      <c r="CL173" s="293">
        <f t="shared" si="195"/>
        <v>2031</v>
      </c>
      <c r="CN173" s="626">
        <f>633+771</f>
        <v>1404</v>
      </c>
      <c r="CO173" s="626">
        <f>2191+974</f>
        <v>3165</v>
      </c>
      <c r="CP173" s="293">
        <f t="shared" si="196"/>
        <v>3165</v>
      </c>
      <c r="CR173" s="626">
        <f>1192+1663</f>
        <v>2855</v>
      </c>
      <c r="CS173" s="1388">
        <f>1474+1461</f>
        <v>2935</v>
      </c>
      <c r="CT173" s="293">
        <f t="shared" si="197"/>
        <v>2935</v>
      </c>
      <c r="CV173" s="626">
        <f>1204+1791</f>
        <v>2995</v>
      </c>
      <c r="CW173" s="1497">
        <f>1419+1374</f>
        <v>2793</v>
      </c>
      <c r="CX173" s="1495">
        <f t="shared" si="198"/>
        <v>2793</v>
      </c>
      <c r="CZ173" s="626">
        <f>1204+1791</f>
        <v>2995</v>
      </c>
      <c r="DA173" s="1488">
        <f>1076+1674</f>
        <v>2750</v>
      </c>
      <c r="DB173" s="1495">
        <f t="shared" si="199"/>
        <v>2750</v>
      </c>
      <c r="DD173" s="2175">
        <f>636+1708</f>
        <v>2344</v>
      </c>
      <c r="DE173" s="2149">
        <f>DE174-DE172</f>
        <v>2492.1267584076522</v>
      </c>
      <c r="DF173" s="1495">
        <f t="shared" si="201"/>
        <v>2492.1267584076522</v>
      </c>
      <c r="DH173" s="2149">
        <f>DH174-DH172</f>
        <v>3852.8684254277232</v>
      </c>
      <c r="DI173" s="293">
        <f>+DI218*DI$176</f>
        <v>3852.8684254277232</v>
      </c>
      <c r="DJ173" s="293">
        <f t="shared" si="203"/>
        <v>3852.8684254277232</v>
      </c>
      <c r="DL173" s="293">
        <f>+DL218*DL$176</f>
        <v>3929.9257939362778</v>
      </c>
      <c r="DM173" s="293">
        <f>+DM218*DM$176</f>
        <v>4008.5243098150031</v>
      </c>
      <c r="DN173" s="293">
        <f t="shared" si="205"/>
        <v>4008.5243098150031</v>
      </c>
      <c r="DP173" s="293">
        <f>+DP218*DP$176</f>
        <v>4088.694796011303</v>
      </c>
      <c r="DQ173" s="293">
        <f>+DQ218*DQ$176</f>
        <v>4170.4686919315291</v>
      </c>
      <c r="DR173" s="293">
        <f t="shared" si="207"/>
        <v>4170.4686919315291</v>
      </c>
    </row>
    <row r="174" spans="1:124">
      <c r="A174" s="289" t="s">
        <v>446</v>
      </c>
      <c r="BH174" s="293"/>
      <c r="BI174" s="295">
        <f>SUM(BI172:BI173)</f>
        <v>3134</v>
      </c>
      <c r="BJ174" s="293">
        <f t="shared" si="188"/>
        <v>3134</v>
      </c>
      <c r="BL174" s="295">
        <f>SUM(BL172:BL173)</f>
        <v>3428</v>
      </c>
      <c r="BM174" s="295">
        <f>SUM(BM172:BM173)</f>
        <v>2823</v>
      </c>
      <c r="BN174" s="293">
        <f t="shared" si="189"/>
        <v>2823</v>
      </c>
      <c r="BP174" s="295">
        <f>SUM(BP172:BP173)</f>
        <v>2988</v>
      </c>
      <c r="BQ174" s="295">
        <f>SUM(BQ172:BQ173)</f>
        <v>3216</v>
      </c>
      <c r="BR174" s="293">
        <f t="shared" si="190"/>
        <v>3216</v>
      </c>
      <c r="BT174" s="295">
        <f>SUM(BT172:BT173)</f>
        <v>3592</v>
      </c>
      <c r="BU174" s="295">
        <f>SUM(BU172:BU173)</f>
        <v>3016</v>
      </c>
      <c r="BV174" s="293">
        <f t="shared" si="191"/>
        <v>3016</v>
      </c>
      <c r="BX174" s="295">
        <f>SUM(BX172:BX173)</f>
        <v>3013</v>
      </c>
      <c r="BY174" s="295">
        <f>SUM(BY172:BY173)</f>
        <v>3301</v>
      </c>
      <c r="BZ174" s="293">
        <f t="shared" si="192"/>
        <v>3301</v>
      </c>
      <c r="CB174" s="295">
        <f>SUM(CB172:CB173)</f>
        <v>4038</v>
      </c>
      <c r="CC174" s="295">
        <f>SUM(CC172:CC173)</f>
        <v>4544</v>
      </c>
      <c r="CD174" s="293">
        <f t="shared" si="193"/>
        <v>4544</v>
      </c>
      <c r="CF174" s="295">
        <f>SUM(CF172:CF173)</f>
        <v>5583</v>
      </c>
      <c r="CG174" s="295">
        <f>SUM(CG172:CG173)</f>
        <v>7153</v>
      </c>
      <c r="CH174" s="293">
        <f t="shared" si="194"/>
        <v>7153</v>
      </c>
      <c r="CJ174" s="295">
        <f>SUM(CJ172:CJ173)</f>
        <v>7790</v>
      </c>
      <c r="CK174" s="295">
        <f>SUM(CK172:CK173)</f>
        <v>7431</v>
      </c>
      <c r="CL174" s="293">
        <f t="shared" si="195"/>
        <v>7431</v>
      </c>
      <c r="CN174" s="295">
        <f>SUM(CN172:CN173)</f>
        <v>5928</v>
      </c>
      <c r="CO174" s="295">
        <f>SUM(CO172:CO173)</f>
        <v>7318</v>
      </c>
      <c r="CP174" s="293">
        <f t="shared" si="196"/>
        <v>7318</v>
      </c>
      <c r="CR174" s="295">
        <f>SUM(CR172:CR173)</f>
        <v>8435</v>
      </c>
      <c r="CS174" s="295">
        <f>SUM(CS172:CS173)</f>
        <v>8885</v>
      </c>
      <c r="CT174" s="293">
        <f t="shared" si="197"/>
        <v>8885</v>
      </c>
      <c r="CV174" s="295">
        <f>SUM(CV172:CV173)</f>
        <v>10278</v>
      </c>
      <c r="CW174" s="1390">
        <f>SUM(CW172:CW173)</f>
        <v>10400</v>
      </c>
      <c r="CX174" s="1495">
        <f t="shared" si="198"/>
        <v>10400</v>
      </c>
      <c r="CZ174" s="295">
        <f>SUM(CZ172:CZ173)</f>
        <v>11697</v>
      </c>
      <c r="DA174" s="1390">
        <f>SUM(DA172:DA173)</f>
        <v>11492</v>
      </c>
      <c r="DB174" s="1495">
        <f t="shared" si="199"/>
        <v>11492</v>
      </c>
      <c r="DD174" s="295">
        <f>SUM(DD172:DD173)</f>
        <v>11320</v>
      </c>
      <c r="DE174" s="2175">
        <v>12816</v>
      </c>
      <c r="DF174" s="1495">
        <f t="shared" si="201"/>
        <v>12816</v>
      </c>
      <c r="DH174" s="1069">
        <v>13611</v>
      </c>
      <c r="DI174" s="295">
        <f>SUM(DI172:DI173)</f>
        <v>13979.844026940284</v>
      </c>
      <c r="DJ174" s="293">
        <f t="shared" si="203"/>
        <v>13979.844026940284</v>
      </c>
      <c r="DL174" s="295">
        <f>SUM(DL172:DL173)</f>
        <v>14356.524938723902</v>
      </c>
      <c r="DM174" s="295">
        <f>SUM(DM172:DM173)</f>
        <v>14689.308899406933</v>
      </c>
      <c r="DN174" s="293">
        <f t="shared" si="205"/>
        <v>14689.308899406933</v>
      </c>
      <c r="DP174" s="295">
        <f>SUM(DP172:DP173)</f>
        <v>15029.583740974364</v>
      </c>
      <c r="DQ174" s="295">
        <f>SUM(DQ172:DQ173)</f>
        <v>15377.434487609233</v>
      </c>
      <c r="DR174" s="293">
        <f t="shared" si="207"/>
        <v>15377.434487609233</v>
      </c>
    </row>
    <row r="175" spans="1:124">
      <c r="BH175" s="293"/>
      <c r="BI175" s="626"/>
      <c r="BJ175" s="293"/>
      <c r="BL175" s="626"/>
      <c r="BM175" s="626"/>
      <c r="BN175" s="293"/>
      <c r="BP175" s="626"/>
      <c r="BQ175" s="626"/>
      <c r="BR175" s="293"/>
      <c r="BT175" s="626"/>
      <c r="BU175" s="626"/>
      <c r="BV175" s="293"/>
      <c r="BX175" s="626"/>
      <c r="BY175" s="626"/>
      <c r="BZ175" s="293"/>
      <c r="CB175" s="626"/>
      <c r="CC175" s="626"/>
      <c r="CD175" s="293"/>
      <c r="CF175" s="626"/>
      <c r="CG175" s="626"/>
      <c r="CH175" s="293"/>
      <c r="CJ175" s="626"/>
      <c r="CK175" s="626"/>
      <c r="CL175" s="293"/>
      <c r="CN175" s="626"/>
      <c r="CO175" s="626"/>
      <c r="CP175" s="293"/>
      <c r="CR175" s="626"/>
      <c r="CS175" s="626"/>
      <c r="CT175" s="293"/>
      <c r="CV175" s="626"/>
      <c r="CW175" s="1497"/>
      <c r="CX175" s="1495"/>
      <c r="CZ175" s="626"/>
      <c r="DA175" s="1497"/>
      <c r="DB175" s="1495"/>
      <c r="DD175" s="626"/>
      <c r="DE175" s="1497"/>
      <c r="DF175" s="1495"/>
      <c r="DH175" s="626"/>
      <c r="DI175" s="626"/>
      <c r="DJ175" s="293"/>
      <c r="DL175" s="626"/>
      <c r="DM175" s="626"/>
      <c r="DN175" s="293"/>
      <c r="DP175" s="626"/>
      <c r="DQ175" s="626"/>
      <c r="DR175" s="293"/>
    </row>
    <row r="176" spans="1:124" s="289" customFormat="1">
      <c r="A176" s="289" t="s">
        <v>426</v>
      </c>
      <c r="C176" s="290"/>
      <c r="AN176" s="290"/>
      <c r="AO176" s="290"/>
      <c r="AP176" s="290"/>
      <c r="AQ176" s="290"/>
      <c r="AR176" s="290"/>
      <c r="AS176" s="290"/>
      <c r="AT176" s="290"/>
      <c r="AU176" s="290"/>
      <c r="AV176" s="290"/>
      <c r="AW176" s="290"/>
      <c r="AX176" s="290"/>
      <c r="AY176" s="290"/>
      <c r="AZ176" s="290"/>
      <c r="BA176" s="290"/>
      <c r="BB176" s="290"/>
      <c r="BC176" s="290"/>
      <c r="BD176" s="290"/>
      <c r="BE176" s="290"/>
      <c r="BF176" s="290"/>
      <c r="BG176" s="290"/>
      <c r="BH176" s="295"/>
      <c r="BI176" s="734">
        <v>0.08</v>
      </c>
      <c r="BJ176" s="744">
        <f>BI176</f>
        <v>0.08</v>
      </c>
      <c r="BK176" s="290"/>
      <c r="BL176" s="734">
        <v>0.08</v>
      </c>
      <c r="BM176" s="734">
        <v>0.08</v>
      </c>
      <c r="BN176" s="744">
        <f>BM176</f>
        <v>0.08</v>
      </c>
      <c r="BO176" s="290"/>
      <c r="BP176" s="734">
        <v>0.08</v>
      </c>
      <c r="BQ176" s="734">
        <v>0.08</v>
      </c>
      <c r="BR176" s="744">
        <f>BQ176</f>
        <v>0.08</v>
      </c>
      <c r="BS176" s="290"/>
      <c r="BT176" s="734">
        <v>0.08</v>
      </c>
      <c r="BU176" s="734">
        <v>0.08</v>
      </c>
      <c r="BV176" s="744">
        <f>BU176</f>
        <v>0.08</v>
      </c>
      <c r="BW176" s="290"/>
      <c r="BX176" s="734">
        <v>0.08</v>
      </c>
      <c r="BY176" s="734">
        <v>0.08</v>
      </c>
      <c r="BZ176" s="744">
        <f>BY176</f>
        <v>0.08</v>
      </c>
      <c r="CA176" s="290"/>
      <c r="CB176" s="734">
        <v>0.08</v>
      </c>
      <c r="CC176" s="734">
        <v>0.08</v>
      </c>
      <c r="CD176" s="744">
        <f>CC176</f>
        <v>0.08</v>
      </c>
      <c r="CE176" s="290"/>
      <c r="CF176" s="734">
        <v>0.08</v>
      </c>
      <c r="CG176" s="734">
        <v>0.08</v>
      </c>
      <c r="CH176" s="744">
        <f>CG176</f>
        <v>0.08</v>
      </c>
      <c r="CI176" s="290"/>
      <c r="CJ176" s="734">
        <v>0.08</v>
      </c>
      <c r="CK176" s="734">
        <v>0.08</v>
      </c>
      <c r="CL176" s="744">
        <f>CK176</f>
        <v>0.08</v>
      </c>
      <c r="CM176" s="290"/>
      <c r="CN176" s="734">
        <v>0.08</v>
      </c>
      <c r="CO176" s="734">
        <v>0.08</v>
      </c>
      <c r="CP176" s="744">
        <f>CO176</f>
        <v>0.08</v>
      </c>
      <c r="CQ176" s="290"/>
      <c r="CR176" s="734">
        <v>0.08</v>
      </c>
      <c r="CS176" s="734">
        <v>0.08</v>
      </c>
      <c r="CT176" s="744">
        <f>CS176</f>
        <v>0.08</v>
      </c>
      <c r="CU176" s="290"/>
      <c r="CV176" s="734">
        <v>0.08</v>
      </c>
      <c r="CW176" s="734">
        <v>0.08</v>
      </c>
      <c r="CX176" s="744">
        <f>CW176</f>
        <v>0.08</v>
      </c>
      <c r="CY176" s="290"/>
      <c r="CZ176" s="734">
        <v>0.08</v>
      </c>
      <c r="DA176" s="1462">
        <v>0.08</v>
      </c>
      <c r="DB176" s="1414">
        <f>DA176</f>
        <v>0.08</v>
      </c>
      <c r="DC176" s="290"/>
      <c r="DD176" s="734">
        <v>0.08</v>
      </c>
      <c r="DE176" s="734">
        <v>0.08</v>
      </c>
      <c r="DF176" s="1414">
        <f>DE176</f>
        <v>0.08</v>
      </c>
      <c r="DG176" s="290"/>
      <c r="DH176" s="734">
        <v>0.08</v>
      </c>
      <c r="DI176" s="1065">
        <f>DH176</f>
        <v>0.08</v>
      </c>
      <c r="DJ176" s="631">
        <f>DI176</f>
        <v>0.08</v>
      </c>
      <c r="DK176" s="298"/>
      <c r="DL176" s="1065">
        <f>DI176</f>
        <v>0.08</v>
      </c>
      <c r="DM176" s="1065">
        <f>DL176</f>
        <v>0.08</v>
      </c>
      <c r="DN176" s="631">
        <f>DM176</f>
        <v>0.08</v>
      </c>
      <c r="DO176" s="298"/>
      <c r="DP176" s="1065">
        <f>DM176</f>
        <v>0.08</v>
      </c>
      <c r="DQ176" s="1065">
        <f>DP176</f>
        <v>0.08</v>
      </c>
      <c r="DR176" s="631">
        <f>DQ176</f>
        <v>0.08</v>
      </c>
      <c r="DS176" s="298"/>
      <c r="DT176"/>
    </row>
    <row r="177" spans="1:122">
      <c r="BH177" s="293"/>
      <c r="BI177" s="626"/>
      <c r="BJ177" s="293"/>
      <c r="DA177" s="1408"/>
      <c r="DB177" s="1408"/>
      <c r="DE177" s="1408"/>
      <c r="DF177" s="1408"/>
    </row>
    <row r="178" spans="1:122">
      <c r="A178" s="289" t="s">
        <v>225</v>
      </c>
      <c r="BH178" s="293"/>
      <c r="BI178" s="626"/>
      <c r="BJ178" s="293"/>
      <c r="DA178" s="1408"/>
      <c r="DB178" s="1408"/>
      <c r="DE178" s="1408"/>
      <c r="DF178" s="1408"/>
    </row>
    <row r="179" spans="1:122">
      <c r="A179" s="102" t="s">
        <v>402</v>
      </c>
      <c r="BH179" s="293"/>
      <c r="BI179" s="626">
        <v>1800</v>
      </c>
      <c r="BJ179" s="293">
        <f t="shared" ref="BJ179:BJ188" si="220">BI179</f>
        <v>1800</v>
      </c>
      <c r="BL179" s="626">
        <v>2000</v>
      </c>
      <c r="BM179" s="626">
        <v>1800</v>
      </c>
      <c r="BN179" s="293">
        <f t="shared" ref="BN179:BN188" si="221">BM179</f>
        <v>1800</v>
      </c>
      <c r="BP179" s="626">
        <v>1700</v>
      </c>
      <c r="BQ179" s="626">
        <v>1900</v>
      </c>
      <c r="BR179" s="293">
        <f t="shared" ref="BR179:BR188" si="222">BQ179</f>
        <v>1900</v>
      </c>
      <c r="BT179" s="626">
        <v>1700</v>
      </c>
      <c r="BU179" s="626">
        <v>1500</v>
      </c>
      <c r="BV179" s="293">
        <f t="shared" ref="BV179:BV188" si="223">BU179</f>
        <v>1500</v>
      </c>
      <c r="BX179" s="626">
        <v>1700</v>
      </c>
      <c r="BY179" s="626">
        <v>1700</v>
      </c>
      <c r="BZ179" s="293">
        <f t="shared" ref="BZ179:BZ188" si="224">BY179</f>
        <v>1700</v>
      </c>
      <c r="CB179" s="626">
        <v>1800</v>
      </c>
      <c r="CC179" s="626">
        <v>1800</v>
      </c>
      <c r="CD179" s="293">
        <f t="shared" ref="CD179:CD188" si="225">CC179</f>
        <v>1800</v>
      </c>
      <c r="CF179" s="626">
        <v>2100</v>
      </c>
      <c r="CG179" s="626">
        <v>2000</v>
      </c>
      <c r="CH179" s="293">
        <f t="shared" ref="CH179:CH188" si="226">CG179</f>
        <v>2000</v>
      </c>
      <c r="CJ179" s="626">
        <v>1800</v>
      </c>
      <c r="CK179" s="626">
        <v>5300</v>
      </c>
      <c r="CL179" s="293">
        <f t="shared" ref="CL179:CL188" si="227">CK179</f>
        <v>5300</v>
      </c>
      <c r="CN179" s="626">
        <v>5500</v>
      </c>
      <c r="CO179" s="626">
        <v>4600</v>
      </c>
      <c r="CP179" s="293">
        <f t="shared" ref="CP179:CP188" si="228">CO179</f>
        <v>4600</v>
      </c>
      <c r="CR179" s="626">
        <v>11300</v>
      </c>
      <c r="CS179" s="1388">
        <v>15200</v>
      </c>
      <c r="CT179" s="293">
        <f t="shared" ref="CT179:CT188" si="229">CS179</f>
        <v>15200</v>
      </c>
      <c r="CV179" s="626">
        <v>16000</v>
      </c>
      <c r="CW179" s="1497">
        <v>15400</v>
      </c>
      <c r="CX179" s="1495">
        <f t="shared" ref="CX179:CX188" si="230">CW179</f>
        <v>15400</v>
      </c>
      <c r="CZ179" s="626">
        <v>14600</v>
      </c>
      <c r="DA179" s="1488">
        <v>13800</v>
      </c>
      <c r="DB179" s="1495">
        <f t="shared" ref="DB179:DB188" si="231">DA179</f>
        <v>13800</v>
      </c>
      <c r="DD179" s="626">
        <v>12000</v>
      </c>
      <c r="DE179" s="2176">
        <v>11900</v>
      </c>
      <c r="DF179" s="1495">
        <f t="shared" ref="DF179:DF188" si="232">DE179</f>
        <v>11900</v>
      </c>
      <c r="DH179" s="626">
        <v>10600</v>
      </c>
      <c r="DI179" s="293">
        <f>'Bal Sheet'!DI12*DI191</f>
        <v>10918</v>
      </c>
      <c r="DJ179" s="293">
        <f t="shared" ref="DJ179:DJ188" si="233">DI179</f>
        <v>10918</v>
      </c>
      <c r="DL179" s="293">
        <f>'Bal Sheet'!DL12*DL191</f>
        <v>11245.539999999999</v>
      </c>
      <c r="DM179" s="293">
        <f>'Bal Sheet'!DM12*DM191</f>
        <v>11582.906199999999</v>
      </c>
      <c r="DN179" s="293">
        <f t="shared" ref="DN179:DN188" si="234">DM179</f>
        <v>11582.906199999999</v>
      </c>
      <c r="DP179" s="293">
        <f>'Bal Sheet'!DP12*DP191</f>
        <v>11930.393386</v>
      </c>
      <c r="DQ179" s="293">
        <f>'Bal Sheet'!DQ12*DQ191</f>
        <v>12288.305187580001</v>
      </c>
      <c r="DR179" s="293">
        <f t="shared" ref="DR179:DR188" si="235">DQ179</f>
        <v>12288.305187580001</v>
      </c>
    </row>
    <row r="180" spans="1:122">
      <c r="A180" s="102" t="s">
        <v>350</v>
      </c>
      <c r="BH180" s="293"/>
      <c r="BI180" s="626">
        <v>1400</v>
      </c>
      <c r="BJ180" s="293">
        <f t="shared" si="220"/>
        <v>1400</v>
      </c>
      <c r="BL180" s="626">
        <v>1300</v>
      </c>
      <c r="BM180" s="626">
        <v>1200</v>
      </c>
      <c r="BN180" s="293">
        <f t="shared" si="221"/>
        <v>1200</v>
      </c>
      <c r="BP180" s="626">
        <v>1200</v>
      </c>
      <c r="BQ180" s="626">
        <v>1200</v>
      </c>
      <c r="BR180" s="293">
        <f t="shared" si="222"/>
        <v>1200</v>
      </c>
      <c r="BT180" s="626">
        <v>1800</v>
      </c>
      <c r="BU180" s="626">
        <v>1600</v>
      </c>
      <c r="BV180" s="293">
        <f t="shared" si="223"/>
        <v>1600</v>
      </c>
      <c r="BX180" s="626">
        <v>1300</v>
      </c>
      <c r="BY180" s="626">
        <v>1300</v>
      </c>
      <c r="BZ180" s="293">
        <f t="shared" si="224"/>
        <v>1300</v>
      </c>
      <c r="CB180" s="626">
        <v>1100</v>
      </c>
      <c r="CC180" s="626">
        <v>1000</v>
      </c>
      <c r="CD180" s="293">
        <f t="shared" si="225"/>
        <v>1000</v>
      </c>
      <c r="CF180" s="626">
        <v>1600</v>
      </c>
      <c r="CG180" s="626">
        <v>13600</v>
      </c>
      <c r="CH180" s="293">
        <f t="shared" si="226"/>
        <v>13600</v>
      </c>
      <c r="CJ180" s="626">
        <v>6600</v>
      </c>
      <c r="CK180" s="626">
        <f>1200+7900</f>
        <v>9100</v>
      </c>
      <c r="CL180" s="293">
        <f t="shared" si="227"/>
        <v>9100</v>
      </c>
      <c r="CN180" s="626">
        <v>6800</v>
      </c>
      <c r="CO180" s="626">
        <v>6900</v>
      </c>
      <c r="CP180" s="293">
        <f t="shared" si="228"/>
        <v>6900</v>
      </c>
      <c r="CR180" s="626">
        <v>10000</v>
      </c>
      <c r="CS180" s="1388">
        <v>13000</v>
      </c>
      <c r="CT180" s="293">
        <f t="shared" si="229"/>
        <v>13000</v>
      </c>
      <c r="CV180" s="626">
        <v>16300</v>
      </c>
      <c r="CW180" s="1497">
        <v>18500</v>
      </c>
      <c r="CX180" s="1495">
        <f t="shared" si="230"/>
        <v>18500</v>
      </c>
      <c r="CZ180" s="626">
        <v>19900</v>
      </c>
      <c r="DA180" s="1488">
        <v>21500</v>
      </c>
      <c r="DB180" s="1495">
        <f t="shared" si="231"/>
        <v>21500</v>
      </c>
      <c r="DD180" s="626">
        <v>22500</v>
      </c>
      <c r="DE180" s="2175">
        <f>22500+1400</f>
        <v>23900</v>
      </c>
      <c r="DF180" s="1495">
        <f t="shared" si="232"/>
        <v>23900</v>
      </c>
      <c r="DH180" s="626">
        <f>22900+1000</f>
        <v>23900</v>
      </c>
      <c r="DI180" s="293">
        <f>'Bal Sheet'!DI124*1000*DI192</f>
        <v>26148.247124999998</v>
      </c>
      <c r="DJ180" s="293">
        <f t="shared" si="233"/>
        <v>26148.247124999998</v>
      </c>
      <c r="DL180" s="293">
        <f>'Bal Sheet'!DL124*1000*DL192</f>
        <v>27621.2334825</v>
      </c>
      <c r="DM180" s="293">
        <f>'Bal Sheet'!DM124*1000*DM192</f>
        <v>28571.301466049998</v>
      </c>
      <c r="DN180" s="293">
        <f t="shared" si="234"/>
        <v>28571.301466049998</v>
      </c>
      <c r="DP180" s="293">
        <f>'Bal Sheet'!DP124*1000*DP192</f>
        <v>29544.396037149003</v>
      </c>
      <c r="DQ180" s="293">
        <f>'Bal Sheet'!DQ124*1000*DQ192</f>
        <v>30540.141734073302</v>
      </c>
      <c r="DR180" s="293">
        <f t="shared" si="235"/>
        <v>30540.141734073302</v>
      </c>
    </row>
    <row r="181" spans="1:122">
      <c r="A181" s="102" t="s">
        <v>442</v>
      </c>
      <c r="BH181" s="293"/>
      <c r="BI181" s="626">
        <v>200</v>
      </c>
      <c r="BJ181" s="293">
        <f t="shared" si="220"/>
        <v>200</v>
      </c>
      <c r="BL181" s="626">
        <v>100</v>
      </c>
      <c r="BM181" s="626">
        <v>500</v>
      </c>
      <c r="BN181" s="293">
        <f t="shared" si="221"/>
        <v>500</v>
      </c>
      <c r="BP181" s="626">
        <v>900</v>
      </c>
      <c r="BQ181" s="626">
        <v>600</v>
      </c>
      <c r="BR181" s="293">
        <f t="shared" si="222"/>
        <v>600</v>
      </c>
      <c r="BT181" s="626">
        <v>500</v>
      </c>
      <c r="BU181" s="626">
        <v>500</v>
      </c>
      <c r="BV181" s="293">
        <f t="shared" si="223"/>
        <v>500</v>
      </c>
      <c r="BX181" s="626">
        <v>700</v>
      </c>
      <c r="BY181" s="626">
        <v>400</v>
      </c>
      <c r="BZ181" s="293">
        <f t="shared" si="224"/>
        <v>400</v>
      </c>
      <c r="CB181" s="626">
        <v>300</v>
      </c>
      <c r="CC181" s="626">
        <v>400</v>
      </c>
      <c r="CD181" s="293">
        <f t="shared" si="225"/>
        <v>400</v>
      </c>
      <c r="CF181" s="626">
        <v>500</v>
      </c>
      <c r="CG181" s="626">
        <v>600</v>
      </c>
      <c r="CH181" s="293">
        <f t="shared" si="226"/>
        <v>600</v>
      </c>
      <c r="CJ181" s="626">
        <v>600</v>
      </c>
      <c r="CK181" s="626">
        <v>200</v>
      </c>
      <c r="CL181" s="293">
        <f t="shared" si="227"/>
        <v>200</v>
      </c>
      <c r="CN181" s="626">
        <v>400</v>
      </c>
      <c r="CO181" s="626">
        <v>600</v>
      </c>
      <c r="CP181" s="293">
        <f t="shared" si="228"/>
        <v>600</v>
      </c>
      <c r="CR181" s="626">
        <v>1100</v>
      </c>
      <c r="CS181" s="1388">
        <v>1100</v>
      </c>
      <c r="CT181" s="293">
        <f t="shared" si="229"/>
        <v>1100</v>
      </c>
      <c r="CV181" s="626">
        <v>2400</v>
      </c>
      <c r="CW181" s="1497">
        <v>2300</v>
      </c>
      <c r="CX181" s="1495">
        <f t="shared" si="230"/>
        <v>2300</v>
      </c>
      <c r="CZ181" s="626">
        <v>2500</v>
      </c>
      <c r="DA181" s="1488">
        <v>2100</v>
      </c>
      <c r="DB181" s="1495">
        <f t="shared" si="231"/>
        <v>2100</v>
      </c>
      <c r="DD181" s="626">
        <v>1200</v>
      </c>
      <c r="DE181" s="2176">
        <v>1400</v>
      </c>
      <c r="DF181" s="1495">
        <f t="shared" si="232"/>
        <v>1400</v>
      </c>
      <c r="DH181" s="626">
        <v>3200</v>
      </c>
      <c r="DI181" s="293">
        <f>'Bal Sheet'!DI206*DI193</f>
        <v>3264</v>
      </c>
      <c r="DJ181" s="293">
        <f t="shared" si="233"/>
        <v>3264</v>
      </c>
      <c r="DL181" s="293">
        <f>'Bal Sheet'!DL206*DL193</f>
        <v>3329.28</v>
      </c>
      <c r="DM181" s="293">
        <f>'Bal Sheet'!DM206*DM193</f>
        <v>3395.8656000000001</v>
      </c>
      <c r="DN181" s="293">
        <f t="shared" si="234"/>
        <v>3395.8656000000001</v>
      </c>
      <c r="DP181" s="293">
        <f>'Bal Sheet'!DP206*DP193</f>
        <v>3463.7829120000001</v>
      </c>
      <c r="DQ181" s="293">
        <f>'Bal Sheet'!DQ206*DQ193</f>
        <v>3533.0585702399999</v>
      </c>
      <c r="DR181" s="293">
        <f t="shared" si="235"/>
        <v>3533.0585702399999</v>
      </c>
    </row>
    <row r="182" spans="1:122">
      <c r="A182" s="102" t="s">
        <v>503</v>
      </c>
      <c r="BH182" s="293"/>
      <c r="BI182" s="626">
        <v>4300</v>
      </c>
      <c r="BJ182" s="293">
        <f t="shared" si="220"/>
        <v>4300</v>
      </c>
      <c r="BL182" s="626">
        <v>4800</v>
      </c>
      <c r="BM182" s="626">
        <v>3500</v>
      </c>
      <c r="BN182" s="293">
        <f t="shared" si="221"/>
        <v>3500</v>
      </c>
      <c r="BP182" s="626">
        <v>3400</v>
      </c>
      <c r="BQ182" s="626">
        <v>3800</v>
      </c>
      <c r="BR182" s="293">
        <f t="shared" si="222"/>
        <v>3800</v>
      </c>
      <c r="BT182" s="626">
        <v>4800</v>
      </c>
      <c r="BU182" s="626">
        <v>4600</v>
      </c>
      <c r="BV182" s="293">
        <f t="shared" si="223"/>
        <v>4600</v>
      </c>
      <c r="BX182" s="626">
        <v>4200</v>
      </c>
      <c r="BY182" s="626">
        <v>4400</v>
      </c>
      <c r="BZ182" s="293">
        <f t="shared" si="224"/>
        <v>4400</v>
      </c>
      <c r="CB182" s="626">
        <f>6600</f>
        <v>6600</v>
      </c>
      <c r="CC182" s="626">
        <v>5700</v>
      </c>
      <c r="CD182" s="293">
        <f t="shared" si="225"/>
        <v>5700</v>
      </c>
      <c r="CF182" s="626">
        <v>5100</v>
      </c>
      <c r="CG182" s="626">
        <v>5100</v>
      </c>
      <c r="CH182" s="293">
        <f t="shared" si="226"/>
        <v>5100</v>
      </c>
      <c r="CJ182" s="626">
        <v>7500</v>
      </c>
      <c r="CK182" s="626">
        <v>7000</v>
      </c>
      <c r="CL182" s="293">
        <f t="shared" si="227"/>
        <v>7000</v>
      </c>
      <c r="CN182" s="626">
        <f>5400+500</f>
        <v>5900</v>
      </c>
      <c r="CO182" s="626">
        <v>4700</v>
      </c>
      <c r="CP182" s="293">
        <f t="shared" si="228"/>
        <v>4700</v>
      </c>
      <c r="CR182" s="626">
        <f>5500+600</f>
        <v>6100</v>
      </c>
      <c r="CS182" s="1388">
        <f>5100+600</f>
        <v>5700</v>
      </c>
      <c r="CT182" s="293">
        <f t="shared" si="229"/>
        <v>5700</v>
      </c>
      <c r="CV182" s="626">
        <f>6000+700</f>
        <v>6700</v>
      </c>
      <c r="CW182" s="1497">
        <f>6100+600</f>
        <v>6700</v>
      </c>
      <c r="CX182" s="1495">
        <f t="shared" si="230"/>
        <v>6700</v>
      </c>
      <c r="CZ182" s="626">
        <v>7100</v>
      </c>
      <c r="DA182" s="1488">
        <f>9200+700</f>
        <v>9900</v>
      </c>
      <c r="DB182" s="1495">
        <f t="shared" si="231"/>
        <v>9900</v>
      </c>
      <c r="DD182" s="2176">
        <v>8600</v>
      </c>
      <c r="DE182" s="2149">
        <f>DA182*15.4/10.7*0.8</f>
        <v>11398.878504672899</v>
      </c>
      <c r="DF182" s="1495">
        <f t="shared" si="232"/>
        <v>11398.878504672899</v>
      </c>
      <c r="DH182" s="2204">
        <f>DE182*18.2/15.4*0.75</f>
        <v>10103.551401869159</v>
      </c>
      <c r="DI182" s="293">
        <f>'Bal Sheet'!DI225</f>
        <v>10305.622429906543</v>
      </c>
      <c r="DJ182" s="293">
        <f t="shared" si="233"/>
        <v>10305.622429906543</v>
      </c>
      <c r="DL182" s="293">
        <f>'Bal Sheet'!DL225</f>
        <v>10511.734878504674</v>
      </c>
      <c r="DM182" s="293">
        <f>'Bal Sheet'!DM225</f>
        <v>10721.969576074767</v>
      </c>
      <c r="DN182" s="293">
        <f t="shared" si="234"/>
        <v>10721.969576074767</v>
      </c>
      <c r="DP182" s="293">
        <f>'Bal Sheet'!DP225</f>
        <v>10936.408967596262</v>
      </c>
      <c r="DQ182" s="293">
        <f>'Bal Sheet'!DQ225</f>
        <v>11155.137146948187</v>
      </c>
      <c r="DR182" s="293">
        <f t="shared" si="235"/>
        <v>11155.137146948187</v>
      </c>
    </row>
    <row r="183" spans="1:122">
      <c r="A183" s="102" t="s">
        <v>444</v>
      </c>
      <c r="BH183" s="293"/>
      <c r="BI183" s="626">
        <v>700</v>
      </c>
      <c r="BJ183" s="293">
        <f t="shared" si="220"/>
        <v>700</v>
      </c>
      <c r="BL183" s="626">
        <v>600</v>
      </c>
      <c r="BM183" s="626">
        <v>700</v>
      </c>
      <c r="BN183" s="293">
        <f t="shared" si="221"/>
        <v>700</v>
      </c>
      <c r="BP183" s="626">
        <v>700</v>
      </c>
      <c r="BQ183" s="626">
        <v>700</v>
      </c>
      <c r="BR183" s="293">
        <f t="shared" si="222"/>
        <v>700</v>
      </c>
      <c r="BT183" s="626">
        <v>1200</v>
      </c>
      <c r="BU183" s="626">
        <v>1000</v>
      </c>
      <c r="BV183" s="293">
        <f t="shared" si="223"/>
        <v>1000</v>
      </c>
      <c r="BX183" s="626">
        <v>1000</v>
      </c>
      <c r="BY183" s="626">
        <v>1100</v>
      </c>
      <c r="BZ183" s="293">
        <f t="shared" si="224"/>
        <v>1100</v>
      </c>
      <c r="CB183" s="626">
        <v>1000</v>
      </c>
      <c r="CC183" s="626">
        <v>1200</v>
      </c>
      <c r="CD183" s="293">
        <f t="shared" si="225"/>
        <v>1200</v>
      </c>
      <c r="CF183" s="626">
        <v>2300</v>
      </c>
      <c r="CG183" s="626">
        <v>2400</v>
      </c>
      <c r="CH183" s="293">
        <f t="shared" si="226"/>
        <v>2400</v>
      </c>
      <c r="CJ183" s="626">
        <v>2900</v>
      </c>
      <c r="CK183" s="626">
        <v>3100</v>
      </c>
      <c r="CL183" s="293">
        <f t="shared" si="227"/>
        <v>3100</v>
      </c>
      <c r="CN183" s="626">
        <v>2500</v>
      </c>
      <c r="CO183" s="626">
        <v>2100</v>
      </c>
      <c r="CP183" s="293">
        <f t="shared" si="228"/>
        <v>2100</v>
      </c>
      <c r="CR183" s="626">
        <v>3500</v>
      </c>
      <c r="CS183" s="1388">
        <v>3700</v>
      </c>
      <c r="CT183" s="293">
        <f t="shared" si="229"/>
        <v>3700</v>
      </c>
      <c r="CV183" s="626">
        <v>4100</v>
      </c>
      <c r="CW183" s="1497">
        <v>4000</v>
      </c>
      <c r="CX183" s="1495">
        <f t="shared" si="230"/>
        <v>4000</v>
      </c>
      <c r="CZ183" s="626">
        <v>4400</v>
      </c>
      <c r="DA183" s="1488">
        <v>4000</v>
      </c>
      <c r="DB183" s="1495">
        <f t="shared" si="231"/>
        <v>4000</v>
      </c>
      <c r="DD183" s="626">
        <v>4100</v>
      </c>
      <c r="DE183" s="2176">
        <v>3500</v>
      </c>
      <c r="DF183" s="1495">
        <f t="shared" si="232"/>
        <v>3500</v>
      </c>
      <c r="DH183" s="626">
        <v>3300</v>
      </c>
      <c r="DI183" s="293">
        <f>('Bal Sheet'!DI24+'Bal Sheet'!DI20)*DI195</f>
        <v>3376.5474285714286</v>
      </c>
      <c r="DJ183" s="293">
        <f t="shared" si="233"/>
        <v>3376.5474285714286</v>
      </c>
      <c r="DL183" s="293">
        <f>('Bal Sheet'!DL24+'Bal Sheet'!DL20)*DL195</f>
        <v>3455.3912800000003</v>
      </c>
      <c r="DM183" s="293">
        <f>('Bal Sheet'!DM24+'Bal Sheet'!DM20)*DM195</f>
        <v>3536.6004469714285</v>
      </c>
      <c r="DN183" s="293">
        <f t="shared" si="234"/>
        <v>3536.6004469714285</v>
      </c>
      <c r="DP183" s="293">
        <f>('Bal Sheet'!DP24+'Bal Sheet'!DP20)*DP195</f>
        <v>3620.2458889519999</v>
      </c>
      <c r="DQ183" s="293">
        <f>('Bal Sheet'!DQ24+'Bal Sheet'!DQ20)*DQ195</f>
        <v>3706.4006941919888</v>
      </c>
      <c r="DR183" s="293">
        <f t="shared" si="235"/>
        <v>3706.4006941919888</v>
      </c>
    </row>
    <row r="184" spans="1:122">
      <c r="A184" s="289" t="s">
        <v>450</v>
      </c>
      <c r="BH184" s="293"/>
      <c r="BI184" s="295">
        <f>SUM(BI179:BI183)</f>
        <v>8400</v>
      </c>
      <c r="BJ184" s="295">
        <f t="shared" si="220"/>
        <v>8400</v>
      </c>
      <c r="BL184" s="295">
        <f>SUM(BL179:BL183)</f>
        <v>8800</v>
      </c>
      <c r="BM184" s="295">
        <f>SUM(BM179:BM183)</f>
        <v>7700</v>
      </c>
      <c r="BN184" s="295">
        <f t="shared" si="221"/>
        <v>7700</v>
      </c>
      <c r="BP184" s="295">
        <f>SUM(BP179:BP183)</f>
        <v>7900</v>
      </c>
      <c r="BQ184" s="295">
        <f>SUM(BQ179:BQ183)</f>
        <v>8200</v>
      </c>
      <c r="BR184" s="295">
        <f t="shared" si="222"/>
        <v>8200</v>
      </c>
      <c r="BT184" s="295">
        <f>SUM(BT179:BT183)</f>
        <v>10000</v>
      </c>
      <c r="BU184" s="295">
        <f>SUM(BU179:BU183)</f>
        <v>9200</v>
      </c>
      <c r="BV184" s="295">
        <f t="shared" si="223"/>
        <v>9200</v>
      </c>
      <c r="BX184" s="295">
        <f>SUM(BX179:BX183)</f>
        <v>8900</v>
      </c>
      <c r="BY184" s="295">
        <f>SUM(BY179:BY183)</f>
        <v>8900</v>
      </c>
      <c r="BZ184" s="295">
        <f t="shared" si="224"/>
        <v>8900</v>
      </c>
      <c r="CB184" s="295">
        <f>SUM(CB179:CB183)</f>
        <v>10800</v>
      </c>
      <c r="CC184" s="295">
        <f>SUM(CC179:CC183)</f>
        <v>10100</v>
      </c>
      <c r="CD184" s="295">
        <f t="shared" si="225"/>
        <v>10100</v>
      </c>
      <c r="CF184" s="295">
        <f>SUM(CF179:CF183)</f>
        <v>11600</v>
      </c>
      <c r="CG184" s="295">
        <f>SUM(CG179:CG183)</f>
        <v>23700</v>
      </c>
      <c r="CH184" s="295">
        <f t="shared" si="226"/>
        <v>23700</v>
      </c>
      <c r="CJ184" s="295">
        <f>SUM(CJ179:CJ183)</f>
        <v>19400</v>
      </c>
      <c r="CK184" s="295">
        <f>SUM(CK179:CK183)</f>
        <v>24700</v>
      </c>
      <c r="CL184" s="295">
        <f t="shared" si="227"/>
        <v>24700</v>
      </c>
      <c r="CN184" s="295">
        <f>SUM(CN179:CN183)</f>
        <v>21100</v>
      </c>
      <c r="CO184" s="295">
        <f>SUM(CO179:CO183)</f>
        <v>18900</v>
      </c>
      <c r="CP184" s="295">
        <f t="shared" si="228"/>
        <v>18900</v>
      </c>
      <c r="CR184" s="295">
        <f>SUM(CR179:CR183)</f>
        <v>32000</v>
      </c>
      <c r="CS184" s="295">
        <f>SUM(CS179:CS183)</f>
        <v>38700</v>
      </c>
      <c r="CT184" s="295">
        <f t="shared" si="229"/>
        <v>38700</v>
      </c>
      <c r="CV184" s="295">
        <f>SUM(CV179:CV183)</f>
        <v>45500</v>
      </c>
      <c r="CW184" s="1390">
        <f>SUM(CW179:CW183)</f>
        <v>46900</v>
      </c>
      <c r="CX184" s="1390">
        <f t="shared" si="230"/>
        <v>46900</v>
      </c>
      <c r="CZ184" s="295">
        <f>SUM(CZ179:CZ183)</f>
        <v>48500</v>
      </c>
      <c r="DA184" s="1390">
        <f>SUM(DA179:DA183)</f>
        <v>51300</v>
      </c>
      <c r="DB184" s="1390">
        <f t="shared" si="231"/>
        <v>51300</v>
      </c>
      <c r="DD184" s="295">
        <f>SUM(DD179:DD183)</f>
        <v>48400</v>
      </c>
      <c r="DE184" s="1390">
        <f>SUM(DE179:DE183)</f>
        <v>52098.878504672903</v>
      </c>
      <c r="DF184" s="1390">
        <f t="shared" si="232"/>
        <v>52098.878504672903</v>
      </c>
      <c r="DH184" s="295">
        <f>SUM(DH179:DH183)</f>
        <v>51103.551401869161</v>
      </c>
      <c r="DI184" s="295">
        <f>SUM(DI179:DI183)</f>
        <v>54012.416983477968</v>
      </c>
      <c r="DJ184" s="295">
        <f t="shared" si="233"/>
        <v>54012.416983477968</v>
      </c>
      <c r="DL184" s="295">
        <f>SUM(DL179:DL183)</f>
        <v>56163.179641004674</v>
      </c>
      <c r="DM184" s="295">
        <f>SUM(DM179:DM183)</f>
        <v>57808.643289096195</v>
      </c>
      <c r="DN184" s="295">
        <f t="shared" si="234"/>
        <v>57808.643289096195</v>
      </c>
      <c r="DP184" s="295">
        <f>SUM(DP179:DP183)</f>
        <v>59495.227191697268</v>
      </c>
      <c r="DQ184" s="295">
        <f>SUM(DQ179:DQ183)</f>
        <v>61223.043333033478</v>
      </c>
      <c r="DR184" s="295">
        <f t="shared" si="235"/>
        <v>61223.043333033478</v>
      </c>
    </row>
    <row r="185" spans="1:122">
      <c r="A185" s="102" t="s">
        <v>449</v>
      </c>
      <c r="BH185" s="293"/>
      <c r="BI185" s="293">
        <f>+BI186-BI184</f>
        <v>5300</v>
      </c>
      <c r="BJ185" s="293">
        <f t="shared" si="220"/>
        <v>5300</v>
      </c>
      <c r="BL185" s="293">
        <f>+BL186-BL184</f>
        <v>5600</v>
      </c>
      <c r="BM185" s="293">
        <f>+BM186-BM184</f>
        <v>6500</v>
      </c>
      <c r="BN185" s="293">
        <f t="shared" si="221"/>
        <v>6500</v>
      </c>
      <c r="BP185" s="293">
        <f>+BP186-BP184</f>
        <v>5300</v>
      </c>
      <c r="BQ185" s="293">
        <f>+BQ186-BQ184</f>
        <v>7500</v>
      </c>
      <c r="BR185" s="293">
        <f t="shared" si="222"/>
        <v>7500</v>
      </c>
      <c r="BT185" s="293">
        <f>+BT186-BT184</f>
        <v>7500</v>
      </c>
      <c r="BU185" s="293">
        <f>+BU186-BU184</f>
        <v>7200</v>
      </c>
      <c r="BV185" s="293">
        <f t="shared" si="223"/>
        <v>7200</v>
      </c>
      <c r="BX185" s="293">
        <f>+BX186-BX184</f>
        <v>6900</v>
      </c>
      <c r="BY185" s="293">
        <f>+BY186-BY184</f>
        <v>7300</v>
      </c>
      <c r="BZ185" s="293">
        <f t="shared" si="224"/>
        <v>7300</v>
      </c>
      <c r="CB185" s="293">
        <f>+CB186-CB184</f>
        <v>5200</v>
      </c>
      <c r="CC185" s="293">
        <f>+CC186-CC184</f>
        <v>14000</v>
      </c>
      <c r="CD185" s="293">
        <f t="shared" si="225"/>
        <v>14000</v>
      </c>
      <c r="CF185" s="293">
        <f>+CF186-CF184</f>
        <v>15000</v>
      </c>
      <c r="CG185" s="293">
        <f>+CG186-CG184</f>
        <v>16200</v>
      </c>
      <c r="CH185" s="293">
        <f t="shared" si="226"/>
        <v>16200</v>
      </c>
      <c r="CJ185" s="293">
        <f>+CJ186-CJ184</f>
        <v>16800</v>
      </c>
      <c r="CK185" s="293">
        <f>+CK186-CK184</f>
        <v>13400</v>
      </c>
      <c r="CL185" s="293">
        <f t="shared" si="227"/>
        <v>13400</v>
      </c>
      <c r="CN185" s="293">
        <f>+CN186-CN184</f>
        <v>11100</v>
      </c>
      <c r="CO185" s="293">
        <f>+CO186-CO184</f>
        <v>14100</v>
      </c>
      <c r="CP185" s="293">
        <f t="shared" si="228"/>
        <v>14100</v>
      </c>
      <c r="CR185" s="293">
        <f>+CR186-CR184</f>
        <v>7600</v>
      </c>
      <c r="CS185" s="293">
        <f>+CS186-CS184</f>
        <v>11100</v>
      </c>
      <c r="CT185" s="293">
        <f t="shared" si="229"/>
        <v>11100</v>
      </c>
      <c r="CV185" s="293">
        <f>+CV186-CV184</f>
        <v>14500</v>
      </c>
      <c r="CW185" s="1495">
        <f>+CW186-CW184</f>
        <v>13800</v>
      </c>
      <c r="CX185" s="1495">
        <f t="shared" si="230"/>
        <v>13800</v>
      </c>
      <c r="CZ185" s="293">
        <f>+CZ186-CZ184</f>
        <v>14200</v>
      </c>
      <c r="DA185" s="1495">
        <f>+DA186-DA184</f>
        <v>12400</v>
      </c>
      <c r="DB185" s="1495">
        <f t="shared" si="231"/>
        <v>12400</v>
      </c>
      <c r="DD185" s="293">
        <f>+DD186-DD184</f>
        <v>13700</v>
      </c>
      <c r="DE185" s="1495">
        <f>+DE186-DE184</f>
        <v>13501.121495327097</v>
      </c>
      <c r="DF185" s="1495">
        <f t="shared" si="232"/>
        <v>13501.121495327097</v>
      </c>
      <c r="DH185" s="293">
        <f>+DH186-DH184</f>
        <v>22496.448598130839</v>
      </c>
      <c r="DI185" s="293">
        <f>+DI186-DI184</f>
        <v>24920.888771558857</v>
      </c>
      <c r="DJ185" s="293">
        <f t="shared" si="233"/>
        <v>24920.888771558857</v>
      </c>
      <c r="DL185" s="293">
        <f>+DL186-DL184</f>
        <v>26861.498920500329</v>
      </c>
      <c r="DM185" s="293">
        <f>+DM186-DM184</f>
        <v>28669.414640718278</v>
      </c>
      <c r="DN185" s="293">
        <f t="shared" si="234"/>
        <v>28669.414640718278</v>
      </c>
      <c r="DP185" s="293">
        <f>+DP186-DP184</f>
        <v>30599.238490629257</v>
      </c>
      <c r="DQ185" s="293">
        <f>+DQ186-DQ184</f>
        <v>32659.334101233908</v>
      </c>
      <c r="DR185" s="293">
        <f t="shared" si="235"/>
        <v>32659.334101233908</v>
      </c>
    </row>
    <row r="186" spans="1:122">
      <c r="A186" s="289" t="s">
        <v>423</v>
      </c>
      <c r="BH186" s="293"/>
      <c r="BI186" s="655">
        <v>13700</v>
      </c>
      <c r="BJ186" s="295">
        <f t="shared" si="220"/>
        <v>13700</v>
      </c>
      <c r="BL186" s="655">
        <v>14400</v>
      </c>
      <c r="BM186" s="655">
        <v>14200</v>
      </c>
      <c r="BN186" s="295">
        <f t="shared" si="221"/>
        <v>14200</v>
      </c>
      <c r="BP186" s="655">
        <v>13200</v>
      </c>
      <c r="BQ186" s="655">
        <v>15700</v>
      </c>
      <c r="BR186" s="295">
        <f t="shared" si="222"/>
        <v>15700</v>
      </c>
      <c r="BT186" s="655">
        <v>17500</v>
      </c>
      <c r="BU186" s="655">
        <v>16400</v>
      </c>
      <c r="BV186" s="295">
        <f t="shared" si="223"/>
        <v>16400</v>
      </c>
      <c r="BX186" s="655">
        <v>15800</v>
      </c>
      <c r="BY186" s="655">
        <v>16200</v>
      </c>
      <c r="BZ186" s="295">
        <f t="shared" si="224"/>
        <v>16200</v>
      </c>
      <c r="CB186" s="655">
        <v>16000</v>
      </c>
      <c r="CC186" s="655">
        <v>24100</v>
      </c>
      <c r="CD186" s="295">
        <f t="shared" si="225"/>
        <v>24100</v>
      </c>
      <c r="CF186" s="655">
        <v>26600</v>
      </c>
      <c r="CG186" s="655">
        <v>39900</v>
      </c>
      <c r="CH186" s="295">
        <f t="shared" si="226"/>
        <v>39900</v>
      </c>
      <c r="CJ186" s="655">
        <v>36200</v>
      </c>
      <c r="CK186" s="655">
        <v>38100</v>
      </c>
      <c r="CL186" s="295">
        <f t="shared" si="227"/>
        <v>38100</v>
      </c>
      <c r="CN186" s="655">
        <v>32200</v>
      </c>
      <c r="CO186" s="655">
        <v>33000</v>
      </c>
      <c r="CP186" s="295">
        <f t="shared" si="228"/>
        <v>33000</v>
      </c>
      <c r="CR186" s="655">
        <v>39600</v>
      </c>
      <c r="CS186" s="1389">
        <v>49800</v>
      </c>
      <c r="CT186" s="295">
        <f t="shared" si="229"/>
        <v>49800</v>
      </c>
      <c r="CV186" s="655">
        <v>60000</v>
      </c>
      <c r="CW186" s="1505">
        <v>60700</v>
      </c>
      <c r="CX186" s="1390">
        <f t="shared" si="230"/>
        <v>60700</v>
      </c>
      <c r="CZ186" s="655">
        <v>62700</v>
      </c>
      <c r="DA186" s="1489">
        <v>63700</v>
      </c>
      <c r="DB186" s="1390">
        <f t="shared" si="231"/>
        <v>63700</v>
      </c>
      <c r="DD186" s="655">
        <v>62100</v>
      </c>
      <c r="DE186" s="2175">
        <v>65600</v>
      </c>
      <c r="DF186" s="1390">
        <f t="shared" si="232"/>
        <v>65600</v>
      </c>
      <c r="DH186" s="655">
        <v>73600</v>
      </c>
      <c r="DI186" s="295">
        <f>'Bal Sheet'!DI456*1000*DI197</f>
        <v>78933.305755036825</v>
      </c>
      <c r="DJ186" s="295">
        <f t="shared" si="233"/>
        <v>78933.305755036825</v>
      </c>
      <c r="DL186" s="295">
        <f>'Bal Sheet'!DL456*1000*DL197</f>
        <v>83024.678561505003</v>
      </c>
      <c r="DM186" s="295">
        <f>'Bal Sheet'!DM456*1000*DM197</f>
        <v>86478.057929814473</v>
      </c>
      <c r="DN186" s="295">
        <f t="shared" si="234"/>
        <v>86478.057929814473</v>
      </c>
      <c r="DP186" s="295">
        <f>'Bal Sheet'!DP456*1000*DP197</f>
        <v>90094.465682326525</v>
      </c>
      <c r="DQ186" s="295">
        <f>'Bal Sheet'!DQ456*1000*DQ197</f>
        <v>93882.377434267386</v>
      </c>
      <c r="DR186" s="295">
        <f t="shared" si="235"/>
        <v>93882.377434267386</v>
      </c>
    </row>
    <row r="187" spans="1:122">
      <c r="A187" s="102" t="s">
        <v>530</v>
      </c>
      <c r="BH187" s="293"/>
      <c r="BI187" s="293">
        <f>+BI188-BI186</f>
        <v>7600</v>
      </c>
      <c r="BJ187" s="293">
        <f t="shared" si="220"/>
        <v>7600</v>
      </c>
      <c r="BL187" s="293">
        <f>+BL188-BL186</f>
        <v>8200</v>
      </c>
      <c r="BM187" s="293">
        <f>+BM188-BM186</f>
        <v>9500</v>
      </c>
      <c r="BN187" s="293">
        <f t="shared" si="221"/>
        <v>9500</v>
      </c>
      <c r="BP187" s="293">
        <f>+BP188-BP186</f>
        <v>10200</v>
      </c>
      <c r="BQ187" s="293">
        <f>+BQ188-BQ186</f>
        <v>8600</v>
      </c>
      <c r="BR187" s="293">
        <f t="shared" si="222"/>
        <v>8600</v>
      </c>
      <c r="BT187" s="293">
        <f>+BT188-BT186</f>
        <v>9500</v>
      </c>
      <c r="BU187" s="293">
        <f>+BU188-BU186</f>
        <v>7900</v>
      </c>
      <c r="BV187" s="293">
        <f t="shared" si="223"/>
        <v>7900</v>
      </c>
      <c r="BX187" s="293">
        <f>+BX188-BX186</f>
        <v>8800</v>
      </c>
      <c r="BY187" s="293">
        <f>+BY188-BY186</f>
        <v>8300</v>
      </c>
      <c r="BZ187" s="293">
        <f t="shared" si="224"/>
        <v>8300</v>
      </c>
      <c r="CB187" s="293">
        <f>+CB188-CB186</f>
        <v>8700</v>
      </c>
      <c r="CC187" s="293">
        <f>+CC188-CC186</f>
        <v>8000</v>
      </c>
      <c r="CD187" s="293">
        <f t="shared" si="225"/>
        <v>8000</v>
      </c>
      <c r="CF187" s="293">
        <f>+CF188-CF186</f>
        <v>9300</v>
      </c>
      <c r="CG187" s="293">
        <f>+CG188-CG186</f>
        <v>12200</v>
      </c>
      <c r="CH187" s="293">
        <f t="shared" si="226"/>
        <v>12200</v>
      </c>
      <c r="CJ187" s="293">
        <f>+CJ188-CJ186</f>
        <v>15200</v>
      </c>
      <c r="CK187" s="293">
        <f>+CK188-CK186</f>
        <v>19000</v>
      </c>
      <c r="CL187" s="293">
        <f t="shared" si="227"/>
        <v>19000</v>
      </c>
      <c r="CN187" s="293">
        <f>+CN188-CN186</f>
        <v>16800</v>
      </c>
      <c r="CO187" s="293">
        <f>+CO188-CO186</f>
        <v>14000</v>
      </c>
      <c r="CP187" s="293">
        <f t="shared" si="228"/>
        <v>14000</v>
      </c>
      <c r="CR187" s="293">
        <f>+CR188-CR186</f>
        <v>15500</v>
      </c>
      <c r="CS187" s="293">
        <f>+CS188-CS186</f>
        <v>14800</v>
      </c>
      <c r="CT187" s="293">
        <f t="shared" si="229"/>
        <v>14800</v>
      </c>
      <c r="CV187" s="293">
        <f>+CV188-CV186</f>
        <v>14400</v>
      </c>
      <c r="CW187" s="1495">
        <f>+CW188-CW186</f>
        <v>15400</v>
      </c>
      <c r="CX187" s="1495">
        <f t="shared" si="230"/>
        <v>15400</v>
      </c>
      <c r="CZ187" s="293">
        <f>+CZ188-CZ186</f>
        <v>16900</v>
      </c>
      <c r="DA187" s="1495">
        <f>+DA188-DA186</f>
        <v>16600</v>
      </c>
      <c r="DB187" s="1495">
        <f t="shared" si="231"/>
        <v>16600</v>
      </c>
      <c r="DD187" s="293">
        <f>+DD188-DD186</f>
        <v>21100</v>
      </c>
      <c r="DE187" s="487">
        <f>DD187/('Bal Sheet'!DD455*1000)*('Bal Sheet'!DE455*1000)</f>
        <v>22134.980616200777</v>
      </c>
      <c r="DF187" s="1495">
        <f t="shared" si="232"/>
        <v>22134.980616200777</v>
      </c>
      <c r="DH187" s="487">
        <f>DE187/('Bal Sheet'!DE455*1000)*('Bal Sheet'!DH455*1000)</f>
        <v>23798.239815003748</v>
      </c>
      <c r="DI187" s="487">
        <f>DH187/('Bal Sheet'!DH455*1000)*('Bal Sheet'!DI455*1000)</f>
        <v>25522.741029203564</v>
      </c>
      <c r="DJ187" s="293">
        <f t="shared" si="233"/>
        <v>25522.741029203564</v>
      </c>
      <c r="DL187" s="487">
        <f>DJ187/('Bal Sheet'!DJ455*1000)*('Bal Sheet'!DL455*1000)</f>
        <v>26845.668627313797</v>
      </c>
      <c r="DM187" s="487">
        <f>DL187/('Bal Sheet'!DL455*1000)*('Bal Sheet'!DM455*1000)</f>
        <v>27962.303822683582</v>
      </c>
      <c r="DN187" s="293">
        <f t="shared" si="234"/>
        <v>27962.303822683582</v>
      </c>
      <c r="DP187" s="487">
        <f>DN187/('Bal Sheet'!DN455*1000)*('Bal Sheet'!DP455*1000)</f>
        <v>29131.653536856407</v>
      </c>
      <c r="DQ187" s="487">
        <f>DP187/('Bal Sheet'!DP455*1000)*('Bal Sheet'!DQ455*1000)</f>
        <v>30356.458323143903</v>
      </c>
      <c r="DR187" s="293">
        <f t="shared" si="235"/>
        <v>30356.458323143903</v>
      </c>
    </row>
    <row r="188" spans="1:122">
      <c r="A188" s="289" t="s">
        <v>531</v>
      </c>
      <c r="BH188" s="293"/>
      <c r="BI188" s="655">
        <v>21300</v>
      </c>
      <c r="BJ188" s="295">
        <f t="shared" si="220"/>
        <v>21300</v>
      </c>
      <c r="BL188" s="655">
        <v>22600</v>
      </c>
      <c r="BM188" s="655">
        <v>23700</v>
      </c>
      <c r="BN188" s="295">
        <f t="shared" si="221"/>
        <v>23700</v>
      </c>
      <c r="BP188" s="655">
        <v>23400</v>
      </c>
      <c r="BQ188" s="655">
        <v>24300</v>
      </c>
      <c r="BR188" s="295">
        <f t="shared" si="222"/>
        <v>24300</v>
      </c>
      <c r="BT188" s="655">
        <v>27000</v>
      </c>
      <c r="BU188" s="655">
        <v>24300</v>
      </c>
      <c r="BV188" s="295">
        <f t="shared" si="223"/>
        <v>24300</v>
      </c>
      <c r="BX188" s="655">
        <v>24600</v>
      </c>
      <c r="BY188" s="655">
        <v>24500</v>
      </c>
      <c r="BZ188" s="295">
        <f t="shared" si="224"/>
        <v>24500</v>
      </c>
      <c r="CB188" s="655">
        <v>24700</v>
      </c>
      <c r="CC188" s="655">
        <v>32100</v>
      </c>
      <c r="CD188" s="295">
        <f t="shared" si="225"/>
        <v>32100</v>
      </c>
      <c r="CF188" s="655">
        <v>35900</v>
      </c>
      <c r="CG188" s="655">
        <v>52100</v>
      </c>
      <c r="CH188" s="295">
        <f t="shared" si="226"/>
        <v>52100</v>
      </c>
      <c r="CJ188" s="655">
        <v>51400</v>
      </c>
      <c r="CK188" s="655">
        <v>57100</v>
      </c>
      <c r="CL188" s="295">
        <f t="shared" si="227"/>
        <v>57100</v>
      </c>
      <c r="CN188" s="655">
        <v>49000</v>
      </c>
      <c r="CO188" s="655">
        <v>47000</v>
      </c>
      <c r="CP188" s="295">
        <f t="shared" si="228"/>
        <v>47000</v>
      </c>
      <c r="CR188" s="655">
        <v>55100</v>
      </c>
      <c r="CS188" s="1389">
        <v>64600</v>
      </c>
      <c r="CT188" s="295">
        <f t="shared" si="229"/>
        <v>64600</v>
      </c>
      <c r="CV188" s="655">
        <v>74400</v>
      </c>
      <c r="CW188" s="1505">
        <v>76100</v>
      </c>
      <c r="CX188" s="1390">
        <f t="shared" si="230"/>
        <v>76100</v>
      </c>
      <c r="CZ188" s="655">
        <v>79600</v>
      </c>
      <c r="DA188" s="1489">
        <v>80300</v>
      </c>
      <c r="DB188" s="1390">
        <f t="shared" si="231"/>
        <v>80300</v>
      </c>
      <c r="DD188" s="2175">
        <v>83200</v>
      </c>
      <c r="DE188" s="1390">
        <f>DE186+DE187</f>
        <v>87734.980616200774</v>
      </c>
      <c r="DF188" s="1390">
        <f t="shared" si="232"/>
        <v>87734.980616200774</v>
      </c>
      <c r="DH188" s="1390">
        <f>DH186+DH187</f>
        <v>97398.239815003748</v>
      </c>
      <c r="DI188" s="295">
        <f>+DI186+DI187</f>
        <v>104456.04678424039</v>
      </c>
      <c r="DJ188" s="295">
        <f t="shared" si="233"/>
        <v>104456.04678424039</v>
      </c>
      <c r="DL188" s="295">
        <f>+DL186+DL187</f>
        <v>109870.34718881879</v>
      </c>
      <c r="DM188" s="295">
        <f>+DM186+DM187</f>
        <v>114440.36175249805</v>
      </c>
      <c r="DN188" s="295">
        <f t="shared" si="234"/>
        <v>114440.36175249805</v>
      </c>
      <c r="DP188" s="295">
        <f>+DP186+DP187</f>
        <v>119226.11921918293</v>
      </c>
      <c r="DQ188" s="295">
        <f>+DQ186+DQ187</f>
        <v>124238.83575741129</v>
      </c>
      <c r="DR188" s="295">
        <f t="shared" si="235"/>
        <v>124238.83575741129</v>
      </c>
    </row>
    <row r="189" spans="1:122">
      <c r="A189" s="289"/>
      <c r="BH189" s="293"/>
      <c r="BI189" s="655"/>
      <c r="BJ189" s="293"/>
      <c r="BL189" s="655"/>
      <c r="BM189" s="655"/>
      <c r="BN189" s="293"/>
      <c r="BP189" s="655"/>
      <c r="BQ189" s="655"/>
      <c r="BR189" s="293"/>
      <c r="BT189" s="655"/>
      <c r="BU189" s="655"/>
      <c r="BV189" s="293"/>
      <c r="BX189" s="655"/>
      <c r="BY189" s="655"/>
      <c r="BZ189" s="293"/>
      <c r="CB189" s="655"/>
      <c r="CC189" s="655"/>
      <c r="CD189" s="293"/>
      <c r="CF189" s="655"/>
      <c r="CG189" s="655"/>
      <c r="CH189" s="293"/>
      <c r="CJ189" s="655"/>
      <c r="CK189" s="655"/>
      <c r="CL189" s="293"/>
      <c r="CN189" s="655"/>
      <c r="CO189" s="655"/>
      <c r="CP189" s="293"/>
      <c r="CR189" s="655"/>
      <c r="CS189" s="655"/>
      <c r="CT189" s="293"/>
      <c r="CV189" s="655"/>
      <c r="CW189" s="1505"/>
      <c r="CX189" s="1495"/>
      <c r="CZ189" s="655"/>
      <c r="DA189" s="1505"/>
      <c r="DB189" s="1495"/>
      <c r="DD189" s="655"/>
      <c r="DE189" s="2104"/>
      <c r="DF189" s="1495"/>
      <c r="DH189" s="655"/>
      <c r="DI189" s="655"/>
      <c r="DJ189" s="293"/>
      <c r="DL189" s="655"/>
      <c r="DM189" s="655"/>
      <c r="DN189" s="293"/>
      <c r="DP189" s="655"/>
      <c r="DQ189" s="655"/>
      <c r="DR189" s="293"/>
    </row>
    <row r="190" spans="1:122">
      <c r="A190" s="289" t="s">
        <v>498</v>
      </c>
      <c r="BH190" s="293"/>
      <c r="BI190" s="655"/>
      <c r="BJ190" s="293"/>
      <c r="BL190" s="655"/>
      <c r="BM190" s="655"/>
      <c r="BN190" s="293"/>
      <c r="BP190" s="655"/>
      <c r="BQ190" s="655"/>
      <c r="BR190" s="293"/>
      <c r="BT190" s="655"/>
      <c r="BU190" s="655"/>
      <c r="BV190" s="293"/>
      <c r="BX190" s="655"/>
      <c r="BY190" s="655"/>
      <c r="BZ190" s="293"/>
      <c r="CB190" s="655"/>
      <c r="CC190" s="655"/>
      <c r="CD190" s="293"/>
      <c r="CF190" s="655"/>
      <c r="CG190" s="655"/>
      <c r="CH190" s="293"/>
      <c r="CJ190" s="655"/>
      <c r="CK190" s="655"/>
      <c r="CL190" s="293"/>
      <c r="CN190" s="655"/>
      <c r="CO190" s="655"/>
      <c r="CP190" s="293"/>
      <c r="CR190" s="655"/>
      <c r="CS190" s="655"/>
      <c r="CT190" s="293"/>
      <c r="CV190" s="655"/>
      <c r="CW190" s="1505"/>
      <c r="CX190" s="1495"/>
      <c r="CZ190" s="655"/>
      <c r="DA190" s="1505"/>
      <c r="DB190" s="1495"/>
      <c r="DD190" s="655"/>
      <c r="DE190" s="1505"/>
      <c r="DF190" s="1495"/>
      <c r="DH190" s="655"/>
      <c r="DI190" s="655"/>
      <c r="DJ190" s="293"/>
      <c r="DL190" s="655"/>
      <c r="DM190" s="655"/>
      <c r="DN190" s="293"/>
      <c r="DP190" s="655"/>
      <c r="DQ190" s="655"/>
      <c r="DR190" s="293"/>
    </row>
    <row r="191" spans="1:122">
      <c r="A191" s="102" t="s">
        <v>402</v>
      </c>
      <c r="BH191" s="293"/>
      <c r="BI191" s="632">
        <f>BI179/'Bal Sheet'!BI12</f>
        <v>0.1215723355396461</v>
      </c>
      <c r="BJ191" s="293"/>
      <c r="BL191" s="632">
        <f>BL179/'Bal Sheet'!BL12</f>
        <v>0.10879025239338555</v>
      </c>
      <c r="BM191" s="632">
        <f>BM179/'Bal Sheet'!BM12</f>
        <v>9.2511692450017988E-2</v>
      </c>
      <c r="BN191" s="293"/>
      <c r="BP191" s="632">
        <f>BP179/'Bal Sheet'!BP12</f>
        <v>8.1829121540312882E-2</v>
      </c>
      <c r="BQ191" s="632">
        <f>BQ179/'Bal Sheet'!BQ12</f>
        <v>6.6190559136039023E-2</v>
      </c>
      <c r="BR191" s="293"/>
      <c r="BT191" s="632">
        <f>BT179/'Bal Sheet'!BT12</f>
        <v>4.6003139037722574E-2</v>
      </c>
      <c r="BU191" s="632">
        <f>BU179/'Bal Sheet'!BU12</f>
        <v>4.5278918135716009E-2</v>
      </c>
      <c r="BV191" s="293"/>
      <c r="BX191" s="632">
        <f>BX179/'Bal Sheet'!BX12</f>
        <v>5.1112447384245342E-2</v>
      </c>
      <c r="BY191" s="632">
        <f>BY179/'Bal Sheet'!BY12</f>
        <v>6.1883440719303996E-2</v>
      </c>
      <c r="BZ191" s="293"/>
      <c r="CB191" s="632">
        <f>CB179/'Bal Sheet'!CB12</f>
        <v>4.4615193952162596E-2</v>
      </c>
      <c r="CC191" s="632">
        <f>CC179/'Bal Sheet'!CC12</f>
        <v>4.6681708550532948E-2</v>
      </c>
      <c r="CD191" s="293"/>
      <c r="CF191" s="632">
        <f>CF179/'Bal Sheet'!CF12</f>
        <v>5.6056804228284664E-2</v>
      </c>
      <c r="CG191" s="632">
        <f>CG179/'Bal Sheet'!CG12</f>
        <v>5.1105148843746007E-2</v>
      </c>
      <c r="CH191" s="293"/>
      <c r="CJ191" s="632">
        <f>CJ179/'Bal Sheet'!CJ12</f>
        <v>4.5248868778280542E-2</v>
      </c>
      <c r="CK191" s="632">
        <f>CK179/'Bal Sheet'!CK12</f>
        <v>0.11175069053492737</v>
      </c>
      <c r="CL191" s="293"/>
      <c r="CN191" s="632">
        <f>CN179/'Bal Sheet'!CN12</f>
        <v>0.10656023559499361</v>
      </c>
      <c r="CO191" s="632">
        <f>CO179/'Bal Sheet'!CO12</f>
        <v>8.3475483613399626E-2</v>
      </c>
      <c r="CP191" s="293"/>
      <c r="CR191" s="632">
        <f>CR179/'Bal Sheet'!CR12</f>
        <v>0.15767808553687296</v>
      </c>
      <c r="CS191" s="632">
        <f>CS179/'Bal Sheet'!CS12</f>
        <v>0.14622273955998499</v>
      </c>
      <c r="CT191" s="293"/>
      <c r="CV191" s="632">
        <f>CV179/'Bal Sheet'!CV12</f>
        <v>0.12315934510018244</v>
      </c>
      <c r="CW191" s="632">
        <f>CW179/'Bal Sheet'!CW12</f>
        <v>0.15403234679282649</v>
      </c>
      <c r="CX191" s="1495"/>
      <c r="CZ191" s="632">
        <f>CZ179/'Bal Sheet'!CZ12</f>
        <v>0.15255051929868554</v>
      </c>
      <c r="DA191" s="632">
        <f>DA179/'Bal Sheet'!DA12</f>
        <v>0.15287301569717848</v>
      </c>
      <c r="DB191" s="1495"/>
      <c r="DD191" s="632">
        <f>DD179/'Bal Sheet'!DD12</f>
        <v>0.13516557783284525</v>
      </c>
      <c r="DE191" s="632">
        <f>DE179/'Bal Sheet'!DE12</f>
        <v>0.12800654016608579</v>
      </c>
      <c r="DF191" s="1495"/>
      <c r="DH191" s="632">
        <f>DH179/'Bal Sheet'!DH12</f>
        <v>0.11163417690857583</v>
      </c>
      <c r="DI191" s="1967">
        <f>DH191</f>
        <v>0.11163417690857583</v>
      </c>
      <c r="DJ191" s="293"/>
      <c r="DL191" s="1967">
        <f>DI191</f>
        <v>0.11163417690857583</v>
      </c>
      <c r="DM191" s="1967">
        <f>DL191</f>
        <v>0.11163417690857583</v>
      </c>
      <c r="DN191" s="293"/>
      <c r="DP191" s="1967">
        <f>DM191</f>
        <v>0.11163417690857583</v>
      </c>
      <c r="DQ191" s="1967">
        <f>DP191</f>
        <v>0.11163417690857583</v>
      </c>
      <c r="DR191" s="293"/>
    </row>
    <row r="192" spans="1:122">
      <c r="A192" s="102" t="s">
        <v>350</v>
      </c>
      <c r="BH192" s="293"/>
      <c r="BI192" s="632">
        <f ca="1">BI180/('Bal Sheet'!BI124*1000)</f>
        <v>3.2634032634032632E-2</v>
      </c>
      <c r="BJ192" s="293"/>
      <c r="BL192" s="632">
        <f>BL180/('Bal Sheet'!BL124*1000)</f>
        <v>2.8322440087145968E-2</v>
      </c>
      <c r="BM192" s="632">
        <f>BM180/('Bal Sheet'!BM124*1000)</f>
        <v>2.5423728813559324E-2</v>
      </c>
      <c r="BN192" s="293"/>
      <c r="BP192" s="632">
        <f>BP180/('Bal Sheet'!BP124*1000)</f>
        <v>2.4048096192384769E-2</v>
      </c>
      <c r="BQ192" s="632">
        <f>BQ180/('Bal Sheet'!BQ124*1000)</f>
        <v>2.1739130434782608E-2</v>
      </c>
      <c r="BR192" s="293"/>
      <c r="BT192" s="632">
        <f>BT180/('Bal Sheet'!BT124*1000)</f>
        <v>2.936378466557912E-2</v>
      </c>
      <c r="BU192" s="632">
        <f>BU180/('Bal Sheet'!BU124*1000)</f>
        <v>2.3154848046309694E-2</v>
      </c>
      <c r="BV192" s="293"/>
      <c r="BX192" s="632">
        <f>BX180/('Bal Sheet'!BX124*1000)</f>
        <v>1.906158357771261E-2</v>
      </c>
      <c r="BY192" s="632">
        <f>BY180/('Bal Sheet'!BY124*1000)</f>
        <v>1.9259259259259261E-2</v>
      </c>
      <c r="BZ192" s="293"/>
      <c r="CB192" s="632">
        <f>CB180/('Bal Sheet'!CB124*1000)</f>
        <v>1.5691868758915834E-2</v>
      </c>
      <c r="CC192" s="632">
        <f>CC180/('Bal Sheet'!CC124*1000)</f>
        <v>1.3280212483399735E-2</v>
      </c>
      <c r="CD192" s="293"/>
      <c r="CF192" s="632">
        <f>CF180/('Bal Sheet'!CF124*1000)</f>
        <v>1.9851116625310174E-2</v>
      </c>
      <c r="CG192" s="632">
        <f>CG180/('Bal Sheet'!CG124*1000)</f>
        <v>0.16385542168674699</v>
      </c>
      <c r="CH192" s="293"/>
      <c r="CJ192" s="632">
        <f>CJ180/('Bal Sheet'!CJ124*1000)</f>
        <v>8.1280788177339899E-2</v>
      </c>
      <c r="CK192" s="632">
        <f>CK180/('Bal Sheet'!CK124*1000)</f>
        <v>0.10520231213872833</v>
      </c>
      <c r="CL192" s="293"/>
      <c r="CN192" s="632">
        <f>CN180/('Bal Sheet'!CN124*1000)</f>
        <v>7.0612668743509868E-2</v>
      </c>
      <c r="CO192" s="632">
        <f>CO180/('Bal Sheet'!CO124*1000)</f>
        <v>6.4245810055865923E-2</v>
      </c>
      <c r="CP192" s="293"/>
      <c r="CR192" s="632">
        <f>CR180/('Bal Sheet'!CR124*1000)</f>
        <v>8.1900081900081897E-2</v>
      </c>
      <c r="CS192" s="632">
        <f>CS180/('Bal Sheet'!CS124*1000)</f>
        <v>9.3795093795093792E-2</v>
      </c>
      <c r="CT192" s="293"/>
      <c r="CV192" s="632">
        <f>CV180/('Bal Sheet'!CV124*1000)</f>
        <v>0.10646636185499674</v>
      </c>
      <c r="CW192" s="632">
        <f>CW180/('Bal Sheet'!CW124*1000)</f>
        <v>0.11314984709480122</v>
      </c>
      <c r="CX192" s="1495"/>
      <c r="CZ192" s="632">
        <f>CZ180/('Bal Sheet'!CZ124*1000)</f>
        <v>0.11529548088064889</v>
      </c>
      <c r="DA192" s="632">
        <f>DA180/('Bal Sheet'!DA124*1000)</f>
        <v>0.1184573002754821</v>
      </c>
      <c r="DB192" s="1495"/>
      <c r="DD192" s="632">
        <f>DD180/('Bal Sheet'!DD124*1000)</f>
        <v>0.11724856696195936</v>
      </c>
      <c r="DE192" s="632">
        <f>DE180/('Bal Sheet'!DE124*1000)</f>
        <v>0.11624513618677043</v>
      </c>
      <c r="DF192" s="1495"/>
      <c r="DH192" s="632">
        <f>DH180/('Bal Sheet'!DH124*1000)</f>
        <v>0.10669642857142857</v>
      </c>
      <c r="DI192" s="1967">
        <f>DH192-0.2%</f>
        <v>0.10469642857142857</v>
      </c>
      <c r="DJ192" s="293"/>
      <c r="DL192" s="1967">
        <f>DI192-0.2%</f>
        <v>0.10269642857142856</v>
      </c>
      <c r="DM192" s="1967">
        <f>DL192-0.2%</f>
        <v>0.10069642857142856</v>
      </c>
      <c r="DN192" s="293"/>
      <c r="DP192" s="1967">
        <f>DM192-0.2%</f>
        <v>9.869642857142856E-2</v>
      </c>
      <c r="DQ192" s="1967">
        <f>DP192-0.2%</f>
        <v>9.6696428571428558E-2</v>
      </c>
      <c r="DR192" s="293"/>
    </row>
    <row r="193" spans="1:123">
      <c r="A193" s="102" t="s">
        <v>442</v>
      </c>
      <c r="BH193" s="293"/>
      <c r="BI193" s="632">
        <f>BI181/'Bal Sheet'!BI206</f>
        <v>1.4387454139989929E-2</v>
      </c>
      <c r="BJ193" s="293"/>
      <c r="BL193" s="632">
        <f>BL181/'Bal Sheet'!BL206</f>
        <v>7.5694497010067368E-3</v>
      </c>
      <c r="BM193" s="632">
        <f>BM181/'Bal Sheet'!BM206</f>
        <v>4.1507554374896234E-2</v>
      </c>
      <c r="BN193" s="293"/>
      <c r="BP193" s="632">
        <f>BP181/'Bal Sheet'!BP206</f>
        <v>0.12371134020618557</v>
      </c>
      <c r="BQ193" s="632">
        <f>BQ181/'Bal Sheet'!BQ206</f>
        <v>9.2994420334779906E-2</v>
      </c>
      <c r="BR193" s="293"/>
      <c r="BT193" s="632">
        <f>BT181/'Bal Sheet'!BT206</f>
        <v>6.4876086674451799E-2</v>
      </c>
      <c r="BU193" s="632">
        <f>BU181/'Bal Sheet'!BU206</f>
        <v>5.9129612109744559E-2</v>
      </c>
      <c r="BV193" s="293"/>
      <c r="BX193" s="632">
        <f>BX181/'Bal Sheet'!BX206</f>
        <v>0.12596724851538599</v>
      </c>
      <c r="BY193" s="632">
        <f>BY181/'Bal Sheet'!BY206</f>
        <v>8.1749437972613942E-2</v>
      </c>
      <c r="BZ193" s="293"/>
      <c r="CB193" s="632">
        <f>CB181/'Bal Sheet'!CB206</f>
        <v>0.46012269938650308</v>
      </c>
      <c r="CC193" s="632">
        <f>CC181/'Bal Sheet'!CC206</f>
        <v>0.12634238787113075</v>
      </c>
      <c r="CD193" s="293"/>
      <c r="CF193" s="632">
        <f>1/('Bal Sheet'!CF206/CF181)</f>
        <v>0.52465897166841557</v>
      </c>
      <c r="CG193" s="632">
        <f>1/('Bal Sheet'!CG206/CG181)</f>
        <v>7.1233527246824163E-2</v>
      </c>
      <c r="CH193" s="293"/>
      <c r="CJ193" s="632">
        <f>1/('Bal Sheet'!CJ206/CJ181)</f>
        <v>2.8846153846153846</v>
      </c>
      <c r="CK193" s="632">
        <f>1/('Bal Sheet'!CK206/CK181)</f>
        <v>0.1303780964797914</v>
      </c>
      <c r="CL193" s="293"/>
      <c r="CN193" s="632">
        <f>1/('Bal Sheet'!CN206/CN181)</f>
        <v>0.18382352941176469</v>
      </c>
      <c r="CO193" s="632">
        <f>1/('Bal Sheet'!CO206/CO181)</f>
        <v>2.150537634408602</v>
      </c>
      <c r="CP193" s="293"/>
      <c r="CR193" s="632">
        <f>1/('Bal Sheet'!CR206/CR181)</f>
        <v>0.5670103092783505</v>
      </c>
      <c r="CS193" s="632">
        <f>1/('Bal Sheet'!CS206/CS181)</f>
        <v>0.55589246007681425</v>
      </c>
      <c r="CT193" s="293"/>
      <c r="CV193" s="632">
        <f>1/('Bal Sheet'!CV206/CV181)</f>
        <v>3.394625176803395</v>
      </c>
      <c r="CW193" s="632">
        <f>1/('Bal Sheet'!CW206/CW181)</f>
        <v>3.189394569709072</v>
      </c>
      <c r="CX193" s="1495"/>
      <c r="CZ193" s="632">
        <f>1/('Bal Sheet'!CZ206/CZ181)</f>
        <v>1.3873473917869035</v>
      </c>
      <c r="DA193" s="632">
        <f>1/('Bal Sheet'!DA206/DA181)</f>
        <v>1.1425213814715676</v>
      </c>
      <c r="DB193" s="1495"/>
      <c r="DD193" s="632">
        <f>1/('Bal Sheet'!DD206/DD181)</f>
        <v>0.39735099337748347</v>
      </c>
      <c r="DE193" s="632">
        <f>1/('Bal Sheet'!DE206/DE181)</f>
        <v>0.45448643033372293</v>
      </c>
      <c r="DF193" s="1495"/>
      <c r="DH193" s="632">
        <f>1/('Bal Sheet'!DH206/DH181)</f>
        <v>0.27746466660886154</v>
      </c>
      <c r="DI193" s="1967">
        <f>DH193</f>
        <v>0.27746466660886154</v>
      </c>
      <c r="DJ193" s="293"/>
      <c r="DL193" s="1967">
        <f>DI193</f>
        <v>0.27746466660886154</v>
      </c>
      <c r="DM193" s="1967">
        <f>DL193</f>
        <v>0.27746466660886154</v>
      </c>
      <c r="DN193" s="293"/>
      <c r="DP193" s="1967">
        <f>DM193</f>
        <v>0.27746466660886154</v>
      </c>
      <c r="DQ193" s="1967">
        <f>DP193</f>
        <v>0.27746466660886154</v>
      </c>
      <c r="DR193" s="293"/>
    </row>
    <row r="194" spans="1:123">
      <c r="A194" s="102" t="s">
        <v>443</v>
      </c>
      <c r="BH194" s="293"/>
      <c r="BI194" s="632">
        <f>BI182/'Bal Sheet'!BI172</f>
        <v>0.93397046046915722</v>
      </c>
      <c r="BJ194" s="293"/>
      <c r="BL194" s="632">
        <f>BL182/'Bal Sheet'!BL172</f>
        <v>0.97396668222307892</v>
      </c>
      <c r="BM194" s="632">
        <f>BM182/'Bal Sheet'!BM172</f>
        <v>0.92323925085729364</v>
      </c>
      <c r="BN194" s="293"/>
      <c r="BP194" s="632">
        <f>BP182/'Bal Sheet'!BP172</f>
        <v>0.8706786171574904</v>
      </c>
      <c r="BQ194" s="632">
        <f>BQ182/'Bal Sheet'!BQ172</f>
        <v>0.93091621754042131</v>
      </c>
      <c r="BR194" s="293"/>
      <c r="BT194" s="632">
        <f>BT182/'Bal Sheet'!BT172</f>
        <v>0.90361445783132532</v>
      </c>
      <c r="BU194" s="632">
        <f>BU182/'Bal Sheet'!BU172</f>
        <v>0.93877551020408168</v>
      </c>
      <c r="BV194" s="293"/>
      <c r="BX194" s="632">
        <f>BX182/'Bal Sheet'!BX172</f>
        <v>0.95454545454545459</v>
      </c>
      <c r="BY194" s="632">
        <f>BY182/'Bal Sheet'!BY172</f>
        <v>0.89795918367346939</v>
      </c>
      <c r="BZ194" s="293"/>
      <c r="CB194" s="632">
        <f>CB182/'Bal Sheet'!CB172</f>
        <v>0.88</v>
      </c>
      <c r="CC194" s="632">
        <f>CC182/'Bal Sheet'!CC172</f>
        <v>0.87692307692307692</v>
      </c>
      <c r="CD194" s="293"/>
      <c r="CF194" s="632">
        <f>CF182/'Bal Sheet'!CF172</f>
        <v>0.85</v>
      </c>
      <c r="CG194" s="632">
        <f>CG182/'Bal Sheet'!CG172</f>
        <v>0.98076923076923073</v>
      </c>
      <c r="CH194" s="293"/>
      <c r="CJ194" s="632">
        <f>CJ182/'Bal Sheet'!CJ172</f>
        <v>1</v>
      </c>
      <c r="CK194" s="632">
        <f>CK182/'Bal Sheet'!CK172</f>
        <v>1.0769230769230769</v>
      </c>
      <c r="CL194" s="293"/>
      <c r="CN194" s="632">
        <f>CN182/'Bal Sheet'!CN172</f>
        <v>1.0172413793103448</v>
      </c>
      <c r="CO194" s="632">
        <f>CO182/'Bal Sheet'!CO172</f>
        <v>0.61038961038961037</v>
      </c>
      <c r="CP194" s="293"/>
      <c r="CR194" s="632">
        <f>CR182/'Bal Sheet'!CR172</f>
        <v>0.69318181818181823</v>
      </c>
      <c r="CS194" s="632">
        <f>CS182/'Bal Sheet'!CS172</f>
        <v>0.68674698795180722</v>
      </c>
      <c r="CT194" s="293"/>
      <c r="CV194" s="632">
        <f>CV182/'Bal Sheet'!CV172</f>
        <v>0.72043010752688175</v>
      </c>
      <c r="CW194" s="632">
        <f>CW182/'Bal Sheet'!CW172</f>
        <v>0.69791666666666663</v>
      </c>
      <c r="CX194" s="1495"/>
      <c r="CZ194" s="632">
        <f>CZ182/'Bal Sheet'!CZ172</f>
        <v>0.6228070175438597</v>
      </c>
      <c r="DA194" s="632">
        <f>DA182/'Bal Sheet'!DA172</f>
        <v>0.75</v>
      </c>
      <c r="DB194" s="1495"/>
      <c r="DD194" s="632">
        <f>DD182/'Bal Sheet'!DD172</f>
        <v>0.69918699186991873</v>
      </c>
      <c r="DE194" s="632">
        <f>DE182/'Bal Sheet'!DE172</f>
        <v>0.8506625749755895</v>
      </c>
      <c r="DF194" s="1495"/>
      <c r="DH194" s="632">
        <f>DH182/'Bal Sheet'!DH172</f>
        <v>0.77126346579153893</v>
      </c>
      <c r="DI194" s="632">
        <f>DI182/'Bal Sheet'!DI172</f>
        <v>0.76146168390029134</v>
      </c>
      <c r="DJ194" s="293"/>
      <c r="DL194" s="632">
        <f>DL182/'Bal Sheet'!DL172</f>
        <v>0.75134912301112422</v>
      </c>
      <c r="DM194" s="632">
        <f>DM182/'Bal Sheet'!DM172</f>
        <v>0.74092498216749569</v>
      </c>
      <c r="DN194" s="293"/>
      <c r="DP194" s="632">
        <f>DP182/'Bal Sheet'!DP172</f>
        <v>0.73018934701712668</v>
      </c>
      <c r="DQ194" s="632">
        <f>DQ182/'Bal Sheet'!DQ172</f>
        <v>0.71914327434029901</v>
      </c>
      <c r="DR194" s="293"/>
    </row>
    <row r="195" spans="1:123">
      <c r="A195" s="102" t="s">
        <v>444</v>
      </c>
      <c r="BH195" s="293"/>
      <c r="BI195" s="632">
        <f>BI183/('Bal Sheet'!BI24+'Bal Sheet'!BI20)</f>
        <v>0.10198135198135198</v>
      </c>
      <c r="BJ195" s="293"/>
      <c r="BL195" s="632">
        <f>BL183/('Bal Sheet'!BL24+'Bal Sheet'!BL20)</f>
        <v>8.052610387867401E-2</v>
      </c>
      <c r="BM195" s="632">
        <f>BM183/('Bal Sheet'!BM24+'Bal Sheet'!BM20)</f>
        <v>9.2936802973977689E-2</v>
      </c>
      <c r="BN195" s="293"/>
      <c r="BP195" s="632">
        <f>BP183/('Bal Sheet'!BP24+'Bal Sheet'!BP20)</f>
        <v>8.8911469579575769E-2</v>
      </c>
      <c r="BQ195" s="632">
        <f>BQ183/('Bal Sheet'!BQ24+'Bal Sheet'!BQ20)</f>
        <v>8.4920538638845078E-2</v>
      </c>
      <c r="BR195" s="293"/>
      <c r="BT195" s="632">
        <f>BT183/('Bal Sheet'!BT24+'Bal Sheet'!BT20)</f>
        <v>0.10376134889753567</v>
      </c>
      <c r="BU195" s="632">
        <f>BU183/('Bal Sheet'!BU24+'Bal Sheet'!BU20)</f>
        <v>7.937137868084769E-2</v>
      </c>
      <c r="BV195" s="293"/>
      <c r="BX195" s="632">
        <f>BX183/('Bal Sheet'!BX24+'Bal Sheet'!BX20)</f>
        <v>8.3682008368200833E-2</v>
      </c>
      <c r="BY195" s="632">
        <f>BY183/('Bal Sheet'!BY24+'Bal Sheet'!BY20)</f>
        <v>9.1529372607755038E-2</v>
      </c>
      <c r="BZ195" s="293"/>
      <c r="CB195" s="632">
        <f>CB183/('Bal Sheet'!CB24+'Bal Sheet'!CB20)</f>
        <v>8.3675006275625477E-2</v>
      </c>
      <c r="CC195" s="632">
        <f>CC183/('Bal Sheet'!CC24+'Bal Sheet'!CC20)</f>
        <v>9.6626137370158627E-2</v>
      </c>
      <c r="CD195" s="293"/>
      <c r="CF195" s="632">
        <f>CF183/('Bal Sheet'!CF24+'Bal Sheet'!CF20)</f>
        <v>0.17351942663145983</v>
      </c>
      <c r="CG195" s="632">
        <f>CG183/('Bal Sheet'!CG24+'Bal Sheet'!CG20)</f>
        <v>0.35650623885918004</v>
      </c>
      <c r="CH195" s="293"/>
      <c r="CJ195" s="632">
        <f>CJ183/('Bal Sheet'!CJ24+'Bal Sheet'!CJ20)</f>
        <v>0.20674413630854779</v>
      </c>
      <c r="CK195" s="632">
        <f>CK183/('Bal Sheet'!CK24+'Bal Sheet'!CK20)</f>
        <v>0.37295476419634266</v>
      </c>
      <c r="CL195" s="293"/>
      <c r="CN195" s="632">
        <f>CN183/('Bal Sheet'!CN24+'Bal Sheet'!CN20)</f>
        <v>0.34083162917518744</v>
      </c>
      <c r="CO195" s="632">
        <f>CO183/('Bal Sheet'!CO24+'Bal Sheet'!CO20)</f>
        <v>0.29089901648427763</v>
      </c>
      <c r="CP195" s="293"/>
      <c r="CR195" s="632">
        <f>CR183/('Bal Sheet'!CR24+'Bal Sheet'!CR20)</f>
        <v>0.41380941120832349</v>
      </c>
      <c r="CS195" s="632">
        <f>CS183/('Bal Sheet'!CS24+'Bal Sheet'!CS20)</f>
        <v>0.4146587470581643</v>
      </c>
      <c r="CT195" s="293"/>
      <c r="CV195" s="632">
        <f>CV183/('Bal Sheet'!CV24+'Bal Sheet'!CV20)</f>
        <v>0.42350996797851459</v>
      </c>
      <c r="CW195" s="632">
        <f>CW183/('Bal Sheet'!CW24+'Bal Sheet'!CW20)</f>
        <v>0.38218994840435694</v>
      </c>
      <c r="CX195" s="1495"/>
      <c r="CZ195" s="632">
        <f>CZ183/('Bal Sheet'!CZ24+'Bal Sheet'!CZ20)</f>
        <v>0.37351443123938882</v>
      </c>
      <c r="DA195" s="632">
        <f>DA183/('Bal Sheet'!DA24+'Bal Sheet'!DA20)</f>
        <v>0.32289312237649337</v>
      </c>
      <c r="DB195" s="1495"/>
      <c r="DD195" s="632">
        <f>DD183/('Bal Sheet'!DD24+'Bal Sheet'!DD20)</f>
        <v>0.35314384151593453</v>
      </c>
      <c r="DE195" s="632">
        <f>DE183/('Bal Sheet'!DE24+'Bal Sheet'!DE20)</f>
        <v>0.40702407256657752</v>
      </c>
      <c r="DF195" s="1495"/>
      <c r="DH195" s="632">
        <f>DH183/('Bal Sheet'!DH24+'Bal Sheet'!DH20)</f>
        <v>0.41904761904761906</v>
      </c>
      <c r="DI195" s="1967">
        <f>DH195</f>
        <v>0.41904761904761906</v>
      </c>
      <c r="DJ195" s="293"/>
      <c r="DL195" s="1967">
        <f>DI195</f>
        <v>0.41904761904761906</v>
      </c>
      <c r="DM195" s="1967">
        <f>DL195</f>
        <v>0.41904761904761906</v>
      </c>
      <c r="DN195" s="293"/>
      <c r="DP195" s="1967">
        <f>DM195</f>
        <v>0.41904761904761906</v>
      </c>
      <c r="DQ195" s="1967">
        <f>DP195</f>
        <v>0.41904761904761906</v>
      </c>
      <c r="DR195" s="293"/>
    </row>
    <row r="196" spans="1:123">
      <c r="A196" s="102" t="s">
        <v>449</v>
      </c>
      <c r="BH196" s="293"/>
      <c r="BI196" s="632"/>
      <c r="BJ196" s="293"/>
      <c r="BL196" s="632"/>
      <c r="BM196" s="632"/>
      <c r="BN196" s="293"/>
      <c r="BP196" s="632"/>
      <c r="BQ196" s="632"/>
      <c r="BR196" s="293"/>
      <c r="BT196" s="632"/>
      <c r="BU196" s="632"/>
      <c r="BV196" s="293"/>
      <c r="BX196" s="632"/>
      <c r="BY196" s="632"/>
      <c r="BZ196" s="293"/>
      <c r="CB196" s="632"/>
      <c r="CC196" s="632"/>
      <c r="CD196" s="293"/>
      <c r="CF196" s="632"/>
      <c r="CG196" s="632"/>
      <c r="CH196" s="293"/>
      <c r="CJ196" s="632"/>
      <c r="CK196" s="632"/>
      <c r="CL196" s="293"/>
      <c r="CN196" s="632"/>
      <c r="CO196" s="632"/>
      <c r="CP196" s="293"/>
      <c r="CR196" s="632"/>
      <c r="CS196" s="632"/>
      <c r="CT196" s="293"/>
      <c r="CV196" s="632"/>
      <c r="CW196" s="632"/>
      <c r="CX196" s="1495"/>
      <c r="CZ196" s="632"/>
      <c r="DA196" s="632"/>
      <c r="DB196" s="1495"/>
      <c r="DD196" s="632"/>
      <c r="DE196" s="632"/>
      <c r="DF196" s="1495"/>
      <c r="DH196" s="632"/>
      <c r="DI196" s="632"/>
      <c r="DJ196" s="293"/>
      <c r="DL196" s="632"/>
      <c r="DM196" s="632"/>
      <c r="DN196" s="293"/>
      <c r="DP196" s="632"/>
      <c r="DQ196" s="632"/>
      <c r="DR196" s="293"/>
    </row>
    <row r="197" spans="1:123">
      <c r="A197" s="289" t="s">
        <v>423</v>
      </c>
      <c r="BH197" s="293"/>
      <c r="BI197" s="744">
        <f>+BI186/('Bal Sheet'!BI456*1000)</f>
        <v>0.15639269406392695</v>
      </c>
      <c r="BJ197" s="293"/>
      <c r="BL197" s="744">
        <f>+BL186/('Bal Sheet'!BL456*1000)</f>
        <v>0.15351812366737741</v>
      </c>
      <c r="BM197" s="744">
        <f>+BM186/('Bal Sheet'!BM456*1000)</f>
        <v>0.15334773218142547</v>
      </c>
      <c r="BN197" s="293"/>
      <c r="BP197" s="744">
        <f>+BP186/('Bal Sheet'!BP456*1000)</f>
        <v>0.1348314606741573</v>
      </c>
      <c r="BQ197" s="744">
        <f>+BQ186/('Bal Sheet'!BQ456*1000)</f>
        <v>0.13918439716312056</v>
      </c>
      <c r="BR197" s="293"/>
      <c r="BT197" s="744">
        <f>+BT186/('Bal Sheet'!BT456*1000)</f>
        <v>0.14147130153597412</v>
      </c>
      <c r="BU197" s="744">
        <f>+BU186/('Bal Sheet'!BU456*1000)</f>
        <v>0.1251908396946565</v>
      </c>
      <c r="BV197" s="293"/>
      <c r="BX197" s="744">
        <f>+BX186/('Bal Sheet'!BX456*1000)</f>
        <v>0.12919051512673754</v>
      </c>
      <c r="BY197" s="744">
        <f>+BY186/('Bal Sheet'!BY456*1000)</f>
        <v>0.13410596026490065</v>
      </c>
      <c r="BZ197" s="293"/>
      <c r="CB197" s="744">
        <f>+CB186/('Bal Sheet'!CB456*1000)</f>
        <v>0.12913640032284099</v>
      </c>
      <c r="CC197" s="744">
        <f>+CC186/('Bal Sheet'!CC456*1000)</f>
        <v>0.187111801242236</v>
      </c>
      <c r="CD197" s="293"/>
      <c r="CF197" s="744">
        <f>+CF186/('Bal Sheet'!CF456*1000)</f>
        <v>0.19791666666666666</v>
      </c>
      <c r="CG197" s="744">
        <f>+CG186/('Bal Sheet'!CG456*1000)</f>
        <v>0.28398576512455515</v>
      </c>
      <c r="CH197" s="293"/>
      <c r="CJ197" s="744">
        <f>+CJ186/('Bal Sheet'!CJ456*1000)</f>
        <v>0.24726775956284153</v>
      </c>
      <c r="CK197" s="744">
        <f>+CK186/('Bal Sheet'!CK456*1000)</f>
        <v>0.23576732673267325</v>
      </c>
      <c r="CL197" s="293"/>
      <c r="CN197" s="744">
        <f>+CN186/('Bal Sheet'!CN456*1000)</f>
        <v>0.18666666666666668</v>
      </c>
      <c r="CO197" s="744">
        <f>+CO186/('Bal Sheet'!CO456*1000)</f>
        <v>0.17703862660944206</v>
      </c>
      <c r="CP197" s="293"/>
      <c r="CR197" s="744">
        <f>+CR186/('Bal Sheet'!CR456*1000)</f>
        <v>0.1760782570031125</v>
      </c>
      <c r="CS197" s="744">
        <f>+CS186/('Bal Sheet'!CS456*1000)</f>
        <v>0.18728845430613011</v>
      </c>
      <c r="CT197" s="293"/>
      <c r="CV197" s="744">
        <f>+CV186/('Bal Sheet'!CV456*1000)</f>
        <v>0.19575856443719414</v>
      </c>
      <c r="CW197" s="744">
        <f>+CW186/('Bal Sheet'!CW456*1000)</f>
        <v>0.19644012944983819</v>
      </c>
      <c r="CX197" s="1495"/>
      <c r="CZ197" s="744">
        <f>+CZ186/('Bal Sheet'!CZ456*1000)</f>
        <v>0.19779179810725553</v>
      </c>
      <c r="DA197" s="744">
        <f>+DA186/('Bal Sheet'!DA456*1000)</f>
        <v>0.19297182671917601</v>
      </c>
      <c r="DB197" s="1495"/>
      <c r="DD197" s="744">
        <f>+DD186/('Bal Sheet'!DD456*1000)</f>
        <v>0.18221830985915494</v>
      </c>
      <c r="DE197" s="744">
        <f>+DE186/('Bal Sheet'!DE456*1000)</f>
        <v>0.17821244227112198</v>
      </c>
      <c r="DF197" s="1495"/>
      <c r="DH197" s="744">
        <f>+DH186/('Bal Sheet'!DH456*1000)</f>
        <v>0.18340393720408671</v>
      </c>
      <c r="DI197" s="1968">
        <f>DH197</f>
        <v>0.18340393720408671</v>
      </c>
      <c r="DJ197" s="293"/>
      <c r="DL197" s="1968">
        <f>DI197</f>
        <v>0.18340393720408671</v>
      </c>
      <c r="DM197" s="1968">
        <f>DL197</f>
        <v>0.18340393720408671</v>
      </c>
      <c r="DN197" s="293"/>
      <c r="DP197" s="1968">
        <f>DM197</f>
        <v>0.18340393720408671</v>
      </c>
      <c r="DQ197" s="1968">
        <f>DP197</f>
        <v>0.18340393720408671</v>
      </c>
      <c r="DR197" s="293"/>
    </row>
    <row r="198" spans="1:123">
      <c r="A198" s="289"/>
      <c r="BH198" s="293"/>
      <c r="BI198" s="293"/>
      <c r="BJ198" s="293"/>
      <c r="BM198" s="293"/>
      <c r="BN198" s="293"/>
      <c r="BQ198" s="293"/>
      <c r="BR198" s="293"/>
      <c r="BU198" s="293"/>
      <c r="BV198" s="293"/>
      <c r="BZ198" s="293"/>
      <c r="CD198" s="293"/>
      <c r="CH198" s="293"/>
      <c r="CL198" s="293"/>
      <c r="CP198" s="293"/>
      <c r="CT198" s="293"/>
      <c r="CX198" s="1495"/>
      <c r="DA198" s="1408"/>
      <c r="DB198" s="1495"/>
      <c r="DE198" s="1408"/>
      <c r="DF198" s="1495"/>
      <c r="DJ198" s="293"/>
      <c r="DN198" s="293"/>
      <c r="DR198" s="293"/>
    </row>
    <row r="199" spans="1:123">
      <c r="A199" s="289" t="s">
        <v>425</v>
      </c>
      <c r="BH199" s="293"/>
      <c r="BI199" s="293"/>
      <c r="BJ199" s="293"/>
      <c r="BM199" s="293"/>
      <c r="BN199" s="293"/>
      <c r="BQ199" s="293"/>
      <c r="BR199" s="293"/>
      <c r="BU199" s="293"/>
      <c r="BV199" s="293"/>
      <c r="BZ199" s="293"/>
      <c r="CD199" s="293"/>
      <c r="CH199" s="293"/>
      <c r="CL199" s="293"/>
      <c r="CP199" s="293"/>
      <c r="CT199" s="293"/>
      <c r="CX199" s="1495"/>
      <c r="CZ199" s="2100" t="s">
        <v>1403</v>
      </c>
      <c r="DA199" s="1408"/>
      <c r="DB199" s="1495"/>
      <c r="DC199" s="2101"/>
      <c r="DD199" s="2100" t="s">
        <v>1403</v>
      </c>
      <c r="DE199" s="1408"/>
      <c r="DF199" s="1495"/>
      <c r="DH199" s="2100" t="s">
        <v>1403</v>
      </c>
      <c r="DJ199" s="293"/>
      <c r="DN199" s="293"/>
      <c r="DR199" s="293"/>
    </row>
    <row r="200" spans="1:123">
      <c r="A200" s="102" t="s">
        <v>402</v>
      </c>
      <c r="BH200" s="1358"/>
      <c r="BI200" s="1358">
        <v>0.14000000000000001</v>
      </c>
      <c r="BJ200" s="293"/>
      <c r="BK200" s="1358"/>
      <c r="BL200" s="1358">
        <v>0.13</v>
      </c>
      <c r="BM200" s="1358">
        <v>0.15</v>
      </c>
      <c r="BN200" s="293"/>
      <c r="BP200" s="1358">
        <v>0.17</v>
      </c>
      <c r="BQ200" s="1358">
        <v>0.2</v>
      </c>
      <c r="BR200" s="293"/>
      <c r="BT200" s="1358">
        <v>0.14000000000000001</v>
      </c>
      <c r="BU200" s="1358">
        <v>0.15</v>
      </c>
      <c r="BV200" s="293"/>
      <c r="BX200" s="1358">
        <v>0.16</v>
      </c>
      <c r="BY200" s="1358">
        <v>0.15</v>
      </c>
      <c r="BZ200" s="293"/>
      <c r="CB200" s="1358">
        <v>0.15</v>
      </c>
      <c r="CC200" s="1358">
        <v>0.19</v>
      </c>
      <c r="CD200" s="293"/>
      <c r="CF200" s="1358">
        <v>0.22</v>
      </c>
      <c r="CG200" s="1358">
        <v>0.21</v>
      </c>
      <c r="CH200" s="293"/>
      <c r="CJ200" s="1358">
        <v>0.39</v>
      </c>
      <c r="CK200" s="1358">
        <v>0.12</v>
      </c>
      <c r="CL200" s="293"/>
      <c r="CN200" s="1358">
        <v>0.19</v>
      </c>
      <c r="CO200" s="1358">
        <v>0.22</v>
      </c>
      <c r="CP200" s="293"/>
      <c r="CR200" s="1358">
        <v>0.16</v>
      </c>
      <c r="CS200" s="1358">
        <v>0.18</v>
      </c>
      <c r="CT200" s="293"/>
      <c r="CV200" s="1358">
        <v>0.23</v>
      </c>
      <c r="CW200" s="1358">
        <v>0.21</v>
      </c>
      <c r="CX200" s="1495"/>
      <c r="CZ200" s="2102">
        <f>+CZ167/CZ179/CZ$176</f>
        <v>0.26113013698630139</v>
      </c>
      <c r="DA200" s="2102">
        <f>+DA167/DA179/DA$176</f>
        <v>0.22373188405797104</v>
      </c>
      <c r="DB200" s="1495"/>
      <c r="DC200" s="2101"/>
      <c r="DD200" s="2102">
        <f>+DD167/DD179/DD$176</f>
        <v>0.30104166666666671</v>
      </c>
      <c r="DE200" s="1353">
        <f>DD200</f>
        <v>0.30104166666666671</v>
      </c>
      <c r="DH200" s="2203">
        <f>DE200</f>
        <v>0.30104166666666671</v>
      </c>
      <c r="DI200" s="1067">
        <f>DH200</f>
        <v>0.30104166666666671</v>
      </c>
      <c r="DJ200" s="303"/>
      <c r="DK200" s="304"/>
      <c r="DL200" s="1067">
        <f>DI200</f>
        <v>0.30104166666666671</v>
      </c>
      <c r="DM200" s="1067">
        <f>DL200</f>
        <v>0.30104166666666671</v>
      </c>
      <c r="DN200" s="303"/>
      <c r="DO200" s="304"/>
      <c r="DP200" s="1067">
        <f>DM200</f>
        <v>0.30104166666666671</v>
      </c>
      <c r="DQ200" s="1067">
        <f>DP200</f>
        <v>0.30104166666666671</v>
      </c>
      <c r="DR200" s="303"/>
      <c r="DS200" s="304"/>
    </row>
    <row r="201" spans="1:123">
      <c r="A201" s="102" t="s">
        <v>350</v>
      </c>
      <c r="BH201" s="1358"/>
      <c r="BI201" s="1358">
        <v>1.33</v>
      </c>
      <c r="BJ201" s="293"/>
      <c r="BK201" s="1358"/>
      <c r="BL201" s="1358">
        <v>1.85</v>
      </c>
      <c r="BM201" s="1358">
        <v>1.56</v>
      </c>
      <c r="BN201" s="293"/>
      <c r="BP201" s="1358">
        <v>1.42</v>
      </c>
      <c r="BQ201" s="1358">
        <v>1.33</v>
      </c>
      <c r="BR201" s="293"/>
      <c r="BT201" s="1358">
        <v>1.17</v>
      </c>
      <c r="BU201" s="1358">
        <v>0.94</v>
      </c>
      <c r="BV201" s="293"/>
      <c r="BX201" s="1358">
        <v>1.33</v>
      </c>
      <c r="BY201" s="1358">
        <v>1.1399999999999999</v>
      </c>
      <c r="BZ201" s="293"/>
      <c r="CB201" s="1358">
        <v>1.32</v>
      </c>
      <c r="CC201" s="1358">
        <v>1.55</v>
      </c>
      <c r="CD201" s="293"/>
      <c r="CF201" s="1358">
        <v>1.51</v>
      </c>
      <c r="CG201" s="1358">
        <v>1.55</v>
      </c>
      <c r="CH201" s="293"/>
      <c r="CJ201" s="1358">
        <v>1.07</v>
      </c>
      <c r="CK201" s="1358">
        <v>1.04</v>
      </c>
      <c r="CL201" s="293"/>
      <c r="CN201" s="1358">
        <v>1.21</v>
      </c>
      <c r="CO201" s="1358">
        <v>1.26</v>
      </c>
      <c r="CP201" s="293"/>
      <c r="CR201" s="1358">
        <v>1.21</v>
      </c>
      <c r="CS201" s="1358">
        <v>1.3</v>
      </c>
      <c r="CT201" s="293"/>
      <c r="CV201" s="1358">
        <v>1.28</v>
      </c>
      <c r="CW201" s="1358">
        <v>1.24</v>
      </c>
      <c r="CX201" s="1495"/>
      <c r="CZ201" s="2102">
        <f t="shared" ref="CZ201:DA204" si="236">+CZ168/CZ180/CZ$176</f>
        <v>1.2437185929648242</v>
      </c>
      <c r="DA201" s="2102">
        <f t="shared" si="236"/>
        <v>1.1709302325581394</v>
      </c>
      <c r="DB201" s="1495"/>
      <c r="DC201" s="2101"/>
      <c r="DD201" s="2102">
        <f t="shared" ref="DD201" si="237">+DD168/DD180/DD$176</f>
        <v>1.173888888888889</v>
      </c>
      <c r="DE201" s="1353">
        <f t="shared" ref="DE201:DE204" si="238">DD201</f>
        <v>1.173888888888889</v>
      </c>
      <c r="DH201" s="2203">
        <f t="shared" ref="DH201:DH204" si="239">DE201</f>
        <v>1.173888888888889</v>
      </c>
      <c r="DI201" s="1067">
        <f>DH201</f>
        <v>1.173888888888889</v>
      </c>
      <c r="DJ201" s="303"/>
      <c r="DK201" s="304"/>
      <c r="DL201" s="1067">
        <f>DI201</f>
        <v>1.173888888888889</v>
      </c>
      <c r="DM201" s="1067">
        <f>DL201</f>
        <v>1.173888888888889</v>
      </c>
      <c r="DN201" s="303"/>
      <c r="DO201" s="304"/>
      <c r="DP201" s="1067">
        <f>DM201</f>
        <v>1.173888888888889</v>
      </c>
      <c r="DQ201" s="1067">
        <f>DP201</f>
        <v>1.173888888888889</v>
      </c>
      <c r="DR201" s="303"/>
      <c r="DS201" s="304"/>
    </row>
    <row r="202" spans="1:123">
      <c r="A202" s="102" t="s">
        <v>442</v>
      </c>
      <c r="BH202" s="1358"/>
      <c r="BI202" s="1358">
        <v>0.3</v>
      </c>
      <c r="BJ202" s="293"/>
      <c r="BK202" s="1358"/>
      <c r="BL202" s="1358">
        <v>1.39</v>
      </c>
      <c r="BM202" s="1358">
        <v>1.36</v>
      </c>
      <c r="BN202" s="293"/>
      <c r="BP202" s="1358">
        <v>1.35</v>
      </c>
      <c r="BQ202" s="1358">
        <v>1.61</v>
      </c>
      <c r="BR202" s="293"/>
      <c r="BT202" s="1358">
        <v>1.2</v>
      </c>
      <c r="BU202" s="1358">
        <v>1.69</v>
      </c>
      <c r="BV202" s="293"/>
      <c r="BX202" s="1358">
        <v>1.31</v>
      </c>
      <c r="BY202" s="1358">
        <v>2.14</v>
      </c>
      <c r="BZ202" s="293"/>
      <c r="CB202" s="1358">
        <v>3.56</v>
      </c>
      <c r="CC202" s="1358">
        <v>2.54</v>
      </c>
      <c r="CD202" s="293"/>
      <c r="CF202" s="1358">
        <v>3.25</v>
      </c>
      <c r="CG202" s="1358">
        <v>2</v>
      </c>
      <c r="CH202" s="293"/>
      <c r="CJ202" s="1358">
        <v>2.13</v>
      </c>
      <c r="CK202" s="1358">
        <v>3.38</v>
      </c>
      <c r="CL202" s="293"/>
      <c r="CN202" s="1358">
        <v>1.08</v>
      </c>
      <c r="CO202" s="1358">
        <v>1.4</v>
      </c>
      <c r="CP202" s="293"/>
      <c r="CR202" s="1358">
        <v>1.56</v>
      </c>
      <c r="CS202" s="1358">
        <v>1.54</v>
      </c>
      <c r="CT202" s="293"/>
      <c r="CV202" s="1358">
        <v>0.75</v>
      </c>
      <c r="CW202" s="1358">
        <v>0.89</v>
      </c>
      <c r="CX202" s="1495"/>
      <c r="CZ202" s="2102">
        <f t="shared" si="236"/>
        <v>1.51</v>
      </c>
      <c r="DA202" s="2102">
        <f t="shared" si="236"/>
        <v>0.96428571428571419</v>
      </c>
      <c r="DB202" s="1495"/>
      <c r="DC202" s="2101"/>
      <c r="DD202" s="2102">
        <f t="shared" ref="DD202" si="240">+DD169/DD181/DD$176</f>
        <v>1.65625</v>
      </c>
      <c r="DE202" s="1353">
        <f t="shared" si="238"/>
        <v>1.65625</v>
      </c>
      <c r="DH202" s="2203">
        <f t="shared" si="239"/>
        <v>1.65625</v>
      </c>
      <c r="DI202" s="1067">
        <f>DH202</f>
        <v>1.65625</v>
      </c>
      <c r="DJ202" s="303"/>
      <c r="DK202" s="304"/>
      <c r="DL202" s="1067">
        <f>DI202</f>
        <v>1.65625</v>
      </c>
      <c r="DM202" s="1067">
        <f>DL202</f>
        <v>1.65625</v>
      </c>
      <c r="DN202" s="303"/>
      <c r="DO202" s="304"/>
      <c r="DP202" s="1067">
        <f>DM202</f>
        <v>1.65625</v>
      </c>
      <c r="DQ202" s="1067">
        <f>DP202</f>
        <v>1.65625</v>
      </c>
      <c r="DR202" s="303"/>
      <c r="DS202" s="304"/>
    </row>
    <row r="203" spans="1:123">
      <c r="A203" s="102" t="s">
        <v>443</v>
      </c>
      <c r="BH203" s="1358"/>
      <c r="BI203" s="1358">
        <v>6.17</v>
      </c>
      <c r="BJ203" s="293"/>
      <c r="BK203" s="1358"/>
      <c r="BL203" s="1358">
        <v>5.96</v>
      </c>
      <c r="BM203" s="1358">
        <v>6.07</v>
      </c>
      <c r="BN203" s="293"/>
      <c r="BP203" s="1358">
        <v>6.2</v>
      </c>
      <c r="BQ203" s="1358">
        <v>6.19</v>
      </c>
      <c r="BR203" s="293"/>
      <c r="BT203" s="1358">
        <v>5.99</v>
      </c>
      <c r="BU203" s="1358">
        <v>5.74</v>
      </c>
      <c r="BV203" s="293"/>
      <c r="BX203" s="1358">
        <v>5.89</v>
      </c>
      <c r="BY203" s="1358">
        <v>5.89</v>
      </c>
      <c r="BZ203" s="293"/>
      <c r="CB203" s="1358">
        <v>5.18</v>
      </c>
      <c r="CC203" s="1358">
        <v>5.72</v>
      </c>
      <c r="CD203" s="293"/>
      <c r="CF203" s="1358">
        <v>6.16</v>
      </c>
      <c r="CG203" s="1358">
        <v>6.06</v>
      </c>
      <c r="CH203" s="293"/>
      <c r="CJ203" s="1358">
        <v>6.71</v>
      </c>
      <c r="CK203" s="1358">
        <v>6.56</v>
      </c>
      <c r="CL203" s="293"/>
      <c r="CN203" s="1358">
        <v>6.6</v>
      </c>
      <c r="CO203" s="1358">
        <v>6.26</v>
      </c>
      <c r="CP203" s="293"/>
      <c r="CR203" s="1358">
        <v>5.68</v>
      </c>
      <c r="CS203" s="1358">
        <v>5.89</v>
      </c>
      <c r="CT203" s="293"/>
      <c r="CV203" s="1358">
        <v>6.61</v>
      </c>
      <c r="CW203" s="1358">
        <v>7</v>
      </c>
      <c r="CX203" s="1495"/>
      <c r="CZ203" s="2102">
        <f t="shared" si="236"/>
        <v>7.056338028169014</v>
      </c>
      <c r="DA203" s="2102">
        <f t="shared" si="236"/>
        <v>5.6729797979797976</v>
      </c>
      <c r="DB203" s="1495"/>
      <c r="DC203" s="2101"/>
      <c r="DD203" s="2102">
        <f t="shared" ref="DD203" si="241">+DD170/DD182/DD$176</f>
        <v>6.5654069767441854</v>
      </c>
      <c r="DE203" s="1353">
        <f t="shared" si="238"/>
        <v>6.5654069767441854</v>
      </c>
      <c r="DH203" s="2203">
        <f t="shared" si="239"/>
        <v>6.5654069767441854</v>
      </c>
      <c r="DI203" s="1067">
        <f>DH203</f>
        <v>6.5654069767441854</v>
      </c>
      <c r="DJ203" s="303"/>
      <c r="DK203" s="304"/>
      <c r="DL203" s="1067">
        <f>DI203</f>
        <v>6.5654069767441854</v>
      </c>
      <c r="DM203" s="1067">
        <f>DL203</f>
        <v>6.5654069767441854</v>
      </c>
      <c r="DN203" s="303"/>
      <c r="DO203" s="304"/>
      <c r="DP203" s="1067">
        <f>DM203</f>
        <v>6.5654069767441854</v>
      </c>
      <c r="DQ203" s="1067">
        <f>DP203</f>
        <v>6.5654069767441854</v>
      </c>
      <c r="DR203" s="303"/>
      <c r="DS203" s="304"/>
    </row>
    <row r="204" spans="1:123">
      <c r="A204" s="102" t="s">
        <v>444</v>
      </c>
      <c r="BH204" s="293"/>
      <c r="BI204" s="1358">
        <v>5.18</v>
      </c>
      <c r="BJ204" s="293"/>
      <c r="BL204" s="1358">
        <v>6.09</v>
      </c>
      <c r="BM204" s="1358">
        <v>5.1100000000000003</v>
      </c>
      <c r="BN204" s="293"/>
      <c r="BP204" s="1358">
        <v>5.54</v>
      </c>
      <c r="BQ204" s="1358">
        <v>4.53</v>
      </c>
      <c r="BR204" s="293"/>
      <c r="BT204" s="1358">
        <v>3.5</v>
      </c>
      <c r="BU204" s="1358">
        <v>3.12</v>
      </c>
      <c r="BV204" s="293"/>
      <c r="BX204" s="1358">
        <v>3.16</v>
      </c>
      <c r="BY204" s="1358">
        <v>2.25</v>
      </c>
      <c r="BZ204" s="293"/>
      <c r="CB204" s="1358">
        <v>3.44</v>
      </c>
      <c r="CC204" s="1358">
        <v>3</v>
      </c>
      <c r="CD204" s="293"/>
      <c r="CF204" s="1358">
        <v>4.97</v>
      </c>
      <c r="CG204" s="1358">
        <v>4.8499999999999996</v>
      </c>
      <c r="CH204" s="293"/>
      <c r="CJ204" s="1358">
        <v>4.3099999999999996</v>
      </c>
      <c r="CK204" s="1358">
        <v>4.54</v>
      </c>
      <c r="CL204" s="293"/>
      <c r="CN204" s="1358">
        <v>4.4800000000000004</v>
      </c>
      <c r="CO204" s="1358">
        <v>5.69</v>
      </c>
      <c r="CP204" s="293"/>
      <c r="CR204" s="1358">
        <v>6.55</v>
      </c>
      <c r="CS204" s="1358">
        <v>6.23</v>
      </c>
      <c r="CT204" s="293"/>
      <c r="CV204" s="1358">
        <v>6.13</v>
      </c>
      <c r="CW204" s="1358">
        <v>6.01</v>
      </c>
      <c r="CX204" s="1495"/>
      <c r="CZ204" s="2102">
        <f t="shared" si="236"/>
        <v>5.985795454545455</v>
      </c>
      <c r="DA204" s="2102">
        <f t="shared" si="236"/>
        <v>5.7062499999999998</v>
      </c>
      <c r="DB204" s="1495"/>
      <c r="DC204" s="2101"/>
      <c r="DD204" s="2102">
        <f t="shared" ref="DD204" si="242">+DD171/DD183/DD$176</f>
        <v>5.786585365853659</v>
      </c>
      <c r="DE204" s="1353">
        <f t="shared" si="238"/>
        <v>5.786585365853659</v>
      </c>
      <c r="DH204" s="2203">
        <f t="shared" si="239"/>
        <v>5.786585365853659</v>
      </c>
      <c r="DI204" s="1067">
        <f>DH204</f>
        <v>5.786585365853659</v>
      </c>
      <c r="DJ204" s="303"/>
      <c r="DK204" s="304"/>
      <c r="DL204" s="1067">
        <f>DI204</f>
        <v>5.786585365853659</v>
      </c>
      <c r="DM204" s="1067">
        <f>DL204</f>
        <v>5.786585365853659</v>
      </c>
      <c r="DN204" s="303"/>
      <c r="DO204" s="304"/>
      <c r="DP204" s="1067">
        <f>DM204</f>
        <v>5.786585365853659</v>
      </c>
      <c r="DQ204" s="1067">
        <f>DP204</f>
        <v>5.786585365853659</v>
      </c>
      <c r="DR204" s="303"/>
      <c r="DS204" s="304"/>
    </row>
    <row r="205" spans="1:123">
      <c r="A205" s="289" t="s">
        <v>450</v>
      </c>
      <c r="BH205" s="293"/>
      <c r="BI205" s="1969">
        <f>BI215/BI184</f>
        <v>3.8467261904761907</v>
      </c>
      <c r="BJ205" s="293"/>
      <c r="BL205" s="1969">
        <f>BL215/BL184</f>
        <v>3.9914772727272729</v>
      </c>
      <c r="BM205" s="1969">
        <f>BM215/BM184</f>
        <v>3.6201298701298703</v>
      </c>
      <c r="BN205" s="293"/>
      <c r="BP205" s="1969">
        <f>BP215/BP184</f>
        <v>3.5079113924050631</v>
      </c>
      <c r="BQ205" s="1969">
        <f>BQ215/BQ184</f>
        <v>3.5914634146341462</v>
      </c>
      <c r="BR205" s="293"/>
      <c r="BT205" s="1969">
        <f>BT215/BT184</f>
        <v>3.5950000000000002</v>
      </c>
      <c r="BU205" s="1969">
        <f>BU215/BU184</f>
        <v>3.4904891304347827</v>
      </c>
      <c r="BV205" s="293"/>
      <c r="BX205" s="1969">
        <f>BX215/BX184</f>
        <v>3.4396067415730336</v>
      </c>
      <c r="BY205" s="1969">
        <f>BY215/BY184</f>
        <v>3.452247191011236</v>
      </c>
      <c r="BZ205" s="293"/>
      <c r="CB205" s="1969">
        <f>CB215/CB184</f>
        <v>3.7199074074074074</v>
      </c>
      <c r="CC205" s="1969">
        <f>CC215/CC184</f>
        <v>3.858910891089109</v>
      </c>
      <c r="CD205" s="293"/>
      <c r="CF205" s="1969">
        <f>CF215/CF184</f>
        <v>4.0786637931034484</v>
      </c>
      <c r="CG205" s="1969">
        <f>CG215/CG184</f>
        <v>2.7542194092827006</v>
      </c>
      <c r="CH205" s="293"/>
      <c r="CJ205" s="1969">
        <f>CJ215/CJ184</f>
        <v>3.7171391752577319</v>
      </c>
      <c r="CK205" s="1969">
        <f>CK215/CK184</f>
        <v>2.7327935222672064</v>
      </c>
      <c r="CL205" s="293"/>
      <c r="CN205" s="1969">
        <f>CN215/CN184</f>
        <v>2.6800947867298577</v>
      </c>
      <c r="CO205" s="1969">
        <f>CO215/CO184</f>
        <v>2.7466931216931219</v>
      </c>
      <c r="CP205" s="293"/>
      <c r="CR205" s="1969">
        <f>CR215/CR184</f>
        <v>2.1796875</v>
      </c>
      <c r="CS205" s="1969">
        <f>CS215/CS184</f>
        <v>1.9218346253229974</v>
      </c>
      <c r="CT205" s="293"/>
      <c r="CV205" s="1969">
        <f>CV215/CV184</f>
        <v>2.0008241758241758</v>
      </c>
      <c r="CW205" s="1969">
        <f>CW215/CW184</f>
        <v>2.0274520255863537</v>
      </c>
      <c r="CX205" s="1495"/>
      <c r="CZ205" s="1969">
        <f>CZ215/CZ184</f>
        <v>2.2427835051546392</v>
      </c>
      <c r="DA205" s="1106">
        <f>DA215/DA184</f>
        <v>2.1301169590643276</v>
      </c>
      <c r="DB205" s="1495"/>
      <c r="DD205" s="1969">
        <f>DD215/DD184</f>
        <v>2.3181818181818183</v>
      </c>
      <c r="DE205" s="1969">
        <f>DE215/DE184</f>
        <v>2.476990277407404</v>
      </c>
      <c r="DH205" s="1969">
        <f>DH215/DH184</f>
        <v>2.3868526029228576</v>
      </c>
      <c r="DI205" s="1106">
        <f>DI215/DI184</f>
        <v>2.343668402353281</v>
      </c>
      <c r="DJ205" s="293"/>
      <c r="DL205" s="1106">
        <f>DL215/DL184</f>
        <v>2.3206038216306699</v>
      </c>
      <c r="DM205" s="1106">
        <f>DM215/DM184</f>
        <v>2.3095128993466898</v>
      </c>
      <c r="DN205" s="293"/>
      <c r="DP205" s="1106">
        <f>DP215/DP184</f>
        <v>2.2986904709412328</v>
      </c>
      <c r="DQ205" s="1106">
        <f>DQ215/DQ184</f>
        <v>2.2881429086094771</v>
      </c>
      <c r="DR205" s="293"/>
    </row>
    <row r="206" spans="1:123">
      <c r="A206" s="102" t="s">
        <v>449</v>
      </c>
      <c r="BH206" s="293"/>
      <c r="BI206" s="1358">
        <v>0</v>
      </c>
      <c r="BJ206" s="293"/>
      <c r="BL206" s="1358">
        <v>0</v>
      </c>
      <c r="BM206" s="1358">
        <v>0</v>
      </c>
      <c r="BN206" s="293"/>
      <c r="BP206" s="1358">
        <v>0</v>
      </c>
      <c r="BQ206" s="1358">
        <v>0</v>
      </c>
      <c r="BR206" s="293"/>
      <c r="BT206" s="1358">
        <v>0</v>
      </c>
      <c r="BU206" s="1358">
        <v>0</v>
      </c>
      <c r="BV206" s="293"/>
      <c r="BX206" s="1358">
        <v>0</v>
      </c>
      <c r="BY206" s="1358">
        <v>0</v>
      </c>
      <c r="BZ206" s="293"/>
      <c r="CB206" s="1358">
        <v>0</v>
      </c>
      <c r="CC206" s="1358">
        <v>0</v>
      </c>
      <c r="CD206" s="293"/>
      <c r="CF206" s="1358">
        <v>0</v>
      </c>
      <c r="CG206" s="1358">
        <v>0</v>
      </c>
      <c r="CH206" s="293"/>
      <c r="CJ206" s="1358">
        <v>0</v>
      </c>
      <c r="CK206" s="1358">
        <v>0</v>
      </c>
      <c r="CL206" s="293"/>
      <c r="CN206" s="1358">
        <v>0</v>
      </c>
      <c r="CO206" s="1358">
        <v>0</v>
      </c>
      <c r="CP206" s="293"/>
      <c r="CR206" s="1358">
        <v>0</v>
      </c>
      <c r="CS206" s="1358">
        <v>0</v>
      </c>
      <c r="CT206" s="293"/>
      <c r="CV206" s="1358">
        <v>0</v>
      </c>
      <c r="CW206" s="1358">
        <v>0</v>
      </c>
      <c r="CX206" s="1495"/>
      <c r="CZ206" s="1358">
        <v>0</v>
      </c>
      <c r="DA206" s="2016">
        <v>0</v>
      </c>
      <c r="DB206" s="1495"/>
      <c r="DD206" s="1358">
        <v>0</v>
      </c>
      <c r="DE206" s="1358">
        <v>0</v>
      </c>
      <c r="DH206" s="1358">
        <v>0</v>
      </c>
      <c r="DI206" s="1067">
        <f>DH206</f>
        <v>0</v>
      </c>
      <c r="DJ206" s="303"/>
      <c r="DK206" s="304"/>
      <c r="DL206" s="1067">
        <f>DI206</f>
        <v>0</v>
      </c>
      <c r="DM206" s="1067">
        <f>DL206</f>
        <v>0</v>
      </c>
      <c r="DN206" s="303"/>
      <c r="DO206" s="304"/>
      <c r="DP206" s="1067">
        <f>DM206</f>
        <v>0</v>
      </c>
      <c r="DQ206" s="1067">
        <f>DP206</f>
        <v>0</v>
      </c>
      <c r="DR206" s="303"/>
      <c r="DS206" s="304"/>
    </row>
    <row r="207" spans="1:123">
      <c r="A207" s="289" t="s">
        <v>423</v>
      </c>
      <c r="BH207" s="293"/>
      <c r="BI207" s="1106">
        <f>+BI217/BI186</f>
        <v>2.3585766423357666</v>
      </c>
      <c r="BJ207" s="293"/>
      <c r="BL207" s="1106">
        <f>+BL217/BL186</f>
        <v>2.4392361111111112</v>
      </c>
      <c r="BM207" s="1106">
        <f>+BM217/BM186</f>
        <v>1.9630281690140845</v>
      </c>
      <c r="BN207" s="293"/>
      <c r="BP207" s="1106">
        <f>+BP217/BP186</f>
        <v>2.0994318181818183</v>
      </c>
      <c r="BQ207" s="1106">
        <f>+BQ217/BQ186</f>
        <v>1.875796178343949</v>
      </c>
      <c r="BR207" s="293"/>
      <c r="BT207" s="1106">
        <f>+BT217/BT186</f>
        <v>2.0542857142857143</v>
      </c>
      <c r="BU207" s="1106">
        <f>+BU217/BU186</f>
        <v>1.9580792682926829</v>
      </c>
      <c r="BV207" s="293"/>
      <c r="BX207" s="1106">
        <f>+BX217/BX186</f>
        <v>1.9375</v>
      </c>
      <c r="BY207" s="1106">
        <f>+BY217/BY186</f>
        <v>1.896604938271605</v>
      </c>
      <c r="BZ207" s="293"/>
      <c r="CB207" s="1106">
        <f>+CB217/CB186</f>
        <v>2.5109374999999998</v>
      </c>
      <c r="CC207" s="1106">
        <f>+CC217/CC186</f>
        <v>1.6172199170124482</v>
      </c>
      <c r="CD207" s="293"/>
      <c r="CF207" s="1106">
        <f>+CF217/CF186</f>
        <v>1.7786654135338347</v>
      </c>
      <c r="CG207" s="1106">
        <f>+CG217/CG186</f>
        <v>1.6359649122807018</v>
      </c>
      <c r="CH207" s="293"/>
      <c r="CJ207" s="1106">
        <f>+CJ217/CJ186</f>
        <v>1.9920580110497237</v>
      </c>
      <c r="CK207" s="1106">
        <f>+CK217/CK186</f>
        <v>1.7716535433070866</v>
      </c>
      <c r="CL207" s="293"/>
      <c r="CN207" s="1106">
        <f>+CN217/CN186</f>
        <v>1.7562111801242235</v>
      </c>
      <c r="CO207" s="1106">
        <f>+CO217/CO186</f>
        <v>1.5731060606060605</v>
      </c>
      <c r="CP207" s="293"/>
      <c r="CR207" s="1106">
        <f>+CR217/CR186</f>
        <v>1.7613636363636365</v>
      </c>
      <c r="CS207" s="1106">
        <f>+CS217/CS186</f>
        <v>1.4934738955823292</v>
      </c>
      <c r="CT207" s="293"/>
      <c r="CV207" s="1106">
        <f>+CV217/CV186</f>
        <v>1.5172916666666667</v>
      </c>
      <c r="CW207" s="1106">
        <f>+CW217/CW186</f>
        <v>1.5665156507413509</v>
      </c>
      <c r="CX207" s="1495"/>
      <c r="CZ207" s="1106">
        <f>+CZ217/CZ186</f>
        <v>1.7348484848484849</v>
      </c>
      <c r="DA207" s="1106">
        <f>+DA217/DA186</f>
        <v>1.7154631083202512</v>
      </c>
      <c r="DB207" s="1495"/>
      <c r="DD207" s="1106">
        <f>+DD217/DD186</f>
        <v>1.8067632850241546</v>
      </c>
      <c r="DE207" s="1969">
        <f>+DE217/DE186</f>
        <v>1.9672014560961031</v>
      </c>
      <c r="DH207" s="1106">
        <f>+DH217/DH186</f>
        <v>1.6572913679640413</v>
      </c>
      <c r="DI207" s="1106">
        <f>+DI217/DI186</f>
        <v>1.6037234701883665</v>
      </c>
      <c r="DJ207" s="293"/>
      <c r="DL207" s="1106">
        <f>+DL217/DL186</f>
        <v>1.5698042024130749</v>
      </c>
      <c r="DM207" s="1106">
        <f>+DM217/DM186</f>
        <v>1.5438576046452799</v>
      </c>
      <c r="DN207" s="293"/>
      <c r="DP207" s="1106">
        <f>+DP217/DP186</f>
        <v>1.5179746144925095</v>
      </c>
      <c r="DQ207" s="1106">
        <f>+DQ217/DQ186</f>
        <v>1.4921551442820515</v>
      </c>
      <c r="DR207" s="293"/>
    </row>
    <row r="208" spans="1:123">
      <c r="BH208" s="293"/>
      <c r="BI208" s="293"/>
      <c r="BJ208" s="293"/>
      <c r="BN208" s="293"/>
      <c r="BR208" s="293"/>
      <c r="BV208" s="293"/>
      <c r="BZ208" s="293"/>
      <c r="CD208" s="293"/>
      <c r="CH208" s="293"/>
      <c r="CL208" s="293"/>
      <c r="CP208" s="293"/>
      <c r="CT208" s="293"/>
      <c r="CX208" s="1495"/>
      <c r="DB208" s="293"/>
      <c r="DF208" s="293"/>
      <c r="DJ208" s="293"/>
      <c r="DN208" s="293"/>
      <c r="DR208" s="293"/>
    </row>
    <row r="209" spans="1:123">
      <c r="A209" s="289" t="s">
        <v>263</v>
      </c>
      <c r="BH209" s="293"/>
      <c r="BI209" s="293"/>
      <c r="BJ209" s="293"/>
      <c r="BN209" s="293"/>
      <c r="BR209" s="293"/>
      <c r="BV209" s="293"/>
      <c r="BZ209" s="293"/>
      <c r="CD209" s="293"/>
      <c r="CH209" s="293"/>
      <c r="CL209" s="293"/>
      <c r="CP209" s="293"/>
      <c r="CT209" s="293"/>
      <c r="CX209" s="1495"/>
      <c r="DB209" s="293"/>
      <c r="DF209" s="293"/>
      <c r="DJ209" s="293"/>
      <c r="DN209" s="293"/>
      <c r="DR209" s="293"/>
    </row>
    <row r="210" spans="1:123">
      <c r="A210" s="102" t="s">
        <v>402</v>
      </c>
      <c r="BH210" s="293"/>
      <c r="BI210" s="293">
        <f>+BI167/BI$176</f>
        <v>250</v>
      </c>
      <c r="BJ210" s="293">
        <f t="shared" ref="BJ210:BJ219" si="243">BI210</f>
        <v>250</v>
      </c>
      <c r="BL210" s="293">
        <f t="shared" ref="BL210:BM214" si="244">+BL167/BL$176</f>
        <v>262.5</v>
      </c>
      <c r="BM210" s="293">
        <f t="shared" si="244"/>
        <v>275</v>
      </c>
      <c r="BN210" s="293">
        <f t="shared" ref="BN210:BN219" si="245">BM210</f>
        <v>275</v>
      </c>
      <c r="BP210" s="293">
        <f t="shared" ref="BP210:BQ214" si="246">+BP167/BP$176</f>
        <v>287.5</v>
      </c>
      <c r="BQ210" s="293">
        <f t="shared" si="246"/>
        <v>375</v>
      </c>
      <c r="BR210" s="293">
        <f t="shared" ref="BR210:BR219" si="247">BQ210</f>
        <v>375</v>
      </c>
      <c r="BT210" s="293">
        <f t="shared" ref="BT210:BU214" si="248">+BT167/BT$176</f>
        <v>237.5</v>
      </c>
      <c r="BU210" s="293">
        <f t="shared" si="248"/>
        <v>225</v>
      </c>
      <c r="BV210" s="293">
        <f t="shared" ref="BV210:BV219" si="249">BU210</f>
        <v>225</v>
      </c>
      <c r="BX210" s="293">
        <f t="shared" ref="BX210:BY214" si="250">+BX167/BX$176</f>
        <v>275</v>
      </c>
      <c r="BY210" s="293">
        <f t="shared" si="250"/>
        <v>250</v>
      </c>
      <c r="BZ210" s="293">
        <f t="shared" ref="BZ210:BZ219" si="251">BY210</f>
        <v>250</v>
      </c>
      <c r="CA210" s="671">
        <f>+BZ210/BV210-1</f>
        <v>0.11111111111111116</v>
      </c>
      <c r="CB210" s="293">
        <f>+CB167/CB$176</f>
        <v>275</v>
      </c>
      <c r="CC210" s="293">
        <f t="shared" ref="CC210" si="252">+CC167/CC$176</f>
        <v>350</v>
      </c>
      <c r="CD210" s="293">
        <f t="shared" ref="CD210:CD219" si="253">CC210</f>
        <v>350</v>
      </c>
      <c r="CE210" s="671">
        <f>+CD210/BZ210-1</f>
        <v>0.39999999999999991</v>
      </c>
      <c r="CF210" s="293">
        <f>+CF167/CF$176</f>
        <v>475</v>
      </c>
      <c r="CG210" s="293">
        <f t="shared" ref="CG210:CG214" si="254">+CG167/CG$176</f>
        <v>425</v>
      </c>
      <c r="CH210" s="293">
        <f t="shared" ref="CH210:CH219" si="255">CG210</f>
        <v>425</v>
      </c>
      <c r="CI210" s="671">
        <f>+CH210/CD210-1</f>
        <v>0.21428571428571419</v>
      </c>
      <c r="CJ210" s="293">
        <f>+CJ167/CJ$176</f>
        <v>712.5</v>
      </c>
      <c r="CK210" s="293">
        <f t="shared" ref="CK210:CK214" si="256">+CK167/CK$176</f>
        <v>637.5</v>
      </c>
      <c r="CL210" s="293">
        <f t="shared" ref="CL210:CL219" si="257">CK210</f>
        <v>637.5</v>
      </c>
      <c r="CM210" s="671">
        <f>+CL210/CH210-1</f>
        <v>0.5</v>
      </c>
      <c r="CN210" s="293">
        <f>+CN167/CN$176</f>
        <v>1050</v>
      </c>
      <c r="CO210" s="293">
        <f t="shared" ref="CO210:CO214" si="258">+CO167/CO$176</f>
        <v>1000</v>
      </c>
      <c r="CP210" s="293">
        <f t="shared" ref="CP210:CP219" si="259">CO210</f>
        <v>1000</v>
      </c>
      <c r="CQ210" s="671">
        <f>+CP210/CL210-1</f>
        <v>0.56862745098039214</v>
      </c>
      <c r="CR210" s="293">
        <f>+CR167/CR$176</f>
        <v>1787.5</v>
      </c>
      <c r="CS210" s="293">
        <f t="shared" ref="CS210:CS214" si="260">+CS167/CS$176</f>
        <v>2712.5</v>
      </c>
      <c r="CT210" s="293">
        <f t="shared" ref="CT210:CT219" si="261">CS210</f>
        <v>2712.5</v>
      </c>
      <c r="CU210" s="671">
        <f>+CT210/CP210-1</f>
        <v>1.7124999999999999</v>
      </c>
      <c r="CV210" s="293">
        <f>+CV167/CV$176</f>
        <v>3662.5</v>
      </c>
      <c r="CW210" s="1495">
        <f t="shared" ref="CW210:CW214" si="262">+CW167/CW$176</f>
        <v>3275</v>
      </c>
      <c r="CX210" s="1495">
        <f t="shared" ref="CX210:CX219" si="263">CW210</f>
        <v>3275</v>
      </c>
      <c r="CY210" s="671">
        <f>+CX210/CT210-1</f>
        <v>0.20737327188940102</v>
      </c>
      <c r="CZ210" s="293">
        <f>+CZ167/CZ$176</f>
        <v>3812.5</v>
      </c>
      <c r="DA210" s="1495">
        <f t="shared" ref="DA210:DA214" si="264">+DA167/DA$176</f>
        <v>3087.5</v>
      </c>
      <c r="DB210" s="1495">
        <f t="shared" ref="DB210:DB219" si="265">DA210</f>
        <v>3087.5</v>
      </c>
      <c r="DC210" s="671">
        <f>+DB210/CX210-1</f>
        <v>-5.7251908396946605E-2</v>
      </c>
      <c r="DD210" s="293">
        <f>+DD167/DD$176</f>
        <v>3612.5</v>
      </c>
      <c r="DE210" s="1217">
        <f t="shared" ref="DE210" si="266">+DE179*DE200</f>
        <v>3582.3958333333339</v>
      </c>
      <c r="DF210" s="1495">
        <f t="shared" ref="DF210:DF219" si="267">DE210</f>
        <v>3582.3958333333339</v>
      </c>
      <c r="DG210" s="671">
        <f>+DF210/DB210-1</f>
        <v>0.16029014844804346</v>
      </c>
      <c r="DH210" s="1217">
        <f t="shared" ref="DH210:DH214" si="268">+DH179*DH200</f>
        <v>3191.041666666667</v>
      </c>
      <c r="DI210" s="293">
        <f t="shared" ref="DI210" si="269">+DI179*DI200</f>
        <v>3286.7729166666672</v>
      </c>
      <c r="DJ210" s="293">
        <f t="shared" ref="DJ210:DJ219" si="270">DI210</f>
        <v>3286.7729166666672</v>
      </c>
      <c r="DK210" s="671">
        <f>+DJ210/DF210-1</f>
        <v>-8.2521008403361296E-2</v>
      </c>
      <c r="DL210" s="293">
        <f t="shared" ref="DL210:DM210" si="271">+DL179*DL200</f>
        <v>3385.3761041666667</v>
      </c>
      <c r="DM210" s="293">
        <f t="shared" si="271"/>
        <v>3486.9373872916672</v>
      </c>
      <c r="DN210" s="293">
        <f t="shared" ref="DN210:DN219" si="272">DM210</f>
        <v>3486.9373872916672</v>
      </c>
      <c r="DO210" s="671">
        <f>+DN210/DJ210-1</f>
        <v>6.0899999999999954E-2</v>
      </c>
      <c r="DP210" s="293">
        <f t="shared" ref="DP210:DQ210" si="273">+DP179*DP200</f>
        <v>3591.5455089104171</v>
      </c>
      <c r="DQ210" s="293">
        <f t="shared" si="273"/>
        <v>3699.2918741777298</v>
      </c>
      <c r="DR210" s="293">
        <f t="shared" ref="DR210:DR219" si="274">DQ210</f>
        <v>3699.2918741777298</v>
      </c>
      <c r="DS210" s="671">
        <f>+DR210/DN210-1</f>
        <v>6.0899999999999954E-2</v>
      </c>
    </row>
    <row r="211" spans="1:123">
      <c r="A211" s="102" t="s">
        <v>350</v>
      </c>
      <c r="BH211" s="293"/>
      <c r="BI211" s="293">
        <f>+BI168/BI$176</f>
        <v>1862.5</v>
      </c>
      <c r="BJ211" s="293">
        <f t="shared" si="243"/>
        <v>1862.5</v>
      </c>
      <c r="BL211" s="293">
        <f t="shared" si="244"/>
        <v>2400</v>
      </c>
      <c r="BM211" s="293">
        <f t="shared" si="244"/>
        <v>1875</v>
      </c>
      <c r="BN211" s="293">
        <f t="shared" si="245"/>
        <v>1875</v>
      </c>
      <c r="BP211" s="293">
        <f t="shared" si="246"/>
        <v>1712.5</v>
      </c>
      <c r="BQ211" s="293">
        <f t="shared" si="246"/>
        <v>1587.5</v>
      </c>
      <c r="BR211" s="293">
        <f t="shared" si="247"/>
        <v>1587.5</v>
      </c>
      <c r="BT211" s="293">
        <f t="shared" si="248"/>
        <v>2112.5</v>
      </c>
      <c r="BU211" s="293">
        <f t="shared" si="248"/>
        <v>1500</v>
      </c>
      <c r="BV211" s="293">
        <f t="shared" si="249"/>
        <v>1500</v>
      </c>
      <c r="BX211" s="293">
        <f t="shared" si="250"/>
        <v>1725</v>
      </c>
      <c r="BY211" s="293">
        <f t="shared" si="250"/>
        <v>1475</v>
      </c>
      <c r="BZ211" s="293">
        <f t="shared" si="251"/>
        <v>1475</v>
      </c>
      <c r="CA211" s="671">
        <f t="shared" ref="CA211:CA219" si="275">+BZ211/BV211-1</f>
        <v>-1.6666666666666718E-2</v>
      </c>
      <c r="CB211" s="293">
        <f>+CB168/CB$176</f>
        <v>1462.5</v>
      </c>
      <c r="CC211" s="293">
        <f t="shared" ref="CC211" si="276">+CC168/CC$176</f>
        <v>1550</v>
      </c>
      <c r="CD211" s="293">
        <f t="shared" si="253"/>
        <v>1550</v>
      </c>
      <c r="CE211" s="671">
        <f t="shared" ref="CE211:CE219" si="277">+CD211/BZ211-1</f>
        <v>5.0847457627118731E-2</v>
      </c>
      <c r="CF211" s="293">
        <f>+CF168/CF$176</f>
        <v>2425</v>
      </c>
      <c r="CG211" s="293">
        <f t="shared" si="254"/>
        <v>21112.5</v>
      </c>
      <c r="CH211" s="293">
        <f t="shared" si="255"/>
        <v>21112.5</v>
      </c>
      <c r="CI211" s="671">
        <f t="shared" ref="CI211:CI219" si="278">+CH211/CD211-1</f>
        <v>12.620967741935484</v>
      </c>
      <c r="CJ211" s="293">
        <f>+CJ168/CJ$176</f>
        <v>7087.5</v>
      </c>
      <c r="CK211" s="293">
        <f t="shared" si="256"/>
        <v>9475</v>
      </c>
      <c r="CL211" s="293">
        <f t="shared" si="257"/>
        <v>9475</v>
      </c>
      <c r="CM211" s="671">
        <f t="shared" ref="CM211:CM219" si="279">+CL211/CH211-1</f>
        <v>-0.55121373593842504</v>
      </c>
      <c r="CN211" s="293">
        <f>+CN168/CN$176</f>
        <v>8237.5</v>
      </c>
      <c r="CO211" s="293">
        <f t="shared" si="258"/>
        <v>8687.5</v>
      </c>
      <c r="CP211" s="293">
        <f t="shared" si="259"/>
        <v>8687.5</v>
      </c>
      <c r="CQ211" s="671">
        <f t="shared" ref="CQ211:CQ219" si="280">+CP211/CL211-1</f>
        <v>-8.3113456464379953E-2</v>
      </c>
      <c r="CR211" s="293">
        <f>+CR168/CR$176</f>
        <v>12087.5</v>
      </c>
      <c r="CS211" s="293">
        <f t="shared" si="260"/>
        <v>16900</v>
      </c>
      <c r="CT211" s="293">
        <f t="shared" si="261"/>
        <v>16900</v>
      </c>
      <c r="CU211" s="671">
        <f t="shared" ref="CU211:CU215" si="281">+CT211/CP211-1</f>
        <v>0.94532374100719418</v>
      </c>
      <c r="CV211" s="293">
        <f>+CV168/CV$176</f>
        <v>20800</v>
      </c>
      <c r="CW211" s="1495">
        <f t="shared" si="262"/>
        <v>23025</v>
      </c>
      <c r="CX211" s="1495">
        <f t="shared" si="263"/>
        <v>23025</v>
      </c>
      <c r="CY211" s="671">
        <f t="shared" ref="CY211:CY215" si="282">+CX211/CT211-1</f>
        <v>0.36242603550295849</v>
      </c>
      <c r="CZ211" s="293">
        <f>+CZ168/CZ$176</f>
        <v>24750</v>
      </c>
      <c r="DA211" s="1495">
        <f t="shared" si="264"/>
        <v>25175</v>
      </c>
      <c r="DB211" s="1495">
        <f t="shared" si="265"/>
        <v>25175</v>
      </c>
      <c r="DC211" s="671">
        <f t="shared" ref="DC211:DC215" si="283">+DB211/CX211-1</f>
        <v>9.3376764386536415E-2</v>
      </c>
      <c r="DD211" s="293">
        <f>+DD168/DD$176</f>
        <v>26412.5</v>
      </c>
      <c r="DE211" s="1217">
        <f t="shared" ref="DE211" si="284">+DE180*DE201</f>
        <v>28055.944444444445</v>
      </c>
      <c r="DF211" s="1495">
        <f t="shared" si="267"/>
        <v>28055.944444444445</v>
      </c>
      <c r="DG211" s="671">
        <f t="shared" ref="DG211:DG215" si="285">+DF211/DB211-1</f>
        <v>0.11443672073264932</v>
      </c>
      <c r="DH211" s="1217">
        <f t="shared" si="268"/>
        <v>28055.944444444445</v>
      </c>
      <c r="DI211" s="293">
        <f t="shared" ref="DI211" si="286">+DI180*DI201</f>
        <v>30695.136763958333</v>
      </c>
      <c r="DJ211" s="293">
        <f t="shared" si="270"/>
        <v>30695.136763958333</v>
      </c>
      <c r="DK211" s="671">
        <f t="shared" ref="DK211:DK215" si="287">+DJ211/DF211-1</f>
        <v>9.4068917364016791E-2</v>
      </c>
      <c r="DL211" s="293">
        <f t="shared" ref="DL211:DM211" si="288">+DL180*DL201</f>
        <v>32424.259082512501</v>
      </c>
      <c r="DM211" s="293">
        <f t="shared" si="288"/>
        <v>33539.533332090919</v>
      </c>
      <c r="DN211" s="293">
        <f t="shared" si="272"/>
        <v>33539.533332090919</v>
      </c>
      <c r="DO211" s="671">
        <f t="shared" ref="DO211:DO215" si="289">+DN211/DJ211-1</f>
        <v>9.2666033385211177E-2</v>
      </c>
      <c r="DP211" s="293">
        <f t="shared" ref="DP211:DQ211" si="290">+DP180*DP201</f>
        <v>34681.838236942138</v>
      </c>
      <c r="DQ211" s="293">
        <f t="shared" si="290"/>
        <v>35850.733046720496</v>
      </c>
      <c r="DR211" s="293">
        <f t="shared" si="274"/>
        <v>35850.733046720496</v>
      </c>
      <c r="DS211" s="671">
        <f t="shared" ref="DS211:DS215" si="291">+DR211/DN211-1</f>
        <v>6.8909715938659133E-2</v>
      </c>
    </row>
    <row r="212" spans="1:123">
      <c r="A212" s="102" t="s">
        <v>442</v>
      </c>
      <c r="BH212" s="293"/>
      <c r="BI212" s="293">
        <f>+BI169/BI$176</f>
        <v>62.5</v>
      </c>
      <c r="BJ212" s="293">
        <f t="shared" si="243"/>
        <v>62.5</v>
      </c>
      <c r="BL212" s="293">
        <f t="shared" si="244"/>
        <v>137.5</v>
      </c>
      <c r="BM212" s="293">
        <f t="shared" si="244"/>
        <v>675</v>
      </c>
      <c r="BN212" s="293">
        <f t="shared" si="245"/>
        <v>675</v>
      </c>
      <c r="BP212" s="293">
        <f t="shared" si="246"/>
        <v>1062.5</v>
      </c>
      <c r="BQ212" s="293">
        <f t="shared" si="246"/>
        <v>962.5</v>
      </c>
      <c r="BR212" s="293">
        <f t="shared" si="247"/>
        <v>962.5</v>
      </c>
      <c r="BT212" s="293">
        <f t="shared" si="248"/>
        <v>600</v>
      </c>
      <c r="BU212" s="293">
        <f t="shared" si="248"/>
        <v>850</v>
      </c>
      <c r="BV212" s="293">
        <f t="shared" si="249"/>
        <v>850</v>
      </c>
      <c r="BX212" s="293">
        <f t="shared" si="250"/>
        <v>912.5</v>
      </c>
      <c r="BY212" s="293">
        <f t="shared" si="250"/>
        <v>850</v>
      </c>
      <c r="BZ212" s="293">
        <f t="shared" si="251"/>
        <v>850</v>
      </c>
      <c r="CA212" s="671">
        <f t="shared" si="275"/>
        <v>0</v>
      </c>
      <c r="CB212" s="293">
        <f>+CB169/CB$176</f>
        <v>1062.5</v>
      </c>
      <c r="CC212" s="293">
        <f t="shared" ref="CC212" si="292">+CC169/CC$176</f>
        <v>1012.5</v>
      </c>
      <c r="CD212" s="293">
        <f t="shared" si="253"/>
        <v>1012.5</v>
      </c>
      <c r="CE212" s="671">
        <f t="shared" si="277"/>
        <v>0.19117647058823528</v>
      </c>
      <c r="CF212" s="293">
        <f>+CF169/CF$176</f>
        <v>1625</v>
      </c>
      <c r="CG212" s="293">
        <f t="shared" si="254"/>
        <v>1200</v>
      </c>
      <c r="CH212" s="293">
        <f t="shared" si="255"/>
        <v>1200</v>
      </c>
      <c r="CI212" s="671">
        <f t="shared" si="278"/>
        <v>0.18518518518518512</v>
      </c>
      <c r="CJ212" s="293">
        <f>+CJ169/CJ$176</f>
        <v>1275</v>
      </c>
      <c r="CK212" s="293">
        <f t="shared" si="256"/>
        <v>675</v>
      </c>
      <c r="CL212" s="293">
        <f t="shared" si="257"/>
        <v>675</v>
      </c>
      <c r="CM212" s="671">
        <f t="shared" si="279"/>
        <v>-0.4375</v>
      </c>
      <c r="CN212" s="293">
        <f>+CN169/CN$176</f>
        <v>437.5</v>
      </c>
      <c r="CO212" s="293">
        <f t="shared" si="258"/>
        <v>837.5</v>
      </c>
      <c r="CP212" s="293">
        <f t="shared" si="259"/>
        <v>837.5</v>
      </c>
      <c r="CQ212" s="671">
        <f t="shared" si="280"/>
        <v>0.2407407407407407</v>
      </c>
      <c r="CR212" s="293">
        <f>+CR169/CR$176</f>
        <v>1712.5</v>
      </c>
      <c r="CS212" s="293">
        <f t="shared" si="260"/>
        <v>1700</v>
      </c>
      <c r="CT212" s="293">
        <f t="shared" si="261"/>
        <v>1700</v>
      </c>
      <c r="CU212" s="671">
        <f t="shared" si="281"/>
        <v>1.0298507462686568</v>
      </c>
      <c r="CV212" s="293">
        <f>+CV169/CV$176</f>
        <v>1800</v>
      </c>
      <c r="CW212" s="1495">
        <f t="shared" si="262"/>
        <v>2050</v>
      </c>
      <c r="CX212" s="1495">
        <f t="shared" si="263"/>
        <v>2050</v>
      </c>
      <c r="CY212" s="671">
        <f t="shared" si="282"/>
        <v>0.20588235294117641</v>
      </c>
      <c r="CZ212" s="293">
        <f>+CZ169/CZ$176</f>
        <v>3775</v>
      </c>
      <c r="DA212" s="1495">
        <f t="shared" si="264"/>
        <v>2025</v>
      </c>
      <c r="DB212" s="1495">
        <f t="shared" si="265"/>
        <v>2025</v>
      </c>
      <c r="DC212" s="671">
        <f t="shared" si="283"/>
        <v>-1.2195121951219523E-2</v>
      </c>
      <c r="DD212" s="293">
        <f>+DD169/DD$176</f>
        <v>1987.5</v>
      </c>
      <c r="DE212" s="1217">
        <f t="shared" ref="DE212" si="293">+DE181*DE202</f>
        <v>2318.75</v>
      </c>
      <c r="DF212" s="1495">
        <f t="shared" si="267"/>
        <v>2318.75</v>
      </c>
      <c r="DG212" s="671">
        <f t="shared" si="285"/>
        <v>0.14506172839506171</v>
      </c>
      <c r="DH212" s="1217">
        <f t="shared" si="268"/>
        <v>5300</v>
      </c>
      <c r="DI212" s="293">
        <f t="shared" ref="DI212" si="294">+DI181*DI202</f>
        <v>5406</v>
      </c>
      <c r="DJ212" s="293">
        <f t="shared" si="270"/>
        <v>5406</v>
      </c>
      <c r="DK212" s="671">
        <f t="shared" si="287"/>
        <v>1.3314285714285714</v>
      </c>
      <c r="DL212" s="293">
        <f t="shared" ref="DL212:DM212" si="295">+DL181*DL202</f>
        <v>5514.12</v>
      </c>
      <c r="DM212" s="293">
        <f t="shared" si="295"/>
        <v>5624.4023999999999</v>
      </c>
      <c r="DN212" s="293">
        <f t="shared" si="272"/>
        <v>5624.4023999999999</v>
      </c>
      <c r="DO212" s="671">
        <f t="shared" si="289"/>
        <v>4.0399999999999991E-2</v>
      </c>
      <c r="DP212" s="293">
        <f t="shared" ref="DP212:DQ212" si="296">+DP181*DP202</f>
        <v>5736.8904480000001</v>
      </c>
      <c r="DQ212" s="293">
        <f t="shared" si="296"/>
        <v>5851.6282569599998</v>
      </c>
      <c r="DR212" s="293">
        <f t="shared" si="274"/>
        <v>5851.6282569599998</v>
      </c>
      <c r="DS212" s="671">
        <f t="shared" si="291"/>
        <v>4.0399999999999991E-2</v>
      </c>
    </row>
    <row r="213" spans="1:123">
      <c r="A213" s="102" t="s">
        <v>443</v>
      </c>
      <c r="BH213" s="293"/>
      <c r="BI213" s="293">
        <f>+BI170/BI$176</f>
        <v>26512.5</v>
      </c>
      <c r="BJ213" s="293">
        <f t="shared" si="243"/>
        <v>26512.5</v>
      </c>
      <c r="BL213" s="293">
        <f t="shared" si="244"/>
        <v>28662.5</v>
      </c>
      <c r="BM213" s="293">
        <f t="shared" si="244"/>
        <v>21475</v>
      </c>
      <c r="BN213" s="293">
        <f t="shared" si="245"/>
        <v>21475</v>
      </c>
      <c r="BO213" s="293"/>
      <c r="BP213" s="293">
        <f t="shared" si="246"/>
        <v>20775</v>
      </c>
      <c r="BQ213" s="293">
        <f t="shared" si="246"/>
        <v>23350</v>
      </c>
      <c r="BR213" s="293">
        <f t="shared" si="247"/>
        <v>23350</v>
      </c>
      <c r="BS213" s="293"/>
      <c r="BT213" s="293">
        <f t="shared" si="248"/>
        <v>28787.5</v>
      </c>
      <c r="BU213" s="293">
        <f t="shared" si="248"/>
        <v>26425</v>
      </c>
      <c r="BV213" s="293">
        <f t="shared" si="249"/>
        <v>26425</v>
      </c>
      <c r="BX213" s="293">
        <f t="shared" si="250"/>
        <v>24537.5</v>
      </c>
      <c r="BY213" s="293">
        <f t="shared" si="250"/>
        <v>25675</v>
      </c>
      <c r="BZ213" s="293">
        <f t="shared" si="251"/>
        <v>25675</v>
      </c>
      <c r="CA213" s="671">
        <f t="shared" si="275"/>
        <v>-2.8382213812677359E-2</v>
      </c>
      <c r="CB213" s="293">
        <f>+CB170/CB$176</f>
        <v>33937.5</v>
      </c>
      <c r="CC213" s="293">
        <f t="shared" ref="CC213" si="297">+CC170/CC$176</f>
        <v>32462.5</v>
      </c>
      <c r="CD213" s="293">
        <f t="shared" si="253"/>
        <v>32462.5</v>
      </c>
      <c r="CE213" s="671">
        <f t="shared" si="277"/>
        <v>0.26436222005842258</v>
      </c>
      <c r="CF213" s="293">
        <f>+CF170/CF$176</f>
        <v>31362.5</v>
      </c>
      <c r="CG213" s="293">
        <f t="shared" si="254"/>
        <v>30912.5</v>
      </c>
      <c r="CH213" s="293">
        <f t="shared" si="255"/>
        <v>30912.5</v>
      </c>
      <c r="CI213" s="671">
        <f t="shared" si="278"/>
        <v>-4.774740084713136E-2</v>
      </c>
      <c r="CJ213" s="293">
        <f>+CJ170/CJ$176</f>
        <v>50525</v>
      </c>
      <c r="CK213" s="293">
        <f t="shared" si="256"/>
        <v>42637.5</v>
      </c>
      <c r="CL213" s="293">
        <f t="shared" si="257"/>
        <v>42637.5</v>
      </c>
      <c r="CM213" s="671">
        <f t="shared" si="279"/>
        <v>0.37929640113222796</v>
      </c>
      <c r="CN213" s="293">
        <f>+CN170/CN$176</f>
        <v>35625</v>
      </c>
      <c r="CO213" s="293">
        <f t="shared" si="258"/>
        <v>29437.5</v>
      </c>
      <c r="CP213" s="293">
        <f t="shared" si="259"/>
        <v>29437.5</v>
      </c>
      <c r="CQ213" s="671">
        <f t="shared" si="280"/>
        <v>-0.30958663148636767</v>
      </c>
      <c r="CR213" s="293">
        <f>+CR170/CR$176</f>
        <v>31225</v>
      </c>
      <c r="CS213" s="293">
        <f t="shared" si="260"/>
        <v>30025</v>
      </c>
      <c r="CT213" s="293">
        <f t="shared" si="261"/>
        <v>30025</v>
      </c>
      <c r="CU213" s="671">
        <f t="shared" si="281"/>
        <v>1.995753715498938E-2</v>
      </c>
      <c r="CV213" s="293">
        <f>+CV170/CV$176</f>
        <v>39625</v>
      </c>
      <c r="CW213" s="1495">
        <f t="shared" si="262"/>
        <v>42675</v>
      </c>
      <c r="CX213" s="1495">
        <f t="shared" si="263"/>
        <v>42675</v>
      </c>
      <c r="CY213" s="671">
        <f t="shared" si="282"/>
        <v>0.42131557035803491</v>
      </c>
      <c r="CZ213" s="293">
        <f>+CZ170/CZ$176</f>
        <v>50100</v>
      </c>
      <c r="DA213" s="1495">
        <f t="shared" si="264"/>
        <v>56162.5</v>
      </c>
      <c r="DB213" s="1495">
        <f t="shared" si="265"/>
        <v>56162.5</v>
      </c>
      <c r="DC213" s="671">
        <f t="shared" si="283"/>
        <v>0.31605155243116578</v>
      </c>
      <c r="DD213" s="293">
        <f>+DD170/DD$176</f>
        <v>56462.5</v>
      </c>
      <c r="DE213" s="1217">
        <f t="shared" ref="DE213" si="298">+DE182*DE203</f>
        <v>74838.276461638772</v>
      </c>
      <c r="DF213" s="1495">
        <f t="shared" si="267"/>
        <v>74838.276461638772</v>
      </c>
      <c r="DG213" s="671">
        <f t="shared" si="285"/>
        <v>0.33253107432252427</v>
      </c>
      <c r="DH213" s="1217">
        <f t="shared" si="268"/>
        <v>66333.926863725268</v>
      </c>
      <c r="DI213" s="293">
        <f t="shared" ref="DI213" si="299">+DI182*DI203</f>
        <v>67660.60540099979</v>
      </c>
      <c r="DJ213" s="293">
        <f t="shared" si="270"/>
        <v>67660.60540099979</v>
      </c>
      <c r="DK213" s="671">
        <f t="shared" si="287"/>
        <v>-9.5909090909090833E-2</v>
      </c>
      <c r="DL213" s="293">
        <f t="shared" ref="DL213:DM213" si="300">+DL182*DL203</f>
        <v>69013.817509019776</v>
      </c>
      <c r="DM213" s="293">
        <f t="shared" si="300"/>
        <v>70394.093859200177</v>
      </c>
      <c r="DN213" s="293">
        <f t="shared" si="272"/>
        <v>70394.093859200177</v>
      </c>
      <c r="DO213" s="671">
        <f t="shared" si="289"/>
        <v>4.0399999999999991E-2</v>
      </c>
      <c r="DP213" s="293">
        <f t="shared" ref="DP213:DQ213" si="301">+DP182*DP203</f>
        <v>71801.975736384178</v>
      </c>
      <c r="DQ213" s="293">
        <f t="shared" si="301"/>
        <v>73238.01525111185</v>
      </c>
      <c r="DR213" s="293">
        <f t="shared" si="274"/>
        <v>73238.01525111185</v>
      </c>
      <c r="DS213" s="671">
        <f t="shared" si="291"/>
        <v>4.0399999999999769E-2</v>
      </c>
    </row>
    <row r="214" spans="1:123">
      <c r="A214" s="102" t="s">
        <v>444</v>
      </c>
      <c r="BH214" s="293"/>
      <c r="BI214" s="293">
        <f>+BI171/BI$176</f>
        <v>3625</v>
      </c>
      <c r="BJ214" s="293">
        <f t="shared" si="243"/>
        <v>3625</v>
      </c>
      <c r="BL214" s="293">
        <f t="shared" si="244"/>
        <v>3662.5</v>
      </c>
      <c r="BM214" s="293">
        <f t="shared" si="244"/>
        <v>3575</v>
      </c>
      <c r="BN214" s="293">
        <f t="shared" si="245"/>
        <v>3575</v>
      </c>
      <c r="BP214" s="293">
        <f t="shared" si="246"/>
        <v>3875</v>
      </c>
      <c r="BQ214" s="293">
        <f t="shared" si="246"/>
        <v>3175</v>
      </c>
      <c r="BR214" s="293">
        <f t="shared" si="247"/>
        <v>3175</v>
      </c>
      <c r="BT214" s="293">
        <f t="shared" si="248"/>
        <v>4212.5</v>
      </c>
      <c r="BU214" s="293">
        <f t="shared" si="248"/>
        <v>3112.5</v>
      </c>
      <c r="BV214" s="293">
        <f t="shared" si="249"/>
        <v>3112.5</v>
      </c>
      <c r="BX214" s="293">
        <f t="shared" si="250"/>
        <v>3162.5</v>
      </c>
      <c r="BY214" s="293">
        <f t="shared" si="250"/>
        <v>2475</v>
      </c>
      <c r="BZ214" s="293">
        <f t="shared" si="251"/>
        <v>2475</v>
      </c>
      <c r="CA214" s="671">
        <f t="shared" si="275"/>
        <v>-0.20481927710843373</v>
      </c>
      <c r="CB214" s="293">
        <f>+CB171/CB$176</f>
        <v>3437.5</v>
      </c>
      <c r="CC214" s="293">
        <f t="shared" ref="CC214" si="302">+CC171/CC$176</f>
        <v>3600</v>
      </c>
      <c r="CD214" s="293">
        <f t="shared" si="253"/>
        <v>3600</v>
      </c>
      <c r="CE214" s="671">
        <f t="shared" si="277"/>
        <v>0.45454545454545459</v>
      </c>
      <c r="CF214" s="293">
        <f>+CF171/CF$176</f>
        <v>11425</v>
      </c>
      <c r="CG214" s="293">
        <f t="shared" si="254"/>
        <v>11625</v>
      </c>
      <c r="CH214" s="293">
        <f t="shared" si="255"/>
        <v>11625</v>
      </c>
      <c r="CI214" s="671">
        <f t="shared" si="278"/>
        <v>2.2291666666666665</v>
      </c>
      <c r="CJ214" s="293">
        <f>+CJ171/CJ$176</f>
        <v>12512.5</v>
      </c>
      <c r="CK214" s="293">
        <f t="shared" si="256"/>
        <v>14075</v>
      </c>
      <c r="CL214" s="293">
        <f t="shared" si="257"/>
        <v>14075</v>
      </c>
      <c r="CM214" s="671">
        <f t="shared" si="279"/>
        <v>0.21075268817204296</v>
      </c>
      <c r="CN214" s="293">
        <f>+CN171/CN$176</f>
        <v>11200</v>
      </c>
      <c r="CO214" s="293">
        <f t="shared" si="258"/>
        <v>11950</v>
      </c>
      <c r="CP214" s="293">
        <f t="shared" si="259"/>
        <v>11950</v>
      </c>
      <c r="CQ214" s="671">
        <f t="shared" si="280"/>
        <v>-0.15097690941385433</v>
      </c>
      <c r="CR214" s="293">
        <f>+CR171/CR$176</f>
        <v>22937.5</v>
      </c>
      <c r="CS214" s="293">
        <f t="shared" si="260"/>
        <v>23037.5</v>
      </c>
      <c r="CT214" s="293">
        <f t="shared" si="261"/>
        <v>23037.5</v>
      </c>
      <c r="CU214" s="671">
        <f t="shared" si="281"/>
        <v>0.92782426778242688</v>
      </c>
      <c r="CV214" s="293">
        <f>+CV171/CV$176</f>
        <v>25150</v>
      </c>
      <c r="CW214" s="1495">
        <f t="shared" si="262"/>
        <v>24062.5</v>
      </c>
      <c r="CX214" s="1495">
        <f t="shared" si="263"/>
        <v>24062.5</v>
      </c>
      <c r="CY214" s="671">
        <f t="shared" si="282"/>
        <v>4.4492674986435166E-2</v>
      </c>
      <c r="CZ214" s="293">
        <f>+CZ171/CZ$176</f>
        <v>26337.5</v>
      </c>
      <c r="DA214" s="1495">
        <f t="shared" si="264"/>
        <v>22825</v>
      </c>
      <c r="DB214" s="1495">
        <f t="shared" si="265"/>
        <v>22825</v>
      </c>
      <c r="DC214" s="671">
        <f t="shared" si="283"/>
        <v>-5.1428571428571379E-2</v>
      </c>
      <c r="DD214" s="293">
        <f>+DD171/DD$176</f>
        <v>23725</v>
      </c>
      <c r="DE214" s="1217">
        <f t="shared" ref="DE214" si="303">+DE183*DE204</f>
        <v>20253.048780487807</v>
      </c>
      <c r="DF214" s="1495">
        <f t="shared" si="267"/>
        <v>20253.048780487807</v>
      </c>
      <c r="DG214" s="671">
        <f t="shared" si="285"/>
        <v>-0.11268132396548491</v>
      </c>
      <c r="DH214" s="1217">
        <f t="shared" si="268"/>
        <v>19095.731707317074</v>
      </c>
      <c r="DI214" s="293">
        <f t="shared" ref="DI214" si="304">+DI183*DI204</f>
        <v>19538.679937282232</v>
      </c>
      <c r="DJ214" s="293">
        <f t="shared" si="270"/>
        <v>19538.679937282232</v>
      </c>
      <c r="DK214" s="671">
        <f t="shared" si="287"/>
        <v>-3.5272163265306133E-2</v>
      </c>
      <c r="DL214" s="293">
        <f t="shared" ref="DL214:DM214" si="305">+DL183*DL204</f>
        <v>19994.916614146343</v>
      </c>
      <c r="DM214" s="293">
        <f t="shared" si="305"/>
        <v>20464.840391316378</v>
      </c>
      <c r="DN214" s="293">
        <f t="shared" si="272"/>
        <v>20464.840391316378</v>
      </c>
      <c r="DO214" s="671">
        <f t="shared" si="289"/>
        <v>4.7401383154187293E-2</v>
      </c>
      <c r="DP214" s="293">
        <f t="shared" ref="DP214:DQ214" si="306">+DP183*DP204</f>
        <v>20948.861881801513</v>
      </c>
      <c r="DQ214" s="293">
        <f t="shared" si="306"/>
        <v>21447.404017001205</v>
      </c>
      <c r="DR214" s="293">
        <f t="shared" si="274"/>
        <v>21447.404017001205</v>
      </c>
      <c r="DS214" s="671">
        <f t="shared" si="291"/>
        <v>4.8012278957315857E-2</v>
      </c>
    </row>
    <row r="215" spans="1:123">
      <c r="A215" s="289" t="s">
        <v>450</v>
      </c>
      <c r="BH215" s="293"/>
      <c r="BI215" s="295">
        <f>SUM(BI210:BI214)</f>
        <v>32312.5</v>
      </c>
      <c r="BJ215" s="295">
        <f t="shared" si="243"/>
        <v>32312.5</v>
      </c>
      <c r="BL215" s="295">
        <f>SUM(BL210:BL214)</f>
        <v>35125</v>
      </c>
      <c r="BM215" s="295">
        <f>SUM(BM210:BM214)</f>
        <v>27875</v>
      </c>
      <c r="BN215" s="295">
        <f t="shared" si="245"/>
        <v>27875</v>
      </c>
      <c r="BP215" s="295">
        <f>SUM(BP210:BP214)</f>
        <v>27712.5</v>
      </c>
      <c r="BQ215" s="295">
        <f>SUM(BQ210:BQ214)</f>
        <v>29450</v>
      </c>
      <c r="BR215" s="295">
        <f t="shared" si="247"/>
        <v>29450</v>
      </c>
      <c r="BT215" s="295">
        <f>SUM(BT210:BT214)</f>
        <v>35950</v>
      </c>
      <c r="BU215" s="295">
        <f>SUM(BU210:BU214)</f>
        <v>32112.5</v>
      </c>
      <c r="BV215" s="295">
        <f t="shared" si="249"/>
        <v>32112.5</v>
      </c>
      <c r="BX215" s="295">
        <f>SUM(BX210:BX214)</f>
        <v>30612.5</v>
      </c>
      <c r="BY215" s="295">
        <f>SUM(BY210:BY214)</f>
        <v>30725</v>
      </c>
      <c r="BZ215" s="295">
        <f t="shared" si="251"/>
        <v>30725</v>
      </c>
      <c r="CA215" s="671">
        <f t="shared" si="275"/>
        <v>-4.3207473725184853E-2</v>
      </c>
      <c r="CB215" s="295">
        <f>SUM(CB210:CB214)</f>
        <v>40175</v>
      </c>
      <c r="CC215" s="295">
        <f>SUM(CC210:CC214)</f>
        <v>38975</v>
      </c>
      <c r="CD215" s="295">
        <f t="shared" si="253"/>
        <v>38975</v>
      </c>
      <c r="CE215" s="671">
        <f t="shared" si="277"/>
        <v>0.26851098454027666</v>
      </c>
      <c r="CF215" s="295">
        <f>SUM(CF210:CF214)</f>
        <v>47312.5</v>
      </c>
      <c r="CG215" s="295">
        <f>SUM(CG210:CG214)</f>
        <v>65275</v>
      </c>
      <c r="CH215" s="295">
        <f t="shared" si="255"/>
        <v>65275</v>
      </c>
      <c r="CI215" s="671">
        <f t="shared" si="278"/>
        <v>0.67479153303399619</v>
      </c>
      <c r="CJ215" s="295">
        <f>SUM(CJ210:CJ214)</f>
        <v>72112.5</v>
      </c>
      <c r="CK215" s="295">
        <f>SUM(CK210:CK214)</f>
        <v>67500</v>
      </c>
      <c r="CL215" s="295">
        <f t="shared" si="257"/>
        <v>67500</v>
      </c>
      <c r="CM215" s="671">
        <f t="shared" si="279"/>
        <v>3.4086556874760587E-2</v>
      </c>
      <c r="CN215" s="295">
        <f>SUM(CN210:CN214)</f>
        <v>56550</v>
      </c>
      <c r="CO215" s="295">
        <f>SUM(CO210:CO214)</f>
        <v>51912.5</v>
      </c>
      <c r="CP215" s="295">
        <f t="shared" si="259"/>
        <v>51912.5</v>
      </c>
      <c r="CQ215" s="671">
        <f t="shared" si="280"/>
        <v>-0.23092592592592598</v>
      </c>
      <c r="CR215" s="295">
        <f>SUM(CR210:CR214)</f>
        <v>69750</v>
      </c>
      <c r="CS215" s="295">
        <f>SUM(CS210:CS214)</f>
        <v>74375</v>
      </c>
      <c r="CT215" s="295">
        <f t="shared" si="261"/>
        <v>74375</v>
      </c>
      <c r="CU215" s="671">
        <f t="shared" si="281"/>
        <v>0.4326992535516494</v>
      </c>
      <c r="CV215" s="295">
        <f>SUM(CV210:CV214)</f>
        <v>91037.5</v>
      </c>
      <c r="CW215" s="1390">
        <f>SUM(CW210:CW214)</f>
        <v>95087.5</v>
      </c>
      <c r="CX215" s="1390">
        <f t="shared" si="263"/>
        <v>95087.5</v>
      </c>
      <c r="CY215" s="671">
        <f t="shared" si="282"/>
        <v>0.27848739495798314</v>
      </c>
      <c r="CZ215" s="295">
        <f>SUM(CZ210:CZ214)</f>
        <v>108775</v>
      </c>
      <c r="DA215" s="1390">
        <f>SUM(DA210:DA214)</f>
        <v>109275</v>
      </c>
      <c r="DB215" s="1390">
        <f t="shared" si="265"/>
        <v>109275</v>
      </c>
      <c r="DC215" s="671">
        <f t="shared" si="283"/>
        <v>0.14920467990009212</v>
      </c>
      <c r="DD215" s="295">
        <f>SUM(DD210:DD214)</f>
        <v>112200</v>
      </c>
      <c r="DE215" s="1390">
        <f>SUM(DE210:DE214)</f>
        <v>129048.41551990436</v>
      </c>
      <c r="DF215" s="1390">
        <f t="shared" si="267"/>
        <v>129048.41551990436</v>
      </c>
      <c r="DG215" s="671">
        <f t="shared" si="285"/>
        <v>0.18095095419724871</v>
      </c>
      <c r="DH215" s="295">
        <f>SUM(DH210:DH214)</f>
        <v>121976.64468215345</v>
      </c>
      <c r="DI215" s="295">
        <f>SUM(DI210:DI214)</f>
        <v>126587.19501890702</v>
      </c>
      <c r="DJ215" s="295">
        <f t="shared" si="270"/>
        <v>126587.19501890702</v>
      </c>
      <c r="DK215" s="671">
        <f t="shared" si="287"/>
        <v>-1.9072070672713659E-2</v>
      </c>
      <c r="DL215" s="295">
        <f>SUM(DL210:DL214)</f>
        <v>130332.48930984529</v>
      </c>
      <c r="DM215" s="295">
        <f>SUM(DM210:DM214)</f>
        <v>133509.80736989912</v>
      </c>
      <c r="DN215" s="295">
        <f t="shared" si="272"/>
        <v>133509.80736989912</v>
      </c>
      <c r="DO215" s="671">
        <f t="shared" si="289"/>
        <v>5.4686513513141133E-2</v>
      </c>
      <c r="DP215" s="295">
        <f>SUM(DP210:DP214)</f>
        <v>136761.11181203823</v>
      </c>
      <c r="DQ215" s="295">
        <f>SUM(DQ210:DQ214)</f>
        <v>140087.07244597128</v>
      </c>
      <c r="DR215" s="295">
        <f t="shared" si="274"/>
        <v>140087.07244597128</v>
      </c>
      <c r="DS215" s="671">
        <f t="shared" si="291"/>
        <v>4.9264284067531694E-2</v>
      </c>
    </row>
    <row r="216" spans="1:123">
      <c r="A216" s="102" t="s">
        <v>449</v>
      </c>
      <c r="BH216" s="293"/>
      <c r="BI216" s="626">
        <v>0</v>
      </c>
      <c r="BJ216" s="293">
        <f t="shared" si="243"/>
        <v>0</v>
      </c>
      <c r="BL216" s="626">
        <v>0</v>
      </c>
      <c r="BM216" s="626">
        <v>0</v>
      </c>
      <c r="BN216" s="293">
        <f t="shared" si="245"/>
        <v>0</v>
      </c>
      <c r="BP216" s="626">
        <v>0</v>
      </c>
      <c r="BQ216" s="626">
        <v>0</v>
      </c>
      <c r="BR216" s="293">
        <f t="shared" si="247"/>
        <v>0</v>
      </c>
      <c r="BT216" s="626">
        <v>0</v>
      </c>
      <c r="BU216" s="626">
        <v>0</v>
      </c>
      <c r="BV216" s="293">
        <f t="shared" si="249"/>
        <v>0</v>
      </c>
      <c r="BX216" s="626">
        <v>0</v>
      </c>
      <c r="BY216" s="626">
        <v>0</v>
      </c>
      <c r="BZ216" s="293">
        <f t="shared" si="251"/>
        <v>0</v>
      </c>
      <c r="CA216" s="671"/>
      <c r="CB216" s="626">
        <v>0</v>
      </c>
      <c r="CC216" s="626">
        <v>0</v>
      </c>
      <c r="CD216" s="293">
        <f t="shared" si="253"/>
        <v>0</v>
      </c>
      <c r="CE216" s="671"/>
      <c r="CF216" s="626">
        <v>0</v>
      </c>
      <c r="CG216" s="626">
        <v>0</v>
      </c>
      <c r="CH216" s="293">
        <f t="shared" si="255"/>
        <v>0</v>
      </c>
      <c r="CI216" s="671"/>
      <c r="CJ216" s="626">
        <v>0</v>
      </c>
      <c r="CK216" s="626">
        <v>0</v>
      </c>
      <c r="CL216" s="293">
        <f t="shared" si="257"/>
        <v>0</v>
      </c>
      <c r="CM216" s="671"/>
      <c r="CN216" s="1388">
        <v>0</v>
      </c>
      <c r="CO216" s="1388">
        <v>0</v>
      </c>
      <c r="CP216" s="1010">
        <f t="shared" si="259"/>
        <v>0</v>
      </c>
      <c r="CQ216" s="1417"/>
      <c r="CR216" s="1388">
        <v>0</v>
      </c>
      <c r="CS216" s="1388">
        <v>0</v>
      </c>
      <c r="CT216" s="293">
        <f t="shared" si="261"/>
        <v>0</v>
      </c>
      <c r="CU216" s="671"/>
      <c r="CV216" s="1388">
        <v>0</v>
      </c>
      <c r="CW216" s="1497">
        <v>0</v>
      </c>
      <c r="CX216" s="1495">
        <f t="shared" si="263"/>
        <v>0</v>
      </c>
      <c r="CY216" s="671"/>
      <c r="CZ216" s="1388">
        <v>0</v>
      </c>
      <c r="DA216" s="1497">
        <v>0</v>
      </c>
      <c r="DB216" s="1495">
        <f t="shared" si="265"/>
        <v>0</v>
      </c>
      <c r="DC216" s="671"/>
      <c r="DD216" s="626">
        <v>0</v>
      </c>
      <c r="DE216" s="1497">
        <v>0</v>
      </c>
      <c r="DF216" s="1495">
        <f t="shared" si="267"/>
        <v>0</v>
      </c>
      <c r="DG216" s="671"/>
      <c r="DH216" s="626">
        <v>0</v>
      </c>
      <c r="DI216" s="626">
        <v>0</v>
      </c>
      <c r="DJ216" s="293">
        <f t="shared" si="270"/>
        <v>0</v>
      </c>
      <c r="DK216" s="671"/>
      <c r="DL216" s="626">
        <v>0</v>
      </c>
      <c r="DM216" s="626">
        <v>0</v>
      </c>
      <c r="DN216" s="293">
        <f t="shared" si="272"/>
        <v>0</v>
      </c>
      <c r="DO216" s="671"/>
      <c r="DP216" s="626">
        <v>0</v>
      </c>
      <c r="DQ216" s="626">
        <v>0</v>
      </c>
      <c r="DR216" s="293">
        <f t="shared" si="274"/>
        <v>0</v>
      </c>
      <c r="DS216" s="671"/>
    </row>
    <row r="217" spans="1:123">
      <c r="A217" s="289" t="s">
        <v>423</v>
      </c>
      <c r="BH217" s="293"/>
      <c r="BI217" s="295">
        <f>+BI215+BI216</f>
        <v>32312.5</v>
      </c>
      <c r="BJ217" s="295">
        <f t="shared" si="243"/>
        <v>32312.5</v>
      </c>
      <c r="BL217" s="295">
        <f>+BL215+BL216</f>
        <v>35125</v>
      </c>
      <c r="BM217" s="295">
        <f>+BM215+BM216</f>
        <v>27875</v>
      </c>
      <c r="BN217" s="295">
        <f t="shared" si="245"/>
        <v>27875</v>
      </c>
      <c r="BP217" s="295">
        <f>+BP215+BP216</f>
        <v>27712.5</v>
      </c>
      <c r="BQ217" s="295">
        <f>+BQ215+BQ216</f>
        <v>29450</v>
      </c>
      <c r="BR217" s="295">
        <f t="shared" si="247"/>
        <v>29450</v>
      </c>
      <c r="BT217" s="295">
        <f>+BT215+BT216</f>
        <v>35950</v>
      </c>
      <c r="BU217" s="295">
        <f>+BU215+BU216</f>
        <v>32112.5</v>
      </c>
      <c r="BV217" s="295">
        <f t="shared" si="249"/>
        <v>32112.5</v>
      </c>
      <c r="BX217" s="295">
        <f>+BX215+BX216</f>
        <v>30612.5</v>
      </c>
      <c r="BY217" s="295">
        <f>+BY215+BY216</f>
        <v>30725</v>
      </c>
      <c r="BZ217" s="295">
        <f t="shared" si="251"/>
        <v>30725</v>
      </c>
      <c r="CA217" s="671">
        <f t="shared" si="275"/>
        <v>-4.3207473725184853E-2</v>
      </c>
      <c r="CB217" s="295">
        <f>+CB215+CB216</f>
        <v>40175</v>
      </c>
      <c r="CC217" s="295">
        <f>+CC215+CC216</f>
        <v>38975</v>
      </c>
      <c r="CD217" s="295">
        <f t="shared" si="253"/>
        <v>38975</v>
      </c>
      <c r="CE217" s="671">
        <f t="shared" si="277"/>
        <v>0.26851098454027666</v>
      </c>
      <c r="CF217" s="295">
        <f>+CF215+CF216</f>
        <v>47312.5</v>
      </c>
      <c r="CG217" s="295">
        <f>+CG215+CG216</f>
        <v>65275</v>
      </c>
      <c r="CH217" s="295">
        <f t="shared" si="255"/>
        <v>65275</v>
      </c>
      <c r="CI217" s="671">
        <f t="shared" si="278"/>
        <v>0.67479153303399619</v>
      </c>
      <c r="CJ217" s="295">
        <f>+CJ215+CJ216</f>
        <v>72112.5</v>
      </c>
      <c r="CK217" s="295">
        <f>+CK215+CK216</f>
        <v>67500</v>
      </c>
      <c r="CL217" s="295">
        <f t="shared" si="257"/>
        <v>67500</v>
      </c>
      <c r="CM217" s="671">
        <f t="shared" si="279"/>
        <v>3.4086556874760587E-2</v>
      </c>
      <c r="CN217" s="295">
        <f>+CN215+CN216</f>
        <v>56550</v>
      </c>
      <c r="CO217" s="295">
        <f>+CO215+CO216</f>
        <v>51912.5</v>
      </c>
      <c r="CP217" s="295">
        <f t="shared" si="259"/>
        <v>51912.5</v>
      </c>
      <c r="CQ217" s="671">
        <f t="shared" si="280"/>
        <v>-0.23092592592592598</v>
      </c>
      <c r="CR217" s="295">
        <f>+CR215+CR216</f>
        <v>69750</v>
      </c>
      <c r="CS217" s="295">
        <f>+CS215+CS216</f>
        <v>74375</v>
      </c>
      <c r="CT217" s="295">
        <f t="shared" si="261"/>
        <v>74375</v>
      </c>
      <c r="CU217" s="671">
        <f t="shared" ref="CU217:CU219" si="307">+CT217/CP217-1</f>
        <v>0.4326992535516494</v>
      </c>
      <c r="CV217" s="295">
        <f>+CV215+CV216</f>
        <v>91037.5</v>
      </c>
      <c r="CW217" s="1390">
        <f>+CW215+CW216</f>
        <v>95087.5</v>
      </c>
      <c r="CX217" s="1390">
        <f t="shared" si="263"/>
        <v>95087.5</v>
      </c>
      <c r="CY217" s="671">
        <f t="shared" ref="CY217:CY219" si="308">+CX217/CT217-1</f>
        <v>0.27848739495798314</v>
      </c>
      <c r="CZ217" s="295">
        <f>+CZ215+CZ216</f>
        <v>108775</v>
      </c>
      <c r="DA217" s="1390">
        <f>+DA215+DA216</f>
        <v>109275</v>
      </c>
      <c r="DB217" s="1390">
        <f t="shared" si="265"/>
        <v>109275</v>
      </c>
      <c r="DC217" s="671">
        <f t="shared" ref="DC217:DC219" si="309">+DB217/CX217-1</f>
        <v>0.14920467990009212</v>
      </c>
      <c r="DD217" s="295">
        <f>+DD215+DD216</f>
        <v>112200</v>
      </c>
      <c r="DE217" s="1390">
        <f>+DE215+DE216</f>
        <v>129048.41551990436</v>
      </c>
      <c r="DF217" s="1390">
        <f t="shared" si="267"/>
        <v>129048.41551990436</v>
      </c>
      <c r="DG217" s="671">
        <f t="shared" ref="DG217:DG219" si="310">+DF217/DB217-1</f>
        <v>0.18095095419724871</v>
      </c>
      <c r="DH217" s="295">
        <f>+DH215+DH216</f>
        <v>121976.64468215345</v>
      </c>
      <c r="DI217" s="295">
        <f>+DI215+DI216</f>
        <v>126587.19501890702</v>
      </c>
      <c r="DJ217" s="295">
        <f t="shared" si="270"/>
        <v>126587.19501890702</v>
      </c>
      <c r="DK217" s="671">
        <f t="shared" ref="DK217:DK219" si="311">+DJ217/DF217-1</f>
        <v>-1.9072070672713659E-2</v>
      </c>
      <c r="DL217" s="295">
        <f>+DL215+DL216</f>
        <v>130332.48930984529</v>
      </c>
      <c r="DM217" s="295">
        <f>+DM215+DM216</f>
        <v>133509.80736989912</v>
      </c>
      <c r="DN217" s="295">
        <f t="shared" si="272"/>
        <v>133509.80736989912</v>
      </c>
      <c r="DO217" s="671">
        <f t="shared" ref="DO217:DO219" si="312">+DN217/DJ217-1</f>
        <v>5.4686513513141133E-2</v>
      </c>
      <c r="DP217" s="295">
        <f>+DP215+DP216</f>
        <v>136761.11181203823</v>
      </c>
      <c r="DQ217" s="295">
        <f>+DQ215+DQ216</f>
        <v>140087.07244597128</v>
      </c>
      <c r="DR217" s="295">
        <f t="shared" si="274"/>
        <v>140087.07244597128</v>
      </c>
      <c r="DS217" s="671">
        <f t="shared" ref="DS217:DS219" si="313">+DR217/DN217-1</f>
        <v>4.9264284067531694E-2</v>
      </c>
    </row>
    <row r="218" spans="1:123">
      <c r="A218" s="102" t="s">
        <v>445</v>
      </c>
      <c r="BH218" s="293"/>
      <c r="BI218" s="293">
        <f>BI173/BI176</f>
        <v>6862.5</v>
      </c>
      <c r="BJ218" s="293">
        <f t="shared" si="243"/>
        <v>6862.5</v>
      </c>
      <c r="BL218" s="293">
        <f>BL173/BL176</f>
        <v>7725</v>
      </c>
      <c r="BM218" s="293">
        <f>BM173/BM176</f>
        <v>7412.5</v>
      </c>
      <c r="BN218" s="293">
        <f t="shared" si="245"/>
        <v>7412.5</v>
      </c>
      <c r="BP218" s="293">
        <f>BP173/BP176</f>
        <v>9637.5</v>
      </c>
      <c r="BQ218" s="293">
        <f>BQ173/BQ176</f>
        <v>10750</v>
      </c>
      <c r="BR218" s="293">
        <f t="shared" si="247"/>
        <v>10750</v>
      </c>
      <c r="BT218" s="293">
        <f>BT173/BT176</f>
        <v>8950</v>
      </c>
      <c r="BU218" s="293">
        <f>BU173/BU176</f>
        <v>5587.5</v>
      </c>
      <c r="BV218" s="293">
        <f t="shared" si="249"/>
        <v>5587.5</v>
      </c>
      <c r="BX218" s="293">
        <f>BX173/BX176</f>
        <v>7050</v>
      </c>
      <c r="BY218" s="293">
        <f>BY173/BY176</f>
        <v>10537.5</v>
      </c>
      <c r="BZ218" s="293">
        <f t="shared" si="251"/>
        <v>10537.5</v>
      </c>
      <c r="CA218" s="684">
        <f t="shared" si="275"/>
        <v>0.88590604026845643</v>
      </c>
      <c r="CB218" s="293">
        <f>CB173/CB176</f>
        <v>10300</v>
      </c>
      <c r="CC218" s="293">
        <f>CC173/CC176</f>
        <v>17825</v>
      </c>
      <c r="CD218" s="293">
        <f t="shared" si="253"/>
        <v>17825</v>
      </c>
      <c r="CE218" s="684">
        <f t="shared" si="277"/>
        <v>0.69157769869513652</v>
      </c>
      <c r="CF218" s="293">
        <f>CF173/CF176</f>
        <v>22475</v>
      </c>
      <c r="CG218" s="293">
        <f>CG173/CG176</f>
        <v>24137.5</v>
      </c>
      <c r="CH218" s="293">
        <f t="shared" si="255"/>
        <v>24137.5</v>
      </c>
      <c r="CI218" s="684">
        <f t="shared" si="278"/>
        <v>0.3541374474053296</v>
      </c>
      <c r="CJ218" s="293">
        <f>CJ173/CJ176</f>
        <v>25262.5</v>
      </c>
      <c r="CK218" s="293">
        <f>CK173/CK176</f>
        <v>25387.5</v>
      </c>
      <c r="CL218" s="293">
        <f t="shared" si="257"/>
        <v>25387.5</v>
      </c>
      <c r="CM218" s="684">
        <f t="shared" si="279"/>
        <v>5.1786639047125771E-2</v>
      </c>
      <c r="CN218" s="293">
        <f>CN173/CN176</f>
        <v>17550</v>
      </c>
      <c r="CO218" s="293">
        <f>CO173/CO176</f>
        <v>39562.5</v>
      </c>
      <c r="CP218" s="293">
        <f t="shared" si="259"/>
        <v>39562.5</v>
      </c>
      <c r="CQ218" s="684">
        <f t="shared" si="280"/>
        <v>0.55834564254062036</v>
      </c>
      <c r="CR218" s="293">
        <f>CR173/CR176</f>
        <v>35687.5</v>
      </c>
      <c r="CS218" s="293">
        <f>CS173/CS176</f>
        <v>36687.5</v>
      </c>
      <c r="CT218" s="293">
        <f t="shared" si="261"/>
        <v>36687.5</v>
      </c>
      <c r="CU218" s="684">
        <f t="shared" si="307"/>
        <v>-7.2669826224328604E-2</v>
      </c>
      <c r="CV218" s="293">
        <f>CV173/CV176</f>
        <v>37437.5</v>
      </c>
      <c r="CW218" s="1495">
        <f>CW173/CW176</f>
        <v>34912.5</v>
      </c>
      <c r="CX218" s="1495">
        <f t="shared" si="263"/>
        <v>34912.5</v>
      </c>
      <c r="CY218" s="684">
        <f t="shared" si="308"/>
        <v>-4.8381601362861959E-2</v>
      </c>
      <c r="CZ218" s="293">
        <f>CZ173/CZ176</f>
        <v>37437.5</v>
      </c>
      <c r="DA218" s="1495">
        <f>DA173/DA176</f>
        <v>34375</v>
      </c>
      <c r="DB218" s="1495">
        <f t="shared" si="265"/>
        <v>34375</v>
      </c>
      <c r="DC218" s="684">
        <f t="shared" si="309"/>
        <v>-1.5395631936985343E-2</v>
      </c>
      <c r="DD218" s="293">
        <f>DD173/DD176</f>
        <v>29300</v>
      </c>
      <c r="DE218" s="1495">
        <f>DE173/DE176</f>
        <v>31151.584480095651</v>
      </c>
      <c r="DF218" s="1495">
        <f t="shared" si="267"/>
        <v>31151.584480095651</v>
      </c>
      <c r="DG218" s="684">
        <f t="shared" si="310"/>
        <v>-9.3772087851762831E-2</v>
      </c>
      <c r="DH218" s="293">
        <f>DH173/DH176</f>
        <v>48160.855317846537</v>
      </c>
      <c r="DI218" s="924">
        <f>+DH218*1</f>
        <v>48160.855317846537</v>
      </c>
      <c r="DJ218" s="293">
        <f t="shared" si="270"/>
        <v>48160.855317846537</v>
      </c>
      <c r="DK218" s="684">
        <f t="shared" si="311"/>
        <v>0.54601623389715481</v>
      </c>
      <c r="DL218" s="487">
        <f>+DI218*1.02</f>
        <v>49124.07242420347</v>
      </c>
      <c r="DM218" s="487">
        <f>+DL218*1.02</f>
        <v>50106.553872687538</v>
      </c>
      <c r="DN218" s="293">
        <f t="shared" si="272"/>
        <v>50106.553872687538</v>
      </c>
      <c r="DO218" s="684">
        <f t="shared" si="312"/>
        <v>4.0399999999999991E-2</v>
      </c>
      <c r="DP218" s="487">
        <f>+DM218*1.02</f>
        <v>51108.684950141287</v>
      </c>
      <c r="DQ218" s="487">
        <f>+DP218*1.02</f>
        <v>52130.858649144116</v>
      </c>
      <c r="DR218" s="293">
        <f t="shared" si="274"/>
        <v>52130.858649144116</v>
      </c>
      <c r="DS218" s="684">
        <f t="shared" si="313"/>
        <v>4.0399999999999991E-2</v>
      </c>
    </row>
    <row r="219" spans="1:123">
      <c r="A219" s="289" t="s">
        <v>345</v>
      </c>
      <c r="BH219" s="293"/>
      <c r="BI219" s="295">
        <f>+BI217+BI218</f>
        <v>39175</v>
      </c>
      <c r="BJ219" s="295">
        <f t="shared" si="243"/>
        <v>39175</v>
      </c>
      <c r="BL219" s="295">
        <f>+BL217+BL218</f>
        <v>42850</v>
      </c>
      <c r="BM219" s="295">
        <f>+BM217+BM218</f>
        <v>35287.5</v>
      </c>
      <c r="BN219" s="295">
        <f t="shared" si="245"/>
        <v>35287.5</v>
      </c>
      <c r="BP219" s="295">
        <f>+BP217+BP218</f>
        <v>37350</v>
      </c>
      <c r="BQ219" s="295">
        <f>+BQ217+BQ218</f>
        <v>40200</v>
      </c>
      <c r="BR219" s="295">
        <f t="shared" si="247"/>
        <v>40200</v>
      </c>
      <c r="BT219" s="295">
        <f>+BT217+BT218</f>
        <v>44900</v>
      </c>
      <c r="BU219" s="295">
        <f>+BU217+BU218</f>
        <v>37700</v>
      </c>
      <c r="BV219" s="295">
        <f t="shared" si="249"/>
        <v>37700</v>
      </c>
      <c r="BX219" s="295">
        <f>+BX217+BX218</f>
        <v>37662.5</v>
      </c>
      <c r="BY219" s="295">
        <f>+BY217+BY218</f>
        <v>41262.5</v>
      </c>
      <c r="BZ219" s="295">
        <f t="shared" si="251"/>
        <v>41262.5</v>
      </c>
      <c r="CA219" s="671">
        <f t="shared" si="275"/>
        <v>9.4496021220159099E-2</v>
      </c>
      <c r="CB219" s="295">
        <f>+CB217+CB218</f>
        <v>50475</v>
      </c>
      <c r="CC219" s="295">
        <f>+CC217+CC218</f>
        <v>56800</v>
      </c>
      <c r="CD219" s="295">
        <f t="shared" si="253"/>
        <v>56800</v>
      </c>
      <c r="CE219" s="671">
        <f t="shared" si="277"/>
        <v>0.37655255983035452</v>
      </c>
      <c r="CF219" s="295">
        <f>+CF217+CF218</f>
        <v>69787.5</v>
      </c>
      <c r="CG219" s="295">
        <f>+CG217+CG218</f>
        <v>89412.5</v>
      </c>
      <c r="CH219" s="295">
        <f t="shared" si="255"/>
        <v>89412.5</v>
      </c>
      <c r="CI219" s="671">
        <f t="shared" si="278"/>
        <v>0.57416373239436624</v>
      </c>
      <c r="CJ219" s="295">
        <f>+CJ217+CJ218</f>
        <v>97375</v>
      </c>
      <c r="CK219" s="295">
        <f>+CK217+CK218</f>
        <v>92887.5</v>
      </c>
      <c r="CL219" s="295">
        <f t="shared" si="257"/>
        <v>92887.5</v>
      </c>
      <c r="CM219" s="671">
        <f t="shared" si="279"/>
        <v>3.8864811967006752E-2</v>
      </c>
      <c r="CN219" s="295">
        <f>+CN217+CN218</f>
        <v>74100</v>
      </c>
      <c r="CO219" s="295">
        <f>+CO217+CO218</f>
        <v>91475</v>
      </c>
      <c r="CP219" s="295">
        <f t="shared" si="259"/>
        <v>91475</v>
      </c>
      <c r="CQ219" s="671">
        <f t="shared" si="280"/>
        <v>-1.5206567083837941E-2</v>
      </c>
      <c r="CR219" s="295">
        <f>+CR217+CR218</f>
        <v>105437.5</v>
      </c>
      <c r="CS219" s="295">
        <f>+CS217+CS218</f>
        <v>111062.5</v>
      </c>
      <c r="CT219" s="295">
        <f t="shared" si="261"/>
        <v>111062.5</v>
      </c>
      <c r="CU219" s="671">
        <f t="shared" si="307"/>
        <v>0.21412954359114522</v>
      </c>
      <c r="CV219" s="295">
        <f>+CV217+CV218</f>
        <v>128475</v>
      </c>
      <c r="CW219" s="1390">
        <f>+CW217+CW218</f>
        <v>130000</v>
      </c>
      <c r="CX219" s="1390">
        <f t="shared" si="263"/>
        <v>130000</v>
      </c>
      <c r="CY219" s="671">
        <f t="shared" si="308"/>
        <v>0.17051209904333153</v>
      </c>
      <c r="CZ219" s="295">
        <f>+CZ217+CZ218</f>
        <v>146212.5</v>
      </c>
      <c r="DA219" s="1390">
        <f>+DA217+DA218</f>
        <v>143650</v>
      </c>
      <c r="DB219" s="1390">
        <f t="shared" si="265"/>
        <v>143650</v>
      </c>
      <c r="DC219" s="671">
        <f t="shared" si="309"/>
        <v>0.10499999999999998</v>
      </c>
      <c r="DD219" s="295">
        <f>+DD217+DD218</f>
        <v>141500</v>
      </c>
      <c r="DE219" s="1390">
        <f>+DE217+DE218</f>
        <v>160200</v>
      </c>
      <c r="DF219" s="1390">
        <f t="shared" si="267"/>
        <v>160200</v>
      </c>
      <c r="DG219" s="671">
        <f t="shared" si="310"/>
        <v>0.11521058127392969</v>
      </c>
      <c r="DH219" s="295">
        <f>+DH217+DH218</f>
        <v>170137.5</v>
      </c>
      <c r="DI219" s="295">
        <f>+DI217+DI218</f>
        <v>174748.05033675354</v>
      </c>
      <c r="DJ219" s="295">
        <f t="shared" si="270"/>
        <v>174748.05033675354</v>
      </c>
      <c r="DK219" s="671">
        <f t="shared" si="311"/>
        <v>9.0811799854890962E-2</v>
      </c>
      <c r="DL219" s="295">
        <f>+DL217+DL218</f>
        <v>179456.56173404877</v>
      </c>
      <c r="DM219" s="295">
        <f>+DM217+DM218</f>
        <v>183616.36124258666</v>
      </c>
      <c r="DN219" s="295">
        <f t="shared" si="272"/>
        <v>183616.36124258666</v>
      </c>
      <c r="DO219" s="671">
        <f t="shared" si="312"/>
        <v>5.0749126463746963E-2</v>
      </c>
      <c r="DP219" s="295">
        <f>+DP217+DP218</f>
        <v>187869.79676217953</v>
      </c>
      <c r="DQ219" s="295">
        <f>+DQ217+DQ218</f>
        <v>192217.9310951154</v>
      </c>
      <c r="DR219" s="295">
        <f t="shared" si="274"/>
        <v>192217.9310951154</v>
      </c>
      <c r="DS219" s="671">
        <f t="shared" si="313"/>
        <v>4.6845334447972675E-2</v>
      </c>
    </row>
    <row r="220" spans="1:123">
      <c r="A220" s="323" t="s">
        <v>580</v>
      </c>
      <c r="BH220" s="293"/>
      <c r="BI220" s="331">
        <f>BI90</f>
        <v>39175</v>
      </c>
      <c r="BJ220" s="293"/>
      <c r="BL220" s="331">
        <f>BL90</f>
        <v>42850</v>
      </c>
      <c r="BM220" s="331">
        <f>BM90</f>
        <v>35287.5</v>
      </c>
      <c r="BN220" s="293"/>
      <c r="BP220" s="331">
        <f>BP90</f>
        <v>37350</v>
      </c>
      <c r="BQ220" s="331">
        <f>BQ90</f>
        <v>40200</v>
      </c>
      <c r="BR220" s="293"/>
      <c r="BT220" s="331">
        <f>BT90</f>
        <v>44900</v>
      </c>
      <c r="BU220" s="331">
        <f>BU90</f>
        <v>37700</v>
      </c>
      <c r="BV220" s="293"/>
      <c r="BX220" s="331">
        <f>BX90</f>
        <v>37662.5</v>
      </c>
      <c r="BY220" s="331">
        <f>BY90</f>
        <v>41262.5</v>
      </c>
      <c r="BZ220" s="293"/>
      <c r="CB220" s="331">
        <f>CB90</f>
        <v>50475</v>
      </c>
      <c r="CC220" s="331">
        <f>CC90</f>
        <v>56800</v>
      </c>
      <c r="CD220" s="293"/>
      <c r="CF220" s="331">
        <f>CF90</f>
        <v>69787.5</v>
      </c>
      <c r="CG220" s="331">
        <f>CG90</f>
        <v>89412.5</v>
      </c>
      <c r="CH220" s="293"/>
      <c r="CJ220" s="331">
        <f>CJ90</f>
        <v>97375</v>
      </c>
      <c r="CK220" s="331">
        <f>CK90</f>
        <v>92887.5</v>
      </c>
      <c r="CL220" s="293"/>
      <c r="CN220" s="331">
        <f>CN90</f>
        <v>74100</v>
      </c>
      <c r="CO220" s="331">
        <f>CO90</f>
        <v>91475</v>
      </c>
      <c r="CP220" s="293"/>
      <c r="CR220" s="331">
        <f>CR90</f>
        <v>105437.5</v>
      </c>
      <c r="CS220" s="331">
        <f>CS90</f>
        <v>111062.5</v>
      </c>
      <c r="CT220" s="293"/>
      <c r="CV220" s="331">
        <f>CV90</f>
        <v>128475</v>
      </c>
      <c r="CW220" s="1841">
        <f>CW90</f>
        <v>130000</v>
      </c>
      <c r="CX220" s="1495"/>
      <c r="CZ220" s="331">
        <f>CZ90</f>
        <v>144050</v>
      </c>
      <c r="DA220" s="1841">
        <f>DA90</f>
        <v>143650</v>
      </c>
      <c r="DB220" s="1495"/>
      <c r="DD220" s="331">
        <f>DD90</f>
        <v>141500</v>
      </c>
      <c r="DE220" s="1841">
        <f>DE90</f>
        <v>160200</v>
      </c>
      <c r="DF220" s="1495"/>
      <c r="DH220" s="331">
        <f>DH90</f>
        <v>170137.5</v>
      </c>
      <c r="DI220" s="331">
        <f>DI90</f>
        <v>174748.05033675354</v>
      </c>
      <c r="DJ220" s="331"/>
      <c r="DL220" s="331">
        <f>DL90</f>
        <v>179456.56173404877</v>
      </c>
      <c r="DM220" s="331">
        <f>DM90</f>
        <v>183616.36124258666</v>
      </c>
      <c r="DN220" s="331"/>
      <c r="DP220" s="331">
        <f>DP90</f>
        <v>187869.79676217953</v>
      </c>
      <c r="DQ220" s="331">
        <f>DQ90</f>
        <v>192217.9310951154</v>
      </c>
      <c r="DR220" s="331"/>
    </row>
    <row r="221" spans="1:123">
      <c r="BP221" s="320"/>
      <c r="BT221" s="320"/>
      <c r="BX221" s="320"/>
      <c r="CB221" s="320"/>
      <c r="CF221" s="320"/>
      <c r="CJ221" s="320"/>
      <c r="CN221" s="320"/>
      <c r="DA221" s="1408"/>
      <c r="DB221" s="1408"/>
      <c r="DE221" s="1408"/>
      <c r="DF221" s="1408"/>
    </row>
    <row r="222" spans="1:123">
      <c r="A222" s="328" t="s">
        <v>532</v>
      </c>
      <c r="DA222" s="1408"/>
      <c r="DB222" s="1408"/>
      <c r="DE222" s="1408"/>
      <c r="DF222" s="1408"/>
    </row>
    <row r="223" spans="1:123">
      <c r="A223" s="323" t="s">
        <v>533</v>
      </c>
      <c r="BI223" s="293">
        <f>BI182</f>
        <v>4300</v>
      </c>
      <c r="BL223" s="293">
        <f>BL182</f>
        <v>4800</v>
      </c>
      <c r="BM223" s="293">
        <f>BM182</f>
        <v>3500</v>
      </c>
      <c r="BP223" s="293">
        <f>BP182</f>
        <v>3400</v>
      </c>
      <c r="BQ223" s="293">
        <f>BQ182</f>
        <v>3800</v>
      </c>
      <c r="BT223" s="293">
        <f>BT182</f>
        <v>4800</v>
      </c>
      <c r="BU223" s="293">
        <f>BU182</f>
        <v>4600</v>
      </c>
      <c r="BX223" s="293">
        <f>BX182</f>
        <v>4200</v>
      </c>
      <c r="BY223" s="293">
        <f>BY182</f>
        <v>4400</v>
      </c>
      <c r="CB223" s="293">
        <f>CB182</f>
        <v>6600</v>
      </c>
      <c r="CC223" s="293">
        <f>CC182</f>
        <v>5700</v>
      </c>
      <c r="CF223" s="293">
        <f>CF182</f>
        <v>5100</v>
      </c>
      <c r="CG223" s="293">
        <f>CG182</f>
        <v>5100</v>
      </c>
      <c r="CJ223" s="293">
        <f>CJ182</f>
        <v>7500</v>
      </c>
      <c r="CK223" s="293">
        <f>CK182</f>
        <v>7000</v>
      </c>
      <c r="CN223" s="293">
        <f>CN182</f>
        <v>5900</v>
      </c>
      <c r="CO223" s="293">
        <f>CO182</f>
        <v>4700</v>
      </c>
      <c r="CR223" s="293">
        <f>CR182</f>
        <v>6100</v>
      </c>
      <c r="CS223" s="293">
        <f>CS182</f>
        <v>5700</v>
      </c>
      <c r="CV223" s="293">
        <f>CV182</f>
        <v>6700</v>
      </c>
      <c r="CW223" s="1495">
        <f>CW182</f>
        <v>6700</v>
      </c>
      <c r="CZ223" s="293">
        <f>CZ182</f>
        <v>7100</v>
      </c>
      <c r="DA223" s="1495">
        <f>DA182</f>
        <v>9900</v>
      </c>
      <c r="DB223" s="1408"/>
      <c r="DD223" s="293">
        <f>DD182</f>
        <v>8600</v>
      </c>
      <c r="DE223" s="1495">
        <f>DE182</f>
        <v>11398.878504672899</v>
      </c>
      <c r="DF223" s="1408"/>
      <c r="DH223" s="293">
        <f>DH182</f>
        <v>10103.551401869159</v>
      </c>
      <c r="DI223" s="293">
        <f>DI182</f>
        <v>10305.622429906543</v>
      </c>
      <c r="DL223" s="293">
        <f>DL182</f>
        <v>10511.734878504674</v>
      </c>
      <c r="DM223" s="293">
        <f>DM182</f>
        <v>10721.969576074767</v>
      </c>
      <c r="DP223" s="293">
        <f>DP182</f>
        <v>10936.408967596262</v>
      </c>
      <c r="DQ223" s="293">
        <f>DQ182</f>
        <v>11155.137146948187</v>
      </c>
    </row>
    <row r="224" spans="1:123">
      <c r="A224" s="323" t="s">
        <v>534</v>
      </c>
      <c r="BI224" s="1083">
        <v>6.17</v>
      </c>
      <c r="BL224" s="1083">
        <v>5.96</v>
      </c>
      <c r="BM224" s="1083">
        <v>6.07</v>
      </c>
      <c r="BP224" s="1083">
        <v>6.2</v>
      </c>
      <c r="BQ224" s="1083">
        <v>6.19</v>
      </c>
      <c r="BT224" s="360">
        <f>BT203</f>
        <v>5.99</v>
      </c>
      <c r="BU224" s="360">
        <f>BU203</f>
        <v>5.74</v>
      </c>
      <c r="BX224" s="360">
        <f>BX203</f>
        <v>5.89</v>
      </c>
      <c r="BY224" s="360">
        <f>BY203</f>
        <v>5.89</v>
      </c>
      <c r="CB224" s="360">
        <f>CB203</f>
        <v>5.18</v>
      </c>
      <c r="CC224" s="360">
        <f>CC203</f>
        <v>5.72</v>
      </c>
      <c r="CF224" s="360">
        <f>CF203</f>
        <v>6.16</v>
      </c>
      <c r="CG224" s="360">
        <f>CG203</f>
        <v>6.06</v>
      </c>
      <c r="CJ224" s="360">
        <f>CJ203</f>
        <v>6.71</v>
      </c>
      <c r="CK224" s="360">
        <f>CK203</f>
        <v>6.56</v>
      </c>
      <c r="CN224" s="360">
        <f>CN203</f>
        <v>6.6</v>
      </c>
      <c r="CO224" s="360">
        <f>CO203</f>
        <v>6.26</v>
      </c>
      <c r="CR224" s="360">
        <f>CR203</f>
        <v>5.68</v>
      </c>
      <c r="CS224" s="360">
        <f>CS203</f>
        <v>5.89</v>
      </c>
      <c r="CV224" s="360">
        <f>CV203</f>
        <v>6.61</v>
      </c>
      <c r="CW224" s="1826">
        <f>CW203</f>
        <v>7</v>
      </c>
      <c r="CZ224" s="360">
        <f>CZ203</f>
        <v>7.056338028169014</v>
      </c>
      <c r="DA224" s="1826">
        <f>DA203</f>
        <v>5.6729797979797976</v>
      </c>
      <c r="DB224" s="1408"/>
      <c r="DD224" s="360">
        <f>DD203</f>
        <v>6.5654069767441854</v>
      </c>
      <c r="DE224" s="1826">
        <f>DE203</f>
        <v>6.5654069767441854</v>
      </c>
      <c r="DF224" s="1408"/>
      <c r="DH224" s="360">
        <f>DH203</f>
        <v>6.5654069767441854</v>
      </c>
      <c r="DI224" s="360">
        <f>DI203</f>
        <v>6.5654069767441854</v>
      </c>
      <c r="DL224" s="360">
        <f>DL203</f>
        <v>6.5654069767441854</v>
      </c>
      <c r="DM224" s="360">
        <f>DM203</f>
        <v>6.5654069767441854</v>
      </c>
      <c r="DP224" s="360">
        <f>DP203</f>
        <v>6.5654069767441854</v>
      </c>
      <c r="DQ224" s="360">
        <f>DQ203</f>
        <v>6.5654069767441854</v>
      </c>
    </row>
    <row r="225" spans="1:123">
      <c r="A225" s="323" t="s">
        <v>559</v>
      </c>
      <c r="BI225" s="293">
        <f>+BI223*BI224</f>
        <v>26531</v>
      </c>
      <c r="BL225" s="293">
        <f>+BL223*BL224</f>
        <v>28608</v>
      </c>
      <c r="BM225" s="293">
        <f>+BM223*BM224</f>
        <v>21245</v>
      </c>
      <c r="BP225" s="293">
        <f>+BP223*BP224</f>
        <v>21080</v>
      </c>
      <c r="BQ225" s="293">
        <f>+BQ223*BQ224</f>
        <v>23522</v>
      </c>
      <c r="BT225" s="293">
        <f>+BT223*BT224</f>
        <v>28752</v>
      </c>
      <c r="BU225" s="293">
        <f>+BU223*BU224</f>
        <v>26404</v>
      </c>
      <c r="BX225" s="293">
        <f>+BX223*BX224</f>
        <v>24738</v>
      </c>
      <c r="BY225" s="293">
        <f>+BY223*BY224</f>
        <v>25916</v>
      </c>
      <c r="CB225" s="293">
        <f>+CB223*CB224</f>
        <v>34188</v>
      </c>
      <c r="CC225" s="293">
        <f>+CC223*CC224</f>
        <v>32604</v>
      </c>
      <c r="CF225" s="293">
        <f>+CF223*CF224</f>
        <v>31416</v>
      </c>
      <c r="CG225" s="293">
        <f>+CG223*CG224</f>
        <v>30905.999999999996</v>
      </c>
      <c r="CJ225" s="293">
        <f>+CJ223*CJ224</f>
        <v>50325</v>
      </c>
      <c r="CK225" s="293">
        <f>+CK223*CK224</f>
        <v>45920</v>
      </c>
      <c r="CN225" s="293">
        <f>+CN223*CN224</f>
        <v>38940</v>
      </c>
      <c r="CO225" s="293">
        <f>+CO223*CO224</f>
        <v>29422</v>
      </c>
      <c r="CR225" s="293">
        <f>+CR223*CR224</f>
        <v>34648</v>
      </c>
      <c r="CS225" s="293">
        <f>+CS223*CS224</f>
        <v>33573</v>
      </c>
      <c r="CV225" s="293">
        <f>+CV223*CV224</f>
        <v>44287</v>
      </c>
      <c r="CW225" s="1495">
        <f>+CW223*CW224</f>
        <v>46900</v>
      </c>
      <c r="CZ225" s="293">
        <f>+CZ223*CZ224</f>
        <v>50100</v>
      </c>
      <c r="DA225" s="1495">
        <f>+DA223*DA224</f>
        <v>56162.499999999993</v>
      </c>
      <c r="DB225" s="1408"/>
      <c r="DD225" s="293">
        <f>+DD223*DD224</f>
        <v>56462.499999999993</v>
      </c>
      <c r="DE225" s="1495">
        <f>+DE223*DE224</f>
        <v>74838.276461638772</v>
      </c>
      <c r="DF225" s="1408"/>
      <c r="DH225" s="293">
        <f>+DH223*DH224</f>
        <v>66333.926863725268</v>
      </c>
      <c r="DI225" s="293">
        <f>+DI223*DI224</f>
        <v>67660.60540099979</v>
      </c>
      <c r="DL225" s="293">
        <f>+DL223*DL224</f>
        <v>69013.817509019776</v>
      </c>
      <c r="DM225" s="293">
        <f>+DM223*DM224</f>
        <v>70394.093859200177</v>
      </c>
      <c r="DP225" s="293">
        <f>+DP223*DP224</f>
        <v>71801.975736384178</v>
      </c>
      <c r="DQ225" s="293">
        <f>+DQ223*DQ224</f>
        <v>73238.01525111185</v>
      </c>
    </row>
    <row r="226" spans="1:123">
      <c r="A226" s="323" t="s">
        <v>427</v>
      </c>
      <c r="BI226" s="626">
        <v>2121</v>
      </c>
      <c r="BL226" s="626">
        <v>2293</v>
      </c>
      <c r="BM226" s="626">
        <v>1718</v>
      </c>
      <c r="BP226" s="626">
        <v>1662</v>
      </c>
      <c r="BQ226" s="626">
        <v>1868</v>
      </c>
      <c r="BT226" s="293">
        <f>BT170</f>
        <v>2303</v>
      </c>
      <c r="BU226" s="293">
        <f>BU170</f>
        <v>2114</v>
      </c>
      <c r="BX226" s="293">
        <f>BX170</f>
        <v>1963</v>
      </c>
      <c r="BY226" s="293">
        <f>BY170</f>
        <v>2054</v>
      </c>
      <c r="CB226" s="293">
        <f>CB170</f>
        <v>2715</v>
      </c>
      <c r="CC226" s="293">
        <f>CC170</f>
        <v>2597</v>
      </c>
      <c r="CF226" s="293">
        <f>CF170</f>
        <v>2509</v>
      </c>
      <c r="CG226" s="293">
        <f>CG170</f>
        <v>2473</v>
      </c>
      <c r="CJ226" s="293">
        <f>CJ170</f>
        <v>4042</v>
      </c>
      <c r="CK226" s="293">
        <f>CK170</f>
        <v>3411</v>
      </c>
      <c r="CN226" s="293">
        <f>CN170</f>
        <v>2850</v>
      </c>
      <c r="CO226" s="293">
        <f>CO170</f>
        <v>2355</v>
      </c>
      <c r="CR226" s="293">
        <f>CR170</f>
        <v>2498</v>
      </c>
      <c r="CS226" s="293">
        <f>CS170</f>
        <v>2402</v>
      </c>
      <c r="CV226" s="293">
        <f>CV170</f>
        <v>3170</v>
      </c>
      <c r="CW226" s="1495">
        <f>CW170</f>
        <v>3414</v>
      </c>
      <c r="CZ226" s="293">
        <f>CZ170</f>
        <v>4008</v>
      </c>
      <c r="DA226" s="1495">
        <f>DA170</f>
        <v>4493</v>
      </c>
      <c r="DB226" s="1408"/>
      <c r="DD226" s="293">
        <f>DD170</f>
        <v>4517</v>
      </c>
      <c r="DE226" s="1495">
        <f>DE170</f>
        <v>5987.0621169311016</v>
      </c>
      <c r="DF226" s="1408"/>
      <c r="DH226" s="293">
        <f>DH170</f>
        <v>5306.7141490980212</v>
      </c>
      <c r="DI226" s="293">
        <f>DI170</f>
        <v>5412.8484320799835</v>
      </c>
      <c r="DL226" s="293">
        <f>DL170</f>
        <v>5521.1054007215826</v>
      </c>
      <c r="DM226" s="293">
        <f>DM170</f>
        <v>5631.5275087360142</v>
      </c>
      <c r="DP226" s="293">
        <f>DP170</f>
        <v>5744.1580589107343</v>
      </c>
      <c r="DQ226" s="293">
        <f>DQ170</f>
        <v>5859.0412200889477</v>
      </c>
    </row>
    <row r="227" spans="1:123">
      <c r="A227" s="323" t="s">
        <v>535</v>
      </c>
      <c r="BI227" s="320">
        <f>+BI226/BI225</f>
        <v>7.9944216199917081E-2</v>
      </c>
      <c r="BL227" s="320">
        <f>+BL226/BL225</f>
        <v>8.0152404921700227E-2</v>
      </c>
      <c r="BM227" s="320">
        <f>+BM226/BM225</f>
        <v>8.0866086137914808E-2</v>
      </c>
      <c r="BP227" s="320">
        <f>+BP226/BP225</f>
        <v>7.8842504743833017E-2</v>
      </c>
      <c r="BQ227" s="320">
        <f>+BQ226/BQ225</f>
        <v>7.9415015729954935E-2</v>
      </c>
      <c r="BT227" s="320">
        <f>+BT226/BT225</f>
        <v>8.0098775737340006E-2</v>
      </c>
      <c r="BU227" s="320">
        <f>+BU226/BU225</f>
        <v>8.0063626723223758E-2</v>
      </c>
      <c r="BX227" s="320">
        <f>+BX226/BX225</f>
        <v>7.9351604818497859E-2</v>
      </c>
      <c r="BY227" s="320">
        <f>+BY226/BY225</f>
        <v>7.9256058033647173E-2</v>
      </c>
      <c r="CB227" s="320">
        <f>+CB226/CB225</f>
        <v>7.941382941382942E-2</v>
      </c>
      <c r="CC227" s="320">
        <f>+CC226/CC225</f>
        <v>7.9652803337013869E-2</v>
      </c>
      <c r="CF227" s="320">
        <f>+CF226/CF225</f>
        <v>7.9863763687293102E-2</v>
      </c>
      <c r="CG227" s="320">
        <f>+CG226/CG225</f>
        <v>8.0016825211932971E-2</v>
      </c>
      <c r="CJ227" s="320">
        <f>+CJ226/CJ225</f>
        <v>8.0317933432687533E-2</v>
      </c>
      <c r="CK227" s="320">
        <f>+CK226/CK225</f>
        <v>7.4281358885017426E-2</v>
      </c>
      <c r="CN227" s="320">
        <f>+CN226/CN225</f>
        <v>7.3189522342064717E-2</v>
      </c>
      <c r="CO227" s="320">
        <f>+CO226/CO225</f>
        <v>8.0042145333423964E-2</v>
      </c>
      <c r="CR227" s="320">
        <f>+CR226/CR225</f>
        <v>7.2096513507273141E-2</v>
      </c>
      <c r="CS227" s="320">
        <f>+CS226/CS225</f>
        <v>7.1545587227831886E-2</v>
      </c>
      <c r="CV227" s="320">
        <f>+CV226/CV225</f>
        <v>7.1578567073859151E-2</v>
      </c>
      <c r="CW227" s="320">
        <f>+CW226/CW225</f>
        <v>7.2793176972281451E-2</v>
      </c>
      <c r="CZ227" s="320">
        <f>+CZ226/CZ225</f>
        <v>0.08</v>
      </c>
      <c r="DA227" s="320">
        <f>+DA226/DA225</f>
        <v>8.0000000000000016E-2</v>
      </c>
      <c r="DB227" s="1408"/>
      <c r="DD227" s="320">
        <f>+DD226/DD225</f>
        <v>8.0000000000000016E-2</v>
      </c>
      <c r="DE227" s="320">
        <f>+DE226/DE225</f>
        <v>0.08</v>
      </c>
      <c r="DF227" s="1408"/>
      <c r="DH227" s="320">
        <f>+DH226/DH225</f>
        <v>0.08</v>
      </c>
      <c r="DI227" s="320">
        <f>+DI226/DI225</f>
        <v>0.08</v>
      </c>
      <c r="DL227" s="320">
        <f>+DL226/DL225</f>
        <v>0.08</v>
      </c>
      <c r="DM227" s="320">
        <f>+DM226/DM225</f>
        <v>0.08</v>
      </c>
      <c r="DP227" s="320">
        <f>+DP226/DP225</f>
        <v>0.08</v>
      </c>
      <c r="DQ227" s="320">
        <f>+DQ226/DQ225</f>
        <v>0.08</v>
      </c>
    </row>
    <row r="231" spans="1:123">
      <c r="A231" s="1064" t="s">
        <v>1223</v>
      </c>
      <c r="B231" s="1051"/>
      <c r="C231" s="1052"/>
      <c r="D231" s="1051"/>
      <c r="E231" s="1051"/>
      <c r="F231" s="1051"/>
      <c r="G231" s="1051"/>
      <c r="H231" s="1051"/>
      <c r="I231" s="1051"/>
      <c r="J231" s="1051"/>
      <c r="K231" s="1051"/>
      <c r="L231" s="1051"/>
      <c r="M231" s="1051"/>
      <c r="N231" s="1051"/>
      <c r="O231" s="1051"/>
      <c r="P231" s="1051"/>
      <c r="Q231" s="1051"/>
      <c r="R231" s="1051"/>
      <c r="S231" s="1051"/>
      <c r="T231" s="1051"/>
      <c r="U231" s="1051"/>
      <c r="V231" s="1051"/>
      <c r="W231" s="1051"/>
      <c r="X231" s="1051"/>
      <c r="Y231" s="1051"/>
      <c r="Z231" s="1051"/>
      <c r="AA231" s="1051"/>
      <c r="AB231" s="1051"/>
      <c r="AC231" s="1051"/>
      <c r="AD231" s="1051"/>
      <c r="AE231" s="1051"/>
      <c r="AF231" s="1051"/>
      <c r="AG231" s="1051"/>
      <c r="AH231" s="1051"/>
      <c r="AI231" s="1051"/>
      <c r="AJ231" s="1051"/>
      <c r="AK231" s="1051"/>
      <c r="AL231" s="1051"/>
      <c r="AM231" s="1051"/>
      <c r="AN231" s="1052"/>
      <c r="AO231" s="1052"/>
      <c r="AP231" s="1052"/>
      <c r="AQ231" s="1052"/>
      <c r="AR231" s="1052"/>
      <c r="AS231" s="1052"/>
      <c r="AT231" s="1052"/>
      <c r="AU231" s="1052"/>
      <c r="AV231" s="1052"/>
      <c r="AW231" s="1052"/>
      <c r="AX231" s="1052"/>
      <c r="AY231" s="1052"/>
      <c r="AZ231" s="1052"/>
      <c r="BA231" s="1052"/>
      <c r="BB231" s="1052"/>
      <c r="BC231" s="1052"/>
      <c r="BD231" s="1052"/>
      <c r="BE231" s="1052"/>
      <c r="BF231" s="1052"/>
      <c r="BG231" s="1052"/>
      <c r="BH231" s="1052"/>
      <c r="BI231" s="1052"/>
      <c r="BJ231" s="1052"/>
      <c r="BK231" s="1052"/>
      <c r="BL231" s="1052"/>
      <c r="BM231" s="1052"/>
      <c r="BN231" s="1052"/>
      <c r="BO231" s="1052"/>
      <c r="BP231" s="1052"/>
      <c r="BQ231" s="1052"/>
      <c r="BR231" s="1052"/>
      <c r="BS231" s="1052"/>
      <c r="BT231" s="1052"/>
      <c r="BU231" s="1052"/>
      <c r="BV231" s="1052"/>
      <c r="BW231" s="1052"/>
      <c r="BX231" s="1052"/>
      <c r="BY231" s="1052"/>
      <c r="BZ231" s="1052"/>
      <c r="CA231" s="1052"/>
      <c r="CB231" s="1052"/>
      <c r="CC231" s="1052"/>
      <c r="CD231" s="1052"/>
      <c r="CE231" s="1052"/>
      <c r="CF231" s="1052"/>
      <c r="CG231" s="1052"/>
      <c r="CH231" s="1052"/>
      <c r="CI231" s="1052"/>
      <c r="CJ231" s="1052"/>
      <c r="CK231" s="1052"/>
      <c r="CL231" s="1052"/>
      <c r="CM231" s="1052"/>
      <c r="CN231" s="1052"/>
      <c r="CO231" s="1052"/>
      <c r="CP231" s="1052"/>
      <c r="CQ231" s="1052"/>
      <c r="CR231" s="1052"/>
      <c r="CS231" s="1052"/>
      <c r="CT231" s="1052"/>
      <c r="CU231" s="1052"/>
      <c r="CV231" s="1052"/>
      <c r="CW231" s="1842"/>
      <c r="CX231" s="1842"/>
      <c r="CY231" s="1052"/>
      <c r="CZ231" s="1052"/>
      <c r="DA231" s="1052"/>
      <c r="DB231" s="1052"/>
      <c r="DC231" s="1052"/>
      <c r="DD231" s="1052"/>
      <c r="DE231" s="1052"/>
      <c r="DF231" s="1052"/>
      <c r="DG231" s="1052"/>
      <c r="DH231" s="1052"/>
      <c r="DI231" s="1052"/>
      <c r="DJ231" s="1052"/>
      <c r="DK231" s="1052"/>
      <c r="DL231" s="1052"/>
      <c r="DM231" s="1052"/>
      <c r="DN231" s="1052"/>
      <c r="DO231" s="1052"/>
      <c r="DP231" s="1052"/>
      <c r="DQ231" s="1052"/>
      <c r="DR231" s="1052"/>
      <c r="DS231" s="1052"/>
    </row>
    <row r="232" spans="1:123" hidden="1" outlineLevel="1">
      <c r="AO232" s="626"/>
      <c r="AS232" s="626"/>
    </row>
    <row r="233" spans="1:123" hidden="1" outlineLevel="1">
      <c r="A233" s="289" t="s">
        <v>257</v>
      </c>
      <c r="AO233" s="626"/>
      <c r="AS233" s="626"/>
    </row>
    <row r="234" spans="1:123" hidden="1" outlineLevel="1">
      <c r="A234" s="102" t="s">
        <v>258</v>
      </c>
      <c r="AO234" s="293">
        <f>AO287</f>
        <v>5754</v>
      </c>
      <c r="AP234" s="293">
        <f>AO234</f>
        <v>5754</v>
      </c>
      <c r="AR234" s="293">
        <f>AR287</f>
        <v>5908</v>
      </c>
      <c r="AS234" s="293">
        <f>AS287</f>
        <v>6547</v>
      </c>
      <c r="AT234" s="293">
        <f>AS234</f>
        <v>6547</v>
      </c>
      <c r="AV234" s="293">
        <f>AV287</f>
        <v>6971</v>
      </c>
      <c r="AW234" s="293">
        <f>AW287</f>
        <v>7930</v>
      </c>
      <c r="AX234" s="293">
        <f>AW234</f>
        <v>7930</v>
      </c>
      <c r="AZ234" s="293">
        <f>AZ287</f>
        <v>8446</v>
      </c>
      <c r="BA234" s="293">
        <f>BA287</f>
        <v>8519</v>
      </c>
      <c r="BB234" s="293">
        <f>BA234</f>
        <v>8519</v>
      </c>
      <c r="BD234" s="293">
        <f>BD287</f>
        <v>9221</v>
      </c>
      <c r="BE234" s="293">
        <f>BE287</f>
        <v>9061</v>
      </c>
      <c r="BF234" s="293">
        <f>BE234</f>
        <v>9061</v>
      </c>
      <c r="BH234" s="293">
        <f>BH287</f>
        <v>8722</v>
      </c>
      <c r="BL234" s="293"/>
      <c r="BM234" s="293"/>
      <c r="BN234" s="293"/>
      <c r="BP234" s="293"/>
      <c r="BQ234" s="293"/>
      <c r="BR234" s="293"/>
      <c r="BT234" s="293"/>
      <c r="BU234" s="293"/>
      <c r="BV234" s="293"/>
      <c r="BX234" s="293"/>
      <c r="BY234" s="293"/>
      <c r="BZ234" s="293"/>
      <c r="CB234" s="293"/>
      <c r="CC234" s="293"/>
      <c r="CD234" s="293"/>
      <c r="CF234" s="293"/>
      <c r="CG234" s="293"/>
      <c r="CH234" s="293"/>
      <c r="CJ234" s="293"/>
      <c r="CK234" s="293"/>
      <c r="CL234" s="293"/>
      <c r="CN234" s="293"/>
      <c r="CO234" s="293"/>
      <c r="CP234" s="293"/>
      <c r="CR234" s="293"/>
      <c r="CS234" s="293"/>
      <c r="CT234" s="293"/>
      <c r="CV234" s="293"/>
      <c r="CW234" s="1495"/>
      <c r="CX234" s="1495"/>
      <c r="CZ234" s="293"/>
      <c r="DA234" s="293"/>
      <c r="DB234" s="293"/>
      <c r="DD234" s="293"/>
      <c r="DE234" s="293"/>
      <c r="DF234" s="293"/>
      <c r="DH234" s="293"/>
      <c r="DI234" s="293"/>
      <c r="DJ234" s="293"/>
      <c r="DL234" s="293"/>
      <c r="DM234" s="293"/>
      <c r="DN234" s="293"/>
      <c r="DP234" s="293"/>
      <c r="DQ234" s="293"/>
      <c r="DR234" s="293"/>
    </row>
    <row r="235" spans="1:123" hidden="1" outlineLevel="1">
      <c r="A235" s="102" t="s">
        <v>259</v>
      </c>
      <c r="AO235" s="293">
        <f>AO357</f>
        <v>0</v>
      </c>
      <c r="AP235" s="293">
        <f t="shared" ref="AP235:AP246" si="314">AO235</f>
        <v>0</v>
      </c>
      <c r="AR235" s="293">
        <f>AR357</f>
        <v>4415</v>
      </c>
      <c r="AS235" s="293">
        <f>AS357</f>
        <v>3827</v>
      </c>
      <c r="AT235" s="293">
        <f t="shared" ref="AT235:AT256" si="315">AS235</f>
        <v>3827</v>
      </c>
      <c r="AV235" s="293">
        <f>AV357</f>
        <v>4512</v>
      </c>
      <c r="AW235" s="293">
        <f>AW357</f>
        <v>3880</v>
      </c>
      <c r="AX235" s="293">
        <f t="shared" ref="AX235:AX256" si="316">AW235</f>
        <v>3880</v>
      </c>
      <c r="AZ235" s="293">
        <f>AZ357</f>
        <v>3148</v>
      </c>
      <c r="BA235" s="293">
        <f>BA357</f>
        <v>3570</v>
      </c>
      <c r="BB235" s="293">
        <f>BA235</f>
        <v>3570</v>
      </c>
      <c r="BD235" s="293">
        <f>BD357</f>
        <v>3145</v>
      </c>
      <c r="BE235" s="293">
        <f>BE357</f>
        <v>3495</v>
      </c>
      <c r="BF235" s="293">
        <f>BE235</f>
        <v>3495</v>
      </c>
      <c r="BH235" s="293">
        <f>BH357</f>
        <v>3650</v>
      </c>
      <c r="BL235" s="293"/>
      <c r="BM235" s="293"/>
      <c r="BN235" s="293"/>
      <c r="BP235" s="293"/>
      <c r="BQ235" s="293"/>
      <c r="BR235" s="293"/>
      <c r="BT235" s="293"/>
      <c r="BU235" s="293"/>
      <c r="BV235" s="293"/>
      <c r="BX235" s="293"/>
      <c r="BY235" s="293"/>
      <c r="BZ235" s="293"/>
      <c r="CB235" s="293"/>
      <c r="CC235" s="293"/>
      <c r="CD235" s="293"/>
      <c r="CF235" s="293"/>
      <c r="CG235" s="293"/>
      <c r="CH235" s="293"/>
      <c r="CJ235" s="293"/>
      <c r="CK235" s="293"/>
      <c r="CL235" s="293"/>
      <c r="CN235" s="293"/>
      <c r="CO235" s="293"/>
      <c r="CP235" s="293"/>
      <c r="CR235" s="293"/>
      <c r="CS235" s="293"/>
      <c r="CT235" s="293"/>
      <c r="CV235" s="293"/>
      <c r="CW235" s="1495"/>
      <c r="CX235" s="1495"/>
      <c r="CZ235" s="293"/>
      <c r="DA235" s="293"/>
      <c r="DB235" s="293"/>
      <c r="DD235" s="293"/>
      <c r="DE235" s="293"/>
      <c r="DF235" s="293"/>
      <c r="DH235" s="293"/>
      <c r="DI235" s="293"/>
      <c r="DJ235" s="293"/>
      <c r="DL235" s="293"/>
      <c r="DM235" s="293"/>
      <c r="DN235" s="293"/>
      <c r="DP235" s="293"/>
      <c r="DQ235" s="293"/>
      <c r="DR235" s="293"/>
    </row>
    <row r="236" spans="1:123" hidden="1" outlineLevel="1">
      <c r="A236" s="102" t="s">
        <v>260</v>
      </c>
      <c r="AO236" s="626">
        <v>0</v>
      </c>
      <c r="AP236" s="293">
        <f>AO236</f>
        <v>0</v>
      </c>
      <c r="AR236" s="626">
        <v>0</v>
      </c>
      <c r="AS236" s="626">
        <v>-127</v>
      </c>
      <c r="AT236" s="293">
        <f>AS236</f>
        <v>-127</v>
      </c>
      <c r="AV236" s="626">
        <v>0</v>
      </c>
      <c r="AW236" s="626">
        <v>0</v>
      </c>
      <c r="AX236" s="293">
        <f>AW236</f>
        <v>0</v>
      </c>
      <c r="AZ236" s="626">
        <v>0</v>
      </c>
      <c r="BA236" s="626">
        <v>0</v>
      </c>
      <c r="BB236" s="293">
        <f>BA236</f>
        <v>0</v>
      </c>
      <c r="BD236" s="626">
        <v>0</v>
      </c>
      <c r="BE236" s="626">
        <v>0</v>
      </c>
      <c r="BF236" s="293">
        <f>BE236</f>
        <v>0</v>
      </c>
      <c r="BH236" s="626">
        <v>0</v>
      </c>
      <c r="BL236" s="293"/>
      <c r="BM236" s="293"/>
      <c r="BN236" s="293"/>
      <c r="BP236" s="293"/>
      <c r="BQ236" s="293"/>
      <c r="BR236" s="293"/>
      <c r="BT236" s="293"/>
      <c r="BU236" s="293"/>
      <c r="BV236" s="293"/>
      <c r="BX236" s="293"/>
      <c r="BY236" s="293"/>
      <c r="BZ236" s="293"/>
      <c r="CB236" s="293"/>
      <c r="CC236" s="293"/>
      <c r="CD236" s="293"/>
      <c r="CF236" s="293"/>
      <c r="CG236" s="293"/>
      <c r="CH236" s="293"/>
      <c r="CJ236" s="293"/>
      <c r="CK236" s="293"/>
      <c r="CL236" s="293"/>
      <c r="CN236" s="293"/>
      <c r="CO236" s="293"/>
      <c r="CP236" s="293"/>
      <c r="CR236" s="293"/>
      <c r="CS236" s="293"/>
      <c r="CT236" s="293"/>
      <c r="CV236" s="293"/>
      <c r="CW236" s="1495"/>
      <c r="CX236" s="1495"/>
      <c r="CZ236" s="293"/>
      <c r="DA236" s="293"/>
      <c r="DB236" s="293"/>
      <c r="DD236" s="293"/>
      <c r="DE236" s="293"/>
      <c r="DF236" s="293"/>
      <c r="DH236" s="293"/>
      <c r="DI236" s="293"/>
      <c r="DJ236" s="293"/>
      <c r="DL236" s="293"/>
      <c r="DM236" s="293"/>
      <c r="DN236" s="293"/>
      <c r="DP236" s="293"/>
      <c r="DQ236" s="293"/>
      <c r="DR236" s="293"/>
    </row>
    <row r="237" spans="1:123" hidden="1" outlineLevel="1">
      <c r="A237" s="289" t="s">
        <v>261</v>
      </c>
      <c r="AO237" s="295">
        <f>SUM(AO234:AO236)</f>
        <v>5754</v>
      </c>
      <c r="AP237" s="295">
        <f>SUM(AP234:AP236)</f>
        <v>5754</v>
      </c>
      <c r="AR237" s="295">
        <f>SUM(AR234:AR236)</f>
        <v>10323</v>
      </c>
      <c r="AS237" s="295">
        <f>SUM(AS234:AS236)</f>
        <v>10247</v>
      </c>
      <c r="AT237" s="295">
        <f>SUM(AT234:AT236)</f>
        <v>10247</v>
      </c>
      <c r="AV237" s="295">
        <f>SUM(AV234:AV236)</f>
        <v>11483</v>
      </c>
      <c r="AW237" s="295">
        <f>SUM(AW234:AW236)</f>
        <v>11810</v>
      </c>
      <c r="AX237" s="295">
        <f>SUM(AX234:AX236)</f>
        <v>11810</v>
      </c>
      <c r="AZ237" s="295">
        <f>SUM(AZ234:AZ236)</f>
        <v>11594</v>
      </c>
      <c r="BA237" s="295">
        <f>SUM(BA234:BA236)</f>
        <v>12089</v>
      </c>
      <c r="BB237" s="295">
        <f>SUM(BB234:BB236)</f>
        <v>12089</v>
      </c>
      <c r="BD237" s="295">
        <f>SUM(BD234:BD236)</f>
        <v>12366</v>
      </c>
      <c r="BE237" s="295">
        <f>SUM(BE234:BE236)</f>
        <v>12556</v>
      </c>
      <c r="BF237" s="295">
        <f>SUM(BF234:BF236)</f>
        <v>12556</v>
      </c>
      <c r="BH237" s="295">
        <f>SUM(BH234:BH236)</f>
        <v>12372</v>
      </c>
      <c r="BL237" s="295"/>
      <c r="BM237" s="295"/>
      <c r="BN237" s="295"/>
      <c r="BP237" s="295"/>
      <c r="BQ237" s="295"/>
      <c r="BR237" s="295"/>
      <c r="BT237" s="295"/>
      <c r="BU237" s="295"/>
      <c r="BV237" s="295"/>
      <c r="BX237" s="295"/>
      <c r="BY237" s="295"/>
      <c r="BZ237" s="295"/>
      <c r="CB237" s="295"/>
      <c r="CC237" s="295"/>
      <c r="CD237" s="295"/>
      <c r="CF237" s="295"/>
      <c r="CG237" s="295"/>
      <c r="CH237" s="295"/>
      <c r="CJ237" s="295"/>
      <c r="CK237" s="295"/>
      <c r="CL237" s="295"/>
      <c r="CN237" s="295"/>
      <c r="CO237" s="295"/>
      <c r="CP237" s="295"/>
      <c r="CR237" s="295"/>
      <c r="CS237" s="295"/>
      <c r="CT237" s="295"/>
      <c r="CV237" s="295"/>
      <c r="CW237" s="1390"/>
      <c r="CX237" s="1390"/>
      <c r="CZ237" s="295"/>
      <c r="DA237" s="295"/>
      <c r="DB237" s="295"/>
      <c r="DD237" s="295"/>
      <c r="DE237" s="295"/>
      <c r="DF237" s="295"/>
      <c r="DH237" s="295"/>
      <c r="DI237" s="295"/>
      <c r="DJ237" s="295"/>
      <c r="DL237" s="295"/>
      <c r="DM237" s="295"/>
      <c r="DN237" s="295"/>
      <c r="DP237" s="295"/>
      <c r="DQ237" s="295"/>
      <c r="DR237" s="295"/>
    </row>
    <row r="238" spans="1:123" hidden="1" outlineLevel="1">
      <c r="AP238" s="293"/>
      <c r="AT238" s="293"/>
      <c r="AX238" s="293"/>
      <c r="BB238" s="293"/>
      <c r="BF238" s="293"/>
      <c r="BN238" s="293"/>
      <c r="BR238" s="293"/>
      <c r="BV238" s="293"/>
      <c r="BZ238" s="293"/>
      <c r="CD238" s="293"/>
      <c r="CH238" s="293"/>
      <c r="CL238" s="293"/>
      <c r="CP238" s="293"/>
      <c r="CT238" s="293"/>
      <c r="CX238" s="1495"/>
      <c r="DB238" s="293"/>
      <c r="DF238" s="293"/>
      <c r="DJ238" s="293"/>
      <c r="DN238" s="293"/>
      <c r="DR238" s="293"/>
    </row>
    <row r="239" spans="1:123" hidden="1" outlineLevel="1">
      <c r="A239" s="289" t="s">
        <v>262</v>
      </c>
      <c r="AP239" s="293"/>
      <c r="AT239" s="293"/>
      <c r="AX239" s="293"/>
      <c r="BB239" s="293"/>
      <c r="BF239" s="293"/>
      <c r="BN239" s="293"/>
      <c r="BR239" s="293"/>
      <c r="BV239" s="293"/>
      <c r="BZ239" s="293"/>
      <c r="CD239" s="293"/>
      <c r="CH239" s="293"/>
      <c r="CL239" s="293"/>
      <c r="CP239" s="293"/>
      <c r="CT239" s="293"/>
      <c r="CX239" s="1495"/>
      <c r="DB239" s="293"/>
      <c r="DF239" s="293"/>
      <c r="DJ239" s="293"/>
      <c r="DN239" s="293"/>
      <c r="DR239" s="293"/>
    </row>
    <row r="240" spans="1:123" hidden="1" outlineLevel="1">
      <c r="A240" s="102" t="s">
        <v>263</v>
      </c>
      <c r="AO240" s="293">
        <f>AO323</f>
        <v>36730.28</v>
      </c>
      <c r="AP240" s="293">
        <f t="shared" si="314"/>
        <v>36730.28</v>
      </c>
      <c r="AR240" s="293">
        <f>AR323</f>
        <v>39167.22</v>
      </c>
      <c r="AS240" s="293">
        <f>AS323</f>
        <v>37505.18</v>
      </c>
      <c r="AT240" s="293">
        <f t="shared" si="315"/>
        <v>37505.18</v>
      </c>
      <c r="AV240" s="293">
        <f>AV323</f>
        <v>43060.38</v>
      </c>
      <c r="AW240" s="293">
        <f>AW323</f>
        <v>47332.66</v>
      </c>
      <c r="AX240" s="293">
        <f t="shared" si="316"/>
        <v>47332.66</v>
      </c>
      <c r="AZ240" s="293">
        <f>AZ323</f>
        <v>53692.54</v>
      </c>
      <c r="BA240" s="293">
        <f>BA323</f>
        <v>55400</v>
      </c>
      <c r="BB240" s="293">
        <f t="shared" ref="BB240:BB256" si="317">BA240</f>
        <v>55400</v>
      </c>
      <c r="BD240" s="293">
        <f>BD323</f>
        <v>57601</v>
      </c>
      <c r="BE240" s="293">
        <f>BE323</f>
        <v>51871</v>
      </c>
      <c r="BF240" s="293">
        <f t="shared" ref="BF240:BF246" si="318">BE240</f>
        <v>51871</v>
      </c>
      <c r="BH240" s="293">
        <f>BH323</f>
        <v>52304</v>
      </c>
      <c r="BL240" s="293"/>
      <c r="BM240" s="293"/>
      <c r="BN240" s="293"/>
      <c r="BP240" s="293"/>
      <c r="BQ240" s="293"/>
      <c r="BR240" s="293"/>
      <c r="BT240" s="293"/>
      <c r="BU240" s="293"/>
      <c r="BV240" s="293"/>
      <c r="BX240" s="293"/>
      <c r="BY240" s="293"/>
      <c r="BZ240" s="293"/>
      <c r="CB240" s="293"/>
      <c r="CC240" s="293"/>
      <c r="CD240" s="293"/>
      <c r="CF240" s="293"/>
      <c r="CG240" s="293"/>
      <c r="CH240" s="293"/>
      <c r="CJ240" s="293"/>
      <c r="CK240" s="293"/>
      <c r="CL240" s="293"/>
      <c r="CN240" s="293"/>
      <c r="CO240" s="293"/>
      <c r="CP240" s="293"/>
      <c r="CR240" s="293"/>
      <c r="CS240" s="293"/>
      <c r="CT240" s="293"/>
      <c r="CV240" s="293"/>
      <c r="CW240" s="1495"/>
      <c r="CX240" s="1495"/>
      <c r="CZ240" s="293"/>
      <c r="DA240" s="293"/>
      <c r="DB240" s="293"/>
      <c r="DD240" s="293"/>
      <c r="DE240" s="293"/>
      <c r="DF240" s="293"/>
      <c r="DH240" s="293"/>
      <c r="DI240" s="293"/>
      <c r="DJ240" s="293"/>
      <c r="DL240" s="293"/>
      <c r="DM240" s="293"/>
      <c r="DN240" s="293"/>
      <c r="DP240" s="293"/>
      <c r="DQ240" s="293"/>
      <c r="DR240" s="293"/>
    </row>
    <row r="241" spans="1:124" hidden="1" outlineLevel="1">
      <c r="A241" s="102" t="s">
        <v>264</v>
      </c>
      <c r="AO241" s="293">
        <f>+AO242-AO240</f>
        <v>-1848</v>
      </c>
      <c r="AP241" s="293">
        <f t="shared" si="314"/>
        <v>-1848</v>
      </c>
      <c r="AR241" s="293">
        <f>+AR242-AR240</f>
        <v>-1293.2200000000012</v>
      </c>
      <c r="AS241" s="293">
        <f>+AS242-AS240</f>
        <v>-740.18000000000029</v>
      </c>
      <c r="AT241" s="293">
        <f t="shared" si="315"/>
        <v>-740.18000000000029</v>
      </c>
      <c r="AV241" s="293">
        <f>+AV242-AV240</f>
        <v>-500.37999999999738</v>
      </c>
      <c r="AW241" s="293">
        <f>+AW242-AW240</f>
        <v>-392.66000000000349</v>
      </c>
      <c r="AX241" s="293">
        <f t="shared" si="316"/>
        <v>-392.66000000000349</v>
      </c>
      <c r="AZ241" s="293">
        <f>+AZ242-AZ240</f>
        <v>-329.54000000000087</v>
      </c>
      <c r="BA241" s="293">
        <f>+BA242-BA240</f>
        <v>-178</v>
      </c>
      <c r="BB241" s="293">
        <f t="shared" si="317"/>
        <v>-178</v>
      </c>
      <c r="BD241" s="293">
        <f>+BD242-BD240</f>
        <v>0</v>
      </c>
      <c r="BE241" s="293">
        <f>+BE242-BE240</f>
        <v>0</v>
      </c>
      <c r="BF241" s="293">
        <f t="shared" si="318"/>
        <v>0</v>
      </c>
      <c r="BH241" s="293">
        <f>+BH242-BH240</f>
        <v>0</v>
      </c>
      <c r="BL241" s="293"/>
      <c r="BM241" s="293"/>
      <c r="BN241" s="293"/>
      <c r="BP241" s="293"/>
      <c r="BQ241" s="293"/>
      <c r="BR241" s="293"/>
      <c r="BT241" s="293"/>
      <c r="BU241" s="293"/>
      <c r="BV241" s="293"/>
      <c r="BX241" s="293"/>
      <c r="BY241" s="293"/>
      <c r="BZ241" s="293"/>
      <c r="CB241" s="293"/>
      <c r="CC241" s="293"/>
      <c r="CD241" s="293"/>
      <c r="CF241" s="293"/>
      <c r="CG241" s="293"/>
      <c r="CH241" s="293"/>
      <c r="CJ241" s="293"/>
      <c r="CK241" s="293"/>
      <c r="CL241" s="293"/>
      <c r="CN241" s="293"/>
      <c r="CO241" s="293"/>
      <c r="CP241" s="293"/>
      <c r="CR241" s="293"/>
      <c r="CS241" s="293"/>
      <c r="CT241" s="293"/>
      <c r="CV241" s="293"/>
      <c r="CW241" s="1495"/>
      <c r="CX241" s="1495"/>
      <c r="CZ241" s="293"/>
      <c r="DA241" s="293"/>
      <c r="DB241" s="293"/>
      <c r="DD241" s="293"/>
      <c r="DE241" s="293"/>
      <c r="DF241" s="293"/>
      <c r="DH241" s="293"/>
      <c r="DI241" s="293"/>
      <c r="DJ241" s="293"/>
      <c r="DL241" s="293"/>
      <c r="DM241" s="293"/>
      <c r="DN241" s="293"/>
      <c r="DP241" s="293"/>
      <c r="DQ241" s="293"/>
      <c r="DR241" s="293"/>
    </row>
    <row r="242" spans="1:124" hidden="1" outlineLevel="1">
      <c r="A242" s="102" t="s">
        <v>265</v>
      </c>
      <c r="AO242" s="293">
        <f>AO325</f>
        <v>34882.28</v>
      </c>
      <c r="AP242" s="293">
        <f t="shared" si="314"/>
        <v>34882.28</v>
      </c>
      <c r="AR242" s="293">
        <f>AR325</f>
        <v>37874</v>
      </c>
      <c r="AS242" s="293">
        <f>AS325</f>
        <v>36765</v>
      </c>
      <c r="AT242" s="293">
        <f t="shared" si="315"/>
        <v>36765</v>
      </c>
      <c r="AV242" s="293">
        <f>AV325</f>
        <v>42560</v>
      </c>
      <c r="AW242" s="293">
        <f>AW325</f>
        <v>46940</v>
      </c>
      <c r="AX242" s="293">
        <f t="shared" si="316"/>
        <v>46940</v>
      </c>
      <c r="AZ242" s="293">
        <f>AZ325</f>
        <v>53363</v>
      </c>
      <c r="BA242" s="293">
        <f>BA325</f>
        <v>55222</v>
      </c>
      <c r="BB242" s="293">
        <f t="shared" si="317"/>
        <v>55222</v>
      </c>
      <c r="BD242" s="293">
        <f>BD325</f>
        <v>57601</v>
      </c>
      <c r="BE242" s="293">
        <f>BE325</f>
        <v>51871</v>
      </c>
      <c r="BF242" s="293">
        <f t="shared" si="318"/>
        <v>51871</v>
      </c>
      <c r="BH242" s="293">
        <f>BH325</f>
        <v>52304</v>
      </c>
      <c r="BL242" s="293"/>
      <c r="BM242" s="293"/>
      <c r="BN242" s="293"/>
      <c r="BP242" s="293"/>
      <c r="BQ242" s="293"/>
      <c r="BR242" s="293"/>
      <c r="BT242" s="293"/>
      <c r="BU242" s="293"/>
      <c r="BV242" s="293"/>
      <c r="BX242" s="293"/>
      <c r="BY242" s="293"/>
      <c r="BZ242" s="293"/>
      <c r="CB242" s="293"/>
      <c r="CC242" s="293"/>
      <c r="CD242" s="293"/>
      <c r="CF242" s="293"/>
      <c r="CG242" s="293"/>
      <c r="CH242" s="293"/>
      <c r="CJ242" s="293"/>
      <c r="CK242" s="293"/>
      <c r="CL242" s="293"/>
      <c r="CN242" s="293"/>
      <c r="CO242" s="293"/>
      <c r="CP242" s="293"/>
      <c r="CR242" s="293"/>
      <c r="CS242" s="293"/>
      <c r="CT242" s="293"/>
      <c r="CV242" s="293"/>
      <c r="CW242" s="1495"/>
      <c r="CX242" s="1495"/>
      <c r="CZ242" s="293"/>
      <c r="DA242" s="293"/>
      <c r="DB242" s="293"/>
      <c r="DD242" s="293"/>
      <c r="DE242" s="293"/>
      <c r="DF242" s="293"/>
      <c r="DH242" s="293"/>
      <c r="DI242" s="293"/>
      <c r="DJ242" s="293"/>
      <c r="DL242" s="293"/>
      <c r="DM242" s="293"/>
      <c r="DN242" s="293"/>
      <c r="DP242" s="293"/>
      <c r="DQ242" s="293"/>
      <c r="DR242" s="293"/>
    </row>
    <row r="243" spans="1:124" hidden="1" outlineLevel="1">
      <c r="A243" s="102" t="s">
        <v>266</v>
      </c>
      <c r="AO243" s="1110">
        <v>7.0000000000000007E-2</v>
      </c>
      <c r="AP243" s="632">
        <f t="shared" si="314"/>
        <v>7.0000000000000007E-2</v>
      </c>
      <c r="AR243" s="1110">
        <v>7.0000000000000007E-2</v>
      </c>
      <c r="AS243" s="1110">
        <v>7.0000000000000007E-2</v>
      </c>
      <c r="AT243" s="632">
        <f t="shared" si="315"/>
        <v>7.0000000000000007E-2</v>
      </c>
      <c r="AV243" s="1110">
        <v>7.0000000000000007E-2</v>
      </c>
      <c r="AW243" s="1110">
        <v>7.0000000000000007E-2</v>
      </c>
      <c r="AX243" s="632">
        <f t="shared" si="316"/>
        <v>7.0000000000000007E-2</v>
      </c>
      <c r="AZ243" s="1110">
        <v>7.0000000000000007E-2</v>
      </c>
      <c r="BA243" s="1110">
        <v>7.0000000000000007E-2</v>
      </c>
      <c r="BB243" s="632">
        <f t="shared" si="317"/>
        <v>7.0000000000000007E-2</v>
      </c>
      <c r="BD243" s="1110">
        <v>7.0000000000000007E-2</v>
      </c>
      <c r="BE243" s="1110">
        <v>7.0000000000000007E-2</v>
      </c>
      <c r="BF243" s="632">
        <f t="shared" si="318"/>
        <v>7.0000000000000007E-2</v>
      </c>
      <c r="BH243" s="1110">
        <v>7.0000000000000007E-2</v>
      </c>
      <c r="BL243" s="1110"/>
      <c r="BM243" s="1110"/>
      <c r="BN243" s="632"/>
      <c r="BP243" s="1110"/>
      <c r="BQ243" s="1110"/>
      <c r="BR243" s="632"/>
      <c r="BT243" s="1110"/>
      <c r="BU243" s="1110"/>
      <c r="BV243" s="632"/>
      <c r="BX243" s="1110"/>
      <c r="BY243" s="1110"/>
      <c r="BZ243" s="632"/>
      <c r="CB243" s="1110"/>
      <c r="CC243" s="1110"/>
      <c r="CD243" s="632"/>
      <c r="CF243" s="1110"/>
      <c r="CG243" s="1110"/>
      <c r="CH243" s="632"/>
      <c r="CJ243" s="1110"/>
      <c r="CK243" s="1110"/>
      <c r="CL243" s="632"/>
      <c r="CN243" s="1110"/>
      <c r="CO243" s="1110"/>
      <c r="CP243" s="632"/>
      <c r="CR243" s="1110"/>
      <c r="CS243" s="1110"/>
      <c r="CT243" s="632"/>
      <c r="CV243" s="1110"/>
      <c r="CW243" s="1843"/>
      <c r="CX243" s="632"/>
      <c r="CZ243" s="1110"/>
      <c r="DA243" s="1110"/>
      <c r="DB243" s="632"/>
      <c r="DD243" s="1110"/>
      <c r="DE243" s="1110"/>
      <c r="DF243" s="632"/>
      <c r="DH243" s="1110"/>
      <c r="DI243" s="1110"/>
      <c r="DJ243" s="632"/>
      <c r="DL243" s="1110"/>
      <c r="DM243" s="1110"/>
      <c r="DN243" s="632"/>
      <c r="DP243" s="1110"/>
      <c r="DQ243" s="1110"/>
      <c r="DR243" s="632"/>
    </row>
    <row r="244" spans="1:124" s="289" customFormat="1" hidden="1" outlineLevel="1">
      <c r="A244" s="289" t="s">
        <v>267</v>
      </c>
      <c r="C244" s="290"/>
      <c r="AN244" s="290"/>
      <c r="AO244" s="295">
        <f>+AO243*AO242</f>
        <v>2441.7596000000003</v>
      </c>
      <c r="AP244" s="295">
        <f t="shared" si="314"/>
        <v>2441.7596000000003</v>
      </c>
      <c r="AQ244" s="290"/>
      <c r="AR244" s="295">
        <f>+AR243*AR242</f>
        <v>2651.1800000000003</v>
      </c>
      <c r="AS244" s="295">
        <f>+AS243*AS242</f>
        <v>2573.5500000000002</v>
      </c>
      <c r="AT244" s="295">
        <f t="shared" si="315"/>
        <v>2573.5500000000002</v>
      </c>
      <c r="AU244" s="290"/>
      <c r="AV244" s="295">
        <f>+AV243*AV242</f>
        <v>2979.2000000000003</v>
      </c>
      <c r="AW244" s="295">
        <f>+AW243*AW242</f>
        <v>3285.8</v>
      </c>
      <c r="AX244" s="295">
        <f t="shared" si="316"/>
        <v>3285.8</v>
      </c>
      <c r="AY244" s="290"/>
      <c r="AZ244" s="295">
        <f>+AZ243*AZ242</f>
        <v>3735.4100000000003</v>
      </c>
      <c r="BA244" s="295">
        <f>+BA243*BA242</f>
        <v>3865.5400000000004</v>
      </c>
      <c r="BB244" s="295">
        <f t="shared" si="317"/>
        <v>3865.5400000000004</v>
      </c>
      <c r="BC244" s="290"/>
      <c r="BD244" s="295">
        <f>+BD243*BD242</f>
        <v>4032.07</v>
      </c>
      <c r="BE244" s="295">
        <f>+BE243*BE242</f>
        <v>3630.9700000000003</v>
      </c>
      <c r="BF244" s="295">
        <f t="shared" si="318"/>
        <v>3630.9700000000003</v>
      </c>
      <c r="BG244" s="290"/>
      <c r="BH244" s="295">
        <f>+BH243*BH242</f>
        <v>3661.28</v>
      </c>
      <c r="BI244" s="103"/>
      <c r="BJ244" s="103"/>
      <c r="BK244" s="290"/>
      <c r="BL244" s="295"/>
      <c r="BM244" s="295"/>
      <c r="BN244" s="295"/>
      <c r="BO244" s="290"/>
      <c r="BP244" s="295"/>
      <c r="BQ244" s="295"/>
      <c r="BR244" s="295"/>
      <c r="BS244" s="290"/>
      <c r="BT244" s="295"/>
      <c r="BU244" s="295"/>
      <c r="BV244" s="295"/>
      <c r="BW244" s="290"/>
      <c r="BX244" s="295"/>
      <c r="BY244" s="295"/>
      <c r="BZ244" s="295"/>
      <c r="CA244" s="290"/>
      <c r="CB244" s="295"/>
      <c r="CC244" s="295"/>
      <c r="CD244" s="295"/>
      <c r="CE244" s="290"/>
      <c r="CF244" s="295"/>
      <c r="CG244" s="295"/>
      <c r="CH244" s="295"/>
      <c r="CI244" s="290"/>
      <c r="CJ244" s="295"/>
      <c r="CK244" s="295"/>
      <c r="CL244" s="295"/>
      <c r="CM244" s="290"/>
      <c r="CN244" s="295"/>
      <c r="CO244" s="295"/>
      <c r="CP244" s="295"/>
      <c r="CQ244" s="290"/>
      <c r="CR244" s="295"/>
      <c r="CS244" s="295"/>
      <c r="CT244" s="295"/>
      <c r="CU244" s="290"/>
      <c r="CV244" s="295"/>
      <c r="CW244" s="1390"/>
      <c r="CX244" s="1390"/>
      <c r="CY244" s="290"/>
      <c r="CZ244" s="295"/>
      <c r="DA244" s="295"/>
      <c r="DB244" s="295"/>
      <c r="DC244" s="290"/>
      <c r="DD244" s="295"/>
      <c r="DE244" s="295"/>
      <c r="DF244" s="295"/>
      <c r="DG244" s="290"/>
      <c r="DH244" s="295"/>
      <c r="DI244" s="295"/>
      <c r="DJ244" s="295"/>
      <c r="DK244" s="290"/>
      <c r="DL244" s="295"/>
      <c r="DM244" s="295"/>
      <c r="DN244" s="295"/>
      <c r="DO244" s="290"/>
      <c r="DP244" s="295"/>
      <c r="DQ244" s="295"/>
      <c r="DR244" s="295"/>
      <c r="DS244" s="290"/>
      <c r="DT244"/>
    </row>
    <row r="245" spans="1:124" hidden="1" outlineLevel="1">
      <c r="A245" s="102" t="s">
        <v>268</v>
      </c>
      <c r="AO245" s="293">
        <f>-AO298+AO236</f>
        <v>1207</v>
      </c>
      <c r="AP245" s="293">
        <f t="shared" si="314"/>
        <v>1207</v>
      </c>
      <c r="AR245" s="293">
        <f>-AR298+AR236</f>
        <v>1612</v>
      </c>
      <c r="AS245" s="293">
        <f>-AS298+AS236</f>
        <v>2136</v>
      </c>
      <c r="AT245" s="293">
        <f t="shared" si="315"/>
        <v>2136</v>
      </c>
      <c r="AV245" s="293">
        <f>-AV298+AV236</f>
        <v>1925</v>
      </c>
      <c r="AW245" s="293">
        <f>-AW298+AW236</f>
        <v>2466</v>
      </c>
      <c r="AX245" s="293">
        <f t="shared" si="316"/>
        <v>2466</v>
      </c>
      <c r="AZ245" s="293">
        <f>-AZ298+AZ236</f>
        <v>2664</v>
      </c>
      <c r="BA245" s="626">
        <f>-BA298+BA236-60</f>
        <v>2527</v>
      </c>
      <c r="BB245" s="293">
        <f t="shared" si="317"/>
        <v>2527</v>
      </c>
      <c r="BD245" s="293">
        <f>-BD298+BD236</f>
        <v>2254</v>
      </c>
      <c r="BE245" s="293">
        <f>-BE298+BE236</f>
        <v>1888</v>
      </c>
      <c r="BF245" s="293">
        <f t="shared" si="318"/>
        <v>1888</v>
      </c>
      <c r="BH245" s="293">
        <f>-BH298+BH236</f>
        <v>1759</v>
      </c>
      <c r="BL245" s="293"/>
      <c r="BM245" s="293"/>
      <c r="BN245" s="293"/>
      <c r="BP245" s="293"/>
      <c r="BQ245" s="293"/>
      <c r="BR245" s="293"/>
      <c r="BT245" s="293"/>
      <c r="BU245" s="293"/>
      <c r="BV245" s="293"/>
      <c r="BX245" s="293"/>
      <c r="BY245" s="293"/>
      <c r="BZ245" s="293"/>
      <c r="CB245" s="293"/>
      <c r="CC245" s="293"/>
      <c r="CD245" s="293"/>
      <c r="CF245" s="293"/>
      <c r="CG245" s="293"/>
      <c r="CH245" s="293"/>
      <c r="CJ245" s="293"/>
      <c r="CK245" s="293"/>
      <c r="CL245" s="293"/>
      <c r="CN245" s="293"/>
      <c r="CO245" s="293"/>
      <c r="CP245" s="293"/>
      <c r="CR245" s="293"/>
      <c r="CS245" s="293"/>
      <c r="CT245" s="293"/>
      <c r="CV245" s="293"/>
      <c r="CW245" s="1495"/>
      <c r="CX245" s="1495"/>
      <c r="CZ245" s="293"/>
      <c r="DA245" s="293"/>
      <c r="DB245" s="293"/>
      <c r="DD245" s="293"/>
      <c r="DE245" s="293"/>
      <c r="DF245" s="293"/>
      <c r="DH245" s="293"/>
      <c r="DI245" s="293"/>
      <c r="DJ245" s="293"/>
      <c r="DL245" s="293"/>
      <c r="DM245" s="293"/>
      <c r="DN245" s="293"/>
      <c r="DP245" s="293"/>
      <c r="DQ245" s="293"/>
      <c r="DR245" s="293"/>
    </row>
    <row r="246" spans="1:124" hidden="1" outlineLevel="1">
      <c r="A246" s="289" t="s">
        <v>274</v>
      </c>
      <c r="AO246" s="295">
        <f>SUM(AO244:AO245)</f>
        <v>3648.7596000000003</v>
      </c>
      <c r="AP246" s="295">
        <f t="shared" si="314"/>
        <v>3648.7596000000003</v>
      </c>
      <c r="AR246" s="295">
        <f>SUM(AR244:AR245)</f>
        <v>4263.18</v>
      </c>
      <c r="AS246" s="295">
        <f>SUM(AS244:AS245)</f>
        <v>4709.55</v>
      </c>
      <c r="AT246" s="295">
        <f t="shared" si="315"/>
        <v>4709.55</v>
      </c>
      <c r="AV246" s="295">
        <f>SUM(AV244:AV245)</f>
        <v>4904.2000000000007</v>
      </c>
      <c r="AW246" s="295">
        <f>SUM(AW244:AW245)</f>
        <v>5751.8</v>
      </c>
      <c r="AX246" s="295">
        <f t="shared" si="316"/>
        <v>5751.8</v>
      </c>
      <c r="AZ246" s="295">
        <f>SUM(AZ244:AZ245)</f>
        <v>6399.41</v>
      </c>
      <c r="BA246" s="295">
        <f>SUM(BA244:BA245)</f>
        <v>6392.5400000000009</v>
      </c>
      <c r="BB246" s="295">
        <f t="shared" si="317"/>
        <v>6392.5400000000009</v>
      </c>
      <c r="BD246" s="295">
        <f>SUM(BD244:BD245)</f>
        <v>6286.07</v>
      </c>
      <c r="BE246" s="295">
        <f>SUM(BE244:BE245)</f>
        <v>5518.97</v>
      </c>
      <c r="BF246" s="295">
        <f t="shared" si="318"/>
        <v>5518.97</v>
      </c>
      <c r="BH246" s="295">
        <f>SUM(BH244:BH245)</f>
        <v>5420.2800000000007</v>
      </c>
      <c r="BL246" s="295"/>
      <c r="BM246" s="295"/>
      <c r="BN246" s="295"/>
      <c r="BP246" s="295"/>
      <c r="BQ246" s="295"/>
      <c r="BR246" s="295"/>
      <c r="BT246" s="295"/>
      <c r="BU246" s="295"/>
      <c r="BV246" s="295"/>
      <c r="BX246" s="295"/>
      <c r="BY246" s="295"/>
      <c r="BZ246" s="295"/>
      <c r="CB246" s="295"/>
      <c r="CC246" s="295"/>
      <c r="CD246" s="295"/>
      <c r="CF246" s="295"/>
      <c r="CG246" s="295"/>
      <c r="CH246" s="295"/>
      <c r="CJ246" s="295"/>
      <c r="CK246" s="295"/>
      <c r="CL246" s="295"/>
      <c r="CN246" s="295"/>
      <c r="CO246" s="295"/>
      <c r="CP246" s="295"/>
      <c r="CR246" s="295"/>
      <c r="CS246" s="295"/>
      <c r="CT246" s="295"/>
      <c r="CV246" s="295"/>
      <c r="CW246" s="1390"/>
      <c r="CX246" s="1390"/>
      <c r="CZ246" s="295"/>
      <c r="DA246" s="295"/>
      <c r="DB246" s="295"/>
      <c r="DD246" s="295"/>
      <c r="DE246" s="295"/>
      <c r="DF246" s="295"/>
      <c r="DH246" s="295"/>
      <c r="DI246" s="295"/>
      <c r="DJ246" s="295"/>
      <c r="DL246" s="295"/>
      <c r="DM246" s="295"/>
      <c r="DN246" s="295"/>
      <c r="DP246" s="295"/>
      <c r="DQ246" s="295"/>
      <c r="DR246" s="295"/>
    </row>
    <row r="247" spans="1:124" hidden="1" outlineLevel="1">
      <c r="AO247" s="626"/>
      <c r="AP247" s="293"/>
      <c r="AS247" s="626"/>
      <c r="AT247" s="293"/>
      <c r="AW247" s="626"/>
      <c r="AX247" s="293"/>
      <c r="BA247" s="626"/>
      <c r="BB247" s="293"/>
      <c r="BF247" s="293"/>
      <c r="BN247" s="293"/>
      <c r="BR247" s="293"/>
      <c r="BV247" s="293"/>
      <c r="BZ247" s="293"/>
      <c r="CD247" s="293"/>
      <c r="CH247" s="293"/>
      <c r="CL247" s="293"/>
      <c r="CP247" s="293"/>
      <c r="CT247" s="293"/>
      <c r="CX247" s="1495"/>
      <c r="DB247" s="293"/>
      <c r="DF247" s="293"/>
      <c r="DJ247" s="293"/>
      <c r="DN247" s="293"/>
      <c r="DR247" s="293"/>
    </row>
    <row r="248" spans="1:124" hidden="1" outlineLevel="1">
      <c r="A248" s="289" t="s">
        <v>275</v>
      </c>
      <c r="AO248" s="626"/>
      <c r="AP248" s="293"/>
      <c r="AS248" s="626"/>
      <c r="AT248" s="293"/>
      <c r="AW248" s="626"/>
      <c r="AX248" s="293"/>
      <c r="BA248" s="626"/>
      <c r="BB248" s="293"/>
      <c r="BF248" s="293"/>
      <c r="BN248" s="293"/>
      <c r="BR248" s="293"/>
      <c r="BV248" s="293"/>
      <c r="BZ248" s="293"/>
      <c r="CD248" s="293"/>
      <c r="CH248" s="293"/>
      <c r="CL248" s="293"/>
      <c r="CP248" s="293"/>
      <c r="CT248" s="293"/>
      <c r="CX248" s="1495"/>
      <c r="DB248" s="293"/>
      <c r="DF248" s="293"/>
      <c r="DJ248" s="293"/>
      <c r="DN248" s="293"/>
      <c r="DR248" s="293"/>
    </row>
    <row r="249" spans="1:124" hidden="1" outlineLevel="1">
      <c r="A249" s="102" t="s">
        <v>263</v>
      </c>
      <c r="AO249" s="293"/>
      <c r="AP249" s="293"/>
      <c r="AR249" s="293">
        <f>AR400</f>
        <v>35012.5</v>
      </c>
      <c r="AS249" s="293">
        <f>AS400</f>
        <v>30012.5</v>
      </c>
      <c r="AT249" s="293">
        <f t="shared" si="315"/>
        <v>30012.5</v>
      </c>
      <c r="AV249" s="293">
        <f>AV400</f>
        <v>26075</v>
      </c>
      <c r="AW249" s="293">
        <f>AW400</f>
        <v>26175</v>
      </c>
      <c r="AX249" s="293">
        <f t="shared" si="316"/>
        <v>26175</v>
      </c>
      <c r="AZ249" s="293">
        <f>AZ400</f>
        <v>29100</v>
      </c>
      <c r="BA249" s="293">
        <f>BA400</f>
        <v>34312.5</v>
      </c>
      <c r="BB249" s="293">
        <f t="shared" si="317"/>
        <v>34312.5</v>
      </c>
      <c r="BD249" s="293">
        <f>BD400</f>
        <v>32600</v>
      </c>
      <c r="BE249" s="293">
        <f>BE400</f>
        <v>34550</v>
      </c>
      <c r="BF249" s="293">
        <f t="shared" ref="BF249:BF256" si="319">BE249</f>
        <v>34550</v>
      </c>
      <c r="BH249" s="293">
        <f>BH400</f>
        <v>33262.5</v>
      </c>
      <c r="BL249" s="293"/>
      <c r="BM249" s="293"/>
      <c r="BN249" s="293"/>
      <c r="BP249" s="293"/>
      <c r="BQ249" s="293"/>
      <c r="BR249" s="293"/>
      <c r="BT249" s="293"/>
      <c r="BU249" s="293"/>
      <c r="BV249" s="293"/>
      <c r="BX249" s="293"/>
      <c r="BY249" s="293"/>
      <c r="BZ249" s="293"/>
      <c r="CB249" s="293"/>
      <c r="CC249" s="293"/>
      <c r="CD249" s="293"/>
      <c r="CF249" s="293"/>
      <c r="CG249" s="293"/>
      <c r="CH249" s="293"/>
      <c r="CJ249" s="293"/>
      <c r="CK249" s="293"/>
      <c r="CL249" s="293"/>
      <c r="CN249" s="293"/>
      <c r="CO249" s="293"/>
      <c r="CP249" s="293"/>
      <c r="CR249" s="293"/>
      <c r="CS249" s="293"/>
      <c r="CT249" s="293"/>
      <c r="CV249" s="293"/>
      <c r="CW249" s="1495"/>
      <c r="CX249" s="1495"/>
      <c r="CZ249" s="293"/>
      <c r="DA249" s="293"/>
      <c r="DB249" s="293"/>
      <c r="DD249" s="293"/>
      <c r="DE249" s="293"/>
      <c r="DF249" s="293"/>
      <c r="DH249" s="293"/>
      <c r="DI249" s="293"/>
      <c r="DJ249" s="293"/>
      <c r="DL249" s="293"/>
      <c r="DM249" s="293"/>
      <c r="DN249" s="293"/>
      <c r="DP249" s="293"/>
      <c r="DQ249" s="293"/>
      <c r="DR249" s="293"/>
    </row>
    <row r="250" spans="1:124" hidden="1" outlineLevel="1">
      <c r="A250" s="102" t="s">
        <v>266</v>
      </c>
      <c r="AO250" s="685"/>
      <c r="AP250" s="325"/>
      <c r="AR250" s="685">
        <f>+AR251/AR249</f>
        <v>0.08</v>
      </c>
      <c r="AS250" s="685">
        <f>+AS251/AS249</f>
        <v>0.08</v>
      </c>
      <c r="AT250" s="325">
        <f t="shared" si="315"/>
        <v>0.08</v>
      </c>
      <c r="AV250" s="685">
        <f>+AV251/AV249</f>
        <v>0.08</v>
      </c>
      <c r="AW250" s="685">
        <f>+AW251/AW249</f>
        <v>0.08</v>
      </c>
      <c r="AX250" s="829">
        <f t="shared" si="316"/>
        <v>0.08</v>
      </c>
      <c r="AZ250" s="685">
        <f>+AZ251/AZ249</f>
        <v>0.08</v>
      </c>
      <c r="BA250" s="685">
        <f>+BA251/BA249</f>
        <v>0.08</v>
      </c>
      <c r="BB250" s="829">
        <f t="shared" si="317"/>
        <v>0.08</v>
      </c>
      <c r="BD250" s="685">
        <f>+BD251/BD249</f>
        <v>0.08</v>
      </c>
      <c r="BE250" s="685">
        <f>+BE251/BE249</f>
        <v>0.08</v>
      </c>
      <c r="BF250" s="829">
        <f t="shared" si="319"/>
        <v>0.08</v>
      </c>
      <c r="BH250" s="685">
        <f>+BH251/BH249</f>
        <v>0.08</v>
      </c>
      <c r="BL250" s="685"/>
      <c r="BM250" s="685"/>
      <c r="BN250" s="829"/>
      <c r="BP250" s="685"/>
      <c r="BQ250" s="685"/>
      <c r="BR250" s="829"/>
      <c r="BT250" s="685"/>
      <c r="BU250" s="685"/>
      <c r="BV250" s="829"/>
      <c r="BX250" s="685"/>
      <c r="BY250" s="685"/>
      <c r="BZ250" s="829"/>
      <c r="CB250" s="685"/>
      <c r="CC250" s="685"/>
      <c r="CD250" s="829"/>
      <c r="CF250" s="685"/>
      <c r="CG250" s="685"/>
      <c r="CH250" s="829"/>
      <c r="CJ250" s="685"/>
      <c r="CK250" s="685"/>
      <c r="CL250" s="829"/>
      <c r="CN250" s="685"/>
      <c r="CO250" s="685"/>
      <c r="CP250" s="829"/>
      <c r="CR250" s="685"/>
      <c r="CS250" s="685"/>
      <c r="CT250" s="829"/>
      <c r="CV250" s="685"/>
      <c r="CW250" s="1844"/>
      <c r="CX250" s="829"/>
      <c r="CZ250" s="685"/>
      <c r="DA250" s="685"/>
      <c r="DB250" s="829"/>
      <c r="DD250" s="685"/>
      <c r="DE250" s="685"/>
      <c r="DF250" s="829"/>
      <c r="DH250" s="685"/>
      <c r="DI250" s="685"/>
      <c r="DJ250" s="829"/>
      <c r="DL250" s="685"/>
      <c r="DM250" s="685"/>
      <c r="DN250" s="829"/>
      <c r="DP250" s="685"/>
      <c r="DQ250" s="685"/>
      <c r="DR250" s="829"/>
    </row>
    <row r="251" spans="1:124" s="289" customFormat="1" hidden="1" outlineLevel="1">
      <c r="A251" s="289" t="s">
        <v>274</v>
      </c>
      <c r="C251" s="290"/>
      <c r="AN251" s="290"/>
      <c r="AO251" s="295"/>
      <c r="AP251" s="295"/>
      <c r="AQ251" s="290"/>
      <c r="AR251" s="295">
        <f>AR417</f>
        <v>2801</v>
      </c>
      <c r="AS251" s="295">
        <f>AS417</f>
        <v>2401</v>
      </c>
      <c r="AT251" s="295">
        <f t="shared" si="315"/>
        <v>2401</v>
      </c>
      <c r="AU251" s="290"/>
      <c r="AV251" s="295">
        <f>AV417</f>
        <v>2086</v>
      </c>
      <c r="AW251" s="295">
        <f>AW417</f>
        <v>2094</v>
      </c>
      <c r="AX251" s="295">
        <f t="shared" si="316"/>
        <v>2094</v>
      </c>
      <c r="AY251" s="290"/>
      <c r="AZ251" s="295">
        <f>AZ417</f>
        <v>2328</v>
      </c>
      <c r="BA251" s="295">
        <f>BA417</f>
        <v>2745</v>
      </c>
      <c r="BB251" s="295">
        <f t="shared" si="317"/>
        <v>2745</v>
      </c>
      <c r="BC251" s="290"/>
      <c r="BD251" s="295">
        <f>BD417</f>
        <v>2608</v>
      </c>
      <c r="BE251" s="295">
        <f>BE417</f>
        <v>2764</v>
      </c>
      <c r="BF251" s="295">
        <f t="shared" si="319"/>
        <v>2764</v>
      </c>
      <c r="BG251" s="290"/>
      <c r="BH251" s="295">
        <f>BH417</f>
        <v>2661</v>
      </c>
      <c r="BI251" s="103"/>
      <c r="BJ251" s="103"/>
      <c r="BK251" s="290"/>
      <c r="BL251" s="295"/>
      <c r="BM251" s="295"/>
      <c r="BN251" s="295"/>
      <c r="BO251" s="290"/>
      <c r="BP251" s="295"/>
      <c r="BQ251" s="295"/>
      <c r="BR251" s="295"/>
      <c r="BS251" s="290"/>
      <c r="BT251" s="295"/>
      <c r="BU251" s="295"/>
      <c r="BV251" s="295"/>
      <c r="BW251" s="290"/>
      <c r="BX251" s="295"/>
      <c r="BY251" s="295"/>
      <c r="BZ251" s="295"/>
      <c r="CA251" s="290"/>
      <c r="CB251" s="295"/>
      <c r="CC251" s="295"/>
      <c r="CD251" s="295"/>
      <c r="CE251" s="290"/>
      <c r="CF251" s="295"/>
      <c r="CG251" s="295"/>
      <c r="CH251" s="295"/>
      <c r="CI251" s="290"/>
      <c r="CJ251" s="295"/>
      <c r="CK251" s="295"/>
      <c r="CL251" s="295"/>
      <c r="CM251" s="290"/>
      <c r="CN251" s="295"/>
      <c r="CO251" s="295"/>
      <c r="CP251" s="295"/>
      <c r="CQ251" s="290"/>
      <c r="CR251" s="295"/>
      <c r="CS251" s="295"/>
      <c r="CT251" s="295"/>
      <c r="CU251" s="290"/>
      <c r="CV251" s="295"/>
      <c r="CW251" s="1390"/>
      <c r="CX251" s="1390"/>
      <c r="CY251" s="290"/>
      <c r="CZ251" s="295"/>
      <c r="DA251" s="295"/>
      <c r="DB251" s="295"/>
      <c r="DC251" s="290"/>
      <c r="DD251" s="295"/>
      <c r="DE251" s="295"/>
      <c r="DF251" s="295"/>
      <c r="DG251" s="290"/>
      <c r="DH251" s="295"/>
      <c r="DI251" s="295"/>
      <c r="DJ251" s="295"/>
      <c r="DK251" s="290"/>
      <c r="DL251" s="295"/>
      <c r="DM251" s="295"/>
      <c r="DN251" s="295"/>
      <c r="DO251" s="290"/>
      <c r="DP251" s="295"/>
      <c r="DQ251" s="295"/>
      <c r="DR251" s="295"/>
      <c r="DS251" s="290"/>
      <c r="DT251"/>
    </row>
    <row r="252" spans="1:124" s="289" customFormat="1" hidden="1" outlineLevel="1">
      <c r="C252" s="290"/>
      <c r="AN252" s="290"/>
      <c r="AO252" s="295"/>
      <c r="AP252" s="293"/>
      <c r="AQ252" s="290"/>
      <c r="AR252" s="295"/>
      <c r="AS252" s="295"/>
      <c r="AT252" s="293"/>
      <c r="AU252" s="290"/>
      <c r="AV252" s="295"/>
      <c r="AW252" s="295"/>
      <c r="AX252" s="293"/>
      <c r="AY252" s="290"/>
      <c r="AZ252" s="295"/>
      <c r="BA252" s="295"/>
      <c r="BB252" s="293"/>
      <c r="BC252" s="290"/>
      <c r="BD252" s="295"/>
      <c r="BE252" s="295"/>
      <c r="BF252" s="293"/>
      <c r="BG252" s="290"/>
      <c r="BH252" s="295"/>
      <c r="BI252" s="103"/>
      <c r="BJ252" s="103"/>
      <c r="BK252" s="290"/>
      <c r="BL252" s="295"/>
      <c r="BM252" s="295"/>
      <c r="BN252" s="293"/>
      <c r="BO252" s="290"/>
      <c r="BP252" s="295"/>
      <c r="BQ252" s="295"/>
      <c r="BR252" s="293"/>
      <c r="BS252" s="290"/>
      <c r="BT252" s="295"/>
      <c r="BU252" s="295"/>
      <c r="BV252" s="293"/>
      <c r="BW252" s="290"/>
      <c r="BX252" s="295"/>
      <c r="BY252" s="295"/>
      <c r="BZ252" s="293"/>
      <c r="CA252" s="290"/>
      <c r="CB252" s="295"/>
      <c r="CC252" s="295"/>
      <c r="CD252" s="293"/>
      <c r="CE252" s="290"/>
      <c r="CF252" s="295"/>
      <c r="CG252" s="295"/>
      <c r="CH252" s="293"/>
      <c r="CI252" s="290"/>
      <c r="CJ252" s="295"/>
      <c r="CK252" s="295"/>
      <c r="CL252" s="293"/>
      <c r="CM252" s="290"/>
      <c r="CN252" s="295"/>
      <c r="CO252" s="295"/>
      <c r="CP252" s="293"/>
      <c r="CQ252" s="290"/>
      <c r="CR252" s="295"/>
      <c r="CS252" s="295"/>
      <c r="CT252" s="293"/>
      <c r="CU252" s="290"/>
      <c r="CV252" s="295"/>
      <c r="CW252" s="1390"/>
      <c r="CX252" s="1495"/>
      <c r="CY252" s="290"/>
      <c r="CZ252" s="295"/>
      <c r="DA252" s="295"/>
      <c r="DB252" s="293"/>
      <c r="DC252" s="290"/>
      <c r="DD252" s="295"/>
      <c r="DE252" s="295"/>
      <c r="DF252" s="293"/>
      <c r="DG252" s="290"/>
      <c r="DH252" s="295"/>
      <c r="DI252" s="295"/>
      <c r="DJ252" s="293"/>
      <c r="DK252" s="290"/>
      <c r="DL252" s="295"/>
      <c r="DM252" s="295"/>
      <c r="DN252" s="293"/>
      <c r="DO252" s="290"/>
      <c r="DP252" s="295"/>
      <c r="DQ252" s="295"/>
      <c r="DR252" s="293"/>
      <c r="DS252" s="290"/>
      <c r="DT252"/>
    </row>
    <row r="253" spans="1:124" s="289" customFormat="1" hidden="1" outlineLevel="1">
      <c r="A253" s="289" t="s">
        <v>276</v>
      </c>
      <c r="C253" s="290"/>
      <c r="AN253" s="290"/>
      <c r="AO253" s="295"/>
      <c r="AP253" s="293"/>
      <c r="AQ253" s="290"/>
      <c r="AR253" s="295"/>
      <c r="AS253" s="295"/>
      <c r="AT253" s="293"/>
      <c r="AU253" s="290"/>
      <c r="AV253" s="295"/>
      <c r="AW253" s="295"/>
      <c r="AX253" s="293"/>
      <c r="AY253" s="290"/>
      <c r="AZ253" s="295"/>
      <c r="BA253" s="295"/>
      <c r="BB253" s="293"/>
      <c r="BC253" s="290"/>
      <c r="BD253" s="295"/>
      <c r="BE253" s="295"/>
      <c r="BF253" s="293"/>
      <c r="BG253" s="290"/>
      <c r="BH253" s="295"/>
      <c r="BI253" s="103"/>
      <c r="BJ253" s="103"/>
      <c r="BK253" s="290"/>
      <c r="BL253" s="295"/>
      <c r="BM253" s="295"/>
      <c r="BN253" s="293"/>
      <c r="BO253" s="290"/>
      <c r="BP253" s="295"/>
      <c r="BQ253" s="295"/>
      <c r="BR253" s="293"/>
      <c r="BS253" s="290"/>
      <c r="BT253" s="295"/>
      <c r="BU253" s="295"/>
      <c r="BV253" s="293"/>
      <c r="BW253" s="290"/>
      <c r="BX253" s="295"/>
      <c r="BY253" s="295"/>
      <c r="BZ253" s="293"/>
      <c r="CA253" s="290"/>
      <c r="CB253" s="295"/>
      <c r="CC253" s="295"/>
      <c r="CD253" s="293"/>
      <c r="CE253" s="290"/>
      <c r="CF253" s="295"/>
      <c r="CG253" s="295"/>
      <c r="CH253" s="293"/>
      <c r="CI253" s="290"/>
      <c r="CJ253" s="295"/>
      <c r="CK253" s="295"/>
      <c r="CL253" s="293"/>
      <c r="CM253" s="290"/>
      <c r="CN253" s="295"/>
      <c r="CO253" s="295"/>
      <c r="CP253" s="293"/>
      <c r="CQ253" s="290"/>
      <c r="CR253" s="295"/>
      <c r="CS253" s="295"/>
      <c r="CT253" s="293"/>
      <c r="CU253" s="290"/>
      <c r="CV253" s="295"/>
      <c r="CW253" s="1390"/>
      <c r="CX253" s="1495"/>
      <c r="CY253" s="290"/>
      <c r="CZ253" s="295"/>
      <c r="DA253" s="295"/>
      <c r="DB253" s="293"/>
      <c r="DC253" s="290"/>
      <c r="DD253" s="295"/>
      <c r="DE253" s="295"/>
      <c r="DF253" s="293"/>
      <c r="DG253" s="290"/>
      <c r="DH253" s="295"/>
      <c r="DI253" s="295"/>
      <c r="DJ253" s="293"/>
      <c r="DK253" s="290"/>
      <c r="DL253" s="295"/>
      <c r="DM253" s="295"/>
      <c r="DN253" s="293"/>
      <c r="DO253" s="290"/>
      <c r="DP253" s="295"/>
      <c r="DQ253" s="295"/>
      <c r="DR253" s="293"/>
      <c r="DS253" s="290"/>
      <c r="DT253"/>
    </row>
    <row r="254" spans="1:124" s="289" customFormat="1" hidden="1" outlineLevel="1">
      <c r="A254" s="102" t="s">
        <v>262</v>
      </c>
      <c r="C254" s="290"/>
      <c r="AN254" s="290"/>
      <c r="AO254" s="293"/>
      <c r="AP254" s="293"/>
      <c r="AQ254" s="290"/>
      <c r="AR254" s="293">
        <f>AR234+AR236-AR246</f>
        <v>1644.8199999999997</v>
      </c>
      <c r="AS254" s="293">
        <f>AS234+AS236-AS246</f>
        <v>1710.4499999999998</v>
      </c>
      <c r="AT254" s="293">
        <f t="shared" si="315"/>
        <v>1710.4499999999998</v>
      </c>
      <c r="AU254" s="290"/>
      <c r="AV254" s="293">
        <f>AV234+AV236-AV246</f>
        <v>2066.7999999999993</v>
      </c>
      <c r="AW254" s="293">
        <f>AW234+AW236-AW246</f>
        <v>2178.1999999999998</v>
      </c>
      <c r="AX254" s="293">
        <f t="shared" si="316"/>
        <v>2178.1999999999998</v>
      </c>
      <c r="AY254" s="290"/>
      <c r="AZ254" s="293">
        <f>AZ234+AZ236-AZ246</f>
        <v>2046.5900000000001</v>
      </c>
      <c r="BA254" s="293">
        <f>BA234+BA236-BA246</f>
        <v>2126.4599999999991</v>
      </c>
      <c r="BB254" s="293">
        <f t="shared" si="317"/>
        <v>2126.4599999999991</v>
      </c>
      <c r="BC254" s="290"/>
      <c r="BD254" s="293">
        <f>BD234+BD236-BD246</f>
        <v>2934.9300000000003</v>
      </c>
      <c r="BE254" s="293">
        <f>BE234+BE236-BE246</f>
        <v>3542.0299999999997</v>
      </c>
      <c r="BF254" s="293">
        <f t="shared" si="319"/>
        <v>3542.0299999999997</v>
      </c>
      <c r="BG254" s="290"/>
      <c r="BH254" s="293">
        <f>BH234+BH236-BH246</f>
        <v>3301.7199999999993</v>
      </c>
      <c r="BI254" s="103"/>
      <c r="BJ254" s="103"/>
      <c r="BK254" s="290"/>
      <c r="BL254" s="293"/>
      <c r="BM254" s="293"/>
      <c r="BN254" s="293"/>
      <c r="BO254" s="290"/>
      <c r="BP254" s="293"/>
      <c r="BQ254" s="293"/>
      <c r="BR254" s="293"/>
      <c r="BS254" s="290"/>
      <c r="BT254" s="293"/>
      <c r="BU254" s="293"/>
      <c r="BV254" s="293"/>
      <c r="BW254" s="290"/>
      <c r="BX254" s="293"/>
      <c r="BY254" s="293"/>
      <c r="BZ254" s="293"/>
      <c r="CA254" s="290"/>
      <c r="CB254" s="293"/>
      <c r="CC254" s="293"/>
      <c r="CD254" s="293"/>
      <c r="CE254" s="290"/>
      <c r="CF254" s="293"/>
      <c r="CG254" s="293"/>
      <c r="CH254" s="293"/>
      <c r="CI254" s="290"/>
      <c r="CJ254" s="293"/>
      <c r="CK254" s="293"/>
      <c r="CL254" s="293"/>
      <c r="CM254" s="290"/>
      <c r="CN254" s="293"/>
      <c r="CO254" s="293"/>
      <c r="CP254" s="293"/>
      <c r="CQ254" s="290"/>
      <c r="CR254" s="293"/>
      <c r="CS254" s="293"/>
      <c r="CT254" s="293"/>
      <c r="CU254" s="290"/>
      <c r="CV254" s="293"/>
      <c r="CW254" s="1495"/>
      <c r="CX254" s="1495"/>
      <c r="CY254" s="290"/>
      <c r="CZ254" s="293"/>
      <c r="DA254" s="293"/>
      <c r="DB254" s="293"/>
      <c r="DC254" s="290"/>
      <c r="DD254" s="293"/>
      <c r="DE254" s="293"/>
      <c r="DF254" s="293"/>
      <c r="DG254" s="290"/>
      <c r="DH254" s="293"/>
      <c r="DI254" s="293"/>
      <c r="DJ254" s="293"/>
      <c r="DK254" s="290"/>
      <c r="DL254" s="293"/>
      <c r="DM254" s="293"/>
      <c r="DN254" s="293"/>
      <c r="DO254" s="290"/>
      <c r="DP254" s="293"/>
      <c r="DQ254" s="293"/>
      <c r="DR254" s="293"/>
      <c r="DS254" s="290"/>
      <c r="DT254"/>
    </row>
    <row r="255" spans="1:124" s="289" customFormat="1" hidden="1" outlineLevel="1">
      <c r="A255" s="102" t="s">
        <v>275</v>
      </c>
      <c r="C255" s="290"/>
      <c r="AN255" s="290"/>
      <c r="AO255" s="293"/>
      <c r="AP255" s="293"/>
      <c r="AQ255" s="290"/>
      <c r="AR255" s="293">
        <f>AR235-AR251</f>
        <v>1614</v>
      </c>
      <c r="AS255" s="293">
        <f>AS235-AS251</f>
        <v>1426</v>
      </c>
      <c r="AT255" s="293">
        <f t="shared" si="315"/>
        <v>1426</v>
      </c>
      <c r="AU255" s="290"/>
      <c r="AV255" s="293">
        <f>AV235-AV251</f>
        <v>2426</v>
      </c>
      <c r="AW255" s="293">
        <f>AW235-AW251</f>
        <v>1786</v>
      </c>
      <c r="AX255" s="293">
        <f t="shared" si="316"/>
        <v>1786</v>
      </c>
      <c r="AY255" s="290"/>
      <c r="AZ255" s="293">
        <f>AZ235-AZ251</f>
        <v>820</v>
      </c>
      <c r="BA255" s="293">
        <f>BA235-BA251</f>
        <v>825</v>
      </c>
      <c r="BB255" s="293">
        <f t="shared" si="317"/>
        <v>825</v>
      </c>
      <c r="BC255" s="290"/>
      <c r="BD255" s="293">
        <f>BD235-BD251</f>
        <v>537</v>
      </c>
      <c r="BE255" s="293">
        <f>BE235-BE251</f>
        <v>731</v>
      </c>
      <c r="BF255" s="293">
        <f t="shared" si="319"/>
        <v>731</v>
      </c>
      <c r="BG255" s="290"/>
      <c r="BH255" s="293">
        <f>BH235-BH251</f>
        <v>989</v>
      </c>
      <c r="BI255" s="103"/>
      <c r="BJ255" s="103"/>
      <c r="BK255" s="290"/>
      <c r="BL255" s="293"/>
      <c r="BM255" s="293"/>
      <c r="BN255" s="293"/>
      <c r="BO255" s="290"/>
      <c r="BP255" s="293"/>
      <c r="BQ255" s="293"/>
      <c r="BR255" s="293"/>
      <c r="BS255" s="290"/>
      <c r="BT255" s="293"/>
      <c r="BU255" s="293"/>
      <c r="BV255" s="293"/>
      <c r="BW255" s="290"/>
      <c r="BX255" s="293"/>
      <c r="BY255" s="293"/>
      <c r="BZ255" s="293"/>
      <c r="CA255" s="290"/>
      <c r="CB255" s="293"/>
      <c r="CC255" s="293"/>
      <c r="CD255" s="293"/>
      <c r="CE255" s="290"/>
      <c r="CF255" s="293"/>
      <c r="CG255" s="293"/>
      <c r="CH255" s="293"/>
      <c r="CI255" s="290"/>
      <c r="CJ255" s="293"/>
      <c r="CK255" s="293"/>
      <c r="CL255" s="293"/>
      <c r="CM255" s="290"/>
      <c r="CN255" s="293"/>
      <c r="CO255" s="293"/>
      <c r="CP255" s="293"/>
      <c r="CQ255" s="290"/>
      <c r="CR255" s="293"/>
      <c r="CS255" s="293"/>
      <c r="CT255" s="293"/>
      <c r="CU255" s="290"/>
      <c r="CV255" s="293"/>
      <c r="CW255" s="1495"/>
      <c r="CX255" s="1495"/>
      <c r="CY255" s="290"/>
      <c r="CZ255" s="293"/>
      <c r="DA255" s="293"/>
      <c r="DB255" s="293"/>
      <c r="DC255" s="290"/>
      <c r="DD255" s="293"/>
      <c r="DE255" s="293"/>
      <c r="DF255" s="293"/>
      <c r="DG255" s="290"/>
      <c r="DH255" s="293"/>
      <c r="DI255" s="293"/>
      <c r="DJ255" s="293"/>
      <c r="DK255" s="290"/>
      <c r="DL255" s="293"/>
      <c r="DM255" s="293"/>
      <c r="DN255" s="293"/>
      <c r="DO255" s="290"/>
      <c r="DP255" s="293"/>
      <c r="DQ255" s="293"/>
      <c r="DR255" s="293"/>
      <c r="DS255" s="290"/>
      <c r="DT255"/>
    </row>
    <row r="256" spans="1:124" s="289" customFormat="1" hidden="1" outlineLevel="1">
      <c r="A256" s="289" t="s">
        <v>277</v>
      </c>
      <c r="C256" s="290"/>
      <c r="AN256" s="290"/>
      <c r="AO256" s="295"/>
      <c r="AP256" s="295"/>
      <c r="AQ256" s="290"/>
      <c r="AR256" s="295">
        <f>SUM(AR254:AR255)</f>
        <v>3258.8199999999997</v>
      </c>
      <c r="AS256" s="295">
        <f>SUM(AS254:AS255)</f>
        <v>3136.45</v>
      </c>
      <c r="AT256" s="295">
        <f t="shared" si="315"/>
        <v>3136.45</v>
      </c>
      <c r="AU256" s="290"/>
      <c r="AV256" s="295">
        <f>SUM(AV254:AV255)</f>
        <v>4492.7999999999993</v>
      </c>
      <c r="AW256" s="295">
        <f>SUM(AW254:AW255)</f>
        <v>3964.2</v>
      </c>
      <c r="AX256" s="295">
        <f t="shared" si="316"/>
        <v>3964.2</v>
      </c>
      <c r="AY256" s="290"/>
      <c r="AZ256" s="295">
        <f>SUM(AZ254:AZ255)</f>
        <v>2866.59</v>
      </c>
      <c r="BA256" s="295">
        <f>SUM(BA254:BA255)</f>
        <v>2951.4599999999991</v>
      </c>
      <c r="BB256" s="295">
        <f t="shared" si="317"/>
        <v>2951.4599999999991</v>
      </c>
      <c r="BC256" s="290"/>
      <c r="BD256" s="295">
        <f>SUM(BD254:BD255)</f>
        <v>3471.9300000000003</v>
      </c>
      <c r="BE256" s="295">
        <f>SUM(BE254:BE255)</f>
        <v>4273.03</v>
      </c>
      <c r="BF256" s="295">
        <f t="shared" si="319"/>
        <v>4273.03</v>
      </c>
      <c r="BG256" s="290"/>
      <c r="BH256" s="295">
        <f>SUM(BH254:BH255)</f>
        <v>4290.7199999999993</v>
      </c>
      <c r="BI256" s="103"/>
      <c r="BJ256" s="103"/>
      <c r="BK256" s="290"/>
      <c r="BL256" s="295"/>
      <c r="BM256" s="295"/>
      <c r="BN256" s="295"/>
      <c r="BO256" s="290"/>
      <c r="BP256" s="295"/>
      <c r="BQ256" s="295"/>
      <c r="BR256" s="295"/>
      <c r="BS256" s="290"/>
      <c r="BT256" s="295"/>
      <c r="BU256" s="295"/>
      <c r="BV256" s="295"/>
      <c r="BW256" s="290"/>
      <c r="BX256" s="295"/>
      <c r="BY256" s="295"/>
      <c r="BZ256" s="295"/>
      <c r="CA256" s="290"/>
      <c r="CB256" s="295"/>
      <c r="CC256" s="295"/>
      <c r="CD256" s="295"/>
      <c r="CE256" s="290"/>
      <c r="CF256" s="295"/>
      <c r="CG256" s="295"/>
      <c r="CH256" s="295"/>
      <c r="CI256" s="290"/>
      <c r="CJ256" s="295"/>
      <c r="CK256" s="295"/>
      <c r="CL256" s="295"/>
      <c r="CM256" s="290"/>
      <c r="CN256" s="295"/>
      <c r="CO256" s="295"/>
      <c r="CP256" s="295"/>
      <c r="CQ256" s="290"/>
      <c r="CR256" s="295"/>
      <c r="CS256" s="295"/>
      <c r="CT256" s="295"/>
      <c r="CU256" s="290"/>
      <c r="CV256" s="295"/>
      <c r="CW256" s="1390"/>
      <c r="CX256" s="1390"/>
      <c r="CY256" s="290"/>
      <c r="CZ256" s="295"/>
      <c r="DA256" s="295"/>
      <c r="DB256" s="295"/>
      <c r="DC256" s="290"/>
      <c r="DD256" s="295"/>
      <c r="DE256" s="295"/>
      <c r="DF256" s="295"/>
      <c r="DG256" s="290"/>
      <c r="DH256" s="295"/>
      <c r="DI256" s="295"/>
      <c r="DJ256" s="295"/>
      <c r="DK256" s="290"/>
      <c r="DL256" s="295"/>
      <c r="DM256" s="295"/>
      <c r="DN256" s="295"/>
      <c r="DO256" s="290"/>
      <c r="DP256" s="295"/>
      <c r="DQ256" s="295"/>
      <c r="DR256" s="295"/>
      <c r="DS256" s="290"/>
      <c r="DT256"/>
    </row>
    <row r="257" spans="1:124" s="1084" customFormat="1" hidden="1" outlineLevel="1">
      <c r="A257" s="1084" t="s">
        <v>581</v>
      </c>
      <c r="C257" s="412"/>
      <c r="AN257" s="412"/>
      <c r="AO257" s="1007"/>
      <c r="AP257" s="1007"/>
      <c r="AQ257" s="412"/>
      <c r="AR257" s="1007"/>
      <c r="AS257" s="1007"/>
      <c r="AT257" s="1007"/>
      <c r="AU257" s="412"/>
      <c r="AV257" s="1007">
        <v>4493</v>
      </c>
      <c r="AW257" s="1007">
        <v>3964</v>
      </c>
      <c r="AX257" s="1007"/>
      <c r="AY257" s="412"/>
      <c r="AZ257" s="1007">
        <v>2867</v>
      </c>
      <c r="BA257" s="1007">
        <v>2951</v>
      </c>
      <c r="BB257" s="1007"/>
      <c r="BC257" s="412"/>
      <c r="BD257" s="1007"/>
      <c r="BE257" s="1007">
        <v>4429</v>
      </c>
      <c r="BF257" s="1007"/>
      <c r="BG257" s="412"/>
      <c r="BH257" s="412"/>
      <c r="BI257" s="103"/>
      <c r="BJ257" s="103"/>
      <c r="BK257" s="412"/>
      <c r="BL257" s="1007"/>
      <c r="BM257" s="1007"/>
      <c r="BN257" s="1007"/>
      <c r="BO257" s="412"/>
      <c r="BP257" s="1007"/>
      <c r="BQ257" s="1007"/>
      <c r="BR257" s="1007"/>
      <c r="BS257" s="412"/>
      <c r="BT257" s="1007"/>
      <c r="BU257" s="1007"/>
      <c r="BV257" s="1007"/>
      <c r="BW257" s="412"/>
      <c r="BX257" s="1007"/>
      <c r="BY257" s="1007"/>
      <c r="BZ257" s="1007"/>
      <c r="CA257" s="412"/>
      <c r="CB257" s="1007"/>
      <c r="CC257" s="1007"/>
      <c r="CD257" s="1007"/>
      <c r="CE257" s="412"/>
      <c r="CF257" s="1007"/>
      <c r="CG257" s="1007"/>
      <c r="CH257" s="1007"/>
      <c r="CI257" s="412"/>
      <c r="CJ257" s="1007"/>
      <c r="CK257" s="1007"/>
      <c r="CL257" s="1007"/>
      <c r="CM257" s="412"/>
      <c r="CN257" s="1007"/>
      <c r="CO257" s="1007"/>
      <c r="CP257" s="1007"/>
      <c r="CQ257" s="412"/>
      <c r="CR257" s="1007"/>
      <c r="CS257" s="1007"/>
      <c r="CT257" s="1007"/>
      <c r="CU257" s="412"/>
      <c r="CV257" s="1007"/>
      <c r="CW257" s="1845"/>
      <c r="CX257" s="1845"/>
      <c r="CY257" s="412"/>
      <c r="CZ257" s="1007"/>
      <c r="DA257" s="1007"/>
      <c r="DB257" s="1007"/>
      <c r="DC257" s="412"/>
      <c r="DD257" s="1007"/>
      <c r="DE257" s="1007"/>
      <c r="DF257" s="1007"/>
      <c r="DG257" s="412"/>
      <c r="DH257" s="1007"/>
      <c r="DI257" s="1007"/>
      <c r="DJ257" s="1007"/>
      <c r="DK257" s="412"/>
      <c r="DL257" s="1007"/>
      <c r="DM257" s="1007"/>
      <c r="DN257" s="1007"/>
      <c r="DO257" s="412"/>
      <c r="DP257" s="1007"/>
      <c r="DQ257" s="1007"/>
      <c r="DR257" s="1007"/>
      <c r="DS257" s="412"/>
      <c r="DT257"/>
    </row>
    <row r="258" spans="1:124" s="289" customFormat="1" hidden="1" outlineLevel="1">
      <c r="A258" s="289" t="s">
        <v>278</v>
      </c>
      <c r="C258" s="290"/>
      <c r="AN258" s="290"/>
      <c r="AO258" s="295"/>
      <c r="AP258" s="295"/>
      <c r="AQ258" s="290"/>
      <c r="AR258" s="295"/>
      <c r="AS258" s="295"/>
      <c r="AT258" s="295"/>
      <c r="AU258" s="290"/>
      <c r="AV258" s="295"/>
      <c r="AW258" s="295"/>
      <c r="AX258" s="295"/>
      <c r="AY258" s="290"/>
      <c r="AZ258" s="295"/>
      <c r="BA258" s="295"/>
      <c r="BB258" s="295"/>
      <c r="BC258" s="290"/>
      <c r="BD258" s="295"/>
      <c r="BE258" s="295"/>
      <c r="BF258" s="295"/>
      <c r="BG258" s="290"/>
      <c r="BH258" s="295"/>
      <c r="BI258" s="103"/>
      <c r="BJ258" s="103"/>
      <c r="BK258" s="290"/>
      <c r="BL258" s="295"/>
      <c r="BM258" s="295"/>
      <c r="BN258" s="295"/>
      <c r="BO258" s="290"/>
      <c r="BP258" s="295"/>
      <c r="BQ258" s="295"/>
      <c r="BR258" s="295"/>
      <c r="BS258" s="290"/>
      <c r="BT258" s="295"/>
      <c r="BU258" s="295"/>
      <c r="BV258" s="295"/>
      <c r="BW258" s="290"/>
      <c r="BX258" s="295"/>
      <c r="BY258" s="295"/>
      <c r="BZ258" s="295"/>
      <c r="CA258" s="290"/>
      <c r="CB258" s="295"/>
      <c r="CC258" s="295"/>
      <c r="CD258" s="295"/>
      <c r="CE258" s="290"/>
      <c r="CF258" s="295"/>
      <c r="CG258" s="295"/>
      <c r="CH258" s="295"/>
      <c r="CI258" s="290"/>
      <c r="CJ258" s="295"/>
      <c r="CK258" s="295"/>
      <c r="CL258" s="295"/>
      <c r="CM258" s="290"/>
      <c r="CN258" s="295"/>
      <c r="CO258" s="295"/>
      <c r="CP258" s="295"/>
      <c r="CQ258" s="290"/>
      <c r="CR258" s="295"/>
      <c r="CS258" s="295"/>
      <c r="CT258" s="295"/>
      <c r="CU258" s="290"/>
      <c r="CV258" s="295"/>
      <c r="CW258" s="1390"/>
      <c r="CX258" s="1390"/>
      <c r="CY258" s="290"/>
      <c r="CZ258" s="295"/>
      <c r="DA258" s="295"/>
      <c r="DB258" s="295"/>
      <c r="DC258" s="290"/>
      <c r="DD258" s="295"/>
      <c r="DE258" s="295"/>
      <c r="DF258" s="295"/>
      <c r="DG258" s="290"/>
      <c r="DH258" s="295"/>
      <c r="DI258" s="295"/>
      <c r="DJ258" s="295"/>
      <c r="DK258" s="290"/>
      <c r="DL258" s="295"/>
      <c r="DM258" s="295"/>
      <c r="DN258" s="295"/>
      <c r="DO258" s="290"/>
      <c r="DP258" s="295"/>
      <c r="DQ258" s="295"/>
      <c r="DR258" s="295"/>
      <c r="DS258" s="290"/>
      <c r="DT258"/>
    </row>
    <row r="259" spans="1:124" s="289" customFormat="1" hidden="1" outlineLevel="1">
      <c r="A259" s="102" t="s">
        <v>263</v>
      </c>
      <c r="C259" s="290"/>
      <c r="AN259" s="293"/>
      <c r="AO259" s="293"/>
      <c r="AP259" s="293"/>
      <c r="AQ259" s="290"/>
      <c r="AR259" s="293">
        <f>+AR242+AR249</f>
        <v>72886.5</v>
      </c>
      <c r="AS259" s="293">
        <f>+AS242+AS249</f>
        <v>66777.5</v>
      </c>
      <c r="AT259" s="293">
        <f>+AT242+AT249</f>
        <v>66777.5</v>
      </c>
      <c r="AU259" s="290"/>
      <c r="AV259" s="293">
        <f>+AV242+AV249</f>
        <v>68635</v>
      </c>
      <c r="AW259" s="293">
        <f>+AW242+AW249</f>
        <v>73115</v>
      </c>
      <c r="AX259" s="293">
        <f>+AX242+AX249</f>
        <v>73115</v>
      </c>
      <c r="AY259" s="290"/>
      <c r="AZ259" s="293">
        <f>+AZ242+AZ249</f>
        <v>82463</v>
      </c>
      <c r="BA259" s="293">
        <f>+BA242+BA249</f>
        <v>89534.5</v>
      </c>
      <c r="BB259" s="293">
        <f>+BB242+BB249</f>
        <v>89534.5</v>
      </c>
      <c r="BC259" s="290"/>
      <c r="BD259" s="293">
        <f>+BD242+BD249</f>
        <v>90201</v>
      </c>
      <c r="BE259" s="293">
        <f>+BE242+BE249</f>
        <v>86421</v>
      </c>
      <c r="BF259" s="293">
        <f>+BF242+BF249</f>
        <v>86421</v>
      </c>
      <c r="BG259" s="290"/>
      <c r="BH259" s="293">
        <f>+BH242+BH249</f>
        <v>85566.5</v>
      </c>
      <c r="BI259" s="103"/>
      <c r="BJ259" s="103"/>
      <c r="BK259" s="290"/>
      <c r="BL259" s="293"/>
      <c r="BM259" s="293"/>
      <c r="BN259" s="293"/>
      <c r="BO259" s="290"/>
      <c r="BP259" s="293"/>
      <c r="BQ259" s="293"/>
      <c r="BR259" s="293"/>
      <c r="BS259" s="290"/>
      <c r="BT259" s="293"/>
      <c r="BU259" s="293"/>
      <c r="BV259" s="293"/>
      <c r="BW259" s="290"/>
      <c r="BX259" s="293"/>
      <c r="BY259" s="293"/>
      <c r="BZ259" s="293"/>
      <c r="CA259" s="290"/>
      <c r="CB259" s="293"/>
      <c r="CC259" s="293"/>
      <c r="CD259" s="293"/>
      <c r="CE259" s="290"/>
      <c r="CF259" s="293"/>
      <c r="CG259" s="293"/>
      <c r="CH259" s="293"/>
      <c r="CI259" s="290"/>
      <c r="CJ259" s="293"/>
      <c r="CK259" s="293"/>
      <c r="CL259" s="293"/>
      <c r="CM259" s="290"/>
      <c r="CN259" s="293"/>
      <c r="CO259" s="293"/>
      <c r="CP259" s="293"/>
      <c r="CQ259" s="290"/>
      <c r="CR259" s="293"/>
      <c r="CS259" s="293"/>
      <c r="CT259" s="293"/>
      <c r="CU259" s="290"/>
      <c r="CV259" s="293"/>
      <c r="CW259" s="1495"/>
      <c r="CX259" s="1495"/>
      <c r="CY259" s="290"/>
      <c r="CZ259" s="293"/>
      <c r="DA259" s="293"/>
      <c r="DB259" s="293"/>
      <c r="DC259" s="290"/>
      <c r="DD259" s="293"/>
      <c r="DE259" s="293"/>
      <c r="DF259" s="293"/>
      <c r="DG259" s="290"/>
      <c r="DH259" s="293"/>
      <c r="DI259" s="293"/>
      <c r="DJ259" s="293"/>
      <c r="DK259" s="290"/>
      <c r="DL259" s="293"/>
      <c r="DM259" s="293"/>
      <c r="DN259" s="293"/>
      <c r="DO259" s="290"/>
      <c r="DP259" s="293"/>
      <c r="DQ259" s="293"/>
      <c r="DR259" s="293"/>
      <c r="DS259" s="290"/>
      <c r="DT259"/>
    </row>
    <row r="260" spans="1:124" s="289" customFormat="1" hidden="1" outlineLevel="1">
      <c r="A260" s="289" t="s">
        <v>279</v>
      </c>
      <c r="C260" s="290"/>
      <c r="AN260" s="295"/>
      <c r="AO260" s="295"/>
      <c r="AP260" s="295"/>
      <c r="AQ260" s="290"/>
      <c r="AR260" s="295">
        <f>+AR287+AR355</f>
        <v>9922</v>
      </c>
      <c r="AS260" s="295">
        <f>+AS287+AS355</f>
        <v>9579</v>
      </c>
      <c r="AT260" s="295">
        <f>+AT287+AT355</f>
        <v>9579</v>
      </c>
      <c r="AU260" s="290"/>
      <c r="AV260" s="295">
        <f>+AV287+AV355</f>
        <v>11149</v>
      </c>
      <c r="AW260" s="295">
        <f>+AW287+AW355</f>
        <v>11691</v>
      </c>
      <c r="AX260" s="295">
        <f>+AX287+AX355</f>
        <v>11691</v>
      </c>
      <c r="AY260" s="290"/>
      <c r="AZ260" s="295">
        <f>+AZ287+AZ355</f>
        <v>11518</v>
      </c>
      <c r="BA260" s="295">
        <f>+BA287+BA355</f>
        <v>11859</v>
      </c>
      <c r="BB260" s="295">
        <f>+BB287+BB355</f>
        <v>11859</v>
      </c>
      <c r="BC260" s="290"/>
      <c r="BD260" s="295">
        <f>+BD287+BD355</f>
        <v>11708</v>
      </c>
      <c r="BE260" s="295">
        <f ca="1">+BE287+BE355</f>
        <v>12214</v>
      </c>
      <c r="BF260" s="295">
        <f ca="1">+BF287+BF355</f>
        <v>12214</v>
      </c>
      <c r="BG260" s="290"/>
      <c r="BH260" s="295">
        <f>+BH287+BH355</f>
        <v>11679</v>
      </c>
      <c r="BI260" s="103"/>
      <c r="BJ260" s="103"/>
      <c r="BK260" s="290"/>
      <c r="BL260" s="295"/>
      <c r="BM260" s="295"/>
      <c r="BN260" s="295"/>
      <c r="BO260" s="290"/>
      <c r="BP260" s="295"/>
      <c r="BQ260" s="295"/>
      <c r="BR260" s="295"/>
      <c r="BS260" s="290"/>
      <c r="BT260" s="295"/>
      <c r="BU260" s="295"/>
      <c r="BV260" s="295"/>
      <c r="BW260" s="290"/>
      <c r="BX260" s="295"/>
      <c r="BY260" s="295"/>
      <c r="BZ260" s="295"/>
      <c r="CA260" s="290"/>
      <c r="CB260" s="295"/>
      <c r="CC260" s="295"/>
      <c r="CD260" s="295"/>
      <c r="CE260" s="290"/>
      <c r="CF260" s="295"/>
      <c r="CG260" s="295"/>
      <c r="CH260" s="295"/>
      <c r="CI260" s="290"/>
      <c r="CJ260" s="295"/>
      <c r="CK260" s="295"/>
      <c r="CL260" s="295"/>
      <c r="CM260" s="290"/>
      <c r="CN260" s="295"/>
      <c r="CO260" s="295"/>
      <c r="CP260" s="295"/>
      <c r="CQ260" s="290"/>
      <c r="CR260" s="295"/>
      <c r="CS260" s="295"/>
      <c r="CT260" s="295"/>
      <c r="CU260" s="290"/>
      <c r="CV260" s="295"/>
      <c r="CW260" s="1390"/>
      <c r="CX260" s="1390"/>
      <c r="CY260" s="290"/>
      <c r="CZ260" s="295"/>
      <c r="DA260" s="295"/>
      <c r="DB260" s="295"/>
      <c r="DC260" s="290"/>
      <c r="DD260" s="295"/>
      <c r="DE260" s="295"/>
      <c r="DF260" s="295"/>
      <c r="DG260" s="290"/>
      <c r="DH260" s="295"/>
      <c r="DI260" s="295"/>
      <c r="DJ260" s="295"/>
      <c r="DK260" s="290"/>
      <c r="DL260" s="295"/>
      <c r="DM260" s="295"/>
      <c r="DN260" s="295"/>
      <c r="DO260" s="290"/>
      <c r="DP260" s="295"/>
      <c r="DQ260" s="295"/>
      <c r="DR260" s="295"/>
      <c r="DS260" s="290"/>
      <c r="DT260"/>
    </row>
    <row r="261" spans="1:124" s="289" customFormat="1" hidden="1" outlineLevel="1">
      <c r="A261" s="289" t="s">
        <v>280</v>
      </c>
      <c r="C261" s="290"/>
      <c r="AN261" s="295"/>
      <c r="AO261" s="295"/>
      <c r="AP261" s="295"/>
      <c r="AQ261" s="290"/>
      <c r="AR261" s="295">
        <f>+AR262-AR260</f>
        <v>-1211</v>
      </c>
      <c r="AS261" s="295">
        <f>+AS262-AS260</f>
        <v>-1468</v>
      </c>
      <c r="AT261" s="295">
        <f>+AT262-AT260</f>
        <v>-1468</v>
      </c>
      <c r="AU261" s="290"/>
      <c r="AV261" s="295">
        <f>+AV262-AV260</f>
        <v>-1591</v>
      </c>
      <c r="AW261" s="295">
        <f>+AW262-AW260</f>
        <v>-2347</v>
      </c>
      <c r="AX261" s="295">
        <f>+AX262-AX260</f>
        <v>-2347</v>
      </c>
      <c r="AY261" s="290"/>
      <c r="AZ261" s="295">
        <f>+AZ262-AZ260</f>
        <v>-2588</v>
      </c>
      <c r="BA261" s="295">
        <f>+BA262-BA260</f>
        <v>-2357</v>
      </c>
      <c r="BB261" s="295">
        <f>+BB262-BB260</f>
        <v>-2357</v>
      </c>
      <c r="BC261" s="290"/>
      <c r="BD261" s="295">
        <f>+BD262-BD260</f>
        <v>-1596</v>
      </c>
      <c r="BE261" s="295">
        <f ca="1">+BE262-BE260</f>
        <v>-1546</v>
      </c>
      <c r="BF261" s="295">
        <f ca="1">+BF262-BF260</f>
        <v>-1546</v>
      </c>
      <c r="BG261" s="290"/>
      <c r="BH261" s="295">
        <f>+BH262-BH260</f>
        <v>-1066</v>
      </c>
      <c r="BI261" s="103"/>
      <c r="BJ261" s="103"/>
      <c r="BK261" s="290"/>
      <c r="BL261" s="295"/>
      <c r="BM261" s="295"/>
      <c r="BN261" s="295"/>
      <c r="BO261" s="290"/>
      <c r="BP261" s="295"/>
      <c r="BQ261" s="295"/>
      <c r="BR261" s="295"/>
      <c r="BS261" s="290"/>
      <c r="BT261" s="295"/>
      <c r="BU261" s="295"/>
      <c r="BV261" s="295"/>
      <c r="BW261" s="290"/>
      <c r="BX261" s="295"/>
      <c r="BY261" s="295"/>
      <c r="BZ261" s="295"/>
      <c r="CA261" s="290"/>
      <c r="CB261" s="295"/>
      <c r="CC261" s="295"/>
      <c r="CD261" s="295"/>
      <c r="CE261" s="290"/>
      <c r="CF261" s="295"/>
      <c r="CG261" s="295"/>
      <c r="CH261" s="295"/>
      <c r="CI261" s="290"/>
      <c r="CJ261" s="295"/>
      <c r="CK261" s="295"/>
      <c r="CL261" s="295"/>
      <c r="CM261" s="290"/>
      <c r="CN261" s="295"/>
      <c r="CO261" s="295"/>
      <c r="CP261" s="295"/>
      <c r="CQ261" s="290"/>
      <c r="CR261" s="295"/>
      <c r="CS261" s="295"/>
      <c r="CT261" s="295"/>
      <c r="CU261" s="290"/>
      <c r="CV261" s="295"/>
      <c r="CW261" s="1390"/>
      <c r="CX261" s="1390"/>
      <c r="CY261" s="290"/>
      <c r="CZ261" s="295"/>
      <c r="DA261" s="295"/>
      <c r="DB261" s="295"/>
      <c r="DC261" s="290"/>
      <c r="DD261" s="295"/>
      <c r="DE261" s="295"/>
      <c r="DF261" s="295"/>
      <c r="DG261" s="290"/>
      <c r="DH261" s="295"/>
      <c r="DI261" s="295"/>
      <c r="DJ261" s="295"/>
      <c r="DK261" s="290"/>
      <c r="DL261" s="295"/>
      <c r="DM261" s="295"/>
      <c r="DN261" s="295"/>
      <c r="DO261" s="290"/>
      <c r="DP261" s="295"/>
      <c r="DQ261" s="295"/>
      <c r="DR261" s="295"/>
      <c r="DS261" s="290"/>
      <c r="DT261"/>
    </row>
    <row r="262" spans="1:124" s="289" customFormat="1" hidden="1" outlineLevel="1">
      <c r="A262" s="289" t="s">
        <v>281</v>
      </c>
      <c r="C262" s="290"/>
      <c r="AN262" s="295"/>
      <c r="AO262" s="295"/>
      <c r="AP262" s="295"/>
      <c r="AQ262" s="290"/>
      <c r="AR262" s="295">
        <f>+AR299+AR357</f>
        <v>8711</v>
      </c>
      <c r="AS262" s="295">
        <f>+AS299+AS357</f>
        <v>8111</v>
      </c>
      <c r="AT262" s="295">
        <f>+AT299+AT357</f>
        <v>8111</v>
      </c>
      <c r="AU262" s="290"/>
      <c r="AV262" s="295">
        <f>+AV299+AV357</f>
        <v>9558</v>
      </c>
      <c r="AW262" s="295">
        <f>+AW299+AW357</f>
        <v>9344</v>
      </c>
      <c r="AX262" s="295">
        <f>+AX299+AX357</f>
        <v>9344</v>
      </c>
      <c r="AY262" s="290"/>
      <c r="AZ262" s="295">
        <f>+AZ299+AZ357</f>
        <v>8930</v>
      </c>
      <c r="BA262" s="295">
        <f>+BA299+BA357</f>
        <v>9502</v>
      </c>
      <c r="BB262" s="295">
        <f>+BB299+BB357</f>
        <v>9502</v>
      </c>
      <c r="BC262" s="290"/>
      <c r="BD262" s="295">
        <f>+BD299+BD357</f>
        <v>10112</v>
      </c>
      <c r="BE262" s="295">
        <f>+BE299+BE357</f>
        <v>10668</v>
      </c>
      <c r="BF262" s="295">
        <f>+BF299+BF357</f>
        <v>10668</v>
      </c>
      <c r="BG262" s="295"/>
      <c r="BH262" s="295">
        <f>+BH299+BH357</f>
        <v>10613</v>
      </c>
      <c r="BI262" s="103"/>
      <c r="BJ262" s="103"/>
      <c r="BK262" s="290"/>
      <c r="BL262" s="295"/>
      <c r="BM262" s="295"/>
      <c r="BN262" s="295"/>
      <c r="BO262" s="290"/>
      <c r="BP262" s="295"/>
      <c r="BQ262" s="295"/>
      <c r="BR262" s="295"/>
      <c r="BS262" s="290"/>
      <c r="BT262" s="295"/>
      <c r="BU262" s="295"/>
      <c r="BV262" s="295"/>
      <c r="BW262" s="290"/>
      <c r="BX262" s="295"/>
      <c r="BY262" s="295"/>
      <c r="BZ262" s="295"/>
      <c r="CA262" s="290"/>
      <c r="CB262" s="295"/>
      <c r="CC262" s="295"/>
      <c r="CD262" s="295"/>
      <c r="CE262" s="290"/>
      <c r="CF262" s="295"/>
      <c r="CG262" s="295"/>
      <c r="CH262" s="295"/>
      <c r="CI262" s="290"/>
      <c r="CJ262" s="295"/>
      <c r="CK262" s="295"/>
      <c r="CL262" s="295"/>
      <c r="CM262" s="290"/>
      <c r="CN262" s="295"/>
      <c r="CO262" s="295"/>
      <c r="CP262" s="295"/>
      <c r="CQ262" s="290"/>
      <c r="CR262" s="295"/>
      <c r="CS262" s="295"/>
      <c r="CT262" s="295"/>
      <c r="CU262" s="290"/>
      <c r="CV262" s="295"/>
      <c r="CW262" s="1390"/>
      <c r="CX262" s="1390"/>
      <c r="CY262" s="290"/>
      <c r="CZ262" s="295"/>
      <c r="DA262" s="295"/>
      <c r="DB262" s="295"/>
      <c r="DC262" s="290"/>
      <c r="DD262" s="295"/>
      <c r="DE262" s="295"/>
      <c r="DF262" s="295"/>
      <c r="DG262" s="290"/>
      <c r="DH262" s="295"/>
      <c r="DI262" s="295"/>
      <c r="DJ262" s="295"/>
      <c r="DK262" s="290"/>
      <c r="DL262" s="295"/>
      <c r="DM262" s="295"/>
      <c r="DN262" s="295"/>
      <c r="DO262" s="290"/>
      <c r="DP262" s="295"/>
      <c r="DQ262" s="295"/>
      <c r="DR262" s="295"/>
      <c r="DS262" s="290"/>
      <c r="DT262"/>
    </row>
    <row r="263" spans="1:124" hidden="1" outlineLevel="1">
      <c r="A263" s="102" t="s">
        <v>495</v>
      </c>
      <c r="AO263" s="763"/>
      <c r="AP263" s="763"/>
      <c r="AR263" s="763">
        <f>+AR262/AR259</f>
        <v>0.11951458774944605</v>
      </c>
      <c r="AS263" s="763">
        <f>+AS262/AS259</f>
        <v>0.12146306765003183</v>
      </c>
      <c r="AT263" s="763">
        <f>+AT262/AT259</f>
        <v>0.12146306765003183</v>
      </c>
      <c r="AU263" s="812"/>
      <c r="AV263" s="763">
        <f>+AV262/AV259</f>
        <v>0.13925839586216945</v>
      </c>
      <c r="AW263" s="764">
        <f>+AW262/AW259</f>
        <v>0.12779867332284756</v>
      </c>
      <c r="AX263" s="764">
        <f>+AX262/AX259</f>
        <v>0.12779867332284756</v>
      </c>
      <c r="AZ263" s="763">
        <f>+AZ262/AZ259</f>
        <v>0.10829099111116501</v>
      </c>
      <c r="BA263" s="764">
        <f>+BA262/BA259</f>
        <v>0.10612668859489917</v>
      </c>
      <c r="BB263" s="764">
        <f>+BB262/BB259</f>
        <v>0.10612668859489917</v>
      </c>
      <c r="BD263" s="763">
        <f>+BD262/BD259</f>
        <v>0.11210518730391016</v>
      </c>
      <c r="BE263" s="764">
        <f>+BE262/BE259</f>
        <v>0.12344221890512723</v>
      </c>
      <c r="BF263" s="764">
        <f>+BF262/BF259</f>
        <v>0.12344221890512723</v>
      </c>
      <c r="BH263" s="763">
        <f>+BH262/BH259</f>
        <v>0.12403218549315445</v>
      </c>
      <c r="BL263" s="764"/>
      <c r="BM263" s="764"/>
      <c r="BN263" s="764"/>
      <c r="BP263" s="764"/>
      <c r="BQ263" s="764"/>
      <c r="BR263" s="764"/>
      <c r="BT263" s="764"/>
      <c r="BU263" s="764"/>
      <c r="BV263" s="764"/>
      <c r="BX263" s="764"/>
      <c r="BY263" s="764"/>
      <c r="BZ263" s="764"/>
      <c r="CB263" s="764"/>
      <c r="CC263" s="764"/>
      <c r="CD263" s="764"/>
      <c r="CF263" s="764"/>
      <c r="CG263" s="764"/>
      <c r="CH263" s="764"/>
      <c r="CJ263" s="764"/>
      <c r="CK263" s="764"/>
      <c r="CL263" s="764"/>
      <c r="CN263" s="764"/>
      <c r="CO263" s="764"/>
      <c r="CP263" s="764"/>
      <c r="CR263" s="764"/>
      <c r="CS263" s="764"/>
      <c r="CT263" s="764"/>
      <c r="CV263" s="764"/>
      <c r="CW263" s="764"/>
      <c r="CX263" s="764"/>
      <c r="CZ263" s="764"/>
      <c r="DA263" s="764"/>
      <c r="DB263" s="764"/>
      <c r="DD263" s="764"/>
      <c r="DE263" s="764"/>
      <c r="DF263" s="764"/>
      <c r="DH263" s="764"/>
      <c r="DI263" s="764"/>
      <c r="DJ263" s="764"/>
      <c r="DL263" s="764"/>
      <c r="DM263" s="764"/>
      <c r="DN263" s="764"/>
      <c r="DP263" s="764"/>
      <c r="DQ263" s="764"/>
      <c r="DR263" s="764"/>
    </row>
    <row r="264" spans="1:124" s="289" customFormat="1" hidden="1" outlineLevel="1">
      <c r="A264" s="289" t="s">
        <v>564</v>
      </c>
      <c r="C264" s="290"/>
      <c r="AN264" s="290"/>
      <c r="AO264" s="1168"/>
      <c r="AP264" s="1168"/>
      <c r="AQ264" s="290"/>
      <c r="AR264" s="1168">
        <f>AR300+AR357</f>
        <v>7794</v>
      </c>
      <c r="AS264" s="1168">
        <f>AS300+AS357</f>
        <v>7196</v>
      </c>
      <c r="AT264" s="1168">
        <f>AT300+AT357</f>
        <v>7196</v>
      </c>
      <c r="AU264" s="1169"/>
      <c r="AV264" s="1168">
        <f>AV300+AV357</f>
        <v>9093</v>
      </c>
      <c r="AW264" s="1168">
        <f>AW300+AW357</f>
        <v>8885</v>
      </c>
      <c r="AX264" s="1168">
        <f>AX300+AX357</f>
        <v>8885</v>
      </c>
      <c r="AY264" s="290"/>
      <c r="AZ264" s="1168">
        <f>AZ300+AZ357</f>
        <v>8473</v>
      </c>
      <c r="BA264" s="1168">
        <f>BA300+BA357</f>
        <v>9047</v>
      </c>
      <c r="BB264" s="1168">
        <f>BB300+BB357</f>
        <v>9047</v>
      </c>
      <c r="BC264" s="290"/>
      <c r="BD264" s="1168">
        <f>BD300+BD357</f>
        <v>9655</v>
      </c>
      <c r="BE264" s="1168">
        <f>BE300+BE357</f>
        <v>9976</v>
      </c>
      <c r="BF264" s="1168">
        <f>BF300+BF357</f>
        <v>9976</v>
      </c>
      <c r="BG264" s="290"/>
      <c r="BH264" s="1168">
        <f>BH300+BH357</f>
        <v>9921</v>
      </c>
      <c r="BI264" s="103"/>
      <c r="BJ264" s="103"/>
      <c r="BK264" s="290"/>
      <c r="BL264" s="1170"/>
      <c r="BM264" s="1170"/>
      <c r="BN264" s="1170"/>
      <c r="BO264" s="290"/>
      <c r="BP264" s="1170"/>
      <c r="BQ264" s="1170"/>
      <c r="BR264" s="1170"/>
      <c r="BS264" s="290"/>
      <c r="BT264" s="1170"/>
      <c r="BU264" s="1170"/>
      <c r="BV264" s="1170"/>
      <c r="BW264" s="290"/>
      <c r="BX264" s="1170"/>
      <c r="BY264" s="1170"/>
      <c r="BZ264" s="1170"/>
      <c r="CA264" s="290"/>
      <c r="CB264" s="1170"/>
      <c r="CC264" s="1170"/>
      <c r="CD264" s="1170"/>
      <c r="CE264" s="290"/>
      <c r="CF264" s="1170"/>
      <c r="CG264" s="1170"/>
      <c r="CH264" s="1170"/>
      <c r="CI264" s="290"/>
      <c r="CJ264" s="1170"/>
      <c r="CK264" s="1170"/>
      <c r="CL264" s="1170"/>
      <c r="CM264" s="290"/>
      <c r="CN264" s="1170"/>
      <c r="CO264" s="1170"/>
      <c r="CP264" s="1170"/>
      <c r="CQ264" s="290"/>
      <c r="CR264" s="1170"/>
      <c r="CS264" s="1170"/>
      <c r="CT264" s="1170"/>
      <c r="CU264" s="290"/>
      <c r="CV264" s="1170"/>
      <c r="CW264" s="1170"/>
      <c r="CX264" s="1170"/>
      <c r="CY264" s="290"/>
      <c r="CZ264" s="1170"/>
      <c r="DA264" s="1170"/>
      <c r="DB264" s="1170"/>
      <c r="DC264" s="290"/>
      <c r="DD264" s="1170"/>
      <c r="DE264" s="1170"/>
      <c r="DF264" s="1170"/>
      <c r="DG264" s="290"/>
      <c r="DH264" s="1170"/>
      <c r="DI264" s="1170"/>
      <c r="DJ264" s="1170"/>
      <c r="DK264" s="290"/>
      <c r="DL264" s="1170"/>
      <c r="DM264" s="1170"/>
      <c r="DN264" s="1170"/>
      <c r="DO264" s="290"/>
      <c r="DP264" s="1170"/>
      <c r="DQ264" s="1170"/>
      <c r="DR264" s="1170"/>
      <c r="DS264" s="290"/>
      <c r="DT264"/>
    </row>
    <row r="265" spans="1:124" hidden="1" outlineLevel="1">
      <c r="A265" s="102" t="s">
        <v>219</v>
      </c>
      <c r="AO265" s="763"/>
      <c r="AP265" s="763"/>
      <c r="AR265" s="763">
        <f>AR264/AR259</f>
        <v>0.10693338272519602</v>
      </c>
      <c r="AS265" s="763">
        <f>AS264/AS259</f>
        <v>0.10776084759088016</v>
      </c>
      <c r="AT265" s="763">
        <f>AT264/AT259</f>
        <v>0.10776084759088016</v>
      </c>
      <c r="AU265" s="812"/>
      <c r="AV265" s="763">
        <f>AV264/AV259</f>
        <v>0.13248342682304948</v>
      </c>
      <c r="AW265" s="763">
        <f>AW264/AW259</f>
        <v>0.12152089174587978</v>
      </c>
      <c r="AX265" s="763">
        <f>AX264/AX259</f>
        <v>0.12152089174587978</v>
      </c>
      <c r="AZ265" s="763">
        <f>AZ264/AZ259</f>
        <v>0.10274911172283327</v>
      </c>
      <c r="BA265" s="763">
        <f>BA264/BA259</f>
        <v>0.10104484863376688</v>
      </c>
      <c r="BB265" s="763">
        <f>BB264/BB259</f>
        <v>0.10104484863376688</v>
      </c>
      <c r="BD265" s="763">
        <f>BD264/BD259</f>
        <v>0.10703872462611279</v>
      </c>
      <c r="BE265" s="763">
        <f>BE264/BE259</f>
        <v>0.11543490586778676</v>
      </c>
      <c r="BF265" s="763">
        <f>BF264/BF259</f>
        <v>0.11543490586778676</v>
      </c>
      <c r="BH265" s="763">
        <f>BH264/BH259</f>
        <v>0.11594490834614013</v>
      </c>
      <c r="BL265" s="764"/>
      <c r="BM265" s="764"/>
      <c r="BN265" s="764"/>
      <c r="BP265" s="764"/>
      <c r="BQ265" s="764"/>
      <c r="BR265" s="764"/>
      <c r="BT265" s="764"/>
      <c r="BU265" s="764"/>
      <c r="BV265" s="764"/>
      <c r="BX265" s="764"/>
      <c r="BY265" s="764"/>
      <c r="BZ265" s="764"/>
      <c r="CB265" s="764"/>
      <c r="CC265" s="764"/>
      <c r="CD265" s="764"/>
      <c r="CF265" s="764"/>
      <c r="CG265" s="764"/>
      <c r="CH265" s="764"/>
      <c r="CJ265" s="764"/>
      <c r="CK265" s="764"/>
      <c r="CL265" s="764"/>
      <c r="CN265" s="764"/>
      <c r="CO265" s="764"/>
      <c r="CP265" s="764"/>
      <c r="CR265" s="764"/>
      <c r="CS265" s="764"/>
      <c r="CT265" s="764"/>
      <c r="CV265" s="764"/>
      <c r="CW265" s="764"/>
      <c r="CX265" s="764"/>
      <c r="CZ265" s="764"/>
      <c r="DA265" s="764"/>
      <c r="DB265" s="764"/>
      <c r="DD265" s="764"/>
      <c r="DE265" s="764"/>
      <c r="DF265" s="764"/>
      <c r="DH265" s="764"/>
      <c r="DI265" s="764"/>
      <c r="DJ265" s="764"/>
      <c r="DL265" s="764"/>
      <c r="DM265" s="764"/>
      <c r="DN265" s="764"/>
      <c r="DP265" s="764"/>
      <c r="DQ265" s="764"/>
      <c r="DR265" s="764"/>
    </row>
    <row r="266" spans="1:124" hidden="1" outlineLevel="1">
      <c r="AO266" s="626"/>
      <c r="AR266" s="320"/>
      <c r="AS266" s="320"/>
      <c r="AT266" s="320"/>
      <c r="AV266" s="320"/>
      <c r="AW266" s="320"/>
      <c r="AX266" s="320"/>
      <c r="AZ266" s="320"/>
      <c r="BA266" s="320"/>
      <c r="BB266" s="320"/>
      <c r="BH266" s="293">
        <f>BH237-BH245</f>
        <v>10613</v>
      </c>
    </row>
    <row r="267" spans="1:124" collapsed="1"/>
    <row r="268" spans="1:124">
      <c r="A268" s="620" t="s">
        <v>1224</v>
      </c>
      <c r="B268" s="621"/>
      <c r="C268" s="622"/>
      <c r="D268" s="621"/>
      <c r="E268" s="621"/>
      <c r="F268" s="621"/>
      <c r="G268" s="621"/>
      <c r="H268" s="621"/>
      <c r="I268" s="621"/>
      <c r="J268" s="621"/>
      <c r="K268" s="621"/>
      <c r="L268" s="621"/>
      <c r="M268" s="621"/>
      <c r="N268" s="621"/>
      <c r="O268" s="621"/>
      <c r="P268" s="621"/>
      <c r="Q268" s="621"/>
      <c r="R268" s="621"/>
      <c r="S268" s="621"/>
      <c r="T268" s="621"/>
      <c r="U268" s="621"/>
      <c r="V268" s="621"/>
      <c r="W268" s="621"/>
      <c r="X268" s="621"/>
      <c r="Y268" s="621"/>
      <c r="Z268" s="621"/>
      <c r="AA268" s="621"/>
      <c r="AB268" s="621"/>
      <c r="AC268" s="621"/>
      <c r="AD268" s="621"/>
      <c r="AE268" s="621"/>
      <c r="AF268" s="621"/>
      <c r="AG268" s="621"/>
      <c r="AH268" s="621"/>
      <c r="AI268" s="621"/>
      <c r="AJ268" s="621"/>
      <c r="AK268" s="621"/>
      <c r="AL268" s="621"/>
      <c r="AM268" s="621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  <c r="AZ268" s="622"/>
      <c r="BA268" s="622"/>
      <c r="BB268" s="622"/>
      <c r="BC268" s="622"/>
      <c r="BD268" s="622"/>
      <c r="BE268" s="622"/>
      <c r="BF268" s="622"/>
      <c r="BG268" s="622"/>
      <c r="BH268" s="622"/>
      <c r="BI268" s="1171"/>
      <c r="BJ268" s="1171"/>
      <c r="BK268" s="1171"/>
      <c r="BL268" s="1171"/>
      <c r="BM268" s="1171"/>
      <c r="BN268" s="1171"/>
      <c r="BO268" s="1171"/>
      <c r="BP268" s="1171"/>
      <c r="BQ268" s="1171"/>
      <c r="BR268" s="1171"/>
      <c r="BS268" s="1171"/>
      <c r="BT268" s="1171"/>
      <c r="BU268" s="1171"/>
      <c r="BV268" s="1171"/>
      <c r="BW268" s="1171"/>
      <c r="BX268" s="1171"/>
      <c r="BY268" s="1171"/>
      <c r="BZ268" s="1171"/>
      <c r="CA268" s="1171"/>
      <c r="CB268" s="1171"/>
      <c r="CC268" s="1171"/>
      <c r="CD268" s="1171"/>
      <c r="CE268" s="1171"/>
      <c r="CF268" s="1171"/>
      <c r="CG268" s="1171"/>
      <c r="CH268" s="1171"/>
      <c r="CI268" s="1171"/>
      <c r="CJ268" s="1171"/>
      <c r="CK268" s="1171"/>
      <c r="CL268" s="1171"/>
      <c r="CM268" s="1171"/>
      <c r="CN268" s="1171"/>
      <c r="CO268" s="1171"/>
      <c r="CP268" s="1171"/>
      <c r="CQ268" s="1171"/>
      <c r="CR268" s="1171"/>
      <c r="CS268" s="1171"/>
      <c r="CT268" s="1171"/>
      <c r="CU268" s="1171"/>
      <c r="CV268" s="1171"/>
      <c r="CW268" s="1846"/>
      <c r="CX268" s="1846"/>
      <c r="CY268" s="1171"/>
      <c r="CZ268" s="1171"/>
      <c r="DA268" s="1171"/>
      <c r="DB268" s="1171"/>
      <c r="DC268" s="1171"/>
      <c r="DD268" s="1171"/>
      <c r="DE268" s="1171"/>
      <c r="DF268" s="1171"/>
      <c r="DG268" s="1171"/>
      <c r="DH268" s="1171"/>
      <c r="DI268" s="1171"/>
      <c r="DJ268" s="1171"/>
      <c r="DK268" s="1171"/>
      <c r="DL268" s="1171"/>
      <c r="DM268" s="1171"/>
      <c r="DN268" s="1171"/>
      <c r="DO268" s="1171"/>
      <c r="DP268" s="1171"/>
      <c r="DQ268" s="1171"/>
      <c r="DR268" s="1171"/>
      <c r="DS268" s="1171"/>
    </row>
    <row r="269" spans="1:124" hidden="1" outlineLevel="1"/>
    <row r="270" spans="1:124" s="289" customFormat="1" hidden="1" outlineLevel="1">
      <c r="A270" s="289" t="s">
        <v>219</v>
      </c>
      <c r="C270" s="290"/>
      <c r="AN270" s="290"/>
      <c r="AO270" s="807">
        <f>AO300/AO323</f>
        <v>9.7793972711343338E-2</v>
      </c>
      <c r="AP270" s="807">
        <f>AP300/AP323</f>
        <v>9.7793972711343338E-2</v>
      </c>
      <c r="AQ270" s="807"/>
      <c r="AR270" s="807">
        <f>AR300/AR323</f>
        <v>8.6271121616494612E-2</v>
      </c>
      <c r="AS270" s="807">
        <f>AS300/AS323</f>
        <v>8.9827591815317243E-2</v>
      </c>
      <c r="AT270" s="807">
        <f>AT300/AT323</f>
        <v>8.9827591815317243E-2</v>
      </c>
      <c r="AU270" s="290"/>
      <c r="AV270" s="807">
        <f>AV300/AV323</f>
        <v>0.10638549868812119</v>
      </c>
      <c r="AW270" s="808">
        <f>AW300/AW323</f>
        <v>0.10574094082183422</v>
      </c>
      <c r="AX270" s="808">
        <f>AX300/AX323</f>
        <v>0.10574094082183422</v>
      </c>
      <c r="AY270" s="290"/>
      <c r="AZ270" s="807">
        <f>AZ300/AZ323</f>
        <v>9.9175788666358497E-2</v>
      </c>
      <c r="BA270" s="808">
        <f>BA300/BA323</f>
        <v>9.886281588447654E-2</v>
      </c>
      <c r="BB270" s="808">
        <f>BB300/BB323</f>
        <v>9.886281588447654E-2</v>
      </c>
      <c r="BC270" s="290"/>
      <c r="BD270" s="807">
        <f>BD300/BD323</f>
        <v>0.11301887120015278</v>
      </c>
      <c r="BE270" s="808">
        <f>BE300/BE323</f>
        <v>0.12494457403944401</v>
      </c>
      <c r="BF270" s="808">
        <f>BF300/BF323</f>
        <v>0.12494457403944401</v>
      </c>
      <c r="BG270" s="290"/>
      <c r="BH270" s="807">
        <f>BH300/BH323</f>
        <v>0.11989522789843989</v>
      </c>
      <c r="BI270" s="808"/>
      <c r="BJ270" s="808"/>
      <c r="BK270" s="290"/>
      <c r="BL270" s="808"/>
      <c r="BM270" s="808"/>
      <c r="BN270" s="808"/>
      <c r="BO270" s="290"/>
      <c r="BP270" s="808"/>
      <c r="BQ270" s="808"/>
      <c r="BR270" s="808"/>
      <c r="BS270" s="290"/>
      <c r="BT270" s="808"/>
      <c r="BU270" s="808"/>
      <c r="BV270" s="808"/>
      <c r="BW270" s="290"/>
      <c r="BX270" s="808"/>
      <c r="BY270" s="808"/>
      <c r="BZ270" s="808"/>
      <c r="CA270" s="290"/>
      <c r="CB270" s="808"/>
      <c r="CC270" s="808"/>
      <c r="CD270" s="808"/>
      <c r="CE270" s="290"/>
      <c r="CF270" s="808"/>
      <c r="CG270" s="808"/>
      <c r="CH270" s="808"/>
      <c r="CI270" s="290"/>
      <c r="CJ270" s="808"/>
      <c r="CK270" s="808"/>
      <c r="CL270" s="808"/>
      <c r="CM270" s="290"/>
      <c r="CN270" s="808"/>
      <c r="CO270" s="808"/>
      <c r="CP270" s="808"/>
      <c r="CQ270" s="290"/>
      <c r="CR270" s="808"/>
      <c r="CS270" s="808"/>
      <c r="CT270" s="808"/>
      <c r="CU270" s="290"/>
      <c r="CV270" s="808"/>
      <c r="CW270" s="808"/>
      <c r="CX270" s="808"/>
      <c r="CY270" s="290"/>
      <c r="CZ270" s="808"/>
      <c r="DA270" s="808"/>
      <c r="DB270" s="808"/>
      <c r="DC270" s="290"/>
      <c r="DD270" s="808"/>
      <c r="DE270" s="808"/>
      <c r="DF270" s="808"/>
      <c r="DG270" s="290"/>
      <c r="DH270" s="808"/>
      <c r="DI270" s="808"/>
      <c r="DJ270" s="808"/>
      <c r="DK270" s="290"/>
      <c r="DL270" s="808"/>
      <c r="DM270" s="808"/>
      <c r="DN270" s="808"/>
      <c r="DO270" s="290"/>
      <c r="DP270" s="808"/>
      <c r="DQ270" s="808"/>
      <c r="DR270" s="808"/>
      <c r="DS270" s="290"/>
      <c r="DT270"/>
    </row>
    <row r="271" spans="1:124" hidden="1" outlineLevel="1">
      <c r="A271" s="102" t="s">
        <v>312</v>
      </c>
      <c r="AO271" s="763">
        <f>+AO272-AO270</f>
        <v>2.6000346308277536E-2</v>
      </c>
      <c r="AP271" s="763">
        <f>+AP272-AP270</f>
        <v>2.6000346308277536E-2</v>
      </c>
      <c r="AQ271" s="763"/>
      <c r="AR271" s="763">
        <f>+AR272-AR270</f>
        <v>2.3412435194532566E-2</v>
      </c>
      <c r="AS271" s="763">
        <f>+AS272-AS270</f>
        <v>2.439663001217432E-2</v>
      </c>
      <c r="AT271" s="763">
        <f>+AT272-AT270</f>
        <v>2.439663001217432E-2</v>
      </c>
      <c r="AV271" s="763">
        <f>+AV272-AV270</f>
        <v>1.0798789978165552E-2</v>
      </c>
      <c r="AW271" s="764">
        <f>+AW272-AW270</f>
        <v>9.6973210463979775E-3</v>
      </c>
      <c r="AX271" s="764">
        <f>+AX272-AX270</f>
        <v>9.6973210463979775E-3</v>
      </c>
      <c r="AZ271" s="763">
        <f>+AZ272-AZ270</f>
        <v>8.5114244921175169E-3</v>
      </c>
      <c r="BA271" s="764">
        <f>+BA272-BA270</f>
        <v>8.2129963898916886E-3</v>
      </c>
      <c r="BB271" s="764">
        <f>+BB272-BB270</f>
        <v>8.2129963898916886E-3</v>
      </c>
      <c r="BD271" s="763">
        <f>+BD272-BD270</f>
        <v>7.9338900366313081E-3</v>
      </c>
      <c r="BE271" s="764">
        <f>+BE272-BE270</f>
        <v>1.3340787723390729E-2</v>
      </c>
      <c r="BF271" s="764">
        <f>+BF272-BF270</f>
        <v>1.3340787723390729E-2</v>
      </c>
      <c r="BH271" s="763">
        <f>+BH272-BH270</f>
        <v>1.3230345671459157E-2</v>
      </c>
      <c r="BI271" s="764"/>
      <c r="BJ271" s="764"/>
      <c r="BL271" s="764"/>
      <c r="BM271" s="764"/>
      <c r="BN271" s="764"/>
      <c r="BP271" s="764"/>
      <c r="BQ271" s="764"/>
      <c r="BR271" s="764"/>
      <c r="BT271" s="764"/>
      <c r="BU271" s="764"/>
      <c r="BV271" s="764"/>
      <c r="BX271" s="764"/>
      <c r="BY271" s="764"/>
      <c r="BZ271" s="764"/>
      <c r="CB271" s="764"/>
      <c r="CC271" s="764"/>
      <c r="CD271" s="764"/>
      <c r="CF271" s="764"/>
      <c r="CG271" s="764"/>
      <c r="CH271" s="764"/>
      <c r="CJ271" s="764"/>
      <c r="CK271" s="764"/>
      <c r="CL271" s="764"/>
      <c r="CN271" s="764"/>
      <c r="CO271" s="764"/>
      <c r="CP271" s="764"/>
      <c r="CR271" s="764"/>
      <c r="CS271" s="764"/>
      <c r="CT271" s="764"/>
      <c r="CV271" s="764"/>
      <c r="CW271" s="764"/>
      <c r="CX271" s="764"/>
      <c r="CZ271" s="764"/>
      <c r="DA271" s="764"/>
      <c r="DB271" s="764"/>
      <c r="DD271" s="764"/>
      <c r="DE271" s="764"/>
      <c r="DF271" s="764"/>
      <c r="DH271" s="764"/>
      <c r="DI271" s="764"/>
      <c r="DJ271" s="764"/>
      <c r="DL271" s="764"/>
      <c r="DM271" s="764"/>
      <c r="DN271" s="764"/>
      <c r="DP271" s="764"/>
      <c r="DQ271" s="764"/>
      <c r="DR271" s="764"/>
    </row>
    <row r="272" spans="1:124" s="289" customFormat="1" hidden="1" outlineLevel="1">
      <c r="A272" s="289" t="s">
        <v>495</v>
      </c>
      <c r="C272" s="290"/>
      <c r="AN272" s="290"/>
      <c r="AO272" s="807">
        <f>AO299/AO323</f>
        <v>0.12379431901962087</v>
      </c>
      <c r="AP272" s="807">
        <f>AP299/AP323</f>
        <v>0.12379431901962087</v>
      </c>
      <c r="AQ272" s="807"/>
      <c r="AR272" s="807">
        <f>AR299/AR323</f>
        <v>0.10968355681102718</v>
      </c>
      <c r="AS272" s="807">
        <f>AS299/AS323</f>
        <v>0.11422422182749156</v>
      </c>
      <c r="AT272" s="807">
        <f>AT299/AT323</f>
        <v>0.11422422182749156</v>
      </c>
      <c r="AU272" s="290"/>
      <c r="AV272" s="807">
        <f>AV299/AV323</f>
        <v>0.11718428866628675</v>
      </c>
      <c r="AW272" s="808">
        <f>AW299/AW323</f>
        <v>0.11543826186823219</v>
      </c>
      <c r="AX272" s="808">
        <f>AX299/AX323</f>
        <v>0.11543826186823219</v>
      </c>
      <c r="AY272" s="290"/>
      <c r="AZ272" s="807">
        <f>AZ299/AZ323</f>
        <v>0.10768721315847601</v>
      </c>
      <c r="BA272" s="808">
        <f>BA299/BA323</f>
        <v>0.10707581227436823</v>
      </c>
      <c r="BB272" s="808">
        <f>BB299/BB323</f>
        <v>0.10707581227436823</v>
      </c>
      <c r="BC272" s="290"/>
      <c r="BD272" s="807">
        <f>BD299/BD323</f>
        <v>0.12095276123678408</v>
      </c>
      <c r="BE272" s="808">
        <f>BE299/BE323</f>
        <v>0.13828536176283474</v>
      </c>
      <c r="BF272" s="808">
        <f>BF299/BF323</f>
        <v>0.13828536176283474</v>
      </c>
      <c r="BG272" s="290"/>
      <c r="BH272" s="807">
        <f>BH299/BH323</f>
        <v>0.13312557356989904</v>
      </c>
      <c r="BI272" s="808"/>
      <c r="BJ272" s="808"/>
      <c r="BK272" s="290"/>
      <c r="BL272" s="808"/>
      <c r="BM272" s="808"/>
      <c r="BN272" s="808"/>
      <c r="BO272" s="290"/>
      <c r="BP272" s="808"/>
      <c r="BQ272" s="808"/>
      <c r="BR272" s="808"/>
      <c r="BS272" s="290"/>
      <c r="BT272" s="808"/>
      <c r="BU272" s="808"/>
      <c r="BV272" s="808"/>
      <c r="BW272" s="290"/>
      <c r="BX272" s="808"/>
      <c r="BY272" s="808"/>
      <c r="BZ272" s="808"/>
      <c r="CA272" s="290"/>
      <c r="CB272" s="808"/>
      <c r="CC272" s="808"/>
      <c r="CD272" s="808"/>
      <c r="CE272" s="290"/>
      <c r="CF272" s="808"/>
      <c r="CG272" s="808"/>
      <c r="CH272" s="808"/>
      <c r="CI272" s="290"/>
      <c r="CJ272" s="808"/>
      <c r="CK272" s="808"/>
      <c r="CL272" s="808"/>
      <c r="CM272" s="290"/>
      <c r="CN272" s="808"/>
      <c r="CO272" s="808"/>
      <c r="CP272" s="808"/>
      <c r="CQ272" s="290"/>
      <c r="CR272" s="808"/>
      <c r="CS272" s="808"/>
      <c r="CT272" s="808"/>
      <c r="CU272" s="290"/>
      <c r="CV272" s="808"/>
      <c r="CW272" s="808"/>
      <c r="CX272" s="808"/>
      <c r="CY272" s="290"/>
      <c r="CZ272" s="808"/>
      <c r="DA272" s="808"/>
      <c r="DB272" s="808"/>
      <c r="DC272" s="290"/>
      <c r="DD272" s="808"/>
      <c r="DE272" s="808"/>
      <c r="DF272" s="808"/>
      <c r="DG272" s="290"/>
      <c r="DH272" s="808"/>
      <c r="DI272" s="808"/>
      <c r="DJ272" s="808"/>
      <c r="DK272" s="290"/>
      <c r="DL272" s="808"/>
      <c r="DM272" s="808"/>
      <c r="DN272" s="808"/>
      <c r="DO272" s="290"/>
      <c r="DP272" s="808"/>
      <c r="DQ272" s="808"/>
      <c r="DR272" s="808"/>
      <c r="DS272" s="290"/>
      <c r="DT272"/>
    </row>
    <row r="273" spans="1:124" hidden="1" outlineLevel="1">
      <c r="A273" s="102" t="s">
        <v>313</v>
      </c>
      <c r="AO273" s="763">
        <f>AO308/AO323</f>
        <v>5.3498094759963713E-2</v>
      </c>
      <c r="AP273" s="763">
        <f>AP308/AP323</f>
        <v>5.3498094759963713E-2</v>
      </c>
      <c r="AQ273" s="763"/>
      <c r="AR273" s="763">
        <f>AR308/AR323</f>
        <v>4.2688758609878363E-2</v>
      </c>
      <c r="AS273" s="763">
        <f>AS308/AS323</f>
        <v>2.9355944965468769E-2</v>
      </c>
      <c r="AT273" s="763">
        <f>AT308/AT323</f>
        <v>2.9355944965468769E-2</v>
      </c>
      <c r="AV273" s="763">
        <f>AV308/AV323</f>
        <v>1.8299884952246125E-2</v>
      </c>
      <c r="AW273" s="764">
        <f>AW308/AW323</f>
        <v>1.7281935982469607E-2</v>
      </c>
      <c r="AX273" s="764">
        <f>AX308/AX323</f>
        <v>1.7281935982469607E-2</v>
      </c>
      <c r="AZ273" s="763">
        <f>AZ308/AZ323</f>
        <v>2.0636013867103325E-2</v>
      </c>
      <c r="BA273" s="764">
        <f>BA308/BA323</f>
        <v>1.6787003610108302E-2</v>
      </c>
      <c r="BB273" s="764">
        <f>BB308/BB323</f>
        <v>1.6787003610108302E-2</v>
      </c>
      <c r="BD273" s="763">
        <f>BD308/BD323</f>
        <v>3.1145292616447631E-2</v>
      </c>
      <c r="BE273" s="764">
        <f>BE308/BE323</f>
        <v>2.791540552524532E-2</v>
      </c>
      <c r="BF273" s="764">
        <f>BF308/BF323</f>
        <v>2.791540552524532E-2</v>
      </c>
      <c r="BH273" s="763">
        <f>BH308/BH323</f>
        <v>2.2388345059651271E-2</v>
      </c>
      <c r="BI273" s="764"/>
      <c r="BJ273" s="764"/>
      <c r="BL273" s="764"/>
      <c r="BM273" s="764"/>
      <c r="BN273" s="764"/>
      <c r="BP273" s="764"/>
      <c r="BQ273" s="764"/>
      <c r="BR273" s="764"/>
      <c r="BT273" s="764"/>
      <c r="BU273" s="764"/>
      <c r="BV273" s="764"/>
      <c r="BX273" s="764"/>
      <c r="BY273" s="764"/>
      <c r="BZ273" s="764"/>
      <c r="CB273" s="764"/>
      <c r="CC273" s="764"/>
      <c r="CD273" s="764"/>
      <c r="CF273" s="764"/>
      <c r="CG273" s="764"/>
      <c r="CH273" s="764"/>
      <c r="CJ273" s="764"/>
      <c r="CK273" s="764"/>
      <c r="CL273" s="764"/>
      <c r="CN273" s="764"/>
      <c r="CO273" s="764"/>
      <c r="CP273" s="764"/>
      <c r="CR273" s="764"/>
      <c r="CS273" s="764"/>
      <c r="CT273" s="764"/>
      <c r="CV273" s="764"/>
      <c r="CW273" s="764"/>
      <c r="CX273" s="764"/>
      <c r="CZ273" s="764"/>
      <c r="DA273" s="764"/>
      <c r="DB273" s="764"/>
      <c r="DD273" s="764"/>
      <c r="DE273" s="764"/>
      <c r="DF273" s="764"/>
      <c r="DH273" s="764"/>
      <c r="DI273" s="764"/>
      <c r="DJ273" s="764"/>
      <c r="DL273" s="764"/>
      <c r="DM273" s="764"/>
      <c r="DN273" s="764"/>
      <c r="DP273" s="764"/>
      <c r="DQ273" s="764"/>
      <c r="DR273" s="764"/>
    </row>
    <row r="274" spans="1:124" s="289" customFormat="1" hidden="1" outlineLevel="1">
      <c r="A274" s="289" t="s">
        <v>314</v>
      </c>
      <c r="C274" s="290"/>
      <c r="AN274" s="290"/>
      <c r="AO274" s="807">
        <f>+AO310/AO323</f>
        <v>0.1772924137795846</v>
      </c>
      <c r="AP274" s="807">
        <f>+AP310/AP323</f>
        <v>0.1772924137795846</v>
      </c>
      <c r="AQ274" s="807"/>
      <c r="AR274" s="807">
        <f>+AR310/AR323</f>
        <v>0.15237231542090554</v>
      </c>
      <c r="AS274" s="807">
        <f>+AS310/AS323</f>
        <v>0.14358016679296032</v>
      </c>
      <c r="AT274" s="807">
        <f>+AT310/AT323</f>
        <v>0.14358016679296032</v>
      </c>
      <c r="AU274" s="290"/>
      <c r="AV274" s="807">
        <f>+AV310/AV323</f>
        <v>0.13548417361853288</v>
      </c>
      <c r="AW274" s="808">
        <f>+AW310/AW323</f>
        <v>0.1327201978507018</v>
      </c>
      <c r="AX274" s="808">
        <f>+AX310/AX323</f>
        <v>0.1327201978507018</v>
      </c>
      <c r="AY274" s="290"/>
      <c r="AZ274" s="807">
        <f>+AZ310/AZ323</f>
        <v>0.12832322702557936</v>
      </c>
      <c r="BA274" s="808">
        <f>+BA310/BA323</f>
        <v>0.12386281588447653</v>
      </c>
      <c r="BB274" s="808">
        <f>+BB310/BB323</f>
        <v>0.12386281588447653</v>
      </c>
      <c r="BC274" s="290"/>
      <c r="BD274" s="807">
        <f>+BD310/BD323</f>
        <v>0.15209805385323172</v>
      </c>
      <c r="BE274" s="808">
        <f>+BE310/BE323</f>
        <v>0.16620076728808003</v>
      </c>
      <c r="BF274" s="808">
        <f>+BF310/BF323</f>
        <v>0.16620076728808003</v>
      </c>
      <c r="BG274" s="290"/>
      <c r="BH274" s="807">
        <f>+BH310/BH323</f>
        <v>0.15551391862955033</v>
      </c>
      <c r="BI274" s="808"/>
      <c r="BJ274" s="808"/>
      <c r="BK274" s="290"/>
      <c r="BL274" s="808"/>
      <c r="BM274" s="808"/>
      <c r="BN274" s="808"/>
      <c r="BO274" s="290"/>
      <c r="BP274" s="808"/>
      <c r="BQ274" s="808"/>
      <c r="BR274" s="808"/>
      <c r="BS274" s="290"/>
      <c r="BT274" s="808"/>
      <c r="BU274" s="808"/>
      <c r="BV274" s="808"/>
      <c r="BW274" s="290"/>
      <c r="BX274" s="808"/>
      <c r="BY274" s="808"/>
      <c r="BZ274" s="808"/>
      <c r="CA274" s="290"/>
      <c r="CB274" s="808"/>
      <c r="CC274" s="808"/>
      <c r="CD274" s="808"/>
      <c r="CE274" s="290"/>
      <c r="CF274" s="808"/>
      <c r="CG274" s="808"/>
      <c r="CH274" s="808"/>
      <c r="CI274" s="290"/>
      <c r="CJ274" s="808"/>
      <c r="CK274" s="808"/>
      <c r="CL274" s="808"/>
      <c r="CM274" s="290"/>
      <c r="CN274" s="808"/>
      <c r="CO274" s="808"/>
      <c r="CP274" s="808"/>
      <c r="CQ274" s="290"/>
      <c r="CR274" s="808"/>
      <c r="CS274" s="808"/>
      <c r="CT274" s="808"/>
      <c r="CU274" s="290"/>
      <c r="CV274" s="808"/>
      <c r="CW274" s="808"/>
      <c r="CX274" s="808"/>
      <c r="CY274" s="290"/>
      <c r="CZ274" s="808"/>
      <c r="DA274" s="808"/>
      <c r="DB274" s="808"/>
      <c r="DC274" s="290"/>
      <c r="DD274" s="808"/>
      <c r="DE274" s="808"/>
      <c r="DF274" s="808"/>
      <c r="DG274" s="290"/>
      <c r="DH274" s="808"/>
      <c r="DI274" s="808"/>
      <c r="DJ274" s="808"/>
      <c r="DK274" s="290"/>
      <c r="DL274" s="808"/>
      <c r="DM274" s="808"/>
      <c r="DN274" s="808"/>
      <c r="DO274" s="290"/>
      <c r="DP274" s="808"/>
      <c r="DQ274" s="808"/>
      <c r="DR274" s="808"/>
      <c r="DS274" s="290"/>
      <c r="DT274"/>
    </row>
    <row r="275" spans="1:124" hidden="1" outlineLevel="1"/>
    <row r="276" spans="1:124" hidden="1" outlineLevel="1">
      <c r="A276" s="289" t="s">
        <v>564</v>
      </c>
      <c r="AO276" s="295">
        <f>AO300</f>
        <v>3592</v>
      </c>
      <c r="AP276" s="295">
        <f>AP300</f>
        <v>3592</v>
      </c>
      <c r="AR276" s="295">
        <f>AR300</f>
        <v>3379</v>
      </c>
      <c r="AS276" s="295">
        <f>AS300</f>
        <v>3369</v>
      </c>
      <c r="AT276" s="295">
        <f>AT300</f>
        <v>3369</v>
      </c>
      <c r="AV276" s="295">
        <f>AV300</f>
        <v>4581</v>
      </c>
      <c r="AW276" s="295">
        <f>AW300</f>
        <v>5005</v>
      </c>
      <c r="AX276" s="295">
        <f>AX300</f>
        <v>5005</v>
      </c>
      <c r="AZ276" s="295">
        <f>AZ300</f>
        <v>5325</v>
      </c>
      <c r="BA276" s="295">
        <f>BA300</f>
        <v>5477</v>
      </c>
      <c r="BB276" s="295">
        <f>BB300</f>
        <v>5477</v>
      </c>
      <c r="BD276" s="295">
        <f>BD300</f>
        <v>6510</v>
      </c>
      <c r="BE276" s="295">
        <f>BE300</f>
        <v>6481</v>
      </c>
      <c r="BF276" s="295">
        <f>BF300</f>
        <v>6481</v>
      </c>
      <c r="BH276" s="295">
        <f>BH300</f>
        <v>6271</v>
      </c>
      <c r="BI276" s="295"/>
      <c r="BJ276" s="295"/>
      <c r="BL276" s="295"/>
      <c r="BM276" s="295"/>
      <c r="BN276" s="295"/>
      <c r="BP276" s="295"/>
      <c r="BQ276" s="295"/>
      <c r="BR276" s="295"/>
      <c r="BT276" s="295"/>
      <c r="BU276" s="295"/>
      <c r="BV276" s="295"/>
      <c r="BX276" s="295"/>
      <c r="BY276" s="295"/>
      <c r="BZ276" s="295"/>
      <c r="CB276" s="295"/>
      <c r="CC276" s="295"/>
      <c r="CD276" s="295"/>
      <c r="CF276" s="295"/>
      <c r="CG276" s="295"/>
      <c r="CH276" s="295"/>
      <c r="CJ276" s="295"/>
      <c r="CK276" s="295"/>
      <c r="CL276" s="295"/>
      <c r="CN276" s="295"/>
      <c r="CO276" s="295"/>
      <c r="CP276" s="295"/>
      <c r="CR276" s="295"/>
      <c r="CS276" s="295"/>
      <c r="CT276" s="295"/>
      <c r="CV276" s="295"/>
      <c r="CW276" s="1390"/>
      <c r="CX276" s="1390"/>
      <c r="CZ276" s="295"/>
      <c r="DA276" s="295"/>
      <c r="DB276" s="295"/>
      <c r="DD276" s="295"/>
      <c r="DE276" s="295"/>
      <c r="DF276" s="295"/>
      <c r="DH276" s="295"/>
      <c r="DI276" s="295"/>
      <c r="DJ276" s="295"/>
      <c r="DL276" s="295"/>
      <c r="DM276" s="295"/>
      <c r="DN276" s="295"/>
      <c r="DP276" s="295"/>
      <c r="DQ276" s="295"/>
      <c r="DR276" s="295"/>
    </row>
    <row r="277" spans="1:124" hidden="1" outlineLevel="1">
      <c r="A277" s="102" t="s">
        <v>315</v>
      </c>
      <c r="AO277" s="293">
        <f>AO278-AO276</f>
        <v>955</v>
      </c>
      <c r="AP277" s="293">
        <f>AP278-AP276</f>
        <v>955</v>
      </c>
      <c r="AR277" s="293">
        <f>AR278-AR276</f>
        <v>917</v>
      </c>
      <c r="AS277" s="293">
        <f>AS278-AS276</f>
        <v>915</v>
      </c>
      <c r="AT277" s="293">
        <f>AT278-AT276</f>
        <v>915</v>
      </c>
      <c r="AV277" s="293">
        <f>AV278-AV276</f>
        <v>465</v>
      </c>
      <c r="AW277" s="293">
        <f>AW278-AW276</f>
        <v>459</v>
      </c>
      <c r="AX277" s="293">
        <f>AX278-AX276</f>
        <v>459</v>
      </c>
      <c r="AZ277" s="293">
        <f>AZ278-AZ276</f>
        <v>457</v>
      </c>
      <c r="BA277" s="293">
        <f>BA278-BA276</f>
        <v>455</v>
      </c>
      <c r="BB277" s="293">
        <f>BB278-BB276</f>
        <v>455</v>
      </c>
      <c r="BD277" s="293">
        <f>BD278-BD276</f>
        <v>457</v>
      </c>
      <c r="BE277" s="293">
        <f>BE278-BE276</f>
        <v>692</v>
      </c>
      <c r="BF277" s="293">
        <f>BF278-BF276</f>
        <v>692</v>
      </c>
      <c r="BH277" s="293">
        <f>BH278-BH276</f>
        <v>692</v>
      </c>
      <c r="BI277" s="293"/>
      <c r="BJ277" s="293"/>
      <c r="BL277" s="293"/>
      <c r="BM277" s="293"/>
      <c r="BN277" s="293"/>
      <c r="BP277" s="293"/>
      <c r="BQ277" s="293"/>
      <c r="BR277" s="293"/>
      <c r="BT277" s="293"/>
      <c r="BU277" s="293"/>
      <c r="BV277" s="293"/>
      <c r="BX277" s="293"/>
      <c r="BY277" s="293"/>
      <c r="BZ277" s="293"/>
      <c r="CB277" s="293"/>
      <c r="CC277" s="293"/>
      <c r="CD277" s="293"/>
      <c r="CF277" s="293"/>
      <c r="CG277" s="293"/>
      <c r="CH277" s="293"/>
      <c r="CJ277" s="293"/>
      <c r="CK277" s="293"/>
      <c r="CL277" s="293"/>
      <c r="CN277" s="293"/>
      <c r="CO277" s="293"/>
      <c r="CP277" s="293"/>
      <c r="CR277" s="293"/>
      <c r="CS277" s="293"/>
      <c r="CT277" s="293"/>
      <c r="CV277" s="293"/>
      <c r="CW277" s="1495"/>
      <c r="CX277" s="1495"/>
      <c r="CZ277" s="293"/>
      <c r="DA277" s="293"/>
      <c r="DB277" s="293"/>
      <c r="DD277" s="293"/>
      <c r="DE277" s="293"/>
      <c r="DF277" s="293"/>
      <c r="DH277" s="293"/>
      <c r="DI277" s="293"/>
      <c r="DJ277" s="293"/>
      <c r="DL277" s="293"/>
      <c r="DM277" s="293"/>
      <c r="DN277" s="293"/>
      <c r="DP277" s="293"/>
      <c r="DQ277" s="293"/>
      <c r="DR277" s="293"/>
    </row>
    <row r="278" spans="1:124" hidden="1" outlineLevel="1">
      <c r="A278" s="289" t="s">
        <v>563</v>
      </c>
      <c r="AO278" s="295">
        <f>AO299</f>
        <v>4547</v>
      </c>
      <c r="AP278" s="295">
        <f>AP299</f>
        <v>4547</v>
      </c>
      <c r="AR278" s="295">
        <f>AR299</f>
        <v>4296</v>
      </c>
      <c r="AS278" s="295">
        <f>AS299</f>
        <v>4284</v>
      </c>
      <c r="AT278" s="295">
        <f>AT299</f>
        <v>4284</v>
      </c>
      <c r="AV278" s="295">
        <f>AV299</f>
        <v>5046</v>
      </c>
      <c r="AW278" s="295">
        <f>AW299</f>
        <v>5464</v>
      </c>
      <c r="AX278" s="295">
        <f>AX299</f>
        <v>5464</v>
      </c>
      <c r="AZ278" s="295">
        <f>AZ299</f>
        <v>5782</v>
      </c>
      <c r="BA278" s="295">
        <f>BA299</f>
        <v>5932</v>
      </c>
      <c r="BB278" s="295">
        <f>BB299</f>
        <v>5932</v>
      </c>
      <c r="BD278" s="295">
        <f>BD299</f>
        <v>6967</v>
      </c>
      <c r="BE278" s="295">
        <f>BE299</f>
        <v>7173</v>
      </c>
      <c r="BF278" s="295">
        <f>BF299</f>
        <v>7173</v>
      </c>
      <c r="BH278" s="295">
        <f>BH299</f>
        <v>6963</v>
      </c>
      <c r="BI278" s="295"/>
      <c r="BJ278" s="295"/>
      <c r="BL278" s="295"/>
      <c r="BM278" s="295"/>
      <c r="BN278" s="295"/>
      <c r="BP278" s="295"/>
      <c r="BQ278" s="295"/>
      <c r="BR278" s="295"/>
      <c r="BT278" s="295"/>
      <c r="BU278" s="295"/>
      <c r="BV278" s="295"/>
      <c r="BX278" s="295"/>
      <c r="BY278" s="295"/>
      <c r="BZ278" s="295"/>
      <c r="CB278" s="295"/>
      <c r="CC278" s="295"/>
      <c r="CD278" s="295"/>
      <c r="CF278" s="295"/>
      <c r="CG278" s="295"/>
      <c r="CH278" s="295"/>
      <c r="CJ278" s="295"/>
      <c r="CK278" s="295"/>
      <c r="CL278" s="295"/>
      <c r="CN278" s="295"/>
      <c r="CO278" s="295"/>
      <c r="CP278" s="295"/>
      <c r="CR278" s="295"/>
      <c r="CS278" s="295"/>
      <c r="CT278" s="295"/>
      <c r="CV278" s="295"/>
      <c r="CW278" s="1390"/>
      <c r="CX278" s="1390"/>
      <c r="CZ278" s="295"/>
      <c r="DA278" s="295"/>
      <c r="DB278" s="295"/>
      <c r="DD278" s="295"/>
      <c r="DE278" s="295"/>
      <c r="DF278" s="295"/>
      <c r="DH278" s="295"/>
      <c r="DI278" s="295"/>
      <c r="DJ278" s="295"/>
      <c r="DL278" s="295"/>
      <c r="DM278" s="295"/>
      <c r="DN278" s="295"/>
      <c r="DP278" s="295"/>
      <c r="DQ278" s="295"/>
      <c r="DR278" s="295"/>
    </row>
    <row r="279" spans="1:124" hidden="1" outlineLevel="1">
      <c r="A279" s="102" t="s">
        <v>316</v>
      </c>
      <c r="AO279" s="293">
        <f>AO308</f>
        <v>1965</v>
      </c>
      <c r="AP279" s="293">
        <f>AP308</f>
        <v>1965</v>
      </c>
      <c r="AR279" s="293">
        <f>AR308</f>
        <v>1672</v>
      </c>
      <c r="AS279" s="293">
        <f>AS308</f>
        <v>1101</v>
      </c>
      <c r="AT279" s="293">
        <f>AT308</f>
        <v>1101</v>
      </c>
      <c r="AV279" s="293">
        <f>AV308</f>
        <v>788</v>
      </c>
      <c r="AW279" s="293">
        <f>AW308</f>
        <v>818</v>
      </c>
      <c r="AX279" s="293">
        <f>AX308</f>
        <v>818</v>
      </c>
      <c r="AZ279" s="293">
        <f>AZ308</f>
        <v>1108</v>
      </c>
      <c r="BA279" s="293">
        <f>BA308</f>
        <v>930</v>
      </c>
      <c r="BB279" s="293">
        <f>BB308</f>
        <v>930</v>
      </c>
      <c r="BD279" s="293">
        <f>BD308</f>
        <v>1794</v>
      </c>
      <c r="BE279" s="293">
        <f>BE308</f>
        <v>1448</v>
      </c>
      <c r="BF279" s="293">
        <f>BF308</f>
        <v>1448</v>
      </c>
      <c r="BH279" s="293">
        <f>BH308</f>
        <v>1171</v>
      </c>
      <c r="BI279" s="293"/>
      <c r="BJ279" s="293"/>
      <c r="BL279" s="293"/>
      <c r="BM279" s="293"/>
      <c r="BN279" s="293"/>
      <c r="BP279" s="293"/>
      <c r="BQ279" s="293"/>
      <c r="BR279" s="293"/>
      <c r="BT279" s="293"/>
      <c r="BU279" s="293"/>
      <c r="BV279" s="293"/>
      <c r="BX279" s="293"/>
      <c r="BY279" s="293"/>
      <c r="BZ279" s="293"/>
      <c r="CB279" s="293"/>
      <c r="CC279" s="293"/>
      <c r="CD279" s="293"/>
      <c r="CF279" s="293"/>
      <c r="CG279" s="293"/>
      <c r="CH279" s="293"/>
      <c r="CJ279" s="293"/>
      <c r="CK279" s="293"/>
      <c r="CL279" s="293"/>
      <c r="CN279" s="293"/>
      <c r="CO279" s="293"/>
      <c r="CP279" s="293"/>
      <c r="CR279" s="293"/>
      <c r="CS279" s="293"/>
      <c r="CT279" s="293"/>
      <c r="CV279" s="293"/>
      <c r="CW279" s="1495"/>
      <c r="CX279" s="1495"/>
      <c r="CZ279" s="293"/>
      <c r="DA279" s="293"/>
      <c r="DB279" s="293"/>
      <c r="DD279" s="293"/>
      <c r="DE279" s="293"/>
      <c r="DF279" s="293"/>
      <c r="DH279" s="293"/>
      <c r="DI279" s="293"/>
      <c r="DJ279" s="293"/>
      <c r="DL279" s="293"/>
      <c r="DM279" s="293"/>
      <c r="DN279" s="293"/>
      <c r="DP279" s="293"/>
      <c r="DQ279" s="293"/>
      <c r="DR279" s="293"/>
    </row>
    <row r="280" spans="1:124" hidden="1" outlineLevel="1">
      <c r="A280" s="289" t="s">
        <v>317</v>
      </c>
      <c r="AO280" s="295">
        <f>AO310</f>
        <v>6512</v>
      </c>
      <c r="AP280" s="295">
        <f>AP310</f>
        <v>6512</v>
      </c>
      <c r="AR280" s="295">
        <f>AR310</f>
        <v>5968</v>
      </c>
      <c r="AS280" s="295">
        <f>AS310</f>
        <v>5385</v>
      </c>
      <c r="AT280" s="295">
        <f>AT310</f>
        <v>5385</v>
      </c>
      <c r="AV280" s="295">
        <f>AV310</f>
        <v>5834</v>
      </c>
      <c r="AW280" s="295">
        <f>AW310</f>
        <v>6282</v>
      </c>
      <c r="AX280" s="295">
        <f>AX310</f>
        <v>6282</v>
      </c>
      <c r="AZ280" s="295">
        <f>AZ310</f>
        <v>6890</v>
      </c>
      <c r="BA280" s="295">
        <f>BA310</f>
        <v>6862</v>
      </c>
      <c r="BB280" s="295">
        <f>BB310</f>
        <v>6862</v>
      </c>
      <c r="BD280" s="295">
        <f>BD310</f>
        <v>8761</v>
      </c>
      <c r="BE280" s="295">
        <f>BE310</f>
        <v>8621</v>
      </c>
      <c r="BF280" s="295">
        <f>BF310</f>
        <v>8621</v>
      </c>
      <c r="BH280" s="295">
        <f>BH310</f>
        <v>8134</v>
      </c>
      <c r="BI280" s="295"/>
      <c r="BJ280" s="295"/>
      <c r="BL280" s="295"/>
      <c r="BM280" s="295"/>
      <c r="BN280" s="295"/>
      <c r="BP280" s="295"/>
      <c r="BQ280" s="295"/>
      <c r="BR280" s="295"/>
      <c r="BT280" s="295"/>
      <c r="BU280" s="295"/>
      <c r="BV280" s="295"/>
      <c r="BX280" s="295"/>
      <c r="BY280" s="295"/>
      <c r="BZ280" s="295"/>
      <c r="CB280" s="295"/>
      <c r="CC280" s="295"/>
      <c r="CD280" s="295"/>
      <c r="CF280" s="295"/>
      <c r="CG280" s="295"/>
      <c r="CH280" s="295"/>
      <c r="CJ280" s="295"/>
      <c r="CK280" s="295"/>
      <c r="CL280" s="295"/>
      <c r="CN280" s="295"/>
      <c r="CO280" s="295"/>
      <c r="CP280" s="295"/>
      <c r="CR280" s="295"/>
      <c r="CS280" s="295"/>
      <c r="CT280" s="295"/>
      <c r="CV280" s="295"/>
      <c r="CW280" s="1390"/>
      <c r="CX280" s="1390"/>
      <c r="CZ280" s="295"/>
      <c r="DA280" s="295"/>
      <c r="DB280" s="295"/>
      <c r="DD280" s="295"/>
      <c r="DE280" s="295"/>
      <c r="DF280" s="295"/>
      <c r="DH280" s="295"/>
      <c r="DI280" s="295"/>
      <c r="DJ280" s="295"/>
      <c r="DL280" s="295"/>
      <c r="DM280" s="295"/>
      <c r="DN280" s="295"/>
      <c r="DP280" s="295"/>
      <c r="DQ280" s="295"/>
      <c r="DR280" s="295"/>
    </row>
    <row r="281" spans="1:124" hidden="1" outlineLevel="1"/>
    <row r="282" spans="1:124" hidden="1" outlineLevel="1">
      <c r="A282" s="289" t="s">
        <v>279</v>
      </c>
    </row>
    <row r="283" spans="1:124" hidden="1" outlineLevel="1">
      <c r="A283" s="102" t="s">
        <v>100</v>
      </c>
      <c r="AN283" s="293"/>
      <c r="AO283" s="626">
        <v>3604</v>
      </c>
      <c r="AP283" s="293">
        <f>AO283</f>
        <v>3604</v>
      </c>
      <c r="AQ283" s="293"/>
      <c r="AR283" s="626">
        <v>3927</v>
      </c>
      <c r="AS283" s="626">
        <v>4560</v>
      </c>
      <c r="AT283" s="293">
        <f>AS283</f>
        <v>4560</v>
      </c>
      <c r="AV283" s="626">
        <f>5250</f>
        <v>5250</v>
      </c>
      <c r="AW283" s="626">
        <v>6595</v>
      </c>
      <c r="AX283" s="293">
        <f>AW283</f>
        <v>6595</v>
      </c>
      <c r="AZ283" s="626">
        <v>7235</v>
      </c>
      <c r="BA283" s="626">
        <v>7379</v>
      </c>
      <c r="BB283" s="293">
        <f>BA283</f>
        <v>7379</v>
      </c>
      <c r="BD283" s="626">
        <v>7689</v>
      </c>
      <c r="BE283" s="626">
        <v>7685</v>
      </c>
      <c r="BF283" s="293">
        <f>BE283</f>
        <v>7685</v>
      </c>
      <c r="BH283" s="626">
        <v>7690</v>
      </c>
      <c r="BI283" s="626"/>
      <c r="BJ283" s="293"/>
      <c r="BL283" s="293"/>
      <c r="BM283" s="293"/>
      <c r="BN283" s="293"/>
      <c r="BP283" s="293"/>
      <c r="BQ283" s="293"/>
      <c r="BR283" s="293"/>
      <c r="BT283" s="293"/>
      <c r="BU283" s="293"/>
      <c r="BV283" s="293"/>
      <c r="BX283" s="293"/>
      <c r="BY283" s="293"/>
      <c r="BZ283" s="293"/>
      <c r="CB283" s="293"/>
      <c r="CC283" s="293"/>
      <c r="CD283" s="293"/>
      <c r="CF283" s="293"/>
      <c r="CG283" s="293"/>
      <c r="CH283" s="293"/>
      <c r="CJ283" s="293"/>
      <c r="CK283" s="293"/>
      <c r="CL283" s="293"/>
      <c r="CN283" s="293"/>
      <c r="CO283" s="293"/>
      <c r="CP283" s="293"/>
      <c r="CR283" s="293"/>
      <c r="CS283" s="293"/>
      <c r="CT283" s="293"/>
      <c r="CV283" s="293"/>
      <c r="CW283" s="1495"/>
      <c r="CX283" s="1495"/>
      <c r="CZ283" s="293"/>
      <c r="DA283" s="293"/>
      <c r="DB283" s="293"/>
      <c r="DD283" s="293"/>
      <c r="DE283" s="293"/>
      <c r="DF283" s="293"/>
      <c r="DH283" s="293"/>
      <c r="DI283" s="293"/>
      <c r="DJ283" s="293"/>
      <c r="DL283" s="293"/>
      <c r="DM283" s="293"/>
      <c r="DN283" s="293"/>
      <c r="DP283" s="293"/>
      <c r="DQ283" s="293"/>
      <c r="DR283" s="293"/>
    </row>
    <row r="284" spans="1:124" hidden="1" outlineLevel="1">
      <c r="A284" s="102" t="s">
        <v>130</v>
      </c>
      <c r="AN284" s="293"/>
      <c r="AO284" s="626">
        <v>170</v>
      </c>
      <c r="AP284" s="293">
        <f>AO284</f>
        <v>170</v>
      </c>
      <c r="AQ284" s="293"/>
      <c r="AR284" s="626">
        <v>180</v>
      </c>
      <c r="AS284" s="626">
        <v>190</v>
      </c>
      <c r="AT284" s="293">
        <f>AS284</f>
        <v>190</v>
      </c>
      <c r="AV284" s="626">
        <v>186</v>
      </c>
      <c r="AW284" s="626">
        <v>-86</v>
      </c>
      <c r="AX284" s="293">
        <f>AW284</f>
        <v>-86</v>
      </c>
      <c r="AZ284" s="626">
        <v>-257</v>
      </c>
      <c r="BA284" s="626">
        <v>-457</v>
      </c>
      <c r="BB284" s="293">
        <f>BA284</f>
        <v>-457</v>
      </c>
      <c r="BD284" s="626">
        <v>-185</v>
      </c>
      <c r="BE284" s="626">
        <v>-654</v>
      </c>
      <c r="BF284" s="293">
        <f>BE284</f>
        <v>-654</v>
      </c>
      <c r="BH284" s="626">
        <v>-592</v>
      </c>
      <c r="BI284" s="626"/>
      <c r="BJ284" s="293"/>
      <c r="BL284" s="293"/>
      <c r="BM284" s="293"/>
      <c r="BN284" s="293"/>
      <c r="BP284" s="293"/>
      <c r="BQ284" s="293"/>
      <c r="BR284" s="293"/>
      <c r="BT284" s="293"/>
      <c r="BU284" s="293"/>
      <c r="BV284" s="293"/>
      <c r="BX284" s="293"/>
      <c r="BY284" s="293"/>
      <c r="BZ284" s="293"/>
      <c r="CB284" s="293"/>
      <c r="CC284" s="293"/>
      <c r="CD284" s="293"/>
      <c r="CF284" s="293"/>
      <c r="CG284" s="293"/>
      <c r="CH284" s="293"/>
      <c r="CJ284" s="293"/>
      <c r="CK284" s="293"/>
      <c r="CL284" s="293"/>
      <c r="CN284" s="293"/>
      <c r="CO284" s="293"/>
      <c r="CP284" s="293"/>
      <c r="CR284" s="293"/>
      <c r="CS284" s="293"/>
      <c r="CT284" s="293"/>
      <c r="CV284" s="293"/>
      <c r="CW284" s="1495"/>
      <c r="CX284" s="1495"/>
      <c r="CZ284" s="293"/>
      <c r="DA284" s="293"/>
      <c r="DB284" s="293"/>
      <c r="DD284" s="293"/>
      <c r="DE284" s="293"/>
      <c r="DF284" s="293"/>
      <c r="DH284" s="293"/>
      <c r="DI284" s="293"/>
      <c r="DJ284" s="293"/>
      <c r="DL284" s="293"/>
      <c r="DM284" s="293"/>
      <c r="DN284" s="293"/>
      <c r="DP284" s="293"/>
      <c r="DQ284" s="293"/>
      <c r="DR284" s="293"/>
    </row>
    <row r="285" spans="1:124" hidden="1" outlineLevel="1">
      <c r="A285" s="102" t="s">
        <v>144</v>
      </c>
      <c r="AN285" s="293"/>
      <c r="AO285" s="626">
        <v>1025</v>
      </c>
      <c r="AP285" s="293">
        <f>AO285</f>
        <v>1025</v>
      </c>
      <c r="AQ285" s="293"/>
      <c r="AR285" s="626">
        <v>884</v>
      </c>
      <c r="AS285" s="626">
        <v>882</v>
      </c>
      <c r="AT285" s="293">
        <f>AS285</f>
        <v>882</v>
      </c>
      <c r="AV285" s="626">
        <v>1070</v>
      </c>
      <c r="AW285" s="626">
        <v>962</v>
      </c>
      <c r="AX285" s="293">
        <f>AW285</f>
        <v>962</v>
      </c>
      <c r="AZ285" s="626">
        <v>1011</v>
      </c>
      <c r="BA285" s="626">
        <v>1142</v>
      </c>
      <c r="BB285" s="293">
        <f>BA285</f>
        <v>1142</v>
      </c>
      <c r="BD285" s="626">
        <v>1260</v>
      </c>
      <c r="BE285" s="626">
        <v>1338</v>
      </c>
      <c r="BF285" s="293">
        <f>BE285</f>
        <v>1338</v>
      </c>
      <c r="BH285" s="626">
        <v>932</v>
      </c>
      <c r="BI285" s="626"/>
      <c r="BJ285" s="293"/>
      <c r="BL285" s="293"/>
      <c r="BM285" s="293"/>
      <c r="BN285" s="293"/>
      <c r="BP285" s="293"/>
      <c r="BQ285" s="293"/>
      <c r="BR285" s="293"/>
      <c r="BT285" s="293"/>
      <c r="BU285" s="293"/>
      <c r="BV285" s="293"/>
      <c r="BX285" s="293"/>
      <c r="BY285" s="293"/>
      <c r="BZ285" s="293"/>
      <c r="CB285" s="293"/>
      <c r="CC285" s="293"/>
      <c r="CD285" s="293"/>
      <c r="CF285" s="293"/>
      <c r="CG285" s="293"/>
      <c r="CH285" s="293"/>
      <c r="CJ285" s="293"/>
      <c r="CK285" s="293"/>
      <c r="CL285" s="293"/>
      <c r="CN285" s="293"/>
      <c r="CO285" s="293"/>
      <c r="CP285" s="293"/>
      <c r="CR285" s="293"/>
      <c r="CS285" s="293"/>
      <c r="CT285" s="293"/>
      <c r="CV285" s="293"/>
      <c r="CW285" s="1495"/>
      <c r="CX285" s="1495"/>
      <c r="CZ285" s="293"/>
      <c r="DA285" s="293"/>
      <c r="DB285" s="293"/>
      <c r="DD285" s="293"/>
      <c r="DE285" s="293"/>
      <c r="DF285" s="293"/>
      <c r="DH285" s="293"/>
      <c r="DI285" s="293"/>
      <c r="DJ285" s="293"/>
      <c r="DL285" s="293"/>
      <c r="DM285" s="293"/>
      <c r="DN285" s="293"/>
      <c r="DP285" s="293"/>
      <c r="DQ285" s="293"/>
      <c r="DR285" s="293"/>
    </row>
    <row r="286" spans="1:124" hidden="1" outlineLevel="1">
      <c r="A286" s="102" t="s">
        <v>318</v>
      </c>
      <c r="AN286" s="293"/>
      <c r="AO286" s="626">
        <v>955</v>
      </c>
      <c r="AP286" s="293">
        <f>AO286</f>
        <v>955</v>
      </c>
      <c r="AQ286" s="293"/>
      <c r="AR286" s="626">
        <v>917</v>
      </c>
      <c r="AS286" s="626">
        <v>915</v>
      </c>
      <c r="AT286" s="293">
        <f>AS286</f>
        <v>915</v>
      </c>
      <c r="AV286" s="626">
        <v>465</v>
      </c>
      <c r="AW286" s="626">
        <v>459</v>
      </c>
      <c r="AX286" s="293">
        <f>AW286</f>
        <v>459</v>
      </c>
      <c r="AZ286" s="626">
        <v>457</v>
      </c>
      <c r="BA286" s="626">
        <v>455</v>
      </c>
      <c r="BB286" s="293">
        <f>BA286</f>
        <v>455</v>
      </c>
      <c r="BD286" s="626">
        <v>457</v>
      </c>
      <c r="BE286" s="626">
        <v>692</v>
      </c>
      <c r="BF286" s="293">
        <f>BE286</f>
        <v>692</v>
      </c>
      <c r="BH286" s="626">
        <v>692</v>
      </c>
      <c r="BI286" s="626"/>
      <c r="BJ286" s="293"/>
      <c r="BL286" s="293"/>
      <c r="BM286" s="293"/>
      <c r="BN286" s="293"/>
      <c r="BP286" s="293"/>
      <c r="BQ286" s="293"/>
      <c r="BR286" s="293"/>
      <c r="BT286" s="293"/>
      <c r="BU286" s="293"/>
      <c r="BV286" s="293"/>
      <c r="BX286" s="293"/>
      <c r="BY286" s="293"/>
      <c r="BZ286" s="293"/>
      <c r="CB286" s="293"/>
      <c r="CC286" s="293"/>
      <c r="CD286" s="293"/>
      <c r="CF286" s="293"/>
      <c r="CG286" s="293"/>
      <c r="CH286" s="293"/>
      <c r="CJ286" s="293"/>
      <c r="CK286" s="293"/>
      <c r="CL286" s="293"/>
      <c r="CN286" s="293"/>
      <c r="CO286" s="293"/>
      <c r="CP286" s="293"/>
      <c r="CR286" s="293"/>
      <c r="CS286" s="293"/>
      <c r="CT286" s="293"/>
      <c r="CV286" s="293"/>
      <c r="CW286" s="1495"/>
      <c r="CX286" s="1495"/>
      <c r="CZ286" s="293"/>
      <c r="DA286" s="293"/>
      <c r="DB286" s="293"/>
      <c r="DD286" s="293"/>
      <c r="DE286" s="293"/>
      <c r="DF286" s="293"/>
      <c r="DH286" s="293"/>
      <c r="DI286" s="293"/>
      <c r="DJ286" s="293"/>
      <c r="DL286" s="293"/>
      <c r="DM286" s="293"/>
      <c r="DN286" s="293"/>
      <c r="DP286" s="293"/>
      <c r="DQ286" s="293"/>
      <c r="DR286" s="293"/>
    </row>
    <row r="287" spans="1:124" hidden="1" outlineLevel="1">
      <c r="A287" s="289" t="s">
        <v>279</v>
      </c>
      <c r="AN287" s="293"/>
      <c r="AO287" s="295">
        <f>SUM(AO283:AO286)</f>
        <v>5754</v>
      </c>
      <c r="AP287" s="295">
        <f>SUM(AP283:AP286)</f>
        <v>5754</v>
      </c>
      <c r="AQ287" s="293"/>
      <c r="AR287" s="295">
        <f>SUM(AR283:AR286)</f>
        <v>5908</v>
      </c>
      <c r="AS287" s="295">
        <f>SUM(AS283:AS286)</f>
        <v>6547</v>
      </c>
      <c r="AT287" s="295">
        <f>SUM(AT283:AT286)</f>
        <v>6547</v>
      </c>
      <c r="AV287" s="295">
        <f>SUM(AV283:AV286)</f>
        <v>6971</v>
      </c>
      <c r="AW287" s="295">
        <f>SUM(AW283:AW286)</f>
        <v>7930</v>
      </c>
      <c r="AX287" s="295">
        <f>SUM(AX283:AX286)</f>
        <v>7930</v>
      </c>
      <c r="AZ287" s="295">
        <f>SUM(AZ283:AZ286)</f>
        <v>8446</v>
      </c>
      <c r="BA287" s="295">
        <f>SUM(BA283:BA286)</f>
        <v>8519</v>
      </c>
      <c r="BB287" s="295">
        <f>SUM(BB283:BB286)</f>
        <v>8519</v>
      </c>
      <c r="BD287" s="295">
        <f>SUM(BD283:BD286)</f>
        <v>9221</v>
      </c>
      <c r="BE287" s="295">
        <f>SUM(BE283:BE286)</f>
        <v>9061</v>
      </c>
      <c r="BF287" s="295">
        <f>SUM(BF283:BF286)</f>
        <v>9061</v>
      </c>
      <c r="BH287" s="295">
        <f>SUM(BH283:BH286)</f>
        <v>8722</v>
      </c>
      <c r="BI287" s="295"/>
      <c r="BJ287" s="295"/>
      <c r="BL287" s="295"/>
      <c r="BM287" s="295"/>
      <c r="BN287" s="295"/>
      <c r="BP287" s="295"/>
      <c r="BQ287" s="295"/>
      <c r="BR287" s="295"/>
      <c r="BT287" s="295"/>
      <c r="BU287" s="295"/>
      <c r="BV287" s="295"/>
      <c r="BX287" s="295"/>
      <c r="BY287" s="295"/>
      <c r="BZ287" s="295"/>
      <c r="CB287" s="295"/>
      <c r="CC287" s="295"/>
      <c r="CD287" s="295"/>
      <c r="CF287" s="295"/>
      <c r="CG287" s="295"/>
      <c r="CH287" s="295"/>
      <c r="CJ287" s="295"/>
      <c r="CK287" s="295"/>
      <c r="CL287" s="295"/>
      <c r="CN287" s="295"/>
      <c r="CO287" s="295"/>
      <c r="CP287" s="295"/>
      <c r="CR287" s="295"/>
      <c r="CS287" s="295"/>
      <c r="CT287" s="295"/>
      <c r="CV287" s="295"/>
      <c r="CW287" s="1390"/>
      <c r="CX287" s="1390"/>
      <c r="CZ287" s="295"/>
      <c r="DA287" s="295"/>
      <c r="DB287" s="295"/>
      <c r="DD287" s="295"/>
      <c r="DE287" s="295"/>
      <c r="DF287" s="295"/>
      <c r="DH287" s="295"/>
      <c r="DI287" s="295"/>
      <c r="DJ287" s="295"/>
      <c r="DL287" s="295"/>
      <c r="DM287" s="295"/>
      <c r="DN287" s="295"/>
      <c r="DP287" s="295"/>
      <c r="DQ287" s="295"/>
      <c r="DR287" s="295"/>
    </row>
    <row r="288" spans="1:124" hidden="1" outlineLevel="1">
      <c r="A288" s="289" t="s">
        <v>319</v>
      </c>
      <c r="AN288" s="293"/>
      <c r="AO288" s="293"/>
      <c r="AP288" s="293"/>
      <c r="AQ288" s="293"/>
      <c r="AR288" s="293"/>
      <c r="AS288" s="293"/>
      <c r="AT288" s="293"/>
      <c r="AV288" s="293"/>
      <c r="AW288" s="293"/>
      <c r="AX288" s="293"/>
      <c r="AZ288" s="293"/>
      <c r="BA288" s="293"/>
      <c r="BB288" s="293"/>
      <c r="BD288" s="293"/>
      <c r="BE288" s="293"/>
      <c r="BF288" s="293"/>
      <c r="BH288" s="293"/>
      <c r="BI288" s="293"/>
      <c r="BJ288" s="293"/>
      <c r="BL288" s="293"/>
      <c r="BM288" s="293"/>
      <c r="BN288" s="293"/>
      <c r="BP288" s="293"/>
      <c r="BQ288" s="293"/>
      <c r="BR288" s="293"/>
      <c r="BT288" s="293"/>
      <c r="BU288" s="293"/>
      <c r="BV288" s="293"/>
      <c r="BX288" s="293"/>
      <c r="BY288" s="293"/>
      <c r="BZ288" s="293"/>
      <c r="CB288" s="293"/>
      <c r="CC288" s="293"/>
      <c r="CD288" s="293"/>
      <c r="CF288" s="293"/>
      <c r="CG288" s="293"/>
      <c r="CH288" s="293"/>
      <c r="CJ288" s="293"/>
      <c r="CK288" s="293"/>
      <c r="CL288" s="293"/>
      <c r="CN288" s="293"/>
      <c r="CO288" s="293"/>
      <c r="CP288" s="293"/>
      <c r="CR288" s="293"/>
      <c r="CS288" s="293"/>
      <c r="CT288" s="293"/>
      <c r="CV288" s="293"/>
      <c r="CW288" s="1495"/>
      <c r="CX288" s="1495"/>
      <c r="CZ288" s="293"/>
      <c r="DA288" s="293"/>
      <c r="DB288" s="293"/>
      <c r="DD288" s="293"/>
      <c r="DE288" s="293"/>
      <c r="DF288" s="293"/>
      <c r="DH288" s="293"/>
      <c r="DI288" s="293"/>
      <c r="DJ288" s="293"/>
      <c r="DL288" s="293"/>
      <c r="DM288" s="293"/>
      <c r="DN288" s="293"/>
      <c r="DP288" s="293"/>
      <c r="DQ288" s="293"/>
      <c r="DR288" s="293"/>
    </row>
    <row r="289" spans="1:122" hidden="1" outlineLevel="1">
      <c r="A289" s="102" t="s">
        <v>320</v>
      </c>
      <c r="AN289" s="293"/>
      <c r="AO289" s="626">
        <v>-62</v>
      </c>
      <c r="AP289" s="293">
        <f>AO289</f>
        <v>-62</v>
      </c>
      <c r="AQ289" s="293"/>
      <c r="AR289" s="626">
        <v>-121</v>
      </c>
      <c r="AS289" s="626">
        <v>-162</v>
      </c>
      <c r="AT289" s="293">
        <f>AS289</f>
        <v>-162</v>
      </c>
      <c r="AV289" s="626">
        <v>-135</v>
      </c>
      <c r="AW289" s="626">
        <v>-193</v>
      </c>
      <c r="AX289" s="293">
        <f>AW289</f>
        <v>-193</v>
      </c>
      <c r="AZ289" s="626">
        <v>-193</v>
      </c>
      <c r="BA289" s="626">
        <v>-181</v>
      </c>
      <c r="BB289" s="293">
        <f>BA289</f>
        <v>-181</v>
      </c>
      <c r="BD289" s="626">
        <v>-143</v>
      </c>
      <c r="BE289" s="626">
        <v>-138</v>
      </c>
      <c r="BF289" s="293">
        <f>BE289</f>
        <v>-138</v>
      </c>
      <c r="BH289" s="626">
        <v>-133</v>
      </c>
      <c r="BI289" s="626"/>
      <c r="BJ289" s="293"/>
      <c r="BL289" s="293"/>
      <c r="BM289" s="293"/>
      <c r="BN289" s="293"/>
      <c r="BP289" s="293"/>
      <c r="BQ289" s="293"/>
      <c r="BR289" s="293"/>
      <c r="BT289" s="293"/>
      <c r="BU289" s="293"/>
      <c r="BV289" s="293"/>
      <c r="BX289" s="293"/>
      <c r="BY289" s="293"/>
      <c r="BZ289" s="293"/>
      <c r="CB289" s="293"/>
      <c r="CC289" s="293"/>
      <c r="CD289" s="293"/>
      <c r="CF289" s="293"/>
      <c r="CG289" s="293"/>
      <c r="CH289" s="293"/>
      <c r="CJ289" s="293"/>
      <c r="CK289" s="293"/>
      <c r="CL289" s="293"/>
      <c r="CN289" s="293"/>
      <c r="CO289" s="293"/>
      <c r="CP289" s="293"/>
      <c r="CR289" s="293"/>
      <c r="CS289" s="293"/>
      <c r="CT289" s="293"/>
      <c r="CV289" s="293"/>
      <c r="CW289" s="1495"/>
      <c r="CX289" s="1495"/>
      <c r="CZ289" s="293"/>
      <c r="DA289" s="293"/>
      <c r="DB289" s="293"/>
      <c r="DD289" s="293"/>
      <c r="DE289" s="293"/>
      <c r="DF289" s="293"/>
      <c r="DH289" s="293"/>
      <c r="DI289" s="293"/>
      <c r="DJ289" s="293"/>
      <c r="DL289" s="293"/>
      <c r="DM289" s="293"/>
      <c r="DN289" s="293"/>
      <c r="DP289" s="293"/>
      <c r="DQ289" s="293"/>
      <c r="DR289" s="293"/>
    </row>
    <row r="290" spans="1:122" hidden="1" outlineLevel="1">
      <c r="A290" s="302" t="s">
        <v>321</v>
      </c>
      <c r="B290" s="302"/>
      <c r="C290" s="304"/>
      <c r="D290" s="302"/>
      <c r="E290" s="302"/>
      <c r="F290" s="302"/>
      <c r="G290" s="302"/>
      <c r="H290" s="302"/>
      <c r="I290" s="302"/>
      <c r="J290" s="302"/>
      <c r="K290" s="302"/>
      <c r="L290" s="302"/>
      <c r="M290" s="302"/>
      <c r="N290" s="302"/>
      <c r="O290" s="302"/>
      <c r="P290" s="302"/>
      <c r="Q290" s="302"/>
      <c r="R290" s="302"/>
      <c r="S290" s="302"/>
      <c r="T290" s="302"/>
      <c r="U290" s="302"/>
      <c r="V290" s="302"/>
      <c r="W290" s="302"/>
      <c r="X290" s="302"/>
      <c r="Y290" s="302"/>
      <c r="Z290" s="302"/>
      <c r="AA290" s="302"/>
      <c r="AB290" s="302"/>
      <c r="AC290" s="302"/>
      <c r="AD290" s="302"/>
      <c r="AE290" s="302"/>
      <c r="AF290" s="302"/>
      <c r="AG290" s="302"/>
      <c r="AH290" s="302"/>
      <c r="AI290" s="302"/>
      <c r="AJ290" s="302"/>
      <c r="AK290" s="302"/>
      <c r="AL290" s="302"/>
      <c r="AM290" s="302"/>
      <c r="AN290" s="304"/>
      <c r="AO290" s="627">
        <f>-68-72-48-252-1-97</f>
        <v>-538</v>
      </c>
      <c r="AP290" s="303">
        <f>AO290</f>
        <v>-538</v>
      </c>
      <c r="AQ290" s="304"/>
      <c r="AR290" s="627">
        <f>-269-71-55-215-17-146</f>
        <v>-773</v>
      </c>
      <c r="AS290" s="627">
        <f>-53-340-128-170-127-357</f>
        <v>-1175</v>
      </c>
      <c r="AT290" s="303">
        <f>AS290</f>
        <v>-1175</v>
      </c>
      <c r="AU290" s="304"/>
      <c r="AV290" s="627">
        <f>-426-20-139-142-197-1</f>
        <v>-925</v>
      </c>
      <c r="AW290" s="627">
        <f>+-434-49-621-132-283</f>
        <v>-1519</v>
      </c>
      <c r="AX290" s="303">
        <f>AW290</f>
        <v>-1519</v>
      </c>
      <c r="AY290" s="304"/>
      <c r="AZ290" s="627">
        <f>-381-66-610-131-252</f>
        <v>-1440</v>
      </c>
      <c r="BA290" s="627">
        <f>-291-51-583-97-231</f>
        <v>-1253</v>
      </c>
      <c r="BB290" s="303">
        <f>BA290</f>
        <v>-1253</v>
      </c>
      <c r="BC290" s="304"/>
      <c r="BD290" s="627">
        <f>-123-82-631-97-279</f>
        <v>-1212</v>
      </c>
      <c r="BE290" s="627">
        <f>-104-38-608-85-256</f>
        <v>-1091</v>
      </c>
      <c r="BF290" s="303">
        <f>BE290</f>
        <v>-1091</v>
      </c>
      <c r="BG290" s="304"/>
      <c r="BH290" s="303">
        <f>BH291-BH289</f>
        <v>-1035</v>
      </c>
      <c r="BI290" s="293"/>
      <c r="BJ290" s="293"/>
      <c r="BL290" s="487"/>
      <c r="BM290" s="487"/>
      <c r="BN290" s="293"/>
      <c r="BP290" s="487"/>
      <c r="BQ290" s="487"/>
      <c r="BR290" s="293"/>
      <c r="BT290" s="487"/>
      <c r="BU290" s="487"/>
      <c r="BV290" s="293"/>
      <c r="BX290" s="487"/>
      <c r="BY290" s="487"/>
      <c r="BZ290" s="293"/>
      <c r="CB290" s="487"/>
      <c r="CC290" s="487"/>
      <c r="CD290" s="293"/>
      <c r="CF290" s="487"/>
      <c r="CG290" s="487"/>
      <c r="CH290" s="293"/>
      <c r="CJ290" s="487"/>
      <c r="CK290" s="487"/>
      <c r="CL290" s="293"/>
      <c r="CN290" s="487"/>
      <c r="CO290" s="487"/>
      <c r="CP290" s="293"/>
      <c r="CR290" s="487"/>
      <c r="CS290" s="487"/>
      <c r="CT290" s="293"/>
      <c r="CV290" s="487"/>
      <c r="CW290" s="1838"/>
      <c r="CX290" s="1495"/>
      <c r="CZ290" s="487"/>
      <c r="DA290" s="487"/>
      <c r="DB290" s="293"/>
      <c r="DD290" s="487"/>
      <c r="DE290" s="487"/>
      <c r="DF290" s="293"/>
      <c r="DH290" s="487"/>
      <c r="DI290" s="487"/>
      <c r="DJ290" s="293"/>
      <c r="DL290" s="487"/>
      <c r="DM290" s="487"/>
      <c r="DN290" s="293"/>
      <c r="DP290" s="487"/>
      <c r="DQ290" s="487"/>
      <c r="DR290" s="293"/>
    </row>
    <row r="291" spans="1:122" hidden="1" outlineLevel="1">
      <c r="A291" s="289" t="s">
        <v>319</v>
      </c>
      <c r="AO291" s="295">
        <f>SUM(AO289:AO290)</f>
        <v>-600</v>
      </c>
      <c r="AP291" s="295">
        <f>SUM(AP289:AP290)</f>
        <v>-600</v>
      </c>
      <c r="AR291" s="295">
        <f>SUM(AR289:AR290)</f>
        <v>-894</v>
      </c>
      <c r="AS291" s="295">
        <f>SUM(AS289:AS290)</f>
        <v>-1337</v>
      </c>
      <c r="AT291" s="295">
        <f>SUM(AT289:AT290)</f>
        <v>-1337</v>
      </c>
      <c r="AV291" s="295">
        <f>SUM(AV289:AV290)</f>
        <v>-1060</v>
      </c>
      <c r="AW291" s="295">
        <f>SUM(AW289:AW290)</f>
        <v>-1712</v>
      </c>
      <c r="AX291" s="295">
        <f>SUM(AX289:AX290)</f>
        <v>-1712</v>
      </c>
      <c r="AZ291" s="295">
        <f>SUM(AZ289:AZ290)</f>
        <v>-1633</v>
      </c>
      <c r="BA291" s="295">
        <f>SUM(BA289:BA290)</f>
        <v>-1434</v>
      </c>
      <c r="BB291" s="295">
        <f>SUM(BB289:BB290)</f>
        <v>-1434</v>
      </c>
      <c r="BD291" s="295">
        <f>SUM(BD289:BD290)</f>
        <v>-1355</v>
      </c>
      <c r="BE291" s="295">
        <f>SUM(BE289:BE290)</f>
        <v>-1229</v>
      </c>
      <c r="BF291" s="295">
        <f>SUM(BF289:BF290)</f>
        <v>-1229</v>
      </c>
      <c r="BH291" s="655">
        <v>-1168</v>
      </c>
      <c r="BI291" s="626"/>
      <c r="BJ291" s="295"/>
      <c r="BL291" s="295"/>
      <c r="BM291" s="295"/>
      <c r="BN291" s="295"/>
      <c r="BP291" s="295"/>
      <c r="BQ291" s="295"/>
      <c r="BR291" s="295"/>
      <c r="BT291" s="295"/>
      <c r="BU291" s="295"/>
      <c r="BV291" s="295"/>
      <c r="BX291" s="295"/>
      <c r="BY291" s="295"/>
      <c r="BZ291" s="295"/>
      <c r="CB291" s="295"/>
      <c r="CC291" s="295"/>
      <c r="CD291" s="295"/>
      <c r="CF291" s="295"/>
      <c r="CG291" s="295"/>
      <c r="CH291" s="295"/>
      <c r="CJ291" s="295"/>
      <c r="CK291" s="295"/>
      <c r="CL291" s="295"/>
      <c r="CN291" s="295"/>
      <c r="CO291" s="295"/>
      <c r="CP291" s="295"/>
      <c r="CR291" s="295"/>
      <c r="CS291" s="295"/>
      <c r="CT291" s="295"/>
      <c r="CV291" s="295"/>
      <c r="CW291" s="1390"/>
      <c r="CX291" s="1390"/>
      <c r="CZ291" s="295"/>
      <c r="DA291" s="295"/>
      <c r="DB291" s="295"/>
      <c r="DD291" s="295"/>
      <c r="DE291" s="295"/>
      <c r="DF291" s="295"/>
      <c r="DH291" s="295"/>
      <c r="DI291" s="295"/>
      <c r="DJ291" s="295"/>
      <c r="DL291" s="295"/>
      <c r="DM291" s="295"/>
      <c r="DN291" s="295"/>
      <c r="DP291" s="295"/>
      <c r="DQ291" s="295"/>
      <c r="DR291" s="295"/>
    </row>
    <row r="292" spans="1:122" hidden="1" outlineLevel="1">
      <c r="A292" s="289" t="s">
        <v>322</v>
      </c>
    </row>
    <row r="293" spans="1:122" hidden="1" outlineLevel="1">
      <c r="A293" s="102" t="s">
        <v>323</v>
      </c>
      <c r="AO293" s="626">
        <v>-60</v>
      </c>
      <c r="AP293" s="293">
        <f>AO293</f>
        <v>-60</v>
      </c>
      <c r="AR293" s="626">
        <v>-70</v>
      </c>
      <c r="AS293" s="626">
        <v>-112</v>
      </c>
      <c r="AT293" s="293">
        <f>AS293</f>
        <v>-112</v>
      </c>
      <c r="AV293" s="626">
        <v>-119</v>
      </c>
      <c r="AW293" s="626">
        <v>-151</v>
      </c>
      <c r="AX293" s="293">
        <f>AW293</f>
        <v>-151</v>
      </c>
      <c r="AZ293" s="626">
        <v>-312</v>
      </c>
      <c r="BA293" s="626">
        <v>-347</v>
      </c>
      <c r="BB293" s="293">
        <f>BA293</f>
        <v>-347</v>
      </c>
      <c r="BD293" s="626">
        <v>-295</v>
      </c>
      <c r="BE293" s="626">
        <v>-283</v>
      </c>
      <c r="BF293" s="293">
        <f>BE293</f>
        <v>-283</v>
      </c>
      <c r="BH293" s="626">
        <v>-244</v>
      </c>
      <c r="BI293" s="626"/>
      <c r="BJ293" s="293"/>
      <c r="BL293" s="293"/>
      <c r="BM293" s="293"/>
      <c r="BN293" s="293"/>
      <c r="BP293" s="293"/>
      <c r="BQ293" s="293"/>
      <c r="BR293" s="293"/>
      <c r="BT293" s="293"/>
      <c r="BU293" s="293"/>
      <c r="BV293" s="293"/>
      <c r="BX293" s="293"/>
      <c r="BY293" s="293"/>
      <c r="BZ293" s="293"/>
      <c r="CB293" s="293"/>
      <c r="CC293" s="293"/>
      <c r="CD293" s="293"/>
      <c r="CF293" s="293"/>
      <c r="CG293" s="293"/>
      <c r="CH293" s="293"/>
      <c r="CJ293" s="293"/>
      <c r="CK293" s="293"/>
      <c r="CL293" s="293"/>
      <c r="CN293" s="293"/>
      <c r="CO293" s="293"/>
      <c r="CP293" s="293"/>
      <c r="CR293" s="293"/>
      <c r="CS293" s="293"/>
      <c r="CT293" s="293"/>
      <c r="CV293" s="293"/>
      <c r="CW293" s="1495"/>
      <c r="CX293" s="1495"/>
      <c r="CZ293" s="293"/>
      <c r="DA293" s="293"/>
      <c r="DB293" s="293"/>
      <c r="DD293" s="293"/>
      <c r="DE293" s="293"/>
      <c r="DF293" s="293"/>
      <c r="DH293" s="293"/>
      <c r="DI293" s="293"/>
      <c r="DJ293" s="293"/>
      <c r="DL293" s="293"/>
      <c r="DM293" s="293"/>
      <c r="DN293" s="293"/>
      <c r="DP293" s="293"/>
      <c r="DQ293" s="293"/>
      <c r="DR293" s="293"/>
    </row>
    <row r="294" spans="1:122" hidden="1" outlineLevel="1">
      <c r="A294" s="102" t="s">
        <v>324</v>
      </c>
      <c r="AO294" s="626">
        <v>-254</v>
      </c>
      <c r="AP294" s="293">
        <f>AO294</f>
        <v>-254</v>
      </c>
      <c r="AR294" s="626">
        <v>-268</v>
      </c>
      <c r="AS294" s="626">
        <v>-274</v>
      </c>
      <c r="AT294" s="293">
        <f>AS294</f>
        <v>-274</v>
      </c>
      <c r="AV294" s="626">
        <v>-283</v>
      </c>
      <c r="AW294" s="626">
        <v>-255</v>
      </c>
      <c r="AX294" s="293">
        <f>AW294</f>
        <v>-255</v>
      </c>
      <c r="AZ294" s="626">
        <v>-275</v>
      </c>
      <c r="BA294" s="626">
        <v>-276</v>
      </c>
      <c r="BB294" s="293">
        <f>BA294</f>
        <v>-276</v>
      </c>
      <c r="BD294" s="626">
        <v>-217</v>
      </c>
      <c r="BE294" s="626">
        <v>-214</v>
      </c>
      <c r="BF294" s="293">
        <f>BE294</f>
        <v>-214</v>
      </c>
      <c r="BH294" s="626">
        <v>-223</v>
      </c>
      <c r="BI294" s="626"/>
      <c r="BJ294" s="293"/>
      <c r="BL294" s="293"/>
      <c r="BM294" s="293"/>
      <c r="BN294" s="293"/>
      <c r="BP294" s="293"/>
      <c r="BQ294" s="293"/>
      <c r="BR294" s="293"/>
      <c r="BT294" s="293"/>
      <c r="BU294" s="293"/>
      <c r="BV294" s="293"/>
      <c r="BX294" s="293"/>
      <c r="BY294" s="293"/>
      <c r="BZ294" s="293"/>
      <c r="CB294" s="293"/>
      <c r="CC294" s="293"/>
      <c r="CD294" s="293"/>
      <c r="CF294" s="293"/>
      <c r="CG294" s="293"/>
      <c r="CH294" s="293"/>
      <c r="CJ294" s="293"/>
      <c r="CK294" s="293"/>
      <c r="CL294" s="293"/>
      <c r="CN294" s="293"/>
      <c r="CO294" s="293"/>
      <c r="CP294" s="293"/>
      <c r="CR294" s="293"/>
      <c r="CS294" s="293"/>
      <c r="CT294" s="293"/>
      <c r="CV294" s="293"/>
      <c r="CW294" s="1495"/>
      <c r="CX294" s="1495"/>
      <c r="CZ294" s="293"/>
      <c r="DA294" s="293"/>
      <c r="DB294" s="293"/>
      <c r="DD294" s="293"/>
      <c r="DE294" s="293"/>
      <c r="DF294" s="293"/>
      <c r="DH294" s="293"/>
      <c r="DI294" s="293"/>
      <c r="DJ294" s="293"/>
      <c r="DL294" s="293"/>
      <c r="DM294" s="293"/>
      <c r="DN294" s="293"/>
      <c r="DP294" s="293"/>
      <c r="DQ294" s="293"/>
      <c r="DR294" s="293"/>
    </row>
    <row r="295" spans="1:122" hidden="1" outlineLevel="1">
      <c r="A295" s="102" t="s">
        <v>325</v>
      </c>
      <c r="AO295" s="626">
        <v>-89</v>
      </c>
      <c r="AP295" s="293">
        <f>AO295</f>
        <v>-89</v>
      </c>
      <c r="AR295" s="626">
        <v>-147</v>
      </c>
      <c r="AS295" s="626">
        <v>-294</v>
      </c>
      <c r="AT295" s="293">
        <f>AS295</f>
        <v>-294</v>
      </c>
      <c r="AV295" s="626">
        <v>-256</v>
      </c>
      <c r="AW295" s="626">
        <v>-171</v>
      </c>
      <c r="AX295" s="293">
        <f>AW295</f>
        <v>-171</v>
      </c>
      <c r="AZ295" s="626">
        <v>-155</v>
      </c>
      <c r="BA295" s="626">
        <v>-141</v>
      </c>
      <c r="BB295" s="293">
        <f>BA295</f>
        <v>-141</v>
      </c>
      <c r="BD295" s="626">
        <v>-58</v>
      </c>
      <c r="BE295" s="626">
        <v>-86</v>
      </c>
      <c r="BF295" s="293">
        <f>BE295</f>
        <v>-86</v>
      </c>
      <c r="BH295" s="626">
        <v>-68</v>
      </c>
      <c r="BI295" s="626"/>
      <c r="BJ295" s="293"/>
      <c r="BL295" s="293"/>
      <c r="BM295" s="293"/>
      <c r="BN295" s="293"/>
      <c r="BP295" s="293"/>
      <c r="BQ295" s="293"/>
      <c r="BR295" s="293"/>
      <c r="BT295" s="293"/>
      <c r="BU295" s="293"/>
      <c r="BV295" s="293"/>
      <c r="BX295" s="293"/>
      <c r="BY295" s="293"/>
      <c r="BZ295" s="293"/>
      <c r="CB295" s="293"/>
      <c r="CC295" s="293"/>
      <c r="CD295" s="293"/>
      <c r="CF295" s="293"/>
      <c r="CG295" s="293"/>
      <c r="CH295" s="293"/>
      <c r="CJ295" s="293"/>
      <c r="CK295" s="293"/>
      <c r="CL295" s="293"/>
      <c r="CN295" s="293"/>
      <c r="CO295" s="293"/>
      <c r="CP295" s="293"/>
      <c r="CR295" s="293"/>
      <c r="CS295" s="293"/>
      <c r="CT295" s="293"/>
      <c r="CV295" s="293"/>
      <c r="CW295" s="1495"/>
      <c r="CX295" s="1495"/>
      <c r="CZ295" s="293"/>
      <c r="DA295" s="293"/>
      <c r="DB295" s="293"/>
      <c r="DD295" s="293"/>
      <c r="DE295" s="293"/>
      <c r="DF295" s="293"/>
      <c r="DH295" s="293"/>
      <c r="DI295" s="293"/>
      <c r="DJ295" s="293"/>
      <c r="DL295" s="293"/>
      <c r="DM295" s="293"/>
      <c r="DN295" s="293"/>
      <c r="DP295" s="293"/>
      <c r="DQ295" s="293"/>
      <c r="DR295" s="293"/>
    </row>
    <row r="296" spans="1:122" hidden="1" outlineLevel="1">
      <c r="A296" s="102" t="s">
        <v>326</v>
      </c>
      <c r="AO296" s="626">
        <f>-13-191</f>
        <v>-204</v>
      </c>
      <c r="AP296" s="293">
        <f>AO296</f>
        <v>-204</v>
      </c>
      <c r="AR296" s="626">
        <f>-39-194</f>
        <v>-233</v>
      </c>
      <c r="AS296" s="626">
        <f>-74-172</f>
        <v>-246</v>
      </c>
      <c r="AT296" s="293">
        <f>AS296</f>
        <v>-246</v>
      </c>
      <c r="AV296" s="626">
        <f>-70-137</f>
        <v>-207</v>
      </c>
      <c r="AW296" s="626">
        <f>+-43-134</f>
        <v>-177</v>
      </c>
      <c r="AX296" s="293">
        <f>AW296</f>
        <v>-177</v>
      </c>
      <c r="AZ296" s="626">
        <f>-165-124</f>
        <v>-289</v>
      </c>
      <c r="BA296" s="626">
        <f>-277-112</f>
        <v>-389</v>
      </c>
      <c r="BB296" s="293">
        <f>BA296</f>
        <v>-389</v>
      </c>
      <c r="BD296" s="626">
        <f>-260-69</f>
        <v>-329</v>
      </c>
      <c r="BE296" s="626">
        <f>-31-45</f>
        <v>-76</v>
      </c>
      <c r="BF296" s="293">
        <f>BE296</f>
        <v>-76</v>
      </c>
      <c r="BH296" s="626">
        <f>-28-28</f>
        <v>-56</v>
      </c>
      <c r="BI296" s="626"/>
      <c r="BJ296" s="293"/>
      <c r="BL296" s="293"/>
      <c r="BM296" s="293"/>
      <c r="BN296" s="293"/>
      <c r="BP296" s="293"/>
      <c r="BQ296" s="293"/>
      <c r="BR296" s="293"/>
      <c r="BT296" s="293"/>
      <c r="BU296" s="293"/>
      <c r="BV296" s="293"/>
      <c r="BX296" s="293"/>
      <c r="BY296" s="293"/>
      <c r="BZ296" s="293"/>
      <c r="CB296" s="293"/>
      <c r="CC296" s="293"/>
      <c r="CD296" s="293"/>
      <c r="CF296" s="293"/>
      <c r="CG296" s="293"/>
      <c r="CH296" s="293"/>
      <c r="CJ296" s="293"/>
      <c r="CK296" s="293"/>
      <c r="CL296" s="293"/>
      <c r="CN296" s="293"/>
      <c r="CO296" s="293"/>
      <c r="CP296" s="293"/>
      <c r="CR296" s="293"/>
      <c r="CS296" s="293"/>
      <c r="CT296" s="293"/>
      <c r="CV296" s="293"/>
      <c r="CW296" s="1495"/>
      <c r="CX296" s="1495"/>
      <c r="CZ296" s="293"/>
      <c r="DA296" s="293"/>
      <c r="DB296" s="293"/>
      <c r="DD296" s="293"/>
      <c r="DE296" s="293"/>
      <c r="DF296" s="293"/>
      <c r="DH296" s="293"/>
      <c r="DI296" s="293"/>
      <c r="DJ296" s="293"/>
      <c r="DL296" s="293"/>
      <c r="DM296" s="293"/>
      <c r="DN296" s="293"/>
      <c r="DP296" s="293"/>
      <c r="DQ296" s="293"/>
      <c r="DR296" s="293"/>
    </row>
    <row r="297" spans="1:122" hidden="1" outlineLevel="1">
      <c r="A297" s="289" t="s">
        <v>322</v>
      </c>
      <c r="AO297" s="295">
        <f>SUM(AO293:AO296)</f>
        <v>-607</v>
      </c>
      <c r="AP297" s="295">
        <f>SUM(AP293:AP296)</f>
        <v>-607</v>
      </c>
      <c r="AR297" s="295">
        <f>SUM(AR293:AR296)</f>
        <v>-718</v>
      </c>
      <c r="AS297" s="295">
        <f>SUM(AS293:AS296)</f>
        <v>-926</v>
      </c>
      <c r="AT297" s="295">
        <f>SUM(AT293:AT296)</f>
        <v>-926</v>
      </c>
      <c r="AV297" s="295">
        <f>SUM(AV293:AV296)</f>
        <v>-865</v>
      </c>
      <c r="AW297" s="295">
        <f>SUM(AW293:AW296)</f>
        <v>-754</v>
      </c>
      <c r="AX297" s="295">
        <f>SUM(AX293:AX296)</f>
        <v>-754</v>
      </c>
      <c r="AZ297" s="295">
        <f>SUM(AZ293:AZ296)</f>
        <v>-1031</v>
      </c>
      <c r="BA297" s="295">
        <f>SUM(BA293:BA296)</f>
        <v>-1153</v>
      </c>
      <c r="BB297" s="295">
        <f>SUM(BB293:BB296)</f>
        <v>-1153</v>
      </c>
      <c r="BD297" s="295">
        <f>SUM(BD293:BD296)</f>
        <v>-899</v>
      </c>
      <c r="BE297" s="295">
        <f>SUM(BE293:BE296)</f>
        <v>-659</v>
      </c>
      <c r="BF297" s="295">
        <f>SUM(BF293:BF296)</f>
        <v>-659</v>
      </c>
      <c r="BH297" s="295">
        <f>SUM(BH293:BH296)</f>
        <v>-591</v>
      </c>
      <c r="BI297" s="295"/>
      <c r="BJ297" s="295"/>
      <c r="BL297" s="295"/>
      <c r="BM297" s="295"/>
      <c r="BN297" s="295"/>
      <c r="BP297" s="295"/>
      <c r="BQ297" s="295"/>
      <c r="BR297" s="295"/>
      <c r="BT297" s="295"/>
      <c r="BU297" s="295"/>
      <c r="BV297" s="295"/>
      <c r="BX297" s="295"/>
      <c r="BY297" s="295"/>
      <c r="BZ297" s="295"/>
      <c r="CB297" s="295"/>
      <c r="CC297" s="295"/>
      <c r="CD297" s="295"/>
      <c r="CF297" s="295"/>
      <c r="CG297" s="295"/>
      <c r="CH297" s="295"/>
      <c r="CJ297" s="295"/>
      <c r="CK297" s="295"/>
      <c r="CL297" s="295"/>
      <c r="CN297" s="295"/>
      <c r="CO297" s="295"/>
      <c r="CP297" s="295"/>
      <c r="CR297" s="295"/>
      <c r="CS297" s="295"/>
      <c r="CT297" s="295"/>
      <c r="CV297" s="295"/>
      <c r="CW297" s="1390"/>
      <c r="CX297" s="1390"/>
      <c r="CZ297" s="295"/>
      <c r="DA297" s="295"/>
      <c r="DB297" s="295"/>
      <c r="DD297" s="295"/>
      <c r="DE297" s="295"/>
      <c r="DF297" s="295"/>
      <c r="DH297" s="295"/>
      <c r="DI297" s="295"/>
      <c r="DJ297" s="295"/>
      <c r="DL297" s="295"/>
      <c r="DM297" s="295"/>
      <c r="DN297" s="295"/>
      <c r="DP297" s="295"/>
      <c r="DQ297" s="295"/>
      <c r="DR297" s="295"/>
    </row>
    <row r="298" spans="1:122" hidden="1" outlineLevel="1">
      <c r="A298" s="289" t="s">
        <v>327</v>
      </c>
      <c r="AO298" s="295">
        <f>+AO297+AO291</f>
        <v>-1207</v>
      </c>
      <c r="AP298" s="295">
        <f>+AP297+AP291</f>
        <v>-1207</v>
      </c>
      <c r="AR298" s="295">
        <f>+AR297+AR291</f>
        <v>-1612</v>
      </c>
      <c r="AS298" s="295">
        <f>+AS297+AS291</f>
        <v>-2263</v>
      </c>
      <c r="AT298" s="295">
        <f>+AT297+AT291</f>
        <v>-2263</v>
      </c>
      <c r="AV298" s="295">
        <f>+AV297+AV291</f>
        <v>-1925</v>
      </c>
      <c r="AW298" s="295">
        <f>+AW297+AW291</f>
        <v>-2466</v>
      </c>
      <c r="AX298" s="295">
        <f>+AX297+AX291</f>
        <v>-2466</v>
      </c>
      <c r="AZ298" s="295">
        <f>+AZ297+AZ291</f>
        <v>-2664</v>
      </c>
      <c r="BA298" s="295">
        <f>+BA297+BA291</f>
        <v>-2587</v>
      </c>
      <c r="BB298" s="295">
        <f>+BB297+BB291</f>
        <v>-2587</v>
      </c>
      <c r="BD298" s="295">
        <f>+BD297+BD291</f>
        <v>-2254</v>
      </c>
      <c r="BE298" s="295">
        <f>+BE297+BE291</f>
        <v>-1888</v>
      </c>
      <c r="BF298" s="295">
        <f>+BF297+BF291</f>
        <v>-1888</v>
      </c>
      <c r="BH298" s="295">
        <f>+BH297+BH291</f>
        <v>-1759</v>
      </c>
      <c r="BI298" s="295"/>
      <c r="BJ298" s="295"/>
      <c r="BL298" s="295"/>
      <c r="BM298" s="295"/>
      <c r="BN298" s="295"/>
      <c r="BP298" s="295"/>
      <c r="BQ298" s="295"/>
      <c r="BR298" s="295"/>
      <c r="BT298" s="295"/>
      <c r="BU298" s="295"/>
      <c r="BV298" s="295"/>
      <c r="BX298" s="295"/>
      <c r="BY298" s="295"/>
      <c r="BZ298" s="295"/>
      <c r="CB298" s="295"/>
      <c r="CC298" s="295"/>
      <c r="CD298" s="295"/>
      <c r="CF298" s="295"/>
      <c r="CG298" s="295"/>
      <c r="CH298" s="295"/>
      <c r="CJ298" s="295"/>
      <c r="CK298" s="295"/>
      <c r="CL298" s="295"/>
      <c r="CN298" s="295"/>
      <c r="CO298" s="295"/>
      <c r="CP298" s="295"/>
      <c r="CR298" s="295"/>
      <c r="CS298" s="295"/>
      <c r="CT298" s="295"/>
      <c r="CV298" s="295"/>
      <c r="CW298" s="1390"/>
      <c r="CX298" s="1390"/>
      <c r="CZ298" s="295"/>
      <c r="DA298" s="295"/>
      <c r="DB298" s="295"/>
      <c r="DD298" s="295"/>
      <c r="DE298" s="295"/>
      <c r="DF298" s="295"/>
      <c r="DH298" s="295"/>
      <c r="DI298" s="295"/>
      <c r="DJ298" s="295"/>
      <c r="DL298" s="295"/>
      <c r="DM298" s="295"/>
      <c r="DN298" s="295"/>
      <c r="DP298" s="295"/>
      <c r="DQ298" s="295"/>
      <c r="DR298" s="295"/>
    </row>
    <row r="299" spans="1:122" hidden="1" outlineLevel="1">
      <c r="A299" s="289" t="s">
        <v>281</v>
      </c>
      <c r="AO299" s="295">
        <f>+AO287+AO298</f>
        <v>4547</v>
      </c>
      <c r="AP299" s="295">
        <f>+AP287+AP298</f>
        <v>4547</v>
      </c>
      <c r="AR299" s="295">
        <f>+AR287+AR298</f>
        <v>4296</v>
      </c>
      <c r="AS299" s="295">
        <f>+AS287+AS298</f>
        <v>4284</v>
      </c>
      <c r="AT299" s="295">
        <f>+AT287+AT298</f>
        <v>4284</v>
      </c>
      <c r="AV299" s="295">
        <f>+AV287+AV298</f>
        <v>5046</v>
      </c>
      <c r="AW299" s="295">
        <f>+AW287+AW298</f>
        <v>5464</v>
      </c>
      <c r="AX299" s="295">
        <f>+AX287+AX298</f>
        <v>5464</v>
      </c>
      <c r="AZ299" s="295">
        <f>+AZ287+AZ298</f>
        <v>5782</v>
      </c>
      <c r="BA299" s="295">
        <f>+BA287+BA298</f>
        <v>5932</v>
      </c>
      <c r="BB299" s="295">
        <f>+BB287+BB298</f>
        <v>5932</v>
      </c>
      <c r="BD299" s="295">
        <f>+BD287+BD298</f>
        <v>6967</v>
      </c>
      <c r="BE299" s="295">
        <f>+BE287+BE298</f>
        <v>7173</v>
      </c>
      <c r="BF299" s="295">
        <f>+BF287+BF298</f>
        <v>7173</v>
      </c>
      <c r="BH299" s="295">
        <f>+BH287+BH298</f>
        <v>6963</v>
      </c>
      <c r="BI299" s="295"/>
      <c r="BJ299" s="295"/>
      <c r="BL299" s="295"/>
      <c r="BM299" s="295"/>
      <c r="BN299" s="295"/>
      <c r="BP299" s="295"/>
      <c r="BQ299" s="295"/>
      <c r="BR299" s="295"/>
      <c r="BT299" s="295"/>
      <c r="BU299" s="295"/>
      <c r="BV299" s="295"/>
      <c r="BX299" s="295"/>
      <c r="BY299" s="295"/>
      <c r="BZ299" s="295"/>
      <c r="CB299" s="295"/>
      <c r="CC299" s="295"/>
      <c r="CD299" s="295"/>
      <c r="CF299" s="295"/>
      <c r="CG299" s="295"/>
      <c r="CH299" s="295"/>
      <c r="CJ299" s="295"/>
      <c r="CK299" s="295"/>
      <c r="CL299" s="295"/>
      <c r="CN299" s="295"/>
      <c r="CO299" s="295"/>
      <c r="CP299" s="295"/>
      <c r="CR299" s="295"/>
      <c r="CS299" s="295"/>
      <c r="CT299" s="295"/>
      <c r="CV299" s="295"/>
      <c r="CW299" s="1390"/>
      <c r="CX299" s="1390"/>
      <c r="CZ299" s="295"/>
      <c r="DA299" s="295"/>
      <c r="DB299" s="295"/>
      <c r="DD299" s="295"/>
      <c r="DE299" s="295"/>
      <c r="DF299" s="295"/>
      <c r="DH299" s="295"/>
      <c r="DI299" s="295"/>
      <c r="DJ299" s="295"/>
      <c r="DL299" s="295"/>
      <c r="DM299" s="295"/>
      <c r="DN299" s="295"/>
      <c r="DP299" s="295"/>
      <c r="DQ299" s="295"/>
      <c r="DR299" s="295"/>
    </row>
    <row r="300" spans="1:122" hidden="1" outlineLevel="1">
      <c r="A300" s="289" t="s">
        <v>564</v>
      </c>
      <c r="AO300" s="295">
        <f>+AO299-AO286</f>
        <v>3592</v>
      </c>
      <c r="AP300" s="295">
        <f>+AP299-AP286</f>
        <v>3592</v>
      </c>
      <c r="AR300" s="295">
        <f>+AR299-AR286</f>
        <v>3379</v>
      </c>
      <c r="AS300" s="295">
        <f>+AS299-AS286</f>
        <v>3369</v>
      </c>
      <c r="AT300" s="295">
        <f>+AT299-AT286</f>
        <v>3369</v>
      </c>
      <c r="AV300" s="295">
        <f>+AV299-AV286</f>
        <v>4581</v>
      </c>
      <c r="AW300" s="295">
        <f>+AW299-AW286</f>
        <v>5005</v>
      </c>
      <c r="AX300" s="295">
        <f>+AX299-AX286</f>
        <v>5005</v>
      </c>
      <c r="AZ300" s="295">
        <f>+AZ299-AZ286</f>
        <v>5325</v>
      </c>
      <c r="BA300" s="295">
        <f>+BA299-BA286</f>
        <v>5477</v>
      </c>
      <c r="BB300" s="295">
        <f>+BB299-BB286</f>
        <v>5477</v>
      </c>
      <c r="BD300" s="295">
        <f>+BD299-BD286</f>
        <v>6510</v>
      </c>
      <c r="BE300" s="295">
        <f>+BE299-BE286</f>
        <v>6481</v>
      </c>
      <c r="BF300" s="295">
        <f>+BF299-BF286</f>
        <v>6481</v>
      </c>
      <c r="BH300" s="295">
        <f>+BH299-BH286</f>
        <v>6271</v>
      </c>
      <c r="BI300" s="295"/>
      <c r="BJ300" s="295"/>
      <c r="BL300" s="295"/>
      <c r="BM300" s="295"/>
      <c r="BN300" s="295"/>
      <c r="BP300" s="295"/>
      <c r="BQ300" s="295"/>
      <c r="BR300" s="295"/>
      <c r="BT300" s="295"/>
      <c r="BU300" s="295"/>
      <c r="BV300" s="295"/>
      <c r="BX300" s="295"/>
      <c r="BY300" s="295"/>
      <c r="BZ300" s="295"/>
      <c r="CB300" s="295"/>
      <c r="CC300" s="295"/>
      <c r="CD300" s="295"/>
      <c r="CF300" s="295"/>
      <c r="CG300" s="295"/>
      <c r="CH300" s="295"/>
      <c r="CJ300" s="295"/>
      <c r="CK300" s="295"/>
      <c r="CL300" s="295"/>
      <c r="CN300" s="295"/>
      <c r="CO300" s="295"/>
      <c r="CP300" s="295"/>
      <c r="CR300" s="295"/>
      <c r="CS300" s="295"/>
      <c r="CT300" s="295"/>
      <c r="CV300" s="295"/>
      <c r="CW300" s="1390"/>
      <c r="CX300" s="1390"/>
      <c r="CZ300" s="295"/>
      <c r="DA300" s="295"/>
      <c r="DB300" s="295"/>
      <c r="DD300" s="295"/>
      <c r="DE300" s="295"/>
      <c r="DF300" s="295"/>
      <c r="DH300" s="295"/>
      <c r="DI300" s="295"/>
      <c r="DJ300" s="295"/>
      <c r="DL300" s="295"/>
      <c r="DM300" s="295"/>
      <c r="DN300" s="295"/>
      <c r="DP300" s="295"/>
      <c r="DQ300" s="295"/>
      <c r="DR300" s="295"/>
    </row>
    <row r="301" spans="1:122" hidden="1" outlineLevel="1"/>
    <row r="302" spans="1:122" hidden="1" outlineLevel="1">
      <c r="A302" s="289" t="s">
        <v>328</v>
      </c>
    </row>
    <row r="303" spans="1:122" hidden="1" outlineLevel="1">
      <c r="A303" s="102" t="s">
        <v>329</v>
      </c>
      <c r="AO303" s="626">
        <v>188</v>
      </c>
      <c r="AP303" s="293">
        <f>AO303</f>
        <v>188</v>
      </c>
      <c r="AR303" s="626">
        <v>254</v>
      </c>
      <c r="AS303" s="626">
        <v>204</v>
      </c>
      <c r="AT303" s="293">
        <f>AS303</f>
        <v>204</v>
      </c>
      <c r="AV303" s="626">
        <v>0</v>
      </c>
      <c r="AW303" s="626">
        <v>0</v>
      </c>
      <c r="AX303" s="293">
        <f>AW303</f>
        <v>0</v>
      </c>
      <c r="AZ303" s="626">
        <v>0</v>
      </c>
      <c r="BA303" s="626">
        <v>0</v>
      </c>
      <c r="BB303" s="293">
        <f>BA303</f>
        <v>0</v>
      </c>
      <c r="BD303" s="626">
        <v>0</v>
      </c>
      <c r="BE303" s="626">
        <v>0</v>
      </c>
      <c r="BF303" s="293">
        <f>BE303</f>
        <v>0</v>
      </c>
      <c r="BH303" s="626">
        <v>0</v>
      </c>
      <c r="BI303" s="626"/>
      <c r="BJ303" s="293"/>
      <c r="BL303" s="293"/>
      <c r="BM303" s="293"/>
      <c r="BN303" s="293"/>
      <c r="BP303" s="293"/>
      <c r="BQ303" s="293"/>
      <c r="BR303" s="293"/>
      <c r="BT303" s="293"/>
      <c r="BU303" s="293"/>
      <c r="BV303" s="293"/>
      <c r="BX303" s="293"/>
      <c r="BY303" s="293"/>
      <c r="BZ303" s="293"/>
      <c r="CB303" s="293"/>
      <c r="CC303" s="293"/>
      <c r="CD303" s="293"/>
      <c r="CF303" s="293"/>
      <c r="CG303" s="293"/>
      <c r="CH303" s="293"/>
      <c r="CJ303" s="293"/>
      <c r="CK303" s="293"/>
      <c r="CL303" s="293"/>
      <c r="CN303" s="293"/>
      <c r="CO303" s="293"/>
      <c r="CP303" s="293"/>
      <c r="CR303" s="293"/>
      <c r="CS303" s="293"/>
      <c r="CT303" s="293"/>
      <c r="CV303" s="293"/>
      <c r="CW303" s="1495"/>
      <c r="CX303" s="1495"/>
      <c r="CZ303" s="293"/>
      <c r="DA303" s="293"/>
      <c r="DB303" s="293"/>
      <c r="DD303" s="293"/>
      <c r="DE303" s="293"/>
      <c r="DF303" s="293"/>
      <c r="DH303" s="293"/>
      <c r="DI303" s="293"/>
      <c r="DJ303" s="293"/>
      <c r="DL303" s="293"/>
      <c r="DM303" s="293"/>
      <c r="DN303" s="293"/>
      <c r="DP303" s="293"/>
      <c r="DQ303" s="293"/>
      <c r="DR303" s="293"/>
    </row>
    <row r="304" spans="1:122" hidden="1" outlineLevel="1">
      <c r="A304" s="102" t="s">
        <v>330</v>
      </c>
      <c r="AO304" s="626">
        <f>2572-AO303</f>
        <v>2384</v>
      </c>
      <c r="AP304" s="293">
        <f>AO304</f>
        <v>2384</v>
      </c>
      <c r="AR304" s="626">
        <f>2390-AR303</f>
        <v>2136</v>
      </c>
      <c r="AS304" s="626">
        <f>2231-AS303</f>
        <v>2027</v>
      </c>
      <c r="AT304" s="293">
        <f>AS304</f>
        <v>2027</v>
      </c>
      <c r="AV304" s="626">
        <f>1653-AV303</f>
        <v>1653</v>
      </c>
      <c r="AW304" s="626">
        <f>168+1404</f>
        <v>1572</v>
      </c>
      <c r="AX304" s="293">
        <f>AW304</f>
        <v>1572</v>
      </c>
      <c r="AZ304" s="626">
        <f>2139-AZ303</f>
        <v>2139</v>
      </c>
      <c r="BA304" s="626">
        <v>2083</v>
      </c>
      <c r="BB304" s="293">
        <f>BA304</f>
        <v>2083</v>
      </c>
      <c r="BD304" s="626">
        <v>2693</v>
      </c>
      <c r="BE304" s="626">
        <v>2107</v>
      </c>
      <c r="BF304" s="293">
        <f>BE304</f>
        <v>2107</v>
      </c>
      <c r="BH304" s="626">
        <v>1762</v>
      </c>
      <c r="BI304" s="626"/>
      <c r="BJ304" s="293"/>
      <c r="BL304" s="293"/>
      <c r="BM304" s="293"/>
      <c r="BN304" s="293"/>
      <c r="BP304" s="293"/>
      <c r="BQ304" s="293"/>
      <c r="BR304" s="293"/>
      <c r="BT304" s="293"/>
      <c r="BU304" s="293"/>
      <c r="BV304" s="293"/>
      <c r="BX304" s="293"/>
      <c r="BY304" s="293"/>
      <c r="BZ304" s="293"/>
      <c r="CB304" s="293"/>
      <c r="CC304" s="293"/>
      <c r="CD304" s="293"/>
      <c r="CF304" s="293"/>
      <c r="CG304" s="293"/>
      <c r="CH304" s="293"/>
      <c r="CJ304" s="293"/>
      <c r="CK304" s="293"/>
      <c r="CL304" s="293"/>
      <c r="CN304" s="293"/>
      <c r="CO304" s="293"/>
      <c r="CP304" s="293"/>
      <c r="CR304" s="293"/>
      <c r="CS304" s="293"/>
      <c r="CT304" s="293"/>
      <c r="CV304" s="293"/>
      <c r="CW304" s="1495"/>
      <c r="CX304" s="1495"/>
      <c r="CZ304" s="293"/>
      <c r="DA304" s="293"/>
      <c r="DB304" s="293"/>
      <c r="DD304" s="293"/>
      <c r="DE304" s="293"/>
      <c r="DF304" s="293"/>
      <c r="DH304" s="293"/>
      <c r="DI304" s="293"/>
      <c r="DJ304" s="293"/>
      <c r="DL304" s="293"/>
      <c r="DM304" s="293"/>
      <c r="DN304" s="293"/>
      <c r="DP304" s="293"/>
      <c r="DQ304" s="293"/>
      <c r="DR304" s="293"/>
    </row>
    <row r="305" spans="1:124" hidden="1" outlineLevel="1">
      <c r="A305" s="289" t="s">
        <v>328</v>
      </c>
      <c r="AO305" s="295">
        <f>SUM(AO303:AO304)</f>
        <v>2572</v>
      </c>
      <c r="AP305" s="295">
        <f>SUM(AP303:AP304)</f>
        <v>2572</v>
      </c>
      <c r="AR305" s="295">
        <f>SUM(AR303:AR304)</f>
        <v>2390</v>
      </c>
      <c r="AS305" s="295">
        <f>SUM(AS303:AS304)</f>
        <v>2231</v>
      </c>
      <c r="AT305" s="295">
        <f>SUM(AT303:AT304)</f>
        <v>2231</v>
      </c>
      <c r="AV305" s="295">
        <f>SUM(AV303:AV304)</f>
        <v>1653</v>
      </c>
      <c r="AW305" s="295">
        <f>SUM(AW303:AW304)</f>
        <v>1572</v>
      </c>
      <c r="AX305" s="295">
        <f>SUM(AX303:AX304)</f>
        <v>1572</v>
      </c>
      <c r="AZ305" s="295">
        <f>SUM(AZ303:AZ304)</f>
        <v>2139</v>
      </c>
      <c r="BA305" s="295">
        <f>SUM(BA303:BA304)</f>
        <v>2083</v>
      </c>
      <c r="BB305" s="295">
        <f>SUM(BB303:BB304)</f>
        <v>2083</v>
      </c>
      <c r="BD305" s="295">
        <f>SUM(BD303:BD304)</f>
        <v>2693</v>
      </c>
      <c r="BE305" s="295">
        <f>SUM(BE303:BE304)</f>
        <v>2107</v>
      </c>
      <c r="BF305" s="295">
        <f>SUM(BF303:BF304)</f>
        <v>2107</v>
      </c>
      <c r="BH305" s="295">
        <f>SUM(BH303:BH304)</f>
        <v>1762</v>
      </c>
      <c r="BI305" s="295"/>
      <c r="BJ305" s="295"/>
      <c r="BL305" s="295"/>
      <c r="BM305" s="295"/>
      <c r="BN305" s="295"/>
      <c r="BP305" s="295"/>
      <c r="BQ305" s="295"/>
      <c r="BR305" s="295"/>
      <c r="BT305" s="295"/>
      <c r="BU305" s="295"/>
      <c r="BV305" s="295"/>
      <c r="BX305" s="295"/>
      <c r="BY305" s="295"/>
      <c r="BZ305" s="295"/>
      <c r="CB305" s="295"/>
      <c r="CC305" s="295"/>
      <c r="CD305" s="295"/>
      <c r="CF305" s="295"/>
      <c r="CG305" s="295"/>
      <c r="CH305" s="295"/>
      <c r="CJ305" s="295"/>
      <c r="CK305" s="295"/>
      <c r="CL305" s="295"/>
      <c r="CN305" s="295"/>
      <c r="CO305" s="295"/>
      <c r="CP305" s="295"/>
      <c r="CR305" s="295"/>
      <c r="CS305" s="295"/>
      <c r="CT305" s="295"/>
      <c r="CV305" s="295"/>
      <c r="CW305" s="1390"/>
      <c r="CX305" s="1390"/>
      <c r="CZ305" s="295"/>
      <c r="DA305" s="295"/>
      <c r="DB305" s="295"/>
      <c r="DD305" s="295"/>
      <c r="DE305" s="295"/>
      <c r="DF305" s="295"/>
      <c r="DH305" s="295"/>
      <c r="DI305" s="295"/>
      <c r="DJ305" s="295"/>
      <c r="DL305" s="295"/>
      <c r="DM305" s="295"/>
      <c r="DN305" s="295"/>
      <c r="DP305" s="295"/>
      <c r="DQ305" s="295"/>
      <c r="DR305" s="295"/>
    </row>
    <row r="306" spans="1:124" hidden="1" outlineLevel="1">
      <c r="A306" s="102" t="s">
        <v>331</v>
      </c>
      <c r="AO306" s="626">
        <v>0</v>
      </c>
      <c r="AP306" s="293">
        <f>AO306</f>
        <v>0</v>
      </c>
      <c r="AR306" s="626">
        <v>0</v>
      </c>
      <c r="AS306" s="626">
        <v>-204</v>
      </c>
      <c r="AT306" s="293">
        <f>AS306</f>
        <v>-204</v>
      </c>
      <c r="AV306" s="626">
        <v>0</v>
      </c>
      <c r="AW306" s="626">
        <v>0</v>
      </c>
      <c r="AX306" s="293">
        <f>AW306</f>
        <v>0</v>
      </c>
      <c r="AZ306" s="626">
        <v>0</v>
      </c>
      <c r="BA306" s="626">
        <v>0</v>
      </c>
      <c r="BB306" s="293">
        <f>BA306</f>
        <v>0</v>
      </c>
      <c r="BD306" s="626">
        <v>0</v>
      </c>
      <c r="BE306" s="626">
        <v>0</v>
      </c>
      <c r="BF306" s="293">
        <f>BE306</f>
        <v>0</v>
      </c>
      <c r="BH306" s="626">
        <v>0</v>
      </c>
      <c r="BI306" s="626"/>
      <c r="BJ306" s="293"/>
      <c r="BL306" s="293"/>
      <c r="BM306" s="293"/>
      <c r="BN306" s="293"/>
      <c r="BP306" s="293"/>
      <c r="BQ306" s="293"/>
      <c r="BR306" s="293"/>
      <c r="BT306" s="293"/>
      <c r="BU306" s="293"/>
      <c r="BV306" s="293"/>
      <c r="BX306" s="293"/>
      <c r="BY306" s="293"/>
      <c r="BZ306" s="293"/>
      <c r="CB306" s="293"/>
      <c r="CC306" s="293"/>
      <c r="CD306" s="293"/>
      <c r="CF306" s="293"/>
      <c r="CG306" s="293"/>
      <c r="CH306" s="293"/>
      <c r="CJ306" s="293"/>
      <c r="CK306" s="293"/>
      <c r="CL306" s="293"/>
      <c r="CN306" s="293"/>
      <c r="CO306" s="293"/>
      <c r="CP306" s="293"/>
      <c r="CR306" s="293"/>
      <c r="CS306" s="293"/>
      <c r="CT306" s="293"/>
      <c r="CV306" s="293"/>
      <c r="CW306" s="1495"/>
      <c r="CX306" s="1495"/>
      <c r="CZ306" s="293"/>
      <c r="DA306" s="293"/>
      <c r="DB306" s="293"/>
      <c r="DD306" s="293"/>
      <c r="DE306" s="293"/>
      <c r="DF306" s="293"/>
      <c r="DH306" s="293"/>
      <c r="DI306" s="293"/>
      <c r="DJ306" s="293"/>
      <c r="DL306" s="293"/>
      <c r="DM306" s="293"/>
      <c r="DN306" s="293"/>
      <c r="DP306" s="293"/>
      <c r="DQ306" s="293"/>
      <c r="DR306" s="293"/>
    </row>
    <row r="307" spans="1:124" hidden="1" outlineLevel="1">
      <c r="A307" s="102" t="s">
        <v>332</v>
      </c>
      <c r="AO307" s="293">
        <f>AO297</f>
        <v>-607</v>
      </c>
      <c r="AP307" s="293">
        <f>AP297</f>
        <v>-607</v>
      </c>
      <c r="AR307" s="293">
        <f>AR297</f>
        <v>-718</v>
      </c>
      <c r="AS307" s="293">
        <f>AS297</f>
        <v>-926</v>
      </c>
      <c r="AT307" s="293">
        <f>AT297</f>
        <v>-926</v>
      </c>
      <c r="AV307" s="293">
        <f>AV297</f>
        <v>-865</v>
      </c>
      <c r="AW307" s="293">
        <f>AW297</f>
        <v>-754</v>
      </c>
      <c r="AX307" s="293">
        <f>AX297</f>
        <v>-754</v>
      </c>
      <c r="AZ307" s="293">
        <f>AZ297</f>
        <v>-1031</v>
      </c>
      <c r="BA307" s="293">
        <f>BA297</f>
        <v>-1153</v>
      </c>
      <c r="BB307" s="293">
        <f>BB297</f>
        <v>-1153</v>
      </c>
      <c r="BD307" s="293">
        <f>BD297</f>
        <v>-899</v>
      </c>
      <c r="BE307" s="293">
        <f>BE297</f>
        <v>-659</v>
      </c>
      <c r="BF307" s="293">
        <f>BF297</f>
        <v>-659</v>
      </c>
      <c r="BH307" s="293">
        <f>BH297</f>
        <v>-591</v>
      </c>
      <c r="BI307" s="293"/>
      <c r="BJ307" s="293"/>
      <c r="BL307" s="293"/>
      <c r="BM307" s="293"/>
      <c r="BN307" s="293"/>
      <c r="BP307" s="293"/>
      <c r="BQ307" s="293"/>
      <c r="BR307" s="293"/>
      <c r="BT307" s="293"/>
      <c r="BU307" s="293"/>
      <c r="BV307" s="293"/>
      <c r="BX307" s="293"/>
      <c r="BY307" s="293"/>
      <c r="BZ307" s="293"/>
      <c r="CB307" s="293"/>
      <c r="CC307" s="293"/>
      <c r="CD307" s="293"/>
      <c r="CF307" s="293"/>
      <c r="CG307" s="293"/>
      <c r="CH307" s="293"/>
      <c r="CJ307" s="293"/>
      <c r="CK307" s="293"/>
      <c r="CL307" s="293"/>
      <c r="CN307" s="293"/>
      <c r="CO307" s="293"/>
      <c r="CP307" s="293"/>
      <c r="CR307" s="293"/>
      <c r="CS307" s="293"/>
      <c r="CT307" s="293"/>
      <c r="CV307" s="293"/>
      <c r="CW307" s="1495"/>
      <c r="CX307" s="1495"/>
      <c r="CZ307" s="293"/>
      <c r="DA307" s="293"/>
      <c r="DB307" s="293"/>
      <c r="DD307" s="293"/>
      <c r="DE307" s="293"/>
      <c r="DF307" s="293"/>
      <c r="DH307" s="293"/>
      <c r="DI307" s="293"/>
      <c r="DJ307" s="293"/>
      <c r="DL307" s="293"/>
      <c r="DM307" s="293"/>
      <c r="DN307" s="293"/>
      <c r="DP307" s="293"/>
      <c r="DQ307" s="293"/>
      <c r="DR307" s="293"/>
    </row>
    <row r="308" spans="1:124" hidden="1" outlineLevel="1">
      <c r="A308" s="289" t="s">
        <v>333</v>
      </c>
      <c r="AO308" s="295">
        <f>+AO305+AO307+AO306</f>
        <v>1965</v>
      </c>
      <c r="AP308" s="295">
        <f>+AP305+AP307+AP306</f>
        <v>1965</v>
      </c>
      <c r="AR308" s="295">
        <f>+AR305+AR307+AR306</f>
        <v>1672</v>
      </c>
      <c r="AS308" s="295">
        <f>+AS305+AS307+AS306</f>
        <v>1101</v>
      </c>
      <c r="AT308" s="295">
        <f>+AT305+AT307+AT306</f>
        <v>1101</v>
      </c>
      <c r="AV308" s="295">
        <f>+AV305+AV307+AV306</f>
        <v>788</v>
      </c>
      <c r="AW308" s="295">
        <f>+AW305+AW307+AW306</f>
        <v>818</v>
      </c>
      <c r="AX308" s="295">
        <f>+AX305+AX307+AX306</f>
        <v>818</v>
      </c>
      <c r="AZ308" s="295">
        <f>+AZ305+AZ307+AZ306</f>
        <v>1108</v>
      </c>
      <c r="BA308" s="295">
        <f>+BA305+BA307+BA306</f>
        <v>930</v>
      </c>
      <c r="BB308" s="295">
        <f>+BB305+BB307+BB306</f>
        <v>930</v>
      </c>
      <c r="BD308" s="295">
        <f>+BD305+BD307+BD306</f>
        <v>1794</v>
      </c>
      <c r="BE308" s="295">
        <f>+BE305+BE307+BE306</f>
        <v>1448</v>
      </c>
      <c r="BF308" s="295">
        <f>+BF305+BF307+BF306</f>
        <v>1448</v>
      </c>
      <c r="BH308" s="295">
        <f>+BH305+BH307+BH306</f>
        <v>1171</v>
      </c>
      <c r="BI308" s="295"/>
      <c r="BJ308" s="295"/>
      <c r="BL308" s="295"/>
      <c r="BM308" s="295"/>
      <c r="BN308" s="295"/>
      <c r="BP308" s="295"/>
      <c r="BQ308" s="295"/>
      <c r="BR308" s="295"/>
      <c r="BT308" s="295"/>
      <c r="BU308" s="295"/>
      <c r="BV308" s="295"/>
      <c r="BX308" s="295"/>
      <c r="BY308" s="295"/>
      <c r="BZ308" s="295"/>
      <c r="CB308" s="295"/>
      <c r="CC308" s="295"/>
      <c r="CD308" s="295"/>
      <c r="CF308" s="295"/>
      <c r="CG308" s="295"/>
      <c r="CH308" s="295"/>
      <c r="CJ308" s="295"/>
      <c r="CK308" s="295"/>
      <c r="CL308" s="295"/>
      <c r="CN308" s="295"/>
      <c r="CO308" s="295"/>
      <c r="CP308" s="295"/>
      <c r="CR308" s="295"/>
      <c r="CS308" s="295"/>
      <c r="CT308" s="295"/>
      <c r="CV308" s="295"/>
      <c r="CW308" s="1390"/>
      <c r="CX308" s="1390"/>
      <c r="CZ308" s="295"/>
      <c r="DA308" s="295"/>
      <c r="DB308" s="295"/>
      <c r="DD308" s="295"/>
      <c r="DE308" s="295"/>
      <c r="DF308" s="295"/>
      <c r="DH308" s="295"/>
      <c r="DI308" s="295"/>
      <c r="DJ308" s="295"/>
      <c r="DL308" s="295"/>
      <c r="DM308" s="295"/>
      <c r="DN308" s="295"/>
      <c r="DP308" s="295"/>
      <c r="DQ308" s="295"/>
      <c r="DR308" s="295"/>
    </row>
    <row r="309" spans="1:124" hidden="1" outlineLevel="1">
      <c r="AO309" s="293"/>
      <c r="AP309" s="293"/>
      <c r="AR309" s="293"/>
      <c r="AS309" s="293"/>
      <c r="AT309" s="293"/>
      <c r="AV309" s="293"/>
      <c r="AW309" s="293"/>
      <c r="AX309" s="293"/>
      <c r="AZ309" s="293"/>
      <c r="BA309" s="293"/>
      <c r="BB309" s="293"/>
      <c r="BD309" s="293"/>
      <c r="BE309" s="293"/>
      <c r="BF309" s="293"/>
      <c r="BH309" s="293"/>
      <c r="BI309" s="293"/>
      <c r="BJ309" s="293"/>
      <c r="BL309" s="293"/>
      <c r="BM309" s="293"/>
      <c r="BN309" s="293"/>
      <c r="BP309" s="293"/>
      <c r="BQ309" s="293"/>
      <c r="BR309" s="293"/>
      <c r="BT309" s="293"/>
      <c r="BU309" s="293"/>
      <c r="BV309" s="293"/>
      <c r="BX309" s="293"/>
      <c r="BY309" s="293"/>
      <c r="BZ309" s="293"/>
      <c r="CB309" s="293"/>
      <c r="CC309" s="293"/>
      <c r="CD309" s="293"/>
      <c r="CF309" s="293"/>
      <c r="CG309" s="293"/>
      <c r="CH309" s="293"/>
      <c r="CJ309" s="293"/>
      <c r="CK309" s="293"/>
      <c r="CL309" s="293"/>
      <c r="CN309" s="293"/>
      <c r="CO309" s="293"/>
      <c r="CP309" s="293"/>
      <c r="CR309" s="293"/>
      <c r="CS309" s="293"/>
      <c r="CT309" s="293"/>
      <c r="CV309" s="293"/>
      <c r="CW309" s="1495"/>
      <c r="CX309" s="1495"/>
      <c r="CZ309" s="293"/>
      <c r="DA309" s="293"/>
      <c r="DB309" s="293"/>
      <c r="DD309" s="293"/>
      <c r="DE309" s="293"/>
      <c r="DF309" s="293"/>
      <c r="DH309" s="293"/>
      <c r="DI309" s="293"/>
      <c r="DJ309" s="293"/>
      <c r="DL309" s="293"/>
      <c r="DM309" s="293"/>
      <c r="DN309" s="293"/>
      <c r="DP309" s="293"/>
      <c r="DQ309" s="293"/>
      <c r="DR309" s="293"/>
    </row>
    <row r="310" spans="1:124" hidden="1" outlineLevel="1">
      <c r="A310" s="289" t="s">
        <v>159</v>
      </c>
      <c r="AO310" s="295">
        <f>+AO299+AO308</f>
        <v>6512</v>
      </c>
      <c r="AP310" s="295">
        <f>+AP299+AP308</f>
        <v>6512</v>
      </c>
      <c r="AQ310" s="290"/>
      <c r="AR310" s="295">
        <f>+AR299+AR308</f>
        <v>5968</v>
      </c>
      <c r="AS310" s="295">
        <f>+AS299+AS308</f>
        <v>5385</v>
      </c>
      <c r="AT310" s="295">
        <f>+AT299+AT308</f>
        <v>5385</v>
      </c>
      <c r="AV310" s="295">
        <f>+AV299+AV308</f>
        <v>5834</v>
      </c>
      <c r="AW310" s="295">
        <f>+AW299+AW308</f>
        <v>6282</v>
      </c>
      <c r="AX310" s="295">
        <f>+AX299+AX308</f>
        <v>6282</v>
      </c>
      <c r="AZ310" s="295">
        <f>+AZ299+AZ308</f>
        <v>6890</v>
      </c>
      <c r="BA310" s="295">
        <f>+BA299+BA308</f>
        <v>6862</v>
      </c>
      <c r="BB310" s="295">
        <f>+BB299+BB308</f>
        <v>6862</v>
      </c>
      <c r="BD310" s="295">
        <f>+BD299+BD308</f>
        <v>8761</v>
      </c>
      <c r="BE310" s="295">
        <f>+BE299+BE308</f>
        <v>8621</v>
      </c>
      <c r="BF310" s="295">
        <f>+BF299+BF308</f>
        <v>8621</v>
      </c>
      <c r="BH310" s="295">
        <f>+BH299+BH308</f>
        <v>8134</v>
      </c>
      <c r="BI310" s="295"/>
      <c r="BJ310" s="295"/>
      <c r="BL310" s="295"/>
      <c r="BM310" s="295"/>
      <c r="BN310" s="295"/>
      <c r="BP310" s="295"/>
      <c r="BQ310" s="295"/>
      <c r="BR310" s="295"/>
      <c r="BT310" s="295"/>
      <c r="BU310" s="295"/>
      <c r="BV310" s="295"/>
      <c r="BX310" s="295"/>
      <c r="BY310" s="295"/>
      <c r="BZ310" s="295"/>
      <c r="CB310" s="295"/>
      <c r="CC310" s="295"/>
      <c r="CD310" s="295"/>
      <c r="CF310" s="295"/>
      <c r="CG310" s="295"/>
      <c r="CH310" s="295"/>
      <c r="CJ310" s="295"/>
      <c r="CK310" s="295"/>
      <c r="CL310" s="295"/>
      <c r="CN310" s="295"/>
      <c r="CO310" s="295"/>
      <c r="CP310" s="295"/>
      <c r="CR310" s="295"/>
      <c r="CS310" s="295"/>
      <c r="CT310" s="295"/>
      <c r="CV310" s="295"/>
      <c r="CW310" s="1390"/>
      <c r="CX310" s="1390"/>
      <c r="CZ310" s="295"/>
      <c r="DA310" s="295"/>
      <c r="DB310" s="295"/>
      <c r="DD310" s="295"/>
      <c r="DE310" s="295"/>
      <c r="DF310" s="295"/>
      <c r="DH310" s="295"/>
      <c r="DI310" s="295"/>
      <c r="DJ310" s="295"/>
      <c r="DL310" s="295"/>
      <c r="DM310" s="295"/>
      <c r="DN310" s="295"/>
      <c r="DP310" s="295"/>
      <c r="DQ310" s="295"/>
      <c r="DR310" s="295"/>
    </row>
    <row r="311" spans="1:124" hidden="1" outlineLevel="1">
      <c r="AO311" s="293"/>
      <c r="AS311" s="293"/>
      <c r="AW311" s="293"/>
    </row>
    <row r="312" spans="1:124" hidden="1" outlineLevel="1">
      <c r="A312" s="289" t="s">
        <v>263</v>
      </c>
      <c r="AO312" s="293"/>
      <c r="AS312" s="293"/>
      <c r="AW312" s="293"/>
    </row>
    <row r="313" spans="1:124" hidden="1" outlineLevel="1">
      <c r="A313" s="102" t="s">
        <v>334</v>
      </c>
      <c r="AO313" s="626">
        <v>10488</v>
      </c>
      <c r="AP313" s="293">
        <f>AO313</f>
        <v>10488</v>
      </c>
      <c r="AR313" s="626">
        <v>10787</v>
      </c>
      <c r="AS313" s="626">
        <v>13703</v>
      </c>
      <c r="AT313" s="293">
        <f>AS313</f>
        <v>13703</v>
      </c>
      <c r="AV313" s="626">
        <v>19173</v>
      </c>
      <c r="AW313" s="626">
        <v>21211</v>
      </c>
      <c r="AX313" s="293">
        <f>AW313</f>
        <v>21211</v>
      </c>
      <c r="AZ313" s="626">
        <v>26059</v>
      </c>
      <c r="BA313" s="626">
        <v>27242</v>
      </c>
      <c r="BB313" s="293">
        <f>BA313</f>
        <v>27242</v>
      </c>
      <c r="BD313" s="626">
        <v>28286</v>
      </c>
      <c r="BE313" s="626">
        <v>22171</v>
      </c>
      <c r="BF313" s="293">
        <f>BE313</f>
        <v>22171</v>
      </c>
      <c r="BH313" s="626">
        <v>25308</v>
      </c>
      <c r="BI313" s="626"/>
      <c r="BJ313" s="293"/>
      <c r="BL313" s="293"/>
      <c r="BM313" s="293"/>
      <c r="BN313" s="293"/>
      <c r="BP313" s="293"/>
      <c r="BQ313" s="293"/>
      <c r="BR313" s="293"/>
      <c r="BT313" s="293"/>
      <c r="BU313" s="293"/>
      <c r="BV313" s="293"/>
      <c r="BX313" s="293"/>
      <c r="BY313" s="293"/>
      <c r="BZ313" s="293"/>
      <c r="CB313" s="293"/>
      <c r="CC313" s="293"/>
      <c r="CD313" s="293"/>
      <c r="CF313" s="293"/>
      <c r="CG313" s="293"/>
      <c r="CH313" s="293"/>
      <c r="CJ313" s="293"/>
      <c r="CK313" s="293"/>
      <c r="CL313" s="293"/>
      <c r="CN313" s="293"/>
      <c r="CO313" s="293"/>
      <c r="CP313" s="293"/>
      <c r="CR313" s="293"/>
      <c r="CS313" s="293"/>
      <c r="CT313" s="293"/>
      <c r="CV313" s="293"/>
      <c r="CW313" s="1495"/>
      <c r="CX313" s="1495"/>
      <c r="CZ313" s="293"/>
      <c r="DA313" s="293"/>
      <c r="DB313" s="293"/>
      <c r="DD313" s="293"/>
      <c r="DE313" s="293"/>
      <c r="DF313" s="293"/>
      <c r="DH313" s="293"/>
      <c r="DI313" s="293"/>
      <c r="DJ313" s="293"/>
      <c r="DL313" s="293"/>
      <c r="DM313" s="293"/>
      <c r="DN313" s="293"/>
      <c r="DP313" s="293"/>
      <c r="DQ313" s="293"/>
      <c r="DR313" s="293"/>
    </row>
    <row r="314" spans="1:124" hidden="1" outlineLevel="1">
      <c r="A314" s="102" t="s">
        <v>335</v>
      </c>
      <c r="AO314" s="626">
        <v>4382</v>
      </c>
      <c r="AP314" s="293">
        <f>AO314</f>
        <v>4382</v>
      </c>
      <c r="AR314" s="626">
        <v>4163</v>
      </c>
      <c r="AS314" s="626">
        <v>3101</v>
      </c>
      <c r="AT314" s="293">
        <f>AS314</f>
        <v>3101</v>
      </c>
      <c r="AV314" s="626">
        <v>2019</v>
      </c>
      <c r="AW314" s="626">
        <v>3002</v>
      </c>
      <c r="AX314" s="293">
        <f>AW314</f>
        <v>3002</v>
      </c>
      <c r="AZ314" s="626">
        <v>2805</v>
      </c>
      <c r="BA314" s="626">
        <v>3020</v>
      </c>
      <c r="BB314" s="293">
        <f>BA314</f>
        <v>3020</v>
      </c>
      <c r="BD314" s="626">
        <v>3713</v>
      </c>
      <c r="BE314" s="626">
        <v>4507</v>
      </c>
      <c r="BF314" s="293">
        <f>BE314</f>
        <v>4507</v>
      </c>
      <c r="BH314" s="626">
        <v>4584</v>
      </c>
      <c r="BI314" s="626"/>
      <c r="BJ314" s="293"/>
      <c r="BL314" s="293"/>
      <c r="BM314" s="293"/>
      <c r="BN314" s="293"/>
      <c r="BP314" s="293"/>
      <c r="BQ314" s="293"/>
      <c r="BR314" s="293"/>
      <c r="BT314" s="293"/>
      <c r="BU314" s="293"/>
      <c r="BV314" s="293"/>
      <c r="BX314" s="293"/>
      <c r="BY314" s="293"/>
      <c r="BZ314" s="293"/>
      <c r="CB314" s="293"/>
      <c r="CC314" s="293"/>
      <c r="CD314" s="293"/>
      <c r="CF314" s="293"/>
      <c r="CG314" s="293"/>
      <c r="CH314" s="293"/>
      <c r="CJ314" s="293"/>
      <c r="CK314" s="293"/>
      <c r="CL314" s="293"/>
      <c r="CN314" s="293"/>
      <c r="CO314" s="293"/>
      <c r="CP314" s="293"/>
      <c r="CR314" s="293"/>
      <c r="CS314" s="293"/>
      <c r="CT314" s="293"/>
      <c r="CV314" s="293"/>
      <c r="CW314" s="1495"/>
      <c r="CX314" s="1495"/>
      <c r="CZ314" s="293"/>
      <c r="DA314" s="293"/>
      <c r="DB314" s="293"/>
      <c r="DD314" s="293"/>
      <c r="DE314" s="293"/>
      <c r="DF314" s="293"/>
      <c r="DH314" s="293"/>
      <c r="DI314" s="293"/>
      <c r="DJ314" s="293"/>
      <c r="DL314" s="293"/>
      <c r="DM314" s="293"/>
      <c r="DN314" s="293"/>
      <c r="DP314" s="293"/>
      <c r="DQ314" s="293"/>
      <c r="DR314" s="293"/>
    </row>
    <row r="315" spans="1:124" hidden="1" outlineLevel="1">
      <c r="A315" s="102" t="s">
        <v>337</v>
      </c>
      <c r="AO315" s="626">
        <v>11189</v>
      </c>
      <c r="AP315" s="293">
        <f>AO315</f>
        <v>11189</v>
      </c>
      <c r="AR315" s="626">
        <v>11648</v>
      </c>
      <c r="AS315" s="626">
        <v>9737</v>
      </c>
      <c r="AT315" s="293">
        <f>AS315</f>
        <v>9737</v>
      </c>
      <c r="AV315" s="626">
        <v>9655</v>
      </c>
      <c r="AW315" s="626">
        <v>9885</v>
      </c>
      <c r="AX315" s="293">
        <f>AW315</f>
        <v>9885</v>
      </c>
      <c r="AZ315" s="626">
        <v>10276</v>
      </c>
      <c r="BA315" s="626">
        <v>9604</v>
      </c>
      <c r="BB315" s="293">
        <f>BA315</f>
        <v>9604</v>
      </c>
      <c r="BD315" s="626">
        <f>5671+4477</f>
        <v>10148</v>
      </c>
      <c r="BE315" s="626">
        <f>4502+5838</f>
        <v>10340</v>
      </c>
      <c r="BF315" s="293">
        <f>BE315</f>
        <v>10340</v>
      </c>
      <c r="BH315" s="626">
        <f>2589+5106</f>
        <v>7695</v>
      </c>
      <c r="BI315" s="626"/>
      <c r="BJ315" s="293"/>
      <c r="BL315" s="293"/>
      <c r="BM315" s="293"/>
      <c r="BN315" s="293"/>
      <c r="BP315" s="293"/>
      <c r="BQ315" s="293"/>
      <c r="BR315" s="293"/>
      <c r="BT315" s="293"/>
      <c r="BU315" s="293"/>
      <c r="BV315" s="293"/>
      <c r="BX315" s="293"/>
      <c r="BY315" s="293"/>
      <c r="BZ315" s="293"/>
      <c r="CB315" s="293"/>
      <c r="CC315" s="293"/>
      <c r="CD315" s="293"/>
      <c r="CF315" s="293"/>
      <c r="CG315" s="293"/>
      <c r="CH315" s="293"/>
      <c r="CJ315" s="293"/>
      <c r="CK315" s="293"/>
      <c r="CL315" s="293"/>
      <c r="CN315" s="293"/>
      <c r="CO315" s="293"/>
      <c r="CP315" s="293"/>
      <c r="CR315" s="293"/>
      <c r="CS315" s="293"/>
      <c r="CT315" s="293"/>
      <c r="CV315" s="293"/>
      <c r="CW315" s="1495"/>
      <c r="CX315" s="1495"/>
      <c r="CZ315" s="293"/>
      <c r="DA315" s="293"/>
      <c r="DB315" s="293"/>
      <c r="DD315" s="293"/>
      <c r="DE315" s="293"/>
      <c r="DF315" s="293"/>
      <c r="DH315" s="293"/>
      <c r="DI315" s="293"/>
      <c r="DJ315" s="293"/>
      <c r="DL315" s="293"/>
      <c r="DM315" s="293"/>
      <c r="DN315" s="293"/>
      <c r="DP315" s="293"/>
      <c r="DQ315" s="293"/>
      <c r="DR315" s="293"/>
    </row>
    <row r="316" spans="1:124" hidden="1" outlineLevel="1">
      <c r="A316" s="102" t="s">
        <v>338</v>
      </c>
      <c r="AO316" s="626">
        <v>1244</v>
      </c>
      <c r="AP316" s="293">
        <f>AO316</f>
        <v>1244</v>
      </c>
      <c r="AR316" s="626">
        <v>1357</v>
      </c>
      <c r="AS316" s="626">
        <v>1074</v>
      </c>
      <c r="AT316" s="293">
        <f>AS316</f>
        <v>1074</v>
      </c>
      <c r="AV316" s="626">
        <v>1199</v>
      </c>
      <c r="AW316" s="626">
        <v>1019</v>
      </c>
      <c r="AX316" s="293">
        <f>AW316</f>
        <v>1019</v>
      </c>
      <c r="AZ316" s="626">
        <v>1005</v>
      </c>
      <c r="BA316" s="626">
        <v>1117</v>
      </c>
      <c r="BB316" s="293">
        <f>BA316</f>
        <v>1117</v>
      </c>
      <c r="BD316" s="626">
        <v>1228</v>
      </c>
      <c r="BE316" s="626">
        <v>517</v>
      </c>
      <c r="BF316" s="293">
        <f>BE316</f>
        <v>517</v>
      </c>
      <c r="BH316" s="626">
        <v>555</v>
      </c>
      <c r="BI316" s="626"/>
      <c r="BJ316" s="293"/>
      <c r="BL316" s="293"/>
      <c r="BM316" s="293"/>
      <c r="BN316" s="293"/>
      <c r="BP316" s="293"/>
      <c r="BQ316" s="293"/>
      <c r="BR316" s="293"/>
      <c r="BT316" s="293"/>
      <c r="BU316" s="293"/>
      <c r="BV316" s="293"/>
      <c r="BX316" s="293"/>
      <c r="BY316" s="293"/>
      <c r="BZ316" s="293"/>
      <c r="CB316" s="293"/>
      <c r="CC316" s="293"/>
      <c r="CD316" s="293"/>
      <c r="CF316" s="293"/>
      <c r="CG316" s="293"/>
      <c r="CH316" s="293"/>
      <c r="CJ316" s="293"/>
      <c r="CK316" s="293"/>
      <c r="CL316" s="293"/>
      <c r="CN316" s="293"/>
      <c r="CO316" s="293"/>
      <c r="CP316" s="293"/>
      <c r="CR316" s="293"/>
      <c r="CS316" s="293"/>
      <c r="CT316" s="293"/>
      <c r="CV316" s="293"/>
      <c r="CW316" s="1495"/>
      <c r="CX316" s="1495"/>
      <c r="CZ316" s="293"/>
      <c r="DA316" s="293"/>
      <c r="DB316" s="293"/>
      <c r="DD316" s="293"/>
      <c r="DE316" s="293"/>
      <c r="DF316" s="293"/>
      <c r="DH316" s="293"/>
      <c r="DI316" s="293"/>
      <c r="DJ316" s="293"/>
      <c r="DL316" s="293"/>
      <c r="DM316" s="293"/>
      <c r="DN316" s="293"/>
      <c r="DP316" s="293"/>
      <c r="DQ316" s="293"/>
      <c r="DR316" s="293"/>
    </row>
    <row r="317" spans="1:124" s="289" customFormat="1" hidden="1" outlineLevel="1">
      <c r="A317" s="289" t="s">
        <v>339</v>
      </c>
      <c r="C317" s="290"/>
      <c r="AN317" s="290"/>
      <c r="AO317" s="295">
        <f>SUM(AO313:AO316)</f>
        <v>27303</v>
      </c>
      <c r="AP317" s="295">
        <f>SUM(AP313:AP316)</f>
        <v>27303</v>
      </c>
      <c r="AQ317" s="290"/>
      <c r="AR317" s="295">
        <f>SUM(AR313:AR316)</f>
        <v>27955</v>
      </c>
      <c r="AS317" s="295">
        <f>SUM(AS313:AS316)</f>
        <v>27615</v>
      </c>
      <c r="AT317" s="295">
        <f>SUM(AT313:AT316)</f>
        <v>27615</v>
      </c>
      <c r="AU317" s="290"/>
      <c r="AV317" s="295">
        <f>SUM(AV313:AV316)</f>
        <v>32046</v>
      </c>
      <c r="AW317" s="295">
        <f>SUM(AW313:AW316)</f>
        <v>35117</v>
      </c>
      <c r="AX317" s="295">
        <f>SUM(AX313:AX316)</f>
        <v>35117</v>
      </c>
      <c r="AY317" s="290"/>
      <c r="AZ317" s="295">
        <f>SUM(AZ313:AZ316)</f>
        <v>40145</v>
      </c>
      <c r="BA317" s="295">
        <f>SUM(BA313:BA316)</f>
        <v>40983</v>
      </c>
      <c r="BB317" s="295">
        <f>SUM(BB313:BB316)</f>
        <v>40983</v>
      </c>
      <c r="BC317" s="290"/>
      <c r="BD317" s="295">
        <f>SUM(BD313:BD316)</f>
        <v>43375</v>
      </c>
      <c r="BE317" s="295">
        <f>SUM(BE313:BE316)</f>
        <v>37535</v>
      </c>
      <c r="BF317" s="295">
        <f>SUM(BF313:BF316)</f>
        <v>37535</v>
      </c>
      <c r="BG317" s="290"/>
      <c r="BH317" s="295">
        <f>SUM(BH313:BH316)</f>
        <v>38142</v>
      </c>
      <c r="BI317" s="295"/>
      <c r="BJ317" s="295"/>
      <c r="BK317" s="290"/>
      <c r="BL317" s="295"/>
      <c r="BM317" s="295"/>
      <c r="BN317" s="295"/>
      <c r="BO317" s="290"/>
      <c r="BP317" s="295"/>
      <c r="BQ317" s="295"/>
      <c r="BR317" s="295"/>
      <c r="BS317" s="290"/>
      <c r="BT317" s="295"/>
      <c r="BU317" s="295"/>
      <c r="BV317" s="295"/>
      <c r="BW317" s="290"/>
      <c r="BX317" s="295"/>
      <c r="BY317" s="295"/>
      <c r="BZ317" s="295"/>
      <c r="CA317" s="290"/>
      <c r="CB317" s="295"/>
      <c r="CC317" s="295"/>
      <c r="CD317" s="295"/>
      <c r="CE317" s="290"/>
      <c r="CF317" s="295"/>
      <c r="CG317" s="295"/>
      <c r="CH317" s="295"/>
      <c r="CI317" s="290"/>
      <c r="CJ317" s="295"/>
      <c r="CK317" s="295"/>
      <c r="CL317" s="295"/>
      <c r="CM317" s="290"/>
      <c r="CN317" s="295"/>
      <c r="CO317" s="295"/>
      <c r="CP317" s="295"/>
      <c r="CQ317" s="290"/>
      <c r="CR317" s="295"/>
      <c r="CS317" s="295"/>
      <c r="CT317" s="295"/>
      <c r="CU317" s="290"/>
      <c r="CV317" s="295"/>
      <c r="CW317" s="1390"/>
      <c r="CX317" s="1390"/>
      <c r="CY317" s="290"/>
      <c r="CZ317" s="295"/>
      <c r="DA317" s="295"/>
      <c r="DB317" s="295"/>
      <c r="DC317" s="290"/>
      <c r="DD317" s="295"/>
      <c r="DE317" s="295"/>
      <c r="DF317" s="295"/>
      <c r="DG317" s="290"/>
      <c r="DH317" s="295"/>
      <c r="DI317" s="295"/>
      <c r="DJ317" s="295"/>
      <c r="DK317" s="290"/>
      <c r="DL317" s="295"/>
      <c r="DM317" s="295"/>
      <c r="DN317" s="295"/>
      <c r="DO317" s="290"/>
      <c r="DP317" s="295"/>
      <c r="DQ317" s="295"/>
      <c r="DR317" s="295"/>
      <c r="DS317" s="290"/>
      <c r="DT317"/>
    </row>
    <row r="318" spans="1:124" hidden="1" outlineLevel="1">
      <c r="A318" s="102" t="s">
        <v>340</v>
      </c>
      <c r="AO318" s="626">
        <v>1370</v>
      </c>
      <c r="AP318" s="293">
        <f>AO318</f>
        <v>1370</v>
      </c>
      <c r="AR318" s="626">
        <v>1456</v>
      </c>
      <c r="AS318" s="626">
        <v>1189</v>
      </c>
      <c r="AT318" s="293">
        <f>AS318</f>
        <v>1189</v>
      </c>
      <c r="AV318" s="626">
        <v>1323</v>
      </c>
      <c r="AW318" s="626">
        <v>1715</v>
      </c>
      <c r="AX318" s="293">
        <f>AW318</f>
        <v>1715</v>
      </c>
      <c r="AZ318" s="626">
        <v>1927</v>
      </c>
      <c r="BA318" s="626">
        <v>1912</v>
      </c>
      <c r="BB318" s="293">
        <f>BA318</f>
        <v>1912</v>
      </c>
      <c r="BD318" s="626">
        <v>2173</v>
      </c>
      <c r="BE318" s="626">
        <v>2028</v>
      </c>
      <c r="BF318" s="293">
        <f>BE318</f>
        <v>2028</v>
      </c>
      <c r="BH318" s="626">
        <v>1924</v>
      </c>
      <c r="BI318" s="626"/>
      <c r="BJ318" s="293"/>
      <c r="BL318" s="293"/>
      <c r="BM318" s="293"/>
      <c r="BN318" s="293"/>
      <c r="BP318" s="293"/>
      <c r="BQ318" s="293"/>
      <c r="BR318" s="293"/>
      <c r="BT318" s="293"/>
      <c r="BU318" s="293"/>
      <c r="BV318" s="293"/>
      <c r="BX318" s="293"/>
      <c r="BY318" s="293"/>
      <c r="BZ318" s="293"/>
      <c r="CB318" s="293"/>
      <c r="CC318" s="293"/>
      <c r="CD318" s="293"/>
      <c r="CF318" s="293"/>
      <c r="CG318" s="293"/>
      <c r="CH318" s="293"/>
      <c r="CJ318" s="293"/>
      <c r="CK318" s="293"/>
      <c r="CL318" s="293"/>
      <c r="CN318" s="293"/>
      <c r="CO318" s="293"/>
      <c r="CP318" s="293"/>
      <c r="CR318" s="293"/>
      <c r="CS318" s="293"/>
      <c r="CT318" s="293"/>
      <c r="CV318" s="293"/>
      <c r="CW318" s="1495"/>
      <c r="CX318" s="1495"/>
      <c r="CZ318" s="293"/>
      <c r="DA318" s="293"/>
      <c r="DB318" s="293"/>
      <c r="DD318" s="293"/>
      <c r="DE318" s="293"/>
      <c r="DF318" s="293"/>
      <c r="DH318" s="293"/>
      <c r="DI318" s="293"/>
      <c r="DJ318" s="293"/>
      <c r="DL318" s="293"/>
      <c r="DM318" s="293"/>
      <c r="DN318" s="293"/>
      <c r="DP318" s="293"/>
      <c r="DQ318" s="293"/>
      <c r="DR318" s="293"/>
    </row>
    <row r="319" spans="1:124" hidden="1" outlineLevel="1">
      <c r="A319" s="302" t="s">
        <v>341</v>
      </c>
      <c r="B319" s="302"/>
      <c r="C319" s="304"/>
      <c r="D319" s="302"/>
      <c r="E319" s="302"/>
      <c r="F319" s="302"/>
      <c r="G319" s="302"/>
      <c r="H319" s="302"/>
      <c r="I319" s="302"/>
      <c r="J319" s="302"/>
      <c r="K319" s="302"/>
      <c r="L319" s="302"/>
      <c r="M319" s="302"/>
      <c r="N319" s="302"/>
      <c r="O319" s="302"/>
      <c r="P319" s="302"/>
      <c r="Q319" s="302"/>
      <c r="R319" s="302"/>
      <c r="S319" s="302"/>
      <c r="T319" s="302"/>
      <c r="U319" s="302"/>
      <c r="V319" s="302"/>
      <c r="W319" s="302"/>
      <c r="X319" s="302"/>
      <c r="Y319" s="302"/>
      <c r="Z319" s="302"/>
      <c r="AA319" s="302"/>
      <c r="AB319" s="302"/>
      <c r="AC319" s="302"/>
      <c r="AD319" s="302"/>
      <c r="AE319" s="302"/>
      <c r="AF319" s="302"/>
      <c r="AG319" s="302"/>
      <c r="AH319" s="302"/>
      <c r="AI319" s="302"/>
      <c r="AJ319" s="302"/>
      <c r="AK319" s="302"/>
      <c r="AL319" s="302"/>
      <c r="AM319" s="302"/>
      <c r="AN319" s="304"/>
      <c r="AO319" s="627">
        <v>2213</v>
      </c>
      <c r="AP319" s="303">
        <f>AO319</f>
        <v>2213</v>
      </c>
      <c r="AQ319" s="304"/>
      <c r="AR319" s="627">
        <v>2291</v>
      </c>
      <c r="AS319" s="627">
        <v>2082</v>
      </c>
      <c r="AT319" s="303">
        <f>AS319</f>
        <v>2082</v>
      </c>
      <c r="AU319" s="304"/>
      <c r="AV319" s="627">
        <v>1976</v>
      </c>
      <c r="AW319" s="627">
        <v>2480</v>
      </c>
      <c r="AX319" s="303">
        <f>AW319</f>
        <v>2480</v>
      </c>
      <c r="AY319" s="304"/>
      <c r="AZ319" s="627">
        <v>3073</v>
      </c>
      <c r="BA319" s="627">
        <v>3834</v>
      </c>
      <c r="BB319" s="303">
        <f>BA319</f>
        <v>3834</v>
      </c>
      <c r="BC319" s="304"/>
      <c r="BD319" s="627">
        <v>3889</v>
      </c>
      <c r="BE319" s="627">
        <v>4666</v>
      </c>
      <c r="BF319" s="303">
        <f>BE319</f>
        <v>4666</v>
      </c>
      <c r="BG319" s="304"/>
      <c r="BH319" s="627">
        <v>4280</v>
      </c>
      <c r="BI319" s="626"/>
      <c r="BJ319" s="293"/>
      <c r="BL319" s="626"/>
      <c r="BM319" s="626"/>
      <c r="BN319" s="293"/>
      <c r="BP319" s="626"/>
      <c r="BQ319" s="626"/>
      <c r="BR319" s="293"/>
      <c r="BT319" s="626"/>
      <c r="BU319" s="626"/>
      <c r="BV319" s="293"/>
      <c r="BX319" s="626"/>
      <c r="BY319" s="626"/>
      <c r="BZ319" s="293"/>
      <c r="CB319" s="626"/>
      <c r="CC319" s="626"/>
      <c r="CD319" s="293"/>
      <c r="CF319" s="626"/>
      <c r="CG319" s="626"/>
      <c r="CH319" s="293"/>
      <c r="CJ319" s="626"/>
      <c r="CK319" s="626"/>
      <c r="CL319" s="293"/>
      <c r="CN319" s="626"/>
      <c r="CO319" s="626"/>
      <c r="CP319" s="293"/>
      <c r="CR319" s="626"/>
      <c r="CS319" s="626"/>
      <c r="CT319" s="293"/>
      <c r="CV319" s="626"/>
      <c r="CW319" s="1497"/>
      <c r="CX319" s="1495"/>
      <c r="CZ319" s="626"/>
      <c r="DA319" s="626"/>
      <c r="DB319" s="293"/>
      <c r="DD319" s="626"/>
      <c r="DE319" s="626"/>
      <c r="DF319" s="293"/>
      <c r="DH319" s="626"/>
      <c r="DI319" s="626"/>
      <c r="DJ319" s="293"/>
      <c r="DL319" s="626"/>
      <c r="DM319" s="626"/>
      <c r="DN319" s="293"/>
      <c r="DP319" s="626"/>
      <c r="DQ319" s="626"/>
      <c r="DR319" s="293"/>
    </row>
    <row r="320" spans="1:124" hidden="1" outlineLevel="1">
      <c r="A320" s="302" t="s">
        <v>342</v>
      </c>
      <c r="B320" s="302"/>
      <c r="C320" s="304"/>
      <c r="D320" s="302"/>
      <c r="E320" s="302"/>
      <c r="F320" s="302"/>
      <c r="G320" s="302"/>
      <c r="H320" s="302"/>
      <c r="I320" s="302"/>
      <c r="J320" s="302"/>
      <c r="K320" s="302"/>
      <c r="L320" s="302"/>
      <c r="M320" s="302"/>
      <c r="N320" s="302"/>
      <c r="O320" s="302"/>
      <c r="P320" s="302"/>
      <c r="Q320" s="302"/>
      <c r="R320" s="302"/>
      <c r="S320" s="302"/>
      <c r="T320" s="302"/>
      <c r="U320" s="302"/>
      <c r="V320" s="302"/>
      <c r="W320" s="302"/>
      <c r="X320" s="302"/>
      <c r="Y320" s="302"/>
      <c r="Z320" s="302"/>
      <c r="AA320" s="302"/>
      <c r="AB320" s="302"/>
      <c r="AC320" s="302"/>
      <c r="AD320" s="302"/>
      <c r="AE320" s="302"/>
      <c r="AF320" s="302"/>
      <c r="AG320" s="302"/>
      <c r="AH320" s="302"/>
      <c r="AI320" s="302"/>
      <c r="AJ320" s="302"/>
      <c r="AK320" s="302"/>
      <c r="AL320" s="302"/>
      <c r="AM320" s="302"/>
      <c r="AN320" s="304"/>
      <c r="AO320" s="627">
        <v>5215</v>
      </c>
      <c r="AP320" s="303">
        <f>AO320</f>
        <v>5215</v>
      </c>
      <c r="AQ320" s="304"/>
      <c r="AR320" s="627">
        <v>6720</v>
      </c>
      <c r="AS320" s="627">
        <v>5791</v>
      </c>
      <c r="AT320" s="303">
        <f>AS320</f>
        <v>5791</v>
      </c>
      <c r="AU320" s="304"/>
      <c r="AV320" s="627">
        <v>6565</v>
      </c>
      <c r="AW320" s="627">
        <v>6748</v>
      </c>
      <c r="AX320" s="303">
        <f>AW320</f>
        <v>6748</v>
      </c>
      <c r="AY320" s="304"/>
      <c r="AZ320" s="627">
        <v>6984</v>
      </c>
      <c r="BA320" s="627">
        <v>7037</v>
      </c>
      <c r="BB320" s="303">
        <f>BA320</f>
        <v>7037</v>
      </c>
      <c r="BC320" s="304"/>
      <c r="BD320" s="627">
        <v>6467</v>
      </c>
      <c r="BE320" s="627">
        <v>6312</v>
      </c>
      <c r="BF320" s="303">
        <f>BE320</f>
        <v>6312</v>
      </c>
      <c r="BG320" s="304"/>
      <c r="BH320" s="627">
        <v>6439</v>
      </c>
      <c r="BI320" s="626"/>
      <c r="BJ320" s="293"/>
      <c r="BL320" s="626"/>
      <c r="BM320" s="626"/>
      <c r="BN320" s="293"/>
      <c r="BP320" s="626"/>
      <c r="BQ320" s="626"/>
      <c r="BR320" s="293"/>
      <c r="BT320" s="626"/>
      <c r="BU320" s="626"/>
      <c r="BV320" s="293"/>
      <c r="BX320" s="626"/>
      <c r="BY320" s="626"/>
      <c r="BZ320" s="293"/>
      <c r="CB320" s="626"/>
      <c r="CC320" s="626"/>
      <c r="CD320" s="293"/>
      <c r="CF320" s="626"/>
      <c r="CG320" s="626"/>
      <c r="CH320" s="293"/>
      <c r="CJ320" s="626"/>
      <c r="CK320" s="626"/>
      <c r="CL320" s="293"/>
      <c r="CN320" s="626"/>
      <c r="CO320" s="626"/>
      <c r="CP320" s="293"/>
      <c r="CR320" s="626"/>
      <c r="CS320" s="626"/>
      <c r="CT320" s="293"/>
      <c r="CV320" s="626"/>
      <c r="CW320" s="1497"/>
      <c r="CX320" s="1495"/>
      <c r="CZ320" s="626"/>
      <c r="DA320" s="626"/>
      <c r="DB320" s="293"/>
      <c r="DD320" s="626"/>
      <c r="DE320" s="626"/>
      <c r="DF320" s="293"/>
      <c r="DH320" s="626"/>
      <c r="DI320" s="626"/>
      <c r="DJ320" s="293"/>
      <c r="DL320" s="626"/>
      <c r="DM320" s="626"/>
      <c r="DN320" s="293"/>
      <c r="DP320" s="626"/>
      <c r="DQ320" s="626"/>
      <c r="DR320" s="293"/>
    </row>
    <row r="321" spans="1:122" hidden="1" outlineLevel="1">
      <c r="A321" s="102" t="s">
        <v>343</v>
      </c>
      <c r="AO321" s="626">
        <v>0</v>
      </c>
      <c r="AP321" s="293">
        <f>AO321</f>
        <v>0</v>
      </c>
      <c r="AR321" s="626">
        <v>98</v>
      </c>
      <c r="AS321" s="626">
        <v>6</v>
      </c>
      <c r="AT321" s="293">
        <f>AS321</f>
        <v>6</v>
      </c>
      <c r="AV321" s="626">
        <v>0</v>
      </c>
      <c r="AW321" s="626">
        <v>0</v>
      </c>
      <c r="AX321" s="293">
        <f>AW321</f>
        <v>0</v>
      </c>
      <c r="AZ321" s="626">
        <v>0</v>
      </c>
      <c r="BA321" s="626">
        <f>+AZ321*1.05</f>
        <v>0</v>
      </c>
      <c r="BB321" s="293">
        <f>BA321</f>
        <v>0</v>
      </c>
      <c r="BD321" s="626">
        <v>0</v>
      </c>
      <c r="BE321" s="626">
        <v>0</v>
      </c>
      <c r="BF321" s="293">
        <f>BE321</f>
        <v>0</v>
      </c>
      <c r="BH321" s="626">
        <v>0</v>
      </c>
      <c r="BI321" s="626"/>
      <c r="BJ321" s="293"/>
      <c r="BL321" s="626"/>
      <c r="BM321" s="626"/>
      <c r="BN321" s="293"/>
      <c r="BP321" s="626"/>
      <c r="BQ321" s="626"/>
      <c r="BR321" s="293"/>
      <c r="BT321" s="626"/>
      <c r="BU321" s="626"/>
      <c r="BV321" s="293"/>
      <c r="BX321" s="626"/>
      <c r="BY321" s="626"/>
      <c r="BZ321" s="293"/>
      <c r="CB321" s="626"/>
      <c r="CC321" s="626"/>
      <c r="CD321" s="293"/>
      <c r="CF321" s="626"/>
      <c r="CG321" s="626"/>
      <c r="CH321" s="293"/>
      <c r="CJ321" s="626"/>
      <c r="CK321" s="626"/>
      <c r="CL321" s="293"/>
      <c r="CN321" s="626"/>
      <c r="CO321" s="626"/>
      <c r="CP321" s="293"/>
      <c r="CR321" s="626"/>
      <c r="CS321" s="626"/>
      <c r="CT321" s="293"/>
      <c r="CV321" s="626"/>
      <c r="CW321" s="1497"/>
      <c r="CX321" s="1495"/>
      <c r="CZ321" s="626"/>
      <c r="DA321" s="626"/>
      <c r="DB321" s="293"/>
      <c r="DD321" s="626"/>
      <c r="DE321" s="626"/>
      <c r="DF321" s="293"/>
      <c r="DH321" s="626"/>
      <c r="DI321" s="626"/>
      <c r="DJ321" s="293"/>
      <c r="DL321" s="626"/>
      <c r="DM321" s="626"/>
      <c r="DN321" s="293"/>
      <c r="DP321" s="626"/>
      <c r="DQ321" s="626"/>
      <c r="DR321" s="293"/>
    </row>
    <row r="322" spans="1:122" hidden="1" outlineLevel="1">
      <c r="A322" s="102" t="s">
        <v>344</v>
      </c>
      <c r="AO322" s="293">
        <f>+AO313*6%</f>
        <v>629.28</v>
      </c>
      <c r="AP322" s="293">
        <f>AO322</f>
        <v>629.28</v>
      </c>
      <c r="AR322" s="293">
        <f>+AR313*6%</f>
        <v>647.22</v>
      </c>
      <c r="AS322" s="293">
        <f>+AS313*6%</f>
        <v>822.18</v>
      </c>
      <c r="AT322" s="293">
        <f>AS322</f>
        <v>822.18</v>
      </c>
      <c r="AV322" s="293">
        <f>+AV313*6%</f>
        <v>1150.3799999999999</v>
      </c>
      <c r="AW322" s="293">
        <f>+AW313*6%</f>
        <v>1272.6599999999999</v>
      </c>
      <c r="AX322" s="293">
        <f>AW322</f>
        <v>1272.6599999999999</v>
      </c>
      <c r="AZ322" s="293">
        <f>+AZ313*6%</f>
        <v>1563.54</v>
      </c>
      <c r="BA322" s="626">
        <v>1634</v>
      </c>
      <c r="BB322" s="293">
        <f>BA322</f>
        <v>1634</v>
      </c>
      <c r="BD322" s="626">
        <v>1697</v>
      </c>
      <c r="BE322" s="626">
        <v>1330</v>
      </c>
      <c r="BF322" s="293">
        <f>BE322</f>
        <v>1330</v>
      </c>
      <c r="BH322" s="626">
        <v>1519</v>
      </c>
      <c r="BI322" s="626"/>
      <c r="BJ322" s="293"/>
      <c r="BL322" s="293"/>
      <c r="BM322" s="293"/>
      <c r="BN322" s="293"/>
      <c r="BP322" s="293"/>
      <c r="BQ322" s="293"/>
      <c r="BR322" s="293"/>
      <c r="BT322" s="293"/>
      <c r="BU322" s="293"/>
      <c r="BV322" s="293"/>
      <c r="BX322" s="293"/>
      <c r="BY322" s="293"/>
      <c r="BZ322" s="293"/>
      <c r="CB322" s="293"/>
      <c r="CC322" s="293"/>
      <c r="CD322" s="293"/>
      <c r="CF322" s="293"/>
      <c r="CG322" s="293"/>
      <c r="CH322" s="293"/>
      <c r="CJ322" s="293"/>
      <c r="CK322" s="293"/>
      <c r="CL322" s="293"/>
      <c r="CN322" s="293"/>
      <c r="CO322" s="293"/>
      <c r="CP322" s="293"/>
      <c r="CR322" s="293"/>
      <c r="CS322" s="293"/>
      <c r="CT322" s="293"/>
      <c r="CV322" s="293"/>
      <c r="CW322" s="1495"/>
      <c r="CX322" s="1495"/>
      <c r="CZ322" s="293"/>
      <c r="DA322" s="293"/>
      <c r="DB322" s="293"/>
      <c r="DD322" s="293"/>
      <c r="DE322" s="293"/>
      <c r="DF322" s="293"/>
      <c r="DH322" s="293"/>
      <c r="DI322" s="293"/>
      <c r="DJ322" s="293"/>
      <c r="DL322" s="293"/>
      <c r="DM322" s="293"/>
      <c r="DN322" s="293"/>
      <c r="DP322" s="293"/>
      <c r="DQ322" s="293"/>
      <c r="DR322" s="293"/>
    </row>
    <row r="323" spans="1:122" hidden="1" outlineLevel="1">
      <c r="A323" s="289" t="s">
        <v>345</v>
      </c>
      <c r="AO323" s="295">
        <f>SUM(AO317:AO322)</f>
        <v>36730.28</v>
      </c>
      <c r="AP323" s="295">
        <f>SUM(AP317:AP322)</f>
        <v>36730.28</v>
      </c>
      <c r="AR323" s="295">
        <f>SUM(AR317:AR322)</f>
        <v>39167.22</v>
      </c>
      <c r="AS323" s="295">
        <f>SUM(AS317:AS322)</f>
        <v>37505.18</v>
      </c>
      <c r="AT323" s="295">
        <f>SUM(AT317:AT322)</f>
        <v>37505.18</v>
      </c>
      <c r="AV323" s="295">
        <f>SUM(AV317:AV322)</f>
        <v>43060.38</v>
      </c>
      <c r="AW323" s="295">
        <f>SUM(AW317:AW322)</f>
        <v>47332.66</v>
      </c>
      <c r="AX323" s="295">
        <f>SUM(AX317:AX322)</f>
        <v>47332.66</v>
      </c>
      <c r="AZ323" s="295">
        <f>SUM(AZ317:AZ322)</f>
        <v>53692.54</v>
      </c>
      <c r="BA323" s="295">
        <f>SUM(BA317:BA322)</f>
        <v>55400</v>
      </c>
      <c r="BB323" s="295">
        <f>SUM(BB317:BB322)</f>
        <v>55400</v>
      </c>
      <c r="BD323" s="295">
        <f>SUM(BD317:BD322)</f>
        <v>57601</v>
      </c>
      <c r="BE323" s="295">
        <f>SUM(BE317:BE322)</f>
        <v>51871</v>
      </c>
      <c r="BF323" s="295">
        <f>SUM(BF317:BF322)</f>
        <v>51871</v>
      </c>
      <c r="BH323" s="295">
        <f>SUM(BH317:BH322)</f>
        <v>52304</v>
      </c>
      <c r="BI323" s="295"/>
      <c r="BJ323" s="295"/>
      <c r="BL323" s="295"/>
      <c r="BM323" s="295"/>
      <c r="BN323" s="295"/>
      <c r="BP323" s="295"/>
      <c r="BQ323" s="295"/>
      <c r="BR323" s="295"/>
      <c r="BT323" s="295"/>
      <c r="BU323" s="295"/>
      <c r="BV323" s="295"/>
      <c r="BX323" s="295"/>
      <c r="BY323" s="295"/>
      <c r="BZ323" s="295"/>
      <c r="CB323" s="295"/>
      <c r="CC323" s="295"/>
      <c r="CD323" s="295"/>
      <c r="CF323" s="295"/>
      <c r="CG323" s="295"/>
      <c r="CH323" s="295"/>
      <c r="CJ323" s="295"/>
      <c r="CK323" s="295"/>
      <c r="CL323" s="295"/>
      <c r="CN323" s="295"/>
      <c r="CO323" s="295"/>
      <c r="CP323" s="295"/>
      <c r="CR323" s="295"/>
      <c r="CS323" s="295"/>
      <c r="CT323" s="295"/>
      <c r="CV323" s="295"/>
      <c r="CW323" s="1390"/>
      <c r="CX323" s="1390"/>
      <c r="CZ323" s="295"/>
      <c r="DA323" s="295"/>
      <c r="DB323" s="295"/>
      <c r="DD323" s="295"/>
      <c r="DE323" s="295"/>
      <c r="DF323" s="295"/>
      <c r="DH323" s="295"/>
      <c r="DI323" s="295"/>
      <c r="DJ323" s="295"/>
      <c r="DL323" s="295"/>
      <c r="DM323" s="295"/>
      <c r="DN323" s="295"/>
      <c r="DP323" s="295"/>
      <c r="DQ323" s="295"/>
      <c r="DR323" s="295"/>
    </row>
    <row r="324" spans="1:122" hidden="1" outlineLevel="1">
      <c r="A324" s="102" t="s">
        <v>346</v>
      </c>
      <c r="AO324" s="293">
        <f>-AO347</f>
        <v>-1848</v>
      </c>
      <c r="AP324" s="293">
        <f>-AP347</f>
        <v>-1848</v>
      </c>
      <c r="AR324" s="293">
        <f>AR325-AR323</f>
        <v>-1293.2200000000012</v>
      </c>
      <c r="AS324" s="293">
        <f>AS325-AS323</f>
        <v>-740.18000000000029</v>
      </c>
      <c r="AT324" s="293">
        <f>-AT347</f>
        <v>-740.18000000000029</v>
      </c>
      <c r="AV324" s="293">
        <f>AV325-AV323</f>
        <v>-500.37999999999738</v>
      </c>
      <c r="AW324" s="293">
        <f>AW325-AW323</f>
        <v>-392.66000000000349</v>
      </c>
      <c r="AX324" s="293">
        <f>-AX347</f>
        <v>-392.66000000000349</v>
      </c>
      <c r="AZ324" s="293">
        <f>AZ325-AZ323</f>
        <v>-329.54000000000087</v>
      </c>
      <c r="BA324" s="293">
        <f>BA325-BA323</f>
        <v>-178</v>
      </c>
      <c r="BB324" s="293">
        <f>-BB347</f>
        <v>-178</v>
      </c>
      <c r="BD324" s="293">
        <f>BD325-BD323</f>
        <v>0</v>
      </c>
      <c r="BE324" s="293">
        <f>BE325-BE323</f>
        <v>0</v>
      </c>
      <c r="BF324" s="293">
        <f>-BF347</f>
        <v>0</v>
      </c>
      <c r="BH324" s="293">
        <f>BH325-BH323</f>
        <v>0</v>
      </c>
      <c r="BI324" s="293"/>
      <c r="BJ324" s="293"/>
      <c r="BL324" s="293"/>
      <c r="BM324" s="293"/>
      <c r="BN324" s="293"/>
      <c r="BP324" s="293"/>
      <c r="BQ324" s="293"/>
      <c r="BR324" s="293"/>
      <c r="BT324" s="293"/>
      <c r="BU324" s="293"/>
      <c r="BV324" s="293"/>
      <c r="BX324" s="293"/>
      <c r="BY324" s="293"/>
      <c r="BZ324" s="293"/>
      <c r="CB324" s="293"/>
      <c r="CC324" s="293"/>
      <c r="CD324" s="293"/>
      <c r="CF324" s="293"/>
      <c r="CG324" s="293"/>
      <c r="CH324" s="293"/>
      <c r="CJ324" s="293"/>
      <c r="CK324" s="293"/>
      <c r="CL324" s="293"/>
      <c r="CN324" s="293"/>
      <c r="CO324" s="293"/>
      <c r="CP324" s="293"/>
      <c r="CR324" s="293"/>
      <c r="CS324" s="293"/>
      <c r="CT324" s="293"/>
      <c r="CV324" s="293"/>
      <c r="CW324" s="1495"/>
      <c r="CX324" s="1495"/>
      <c r="CZ324" s="293"/>
      <c r="DA324" s="293"/>
      <c r="DB324" s="293"/>
      <c r="DD324" s="293"/>
      <c r="DE324" s="293"/>
      <c r="DF324" s="293"/>
      <c r="DH324" s="293"/>
      <c r="DI324" s="293"/>
      <c r="DJ324" s="293"/>
      <c r="DL324" s="293"/>
      <c r="DM324" s="293"/>
      <c r="DN324" s="293"/>
      <c r="DP324" s="293"/>
      <c r="DQ324" s="293"/>
      <c r="DR324" s="293"/>
    </row>
    <row r="325" spans="1:122" hidden="1" outlineLevel="1">
      <c r="A325" s="289" t="s">
        <v>347</v>
      </c>
      <c r="AO325" s="295">
        <f>SUM(AO323:AO324)</f>
        <v>34882.28</v>
      </c>
      <c r="AP325" s="295">
        <f>SUM(AP323:AP324)</f>
        <v>34882.28</v>
      </c>
      <c r="AR325" s="655">
        <v>37874</v>
      </c>
      <c r="AS325" s="655">
        <v>36765</v>
      </c>
      <c r="AT325" s="295">
        <f>SUM(AT323:AT324)</f>
        <v>36765</v>
      </c>
      <c r="AV325" s="655">
        <v>42560</v>
      </c>
      <c r="AW325" s="655">
        <v>46940</v>
      </c>
      <c r="AX325" s="295">
        <f>SUM(AX323:AX324)</f>
        <v>46940</v>
      </c>
      <c r="AZ325" s="655">
        <v>53363</v>
      </c>
      <c r="BA325" s="655">
        <v>55222</v>
      </c>
      <c r="BB325" s="295">
        <f>SUM(BB323:BB324)</f>
        <v>55222</v>
      </c>
      <c r="BD325" s="655">
        <v>57601</v>
      </c>
      <c r="BE325" s="655">
        <v>51871</v>
      </c>
      <c r="BF325" s="295">
        <f>SUM(BF323:BF324)</f>
        <v>51871</v>
      </c>
      <c r="BH325" s="655">
        <v>52304</v>
      </c>
      <c r="BI325" s="655"/>
      <c r="BJ325" s="295"/>
      <c r="BL325" s="295"/>
      <c r="BM325" s="295"/>
      <c r="BN325" s="295"/>
      <c r="BP325" s="295"/>
      <c r="BQ325" s="295"/>
      <c r="BR325" s="295"/>
      <c r="BT325" s="295"/>
      <c r="BU325" s="295"/>
      <c r="BV325" s="295"/>
      <c r="BX325" s="295"/>
      <c r="BY325" s="295"/>
      <c r="BZ325" s="295"/>
      <c r="CB325" s="295"/>
      <c r="CC325" s="295"/>
      <c r="CD325" s="295"/>
      <c r="CF325" s="295"/>
      <c r="CG325" s="295"/>
      <c r="CH325" s="295"/>
      <c r="CJ325" s="295"/>
      <c r="CK325" s="295"/>
      <c r="CL325" s="295"/>
      <c r="CN325" s="295"/>
      <c r="CO325" s="295"/>
      <c r="CP325" s="295"/>
      <c r="CR325" s="295"/>
      <c r="CS325" s="295"/>
      <c r="CT325" s="295"/>
      <c r="CV325" s="295"/>
      <c r="CW325" s="1390"/>
      <c r="CX325" s="1390"/>
      <c r="CZ325" s="295"/>
      <c r="DA325" s="295"/>
      <c r="DB325" s="295"/>
      <c r="DD325" s="295"/>
      <c r="DE325" s="295"/>
      <c r="DF325" s="295"/>
      <c r="DH325" s="295"/>
      <c r="DI325" s="295"/>
      <c r="DJ325" s="295"/>
      <c r="DL325" s="295"/>
      <c r="DM325" s="295"/>
      <c r="DN325" s="295"/>
      <c r="DP325" s="295"/>
      <c r="DQ325" s="295"/>
      <c r="DR325" s="295"/>
    </row>
    <row r="326" spans="1:122" hidden="1" outlineLevel="1">
      <c r="A326" s="289"/>
      <c r="AO326" s="295"/>
      <c r="AR326" s="295"/>
      <c r="AV326" s="295"/>
      <c r="AZ326" s="295"/>
      <c r="BD326" s="295"/>
      <c r="BH326" s="295"/>
    </row>
    <row r="327" spans="1:122" hidden="1" outlineLevel="1">
      <c r="A327" s="289" t="s">
        <v>348</v>
      </c>
      <c r="AO327" s="295"/>
      <c r="AR327" s="295"/>
      <c r="AV327" s="295"/>
      <c r="AZ327" s="295"/>
      <c r="BD327" s="295"/>
      <c r="BH327" s="295"/>
    </row>
    <row r="328" spans="1:122" hidden="1" outlineLevel="1">
      <c r="A328" s="102" t="s">
        <v>349</v>
      </c>
      <c r="AO328" s="293">
        <f>AO317</f>
        <v>27303</v>
      </c>
      <c r="AR328" s="293">
        <f>AR317</f>
        <v>27955</v>
      </c>
      <c r="AS328" s="293">
        <f>AS317</f>
        <v>27615</v>
      </c>
      <c r="AT328" s="293">
        <f>AS328</f>
        <v>27615</v>
      </c>
      <c r="AV328" s="293">
        <f>AV317</f>
        <v>32046</v>
      </c>
      <c r="AW328" s="293">
        <f>AW317</f>
        <v>35117</v>
      </c>
      <c r="AX328" s="293">
        <f>AW328</f>
        <v>35117</v>
      </c>
      <c r="AZ328" s="293">
        <f>AZ317</f>
        <v>40145</v>
      </c>
      <c r="BA328" s="293">
        <f>BA317</f>
        <v>40983</v>
      </c>
      <c r="BB328" s="293">
        <f>BA328</f>
        <v>40983</v>
      </c>
      <c r="BD328" s="293">
        <f>BD317</f>
        <v>43375</v>
      </c>
      <c r="BE328" s="293">
        <f>BE317</f>
        <v>37535</v>
      </c>
      <c r="BF328" s="293">
        <f>BE328</f>
        <v>37535</v>
      </c>
      <c r="BH328" s="293">
        <f>BH317</f>
        <v>38142</v>
      </c>
      <c r="BI328" s="293"/>
      <c r="BJ328" s="293"/>
      <c r="BL328" s="293"/>
      <c r="BM328" s="293"/>
      <c r="BN328" s="293"/>
      <c r="BP328" s="293"/>
      <c r="BQ328" s="293"/>
      <c r="BR328" s="293"/>
      <c r="BT328" s="293"/>
      <c r="BU328" s="293"/>
      <c r="BV328" s="293"/>
      <c r="BX328" s="293"/>
      <c r="BY328" s="293"/>
      <c r="BZ328" s="293"/>
      <c r="CB328" s="293"/>
      <c r="CC328" s="293"/>
      <c r="CD328" s="293"/>
      <c r="CF328" s="293"/>
      <c r="CG328" s="293"/>
      <c r="CH328" s="293"/>
      <c r="CJ328" s="293"/>
      <c r="CK328" s="293"/>
      <c r="CL328" s="293"/>
      <c r="CN328" s="293"/>
      <c r="CO328" s="293"/>
      <c r="CP328" s="293"/>
      <c r="CR328" s="293"/>
      <c r="CS328" s="293"/>
      <c r="CT328" s="293"/>
      <c r="CV328" s="293"/>
      <c r="CW328" s="1495"/>
      <c r="CX328" s="1495"/>
      <c r="CZ328" s="293"/>
      <c r="DA328" s="293"/>
      <c r="DB328" s="293"/>
      <c r="DD328" s="293"/>
      <c r="DE328" s="293"/>
      <c r="DF328" s="293"/>
      <c r="DH328" s="293"/>
      <c r="DI328" s="293"/>
      <c r="DJ328" s="293"/>
      <c r="DL328" s="293"/>
      <c r="DM328" s="293"/>
      <c r="DN328" s="293"/>
      <c r="DP328" s="293"/>
      <c r="DQ328" s="293"/>
      <c r="DR328" s="293"/>
    </row>
    <row r="329" spans="1:122" hidden="1" outlineLevel="1">
      <c r="A329" s="102" t="s">
        <v>350</v>
      </c>
      <c r="AO329" s="293">
        <f>'Bal Sheet'!AO16</f>
        <v>52407</v>
      </c>
      <c r="AR329" s="293">
        <f>'Bal Sheet'!AR16</f>
        <v>51783</v>
      </c>
      <c r="AS329" s="293">
        <f>'Bal Sheet'!AS16</f>
        <v>44751</v>
      </c>
      <c r="AT329" s="293">
        <f>'Bal Sheet'!AT16</f>
        <v>44751</v>
      </c>
      <c r="AV329" s="293">
        <f>'Bal Sheet'!AV16</f>
        <v>42504</v>
      </c>
      <c r="AW329" s="293">
        <f>'Bal Sheet'!AW16</f>
        <v>44267</v>
      </c>
      <c r="AX329" s="293">
        <f>'Bal Sheet'!AX16</f>
        <v>44267</v>
      </c>
      <c r="AZ329" s="293">
        <f>'Bal Sheet'!AZ16</f>
        <v>45130</v>
      </c>
      <c r="BA329" s="293">
        <f>'Bal Sheet'!BA16</f>
        <v>46016</v>
      </c>
      <c r="BB329" s="293">
        <f>'Bal Sheet'!BB16</f>
        <v>46016</v>
      </c>
      <c r="BD329" s="293">
        <f>'Bal Sheet'!BD16</f>
        <v>45843</v>
      </c>
      <c r="BE329" s="293">
        <f>'Bal Sheet'!BE16</f>
        <v>45218</v>
      </c>
      <c r="BF329" s="293">
        <f>'Bal Sheet'!BF16</f>
        <v>45218</v>
      </c>
      <c r="BH329" s="293">
        <f>'Bal Sheet'!BH16</f>
        <v>47559</v>
      </c>
      <c r="BI329" s="293"/>
      <c r="BJ329" s="293"/>
      <c r="BL329" s="293"/>
      <c r="BM329" s="293"/>
      <c r="BN329" s="293"/>
      <c r="BP329" s="293"/>
      <c r="BQ329" s="293"/>
      <c r="BR329" s="293"/>
      <c r="BT329" s="293"/>
      <c r="BU329" s="293"/>
      <c r="BV329" s="293"/>
      <c r="BX329" s="293"/>
      <c r="BY329" s="293"/>
      <c r="BZ329" s="293"/>
      <c r="CB329" s="293"/>
      <c r="CC329" s="293"/>
      <c r="CD329" s="293"/>
      <c r="CF329" s="293"/>
      <c r="CG329" s="293"/>
      <c r="CH329" s="293"/>
      <c r="CJ329" s="293"/>
      <c r="CK329" s="293"/>
      <c r="CL329" s="293"/>
      <c r="CN329" s="293"/>
      <c r="CO329" s="293"/>
      <c r="CP329" s="293"/>
      <c r="CR329" s="293"/>
      <c r="CS329" s="293"/>
      <c r="CT329" s="293"/>
      <c r="CV329" s="293"/>
      <c r="CW329" s="1495"/>
      <c r="CX329" s="1495"/>
      <c r="CZ329" s="293"/>
      <c r="DA329" s="293"/>
      <c r="DB329" s="293"/>
      <c r="DD329" s="293"/>
      <c r="DE329" s="293"/>
      <c r="DF329" s="293"/>
      <c r="DH329" s="293"/>
      <c r="DI329" s="293"/>
      <c r="DJ329" s="293"/>
      <c r="DL329" s="293"/>
      <c r="DM329" s="293"/>
      <c r="DN329" s="293"/>
      <c r="DP329" s="293"/>
      <c r="DQ329" s="293"/>
      <c r="DR329" s="293"/>
    </row>
    <row r="330" spans="1:122" hidden="1" outlineLevel="1">
      <c r="A330" s="302" t="s">
        <v>351</v>
      </c>
      <c r="B330" s="302"/>
      <c r="C330" s="304"/>
      <c r="D330" s="302"/>
      <c r="E330" s="302"/>
      <c r="F330" s="302"/>
      <c r="G330" s="302"/>
      <c r="H330" s="302"/>
      <c r="I330" s="302"/>
      <c r="J330" s="302"/>
      <c r="K330" s="302"/>
      <c r="L330" s="302"/>
      <c r="M330" s="302"/>
      <c r="N330" s="302"/>
      <c r="O330" s="302"/>
      <c r="P330" s="302"/>
      <c r="Q330" s="302"/>
      <c r="R330" s="302"/>
      <c r="S330" s="302"/>
      <c r="T330" s="302"/>
      <c r="U330" s="302"/>
      <c r="V330" s="302"/>
      <c r="W330" s="302"/>
      <c r="X330" s="302"/>
      <c r="Y330" s="302"/>
      <c r="Z330" s="302"/>
      <c r="AA330" s="302"/>
      <c r="AB330" s="302"/>
      <c r="AC330" s="302"/>
      <c r="AD330" s="302"/>
      <c r="AE330" s="302"/>
      <c r="AF330" s="302"/>
      <c r="AG330" s="302"/>
      <c r="AH330" s="302"/>
      <c r="AI330" s="302"/>
      <c r="AJ330" s="302"/>
      <c r="AK330" s="302"/>
      <c r="AL330" s="302"/>
      <c r="AM330" s="302"/>
      <c r="AN330" s="304"/>
      <c r="AO330" s="628">
        <f>+AO328/AO329</f>
        <v>0.52098002175281932</v>
      </c>
      <c r="AP330" s="304"/>
      <c r="AQ330" s="304"/>
      <c r="AR330" s="628">
        <f>+AR328/AR329</f>
        <v>0.53984898518818913</v>
      </c>
      <c r="AS330" s="628">
        <f>+AS328/AS329</f>
        <v>0.61708118254340683</v>
      </c>
      <c r="AT330" s="628">
        <f>+AT328/AT329</f>
        <v>0.61708118254340683</v>
      </c>
      <c r="AU330" s="304"/>
      <c r="AV330" s="628">
        <f>+AV328/AV329</f>
        <v>0.75395256916996045</v>
      </c>
      <c r="AW330" s="628">
        <f>+AW328/AW329</f>
        <v>0.79329974924887614</v>
      </c>
      <c r="AX330" s="628">
        <f>+AX328/AX329</f>
        <v>0.79329974924887614</v>
      </c>
      <c r="AY330" s="304"/>
      <c r="AZ330" s="628">
        <f>+AZ328/AZ329</f>
        <v>0.88954132506093508</v>
      </c>
      <c r="BA330" s="628">
        <f>+BA328/BA329</f>
        <v>0.890625</v>
      </c>
      <c r="BB330" s="628">
        <f>+BB328/BB329</f>
        <v>0.890625</v>
      </c>
      <c r="BC330" s="304"/>
      <c r="BD330" s="628">
        <f>+BD328/BD329</f>
        <v>0.94616408175730204</v>
      </c>
      <c r="BE330" s="628">
        <f>+BE328/BE329</f>
        <v>0.83008978725286386</v>
      </c>
      <c r="BF330" s="628">
        <f>+BF328/BF329</f>
        <v>0.83008978725286386</v>
      </c>
      <c r="BG330" s="304"/>
      <c r="BH330" s="628">
        <f>+BH328/BH329</f>
        <v>0.80199331356840975</v>
      </c>
      <c r="BI330" s="632"/>
      <c r="BJ330" s="632"/>
      <c r="BL330" s="733"/>
      <c r="BM330" s="733"/>
      <c r="BN330" s="632"/>
      <c r="BP330" s="733"/>
      <c r="BQ330" s="733"/>
      <c r="BR330" s="632"/>
      <c r="BT330" s="733"/>
      <c r="BU330" s="733"/>
      <c r="BV330" s="632"/>
      <c r="BX330" s="733"/>
      <c r="BY330" s="733"/>
      <c r="BZ330" s="632"/>
      <c r="CB330" s="733"/>
      <c r="CC330" s="733"/>
      <c r="CD330" s="632"/>
      <c r="CF330" s="733"/>
      <c r="CG330" s="733"/>
      <c r="CH330" s="632"/>
      <c r="CJ330" s="733"/>
      <c r="CK330" s="733"/>
      <c r="CL330" s="632"/>
      <c r="CN330" s="733"/>
      <c r="CO330" s="733"/>
      <c r="CP330" s="632"/>
      <c r="CR330" s="733"/>
      <c r="CS330" s="733"/>
      <c r="CT330" s="632"/>
      <c r="CV330" s="733"/>
      <c r="CW330" s="733"/>
      <c r="CX330" s="632"/>
      <c r="CZ330" s="733"/>
      <c r="DA330" s="733"/>
      <c r="DB330" s="632"/>
      <c r="DD330" s="733"/>
      <c r="DE330" s="733"/>
      <c r="DF330" s="632"/>
      <c r="DH330" s="733"/>
      <c r="DI330" s="733"/>
      <c r="DJ330" s="632"/>
      <c r="DL330" s="733"/>
      <c r="DM330" s="733"/>
      <c r="DN330" s="632"/>
      <c r="DP330" s="733"/>
      <c r="DQ330" s="733"/>
      <c r="DR330" s="632"/>
    </row>
    <row r="331" spans="1:122" hidden="1" outlineLevel="1">
      <c r="A331" s="289"/>
      <c r="AO331" s="295"/>
      <c r="AR331" s="295"/>
      <c r="AS331" s="295"/>
      <c r="AV331" s="295"/>
      <c r="AW331" s="295"/>
      <c r="AZ331" s="295"/>
      <c r="BA331" s="295"/>
      <c r="BD331" s="295"/>
      <c r="BE331" s="295"/>
      <c r="BH331" s="295"/>
      <c r="BI331" s="295"/>
    </row>
    <row r="332" spans="1:122" hidden="1" outlineLevel="1">
      <c r="A332" s="289"/>
      <c r="AO332" s="295"/>
      <c r="AR332" s="295"/>
      <c r="AS332" s="295"/>
      <c r="AV332" s="295"/>
      <c r="AW332" s="295"/>
      <c r="AZ332" s="295"/>
      <c r="BA332" s="295"/>
      <c r="BD332" s="295"/>
      <c r="BH332" s="295"/>
    </row>
    <row r="333" spans="1:122" hidden="1" outlineLevel="1">
      <c r="A333" s="289" t="s">
        <v>352</v>
      </c>
    </row>
    <row r="334" spans="1:122" hidden="1" outlineLevel="1">
      <c r="A334" s="102" t="s">
        <v>353</v>
      </c>
      <c r="AO334" s="293">
        <f>'Bal Sheet'!AO378</f>
        <v>391</v>
      </c>
      <c r="AP334" s="293"/>
      <c r="AQ334" s="293"/>
      <c r="AR334" s="293">
        <f>'Bal Sheet'!AR378</f>
        <v>391</v>
      </c>
      <c r="AS334" s="293">
        <f>'Bal Sheet'!AS378</f>
        <v>391</v>
      </c>
      <c r="AT334" s="293">
        <f>'Bal Sheet'!AT378</f>
        <v>391</v>
      </c>
      <c r="AV334" s="293">
        <f>'Bal Sheet'!AV378</f>
        <v>391</v>
      </c>
      <c r="AW334" s="293">
        <f>'Bal Sheet'!AW378</f>
        <v>391</v>
      </c>
      <c r="AX334" s="293">
        <f>'Bal Sheet'!AX378</f>
        <v>391</v>
      </c>
      <c r="AZ334" s="293">
        <f>'Bal Sheet'!AZ378</f>
        <v>391</v>
      </c>
      <c r="BA334" s="293">
        <f>'Bal Sheet'!BA378</f>
        <v>391</v>
      </c>
      <c r="BB334" s="293">
        <f>'Bal Sheet'!BB378</f>
        <v>391</v>
      </c>
      <c r="BD334" s="293">
        <f>'Bal Sheet'!BD378</f>
        <v>391</v>
      </c>
      <c r="BE334" s="293">
        <f>'Bal Sheet'!BE378</f>
        <v>391</v>
      </c>
      <c r="BF334" s="293">
        <f>'Bal Sheet'!BF378</f>
        <v>391</v>
      </c>
      <c r="BH334" s="293">
        <f>'Bal Sheet'!BH378</f>
        <v>391</v>
      </c>
      <c r="BI334" s="293"/>
      <c r="BJ334" s="293"/>
      <c r="BL334" s="293"/>
      <c r="BM334" s="293"/>
      <c r="BN334" s="293"/>
      <c r="BP334" s="293"/>
      <c r="BQ334" s="293"/>
      <c r="BR334" s="293"/>
      <c r="BT334" s="293"/>
      <c r="BU334" s="293"/>
      <c r="BV334" s="293"/>
      <c r="BX334" s="293"/>
      <c r="BY334" s="293"/>
      <c r="BZ334" s="293"/>
      <c r="CB334" s="293"/>
      <c r="CC334" s="293"/>
      <c r="CD334" s="293"/>
      <c r="CF334" s="293"/>
      <c r="CG334" s="293"/>
      <c r="CH334" s="293"/>
      <c r="CJ334" s="293"/>
      <c r="CK334" s="293"/>
      <c r="CL334" s="293"/>
      <c r="CN334" s="293"/>
      <c r="CO334" s="293"/>
      <c r="CP334" s="293"/>
      <c r="CR334" s="293"/>
      <c r="CS334" s="293"/>
      <c r="CT334" s="293"/>
      <c r="CV334" s="293"/>
      <c r="CW334" s="1495"/>
      <c r="CX334" s="1495"/>
      <c r="CZ334" s="293"/>
      <c r="DA334" s="293"/>
      <c r="DB334" s="293"/>
      <c r="DD334" s="293"/>
      <c r="DE334" s="293"/>
      <c r="DF334" s="293"/>
      <c r="DH334" s="293"/>
      <c r="DI334" s="293"/>
      <c r="DJ334" s="293"/>
      <c r="DL334" s="293"/>
      <c r="DM334" s="293"/>
      <c r="DN334" s="293"/>
      <c r="DP334" s="293"/>
      <c r="DQ334" s="293"/>
      <c r="DR334" s="293"/>
    </row>
    <row r="335" spans="1:122" hidden="1" outlineLevel="1">
      <c r="A335" s="102" t="s">
        <v>354</v>
      </c>
      <c r="AO335" s="626"/>
      <c r="AP335" s="730"/>
      <c r="AQ335" s="730"/>
      <c r="AR335" s="803">
        <v>591</v>
      </c>
      <c r="AS335" s="803">
        <v>591</v>
      </c>
      <c r="AT335" s="803">
        <v>591</v>
      </c>
      <c r="AU335" s="1172"/>
      <c r="AV335" s="803">
        <v>591</v>
      </c>
      <c r="AW335" s="626">
        <v>591</v>
      </c>
      <c r="AX335" s="626">
        <v>591</v>
      </c>
      <c r="AY335" s="730"/>
      <c r="AZ335" s="626">
        <v>593</v>
      </c>
      <c r="BA335" s="626">
        <v>593</v>
      </c>
      <c r="BB335" s="626">
        <v>593</v>
      </c>
      <c r="BC335" s="730"/>
      <c r="BD335" s="626">
        <v>596</v>
      </c>
      <c r="BE335" s="626">
        <v>596</v>
      </c>
      <c r="BF335" s="626">
        <v>596</v>
      </c>
      <c r="BG335" s="730"/>
      <c r="BH335" s="626">
        <v>615</v>
      </c>
      <c r="BI335" s="293"/>
      <c r="BJ335" s="293"/>
      <c r="BL335" s="293"/>
      <c r="BM335" s="293"/>
      <c r="BN335" s="293"/>
      <c r="BP335" s="293"/>
      <c r="BQ335" s="293"/>
      <c r="BR335" s="293"/>
      <c r="BT335" s="293"/>
      <c r="BU335" s="293"/>
      <c r="BV335" s="293"/>
      <c r="BX335" s="293"/>
      <c r="BY335" s="293"/>
      <c r="BZ335" s="293"/>
      <c r="CB335" s="293"/>
      <c r="CC335" s="293"/>
      <c r="CD335" s="293"/>
      <c r="CF335" s="293"/>
      <c r="CG335" s="293"/>
      <c r="CH335" s="293"/>
      <c r="CJ335" s="293"/>
      <c r="CK335" s="293"/>
      <c r="CL335" s="293"/>
      <c r="CN335" s="293"/>
      <c r="CO335" s="293"/>
      <c r="CP335" s="293"/>
      <c r="CR335" s="293"/>
      <c r="CS335" s="293"/>
      <c r="CT335" s="293"/>
      <c r="CV335" s="293"/>
      <c r="CW335" s="1495"/>
      <c r="CX335" s="1495"/>
      <c r="CZ335" s="293"/>
      <c r="DA335" s="293"/>
      <c r="DB335" s="293"/>
      <c r="DD335" s="293"/>
      <c r="DE335" s="293"/>
      <c r="DF335" s="293"/>
      <c r="DH335" s="293"/>
      <c r="DI335" s="293"/>
      <c r="DJ335" s="293"/>
      <c r="DL335" s="293"/>
      <c r="DM335" s="293"/>
      <c r="DN335" s="293"/>
      <c r="DP335" s="293"/>
      <c r="DQ335" s="293"/>
      <c r="DR335" s="293"/>
    </row>
    <row r="336" spans="1:122" hidden="1" outlineLevel="1">
      <c r="A336" s="102" t="s">
        <v>355</v>
      </c>
      <c r="AO336" s="293">
        <f>'Bal Sheet'!AO405</f>
        <v>752</v>
      </c>
      <c r="AR336" s="899">
        <f>'Bal Sheet'!AR405</f>
        <v>780</v>
      </c>
      <c r="AS336" s="899">
        <f>'Bal Sheet'!AS405</f>
        <v>398</v>
      </c>
      <c r="AT336" s="899">
        <f>'Bal Sheet'!AT405</f>
        <v>398</v>
      </c>
      <c r="AU336" s="1173"/>
      <c r="AV336" s="899">
        <f>'Bal Sheet'!AV405</f>
        <v>74</v>
      </c>
      <c r="AW336" s="293">
        <f>'Bal Sheet'!AW405</f>
        <v>67</v>
      </c>
      <c r="AX336" s="293">
        <f>'Bal Sheet'!AX405</f>
        <v>67</v>
      </c>
      <c r="AZ336" s="293">
        <f>'Bal Sheet'!AZ405</f>
        <v>66</v>
      </c>
      <c r="BA336" s="293">
        <f>'Bal Sheet'!BA405</f>
        <v>63</v>
      </c>
      <c r="BB336" s="293">
        <f>'Bal Sheet'!BB405</f>
        <v>63</v>
      </c>
      <c r="BD336" s="293">
        <f>'Bal Sheet'!BD405</f>
        <v>66</v>
      </c>
      <c r="BE336" s="293">
        <f>'Bal Sheet'!BE405</f>
        <v>63</v>
      </c>
      <c r="BF336" s="293">
        <f>'Bal Sheet'!BF405</f>
        <v>63</v>
      </c>
      <c r="BH336" s="293">
        <f>'Bal Sheet'!BH405</f>
        <v>64</v>
      </c>
      <c r="BI336" s="293"/>
      <c r="BJ336" s="293"/>
      <c r="BL336" s="293"/>
      <c r="BM336" s="293"/>
      <c r="BN336" s="293"/>
      <c r="BP336" s="293"/>
      <c r="BQ336" s="293"/>
      <c r="BR336" s="293"/>
      <c r="BT336" s="293"/>
      <c r="BU336" s="293"/>
      <c r="BV336" s="293"/>
      <c r="BX336" s="293"/>
      <c r="BY336" s="293"/>
      <c r="BZ336" s="293"/>
      <c r="CB336" s="293"/>
      <c r="CC336" s="293"/>
      <c r="CD336" s="293"/>
      <c r="CF336" s="293"/>
      <c r="CG336" s="293"/>
      <c r="CH336" s="293"/>
      <c r="CJ336" s="293"/>
      <c r="CK336" s="293"/>
      <c r="CL336" s="293"/>
      <c r="CN336" s="293"/>
      <c r="CO336" s="293"/>
      <c r="CP336" s="293"/>
      <c r="CR336" s="293"/>
      <c r="CS336" s="293"/>
      <c r="CT336" s="293"/>
      <c r="CV336" s="293"/>
      <c r="CW336" s="1495"/>
      <c r="CX336" s="1495"/>
      <c r="CZ336" s="293"/>
      <c r="DA336" s="293"/>
      <c r="DB336" s="293"/>
      <c r="DD336" s="293"/>
      <c r="DE336" s="293"/>
      <c r="DF336" s="293"/>
      <c r="DH336" s="293"/>
      <c r="DI336" s="293"/>
      <c r="DJ336" s="293"/>
      <c r="DL336" s="293"/>
      <c r="DM336" s="293"/>
      <c r="DN336" s="293"/>
      <c r="DP336" s="293"/>
      <c r="DQ336" s="293"/>
      <c r="DR336" s="293"/>
    </row>
    <row r="337" spans="1:124" s="289" customFormat="1" hidden="1" outlineLevel="1">
      <c r="A337" s="289" t="s">
        <v>356</v>
      </c>
      <c r="C337" s="290"/>
      <c r="AN337" s="290"/>
      <c r="AO337" s="295">
        <f>SUM(AO334:AO336)</f>
        <v>1143</v>
      </c>
      <c r="AP337" s="290"/>
      <c r="AQ337" s="290"/>
      <c r="AR337" s="295">
        <f>SUM(AR334:AR336)</f>
        <v>1762</v>
      </c>
      <c r="AS337" s="295">
        <f>SUM(AS334:AS336)</f>
        <v>1380</v>
      </c>
      <c r="AT337" s="295">
        <f>SUM(AT334:AT336)</f>
        <v>1380</v>
      </c>
      <c r="AU337" s="290"/>
      <c r="AV337" s="295">
        <f>SUM(AV334:AV336)</f>
        <v>1056</v>
      </c>
      <c r="AW337" s="295">
        <f>SUM(AW334:AW336)</f>
        <v>1049</v>
      </c>
      <c r="AX337" s="295">
        <f>SUM(AX334:AX336)</f>
        <v>1049</v>
      </c>
      <c r="AY337" s="290"/>
      <c r="AZ337" s="295">
        <f>SUM(AZ334:AZ336)</f>
        <v>1050</v>
      </c>
      <c r="BA337" s="295">
        <f>SUM(BA334:BA336)</f>
        <v>1047</v>
      </c>
      <c r="BB337" s="295">
        <f>SUM(BB334:BB336)</f>
        <v>1047</v>
      </c>
      <c r="BC337" s="290"/>
      <c r="BD337" s="295">
        <f>SUM(BD334:BD336)</f>
        <v>1053</v>
      </c>
      <c r="BE337" s="295">
        <f>SUM(BE334:BE336)</f>
        <v>1050</v>
      </c>
      <c r="BF337" s="295">
        <f>SUM(BF334:BF336)</f>
        <v>1050</v>
      </c>
      <c r="BG337" s="290"/>
      <c r="BH337" s="295">
        <f>SUM(BH334:BH336)</f>
        <v>1070</v>
      </c>
      <c r="BI337" s="295"/>
      <c r="BJ337" s="295"/>
      <c r="BK337" s="290"/>
      <c r="BL337" s="295"/>
      <c r="BM337" s="295"/>
      <c r="BN337" s="295"/>
      <c r="BO337" s="290"/>
      <c r="BP337" s="295"/>
      <c r="BQ337" s="295"/>
      <c r="BR337" s="295"/>
      <c r="BS337" s="290"/>
      <c r="BT337" s="295"/>
      <c r="BU337" s="295"/>
      <c r="BV337" s="295"/>
      <c r="BW337" s="290"/>
      <c r="BX337" s="295"/>
      <c r="BY337" s="295"/>
      <c r="BZ337" s="295"/>
      <c r="CA337" s="290"/>
      <c r="CB337" s="295"/>
      <c r="CC337" s="295"/>
      <c r="CD337" s="295"/>
      <c r="CE337" s="290"/>
      <c r="CF337" s="295"/>
      <c r="CG337" s="295"/>
      <c r="CH337" s="295"/>
      <c r="CI337" s="290"/>
      <c r="CJ337" s="295"/>
      <c r="CK337" s="295"/>
      <c r="CL337" s="295"/>
      <c r="CM337" s="290"/>
      <c r="CN337" s="295"/>
      <c r="CO337" s="295"/>
      <c r="CP337" s="295"/>
      <c r="CQ337" s="290"/>
      <c r="CR337" s="295"/>
      <c r="CS337" s="295"/>
      <c r="CT337" s="295"/>
      <c r="CU337" s="290"/>
      <c r="CV337" s="295"/>
      <c r="CW337" s="1390"/>
      <c r="CX337" s="1390"/>
      <c r="CY337" s="290"/>
      <c r="CZ337" s="295"/>
      <c r="DA337" s="295"/>
      <c r="DB337" s="295"/>
      <c r="DC337" s="290"/>
      <c r="DD337" s="295"/>
      <c r="DE337" s="295"/>
      <c r="DF337" s="295"/>
      <c r="DG337" s="290"/>
      <c r="DH337" s="295"/>
      <c r="DI337" s="295"/>
      <c r="DJ337" s="295"/>
      <c r="DK337" s="290"/>
      <c r="DL337" s="295"/>
      <c r="DM337" s="295"/>
      <c r="DN337" s="295"/>
      <c r="DO337" s="290"/>
      <c r="DP337" s="295"/>
      <c r="DQ337" s="295"/>
      <c r="DR337" s="295"/>
      <c r="DS337" s="290"/>
      <c r="DT337"/>
    </row>
    <row r="338" spans="1:124" hidden="1" outlineLevel="1">
      <c r="A338" s="102" t="s">
        <v>357</v>
      </c>
      <c r="AO338" s="293">
        <f>AO286</f>
        <v>955</v>
      </c>
      <c r="AR338" s="293">
        <f>AR286</f>
        <v>917</v>
      </c>
      <c r="AS338" s="293">
        <f>AS286</f>
        <v>915</v>
      </c>
      <c r="AT338" s="293">
        <f>AS338</f>
        <v>915</v>
      </c>
      <c r="AV338" s="293">
        <f>AV286</f>
        <v>465</v>
      </c>
      <c r="AW338" s="293">
        <f>AW286</f>
        <v>459</v>
      </c>
      <c r="AX338" s="293">
        <f>AW338</f>
        <v>459</v>
      </c>
      <c r="AZ338" s="293">
        <f>AZ286</f>
        <v>457</v>
      </c>
      <c r="BA338" s="293">
        <f>BA286</f>
        <v>455</v>
      </c>
      <c r="BB338" s="293">
        <f>BA338</f>
        <v>455</v>
      </c>
      <c r="BD338" s="293">
        <f>BD286</f>
        <v>457</v>
      </c>
      <c r="BE338" s="293">
        <f>BE286</f>
        <v>692</v>
      </c>
      <c r="BF338" s="293">
        <f>BE338</f>
        <v>692</v>
      </c>
      <c r="BH338" s="293">
        <f>BH286</f>
        <v>692</v>
      </c>
      <c r="BI338" s="293"/>
      <c r="BJ338" s="293"/>
      <c r="BL338" s="293"/>
      <c r="BM338" s="293"/>
      <c r="BN338" s="293"/>
      <c r="BP338" s="293"/>
      <c r="BQ338" s="293"/>
      <c r="BR338" s="293"/>
      <c r="BT338" s="293"/>
      <c r="BU338" s="293"/>
      <c r="BV338" s="293"/>
      <c r="BX338" s="293"/>
      <c r="BY338" s="293"/>
      <c r="BZ338" s="293"/>
      <c r="CB338" s="293"/>
      <c r="CC338" s="293"/>
      <c r="CD338" s="293"/>
      <c r="CF338" s="293"/>
      <c r="CG338" s="293"/>
      <c r="CH338" s="293"/>
      <c r="CJ338" s="293"/>
      <c r="CK338" s="293"/>
      <c r="CL338" s="293"/>
      <c r="CN338" s="293"/>
      <c r="CO338" s="293"/>
      <c r="CP338" s="293"/>
      <c r="CR338" s="293"/>
      <c r="CS338" s="293"/>
      <c r="CT338" s="293"/>
      <c r="CV338" s="293"/>
      <c r="CW338" s="1495"/>
      <c r="CX338" s="1495"/>
      <c r="CZ338" s="293"/>
      <c r="DA338" s="293"/>
      <c r="DB338" s="293"/>
      <c r="DD338" s="293"/>
      <c r="DE338" s="293"/>
      <c r="DF338" s="293"/>
      <c r="DH338" s="293"/>
      <c r="DI338" s="293"/>
      <c r="DJ338" s="293"/>
      <c r="DL338" s="293"/>
      <c r="DM338" s="293"/>
      <c r="DN338" s="293"/>
      <c r="DP338" s="293"/>
      <c r="DQ338" s="293"/>
      <c r="DR338" s="293"/>
    </row>
    <row r="339" spans="1:124" hidden="1" outlineLevel="1">
      <c r="A339" s="102" t="s">
        <v>358</v>
      </c>
      <c r="AO339" s="293">
        <f>AO303</f>
        <v>188</v>
      </c>
      <c r="AR339" s="293">
        <f>AR303</f>
        <v>254</v>
      </c>
      <c r="AS339" s="293">
        <f>AS303</f>
        <v>204</v>
      </c>
      <c r="AT339" s="293">
        <f>AS339</f>
        <v>204</v>
      </c>
      <c r="AV339" s="293">
        <f>AV303</f>
        <v>0</v>
      </c>
      <c r="AW339" s="293">
        <f>AW303</f>
        <v>0</v>
      </c>
      <c r="AX339" s="293">
        <f>AW339</f>
        <v>0</v>
      </c>
      <c r="AZ339" s="293">
        <f>AZ303</f>
        <v>0</v>
      </c>
      <c r="BA339" s="293">
        <f>BA303</f>
        <v>0</v>
      </c>
      <c r="BB339" s="293">
        <f>BA339</f>
        <v>0</v>
      </c>
      <c r="BD339" s="293">
        <f>BD303</f>
        <v>0</v>
      </c>
      <c r="BE339" s="293">
        <f>BE303</f>
        <v>0</v>
      </c>
      <c r="BF339" s="293">
        <f>BE339</f>
        <v>0</v>
      </c>
      <c r="BH339" s="293">
        <f>BH303</f>
        <v>0</v>
      </c>
      <c r="BI339" s="293"/>
      <c r="BJ339" s="293"/>
      <c r="BL339" s="293"/>
      <c r="BM339" s="293"/>
      <c r="BN339" s="293"/>
      <c r="BP339" s="293"/>
      <c r="BQ339" s="293"/>
      <c r="BR339" s="293"/>
      <c r="BT339" s="293"/>
      <c r="BU339" s="293"/>
      <c r="BV339" s="293"/>
      <c r="BX339" s="293"/>
      <c r="BY339" s="293"/>
      <c r="BZ339" s="293"/>
      <c r="CB339" s="293"/>
      <c r="CC339" s="293"/>
      <c r="CD339" s="293"/>
      <c r="CF339" s="293"/>
      <c r="CG339" s="293"/>
      <c r="CH339" s="293"/>
      <c r="CJ339" s="293"/>
      <c r="CK339" s="293"/>
      <c r="CL339" s="293"/>
      <c r="CN339" s="293"/>
      <c r="CO339" s="293"/>
      <c r="CP339" s="293"/>
      <c r="CR339" s="293"/>
      <c r="CS339" s="293"/>
      <c r="CT339" s="293"/>
      <c r="CV339" s="293"/>
      <c r="CW339" s="1495"/>
      <c r="CX339" s="1495"/>
      <c r="CZ339" s="293"/>
      <c r="DA339" s="293"/>
      <c r="DB339" s="293"/>
      <c r="DD339" s="293"/>
      <c r="DE339" s="293"/>
      <c r="DF339" s="293"/>
      <c r="DH339" s="293"/>
      <c r="DI339" s="293"/>
      <c r="DJ339" s="293"/>
      <c r="DL339" s="293"/>
      <c r="DM339" s="293"/>
      <c r="DN339" s="293"/>
      <c r="DP339" s="293"/>
      <c r="DQ339" s="293"/>
      <c r="DR339" s="293"/>
    </row>
    <row r="340" spans="1:124" s="289" customFormat="1" hidden="1" outlineLevel="1">
      <c r="A340" s="289" t="s">
        <v>359</v>
      </c>
      <c r="C340" s="290"/>
      <c r="AN340" s="290"/>
      <c r="AO340" s="295">
        <f>SUM(AO338:AO339)</f>
        <v>1143</v>
      </c>
      <c r="AP340" s="290"/>
      <c r="AQ340" s="290"/>
      <c r="AR340" s="295">
        <f>SUM(AR338:AR339)</f>
        <v>1171</v>
      </c>
      <c r="AS340" s="295">
        <f>SUM(AS338:AS339)</f>
        <v>1119</v>
      </c>
      <c r="AT340" s="295">
        <f>AS340</f>
        <v>1119</v>
      </c>
      <c r="AU340" s="290"/>
      <c r="AV340" s="295">
        <f>SUM(AV338:AV339)</f>
        <v>465</v>
      </c>
      <c r="AW340" s="295">
        <f>SUM(AW338:AW339)</f>
        <v>459</v>
      </c>
      <c r="AX340" s="295">
        <f>AW340</f>
        <v>459</v>
      </c>
      <c r="AY340" s="290"/>
      <c r="AZ340" s="295">
        <f>SUM(AZ338:AZ339)</f>
        <v>457</v>
      </c>
      <c r="BA340" s="295">
        <f>SUM(BA338:BA339)</f>
        <v>455</v>
      </c>
      <c r="BB340" s="295">
        <f>BA340</f>
        <v>455</v>
      </c>
      <c r="BC340" s="290"/>
      <c r="BD340" s="295">
        <f>SUM(BD338:BD339)</f>
        <v>457</v>
      </c>
      <c r="BE340" s="295">
        <f>SUM(BE338:BE339)</f>
        <v>692</v>
      </c>
      <c r="BF340" s="295">
        <f>BE340</f>
        <v>692</v>
      </c>
      <c r="BG340" s="290"/>
      <c r="BH340" s="295">
        <f>SUM(BH338:BH339)</f>
        <v>692</v>
      </c>
      <c r="BI340" s="295"/>
      <c r="BJ340" s="295"/>
      <c r="BK340" s="290"/>
      <c r="BL340" s="295"/>
      <c r="BM340" s="295"/>
      <c r="BN340" s="295"/>
      <c r="BO340" s="290"/>
      <c r="BP340" s="295"/>
      <c r="BQ340" s="295"/>
      <c r="BR340" s="295"/>
      <c r="BS340" s="290"/>
      <c r="BT340" s="295"/>
      <c r="BU340" s="295"/>
      <c r="BV340" s="295"/>
      <c r="BW340" s="290"/>
      <c r="BX340" s="295"/>
      <c r="BY340" s="295"/>
      <c r="BZ340" s="295"/>
      <c r="CA340" s="290"/>
      <c r="CB340" s="295"/>
      <c r="CC340" s="295"/>
      <c r="CD340" s="295"/>
      <c r="CE340" s="290"/>
      <c r="CF340" s="295"/>
      <c r="CG340" s="295"/>
      <c r="CH340" s="295"/>
      <c r="CI340" s="290"/>
      <c r="CJ340" s="295"/>
      <c r="CK340" s="295"/>
      <c r="CL340" s="295"/>
      <c r="CM340" s="290"/>
      <c r="CN340" s="295"/>
      <c r="CO340" s="295"/>
      <c r="CP340" s="295"/>
      <c r="CQ340" s="290"/>
      <c r="CR340" s="295"/>
      <c r="CS340" s="295"/>
      <c r="CT340" s="295"/>
      <c r="CU340" s="290"/>
      <c r="CV340" s="295"/>
      <c r="CW340" s="1390"/>
      <c r="CX340" s="1390"/>
      <c r="CY340" s="290"/>
      <c r="CZ340" s="295"/>
      <c r="DA340" s="295"/>
      <c r="DB340" s="295"/>
      <c r="DC340" s="290"/>
      <c r="DD340" s="295"/>
      <c r="DE340" s="295"/>
      <c r="DF340" s="295"/>
      <c r="DG340" s="290"/>
      <c r="DH340" s="295"/>
      <c r="DI340" s="295"/>
      <c r="DJ340" s="295"/>
      <c r="DK340" s="290"/>
      <c r="DL340" s="295"/>
      <c r="DM340" s="295"/>
      <c r="DN340" s="295"/>
      <c r="DO340" s="290"/>
      <c r="DP340" s="295"/>
      <c r="DQ340" s="295"/>
      <c r="DR340" s="295"/>
      <c r="DS340" s="290"/>
      <c r="DT340"/>
    </row>
    <row r="341" spans="1:124" s="323" customFormat="1" hidden="1" outlineLevel="1">
      <c r="A341" s="323" t="s">
        <v>360</v>
      </c>
      <c r="C341" s="115"/>
      <c r="AN341" s="115"/>
      <c r="AO341" s="331">
        <f>AO19+AO20</f>
        <v>1143</v>
      </c>
      <c r="AP341" s="115"/>
      <c r="AQ341" s="115"/>
      <c r="AR341" s="331">
        <f>AR19+AR20</f>
        <v>1171</v>
      </c>
      <c r="AS341" s="331">
        <f>AS19+AS20</f>
        <v>789</v>
      </c>
      <c r="AT341" s="331">
        <f>AT19+AT20</f>
        <v>789</v>
      </c>
      <c r="AU341" s="115"/>
      <c r="AV341" s="331">
        <f>AV19+AV20</f>
        <v>465</v>
      </c>
      <c r="AW341" s="331">
        <f>AW19+AW20</f>
        <v>458</v>
      </c>
      <c r="AX341" s="331">
        <f>AX19+AX20</f>
        <v>458</v>
      </c>
      <c r="AY341" s="115"/>
      <c r="AZ341" s="331">
        <f>AZ19+AZ20</f>
        <v>457</v>
      </c>
      <c r="BA341" s="331">
        <f>BA19+BA20</f>
        <v>454</v>
      </c>
      <c r="BB341" s="331">
        <f>BB19+BB20</f>
        <v>454</v>
      </c>
      <c r="BC341" s="115"/>
      <c r="BD341" s="331">
        <f>BD19+BD20</f>
        <v>457</v>
      </c>
      <c r="BE341" s="331">
        <f>BE19+BE20</f>
        <v>454</v>
      </c>
      <c r="BF341" s="331">
        <f>BF19+BF20</f>
        <v>454</v>
      </c>
      <c r="BG341" s="115"/>
      <c r="BH341" s="331">
        <f>BH19+BH20</f>
        <v>455</v>
      </c>
      <c r="BI341" s="331"/>
      <c r="BJ341" s="331"/>
      <c r="BK341" s="115"/>
      <c r="BL341" s="331"/>
      <c r="BM341" s="331"/>
      <c r="BN341" s="331"/>
      <c r="BO341" s="115"/>
      <c r="BP341" s="331"/>
      <c r="BQ341" s="331"/>
      <c r="BR341" s="331"/>
      <c r="BS341" s="115"/>
      <c r="BT341" s="331"/>
      <c r="BU341" s="331"/>
      <c r="BV341" s="331"/>
      <c r="BW341" s="115"/>
      <c r="BX341" s="331"/>
      <c r="BY341" s="331"/>
      <c r="BZ341" s="331"/>
      <c r="CA341" s="115"/>
      <c r="CB341" s="331"/>
      <c r="CC341" s="331"/>
      <c r="CD341" s="331"/>
      <c r="CE341" s="115"/>
      <c r="CF341" s="331"/>
      <c r="CG341" s="331"/>
      <c r="CH341" s="331"/>
      <c r="CI341" s="115"/>
      <c r="CJ341" s="331"/>
      <c r="CK341" s="331"/>
      <c r="CL341" s="331"/>
      <c r="CM341" s="115"/>
      <c r="CN341" s="331"/>
      <c r="CO341" s="331"/>
      <c r="CP341" s="331"/>
      <c r="CQ341" s="115"/>
      <c r="CR341" s="331"/>
      <c r="CS341" s="331"/>
      <c r="CT341" s="331"/>
      <c r="CU341" s="115"/>
      <c r="CV341" s="331"/>
      <c r="CW341" s="1841"/>
      <c r="CX341" s="1841"/>
      <c r="CY341" s="115"/>
      <c r="CZ341" s="331"/>
      <c r="DA341" s="331"/>
      <c r="DB341" s="331"/>
      <c r="DC341" s="115"/>
      <c r="DD341" s="331"/>
      <c r="DE341" s="331"/>
      <c r="DF341" s="331"/>
      <c r="DG341" s="115"/>
      <c r="DH341" s="331"/>
      <c r="DI341" s="331"/>
      <c r="DJ341" s="331"/>
      <c r="DK341" s="115"/>
      <c r="DL341" s="331"/>
      <c r="DM341" s="331"/>
      <c r="DN341" s="331"/>
      <c r="DO341" s="115"/>
      <c r="DP341" s="331"/>
      <c r="DQ341" s="331"/>
      <c r="DR341" s="331"/>
      <c r="DS341" s="115"/>
      <c r="DT341"/>
    </row>
    <row r="342" spans="1:124" hidden="1" outlineLevel="1">
      <c r="A342" s="102" t="s">
        <v>361</v>
      </c>
      <c r="AO342" s="320">
        <f>+AO338/AO299</f>
        <v>0.21002859027930504</v>
      </c>
      <c r="AR342" s="320">
        <f>+AR338/AR299</f>
        <v>0.21345437616387336</v>
      </c>
      <c r="AS342" s="320">
        <f>+AS338/AS299</f>
        <v>0.21358543417366946</v>
      </c>
      <c r="AT342" s="320">
        <f>+AT338/AT299</f>
        <v>0.21358543417366946</v>
      </c>
      <c r="AV342" s="320">
        <f>+AV338/AV299</f>
        <v>9.2152199762187872E-2</v>
      </c>
      <c r="AW342" s="632">
        <f>+AW338/AW299</f>
        <v>8.4004392386530014E-2</v>
      </c>
      <c r="AX342" s="632">
        <f>+AX338/AX299</f>
        <v>8.4004392386530014E-2</v>
      </c>
      <c r="AZ342" s="320">
        <f>+AZ338/AZ299</f>
        <v>7.9038395019024557E-2</v>
      </c>
      <c r="BA342" s="632">
        <f>+BA338/BA299</f>
        <v>7.6702629804450445E-2</v>
      </c>
      <c r="BB342" s="632">
        <f>+BB338/BB299</f>
        <v>7.6702629804450445E-2</v>
      </c>
      <c r="BD342" s="320">
        <f>+BD338/BD299</f>
        <v>6.5594947610162199E-2</v>
      </c>
      <c r="BE342" s="632">
        <f>+BE338/BE299</f>
        <v>9.6472884427715039E-2</v>
      </c>
      <c r="BF342" s="632">
        <f>+BF338/BF299</f>
        <v>9.6472884427715039E-2</v>
      </c>
      <c r="BH342" s="320">
        <f>+BH338/BH299</f>
        <v>9.9382450093350561E-2</v>
      </c>
      <c r="BI342" s="632"/>
      <c r="BJ342" s="632"/>
      <c r="BL342" s="632"/>
      <c r="BM342" s="632"/>
      <c r="BN342" s="632"/>
      <c r="BP342" s="632"/>
      <c r="BQ342" s="632"/>
      <c r="BR342" s="632"/>
      <c r="BT342" s="632"/>
      <c r="BU342" s="632"/>
      <c r="BV342" s="632"/>
      <c r="BX342" s="632"/>
      <c r="BY342" s="632"/>
      <c r="BZ342" s="632"/>
      <c r="CB342" s="632"/>
      <c r="CC342" s="632"/>
      <c r="CD342" s="632"/>
      <c r="CF342" s="632"/>
      <c r="CG342" s="632"/>
      <c r="CH342" s="632"/>
      <c r="CJ342" s="632"/>
      <c r="CK342" s="632"/>
      <c r="CL342" s="632"/>
      <c r="CN342" s="632"/>
      <c r="CO342" s="632"/>
      <c r="CP342" s="632"/>
      <c r="CR342" s="632"/>
      <c r="CS342" s="632"/>
      <c r="CT342" s="632"/>
      <c r="CV342" s="632"/>
      <c r="CW342" s="632"/>
      <c r="CX342" s="632"/>
      <c r="CZ342" s="632"/>
      <c r="DA342" s="632"/>
      <c r="DB342" s="632"/>
      <c r="DD342" s="632"/>
      <c r="DE342" s="632"/>
      <c r="DF342" s="632"/>
      <c r="DH342" s="632"/>
      <c r="DI342" s="632"/>
      <c r="DJ342" s="632"/>
      <c r="DL342" s="632"/>
      <c r="DM342" s="632"/>
      <c r="DN342" s="632"/>
      <c r="DP342" s="632"/>
      <c r="DQ342" s="632"/>
      <c r="DR342" s="632"/>
    </row>
    <row r="343" spans="1:124" hidden="1" outlineLevel="1">
      <c r="AO343" s="293"/>
      <c r="AS343" s="293"/>
      <c r="AW343" s="293"/>
      <c r="BA343" s="293"/>
    </row>
    <row r="344" spans="1:124" hidden="1" outlineLevel="1">
      <c r="A344" s="289" t="s">
        <v>362</v>
      </c>
      <c r="AO344" s="293"/>
      <c r="AS344" s="293"/>
      <c r="AW344" s="293"/>
      <c r="BA344" s="293"/>
    </row>
    <row r="345" spans="1:124" hidden="1" outlineLevel="1">
      <c r="A345" s="102" t="s">
        <v>397</v>
      </c>
      <c r="AO345" s="626">
        <v>8800</v>
      </c>
      <c r="AP345" s="293">
        <f>AO345</f>
        <v>8800</v>
      </c>
      <c r="AQ345" s="293"/>
      <c r="AR345" s="626">
        <v>6300</v>
      </c>
      <c r="AS345" s="626">
        <v>3800</v>
      </c>
      <c r="AT345" s="293">
        <f>AS345</f>
        <v>3800</v>
      </c>
      <c r="AV345" s="626">
        <v>1400</v>
      </c>
      <c r="AW345" s="626">
        <v>1200</v>
      </c>
      <c r="AX345" s="293">
        <f>AW345</f>
        <v>1200</v>
      </c>
      <c r="AZ345" s="626">
        <v>1200</v>
      </c>
      <c r="BA345" s="626">
        <v>737</v>
      </c>
      <c r="BB345" s="293">
        <f>BA345</f>
        <v>737</v>
      </c>
      <c r="BD345" s="626">
        <v>0</v>
      </c>
      <c r="BE345" s="626">
        <v>0</v>
      </c>
      <c r="BF345" s="293">
        <f>BE345</f>
        <v>0</v>
      </c>
      <c r="BH345" s="626">
        <v>0</v>
      </c>
      <c r="BI345" s="626"/>
      <c r="BJ345" s="293"/>
      <c r="BL345" s="293"/>
      <c r="BM345" s="293"/>
      <c r="BN345" s="293"/>
      <c r="BP345" s="293"/>
      <c r="BQ345" s="293"/>
      <c r="BR345" s="293"/>
      <c r="BT345" s="293"/>
      <c r="BU345" s="293"/>
      <c r="BV345" s="293"/>
      <c r="BX345" s="293"/>
      <c r="BY345" s="293"/>
      <c r="BZ345" s="293"/>
      <c r="CB345" s="293"/>
      <c r="CC345" s="293"/>
      <c r="CD345" s="293"/>
      <c r="CF345" s="293"/>
      <c r="CG345" s="293"/>
      <c r="CH345" s="293"/>
      <c r="CJ345" s="293"/>
      <c r="CK345" s="293"/>
      <c r="CL345" s="293"/>
      <c r="CN345" s="293"/>
      <c r="CO345" s="293"/>
      <c r="CP345" s="293"/>
      <c r="CR345" s="293"/>
      <c r="CS345" s="293"/>
      <c r="CT345" s="293"/>
      <c r="CV345" s="293"/>
      <c r="CW345" s="1495"/>
      <c r="CX345" s="1495"/>
      <c r="CZ345" s="293"/>
      <c r="DA345" s="293"/>
      <c r="DB345" s="293"/>
      <c r="DD345" s="293"/>
      <c r="DE345" s="293"/>
      <c r="DF345" s="293"/>
      <c r="DH345" s="293"/>
      <c r="DI345" s="293"/>
      <c r="DJ345" s="293"/>
      <c r="DL345" s="293"/>
      <c r="DM345" s="293"/>
      <c r="DN345" s="293"/>
      <c r="DP345" s="293"/>
      <c r="DQ345" s="293"/>
      <c r="DR345" s="293"/>
    </row>
    <row r="346" spans="1:124" hidden="1" outlineLevel="1">
      <c r="A346" s="102" t="s">
        <v>398</v>
      </c>
      <c r="AO346" s="1083">
        <v>0.21</v>
      </c>
      <c r="AP346" s="829">
        <f>+AP347/AP345</f>
        <v>0.21</v>
      </c>
      <c r="AR346" s="829">
        <f>+AR347/AR345</f>
        <v>0.20527301587301605</v>
      </c>
      <c r="AS346" s="829">
        <f>+AS347/AS345</f>
        <v>0.19478421052631587</v>
      </c>
      <c r="AT346" s="829">
        <f>+AT347/AT345</f>
        <v>0.19478421052631587</v>
      </c>
      <c r="AV346" s="829">
        <f>+AV347/AV345</f>
        <v>0.35741428571428385</v>
      </c>
      <c r="AW346" s="829">
        <f>+AW347/AW345</f>
        <v>0.3272166666666696</v>
      </c>
      <c r="AX346" s="829">
        <f>+AX347/AX345</f>
        <v>0.3272166666666696</v>
      </c>
      <c r="AZ346" s="829">
        <f>+AZ347/AZ345</f>
        <v>0.2746166666666674</v>
      </c>
      <c r="BA346" s="829">
        <f>+BA347/BA345</f>
        <v>0.24151967435549526</v>
      </c>
      <c r="BB346" s="829">
        <f>+BB347/BB345</f>
        <v>0.24151967435549526</v>
      </c>
      <c r="BD346" s="829"/>
      <c r="BE346" s="829"/>
      <c r="BF346" s="829"/>
      <c r="BH346" s="829"/>
      <c r="BI346" s="829"/>
      <c r="BJ346" s="829"/>
      <c r="BL346" s="1083"/>
      <c r="BM346" s="1083"/>
      <c r="BN346" s="829"/>
      <c r="BP346" s="1083"/>
      <c r="BQ346" s="1083"/>
      <c r="BR346" s="829"/>
      <c r="BT346" s="1083"/>
      <c r="BU346" s="1083"/>
      <c r="BV346" s="829"/>
      <c r="BX346" s="1083"/>
      <c r="BY346" s="1083"/>
      <c r="BZ346" s="829"/>
      <c r="CB346" s="1083"/>
      <c r="CC346" s="1083"/>
      <c r="CD346" s="829"/>
      <c r="CF346" s="1083"/>
      <c r="CG346" s="1083"/>
      <c r="CH346" s="829"/>
      <c r="CJ346" s="1083"/>
      <c r="CK346" s="1083"/>
      <c r="CL346" s="829"/>
      <c r="CN346" s="1083"/>
      <c r="CO346" s="1083"/>
      <c r="CP346" s="829"/>
      <c r="CR346" s="1083"/>
      <c r="CS346" s="1083"/>
      <c r="CT346" s="829"/>
      <c r="CV346" s="1083"/>
      <c r="CW346" s="1847"/>
      <c r="CX346" s="829"/>
      <c r="CZ346" s="1083"/>
      <c r="DA346" s="1083"/>
      <c r="DB346" s="829"/>
      <c r="DD346" s="1083"/>
      <c r="DE346" s="1083"/>
      <c r="DF346" s="829"/>
      <c r="DH346" s="1083"/>
      <c r="DI346" s="1083"/>
      <c r="DJ346" s="829"/>
      <c r="DL346" s="1083"/>
      <c r="DM346" s="1083"/>
      <c r="DN346" s="829"/>
      <c r="DP346" s="1083"/>
      <c r="DQ346" s="1083"/>
      <c r="DR346" s="829"/>
    </row>
    <row r="347" spans="1:124" hidden="1" outlineLevel="1">
      <c r="A347" s="102" t="s">
        <v>263</v>
      </c>
      <c r="AO347" s="293">
        <f>+AO345*AO346</f>
        <v>1848</v>
      </c>
      <c r="AP347" s="293">
        <f>AO347</f>
        <v>1848</v>
      </c>
      <c r="AR347" s="293">
        <f>-AR324</f>
        <v>1293.2200000000012</v>
      </c>
      <c r="AS347" s="293">
        <f>-AS324</f>
        <v>740.18000000000029</v>
      </c>
      <c r="AT347" s="293">
        <f>AS347</f>
        <v>740.18000000000029</v>
      </c>
      <c r="AV347" s="293">
        <f>-AV324</f>
        <v>500.37999999999738</v>
      </c>
      <c r="AW347" s="293">
        <f>-AW324</f>
        <v>392.66000000000349</v>
      </c>
      <c r="AX347" s="293">
        <f>AW347</f>
        <v>392.66000000000349</v>
      </c>
      <c r="AZ347" s="293">
        <f>-AZ324</f>
        <v>329.54000000000087</v>
      </c>
      <c r="BA347" s="293">
        <f>-BA324</f>
        <v>178</v>
      </c>
      <c r="BB347" s="293">
        <f>BA347</f>
        <v>178</v>
      </c>
      <c r="BD347" s="293">
        <f>-BD324</f>
        <v>0</v>
      </c>
      <c r="BE347" s="293">
        <f>-BE324</f>
        <v>0</v>
      </c>
      <c r="BF347" s="293">
        <f>BE347</f>
        <v>0</v>
      </c>
      <c r="BH347" s="293">
        <f>-BH324</f>
        <v>0</v>
      </c>
      <c r="BI347" s="293"/>
      <c r="BJ347" s="293"/>
      <c r="BL347" s="293"/>
      <c r="BM347" s="293"/>
      <c r="BN347" s="293"/>
      <c r="BP347" s="293"/>
      <c r="BQ347" s="293"/>
      <c r="BR347" s="293"/>
      <c r="BT347" s="293"/>
      <c r="BU347" s="293"/>
      <c r="BV347" s="293"/>
      <c r="BX347" s="293"/>
      <c r="BY347" s="293"/>
      <c r="BZ347" s="293"/>
      <c r="CB347" s="293"/>
      <c r="CC347" s="293"/>
      <c r="CD347" s="293"/>
      <c r="CF347" s="293"/>
      <c r="CG347" s="293"/>
      <c r="CH347" s="293"/>
      <c r="CJ347" s="293"/>
      <c r="CK347" s="293"/>
      <c r="CL347" s="293"/>
      <c r="CN347" s="293"/>
      <c r="CO347" s="293"/>
      <c r="CP347" s="293"/>
      <c r="CR347" s="293"/>
      <c r="CS347" s="293"/>
      <c r="CT347" s="293"/>
      <c r="CV347" s="293"/>
      <c r="CW347" s="1495"/>
      <c r="CX347" s="1495"/>
      <c r="CZ347" s="293"/>
      <c r="DA347" s="293"/>
      <c r="DB347" s="293"/>
      <c r="DD347" s="293"/>
      <c r="DE347" s="293"/>
      <c r="DF347" s="293"/>
      <c r="DH347" s="293"/>
      <c r="DI347" s="293"/>
      <c r="DJ347" s="293"/>
      <c r="DL347" s="293"/>
      <c r="DM347" s="293"/>
      <c r="DN347" s="293"/>
      <c r="DP347" s="293"/>
      <c r="DQ347" s="293"/>
      <c r="DR347" s="293"/>
    </row>
    <row r="348" spans="1:124" collapsed="1">
      <c r="AO348" s="293"/>
    </row>
    <row r="349" spans="1:124">
      <c r="A349" s="809" t="s">
        <v>1225</v>
      </c>
      <c r="B349" s="1174"/>
      <c r="C349" s="1175"/>
      <c r="D349" s="1174"/>
      <c r="E349" s="1174"/>
      <c r="F349" s="1174"/>
      <c r="G349" s="1174"/>
      <c r="H349" s="1174"/>
      <c r="I349" s="1174"/>
      <c r="J349" s="1174"/>
      <c r="K349" s="1174"/>
      <c r="L349" s="1174"/>
      <c r="M349" s="1174"/>
      <c r="N349" s="1174"/>
      <c r="O349" s="1174"/>
      <c r="P349" s="1174"/>
      <c r="Q349" s="1174"/>
      <c r="R349" s="1174"/>
      <c r="S349" s="1174"/>
      <c r="T349" s="1174"/>
      <c r="U349" s="1174"/>
      <c r="V349" s="1174"/>
      <c r="W349" s="1174"/>
      <c r="X349" s="1174"/>
      <c r="Y349" s="1174"/>
      <c r="Z349" s="1174"/>
      <c r="AA349" s="1174"/>
      <c r="AB349" s="1174"/>
      <c r="AC349" s="1174"/>
      <c r="AD349" s="1174"/>
      <c r="AE349" s="1174"/>
      <c r="AF349" s="1174"/>
      <c r="AG349" s="1174"/>
      <c r="AH349" s="1174"/>
      <c r="AI349" s="1174"/>
      <c r="AJ349" s="1174"/>
      <c r="AK349" s="1174"/>
      <c r="AL349" s="1174"/>
      <c r="AM349" s="1174"/>
      <c r="AN349" s="1175"/>
      <c r="AO349" s="1175"/>
      <c r="AP349" s="1175"/>
      <c r="AQ349" s="1175"/>
      <c r="AR349" s="1175"/>
      <c r="AS349" s="1175"/>
      <c r="AT349" s="1175"/>
      <c r="AU349" s="1175"/>
      <c r="AV349" s="1175"/>
      <c r="AW349" s="1175"/>
      <c r="AX349" s="1175"/>
      <c r="AY349" s="1175"/>
      <c r="AZ349" s="1175"/>
      <c r="BA349" s="1175"/>
      <c r="BB349" s="1175"/>
      <c r="BC349" s="1175"/>
      <c r="BD349" s="1175"/>
      <c r="BE349" s="1175"/>
      <c r="BF349" s="1175"/>
      <c r="BG349" s="1175"/>
      <c r="BH349" s="1175"/>
      <c r="BI349" s="1171"/>
      <c r="BJ349" s="1171"/>
      <c r="BK349" s="1171"/>
      <c r="BL349" s="1171"/>
      <c r="BM349" s="1171"/>
      <c r="BN349" s="1171"/>
      <c r="BO349" s="1171"/>
      <c r="BP349" s="1171"/>
      <c r="BQ349" s="1171"/>
      <c r="BR349" s="1171"/>
      <c r="BS349" s="1171"/>
      <c r="BT349" s="1171"/>
      <c r="BU349" s="1171"/>
      <c r="BV349" s="1171"/>
      <c r="BW349" s="1171"/>
      <c r="BX349" s="1171"/>
      <c r="BY349" s="1171"/>
      <c r="BZ349" s="1171"/>
      <c r="CA349" s="1171"/>
      <c r="CB349" s="1171"/>
      <c r="CC349" s="1171"/>
      <c r="CD349" s="1171"/>
      <c r="CE349" s="1171"/>
      <c r="CF349" s="1171"/>
      <c r="CG349" s="1171"/>
      <c r="CH349" s="1171"/>
      <c r="CI349" s="1171"/>
      <c r="CJ349" s="1171"/>
      <c r="CK349" s="1171"/>
      <c r="CL349" s="1171"/>
      <c r="CM349" s="1171"/>
      <c r="CN349" s="1171"/>
      <c r="CO349" s="1171"/>
      <c r="CP349" s="1171"/>
      <c r="CQ349" s="1171"/>
      <c r="CR349" s="1171"/>
      <c r="CS349" s="1171"/>
      <c r="CT349" s="1171"/>
      <c r="CU349" s="1171"/>
      <c r="CV349" s="1171"/>
      <c r="CW349" s="1846"/>
      <c r="CX349" s="1846"/>
      <c r="CY349" s="1171"/>
      <c r="CZ349" s="1171"/>
      <c r="DA349" s="1171"/>
      <c r="DB349" s="1171"/>
      <c r="DC349" s="1171"/>
      <c r="DD349" s="1171"/>
      <c r="DE349" s="1171"/>
      <c r="DF349" s="1171"/>
      <c r="DG349" s="1171"/>
      <c r="DH349" s="1171"/>
      <c r="DI349" s="1171"/>
      <c r="DJ349" s="1171"/>
      <c r="DK349" s="1171"/>
      <c r="DL349" s="1171"/>
      <c r="DM349" s="1171"/>
      <c r="DN349" s="1171"/>
      <c r="DO349" s="1171"/>
      <c r="DP349" s="1171"/>
      <c r="DQ349" s="1171"/>
      <c r="DR349" s="1171"/>
      <c r="DS349" s="1171"/>
    </row>
    <row r="351" spans="1:124" hidden="1" outlineLevel="1">
      <c r="A351" s="102" t="s">
        <v>399</v>
      </c>
      <c r="AO351" s="763"/>
      <c r="AP351" s="763"/>
      <c r="AQ351" s="812"/>
      <c r="AR351" s="763">
        <f>AR355/AR400</f>
        <v>0.11464476972509818</v>
      </c>
      <c r="AS351" s="763">
        <f>AS355/AS400</f>
        <v>0.10102457309454393</v>
      </c>
      <c r="AT351" s="763">
        <f>AT355/AT400</f>
        <v>0.10102457309454393</v>
      </c>
      <c r="AU351" s="812"/>
      <c r="AV351" s="763">
        <f>AV355/AV400</f>
        <v>0.1602301054650048</v>
      </c>
      <c r="AW351" s="764">
        <f>AW355/AW400</f>
        <v>0.14368672397325694</v>
      </c>
      <c r="AX351" s="764">
        <f>AX355/AX400</f>
        <v>0.14368672397325694</v>
      </c>
      <c r="AY351" s="812"/>
      <c r="AZ351" s="763">
        <f>AZ355/AZ400</f>
        <v>0.10556701030927836</v>
      </c>
      <c r="BA351" s="764">
        <f>BA355/BA400</f>
        <v>9.7340619307832429E-2</v>
      </c>
      <c r="BB351" s="764">
        <f>BB355/BB400</f>
        <v>9.7340619307832429E-2</v>
      </c>
      <c r="BC351" s="812"/>
      <c r="BD351" s="763">
        <f>BD355/BD400</f>
        <v>7.6288343558282207E-2</v>
      </c>
      <c r="BE351" s="764">
        <f ca="1">BE355/BE400</f>
        <v>9.1259044862518096E-2</v>
      </c>
      <c r="BF351" s="764">
        <f ca="1">BF355/BF400</f>
        <v>9.1259044862518096E-2</v>
      </c>
      <c r="BG351" s="812"/>
      <c r="BH351" s="763">
        <f>BH355/BH400</f>
        <v>8.8898910184141297E-2</v>
      </c>
      <c r="BI351" s="764"/>
      <c r="BJ351" s="764"/>
      <c r="BK351" s="812"/>
      <c r="BL351" s="764"/>
      <c r="BM351" s="764"/>
      <c r="BN351" s="764"/>
      <c r="BO351" s="812"/>
      <c r="BP351" s="764"/>
      <c r="BQ351" s="764"/>
      <c r="BR351" s="764"/>
      <c r="BS351" s="812"/>
      <c r="BT351" s="764"/>
      <c r="BU351" s="764"/>
      <c r="BV351" s="764"/>
      <c r="BW351" s="812"/>
      <c r="BX351" s="764"/>
      <c r="BY351" s="764"/>
      <c r="BZ351" s="764"/>
      <c r="CA351" s="812"/>
      <c r="CB351" s="764"/>
      <c r="CC351" s="764"/>
      <c r="CD351" s="764"/>
      <c r="CE351" s="812"/>
      <c r="CF351" s="764"/>
      <c r="CG351" s="764"/>
      <c r="CH351" s="764"/>
      <c r="CI351" s="812"/>
      <c r="CJ351" s="764"/>
      <c r="CK351" s="764"/>
      <c r="CL351" s="764"/>
      <c r="CM351" s="812"/>
      <c r="CN351" s="764"/>
      <c r="CO351" s="764"/>
      <c r="CP351" s="764"/>
      <c r="CQ351" s="812"/>
      <c r="CR351" s="764"/>
      <c r="CS351" s="764"/>
      <c r="CT351" s="764"/>
      <c r="CU351" s="812"/>
      <c r="CV351" s="764"/>
      <c r="CW351" s="764"/>
      <c r="CX351" s="764"/>
      <c r="CY351" s="812"/>
      <c r="CZ351" s="764"/>
      <c r="DA351" s="764"/>
      <c r="DB351" s="764"/>
      <c r="DC351" s="812"/>
      <c r="DD351" s="764"/>
      <c r="DE351" s="764"/>
      <c r="DF351" s="764"/>
      <c r="DG351" s="812"/>
      <c r="DH351" s="764"/>
      <c r="DI351" s="764"/>
      <c r="DJ351" s="764"/>
      <c r="DK351" s="812"/>
      <c r="DL351" s="764"/>
      <c r="DM351" s="764"/>
      <c r="DN351" s="764"/>
      <c r="DO351" s="812"/>
      <c r="DP351" s="764"/>
      <c r="DQ351" s="764"/>
      <c r="DR351" s="764"/>
      <c r="DS351" s="812"/>
    </row>
    <row r="352" spans="1:124" hidden="1" outlineLevel="1">
      <c r="A352" s="102" t="s">
        <v>400</v>
      </c>
      <c r="AO352" s="763"/>
      <c r="AP352" s="763"/>
      <c r="AQ352" s="812"/>
      <c r="AR352" s="763">
        <f>AR356/AR400</f>
        <v>1.1453052481256694E-2</v>
      </c>
      <c r="AS352" s="763">
        <f>AS356/AS400</f>
        <v>2.6488962932111622E-2</v>
      </c>
      <c r="AT352" s="763">
        <f>AT356/AT400</f>
        <v>2.6488962932111622E-2</v>
      </c>
      <c r="AU352" s="812"/>
      <c r="AV352" s="763">
        <f>AV356/AV400</f>
        <v>1.2809204218600191E-2</v>
      </c>
      <c r="AW352" s="764">
        <f>AW356/AW400</f>
        <v>4.5463228271251195E-3</v>
      </c>
      <c r="AX352" s="764">
        <f>AX356/AX400</f>
        <v>4.5463228271251195E-3</v>
      </c>
      <c r="AY352" s="812"/>
      <c r="AZ352" s="763">
        <f>AZ356/AZ400</f>
        <v>2.6116838487972509E-3</v>
      </c>
      <c r="BA352" s="764">
        <f>BA356/BA400</f>
        <v>6.7030965391621129E-3</v>
      </c>
      <c r="BB352" s="764">
        <f>BB356/BB400</f>
        <v>6.7030965391621129E-3</v>
      </c>
      <c r="BC352" s="812"/>
      <c r="BD352" s="763">
        <f>BD356/BD400</f>
        <v>2.0184049079754601E-2</v>
      </c>
      <c r="BE352" s="764">
        <f ca="1">BE356/BE400</f>
        <v>9.8986975397973957E-3</v>
      </c>
      <c r="BF352" s="764">
        <f ca="1">BF356/BF400</f>
        <v>9.8986975397973957E-3</v>
      </c>
      <c r="BG352" s="812"/>
      <c r="BH352" s="763">
        <f>BH356/BH400</f>
        <v>2.0834272829763249E-2</v>
      </c>
      <c r="BI352" s="764"/>
      <c r="BJ352" s="764"/>
      <c r="BK352" s="812"/>
      <c r="BL352" s="764"/>
      <c r="BM352" s="764"/>
      <c r="BN352" s="764"/>
      <c r="BO352" s="812"/>
      <c r="BP352" s="764"/>
      <c r="BQ352" s="764"/>
      <c r="BR352" s="764"/>
      <c r="BS352" s="812"/>
      <c r="BT352" s="764"/>
      <c r="BU352" s="764"/>
      <c r="BV352" s="764"/>
      <c r="BW352" s="812"/>
      <c r="BX352" s="764"/>
      <c r="BY352" s="764"/>
      <c r="BZ352" s="764"/>
      <c r="CA352" s="812"/>
      <c r="CB352" s="764"/>
      <c r="CC352" s="764"/>
      <c r="CD352" s="764"/>
      <c r="CE352" s="812"/>
      <c r="CF352" s="764"/>
      <c r="CG352" s="764"/>
      <c r="CH352" s="764"/>
      <c r="CI352" s="812"/>
      <c r="CJ352" s="764"/>
      <c r="CK352" s="764"/>
      <c r="CL352" s="764"/>
      <c r="CM352" s="812"/>
      <c r="CN352" s="764"/>
      <c r="CO352" s="764"/>
      <c r="CP352" s="764"/>
      <c r="CQ352" s="812"/>
      <c r="CR352" s="764"/>
      <c r="CS352" s="764"/>
      <c r="CT352" s="764"/>
      <c r="CU352" s="812"/>
      <c r="CV352" s="764"/>
      <c r="CW352" s="764"/>
      <c r="CX352" s="764"/>
      <c r="CY352" s="812"/>
      <c r="CZ352" s="764"/>
      <c r="DA352" s="764"/>
      <c r="DB352" s="764"/>
      <c r="DC352" s="812"/>
      <c r="DD352" s="764"/>
      <c r="DE352" s="764"/>
      <c r="DF352" s="764"/>
      <c r="DG352" s="812"/>
      <c r="DH352" s="764"/>
      <c r="DI352" s="764"/>
      <c r="DJ352" s="764"/>
      <c r="DK352" s="812"/>
      <c r="DL352" s="764"/>
      <c r="DM352" s="764"/>
      <c r="DN352" s="764"/>
      <c r="DO352" s="812"/>
      <c r="DP352" s="764"/>
      <c r="DQ352" s="764"/>
      <c r="DR352" s="764"/>
      <c r="DS352" s="812"/>
    </row>
    <row r="353" spans="1:124" s="289" customFormat="1" hidden="1" outlineLevel="1">
      <c r="A353" s="289" t="s">
        <v>311</v>
      </c>
      <c r="C353" s="290"/>
      <c r="AN353" s="290"/>
      <c r="AO353" s="807"/>
      <c r="AP353" s="807"/>
      <c r="AQ353" s="1169"/>
      <c r="AR353" s="807">
        <f>AR357/AR400</f>
        <v>0.12609782220635488</v>
      </c>
      <c r="AS353" s="807">
        <f>AS357/AS400</f>
        <v>0.12751353602665555</v>
      </c>
      <c r="AT353" s="807">
        <f>AT357/AT400</f>
        <v>0.12751353602665555</v>
      </c>
      <c r="AU353" s="1169"/>
      <c r="AV353" s="807">
        <f>AV357/AV400</f>
        <v>0.17303930968360498</v>
      </c>
      <c r="AW353" s="808">
        <f>AW357/AW400</f>
        <v>0.14823304680038205</v>
      </c>
      <c r="AX353" s="808">
        <f>AX357/AX400</f>
        <v>0.14823304680038205</v>
      </c>
      <c r="AY353" s="1169"/>
      <c r="AZ353" s="807">
        <f>AZ357/AZ400</f>
        <v>0.1081786941580756</v>
      </c>
      <c r="BA353" s="808">
        <f>BA357/BA400</f>
        <v>0.10404371584699454</v>
      </c>
      <c r="BB353" s="808">
        <f>BB357/BB400</f>
        <v>0.10404371584699454</v>
      </c>
      <c r="BC353" s="1169"/>
      <c r="BD353" s="807">
        <f>BD357/BD400</f>
        <v>9.6472392638036808E-2</v>
      </c>
      <c r="BE353" s="808">
        <f>BE357/BE400</f>
        <v>0.10115774240231548</v>
      </c>
      <c r="BF353" s="808">
        <f>BF357/BF400</f>
        <v>0.10115774240231548</v>
      </c>
      <c r="BG353" s="1169"/>
      <c r="BH353" s="807">
        <f>BH357/BH400</f>
        <v>0.10973318301390454</v>
      </c>
      <c r="BI353" s="808"/>
      <c r="BJ353" s="808"/>
      <c r="BK353" s="1169"/>
      <c r="BL353" s="808"/>
      <c r="BM353" s="808"/>
      <c r="BN353" s="808"/>
      <c r="BO353" s="1169"/>
      <c r="BP353" s="808"/>
      <c r="BQ353" s="808"/>
      <c r="BR353" s="808"/>
      <c r="BS353" s="1169"/>
      <c r="BT353" s="808"/>
      <c r="BU353" s="808"/>
      <c r="BV353" s="808"/>
      <c r="BW353" s="1169"/>
      <c r="BX353" s="808"/>
      <c r="BY353" s="808"/>
      <c r="BZ353" s="808"/>
      <c r="CA353" s="1169"/>
      <c r="CB353" s="808"/>
      <c r="CC353" s="808"/>
      <c r="CD353" s="808"/>
      <c r="CE353" s="1169"/>
      <c r="CF353" s="808"/>
      <c r="CG353" s="808"/>
      <c r="CH353" s="808"/>
      <c r="CI353" s="1169"/>
      <c r="CJ353" s="808"/>
      <c r="CK353" s="808"/>
      <c r="CL353" s="808"/>
      <c r="CM353" s="1169"/>
      <c r="CN353" s="808"/>
      <c r="CO353" s="808"/>
      <c r="CP353" s="808"/>
      <c r="CQ353" s="1169"/>
      <c r="CR353" s="808"/>
      <c r="CS353" s="808"/>
      <c r="CT353" s="808"/>
      <c r="CU353" s="1169"/>
      <c r="CV353" s="808"/>
      <c r="CW353" s="808"/>
      <c r="CX353" s="808"/>
      <c r="CY353" s="1169"/>
      <c r="CZ353" s="808"/>
      <c r="DA353" s="808"/>
      <c r="DB353" s="808"/>
      <c r="DC353" s="1169"/>
      <c r="DD353" s="808"/>
      <c r="DE353" s="808"/>
      <c r="DF353" s="808"/>
      <c r="DG353" s="1169"/>
      <c r="DH353" s="808"/>
      <c r="DI353" s="808"/>
      <c r="DJ353" s="808"/>
      <c r="DK353" s="1169"/>
      <c r="DL353" s="808"/>
      <c r="DM353" s="808"/>
      <c r="DN353" s="808"/>
      <c r="DO353" s="1169"/>
      <c r="DP353" s="808"/>
      <c r="DQ353" s="808"/>
      <c r="DR353" s="808"/>
      <c r="DS353" s="1169"/>
      <c r="DT353"/>
    </row>
    <row r="354" spans="1:124" hidden="1" outlineLevel="1"/>
    <row r="355" spans="1:124" hidden="1" outlineLevel="1">
      <c r="A355" s="102" t="s">
        <v>401</v>
      </c>
      <c r="AO355" s="293"/>
      <c r="AP355" s="293"/>
      <c r="AR355" s="293">
        <f>AR44</f>
        <v>4014</v>
      </c>
      <c r="AS355" s="293">
        <f>AS44</f>
        <v>3032</v>
      </c>
      <c r="AT355" s="293">
        <f>AS355</f>
        <v>3032</v>
      </c>
      <c r="AV355" s="293">
        <f>AV44</f>
        <v>4178</v>
      </c>
      <c r="AW355" s="293">
        <f>AW44</f>
        <v>3761</v>
      </c>
      <c r="AX355" s="293">
        <f>AW355</f>
        <v>3761</v>
      </c>
      <c r="AZ355" s="293">
        <f>AZ44</f>
        <v>3072</v>
      </c>
      <c r="BA355" s="293">
        <f>BA44</f>
        <v>3340</v>
      </c>
      <c r="BB355" s="293">
        <f>BA355</f>
        <v>3340</v>
      </c>
      <c r="BD355" s="293">
        <f>BD44</f>
        <v>2487</v>
      </c>
      <c r="BE355" s="293">
        <f ca="1">BE44</f>
        <v>3153</v>
      </c>
      <c r="BF355" s="293">
        <f ca="1">BE355</f>
        <v>3153</v>
      </c>
      <c r="BH355" s="293">
        <f>BH44</f>
        <v>2957</v>
      </c>
      <c r="BI355" s="293"/>
      <c r="BJ355" s="293"/>
      <c r="BL355" s="293"/>
      <c r="BM355" s="293"/>
      <c r="BN355" s="293"/>
      <c r="BP355" s="293"/>
      <c r="BQ355" s="293"/>
      <c r="BR355" s="293"/>
      <c r="BT355" s="293"/>
      <c r="BU355" s="293"/>
      <c r="BV355" s="293"/>
      <c r="BX355" s="293"/>
      <c r="BY355" s="293"/>
      <c r="BZ355" s="293"/>
      <c r="CB355" s="293"/>
      <c r="CC355" s="293"/>
      <c r="CD355" s="293"/>
      <c r="CF355" s="293"/>
      <c r="CG355" s="293"/>
      <c r="CH355" s="293"/>
      <c r="CJ355" s="293"/>
      <c r="CK355" s="293"/>
      <c r="CL355" s="293"/>
      <c r="CN355" s="293"/>
      <c r="CO355" s="293"/>
      <c r="CP355" s="293"/>
      <c r="CR355" s="293"/>
      <c r="CS355" s="293"/>
      <c r="CT355" s="293"/>
      <c r="CV355" s="293"/>
      <c r="CW355" s="1495"/>
      <c r="CX355" s="1495"/>
      <c r="CZ355" s="293"/>
      <c r="DA355" s="293"/>
      <c r="DB355" s="293"/>
      <c r="DD355" s="293"/>
      <c r="DE355" s="293"/>
      <c r="DF355" s="293"/>
      <c r="DH355" s="293"/>
      <c r="DI355" s="293"/>
      <c r="DJ355" s="293"/>
      <c r="DL355" s="293"/>
      <c r="DM355" s="293"/>
      <c r="DN355" s="293"/>
      <c r="DP355" s="293"/>
      <c r="DQ355" s="293"/>
      <c r="DR355" s="293"/>
    </row>
    <row r="356" spans="1:124" hidden="1" outlineLevel="1">
      <c r="A356" s="102" t="s">
        <v>302</v>
      </c>
      <c r="AO356" s="293"/>
      <c r="AP356" s="293"/>
      <c r="AR356" s="293">
        <f>AR357-AR355</f>
        <v>401</v>
      </c>
      <c r="AS356" s="293">
        <f>AS357-AS355</f>
        <v>795</v>
      </c>
      <c r="AT356" s="293">
        <f>AS356</f>
        <v>795</v>
      </c>
      <c r="AV356" s="293">
        <f>AV357-AV355</f>
        <v>334</v>
      </c>
      <c r="AW356" s="293">
        <f>AW357-AW355</f>
        <v>119</v>
      </c>
      <c r="AX356" s="293">
        <f>AW356</f>
        <v>119</v>
      </c>
      <c r="AZ356" s="293">
        <f>AZ357-AZ355</f>
        <v>76</v>
      </c>
      <c r="BA356" s="293">
        <f>BA357-BA355</f>
        <v>230</v>
      </c>
      <c r="BB356" s="293">
        <f>BA356</f>
        <v>230</v>
      </c>
      <c r="BD356" s="293">
        <f>BD357-BD355</f>
        <v>658</v>
      </c>
      <c r="BE356" s="293">
        <f ca="1">BE357-BE355</f>
        <v>342</v>
      </c>
      <c r="BF356" s="293">
        <f ca="1">BE356</f>
        <v>342</v>
      </c>
      <c r="BH356" s="293">
        <f>BH357-BH355</f>
        <v>693</v>
      </c>
      <c r="BI356" s="293"/>
      <c r="BJ356" s="293"/>
      <c r="BL356" s="293"/>
      <c r="BM356" s="293"/>
      <c r="BN356" s="293"/>
      <c r="BP356" s="293"/>
      <c r="BQ356" s="293"/>
      <c r="BR356" s="293"/>
      <c r="BT356" s="293"/>
      <c r="BU356" s="293"/>
      <c r="BV356" s="293"/>
      <c r="BX356" s="293"/>
      <c r="BY356" s="293"/>
      <c r="BZ356" s="293"/>
      <c r="CB356" s="293"/>
      <c r="CC356" s="293"/>
      <c r="CD356" s="293"/>
      <c r="CF356" s="293"/>
      <c r="CG356" s="293"/>
      <c r="CH356" s="293"/>
      <c r="CJ356" s="293"/>
      <c r="CK356" s="293"/>
      <c r="CL356" s="293"/>
      <c r="CN356" s="293"/>
      <c r="CO356" s="293"/>
      <c r="CP356" s="293"/>
      <c r="CR356" s="293"/>
      <c r="CS356" s="293"/>
      <c r="CT356" s="293"/>
      <c r="CV356" s="293"/>
      <c r="CW356" s="1495"/>
      <c r="CX356" s="1495"/>
      <c r="CZ356" s="293"/>
      <c r="DA356" s="293"/>
      <c r="DB356" s="293"/>
      <c r="DD356" s="293"/>
      <c r="DE356" s="293"/>
      <c r="DF356" s="293"/>
      <c r="DH356" s="293"/>
      <c r="DI356" s="293"/>
      <c r="DJ356" s="293"/>
      <c r="DL356" s="293"/>
      <c r="DM356" s="293"/>
      <c r="DN356" s="293"/>
      <c r="DP356" s="293"/>
      <c r="DQ356" s="293"/>
      <c r="DR356" s="293"/>
    </row>
    <row r="357" spans="1:124" s="289" customFormat="1" hidden="1" outlineLevel="1">
      <c r="A357" s="289" t="s">
        <v>259</v>
      </c>
      <c r="C357" s="290"/>
      <c r="AN357" s="290"/>
      <c r="AO357" s="655"/>
      <c r="AP357" s="295"/>
      <c r="AQ357" s="290"/>
      <c r="AR357" s="655">
        <v>4415</v>
      </c>
      <c r="AS357" s="655">
        <v>3827</v>
      </c>
      <c r="AT357" s="295">
        <f>AS357</f>
        <v>3827</v>
      </c>
      <c r="AU357" s="290"/>
      <c r="AV357" s="655">
        <v>4512</v>
      </c>
      <c r="AW357" s="655">
        <v>3880</v>
      </c>
      <c r="AX357" s="295">
        <f>AW357</f>
        <v>3880</v>
      </c>
      <c r="AY357" s="290"/>
      <c r="AZ357" s="655">
        <v>3148</v>
      </c>
      <c r="BA357" s="655">
        <v>3570</v>
      </c>
      <c r="BB357" s="295">
        <f>BA357</f>
        <v>3570</v>
      </c>
      <c r="BC357" s="290"/>
      <c r="BD357" s="655">
        <v>3145</v>
      </c>
      <c r="BE357" s="655">
        <v>3495</v>
      </c>
      <c r="BF357" s="295">
        <f>BE357</f>
        <v>3495</v>
      </c>
      <c r="BG357" s="290"/>
      <c r="BH357" s="655">
        <v>3650</v>
      </c>
      <c r="BI357" s="655"/>
      <c r="BJ357" s="295"/>
      <c r="BK357" s="290"/>
      <c r="BL357" s="295"/>
      <c r="BM357" s="295"/>
      <c r="BN357" s="295"/>
      <c r="BO357" s="290"/>
      <c r="BP357" s="295"/>
      <c r="BQ357" s="295"/>
      <c r="BR357" s="295"/>
      <c r="BS357" s="290"/>
      <c r="BT357" s="295"/>
      <c r="BU357" s="295"/>
      <c r="BV357" s="295"/>
      <c r="BW357" s="290"/>
      <c r="BX357" s="295"/>
      <c r="BY357" s="295"/>
      <c r="BZ357" s="295"/>
      <c r="CA357" s="290"/>
      <c r="CB357" s="295"/>
      <c r="CC357" s="295"/>
      <c r="CD357" s="295"/>
      <c r="CE357" s="290"/>
      <c r="CF357" s="295"/>
      <c r="CG357" s="295"/>
      <c r="CH357" s="295"/>
      <c r="CI357" s="290"/>
      <c r="CJ357" s="295"/>
      <c r="CK357" s="295"/>
      <c r="CL357" s="295"/>
      <c r="CM357" s="290"/>
      <c r="CN357" s="295"/>
      <c r="CO357" s="295"/>
      <c r="CP357" s="295"/>
      <c r="CQ357" s="290"/>
      <c r="CR357" s="295"/>
      <c r="CS357" s="295"/>
      <c r="CT357" s="295"/>
      <c r="CU357" s="290"/>
      <c r="CV357" s="295"/>
      <c r="CW357" s="1390"/>
      <c r="CX357" s="1390"/>
      <c r="CY357" s="290"/>
      <c r="CZ357" s="295"/>
      <c r="DA357" s="295"/>
      <c r="DB357" s="295"/>
      <c r="DC357" s="290"/>
      <c r="DD357" s="295"/>
      <c r="DE357" s="295"/>
      <c r="DF357" s="295"/>
      <c r="DG357" s="290"/>
      <c r="DH357" s="295"/>
      <c r="DI357" s="295"/>
      <c r="DJ357" s="295"/>
      <c r="DK357" s="290"/>
      <c r="DL357" s="295"/>
      <c r="DM357" s="295"/>
      <c r="DN357" s="295"/>
      <c r="DO357" s="290"/>
      <c r="DP357" s="295"/>
      <c r="DQ357" s="295"/>
      <c r="DR357" s="295"/>
      <c r="DS357" s="290"/>
      <c r="DT357"/>
    </row>
    <row r="358" spans="1:124" hidden="1" outlineLevel="1">
      <c r="A358" s="102" t="s">
        <v>274</v>
      </c>
      <c r="AO358" s="293"/>
      <c r="AP358" s="293"/>
      <c r="AR358" s="293">
        <f>AR417</f>
        <v>2801</v>
      </c>
      <c r="AS358" s="293">
        <f>AS417</f>
        <v>2401</v>
      </c>
      <c r="AT358" s="293">
        <f>AS358</f>
        <v>2401</v>
      </c>
      <c r="AV358" s="293">
        <f>AV417</f>
        <v>2086</v>
      </c>
      <c r="AW358" s="293">
        <f>AW417</f>
        <v>2094</v>
      </c>
      <c r="AX358" s="293">
        <f>AW358</f>
        <v>2094</v>
      </c>
      <c r="AZ358" s="293">
        <f>AZ417</f>
        <v>2328</v>
      </c>
      <c r="BA358" s="293">
        <f>BA417</f>
        <v>2745</v>
      </c>
      <c r="BB358" s="293">
        <f>BA358</f>
        <v>2745</v>
      </c>
      <c r="BD358" s="293">
        <f>BD417</f>
        <v>2608</v>
      </c>
      <c r="BE358" s="293">
        <f>BE417</f>
        <v>2764</v>
      </c>
      <c r="BF358" s="293">
        <f>BE358</f>
        <v>2764</v>
      </c>
      <c r="BH358" s="293">
        <f>BH417</f>
        <v>2661</v>
      </c>
      <c r="BI358" s="293"/>
      <c r="BJ358" s="293"/>
      <c r="BL358" s="293"/>
      <c r="BM358" s="293"/>
      <c r="BN358" s="293"/>
      <c r="BP358" s="293"/>
      <c r="BQ358" s="293"/>
      <c r="BR358" s="293"/>
      <c r="BT358" s="293"/>
      <c r="BU358" s="293"/>
      <c r="BV358" s="293"/>
      <c r="BX358" s="293"/>
      <c r="BY358" s="293"/>
      <c r="BZ358" s="293"/>
      <c r="CB358" s="293"/>
      <c r="CC358" s="293"/>
      <c r="CD358" s="293"/>
      <c r="CF358" s="293"/>
      <c r="CG358" s="293"/>
      <c r="CH358" s="293"/>
      <c r="CJ358" s="293"/>
      <c r="CK358" s="293"/>
      <c r="CL358" s="293"/>
      <c r="CN358" s="293"/>
      <c r="CO358" s="293"/>
      <c r="CP358" s="293"/>
      <c r="CR358" s="293"/>
      <c r="CS358" s="293"/>
      <c r="CT358" s="293"/>
      <c r="CV358" s="293"/>
      <c r="CW358" s="1495"/>
      <c r="CX358" s="1495"/>
      <c r="CZ358" s="293"/>
      <c r="DA358" s="293"/>
      <c r="DB358" s="293"/>
      <c r="DD358" s="293"/>
      <c r="DE358" s="293"/>
      <c r="DF358" s="293"/>
      <c r="DH358" s="293"/>
      <c r="DI358" s="293"/>
      <c r="DJ358" s="293"/>
      <c r="DL358" s="293"/>
      <c r="DM358" s="293"/>
      <c r="DN358" s="293"/>
      <c r="DP358" s="293"/>
      <c r="DQ358" s="293"/>
      <c r="DR358" s="293"/>
    </row>
    <row r="359" spans="1:124" s="289" customFormat="1" hidden="1" outlineLevel="1">
      <c r="A359" s="289" t="s">
        <v>276</v>
      </c>
      <c r="C359" s="290"/>
      <c r="AN359" s="290"/>
      <c r="AO359" s="295"/>
      <c r="AP359" s="295"/>
      <c r="AQ359" s="290"/>
      <c r="AR359" s="295">
        <f>+AR357-AR358</f>
        <v>1614</v>
      </c>
      <c r="AS359" s="295">
        <f>+AS357-AS358</f>
        <v>1426</v>
      </c>
      <c r="AT359" s="295">
        <f>AS359</f>
        <v>1426</v>
      </c>
      <c r="AU359" s="290"/>
      <c r="AV359" s="295">
        <f>+AV357-AV358</f>
        <v>2426</v>
      </c>
      <c r="AW359" s="295">
        <f>+AW357-AW358</f>
        <v>1786</v>
      </c>
      <c r="AX359" s="295">
        <f>AW359</f>
        <v>1786</v>
      </c>
      <c r="AY359" s="290"/>
      <c r="AZ359" s="295">
        <f>+AZ357-AZ358</f>
        <v>820</v>
      </c>
      <c r="BA359" s="295">
        <f>+BA357-BA358</f>
        <v>825</v>
      </c>
      <c r="BB359" s="295">
        <f>BA359</f>
        <v>825</v>
      </c>
      <c r="BC359" s="290"/>
      <c r="BD359" s="295">
        <f>+BD357-BD358</f>
        <v>537</v>
      </c>
      <c r="BE359" s="295">
        <f>+BE357-BE358</f>
        <v>731</v>
      </c>
      <c r="BF359" s="295">
        <f>BE359</f>
        <v>731</v>
      </c>
      <c r="BG359" s="290"/>
      <c r="BH359" s="295">
        <f>+BH357-BH358</f>
        <v>989</v>
      </c>
      <c r="BI359" s="295"/>
      <c r="BJ359" s="295"/>
      <c r="BK359" s="290"/>
      <c r="BL359" s="295"/>
      <c r="BM359" s="295"/>
      <c r="BN359" s="295"/>
      <c r="BO359" s="290"/>
      <c r="BP359" s="295"/>
      <c r="BQ359" s="295"/>
      <c r="BR359" s="295"/>
      <c r="BS359" s="290"/>
      <c r="BT359" s="295"/>
      <c r="BU359" s="295"/>
      <c r="BV359" s="295"/>
      <c r="BW359" s="290"/>
      <c r="BX359" s="295"/>
      <c r="BY359" s="295"/>
      <c r="BZ359" s="295"/>
      <c r="CA359" s="290"/>
      <c r="CB359" s="295"/>
      <c r="CC359" s="295"/>
      <c r="CD359" s="295"/>
      <c r="CE359" s="290"/>
      <c r="CF359" s="295"/>
      <c r="CG359" s="295"/>
      <c r="CH359" s="295"/>
      <c r="CI359" s="290"/>
      <c r="CJ359" s="295"/>
      <c r="CK359" s="295"/>
      <c r="CL359" s="295"/>
      <c r="CM359" s="290"/>
      <c r="CN359" s="295"/>
      <c r="CO359" s="295"/>
      <c r="CP359" s="295"/>
      <c r="CQ359" s="290"/>
      <c r="CR359" s="295"/>
      <c r="CS359" s="295"/>
      <c r="CT359" s="295"/>
      <c r="CU359" s="290"/>
      <c r="CV359" s="295"/>
      <c r="CW359" s="1390"/>
      <c r="CX359" s="1390"/>
      <c r="CY359" s="290"/>
      <c r="CZ359" s="295"/>
      <c r="DA359" s="295"/>
      <c r="DB359" s="295"/>
      <c r="DC359" s="290"/>
      <c r="DD359" s="295"/>
      <c r="DE359" s="295"/>
      <c r="DF359" s="295"/>
      <c r="DG359" s="290"/>
      <c r="DH359" s="295"/>
      <c r="DI359" s="295"/>
      <c r="DJ359" s="295"/>
      <c r="DK359" s="290"/>
      <c r="DL359" s="295"/>
      <c r="DM359" s="295"/>
      <c r="DN359" s="295"/>
      <c r="DO359" s="290"/>
      <c r="DP359" s="295"/>
      <c r="DQ359" s="295"/>
      <c r="DR359" s="295"/>
      <c r="DS359" s="290"/>
      <c r="DT359"/>
    </row>
    <row r="360" spans="1:124" hidden="1" outlineLevel="1"/>
    <row r="361" spans="1:124" hidden="1" outlineLevel="1">
      <c r="A361" s="289" t="s">
        <v>10</v>
      </c>
      <c r="AW361" s="1176"/>
    </row>
    <row r="362" spans="1:124" hidden="1" outlineLevel="1">
      <c r="A362" s="102" t="s">
        <v>402</v>
      </c>
      <c r="AO362" s="293"/>
      <c r="AP362" s="293"/>
      <c r="AR362" s="293">
        <f>AR388/AR376</f>
        <v>4270.8333333333339</v>
      </c>
      <c r="AS362" s="293">
        <f>AS388/AS376</f>
        <v>4800</v>
      </c>
      <c r="AT362" s="293">
        <f t="shared" ref="AT362:AT372" si="320">AS362</f>
        <v>4800</v>
      </c>
      <c r="AV362" s="293">
        <f>AV388/AV376</f>
        <v>3013.3928571428569</v>
      </c>
      <c r="AW362" s="813">
        <f>AW388/AW376</f>
        <v>2137.5464684014869</v>
      </c>
      <c r="AX362" s="293">
        <f t="shared" ref="AX362:AX372" si="321">AW362</f>
        <v>2137.5464684014869</v>
      </c>
      <c r="AZ362" s="293">
        <f>AZ388/AZ376</f>
        <v>2403.8461538461538</v>
      </c>
      <c r="BA362" s="813">
        <f>BA388/BA376</f>
        <v>2142.8571428571427</v>
      </c>
      <c r="BB362" s="293">
        <f>BA362</f>
        <v>2142.8571428571427</v>
      </c>
      <c r="BD362" s="626">
        <v>2200</v>
      </c>
      <c r="BE362" s="626">
        <v>2300</v>
      </c>
      <c r="BF362" s="293">
        <f t="shared" ref="BF362:BF372" si="322">BE362</f>
        <v>2300</v>
      </c>
      <c r="BH362" s="626">
        <v>1800</v>
      </c>
      <c r="BI362" s="626"/>
      <c r="BJ362" s="293"/>
      <c r="BL362" s="293"/>
      <c r="BM362" s="293"/>
      <c r="BN362" s="293"/>
      <c r="BP362" s="293"/>
      <c r="BQ362" s="293"/>
      <c r="BR362" s="293"/>
      <c r="BT362" s="293"/>
      <c r="BU362" s="293"/>
      <c r="BV362" s="293"/>
      <c r="BX362" s="293"/>
      <c r="BY362" s="293"/>
      <c r="BZ362" s="293"/>
      <c r="CB362" s="293"/>
      <c r="CC362" s="293"/>
      <c r="CD362" s="293"/>
      <c r="CF362" s="293"/>
      <c r="CG362" s="293"/>
      <c r="CH362" s="293"/>
      <c r="CJ362" s="293"/>
      <c r="CK362" s="293"/>
      <c r="CL362" s="293"/>
      <c r="CN362" s="293"/>
      <c r="CO362" s="293"/>
      <c r="CP362" s="293"/>
      <c r="CR362" s="293"/>
      <c r="CS362" s="293"/>
      <c r="CT362" s="293"/>
      <c r="CV362" s="293"/>
      <c r="CW362" s="1495"/>
      <c r="CX362" s="1495"/>
      <c r="CZ362" s="293"/>
      <c r="DA362" s="293"/>
      <c r="DB362" s="293"/>
      <c r="DD362" s="293"/>
      <c r="DE362" s="293"/>
      <c r="DF362" s="293"/>
      <c r="DH362" s="293"/>
      <c r="DI362" s="293"/>
      <c r="DJ362" s="293"/>
      <c r="DL362" s="293"/>
      <c r="DM362" s="293"/>
      <c r="DN362" s="293"/>
      <c r="DP362" s="293"/>
      <c r="DQ362" s="293"/>
      <c r="DR362" s="293"/>
    </row>
    <row r="363" spans="1:124" hidden="1" outlineLevel="1">
      <c r="A363" s="102" t="s">
        <v>403</v>
      </c>
      <c r="AO363" s="293"/>
      <c r="AP363" s="293"/>
      <c r="AR363" s="487">
        <v>0</v>
      </c>
      <c r="AS363" s="487">
        <v>1000</v>
      </c>
      <c r="AT363" s="293">
        <f t="shared" si="320"/>
        <v>1000</v>
      </c>
      <c r="AV363" s="487">
        <v>1600</v>
      </c>
      <c r="AW363" s="487">
        <v>1400</v>
      </c>
      <c r="AX363" s="293">
        <f t="shared" si="321"/>
        <v>1400</v>
      </c>
      <c r="AZ363" s="487">
        <v>1000</v>
      </c>
      <c r="BA363" s="487">
        <v>1600</v>
      </c>
      <c r="BB363" s="293">
        <f t="shared" ref="BB363:BB372" si="323">BA363</f>
        <v>1600</v>
      </c>
      <c r="BD363" s="626">
        <v>1200</v>
      </c>
      <c r="BE363" s="626">
        <v>1400</v>
      </c>
      <c r="BF363" s="293">
        <f t="shared" si="322"/>
        <v>1400</v>
      </c>
      <c r="BH363" s="626">
        <v>1100</v>
      </c>
      <c r="BI363" s="626"/>
      <c r="BJ363" s="293"/>
      <c r="BL363" s="293"/>
      <c r="BM363" s="293"/>
      <c r="BN363" s="293"/>
      <c r="BP363" s="293"/>
      <c r="BQ363" s="293"/>
      <c r="BR363" s="293"/>
      <c r="BT363" s="293"/>
      <c r="BU363" s="293"/>
      <c r="BV363" s="293"/>
      <c r="BX363" s="293"/>
      <c r="BY363" s="293"/>
      <c r="BZ363" s="293"/>
      <c r="CB363" s="293"/>
      <c r="CC363" s="293"/>
      <c r="CD363" s="293"/>
      <c r="CF363" s="293"/>
      <c r="CG363" s="293"/>
      <c r="CH363" s="293"/>
      <c r="CJ363" s="293"/>
      <c r="CK363" s="293"/>
      <c r="CL363" s="293"/>
      <c r="CN363" s="293"/>
      <c r="CO363" s="293"/>
      <c r="CP363" s="293"/>
      <c r="CR363" s="293"/>
      <c r="CS363" s="293"/>
      <c r="CT363" s="293"/>
      <c r="CV363" s="293"/>
      <c r="CW363" s="1495"/>
      <c r="CX363" s="1495"/>
      <c r="CZ363" s="293"/>
      <c r="DA363" s="293"/>
      <c r="DB363" s="293"/>
      <c r="DD363" s="293"/>
      <c r="DE363" s="293"/>
      <c r="DF363" s="293"/>
      <c r="DH363" s="293"/>
      <c r="DI363" s="293"/>
      <c r="DJ363" s="293"/>
      <c r="DL363" s="293"/>
      <c r="DM363" s="293"/>
      <c r="DN363" s="293"/>
      <c r="DP363" s="293"/>
      <c r="DQ363" s="293"/>
      <c r="DR363" s="293"/>
    </row>
    <row r="364" spans="1:124" hidden="1" outlineLevel="1">
      <c r="A364" s="102" t="s">
        <v>350</v>
      </c>
      <c r="AO364" s="293"/>
      <c r="AP364" s="293"/>
      <c r="AR364" s="293">
        <f t="shared" ref="AR364:AS368" si="324">AR390/AR378</f>
        <v>3294.1176470588234</v>
      </c>
      <c r="AS364" s="293">
        <f t="shared" si="324"/>
        <v>1802.3255813953488</v>
      </c>
      <c r="AT364" s="293">
        <f t="shared" si="320"/>
        <v>1802.3255813953488</v>
      </c>
      <c r="AV364" s="293">
        <f t="shared" ref="AV364:AW368" si="325">AV390/AV378</f>
        <v>1111.1111111111111</v>
      </c>
      <c r="AW364" s="293">
        <f t="shared" si="325"/>
        <v>1398.0263157894738</v>
      </c>
      <c r="AX364" s="293">
        <f t="shared" si="321"/>
        <v>1398.0263157894738</v>
      </c>
      <c r="AZ364" s="293">
        <f t="shared" ref="AZ364:BA368" si="326">AZ390/AZ378</f>
        <v>1134.020618556701</v>
      </c>
      <c r="BA364" s="293">
        <f t="shared" si="326"/>
        <v>2802.4193548387098</v>
      </c>
      <c r="BB364" s="293">
        <f t="shared" si="323"/>
        <v>2802.4193548387098</v>
      </c>
      <c r="BD364" s="626">
        <f>400+500</f>
        <v>900</v>
      </c>
      <c r="BE364" s="626">
        <f>400+900</f>
        <v>1300</v>
      </c>
      <c r="BF364" s="293">
        <f t="shared" si="322"/>
        <v>1300</v>
      </c>
      <c r="BH364" s="626">
        <v>1300</v>
      </c>
      <c r="BI364" s="626"/>
      <c r="BJ364" s="293"/>
      <c r="BL364" s="293"/>
      <c r="BM364" s="293"/>
      <c r="BN364" s="293"/>
      <c r="BP364" s="293"/>
      <c r="BQ364" s="293"/>
      <c r="BR364" s="293"/>
      <c r="BT364" s="293"/>
      <c r="BU364" s="293"/>
      <c r="BV364" s="293"/>
      <c r="BX364" s="293"/>
      <c r="BY364" s="293"/>
      <c r="BZ364" s="293"/>
      <c r="CB364" s="293"/>
      <c r="CC364" s="293"/>
      <c r="CD364" s="293"/>
      <c r="CF364" s="293"/>
      <c r="CG364" s="293"/>
      <c r="CH364" s="293"/>
      <c r="CJ364" s="293"/>
      <c r="CK364" s="293"/>
      <c r="CL364" s="293"/>
      <c r="CN364" s="293"/>
      <c r="CO364" s="293"/>
      <c r="CP364" s="293"/>
      <c r="CR364" s="293"/>
      <c r="CS364" s="293"/>
      <c r="CT364" s="293"/>
      <c r="CV364" s="293"/>
      <c r="CW364" s="1495"/>
      <c r="CX364" s="1495"/>
      <c r="CZ364" s="293"/>
      <c r="DA364" s="293"/>
      <c r="DB364" s="293"/>
      <c r="DD364" s="293"/>
      <c r="DE364" s="293"/>
      <c r="DF364" s="293"/>
      <c r="DH364" s="293"/>
      <c r="DI364" s="293"/>
      <c r="DJ364" s="293"/>
      <c r="DL364" s="293"/>
      <c r="DM364" s="293"/>
      <c r="DN364" s="293"/>
      <c r="DP364" s="293"/>
      <c r="DQ364" s="293"/>
      <c r="DR364" s="293"/>
    </row>
    <row r="365" spans="1:124" hidden="1" outlineLevel="1">
      <c r="A365" s="102" t="s">
        <v>404</v>
      </c>
      <c r="AO365" s="293"/>
      <c r="AP365" s="293"/>
      <c r="AR365" s="293">
        <f t="shared" si="324"/>
        <v>400.09940357852878</v>
      </c>
      <c r="AS365" s="293">
        <f t="shared" si="324"/>
        <v>142.12827988338191</v>
      </c>
      <c r="AT365" s="293">
        <f t="shared" si="320"/>
        <v>142.12827988338191</v>
      </c>
      <c r="AV365" s="293">
        <f t="shared" si="325"/>
        <v>27.920962199312715</v>
      </c>
      <c r="AW365" s="293">
        <f t="shared" si="325"/>
        <v>0</v>
      </c>
      <c r="AX365" s="293">
        <f t="shared" si="321"/>
        <v>0</v>
      </c>
      <c r="AZ365" s="293">
        <f t="shared" si="326"/>
        <v>75.322812051649933</v>
      </c>
      <c r="BA365" s="293">
        <f t="shared" si="326"/>
        <v>81.018518518518519</v>
      </c>
      <c r="BB365" s="293">
        <f t="shared" si="323"/>
        <v>81.018518518518519</v>
      </c>
      <c r="BD365" s="626">
        <v>100</v>
      </c>
      <c r="BE365" s="626">
        <v>100</v>
      </c>
      <c r="BF365" s="293">
        <f t="shared" si="322"/>
        <v>100</v>
      </c>
      <c r="BH365" s="626">
        <v>0</v>
      </c>
      <c r="BI365" s="626"/>
      <c r="BJ365" s="293"/>
      <c r="BL365" s="293"/>
      <c r="BM365" s="293"/>
      <c r="BN365" s="293"/>
      <c r="BP365" s="293"/>
      <c r="BQ365" s="293"/>
      <c r="BR365" s="293"/>
      <c r="BT365" s="293"/>
      <c r="BU365" s="293"/>
      <c r="BV365" s="293"/>
      <c r="BX365" s="293"/>
      <c r="BY365" s="293"/>
      <c r="BZ365" s="293"/>
      <c r="CB365" s="293"/>
      <c r="CC365" s="293"/>
      <c r="CD365" s="293"/>
      <c r="CF365" s="293"/>
      <c r="CG365" s="293"/>
      <c r="CH365" s="293"/>
      <c r="CJ365" s="293"/>
      <c r="CK365" s="293"/>
      <c r="CL365" s="293"/>
      <c r="CN365" s="293"/>
      <c r="CO365" s="293"/>
      <c r="CP365" s="293"/>
      <c r="CR365" s="293"/>
      <c r="CS365" s="293"/>
      <c r="CT365" s="293"/>
      <c r="CV365" s="293"/>
      <c r="CW365" s="1495"/>
      <c r="CX365" s="1495"/>
      <c r="CZ365" s="293"/>
      <c r="DA365" s="293"/>
      <c r="DB365" s="293"/>
      <c r="DD365" s="293"/>
      <c r="DE365" s="293"/>
      <c r="DF365" s="293"/>
      <c r="DH365" s="293"/>
      <c r="DI365" s="293"/>
      <c r="DJ365" s="293"/>
      <c r="DL365" s="293"/>
      <c r="DM365" s="293"/>
      <c r="DN365" s="293"/>
      <c r="DP365" s="293"/>
      <c r="DQ365" s="293"/>
      <c r="DR365" s="293"/>
    </row>
    <row r="366" spans="1:124" hidden="1" outlineLevel="1">
      <c r="A366" s="102" t="s">
        <v>405</v>
      </c>
      <c r="AO366" s="293"/>
      <c r="AP366" s="293"/>
      <c r="AR366" s="293">
        <f t="shared" si="324"/>
        <v>596.59090909090912</v>
      </c>
      <c r="AS366" s="293">
        <f t="shared" si="324"/>
        <v>592.53246753246754</v>
      </c>
      <c r="AT366" s="293">
        <f t="shared" si="320"/>
        <v>592.53246753246754</v>
      </c>
      <c r="AV366" s="293">
        <f t="shared" si="325"/>
        <v>336.53846153846155</v>
      </c>
      <c r="AW366" s="293">
        <f t="shared" si="325"/>
        <v>295.13888888888891</v>
      </c>
      <c r="AX366" s="293">
        <f t="shared" si="321"/>
        <v>295.13888888888891</v>
      </c>
      <c r="AZ366" s="293">
        <f t="shared" si="326"/>
        <v>245.09803921568627</v>
      </c>
      <c r="BA366" s="293">
        <f t="shared" si="326"/>
        <v>234.375</v>
      </c>
      <c r="BB366" s="293">
        <f t="shared" si="323"/>
        <v>234.375</v>
      </c>
      <c r="BD366" s="626">
        <v>100</v>
      </c>
      <c r="BE366" s="626">
        <v>200</v>
      </c>
      <c r="BF366" s="293">
        <f t="shared" si="322"/>
        <v>200</v>
      </c>
      <c r="BH366" s="626">
        <v>200</v>
      </c>
      <c r="BI366" s="626"/>
      <c r="BJ366" s="293"/>
      <c r="BL366" s="293"/>
      <c r="BM366" s="293"/>
      <c r="BN366" s="293"/>
      <c r="BP366" s="293"/>
      <c r="BQ366" s="293"/>
      <c r="BR366" s="293"/>
      <c r="BT366" s="293"/>
      <c r="BU366" s="293"/>
      <c r="BV366" s="293"/>
      <c r="BX366" s="293"/>
      <c r="BY366" s="293"/>
      <c r="BZ366" s="293"/>
      <c r="CB366" s="293"/>
      <c r="CC366" s="293"/>
      <c r="CD366" s="293"/>
      <c r="CF366" s="293"/>
      <c r="CG366" s="293"/>
      <c r="CH366" s="293"/>
      <c r="CJ366" s="293"/>
      <c r="CK366" s="293"/>
      <c r="CL366" s="293"/>
      <c r="CN366" s="293"/>
      <c r="CO366" s="293"/>
      <c r="CP366" s="293"/>
      <c r="CR366" s="293"/>
      <c r="CS366" s="293"/>
      <c r="CT366" s="293"/>
      <c r="CV366" s="293"/>
      <c r="CW366" s="1495"/>
      <c r="CX366" s="1495"/>
      <c r="CZ366" s="293"/>
      <c r="DA366" s="293"/>
      <c r="DB366" s="293"/>
      <c r="DD366" s="293"/>
      <c r="DE366" s="293"/>
      <c r="DF366" s="293"/>
      <c r="DH366" s="293"/>
      <c r="DI366" s="293"/>
      <c r="DJ366" s="293"/>
      <c r="DL366" s="293"/>
      <c r="DM366" s="293"/>
      <c r="DN366" s="293"/>
      <c r="DP366" s="293"/>
      <c r="DQ366" s="293"/>
      <c r="DR366" s="293"/>
    </row>
    <row r="367" spans="1:124" hidden="1" outlineLevel="1">
      <c r="A367" s="102" t="s">
        <v>419</v>
      </c>
      <c r="AO367" s="293"/>
      <c r="AP367" s="293"/>
      <c r="AR367" s="293">
        <f t="shared" si="324"/>
        <v>2601.7441860465119</v>
      </c>
      <c r="AS367" s="293">
        <f t="shared" si="324"/>
        <v>2684.2403628117913</v>
      </c>
      <c r="AT367" s="293">
        <f t="shared" si="320"/>
        <v>2684.2403628117913</v>
      </c>
      <c r="AV367" s="293">
        <f t="shared" si="325"/>
        <v>1842.4036281179137</v>
      </c>
      <c r="AW367" s="293">
        <f t="shared" si="325"/>
        <v>2734.375</v>
      </c>
      <c r="AX367" s="293">
        <f t="shared" si="321"/>
        <v>2734.375</v>
      </c>
      <c r="AZ367" s="293">
        <f t="shared" si="326"/>
        <v>2083.3333333333335</v>
      </c>
      <c r="BA367" s="293">
        <f t="shared" si="326"/>
        <v>2205.8823529411766</v>
      </c>
      <c r="BB367" s="293">
        <f t="shared" si="323"/>
        <v>2205.8823529411766</v>
      </c>
      <c r="BD367" s="626">
        <v>0</v>
      </c>
      <c r="BE367" s="626">
        <v>1950</v>
      </c>
      <c r="BF367" s="293">
        <f t="shared" si="322"/>
        <v>1950</v>
      </c>
      <c r="BH367" s="626">
        <f>BH369/2</f>
        <v>1950</v>
      </c>
      <c r="BI367" s="626"/>
      <c r="BJ367" s="293"/>
      <c r="BL367" s="293"/>
      <c r="BM367" s="293"/>
      <c r="BN367" s="293"/>
      <c r="BP367" s="293"/>
      <c r="BQ367" s="293"/>
      <c r="BR367" s="293"/>
      <c r="BT367" s="293"/>
      <c r="BU367" s="293"/>
      <c r="BV367" s="293"/>
      <c r="BX367" s="293"/>
      <c r="BY367" s="293"/>
      <c r="BZ367" s="293"/>
      <c r="CB367" s="293"/>
      <c r="CC367" s="293"/>
      <c r="CD367" s="293"/>
      <c r="CF367" s="293"/>
      <c r="CG367" s="293"/>
      <c r="CH367" s="293"/>
      <c r="CJ367" s="293"/>
      <c r="CK367" s="293"/>
      <c r="CL367" s="293"/>
      <c r="CN367" s="293"/>
      <c r="CO367" s="293"/>
      <c r="CP367" s="293"/>
      <c r="CR367" s="293"/>
      <c r="CS367" s="293"/>
      <c r="CT367" s="293"/>
      <c r="CV367" s="293"/>
      <c r="CW367" s="1495"/>
      <c r="CX367" s="1495"/>
      <c r="CZ367" s="293"/>
      <c r="DA367" s="293"/>
      <c r="DB367" s="293"/>
      <c r="DD367" s="293"/>
      <c r="DE367" s="293"/>
      <c r="DF367" s="293"/>
      <c r="DH367" s="293"/>
      <c r="DI367" s="293"/>
      <c r="DJ367" s="293"/>
      <c r="DL367" s="293"/>
      <c r="DM367" s="293"/>
      <c r="DN367" s="293"/>
      <c r="DP367" s="293"/>
      <c r="DQ367" s="293"/>
      <c r="DR367" s="293"/>
    </row>
    <row r="368" spans="1:124" hidden="1" outlineLevel="1">
      <c r="A368" s="102" t="s">
        <v>420</v>
      </c>
      <c r="AO368" s="293"/>
      <c r="AP368" s="293"/>
      <c r="AR368" s="293">
        <f t="shared" si="324"/>
        <v>2000.8756567425569</v>
      </c>
      <c r="AS368" s="293">
        <f t="shared" si="324"/>
        <v>2376.4181523500811</v>
      </c>
      <c r="AT368" s="293">
        <f t="shared" si="320"/>
        <v>2376.4181523500811</v>
      </c>
      <c r="AV368" s="293">
        <f t="shared" si="325"/>
        <v>2123.1343283582087</v>
      </c>
      <c r="AW368" s="293">
        <f t="shared" si="325"/>
        <v>1221.1538461538462</v>
      </c>
      <c r="AX368" s="293">
        <f t="shared" si="321"/>
        <v>1221.1538461538462</v>
      </c>
      <c r="AZ368" s="293">
        <f t="shared" si="326"/>
        <v>1944.2307692307693</v>
      </c>
      <c r="BA368" s="293">
        <f t="shared" si="326"/>
        <v>1519.2307692307693</v>
      </c>
      <c r="BB368" s="293">
        <f t="shared" si="323"/>
        <v>1519.2307692307693</v>
      </c>
      <c r="BD368" s="626">
        <f>4100-BD367</f>
        <v>4100</v>
      </c>
      <c r="BE368" s="626">
        <f>3900-BE367</f>
        <v>1950</v>
      </c>
      <c r="BF368" s="293">
        <f t="shared" si="322"/>
        <v>1950</v>
      </c>
      <c r="BH368" s="626">
        <f>BH367</f>
        <v>1950</v>
      </c>
      <c r="BI368" s="626"/>
      <c r="BJ368" s="293"/>
      <c r="BL368" s="293"/>
      <c r="BM368" s="293"/>
      <c r="BN368" s="293"/>
      <c r="BP368" s="293"/>
      <c r="BQ368" s="293"/>
      <c r="BR368" s="293"/>
      <c r="BT368" s="293"/>
      <c r="BU368" s="293"/>
      <c r="BV368" s="293"/>
      <c r="BX368" s="293"/>
      <c r="BY368" s="293"/>
      <c r="BZ368" s="293"/>
      <c r="CB368" s="293"/>
      <c r="CC368" s="293"/>
      <c r="CD368" s="293"/>
      <c r="CF368" s="293"/>
      <c r="CG368" s="293"/>
      <c r="CH368" s="293"/>
      <c r="CJ368" s="293"/>
      <c r="CK368" s="293"/>
      <c r="CL368" s="293"/>
      <c r="CN368" s="293"/>
      <c r="CO368" s="293"/>
      <c r="CP368" s="293"/>
      <c r="CR368" s="293"/>
      <c r="CS368" s="293"/>
      <c r="CT368" s="293"/>
      <c r="CV368" s="293"/>
      <c r="CW368" s="1495"/>
      <c r="CX368" s="1495"/>
      <c r="CZ368" s="293"/>
      <c r="DA368" s="293"/>
      <c r="DB368" s="293"/>
      <c r="DD368" s="293"/>
      <c r="DE368" s="293"/>
      <c r="DF368" s="293"/>
      <c r="DH368" s="293"/>
      <c r="DI368" s="293"/>
      <c r="DJ368" s="293"/>
      <c r="DL368" s="293"/>
      <c r="DM368" s="293"/>
      <c r="DN368" s="293"/>
      <c r="DP368" s="293"/>
      <c r="DQ368" s="293"/>
      <c r="DR368" s="293"/>
    </row>
    <row r="369" spans="1:122" hidden="1" outlineLevel="1">
      <c r="A369" s="102" t="s">
        <v>421</v>
      </c>
      <c r="AO369" s="293"/>
      <c r="AP369" s="293"/>
      <c r="AR369" s="293"/>
      <c r="AS369" s="293"/>
      <c r="AT369" s="293"/>
      <c r="AV369" s="293"/>
      <c r="AW369" s="293"/>
      <c r="AX369" s="293"/>
      <c r="AZ369" s="293">
        <f>AZ367+AZ368</f>
        <v>4027.5641025641025</v>
      </c>
      <c r="BA369" s="293">
        <f>BA367+BA368</f>
        <v>3725.1131221719461</v>
      </c>
      <c r="BB369" s="293">
        <f>BB367+BB368</f>
        <v>3725.1131221719461</v>
      </c>
      <c r="BD369" s="293">
        <f>BD367+BD368</f>
        <v>4100</v>
      </c>
      <c r="BE369" s="293">
        <f>BE367+BE368</f>
        <v>3900</v>
      </c>
      <c r="BF369" s="293"/>
      <c r="BH369" s="626">
        <v>3900</v>
      </c>
      <c r="BI369" s="626"/>
      <c r="BJ369" s="293"/>
      <c r="BL369" s="293"/>
      <c r="BM369" s="293"/>
      <c r="BN369" s="293"/>
      <c r="BP369" s="293"/>
      <c r="BQ369" s="293"/>
      <c r="BR369" s="293"/>
      <c r="BT369" s="293"/>
      <c r="BU369" s="293"/>
      <c r="BV369" s="293"/>
      <c r="BX369" s="293"/>
      <c r="BY369" s="293"/>
      <c r="BZ369" s="293"/>
      <c r="CB369" s="293"/>
      <c r="CC369" s="293"/>
      <c r="CD369" s="293"/>
      <c r="CF369" s="293"/>
      <c r="CG369" s="293"/>
      <c r="CH369" s="293"/>
      <c r="CJ369" s="293"/>
      <c r="CK369" s="293"/>
      <c r="CL369" s="293"/>
      <c r="CN369" s="293"/>
      <c r="CO369" s="293"/>
      <c r="CP369" s="293"/>
      <c r="CR369" s="293"/>
      <c r="CS369" s="293"/>
      <c r="CT369" s="293"/>
      <c r="CV369" s="293"/>
      <c r="CW369" s="1495"/>
      <c r="CX369" s="1495"/>
      <c r="CZ369" s="293"/>
      <c r="DA369" s="293"/>
      <c r="DB369" s="293"/>
      <c r="DD369" s="293"/>
      <c r="DE369" s="293"/>
      <c r="DF369" s="293"/>
      <c r="DH369" s="293"/>
      <c r="DI369" s="293"/>
      <c r="DJ369" s="293"/>
      <c r="DL369" s="293"/>
      <c r="DM369" s="293"/>
      <c r="DN369" s="293"/>
      <c r="DP369" s="293"/>
      <c r="DQ369" s="293"/>
      <c r="DR369" s="293"/>
    </row>
    <row r="370" spans="1:122" hidden="1" outlineLevel="1">
      <c r="A370" s="102" t="s">
        <v>422</v>
      </c>
      <c r="AO370" s="293"/>
      <c r="AP370" s="293"/>
      <c r="AR370" s="626">
        <v>6200</v>
      </c>
      <c r="AS370" s="626">
        <v>2500</v>
      </c>
      <c r="AT370" s="293">
        <f t="shared" si="320"/>
        <v>2500</v>
      </c>
      <c r="AV370" s="626">
        <v>5500</v>
      </c>
      <c r="AW370" s="626">
        <v>6900</v>
      </c>
      <c r="AX370" s="293">
        <f t="shared" si="321"/>
        <v>6900</v>
      </c>
      <c r="AZ370" s="626">
        <v>6400</v>
      </c>
      <c r="BA370" s="626">
        <v>4600</v>
      </c>
      <c r="BB370" s="293">
        <f t="shared" si="323"/>
        <v>4600</v>
      </c>
      <c r="BD370" s="626">
        <v>3400</v>
      </c>
      <c r="BE370" s="626">
        <v>1700</v>
      </c>
      <c r="BF370" s="293">
        <f t="shared" si="322"/>
        <v>1700</v>
      </c>
      <c r="BH370" s="626">
        <v>2500</v>
      </c>
      <c r="BI370" s="626"/>
      <c r="BJ370" s="293"/>
      <c r="BL370" s="293"/>
      <c r="BM370" s="293"/>
      <c r="BN370" s="293"/>
      <c r="BP370" s="293"/>
      <c r="BQ370" s="293"/>
      <c r="BR370" s="293"/>
      <c r="BT370" s="293"/>
      <c r="BU370" s="293"/>
      <c r="BV370" s="293"/>
      <c r="BX370" s="293"/>
      <c r="BY370" s="293"/>
      <c r="BZ370" s="293"/>
      <c r="CB370" s="293"/>
      <c r="CC370" s="293"/>
      <c r="CD370" s="293"/>
      <c r="CF370" s="293"/>
      <c r="CG370" s="293"/>
      <c r="CH370" s="293"/>
      <c r="CJ370" s="293"/>
      <c r="CK370" s="293"/>
      <c r="CL370" s="293"/>
      <c r="CN370" s="293"/>
      <c r="CO370" s="293"/>
      <c r="CP370" s="293"/>
      <c r="CR370" s="293"/>
      <c r="CS370" s="293"/>
      <c r="CT370" s="293"/>
      <c r="CV370" s="293"/>
      <c r="CW370" s="1495"/>
      <c r="CX370" s="1495"/>
      <c r="CZ370" s="293"/>
      <c r="DA370" s="293"/>
      <c r="DB370" s="293"/>
      <c r="DD370" s="293"/>
      <c r="DE370" s="293"/>
      <c r="DF370" s="293"/>
      <c r="DH370" s="293"/>
      <c r="DI370" s="293"/>
      <c r="DJ370" s="293"/>
      <c r="DL370" s="293"/>
      <c r="DM370" s="293"/>
      <c r="DN370" s="293"/>
      <c r="DP370" s="293"/>
      <c r="DQ370" s="293"/>
      <c r="DR370" s="293"/>
    </row>
    <row r="371" spans="1:122" hidden="1" outlineLevel="1">
      <c r="A371" s="102" t="s">
        <v>232</v>
      </c>
      <c r="AO371" s="293"/>
      <c r="AP371" s="293"/>
      <c r="AR371" s="293">
        <f>AR397/AR385</f>
        <v>800.78125</v>
      </c>
      <c r="AS371" s="626">
        <v>900</v>
      </c>
      <c r="AT371" s="293">
        <f t="shared" si="320"/>
        <v>900</v>
      </c>
      <c r="AV371" s="293">
        <f>AV397/AV385</f>
        <v>974.40944881889766</v>
      </c>
      <c r="AW371" s="293">
        <f>AW397/AW385</f>
        <v>1000</v>
      </c>
      <c r="AX371" s="293">
        <f t="shared" si="321"/>
        <v>1000</v>
      </c>
      <c r="AZ371" s="293">
        <f>AZ397/AZ385</f>
        <v>919.45288753799389</v>
      </c>
      <c r="BA371" s="293">
        <f>BA397/BA385</f>
        <v>953.50404312668468</v>
      </c>
      <c r="BB371" s="293">
        <f t="shared" si="323"/>
        <v>953.50404312668468</v>
      </c>
      <c r="BD371" s="626">
        <f>900+400</f>
        <v>1300</v>
      </c>
      <c r="BE371" s="626">
        <f>900+500</f>
        <v>1400</v>
      </c>
      <c r="BF371" s="293">
        <f t="shared" si="322"/>
        <v>1400</v>
      </c>
      <c r="BH371" s="492">
        <f>BH372-SUM(BH369:BH370,BH362:BH366)</f>
        <v>1700</v>
      </c>
      <c r="BI371" s="492"/>
      <c r="BJ371" s="293"/>
      <c r="BL371" s="293"/>
      <c r="BM371" s="293"/>
      <c r="BN371" s="293"/>
      <c r="BP371" s="293"/>
      <c r="BQ371" s="293"/>
      <c r="BR371" s="293"/>
      <c r="BT371" s="293"/>
      <c r="BU371" s="293"/>
      <c r="BV371" s="293"/>
      <c r="BX371" s="293"/>
      <c r="BY371" s="293"/>
      <c r="BZ371" s="293"/>
      <c r="CB371" s="293"/>
      <c r="CC371" s="293"/>
      <c r="CD371" s="293"/>
      <c r="CF371" s="293"/>
      <c r="CG371" s="293"/>
      <c r="CH371" s="293"/>
      <c r="CJ371" s="293"/>
      <c r="CK371" s="293"/>
      <c r="CL371" s="293"/>
      <c r="CN371" s="293"/>
      <c r="CO371" s="293"/>
      <c r="CP371" s="293"/>
      <c r="CR371" s="293"/>
      <c r="CS371" s="293"/>
      <c r="CT371" s="293"/>
      <c r="CV371" s="293"/>
      <c r="CW371" s="1495"/>
      <c r="CX371" s="1495"/>
      <c r="CZ371" s="293"/>
      <c r="DA371" s="293"/>
      <c r="DB371" s="293"/>
      <c r="DD371" s="293"/>
      <c r="DE371" s="293"/>
      <c r="DF371" s="293"/>
      <c r="DH371" s="293"/>
      <c r="DI371" s="293"/>
      <c r="DJ371" s="293"/>
      <c r="DL371" s="293"/>
      <c r="DM371" s="293"/>
      <c r="DN371" s="293"/>
      <c r="DP371" s="293"/>
      <c r="DQ371" s="293"/>
      <c r="DR371" s="293"/>
    </row>
    <row r="372" spans="1:122" hidden="1" outlineLevel="1">
      <c r="A372" s="289" t="s">
        <v>423</v>
      </c>
      <c r="AO372" s="295"/>
      <c r="AP372" s="293"/>
      <c r="AR372" s="295">
        <f>SUM(AR362:AR371)</f>
        <v>20165.042385850662</v>
      </c>
      <c r="AS372" s="295">
        <f>SUM(AS362:AS371)</f>
        <v>16797.644843973074</v>
      </c>
      <c r="AT372" s="295">
        <f t="shared" si="320"/>
        <v>16797.644843973074</v>
      </c>
      <c r="AV372" s="295">
        <f>SUM(AV362:AV371)</f>
        <v>16528.91079728676</v>
      </c>
      <c r="AW372" s="295">
        <f>SUM(AW362:AW371)</f>
        <v>17086.240519233696</v>
      </c>
      <c r="AX372" s="295">
        <f t="shared" si="321"/>
        <v>17086.240519233696</v>
      </c>
      <c r="AZ372" s="295">
        <f>SUM(AZ362:AZ371)</f>
        <v>20232.86871633639</v>
      </c>
      <c r="BA372" s="295">
        <f>SUM(BA362:BA371)</f>
        <v>19864.40030368495</v>
      </c>
      <c r="BB372" s="295">
        <f t="shared" si="323"/>
        <v>19864.40030368495</v>
      </c>
      <c r="BD372" s="295">
        <f>SUM(BD362:BD371)</f>
        <v>17400</v>
      </c>
      <c r="BE372" s="295">
        <f>SUM(BE362:BE371)</f>
        <v>16200</v>
      </c>
      <c r="BF372" s="295">
        <f t="shared" si="322"/>
        <v>16200</v>
      </c>
      <c r="BH372" s="655">
        <v>12500</v>
      </c>
      <c r="BI372" s="655"/>
      <c r="BJ372" s="295"/>
      <c r="BL372" s="295"/>
      <c r="BM372" s="295"/>
      <c r="BN372" s="295"/>
      <c r="BP372" s="295"/>
      <c r="BQ372" s="295"/>
      <c r="BR372" s="295"/>
      <c r="BT372" s="295"/>
      <c r="BU372" s="295"/>
      <c r="BV372" s="295"/>
      <c r="BX372" s="295"/>
      <c r="BY372" s="295"/>
      <c r="BZ372" s="295"/>
      <c r="CB372" s="295"/>
      <c r="CC372" s="295"/>
      <c r="CD372" s="295"/>
      <c r="CF372" s="295"/>
      <c r="CG372" s="295"/>
      <c r="CH372" s="295"/>
      <c r="CJ372" s="295"/>
      <c r="CK372" s="295"/>
      <c r="CL372" s="295"/>
      <c r="CN372" s="295"/>
      <c r="CO372" s="295"/>
      <c r="CP372" s="295"/>
      <c r="CR372" s="295"/>
      <c r="CS372" s="295"/>
      <c r="CT372" s="295"/>
      <c r="CV372" s="295"/>
      <c r="CW372" s="1390"/>
      <c r="CX372" s="1390"/>
      <c r="CZ372" s="295"/>
      <c r="DA372" s="295"/>
      <c r="DB372" s="295"/>
      <c r="DD372" s="295"/>
      <c r="DE372" s="295"/>
      <c r="DF372" s="295"/>
      <c r="DH372" s="295"/>
      <c r="DI372" s="295"/>
      <c r="DJ372" s="295"/>
      <c r="DL372" s="295"/>
      <c r="DM372" s="295"/>
      <c r="DN372" s="295"/>
      <c r="DP372" s="295"/>
      <c r="DQ372" s="295"/>
      <c r="DR372" s="295"/>
    </row>
    <row r="373" spans="1:122" hidden="1" outlineLevel="1">
      <c r="A373" s="102" t="s">
        <v>424</v>
      </c>
      <c r="AO373" s="626"/>
      <c r="AR373" s="293"/>
      <c r="AS373" s="293"/>
      <c r="AT373" s="293"/>
      <c r="AV373" s="293"/>
      <c r="AW373" s="293"/>
      <c r="AX373" s="293"/>
      <c r="AZ373" s="293"/>
      <c r="BA373" s="293"/>
      <c r="BB373" s="293"/>
      <c r="BD373" s="293"/>
      <c r="BE373" s="293"/>
      <c r="BF373" s="293"/>
      <c r="BH373" s="293"/>
      <c r="BI373" s="293"/>
      <c r="BJ373" s="293"/>
      <c r="BL373" s="293"/>
      <c r="BM373" s="293"/>
      <c r="BN373" s="293"/>
      <c r="BP373" s="293"/>
      <c r="BQ373" s="293"/>
      <c r="BR373" s="293"/>
      <c r="BT373" s="293"/>
      <c r="BU373" s="293"/>
      <c r="BV373" s="293"/>
      <c r="BX373" s="293"/>
      <c r="BY373" s="293"/>
      <c r="BZ373" s="293"/>
      <c r="CB373" s="293"/>
      <c r="CC373" s="293"/>
      <c r="CD373" s="293"/>
      <c r="CF373" s="293"/>
      <c r="CG373" s="293"/>
      <c r="CH373" s="293"/>
      <c r="CJ373" s="293"/>
      <c r="CK373" s="293"/>
      <c r="CL373" s="293"/>
      <c r="CN373" s="293"/>
      <c r="CO373" s="293"/>
      <c r="CP373" s="293"/>
      <c r="CR373" s="293"/>
      <c r="CS373" s="293"/>
      <c r="CT373" s="293"/>
      <c r="CV373" s="293"/>
      <c r="CW373" s="1495"/>
      <c r="CX373" s="1495"/>
      <c r="CZ373" s="293"/>
      <c r="DA373" s="293"/>
      <c r="DB373" s="293"/>
      <c r="DD373" s="293"/>
      <c r="DE373" s="293"/>
      <c r="DF373" s="293"/>
      <c r="DH373" s="293"/>
      <c r="DI373" s="293"/>
      <c r="DJ373" s="293"/>
      <c r="DL373" s="293"/>
      <c r="DM373" s="293"/>
      <c r="DN373" s="293"/>
      <c r="DP373" s="293"/>
      <c r="DQ373" s="293"/>
      <c r="DR373" s="293"/>
    </row>
    <row r="374" spans="1:122" hidden="1" outlineLevel="1">
      <c r="A374" s="289" t="s">
        <v>9</v>
      </c>
      <c r="AO374" s="295"/>
      <c r="AR374" s="295"/>
      <c r="AS374" s="295"/>
      <c r="AT374" s="295"/>
      <c r="AV374" s="295"/>
      <c r="AW374" s="295"/>
      <c r="AX374" s="295"/>
      <c r="AZ374" s="295"/>
      <c r="BA374" s="295"/>
      <c r="BB374" s="295"/>
      <c r="BD374" s="295"/>
      <c r="BE374" s="295"/>
      <c r="BF374" s="295"/>
      <c r="BH374" s="295"/>
      <c r="BI374" s="295"/>
      <c r="BJ374" s="295"/>
      <c r="BL374" s="295"/>
      <c r="BM374" s="295"/>
      <c r="BN374" s="295"/>
      <c r="BP374" s="295"/>
      <c r="BQ374" s="295"/>
      <c r="BR374" s="295"/>
      <c r="BT374" s="295"/>
      <c r="BU374" s="295"/>
      <c r="BV374" s="295"/>
      <c r="BX374" s="295"/>
      <c r="BY374" s="295"/>
      <c r="BZ374" s="295"/>
      <c r="CB374" s="295"/>
      <c r="CC374" s="295"/>
      <c r="CD374" s="295"/>
      <c r="CF374" s="295"/>
      <c r="CG374" s="295"/>
      <c r="CH374" s="295"/>
      <c r="CJ374" s="295"/>
      <c r="CK374" s="295"/>
      <c r="CL374" s="295"/>
      <c r="CN374" s="295"/>
      <c r="CO374" s="295"/>
      <c r="CP374" s="295"/>
      <c r="CR374" s="295"/>
      <c r="CS374" s="295"/>
      <c r="CT374" s="295"/>
      <c r="CV374" s="295"/>
      <c r="CW374" s="1390"/>
      <c r="CX374" s="1390"/>
      <c r="CZ374" s="295"/>
      <c r="DA374" s="295"/>
      <c r="DB374" s="295"/>
      <c r="DD374" s="295"/>
      <c r="DE374" s="295"/>
      <c r="DF374" s="295"/>
      <c r="DH374" s="295"/>
      <c r="DI374" s="295"/>
      <c r="DJ374" s="295"/>
      <c r="DL374" s="295"/>
      <c r="DM374" s="295"/>
      <c r="DN374" s="295"/>
      <c r="DP374" s="295"/>
      <c r="DQ374" s="295"/>
      <c r="DR374" s="295"/>
    </row>
    <row r="375" spans="1:122" hidden="1" outlineLevel="1">
      <c r="A375" s="289" t="s">
        <v>425</v>
      </c>
    </row>
    <row r="376" spans="1:122" hidden="1" outlineLevel="1">
      <c r="A376" s="302" t="s">
        <v>402</v>
      </c>
      <c r="B376" s="302"/>
      <c r="C376" s="304"/>
      <c r="D376" s="302"/>
      <c r="E376" s="302"/>
      <c r="F376" s="302"/>
      <c r="G376" s="302"/>
      <c r="H376" s="302"/>
      <c r="I376" s="302"/>
      <c r="J376" s="302"/>
      <c r="K376" s="302"/>
      <c r="L376" s="302"/>
      <c r="M376" s="302"/>
      <c r="N376" s="302"/>
      <c r="O376" s="302"/>
      <c r="P376" s="302"/>
      <c r="Q376" s="302"/>
      <c r="R376" s="302"/>
      <c r="S376" s="302"/>
      <c r="T376" s="302"/>
      <c r="U376" s="302"/>
      <c r="V376" s="302"/>
      <c r="W376" s="302"/>
      <c r="X376" s="302"/>
      <c r="Y376" s="302"/>
      <c r="Z376" s="302"/>
      <c r="AA376" s="302"/>
      <c r="AB376" s="302"/>
      <c r="AC376" s="302"/>
      <c r="AD376" s="302"/>
      <c r="AE376" s="302"/>
      <c r="AF376" s="302"/>
      <c r="AG376" s="302"/>
      <c r="AH376" s="302"/>
      <c r="AI376" s="302"/>
      <c r="AJ376" s="302"/>
      <c r="AK376" s="302"/>
      <c r="AL376" s="302"/>
      <c r="AM376" s="302"/>
      <c r="AN376" s="304"/>
      <c r="AO376" s="1177">
        <v>0.12</v>
      </c>
      <c r="AP376" s="1177"/>
      <c r="AQ376" s="304"/>
      <c r="AR376" s="1177">
        <v>0.12</v>
      </c>
      <c r="AS376" s="1177">
        <v>4.1666666666666664E-2</v>
      </c>
      <c r="AT376" s="1177"/>
      <c r="AU376" s="304"/>
      <c r="AV376" s="1177">
        <v>0.112</v>
      </c>
      <c r="AW376" s="1177">
        <v>0.13450000000000001</v>
      </c>
      <c r="AX376" s="1177"/>
      <c r="AY376" s="304"/>
      <c r="AZ376" s="1177">
        <v>0.13</v>
      </c>
      <c r="BA376" s="1177">
        <v>0.14000000000000001</v>
      </c>
      <c r="BB376" s="1177"/>
      <c r="BC376" s="304"/>
      <c r="BD376" s="1177">
        <v>0.15</v>
      </c>
      <c r="BE376" s="1177">
        <v>0.09</v>
      </c>
      <c r="BF376" s="973"/>
      <c r="BG376" s="304"/>
      <c r="BH376" s="1177">
        <v>0.12</v>
      </c>
      <c r="BI376" s="1083"/>
      <c r="BJ376" s="927"/>
      <c r="BL376" s="946"/>
      <c r="BM376" s="946"/>
      <c r="BN376" s="1083"/>
      <c r="BP376" s="946"/>
      <c r="BQ376" s="946"/>
      <c r="BR376" s="1083"/>
      <c r="BT376" s="946"/>
      <c r="BU376" s="946"/>
      <c r="BV376" s="1083"/>
      <c r="BX376" s="946"/>
      <c r="BY376" s="946"/>
      <c r="BZ376" s="1083"/>
      <c r="CB376" s="946"/>
      <c r="CC376" s="946"/>
      <c r="CD376" s="1083"/>
      <c r="CF376" s="946"/>
      <c r="CG376" s="946"/>
      <c r="CH376" s="1083"/>
      <c r="CJ376" s="946"/>
      <c r="CK376" s="946"/>
      <c r="CL376" s="1083"/>
      <c r="CN376" s="946"/>
      <c r="CO376" s="946"/>
      <c r="CP376" s="1083"/>
      <c r="CR376" s="946"/>
      <c r="CS376" s="946"/>
      <c r="CT376" s="1083"/>
      <c r="CV376" s="946"/>
      <c r="CW376" s="1848"/>
      <c r="CX376" s="1847"/>
      <c r="CZ376" s="946"/>
      <c r="DA376" s="946"/>
      <c r="DB376" s="1083"/>
      <c r="DD376" s="946"/>
      <c r="DE376" s="946"/>
      <c r="DF376" s="1083"/>
      <c r="DH376" s="946"/>
      <c r="DI376" s="946"/>
      <c r="DJ376" s="1083"/>
      <c r="DL376" s="946"/>
      <c r="DM376" s="946"/>
      <c r="DN376" s="1083"/>
      <c r="DP376" s="946"/>
      <c r="DQ376" s="946"/>
      <c r="DR376" s="1083"/>
    </row>
    <row r="377" spans="1:122" hidden="1" outlineLevel="1">
      <c r="A377" s="302" t="s">
        <v>403</v>
      </c>
      <c r="B377" s="302"/>
      <c r="C377" s="304"/>
      <c r="D377" s="302"/>
      <c r="E377" s="302"/>
      <c r="F377" s="302"/>
      <c r="G377" s="302"/>
      <c r="H377" s="302"/>
      <c r="I377" s="302"/>
      <c r="J377" s="302"/>
      <c r="K377" s="302"/>
      <c r="L377" s="302"/>
      <c r="M377" s="302"/>
      <c r="N377" s="302"/>
      <c r="O377" s="302"/>
      <c r="P377" s="302"/>
      <c r="Q377" s="302"/>
      <c r="R377" s="302"/>
      <c r="S377" s="302"/>
      <c r="T377" s="302"/>
      <c r="U377" s="302"/>
      <c r="V377" s="302"/>
      <c r="W377" s="302"/>
      <c r="X377" s="302"/>
      <c r="Y377" s="302"/>
      <c r="Z377" s="302"/>
      <c r="AA377" s="302"/>
      <c r="AB377" s="302"/>
      <c r="AC377" s="302"/>
      <c r="AD377" s="302"/>
      <c r="AE377" s="302"/>
      <c r="AF377" s="302"/>
      <c r="AG377" s="302"/>
      <c r="AH377" s="302"/>
      <c r="AI377" s="302"/>
      <c r="AJ377" s="302"/>
      <c r="AK377" s="302"/>
      <c r="AL377" s="302"/>
      <c r="AM377" s="302"/>
      <c r="AN377" s="304"/>
      <c r="AO377" s="975">
        <v>1</v>
      </c>
      <c r="AP377" s="1177"/>
      <c r="AQ377" s="304"/>
      <c r="AR377" s="1177">
        <v>0</v>
      </c>
      <c r="AS377" s="1177">
        <v>0</v>
      </c>
      <c r="AT377" s="1177"/>
      <c r="AU377" s="304"/>
      <c r="AV377" s="1177">
        <v>0</v>
      </c>
      <c r="AW377" s="1177">
        <v>0</v>
      </c>
      <c r="AX377" s="1177"/>
      <c r="AY377" s="304"/>
      <c r="AZ377" s="1177">
        <v>0</v>
      </c>
      <c r="BA377" s="1177">
        <f>AZ377</f>
        <v>0</v>
      </c>
      <c r="BB377" s="627">
        <f>BA367+BA368</f>
        <v>3725.1131221719461</v>
      </c>
      <c r="BC377" s="304"/>
      <c r="BD377" s="1177">
        <v>0</v>
      </c>
      <c r="BE377" s="1177">
        <v>0</v>
      </c>
      <c r="BF377" s="973"/>
      <c r="BG377" s="304"/>
      <c r="BH377" s="1177">
        <v>0</v>
      </c>
      <c r="BI377" s="1083"/>
      <c r="BJ377" s="927"/>
      <c r="BL377" s="946"/>
      <c r="BM377" s="946"/>
      <c r="BN377" s="1083"/>
      <c r="BP377" s="946"/>
      <c r="BQ377" s="946"/>
      <c r="BR377" s="1083"/>
      <c r="BT377" s="946"/>
      <c r="BU377" s="946"/>
      <c r="BV377" s="1083"/>
      <c r="BX377" s="946"/>
      <c r="BY377" s="946"/>
      <c r="BZ377" s="1083"/>
      <c r="CB377" s="946"/>
      <c r="CC377" s="946"/>
      <c r="CD377" s="1083"/>
      <c r="CF377" s="946"/>
      <c r="CG377" s="946"/>
      <c r="CH377" s="1083"/>
      <c r="CJ377" s="946"/>
      <c r="CK377" s="946"/>
      <c r="CL377" s="1083"/>
      <c r="CN377" s="946"/>
      <c r="CO377" s="946"/>
      <c r="CP377" s="1083"/>
      <c r="CR377" s="946"/>
      <c r="CS377" s="946"/>
      <c r="CT377" s="1083"/>
      <c r="CV377" s="946"/>
      <c r="CW377" s="1848"/>
      <c r="CX377" s="1847"/>
      <c r="CZ377" s="946"/>
      <c r="DA377" s="946"/>
      <c r="DB377" s="1083"/>
      <c r="DD377" s="946"/>
      <c r="DE377" s="946"/>
      <c r="DF377" s="1083"/>
      <c r="DH377" s="946"/>
      <c r="DI377" s="946"/>
      <c r="DJ377" s="1083"/>
      <c r="DL377" s="946"/>
      <c r="DM377" s="946"/>
      <c r="DN377" s="1083"/>
      <c r="DP377" s="946"/>
      <c r="DQ377" s="946"/>
      <c r="DR377" s="1083"/>
    </row>
    <row r="378" spans="1:122" hidden="1" outlineLevel="1">
      <c r="A378" s="302" t="s">
        <v>350</v>
      </c>
      <c r="B378" s="302"/>
      <c r="C378" s="304"/>
      <c r="D378" s="302"/>
      <c r="E378" s="302"/>
      <c r="F378" s="302"/>
      <c r="G378" s="302"/>
      <c r="H378" s="302"/>
      <c r="I378" s="302"/>
      <c r="J378" s="302"/>
      <c r="K378" s="302"/>
      <c r="L378" s="302"/>
      <c r="M378" s="302"/>
      <c r="N378" s="302"/>
      <c r="O378" s="302"/>
      <c r="P378" s="302"/>
      <c r="Q378" s="302"/>
      <c r="R378" s="302"/>
      <c r="S378" s="302"/>
      <c r="T378" s="302"/>
      <c r="U378" s="302"/>
      <c r="V378" s="302"/>
      <c r="W378" s="302"/>
      <c r="X378" s="302"/>
      <c r="Y378" s="302"/>
      <c r="Z378" s="302"/>
      <c r="AA378" s="302"/>
      <c r="AB378" s="302"/>
      <c r="AC378" s="302"/>
      <c r="AD378" s="302"/>
      <c r="AE378" s="302"/>
      <c r="AF378" s="302"/>
      <c r="AG378" s="302"/>
      <c r="AH378" s="302"/>
      <c r="AI378" s="302"/>
      <c r="AJ378" s="302"/>
      <c r="AK378" s="302"/>
      <c r="AL378" s="302"/>
      <c r="AM378" s="302"/>
      <c r="AN378" s="304"/>
      <c r="AO378" s="1177">
        <v>0.85</v>
      </c>
      <c r="AP378" s="1177"/>
      <c r="AQ378" s="304"/>
      <c r="AR378" s="1177">
        <v>0.85</v>
      </c>
      <c r="AS378" s="1177">
        <v>1.29</v>
      </c>
      <c r="AT378" s="1177"/>
      <c r="AU378" s="304"/>
      <c r="AV378" s="1177">
        <v>0.9</v>
      </c>
      <c r="AW378" s="1177">
        <v>0.76</v>
      </c>
      <c r="AX378" s="1177"/>
      <c r="AY378" s="304"/>
      <c r="AZ378" s="1177">
        <v>0.97</v>
      </c>
      <c r="BA378" s="1177">
        <v>1.24</v>
      </c>
      <c r="BB378" s="1177"/>
      <c r="BC378" s="304"/>
      <c r="BD378" s="1177">
        <v>1.37</v>
      </c>
      <c r="BE378" s="1177">
        <v>1.0900000000000001</v>
      </c>
      <c r="BF378" s="973"/>
      <c r="BG378" s="304"/>
      <c r="BH378" s="1177">
        <v>1.1299999999999999</v>
      </c>
      <c r="BI378" s="1083"/>
      <c r="BJ378" s="927"/>
      <c r="BL378" s="946"/>
      <c r="BM378" s="946"/>
      <c r="BN378" s="1083"/>
      <c r="BP378" s="946"/>
      <c r="BQ378" s="946"/>
      <c r="BR378" s="1083"/>
      <c r="BT378" s="946"/>
      <c r="BU378" s="946"/>
      <c r="BV378" s="1083"/>
      <c r="BX378" s="946"/>
      <c r="BY378" s="946"/>
      <c r="BZ378" s="1083"/>
      <c r="CB378" s="946"/>
      <c r="CC378" s="946"/>
      <c r="CD378" s="1083"/>
      <c r="CF378" s="946"/>
      <c r="CG378" s="946"/>
      <c r="CH378" s="1083"/>
      <c r="CJ378" s="946"/>
      <c r="CK378" s="946"/>
      <c r="CL378" s="1083"/>
      <c r="CN378" s="946"/>
      <c r="CO378" s="946"/>
      <c r="CP378" s="1083"/>
      <c r="CR378" s="946"/>
      <c r="CS378" s="946"/>
      <c r="CT378" s="1083"/>
      <c r="CV378" s="946"/>
      <c r="CW378" s="1848"/>
      <c r="CX378" s="1847"/>
      <c r="CZ378" s="946"/>
      <c r="DA378" s="946"/>
      <c r="DB378" s="1083"/>
      <c r="DD378" s="946"/>
      <c r="DE378" s="946"/>
      <c r="DF378" s="1083"/>
      <c r="DH378" s="946"/>
      <c r="DI378" s="946"/>
      <c r="DJ378" s="1083"/>
      <c r="DL378" s="946"/>
      <c r="DM378" s="946"/>
      <c r="DN378" s="1083"/>
      <c r="DP378" s="946"/>
      <c r="DQ378" s="946"/>
      <c r="DR378" s="1083"/>
    </row>
    <row r="379" spans="1:122" hidden="1" outlineLevel="1">
      <c r="A379" s="302" t="s">
        <v>404</v>
      </c>
      <c r="B379" s="302"/>
      <c r="C379" s="304"/>
      <c r="D379" s="302"/>
      <c r="E379" s="302"/>
      <c r="F379" s="302"/>
      <c r="G379" s="302"/>
      <c r="H379" s="302"/>
      <c r="I379" s="302"/>
      <c r="J379" s="302"/>
      <c r="K379" s="302"/>
      <c r="L379" s="302"/>
      <c r="M379" s="302"/>
      <c r="N379" s="302"/>
      <c r="O379" s="302"/>
      <c r="P379" s="302"/>
      <c r="Q379" s="302"/>
      <c r="R379" s="302"/>
      <c r="S379" s="302"/>
      <c r="T379" s="302"/>
      <c r="U379" s="302"/>
      <c r="V379" s="302"/>
      <c r="W379" s="302"/>
      <c r="X379" s="302"/>
      <c r="Y379" s="302"/>
      <c r="Z379" s="302"/>
      <c r="AA379" s="302"/>
      <c r="AB379" s="302"/>
      <c r="AC379" s="302"/>
      <c r="AD379" s="302"/>
      <c r="AE379" s="302"/>
      <c r="AF379" s="302"/>
      <c r="AG379" s="302"/>
      <c r="AH379" s="302"/>
      <c r="AI379" s="302"/>
      <c r="AJ379" s="302"/>
      <c r="AK379" s="302"/>
      <c r="AL379" s="302"/>
      <c r="AM379" s="302"/>
      <c r="AN379" s="304"/>
      <c r="AO379" s="1177">
        <v>5.03</v>
      </c>
      <c r="AP379" s="1177"/>
      <c r="AQ379" s="304"/>
      <c r="AR379" s="1177">
        <v>5.03</v>
      </c>
      <c r="AS379" s="1177">
        <v>3.43</v>
      </c>
      <c r="AT379" s="1177"/>
      <c r="AU379" s="304"/>
      <c r="AV379" s="1177">
        <v>5.82</v>
      </c>
      <c r="AW379" s="1177">
        <v>3.43</v>
      </c>
      <c r="AX379" s="1177"/>
      <c r="AY379" s="304"/>
      <c r="AZ379" s="1177">
        <v>6.97</v>
      </c>
      <c r="BA379" s="1177">
        <v>6.48</v>
      </c>
      <c r="BB379" s="1177"/>
      <c r="BC379" s="304"/>
      <c r="BD379" s="1177">
        <v>6.85</v>
      </c>
      <c r="BE379" s="1177">
        <v>6.55</v>
      </c>
      <c r="BF379" s="1177"/>
      <c r="BG379" s="304"/>
      <c r="BH379" s="1177">
        <v>0</v>
      </c>
      <c r="BI379" s="1083"/>
      <c r="BJ379" s="1083"/>
      <c r="BL379" s="946"/>
      <c r="BM379" s="946"/>
      <c r="BN379" s="1083"/>
      <c r="BP379" s="946"/>
      <c r="BQ379" s="946"/>
      <c r="BR379" s="1083"/>
      <c r="BT379" s="946"/>
      <c r="BU379" s="946"/>
      <c r="BV379" s="1083"/>
      <c r="BX379" s="946"/>
      <c r="BY379" s="946"/>
      <c r="BZ379" s="1083"/>
      <c r="CB379" s="946"/>
      <c r="CC379" s="946"/>
      <c r="CD379" s="1083"/>
      <c r="CF379" s="946"/>
      <c r="CG379" s="946"/>
      <c r="CH379" s="1083"/>
      <c r="CJ379" s="946"/>
      <c r="CK379" s="946"/>
      <c r="CL379" s="1083"/>
      <c r="CN379" s="946"/>
      <c r="CO379" s="946"/>
      <c r="CP379" s="1083"/>
      <c r="CR379" s="946"/>
      <c r="CS379" s="946"/>
      <c r="CT379" s="1083"/>
      <c r="CV379" s="946"/>
      <c r="CW379" s="1848"/>
      <c r="CX379" s="1847"/>
      <c r="CZ379" s="946"/>
      <c r="DA379" s="946"/>
      <c r="DB379" s="1083"/>
      <c r="DD379" s="946"/>
      <c r="DE379" s="946"/>
      <c r="DF379" s="1083"/>
      <c r="DH379" s="946"/>
      <c r="DI379" s="946"/>
      <c r="DJ379" s="1083"/>
      <c r="DL379" s="946"/>
      <c r="DM379" s="946"/>
      <c r="DN379" s="1083"/>
      <c r="DP379" s="946"/>
      <c r="DQ379" s="946"/>
      <c r="DR379" s="1083"/>
    </row>
    <row r="380" spans="1:122" hidden="1" outlineLevel="1">
      <c r="A380" s="302" t="s">
        <v>405</v>
      </c>
      <c r="B380" s="302"/>
      <c r="C380" s="304"/>
      <c r="D380" s="302"/>
      <c r="E380" s="302"/>
      <c r="F380" s="302"/>
      <c r="G380" s="302"/>
      <c r="H380" s="302"/>
      <c r="I380" s="302"/>
      <c r="J380" s="302"/>
      <c r="K380" s="302"/>
      <c r="L380" s="302"/>
      <c r="M380" s="302"/>
      <c r="N380" s="302"/>
      <c r="O380" s="302"/>
      <c r="P380" s="302"/>
      <c r="Q380" s="302"/>
      <c r="R380" s="302"/>
      <c r="S380" s="302"/>
      <c r="T380" s="302"/>
      <c r="U380" s="302"/>
      <c r="V380" s="302"/>
      <c r="W380" s="302"/>
      <c r="X380" s="302"/>
      <c r="Y380" s="302"/>
      <c r="Z380" s="302"/>
      <c r="AA380" s="302"/>
      <c r="AB380" s="302"/>
      <c r="AC380" s="302"/>
      <c r="AD380" s="302"/>
      <c r="AE380" s="302"/>
      <c r="AF380" s="302"/>
      <c r="AG380" s="302"/>
      <c r="AH380" s="302"/>
      <c r="AI380" s="302"/>
      <c r="AJ380" s="302"/>
      <c r="AK380" s="302"/>
      <c r="AL380" s="302"/>
      <c r="AM380" s="302"/>
      <c r="AN380" s="304"/>
      <c r="AO380" s="1177">
        <v>0.44</v>
      </c>
      <c r="AP380" s="1177"/>
      <c r="AQ380" s="304"/>
      <c r="AR380" s="1177">
        <v>0.44</v>
      </c>
      <c r="AS380" s="1177">
        <v>1.54</v>
      </c>
      <c r="AT380" s="1177"/>
      <c r="AU380" s="304"/>
      <c r="AV380" s="1177">
        <v>0.78</v>
      </c>
      <c r="AW380" s="1177">
        <v>0.72</v>
      </c>
      <c r="AX380" s="1177"/>
      <c r="AY380" s="304"/>
      <c r="AZ380" s="1177">
        <v>0.51</v>
      </c>
      <c r="BA380" s="1177">
        <v>0.48</v>
      </c>
      <c r="BB380" s="1177"/>
      <c r="BC380" s="304"/>
      <c r="BD380" s="1177">
        <v>0.51</v>
      </c>
      <c r="BE380" s="1177">
        <v>0.4</v>
      </c>
      <c r="BF380" s="1177"/>
      <c r="BG380" s="304"/>
      <c r="BH380" s="1177">
        <v>0.32</v>
      </c>
      <c r="BI380" s="1083"/>
      <c r="BJ380" s="1083"/>
      <c r="BL380" s="946"/>
      <c r="BM380" s="946"/>
      <c r="BN380" s="1083"/>
      <c r="BP380" s="946"/>
      <c r="BQ380" s="946"/>
      <c r="BR380" s="1083"/>
      <c r="BT380" s="946"/>
      <c r="BU380" s="946"/>
      <c r="BV380" s="1083"/>
      <c r="BX380" s="946"/>
      <c r="BY380" s="946"/>
      <c r="BZ380" s="1083"/>
      <c r="CB380" s="946"/>
      <c r="CC380" s="946"/>
      <c r="CD380" s="1083"/>
      <c r="CF380" s="946"/>
      <c r="CG380" s="946"/>
      <c r="CH380" s="1083"/>
      <c r="CJ380" s="946"/>
      <c r="CK380" s="946"/>
      <c r="CL380" s="1083"/>
      <c r="CN380" s="946"/>
      <c r="CO380" s="946"/>
      <c r="CP380" s="1083"/>
      <c r="CR380" s="946"/>
      <c r="CS380" s="946"/>
      <c r="CT380" s="1083"/>
      <c r="CV380" s="946"/>
      <c r="CW380" s="1848"/>
      <c r="CX380" s="1847"/>
      <c r="CZ380" s="946"/>
      <c r="DA380" s="946"/>
      <c r="DB380" s="1083"/>
      <c r="DD380" s="946"/>
      <c r="DE380" s="946"/>
      <c r="DF380" s="1083"/>
      <c r="DH380" s="946"/>
      <c r="DI380" s="946"/>
      <c r="DJ380" s="1083"/>
      <c r="DL380" s="946"/>
      <c r="DM380" s="946"/>
      <c r="DN380" s="1083"/>
      <c r="DP380" s="946"/>
      <c r="DQ380" s="946"/>
      <c r="DR380" s="1083"/>
    </row>
    <row r="381" spans="1:122" hidden="1" outlineLevel="1">
      <c r="A381" s="102" t="s">
        <v>419</v>
      </c>
      <c r="AO381" s="1083">
        <v>4.3</v>
      </c>
      <c r="AP381" s="1083"/>
      <c r="AR381" s="1083">
        <v>4.3</v>
      </c>
      <c r="AS381" s="1083">
        <v>4.41</v>
      </c>
      <c r="AT381" s="1083"/>
      <c r="AV381" s="946">
        <v>4.41</v>
      </c>
      <c r="AW381" s="946">
        <v>4.8</v>
      </c>
      <c r="AX381" s="1083"/>
      <c r="AZ381" s="946">
        <v>4.8</v>
      </c>
      <c r="BA381" s="946">
        <v>5.0999999999999996</v>
      </c>
      <c r="BB381" s="1083"/>
      <c r="BD381" s="946">
        <v>4.8</v>
      </c>
      <c r="BE381" s="491">
        <f>BE393/BE367</f>
        <v>5.7692307692307692</v>
      </c>
      <c r="BF381" s="1083"/>
      <c r="BH381" s="946"/>
      <c r="BI381" s="491"/>
      <c r="BJ381" s="1083"/>
      <c r="BL381" s="946"/>
      <c r="BM381" s="946"/>
      <c r="BN381" s="1083"/>
      <c r="BP381" s="946"/>
      <c r="BQ381" s="946"/>
      <c r="BR381" s="1083"/>
      <c r="BT381" s="946"/>
      <c r="BU381" s="946"/>
      <c r="BV381" s="1083"/>
      <c r="BX381" s="946"/>
      <c r="BY381" s="946"/>
      <c r="BZ381" s="1083"/>
      <c r="CB381" s="946"/>
      <c r="CC381" s="946"/>
      <c r="CD381" s="1083"/>
      <c r="CF381" s="946"/>
      <c r="CG381" s="946"/>
      <c r="CH381" s="1083"/>
      <c r="CJ381" s="946"/>
      <c r="CK381" s="946"/>
      <c r="CL381" s="1083"/>
      <c r="CN381" s="946"/>
      <c r="CO381" s="946"/>
      <c r="CP381" s="1083"/>
      <c r="CR381" s="946"/>
      <c r="CS381" s="946"/>
      <c r="CT381" s="1083"/>
      <c r="CV381" s="946"/>
      <c r="CW381" s="1848"/>
      <c r="CX381" s="1847"/>
      <c r="CZ381" s="946"/>
      <c r="DA381" s="946"/>
      <c r="DB381" s="1083"/>
      <c r="DD381" s="946"/>
      <c r="DE381" s="946"/>
      <c r="DF381" s="1083"/>
      <c r="DH381" s="946"/>
      <c r="DI381" s="946"/>
      <c r="DJ381" s="1083"/>
      <c r="DL381" s="946"/>
      <c r="DM381" s="946"/>
      <c r="DN381" s="1083"/>
      <c r="DP381" s="946"/>
      <c r="DQ381" s="946"/>
      <c r="DR381" s="1083"/>
    </row>
    <row r="382" spans="1:122" hidden="1" outlineLevel="1">
      <c r="A382" s="102" t="s">
        <v>420</v>
      </c>
      <c r="AO382" s="1083">
        <v>5.71</v>
      </c>
      <c r="AP382" s="1083"/>
      <c r="AR382" s="1083">
        <v>5.71</v>
      </c>
      <c r="AS382" s="1083">
        <v>6.17</v>
      </c>
      <c r="AT382" s="1083"/>
      <c r="AU382" s="1178"/>
      <c r="AV382" s="946">
        <v>6.7</v>
      </c>
      <c r="AW382" s="946">
        <v>6.5</v>
      </c>
      <c r="AX382" s="1083"/>
      <c r="AZ382" s="946">
        <v>6.5</v>
      </c>
      <c r="BA382" s="946">
        <f>AZ382</f>
        <v>6.5</v>
      </c>
      <c r="BB382" s="1083"/>
      <c r="BD382" s="946">
        <v>6.5</v>
      </c>
      <c r="BE382" s="491">
        <f>BE394/BE368</f>
        <v>6.115384615384615</v>
      </c>
      <c r="BF382" s="1083"/>
      <c r="BH382" s="946"/>
      <c r="BI382" s="491"/>
      <c r="BJ382" s="1083"/>
      <c r="BL382" s="946"/>
      <c r="BM382" s="946"/>
      <c r="BN382" s="1083"/>
      <c r="BP382" s="946"/>
      <c r="BQ382" s="946"/>
      <c r="BR382" s="1083"/>
      <c r="BT382" s="946"/>
      <c r="BU382" s="946"/>
      <c r="BV382" s="1083"/>
      <c r="BX382" s="946"/>
      <c r="BY382" s="946"/>
      <c r="BZ382" s="1083"/>
      <c r="CB382" s="946"/>
      <c r="CC382" s="946"/>
      <c r="CD382" s="1083"/>
      <c r="CF382" s="946"/>
      <c r="CG382" s="946"/>
      <c r="CH382" s="1083"/>
      <c r="CJ382" s="946"/>
      <c r="CK382" s="946"/>
      <c r="CL382" s="1083"/>
      <c r="CN382" s="946"/>
      <c r="CO382" s="946"/>
      <c r="CP382" s="1083"/>
      <c r="CR382" s="946"/>
      <c r="CS382" s="946"/>
      <c r="CT382" s="1083"/>
      <c r="CV382" s="946"/>
      <c r="CW382" s="1848"/>
      <c r="CX382" s="1847"/>
      <c r="CZ382" s="946"/>
      <c r="DA382" s="946"/>
      <c r="DB382" s="1083"/>
      <c r="DD382" s="946"/>
      <c r="DE382" s="946"/>
      <c r="DF382" s="1083"/>
      <c r="DH382" s="946"/>
      <c r="DI382" s="946"/>
      <c r="DJ382" s="1083"/>
      <c r="DL382" s="946"/>
      <c r="DM382" s="946"/>
      <c r="DN382" s="1083"/>
      <c r="DP382" s="946"/>
      <c r="DQ382" s="946"/>
      <c r="DR382" s="1083"/>
    </row>
    <row r="383" spans="1:122" hidden="1" outlineLevel="1">
      <c r="A383" s="302" t="s">
        <v>421</v>
      </c>
      <c r="B383" s="302"/>
      <c r="C383" s="304"/>
      <c r="D383" s="302"/>
      <c r="E383" s="302"/>
      <c r="F383" s="302"/>
      <c r="G383" s="302"/>
      <c r="H383" s="302"/>
      <c r="I383" s="302"/>
      <c r="J383" s="302"/>
      <c r="K383" s="302"/>
      <c r="L383" s="302"/>
      <c r="M383" s="302"/>
      <c r="N383" s="302"/>
      <c r="O383" s="302"/>
      <c r="P383" s="302"/>
      <c r="Q383" s="302"/>
      <c r="R383" s="302"/>
      <c r="S383" s="302"/>
      <c r="T383" s="302"/>
      <c r="U383" s="302"/>
      <c r="V383" s="302"/>
      <c r="W383" s="302"/>
      <c r="X383" s="302"/>
      <c r="Y383" s="302"/>
      <c r="Z383" s="302"/>
      <c r="AA383" s="302"/>
      <c r="AB383" s="302"/>
      <c r="AC383" s="302"/>
      <c r="AD383" s="302"/>
      <c r="AE383" s="302"/>
      <c r="AF383" s="302"/>
      <c r="AG383" s="302"/>
      <c r="AH383" s="302"/>
      <c r="AI383" s="302"/>
      <c r="AJ383" s="302"/>
      <c r="AK383" s="302"/>
      <c r="AL383" s="302"/>
      <c r="AM383" s="302"/>
      <c r="AN383" s="304"/>
      <c r="AO383" s="1177"/>
      <c r="AP383" s="1177"/>
      <c r="AQ383" s="304"/>
      <c r="AR383" s="1177"/>
      <c r="AS383" s="1177"/>
      <c r="AT383" s="1177"/>
      <c r="AU383" s="1179"/>
      <c r="AV383" s="1150"/>
      <c r="AW383" s="1150"/>
      <c r="AX383" s="1177"/>
      <c r="AY383" s="304"/>
      <c r="AZ383" s="1150"/>
      <c r="BA383" s="1150"/>
      <c r="BB383" s="1177"/>
      <c r="BC383" s="304"/>
      <c r="BD383" s="1150"/>
      <c r="BE383" s="1180"/>
      <c r="BF383" s="1177"/>
      <c r="BG383" s="304"/>
      <c r="BH383" s="1177">
        <v>6.18</v>
      </c>
      <c r="BI383" s="1083"/>
      <c r="BJ383" s="1083"/>
      <c r="BL383" s="946"/>
      <c r="BM383" s="946"/>
      <c r="BN383" s="1083"/>
      <c r="BP383" s="946"/>
      <c r="BQ383" s="946"/>
      <c r="BR383" s="1083"/>
      <c r="BT383" s="946"/>
      <c r="BU383" s="946"/>
      <c r="BV383" s="1083"/>
      <c r="BX383" s="946"/>
      <c r="BY383" s="946"/>
      <c r="BZ383" s="1083"/>
      <c r="CB383" s="946"/>
      <c r="CC383" s="946"/>
      <c r="CD383" s="1083"/>
      <c r="CF383" s="946"/>
      <c r="CG383" s="946"/>
      <c r="CH383" s="1083"/>
      <c r="CJ383" s="946"/>
      <c r="CK383" s="946"/>
      <c r="CL383" s="1083"/>
      <c r="CN383" s="946"/>
      <c r="CO383" s="946"/>
      <c r="CP383" s="1083"/>
      <c r="CR383" s="946"/>
      <c r="CS383" s="946"/>
      <c r="CT383" s="1083"/>
      <c r="CV383" s="946"/>
      <c r="CW383" s="1848"/>
      <c r="CX383" s="1847"/>
      <c r="CZ383" s="946"/>
      <c r="DA383" s="946"/>
      <c r="DB383" s="1083"/>
      <c r="DD383" s="946"/>
      <c r="DE383" s="946"/>
      <c r="DF383" s="1083"/>
      <c r="DH383" s="946"/>
      <c r="DI383" s="946"/>
      <c r="DJ383" s="1083"/>
      <c r="DL383" s="946"/>
      <c r="DM383" s="946"/>
      <c r="DN383" s="1083"/>
      <c r="DP383" s="946"/>
      <c r="DQ383" s="946"/>
      <c r="DR383" s="1083"/>
    </row>
    <row r="384" spans="1:122" hidden="1" outlineLevel="1">
      <c r="A384" s="302" t="s">
        <v>422</v>
      </c>
      <c r="B384" s="302"/>
      <c r="C384" s="304"/>
      <c r="D384" s="302"/>
      <c r="E384" s="302"/>
      <c r="F384" s="302"/>
      <c r="G384" s="302"/>
      <c r="H384" s="302"/>
      <c r="I384" s="302"/>
      <c r="J384" s="302"/>
      <c r="K384" s="302"/>
      <c r="L384" s="302"/>
      <c r="M384" s="302"/>
      <c r="N384" s="302"/>
      <c r="O384" s="302"/>
      <c r="P384" s="302"/>
      <c r="Q384" s="302"/>
      <c r="R384" s="302"/>
      <c r="S384" s="302"/>
      <c r="T384" s="302"/>
      <c r="U384" s="302"/>
      <c r="V384" s="302"/>
      <c r="W384" s="302"/>
      <c r="X384" s="302"/>
      <c r="Y384" s="302"/>
      <c r="Z384" s="302"/>
      <c r="AA384" s="302"/>
      <c r="AB384" s="302"/>
      <c r="AC384" s="302"/>
      <c r="AD384" s="302"/>
      <c r="AE384" s="302"/>
      <c r="AF384" s="302"/>
      <c r="AG384" s="302"/>
      <c r="AH384" s="302"/>
      <c r="AI384" s="302"/>
      <c r="AJ384" s="302"/>
      <c r="AK384" s="302"/>
      <c r="AL384" s="302"/>
      <c r="AM384" s="302"/>
      <c r="AN384" s="304"/>
      <c r="AO384" s="1177">
        <v>0</v>
      </c>
      <c r="AP384" s="1177"/>
      <c r="AQ384" s="304"/>
      <c r="AR384" s="1177">
        <v>0</v>
      </c>
      <c r="AS384" s="1177">
        <v>0</v>
      </c>
      <c r="AT384" s="1177"/>
      <c r="AU384" s="304"/>
      <c r="AV384" s="1177">
        <v>0</v>
      </c>
      <c r="AW384" s="1177">
        <v>0</v>
      </c>
      <c r="AX384" s="1177"/>
      <c r="AY384" s="304"/>
      <c r="AZ384" s="1177">
        <v>0</v>
      </c>
      <c r="BA384" s="1177">
        <f>AZ384</f>
        <v>0</v>
      </c>
      <c r="BB384" s="1177"/>
      <c r="BC384" s="304"/>
      <c r="BD384" s="1177">
        <f>BA384</f>
        <v>0</v>
      </c>
      <c r="BE384" s="1177">
        <v>0</v>
      </c>
      <c r="BF384" s="1177"/>
      <c r="BG384" s="304"/>
      <c r="BH384" s="1177">
        <v>0</v>
      </c>
      <c r="BI384" s="1083"/>
      <c r="BJ384" s="1083"/>
      <c r="BL384" s="946"/>
      <c r="BM384" s="946"/>
      <c r="BN384" s="1083"/>
      <c r="BP384" s="946"/>
      <c r="BQ384" s="946"/>
      <c r="BR384" s="1083"/>
      <c r="BT384" s="946"/>
      <c r="BU384" s="946"/>
      <c r="BV384" s="1083"/>
      <c r="BX384" s="946"/>
      <c r="BY384" s="946"/>
      <c r="BZ384" s="1083"/>
      <c r="CB384" s="946"/>
      <c r="CC384" s="946"/>
      <c r="CD384" s="1083"/>
      <c r="CF384" s="946"/>
      <c r="CG384" s="946"/>
      <c r="CH384" s="1083"/>
      <c r="CJ384" s="946"/>
      <c r="CK384" s="946"/>
      <c r="CL384" s="1083"/>
      <c r="CN384" s="946"/>
      <c r="CO384" s="946"/>
      <c r="CP384" s="1083"/>
      <c r="CR384" s="946"/>
      <c r="CS384" s="946"/>
      <c r="CT384" s="1083"/>
      <c r="CV384" s="946"/>
      <c r="CW384" s="1848"/>
      <c r="CX384" s="1847"/>
      <c r="CZ384" s="946"/>
      <c r="DA384" s="946"/>
      <c r="DB384" s="1083"/>
      <c r="DD384" s="946"/>
      <c r="DE384" s="946"/>
      <c r="DF384" s="1083"/>
      <c r="DH384" s="946"/>
      <c r="DI384" s="946"/>
      <c r="DJ384" s="1083"/>
      <c r="DL384" s="946"/>
      <c r="DM384" s="946"/>
      <c r="DN384" s="1083"/>
      <c r="DP384" s="946"/>
      <c r="DQ384" s="946"/>
      <c r="DR384" s="1083"/>
    </row>
    <row r="385" spans="1:122" hidden="1" outlineLevel="1">
      <c r="A385" s="302" t="s">
        <v>232</v>
      </c>
      <c r="B385" s="302"/>
      <c r="C385" s="304"/>
      <c r="D385" s="302"/>
      <c r="E385" s="302"/>
      <c r="F385" s="302"/>
      <c r="G385" s="302"/>
      <c r="H385" s="302"/>
      <c r="I385" s="302"/>
      <c r="J385" s="302"/>
      <c r="K385" s="302"/>
      <c r="L385" s="302"/>
      <c r="M385" s="302"/>
      <c r="N385" s="302"/>
      <c r="O385" s="302"/>
      <c r="P385" s="302"/>
      <c r="Q385" s="302"/>
      <c r="R385" s="302"/>
      <c r="S385" s="302"/>
      <c r="T385" s="302"/>
      <c r="U385" s="302"/>
      <c r="V385" s="302"/>
      <c r="W385" s="302"/>
      <c r="X385" s="302"/>
      <c r="Y385" s="302"/>
      <c r="Z385" s="302"/>
      <c r="AA385" s="302"/>
      <c r="AB385" s="302"/>
      <c r="AC385" s="302"/>
      <c r="AD385" s="302"/>
      <c r="AE385" s="302"/>
      <c r="AF385" s="302"/>
      <c r="AG385" s="302"/>
      <c r="AH385" s="302"/>
      <c r="AI385" s="302"/>
      <c r="AJ385" s="302"/>
      <c r="AK385" s="302"/>
      <c r="AL385" s="302"/>
      <c r="AM385" s="302"/>
      <c r="AN385" s="304"/>
      <c r="AO385" s="1177">
        <v>3.2</v>
      </c>
      <c r="AP385" s="1177"/>
      <c r="AQ385" s="304"/>
      <c r="AR385" s="1177">
        <v>3.2</v>
      </c>
      <c r="AS385" s="1177">
        <v>2.5</v>
      </c>
      <c r="AT385" s="1177"/>
      <c r="AU385" s="304"/>
      <c r="AV385" s="1177">
        <v>2.54</v>
      </c>
      <c r="AW385" s="1177">
        <v>3.45</v>
      </c>
      <c r="AX385" s="1177"/>
      <c r="AY385" s="304"/>
      <c r="AZ385" s="1177">
        <v>3.29</v>
      </c>
      <c r="BA385" s="1177">
        <v>3.71</v>
      </c>
      <c r="BB385" s="1177"/>
      <c r="BC385" s="304"/>
      <c r="BD385" s="1177">
        <v>3.71</v>
      </c>
      <c r="BE385" s="1177">
        <v>4.26</v>
      </c>
      <c r="BF385" s="1177"/>
      <c r="BG385" s="304"/>
      <c r="BH385" s="1180">
        <f>BH397/BH371</f>
        <v>1.8597058823529418</v>
      </c>
      <c r="BI385" s="491"/>
      <c r="BJ385" s="1083"/>
      <c r="BL385" s="946"/>
      <c r="BM385" s="946"/>
      <c r="BN385" s="1083"/>
      <c r="BP385" s="946"/>
      <c r="BQ385" s="946"/>
      <c r="BR385" s="1083"/>
      <c r="BT385" s="946"/>
      <c r="BU385" s="946"/>
      <c r="BV385" s="1083"/>
      <c r="BX385" s="946"/>
      <c r="BY385" s="946"/>
      <c r="BZ385" s="1083"/>
      <c r="CB385" s="946"/>
      <c r="CC385" s="946"/>
      <c r="CD385" s="1083"/>
      <c r="CF385" s="946"/>
      <c r="CG385" s="946"/>
      <c r="CH385" s="1083"/>
      <c r="CJ385" s="946"/>
      <c r="CK385" s="946"/>
      <c r="CL385" s="1083"/>
      <c r="CN385" s="946"/>
      <c r="CO385" s="946"/>
      <c r="CP385" s="1083"/>
      <c r="CR385" s="946"/>
      <c r="CS385" s="946"/>
      <c r="CT385" s="1083"/>
      <c r="CV385" s="946"/>
      <c r="CW385" s="1848"/>
      <c r="CX385" s="1847"/>
      <c r="CZ385" s="946"/>
      <c r="DA385" s="946"/>
      <c r="DB385" s="1083"/>
      <c r="DD385" s="946"/>
      <c r="DE385" s="946"/>
      <c r="DF385" s="1083"/>
      <c r="DH385" s="946"/>
      <c r="DI385" s="946"/>
      <c r="DJ385" s="1083"/>
      <c r="DL385" s="946"/>
      <c r="DM385" s="946"/>
      <c r="DN385" s="1083"/>
      <c r="DP385" s="946"/>
      <c r="DQ385" s="946"/>
      <c r="DR385" s="1083"/>
    </row>
    <row r="386" spans="1:122" hidden="1" outlineLevel="1">
      <c r="A386" s="289" t="s">
        <v>920</v>
      </c>
    </row>
    <row r="387" spans="1:122" hidden="1" outlineLevel="1">
      <c r="A387" s="289" t="s">
        <v>263</v>
      </c>
    </row>
    <row r="388" spans="1:122" hidden="1" outlineLevel="1">
      <c r="A388" s="102" t="s">
        <v>402</v>
      </c>
      <c r="AO388" s="293">
        <f t="shared" ref="AO388:AO394" si="327">+AO362*AO376</f>
        <v>0</v>
      </c>
      <c r="AP388" s="293">
        <f t="shared" ref="AP388:AP400" si="328">AO388</f>
        <v>0</v>
      </c>
      <c r="AR388" s="293">
        <f t="shared" ref="AR388:AS394" si="329">AR405/AR$402</f>
        <v>512.5</v>
      </c>
      <c r="AS388" s="293">
        <f t="shared" si="329"/>
        <v>200</v>
      </c>
      <c r="AT388" s="293">
        <f t="shared" ref="AT388:AT400" si="330">AS388</f>
        <v>200</v>
      </c>
      <c r="AV388" s="293">
        <f t="shared" ref="AV388:AW394" si="331">AV405/AV$402</f>
        <v>337.5</v>
      </c>
      <c r="AW388" s="293">
        <f t="shared" si="331"/>
        <v>287.5</v>
      </c>
      <c r="AX388" s="293">
        <f t="shared" ref="AX388:AX400" si="332">AW388</f>
        <v>287.5</v>
      </c>
      <c r="AZ388" s="293">
        <f t="shared" ref="AZ388:BA394" si="333">AZ405/AZ$402</f>
        <v>312.5</v>
      </c>
      <c r="BA388" s="293">
        <f t="shared" si="333"/>
        <v>300</v>
      </c>
      <c r="BB388" s="293">
        <f t="shared" ref="BB388:BB400" si="334">BA388</f>
        <v>300</v>
      </c>
      <c r="BD388" s="293">
        <f t="shared" ref="BD388:BE394" si="335">BD405/BD$402</f>
        <v>325</v>
      </c>
      <c r="BE388" s="293">
        <f t="shared" si="335"/>
        <v>200</v>
      </c>
      <c r="BF388" s="293">
        <f t="shared" ref="BF388:BF400" si="336">BE388</f>
        <v>200</v>
      </c>
      <c r="BH388" s="293">
        <f>+BH362*BH376</f>
        <v>216</v>
      </c>
      <c r="BI388" s="293"/>
      <c r="BJ388" s="293"/>
      <c r="BL388" s="293"/>
      <c r="BM388" s="293"/>
      <c r="BN388" s="293"/>
      <c r="BP388" s="293"/>
      <c r="BQ388" s="293"/>
      <c r="BR388" s="293"/>
      <c r="BT388" s="293"/>
      <c r="BU388" s="293"/>
      <c r="BV388" s="293"/>
      <c r="BX388" s="293"/>
      <c r="BY388" s="293"/>
      <c r="BZ388" s="293"/>
      <c r="CB388" s="293"/>
      <c r="CC388" s="293"/>
      <c r="CD388" s="293"/>
      <c r="CF388" s="293"/>
      <c r="CG388" s="293"/>
      <c r="CH388" s="293"/>
      <c r="CJ388" s="293"/>
      <c r="CK388" s="293"/>
      <c r="CL388" s="293"/>
      <c r="CN388" s="293"/>
      <c r="CO388" s="293"/>
      <c r="CP388" s="293"/>
      <c r="CR388" s="293"/>
      <c r="CS388" s="293"/>
      <c r="CT388" s="293"/>
      <c r="CV388" s="293"/>
      <c r="CW388" s="1495"/>
      <c r="CX388" s="1495"/>
      <c r="CZ388" s="293"/>
      <c r="DA388" s="293"/>
      <c r="DB388" s="293"/>
      <c r="DD388" s="293"/>
      <c r="DE388" s="293"/>
      <c r="DF388" s="293"/>
      <c r="DH388" s="293"/>
      <c r="DI388" s="293"/>
      <c r="DJ388" s="293"/>
      <c r="DL388" s="293"/>
      <c r="DM388" s="293"/>
      <c r="DN388" s="293"/>
      <c r="DP388" s="293"/>
      <c r="DQ388" s="293"/>
      <c r="DR388" s="293"/>
    </row>
    <row r="389" spans="1:122" hidden="1" outlineLevel="1">
      <c r="A389" s="102" t="s">
        <v>403</v>
      </c>
      <c r="AO389" s="293">
        <f t="shared" si="327"/>
        <v>0</v>
      </c>
      <c r="AP389" s="293">
        <f t="shared" si="328"/>
        <v>0</v>
      </c>
      <c r="AR389" s="293">
        <f t="shared" si="329"/>
        <v>0</v>
      </c>
      <c r="AS389" s="293">
        <f t="shared" si="329"/>
        <v>0</v>
      </c>
      <c r="AT389" s="293">
        <f t="shared" si="330"/>
        <v>0</v>
      </c>
      <c r="AV389" s="293">
        <f t="shared" si="331"/>
        <v>0</v>
      </c>
      <c r="AW389" s="293">
        <f t="shared" si="331"/>
        <v>0</v>
      </c>
      <c r="AX389" s="293">
        <f t="shared" si="332"/>
        <v>0</v>
      </c>
      <c r="AZ389" s="293">
        <f t="shared" si="333"/>
        <v>0</v>
      </c>
      <c r="BA389" s="293">
        <f t="shared" si="333"/>
        <v>0</v>
      </c>
      <c r="BB389" s="293">
        <f t="shared" si="334"/>
        <v>0</v>
      </c>
      <c r="BD389" s="293">
        <f t="shared" si="335"/>
        <v>0</v>
      </c>
      <c r="BE389" s="293">
        <f t="shared" si="335"/>
        <v>0</v>
      </c>
      <c r="BF389" s="293">
        <f t="shared" si="336"/>
        <v>0</v>
      </c>
      <c r="BH389" s="293">
        <f>+BH363*BH377</f>
        <v>0</v>
      </c>
      <c r="BI389" s="293"/>
      <c r="BJ389" s="293"/>
      <c r="BL389" s="293"/>
      <c r="BM389" s="293"/>
      <c r="BN389" s="293"/>
      <c r="BP389" s="293"/>
      <c r="BQ389" s="293"/>
      <c r="BR389" s="293"/>
      <c r="BT389" s="293"/>
      <c r="BU389" s="293"/>
      <c r="BV389" s="293"/>
      <c r="BX389" s="293"/>
      <c r="BY389" s="293"/>
      <c r="BZ389" s="293"/>
      <c r="CB389" s="293"/>
      <c r="CC389" s="293"/>
      <c r="CD389" s="293"/>
      <c r="CF389" s="293"/>
      <c r="CG389" s="293"/>
      <c r="CH389" s="293"/>
      <c r="CJ389" s="293"/>
      <c r="CK389" s="293"/>
      <c r="CL389" s="293"/>
      <c r="CN389" s="293"/>
      <c r="CO389" s="293"/>
      <c r="CP389" s="293"/>
      <c r="CR389" s="293"/>
      <c r="CS389" s="293"/>
      <c r="CT389" s="293"/>
      <c r="CV389" s="293"/>
      <c r="CW389" s="1495"/>
      <c r="CX389" s="1495"/>
      <c r="CZ389" s="293"/>
      <c r="DA389" s="293"/>
      <c r="DB389" s="293"/>
      <c r="DD389" s="293"/>
      <c r="DE389" s="293"/>
      <c r="DF389" s="293"/>
      <c r="DH389" s="293"/>
      <c r="DI389" s="293"/>
      <c r="DJ389" s="293"/>
      <c r="DL389" s="293"/>
      <c r="DM389" s="293"/>
      <c r="DN389" s="293"/>
      <c r="DP389" s="293"/>
      <c r="DQ389" s="293"/>
      <c r="DR389" s="293"/>
    </row>
    <row r="390" spans="1:122" hidden="1" outlineLevel="1">
      <c r="A390" s="102" t="s">
        <v>350</v>
      </c>
      <c r="AO390" s="293">
        <f t="shared" si="327"/>
        <v>0</v>
      </c>
      <c r="AP390" s="293">
        <f t="shared" si="328"/>
        <v>0</v>
      </c>
      <c r="AR390" s="293">
        <f t="shared" si="329"/>
        <v>2800</v>
      </c>
      <c r="AS390" s="293">
        <f t="shared" si="329"/>
        <v>2325</v>
      </c>
      <c r="AT390" s="293">
        <f t="shared" si="330"/>
        <v>2325</v>
      </c>
      <c r="AV390" s="293">
        <f t="shared" si="331"/>
        <v>1000</v>
      </c>
      <c r="AW390" s="293">
        <f t="shared" si="331"/>
        <v>1062.5</v>
      </c>
      <c r="AX390" s="293">
        <f t="shared" si="332"/>
        <v>1062.5</v>
      </c>
      <c r="AZ390" s="293">
        <f t="shared" si="333"/>
        <v>1100</v>
      </c>
      <c r="BA390" s="293">
        <f t="shared" si="333"/>
        <v>3475</v>
      </c>
      <c r="BB390" s="293">
        <f t="shared" si="334"/>
        <v>3475</v>
      </c>
      <c r="BD390" s="293">
        <f t="shared" si="335"/>
        <v>1187.5</v>
      </c>
      <c r="BE390" s="293">
        <f t="shared" si="335"/>
        <v>1437.5</v>
      </c>
      <c r="BF390" s="293">
        <f t="shared" si="336"/>
        <v>1437.5</v>
      </c>
      <c r="BH390" s="293">
        <f>+BH364*BH378</f>
        <v>1468.9999999999998</v>
      </c>
      <c r="BI390" s="293"/>
      <c r="BJ390" s="293"/>
      <c r="BL390" s="293"/>
      <c r="BM390" s="293"/>
      <c r="BN390" s="293"/>
      <c r="BP390" s="293"/>
      <c r="BQ390" s="293"/>
      <c r="BR390" s="293"/>
      <c r="BT390" s="293"/>
      <c r="BU390" s="293"/>
      <c r="BV390" s="293"/>
      <c r="BX390" s="293"/>
      <c r="BY390" s="293"/>
      <c r="BZ390" s="293"/>
      <c r="CB390" s="293"/>
      <c r="CC390" s="293"/>
      <c r="CD390" s="293"/>
      <c r="CF390" s="293"/>
      <c r="CG390" s="293"/>
      <c r="CH390" s="293"/>
      <c r="CJ390" s="293"/>
      <c r="CK390" s="293"/>
      <c r="CL390" s="293"/>
      <c r="CN390" s="293"/>
      <c r="CO390" s="293"/>
      <c r="CP390" s="293"/>
      <c r="CR390" s="293"/>
      <c r="CS390" s="293"/>
      <c r="CT390" s="293"/>
      <c r="CV390" s="293"/>
      <c r="CW390" s="1495"/>
      <c r="CX390" s="1495"/>
      <c r="CZ390" s="293"/>
      <c r="DA390" s="293"/>
      <c r="DB390" s="293"/>
      <c r="DD390" s="293"/>
      <c r="DE390" s="293"/>
      <c r="DF390" s="293"/>
      <c r="DH390" s="293"/>
      <c r="DI390" s="293"/>
      <c r="DJ390" s="293"/>
      <c r="DL390" s="293"/>
      <c r="DM390" s="293"/>
      <c r="DN390" s="293"/>
      <c r="DP390" s="293"/>
      <c r="DQ390" s="293"/>
      <c r="DR390" s="293"/>
    </row>
    <row r="391" spans="1:122" hidden="1" outlineLevel="1">
      <c r="A391" s="102" t="s">
        <v>404</v>
      </c>
      <c r="AO391" s="293">
        <f t="shared" si="327"/>
        <v>0</v>
      </c>
      <c r="AP391" s="293">
        <f t="shared" si="328"/>
        <v>0</v>
      </c>
      <c r="AR391" s="293">
        <f t="shared" si="329"/>
        <v>2012.5</v>
      </c>
      <c r="AS391" s="293">
        <f t="shared" si="329"/>
        <v>487.5</v>
      </c>
      <c r="AT391" s="293">
        <f t="shared" si="330"/>
        <v>487.5</v>
      </c>
      <c r="AV391" s="293">
        <f t="shared" si="331"/>
        <v>162.5</v>
      </c>
      <c r="AW391" s="293">
        <f t="shared" si="331"/>
        <v>0</v>
      </c>
      <c r="AX391" s="293">
        <f t="shared" si="332"/>
        <v>0</v>
      </c>
      <c r="AZ391" s="293">
        <f t="shared" si="333"/>
        <v>525</v>
      </c>
      <c r="BA391" s="293">
        <f t="shared" si="333"/>
        <v>525</v>
      </c>
      <c r="BB391" s="293">
        <f t="shared" si="334"/>
        <v>525</v>
      </c>
      <c r="BD391" s="293">
        <f t="shared" si="335"/>
        <v>612.5</v>
      </c>
      <c r="BE391" s="293">
        <f t="shared" si="335"/>
        <v>900</v>
      </c>
      <c r="BF391" s="293">
        <f t="shared" si="336"/>
        <v>900</v>
      </c>
      <c r="BH391" s="293">
        <f>+BH365*BH379</f>
        <v>0</v>
      </c>
      <c r="BI391" s="293"/>
      <c r="BJ391" s="293"/>
      <c r="BL391" s="293"/>
      <c r="BM391" s="293"/>
      <c r="BN391" s="293"/>
      <c r="BP391" s="293"/>
      <c r="BQ391" s="293"/>
      <c r="BR391" s="293"/>
      <c r="BT391" s="293"/>
      <c r="BU391" s="293"/>
      <c r="BV391" s="293"/>
      <c r="BX391" s="293"/>
      <c r="BY391" s="293"/>
      <c r="BZ391" s="293"/>
      <c r="CB391" s="293"/>
      <c r="CC391" s="293"/>
      <c r="CD391" s="293"/>
      <c r="CF391" s="293"/>
      <c r="CG391" s="293"/>
      <c r="CH391" s="293"/>
      <c r="CJ391" s="293"/>
      <c r="CK391" s="293"/>
      <c r="CL391" s="293"/>
      <c r="CN391" s="293"/>
      <c r="CO391" s="293"/>
      <c r="CP391" s="293"/>
      <c r="CR391" s="293"/>
      <c r="CS391" s="293"/>
      <c r="CT391" s="293"/>
      <c r="CV391" s="293"/>
      <c r="CW391" s="1495"/>
      <c r="CX391" s="1495"/>
      <c r="CZ391" s="293"/>
      <c r="DA391" s="293"/>
      <c r="DB391" s="293"/>
      <c r="DD391" s="293"/>
      <c r="DE391" s="293"/>
      <c r="DF391" s="293"/>
      <c r="DH391" s="293"/>
      <c r="DI391" s="293"/>
      <c r="DJ391" s="293"/>
      <c r="DL391" s="293"/>
      <c r="DM391" s="293"/>
      <c r="DN391" s="293"/>
      <c r="DP391" s="293"/>
      <c r="DQ391" s="293"/>
      <c r="DR391" s="293"/>
    </row>
    <row r="392" spans="1:122" hidden="1" outlineLevel="1">
      <c r="A392" s="102" t="s">
        <v>405</v>
      </c>
      <c r="AO392" s="293">
        <f t="shared" si="327"/>
        <v>0</v>
      </c>
      <c r="AP392" s="293">
        <f t="shared" si="328"/>
        <v>0</v>
      </c>
      <c r="AR392" s="293">
        <f t="shared" si="329"/>
        <v>262.5</v>
      </c>
      <c r="AS392" s="293">
        <f t="shared" si="329"/>
        <v>912.5</v>
      </c>
      <c r="AT392" s="293">
        <f t="shared" si="330"/>
        <v>912.5</v>
      </c>
      <c r="AV392" s="293">
        <f t="shared" si="331"/>
        <v>262.5</v>
      </c>
      <c r="AW392" s="293">
        <f t="shared" si="331"/>
        <v>212.5</v>
      </c>
      <c r="AX392" s="293">
        <f t="shared" si="332"/>
        <v>212.5</v>
      </c>
      <c r="AZ392" s="293">
        <f t="shared" si="333"/>
        <v>125</v>
      </c>
      <c r="BA392" s="293">
        <f t="shared" si="333"/>
        <v>112.5</v>
      </c>
      <c r="BB392" s="293">
        <f t="shared" si="334"/>
        <v>112.5</v>
      </c>
      <c r="BD392" s="293">
        <f t="shared" si="335"/>
        <v>75</v>
      </c>
      <c r="BE392" s="293">
        <f t="shared" si="335"/>
        <v>62.5</v>
      </c>
      <c r="BF392" s="293">
        <f t="shared" si="336"/>
        <v>62.5</v>
      </c>
      <c r="BH392" s="293">
        <f>+BH366*BH380</f>
        <v>64</v>
      </c>
      <c r="BI392" s="293"/>
      <c r="BJ392" s="293"/>
      <c r="BL392" s="293"/>
      <c r="BM392" s="293"/>
      <c r="BN392" s="293"/>
      <c r="BP392" s="293"/>
      <c r="BQ392" s="293"/>
      <c r="BR392" s="293"/>
      <c r="BT392" s="293"/>
      <c r="BU392" s="293"/>
      <c r="BV392" s="293"/>
      <c r="BX392" s="293"/>
      <c r="BY392" s="293"/>
      <c r="BZ392" s="293"/>
      <c r="CB392" s="293"/>
      <c r="CC392" s="293"/>
      <c r="CD392" s="293"/>
      <c r="CF392" s="293"/>
      <c r="CG392" s="293"/>
      <c r="CH392" s="293"/>
      <c r="CJ392" s="293"/>
      <c r="CK392" s="293"/>
      <c r="CL392" s="293"/>
      <c r="CN392" s="293"/>
      <c r="CO392" s="293"/>
      <c r="CP392" s="293"/>
      <c r="CR392" s="293"/>
      <c r="CS392" s="293"/>
      <c r="CT392" s="293"/>
      <c r="CV392" s="293"/>
      <c r="CW392" s="1495"/>
      <c r="CX392" s="1495"/>
      <c r="CZ392" s="293"/>
      <c r="DA392" s="293"/>
      <c r="DB392" s="293"/>
      <c r="DD392" s="293"/>
      <c r="DE392" s="293"/>
      <c r="DF392" s="293"/>
      <c r="DH392" s="293"/>
      <c r="DI392" s="293"/>
      <c r="DJ392" s="293"/>
      <c r="DL392" s="293"/>
      <c r="DM392" s="293"/>
      <c r="DN392" s="293"/>
      <c r="DP392" s="293"/>
      <c r="DQ392" s="293"/>
      <c r="DR392" s="293"/>
    </row>
    <row r="393" spans="1:122" hidden="1" outlineLevel="1">
      <c r="A393" s="102" t="s">
        <v>419</v>
      </c>
      <c r="AO393" s="293">
        <f t="shared" si="327"/>
        <v>0</v>
      </c>
      <c r="AP393" s="293">
        <f t="shared" si="328"/>
        <v>0</v>
      </c>
      <c r="AR393" s="293">
        <f t="shared" si="329"/>
        <v>11187.5</v>
      </c>
      <c r="AS393" s="293">
        <f t="shared" si="329"/>
        <v>11837.5</v>
      </c>
      <c r="AT393" s="293">
        <f t="shared" si="330"/>
        <v>11837.5</v>
      </c>
      <c r="AV393" s="293">
        <f t="shared" si="331"/>
        <v>8125</v>
      </c>
      <c r="AW393" s="293">
        <f t="shared" si="331"/>
        <v>13125</v>
      </c>
      <c r="AX393" s="293">
        <f t="shared" si="332"/>
        <v>13125</v>
      </c>
      <c r="AZ393" s="293">
        <f t="shared" si="333"/>
        <v>10000</v>
      </c>
      <c r="BA393" s="293">
        <f t="shared" si="333"/>
        <v>11250</v>
      </c>
      <c r="BB393" s="293">
        <f t="shared" si="334"/>
        <v>11250</v>
      </c>
      <c r="BC393" s="829"/>
      <c r="BD393" s="293">
        <f t="shared" si="335"/>
        <v>11250</v>
      </c>
      <c r="BE393" s="293">
        <f t="shared" si="335"/>
        <v>11250</v>
      </c>
      <c r="BF393" s="293">
        <f t="shared" si="336"/>
        <v>11250</v>
      </c>
      <c r="BH393" s="293"/>
      <c r="BI393" s="293"/>
      <c r="BJ393" s="293"/>
      <c r="BL393" s="293"/>
      <c r="BM393" s="293"/>
      <c r="BN393" s="293"/>
      <c r="BP393" s="293"/>
      <c r="BQ393" s="293"/>
      <c r="BR393" s="293"/>
      <c r="BT393" s="293"/>
      <c r="BU393" s="293"/>
      <c r="BV393" s="293"/>
      <c r="BX393" s="293"/>
      <c r="BY393" s="293"/>
      <c r="BZ393" s="293"/>
      <c r="CB393" s="293"/>
      <c r="CC393" s="293"/>
      <c r="CD393" s="293"/>
      <c r="CF393" s="293"/>
      <c r="CG393" s="293"/>
      <c r="CH393" s="293"/>
      <c r="CJ393" s="293"/>
      <c r="CK393" s="293"/>
      <c r="CL393" s="293"/>
      <c r="CN393" s="293"/>
      <c r="CO393" s="293"/>
      <c r="CP393" s="293"/>
      <c r="CR393" s="293"/>
      <c r="CS393" s="293"/>
      <c r="CT393" s="293"/>
      <c r="CV393" s="293"/>
      <c r="CW393" s="1495"/>
      <c r="CX393" s="1495"/>
      <c r="CZ393" s="293"/>
      <c r="DA393" s="293"/>
      <c r="DB393" s="293"/>
      <c r="DD393" s="293"/>
      <c r="DE393" s="293"/>
      <c r="DF393" s="293"/>
      <c r="DH393" s="293"/>
      <c r="DI393" s="293"/>
      <c r="DJ393" s="293"/>
      <c r="DL393" s="293"/>
      <c r="DM393" s="293"/>
      <c r="DN393" s="293"/>
      <c r="DP393" s="293"/>
      <c r="DQ393" s="293"/>
      <c r="DR393" s="293"/>
    </row>
    <row r="394" spans="1:122" hidden="1" outlineLevel="1">
      <c r="A394" s="102" t="s">
        <v>420</v>
      </c>
      <c r="AO394" s="293">
        <f t="shared" si="327"/>
        <v>0</v>
      </c>
      <c r="AP394" s="293">
        <f t="shared" si="328"/>
        <v>0</v>
      </c>
      <c r="AR394" s="293">
        <f t="shared" si="329"/>
        <v>11425</v>
      </c>
      <c r="AS394" s="293">
        <f t="shared" si="329"/>
        <v>14662.5</v>
      </c>
      <c r="AT394" s="293">
        <f t="shared" si="330"/>
        <v>14662.5</v>
      </c>
      <c r="AV394" s="293">
        <f t="shared" si="331"/>
        <v>14225</v>
      </c>
      <c r="AW394" s="293">
        <f t="shared" si="331"/>
        <v>7937.5</v>
      </c>
      <c r="AX394" s="293">
        <f t="shared" si="332"/>
        <v>7937.5</v>
      </c>
      <c r="AZ394" s="293">
        <f t="shared" si="333"/>
        <v>12637.5</v>
      </c>
      <c r="BA394" s="293">
        <f t="shared" si="333"/>
        <v>9875</v>
      </c>
      <c r="BB394" s="293">
        <f t="shared" si="334"/>
        <v>9875</v>
      </c>
      <c r="BC394" s="293"/>
      <c r="BD394" s="293">
        <f t="shared" si="335"/>
        <v>12075</v>
      </c>
      <c r="BE394" s="293">
        <f t="shared" si="335"/>
        <v>11925</v>
      </c>
      <c r="BF394" s="293">
        <f t="shared" si="336"/>
        <v>11925</v>
      </c>
      <c r="BH394" s="293"/>
      <c r="BI394" s="293"/>
      <c r="BJ394" s="293"/>
      <c r="BL394" s="293"/>
      <c r="BM394" s="293"/>
      <c r="BN394" s="293"/>
      <c r="BP394" s="293"/>
      <c r="BQ394" s="293"/>
      <c r="BR394" s="293"/>
      <c r="BT394" s="293"/>
      <c r="BU394" s="293"/>
      <c r="BV394" s="293"/>
      <c r="BX394" s="293"/>
      <c r="BY394" s="293"/>
      <c r="BZ394" s="293"/>
      <c r="CB394" s="293"/>
      <c r="CC394" s="293"/>
      <c r="CD394" s="293"/>
      <c r="CF394" s="293"/>
      <c r="CG394" s="293"/>
      <c r="CH394" s="293"/>
      <c r="CJ394" s="293"/>
      <c r="CK394" s="293"/>
      <c r="CL394" s="293"/>
      <c r="CN394" s="293"/>
      <c r="CO394" s="293"/>
      <c r="CP394" s="293"/>
      <c r="CR394" s="293"/>
      <c r="CS394" s="293"/>
      <c r="CT394" s="293"/>
      <c r="CV394" s="293"/>
      <c r="CW394" s="1495"/>
      <c r="CX394" s="1495"/>
      <c r="CZ394" s="293"/>
      <c r="DA394" s="293"/>
      <c r="DB394" s="293"/>
      <c r="DD394" s="293"/>
      <c r="DE394" s="293"/>
      <c r="DF394" s="293"/>
      <c r="DH394" s="293"/>
      <c r="DI394" s="293"/>
      <c r="DJ394" s="293"/>
      <c r="DL394" s="293"/>
      <c r="DM394" s="293"/>
      <c r="DN394" s="293"/>
      <c r="DP394" s="293"/>
      <c r="DQ394" s="293"/>
      <c r="DR394" s="293"/>
    </row>
    <row r="395" spans="1:122" hidden="1" outlineLevel="1">
      <c r="A395" s="102" t="s">
        <v>421</v>
      </c>
      <c r="AO395" s="293"/>
      <c r="AP395" s="293"/>
      <c r="AR395" s="293"/>
      <c r="AS395" s="293"/>
      <c r="AT395" s="293"/>
      <c r="AV395" s="293"/>
      <c r="AW395" s="293"/>
      <c r="AX395" s="293"/>
      <c r="AZ395" s="293"/>
      <c r="BA395" s="293"/>
      <c r="BB395" s="293"/>
      <c r="BC395" s="293"/>
      <c r="BD395" s="293"/>
      <c r="BE395" s="293"/>
      <c r="BF395" s="293"/>
      <c r="BH395" s="293">
        <f>+BH369*BH383</f>
        <v>24102</v>
      </c>
      <c r="BI395" s="293"/>
      <c r="BJ395" s="293"/>
      <c r="BL395" s="293"/>
      <c r="BM395" s="293"/>
      <c r="BN395" s="293"/>
      <c r="BP395" s="293"/>
      <c r="BQ395" s="293"/>
      <c r="BR395" s="293"/>
      <c r="BT395" s="293"/>
      <c r="BU395" s="293"/>
      <c r="BV395" s="293"/>
      <c r="BX395" s="293"/>
      <c r="BY395" s="293"/>
      <c r="BZ395" s="293"/>
      <c r="CB395" s="293"/>
      <c r="CC395" s="293"/>
      <c r="CD395" s="293"/>
      <c r="CF395" s="293"/>
      <c r="CG395" s="293"/>
      <c r="CH395" s="293"/>
      <c r="CJ395" s="293"/>
      <c r="CK395" s="293"/>
      <c r="CL395" s="293"/>
      <c r="CN395" s="293"/>
      <c r="CO395" s="293"/>
      <c r="CP395" s="293"/>
      <c r="CR395" s="293"/>
      <c r="CS395" s="293"/>
      <c r="CT395" s="293"/>
      <c r="CV395" s="293"/>
      <c r="CW395" s="1495"/>
      <c r="CX395" s="1495"/>
      <c r="CZ395" s="293"/>
      <c r="DA395" s="293"/>
      <c r="DB395" s="293"/>
      <c r="DD395" s="293"/>
      <c r="DE395" s="293"/>
      <c r="DF395" s="293"/>
      <c r="DH395" s="293"/>
      <c r="DI395" s="293"/>
      <c r="DJ395" s="293"/>
      <c r="DL395" s="293"/>
      <c r="DM395" s="293"/>
      <c r="DN395" s="293"/>
      <c r="DP395" s="293"/>
      <c r="DQ395" s="293"/>
      <c r="DR395" s="293"/>
    </row>
    <row r="396" spans="1:122" hidden="1" outlineLevel="1">
      <c r="A396" s="102" t="s">
        <v>422</v>
      </c>
      <c r="AO396" s="293">
        <f>+AO370*AO384</f>
        <v>0</v>
      </c>
      <c r="AP396" s="293">
        <f t="shared" si="328"/>
        <v>0</v>
      </c>
      <c r="AR396" s="293">
        <f>AR413/AR$402</f>
        <v>0</v>
      </c>
      <c r="AS396" s="293">
        <f>AS413/AS$402</f>
        <v>0</v>
      </c>
      <c r="AT396" s="293">
        <f t="shared" si="330"/>
        <v>0</v>
      </c>
      <c r="AV396" s="293">
        <f>AV413/AV$402</f>
        <v>0</v>
      </c>
      <c r="AW396" s="293">
        <f>AW413/AW$402</f>
        <v>0</v>
      </c>
      <c r="AX396" s="293">
        <f t="shared" si="332"/>
        <v>0</v>
      </c>
      <c r="AZ396" s="293">
        <f>AZ413/AZ$402</f>
        <v>0</v>
      </c>
      <c r="BA396" s="293">
        <f>BA413/BA$402</f>
        <v>0</v>
      </c>
      <c r="BB396" s="293">
        <f t="shared" si="334"/>
        <v>0</v>
      </c>
      <c r="BD396" s="293">
        <f>BD413/BD$402</f>
        <v>0</v>
      </c>
      <c r="BE396" s="293">
        <f>BE413/BE$402</f>
        <v>0</v>
      </c>
      <c r="BF396" s="293">
        <f t="shared" si="336"/>
        <v>0</v>
      </c>
      <c r="BH396" s="293">
        <f>+BH370*BH384</f>
        <v>0</v>
      </c>
      <c r="BI396" s="293"/>
      <c r="BJ396" s="293"/>
      <c r="BL396" s="293"/>
      <c r="BM396" s="293"/>
      <c r="BN396" s="293"/>
      <c r="BP396" s="293"/>
      <c r="BQ396" s="293"/>
      <c r="BR396" s="293"/>
      <c r="BT396" s="293"/>
      <c r="BU396" s="293"/>
      <c r="BV396" s="293"/>
      <c r="BX396" s="293"/>
      <c r="BY396" s="293"/>
      <c r="BZ396" s="293"/>
      <c r="CB396" s="293"/>
      <c r="CC396" s="293"/>
      <c r="CD396" s="293"/>
      <c r="CF396" s="293"/>
      <c r="CG396" s="293"/>
      <c r="CH396" s="293"/>
      <c r="CJ396" s="293"/>
      <c r="CK396" s="293"/>
      <c r="CL396" s="293"/>
      <c r="CN396" s="293"/>
      <c r="CO396" s="293"/>
      <c r="CP396" s="293"/>
      <c r="CR396" s="293"/>
      <c r="CS396" s="293"/>
      <c r="CT396" s="293"/>
      <c r="CV396" s="293"/>
      <c r="CW396" s="1495"/>
      <c r="CX396" s="1495"/>
      <c r="CZ396" s="293"/>
      <c r="DA396" s="293"/>
      <c r="DB396" s="293"/>
      <c r="DD396" s="293"/>
      <c r="DE396" s="293"/>
      <c r="DF396" s="293"/>
      <c r="DH396" s="293"/>
      <c r="DI396" s="293"/>
      <c r="DJ396" s="293"/>
      <c r="DL396" s="293"/>
      <c r="DM396" s="293"/>
      <c r="DN396" s="293"/>
      <c r="DP396" s="293"/>
      <c r="DQ396" s="293"/>
      <c r="DR396" s="293"/>
    </row>
    <row r="397" spans="1:122" hidden="1" outlineLevel="1">
      <c r="A397" s="102" t="s">
        <v>232</v>
      </c>
      <c r="AO397" s="293">
        <f>+AO371*AO385</f>
        <v>0</v>
      </c>
      <c r="AP397" s="293">
        <f t="shared" si="328"/>
        <v>0</v>
      </c>
      <c r="AR397" s="293">
        <f>AR414/AR$402</f>
        <v>2562.5</v>
      </c>
      <c r="AS397" s="293">
        <f>AS414/AS$402</f>
        <v>2287.5</v>
      </c>
      <c r="AT397" s="293">
        <f t="shared" si="330"/>
        <v>2287.5</v>
      </c>
      <c r="AV397" s="293">
        <f>AV414/AV$402</f>
        <v>2475</v>
      </c>
      <c r="AW397" s="293">
        <f>AW414/AW$402</f>
        <v>3450</v>
      </c>
      <c r="AX397" s="293">
        <f t="shared" si="332"/>
        <v>3450</v>
      </c>
      <c r="AZ397" s="293">
        <f>AZ414/AZ$402</f>
        <v>3025</v>
      </c>
      <c r="BA397" s="293">
        <f>BA414/BA$402</f>
        <v>3537.5</v>
      </c>
      <c r="BB397" s="293">
        <f t="shared" si="334"/>
        <v>3537.5</v>
      </c>
      <c r="BD397" s="293">
        <f>BD414/BD$402</f>
        <v>3412.5</v>
      </c>
      <c r="BE397" s="293">
        <f>BE414/BE$402</f>
        <v>3650</v>
      </c>
      <c r="BF397" s="293">
        <f t="shared" si="336"/>
        <v>3650</v>
      </c>
      <c r="BH397" s="293">
        <f>BH414/BH$402</f>
        <v>3161.5000000000009</v>
      </c>
      <c r="BI397" s="293"/>
      <c r="BJ397" s="293"/>
      <c r="BL397" s="293"/>
      <c r="BM397" s="293"/>
      <c r="BN397" s="293"/>
      <c r="BP397" s="293"/>
      <c r="BQ397" s="293"/>
      <c r="BR397" s="293"/>
      <c r="BT397" s="293"/>
      <c r="BU397" s="293"/>
      <c r="BV397" s="293"/>
      <c r="BX397" s="293"/>
      <c r="BY397" s="293"/>
      <c r="BZ397" s="293"/>
      <c r="CB397" s="293"/>
      <c r="CC397" s="293"/>
      <c r="CD397" s="293"/>
      <c r="CF397" s="293"/>
      <c r="CG397" s="293"/>
      <c r="CH397" s="293"/>
      <c r="CJ397" s="293"/>
      <c r="CK397" s="293"/>
      <c r="CL397" s="293"/>
      <c r="CN397" s="293"/>
      <c r="CO397" s="293"/>
      <c r="CP397" s="293"/>
      <c r="CR397" s="293"/>
      <c r="CS397" s="293"/>
      <c r="CT397" s="293"/>
      <c r="CV397" s="293"/>
      <c r="CW397" s="1495"/>
      <c r="CX397" s="1495"/>
      <c r="CZ397" s="293"/>
      <c r="DA397" s="293"/>
      <c r="DB397" s="293"/>
      <c r="DD397" s="293"/>
      <c r="DE397" s="293"/>
      <c r="DF397" s="293"/>
      <c r="DH397" s="293"/>
      <c r="DI397" s="293"/>
      <c r="DJ397" s="293"/>
      <c r="DL397" s="293"/>
      <c r="DM397" s="293"/>
      <c r="DN397" s="293"/>
      <c r="DP397" s="293"/>
      <c r="DQ397" s="293"/>
      <c r="DR397" s="293"/>
    </row>
    <row r="398" spans="1:122" hidden="1" outlineLevel="1">
      <c r="A398" s="289" t="s">
        <v>349</v>
      </c>
      <c r="AO398" s="295">
        <f>SUM(AO388:AO397)</f>
        <v>0</v>
      </c>
      <c r="AP398" s="295">
        <f t="shared" si="328"/>
        <v>0</v>
      </c>
      <c r="AR398" s="295">
        <f>SUM(AR388:AR397)</f>
        <v>30762.5</v>
      </c>
      <c r="AS398" s="295">
        <f>SUM(AS388:AS397)</f>
        <v>32712.5</v>
      </c>
      <c r="AT398" s="295">
        <f t="shared" si="330"/>
        <v>32712.5</v>
      </c>
      <c r="AV398" s="295">
        <f>SUM(AV388:AV397)</f>
        <v>26587.5</v>
      </c>
      <c r="AW398" s="295">
        <f>SUM(AW388:AW397)</f>
        <v>26075</v>
      </c>
      <c r="AX398" s="295">
        <f t="shared" si="332"/>
        <v>26075</v>
      </c>
      <c r="AZ398" s="295">
        <f>SUM(AZ388:AZ397)</f>
        <v>27725</v>
      </c>
      <c r="BA398" s="295">
        <f>SUM(BA388:BA397)</f>
        <v>29075</v>
      </c>
      <c r="BB398" s="295">
        <f t="shared" si="334"/>
        <v>29075</v>
      </c>
      <c r="BD398" s="295">
        <f>SUM(BD388:BD397)</f>
        <v>28937.5</v>
      </c>
      <c r="BE398" s="295">
        <f>SUM(BE388:BE397)</f>
        <v>29425</v>
      </c>
      <c r="BF398" s="295">
        <f t="shared" si="336"/>
        <v>29425</v>
      </c>
      <c r="BH398" s="295">
        <f>SUM(BH388:BH397)</f>
        <v>29012.5</v>
      </c>
      <c r="BI398" s="295"/>
      <c r="BJ398" s="295"/>
      <c r="BL398" s="295"/>
      <c r="BM398" s="295"/>
      <c r="BN398" s="295"/>
      <c r="BP398" s="295"/>
      <c r="BQ398" s="295"/>
      <c r="BR398" s="295"/>
      <c r="BT398" s="295"/>
      <c r="BU398" s="295"/>
      <c r="BV398" s="295"/>
      <c r="BX398" s="295"/>
      <c r="BY398" s="295"/>
      <c r="BZ398" s="295"/>
      <c r="CB398" s="295"/>
      <c r="CC398" s="295"/>
      <c r="CD398" s="295"/>
      <c r="CF398" s="295"/>
      <c r="CG398" s="295"/>
      <c r="CH398" s="295"/>
      <c r="CJ398" s="295"/>
      <c r="CK398" s="295"/>
      <c r="CL398" s="295"/>
      <c r="CN398" s="295"/>
      <c r="CO398" s="295"/>
      <c r="CP398" s="295"/>
      <c r="CR398" s="295"/>
      <c r="CS398" s="295"/>
      <c r="CT398" s="295"/>
      <c r="CV398" s="295"/>
      <c r="CW398" s="1390"/>
      <c r="CX398" s="1390"/>
      <c r="CZ398" s="295"/>
      <c r="DA398" s="295"/>
      <c r="DB398" s="295"/>
      <c r="DD398" s="295"/>
      <c r="DE398" s="295"/>
      <c r="DF398" s="295"/>
      <c r="DH398" s="295"/>
      <c r="DI398" s="295"/>
      <c r="DJ398" s="295"/>
      <c r="DL398" s="295"/>
      <c r="DM398" s="295"/>
      <c r="DN398" s="295"/>
      <c r="DP398" s="295"/>
      <c r="DQ398" s="295"/>
      <c r="DR398" s="295"/>
    </row>
    <row r="399" spans="1:122" hidden="1" outlineLevel="1">
      <c r="A399" s="102" t="s">
        <v>599</v>
      </c>
      <c r="AO399" s="293">
        <f>AO416/AO$402</f>
        <v>4250</v>
      </c>
      <c r="AP399" s="293">
        <f t="shared" si="328"/>
        <v>4250</v>
      </c>
      <c r="AR399" s="293">
        <f>AR416/AR$402</f>
        <v>4250</v>
      </c>
      <c r="AS399" s="293">
        <f>AS416/AS$402</f>
        <v>-2700</v>
      </c>
      <c r="AT399" s="293">
        <f t="shared" si="330"/>
        <v>-2700</v>
      </c>
      <c r="AV399" s="293">
        <f>AV416/AV$402</f>
        <v>-512.5</v>
      </c>
      <c r="AW399" s="293">
        <f>AW416/AW$402</f>
        <v>100</v>
      </c>
      <c r="AX399" s="293">
        <f t="shared" si="332"/>
        <v>100</v>
      </c>
      <c r="AZ399" s="293">
        <f>AZ416/AZ$402</f>
        <v>1375</v>
      </c>
      <c r="BA399" s="293">
        <f>BA416/BA$402</f>
        <v>5237.5</v>
      </c>
      <c r="BB399" s="293">
        <f t="shared" si="334"/>
        <v>5237.5</v>
      </c>
      <c r="BD399" s="293">
        <f>BD416/BD$402</f>
        <v>3662.5</v>
      </c>
      <c r="BE399" s="293">
        <f>BE416/BE$402</f>
        <v>5125</v>
      </c>
      <c r="BF399" s="293">
        <f t="shared" si="336"/>
        <v>5125</v>
      </c>
      <c r="BH399" s="293">
        <f>BH416/BH$402</f>
        <v>4250</v>
      </c>
      <c r="BI399" s="293"/>
      <c r="BJ399" s="293"/>
      <c r="BL399" s="293"/>
      <c r="BM399" s="293"/>
      <c r="BN399" s="293"/>
      <c r="BP399" s="293"/>
      <c r="BQ399" s="293"/>
      <c r="BR399" s="293"/>
      <c r="BT399" s="293"/>
      <c r="BU399" s="293"/>
      <c r="BV399" s="293"/>
      <c r="BX399" s="293"/>
      <c r="BY399" s="293"/>
      <c r="BZ399" s="293"/>
      <c r="CB399" s="293"/>
      <c r="CC399" s="293"/>
      <c r="CD399" s="293"/>
      <c r="CF399" s="293"/>
      <c r="CG399" s="293"/>
      <c r="CH399" s="293"/>
      <c r="CJ399" s="293"/>
      <c r="CK399" s="293"/>
      <c r="CL399" s="293"/>
      <c r="CN399" s="293"/>
      <c r="CO399" s="293"/>
      <c r="CP399" s="293"/>
      <c r="CR399" s="293"/>
      <c r="CS399" s="293"/>
      <c r="CT399" s="293"/>
      <c r="CV399" s="293"/>
      <c r="CW399" s="1495"/>
      <c r="CX399" s="1495"/>
      <c r="CZ399" s="293"/>
      <c r="DA399" s="293"/>
      <c r="DB399" s="293"/>
      <c r="DD399" s="293"/>
      <c r="DE399" s="293"/>
      <c r="DF399" s="293"/>
      <c r="DH399" s="293"/>
      <c r="DI399" s="293"/>
      <c r="DJ399" s="293"/>
      <c r="DL399" s="293"/>
      <c r="DM399" s="293"/>
      <c r="DN399" s="293"/>
      <c r="DP399" s="293"/>
      <c r="DQ399" s="293"/>
      <c r="DR399" s="293"/>
    </row>
    <row r="400" spans="1:122" hidden="1" outlineLevel="1">
      <c r="A400" s="289" t="s">
        <v>345</v>
      </c>
      <c r="AO400" s="295">
        <f>SUM(AO398:AO399)</f>
        <v>4250</v>
      </c>
      <c r="AP400" s="295">
        <f t="shared" si="328"/>
        <v>4250</v>
      </c>
      <c r="AR400" s="295">
        <f>SUM(AR398:AR399)</f>
        <v>35012.5</v>
      </c>
      <c r="AS400" s="295">
        <f>SUM(AS398:AS399)</f>
        <v>30012.5</v>
      </c>
      <c r="AT400" s="295">
        <f t="shared" si="330"/>
        <v>30012.5</v>
      </c>
      <c r="AV400" s="295">
        <f>SUM(AV398:AV399)</f>
        <v>26075</v>
      </c>
      <c r="AW400" s="295">
        <f>SUM(AW398:AW399)</f>
        <v>26175</v>
      </c>
      <c r="AX400" s="295">
        <f t="shared" si="332"/>
        <v>26175</v>
      </c>
      <c r="AZ400" s="295">
        <f>SUM(AZ398:AZ399)</f>
        <v>29100</v>
      </c>
      <c r="BA400" s="295">
        <f>SUM(BA398:BA399)</f>
        <v>34312.5</v>
      </c>
      <c r="BB400" s="295">
        <f t="shared" si="334"/>
        <v>34312.5</v>
      </c>
      <c r="BD400" s="295">
        <f>SUM(BD398:BD399)</f>
        <v>32600</v>
      </c>
      <c r="BE400" s="295">
        <f>SUM(BE398:BE399)</f>
        <v>34550</v>
      </c>
      <c r="BF400" s="295">
        <f t="shared" si="336"/>
        <v>34550</v>
      </c>
      <c r="BH400" s="295">
        <f>SUM(BH398:BH399)</f>
        <v>33262.5</v>
      </c>
      <c r="BI400" s="295"/>
      <c r="BJ400" s="295"/>
      <c r="BL400" s="295"/>
      <c r="BM400" s="295"/>
      <c r="BN400" s="295"/>
      <c r="BP400" s="295"/>
      <c r="BQ400" s="295"/>
      <c r="BR400" s="295"/>
      <c r="BT400" s="295"/>
      <c r="BU400" s="295"/>
      <c r="BV400" s="295"/>
      <c r="BX400" s="295"/>
      <c r="BY400" s="295"/>
      <c r="BZ400" s="295"/>
      <c r="CB400" s="295"/>
      <c r="CC400" s="295"/>
      <c r="CD400" s="295"/>
      <c r="CF400" s="295"/>
      <c r="CG400" s="295"/>
      <c r="CH400" s="295"/>
      <c r="CJ400" s="295"/>
      <c r="CK400" s="295"/>
      <c r="CL400" s="295"/>
      <c r="CN400" s="295"/>
      <c r="CO400" s="295"/>
      <c r="CP400" s="295"/>
      <c r="CR400" s="295"/>
      <c r="CS400" s="295"/>
      <c r="CT400" s="295"/>
      <c r="CV400" s="295"/>
      <c r="CW400" s="1390"/>
      <c r="CX400" s="1390"/>
      <c r="CZ400" s="295"/>
      <c r="DA400" s="295"/>
      <c r="DB400" s="295"/>
      <c r="DD400" s="295"/>
      <c r="DE400" s="295"/>
      <c r="DF400" s="295"/>
      <c r="DH400" s="295"/>
      <c r="DI400" s="295"/>
      <c r="DJ400" s="295"/>
      <c r="DL400" s="295"/>
      <c r="DM400" s="295"/>
      <c r="DN400" s="295"/>
      <c r="DP400" s="295"/>
      <c r="DQ400" s="295"/>
      <c r="DR400" s="295"/>
    </row>
    <row r="401" spans="1:122" hidden="1" outlineLevel="1"/>
    <row r="402" spans="1:122" hidden="1" outlineLevel="1">
      <c r="A402" s="296" t="s">
        <v>426</v>
      </c>
      <c r="B402" s="302"/>
      <c r="C402" s="304"/>
      <c r="D402" s="302"/>
      <c r="E402" s="302"/>
      <c r="F402" s="302"/>
      <c r="G402" s="302"/>
      <c r="H402" s="302"/>
      <c r="I402" s="302"/>
      <c r="J402" s="302"/>
      <c r="K402" s="302"/>
      <c r="L402" s="302"/>
      <c r="M402" s="302"/>
      <c r="N402" s="302"/>
      <c r="O402" s="302"/>
      <c r="P402" s="302"/>
      <c r="Q402" s="302"/>
      <c r="R402" s="302"/>
      <c r="S402" s="302"/>
      <c r="T402" s="302"/>
      <c r="U402" s="302"/>
      <c r="V402" s="302"/>
      <c r="W402" s="302"/>
      <c r="X402" s="302"/>
      <c r="Y402" s="302"/>
      <c r="Z402" s="302"/>
      <c r="AA402" s="302"/>
      <c r="AB402" s="302"/>
      <c r="AC402" s="302"/>
      <c r="AD402" s="302"/>
      <c r="AE402" s="302"/>
      <c r="AF402" s="302"/>
      <c r="AG402" s="302"/>
      <c r="AH402" s="302"/>
      <c r="AI402" s="302"/>
      <c r="AJ402" s="302"/>
      <c r="AK402" s="302"/>
      <c r="AL402" s="302"/>
      <c r="AM402" s="302"/>
      <c r="AN402" s="304"/>
      <c r="AO402" s="1181">
        <v>0.08</v>
      </c>
      <c r="AP402" s="1181"/>
      <c r="AQ402" s="304"/>
      <c r="AR402" s="1181">
        <v>0.08</v>
      </c>
      <c r="AS402" s="1181">
        <v>0.08</v>
      </c>
      <c r="AT402" s="1181"/>
      <c r="AU402" s="304"/>
      <c r="AV402" s="1181">
        <v>0.08</v>
      </c>
      <c r="AW402" s="1181">
        <v>0.08</v>
      </c>
      <c r="AX402" s="1181"/>
      <c r="AY402" s="304"/>
      <c r="AZ402" s="1181">
        <v>0.08</v>
      </c>
      <c r="BA402" s="1181">
        <v>0.08</v>
      </c>
      <c r="BB402" s="1181"/>
      <c r="BC402" s="304"/>
      <c r="BD402" s="1181">
        <v>0.08</v>
      </c>
      <c r="BE402" s="1181">
        <v>0.08</v>
      </c>
      <c r="BF402" s="1181"/>
      <c r="BG402" s="304"/>
      <c r="BH402" s="1181">
        <v>0.08</v>
      </c>
      <c r="BI402" s="1110"/>
      <c r="BJ402" s="1110"/>
      <c r="BL402" s="1110"/>
      <c r="BM402" s="1110"/>
      <c r="BN402" s="1110"/>
      <c r="BP402" s="1110"/>
      <c r="BQ402" s="1110"/>
      <c r="BR402" s="1110"/>
      <c r="BT402" s="1110"/>
      <c r="BU402" s="1110"/>
      <c r="BV402" s="1110"/>
      <c r="BX402" s="1110"/>
      <c r="BY402" s="1110"/>
      <c r="BZ402" s="1110"/>
      <c r="CB402" s="1110"/>
      <c r="CC402" s="1110"/>
      <c r="CD402" s="1110"/>
      <c r="CF402" s="1110"/>
      <c r="CG402" s="1110"/>
      <c r="CH402" s="1110"/>
      <c r="CJ402" s="1110"/>
      <c r="CK402" s="1110"/>
      <c r="CL402" s="1110"/>
      <c r="CN402" s="1110"/>
      <c r="CO402" s="1110"/>
      <c r="CP402" s="1110"/>
      <c r="CR402" s="1110"/>
      <c r="CS402" s="1110"/>
      <c r="CT402" s="1110"/>
      <c r="CV402" s="1110"/>
      <c r="CW402" s="1843"/>
      <c r="CX402" s="1843"/>
      <c r="CZ402" s="1110"/>
      <c r="DA402" s="1110"/>
      <c r="DB402" s="1110"/>
      <c r="DD402" s="1110"/>
      <c r="DE402" s="1110"/>
      <c r="DF402" s="1110"/>
      <c r="DH402" s="1110"/>
      <c r="DI402" s="1110"/>
      <c r="DJ402" s="1110"/>
      <c r="DL402" s="1110"/>
      <c r="DM402" s="1110"/>
      <c r="DN402" s="1110"/>
      <c r="DP402" s="1110"/>
      <c r="DQ402" s="1110"/>
      <c r="DR402" s="1110"/>
    </row>
    <row r="403" spans="1:122" hidden="1" outlineLevel="1"/>
    <row r="404" spans="1:122" hidden="1" outlineLevel="1">
      <c r="A404" s="289" t="s">
        <v>427</v>
      </c>
    </row>
    <row r="405" spans="1:122" hidden="1" outlineLevel="1">
      <c r="A405" s="102" t="s">
        <v>402</v>
      </c>
      <c r="AO405" s="293">
        <f t="shared" ref="AO405:AO411" si="337">+AO388*AO$402</f>
        <v>0</v>
      </c>
      <c r="AP405" s="293">
        <f t="shared" ref="AP405:AP417" si="338">AO405</f>
        <v>0</v>
      </c>
      <c r="AR405" s="730">
        <v>41</v>
      </c>
      <c r="AS405" s="730">
        <v>16</v>
      </c>
      <c r="AT405" s="293">
        <f t="shared" ref="AT405:AT417" si="339">AS405</f>
        <v>16</v>
      </c>
      <c r="AV405" s="730">
        <v>27</v>
      </c>
      <c r="AW405" s="730">
        <v>23</v>
      </c>
      <c r="AX405" s="293">
        <f t="shared" ref="AX405:AX417" si="340">AW405</f>
        <v>23</v>
      </c>
      <c r="AZ405" s="730">
        <v>25</v>
      </c>
      <c r="BA405" s="626">
        <v>24</v>
      </c>
      <c r="BB405" s="293">
        <f t="shared" ref="BB405:BB417" si="341">BA405</f>
        <v>24</v>
      </c>
      <c r="BD405" s="730">
        <v>26</v>
      </c>
      <c r="BE405" s="626">
        <v>16</v>
      </c>
      <c r="BF405" s="293">
        <f t="shared" ref="BF405:BF417" si="342">BE405</f>
        <v>16</v>
      </c>
      <c r="BH405" s="293">
        <f>+BH388*BH$402</f>
        <v>17.28</v>
      </c>
      <c r="BI405" s="293"/>
      <c r="BJ405" s="293"/>
      <c r="BL405" s="293"/>
      <c r="BM405" s="293"/>
      <c r="BN405" s="293"/>
      <c r="BP405" s="293"/>
      <c r="BQ405" s="293"/>
      <c r="BR405" s="293"/>
      <c r="BT405" s="293"/>
      <c r="BU405" s="293"/>
      <c r="BV405" s="293"/>
      <c r="BX405" s="293"/>
      <c r="BY405" s="293"/>
      <c r="BZ405" s="293"/>
      <c r="CB405" s="293"/>
      <c r="CC405" s="293"/>
      <c r="CD405" s="293"/>
      <c r="CF405" s="293"/>
      <c r="CG405" s="293"/>
      <c r="CH405" s="293"/>
      <c r="CJ405" s="293"/>
      <c r="CK405" s="293"/>
      <c r="CL405" s="293"/>
      <c r="CN405" s="293"/>
      <c r="CO405" s="293"/>
      <c r="CP405" s="293"/>
      <c r="CR405" s="293"/>
      <c r="CS405" s="293"/>
      <c r="CT405" s="293"/>
      <c r="CV405" s="293"/>
      <c r="CW405" s="1495"/>
      <c r="CX405" s="1495"/>
      <c r="CZ405" s="293"/>
      <c r="DA405" s="293"/>
      <c r="DB405" s="293"/>
      <c r="DD405" s="293"/>
      <c r="DE405" s="293"/>
      <c r="DF405" s="293"/>
      <c r="DH405" s="293"/>
      <c r="DI405" s="293"/>
      <c r="DJ405" s="293"/>
      <c r="DL405" s="293"/>
      <c r="DM405" s="293"/>
      <c r="DN405" s="293"/>
      <c r="DP405" s="293"/>
      <c r="DQ405" s="293"/>
      <c r="DR405" s="293"/>
    </row>
    <row r="406" spans="1:122" hidden="1" outlineLevel="1">
      <c r="A406" s="102" t="s">
        <v>403</v>
      </c>
      <c r="AO406" s="293">
        <f t="shared" si="337"/>
        <v>0</v>
      </c>
      <c r="AP406" s="293">
        <f t="shared" si="338"/>
        <v>0</v>
      </c>
      <c r="AR406" s="730">
        <v>0</v>
      </c>
      <c r="AS406" s="730">
        <v>0</v>
      </c>
      <c r="AT406" s="293">
        <f t="shared" si="339"/>
        <v>0</v>
      </c>
      <c r="AV406" s="730">
        <v>0</v>
      </c>
      <c r="AW406" s="730">
        <v>0</v>
      </c>
      <c r="AX406" s="293">
        <f t="shared" si="340"/>
        <v>0</v>
      </c>
      <c r="AZ406" s="730">
        <v>0</v>
      </c>
      <c r="BA406" s="293">
        <v>0</v>
      </c>
      <c r="BB406" s="293">
        <f t="shared" si="341"/>
        <v>0</v>
      </c>
      <c r="BD406" s="730">
        <v>0</v>
      </c>
      <c r="BE406" s="626">
        <v>0</v>
      </c>
      <c r="BF406" s="293">
        <f t="shared" si="342"/>
        <v>0</v>
      </c>
      <c r="BH406" s="293">
        <f>+BH389*BH$402</f>
        <v>0</v>
      </c>
      <c r="BI406" s="293"/>
      <c r="BJ406" s="293"/>
      <c r="BL406" s="293"/>
      <c r="BM406" s="293"/>
      <c r="BN406" s="293"/>
      <c r="BP406" s="293"/>
      <c r="BQ406" s="293"/>
      <c r="BR406" s="293"/>
      <c r="BT406" s="293"/>
      <c r="BU406" s="293"/>
      <c r="BV406" s="293"/>
      <c r="BX406" s="293"/>
      <c r="BY406" s="293"/>
      <c r="BZ406" s="293"/>
      <c r="CB406" s="293"/>
      <c r="CC406" s="293"/>
      <c r="CD406" s="293"/>
      <c r="CF406" s="293"/>
      <c r="CG406" s="293"/>
      <c r="CH406" s="293"/>
      <c r="CJ406" s="293"/>
      <c r="CK406" s="293"/>
      <c r="CL406" s="293"/>
      <c r="CN406" s="293"/>
      <c r="CO406" s="293"/>
      <c r="CP406" s="293"/>
      <c r="CR406" s="293"/>
      <c r="CS406" s="293"/>
      <c r="CT406" s="293"/>
      <c r="CV406" s="293"/>
      <c r="CW406" s="1495"/>
      <c r="CX406" s="1495"/>
      <c r="CZ406" s="293"/>
      <c r="DA406" s="293"/>
      <c r="DB406" s="293"/>
      <c r="DD406" s="293"/>
      <c r="DE406" s="293"/>
      <c r="DF406" s="293"/>
      <c r="DH406" s="293"/>
      <c r="DI406" s="293"/>
      <c r="DJ406" s="293"/>
      <c r="DL406" s="293"/>
      <c r="DM406" s="293"/>
      <c r="DN406" s="293"/>
      <c r="DP406" s="293"/>
      <c r="DQ406" s="293"/>
      <c r="DR406" s="293"/>
    </row>
    <row r="407" spans="1:122" hidden="1" outlineLevel="1">
      <c r="A407" s="102" t="s">
        <v>350</v>
      </c>
      <c r="AO407" s="293">
        <f t="shared" si="337"/>
        <v>0</v>
      </c>
      <c r="AP407" s="293">
        <f t="shared" si="338"/>
        <v>0</v>
      </c>
      <c r="AR407" s="730">
        <v>224</v>
      </c>
      <c r="AS407" s="730">
        <v>186</v>
      </c>
      <c r="AT407" s="293">
        <f t="shared" si="339"/>
        <v>186</v>
      </c>
      <c r="AV407" s="730">
        <v>80</v>
      </c>
      <c r="AW407" s="730">
        <v>85</v>
      </c>
      <c r="AX407" s="293">
        <f t="shared" si="340"/>
        <v>85</v>
      </c>
      <c r="AZ407" s="730">
        <v>88</v>
      </c>
      <c r="BA407" s="626">
        <v>278</v>
      </c>
      <c r="BB407" s="293">
        <f t="shared" si="341"/>
        <v>278</v>
      </c>
      <c r="BD407" s="730">
        <v>95</v>
      </c>
      <c r="BE407" s="626">
        <v>115</v>
      </c>
      <c r="BF407" s="293">
        <f t="shared" si="342"/>
        <v>115</v>
      </c>
      <c r="BH407" s="293">
        <f>+BH390*BH$402</f>
        <v>117.51999999999998</v>
      </c>
      <c r="BI407" s="293"/>
      <c r="BJ407" s="293"/>
      <c r="BL407" s="293"/>
      <c r="BM407" s="293"/>
      <c r="BN407" s="293"/>
      <c r="BP407" s="293"/>
      <c r="BQ407" s="293"/>
      <c r="BR407" s="293"/>
      <c r="BT407" s="293"/>
      <c r="BU407" s="293"/>
      <c r="BV407" s="293"/>
      <c r="BX407" s="293"/>
      <c r="BY407" s="293"/>
      <c r="BZ407" s="293"/>
      <c r="CB407" s="293"/>
      <c r="CC407" s="293"/>
      <c r="CD407" s="293"/>
      <c r="CF407" s="293"/>
      <c r="CG407" s="293"/>
      <c r="CH407" s="293"/>
      <c r="CJ407" s="293"/>
      <c r="CK407" s="293"/>
      <c r="CL407" s="293"/>
      <c r="CN407" s="293"/>
      <c r="CO407" s="293"/>
      <c r="CP407" s="293"/>
      <c r="CR407" s="293"/>
      <c r="CS407" s="293"/>
      <c r="CT407" s="293"/>
      <c r="CV407" s="293"/>
      <c r="CW407" s="1495"/>
      <c r="CX407" s="1495"/>
      <c r="CZ407" s="293"/>
      <c r="DA407" s="293"/>
      <c r="DB407" s="293"/>
      <c r="DD407" s="293"/>
      <c r="DE407" s="293"/>
      <c r="DF407" s="293"/>
      <c r="DH407" s="293"/>
      <c r="DI407" s="293"/>
      <c r="DJ407" s="293"/>
      <c r="DL407" s="293"/>
      <c r="DM407" s="293"/>
      <c r="DN407" s="293"/>
      <c r="DP407" s="293"/>
      <c r="DQ407" s="293"/>
      <c r="DR407" s="293"/>
    </row>
    <row r="408" spans="1:122" hidden="1" outlineLevel="1">
      <c r="A408" s="102" t="s">
        <v>404</v>
      </c>
      <c r="AO408" s="293">
        <f t="shared" si="337"/>
        <v>0</v>
      </c>
      <c r="AP408" s="293">
        <f t="shared" si="338"/>
        <v>0</v>
      </c>
      <c r="AR408" s="730">
        <v>161</v>
      </c>
      <c r="AS408" s="730">
        <v>39</v>
      </c>
      <c r="AT408" s="293">
        <f t="shared" si="339"/>
        <v>39</v>
      </c>
      <c r="AV408" s="730">
        <v>13</v>
      </c>
      <c r="AW408" s="730">
        <v>0</v>
      </c>
      <c r="AX408" s="293">
        <f t="shared" si="340"/>
        <v>0</v>
      </c>
      <c r="AZ408" s="730">
        <v>42</v>
      </c>
      <c r="BA408" s="626">
        <v>42</v>
      </c>
      <c r="BB408" s="293">
        <f t="shared" si="341"/>
        <v>42</v>
      </c>
      <c r="BD408" s="730">
        <v>49</v>
      </c>
      <c r="BE408" s="626">
        <v>72</v>
      </c>
      <c r="BF408" s="293">
        <f t="shared" si="342"/>
        <v>72</v>
      </c>
      <c r="BH408" s="293">
        <f>+BH391*BH$402</f>
        <v>0</v>
      </c>
      <c r="BI408" s="293"/>
      <c r="BJ408" s="293"/>
      <c r="BL408" s="293"/>
      <c r="BM408" s="293"/>
      <c r="BN408" s="293"/>
      <c r="BP408" s="293"/>
      <c r="BQ408" s="293"/>
      <c r="BR408" s="293"/>
      <c r="BT408" s="293"/>
      <c r="BU408" s="293"/>
      <c r="BV408" s="293"/>
      <c r="BX408" s="293"/>
      <c r="BY408" s="293"/>
      <c r="BZ408" s="293"/>
      <c r="CB408" s="293"/>
      <c r="CC408" s="293"/>
      <c r="CD408" s="293"/>
      <c r="CF408" s="293"/>
      <c r="CG408" s="293"/>
      <c r="CH408" s="293"/>
      <c r="CJ408" s="293"/>
      <c r="CK408" s="293"/>
      <c r="CL408" s="293"/>
      <c r="CN408" s="293"/>
      <c r="CO408" s="293"/>
      <c r="CP408" s="293"/>
      <c r="CR408" s="293"/>
      <c r="CS408" s="293"/>
      <c r="CT408" s="293"/>
      <c r="CV408" s="293"/>
      <c r="CW408" s="1495"/>
      <c r="CX408" s="1495"/>
      <c r="CZ408" s="293"/>
      <c r="DA408" s="293"/>
      <c r="DB408" s="293"/>
      <c r="DD408" s="293"/>
      <c r="DE408" s="293"/>
      <c r="DF408" s="293"/>
      <c r="DH408" s="293"/>
      <c r="DI408" s="293"/>
      <c r="DJ408" s="293"/>
      <c r="DL408" s="293"/>
      <c r="DM408" s="293"/>
      <c r="DN408" s="293"/>
      <c r="DP408" s="293"/>
      <c r="DQ408" s="293"/>
      <c r="DR408" s="293"/>
    </row>
    <row r="409" spans="1:122" hidden="1" outlineLevel="1">
      <c r="A409" s="102" t="s">
        <v>405</v>
      </c>
      <c r="AO409" s="293">
        <f t="shared" si="337"/>
        <v>0</v>
      </c>
      <c r="AP409" s="293">
        <f t="shared" si="338"/>
        <v>0</v>
      </c>
      <c r="AR409" s="730">
        <v>21</v>
      </c>
      <c r="AS409" s="730">
        <v>73</v>
      </c>
      <c r="AT409" s="293">
        <f t="shared" si="339"/>
        <v>73</v>
      </c>
      <c r="AV409" s="730">
        <v>21</v>
      </c>
      <c r="AW409" s="730">
        <v>17</v>
      </c>
      <c r="AX409" s="293">
        <f t="shared" si="340"/>
        <v>17</v>
      </c>
      <c r="AZ409" s="730">
        <v>10</v>
      </c>
      <c r="BA409" s="626">
        <v>9</v>
      </c>
      <c r="BB409" s="293">
        <f t="shared" si="341"/>
        <v>9</v>
      </c>
      <c r="BD409" s="730">
        <v>6</v>
      </c>
      <c r="BE409" s="626">
        <v>5</v>
      </c>
      <c r="BF409" s="293">
        <f t="shared" si="342"/>
        <v>5</v>
      </c>
      <c r="BH409" s="293">
        <f>+BH392*BH$402</f>
        <v>5.12</v>
      </c>
      <c r="BI409" s="293"/>
      <c r="BJ409" s="293"/>
      <c r="BL409" s="293"/>
      <c r="BM409" s="293"/>
      <c r="BN409" s="293"/>
      <c r="BP409" s="293"/>
      <c r="BQ409" s="293"/>
      <c r="BR409" s="293"/>
      <c r="BT409" s="293"/>
      <c r="BU409" s="293"/>
      <c r="BV409" s="293"/>
      <c r="BX409" s="293"/>
      <c r="BY409" s="293"/>
      <c r="BZ409" s="293"/>
      <c r="CB409" s="293"/>
      <c r="CC409" s="293"/>
      <c r="CD409" s="293"/>
      <c r="CF409" s="293"/>
      <c r="CG409" s="293"/>
      <c r="CH409" s="293"/>
      <c r="CJ409" s="293"/>
      <c r="CK409" s="293"/>
      <c r="CL409" s="293"/>
      <c r="CN409" s="293"/>
      <c r="CO409" s="293"/>
      <c r="CP409" s="293"/>
      <c r="CR409" s="293"/>
      <c r="CS409" s="293"/>
      <c r="CT409" s="293"/>
      <c r="CV409" s="293"/>
      <c r="CW409" s="1495"/>
      <c r="CX409" s="1495"/>
      <c r="CZ409" s="293"/>
      <c r="DA409" s="293"/>
      <c r="DB409" s="293"/>
      <c r="DD409" s="293"/>
      <c r="DE409" s="293"/>
      <c r="DF409" s="293"/>
      <c r="DH409" s="293"/>
      <c r="DI409" s="293"/>
      <c r="DJ409" s="293"/>
      <c r="DL409" s="293"/>
      <c r="DM409" s="293"/>
      <c r="DN409" s="293"/>
      <c r="DP409" s="293"/>
      <c r="DQ409" s="293"/>
      <c r="DR409" s="293"/>
    </row>
    <row r="410" spans="1:122" hidden="1" outlineLevel="1">
      <c r="A410" s="302" t="s">
        <v>419</v>
      </c>
      <c r="B410" s="302"/>
      <c r="C410" s="304"/>
      <c r="D410" s="302"/>
      <c r="E410" s="302"/>
      <c r="F410" s="302"/>
      <c r="G410" s="302"/>
      <c r="H410" s="302"/>
      <c r="I410" s="302"/>
      <c r="J410" s="302"/>
      <c r="K410" s="302"/>
      <c r="L410" s="302"/>
      <c r="M410" s="302"/>
      <c r="N410" s="302"/>
      <c r="O410" s="302"/>
      <c r="P410" s="302"/>
      <c r="Q410" s="302"/>
      <c r="R410" s="302"/>
      <c r="S410" s="302"/>
      <c r="T410" s="302"/>
      <c r="U410" s="302"/>
      <c r="V410" s="302"/>
      <c r="W410" s="302"/>
      <c r="X410" s="302"/>
      <c r="Y410" s="302"/>
      <c r="Z410" s="302"/>
      <c r="AA410" s="302"/>
      <c r="AB410" s="302"/>
      <c r="AC410" s="302"/>
      <c r="AD410" s="302"/>
      <c r="AE410" s="302"/>
      <c r="AF410" s="302"/>
      <c r="AG410" s="302"/>
      <c r="AH410" s="302"/>
      <c r="AI410" s="302"/>
      <c r="AJ410" s="302"/>
      <c r="AK410" s="302"/>
      <c r="AL410" s="302"/>
      <c r="AM410" s="302"/>
      <c r="AN410" s="304"/>
      <c r="AO410" s="303">
        <f t="shared" si="337"/>
        <v>0</v>
      </c>
      <c r="AP410" s="303">
        <f t="shared" si="338"/>
        <v>0</v>
      </c>
      <c r="AQ410" s="304"/>
      <c r="AR410" s="634">
        <v>895</v>
      </c>
      <c r="AS410" s="634">
        <v>947</v>
      </c>
      <c r="AT410" s="303">
        <f t="shared" si="339"/>
        <v>947</v>
      </c>
      <c r="AU410" s="304"/>
      <c r="AV410" s="634">
        <v>650</v>
      </c>
      <c r="AW410" s="634">
        <v>1050</v>
      </c>
      <c r="AX410" s="303">
        <f t="shared" si="340"/>
        <v>1050</v>
      </c>
      <c r="AY410" s="304"/>
      <c r="AZ410" s="634">
        <v>800</v>
      </c>
      <c r="BA410" s="634">
        <v>900</v>
      </c>
      <c r="BB410" s="303">
        <f t="shared" si="341"/>
        <v>900</v>
      </c>
      <c r="BC410" s="304"/>
      <c r="BD410" s="634">
        <v>900</v>
      </c>
      <c r="BE410" s="634">
        <v>900</v>
      </c>
      <c r="BF410" s="303">
        <f t="shared" si="342"/>
        <v>900</v>
      </c>
      <c r="BG410" s="304"/>
      <c r="BH410" s="303"/>
      <c r="BI410" s="293"/>
      <c r="BJ410" s="293"/>
      <c r="BL410" s="293"/>
      <c r="BM410" s="293"/>
      <c r="BN410" s="293"/>
      <c r="BP410" s="293"/>
      <c r="BQ410" s="293"/>
      <c r="BR410" s="293"/>
      <c r="BT410" s="293"/>
      <c r="BU410" s="293"/>
      <c r="BV410" s="293"/>
      <c r="BX410" s="293"/>
      <c r="BY410" s="293"/>
      <c r="BZ410" s="293"/>
      <c r="CB410" s="293"/>
      <c r="CC410" s="293"/>
      <c r="CD410" s="293"/>
      <c r="CF410" s="293"/>
      <c r="CG410" s="293"/>
      <c r="CH410" s="293"/>
      <c r="CJ410" s="293"/>
      <c r="CK410" s="293"/>
      <c r="CL410" s="293"/>
      <c r="CN410" s="293"/>
      <c r="CO410" s="293"/>
      <c r="CP410" s="293"/>
      <c r="CR410" s="293"/>
      <c r="CS410" s="293"/>
      <c r="CT410" s="293"/>
      <c r="CV410" s="293"/>
      <c r="CW410" s="1495"/>
      <c r="CX410" s="1495"/>
      <c r="CZ410" s="293"/>
      <c r="DA410" s="293"/>
      <c r="DB410" s="293"/>
      <c r="DD410" s="293"/>
      <c r="DE410" s="293"/>
      <c r="DF410" s="293"/>
      <c r="DH410" s="293"/>
      <c r="DI410" s="293"/>
      <c r="DJ410" s="293"/>
      <c r="DL410" s="293"/>
      <c r="DM410" s="293"/>
      <c r="DN410" s="293"/>
      <c r="DP410" s="293"/>
      <c r="DQ410" s="293"/>
      <c r="DR410" s="293"/>
    </row>
    <row r="411" spans="1:122" hidden="1" outlineLevel="1">
      <c r="A411" s="302" t="s">
        <v>420</v>
      </c>
      <c r="B411" s="302"/>
      <c r="C411" s="304"/>
      <c r="D411" s="302"/>
      <c r="E411" s="302"/>
      <c r="F411" s="302"/>
      <c r="G411" s="302"/>
      <c r="H411" s="302"/>
      <c r="I411" s="302"/>
      <c r="J411" s="302"/>
      <c r="K411" s="302"/>
      <c r="L411" s="302"/>
      <c r="M411" s="302"/>
      <c r="N411" s="302"/>
      <c r="O411" s="302"/>
      <c r="P411" s="302"/>
      <c r="Q411" s="302"/>
      <c r="R411" s="302"/>
      <c r="S411" s="302"/>
      <c r="T411" s="302"/>
      <c r="U411" s="302"/>
      <c r="V411" s="302"/>
      <c r="W411" s="302"/>
      <c r="X411" s="302"/>
      <c r="Y411" s="302"/>
      <c r="Z411" s="302"/>
      <c r="AA411" s="302"/>
      <c r="AB411" s="302"/>
      <c r="AC411" s="302"/>
      <c r="AD411" s="302"/>
      <c r="AE411" s="302"/>
      <c r="AF411" s="302"/>
      <c r="AG411" s="302"/>
      <c r="AH411" s="302"/>
      <c r="AI411" s="302"/>
      <c r="AJ411" s="302"/>
      <c r="AK411" s="302"/>
      <c r="AL411" s="302"/>
      <c r="AM411" s="302"/>
      <c r="AN411" s="304"/>
      <c r="AO411" s="303">
        <f t="shared" si="337"/>
        <v>0</v>
      </c>
      <c r="AP411" s="303">
        <f t="shared" si="338"/>
        <v>0</v>
      </c>
      <c r="AQ411" s="304"/>
      <c r="AR411" s="634">
        <v>914</v>
      </c>
      <c r="AS411" s="634">
        <v>1173</v>
      </c>
      <c r="AT411" s="303">
        <f t="shared" si="339"/>
        <v>1173</v>
      </c>
      <c r="AU411" s="304"/>
      <c r="AV411" s="634">
        <f>1788-AV410</f>
        <v>1138</v>
      </c>
      <c r="AW411" s="634">
        <f>1685-AW410</f>
        <v>635</v>
      </c>
      <c r="AX411" s="303">
        <f t="shared" si="340"/>
        <v>635</v>
      </c>
      <c r="AY411" s="304"/>
      <c r="AZ411" s="644">
        <f>1811-AZ410</f>
        <v>1011</v>
      </c>
      <c r="BA411" s="644">
        <f>1690-BA410</f>
        <v>790</v>
      </c>
      <c r="BB411" s="303">
        <f t="shared" si="341"/>
        <v>790</v>
      </c>
      <c r="BC411" s="304"/>
      <c r="BD411" s="644">
        <f>1866-BD410</f>
        <v>966</v>
      </c>
      <c r="BE411" s="627">
        <f>1854-BE410</f>
        <v>954</v>
      </c>
      <c r="BF411" s="303">
        <f t="shared" si="342"/>
        <v>954</v>
      </c>
      <c r="BG411" s="304"/>
      <c r="BH411" s="303"/>
      <c r="BI411" s="293"/>
      <c r="BJ411" s="293"/>
      <c r="BL411" s="293"/>
      <c r="BM411" s="293"/>
      <c r="BN411" s="293"/>
      <c r="BP411" s="293"/>
      <c r="BQ411" s="293"/>
      <c r="BR411" s="293"/>
      <c r="BT411" s="293"/>
      <c r="BU411" s="293"/>
      <c r="BV411" s="293"/>
      <c r="BX411" s="293"/>
      <c r="BY411" s="293"/>
      <c r="BZ411" s="293"/>
      <c r="CB411" s="293"/>
      <c r="CC411" s="293"/>
      <c r="CD411" s="293"/>
      <c r="CF411" s="293"/>
      <c r="CG411" s="293"/>
      <c r="CH411" s="293"/>
      <c r="CJ411" s="293"/>
      <c r="CK411" s="293"/>
      <c r="CL411" s="293"/>
      <c r="CN411" s="293"/>
      <c r="CO411" s="293"/>
      <c r="CP411" s="293"/>
      <c r="CR411" s="293"/>
      <c r="CS411" s="293"/>
      <c r="CT411" s="293"/>
      <c r="CV411" s="293"/>
      <c r="CW411" s="1495"/>
      <c r="CX411" s="1495"/>
      <c r="CZ411" s="293"/>
      <c r="DA411" s="293"/>
      <c r="DB411" s="293"/>
      <c r="DD411" s="293"/>
      <c r="DE411" s="293"/>
      <c r="DF411" s="293"/>
      <c r="DH411" s="293"/>
      <c r="DI411" s="293"/>
      <c r="DJ411" s="293"/>
      <c r="DL411" s="293"/>
      <c r="DM411" s="293"/>
      <c r="DN411" s="293"/>
      <c r="DP411" s="293"/>
      <c r="DQ411" s="293"/>
      <c r="DR411" s="293"/>
    </row>
    <row r="412" spans="1:122" hidden="1" outlineLevel="1">
      <c r="A412" s="102" t="s">
        <v>421</v>
      </c>
      <c r="AO412" s="293"/>
      <c r="AP412" s="293"/>
      <c r="AR412" s="730"/>
      <c r="AS412" s="730"/>
      <c r="AT412" s="293"/>
      <c r="AV412" s="730"/>
      <c r="AW412" s="730"/>
      <c r="AX412" s="293"/>
      <c r="AZ412" s="638"/>
      <c r="BA412" s="638"/>
      <c r="BB412" s="293"/>
      <c r="BD412" s="638"/>
      <c r="BE412" s="626"/>
      <c r="BF412" s="293"/>
      <c r="BH412" s="293">
        <f>+BH395*BH$402</f>
        <v>1928.16</v>
      </c>
      <c r="BI412" s="293"/>
      <c r="BJ412" s="293"/>
      <c r="BL412" s="293"/>
      <c r="BM412" s="293"/>
      <c r="BN412" s="293"/>
      <c r="BP412" s="293"/>
      <c r="BQ412" s="293"/>
      <c r="BR412" s="293"/>
      <c r="BT412" s="293"/>
      <c r="BU412" s="293"/>
      <c r="BV412" s="293"/>
      <c r="BX412" s="293"/>
      <c r="BY412" s="293"/>
      <c r="BZ412" s="293"/>
      <c r="CB412" s="293"/>
      <c r="CC412" s="293"/>
      <c r="CD412" s="293"/>
      <c r="CF412" s="293"/>
      <c r="CG412" s="293"/>
      <c r="CH412" s="293"/>
      <c r="CJ412" s="293"/>
      <c r="CK412" s="293"/>
      <c r="CL412" s="293"/>
      <c r="CN412" s="293"/>
      <c r="CO412" s="293"/>
      <c r="CP412" s="293"/>
      <c r="CR412" s="293"/>
      <c r="CS412" s="293"/>
      <c r="CT412" s="293"/>
      <c r="CV412" s="293"/>
      <c r="CW412" s="1495"/>
      <c r="CX412" s="1495"/>
      <c r="CZ412" s="293"/>
      <c r="DA412" s="293"/>
      <c r="DB412" s="293"/>
      <c r="DD412" s="293"/>
      <c r="DE412" s="293"/>
      <c r="DF412" s="293"/>
      <c r="DH412" s="293"/>
      <c r="DI412" s="293"/>
      <c r="DJ412" s="293"/>
      <c r="DL412" s="293"/>
      <c r="DM412" s="293"/>
      <c r="DN412" s="293"/>
      <c r="DP412" s="293"/>
      <c r="DQ412" s="293"/>
      <c r="DR412" s="293"/>
    </row>
    <row r="413" spans="1:122" hidden="1" outlineLevel="1">
      <c r="A413" s="102" t="s">
        <v>422</v>
      </c>
      <c r="AO413" s="293">
        <f>+AO396*AO$402</f>
        <v>0</v>
      </c>
      <c r="AP413" s="293">
        <f t="shared" si="338"/>
        <v>0</v>
      </c>
      <c r="AR413" s="730">
        <v>0</v>
      </c>
      <c r="AS413" s="730">
        <v>0</v>
      </c>
      <c r="AT413" s="293">
        <f t="shared" si="339"/>
        <v>0</v>
      </c>
      <c r="AV413" s="730">
        <v>0</v>
      </c>
      <c r="AW413" s="730">
        <v>0</v>
      </c>
      <c r="AX413" s="293">
        <f t="shared" si="340"/>
        <v>0</v>
      </c>
      <c r="AZ413" s="730">
        <v>0</v>
      </c>
      <c r="BA413" s="730">
        <v>0</v>
      </c>
      <c r="BB413" s="293">
        <f t="shared" si="341"/>
        <v>0</v>
      </c>
      <c r="BD413" s="730">
        <v>0</v>
      </c>
      <c r="BE413" s="626">
        <v>0</v>
      </c>
      <c r="BF413" s="293">
        <f t="shared" si="342"/>
        <v>0</v>
      </c>
      <c r="BH413" s="293">
        <f>+BH396*BH$402</f>
        <v>0</v>
      </c>
      <c r="BI413" s="293"/>
      <c r="BJ413" s="293"/>
      <c r="BL413" s="293"/>
      <c r="BM413" s="293"/>
      <c r="BN413" s="293"/>
      <c r="BP413" s="293"/>
      <c r="BQ413" s="293"/>
      <c r="BR413" s="293"/>
      <c r="BT413" s="293"/>
      <c r="BU413" s="293"/>
      <c r="BV413" s="293"/>
      <c r="BX413" s="293"/>
      <c r="BY413" s="293"/>
      <c r="BZ413" s="293"/>
      <c r="CB413" s="293"/>
      <c r="CC413" s="293"/>
      <c r="CD413" s="293"/>
      <c r="CF413" s="293"/>
      <c r="CG413" s="293"/>
      <c r="CH413" s="293"/>
      <c r="CJ413" s="293"/>
      <c r="CK413" s="293"/>
      <c r="CL413" s="293"/>
      <c r="CN413" s="293"/>
      <c r="CO413" s="293"/>
      <c r="CP413" s="293"/>
      <c r="CR413" s="293"/>
      <c r="CS413" s="293"/>
      <c r="CT413" s="293"/>
      <c r="CV413" s="293"/>
      <c r="CW413" s="1495"/>
      <c r="CX413" s="1495"/>
      <c r="CZ413" s="293"/>
      <c r="DA413" s="293"/>
      <c r="DB413" s="293"/>
      <c r="DD413" s="293"/>
      <c r="DE413" s="293"/>
      <c r="DF413" s="293"/>
      <c r="DH413" s="293"/>
      <c r="DI413" s="293"/>
      <c r="DJ413" s="293"/>
      <c r="DL413" s="293"/>
      <c r="DM413" s="293"/>
      <c r="DN413" s="293"/>
      <c r="DP413" s="293"/>
      <c r="DQ413" s="293"/>
      <c r="DR413" s="293"/>
    </row>
    <row r="414" spans="1:122" hidden="1" outlineLevel="1">
      <c r="A414" s="102" t="s">
        <v>232</v>
      </c>
      <c r="AO414" s="293">
        <f>+AO397*AO$402</f>
        <v>0</v>
      </c>
      <c r="AP414" s="293">
        <f t="shared" si="338"/>
        <v>0</v>
      </c>
      <c r="AR414" s="730">
        <v>205</v>
      </c>
      <c r="AS414" s="730">
        <v>183</v>
      </c>
      <c r="AT414" s="293">
        <f t="shared" si="339"/>
        <v>183</v>
      </c>
      <c r="AV414" s="730">
        <v>198</v>
      </c>
      <c r="AW414" s="730">
        <v>276</v>
      </c>
      <c r="AX414" s="293">
        <f t="shared" si="340"/>
        <v>276</v>
      </c>
      <c r="AZ414" s="730">
        <v>242</v>
      </c>
      <c r="BA414" s="626">
        <v>283</v>
      </c>
      <c r="BB414" s="293">
        <f t="shared" si="341"/>
        <v>283</v>
      </c>
      <c r="BD414" s="730">
        <v>273</v>
      </c>
      <c r="BE414" s="626">
        <v>292</v>
      </c>
      <c r="BF414" s="293">
        <f t="shared" si="342"/>
        <v>292</v>
      </c>
      <c r="BH414" s="293">
        <f>BH415-SUM(BH412:BH413,BH405:BH409)</f>
        <v>252.92000000000007</v>
      </c>
      <c r="BI414" s="293"/>
      <c r="BJ414" s="293"/>
      <c r="BL414" s="293"/>
      <c r="BM414" s="293"/>
      <c r="BN414" s="293"/>
      <c r="BP414" s="293"/>
      <c r="BQ414" s="293"/>
      <c r="BR414" s="293"/>
      <c r="BT414" s="293"/>
      <c r="BU414" s="293"/>
      <c r="BV414" s="293"/>
      <c r="BX414" s="293"/>
      <c r="BY414" s="293"/>
      <c r="BZ414" s="293"/>
      <c r="CB414" s="293"/>
      <c r="CC414" s="293"/>
      <c r="CD414" s="293"/>
      <c r="CF414" s="293"/>
      <c r="CG414" s="293"/>
      <c r="CH414" s="293"/>
      <c r="CJ414" s="293"/>
      <c r="CK414" s="293"/>
      <c r="CL414" s="293"/>
      <c r="CN414" s="293"/>
      <c r="CO414" s="293"/>
      <c r="CP414" s="293"/>
      <c r="CR414" s="293"/>
      <c r="CS414" s="293"/>
      <c r="CT414" s="293"/>
      <c r="CV414" s="293"/>
      <c r="CW414" s="1495"/>
      <c r="CX414" s="1495"/>
      <c r="CZ414" s="293"/>
      <c r="DA414" s="293"/>
      <c r="DB414" s="293"/>
      <c r="DD414" s="293"/>
      <c r="DE414" s="293"/>
      <c r="DF414" s="293"/>
      <c r="DH414" s="293"/>
      <c r="DI414" s="293"/>
      <c r="DJ414" s="293"/>
      <c r="DL414" s="293"/>
      <c r="DM414" s="293"/>
      <c r="DN414" s="293"/>
      <c r="DP414" s="293"/>
      <c r="DQ414" s="293"/>
      <c r="DR414" s="293"/>
    </row>
    <row r="415" spans="1:122" hidden="1" outlineLevel="1">
      <c r="A415" s="289" t="s">
        <v>10</v>
      </c>
      <c r="AO415" s="295">
        <f>SUM(AO405:AO414)</f>
        <v>0</v>
      </c>
      <c r="AP415" s="295">
        <f t="shared" si="338"/>
        <v>0</v>
      </c>
      <c r="AR415" s="295">
        <f>SUM(AR405:AR414)</f>
        <v>2461</v>
      </c>
      <c r="AS415" s="295">
        <f>SUM(AS405:AS414)</f>
        <v>2617</v>
      </c>
      <c r="AT415" s="295">
        <f t="shared" si="339"/>
        <v>2617</v>
      </c>
      <c r="AV415" s="295">
        <f>SUM(AV405:AV414)</f>
        <v>2127</v>
      </c>
      <c r="AW415" s="295">
        <f>SUM(AW405:AW414)</f>
        <v>2086</v>
      </c>
      <c r="AX415" s="295">
        <f t="shared" si="340"/>
        <v>2086</v>
      </c>
      <c r="AY415" s="295"/>
      <c r="AZ415" s="295">
        <f>SUM(AZ405:AZ414)</f>
        <v>2218</v>
      </c>
      <c r="BA415" s="295">
        <f>SUM(BA405:BA414)</f>
        <v>2326</v>
      </c>
      <c r="BB415" s="295">
        <f t="shared" si="341"/>
        <v>2326</v>
      </c>
      <c r="BD415" s="295">
        <f>SUM(BD405:BD414)</f>
        <v>2315</v>
      </c>
      <c r="BE415" s="295">
        <f>SUM(BE405:BE414)</f>
        <v>2354</v>
      </c>
      <c r="BF415" s="295">
        <f t="shared" si="342"/>
        <v>2354</v>
      </c>
      <c r="BH415" s="655">
        <v>2321</v>
      </c>
      <c r="BI415" s="655"/>
      <c r="BJ415" s="295"/>
      <c r="BL415" s="295"/>
      <c r="BM415" s="295"/>
      <c r="BN415" s="295"/>
      <c r="BP415" s="295"/>
      <c r="BQ415" s="295"/>
      <c r="BR415" s="295"/>
      <c r="BT415" s="295"/>
      <c r="BU415" s="295"/>
      <c r="BV415" s="295"/>
      <c r="BX415" s="295"/>
      <c r="BY415" s="295"/>
      <c r="BZ415" s="295"/>
      <c r="CB415" s="295"/>
      <c r="CC415" s="295"/>
      <c r="CD415" s="295"/>
      <c r="CF415" s="295"/>
      <c r="CG415" s="295"/>
      <c r="CH415" s="295"/>
      <c r="CJ415" s="295"/>
      <c r="CK415" s="295"/>
      <c r="CL415" s="295"/>
      <c r="CN415" s="295"/>
      <c r="CO415" s="295"/>
      <c r="CP415" s="295"/>
      <c r="CR415" s="295"/>
      <c r="CS415" s="295"/>
      <c r="CT415" s="295"/>
      <c r="CV415" s="295"/>
      <c r="CW415" s="1390"/>
      <c r="CX415" s="1390"/>
      <c r="CZ415" s="295"/>
      <c r="DA415" s="295"/>
      <c r="DB415" s="295"/>
      <c r="DD415" s="295"/>
      <c r="DE415" s="295"/>
      <c r="DF415" s="295"/>
      <c r="DH415" s="295"/>
      <c r="DI415" s="295"/>
      <c r="DJ415" s="295"/>
      <c r="DL415" s="295"/>
      <c r="DM415" s="295"/>
      <c r="DN415" s="295"/>
      <c r="DP415" s="295"/>
      <c r="DQ415" s="295"/>
      <c r="DR415" s="295"/>
    </row>
    <row r="416" spans="1:122" hidden="1" outlineLevel="1">
      <c r="A416" s="302" t="s">
        <v>428</v>
      </c>
      <c r="B416" s="302"/>
      <c r="C416" s="304"/>
      <c r="D416" s="302"/>
      <c r="E416" s="302"/>
      <c r="F416" s="302"/>
      <c r="G416" s="302"/>
      <c r="H416" s="302"/>
      <c r="I416" s="302"/>
      <c r="J416" s="302"/>
      <c r="K416" s="302"/>
      <c r="L416" s="302"/>
      <c r="M416" s="302"/>
      <c r="N416" s="302"/>
      <c r="O416" s="302"/>
      <c r="P416" s="302"/>
      <c r="Q416" s="302"/>
      <c r="R416" s="302"/>
      <c r="S416" s="302"/>
      <c r="T416" s="302"/>
      <c r="U416" s="302"/>
      <c r="V416" s="302"/>
      <c r="W416" s="302"/>
      <c r="X416" s="302"/>
      <c r="Y416" s="302"/>
      <c r="Z416" s="302"/>
      <c r="AA416" s="302"/>
      <c r="AB416" s="302"/>
      <c r="AC416" s="302"/>
      <c r="AD416" s="302"/>
      <c r="AE416" s="302"/>
      <c r="AF416" s="302"/>
      <c r="AG416" s="302"/>
      <c r="AH416" s="302"/>
      <c r="AI416" s="302"/>
      <c r="AJ416" s="302"/>
      <c r="AK416" s="302"/>
      <c r="AL416" s="302"/>
      <c r="AM416" s="302"/>
      <c r="AN416" s="304"/>
      <c r="AO416" s="634">
        <v>340</v>
      </c>
      <c r="AP416" s="303">
        <f t="shared" si="338"/>
        <v>340</v>
      </c>
      <c r="AQ416" s="304"/>
      <c r="AR416" s="634">
        <v>340</v>
      </c>
      <c r="AS416" s="634">
        <v>-216</v>
      </c>
      <c r="AT416" s="303">
        <f t="shared" si="339"/>
        <v>-216</v>
      </c>
      <c r="AU416" s="304"/>
      <c r="AV416" s="634">
        <v>-41</v>
      </c>
      <c r="AW416" s="634">
        <v>8</v>
      </c>
      <c r="AX416" s="303">
        <f t="shared" si="340"/>
        <v>8</v>
      </c>
      <c r="AY416" s="304"/>
      <c r="AZ416" s="634">
        <v>110</v>
      </c>
      <c r="BA416" s="634">
        <v>419</v>
      </c>
      <c r="BB416" s="303">
        <f t="shared" si="341"/>
        <v>419</v>
      </c>
      <c r="BC416" s="304"/>
      <c r="BD416" s="634">
        <v>293</v>
      </c>
      <c r="BE416" s="634">
        <v>410</v>
      </c>
      <c r="BF416" s="303">
        <f t="shared" si="342"/>
        <v>410</v>
      </c>
      <c r="BG416" s="304"/>
      <c r="BH416" s="634">
        <v>340</v>
      </c>
      <c r="BI416" s="730"/>
      <c r="BJ416" s="293"/>
      <c r="BL416" s="730"/>
      <c r="BM416" s="730"/>
      <c r="BN416" s="293"/>
      <c r="BP416" s="730"/>
      <c r="BQ416" s="730"/>
      <c r="BR416" s="293"/>
      <c r="BT416" s="730"/>
      <c r="BU416" s="730"/>
      <c r="BV416" s="293"/>
      <c r="BX416" s="730"/>
      <c r="BY416" s="730"/>
      <c r="BZ416" s="293"/>
      <c r="CB416" s="730"/>
      <c r="CC416" s="730"/>
      <c r="CD416" s="293"/>
      <c r="CF416" s="730"/>
      <c r="CG416" s="730"/>
      <c r="CH416" s="293"/>
      <c r="CJ416" s="730"/>
      <c r="CK416" s="730"/>
      <c r="CL416" s="293"/>
      <c r="CN416" s="730"/>
      <c r="CO416" s="730"/>
      <c r="CP416" s="293"/>
      <c r="CR416" s="730"/>
      <c r="CS416" s="730"/>
      <c r="CT416" s="293"/>
      <c r="CV416" s="730"/>
      <c r="CW416" s="1504"/>
      <c r="CX416" s="1495"/>
      <c r="CZ416" s="730"/>
      <c r="DA416" s="730"/>
      <c r="DB416" s="293"/>
      <c r="DD416" s="730"/>
      <c r="DE416" s="730"/>
      <c r="DF416" s="293"/>
      <c r="DH416" s="730"/>
      <c r="DI416" s="730"/>
      <c r="DJ416" s="293"/>
      <c r="DL416" s="730"/>
      <c r="DM416" s="730"/>
      <c r="DN416" s="293"/>
      <c r="DP416" s="730"/>
      <c r="DQ416" s="730"/>
      <c r="DR416" s="293"/>
    </row>
    <row r="417" spans="1:122" hidden="1" outlineLevel="1">
      <c r="A417" s="289" t="s">
        <v>274</v>
      </c>
      <c r="AO417" s="295">
        <f>SUM(AO415:AO416)</f>
        <v>340</v>
      </c>
      <c r="AP417" s="295">
        <f t="shared" si="338"/>
        <v>340</v>
      </c>
      <c r="AR417" s="295">
        <f>SUM(AR415:AR416)</f>
        <v>2801</v>
      </c>
      <c r="AS417" s="295">
        <f>SUM(AS415:AS416)</f>
        <v>2401</v>
      </c>
      <c r="AT417" s="295">
        <f t="shared" si="339"/>
        <v>2401</v>
      </c>
      <c r="AV417" s="295">
        <f>SUM(AV415:AV416)</f>
        <v>2086</v>
      </c>
      <c r="AW417" s="295">
        <f>SUM(AW415:AW416)</f>
        <v>2094</v>
      </c>
      <c r="AX417" s="295">
        <f t="shared" si="340"/>
        <v>2094</v>
      </c>
      <c r="AZ417" s="295">
        <f>SUM(AZ415:AZ416)</f>
        <v>2328</v>
      </c>
      <c r="BA417" s="295">
        <f>SUM(BA415:BA416)</f>
        <v>2745</v>
      </c>
      <c r="BB417" s="295">
        <f t="shared" si="341"/>
        <v>2745</v>
      </c>
      <c r="BD417" s="295">
        <f>SUM(BD415:BD416)</f>
        <v>2608</v>
      </c>
      <c r="BE417" s="295">
        <f>SUM(BE415:BE416)</f>
        <v>2764</v>
      </c>
      <c r="BF417" s="295">
        <f t="shared" si="342"/>
        <v>2764</v>
      </c>
      <c r="BH417" s="295">
        <f>SUM(BH415:BH416)</f>
        <v>2661</v>
      </c>
      <c r="BI417" s="295"/>
      <c r="BJ417" s="295"/>
      <c r="BL417" s="295"/>
      <c r="BM417" s="295"/>
      <c r="BN417" s="295"/>
      <c r="BP417" s="295"/>
      <c r="BQ417" s="295"/>
      <c r="BR417" s="295"/>
      <c r="BT417" s="295"/>
      <c r="BU417" s="295"/>
      <c r="BV417" s="295"/>
      <c r="BX417" s="295"/>
      <c r="BY417" s="295"/>
      <c r="BZ417" s="295"/>
      <c r="CB417" s="295"/>
      <c r="CC417" s="295"/>
      <c r="CD417" s="295"/>
      <c r="CF417" s="295"/>
      <c r="CG417" s="295"/>
      <c r="CH417" s="295"/>
      <c r="CJ417" s="295"/>
      <c r="CK417" s="295"/>
      <c r="CL417" s="295"/>
      <c r="CN417" s="295"/>
      <c r="CO417" s="295"/>
      <c r="CP417" s="295"/>
      <c r="CR417" s="295"/>
      <c r="CS417" s="295"/>
      <c r="CT417" s="295"/>
      <c r="CV417" s="295"/>
      <c r="CW417" s="1390"/>
      <c r="CX417" s="1390"/>
      <c r="CZ417" s="295"/>
      <c r="DA417" s="295"/>
      <c r="DB417" s="295"/>
      <c r="DD417" s="295"/>
      <c r="DE417" s="295"/>
      <c r="DF417" s="295"/>
      <c r="DH417" s="295"/>
      <c r="DI417" s="295"/>
      <c r="DJ417" s="295"/>
      <c r="DL417" s="295"/>
      <c r="DM417" s="295"/>
      <c r="DN417" s="295"/>
      <c r="DP417" s="295"/>
      <c r="DQ417" s="295"/>
      <c r="DR417" s="295"/>
    </row>
    <row r="418" spans="1:122" collapsed="1"/>
    <row r="419" spans="1:122">
      <c r="AB419" s="332"/>
      <c r="AC419" s="332"/>
      <c r="AD419" s="332"/>
      <c r="AE419" s="332"/>
      <c r="AF419" s="332"/>
      <c r="AG419" s="332"/>
      <c r="AH419" s="332"/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1">
    <tabColor indexed="13"/>
  </sheetPr>
  <dimension ref="A1:JJ59"/>
  <sheetViews>
    <sheetView showGridLines="0" zoomScale="115" zoomScaleNormal="115" workbookViewId="0">
      <pane xSplit="3" ySplit="4" topLeftCell="CU5" activePane="bottomRight" state="frozen"/>
      <selection activeCell="JH1" sqref="JH1"/>
      <selection pane="topRight" activeCell="JH1" sqref="JH1"/>
      <selection pane="bottomLeft" activeCell="JH1" sqref="JH1"/>
      <selection pane="bottomRight" activeCell="CZ66" sqref="CY66:CZ66"/>
    </sheetView>
  </sheetViews>
  <sheetFormatPr defaultColWidth="8.88671875" defaultRowHeight="13.8"/>
  <cols>
    <col min="1" max="1" width="39.109375" style="100" customWidth="1"/>
    <col min="2" max="3" width="8.88671875" style="100"/>
    <col min="4" max="15" width="0" style="100" hidden="1" customWidth="1"/>
    <col min="16" max="62" width="8.88671875" style="100"/>
    <col min="63" max="63" width="9.33203125" style="100" customWidth="1"/>
    <col min="64" max="67" width="8.88671875" style="100"/>
    <col min="68" max="68" width="10" style="100" customWidth="1"/>
    <col min="69" max="87" width="8.88671875" style="100"/>
    <col min="88" max="88" width="7.6640625" style="100" customWidth="1"/>
    <col min="89" max="89" width="8.88671875" style="100"/>
    <col min="90" max="90" width="14" style="100" customWidth="1"/>
    <col min="91" max="91" width="8.88671875" style="100"/>
    <col min="92" max="92" width="10.6640625" style="100" customWidth="1"/>
    <col min="93" max="124" width="8.88671875" style="100"/>
    <col min="125" max="125" width="15" style="100" customWidth="1"/>
    <col min="126" max="269" width="8.88671875" style="100"/>
    <col min="271" max="16384" width="8.88671875" style="100"/>
  </cols>
  <sheetData>
    <row r="1" spans="1:270" s="103" customFormat="1">
      <c r="AN1" s="103">
        <f>EOMONTH(AN2,0)-EOMONTH(AN2,-6)</f>
        <v>183</v>
      </c>
      <c r="AO1" s="103">
        <f>EOMONTH(AO2,0)-EOMONTH(AO2,-6)</f>
        <v>183</v>
      </c>
      <c r="AR1" s="103">
        <f>EOMONTH(AR2,0)-EOMONTH(AR2,-6)</f>
        <v>183</v>
      </c>
      <c r="AS1" s="103">
        <f>EOMONTH(AS2,0)-EOMONTH(AS2,-6)</f>
        <v>182</v>
      </c>
      <c r="AV1" s="103">
        <f>EOMONTH(AV2,0)-EOMONTH(AV2,-6)</f>
        <v>183</v>
      </c>
      <c r="AW1" s="103">
        <f>EOMONTH(AW2,0)-EOMONTH(AW2,-6)</f>
        <v>182</v>
      </c>
      <c r="AZ1" s="103">
        <f>EOMONTH(AZ2,0)-EOMONTH(AZ2,-6)</f>
        <v>183</v>
      </c>
      <c r="BA1" s="103">
        <f>EOMONTH(BA2,0)-EOMONTH(BA2,-6)</f>
        <v>182</v>
      </c>
      <c r="BB1" s="293"/>
      <c r="BD1" s="103">
        <f>EOMONTH(BD2,0)-EOMONTH(BD2,-6)</f>
        <v>183</v>
      </c>
      <c r="BE1" s="103">
        <f>EOMONTH(BE2,0)-EOMONTH(BE2,-6)</f>
        <v>183</v>
      </c>
      <c r="BH1" s="103">
        <f>EOMONTH(BH2,0)-EOMONTH(BH2,-6)</f>
        <v>183</v>
      </c>
      <c r="BI1" s="103">
        <f>EOMONTH(BI2,0)-EOMONTH(BI2,-6)</f>
        <v>182</v>
      </c>
      <c r="BL1" s="103">
        <f>EOMONTH(BL2,0)-EOMONTH(BL2,-6)</f>
        <v>183</v>
      </c>
      <c r="BM1" s="103">
        <f>EOMONTH(BM2,0)-EOMONTH(BM2,-6)</f>
        <v>182</v>
      </c>
      <c r="BP1" s="103">
        <f>EOMONTH(BP2,0)-EOMONTH(BP2,-6)</f>
        <v>183</v>
      </c>
      <c r="BQ1" s="103">
        <f>EOMONTH(BQ2,0)-EOMONTH(BQ2,-6)</f>
        <v>182</v>
      </c>
      <c r="BR1" s="293">
        <f>BR18</f>
        <v>0</v>
      </c>
      <c r="BT1" s="103">
        <f>EOMONTH(BT2,0)-EOMONTH(BT2,-6)</f>
        <v>183</v>
      </c>
      <c r="BU1" s="103">
        <f>EOMONTH(BU2,0)-EOMONTH(BU2,-6)</f>
        <v>183</v>
      </c>
      <c r="BX1" s="103">
        <f>EOMONTH(BX2,0)-EOMONTH(BX2,-6)</f>
        <v>183</v>
      </c>
      <c r="BY1" s="103">
        <f>EOMONTH(BY2,0)-EOMONTH(BY2,-6)</f>
        <v>182</v>
      </c>
      <c r="CB1" s="103">
        <f>EOMONTH(CB2,0)-EOMONTH(CB2,-6)</f>
        <v>183</v>
      </c>
      <c r="CC1" s="103">
        <f>EOMONTH(CC2,0)-EOMONTH(CC2,-6)</f>
        <v>182</v>
      </c>
      <c r="CF1" s="103">
        <f>EOMONTH(CF2,0)-EOMONTH(CF2,-6)</f>
        <v>183</v>
      </c>
      <c r="CG1" s="103">
        <f>EOMONTH(CG2,0)-EOMONTH(CG2,-6)</f>
        <v>182</v>
      </c>
      <c r="CJ1" s="103">
        <f>EOMONTH(CJ2,0)-EOMONTH(CJ2,-6)</f>
        <v>183</v>
      </c>
      <c r="CK1" s="103">
        <f>EOMONTH(CK2,0)-EOMONTH(CK2,-6)</f>
        <v>183</v>
      </c>
      <c r="CN1" s="103">
        <f>EOMONTH(CN2,0)-EOMONTH(CN2,-6)</f>
        <v>183</v>
      </c>
      <c r="CO1" s="103">
        <f>EOMONTH(CO2,0)-EOMONTH(CO2,-6)</f>
        <v>182</v>
      </c>
      <c r="CR1" s="103">
        <f>EOMONTH(CR2,0)-EOMONTH(CR2,-6)</f>
        <v>183</v>
      </c>
      <c r="CS1" s="103">
        <f>EOMONTH(CS2,0)-EOMONTH(CS2,-6)</f>
        <v>182</v>
      </c>
      <c r="CV1" s="103">
        <f>EOMONTH(CV2,0)-EOMONTH(CV2,-6)</f>
        <v>183</v>
      </c>
      <c r="CW1" s="103">
        <f>EOMONTH(CW2,0)-EOMONTH(CW2,-6)</f>
        <v>182</v>
      </c>
      <c r="CZ1" s="103">
        <f>EOMONTH(CZ2,0)-EOMONTH(CZ2,-6)</f>
        <v>183</v>
      </c>
      <c r="DA1" s="103">
        <f>EOMONTH(DA2,0)-EOMONTH(DA2,-6)</f>
        <v>183</v>
      </c>
      <c r="DD1" s="103">
        <f>EOMONTH(DD2,0)-EOMONTH(DD2,-6)</f>
        <v>183</v>
      </c>
      <c r="DE1" s="103">
        <f>EOMONTH(DE2,0)-EOMONTH(DE2,-6)</f>
        <v>182</v>
      </c>
      <c r="DH1" s="103">
        <f>EOMONTH(DH2,0)-EOMONTH(DH2,-6)</f>
        <v>183</v>
      </c>
      <c r="DI1" s="103">
        <f>EOMONTH(DI2,0)-EOMONTH(DI2,-6)</f>
        <v>182</v>
      </c>
      <c r="DL1" s="103">
        <f>EOMONTH(DL2,0)-EOMONTH(DL2,-6)</f>
        <v>183</v>
      </c>
      <c r="DM1" s="103">
        <f>EOMONTH(DM2,0)-EOMONTH(DM2,-6)</f>
        <v>182</v>
      </c>
      <c r="DP1" s="103">
        <f>EOMONTH(DP2,0)-EOMONTH(DP2,-6)</f>
        <v>183</v>
      </c>
      <c r="DQ1" s="103">
        <f>EOMONTH(DQ2,0)-EOMONTH(DQ2,-6)</f>
        <v>183</v>
      </c>
      <c r="JJ1"/>
    </row>
    <row r="2" spans="1:270" s="103" customFormat="1">
      <c r="D2" s="613">
        <v>36404</v>
      </c>
      <c r="E2" s="613">
        <v>36586</v>
      </c>
      <c r="F2" s="613"/>
      <c r="G2" s="613"/>
      <c r="H2" s="613">
        <v>36770</v>
      </c>
      <c r="I2" s="613">
        <v>36951</v>
      </c>
      <c r="J2" s="613"/>
      <c r="K2" s="613"/>
      <c r="L2" s="613">
        <v>37135</v>
      </c>
      <c r="M2" s="613">
        <v>37316</v>
      </c>
      <c r="N2" s="613"/>
      <c r="O2" s="613"/>
      <c r="P2" s="613">
        <v>37500</v>
      </c>
      <c r="Q2" s="613">
        <v>37681</v>
      </c>
      <c r="R2" s="613"/>
      <c r="S2" s="613"/>
      <c r="T2" s="613">
        <v>37865</v>
      </c>
      <c r="U2" s="613">
        <v>38047</v>
      </c>
      <c r="V2" s="613"/>
      <c r="W2" s="613"/>
      <c r="X2" s="613">
        <v>38231</v>
      </c>
      <c r="Y2" s="613">
        <v>38412</v>
      </c>
      <c r="Z2" s="613"/>
      <c r="AA2" s="613"/>
      <c r="AB2" s="613">
        <v>38596</v>
      </c>
      <c r="AC2" s="613">
        <v>38777</v>
      </c>
      <c r="AD2" s="613"/>
      <c r="AE2" s="613"/>
      <c r="AF2" s="613">
        <v>38961</v>
      </c>
      <c r="AG2" s="613">
        <v>39142</v>
      </c>
      <c r="AH2" s="613"/>
      <c r="AI2" s="613"/>
      <c r="AJ2" s="613">
        <v>39326</v>
      </c>
      <c r="AK2" s="613">
        <v>39508</v>
      </c>
      <c r="AL2" s="613"/>
      <c r="AM2" s="613"/>
      <c r="AN2" s="613">
        <v>39326</v>
      </c>
      <c r="AO2" s="613">
        <f>DATE(YEAR(AN2),MONTH(AN2)+6,1)</f>
        <v>39508</v>
      </c>
      <c r="AP2" s="613"/>
      <c r="AQ2" s="613"/>
      <c r="AR2" s="613">
        <f>DATE(YEAR(AO2),MONTH(AO2)+6,1)</f>
        <v>39692</v>
      </c>
      <c r="AS2" s="613">
        <f>DATE(YEAR(AR2),MONTH(AR2)+6,1)</f>
        <v>39873</v>
      </c>
      <c r="AT2" s="613"/>
      <c r="AU2" s="613"/>
      <c r="AV2" s="613">
        <f>DATE(YEAR(AS2),MONTH(AS2)+6,1)</f>
        <v>40057</v>
      </c>
      <c r="AW2" s="613">
        <f>DATE(YEAR(AV2),MONTH(AV2)+6,1)</f>
        <v>40238</v>
      </c>
      <c r="AX2" s="613"/>
      <c r="AY2" s="613"/>
      <c r="AZ2" s="613">
        <f>DATE(YEAR(AW2),MONTH(AW2)+6,1)</f>
        <v>40422</v>
      </c>
      <c r="BA2" s="613">
        <f>DATE(YEAR(AZ2),MONTH(AZ2)+6,1)</f>
        <v>40603</v>
      </c>
      <c r="BB2" s="613"/>
      <c r="BC2" s="613"/>
      <c r="BD2" s="613">
        <f>DATE(YEAR(BA2),MONTH(BA2)+6,1)</f>
        <v>40787</v>
      </c>
      <c r="BE2" s="613">
        <f>DATE(YEAR(BD2),MONTH(BD2)+6,1)</f>
        <v>40969</v>
      </c>
      <c r="BF2" s="613"/>
      <c r="BG2" s="613"/>
      <c r="BH2" s="613">
        <f>DATE(YEAR(BE2),MONTH(BE2)+6,1)</f>
        <v>41153</v>
      </c>
      <c r="BI2" s="613">
        <f>DATE(YEAR(BH2),MONTH(BH2)+6,1)</f>
        <v>41334</v>
      </c>
      <c r="BJ2" s="613"/>
      <c r="BK2" s="613"/>
      <c r="BL2" s="613">
        <f>DATE(YEAR(BI2),MONTH(BI2)+6,1)</f>
        <v>41518</v>
      </c>
      <c r="BM2" s="613">
        <f>DATE(YEAR(BL2),MONTH(BL2)+6,1)</f>
        <v>41699</v>
      </c>
      <c r="BN2" s="613"/>
      <c r="BO2" s="613"/>
      <c r="BP2" s="613">
        <f>DATE(YEAR(BM2),MONTH(BM2)+6,1)</f>
        <v>41883</v>
      </c>
      <c r="BQ2" s="613">
        <f>DATE(YEAR(BP2),MONTH(BP2)+6,1)</f>
        <v>42064</v>
      </c>
      <c r="BR2" s="613"/>
      <c r="BS2" s="613"/>
      <c r="BT2" s="613">
        <f>DATE(YEAR(BQ2),MONTH(BQ2)+6,1)</f>
        <v>42248</v>
      </c>
      <c r="BU2" s="613">
        <f>DATE(YEAR(BT2),MONTH(BT2)+6,1)</f>
        <v>42430</v>
      </c>
      <c r="BV2" s="613"/>
      <c r="BW2" s="613"/>
      <c r="BX2" s="613">
        <f>DATE(YEAR(BU2),MONTH(BU2)+6,1)</f>
        <v>42614</v>
      </c>
      <c r="BY2" s="613">
        <f>DATE(YEAR(BX2),MONTH(BX2)+6,1)</f>
        <v>42795</v>
      </c>
      <c r="BZ2" s="613"/>
      <c r="CA2" s="613"/>
      <c r="CB2" s="613">
        <f>DATE(YEAR(BY2),MONTH(BY2)+6,1)</f>
        <v>42979</v>
      </c>
      <c r="CC2" s="613">
        <f>DATE(YEAR(CB2),MONTH(CB2)+6,1)</f>
        <v>43160</v>
      </c>
      <c r="CD2" s="613"/>
      <c r="CE2" s="613"/>
      <c r="CF2" s="613">
        <f>DATE(YEAR(CC2),MONTH(CC2)+6,1)</f>
        <v>43344</v>
      </c>
      <c r="CG2" s="613">
        <f>DATE(YEAR(CF2),MONTH(CF2)+6,1)</f>
        <v>43525</v>
      </c>
      <c r="CH2" s="613"/>
      <c r="CI2" s="613"/>
      <c r="CJ2" s="613">
        <f>DATE(YEAR(CG2),MONTH(CG2)+6,1)</f>
        <v>43709</v>
      </c>
      <c r="CK2" s="613">
        <f>DATE(YEAR(CJ2),MONTH(CJ2)+6,1)</f>
        <v>43891</v>
      </c>
      <c r="CL2" s="613"/>
      <c r="CM2" s="613"/>
      <c r="CN2" s="613">
        <f>DATE(YEAR(CK2),MONTH(CK2)+6,1)</f>
        <v>44075</v>
      </c>
      <c r="CO2" s="613">
        <f>DATE(YEAR(CN2),MONTH(CN2)+6,1)</f>
        <v>44256</v>
      </c>
      <c r="CP2" s="613"/>
      <c r="CQ2" s="613"/>
      <c r="CR2" s="613">
        <f>DATE(YEAR(CO2),MONTH(CO2)+6,1)</f>
        <v>44440</v>
      </c>
      <c r="CS2" s="613">
        <f>DATE(YEAR(CR2),MONTH(CR2)+6,1)</f>
        <v>44621</v>
      </c>
      <c r="CT2" s="613"/>
      <c r="CU2" s="613"/>
      <c r="CV2" s="613">
        <f>DATE(YEAR(CS2),MONTH(CS2)+6,1)</f>
        <v>44805</v>
      </c>
      <c r="CW2" s="613">
        <f>DATE(YEAR(CV2),MONTH(CV2)+6,1)</f>
        <v>44986</v>
      </c>
      <c r="CX2" s="613"/>
      <c r="CY2" s="613"/>
      <c r="CZ2" s="613">
        <f>DATE(YEAR(CW2),MONTH(CW2)+6,1)</f>
        <v>45170</v>
      </c>
      <c r="DA2" s="613">
        <f>DATE(YEAR(CZ2),MONTH(CZ2)+6,1)</f>
        <v>45352</v>
      </c>
      <c r="DB2" s="613"/>
      <c r="DC2" s="613"/>
      <c r="DD2" s="613">
        <f>DATE(YEAR(DA2),MONTH(DA2)+6,1)</f>
        <v>45536</v>
      </c>
      <c r="DE2" s="613">
        <f>DATE(YEAR(DD2),MONTH(DD2)+6,1)</f>
        <v>45717</v>
      </c>
      <c r="DF2" s="613"/>
      <c r="DG2" s="613"/>
      <c r="DH2" s="613">
        <f>DATE(YEAR(DE2),MONTH(DE2)+6,1)</f>
        <v>45901</v>
      </c>
      <c r="DI2" s="613">
        <f>DATE(YEAR(DH2),MONTH(DH2)+6,1)</f>
        <v>46082</v>
      </c>
      <c r="DJ2" s="613"/>
      <c r="DK2" s="613"/>
      <c r="DL2" s="613">
        <f>DATE(YEAR(DI2),MONTH(DI2)+6,1)</f>
        <v>46266</v>
      </c>
      <c r="DM2" s="613">
        <f>DATE(YEAR(DL2),MONTH(DL2)+6,1)</f>
        <v>46447</v>
      </c>
      <c r="DN2" s="613"/>
      <c r="DO2" s="613"/>
      <c r="DP2" s="613">
        <f>DATE(YEAR(DM2),MONTH(DM2)+6,1)</f>
        <v>46631</v>
      </c>
      <c r="DQ2" s="613">
        <f>DATE(YEAR(DP2),MONTH(DP2)+6,1)</f>
        <v>46813</v>
      </c>
      <c r="DR2" s="613"/>
      <c r="DS2" s="613"/>
      <c r="JJ2"/>
    </row>
    <row r="3" spans="1:270" s="291" customFormat="1" ht="13.5" customHeight="1">
      <c r="A3" s="1571" t="s">
        <v>622</v>
      </c>
      <c r="B3" s="1572"/>
      <c r="C3" s="1573"/>
      <c r="D3" s="1574" t="s">
        <v>623</v>
      </c>
      <c r="E3" s="1574" t="s">
        <v>624</v>
      </c>
      <c r="F3" s="1572" t="s">
        <v>625</v>
      </c>
      <c r="G3" s="1572" t="s">
        <v>626</v>
      </c>
      <c r="H3" s="1574" t="s">
        <v>627</v>
      </c>
      <c r="I3" s="1574" t="s">
        <v>628</v>
      </c>
      <c r="J3" s="1572" t="s">
        <v>629</v>
      </c>
      <c r="K3" s="1572" t="s">
        <v>626</v>
      </c>
      <c r="L3" s="1574" t="s">
        <v>630</v>
      </c>
      <c r="M3" s="1574" t="s">
        <v>631</v>
      </c>
      <c r="N3" s="1572" t="s">
        <v>632</v>
      </c>
      <c r="O3" s="1572" t="s">
        <v>626</v>
      </c>
      <c r="P3" s="1574" t="s">
        <v>633</v>
      </c>
      <c r="Q3" s="1574" t="s">
        <v>634</v>
      </c>
      <c r="R3" s="1572" t="s">
        <v>635</v>
      </c>
      <c r="S3" s="1572" t="s">
        <v>626</v>
      </c>
      <c r="T3" s="1574" t="s">
        <v>636</v>
      </c>
      <c r="U3" s="1574" t="s">
        <v>637</v>
      </c>
      <c r="V3" s="1572" t="s">
        <v>638</v>
      </c>
      <c r="W3" s="1572" t="s">
        <v>626</v>
      </c>
      <c r="X3" s="1574" t="s">
        <v>639</v>
      </c>
      <c r="Y3" s="1574" t="s">
        <v>640</v>
      </c>
      <c r="Z3" s="1575">
        <v>2005</v>
      </c>
      <c r="AA3" s="1576" t="s">
        <v>626</v>
      </c>
      <c r="AB3" s="1574" t="s">
        <v>639</v>
      </c>
      <c r="AC3" s="1574" t="s">
        <v>640</v>
      </c>
      <c r="AD3" s="1572" t="s">
        <v>641</v>
      </c>
      <c r="AE3" s="1576" t="s">
        <v>626</v>
      </c>
      <c r="AF3" s="1574" t="s">
        <v>642</v>
      </c>
      <c r="AG3" s="1574" t="s">
        <v>643</v>
      </c>
      <c r="AH3" s="1572" t="s">
        <v>644</v>
      </c>
      <c r="AI3" s="1576" t="s">
        <v>626</v>
      </c>
      <c r="AJ3" s="1572" t="s">
        <v>645</v>
      </c>
      <c r="AK3" s="1572" t="s">
        <v>646</v>
      </c>
      <c r="AL3" s="1572" t="s">
        <v>647</v>
      </c>
      <c r="AM3" s="1576" t="s">
        <v>626</v>
      </c>
      <c r="AN3" s="1572" t="s">
        <v>609</v>
      </c>
      <c r="AO3" s="1572" t="s">
        <v>610</v>
      </c>
      <c r="AP3" s="1572" t="s">
        <v>611</v>
      </c>
      <c r="AQ3" s="1576" t="s">
        <v>626</v>
      </c>
      <c r="AR3" s="1572" t="s">
        <v>573</v>
      </c>
      <c r="AS3" s="1572" t="s">
        <v>574</v>
      </c>
      <c r="AT3" s="1572" t="s">
        <v>583</v>
      </c>
      <c r="AU3" s="1576" t="s">
        <v>626</v>
      </c>
      <c r="AV3" s="1572" t="s">
        <v>575</v>
      </c>
      <c r="AW3" s="1572" t="s">
        <v>582</v>
      </c>
      <c r="AX3" s="1572" t="s">
        <v>584</v>
      </c>
      <c r="AY3" s="1576" t="s">
        <v>626</v>
      </c>
      <c r="AZ3" s="1572" t="s">
        <v>603</v>
      </c>
      <c r="BA3" s="1572" t="s">
        <v>813</v>
      </c>
      <c r="BB3" s="1572" t="s">
        <v>814</v>
      </c>
      <c r="BC3" s="1576" t="s">
        <v>626</v>
      </c>
      <c r="BD3" s="1572" t="s">
        <v>826</v>
      </c>
      <c r="BE3" s="1572" t="s">
        <v>885</v>
      </c>
      <c r="BF3" s="1572" t="s">
        <v>886</v>
      </c>
      <c r="BG3" s="1576" t="s">
        <v>626</v>
      </c>
      <c r="BH3" s="1572" t="s">
        <v>893</v>
      </c>
      <c r="BI3" s="1572" t="s">
        <v>901</v>
      </c>
      <c r="BJ3" s="1572" t="s">
        <v>902</v>
      </c>
      <c r="BK3" s="1572" t="s">
        <v>626</v>
      </c>
      <c r="BL3" s="1572" t="s">
        <v>69</v>
      </c>
      <c r="BM3" s="1572" t="s">
        <v>1</v>
      </c>
      <c r="BN3" s="1572" t="s">
        <v>2</v>
      </c>
      <c r="BO3" s="1572" t="s">
        <v>626</v>
      </c>
      <c r="BP3" s="1572" t="s">
        <v>944</v>
      </c>
      <c r="BQ3" s="1572" t="s">
        <v>894</v>
      </c>
      <c r="BR3" s="1572" t="s">
        <v>501</v>
      </c>
      <c r="BS3" s="1572" t="s">
        <v>626</v>
      </c>
      <c r="BT3" s="1572" t="str">
        <f>'P&amp;L'!BT4</f>
        <v>1H16</v>
      </c>
      <c r="BU3" s="1572" t="str">
        <f>'P&amp;L'!BU4</f>
        <v>2H16</v>
      </c>
      <c r="BV3" s="1572" t="str">
        <f>'P&amp;L'!BV4</f>
        <v>FY16</v>
      </c>
      <c r="BW3" s="1576" t="str">
        <f>'P&amp;L'!BW4</f>
        <v>Ch</v>
      </c>
      <c r="BX3" s="1572" t="str">
        <f>'P&amp;L'!BX4</f>
        <v>1H17</v>
      </c>
      <c r="BY3" s="1572" t="str">
        <f>'P&amp;L'!BY4</f>
        <v>2H17</v>
      </c>
      <c r="BZ3" s="1572" t="str">
        <f>'P&amp;L'!BZ4</f>
        <v>FY17</v>
      </c>
      <c r="CA3" s="1576" t="str">
        <f>'P&amp;L'!CA4</f>
        <v>Ch</v>
      </c>
      <c r="CB3" s="1572" t="str">
        <f>'P&amp;L'!CB4</f>
        <v>1H18</v>
      </c>
      <c r="CC3" s="1572" t="str">
        <f>'P&amp;L'!CC4</f>
        <v>2H18</v>
      </c>
      <c r="CD3" s="1572" t="str">
        <f>'P&amp;L'!CD4</f>
        <v>FY18</v>
      </c>
      <c r="CE3" s="1576" t="str">
        <f>'P&amp;L'!CE4</f>
        <v>Ch</v>
      </c>
      <c r="CF3" s="1572" t="str">
        <f>'P&amp;L'!CF4</f>
        <v>1H19</v>
      </c>
      <c r="CG3" s="1572" t="str">
        <f>'P&amp;L'!CG4</f>
        <v>2H19</v>
      </c>
      <c r="CH3" s="1572" t="str">
        <f>'P&amp;L'!CH4</f>
        <v>FY19</v>
      </c>
      <c r="CI3" s="1576" t="str">
        <f>'P&amp;L'!CI4</f>
        <v>Ch</v>
      </c>
      <c r="CJ3" s="1572" t="str">
        <f>'P&amp;L'!CJ4</f>
        <v>1H20</v>
      </c>
      <c r="CK3" s="1572" t="str">
        <f>'P&amp;L'!CK4</f>
        <v>2H20</v>
      </c>
      <c r="CL3" s="1572" t="str">
        <f>'P&amp;L'!CL4</f>
        <v>FY20</v>
      </c>
      <c r="CM3" s="1576" t="str">
        <f>'P&amp;L'!CM4</f>
        <v>Ch</v>
      </c>
      <c r="CN3" s="1572" t="str">
        <f>'P&amp;L'!CN4</f>
        <v>1H21</v>
      </c>
      <c r="CO3" s="1572" t="str">
        <f>'P&amp;L'!CO4</f>
        <v>2H21</v>
      </c>
      <c r="CP3" s="1572" t="str">
        <f>'P&amp;L'!CP4</f>
        <v>FY21</v>
      </c>
      <c r="CQ3" s="1576" t="str">
        <f>'P&amp;L'!CQ4</f>
        <v>Ch</v>
      </c>
      <c r="CR3" s="1572" t="str">
        <f>'P&amp;L'!CR4</f>
        <v>1H22</v>
      </c>
      <c r="CS3" s="1572" t="str">
        <f>'P&amp;L'!CS4</f>
        <v>2H22</v>
      </c>
      <c r="CT3" s="1572" t="str">
        <f>'P&amp;L'!CT4</f>
        <v>FY22</v>
      </c>
      <c r="CU3" s="1576" t="str">
        <f>'P&amp;L'!CU4</f>
        <v>Ch</v>
      </c>
      <c r="CV3" s="1572" t="str">
        <f>'P&amp;L'!CV4</f>
        <v>1H23</v>
      </c>
      <c r="CW3" s="1572" t="str">
        <f>'P&amp;L'!CW4</f>
        <v>2H23</v>
      </c>
      <c r="CX3" s="1572" t="str">
        <f>'P&amp;L'!CX4</f>
        <v>FY23</v>
      </c>
      <c r="CY3" s="1576" t="str">
        <f>'P&amp;L'!CY4</f>
        <v>Ch</v>
      </c>
      <c r="CZ3" s="1572" t="str">
        <f>'P&amp;L'!CZ4</f>
        <v>1H24</v>
      </c>
      <c r="DA3" s="1572" t="str">
        <f>'P&amp;L'!DA4</f>
        <v>2H24</v>
      </c>
      <c r="DB3" s="1572" t="str">
        <f>'P&amp;L'!DB4</f>
        <v>FY24</v>
      </c>
      <c r="DC3" s="1576" t="str">
        <f>'P&amp;L'!DC4</f>
        <v>Ch</v>
      </c>
      <c r="DD3" s="1572" t="str">
        <f>'P&amp;L'!DD4</f>
        <v>1H25</v>
      </c>
      <c r="DE3" s="1572" t="str">
        <f>'P&amp;L'!DE4</f>
        <v>2H25</v>
      </c>
      <c r="DF3" s="1572" t="str">
        <f>'P&amp;L'!DF4</f>
        <v>FY25</v>
      </c>
      <c r="DG3" s="1576" t="str">
        <f>'P&amp;L'!DG4</f>
        <v>Ch</v>
      </c>
      <c r="DH3" s="1572" t="str">
        <f>'P&amp;L'!DH4</f>
        <v>1H26</v>
      </c>
      <c r="DI3" s="614" t="str">
        <f>'P&amp;L'!DI4</f>
        <v>2H26E</v>
      </c>
      <c r="DJ3" s="614" t="str">
        <f>'P&amp;L'!DJ4</f>
        <v>FY26E</v>
      </c>
      <c r="DK3" s="615" t="str">
        <f>'P&amp;L'!DK4</f>
        <v>Ch</v>
      </c>
      <c r="DL3" s="614" t="str">
        <f>'P&amp;L'!DL4</f>
        <v>1H27E</v>
      </c>
      <c r="DM3" s="614" t="str">
        <f>'P&amp;L'!DM4</f>
        <v>2H27E</v>
      </c>
      <c r="DN3" s="614" t="str">
        <f>'P&amp;L'!DN4</f>
        <v>FY27E</v>
      </c>
      <c r="DO3" s="615" t="str">
        <f>'P&amp;L'!DO4</f>
        <v>Ch</v>
      </c>
      <c r="DP3" s="614" t="str">
        <f>'P&amp;L'!DP4</f>
        <v>1H28E</v>
      </c>
      <c r="DQ3" s="614" t="str">
        <f>'P&amp;L'!DQ4</f>
        <v>2H28E</v>
      </c>
      <c r="DR3" s="614" t="str">
        <f>'P&amp;L'!DR4</f>
        <v>FY28E</v>
      </c>
      <c r="DS3" s="615" t="str">
        <f>'P&amp;L'!DS4</f>
        <v>Ch</v>
      </c>
      <c r="DT3" s="1094"/>
      <c r="DU3" s="307" t="s">
        <v>946</v>
      </c>
      <c r="DV3" s="330"/>
      <c r="DW3" s="330"/>
      <c r="DX3" s="330"/>
      <c r="JJ3"/>
    </row>
    <row r="4" spans="1:270" s="308" customFormat="1" ht="13.5" customHeight="1">
      <c r="A4" s="1577" t="s">
        <v>648</v>
      </c>
      <c r="B4" s="1578"/>
      <c r="C4" s="1578"/>
      <c r="D4" s="1579" t="s">
        <v>649</v>
      </c>
      <c r="E4" s="1579" t="s">
        <v>649</v>
      </c>
      <c r="F4" s="1579" t="s">
        <v>649</v>
      </c>
      <c r="G4" s="1578"/>
      <c r="H4" s="1579" t="s">
        <v>649</v>
      </c>
      <c r="I4" s="1579" t="s">
        <v>649</v>
      </c>
      <c r="J4" s="1579" t="s">
        <v>649</v>
      </c>
      <c r="K4" s="1578"/>
      <c r="L4" s="1579" t="s">
        <v>649</v>
      </c>
      <c r="M4" s="1579" t="s">
        <v>649</v>
      </c>
      <c r="N4" s="1579" t="s">
        <v>649</v>
      </c>
      <c r="O4" s="1578"/>
      <c r="P4" s="1579" t="s">
        <v>649</v>
      </c>
      <c r="Q4" s="1579" t="s">
        <v>649</v>
      </c>
      <c r="R4" s="1579" t="s">
        <v>649</v>
      </c>
      <c r="S4" s="1578"/>
      <c r="T4" s="1579" t="s">
        <v>649</v>
      </c>
      <c r="U4" s="1579" t="s">
        <v>649</v>
      </c>
      <c r="V4" s="1579" t="s">
        <v>649</v>
      </c>
      <c r="W4" s="1578"/>
      <c r="X4" s="1579" t="s">
        <v>649</v>
      </c>
      <c r="Y4" s="1579" t="s">
        <v>649</v>
      </c>
      <c r="Z4" s="1579" t="s">
        <v>649</v>
      </c>
      <c r="AA4" s="1580"/>
      <c r="AB4" s="1579" t="s">
        <v>650</v>
      </c>
      <c r="AC4" s="1579" t="s">
        <v>650</v>
      </c>
      <c r="AD4" s="1579" t="s">
        <v>650</v>
      </c>
      <c r="AE4" s="1580"/>
      <c r="AF4" s="1579" t="s">
        <v>650</v>
      </c>
      <c r="AG4" s="1579" t="s">
        <v>650</v>
      </c>
      <c r="AH4" s="1579" t="s">
        <v>650</v>
      </c>
      <c r="AI4" s="1580"/>
      <c r="AJ4" s="1579" t="s">
        <v>650</v>
      </c>
      <c r="AK4" s="1579" t="s">
        <v>650</v>
      </c>
      <c r="AL4" s="1579" t="s">
        <v>650</v>
      </c>
      <c r="AM4" s="1580"/>
      <c r="AN4" s="1579" t="s">
        <v>650</v>
      </c>
      <c r="AO4" s="1579" t="s">
        <v>650</v>
      </c>
      <c r="AP4" s="1579" t="s">
        <v>650</v>
      </c>
      <c r="AQ4" s="1580"/>
      <c r="AR4" s="1579" t="s">
        <v>650</v>
      </c>
      <c r="AS4" s="1579" t="s">
        <v>650</v>
      </c>
      <c r="AT4" s="1579" t="s">
        <v>650</v>
      </c>
      <c r="AU4" s="1580"/>
      <c r="AV4" s="1579" t="s">
        <v>650</v>
      </c>
      <c r="AW4" s="1579" t="s">
        <v>650</v>
      </c>
      <c r="AX4" s="1579" t="s">
        <v>650</v>
      </c>
      <c r="AY4" s="1580"/>
      <c r="AZ4" s="1579" t="s">
        <v>650</v>
      </c>
      <c r="BA4" s="1579" t="s">
        <v>650</v>
      </c>
      <c r="BB4" s="1579" t="s">
        <v>650</v>
      </c>
      <c r="BC4" s="1580"/>
      <c r="BD4" s="1579" t="s">
        <v>650</v>
      </c>
      <c r="BE4" s="1579" t="s">
        <v>650</v>
      </c>
      <c r="BF4" s="1579" t="s">
        <v>650</v>
      </c>
      <c r="BG4" s="1580"/>
      <c r="BH4" s="1579" t="s">
        <v>650</v>
      </c>
      <c r="BI4" s="1579" t="s">
        <v>650</v>
      </c>
      <c r="BJ4" s="1579" t="s">
        <v>650</v>
      </c>
      <c r="BK4" s="1579"/>
      <c r="BL4" s="1579" t="s">
        <v>650</v>
      </c>
      <c r="BM4" s="1579" t="s">
        <v>650</v>
      </c>
      <c r="BN4" s="1579" t="s">
        <v>650</v>
      </c>
      <c r="BO4" s="1579"/>
      <c r="BP4" s="1579" t="s">
        <v>650</v>
      </c>
      <c r="BQ4" s="1579" t="s">
        <v>650</v>
      </c>
      <c r="BR4" s="1579" t="s">
        <v>650</v>
      </c>
      <c r="BS4" s="1579"/>
      <c r="BT4" s="1579" t="str">
        <f>'P&amp;L'!BT5</f>
        <v>AIFRS</v>
      </c>
      <c r="BU4" s="1579" t="str">
        <f>'P&amp;L'!BU5</f>
        <v>AIFRS</v>
      </c>
      <c r="BV4" s="1579" t="str">
        <f>'P&amp;L'!BV5</f>
        <v>AIFRS</v>
      </c>
      <c r="BW4" s="1580"/>
      <c r="BX4" s="1579" t="str">
        <f>'P&amp;L'!BX5</f>
        <v>AIFRS</v>
      </c>
      <c r="BY4" s="1579" t="str">
        <f>'P&amp;L'!BY5</f>
        <v>AIFRS</v>
      </c>
      <c r="BZ4" s="1579" t="str">
        <f>'P&amp;L'!BZ5</f>
        <v>AIFRS</v>
      </c>
      <c r="CA4" s="1580"/>
      <c r="CB4" s="1579" t="str">
        <f>'P&amp;L'!CB5</f>
        <v>AIFRS</v>
      </c>
      <c r="CC4" s="1579" t="str">
        <f>'P&amp;L'!CC5</f>
        <v>AIFRS</v>
      </c>
      <c r="CD4" s="1579" t="str">
        <f>'P&amp;L'!CD5</f>
        <v>AIFRS</v>
      </c>
      <c r="CE4" s="1580"/>
      <c r="CF4" s="1579" t="str">
        <f>'P&amp;L'!CF5</f>
        <v>AIFRS</v>
      </c>
      <c r="CG4" s="1579" t="str">
        <f>'P&amp;L'!CG5</f>
        <v>AIFRS</v>
      </c>
      <c r="CH4" s="1579" t="str">
        <f>'P&amp;L'!CH5</f>
        <v>AIFRS</v>
      </c>
      <c r="CI4" s="1580"/>
      <c r="CJ4" s="1579" t="str">
        <f>'P&amp;L'!CJ5</f>
        <v>AIFRS</v>
      </c>
      <c r="CK4" s="1579" t="str">
        <f>'P&amp;L'!CK5</f>
        <v>AIFRS</v>
      </c>
      <c r="CL4" s="1579" t="str">
        <f>'P&amp;L'!CL5</f>
        <v>AIFRS</v>
      </c>
      <c r="CM4" s="1580"/>
      <c r="CN4" s="1579" t="str">
        <f>'P&amp;L'!CN5</f>
        <v>AIFRS</v>
      </c>
      <c r="CO4" s="1579" t="str">
        <f>'P&amp;L'!CO5</f>
        <v>AIFRS</v>
      </c>
      <c r="CP4" s="1579" t="str">
        <f>'P&amp;L'!CP5</f>
        <v>AIFRS</v>
      </c>
      <c r="CQ4" s="1580"/>
      <c r="CR4" s="1579" t="str">
        <f>'P&amp;L'!CR5</f>
        <v>AIFRS</v>
      </c>
      <c r="CS4" s="1579" t="str">
        <f>'P&amp;L'!CS5</f>
        <v>AIFRS</v>
      </c>
      <c r="CT4" s="1579" t="str">
        <f>'P&amp;L'!CT5</f>
        <v>AIFRS</v>
      </c>
      <c r="CU4" s="1580"/>
      <c r="CV4" s="1579" t="str">
        <f>'P&amp;L'!CV5</f>
        <v>AIFRS</v>
      </c>
      <c r="CW4" s="1579" t="str">
        <f>'P&amp;L'!CW5</f>
        <v>AIFRS</v>
      </c>
      <c r="CX4" s="1579" t="str">
        <f>'P&amp;L'!CX5</f>
        <v>AIFRS</v>
      </c>
      <c r="CY4" s="1580"/>
      <c r="CZ4" s="1579" t="str">
        <f>'P&amp;L'!CZ5</f>
        <v>AIFRS</v>
      </c>
      <c r="DA4" s="1579" t="str">
        <f>'P&amp;L'!DA5</f>
        <v>AIFRS</v>
      </c>
      <c r="DB4" s="1579" t="str">
        <f>'P&amp;L'!DB5</f>
        <v>AIFRS</v>
      </c>
      <c r="DC4" s="1580"/>
      <c r="DD4" s="1579" t="str">
        <f>'P&amp;L'!DD5</f>
        <v>AIFRS</v>
      </c>
      <c r="DE4" s="1579" t="str">
        <f>'P&amp;L'!DE5</f>
        <v>AIFRS</v>
      </c>
      <c r="DF4" s="1579" t="str">
        <f>'P&amp;L'!DF5</f>
        <v>AIFRS</v>
      </c>
      <c r="DG4" s="1580"/>
      <c r="DH4" s="1579" t="str">
        <f>'P&amp;L'!DH5</f>
        <v>AIFRS</v>
      </c>
      <c r="DI4" s="618" t="str">
        <f>'P&amp;L'!DI5</f>
        <v>AIFRS</v>
      </c>
      <c r="DJ4" s="618" t="str">
        <f>'P&amp;L'!DJ5</f>
        <v>AIFRS</v>
      </c>
      <c r="DK4" s="619"/>
      <c r="DL4" s="618" t="str">
        <f>'P&amp;L'!DL5</f>
        <v>AIFRS</v>
      </c>
      <c r="DM4" s="618" t="str">
        <f>'P&amp;L'!DM5</f>
        <v>AIFRS</v>
      </c>
      <c r="DN4" s="618" t="str">
        <f>'P&amp;L'!DN5</f>
        <v>AIFRS</v>
      </c>
      <c r="DO4" s="619"/>
      <c r="DP4" s="618" t="str">
        <f>'P&amp;L'!DP5</f>
        <v>AIFRS</v>
      </c>
      <c r="DQ4" s="618" t="str">
        <f>'P&amp;L'!DQ5</f>
        <v>AIFRS</v>
      </c>
      <c r="DR4" s="618" t="str">
        <f>'P&amp;L'!DR5</f>
        <v>AIFRS</v>
      </c>
      <c r="DS4" s="619"/>
      <c r="DT4" s="567"/>
      <c r="DU4" s="317"/>
      <c r="DV4" s="317"/>
      <c r="DW4" s="317"/>
      <c r="DX4" s="317"/>
      <c r="JJ4"/>
    </row>
    <row r="5" spans="1:270" s="102" customFormat="1"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  <c r="BN5" s="103"/>
      <c r="BO5" s="103"/>
      <c r="BP5" s="103"/>
      <c r="BQ5" s="103"/>
      <c r="BR5" s="103"/>
      <c r="BS5" s="103"/>
      <c r="BT5" s="103"/>
      <c r="BU5" s="103"/>
      <c r="BV5" s="103"/>
      <c r="BW5" s="103"/>
      <c r="BX5" s="103" t="s">
        <v>671</v>
      </c>
      <c r="BY5" s="103"/>
      <c r="BZ5" s="103"/>
      <c r="CA5" s="103"/>
      <c r="CB5" s="103"/>
      <c r="CC5" s="103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3"/>
      <c r="CS5" s="103"/>
      <c r="CT5" s="103"/>
      <c r="CU5" s="103"/>
      <c r="CV5" s="103"/>
      <c r="CW5" s="103"/>
      <c r="CX5" s="103"/>
      <c r="CY5" s="103"/>
      <c r="CZ5" s="103"/>
      <c r="DA5" s="103"/>
      <c r="DB5" s="103"/>
      <c r="DC5" s="103"/>
      <c r="DD5" s="103"/>
      <c r="DE5" s="103"/>
      <c r="DF5" s="103"/>
      <c r="DG5" s="103"/>
      <c r="DH5" s="103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U5" s="103"/>
      <c r="DV5" s="103"/>
      <c r="DW5" s="103"/>
      <c r="DX5" s="103"/>
      <c r="JJ5"/>
    </row>
    <row r="6" spans="1:270" s="1055" customFormat="1">
      <c r="A6" s="1050" t="s">
        <v>1196</v>
      </c>
      <c r="B6" s="1051"/>
      <c r="C6" s="1052"/>
      <c r="D6" s="1052"/>
      <c r="E6" s="1052"/>
      <c r="F6" s="1052"/>
      <c r="G6" s="1052"/>
      <c r="H6" s="1052"/>
      <c r="I6" s="1052"/>
      <c r="J6" s="1052"/>
      <c r="K6" s="1052"/>
      <c r="L6" s="1052"/>
      <c r="M6" s="1052"/>
      <c r="N6" s="1052"/>
      <c r="O6" s="1052"/>
      <c r="P6" s="1052"/>
      <c r="Q6" s="1052"/>
      <c r="R6" s="1052"/>
      <c r="S6" s="1052"/>
      <c r="T6" s="1052"/>
      <c r="U6" s="1052"/>
      <c r="V6" s="1052"/>
      <c r="W6" s="1052"/>
      <c r="X6" s="1052"/>
      <c r="Y6" s="1052"/>
      <c r="Z6" s="1052"/>
      <c r="AA6" s="1053"/>
      <c r="AB6" s="1052"/>
      <c r="AC6" s="1052"/>
      <c r="AD6" s="1052"/>
      <c r="AE6" s="1053"/>
      <c r="AF6" s="1052"/>
      <c r="AG6" s="1052"/>
      <c r="AH6" s="1052"/>
      <c r="AI6" s="1053"/>
      <c r="AJ6" s="1052"/>
      <c r="AK6" s="1052"/>
      <c r="AL6" s="1052"/>
      <c r="AM6" s="1053"/>
      <c r="AN6" s="1052"/>
      <c r="AO6" s="1052"/>
      <c r="AP6" s="1052"/>
      <c r="AQ6" s="1053"/>
      <c r="AR6" s="1052"/>
      <c r="AS6" s="1052"/>
      <c r="AT6" s="1052"/>
      <c r="AU6" s="1053"/>
      <c r="AV6" s="1054"/>
      <c r="AW6" s="1054"/>
      <c r="AX6" s="1054"/>
      <c r="AY6" s="1053"/>
      <c r="AZ6" s="1054"/>
      <c r="BA6" s="1054"/>
      <c r="BB6" s="1054"/>
      <c r="BC6" s="1053"/>
      <c r="BD6" s="1054"/>
      <c r="BE6" s="1054"/>
      <c r="BF6" s="1054"/>
      <c r="BG6" s="1053"/>
      <c r="BH6" s="1054"/>
      <c r="BI6" s="1054"/>
      <c r="BJ6" s="1054"/>
      <c r="BK6" s="1053"/>
      <c r="BL6" s="1054"/>
      <c r="BM6" s="1054"/>
      <c r="BN6" s="1054"/>
      <c r="BO6" s="1053"/>
      <c r="BP6" s="1054"/>
      <c r="BQ6" s="1054"/>
      <c r="BR6" s="1054"/>
      <c r="BS6" s="1053"/>
      <c r="BT6" s="1054"/>
      <c r="BU6" s="1054"/>
      <c r="BV6" s="1054"/>
      <c r="BW6" s="1053"/>
      <c r="BX6" s="1054"/>
      <c r="BY6" s="1054"/>
      <c r="BZ6" s="1054"/>
      <c r="CA6" s="1053"/>
      <c r="CB6" s="1054"/>
      <c r="CC6" s="1054"/>
      <c r="CD6" s="1054"/>
      <c r="CE6" s="1053"/>
      <c r="CF6" s="1054"/>
      <c r="CG6" s="1054"/>
      <c r="CH6" s="1054"/>
      <c r="CI6" s="1053"/>
      <c r="CJ6" s="1054"/>
      <c r="CK6" s="1054"/>
      <c r="CL6" s="1054"/>
      <c r="CM6" s="1053"/>
      <c r="CN6" s="1054"/>
      <c r="CO6" s="1054"/>
      <c r="CP6" s="1054"/>
      <c r="CQ6" s="1053"/>
      <c r="CR6" s="1054"/>
      <c r="CS6" s="1054"/>
      <c r="CT6" s="1054"/>
      <c r="CU6" s="1053"/>
      <c r="CV6" s="1054"/>
      <c r="CW6" s="1054"/>
      <c r="CX6" s="1054"/>
      <c r="CY6" s="1053"/>
      <c r="CZ6" s="1054"/>
      <c r="DA6" s="1054"/>
      <c r="DB6" s="1054"/>
      <c r="DC6" s="1053"/>
      <c r="DD6" s="1054"/>
      <c r="DE6" s="1054"/>
      <c r="DF6" s="1054"/>
      <c r="DG6" s="1053"/>
      <c r="DH6" s="1054"/>
      <c r="DI6" s="1054"/>
      <c r="DJ6" s="1054"/>
      <c r="DK6" s="1053"/>
      <c r="DL6" s="1054"/>
      <c r="DM6" s="1054"/>
      <c r="DN6" s="1054"/>
      <c r="DO6" s="1053"/>
      <c r="DP6" s="1054"/>
      <c r="DQ6" s="1054"/>
      <c r="DR6" s="1054"/>
      <c r="DS6" s="1053"/>
      <c r="DU6" s="1051"/>
      <c r="DV6" s="1051"/>
      <c r="DW6" s="1051"/>
      <c r="DX6" s="1051"/>
      <c r="DY6" s="1051"/>
      <c r="DZ6" s="1051"/>
      <c r="EA6" s="1051"/>
      <c r="EB6" s="1051"/>
      <c r="EC6" s="1051"/>
      <c r="ED6" s="1051"/>
      <c r="EE6" s="1051"/>
      <c r="EF6" s="1051"/>
      <c r="EG6" s="1051"/>
      <c r="EH6" s="1051"/>
      <c r="EI6" s="1051"/>
      <c r="EJ6" s="1051"/>
      <c r="EK6" s="1051"/>
      <c r="EL6" s="1051"/>
      <c r="EM6" s="1051"/>
      <c r="EN6" s="1051"/>
      <c r="EO6" s="1051"/>
      <c r="EP6" s="1051"/>
      <c r="EQ6" s="1051"/>
      <c r="ER6" s="1051"/>
      <c r="ES6" s="1051"/>
      <c r="ET6" s="1051"/>
      <c r="EU6" s="1051"/>
      <c r="EV6" s="1051"/>
      <c r="EW6" s="1051"/>
      <c r="EX6" s="1051"/>
      <c r="EY6" s="1051"/>
      <c r="EZ6" s="1051"/>
      <c r="FA6" s="1051"/>
      <c r="FB6" s="1051"/>
      <c r="FC6" s="1051"/>
      <c r="FD6" s="1051"/>
      <c r="FE6" s="1051"/>
      <c r="FF6" s="1051"/>
      <c r="FG6" s="1051"/>
      <c r="FH6" s="1051"/>
      <c r="FI6" s="1051"/>
      <c r="FJ6" s="1051"/>
      <c r="FK6" s="1051"/>
      <c r="FL6" s="1051"/>
      <c r="FM6" s="1051"/>
      <c r="FN6" s="1051"/>
      <c r="FO6" s="1051"/>
      <c r="FP6" s="1051"/>
      <c r="FQ6" s="1051"/>
      <c r="FR6" s="1051"/>
      <c r="FS6" s="1051"/>
      <c r="FT6" s="1051"/>
      <c r="FU6" s="1051"/>
      <c r="FV6" s="1051"/>
      <c r="FW6" s="1051"/>
      <c r="FX6" s="1051"/>
      <c r="FY6" s="1051"/>
      <c r="FZ6" s="1051"/>
      <c r="GA6" s="1051"/>
      <c r="GB6" s="1051"/>
      <c r="GC6" s="1051"/>
      <c r="GD6" s="1051"/>
      <c r="GE6" s="1051"/>
      <c r="GF6" s="1051"/>
      <c r="GG6" s="1051"/>
      <c r="GH6" s="1051"/>
      <c r="GI6" s="1051"/>
      <c r="GJ6" s="1051"/>
      <c r="GK6" s="1051"/>
      <c r="GL6" s="1051"/>
      <c r="GM6" s="1051"/>
      <c r="GN6" s="1051"/>
      <c r="GO6" s="1051"/>
      <c r="GP6" s="1051"/>
      <c r="GQ6" s="1051"/>
      <c r="GR6" s="1051"/>
      <c r="GS6" s="1051"/>
      <c r="GT6" s="1051"/>
      <c r="GU6" s="1051"/>
      <c r="GV6" s="1051"/>
      <c r="GW6" s="1051"/>
      <c r="GX6" s="1051"/>
      <c r="GY6" s="1051"/>
      <c r="GZ6" s="1051"/>
      <c r="HA6" s="1051"/>
      <c r="HB6" s="1051"/>
      <c r="HC6" s="1051"/>
      <c r="HD6" s="1051"/>
      <c r="HE6" s="1051"/>
      <c r="HF6" s="1051"/>
      <c r="HG6" s="1051"/>
      <c r="HH6" s="1051"/>
      <c r="HI6" s="1051"/>
      <c r="HJ6" s="1051"/>
      <c r="HK6" s="1051"/>
      <c r="HL6" s="1051"/>
      <c r="HM6" s="1051"/>
      <c r="HN6" s="1051"/>
      <c r="HO6" s="1051"/>
      <c r="HP6" s="1051"/>
      <c r="HQ6" s="1051"/>
      <c r="HR6" s="1051"/>
      <c r="HS6" s="1051"/>
      <c r="HT6" s="1051"/>
      <c r="HU6" s="1051"/>
      <c r="HV6" s="1051"/>
      <c r="HW6" s="1051"/>
      <c r="HX6" s="1051"/>
      <c r="HY6" s="1051"/>
      <c r="HZ6" s="1051"/>
      <c r="IA6" s="1051"/>
      <c r="IB6" s="1051"/>
      <c r="IC6" s="1051"/>
      <c r="ID6" s="1051"/>
      <c r="IE6" s="1051"/>
      <c r="IF6" s="1051"/>
      <c r="IG6" s="1051"/>
      <c r="IH6" s="1051"/>
      <c r="II6" s="1051"/>
      <c r="IJ6" s="1051"/>
      <c r="IK6" s="1051"/>
      <c r="IL6" s="1051"/>
      <c r="IM6" s="1051"/>
      <c r="IN6" s="1051"/>
      <c r="IO6" s="1051"/>
      <c r="IP6" s="1051"/>
      <c r="IQ6" s="1051"/>
      <c r="IR6" s="1051"/>
      <c r="IS6" s="1051"/>
      <c r="IT6" s="1051"/>
      <c r="IU6" s="1051"/>
      <c r="IV6" s="1051"/>
      <c r="IW6" s="1051"/>
      <c r="IX6" s="1051"/>
      <c r="IY6" s="1051"/>
      <c r="IZ6" s="1051"/>
      <c r="JA6" s="1051"/>
      <c r="JB6" s="1051"/>
      <c r="JC6" s="1051"/>
      <c r="JD6" s="1051"/>
      <c r="JE6" s="1051"/>
      <c r="JF6" s="1051"/>
      <c r="JG6" s="1051"/>
      <c r="JH6" s="1051"/>
      <c r="JI6" s="1051"/>
      <c r="JJ6"/>
    </row>
    <row r="7" spans="1:270" s="102" customFormat="1">
      <c r="A7" s="289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15"/>
      <c r="AB7" s="103"/>
      <c r="AC7" s="103"/>
      <c r="AD7" s="103"/>
      <c r="AE7" s="115"/>
      <c r="AF7" s="103"/>
      <c r="AG7" s="103"/>
      <c r="AH7" s="103"/>
      <c r="AI7" s="115"/>
      <c r="AJ7" s="103"/>
      <c r="AK7" s="103"/>
      <c r="AL7" s="103"/>
      <c r="AM7" s="115"/>
      <c r="AN7" s="103"/>
      <c r="AO7" s="103"/>
      <c r="AP7" s="103"/>
      <c r="AQ7" s="115"/>
      <c r="AR7" s="103"/>
      <c r="AS7" s="103"/>
      <c r="AT7" s="103"/>
      <c r="AU7" s="115"/>
      <c r="AV7" s="293"/>
      <c r="AW7" s="293"/>
      <c r="AX7" s="293"/>
      <c r="AY7" s="115"/>
      <c r="AZ7" s="293"/>
      <c r="BA7" s="293"/>
      <c r="BB7" s="293"/>
      <c r="BC7" s="115"/>
      <c r="BD7" s="293"/>
      <c r="BE7" s="293"/>
      <c r="BF7" s="293"/>
      <c r="BG7" s="115"/>
      <c r="BH7" s="293"/>
      <c r="BI7" s="293"/>
      <c r="BJ7" s="293"/>
      <c r="BK7" s="115"/>
      <c r="BL7" s="293"/>
      <c r="BM7" s="293"/>
      <c r="BN7" s="293"/>
      <c r="BO7" s="115"/>
      <c r="BP7" s="293"/>
      <c r="BQ7" s="293"/>
      <c r="BR7" s="293"/>
      <c r="BS7" s="115"/>
      <c r="BT7" s="293"/>
      <c r="BU7" s="293"/>
      <c r="BV7" s="293"/>
      <c r="BW7" s="115"/>
      <c r="BX7" s="293"/>
      <c r="BY7" s="293"/>
      <c r="BZ7" s="293"/>
      <c r="CA7" s="115"/>
      <c r="CB7" s="293"/>
      <c r="CC7" s="293"/>
      <c r="CD7" s="293"/>
      <c r="CE7" s="115"/>
      <c r="CF7" s="293"/>
      <c r="CG7" s="293"/>
      <c r="CH7" s="293"/>
      <c r="CI7" s="115"/>
      <c r="CJ7" s="293"/>
      <c r="CK7" s="293"/>
      <c r="CL7" s="293"/>
      <c r="CM7" s="115"/>
      <c r="CN7" s="293"/>
      <c r="CO7" s="293"/>
      <c r="CP7" s="293"/>
      <c r="CQ7" s="115"/>
      <c r="CR7" s="293"/>
      <c r="CS7" s="293"/>
      <c r="CT7" s="293"/>
      <c r="CU7" s="115"/>
      <c r="CV7" s="293"/>
      <c r="CW7" s="293"/>
      <c r="CX7" s="293"/>
      <c r="CY7" s="115"/>
      <c r="CZ7" s="293"/>
      <c r="DA7" s="293"/>
      <c r="DB7" s="293"/>
      <c r="DC7" s="115"/>
      <c r="DD7" s="293"/>
      <c r="DE7" s="293"/>
      <c r="DF7" s="293"/>
      <c r="DG7" s="115"/>
      <c r="DH7" s="293"/>
      <c r="DI7" s="293"/>
      <c r="DJ7" s="293"/>
      <c r="DK7" s="115"/>
      <c r="DL7" s="293"/>
      <c r="DM7" s="293"/>
      <c r="DN7" s="293"/>
      <c r="DO7" s="115"/>
      <c r="DP7" s="293"/>
      <c r="DQ7" s="293"/>
      <c r="DR7" s="293"/>
      <c r="DS7" s="115"/>
      <c r="JJ7"/>
    </row>
    <row r="8" spans="1:270" s="102" customFormat="1">
      <c r="A8" s="289" t="s">
        <v>75</v>
      </c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626">
        <v>183</v>
      </c>
      <c r="Q8" s="626">
        <v>150</v>
      </c>
      <c r="R8" s="626">
        <v>333</v>
      </c>
      <c r="S8" s="768"/>
      <c r="T8" s="626">
        <v>242</v>
      </c>
      <c r="U8" s="626">
        <v>252</v>
      </c>
      <c r="V8" s="626">
        <v>494</v>
      </c>
      <c r="W8" s="768"/>
      <c r="X8" s="626">
        <v>284</v>
      </c>
      <c r="Y8" s="626">
        <v>539</v>
      </c>
      <c r="Z8" s="626">
        <v>823</v>
      </c>
      <c r="AA8" s="768"/>
      <c r="AB8" s="626">
        <v>256</v>
      </c>
      <c r="AC8" s="626">
        <v>556</v>
      </c>
      <c r="AD8" s="626">
        <v>812</v>
      </c>
      <c r="AE8" s="768"/>
      <c r="AF8" s="626">
        <v>482</v>
      </c>
      <c r="AG8" s="626">
        <v>434</v>
      </c>
      <c r="AH8" s="626">
        <v>916</v>
      </c>
      <c r="AI8" s="768"/>
      <c r="AJ8" s="626">
        <v>730</v>
      </c>
      <c r="AK8" s="626">
        <v>733</v>
      </c>
      <c r="AL8" s="626">
        <v>1463</v>
      </c>
      <c r="AM8" s="115"/>
      <c r="AN8" s="626">
        <v>1060</v>
      </c>
      <c r="AO8" s="626">
        <v>743</v>
      </c>
      <c r="AP8" s="626">
        <v>1803</v>
      </c>
      <c r="AQ8" s="768"/>
      <c r="AR8" s="626">
        <v>604</v>
      </c>
      <c r="AS8" s="626">
        <v>267</v>
      </c>
      <c r="AT8" s="626">
        <v>871</v>
      </c>
      <c r="AU8" s="115"/>
      <c r="AV8" s="293">
        <f>'P&amp;L'!AV30</f>
        <v>479</v>
      </c>
      <c r="AW8" s="293">
        <f>'P&amp;L'!AW30</f>
        <v>571</v>
      </c>
      <c r="AX8" s="293">
        <f>'P&amp;L'!AX30</f>
        <v>1050</v>
      </c>
      <c r="AY8" s="115"/>
      <c r="AZ8" s="293">
        <f>'P&amp;L'!AZ30</f>
        <v>403.33370000000014</v>
      </c>
      <c r="BA8" s="293">
        <f>'P&amp;L'!BA30</f>
        <v>553.33336999999983</v>
      </c>
      <c r="BB8" s="293">
        <f>'P&amp;L'!BB30</f>
        <v>956.66706999999997</v>
      </c>
      <c r="BC8" s="115"/>
      <c r="BD8" s="293">
        <f>'P&amp;L'!BD30</f>
        <v>304.32956000000013</v>
      </c>
      <c r="BE8" s="293">
        <f>'P&amp;L'!BE30</f>
        <v>426.32420000000025</v>
      </c>
      <c r="BF8" s="293">
        <f>'P&amp;L'!BF30</f>
        <v>730.65376000000037</v>
      </c>
      <c r="BG8" s="115"/>
      <c r="BH8" s="293">
        <f>'P&amp;L'!BH30</f>
        <v>361</v>
      </c>
      <c r="BI8" s="293">
        <f>'P&amp;L'!BI30</f>
        <v>490.49</v>
      </c>
      <c r="BJ8" s="293">
        <f>'P&amp;L'!BJ30</f>
        <v>851.49</v>
      </c>
      <c r="BK8" s="1056">
        <f>+BJ8/BF8-1</f>
        <v>0.16538098702181392</v>
      </c>
      <c r="BL8" s="293">
        <f>'P&amp;L'!BL30</f>
        <v>501</v>
      </c>
      <c r="BM8" s="293">
        <f>'P&amp;L'!BM30</f>
        <v>766.49</v>
      </c>
      <c r="BN8" s="293">
        <f>'P&amp;L'!BN30</f>
        <v>1267.49</v>
      </c>
      <c r="BO8" s="1056">
        <f>+BN8/BJ8-1</f>
        <v>0.48855535590553023</v>
      </c>
      <c r="BP8" s="293">
        <f>'P&amp;L'!BP30</f>
        <v>678</v>
      </c>
      <c r="BQ8" s="293">
        <f>'P&amp;L'!BQ30</f>
        <v>926.49</v>
      </c>
      <c r="BR8" s="293">
        <f>'P&amp;L'!BR30</f>
        <v>1604.49</v>
      </c>
      <c r="BS8" s="1056">
        <f>+BR8/BN8-1</f>
        <v>0.26587980970264069</v>
      </c>
      <c r="BT8" s="293">
        <f>'P&amp;L'!BT30</f>
        <v>1070</v>
      </c>
      <c r="BU8" s="293">
        <f>'P&amp;L'!BU30</f>
        <v>993.49</v>
      </c>
      <c r="BV8" s="293">
        <f>'P&amp;L'!BV30</f>
        <v>2063.4899999999998</v>
      </c>
      <c r="BW8" s="1056">
        <f>+BV8/BR8-1</f>
        <v>0.28607220986107729</v>
      </c>
      <c r="BX8" s="293">
        <f>'P&amp;L'!BX30</f>
        <v>1050</v>
      </c>
      <c r="BY8" s="293">
        <f>'P&amp;L'!BY30</f>
        <v>1167.49</v>
      </c>
      <c r="BZ8" s="293">
        <f>'P&amp;L'!BZ30</f>
        <v>2217.4899999999998</v>
      </c>
      <c r="CA8" s="1056">
        <f>+BZ8/BV8-1</f>
        <v>7.4630843861613005E-2</v>
      </c>
      <c r="CB8" s="293">
        <f>'P&amp;L'!CB30</f>
        <v>1248</v>
      </c>
      <c r="CC8" s="293">
        <f>'P&amp;L'!CC30</f>
        <v>1309.49</v>
      </c>
      <c r="CD8" s="293">
        <f>'P&amp;L'!CD30</f>
        <v>2557.4899999999998</v>
      </c>
      <c r="CE8" s="1056">
        <f>+CD8/BZ8-1</f>
        <v>0.1533265088004907</v>
      </c>
      <c r="CF8" s="293">
        <f>'P&amp;L'!CF30</f>
        <v>1310</v>
      </c>
      <c r="CG8" s="293">
        <f>'P&amp;L'!CG30</f>
        <v>1672.49</v>
      </c>
      <c r="CH8" s="293">
        <f>'P&amp;L'!CH30</f>
        <v>2982.49</v>
      </c>
      <c r="CI8" s="1056">
        <f>+CH8/CD8-1</f>
        <v>0.16617855788292424</v>
      </c>
      <c r="CJ8" s="293">
        <f>'P&amp;L'!CJ30</f>
        <v>1457</v>
      </c>
      <c r="CK8" s="293">
        <f>'P&amp;L'!CK30</f>
        <v>1274.49</v>
      </c>
      <c r="CL8" s="293">
        <f>'P&amp;L'!CL30</f>
        <v>2731.49</v>
      </c>
      <c r="CM8" s="1056">
        <f>+CL8/CH8-1</f>
        <v>-8.4157868090085852E-2</v>
      </c>
      <c r="CN8" s="293">
        <f>'P&amp;L'!CN30</f>
        <v>985</v>
      </c>
      <c r="CO8" s="293">
        <f>'P&amp;L'!CO30</f>
        <v>2030.49</v>
      </c>
      <c r="CP8" s="293">
        <f>'P&amp;L'!CP30</f>
        <v>3015.49</v>
      </c>
      <c r="CQ8" s="1056">
        <f>+CP8/CL8-1</f>
        <v>0.10397255710253384</v>
      </c>
      <c r="CR8" s="293">
        <f>'P&amp;L'!CR30</f>
        <v>2043</v>
      </c>
      <c r="CS8" s="293">
        <f>'P&amp;L'!CS30</f>
        <v>2663.49</v>
      </c>
      <c r="CT8" s="293">
        <f>'P&amp;L'!CT30</f>
        <v>4706.49</v>
      </c>
      <c r="CU8" s="1056">
        <f>+CT8/CP8-1</f>
        <v>0.5607712179446791</v>
      </c>
      <c r="CV8" s="293">
        <f>'P&amp;L'!CV30</f>
        <v>2383</v>
      </c>
      <c r="CW8" s="293">
        <f>'P&amp;L'!CW30</f>
        <v>2799.49</v>
      </c>
      <c r="CX8" s="293">
        <f>'P&amp;L'!CX30</f>
        <v>5182.49</v>
      </c>
      <c r="CY8" s="1056">
        <f>+CX8/CT8-1</f>
        <v>0.10113694069253309</v>
      </c>
      <c r="CZ8" s="293">
        <f>'P&amp;L'!CZ30</f>
        <v>1415</v>
      </c>
      <c r="DA8" s="293">
        <f>'P&amp;L'!DA30</f>
        <v>2107.4899999999998</v>
      </c>
      <c r="DB8" s="293">
        <f>'P&amp;L'!DB30</f>
        <v>3522.49</v>
      </c>
      <c r="DC8" s="1056">
        <f>+DB8/CX8-1</f>
        <v>-0.32030934936681021</v>
      </c>
      <c r="DD8" s="293">
        <f>'P&amp;L'!DD30</f>
        <v>1612</v>
      </c>
      <c r="DE8" s="293">
        <f ca="1">'P&amp;L'!DE30</f>
        <v>2103.4899999999998</v>
      </c>
      <c r="DF8" s="293">
        <f ca="1">'P&amp;L'!DF30</f>
        <v>3715.49</v>
      </c>
      <c r="DG8" s="1056">
        <f ca="1">+DF8/DB8-1</f>
        <v>5.4790787198828017E-2</v>
      </c>
      <c r="DH8" s="293">
        <f>'P&amp;L'!DH30</f>
        <v>1655</v>
      </c>
      <c r="DI8" s="293">
        <f>'P&amp;L'!DI30</f>
        <v>2517.6901979637678</v>
      </c>
      <c r="DJ8" s="293">
        <f>'P&amp;L'!DJ30</f>
        <v>4172.6901979637678</v>
      </c>
      <c r="DK8" s="1056">
        <f ca="1">+DJ8/DF8-1</f>
        <v>0.12305246359531807</v>
      </c>
      <c r="DL8" s="293">
        <f>'P&amp;L'!DL30</f>
        <v>1915.8372403143462</v>
      </c>
      <c r="DM8" s="293">
        <f>'P&amp;L'!DM30</f>
        <v>2656.8730472018797</v>
      </c>
      <c r="DN8" s="293">
        <f>'P&amp;L'!DN30</f>
        <v>4572.7102875162254</v>
      </c>
      <c r="DO8" s="1056">
        <f>+DN8/DJ8-1</f>
        <v>9.5866232711851795E-2</v>
      </c>
      <c r="DP8" s="293">
        <f>'P&amp;L'!DP30</f>
        <v>2085.2236692333981</v>
      </c>
      <c r="DQ8" s="293">
        <f>'P&amp;L'!DQ30</f>
        <v>2837.5443840796966</v>
      </c>
      <c r="DR8" s="293">
        <f>'P&amp;L'!DR30</f>
        <v>4922.7680533130952</v>
      </c>
      <c r="DS8" s="1056">
        <f>+DR8/DN8-1</f>
        <v>7.6553672501961989E-2</v>
      </c>
      <c r="JJ8"/>
    </row>
    <row r="9" spans="1:270" s="102" customFormat="1">
      <c r="A9" s="323" t="s">
        <v>271</v>
      </c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626"/>
      <c r="Q9" s="626"/>
      <c r="R9" s="626"/>
      <c r="S9" s="768"/>
      <c r="T9" s="626"/>
      <c r="U9" s="626"/>
      <c r="V9" s="626"/>
      <c r="W9" s="768"/>
      <c r="X9" s="626"/>
      <c r="Y9" s="626"/>
      <c r="Z9" s="626"/>
      <c r="AA9" s="768"/>
      <c r="AB9" s="626"/>
      <c r="AC9" s="626"/>
      <c r="AD9" s="626"/>
      <c r="AE9" s="768"/>
      <c r="AF9" s="626"/>
      <c r="AG9" s="626"/>
      <c r="AH9" s="626"/>
      <c r="AI9" s="768"/>
      <c r="AJ9" s="626"/>
      <c r="AK9" s="626"/>
      <c r="AL9" s="626"/>
      <c r="AM9" s="115"/>
      <c r="AN9" s="626"/>
      <c r="AO9" s="626"/>
      <c r="AP9" s="626"/>
      <c r="AQ9" s="768"/>
      <c r="AR9" s="626"/>
      <c r="AS9" s="626"/>
      <c r="AT9" s="626"/>
      <c r="AU9" s="115"/>
      <c r="AV9" s="293"/>
      <c r="AW9" s="293"/>
      <c r="AX9" s="293"/>
      <c r="AY9" s="115"/>
      <c r="AZ9" s="293"/>
      <c r="BA9" s="293"/>
      <c r="BB9" s="293"/>
      <c r="BC9" s="115"/>
      <c r="BD9" s="684">
        <f>-BD10/BD8</f>
        <v>6.9004141431413993E-2</v>
      </c>
      <c r="BE9" s="684">
        <f>-BE10/BE8</f>
        <v>5.1603920209080292E-2</v>
      </c>
      <c r="BF9" s="684">
        <f>-BF10/BF8</f>
        <v>5.8851404528459522E-2</v>
      </c>
      <c r="BG9" s="115"/>
      <c r="BH9" s="684">
        <f>-BH10/BH8</f>
        <v>7.2022160664819951E-2</v>
      </c>
      <c r="BI9" s="684">
        <f>-BI10/BI8</f>
        <v>7.1357214214357076E-2</v>
      </c>
      <c r="BJ9" s="684">
        <f>-BJ10/BJ8</f>
        <v>7.1639126707301312E-2</v>
      </c>
      <c r="BK9" s="115"/>
      <c r="BL9" s="684">
        <f>-BL10/BL8</f>
        <v>7.3852295409181631E-2</v>
      </c>
      <c r="BM9" s="684">
        <f>-BM10/BM8</f>
        <v>7.0451016973476499E-2</v>
      </c>
      <c r="BN9" s="684">
        <f>-BN10/BN8</f>
        <v>7.1795438228309499E-2</v>
      </c>
      <c r="BO9" s="115"/>
      <c r="BP9" s="684">
        <f>-BP10/BP8</f>
        <v>7.0796460176991149E-2</v>
      </c>
      <c r="BQ9" s="684">
        <f>-BQ10/BQ8</f>
        <v>6.3681205409664432E-2</v>
      </c>
      <c r="BR9" s="684">
        <f>-BR10/BR8</f>
        <v>6.6687857200730449E-2</v>
      </c>
      <c r="BS9" s="115"/>
      <c r="BT9" s="684">
        <f>-BT10/BT8</f>
        <v>5.7943925233644861E-2</v>
      </c>
      <c r="BU9" s="684">
        <f>-BU10/BU8</f>
        <v>5.0327632890114646E-2</v>
      </c>
      <c r="BV9" s="684">
        <f>-BV10/BV8</f>
        <v>5.4276977353900434E-2</v>
      </c>
      <c r="BW9" s="115"/>
      <c r="BX9" s="684">
        <f>-BX10/BX8</f>
        <v>4.6666666666666669E-2</v>
      </c>
      <c r="BY9" s="684">
        <f>-BY10/BY8</f>
        <v>4.796614960299446E-2</v>
      </c>
      <c r="BZ9" s="684">
        <f>-BZ10/BZ8</f>
        <v>4.7350833600151528E-2</v>
      </c>
      <c r="CA9" s="115"/>
      <c r="CB9" s="684">
        <f>-CB10/CB8</f>
        <v>4.4070512820512824E-2</v>
      </c>
      <c r="CC9" s="684">
        <f>-CC10/CC8</f>
        <v>4.3528396551329146E-2</v>
      </c>
      <c r="CD9" s="684">
        <f>-CD10/CD8</f>
        <v>4.3792937606794168E-2</v>
      </c>
      <c r="CE9" s="115"/>
      <c r="CF9" s="684">
        <f>-CF10/CF8</f>
        <v>4.0458015267175573E-2</v>
      </c>
      <c r="CG9" s="684">
        <f>-CG10/CG8</f>
        <v>4.0060030254291508E-2</v>
      </c>
      <c r="CH9" s="684">
        <f>-CH10/CH8</f>
        <v>4.0234837333905565E-2</v>
      </c>
      <c r="CI9" s="115"/>
      <c r="CJ9" s="684">
        <f>-CJ10/CJ8</f>
        <v>3.6376115305422098E-2</v>
      </c>
      <c r="CK9" s="684">
        <f>-CK10/CK8</f>
        <v>3.2954358213873783E-2</v>
      </c>
      <c r="CL9" s="684">
        <f>-CL10/CL8</f>
        <v>3.477955255190391E-2</v>
      </c>
      <c r="CM9" s="115"/>
      <c r="CN9" s="684">
        <f>-CN10/CN8</f>
        <v>3.2487309644670052E-2</v>
      </c>
      <c r="CO9" s="684">
        <f>-CO10/CO8</f>
        <v>3.2996961324606375E-2</v>
      </c>
      <c r="CP9" s="684">
        <f>-CP10/CP8</f>
        <v>3.2830485261101848E-2</v>
      </c>
      <c r="CQ9" s="115"/>
      <c r="CR9" s="684">
        <f>-CR10/CR8</f>
        <v>3.1815956926089087E-2</v>
      </c>
      <c r="CS9" s="684">
        <f>-CS10/CS8</f>
        <v>3.07866746261484E-2</v>
      </c>
      <c r="CT9" s="684">
        <f>-CT10/CT8</f>
        <v>3.1233466978576391E-2</v>
      </c>
      <c r="CU9" s="115"/>
      <c r="CV9" s="684">
        <f>-CV10/CV8</f>
        <v>3.0214015946286196E-2</v>
      </c>
      <c r="CW9" s="684">
        <f>-CW10/CW8</f>
        <v>3.3934752401330245E-2</v>
      </c>
      <c r="CX9" s="684">
        <f>-CX10/CX8</f>
        <v>3.2223892376058612E-2</v>
      </c>
      <c r="CY9" s="115"/>
      <c r="CZ9" s="684">
        <f>-CZ10/CZ8</f>
        <v>3.3922261484098937E-2</v>
      </c>
      <c r="DA9" s="684">
        <f>-DA10/DA8</f>
        <v>4.2230330867524882E-2</v>
      </c>
      <c r="DB9" s="684">
        <f>-DB10/DB8</f>
        <v>3.8892942208494562E-2</v>
      </c>
      <c r="DC9" s="115"/>
      <c r="DD9" s="684">
        <f>-DD10/DD8</f>
        <v>3.5359801488833748E-2</v>
      </c>
      <c r="DE9" s="684">
        <f ca="1">-DE10/DE8</f>
        <v>3.5655030449396011E-2</v>
      </c>
      <c r="DF9" s="684">
        <f ca="1">-DF10/DF8</f>
        <v>3.5526942610530514E-2</v>
      </c>
      <c r="DG9" s="115"/>
      <c r="DH9" s="684">
        <f>-DH10/DH8</f>
        <v>3.2628398791540787E-2</v>
      </c>
      <c r="DI9" s="684">
        <f>DH9</f>
        <v>3.2628398791540787E-2</v>
      </c>
      <c r="DJ9" s="684">
        <f>-DJ10/DJ8</f>
        <v>3.2628398791540787E-2</v>
      </c>
      <c r="DK9" s="115"/>
      <c r="DL9" s="684">
        <f>DI9</f>
        <v>3.2628398791540787E-2</v>
      </c>
      <c r="DM9" s="684">
        <f>DL9</f>
        <v>3.2628398791540787E-2</v>
      </c>
      <c r="DN9" s="684">
        <f>-DN10/DN8</f>
        <v>3.2628398791540794E-2</v>
      </c>
      <c r="DO9" s="115"/>
      <c r="DP9" s="684">
        <f>DM9</f>
        <v>3.2628398791540787E-2</v>
      </c>
      <c r="DQ9" s="684">
        <f>DP9</f>
        <v>3.2628398791540787E-2</v>
      </c>
      <c r="DR9" s="684">
        <f>-DR10/DR8</f>
        <v>3.262839879154078E-2</v>
      </c>
      <c r="DS9" s="115"/>
      <c r="JJ9"/>
    </row>
    <row r="10" spans="1:270" s="845" customFormat="1">
      <c r="A10" s="332" t="s">
        <v>479</v>
      </c>
      <c r="B10" s="332"/>
      <c r="C10" s="293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626">
        <v>0</v>
      </c>
      <c r="Q10" s="626">
        <v>0</v>
      </c>
      <c r="R10" s="293">
        <f>+Q10+P10</f>
        <v>0</v>
      </c>
      <c r="S10" s="769"/>
      <c r="T10" s="626">
        <v>0</v>
      </c>
      <c r="U10" s="626">
        <v>0</v>
      </c>
      <c r="V10" s="293">
        <f>+U10+T10</f>
        <v>0</v>
      </c>
      <c r="W10" s="769"/>
      <c r="X10" s="626">
        <v>0</v>
      </c>
      <c r="Y10" s="626">
        <v>0</v>
      </c>
      <c r="Z10" s="293">
        <f>+Y10+X10</f>
        <v>0</v>
      </c>
      <c r="AA10" s="769"/>
      <c r="AB10" s="626">
        <v>0</v>
      </c>
      <c r="AC10" s="626">
        <v>0</v>
      </c>
      <c r="AD10" s="293">
        <f>+AC10+AB10</f>
        <v>0</v>
      </c>
      <c r="AE10" s="769"/>
      <c r="AF10" s="626">
        <v>0</v>
      </c>
      <c r="AG10" s="626">
        <v>0</v>
      </c>
      <c r="AH10" s="293">
        <f>+AG10+AF10</f>
        <v>0</v>
      </c>
      <c r="AI10" s="769"/>
      <c r="AJ10" s="626">
        <v>0</v>
      </c>
      <c r="AK10" s="626">
        <v>0</v>
      </c>
      <c r="AL10" s="293">
        <f>+AK10+AJ10</f>
        <v>0</v>
      </c>
      <c r="AM10" s="769"/>
      <c r="AN10" s="626">
        <v>0</v>
      </c>
      <c r="AO10" s="626">
        <v>0</v>
      </c>
      <c r="AP10" s="293">
        <f>+AO10+AN10</f>
        <v>0</v>
      </c>
      <c r="AQ10" s="769"/>
      <c r="AR10" s="626">
        <v>0</v>
      </c>
      <c r="AS10" s="626">
        <v>0</v>
      </c>
      <c r="AT10" s="293">
        <f>+AS10+AR10</f>
        <v>0</v>
      </c>
      <c r="AU10" s="769"/>
      <c r="AV10" s="626">
        <v>0</v>
      </c>
      <c r="AW10" s="626">
        <v>0</v>
      </c>
      <c r="AX10" s="293">
        <f>+AW10+AV10</f>
        <v>0</v>
      </c>
      <c r="AY10" s="769"/>
      <c r="AZ10" s="626">
        <v>0</v>
      </c>
      <c r="BA10" s="626">
        <v>0</v>
      </c>
      <c r="BB10" s="293">
        <f>+BA10+AZ10</f>
        <v>0</v>
      </c>
      <c r="BC10" s="769"/>
      <c r="BD10" s="626">
        <v>-21</v>
      </c>
      <c r="BE10" s="293">
        <f>BF10-BD10</f>
        <v>-22</v>
      </c>
      <c r="BF10" s="626">
        <v>-43</v>
      </c>
      <c r="BG10" s="787"/>
      <c r="BH10" s="626">
        <f>-26</f>
        <v>-26</v>
      </c>
      <c r="BI10" s="293">
        <f>BJ10-BH10</f>
        <v>-35</v>
      </c>
      <c r="BJ10" s="626">
        <v>-61</v>
      </c>
      <c r="BK10" s="769"/>
      <c r="BL10" s="626">
        <v>-37</v>
      </c>
      <c r="BM10" s="293">
        <f>BN10-BL10</f>
        <v>-54</v>
      </c>
      <c r="BN10" s="626">
        <v>-91</v>
      </c>
      <c r="BO10" s="769"/>
      <c r="BP10" s="626">
        <v>-48</v>
      </c>
      <c r="BQ10" s="293">
        <f>BR10-BP10</f>
        <v>-59</v>
      </c>
      <c r="BR10" s="626">
        <v>-107</v>
      </c>
      <c r="BS10" s="769"/>
      <c r="BT10" s="626">
        <v>-62</v>
      </c>
      <c r="BU10" s="293">
        <f>BV10-BT10</f>
        <v>-50</v>
      </c>
      <c r="BV10" s="626">
        <v>-112</v>
      </c>
      <c r="BW10" s="769"/>
      <c r="BX10" s="626">
        <v>-49</v>
      </c>
      <c r="BY10" s="293">
        <f>BZ10-BX10</f>
        <v>-56</v>
      </c>
      <c r="BZ10" s="626">
        <v>-105</v>
      </c>
      <c r="CA10" s="769"/>
      <c r="CB10" s="626">
        <v>-55</v>
      </c>
      <c r="CC10" s="293">
        <f>CD10-CB10</f>
        <v>-57</v>
      </c>
      <c r="CD10" s="626">
        <v>-112</v>
      </c>
      <c r="CE10" s="769"/>
      <c r="CF10" s="626">
        <v>-53</v>
      </c>
      <c r="CG10" s="293">
        <f>CH10-CF10</f>
        <v>-67</v>
      </c>
      <c r="CH10" s="626">
        <v>-120</v>
      </c>
      <c r="CI10" s="769"/>
      <c r="CJ10" s="626">
        <v>-53</v>
      </c>
      <c r="CK10" s="293">
        <f>CL10-CJ10</f>
        <v>-42</v>
      </c>
      <c r="CL10" s="626">
        <v>-95</v>
      </c>
      <c r="CM10" s="769"/>
      <c r="CN10" s="626">
        <v>-32</v>
      </c>
      <c r="CO10" s="293">
        <f>CP10-CN10</f>
        <v>-67</v>
      </c>
      <c r="CP10" s="626">
        <v>-99</v>
      </c>
      <c r="CQ10" s="769"/>
      <c r="CR10" s="626">
        <v>-65</v>
      </c>
      <c r="CS10" s="293">
        <f>CT10-CR10</f>
        <v>-82</v>
      </c>
      <c r="CT10" s="626">
        <v>-147</v>
      </c>
      <c r="CU10" s="769"/>
      <c r="CV10" s="626">
        <v>-72</v>
      </c>
      <c r="CW10" s="293">
        <f>CX10-CV10</f>
        <v>-95</v>
      </c>
      <c r="CX10" s="626">
        <v>-167</v>
      </c>
      <c r="CY10" s="769"/>
      <c r="CZ10" s="626">
        <v>-48</v>
      </c>
      <c r="DA10" s="293">
        <f>DB10-CZ10</f>
        <v>-89</v>
      </c>
      <c r="DB10" s="1872">
        <v>-137</v>
      </c>
      <c r="DC10" s="769"/>
      <c r="DD10" s="626">
        <v>-57</v>
      </c>
      <c r="DE10" s="293">
        <f>DF10-DD10</f>
        <v>-75</v>
      </c>
      <c r="DF10" s="2175">
        <v>-132</v>
      </c>
      <c r="DG10" s="769"/>
      <c r="DH10" s="2255">
        <v>-54</v>
      </c>
      <c r="DI10" s="1950">
        <f>-DI8*DI9</f>
        <v>-82.148199812715092</v>
      </c>
      <c r="DJ10" s="1950">
        <f>+DI10+DH10</f>
        <v>-136.14819981271509</v>
      </c>
      <c r="DK10" s="1952"/>
      <c r="DL10" s="1950">
        <f>-DL8*DL9</f>
        <v>-62.510701496661454</v>
      </c>
      <c r="DM10" s="1950">
        <f>-DM8*DM9</f>
        <v>-86.689513322599097</v>
      </c>
      <c r="DN10" s="1950">
        <f>+DM10+DL10</f>
        <v>-149.20021481926057</v>
      </c>
      <c r="DO10" s="1952"/>
      <c r="DP10" s="1950">
        <f>-DP8*DP9</f>
        <v>-68.037509449307251</v>
      </c>
      <c r="DQ10" s="1950">
        <f>-DQ8*DQ9</f>
        <v>-92.584529752449313</v>
      </c>
      <c r="DR10" s="1950">
        <f>+DQ10+DP10</f>
        <v>-160.62203920175656</v>
      </c>
      <c r="DS10" s="1952"/>
      <c r="DT10" s="1953"/>
      <c r="DU10" s="1953" t="s">
        <v>947</v>
      </c>
      <c r="DV10" s="1953"/>
      <c r="DW10" s="1953"/>
      <c r="DX10" s="1953"/>
      <c r="DY10" s="1953"/>
      <c r="DZ10" s="1953"/>
      <c r="EA10" s="1953"/>
      <c r="EB10" s="1953"/>
      <c r="EC10" s="1953"/>
      <c r="ED10" s="1953"/>
      <c r="JJ10"/>
    </row>
    <row r="11" spans="1:270" s="102" customFormat="1">
      <c r="A11" s="289" t="s">
        <v>68</v>
      </c>
      <c r="C11" s="103" t="s">
        <v>612</v>
      </c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293">
        <f>+P8+P10</f>
        <v>183</v>
      </c>
      <c r="Q11" s="293">
        <f>+Q8+Q10</f>
        <v>150</v>
      </c>
      <c r="R11" s="293">
        <f>+R8+R10</f>
        <v>333</v>
      </c>
      <c r="S11" s="115"/>
      <c r="T11" s="293">
        <f>+T8+T10</f>
        <v>242</v>
      </c>
      <c r="U11" s="293">
        <f>+U8+U10</f>
        <v>252</v>
      </c>
      <c r="V11" s="293">
        <f>+V8+V10</f>
        <v>494</v>
      </c>
      <c r="W11" s="115"/>
      <c r="X11" s="293">
        <f>+X8+X10</f>
        <v>284</v>
      </c>
      <c r="Y11" s="293">
        <f>+Y8+Y10</f>
        <v>539</v>
      </c>
      <c r="Z11" s="293">
        <f>+Z8+Z10</f>
        <v>823</v>
      </c>
      <c r="AA11" s="115"/>
      <c r="AB11" s="293">
        <f>+AB8+AB10</f>
        <v>256</v>
      </c>
      <c r="AC11" s="293">
        <f>+AC8+AC10</f>
        <v>556</v>
      </c>
      <c r="AD11" s="293">
        <f>+AD8+AD10</f>
        <v>812</v>
      </c>
      <c r="AE11" s="115"/>
      <c r="AF11" s="293">
        <f>+AF8+AF10</f>
        <v>482</v>
      </c>
      <c r="AG11" s="293">
        <f>+AG8+AG10</f>
        <v>434</v>
      </c>
      <c r="AH11" s="293">
        <f>+AH8+AH10</f>
        <v>916</v>
      </c>
      <c r="AI11" s="115"/>
      <c r="AJ11" s="293">
        <f>+AJ8+AJ10</f>
        <v>730</v>
      </c>
      <c r="AK11" s="293">
        <f>+AK8+AK10</f>
        <v>733</v>
      </c>
      <c r="AL11" s="293">
        <f>+AL8+AL10</f>
        <v>1463</v>
      </c>
      <c r="AM11" s="115"/>
      <c r="AN11" s="293">
        <f>+AN8+AN10</f>
        <v>1060</v>
      </c>
      <c r="AO11" s="293">
        <f>+AO8+AO10</f>
        <v>743</v>
      </c>
      <c r="AP11" s="293">
        <f>+AP8+AP10</f>
        <v>1803</v>
      </c>
      <c r="AQ11" s="115"/>
      <c r="AR11" s="293">
        <f>+AR8+AR10</f>
        <v>604</v>
      </c>
      <c r="AS11" s="293">
        <f>+AS8+AS10</f>
        <v>267</v>
      </c>
      <c r="AT11" s="293">
        <f>+AT8+AT10</f>
        <v>871</v>
      </c>
      <c r="AU11" s="115"/>
      <c r="AV11" s="293">
        <f>+AV8+AV10</f>
        <v>479</v>
      </c>
      <c r="AW11" s="293">
        <f>+AW8+AW10</f>
        <v>571</v>
      </c>
      <c r="AX11" s="293">
        <f>+AX8+AX10</f>
        <v>1050</v>
      </c>
      <c r="AY11" s="115"/>
      <c r="AZ11" s="293">
        <f>+AZ8+AZ10</f>
        <v>403.33370000000014</v>
      </c>
      <c r="BA11" s="293">
        <f>+BA8+BA10</f>
        <v>553.33336999999983</v>
      </c>
      <c r="BB11" s="293">
        <f>+BB8+BB10</f>
        <v>956.66706999999997</v>
      </c>
      <c r="BC11" s="115"/>
      <c r="BD11" s="293">
        <f>+BD8+BD10</f>
        <v>283.32956000000013</v>
      </c>
      <c r="BE11" s="293">
        <f>+BE8+BE10</f>
        <v>404.32420000000025</v>
      </c>
      <c r="BF11" s="293">
        <f>+BF8+BF10</f>
        <v>687.65376000000037</v>
      </c>
      <c r="BG11" s="115"/>
      <c r="BH11" s="293">
        <f>+BH8+BH10</f>
        <v>335</v>
      </c>
      <c r="BI11" s="293">
        <f>+BI8+BI10</f>
        <v>455.49</v>
      </c>
      <c r="BJ11" s="293">
        <f>+BJ8+BJ10</f>
        <v>790.49</v>
      </c>
      <c r="BK11" s="1056">
        <f>+BJ11/BF11-1</f>
        <v>0.14954653923509342</v>
      </c>
      <c r="BL11" s="293">
        <f>+BL8+BL10</f>
        <v>464</v>
      </c>
      <c r="BM11" s="293">
        <f>+BM8+BM10</f>
        <v>712.49</v>
      </c>
      <c r="BN11" s="293">
        <f>+BN8+BN10</f>
        <v>1176.49</v>
      </c>
      <c r="BO11" s="1056">
        <f>+BN11/BJ11-1</f>
        <v>0.48830472238737999</v>
      </c>
      <c r="BP11" s="293">
        <f>+BP8+BP10</f>
        <v>630</v>
      </c>
      <c r="BQ11" s="293">
        <f>+BQ8+BQ10</f>
        <v>867.49</v>
      </c>
      <c r="BR11" s="293">
        <f>+BR8+BR10</f>
        <v>1497.49</v>
      </c>
      <c r="BS11" s="1056">
        <f>+BR11/BN11-1</f>
        <v>0.27284549804928226</v>
      </c>
      <c r="BT11" s="293">
        <f>+BT8+BT10</f>
        <v>1008</v>
      </c>
      <c r="BU11" s="293">
        <f>+BU8+BU10</f>
        <v>943.49</v>
      </c>
      <c r="BV11" s="293">
        <f>+BV8+BV10</f>
        <v>1951.4899999999998</v>
      </c>
      <c r="BW11" s="1056">
        <f>+BV11/BR11-1</f>
        <v>0.30317397778950084</v>
      </c>
      <c r="BX11" s="293">
        <f>+BX8+BX10</f>
        <v>1001</v>
      </c>
      <c r="BY11" s="293">
        <f>+BY8+BY10</f>
        <v>1111.49</v>
      </c>
      <c r="BZ11" s="293">
        <f>+BZ8+BZ10</f>
        <v>2112.4899999999998</v>
      </c>
      <c r="CA11" s="1056">
        <f>+BZ11/BV11-1</f>
        <v>8.2501063290101317E-2</v>
      </c>
      <c r="CB11" s="293">
        <f>+CB8+CB10</f>
        <v>1193</v>
      </c>
      <c r="CC11" s="293">
        <f>+CC8+CC10</f>
        <v>1252.49</v>
      </c>
      <c r="CD11" s="293">
        <f>+CD8+CD10</f>
        <v>2445.4899999999998</v>
      </c>
      <c r="CE11" s="1056">
        <f>+CD11/BZ11-1</f>
        <v>0.15763388229056696</v>
      </c>
      <c r="CF11" s="293">
        <f>+CF8+CF10</f>
        <v>1257</v>
      </c>
      <c r="CG11" s="293">
        <f>+CG8+CG10</f>
        <v>1605.49</v>
      </c>
      <c r="CH11" s="293">
        <f>+CH8+CH10</f>
        <v>2862.49</v>
      </c>
      <c r="CI11" s="1056">
        <f>+CH11/CD11-1</f>
        <v>0.17051797390298051</v>
      </c>
      <c r="CJ11" s="293">
        <f>+CJ8+CJ10</f>
        <v>1404</v>
      </c>
      <c r="CK11" s="293">
        <f>+CK8+CK10</f>
        <v>1232.49</v>
      </c>
      <c r="CL11" s="293">
        <f>+CL8+CL10</f>
        <v>2636.49</v>
      </c>
      <c r="CM11" s="1056">
        <f>+CL11/CH11-1</f>
        <v>-7.8952240881190905E-2</v>
      </c>
      <c r="CN11" s="293">
        <f>+CN8+CN10</f>
        <v>953</v>
      </c>
      <c r="CO11" s="293">
        <f>+CO8+CO10</f>
        <v>1963.49</v>
      </c>
      <c r="CP11" s="293">
        <f>+CP8+CP10</f>
        <v>2916.49</v>
      </c>
      <c r="CQ11" s="1056">
        <f>+CP11/CL11-1</f>
        <v>0.10620180618928954</v>
      </c>
      <c r="CR11" s="293">
        <f>+CR8+CR10</f>
        <v>1978</v>
      </c>
      <c r="CS11" s="293">
        <f>+CS8+CS10</f>
        <v>2581.4899999999998</v>
      </c>
      <c r="CT11" s="293">
        <f>+CT8+CT10</f>
        <v>4559.49</v>
      </c>
      <c r="CU11" s="1056">
        <f>+CT11/CP11-1</f>
        <v>0.56334840853217405</v>
      </c>
      <c r="CV11" s="293">
        <f>+CV8+CV10</f>
        <v>2311</v>
      </c>
      <c r="CW11" s="293">
        <f>+CW8+CW10</f>
        <v>2704.49</v>
      </c>
      <c r="CX11" s="293">
        <f>+CX8+CX10</f>
        <v>5015.49</v>
      </c>
      <c r="CY11" s="1056">
        <f>+CX11/CT11-1</f>
        <v>0.10001118546153198</v>
      </c>
      <c r="CZ11" s="293">
        <f>+CZ8+CZ10</f>
        <v>1367</v>
      </c>
      <c r="DA11" s="293">
        <f>+DA8+DA10</f>
        <v>2018.4899999999998</v>
      </c>
      <c r="DB11" s="1868">
        <f>+DB8+DB10</f>
        <v>3385.49</v>
      </c>
      <c r="DC11" s="1056">
        <f>+DB11/CX11-1</f>
        <v>-0.32499317115575943</v>
      </c>
      <c r="DD11" s="293">
        <f>+DD8+DD10</f>
        <v>1555</v>
      </c>
      <c r="DE11" s="293">
        <f ca="1">+DE8+DE10</f>
        <v>2028.4899999999998</v>
      </c>
      <c r="DF11" s="1868">
        <f ca="1">+DF8+DF10</f>
        <v>3583.49</v>
      </c>
      <c r="DG11" s="1056">
        <f ca="1">+DF11/DB11-1</f>
        <v>5.8484886973525274E-2</v>
      </c>
      <c r="DH11" s="293">
        <f>+DH8+DH10</f>
        <v>1601</v>
      </c>
      <c r="DI11" s="293">
        <f>+DI8+DI10</f>
        <v>2435.5419981510527</v>
      </c>
      <c r="DJ11" s="293">
        <f>+DJ8+DJ10</f>
        <v>4036.5419981510527</v>
      </c>
      <c r="DK11" s="1056">
        <f ca="1">+DJ11/DF11-1</f>
        <v>0.12642758823131994</v>
      </c>
      <c r="DL11" s="293">
        <f>+DL8+DL10</f>
        <v>1853.3265388176846</v>
      </c>
      <c r="DM11" s="293">
        <f>+DM8+DM10</f>
        <v>2570.1835338792807</v>
      </c>
      <c r="DN11" s="293">
        <f>+DN8+DN10</f>
        <v>4423.5100726969649</v>
      </c>
      <c r="DO11" s="1056">
        <f>+DN11/DJ11-1</f>
        <v>9.5866232711851795E-2</v>
      </c>
      <c r="DP11" s="293">
        <f>+DP8+DP10</f>
        <v>2017.1861597840909</v>
      </c>
      <c r="DQ11" s="293">
        <f>+DQ8+DQ10</f>
        <v>2744.9598543272473</v>
      </c>
      <c r="DR11" s="293">
        <f>+DR8+DR10</f>
        <v>4762.1460141113384</v>
      </c>
      <c r="DS11" s="1056">
        <f>+DR11/DN11-1</f>
        <v>7.6553672501961989E-2</v>
      </c>
      <c r="JJ11"/>
    </row>
    <row r="12" spans="1:270" s="302" customFormat="1">
      <c r="A12" s="102" t="s">
        <v>73</v>
      </c>
      <c r="B12" s="102"/>
      <c r="C12" s="103" t="s">
        <v>612</v>
      </c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626">
        <f>5+1</f>
        <v>6</v>
      </c>
      <c r="Q12" s="626">
        <v>6</v>
      </c>
      <c r="R12" s="626">
        <f>11+1</f>
        <v>12</v>
      </c>
      <c r="S12" s="103"/>
      <c r="T12" s="626">
        <v>5</v>
      </c>
      <c r="U12" s="626">
        <v>0</v>
      </c>
      <c r="V12" s="626">
        <v>5</v>
      </c>
      <c r="W12" s="103"/>
      <c r="X12" s="626">
        <v>0</v>
      </c>
      <c r="Y12" s="626">
        <v>0</v>
      </c>
      <c r="Z12" s="626">
        <v>0</v>
      </c>
      <c r="AA12" s="115"/>
      <c r="AB12" s="626">
        <v>0</v>
      </c>
      <c r="AC12" s="626">
        <v>0</v>
      </c>
      <c r="AD12" s="626">
        <v>0</v>
      </c>
      <c r="AE12" s="331"/>
      <c r="AF12" s="626">
        <v>0</v>
      </c>
      <c r="AG12" s="626">
        <v>0</v>
      </c>
      <c r="AH12" s="626">
        <v>0</v>
      </c>
      <c r="AI12" s="115"/>
      <c r="AJ12" s="626">
        <v>0</v>
      </c>
      <c r="AK12" s="626">
        <v>0</v>
      </c>
      <c r="AL12" s="626">
        <v>0</v>
      </c>
      <c r="AM12" s="115"/>
      <c r="AN12" s="626">
        <v>0</v>
      </c>
      <c r="AO12" s="626">
        <v>0</v>
      </c>
      <c r="AP12" s="626">
        <v>0</v>
      </c>
      <c r="AQ12" s="115"/>
      <c r="AR12" s="626">
        <v>0</v>
      </c>
      <c r="AS12" s="626">
        <v>0</v>
      </c>
      <c r="AT12" s="626">
        <v>0</v>
      </c>
      <c r="AU12" s="115"/>
      <c r="AV12" s="626">
        <v>16</v>
      </c>
      <c r="AW12" s="626">
        <v>16</v>
      </c>
      <c r="AX12" s="492">
        <f>SUM(AV12:AW12)</f>
        <v>32</v>
      </c>
      <c r="AY12" s="115"/>
      <c r="AZ12" s="626">
        <v>16</v>
      </c>
      <c r="BA12" s="293">
        <f>BB12-AZ12</f>
        <v>19</v>
      </c>
      <c r="BB12" s="626">
        <v>35</v>
      </c>
      <c r="BC12" s="787"/>
      <c r="BD12" s="626">
        <v>0</v>
      </c>
      <c r="BE12" s="293">
        <f>BF12-BD12</f>
        <v>0</v>
      </c>
      <c r="BF12" s="626">
        <v>0</v>
      </c>
      <c r="BG12" s="115"/>
      <c r="BH12" s="626">
        <v>6</v>
      </c>
      <c r="BI12" s="293">
        <f>BJ12-BH12</f>
        <v>81</v>
      </c>
      <c r="BJ12" s="626">
        <f>13+35+39</f>
        <v>87</v>
      </c>
      <c r="BK12" s="787"/>
      <c r="BL12" s="626">
        <f>5+6+7+28</f>
        <v>46</v>
      </c>
      <c r="BM12" s="626">
        <f>9+5+45</f>
        <v>59</v>
      </c>
      <c r="BN12" s="626">
        <f>14+7+9+73</f>
        <v>103</v>
      </c>
      <c r="BO12" s="787"/>
      <c r="BP12" s="626">
        <f>9+5+0+34</f>
        <v>48</v>
      </c>
      <c r="BQ12" s="293">
        <f>BR12-BP12</f>
        <v>64</v>
      </c>
      <c r="BR12" s="626">
        <f>6+18+11+77</f>
        <v>112</v>
      </c>
      <c r="BS12" s="787"/>
      <c r="BT12" s="626">
        <f>6+9+7+46</f>
        <v>68</v>
      </c>
      <c r="BU12" s="293">
        <f>BV12-BT12</f>
        <v>106</v>
      </c>
      <c r="BV12" s="1711">
        <f>35+79+22+10+28</f>
        <v>174</v>
      </c>
      <c r="BW12" s="787"/>
      <c r="BX12" s="626">
        <f>29+58</f>
        <v>87</v>
      </c>
      <c r="BY12" s="293">
        <f>BZ12-BX12</f>
        <v>93</v>
      </c>
      <c r="BZ12" s="1711">
        <f>65+115</f>
        <v>180</v>
      </c>
      <c r="CA12" s="787"/>
      <c r="CB12" s="626">
        <f>35+48</f>
        <v>83</v>
      </c>
      <c r="CC12" s="293">
        <f>CD12-CB12</f>
        <v>82</v>
      </c>
      <c r="CD12" s="1711">
        <f>75+90</f>
        <v>165</v>
      </c>
      <c r="CE12" s="787"/>
      <c r="CF12" s="626">
        <f>36+6+11+17</f>
        <v>70</v>
      </c>
      <c r="CG12" s="293">
        <f>CH12-CF12</f>
        <v>117</v>
      </c>
      <c r="CH12" s="1711">
        <f>82+6+21+34+43+1</f>
        <v>187</v>
      </c>
      <c r="CI12" s="787"/>
      <c r="CJ12" s="626">
        <f>34+10+16+24+22</f>
        <v>106</v>
      </c>
      <c r="CK12" s="293">
        <f>CL12-CJ12</f>
        <v>91</v>
      </c>
      <c r="CL12" s="1069">
        <f>58+139</f>
        <v>197</v>
      </c>
      <c r="CM12" s="787"/>
      <c r="CN12" s="626">
        <f>17+9+19+18</f>
        <v>63</v>
      </c>
      <c r="CO12" s="293">
        <f>CP12-CN12</f>
        <v>117</v>
      </c>
      <c r="CP12" s="1069">
        <f>57+123</f>
        <v>180</v>
      </c>
      <c r="CQ12" s="787"/>
      <c r="CR12" s="626">
        <f>41+61</f>
        <v>102</v>
      </c>
      <c r="CS12" s="293">
        <f>CT12-CR12</f>
        <v>124</v>
      </c>
      <c r="CT12" s="626">
        <f>126+100</f>
        <v>226</v>
      </c>
      <c r="CU12" s="787"/>
      <c r="CV12" s="626">
        <f>95+45</f>
        <v>140</v>
      </c>
      <c r="CW12" s="293">
        <f>CX12-CV12</f>
        <v>197</v>
      </c>
      <c r="CX12" s="626">
        <f>233+104</f>
        <v>337</v>
      </c>
      <c r="CY12" s="787"/>
      <c r="CZ12" s="626">
        <v>28</v>
      </c>
      <c r="DA12" s="293">
        <f>DB12-CZ12</f>
        <v>56</v>
      </c>
      <c r="DB12" s="1872">
        <v>84</v>
      </c>
      <c r="DC12" s="787"/>
      <c r="DD12" s="626">
        <v>37</v>
      </c>
      <c r="DE12" s="293">
        <f>DF12-DD12</f>
        <v>51</v>
      </c>
      <c r="DF12" s="2175">
        <v>88</v>
      </c>
      <c r="DG12" s="787"/>
      <c r="DH12" s="2255">
        <v>35</v>
      </c>
      <c r="DI12" s="1950">
        <f>DH12*(DI26/DH26)</f>
        <v>35</v>
      </c>
      <c r="DJ12" s="1950">
        <f>+DI12+DH12</f>
        <v>70</v>
      </c>
      <c r="DK12" s="1951"/>
      <c r="DL12" s="1950">
        <f>+DI12*(DL26/DI26)</f>
        <v>35</v>
      </c>
      <c r="DM12" s="1950">
        <f>DL12*(DM26/DL26)</f>
        <v>35</v>
      </c>
      <c r="DN12" s="1950">
        <f>+DM12+DL12</f>
        <v>70</v>
      </c>
      <c r="DO12" s="1951"/>
      <c r="DP12" s="1950">
        <f>+DM12*(DP26/DM26)</f>
        <v>35</v>
      </c>
      <c r="DQ12" s="1950">
        <f>DP12*(DQ26/DP26)</f>
        <v>35</v>
      </c>
      <c r="DR12" s="1950">
        <f>+DQ12+DP12</f>
        <v>70</v>
      </c>
      <c r="DS12" s="1951"/>
      <c r="DT12" s="1944"/>
      <c r="DU12" s="1944"/>
      <c r="DV12" s="1944"/>
      <c r="DW12" s="1944"/>
      <c r="DX12" s="1944"/>
      <c r="DY12" s="1944"/>
      <c r="DZ12" s="1944"/>
      <c r="EA12" s="1944"/>
      <c r="JJ12"/>
    </row>
    <row r="13" spans="1:270" s="102" customFormat="1">
      <c r="A13" s="289" t="s">
        <v>74</v>
      </c>
      <c r="C13" s="103" t="s">
        <v>612</v>
      </c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293">
        <f>SUM(P11:P12)</f>
        <v>189</v>
      </c>
      <c r="Q13" s="293">
        <f>SUM(Q11:Q12)</f>
        <v>156</v>
      </c>
      <c r="R13" s="293">
        <f>SUM(R11:R12)</f>
        <v>345</v>
      </c>
      <c r="S13" s="103"/>
      <c r="T13" s="293">
        <f>SUM(T11:T12)</f>
        <v>247</v>
      </c>
      <c r="U13" s="293">
        <f>SUM(U11:U12)</f>
        <v>252</v>
      </c>
      <c r="V13" s="293">
        <f>SUM(V11:V12)</f>
        <v>499</v>
      </c>
      <c r="W13" s="103"/>
      <c r="X13" s="293">
        <f>SUM(X11:X12)</f>
        <v>284</v>
      </c>
      <c r="Y13" s="293">
        <f>SUM(Y11:Y12)</f>
        <v>539</v>
      </c>
      <c r="Z13" s="293">
        <f>SUM(Z11:Z12)</f>
        <v>823</v>
      </c>
      <c r="AA13" s="115"/>
      <c r="AB13" s="293">
        <f>SUM(AB11:AB12)</f>
        <v>256</v>
      </c>
      <c r="AC13" s="293">
        <f>SUM(AC11:AC12)</f>
        <v>556</v>
      </c>
      <c r="AD13" s="293">
        <f>SUM(AD11:AD12)</f>
        <v>812</v>
      </c>
      <c r="AE13" s="331"/>
      <c r="AF13" s="293">
        <f>SUM(AF11:AF12)</f>
        <v>482</v>
      </c>
      <c r="AG13" s="293">
        <f>SUM(AG11:AG12)</f>
        <v>434</v>
      </c>
      <c r="AH13" s="293">
        <f>SUM(AH11:AH12)</f>
        <v>916</v>
      </c>
      <c r="AI13" s="115"/>
      <c r="AJ13" s="293">
        <f>SUM(AJ11:AJ12)</f>
        <v>730</v>
      </c>
      <c r="AK13" s="293">
        <f>SUM(AK11:AK12)</f>
        <v>733</v>
      </c>
      <c r="AL13" s="293">
        <f>SUM(AL11:AL12)</f>
        <v>1463</v>
      </c>
      <c r="AM13" s="115"/>
      <c r="AN13" s="293">
        <f>SUM(AN11:AN12)</f>
        <v>1060</v>
      </c>
      <c r="AO13" s="293">
        <f>SUM(AO11:AO12)</f>
        <v>743</v>
      </c>
      <c r="AP13" s="293">
        <f>SUM(AP11:AP12)</f>
        <v>1803</v>
      </c>
      <c r="AQ13" s="115"/>
      <c r="AR13" s="293">
        <f>SUM(AR11:AR12)</f>
        <v>604</v>
      </c>
      <c r="AS13" s="293">
        <f>SUM(AS11:AS12)</f>
        <v>267</v>
      </c>
      <c r="AT13" s="293">
        <f>SUM(AT11:AT12)</f>
        <v>871</v>
      </c>
      <c r="AU13" s="115"/>
      <c r="AV13" s="293">
        <f>SUM(AV11:AV12)</f>
        <v>495</v>
      </c>
      <c r="AW13" s="293">
        <f>SUM(AW11:AW12)</f>
        <v>587</v>
      </c>
      <c r="AX13" s="293">
        <f>SUM(AX11:AX12)</f>
        <v>1082</v>
      </c>
      <c r="AY13" s="115"/>
      <c r="AZ13" s="293">
        <f>SUM(AZ11:AZ12)</f>
        <v>419.33370000000014</v>
      </c>
      <c r="BA13" s="293">
        <f>SUM(BA11:BA12)</f>
        <v>572.33336999999983</v>
      </c>
      <c r="BB13" s="293">
        <f>SUM(BB11:BB12)</f>
        <v>991.66706999999997</v>
      </c>
      <c r="BC13" s="115"/>
      <c r="BD13" s="293">
        <f>SUM(BD11:BD12)</f>
        <v>283.32956000000013</v>
      </c>
      <c r="BE13" s="293">
        <f>SUM(BE11:BE12)</f>
        <v>404.32420000000025</v>
      </c>
      <c r="BF13" s="293">
        <f>SUM(BF11:BF12)</f>
        <v>687.65376000000037</v>
      </c>
      <c r="BG13" s="115"/>
      <c r="BH13" s="293">
        <f>SUM(BH11:BH12)</f>
        <v>341</v>
      </c>
      <c r="BI13" s="293">
        <f>SUM(BI11:BI12)</f>
        <v>536.49</v>
      </c>
      <c r="BJ13" s="293">
        <f>SUM(BJ11:BJ12)</f>
        <v>877.49</v>
      </c>
      <c r="BK13" s="1056">
        <f>+BJ13/BF13-1</f>
        <v>0.27606369810295162</v>
      </c>
      <c r="BL13" s="293">
        <f>SUM(BL11:BL12)</f>
        <v>510</v>
      </c>
      <c r="BM13" s="293">
        <f>SUM(BM11:BM12)</f>
        <v>771.49</v>
      </c>
      <c r="BN13" s="293">
        <f>SUM(BN11:BN12)</f>
        <v>1279.49</v>
      </c>
      <c r="BO13" s="1056">
        <f>+BN13/BJ13-1</f>
        <v>0.45812487891599907</v>
      </c>
      <c r="BP13" s="293">
        <f>SUM(BP11:BP12)</f>
        <v>678</v>
      </c>
      <c r="BQ13" s="293">
        <f>SUM(BQ11:BQ12)</f>
        <v>931.49</v>
      </c>
      <c r="BR13" s="293">
        <f>SUM(BR11:BR12)</f>
        <v>1609.49</v>
      </c>
      <c r="BS13" s="1056">
        <f>+BR13/BN13-1</f>
        <v>0.25791526311264645</v>
      </c>
      <c r="BT13" s="293">
        <f>SUM(BT11:BT12)</f>
        <v>1076</v>
      </c>
      <c r="BU13" s="293">
        <f>SUM(BU11:BU12)</f>
        <v>1049.49</v>
      </c>
      <c r="BV13" s="293">
        <f>SUM(BV11:BV12)</f>
        <v>2125.4899999999998</v>
      </c>
      <c r="BW13" s="1056">
        <f>+BV13/BR13-1</f>
        <v>0.3205984504408228</v>
      </c>
      <c r="BX13" s="293">
        <f>SUM(BX11:BX12)</f>
        <v>1088</v>
      </c>
      <c r="BY13" s="293">
        <f>SUM(BY11:BY12)</f>
        <v>1204.49</v>
      </c>
      <c r="BZ13" s="293">
        <f>SUM(BZ11:BZ12)</f>
        <v>2292.4899999999998</v>
      </c>
      <c r="CA13" s="1056">
        <f>+BZ13/BV13-1</f>
        <v>7.8570117949272822E-2</v>
      </c>
      <c r="CB13" s="293">
        <f>SUM(CB11:CB12)</f>
        <v>1276</v>
      </c>
      <c r="CC13" s="293">
        <f>SUM(CC11:CC12)</f>
        <v>1334.49</v>
      </c>
      <c r="CD13" s="293">
        <f>SUM(CD11:CD12)</f>
        <v>2610.4899999999998</v>
      </c>
      <c r="CE13" s="1056">
        <f>+CD13/BZ13-1</f>
        <v>0.13871380027829994</v>
      </c>
      <c r="CF13" s="293">
        <f>SUM(CF11:CF12)</f>
        <v>1327</v>
      </c>
      <c r="CG13" s="293">
        <f>SUM(CG11:CG12)</f>
        <v>1722.49</v>
      </c>
      <c r="CH13" s="293">
        <f>SUM(CH11:CH12)</f>
        <v>3049.49</v>
      </c>
      <c r="CI13" s="1056">
        <f>+CH13/CD13-1</f>
        <v>0.16816766200981426</v>
      </c>
      <c r="CJ13" s="293">
        <f>SUM(CJ11:CJ12)</f>
        <v>1510</v>
      </c>
      <c r="CK13" s="293">
        <f>SUM(CK11:CK12)</f>
        <v>1323.49</v>
      </c>
      <c r="CL13" s="293">
        <f>SUM(CL11:CL12)</f>
        <v>2833.49</v>
      </c>
      <c r="CM13" s="1056">
        <f>+CL13/CH13-1</f>
        <v>-7.0831516089575608E-2</v>
      </c>
      <c r="CN13" s="293">
        <f>SUM(CN11:CN12)</f>
        <v>1016</v>
      </c>
      <c r="CO13" s="293">
        <f>SUM(CO11:CO12)</f>
        <v>2080.4899999999998</v>
      </c>
      <c r="CP13" s="293">
        <f>SUM(CP11:CP12)</f>
        <v>3096.49</v>
      </c>
      <c r="CQ13" s="1056">
        <f>+CP13/CL13-1</f>
        <v>9.2818397100395522E-2</v>
      </c>
      <c r="CR13" s="293">
        <f>SUM(CR11:CR12)</f>
        <v>2080</v>
      </c>
      <c r="CS13" s="293">
        <f>SUM(CS11:CS12)</f>
        <v>2705.49</v>
      </c>
      <c r="CT13" s="293">
        <f>SUM(CT11:CT12)</f>
        <v>4785.49</v>
      </c>
      <c r="CU13" s="1056">
        <f>+CT13/CP13-1</f>
        <v>0.5454563069798386</v>
      </c>
      <c r="CV13" s="293">
        <f>SUM(CV11:CV12)</f>
        <v>2451</v>
      </c>
      <c r="CW13" s="293">
        <f>SUM(CW11:CW12)</f>
        <v>2901.49</v>
      </c>
      <c r="CX13" s="293">
        <f>SUM(CX11:CX12)</f>
        <v>5352.49</v>
      </c>
      <c r="CY13" s="1056">
        <f>+CX13/CT13-1</f>
        <v>0.11848316473339193</v>
      </c>
      <c r="CZ13" s="293">
        <f>SUM(CZ11:CZ12)</f>
        <v>1395</v>
      </c>
      <c r="DA13" s="293">
        <f>SUM(DA11:DA12)</f>
        <v>2074.4899999999998</v>
      </c>
      <c r="DB13" s="293">
        <f>SUM(DB11:DB12)</f>
        <v>3469.49</v>
      </c>
      <c r="DC13" s="1056">
        <f>+DB13/CX13-1</f>
        <v>-0.35179888238931789</v>
      </c>
      <c r="DD13" s="293">
        <f>SUM(DD11:DD12)</f>
        <v>1592</v>
      </c>
      <c r="DE13" s="293">
        <f ca="1">SUM(DE11:DE12)</f>
        <v>2079.4899999999998</v>
      </c>
      <c r="DF13" s="293">
        <f ca="1">SUM(DF11:DF12)</f>
        <v>3671.49</v>
      </c>
      <c r="DG13" s="1056">
        <f ca="1">+DF13/DB13-1</f>
        <v>5.8221813580670467E-2</v>
      </c>
      <c r="DH13" s="293">
        <f>SUM(DH11:DH12)</f>
        <v>1636</v>
      </c>
      <c r="DI13" s="293">
        <f>SUM(DI11:DI12)</f>
        <v>2470.5419981510527</v>
      </c>
      <c r="DJ13" s="293">
        <f>SUM(DJ11:DJ12)</f>
        <v>4106.5419981510531</v>
      </c>
      <c r="DK13" s="1056">
        <f ca="1">+DJ13/DF13-1</f>
        <v>0.11849467059723806</v>
      </c>
      <c r="DL13" s="293">
        <f>SUM(DL11:DL12)</f>
        <v>1888.3265388176846</v>
      </c>
      <c r="DM13" s="293">
        <f>SUM(DM11:DM12)</f>
        <v>2605.1835338792807</v>
      </c>
      <c r="DN13" s="293">
        <f>SUM(DN11:DN12)</f>
        <v>4493.5100726969649</v>
      </c>
      <c r="DO13" s="1056">
        <f>+DN13/DJ13-1</f>
        <v>9.4232099591369467E-2</v>
      </c>
      <c r="DP13" s="293">
        <f>SUM(DP11:DP12)</f>
        <v>2052.1861597840907</v>
      </c>
      <c r="DQ13" s="293">
        <f>SUM(DQ11:DQ12)</f>
        <v>2779.9598543272473</v>
      </c>
      <c r="DR13" s="293">
        <f>SUM(DR11:DR12)</f>
        <v>4832.1460141113384</v>
      </c>
      <c r="DS13" s="1056">
        <f>+DR13/DN13-1</f>
        <v>7.5361117686585599E-2</v>
      </c>
      <c r="JJ13"/>
    </row>
    <row r="14" spans="1:270" s="102" customFormat="1">
      <c r="A14" s="289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293"/>
      <c r="Q14" s="293"/>
      <c r="R14" s="293"/>
      <c r="S14" s="103"/>
      <c r="T14" s="293"/>
      <c r="U14" s="293"/>
      <c r="V14" s="293"/>
      <c r="W14" s="103"/>
      <c r="X14" s="293"/>
      <c r="Y14" s="293"/>
      <c r="Z14" s="293"/>
      <c r="AA14" s="115"/>
      <c r="AB14" s="293"/>
      <c r="AC14" s="293"/>
      <c r="AD14" s="293"/>
      <c r="AE14" s="331"/>
      <c r="AF14" s="293"/>
      <c r="AG14" s="293"/>
      <c r="AH14" s="293"/>
      <c r="AI14" s="115"/>
      <c r="AJ14" s="293"/>
      <c r="AK14" s="293"/>
      <c r="AL14" s="293"/>
      <c r="AM14" s="115"/>
      <c r="AN14" s="293"/>
      <c r="AO14" s="293"/>
      <c r="AP14" s="293"/>
      <c r="AQ14" s="115"/>
      <c r="AR14" s="293"/>
      <c r="AS14" s="293"/>
      <c r="AT14" s="293"/>
      <c r="AU14" s="115"/>
      <c r="AV14" s="293"/>
      <c r="AW14" s="293"/>
      <c r="AX14" s="293"/>
      <c r="AY14" s="115"/>
      <c r="AZ14" s="293"/>
      <c r="BA14" s="293"/>
      <c r="BB14" s="293"/>
      <c r="BC14" s="115"/>
      <c r="BD14" s="626"/>
      <c r="BE14" s="293"/>
      <c r="BF14" s="626"/>
      <c r="BG14" s="115"/>
      <c r="BH14" s="626"/>
      <c r="BI14" s="293"/>
      <c r="BJ14" s="626"/>
      <c r="BK14" s="115"/>
      <c r="BL14" s="626"/>
      <c r="BM14" s="293"/>
      <c r="BN14" s="626"/>
      <c r="BO14" s="115"/>
      <c r="BP14" s="626"/>
      <c r="BQ14" s="293"/>
      <c r="BR14" s="626"/>
      <c r="BS14" s="115"/>
      <c r="BT14" s="626"/>
      <c r="BU14" s="293"/>
      <c r="BV14" s="626"/>
      <c r="BW14" s="115"/>
      <c r="BX14" s="626"/>
      <c r="BY14" s="293"/>
      <c r="BZ14" s="626"/>
      <c r="CA14" s="115"/>
      <c r="CB14" s="626"/>
      <c r="CC14" s="293"/>
      <c r="CD14" s="626"/>
      <c r="CE14" s="115"/>
      <c r="CF14" s="626"/>
      <c r="CG14" s="293"/>
      <c r="CH14" s="626"/>
      <c r="CI14" s="115"/>
      <c r="CJ14" s="626"/>
      <c r="CK14" s="293"/>
      <c r="CL14" s="626"/>
      <c r="CM14" s="115"/>
      <c r="CN14" s="626"/>
      <c r="CO14" s="293"/>
      <c r="CP14" s="626"/>
      <c r="CQ14" s="115"/>
      <c r="CR14" s="626"/>
      <c r="CS14" s="293"/>
      <c r="CT14" s="626"/>
      <c r="CU14" s="115"/>
      <c r="CV14" s="626"/>
      <c r="CW14" s="293"/>
      <c r="CX14" s="626"/>
      <c r="CY14" s="115"/>
      <c r="CZ14" s="626"/>
      <c r="DA14" s="293"/>
      <c r="DB14" s="626"/>
      <c r="DC14" s="115"/>
      <c r="DD14" s="626"/>
      <c r="DE14" s="293"/>
      <c r="DF14" s="626"/>
      <c r="DG14" s="115"/>
      <c r="DH14" s="626"/>
      <c r="DI14" s="293"/>
      <c r="DJ14" s="293"/>
      <c r="DK14" s="115"/>
      <c r="DL14" s="293"/>
      <c r="DM14" s="293"/>
      <c r="DN14" s="293"/>
      <c r="DO14" s="115"/>
      <c r="DP14" s="293"/>
      <c r="DQ14" s="293"/>
      <c r="DR14" s="293"/>
      <c r="DS14" s="115"/>
      <c r="JJ14"/>
    </row>
    <row r="15" spans="1:270" s="102" customFormat="1">
      <c r="A15" s="289" t="s">
        <v>269</v>
      </c>
      <c r="C15" s="103" t="s">
        <v>612</v>
      </c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293">
        <f>P11</f>
        <v>183</v>
      </c>
      <c r="Q15" s="293">
        <f>Q11</f>
        <v>150</v>
      </c>
      <c r="R15" s="293">
        <f>R11</f>
        <v>333</v>
      </c>
      <c r="S15" s="103"/>
      <c r="T15" s="293">
        <f>T11</f>
        <v>242</v>
      </c>
      <c r="U15" s="293">
        <f>U11</f>
        <v>252</v>
      </c>
      <c r="V15" s="293">
        <f>V11</f>
        <v>494</v>
      </c>
      <c r="W15" s="103"/>
      <c r="X15" s="293">
        <f>+X13</f>
        <v>284</v>
      </c>
      <c r="Y15" s="293">
        <f>+Y13</f>
        <v>539</v>
      </c>
      <c r="Z15" s="293">
        <f>+Z13</f>
        <v>823</v>
      </c>
      <c r="AA15" s="103"/>
      <c r="AB15" s="293">
        <f>+AB13</f>
        <v>256</v>
      </c>
      <c r="AC15" s="293">
        <f>+AC13</f>
        <v>556</v>
      </c>
      <c r="AD15" s="293">
        <f>+AD13</f>
        <v>812</v>
      </c>
      <c r="AE15" s="103"/>
      <c r="AF15" s="293">
        <f>+AF13</f>
        <v>482</v>
      </c>
      <c r="AG15" s="293">
        <f>+AG13</f>
        <v>434</v>
      </c>
      <c r="AH15" s="293">
        <f>+AH13</f>
        <v>916</v>
      </c>
      <c r="AI15" s="103"/>
      <c r="AJ15" s="293">
        <f>+AJ13</f>
        <v>730</v>
      </c>
      <c r="AK15" s="293">
        <f>+AK13</f>
        <v>733</v>
      </c>
      <c r="AL15" s="293">
        <f>+AL13</f>
        <v>1463</v>
      </c>
      <c r="AM15" s="103"/>
      <c r="AN15" s="293">
        <f>+AN13</f>
        <v>1060</v>
      </c>
      <c r="AO15" s="293">
        <f>+AO13</f>
        <v>743</v>
      </c>
      <c r="AP15" s="293">
        <f>+AP13</f>
        <v>1803</v>
      </c>
      <c r="AQ15" s="103"/>
      <c r="AR15" s="293">
        <f>+AR13</f>
        <v>604</v>
      </c>
      <c r="AS15" s="293">
        <f>+AS13</f>
        <v>267</v>
      </c>
      <c r="AT15" s="293">
        <f>+AT13</f>
        <v>871</v>
      </c>
      <c r="AU15" s="103"/>
      <c r="AV15" s="293">
        <f>+AV13</f>
        <v>495</v>
      </c>
      <c r="AW15" s="293">
        <f>+AW13</f>
        <v>587</v>
      </c>
      <c r="AX15" s="293">
        <f>+AX13</f>
        <v>1082</v>
      </c>
      <c r="AY15" s="103"/>
      <c r="AZ15" s="293">
        <f>+AZ13</f>
        <v>419.33370000000014</v>
      </c>
      <c r="BA15" s="293">
        <f>+BA13</f>
        <v>572.33336999999983</v>
      </c>
      <c r="BB15" s="293">
        <f>+BB13</f>
        <v>991.66706999999997</v>
      </c>
      <c r="BC15" s="103"/>
      <c r="BD15" s="293">
        <f>+BD13</f>
        <v>283.32956000000013</v>
      </c>
      <c r="BE15" s="293">
        <f>+BE13</f>
        <v>404.32420000000025</v>
      </c>
      <c r="BF15" s="293">
        <f>+BF13</f>
        <v>687.65376000000037</v>
      </c>
      <c r="BG15" s="103"/>
      <c r="BH15" s="293">
        <f>+BH13</f>
        <v>341</v>
      </c>
      <c r="BI15" s="293">
        <f>+BI13</f>
        <v>536.49</v>
      </c>
      <c r="BJ15" s="293">
        <f>+BJ13</f>
        <v>877.49</v>
      </c>
      <c r="BK15" s="103"/>
      <c r="BL15" s="293">
        <f>+BL13</f>
        <v>510</v>
      </c>
      <c r="BM15" s="293">
        <f>+BM13</f>
        <v>771.49</v>
      </c>
      <c r="BN15" s="293">
        <f>+BN13</f>
        <v>1279.49</v>
      </c>
      <c r="BO15" s="103"/>
      <c r="BP15" s="293">
        <f>+BP13</f>
        <v>678</v>
      </c>
      <c r="BQ15" s="293">
        <f>+BQ13</f>
        <v>931.49</v>
      </c>
      <c r="BR15" s="293">
        <f>+BR13</f>
        <v>1609.49</v>
      </c>
      <c r="BS15" s="103"/>
      <c r="BT15" s="293">
        <f>+BT13</f>
        <v>1076</v>
      </c>
      <c r="BU15" s="293">
        <f>+BU13</f>
        <v>1049.49</v>
      </c>
      <c r="BV15" s="293">
        <f>+BV13</f>
        <v>2125.4899999999998</v>
      </c>
      <c r="BW15" s="103"/>
      <c r="BX15" s="293">
        <f>+BX13</f>
        <v>1088</v>
      </c>
      <c r="BY15" s="293">
        <f>+BY13</f>
        <v>1204.49</v>
      </c>
      <c r="BZ15" s="293">
        <f>+BZ13</f>
        <v>2292.4899999999998</v>
      </c>
      <c r="CA15" s="103"/>
      <c r="CB15" s="293">
        <f>+CB13</f>
        <v>1276</v>
      </c>
      <c r="CC15" s="293">
        <f>+CC13</f>
        <v>1334.49</v>
      </c>
      <c r="CD15" s="293">
        <f>+CD13</f>
        <v>2610.4899999999998</v>
      </c>
      <c r="CE15" s="103"/>
      <c r="CF15" s="293">
        <f>+CF13</f>
        <v>1327</v>
      </c>
      <c r="CG15" s="293">
        <f>+CG13</f>
        <v>1722.49</v>
      </c>
      <c r="CH15" s="293">
        <f>+CH13</f>
        <v>3049.49</v>
      </c>
      <c r="CI15" s="103"/>
      <c r="CJ15" s="293">
        <f>+CJ13</f>
        <v>1510</v>
      </c>
      <c r="CK15" s="293">
        <f>+CK13</f>
        <v>1323.49</v>
      </c>
      <c r="CL15" s="293">
        <f>+CL13</f>
        <v>2833.49</v>
      </c>
      <c r="CM15" s="103"/>
      <c r="CN15" s="293">
        <f>+CN13</f>
        <v>1016</v>
      </c>
      <c r="CO15" s="293">
        <f>+CO13</f>
        <v>2080.4899999999998</v>
      </c>
      <c r="CP15" s="293">
        <f>+CP13</f>
        <v>3096.49</v>
      </c>
      <c r="CQ15" s="103"/>
      <c r="CR15" s="293">
        <f>+CR13</f>
        <v>2080</v>
      </c>
      <c r="CS15" s="293">
        <f>+CS13</f>
        <v>2705.49</v>
      </c>
      <c r="CT15" s="293">
        <f>+CT13</f>
        <v>4785.49</v>
      </c>
      <c r="CU15" s="103"/>
      <c r="CV15" s="293">
        <f>+CV13</f>
        <v>2451</v>
      </c>
      <c r="CW15" s="293">
        <f>+CW13</f>
        <v>2901.49</v>
      </c>
      <c r="CX15" s="293">
        <f>+CX13</f>
        <v>5352.49</v>
      </c>
      <c r="CY15" s="103"/>
      <c r="CZ15" s="293">
        <f>+CZ13</f>
        <v>1395</v>
      </c>
      <c r="DA15" s="293">
        <f>+DA13</f>
        <v>2074.4899999999998</v>
      </c>
      <c r="DB15" s="293">
        <f>+DB13</f>
        <v>3469.49</v>
      </c>
      <c r="DC15" s="103"/>
      <c r="DD15" s="293">
        <f>+DD13</f>
        <v>1592</v>
      </c>
      <c r="DE15" s="293">
        <f ca="1">+DE13</f>
        <v>2079.4899999999998</v>
      </c>
      <c r="DF15" s="293">
        <f ca="1">+DF13</f>
        <v>3671.49</v>
      </c>
      <c r="DG15" s="103"/>
      <c r="DH15" s="293">
        <f>+DH13</f>
        <v>1636</v>
      </c>
      <c r="DI15" s="293">
        <f>+DI13</f>
        <v>2470.5419981510527</v>
      </c>
      <c r="DJ15" s="293">
        <f>+DJ13</f>
        <v>4106.5419981510531</v>
      </c>
      <c r="DK15" s="103"/>
      <c r="DL15" s="293">
        <f>+DL13</f>
        <v>1888.3265388176846</v>
      </c>
      <c r="DM15" s="293">
        <f>+DM13</f>
        <v>2605.1835338792807</v>
      </c>
      <c r="DN15" s="293">
        <f>+DN13</f>
        <v>4493.5100726969649</v>
      </c>
      <c r="DO15" s="103"/>
      <c r="DP15" s="293">
        <f>+DP13</f>
        <v>2052.1861597840907</v>
      </c>
      <c r="DQ15" s="293">
        <f>+DQ13</f>
        <v>2779.9598543272473</v>
      </c>
      <c r="DR15" s="293">
        <f>+DR13</f>
        <v>4832.1460141113384</v>
      </c>
      <c r="DS15" s="103"/>
      <c r="JJ15"/>
    </row>
    <row r="16" spans="1:270" s="102" customFormat="1">
      <c r="A16" s="102" t="s">
        <v>270</v>
      </c>
      <c r="C16" s="103" t="s">
        <v>612</v>
      </c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293">
        <v>0</v>
      </c>
      <c r="Q16" s="293">
        <v>0</v>
      </c>
      <c r="R16" s="293">
        <v>0</v>
      </c>
      <c r="S16" s="103"/>
      <c r="T16" s="293">
        <v>0</v>
      </c>
      <c r="U16" s="293">
        <v>0</v>
      </c>
      <c r="V16" s="293">
        <v>0</v>
      </c>
      <c r="W16" s="103"/>
      <c r="X16" s="293">
        <v>0</v>
      </c>
      <c r="Y16" s="293">
        <v>91</v>
      </c>
      <c r="Z16" s="293">
        <v>91</v>
      </c>
      <c r="AA16" s="103"/>
      <c r="AB16" s="293">
        <v>0</v>
      </c>
      <c r="AC16" s="293">
        <v>91</v>
      </c>
      <c r="AD16" s="293">
        <v>91</v>
      </c>
      <c r="AE16" s="103"/>
      <c r="AF16" s="293">
        <v>0</v>
      </c>
      <c r="AG16" s="293">
        <v>0</v>
      </c>
      <c r="AH16" s="293">
        <v>0</v>
      </c>
      <c r="AI16" s="103"/>
      <c r="AJ16" s="293">
        <v>92</v>
      </c>
      <c r="AK16" s="293">
        <v>0</v>
      </c>
      <c r="AL16" s="293">
        <v>92</v>
      </c>
      <c r="AM16" s="103"/>
      <c r="AN16" s="293">
        <v>0</v>
      </c>
      <c r="AO16" s="293">
        <v>0</v>
      </c>
      <c r="AP16" s="293">
        <v>0</v>
      </c>
      <c r="AQ16" s="103"/>
      <c r="AR16" s="293">
        <v>0</v>
      </c>
      <c r="AS16" s="293">
        <v>0</v>
      </c>
      <c r="AT16" s="293">
        <v>0</v>
      </c>
      <c r="AU16" s="103"/>
      <c r="AV16" s="293">
        <v>0</v>
      </c>
      <c r="AW16" s="293">
        <v>0</v>
      </c>
      <c r="AX16" s="293">
        <v>0</v>
      </c>
      <c r="AY16" s="103"/>
      <c r="AZ16" s="293">
        <f>-'P&amp;L'!AZ31</f>
        <v>0</v>
      </c>
      <c r="BA16" s="293">
        <f>-'P&amp;L'!BA31</f>
        <v>0</v>
      </c>
      <c r="BB16" s="293">
        <f>-'P&amp;L'!BB31</f>
        <v>0</v>
      </c>
      <c r="BC16" s="103"/>
      <c r="BD16" s="293">
        <f>-'P&amp;L'!BD31</f>
        <v>0</v>
      </c>
      <c r="BE16" s="293">
        <f>-'P&amp;L'!BE31</f>
        <v>0</v>
      </c>
      <c r="BF16" s="293">
        <f>-'P&amp;L'!BF31</f>
        <v>0</v>
      </c>
      <c r="BG16" s="103"/>
      <c r="BH16" s="293">
        <f>-'P&amp;L'!BH31</f>
        <v>0</v>
      </c>
      <c r="BI16" s="293">
        <f>-'P&amp;L'!BI31</f>
        <v>0</v>
      </c>
      <c r="BJ16" s="293">
        <f>-'P&amp;L'!BJ31</f>
        <v>0</v>
      </c>
      <c r="BK16" s="103"/>
      <c r="BL16" s="293">
        <f>-'P&amp;L'!BL31</f>
        <v>0</v>
      </c>
      <c r="BM16" s="293">
        <f>-'P&amp;L'!BM31</f>
        <v>0</v>
      </c>
      <c r="BN16" s="293">
        <f>-'P&amp;L'!BN31</f>
        <v>0</v>
      </c>
      <c r="BO16" s="103"/>
      <c r="BP16" s="293">
        <f>-'P&amp;L'!BP31</f>
        <v>0</v>
      </c>
      <c r="BQ16" s="293">
        <f>-'P&amp;L'!BQ31</f>
        <v>0</v>
      </c>
      <c r="BR16" s="293">
        <f>-'P&amp;L'!BR31</f>
        <v>0</v>
      </c>
      <c r="BS16" s="103"/>
      <c r="BT16" s="293">
        <f>-'P&amp;L'!BT31</f>
        <v>0</v>
      </c>
      <c r="BU16" s="293">
        <f>-'P&amp;L'!BU31</f>
        <v>0</v>
      </c>
      <c r="BV16" s="293">
        <f>-'P&amp;L'!BV31</f>
        <v>0</v>
      </c>
      <c r="BW16" s="103"/>
      <c r="BX16" s="293">
        <f>-'P&amp;L'!BX31</f>
        <v>0</v>
      </c>
      <c r="BY16" s="293">
        <f>-'P&amp;L'!BY31</f>
        <v>0</v>
      </c>
      <c r="BZ16" s="293">
        <f>-'P&amp;L'!BZ31</f>
        <v>0</v>
      </c>
      <c r="CA16" s="103"/>
      <c r="CB16" s="293">
        <f>-'P&amp;L'!CB31</f>
        <v>0</v>
      </c>
      <c r="CC16" s="293">
        <f>-'P&amp;L'!CC31</f>
        <v>0</v>
      </c>
      <c r="CD16" s="293">
        <f>-'P&amp;L'!CD31</f>
        <v>0</v>
      </c>
      <c r="CE16" s="103"/>
      <c r="CF16" s="293">
        <f>-'P&amp;L'!CF31</f>
        <v>0</v>
      </c>
      <c r="CG16" s="293">
        <f>-'P&amp;L'!CG31</f>
        <v>0</v>
      </c>
      <c r="CH16" s="293">
        <f>-'P&amp;L'!CH31</f>
        <v>0</v>
      </c>
      <c r="CI16" s="103"/>
      <c r="CJ16" s="293">
        <f>-'P&amp;L'!CJ31</f>
        <v>0</v>
      </c>
      <c r="CK16" s="293">
        <f>-'P&amp;L'!CK31</f>
        <v>0</v>
      </c>
      <c r="CL16" s="293">
        <f>-'P&amp;L'!CL31</f>
        <v>0</v>
      </c>
      <c r="CM16" s="103"/>
      <c r="CN16" s="293">
        <f>-'P&amp;L'!CN31</f>
        <v>0</v>
      </c>
      <c r="CO16" s="293">
        <f>-'P&amp;L'!CO31</f>
        <v>0</v>
      </c>
      <c r="CP16" s="293">
        <f>-'P&amp;L'!CP31</f>
        <v>0</v>
      </c>
      <c r="CQ16" s="103"/>
      <c r="CR16" s="293">
        <f>-'P&amp;L'!CR31</f>
        <v>0</v>
      </c>
      <c r="CS16" s="293">
        <f>-'P&amp;L'!CS31</f>
        <v>0</v>
      </c>
      <c r="CT16" s="293">
        <f>-'P&amp;L'!CT31</f>
        <v>0</v>
      </c>
      <c r="CU16" s="103"/>
      <c r="CV16" s="293">
        <f>-'P&amp;L'!CV31</f>
        <v>0</v>
      </c>
      <c r="CW16" s="293">
        <f>-'P&amp;L'!CW31</f>
        <v>0</v>
      </c>
      <c r="CX16" s="293">
        <f>-'P&amp;L'!CX31</f>
        <v>0</v>
      </c>
      <c r="CY16" s="103"/>
      <c r="CZ16" s="293">
        <f>-'P&amp;L'!CZ31</f>
        <v>0</v>
      </c>
      <c r="DA16" s="293">
        <f>-'P&amp;L'!DA31</f>
        <v>0</v>
      </c>
      <c r="DB16" s="293">
        <f>-'P&amp;L'!DB31</f>
        <v>0</v>
      </c>
      <c r="DC16" s="103"/>
      <c r="DD16" s="293">
        <f>-'P&amp;L'!DD31</f>
        <v>0</v>
      </c>
      <c r="DE16" s="293">
        <f>-'P&amp;L'!DE31</f>
        <v>0</v>
      </c>
      <c r="DF16" s="293">
        <f>-'P&amp;L'!DF31</f>
        <v>0</v>
      </c>
      <c r="DG16" s="103"/>
      <c r="DH16" s="293">
        <f>-'P&amp;L'!DH31</f>
        <v>0</v>
      </c>
      <c r="DI16" s="293">
        <f>-'P&amp;L'!DI31</f>
        <v>0</v>
      </c>
      <c r="DJ16" s="293">
        <f>-'P&amp;L'!DJ31</f>
        <v>0</v>
      </c>
      <c r="DK16" s="103"/>
      <c r="DL16" s="293">
        <f>-'P&amp;L'!DL31</f>
        <v>0</v>
      </c>
      <c r="DM16" s="293">
        <f>-'P&amp;L'!DM31</f>
        <v>0</v>
      </c>
      <c r="DN16" s="293">
        <f>-'P&amp;L'!DN31</f>
        <v>0</v>
      </c>
      <c r="DO16" s="103"/>
      <c r="DP16" s="293">
        <f>-'P&amp;L'!DP31</f>
        <v>0</v>
      </c>
      <c r="DQ16" s="293">
        <f>-'P&amp;L'!DQ31</f>
        <v>0</v>
      </c>
      <c r="DR16" s="293">
        <f>-'P&amp;L'!DR31</f>
        <v>0</v>
      </c>
      <c r="DS16" s="103"/>
      <c r="JJ16"/>
    </row>
    <row r="17" spans="1:270" s="102" customFormat="1">
      <c r="A17" s="289" t="s">
        <v>76</v>
      </c>
      <c r="C17" s="103" t="s">
        <v>612</v>
      </c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293">
        <f>+P15+P16</f>
        <v>183</v>
      </c>
      <c r="Q17" s="293">
        <f>+Q15+Q16</f>
        <v>150</v>
      </c>
      <c r="R17" s="293">
        <f>+R15+R16</f>
        <v>333</v>
      </c>
      <c r="S17" s="103"/>
      <c r="T17" s="293">
        <f>+T15+T16</f>
        <v>242</v>
      </c>
      <c r="U17" s="293">
        <f>+U15+U16</f>
        <v>252</v>
      </c>
      <c r="V17" s="293">
        <f>+V15+V16</f>
        <v>494</v>
      </c>
      <c r="W17" s="103"/>
      <c r="X17" s="293">
        <f>+X15+X16</f>
        <v>284</v>
      </c>
      <c r="Y17" s="293">
        <f>+Y15+Y16</f>
        <v>630</v>
      </c>
      <c r="Z17" s="293">
        <f>+Z15+Z16</f>
        <v>914</v>
      </c>
      <c r="AA17" s="103"/>
      <c r="AB17" s="293">
        <f>+AB15+AB16</f>
        <v>256</v>
      </c>
      <c r="AC17" s="293">
        <f>+AC15+AC16</f>
        <v>647</v>
      </c>
      <c r="AD17" s="293">
        <f>+AD15+AD16</f>
        <v>903</v>
      </c>
      <c r="AE17" s="103"/>
      <c r="AF17" s="293">
        <f>+AF15+AF16</f>
        <v>482</v>
      </c>
      <c r="AG17" s="293">
        <f>+AG15+AG16</f>
        <v>434</v>
      </c>
      <c r="AH17" s="293">
        <f>+AH15+AH16</f>
        <v>916</v>
      </c>
      <c r="AI17" s="103"/>
      <c r="AJ17" s="293">
        <f>+AJ15+AJ16</f>
        <v>822</v>
      </c>
      <c r="AK17" s="293">
        <f>+AK15+AK16</f>
        <v>733</v>
      </c>
      <c r="AL17" s="293">
        <f>+AL15+AL16</f>
        <v>1555</v>
      </c>
      <c r="AM17" s="103"/>
      <c r="AN17" s="293">
        <f>+AN15+AN16</f>
        <v>1060</v>
      </c>
      <c r="AO17" s="293">
        <f>+AO15+AO16</f>
        <v>743</v>
      </c>
      <c r="AP17" s="293">
        <f>+AP15+AP16</f>
        <v>1803</v>
      </c>
      <c r="AQ17" s="103"/>
      <c r="AR17" s="293">
        <f>+AR15+AR16</f>
        <v>604</v>
      </c>
      <c r="AS17" s="293">
        <f>+AS15+AS16</f>
        <v>267</v>
      </c>
      <c r="AT17" s="293">
        <f>+AT15+AT16</f>
        <v>871</v>
      </c>
      <c r="AU17" s="103"/>
      <c r="AV17" s="293">
        <f>+AV15+AV16</f>
        <v>495</v>
      </c>
      <c r="AW17" s="293">
        <f>+AW15+AW16</f>
        <v>587</v>
      </c>
      <c r="AX17" s="293">
        <f>+AX15+AX16</f>
        <v>1082</v>
      </c>
      <c r="AY17" s="103"/>
      <c r="AZ17" s="293">
        <f>+AZ15+AZ16</f>
        <v>419.33370000000014</v>
      </c>
      <c r="BA17" s="293">
        <f>+BA15+BA16</f>
        <v>572.33336999999983</v>
      </c>
      <c r="BB17" s="293">
        <f>+BB15+BB16</f>
        <v>991.66706999999997</v>
      </c>
      <c r="BC17" s="103"/>
      <c r="BD17" s="293">
        <f>+BD15+BD16</f>
        <v>283.32956000000013</v>
      </c>
      <c r="BE17" s="293">
        <f>+BE15+BE16</f>
        <v>404.32420000000025</v>
      </c>
      <c r="BF17" s="293">
        <f>+BF15+BF16</f>
        <v>687.65376000000037</v>
      </c>
      <c r="BG17" s="103"/>
      <c r="BH17" s="293">
        <f>+BH15+BH16</f>
        <v>341</v>
      </c>
      <c r="BI17" s="293">
        <f>+BI15+BI16</f>
        <v>536.49</v>
      </c>
      <c r="BJ17" s="293">
        <f>+BJ15+BJ16</f>
        <v>877.49</v>
      </c>
      <c r="BK17" s="1056">
        <f>+BJ17/BF17-1</f>
        <v>0.27606369810295162</v>
      </c>
      <c r="BL17" s="293">
        <f>+BL15+BL16</f>
        <v>510</v>
      </c>
      <c r="BM17" s="293">
        <f>+BM15+BM16</f>
        <v>771.49</v>
      </c>
      <c r="BN17" s="293">
        <f>+BN15+BN16</f>
        <v>1279.49</v>
      </c>
      <c r="BO17" s="1056">
        <f>+BN17/BJ17-1</f>
        <v>0.45812487891599907</v>
      </c>
      <c r="BP17" s="293">
        <f>+BP15+BP16</f>
        <v>678</v>
      </c>
      <c r="BQ17" s="293">
        <f>+BQ15+BQ16</f>
        <v>931.49</v>
      </c>
      <c r="BR17" s="293">
        <f>+BR15+BR16</f>
        <v>1609.49</v>
      </c>
      <c r="BS17" s="1056">
        <f>+BR17/BN17-1</f>
        <v>0.25791526311264645</v>
      </c>
      <c r="BT17" s="293">
        <f>+BT15+BT16</f>
        <v>1076</v>
      </c>
      <c r="BU17" s="293">
        <f>+BU15+BU16</f>
        <v>1049.49</v>
      </c>
      <c r="BV17" s="293">
        <f>+BV15+BV16</f>
        <v>2125.4899999999998</v>
      </c>
      <c r="BW17" s="1056">
        <f>+BV17/BR17-1</f>
        <v>0.3205984504408228</v>
      </c>
      <c r="BX17" s="293">
        <f>+BX15+BX16</f>
        <v>1088</v>
      </c>
      <c r="BY17" s="293">
        <f>+BY15+BY16</f>
        <v>1204.49</v>
      </c>
      <c r="BZ17" s="293">
        <f>+BZ15+BZ16</f>
        <v>2292.4899999999998</v>
      </c>
      <c r="CA17" s="1056">
        <f>+BZ17/BV17-1</f>
        <v>7.8570117949272822E-2</v>
      </c>
      <c r="CB17" s="293">
        <f>+CB15+CB16</f>
        <v>1276</v>
      </c>
      <c r="CC17" s="293">
        <f>+CC15+CC16</f>
        <v>1334.49</v>
      </c>
      <c r="CD17" s="293">
        <f>+CD15+CD16</f>
        <v>2610.4899999999998</v>
      </c>
      <c r="CE17" s="1056">
        <f>+CD17/BZ17-1</f>
        <v>0.13871380027829994</v>
      </c>
      <c r="CF17" s="293">
        <f>+CF15+CF16</f>
        <v>1327</v>
      </c>
      <c r="CG17" s="293">
        <f>+CG15+CG16</f>
        <v>1722.49</v>
      </c>
      <c r="CH17" s="293">
        <f>+CH15+CH16</f>
        <v>3049.49</v>
      </c>
      <c r="CI17" s="1056">
        <f>+CH17/CD17-1</f>
        <v>0.16816766200981426</v>
      </c>
      <c r="CJ17" s="293">
        <f>+CJ15+CJ16</f>
        <v>1510</v>
      </c>
      <c r="CK17" s="293">
        <f>+CK15+CK16</f>
        <v>1323.49</v>
      </c>
      <c r="CL17" s="293">
        <f>+CL15+CL16</f>
        <v>2833.49</v>
      </c>
      <c r="CM17" s="1056">
        <f>+CL17/CH17-1</f>
        <v>-7.0831516089575608E-2</v>
      </c>
      <c r="CN17" s="293">
        <f>+CN15+CN16</f>
        <v>1016</v>
      </c>
      <c r="CO17" s="293">
        <f>+CO15+CO16</f>
        <v>2080.4899999999998</v>
      </c>
      <c r="CP17" s="293">
        <f>+CP15+CP16</f>
        <v>3096.49</v>
      </c>
      <c r="CQ17" s="1056">
        <f>+CP17/CL17-1</f>
        <v>9.2818397100395522E-2</v>
      </c>
      <c r="CR17" s="293">
        <f>+CR15+CR16</f>
        <v>2080</v>
      </c>
      <c r="CS17" s="293">
        <f>+CS15+CS16</f>
        <v>2705.49</v>
      </c>
      <c r="CT17" s="293">
        <f>+CT15+CT16</f>
        <v>4785.49</v>
      </c>
      <c r="CU17" s="1056">
        <f>+CT17/CP17-1</f>
        <v>0.5454563069798386</v>
      </c>
      <c r="CV17" s="293">
        <f>+CV15+CV16</f>
        <v>2451</v>
      </c>
      <c r="CW17" s="293">
        <f>+CW15+CW16</f>
        <v>2901.49</v>
      </c>
      <c r="CX17" s="293">
        <f>+CX15+CX16</f>
        <v>5352.49</v>
      </c>
      <c r="CY17" s="1056">
        <f>+CX17/CT17-1</f>
        <v>0.11848316473339193</v>
      </c>
      <c r="CZ17" s="293">
        <f>+CZ15+CZ16</f>
        <v>1395</v>
      </c>
      <c r="DA17" s="293">
        <f>+DA15+DA16</f>
        <v>2074.4899999999998</v>
      </c>
      <c r="DB17" s="293">
        <f>+DB15+DB16</f>
        <v>3469.49</v>
      </c>
      <c r="DC17" s="1056">
        <f>+DB17/CX17-1</f>
        <v>-0.35179888238931789</v>
      </c>
      <c r="DD17" s="293">
        <f>+DD15+DD16</f>
        <v>1592</v>
      </c>
      <c r="DE17" s="293">
        <f ca="1">+DE15+DE16</f>
        <v>2079.4899999999998</v>
      </c>
      <c r="DF17" s="293">
        <f ca="1">+DF15+DF16</f>
        <v>3671.49</v>
      </c>
      <c r="DG17" s="1056">
        <f ca="1">+DF17/DB17-1</f>
        <v>5.8221813580670467E-2</v>
      </c>
      <c r="DH17" s="293">
        <f>+DH15+DH16</f>
        <v>1636</v>
      </c>
      <c r="DI17" s="293">
        <f>+DI15+DI16</f>
        <v>2470.5419981510527</v>
      </c>
      <c r="DJ17" s="293">
        <f>+DJ15+DJ16</f>
        <v>4106.5419981510531</v>
      </c>
      <c r="DK17" s="1056">
        <f ca="1">+DJ17/DF17-1</f>
        <v>0.11849467059723806</v>
      </c>
      <c r="DL17" s="293">
        <f>+DL15+DL16</f>
        <v>1888.3265388176846</v>
      </c>
      <c r="DM17" s="293">
        <f>+DM15+DM16</f>
        <v>2605.1835338792807</v>
      </c>
      <c r="DN17" s="293">
        <f>+DN15+DN16</f>
        <v>4493.5100726969649</v>
      </c>
      <c r="DO17" s="1056">
        <f>+DN17/DJ17-1</f>
        <v>9.4232099591369467E-2</v>
      </c>
      <c r="DP17" s="293">
        <f>+DP15+DP16</f>
        <v>2052.1861597840907</v>
      </c>
      <c r="DQ17" s="293">
        <f>+DQ15+DQ16</f>
        <v>2779.9598543272473</v>
      </c>
      <c r="DR17" s="293">
        <f>+DR15+DR16</f>
        <v>4832.1460141113384</v>
      </c>
      <c r="DS17" s="1056">
        <f>+DR17/DN17-1</f>
        <v>7.5361117686585599E-2</v>
      </c>
      <c r="JJ17"/>
    </row>
    <row r="18" spans="1:270" s="102" customFormat="1"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293"/>
      <c r="Q18" s="293"/>
      <c r="R18" s="293"/>
      <c r="S18" s="103"/>
      <c r="T18" s="293"/>
      <c r="U18" s="293"/>
      <c r="V18" s="293"/>
      <c r="W18" s="103"/>
      <c r="X18" s="293"/>
      <c r="Y18" s="293"/>
      <c r="Z18" s="293"/>
      <c r="AA18" s="115"/>
      <c r="AB18" s="293"/>
      <c r="AC18" s="293"/>
      <c r="AD18" s="293"/>
      <c r="AE18" s="331"/>
      <c r="AF18" s="293"/>
      <c r="AG18" s="293"/>
      <c r="AH18" s="293"/>
      <c r="AI18" s="115"/>
      <c r="AJ18" s="293"/>
      <c r="AK18" s="293"/>
      <c r="AL18" s="293"/>
      <c r="AM18" s="115"/>
      <c r="AN18" s="293"/>
      <c r="AO18" s="293"/>
      <c r="AP18" s="293"/>
      <c r="AQ18" s="115"/>
      <c r="AR18" s="293"/>
      <c r="AS18" s="293"/>
      <c r="AT18" s="293"/>
      <c r="AU18" s="115"/>
      <c r="AV18" s="293"/>
      <c r="AW18" s="293"/>
      <c r="AX18" s="293"/>
      <c r="AY18" s="115"/>
      <c r="AZ18" s="293"/>
      <c r="BA18" s="293"/>
      <c r="BB18" s="293"/>
      <c r="BC18" s="115"/>
      <c r="BD18" s="293"/>
      <c r="BE18" s="293"/>
      <c r="BF18" s="293"/>
      <c r="BG18" s="115"/>
      <c r="BH18" s="293"/>
      <c r="BI18" s="293"/>
      <c r="BJ18" s="293"/>
      <c r="BK18" s="115"/>
      <c r="BL18" s="293"/>
      <c r="BM18" s="293"/>
      <c r="BN18" s="293"/>
      <c r="BO18" s="115"/>
      <c r="BP18" s="293"/>
      <c r="BQ18" s="293"/>
      <c r="BR18" s="293"/>
      <c r="BS18" s="115"/>
      <c r="BT18" s="293"/>
      <c r="BU18" s="293"/>
      <c r="BV18" s="293"/>
      <c r="BW18" s="115"/>
      <c r="BX18" s="293"/>
      <c r="BY18" s="293"/>
      <c r="BZ18" s="293"/>
      <c r="CA18" s="115"/>
      <c r="CB18" s="293"/>
      <c r="CC18" s="293"/>
      <c r="CD18" s="293"/>
      <c r="CE18" s="115"/>
      <c r="CF18" s="293"/>
      <c r="CG18" s="293"/>
      <c r="CH18" s="293"/>
      <c r="CI18" s="115"/>
      <c r="CJ18" s="293"/>
      <c r="CK18" s="293"/>
      <c r="CL18" s="293"/>
      <c r="CM18" s="115"/>
      <c r="CN18" s="293"/>
      <c r="CO18" s="293"/>
      <c r="CP18" s="293"/>
      <c r="CQ18" s="115"/>
      <c r="CR18" s="293"/>
      <c r="CS18" s="293"/>
      <c r="CT18" s="293"/>
      <c r="CU18" s="115"/>
      <c r="CV18" s="293"/>
      <c r="CW18" s="293"/>
      <c r="CX18" s="293"/>
      <c r="CY18" s="115"/>
      <c r="CZ18" s="293"/>
      <c r="DA18" s="293"/>
      <c r="DB18" s="293"/>
      <c r="DC18" s="115"/>
      <c r="DD18" s="293"/>
      <c r="DE18" s="293"/>
      <c r="DF18" s="293"/>
      <c r="DG18" s="115"/>
      <c r="DH18" s="293"/>
      <c r="DI18" s="293"/>
      <c r="DJ18" s="293"/>
      <c r="DK18" s="115"/>
      <c r="DL18" s="293"/>
      <c r="DM18" s="293"/>
      <c r="DN18" s="293"/>
      <c r="DO18" s="115"/>
      <c r="DP18" s="293"/>
      <c r="DQ18" s="293"/>
      <c r="DR18" s="293"/>
      <c r="DS18" s="115"/>
      <c r="JJ18"/>
    </row>
    <row r="19" spans="1:270" s="1944" customFormat="1">
      <c r="A19" s="102" t="s">
        <v>77</v>
      </c>
      <c r="B19" s="102"/>
      <c r="C19" s="103" t="s">
        <v>63</v>
      </c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716">
        <v>200.40041400000001</v>
      </c>
      <c r="Q19" s="716">
        <v>203.53758300000001</v>
      </c>
      <c r="R19" s="716">
        <v>202.01436699999999</v>
      </c>
      <c r="S19" s="103"/>
      <c r="T19" s="716">
        <v>208.28742700000001</v>
      </c>
      <c r="U19" s="716">
        <v>215.713144</v>
      </c>
      <c r="V19" s="716">
        <v>212.00028499999999</v>
      </c>
      <c r="W19" s="103"/>
      <c r="X19" s="716">
        <v>217.402861</v>
      </c>
      <c r="Y19" s="716">
        <v>222.00597099999999</v>
      </c>
      <c r="Z19" s="716">
        <v>219.69811000000001</v>
      </c>
      <c r="AA19" s="115"/>
      <c r="AB19" s="716">
        <v>217.402861</v>
      </c>
      <c r="AC19" s="716">
        <v>222.00597099999999</v>
      </c>
      <c r="AD19" s="716">
        <v>219.69811000000001</v>
      </c>
      <c r="AE19" s="331"/>
      <c r="AF19" s="716">
        <v>226.346261</v>
      </c>
      <c r="AG19" s="716">
        <v>231.348434</v>
      </c>
      <c r="AH19" s="716">
        <v>228.840495</v>
      </c>
      <c r="AI19" s="115"/>
      <c r="AJ19" s="716">
        <v>242.59805</v>
      </c>
      <c r="AK19" s="716">
        <v>252.05484799999999</v>
      </c>
      <c r="AL19" s="716">
        <v>247.31349399999999</v>
      </c>
      <c r="AM19" s="115"/>
      <c r="AN19" s="716">
        <v>263.79880800000001</v>
      </c>
      <c r="AO19" s="716">
        <f>271.086657+1.131096+0.564131+0.010751</f>
        <v>272.79263500000002</v>
      </c>
      <c r="AP19" s="716">
        <f>253.941205+7.443+0.700255+4.328676+1.877209+0.005376</f>
        <v>268.29572100000001</v>
      </c>
      <c r="AQ19" s="115"/>
      <c r="AR19" s="716">
        <v>278.90247699999998</v>
      </c>
      <c r="AS19" s="715">
        <f>+AT19*2-AR19</f>
        <v>283.84414300000003</v>
      </c>
      <c r="AT19" s="716">
        <v>281.37331</v>
      </c>
      <c r="AU19" s="115"/>
      <c r="AV19" s="716">
        <v>318.88000199999999</v>
      </c>
      <c r="AW19" s="715">
        <f>+AX19*2-AV19</f>
        <v>336.93620599999997</v>
      </c>
      <c r="AX19" s="716">
        <v>327.90810399999998</v>
      </c>
      <c r="AY19" s="115"/>
      <c r="AZ19" s="716">
        <v>338.00600800000001</v>
      </c>
      <c r="BA19" s="715">
        <f>+BB19*2-AZ19</f>
        <v>338.71274</v>
      </c>
      <c r="BB19" s="716">
        <v>338.359374</v>
      </c>
      <c r="BC19" s="115"/>
      <c r="BD19" s="716">
        <v>328.03468600000002</v>
      </c>
      <c r="BE19" s="716">
        <v>326.06149699999997</v>
      </c>
      <c r="BF19" s="716">
        <v>327.01473700000003</v>
      </c>
      <c r="BG19" s="115"/>
      <c r="BH19" s="716">
        <v>317.58942500000001</v>
      </c>
      <c r="BI19" s="716">
        <v>311.34172699999999</v>
      </c>
      <c r="BJ19" s="716">
        <v>314.51878900000003</v>
      </c>
      <c r="BK19" s="1056"/>
      <c r="BL19" s="716">
        <v>309.90126099999998</v>
      </c>
      <c r="BM19" s="716">
        <v>302.08156700000001</v>
      </c>
      <c r="BN19" s="716">
        <v>306.08165700000001</v>
      </c>
      <c r="BO19" s="1056"/>
      <c r="BP19" s="716">
        <f>295358984/10^6</f>
        <v>295.35898400000002</v>
      </c>
      <c r="BQ19" s="716">
        <v>300.88885699999997</v>
      </c>
      <c r="BR19" s="716">
        <v>298.05655400000001</v>
      </c>
      <c r="BS19" s="1056"/>
      <c r="BT19" s="716">
        <v>310.60417100000001</v>
      </c>
      <c r="BU19" s="715">
        <f>BV19*2-BT19</f>
        <v>319.55066900000003</v>
      </c>
      <c r="BV19" s="716">
        <v>315.07742000000002</v>
      </c>
      <c r="BW19" s="1056"/>
      <c r="BX19" s="716">
        <v>321.03969499999999</v>
      </c>
      <c r="BY19" s="715">
        <f>BZ19*2-BX19</f>
        <v>321.25462499999998</v>
      </c>
      <c r="BZ19" s="716">
        <v>321.14715999999999</v>
      </c>
      <c r="CA19" s="1056"/>
      <c r="CB19" s="716">
        <v>322.12424800000002</v>
      </c>
      <c r="CC19" s="715">
        <f>CD19*2-CB19</f>
        <v>322.82707199999999</v>
      </c>
      <c r="CD19" s="716">
        <v>322.47566</v>
      </c>
      <c r="CE19" s="1056"/>
      <c r="CF19" s="716">
        <v>323.71719200000001</v>
      </c>
      <c r="CG19" s="715">
        <f>CH19*2-CF19</f>
        <v>324.29217999999997</v>
      </c>
      <c r="CH19" s="716">
        <v>324.00468599999999</v>
      </c>
      <c r="CI19" s="1056"/>
      <c r="CJ19" s="716">
        <v>326.43939499999999</v>
      </c>
      <c r="CK19" s="715">
        <f>CL19*2-CJ19</f>
        <v>340.029359</v>
      </c>
      <c r="CL19" s="716">
        <v>333.23437699999999</v>
      </c>
      <c r="CM19" s="1056"/>
      <c r="CN19" s="716">
        <v>344.42484999999999</v>
      </c>
      <c r="CO19" s="715">
        <f>CP19*2-CN19</f>
        <v>347.45666800000004</v>
      </c>
      <c r="CP19" s="716">
        <v>345.94075900000001</v>
      </c>
      <c r="CQ19" s="1056"/>
      <c r="CR19" s="716">
        <v>351.66793000000001</v>
      </c>
      <c r="CS19" s="715">
        <f>CT19*2-CR19</f>
        <v>365.32408200000003</v>
      </c>
      <c r="CT19" s="716">
        <v>358.49600600000002</v>
      </c>
      <c r="CU19" s="1056"/>
      <c r="CV19" s="716">
        <v>370.13653099999999</v>
      </c>
      <c r="CW19" s="715">
        <f>CX19*2-CV19</f>
        <v>370.81064300000003</v>
      </c>
      <c r="CX19" s="716">
        <v>370.47358700000001</v>
      </c>
      <c r="CY19" s="1056"/>
      <c r="CZ19" s="716">
        <v>370.28655600000002</v>
      </c>
      <c r="DA19" s="715">
        <f>DB19*2-CZ19</f>
        <v>368.34367599999996</v>
      </c>
      <c r="DB19" s="2033">
        <v>369.31511599999999</v>
      </c>
      <c r="DC19" s="1056"/>
      <c r="DD19" s="716">
        <v>366.18581399999999</v>
      </c>
      <c r="DE19" s="715">
        <f>DF19*2-DD19</f>
        <v>365.51879600000001</v>
      </c>
      <c r="DF19" s="2177">
        <v>365.852305</v>
      </c>
      <c r="DG19" s="1056"/>
      <c r="DH19" s="2262">
        <v>366.62100099999998</v>
      </c>
      <c r="DI19" s="1948">
        <f>'Bal Sheet'!DI297</f>
        <v>367.07927725124995</v>
      </c>
      <c r="DJ19" s="1948">
        <f>'Bal Sheet'!DJ297</f>
        <v>366.85013912562499</v>
      </c>
      <c r="DK19" s="1947"/>
      <c r="DL19" s="1948">
        <f>'Bal Sheet'!DL297</f>
        <v>367.99697544437811</v>
      </c>
      <c r="DM19" s="1948">
        <f>'Bal Sheet'!DM297</f>
        <v>368.91696788298901</v>
      </c>
      <c r="DN19" s="1948">
        <f>'Bal Sheet'!DN297</f>
        <v>368.45697166368359</v>
      </c>
      <c r="DO19" s="1947"/>
      <c r="DP19" s="1948">
        <f>'Bal Sheet'!DP297</f>
        <v>369.83926030269646</v>
      </c>
      <c r="DQ19" s="1948">
        <f>'Bal Sheet'!DQ297</f>
        <v>370.76385845345322</v>
      </c>
      <c r="DR19" s="1948">
        <f>'Bal Sheet'!DR297</f>
        <v>370.30155937807484</v>
      </c>
      <c r="DS19" s="1947"/>
      <c r="JJ19"/>
    </row>
    <row r="20" spans="1:270" s="1944" customFormat="1">
      <c r="A20" s="102" t="s">
        <v>506</v>
      </c>
      <c r="B20" s="102"/>
      <c r="C20" s="103" t="s">
        <v>63</v>
      </c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716">
        <v>0</v>
      </c>
      <c r="Q20" s="716">
        <v>0</v>
      </c>
      <c r="R20" s="716">
        <v>0</v>
      </c>
      <c r="S20" s="103"/>
      <c r="T20" s="716">
        <v>0</v>
      </c>
      <c r="U20" s="716">
        <v>0</v>
      </c>
      <c r="V20" s="716">
        <v>0</v>
      </c>
      <c r="W20" s="103"/>
      <c r="X20" s="716">
        <v>0</v>
      </c>
      <c r="Y20" s="716">
        <v>0</v>
      </c>
      <c r="Z20" s="716">
        <v>0</v>
      </c>
      <c r="AA20" s="115"/>
      <c r="AB20" s="716">
        <v>0</v>
      </c>
      <c r="AC20" s="716">
        <v>0</v>
      </c>
      <c r="AD20" s="716">
        <v>0</v>
      </c>
      <c r="AE20" s="331"/>
      <c r="AF20" s="716">
        <v>0</v>
      </c>
      <c r="AG20" s="716">
        <v>0</v>
      </c>
      <c r="AH20" s="716">
        <v>0</v>
      </c>
      <c r="AI20" s="115"/>
      <c r="AJ20" s="716">
        <v>0</v>
      </c>
      <c r="AK20" s="716">
        <v>0</v>
      </c>
      <c r="AL20" s="716">
        <v>0</v>
      </c>
      <c r="AM20" s="115"/>
      <c r="AN20" s="716">
        <v>0</v>
      </c>
      <c r="AO20" s="716">
        <v>1.1215299999999999</v>
      </c>
      <c r="AP20" s="716">
        <v>0.55900000000000005</v>
      </c>
      <c r="AQ20" s="115"/>
      <c r="AR20" s="716">
        <v>0</v>
      </c>
      <c r="AS20" s="715">
        <f>+AT20*2-AR20</f>
        <v>0</v>
      </c>
      <c r="AT20" s="716">
        <v>0</v>
      </c>
      <c r="AU20" s="115"/>
      <c r="AV20" s="716">
        <v>0</v>
      </c>
      <c r="AW20" s="715">
        <f>+AX20*2-AV20</f>
        <v>0</v>
      </c>
      <c r="AX20" s="716">
        <v>0</v>
      </c>
      <c r="AY20" s="115"/>
      <c r="AZ20" s="716">
        <v>0</v>
      </c>
      <c r="BA20" s="715">
        <f>+BB20*2-AZ20</f>
        <v>0</v>
      </c>
      <c r="BB20" s="716">
        <v>0</v>
      </c>
      <c r="BC20" s="115"/>
      <c r="BD20" s="716">
        <v>0</v>
      </c>
      <c r="BE20" s="716">
        <v>0</v>
      </c>
      <c r="BF20" s="710">
        <v>0</v>
      </c>
      <c r="BG20" s="115"/>
      <c r="BH20" s="710">
        <v>0</v>
      </c>
      <c r="BI20" s="715">
        <f>+BJ20*2-BH20</f>
        <v>0.4</v>
      </c>
      <c r="BJ20" s="710">
        <v>0.2</v>
      </c>
      <c r="BK20" s="115"/>
      <c r="BL20" s="710">
        <v>0</v>
      </c>
      <c r="BM20" s="710">
        <v>0.2</v>
      </c>
      <c r="BN20" s="710">
        <v>8.5000000000000006E-2</v>
      </c>
      <c r="BO20" s="115"/>
      <c r="BP20" s="710">
        <v>0</v>
      </c>
      <c r="BQ20" s="710">
        <v>0.1</v>
      </c>
      <c r="BR20" s="710">
        <v>5.2999999999999999E-2</v>
      </c>
      <c r="BS20" s="115"/>
      <c r="BT20" s="710">
        <v>0</v>
      </c>
      <c r="BU20" s="710">
        <v>0</v>
      </c>
      <c r="BV20" s="710">
        <v>0</v>
      </c>
      <c r="BW20" s="115"/>
      <c r="BX20" s="710">
        <v>0</v>
      </c>
      <c r="BY20" s="710">
        <v>0</v>
      </c>
      <c r="BZ20" s="710">
        <v>0</v>
      </c>
      <c r="CA20" s="115"/>
      <c r="CB20" s="710">
        <v>0</v>
      </c>
      <c r="CC20" s="710">
        <v>0</v>
      </c>
      <c r="CD20" s="710">
        <v>0</v>
      </c>
      <c r="CE20" s="115"/>
      <c r="CF20" s="710">
        <v>0</v>
      </c>
      <c r="CG20" s="710">
        <v>0</v>
      </c>
      <c r="CH20" s="710">
        <v>0</v>
      </c>
      <c r="CI20" s="115"/>
      <c r="CJ20" s="710">
        <v>0</v>
      </c>
      <c r="CK20" s="710">
        <v>0</v>
      </c>
      <c r="CL20" s="710">
        <v>0</v>
      </c>
      <c r="CM20" s="115"/>
      <c r="CN20" s="710">
        <v>0</v>
      </c>
      <c r="CO20" s="710">
        <v>0</v>
      </c>
      <c r="CP20" s="710">
        <v>0</v>
      </c>
      <c r="CQ20" s="115"/>
      <c r="CR20" s="710">
        <v>0</v>
      </c>
      <c r="CS20" s="710">
        <v>0</v>
      </c>
      <c r="CT20" s="710">
        <v>0</v>
      </c>
      <c r="CU20" s="115"/>
      <c r="CV20" s="710">
        <v>0</v>
      </c>
      <c r="CW20" s="710">
        <v>0</v>
      </c>
      <c r="CX20" s="710">
        <v>0</v>
      </c>
      <c r="CY20" s="115"/>
      <c r="CZ20" s="710">
        <v>0</v>
      </c>
      <c r="DA20" s="710">
        <v>0</v>
      </c>
      <c r="DB20" s="1418">
        <v>0</v>
      </c>
      <c r="DC20" s="115"/>
      <c r="DD20" s="710">
        <v>0</v>
      </c>
      <c r="DE20" s="710">
        <v>0</v>
      </c>
      <c r="DF20" s="710">
        <v>0</v>
      </c>
      <c r="DG20" s="115"/>
      <c r="DH20" s="710">
        <v>0</v>
      </c>
      <c r="DI20" s="1948">
        <f>+DH20</f>
        <v>0</v>
      </c>
      <c r="DJ20" s="1948">
        <f>+AVERAGE(DH20:DI20)</f>
        <v>0</v>
      </c>
      <c r="DK20" s="1946"/>
      <c r="DL20" s="1948">
        <f>+DI20</f>
        <v>0</v>
      </c>
      <c r="DM20" s="1948">
        <f>+DL20</f>
        <v>0</v>
      </c>
      <c r="DN20" s="1948">
        <f>+AVERAGE(DL20:DM20)</f>
        <v>0</v>
      </c>
      <c r="DO20" s="1946"/>
      <c r="DP20" s="1948">
        <f>+DM20</f>
        <v>0</v>
      </c>
      <c r="DQ20" s="1948">
        <f>+DP20</f>
        <v>0</v>
      </c>
      <c r="DR20" s="1948">
        <f>+AVERAGE(DP20:DQ20)</f>
        <v>0</v>
      </c>
      <c r="DS20" s="1946"/>
      <c r="JJ20"/>
    </row>
    <row r="21" spans="1:270" s="289" customFormat="1">
      <c r="A21" s="289" t="s">
        <v>78</v>
      </c>
      <c r="C21" s="290" t="s">
        <v>63</v>
      </c>
      <c r="D21" s="290"/>
      <c r="E21" s="290"/>
      <c r="F21" s="290"/>
      <c r="G21" s="290"/>
      <c r="H21" s="290"/>
      <c r="I21" s="290"/>
      <c r="J21" s="290"/>
      <c r="K21" s="290"/>
      <c r="L21" s="290"/>
      <c r="M21" s="290"/>
      <c r="N21" s="290"/>
      <c r="O21" s="290"/>
      <c r="P21" s="715">
        <f>+P19+P20</f>
        <v>200.40041400000001</v>
      </c>
      <c r="Q21" s="715">
        <f>+Q19+Q20</f>
        <v>203.53758300000001</v>
      </c>
      <c r="R21" s="715">
        <f>+R19+R20</f>
        <v>202.01436699999999</v>
      </c>
      <c r="S21" s="290"/>
      <c r="T21" s="715">
        <f>+T19+T20</f>
        <v>208.28742700000001</v>
      </c>
      <c r="U21" s="715">
        <f>+U19+U20</f>
        <v>215.713144</v>
      </c>
      <c r="V21" s="715">
        <f>+V19+V20</f>
        <v>212.00028499999999</v>
      </c>
      <c r="W21" s="290"/>
      <c r="X21" s="715">
        <f>+X19+X20</f>
        <v>217.402861</v>
      </c>
      <c r="Y21" s="715">
        <f>+Y19+Y20</f>
        <v>222.00597099999999</v>
      </c>
      <c r="Z21" s="715">
        <f>+Z19+Z20</f>
        <v>219.69811000000001</v>
      </c>
      <c r="AA21" s="581"/>
      <c r="AB21" s="715">
        <f>+AB19+AB20</f>
        <v>217.402861</v>
      </c>
      <c r="AC21" s="715">
        <f>+AC19+AC20</f>
        <v>222.00597099999999</v>
      </c>
      <c r="AD21" s="715">
        <f>+AD19+AD20</f>
        <v>219.69811000000001</v>
      </c>
      <c r="AE21" s="791"/>
      <c r="AF21" s="715">
        <f>+AF19+AF20</f>
        <v>226.346261</v>
      </c>
      <c r="AG21" s="715">
        <f>+AG19+AG20</f>
        <v>231.348434</v>
      </c>
      <c r="AH21" s="715">
        <f>+AH19+AH20</f>
        <v>228.840495</v>
      </c>
      <c r="AI21" s="581"/>
      <c r="AJ21" s="715">
        <f>+AJ19+AJ20</f>
        <v>242.59805</v>
      </c>
      <c r="AK21" s="715">
        <f>+AK19+AK20</f>
        <v>252.05484799999999</v>
      </c>
      <c r="AL21" s="715">
        <f>+AL19+AL20</f>
        <v>247.31349399999999</v>
      </c>
      <c r="AM21" s="581"/>
      <c r="AN21" s="715">
        <f>+AN19+AN20</f>
        <v>263.79880800000001</v>
      </c>
      <c r="AO21" s="715">
        <f>+AO19+AO20</f>
        <v>273.91416500000003</v>
      </c>
      <c r="AP21" s="715">
        <f>+AP19+AP20</f>
        <v>268.85472100000004</v>
      </c>
      <c r="AQ21" s="581"/>
      <c r="AR21" s="715">
        <f>+AR19+AR20</f>
        <v>278.90247699999998</v>
      </c>
      <c r="AS21" s="715">
        <f>+AS19+AS20</f>
        <v>283.84414300000003</v>
      </c>
      <c r="AT21" s="715">
        <f>+AT19+AT20</f>
        <v>281.37331</v>
      </c>
      <c r="AU21" s="581"/>
      <c r="AV21" s="715">
        <f>+AV19+AV20</f>
        <v>318.88000199999999</v>
      </c>
      <c r="AW21" s="715">
        <f>+AW19+AW20</f>
        <v>336.93620599999997</v>
      </c>
      <c r="AX21" s="715">
        <f>+AX19+AX20</f>
        <v>327.90810399999998</v>
      </c>
      <c r="AY21" s="581"/>
      <c r="AZ21" s="715">
        <f>+AZ19+AZ20</f>
        <v>338.00600800000001</v>
      </c>
      <c r="BA21" s="715">
        <f>+BA19+BA20</f>
        <v>338.71274</v>
      </c>
      <c r="BB21" s="715">
        <f>+BB19+BB20</f>
        <v>338.359374</v>
      </c>
      <c r="BC21" s="581"/>
      <c r="BD21" s="715">
        <f>+BD19+BD20</f>
        <v>328.03468600000002</v>
      </c>
      <c r="BE21" s="715">
        <f>+BE19+BE20</f>
        <v>326.06149699999997</v>
      </c>
      <c r="BF21" s="715">
        <f>+BF19+BF20</f>
        <v>327.01473700000003</v>
      </c>
      <c r="BG21" s="581"/>
      <c r="BH21" s="715">
        <f>+BH19+BH20</f>
        <v>317.58942500000001</v>
      </c>
      <c r="BI21" s="715">
        <f>+BI19+BI20</f>
        <v>311.74172699999997</v>
      </c>
      <c r="BJ21" s="715">
        <f>+BJ19+BJ20</f>
        <v>314.71878900000002</v>
      </c>
      <c r="BK21" s="1057">
        <f>+BJ21/BF21-1</f>
        <v>-3.7600592905389529E-2</v>
      </c>
      <c r="BL21" s="715">
        <f>+BL19+BL20</f>
        <v>309.90126099999998</v>
      </c>
      <c r="BM21" s="715">
        <f>+BM19+BM20</f>
        <v>302.281567</v>
      </c>
      <c r="BN21" s="715">
        <f>+BN19+BN20</f>
        <v>306.16665699999999</v>
      </c>
      <c r="BO21" s="1057">
        <f>+BN21/BJ21-1</f>
        <v>-2.7173884429251616E-2</v>
      </c>
      <c r="BP21" s="715">
        <f>+BP19+BP20</f>
        <v>295.35898400000002</v>
      </c>
      <c r="BQ21" s="715">
        <f>+BQ19+BQ20</f>
        <v>300.988857</v>
      </c>
      <c r="BR21" s="715">
        <f>+BR19+BR20</f>
        <v>298.109554</v>
      </c>
      <c r="BS21" s="1057">
        <f>+BR21/BN21-1</f>
        <v>-2.6316069420975419E-2</v>
      </c>
      <c r="BT21" s="715">
        <f>+BT19+BT20</f>
        <v>310.60417100000001</v>
      </c>
      <c r="BU21" s="715">
        <f>+BU19+BU20</f>
        <v>319.55066900000003</v>
      </c>
      <c r="BV21" s="715">
        <f>+BV19+BV20</f>
        <v>315.07742000000002</v>
      </c>
      <c r="BW21" s="1057">
        <f>+BV21/BR21-1</f>
        <v>5.6918222755115044E-2</v>
      </c>
      <c r="BX21" s="715">
        <f>+BX19+BX20</f>
        <v>321.03969499999999</v>
      </c>
      <c r="BY21" s="715">
        <f>+BY19+BY20</f>
        <v>321.25462499999998</v>
      </c>
      <c r="BZ21" s="715">
        <f>+BZ19+BZ20</f>
        <v>321.14715999999999</v>
      </c>
      <c r="CA21" s="1057">
        <f>+BZ21/BV21-1</f>
        <v>1.9264281140806583E-2</v>
      </c>
      <c r="CB21" s="715">
        <f>+CB19+CB20</f>
        <v>322.12424800000002</v>
      </c>
      <c r="CC21" s="715">
        <f>+CC19+CC20</f>
        <v>322.82707199999999</v>
      </c>
      <c r="CD21" s="715">
        <f>+CD19+CD20</f>
        <v>322.47566</v>
      </c>
      <c r="CE21" s="1057">
        <f>+CD21/BZ21-1</f>
        <v>4.1367328298964612E-3</v>
      </c>
      <c r="CF21" s="715">
        <f>+CF19+CF20</f>
        <v>323.71719200000001</v>
      </c>
      <c r="CG21" s="715">
        <f>+CG19+CG20</f>
        <v>324.29217999999997</v>
      </c>
      <c r="CH21" s="715">
        <f>+CH19+CH20</f>
        <v>324.00468599999999</v>
      </c>
      <c r="CI21" s="1057">
        <f>+CH21/CD21-1</f>
        <v>4.7415237478698469E-3</v>
      </c>
      <c r="CJ21" s="715">
        <f>+CJ19+CJ20</f>
        <v>326.43939499999999</v>
      </c>
      <c r="CK21" s="715">
        <f>+CK19+CK20</f>
        <v>340.029359</v>
      </c>
      <c r="CL21" s="715">
        <f>+CL19+CL20</f>
        <v>333.23437699999999</v>
      </c>
      <c r="CM21" s="1057">
        <f>+CL21/CH21-1</f>
        <v>2.8486288621146771E-2</v>
      </c>
      <c r="CN21" s="715">
        <f>+CN19+CN20</f>
        <v>344.42484999999999</v>
      </c>
      <c r="CO21" s="715">
        <f>+CO19+CO20</f>
        <v>347.45666800000004</v>
      </c>
      <c r="CP21" s="715">
        <f>+CP19+CP20</f>
        <v>345.94075900000001</v>
      </c>
      <c r="CQ21" s="1057">
        <f>+CP21/CL21-1</f>
        <v>3.8130465753237752E-2</v>
      </c>
      <c r="CR21" s="715">
        <f>+CR19+CR20</f>
        <v>351.66793000000001</v>
      </c>
      <c r="CS21" s="715">
        <f>+CS19+CS20</f>
        <v>365.32408200000003</v>
      </c>
      <c r="CT21" s="715">
        <f>+CT19+CT20</f>
        <v>358.49600600000002</v>
      </c>
      <c r="CU21" s="1057">
        <f>+CT21/CP21-1</f>
        <v>3.6293055019862575E-2</v>
      </c>
      <c r="CV21" s="715">
        <f>+CV19+CV20</f>
        <v>370.13653099999999</v>
      </c>
      <c r="CW21" s="715">
        <f>+CW19+CW20</f>
        <v>370.81064300000003</v>
      </c>
      <c r="CX21" s="715">
        <f>+CX19+CX20</f>
        <v>370.47358700000001</v>
      </c>
      <c r="CY21" s="1057">
        <f>+CX21/CT21-1</f>
        <v>3.3410640005847148E-2</v>
      </c>
      <c r="CZ21" s="715">
        <f>+CZ19+CZ20</f>
        <v>370.28655600000002</v>
      </c>
      <c r="DA21" s="715">
        <f>+DA19+DA20</f>
        <v>368.34367599999996</v>
      </c>
      <c r="DB21" s="715">
        <f>+DB19+DB20</f>
        <v>369.31511599999999</v>
      </c>
      <c r="DC21" s="1057">
        <f>+DB21/CX21-1</f>
        <v>-3.1270002522474361E-3</v>
      </c>
      <c r="DD21" s="715">
        <f>+DD19+DD20</f>
        <v>366.18581399999999</v>
      </c>
      <c r="DE21" s="715">
        <f>+DE19+DE20</f>
        <v>365.51879600000001</v>
      </c>
      <c r="DF21" s="715">
        <f>+DF19+DF20</f>
        <v>365.852305</v>
      </c>
      <c r="DG21" s="1057">
        <f>+DF21/DB21-1</f>
        <v>-9.3763045431370928E-3</v>
      </c>
      <c r="DH21" s="715">
        <f>+DH19+DH20</f>
        <v>366.62100099999998</v>
      </c>
      <c r="DI21" s="715">
        <f>+DI19+DI20</f>
        <v>367.07927725124995</v>
      </c>
      <c r="DJ21" s="715">
        <f>+DJ19+DJ20</f>
        <v>366.85013912562499</v>
      </c>
      <c r="DK21" s="1057">
        <f>+DJ21/DF21-1</f>
        <v>2.7274233672656134E-3</v>
      </c>
      <c r="DL21" s="715">
        <f>+DL19+DL20</f>
        <v>367.99697544437811</v>
      </c>
      <c r="DM21" s="715">
        <f>+DM19+DM20</f>
        <v>368.91696788298901</v>
      </c>
      <c r="DN21" s="715">
        <f>+DN19+DN20</f>
        <v>368.45697166368359</v>
      </c>
      <c r="DO21" s="1057">
        <f>+DN21/DJ21-1</f>
        <v>4.3800788569643423E-3</v>
      </c>
      <c r="DP21" s="715">
        <f>+DP19+DP20</f>
        <v>369.83926030269646</v>
      </c>
      <c r="DQ21" s="715">
        <f>+DQ19+DQ20</f>
        <v>370.76385845345322</v>
      </c>
      <c r="DR21" s="715">
        <f>+DR19+DR20</f>
        <v>370.30155937807484</v>
      </c>
      <c r="DS21" s="1057">
        <f>+DR21/DN21-1</f>
        <v>5.0062499999998789E-3</v>
      </c>
      <c r="JJ21"/>
    </row>
    <row r="22" spans="1:270" s="102" customFormat="1"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716"/>
      <c r="Q22" s="716"/>
      <c r="R22" s="716"/>
      <c r="S22" s="103"/>
      <c r="T22" s="716"/>
      <c r="U22" s="716"/>
      <c r="V22" s="716"/>
      <c r="W22" s="103"/>
      <c r="X22" s="716"/>
      <c r="Y22" s="716"/>
      <c r="Z22" s="716"/>
      <c r="AA22" s="115"/>
      <c r="AB22" s="716"/>
      <c r="AC22" s="716"/>
      <c r="AD22" s="716"/>
      <c r="AE22" s="331"/>
      <c r="AF22" s="716"/>
      <c r="AG22" s="716"/>
      <c r="AH22" s="716"/>
      <c r="AI22" s="115"/>
      <c r="AJ22" s="716"/>
      <c r="AK22" s="716"/>
      <c r="AL22" s="716"/>
      <c r="AM22" s="115"/>
      <c r="AN22" s="716"/>
      <c r="AO22" s="716"/>
      <c r="AP22" s="716"/>
      <c r="AQ22" s="115"/>
      <c r="AR22" s="716"/>
      <c r="AS22" s="716"/>
      <c r="AT22" s="716"/>
      <c r="AU22" s="115"/>
      <c r="AV22" s="716"/>
      <c r="AW22" s="716"/>
      <c r="AX22" s="716"/>
      <c r="AY22" s="115"/>
      <c r="AZ22" s="716"/>
      <c r="BA22" s="715"/>
      <c r="BB22" s="715"/>
      <c r="BC22" s="115"/>
      <c r="BD22" s="716"/>
      <c r="BE22" s="715"/>
      <c r="BF22" s="715"/>
      <c r="BG22" s="115"/>
      <c r="BH22" s="716"/>
      <c r="BI22" s="715"/>
      <c r="BJ22" s="715"/>
      <c r="BK22" s="115"/>
      <c r="BL22" s="716"/>
      <c r="BM22" s="715"/>
      <c r="BN22" s="715"/>
      <c r="BO22" s="115"/>
      <c r="BP22" s="716"/>
      <c r="BQ22" s="715"/>
      <c r="BR22" s="715"/>
      <c r="BS22" s="115"/>
      <c r="BT22" s="716"/>
      <c r="BU22" s="715"/>
      <c r="BV22" s="715"/>
      <c r="BW22" s="115"/>
      <c r="BX22" s="716"/>
      <c r="BY22" s="715"/>
      <c r="BZ22" s="715"/>
      <c r="CA22" s="115"/>
      <c r="CB22" s="716"/>
      <c r="CC22" s="715"/>
      <c r="CD22" s="715"/>
      <c r="CE22" s="115"/>
      <c r="CF22" s="716"/>
      <c r="CG22" s="715"/>
      <c r="CH22" s="715"/>
      <c r="CI22" s="115"/>
      <c r="CJ22" s="1058">
        <v>326.43939499999999</v>
      </c>
      <c r="CK22" s="715"/>
      <c r="CL22" s="715"/>
      <c r="CM22" s="115"/>
      <c r="CN22" s="1058"/>
      <c r="CO22" s="715"/>
      <c r="CP22" s="715"/>
      <c r="CQ22" s="115"/>
      <c r="CR22" s="1058"/>
      <c r="CS22" s="715"/>
      <c r="CT22" s="715"/>
      <c r="CU22" s="115"/>
      <c r="CV22" s="1058"/>
      <c r="CW22" s="715"/>
      <c r="CX22" s="715"/>
      <c r="CY22" s="115"/>
      <c r="CZ22" s="1058"/>
      <c r="DA22" s="715"/>
      <c r="DB22" s="715"/>
      <c r="DC22" s="115"/>
      <c r="DD22" s="1058"/>
      <c r="DE22" s="715"/>
      <c r="DF22" s="715"/>
      <c r="DG22" s="115"/>
      <c r="DH22" s="1058"/>
      <c r="DI22" s="715"/>
      <c r="DJ22" s="715"/>
      <c r="DK22" s="115"/>
      <c r="DL22" s="715"/>
      <c r="DM22" s="715"/>
      <c r="DN22" s="715"/>
      <c r="DO22" s="115"/>
      <c r="DP22" s="715"/>
      <c r="DQ22" s="715"/>
      <c r="DR22" s="715"/>
      <c r="DS22" s="115"/>
      <c r="JJ22"/>
    </row>
    <row r="23" spans="1:270" s="102" customFormat="1">
      <c r="A23" s="102" t="s">
        <v>79</v>
      </c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293"/>
      <c r="Q23" s="293"/>
      <c r="R23" s="293"/>
      <c r="S23" s="103"/>
      <c r="T23" s="293"/>
      <c r="U23" s="293"/>
      <c r="V23" s="293"/>
      <c r="W23" s="103"/>
      <c r="X23" s="293"/>
      <c r="Y23" s="293"/>
      <c r="Z23" s="293"/>
      <c r="AA23" s="115"/>
      <c r="AB23" s="293"/>
      <c r="AC23" s="293"/>
      <c r="AD23" s="293"/>
      <c r="AE23" s="331"/>
      <c r="AF23" s="293"/>
      <c r="AG23" s="293"/>
      <c r="AH23" s="293"/>
      <c r="AI23" s="115"/>
      <c r="AJ23" s="293"/>
      <c r="AK23" s="293"/>
      <c r="AL23" s="293"/>
      <c r="AM23" s="115"/>
      <c r="AN23" s="293"/>
      <c r="AO23" s="293"/>
      <c r="AP23" s="293"/>
      <c r="AQ23" s="115"/>
      <c r="AR23" s="293"/>
      <c r="AS23" s="293"/>
      <c r="AT23" s="293"/>
      <c r="AU23" s="115"/>
      <c r="AV23" s="293"/>
      <c r="AW23" s="293"/>
      <c r="AX23" s="293"/>
      <c r="AY23" s="115"/>
      <c r="AZ23" s="293"/>
      <c r="BA23" s="293"/>
      <c r="BB23" s="293"/>
      <c r="BC23" s="115"/>
      <c r="BD23" s="293"/>
      <c r="BE23" s="293"/>
      <c r="BF23" s="293"/>
      <c r="BG23" s="115"/>
      <c r="BH23" s="293"/>
      <c r="BI23" s="293"/>
      <c r="BJ23" s="293"/>
      <c r="BK23" s="115"/>
      <c r="BL23" s="293"/>
      <c r="BM23" s="293"/>
      <c r="BN23" s="293"/>
      <c r="BO23" s="115"/>
      <c r="BP23" s="293"/>
      <c r="BQ23" s="293"/>
      <c r="BR23" s="293"/>
      <c r="BS23" s="115"/>
      <c r="BT23" s="293"/>
      <c r="BU23" s="293"/>
      <c r="BV23" s="293"/>
      <c r="BW23" s="115"/>
      <c r="BX23" s="293"/>
      <c r="BY23" s="293"/>
      <c r="BZ23" s="293"/>
      <c r="CA23" s="115"/>
      <c r="CB23" s="293"/>
      <c r="CC23" s="293"/>
      <c r="CD23" s="293"/>
      <c r="CE23" s="115"/>
      <c r="CF23" s="293"/>
      <c r="CG23" s="293"/>
      <c r="CH23" s="293"/>
      <c r="CI23" s="115"/>
      <c r="CJ23" s="293"/>
      <c r="CK23" s="293"/>
      <c r="CL23" s="293"/>
      <c r="CM23" s="115"/>
      <c r="CN23" s="293"/>
      <c r="CO23" s="293"/>
      <c r="CP23" s="293"/>
      <c r="CQ23" s="115"/>
      <c r="CR23" s="293"/>
      <c r="CS23" s="293"/>
      <c r="CT23" s="293"/>
      <c r="CU23" s="115"/>
      <c r="CV23" s="293"/>
      <c r="CW23" s="293"/>
      <c r="CX23" s="293"/>
      <c r="CY23" s="115"/>
      <c r="CZ23" s="293"/>
      <c r="DA23" s="293"/>
      <c r="DB23" s="293"/>
      <c r="DC23" s="115"/>
      <c r="DD23" s="293"/>
      <c r="DE23" s="293"/>
      <c r="DF23" s="293"/>
      <c r="DG23" s="115"/>
      <c r="DH23" s="293"/>
      <c r="DI23" s="293"/>
      <c r="DJ23" s="293"/>
      <c r="DK23" s="115"/>
      <c r="DL23" s="293"/>
      <c r="DM23" s="293"/>
      <c r="DN23" s="293"/>
      <c r="DO23" s="115"/>
      <c r="DP23" s="293"/>
      <c r="DQ23" s="293"/>
      <c r="DR23" s="293"/>
      <c r="DS23" s="115"/>
      <c r="JJ23"/>
    </row>
    <row r="24" spans="1:270" s="1944" customFormat="1">
      <c r="A24" s="102" t="s">
        <v>561</v>
      </c>
      <c r="B24" s="102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710">
        <v>6.8952099999999996</v>
      </c>
      <c r="Q24" s="710">
        <v>6.5006620000000002</v>
      </c>
      <c r="R24" s="710">
        <v>6.5005119999999996</v>
      </c>
      <c r="S24" s="710"/>
      <c r="T24" s="710">
        <v>4.6980589999999998</v>
      </c>
      <c r="U24" s="710">
        <v>0</v>
      </c>
      <c r="V24" s="710">
        <v>2.3490289999999998</v>
      </c>
      <c r="W24" s="710"/>
      <c r="X24" s="710"/>
      <c r="Y24" s="710"/>
      <c r="Z24" s="710"/>
      <c r="AA24" s="115"/>
      <c r="AB24" s="293"/>
      <c r="AC24" s="293"/>
      <c r="AD24" s="293"/>
      <c r="AE24" s="331"/>
      <c r="AF24" s="293"/>
      <c r="AG24" s="293"/>
      <c r="AH24" s="293"/>
      <c r="AI24" s="115"/>
      <c r="AJ24" s="293"/>
      <c r="AK24" s="293"/>
      <c r="AL24" s="293"/>
      <c r="AM24" s="115"/>
      <c r="AN24" s="293"/>
      <c r="AO24" s="293"/>
      <c r="AP24" s="293"/>
      <c r="AQ24" s="115"/>
      <c r="AR24" s="293"/>
      <c r="AS24" s="293"/>
      <c r="AT24" s="293"/>
      <c r="AU24" s="115"/>
      <c r="AV24" s="710">
        <v>11.396269999999999</v>
      </c>
      <c r="AW24" s="711">
        <f>+AX24*2-AV24</f>
        <v>13.079026000000001</v>
      </c>
      <c r="AX24" s="1962">
        <v>12.237648</v>
      </c>
      <c r="AY24" s="115"/>
      <c r="AZ24" s="710">
        <v>16.742601000000001</v>
      </c>
      <c r="BA24" s="711">
        <f>+BB24*2-AZ24</f>
        <v>16.873809000000001</v>
      </c>
      <c r="BB24" s="710">
        <v>16.808205000000001</v>
      </c>
      <c r="BC24" s="115"/>
      <c r="BD24" s="710">
        <v>0</v>
      </c>
      <c r="BE24" s="710">
        <v>0</v>
      </c>
      <c r="BF24" s="710">
        <v>0</v>
      </c>
      <c r="BG24" s="115"/>
      <c r="BH24" s="710">
        <v>0</v>
      </c>
      <c r="BI24" s="710">
        <v>16.167729000000001</v>
      </c>
      <c r="BJ24" s="710">
        <v>16.167729000000001</v>
      </c>
      <c r="BK24" s="115"/>
      <c r="BL24" s="710">
        <v>6.4264669999999997</v>
      </c>
      <c r="BM24" s="710">
        <v>0</v>
      </c>
      <c r="BN24" s="710">
        <v>3.2223069999999998</v>
      </c>
      <c r="BO24" s="115"/>
      <c r="BP24" s="710">
        <v>0</v>
      </c>
      <c r="BQ24" s="710">
        <v>0</v>
      </c>
      <c r="BR24" s="710">
        <v>0</v>
      </c>
      <c r="BS24" s="115"/>
      <c r="BT24" s="710">
        <v>0</v>
      </c>
      <c r="BU24" s="710">
        <v>0</v>
      </c>
      <c r="BV24" s="710">
        <v>0</v>
      </c>
      <c r="BW24" s="115"/>
      <c r="BX24" s="710">
        <v>0</v>
      </c>
      <c r="BY24" s="710">
        <v>0</v>
      </c>
      <c r="BZ24" s="710">
        <v>0</v>
      </c>
      <c r="CA24" s="115"/>
      <c r="CB24" s="710">
        <v>0</v>
      </c>
      <c r="CC24" s="710">
        <v>0</v>
      </c>
      <c r="CD24" s="710">
        <v>0</v>
      </c>
      <c r="CE24" s="115"/>
      <c r="CF24" s="710">
        <v>0</v>
      </c>
      <c r="CG24" s="710">
        <v>0</v>
      </c>
      <c r="CH24" s="710">
        <v>0</v>
      </c>
      <c r="CI24" s="115"/>
      <c r="CJ24" s="710">
        <v>0</v>
      </c>
      <c r="CK24" s="710">
        <v>0</v>
      </c>
      <c r="CL24" s="710">
        <v>0</v>
      </c>
      <c r="CM24" s="115"/>
      <c r="CN24" s="710">
        <v>0</v>
      </c>
      <c r="CO24" s="710">
        <v>0</v>
      </c>
      <c r="CP24" s="710">
        <v>0</v>
      </c>
      <c r="CQ24" s="115"/>
      <c r="CR24" s="710">
        <v>0</v>
      </c>
      <c r="CS24" s="710">
        <v>0</v>
      </c>
      <c r="CT24" s="710">
        <v>0</v>
      </c>
      <c r="CU24" s="115"/>
      <c r="CV24" s="710">
        <v>0</v>
      </c>
      <c r="CW24" s="710">
        <v>0</v>
      </c>
      <c r="CX24" s="710">
        <v>0</v>
      </c>
      <c r="CY24" s="115"/>
      <c r="CZ24" s="710">
        <v>0</v>
      </c>
      <c r="DA24" s="710">
        <v>0</v>
      </c>
      <c r="DB24" s="710">
        <v>0</v>
      </c>
      <c r="DC24" s="115"/>
      <c r="DD24" s="710">
        <v>0</v>
      </c>
      <c r="DE24" s="710">
        <v>0</v>
      </c>
      <c r="DF24" s="710">
        <v>0</v>
      </c>
      <c r="DG24" s="115"/>
      <c r="DH24" s="710">
        <v>0</v>
      </c>
      <c r="DI24" s="711">
        <f>+DH24</f>
        <v>0</v>
      </c>
      <c r="DJ24" s="711">
        <f>+AVERAGE(DH24:DI24)</f>
        <v>0</v>
      </c>
      <c r="DK24" s="115"/>
      <c r="DL24" s="711">
        <f>+DI24</f>
        <v>0</v>
      </c>
      <c r="DM24" s="711">
        <f>+DL24</f>
        <v>0</v>
      </c>
      <c r="DN24" s="711">
        <f>+AVERAGE(DL24:DM24)</f>
        <v>0</v>
      </c>
      <c r="DO24" s="115"/>
      <c r="DP24" s="711">
        <f>+DM24</f>
        <v>0</v>
      </c>
      <c r="DQ24" s="711">
        <f>+DP24</f>
        <v>0</v>
      </c>
      <c r="DR24" s="711">
        <f>+AVERAGE(DP24:DQ24)</f>
        <v>0</v>
      </c>
      <c r="DS24" s="115"/>
      <c r="DT24" s="102"/>
      <c r="DU24" s="102" t="s">
        <v>948</v>
      </c>
      <c r="JJ24"/>
    </row>
    <row r="25" spans="1:270" s="1944" customFormat="1">
      <c r="A25" s="102" t="s">
        <v>480</v>
      </c>
      <c r="B25" s="102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710"/>
      <c r="Q25" s="710"/>
      <c r="R25" s="710"/>
      <c r="S25" s="710"/>
      <c r="T25" s="710"/>
      <c r="U25" s="710"/>
      <c r="V25" s="710"/>
      <c r="W25" s="710"/>
      <c r="X25" s="710"/>
      <c r="Y25" s="710"/>
      <c r="Z25" s="710"/>
      <c r="AA25" s="115"/>
      <c r="AB25" s="293"/>
      <c r="AC25" s="293"/>
      <c r="AD25" s="293"/>
      <c r="AE25" s="331"/>
      <c r="AF25" s="293"/>
      <c r="AG25" s="293"/>
      <c r="AH25" s="293"/>
      <c r="AI25" s="115"/>
      <c r="AJ25" s="293"/>
      <c r="AK25" s="293"/>
      <c r="AL25" s="293"/>
      <c r="AM25" s="115"/>
      <c r="AN25" s="293"/>
      <c r="AO25" s="293"/>
      <c r="AP25" s="293"/>
      <c r="AQ25" s="115"/>
      <c r="AR25" s="293"/>
      <c r="AS25" s="293"/>
      <c r="AT25" s="293"/>
      <c r="AU25" s="115"/>
      <c r="AV25" s="710">
        <v>3.9419999999999997E-2</v>
      </c>
      <c r="AW25" s="711">
        <f>+AX25*2-AV25</f>
        <v>0.26733000000000001</v>
      </c>
      <c r="AX25" s="1962">
        <v>0.15337500000000001</v>
      </c>
      <c r="AY25" s="115"/>
      <c r="AZ25" s="710">
        <v>0.21707399999999999</v>
      </c>
      <c r="BA25" s="711">
        <f>+BB25*2-AZ25</f>
        <v>0.19414399999999998</v>
      </c>
      <c r="BB25" s="710">
        <v>0.20560899999999999</v>
      </c>
      <c r="BC25" s="115"/>
      <c r="BD25" s="710">
        <v>0.14820700000000001</v>
      </c>
      <c r="BE25" s="710">
        <v>0.102175</v>
      </c>
      <c r="BF25" s="710">
        <v>0.14063200000000001</v>
      </c>
      <c r="BG25" s="1963"/>
      <c r="BH25" s="710">
        <v>0.10313700000000001</v>
      </c>
      <c r="BI25" s="710">
        <v>1.2921E-2</v>
      </c>
      <c r="BJ25" s="710">
        <v>5.9457000000000003E-2</v>
      </c>
      <c r="BK25" s="115"/>
      <c r="BL25" s="710">
        <v>0</v>
      </c>
      <c r="BM25" s="710">
        <v>0</v>
      </c>
      <c r="BN25" s="710">
        <v>0</v>
      </c>
      <c r="BO25" s="115"/>
      <c r="BP25" s="710">
        <v>0</v>
      </c>
      <c r="BQ25" s="710">
        <v>0</v>
      </c>
      <c r="BR25" s="710">
        <v>0</v>
      </c>
      <c r="BS25" s="115"/>
      <c r="BT25" s="710">
        <v>0</v>
      </c>
      <c r="BU25" s="710">
        <v>0</v>
      </c>
      <c r="BV25" s="710">
        <v>0</v>
      </c>
      <c r="BW25" s="115"/>
      <c r="BX25" s="710">
        <v>0</v>
      </c>
      <c r="BY25" s="710">
        <v>0</v>
      </c>
      <c r="BZ25" s="710">
        <v>0</v>
      </c>
      <c r="CA25" s="115"/>
      <c r="CB25" s="710">
        <v>0</v>
      </c>
      <c r="CC25" s="710">
        <v>0</v>
      </c>
      <c r="CD25" s="710">
        <v>0</v>
      </c>
      <c r="CE25" s="115"/>
      <c r="CF25" s="710">
        <v>0</v>
      </c>
      <c r="CG25" s="710">
        <v>0</v>
      </c>
      <c r="CH25" s="710">
        <v>0</v>
      </c>
      <c r="CI25" s="115"/>
      <c r="CJ25" s="710">
        <v>0</v>
      </c>
      <c r="CK25" s="710">
        <v>0</v>
      </c>
      <c r="CL25" s="710">
        <v>0</v>
      </c>
      <c r="CM25" s="115"/>
      <c r="CN25" s="710">
        <v>0</v>
      </c>
      <c r="CO25" s="710">
        <v>0</v>
      </c>
      <c r="CP25" s="710">
        <v>0</v>
      </c>
      <c r="CQ25" s="115"/>
      <c r="CR25" s="710">
        <v>0</v>
      </c>
      <c r="CS25" s="710">
        <v>0</v>
      </c>
      <c r="CT25" s="710">
        <v>0</v>
      </c>
      <c r="CU25" s="115"/>
      <c r="CV25" s="710">
        <v>0</v>
      </c>
      <c r="CW25" s="710">
        <v>0</v>
      </c>
      <c r="CX25" s="710">
        <v>0</v>
      </c>
      <c r="CY25" s="115"/>
      <c r="CZ25" s="710">
        <v>0</v>
      </c>
      <c r="DA25" s="710">
        <v>0</v>
      </c>
      <c r="DB25" s="710">
        <v>0</v>
      </c>
      <c r="DC25" s="115"/>
      <c r="DD25" s="710">
        <v>0</v>
      </c>
      <c r="DE25" s="710">
        <v>0</v>
      </c>
      <c r="DF25" s="710">
        <v>0</v>
      </c>
      <c r="DG25" s="115"/>
      <c r="DH25" s="710">
        <v>0</v>
      </c>
      <c r="DI25" s="711">
        <f>+DH25</f>
        <v>0</v>
      </c>
      <c r="DJ25" s="711">
        <f>+AVERAGE(DH25:DI25)</f>
        <v>0</v>
      </c>
      <c r="DK25" s="115"/>
      <c r="DL25" s="711">
        <f>+DI25</f>
        <v>0</v>
      </c>
      <c r="DM25" s="711">
        <f>+DL25</f>
        <v>0</v>
      </c>
      <c r="DN25" s="711">
        <f>+AVERAGE(DL25:DM25)</f>
        <v>0</v>
      </c>
      <c r="DO25" s="115"/>
      <c r="DP25" s="711">
        <f>+DM25</f>
        <v>0</v>
      </c>
      <c r="DQ25" s="711">
        <f>+DP25</f>
        <v>0</v>
      </c>
      <c r="DR25" s="711">
        <f>+AVERAGE(DP25:DQ25)</f>
        <v>0</v>
      </c>
      <c r="DS25" s="115"/>
      <c r="DT25" s="102"/>
      <c r="DU25" s="102"/>
      <c r="JJ25"/>
    </row>
    <row r="26" spans="1:270" s="302" customFormat="1">
      <c r="A26" s="102" t="s">
        <v>72</v>
      </c>
      <c r="B26" s="102"/>
      <c r="C26" s="103" t="s">
        <v>63</v>
      </c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710">
        <v>4.0816650000000001</v>
      </c>
      <c r="Q26" s="710">
        <v>7.4285350000000001</v>
      </c>
      <c r="R26" s="710">
        <v>3.0637829999999999</v>
      </c>
      <c r="S26" s="710"/>
      <c r="T26" s="710">
        <v>2.8724249999999998</v>
      </c>
      <c r="U26" s="710">
        <v>4.1989640000000001</v>
      </c>
      <c r="V26" s="710">
        <v>3.2633749999999999</v>
      </c>
      <c r="W26" s="710"/>
      <c r="X26" s="710">
        <v>2.4343170000000001</v>
      </c>
      <c r="Y26" s="710">
        <v>7.4285350000000001</v>
      </c>
      <c r="Z26" s="710">
        <v>5.1695869999999999</v>
      </c>
      <c r="AA26" s="115"/>
      <c r="AB26" s="710">
        <v>2.4343170000000001</v>
      </c>
      <c r="AC26" s="710">
        <v>7.4285350000000001</v>
      </c>
      <c r="AD26" s="710">
        <v>5.1695869999999999</v>
      </c>
      <c r="AE26" s="1063"/>
      <c r="AF26" s="710">
        <v>10.563305</v>
      </c>
      <c r="AG26" s="710">
        <v>10.715933</v>
      </c>
      <c r="AH26" s="710">
        <v>10.790865</v>
      </c>
      <c r="AI26" s="115"/>
      <c r="AJ26" s="710">
        <v>9.5173020000000008</v>
      </c>
      <c r="AK26" s="710">
        <v>10.461509</v>
      </c>
      <c r="AL26" s="710">
        <v>9.4415750000000003</v>
      </c>
      <c r="AM26" s="115"/>
      <c r="AN26" s="710">
        <v>9.7565910000000002</v>
      </c>
      <c r="AO26" s="710">
        <v>4.2576539999999996</v>
      </c>
      <c r="AP26" s="710">
        <v>7.0230379999999997</v>
      </c>
      <c r="AQ26" s="115"/>
      <c r="AR26" s="710">
        <v>1.8032429999999999</v>
      </c>
      <c r="AS26" s="711">
        <f>+AT26*2-AR26</f>
        <v>0.10434300000000007</v>
      </c>
      <c r="AT26" s="710">
        <v>0.953793</v>
      </c>
      <c r="AU26" s="115"/>
      <c r="AV26" s="710">
        <v>0.59418000000000004</v>
      </c>
      <c r="AW26" s="711">
        <f>+AX26*2-AV26</f>
        <v>0.49414999999999998</v>
      </c>
      <c r="AX26" s="710">
        <f>0.275888+0.268277</f>
        <v>0.54416500000000001</v>
      </c>
      <c r="AY26" s="115"/>
      <c r="AZ26" s="710">
        <f>2.577335+0.173222</f>
        <v>2.7505570000000001</v>
      </c>
      <c r="BA26" s="711">
        <f>+BB26*2-AZ26</f>
        <v>5.0005310000000005</v>
      </c>
      <c r="BB26" s="710">
        <f>0.158315+3.717229</f>
        <v>3.8755440000000001</v>
      </c>
      <c r="BC26" s="115"/>
      <c r="BD26" s="710">
        <f>4.744822+0.020322</f>
        <v>4.7651440000000003</v>
      </c>
      <c r="BE26" s="710">
        <f>(9030+12130439+119270)/1000000</f>
        <v>12.258739</v>
      </c>
      <c r="BF26" s="710">
        <f>(17174+12242186+119270)/1000000</f>
        <v>12.378629999999999</v>
      </c>
      <c r="BG26" s="115"/>
      <c r="BH26" s="710">
        <f>(14398+15337132+8908190)/1000000</f>
        <v>24.259720000000002</v>
      </c>
      <c r="BI26" s="710">
        <f>(55043+6800228+19537071)/1000000</f>
        <v>26.392341999999999</v>
      </c>
      <c r="BJ26" s="710">
        <f>(26883+18781003+6800228)/1000000</f>
        <v>25.608114</v>
      </c>
      <c r="BK26" s="115"/>
      <c r="BL26" s="710">
        <f>(61289+7983346+5884804+22359709)/1000000</f>
        <v>36.289147999999997</v>
      </c>
      <c r="BM26" s="710">
        <f>0.043663+10.824681+5.06797+24.009586</f>
        <v>39.945899999999995</v>
      </c>
      <c r="BN26" s="710">
        <f>(38425+22645659+5067970+8837685)/1000000</f>
        <v>36.589739000000002</v>
      </c>
      <c r="BO26" s="115"/>
      <c r="BP26" s="710">
        <f>(5426+10421153+5167993+19939884)/10^6</f>
        <v>35.534455999999999</v>
      </c>
      <c r="BQ26" s="710">
        <v>36.799999999999997</v>
      </c>
      <c r="BR26" s="710">
        <f>(2720+2750600+18965134+4546959+7970512)/1000000</f>
        <v>34.235925000000002</v>
      </c>
      <c r="BS26" s="115"/>
      <c r="BT26" s="710">
        <f>5.663489+7.913391+4.895512+18.027083</f>
        <v>36.499475000000004</v>
      </c>
      <c r="BU26" s="711">
        <f>BV26*2-BT26</f>
        <v>41.583288999999994</v>
      </c>
      <c r="BV26" s="710">
        <f>(9076839+16029615+6496151+2304516+5134261)/1000000</f>
        <v>39.041381999999999</v>
      </c>
      <c r="BW26" s="115"/>
      <c r="BX26" s="710">
        <f>12.203259+23.724349</f>
        <v>35.927607999999999</v>
      </c>
      <c r="BY26" s="711">
        <f>BZ26*2-BX26</f>
        <v>32.980246000000001</v>
      </c>
      <c r="BZ26" s="710">
        <f>12.658678+21.795249</f>
        <v>34.453927</v>
      </c>
      <c r="CA26" s="115"/>
      <c r="CB26" s="710">
        <f>12.364613+19.772187</f>
        <v>32.136800000000001</v>
      </c>
      <c r="CC26" s="711">
        <f>CD26*2-CB26</f>
        <v>25.025377999999996</v>
      </c>
      <c r="CD26" s="710">
        <f>12.625725+15.955364</f>
        <v>28.581088999999999</v>
      </c>
      <c r="CE26" s="115"/>
      <c r="CF26" s="716">
        <f>12.197548+1.972695+3.440532+5.078786</f>
        <v>22.689561000000001</v>
      </c>
      <c r="CG26" s="711">
        <f>CH26*2-CF26</f>
        <v>31.752919000000009</v>
      </c>
      <c r="CH26" s="716">
        <f>12.077131+0.98905+3.397148+4.20078+6.459001+0.09813</f>
        <v>27.221240000000005</v>
      </c>
      <c r="CI26" s="115"/>
      <c r="CJ26" s="1964">
        <f>10.959592+ 3.375733+4.174298+7.86132+7.118354</f>
        <v>33.489297000000001</v>
      </c>
      <c r="CK26" s="711">
        <f>CL26*2-CJ26</f>
        <v>41.161842999999998</v>
      </c>
      <c r="CL26" s="716">
        <f>10.146584+27.178986</f>
        <v>37.325569999999999</v>
      </c>
      <c r="CM26" s="115"/>
      <c r="CN26" s="1964">
        <f>8.824318+0+3.466356+8.178293+7.405371</f>
        <v>27.874337999999998</v>
      </c>
      <c r="CO26" s="711">
        <f>CP26*2-CN26</f>
        <v>31.141134000000005</v>
      </c>
      <c r="CP26" s="716">
        <f>9.394636+20.1131</f>
        <v>29.507736000000001</v>
      </c>
      <c r="CQ26" s="115"/>
      <c r="CR26" s="1964">
        <f>10.175359+19.562835</f>
        <v>29.738194</v>
      </c>
      <c r="CS26" s="711">
        <f>CT26*2-CR26</f>
        <v>30.921787999999999</v>
      </c>
      <c r="CT26" s="716">
        <f>19.42568+10.904311</f>
        <v>30.329991</v>
      </c>
      <c r="CU26" s="115"/>
      <c r="CV26" s="716">
        <f>24.852954+10.56373</f>
        <v>35.416684000000004</v>
      </c>
      <c r="CW26" s="715">
        <f>CX26*2-CV26</f>
        <v>36.819561999999991</v>
      </c>
      <c r="CX26" s="716">
        <f>25.333746+10.784377</f>
        <v>36.118122999999997</v>
      </c>
      <c r="CY26" s="115"/>
      <c r="CZ26" s="716">
        <v>10.708618</v>
      </c>
      <c r="DA26" s="711">
        <f>DB26*2-CZ26</f>
        <v>11.903136000000002</v>
      </c>
      <c r="DB26" s="2033">
        <v>11.305877000000001</v>
      </c>
      <c r="DC26" s="115"/>
      <c r="DD26" s="716">
        <v>10.190022000000001</v>
      </c>
      <c r="DE26" s="711">
        <f>DF26*2-DD26</f>
        <v>10.749048</v>
      </c>
      <c r="DF26" s="2177">
        <v>10.469535</v>
      </c>
      <c r="DG26" s="115"/>
      <c r="DH26" s="2262">
        <v>9.5189620000000001</v>
      </c>
      <c r="DI26" s="883">
        <f>DH26</f>
        <v>9.5189620000000001</v>
      </c>
      <c r="DJ26" s="883">
        <f>+AVERAGE(DH26:DI26)</f>
        <v>9.5189620000000001</v>
      </c>
      <c r="DK26" s="300"/>
      <c r="DL26" s="883">
        <f>DI26</f>
        <v>9.5189620000000001</v>
      </c>
      <c r="DM26" s="883">
        <f>DL26</f>
        <v>9.5189620000000001</v>
      </c>
      <c r="DN26" s="883">
        <f>+AVERAGE(DL26:DM26)</f>
        <v>9.5189620000000001</v>
      </c>
      <c r="DO26" s="300"/>
      <c r="DP26" s="883">
        <f>DM26</f>
        <v>9.5189620000000001</v>
      </c>
      <c r="DQ26" s="883">
        <f>DP26</f>
        <v>9.5189620000000001</v>
      </c>
      <c r="DR26" s="883">
        <f>+AVERAGE(DP26:DQ26)</f>
        <v>9.5189620000000001</v>
      </c>
      <c r="DS26" s="300"/>
      <c r="JJ26"/>
    </row>
    <row r="27" spans="1:270" s="289" customFormat="1">
      <c r="A27" s="289" t="s">
        <v>80</v>
      </c>
      <c r="C27" s="290" t="s">
        <v>63</v>
      </c>
      <c r="D27" s="290"/>
      <c r="E27" s="290"/>
      <c r="F27" s="290"/>
      <c r="G27" s="290"/>
      <c r="H27" s="290"/>
      <c r="I27" s="290"/>
      <c r="J27" s="290"/>
      <c r="K27" s="290"/>
      <c r="L27" s="290"/>
      <c r="M27" s="290"/>
      <c r="N27" s="290"/>
      <c r="O27" s="290"/>
      <c r="P27" s="715">
        <f>SUM(P21:P26)</f>
        <v>211.37728899999999</v>
      </c>
      <c r="Q27" s="715">
        <f>SUM(Q21:Q26)</f>
        <v>217.46678000000003</v>
      </c>
      <c r="R27" s="715">
        <f>SUM(R21:R26)</f>
        <v>211.57866199999998</v>
      </c>
      <c r="S27" s="290"/>
      <c r="T27" s="715">
        <f>SUM(T21:T26)</f>
        <v>215.857911</v>
      </c>
      <c r="U27" s="715">
        <f>SUM(U21:U26)</f>
        <v>219.91210799999999</v>
      </c>
      <c r="V27" s="715">
        <f>SUM(V21:V26)</f>
        <v>217.61268899999999</v>
      </c>
      <c r="W27" s="290"/>
      <c r="X27" s="715">
        <f>SUM(X21:X26)</f>
        <v>219.83717799999999</v>
      </c>
      <c r="Y27" s="715">
        <f>SUM(Y21:Y26)</f>
        <v>229.434506</v>
      </c>
      <c r="Z27" s="715">
        <f>SUM(Z21:Z26)</f>
        <v>224.86769700000002</v>
      </c>
      <c r="AA27" s="581"/>
      <c r="AB27" s="715">
        <f>SUM(AB21:AB26)</f>
        <v>219.83717799999999</v>
      </c>
      <c r="AC27" s="715">
        <f>SUM(AC21:AC26)</f>
        <v>229.434506</v>
      </c>
      <c r="AD27" s="715">
        <f>SUM(AD21:AD26)</f>
        <v>224.86769700000002</v>
      </c>
      <c r="AE27" s="791"/>
      <c r="AF27" s="715">
        <f>SUM(AF21:AF26)</f>
        <v>236.90956599999998</v>
      </c>
      <c r="AG27" s="715">
        <f>SUM(AG21:AG26)</f>
        <v>242.064367</v>
      </c>
      <c r="AH27" s="715">
        <f>SUM(AH21:AH26)</f>
        <v>239.63136</v>
      </c>
      <c r="AI27" s="581"/>
      <c r="AJ27" s="715">
        <f>SUM(AJ21:AJ26)</f>
        <v>252.115352</v>
      </c>
      <c r="AK27" s="715">
        <f>SUM(AK21:AK26)</f>
        <v>262.51635699999997</v>
      </c>
      <c r="AL27" s="715">
        <f>SUM(AL21:AL26)</f>
        <v>256.75506899999999</v>
      </c>
      <c r="AM27" s="581"/>
      <c r="AN27" s="715">
        <f>SUM(AN21:AN26)</f>
        <v>273.55539900000002</v>
      </c>
      <c r="AO27" s="715">
        <f>SUM(AO21:AO26)</f>
        <v>278.17181900000003</v>
      </c>
      <c r="AP27" s="715">
        <f>SUM(AP21:AP26)</f>
        <v>275.87775900000003</v>
      </c>
      <c r="AQ27" s="581"/>
      <c r="AR27" s="715">
        <f>SUM(AR21:AR26)</f>
        <v>280.70571999999999</v>
      </c>
      <c r="AS27" s="715">
        <f>SUM(AS21:AS26)</f>
        <v>283.948486</v>
      </c>
      <c r="AT27" s="715">
        <f>SUM(AT21:AT26)</f>
        <v>282.32710300000002</v>
      </c>
      <c r="AU27" s="581"/>
      <c r="AV27" s="715">
        <f>SUM(AV21:AV26)</f>
        <v>330.90987200000001</v>
      </c>
      <c r="AW27" s="715">
        <f>SUM(AW21:AW26)</f>
        <v>350.77671199999997</v>
      </c>
      <c r="AX27" s="715">
        <f>SUM(AX21:AX26)</f>
        <v>340.84329199999996</v>
      </c>
      <c r="AY27" s="581"/>
      <c r="AZ27" s="715">
        <f>SUM(AZ21:AZ26)</f>
        <v>357.71624000000003</v>
      </c>
      <c r="BA27" s="715">
        <f>SUM(BA21:BA26)</f>
        <v>360.78122400000001</v>
      </c>
      <c r="BB27" s="715">
        <f>SUM(BB21:BB26)</f>
        <v>359.24873199999996</v>
      </c>
      <c r="BC27" s="581"/>
      <c r="BD27" s="715">
        <f>SUM(BD21:BD26)</f>
        <v>332.94803700000006</v>
      </c>
      <c r="BE27" s="715">
        <f>SUM(BE21:BE26)</f>
        <v>338.42241099999995</v>
      </c>
      <c r="BF27" s="715">
        <f>SUM(BF21:BF26)</f>
        <v>339.53399899999999</v>
      </c>
      <c r="BG27" s="581"/>
      <c r="BH27" s="715">
        <f>SUM(BH21:BH26)</f>
        <v>341.95228200000003</v>
      </c>
      <c r="BI27" s="715">
        <f>SUM(BI21:BI26)</f>
        <v>354.31471899999997</v>
      </c>
      <c r="BJ27" s="715">
        <f>SUM(BJ21:BJ26)</f>
        <v>356.55408900000003</v>
      </c>
      <c r="BK27" s="1056">
        <f>+BJ27/BF27-1</f>
        <v>5.0127792946002003E-2</v>
      </c>
      <c r="BL27" s="715">
        <f>SUM(BL21:BL26)</f>
        <v>352.61687599999999</v>
      </c>
      <c r="BM27" s="718">
        <f>SUM(BM21:BM26)</f>
        <v>342.22746699999999</v>
      </c>
      <c r="BN27" s="715">
        <f>SUM(BN21:BN26)</f>
        <v>345.978703</v>
      </c>
      <c r="BO27" s="1056">
        <f>+BN27/BJ27-1</f>
        <v>-2.9659976778446229E-2</v>
      </c>
      <c r="BP27" s="715">
        <f>SUM(BP21:BP26)</f>
        <v>330.89344</v>
      </c>
      <c r="BQ27" s="1060">
        <f>SUM(BQ21:BQ26)</f>
        <v>337.78885700000001</v>
      </c>
      <c r="BR27" s="715">
        <f>SUM(BR21:BR26)</f>
        <v>332.34547900000001</v>
      </c>
      <c r="BS27" s="1056">
        <f>+BR27/BN27-1</f>
        <v>-3.9404806948478477E-2</v>
      </c>
      <c r="BT27" s="801">
        <f>SUM(BT21:BT26)</f>
        <v>347.10364600000003</v>
      </c>
      <c r="BU27" s="801">
        <f>SUM(BU21:BU26)</f>
        <v>361.13395800000001</v>
      </c>
      <c r="BV27" s="801">
        <f>SUM(BV21:BV26)</f>
        <v>354.11880200000002</v>
      </c>
      <c r="BW27" s="1056">
        <f>+BV27/BR27-1</f>
        <v>6.5514124234558935E-2</v>
      </c>
      <c r="BX27" s="715">
        <f>SUM(BX21:BX26)</f>
        <v>356.96730300000002</v>
      </c>
      <c r="BY27" s="801">
        <f>SUM(BY21:BY26)</f>
        <v>354.234871</v>
      </c>
      <c r="BZ27" s="718">
        <f>SUM(BZ21:BZ26)</f>
        <v>355.60108700000001</v>
      </c>
      <c r="CA27" s="1056">
        <f>+BZ27/BV27-1</f>
        <v>4.1858409992021617E-3</v>
      </c>
      <c r="CB27" s="718">
        <f>SUM(CB24:CB26,CB21)</f>
        <v>354.26104800000002</v>
      </c>
      <c r="CC27" s="718">
        <f>SUM(CC24:CC26,CC21)</f>
        <v>347.85244999999998</v>
      </c>
      <c r="CD27" s="718">
        <f>SUM(CD24:CD26,CD21)</f>
        <v>351.05674900000002</v>
      </c>
      <c r="CE27" s="1056">
        <f>+CD27/BZ27-1</f>
        <v>-1.2779314141972753E-2</v>
      </c>
      <c r="CF27" s="718">
        <f>SUM(CF24:CF26,CF21)</f>
        <v>346.40675300000004</v>
      </c>
      <c r="CG27" s="718">
        <f>SUM(CG24:CG26,CG21)</f>
        <v>356.04509899999999</v>
      </c>
      <c r="CH27" s="718">
        <f>SUM(CH24:CH26,CH21)</f>
        <v>351.22592600000002</v>
      </c>
      <c r="CI27" s="1056">
        <f>+CH27/CD27-1</f>
        <v>4.8190784105961448E-4</v>
      </c>
      <c r="CJ27" s="718">
        <f>SUM(CJ24:CJ26,CJ21)</f>
        <v>359.92869200000001</v>
      </c>
      <c r="CK27" s="718">
        <f>SUM(CK24:CK26,CK21)</f>
        <v>381.19120199999998</v>
      </c>
      <c r="CL27" s="718">
        <f>SUM(CL24:CL26,CL21)</f>
        <v>370.55994699999997</v>
      </c>
      <c r="CM27" s="1056">
        <f>+CL27/CH27-1</f>
        <v>5.5047248989244402E-2</v>
      </c>
      <c r="CN27" s="718">
        <f>SUM(CN24:CN26,CN21)</f>
        <v>372.29918800000002</v>
      </c>
      <c r="CO27" s="718">
        <f>SUM(CO24:CO26,CO21)</f>
        <v>378.59780200000006</v>
      </c>
      <c r="CP27" s="718">
        <f>SUM(CP24:CP26,CP21)</f>
        <v>375.44849500000004</v>
      </c>
      <c r="CQ27" s="1056">
        <f>+CP27/CL27-1</f>
        <v>1.3192327016389838E-2</v>
      </c>
      <c r="CR27" s="718">
        <f>SUM(CR24:CR26,CR21)</f>
        <v>381.40612400000003</v>
      </c>
      <c r="CS27" s="718">
        <f>SUM(CS24:CS26,CS21)</f>
        <v>396.24587000000002</v>
      </c>
      <c r="CT27" s="718">
        <f>SUM(CT24:CT26,CT21)</f>
        <v>388.82599700000003</v>
      </c>
      <c r="CU27" s="1056">
        <f>+CT27/CP27-1</f>
        <v>3.563072479488838E-2</v>
      </c>
      <c r="CV27" s="718">
        <f>SUM(CV24:CV26,CV21)</f>
        <v>405.55321500000002</v>
      </c>
      <c r="CW27" s="718">
        <f>SUM(CW24:CW26,CW21)</f>
        <v>407.63020500000005</v>
      </c>
      <c r="CX27" s="718">
        <f>SUM(CX24:CX26,CX21)</f>
        <v>406.59171000000003</v>
      </c>
      <c r="CY27" s="1056">
        <f>+CX27/CT27-1</f>
        <v>4.5690651183490694E-2</v>
      </c>
      <c r="CZ27" s="718">
        <f>SUM(CZ24:CZ26,CZ21)</f>
        <v>380.99517400000002</v>
      </c>
      <c r="DA27" s="718">
        <f>SUM(DA24:DA26,DA21)</f>
        <v>380.24681199999998</v>
      </c>
      <c r="DB27" s="718">
        <f>SUM(DB24:DB26,DB21)</f>
        <v>380.620993</v>
      </c>
      <c r="DC27" s="1056">
        <f>+DB27/CX27-1</f>
        <v>-6.3874192122608808E-2</v>
      </c>
      <c r="DD27" s="718">
        <f>SUM(DD24:DD26,DD21)</f>
        <v>376.37583599999999</v>
      </c>
      <c r="DE27" s="718">
        <f>SUM(DE24:DE26,DE21)</f>
        <v>376.26784400000003</v>
      </c>
      <c r="DF27" s="718">
        <f>SUM(DF24:DF26,DF21)</f>
        <v>376.32184000000001</v>
      </c>
      <c r="DG27" s="1056">
        <f>+DF27/DB27-1</f>
        <v>-1.129510215953855E-2</v>
      </c>
      <c r="DH27" s="718">
        <f>SUM(DH24:DH26,DH21)</f>
        <v>376.13996299999997</v>
      </c>
      <c r="DI27" s="718">
        <f>SUM(DI24:DI26,DI21)</f>
        <v>376.59823925124994</v>
      </c>
      <c r="DJ27" s="718">
        <f>SUM(DJ24:DJ26,DJ21)</f>
        <v>376.36910112562498</v>
      </c>
      <c r="DK27" s="1056">
        <f>+DJ27/DF27-1</f>
        <v>1.2558698592934903E-4</v>
      </c>
      <c r="DL27" s="718">
        <f>SUM(DL24:DL26,DL21)</f>
        <v>377.5159374443781</v>
      </c>
      <c r="DM27" s="718">
        <f>SUM(DM24:DM26,DM21)</f>
        <v>378.435929882989</v>
      </c>
      <c r="DN27" s="718">
        <f>SUM(DN24:DN26,DN21)</f>
        <v>377.97593366368358</v>
      </c>
      <c r="DO27" s="1056">
        <f>+DN27/DJ27-1</f>
        <v>4.2692998262954251E-3</v>
      </c>
      <c r="DP27" s="718">
        <f>SUM(DP24:DP26,DP21)</f>
        <v>379.35822230269645</v>
      </c>
      <c r="DQ27" s="718">
        <f>SUM(DQ24:DQ26,DQ21)</f>
        <v>380.28282045345321</v>
      </c>
      <c r="DR27" s="718">
        <f>SUM(DR24:DR26,DR21)</f>
        <v>379.82052137807483</v>
      </c>
      <c r="DS27" s="1056">
        <f>+DR27/DN27-1</f>
        <v>4.8801723869342784E-3</v>
      </c>
      <c r="JJ27"/>
    </row>
    <row r="28" spans="1:270" s="1061" customFormat="1">
      <c r="A28" s="1965" t="s">
        <v>580</v>
      </c>
      <c r="B28" s="770"/>
      <c r="C28" s="770"/>
      <c r="D28" s="770"/>
      <c r="E28" s="770"/>
      <c r="F28" s="770"/>
      <c r="G28" s="770"/>
      <c r="H28" s="770"/>
      <c r="I28" s="770"/>
      <c r="J28" s="770"/>
      <c r="K28" s="770"/>
      <c r="L28" s="770"/>
      <c r="M28" s="770"/>
      <c r="N28" s="770"/>
      <c r="O28" s="770"/>
      <c r="P28" s="770"/>
      <c r="Q28" s="770"/>
      <c r="R28" s="770"/>
      <c r="S28" s="770"/>
      <c r="T28" s="770"/>
      <c r="U28" s="770"/>
      <c r="V28" s="770"/>
      <c r="W28" s="770"/>
      <c r="X28" s="770"/>
      <c r="Y28" s="770"/>
      <c r="Z28" s="770"/>
      <c r="AA28" s="770"/>
      <c r="AB28" s="770"/>
      <c r="AC28" s="770"/>
      <c r="AD28" s="770"/>
      <c r="AE28" s="770"/>
      <c r="AF28" s="770"/>
      <c r="AG28" s="770"/>
      <c r="AH28" s="770"/>
      <c r="AI28" s="770"/>
      <c r="AJ28" s="770"/>
      <c r="AK28" s="770"/>
      <c r="AL28" s="770"/>
      <c r="AM28" s="770"/>
      <c r="AN28" s="770"/>
      <c r="AO28" s="770"/>
      <c r="AP28" s="770"/>
      <c r="AQ28" s="770"/>
      <c r="AR28" s="770"/>
      <c r="AS28" s="770"/>
      <c r="AT28" s="770"/>
      <c r="AU28" s="770"/>
      <c r="AV28" s="770"/>
      <c r="AW28" s="770"/>
      <c r="AX28" s="770"/>
      <c r="AY28" s="770"/>
      <c r="AZ28" s="770"/>
      <c r="BA28" s="770"/>
      <c r="BB28" s="770"/>
      <c r="BC28" s="770"/>
      <c r="BD28" s="770"/>
      <c r="BE28" s="770"/>
      <c r="BF28" s="770"/>
      <c r="BG28" s="770"/>
      <c r="BH28" s="770">
        <v>341.95228200000003</v>
      </c>
      <c r="BI28" s="770">
        <v>353.91471899999999</v>
      </c>
      <c r="BJ28" s="770">
        <v>356.35408899999999</v>
      </c>
      <c r="BK28" s="770"/>
      <c r="BL28" s="770">
        <v>352.61687599999999</v>
      </c>
      <c r="BM28" s="770"/>
      <c r="BN28" s="770">
        <v>345.89343300000002</v>
      </c>
      <c r="BO28" s="770"/>
      <c r="BP28" s="770">
        <f>330.89344</f>
        <v>330.89344</v>
      </c>
      <c r="BQ28" s="770"/>
      <c r="BR28" s="770">
        <v>332.29247900000001</v>
      </c>
      <c r="BS28" s="770"/>
      <c r="BT28" s="770">
        <v>347.10364600000003</v>
      </c>
      <c r="BU28" s="770"/>
      <c r="BV28" s="770">
        <v>354.11880200000002</v>
      </c>
      <c r="BW28" s="770"/>
      <c r="BX28" s="770"/>
      <c r="BY28" s="770"/>
      <c r="BZ28" s="770">
        <v>355.601</v>
      </c>
      <c r="CA28" s="770"/>
      <c r="CB28" s="770"/>
      <c r="CC28" s="770"/>
      <c r="CD28" s="1966">
        <v>351.05674900000002</v>
      </c>
      <c r="CE28" s="770"/>
      <c r="CF28" s="770"/>
      <c r="CG28" s="770"/>
      <c r="CH28" s="1966"/>
      <c r="CI28" s="770"/>
      <c r="CJ28" s="1058">
        <v>359.92869200000001</v>
      </c>
      <c r="CK28" s="770"/>
      <c r="CL28" s="1966"/>
      <c r="CM28" s="770"/>
      <c r="CN28" s="1058"/>
      <c r="CO28" s="770"/>
      <c r="CP28" s="1966"/>
      <c r="CQ28" s="770"/>
      <c r="CR28" s="770"/>
      <c r="CS28" s="770"/>
      <c r="CT28" s="770"/>
      <c r="CU28" s="770"/>
      <c r="CV28" s="770"/>
      <c r="CW28" s="770"/>
      <c r="CX28" s="770"/>
      <c r="CY28" s="770"/>
      <c r="CZ28" s="770"/>
      <c r="DA28" s="770"/>
      <c r="DB28" s="770"/>
      <c r="DC28" s="770"/>
      <c r="DD28" s="770"/>
      <c r="DE28" s="770"/>
      <c r="DF28" s="770"/>
      <c r="DG28" s="770"/>
      <c r="DH28" s="770"/>
      <c r="DI28" s="770"/>
      <c r="DJ28" s="770"/>
      <c r="DK28" s="770"/>
      <c r="DL28" s="770"/>
      <c r="DM28" s="770"/>
      <c r="DN28" s="770"/>
      <c r="DO28" s="770"/>
      <c r="DP28" s="770"/>
      <c r="DQ28" s="770"/>
      <c r="DR28" s="770"/>
      <c r="DS28" s="770"/>
      <c r="DT28" s="770"/>
      <c r="DU28" s="770"/>
      <c r="DV28" s="770"/>
      <c r="DW28" s="770"/>
      <c r="JJ28"/>
    </row>
    <row r="29" spans="1:270" s="102" customFormat="1"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293"/>
      <c r="Q29" s="293"/>
      <c r="R29" s="293"/>
      <c r="S29" s="103"/>
      <c r="T29" s="293"/>
      <c r="U29" s="293"/>
      <c r="V29" s="293"/>
      <c r="W29" s="103"/>
      <c r="X29" s="293"/>
      <c r="Y29" s="293"/>
      <c r="Z29" s="293"/>
      <c r="AA29" s="115"/>
      <c r="AB29" s="293"/>
      <c r="AC29" s="293"/>
      <c r="AD29" s="293"/>
      <c r="AE29" s="331"/>
      <c r="AF29" s="293"/>
      <c r="AG29" s="293"/>
      <c r="AH29" s="293"/>
      <c r="AI29" s="115"/>
      <c r="AJ29" s="293"/>
      <c r="AK29" s="293"/>
      <c r="AL29" s="293"/>
      <c r="AM29" s="115"/>
      <c r="AN29" s="293"/>
      <c r="AO29" s="293"/>
      <c r="AP29" s="293"/>
      <c r="AQ29" s="115"/>
      <c r="AR29" s="293"/>
      <c r="AS29" s="293"/>
      <c r="AT29" s="293"/>
      <c r="AU29" s="115"/>
      <c r="AV29" s="293"/>
      <c r="AW29" s="293"/>
      <c r="AX29" s="293"/>
      <c r="AY29" s="115"/>
      <c r="AZ29" s="293"/>
      <c r="BA29" s="293"/>
      <c r="BB29" s="293"/>
      <c r="BC29" s="115"/>
      <c r="BD29" s="293"/>
      <c r="BE29" s="293"/>
      <c r="BF29" s="293"/>
      <c r="BG29" s="115"/>
      <c r="BH29" s="293"/>
      <c r="BI29" s="293"/>
      <c r="BJ29" s="293"/>
      <c r="BK29" s="115"/>
      <c r="BL29" s="293"/>
      <c r="BM29" s="293"/>
      <c r="BN29" s="293"/>
      <c r="BO29" s="115"/>
      <c r="BP29" s="293"/>
      <c r="BQ29" s="293"/>
      <c r="BR29" s="293"/>
      <c r="BS29" s="115"/>
      <c r="BT29" s="293"/>
      <c r="BU29" s="293"/>
      <c r="BV29" s="293"/>
      <c r="BW29" s="115"/>
      <c r="BX29" s="293"/>
      <c r="BY29" s="293"/>
      <c r="BZ29" s="293"/>
      <c r="CA29" s="115"/>
      <c r="CB29" s="293"/>
      <c r="CC29" s="293"/>
      <c r="CD29" s="293"/>
      <c r="CE29" s="115"/>
      <c r="CF29" s="293"/>
      <c r="CG29" s="293"/>
      <c r="CH29" s="293"/>
      <c r="CI29" s="115"/>
      <c r="CJ29" s="293"/>
      <c r="CK29" s="293"/>
      <c r="CL29" s="293"/>
      <c r="CM29" s="115"/>
      <c r="CN29" s="293"/>
      <c r="CO29" s="293"/>
      <c r="CP29" s="293"/>
      <c r="CQ29" s="115"/>
      <c r="CR29" s="293"/>
      <c r="CS29" s="293"/>
      <c r="CT29" s="293"/>
      <c r="CU29" s="115"/>
      <c r="CV29" s="293"/>
      <c r="CW29" s="293"/>
      <c r="CX29" s="293"/>
      <c r="CY29" s="115"/>
      <c r="CZ29" s="293"/>
      <c r="DA29" s="293"/>
      <c r="DB29" s="293"/>
      <c r="DC29" s="115"/>
      <c r="DD29" s="293"/>
      <c r="DE29" s="293"/>
      <c r="DF29" s="293"/>
      <c r="DG29" s="115"/>
      <c r="DH29" s="293"/>
      <c r="DI29" s="293"/>
      <c r="DJ29" s="293"/>
      <c r="DK29" s="115"/>
      <c r="DL29" s="293"/>
      <c r="DM29" s="293"/>
      <c r="DN29" s="293"/>
      <c r="DO29" s="115"/>
      <c r="DP29" s="293"/>
      <c r="DQ29" s="293"/>
      <c r="DR29" s="293"/>
      <c r="DS29" s="115"/>
      <c r="JJ29"/>
    </row>
    <row r="30" spans="1:270" s="102" customFormat="1">
      <c r="A30" s="289" t="s">
        <v>81</v>
      </c>
      <c r="C30" s="290" t="s">
        <v>82</v>
      </c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715">
        <f>+P11/P21*100</f>
        <v>91.317176620203995</v>
      </c>
      <c r="Q30" s="715">
        <f>+Q11/Q21*100</f>
        <v>73.696463222715963</v>
      </c>
      <c r="R30" s="715">
        <f>+R11/R21*100</f>
        <v>164.8397611245145</v>
      </c>
      <c r="S30" s="103"/>
      <c r="T30" s="715">
        <f>+T11/T21*100</f>
        <v>116.1856015437744</v>
      </c>
      <c r="U30" s="715">
        <f>+U11/U21*100</f>
        <v>116.82181035755521</v>
      </c>
      <c r="V30" s="715">
        <f>+V11/V21*100</f>
        <v>233.01855466845245</v>
      </c>
      <c r="W30" s="103"/>
      <c r="X30" s="715">
        <f>+X11/X21*100</f>
        <v>130.63305546839146</v>
      </c>
      <c r="Y30" s="715">
        <f>+Y11/Y21*100</f>
        <v>242.78626271723115</v>
      </c>
      <c r="Z30" s="715">
        <f>+Z11/Z21*100</f>
        <v>374.604952222848</v>
      </c>
      <c r="AA30" s="115"/>
      <c r="AB30" s="715">
        <f>+AB11/AB21*100</f>
        <v>117.75374014052188</v>
      </c>
      <c r="AC30" s="715">
        <f>+AC11/AC21*100</f>
        <v>250.44371441703254</v>
      </c>
      <c r="AD30" s="715">
        <f>+AD11/AD21*100</f>
        <v>369.59808165850853</v>
      </c>
      <c r="AE30" s="331"/>
      <c r="AF30" s="715">
        <f>+AF11/AF21*100</f>
        <v>212.94807251090398</v>
      </c>
      <c r="AG30" s="715">
        <f>+AG11/AG21*100</f>
        <v>187.59582353602616</v>
      </c>
      <c r="AH30" s="715">
        <f>+AH11/AH21*100</f>
        <v>400.27880554969084</v>
      </c>
      <c r="AI30" s="684">
        <f>+AH30/AD30-1</f>
        <v>8.3011047442421271E-2</v>
      </c>
      <c r="AJ30" s="715">
        <f>+AJ11/AJ21*100</f>
        <v>300.90926122448224</v>
      </c>
      <c r="AK30" s="715">
        <f>+AK11/AK21*100</f>
        <v>290.80972090645923</v>
      </c>
      <c r="AL30" s="715">
        <f>+AL11/AL21*100</f>
        <v>591.55688447796547</v>
      </c>
      <c r="AM30" s="684">
        <f>+AL30/AH30-1</f>
        <v>0.47786212079252666</v>
      </c>
      <c r="AN30" s="715">
        <f>+AN11/AN21*100</f>
        <v>401.82137593282835</v>
      </c>
      <c r="AO30" s="715">
        <f>+AO11/AO21*100</f>
        <v>271.25285762421225</v>
      </c>
      <c r="AP30" s="715">
        <f>+AP11/AP21*100</f>
        <v>670.62240651522723</v>
      </c>
      <c r="AQ30" s="684">
        <f>+AP30/AL30-1</f>
        <v>0.13365666787402053</v>
      </c>
      <c r="AR30" s="715">
        <f>+AR11/AR21*100</f>
        <v>216.56315372200874</v>
      </c>
      <c r="AS30" s="715">
        <f>+AS11/AS21*100</f>
        <v>94.065707038386904</v>
      </c>
      <c r="AT30" s="715">
        <f>+AT11/AT21*100</f>
        <v>309.55316977292551</v>
      </c>
      <c r="AU30" s="684">
        <f>+AT30/AP30-1</f>
        <v>-0.5384091453468357</v>
      </c>
      <c r="AV30" s="715">
        <f>+AV11/AV21*100</f>
        <v>150.2132454201377</v>
      </c>
      <c r="AW30" s="715">
        <f>+AW11/AW21*100</f>
        <v>169.46828207592512</v>
      </c>
      <c r="AX30" s="715">
        <f>+AX11/AX21*100</f>
        <v>320.21166515604017</v>
      </c>
      <c r="AY30" s="684"/>
      <c r="AZ30" s="715">
        <f>+AZ11/AZ21*100</f>
        <v>119.32737597966015</v>
      </c>
      <c r="BA30" s="715">
        <f>+BA11/BA21*100</f>
        <v>163.36361307224519</v>
      </c>
      <c r="BB30" s="715">
        <f>+BB11/BB21*100</f>
        <v>282.73697834657889</v>
      </c>
      <c r="BC30" s="1056">
        <f>+BB30/AX30-1</f>
        <v>-0.11703098571127868</v>
      </c>
      <c r="BD30" s="715">
        <f>+BD11/BD21*100</f>
        <v>86.371829593654653</v>
      </c>
      <c r="BE30" s="715">
        <f>+BE11/BE21*100</f>
        <v>124.00243626434685</v>
      </c>
      <c r="BF30" s="715">
        <f>+BF11/BF21*100</f>
        <v>210.2821928786654</v>
      </c>
      <c r="BG30" s="1056">
        <f>+BF30/BB30-1</f>
        <v>-0.25626214827513094</v>
      </c>
      <c r="BH30" s="715">
        <f>+BH11/BH21*100</f>
        <v>105.48210161594645</v>
      </c>
      <c r="BI30" s="715">
        <f>+BI11/BI21*100</f>
        <v>146.1113352977608</v>
      </c>
      <c r="BJ30" s="715">
        <f>+BJ11/BJ21*100</f>
        <v>251.1734372490865</v>
      </c>
      <c r="BK30" s="1056">
        <f>+BJ30/BF30-1</f>
        <v>0.19445890215732953</v>
      </c>
      <c r="BL30" s="715">
        <f>+BL11/BL21*100</f>
        <v>149.72510873390738</v>
      </c>
      <c r="BM30" s="715">
        <f>+BM11/BM21*100</f>
        <v>235.70408446374108</v>
      </c>
      <c r="BN30" s="715">
        <f>+BN11/BN21*100</f>
        <v>384.26457391798874</v>
      </c>
      <c r="BO30" s="1056">
        <f>+BN30/BJ30-1</f>
        <v>0.52987743499690576</v>
      </c>
      <c r="BP30" s="715">
        <f>+BP11/BP21*100</f>
        <v>213.29975864218164</v>
      </c>
      <c r="BQ30" s="715">
        <f>+BQ11/BQ21*100</f>
        <v>288.21332744554064</v>
      </c>
      <c r="BR30" s="715">
        <f>+BR11/BR21*100</f>
        <v>502.32875126169222</v>
      </c>
      <c r="BS30" s="1056">
        <f>+BR30/BN30-1</f>
        <v>0.30724710357739404</v>
      </c>
      <c r="BT30" s="715">
        <f>+BT11/BT21*100</f>
        <v>324.52880357488823</v>
      </c>
      <c r="BU30" s="715">
        <f>+BU11/BU21*100</f>
        <v>295.25521037166095</v>
      </c>
      <c r="BV30" s="715">
        <f>+BV11/BV21*100</f>
        <v>619.36840792970816</v>
      </c>
      <c r="BW30" s="1056">
        <f>+BV30/BR30-1</f>
        <v>0.23299414252926809</v>
      </c>
      <c r="BX30" s="715">
        <f>+BX11/BX21*100</f>
        <v>311.79944897468209</v>
      </c>
      <c r="BY30" s="715">
        <f>+BY11/BY21*100</f>
        <v>345.98412396397407</v>
      </c>
      <c r="BZ30" s="715">
        <f>+BZ11/BZ21*100</f>
        <v>657.79501210597653</v>
      </c>
      <c r="CA30" s="1056">
        <f>+BZ30/BV30-1</f>
        <v>6.2041595412837713E-2</v>
      </c>
      <c r="CB30" s="715">
        <f>+CB11/CB21*100</f>
        <v>370.35398837780133</v>
      </c>
      <c r="CC30" s="1062">
        <f>+CC11/CC21*100-0.45</f>
        <v>387.52551650191225</v>
      </c>
      <c r="CD30" s="1062">
        <f>+CD11/CD21*100-0.1</f>
        <v>758.24870762028979</v>
      </c>
      <c r="CE30" s="1056">
        <f>+CD30/BZ30-1</f>
        <v>0.15271276562694469</v>
      </c>
      <c r="CF30" s="715">
        <f>+CF11/CF21*100</f>
        <v>388.30189778737486</v>
      </c>
      <c r="CG30" s="1062">
        <f>+CG11/CG21*100+0.4</f>
        <v>495.47515105667986</v>
      </c>
      <c r="CH30" s="1062">
        <f>+CH11/CH21*100-0.2</f>
        <v>883.27179028145281</v>
      </c>
      <c r="CI30" s="1056">
        <f>+CH30/CD30-1</f>
        <v>0.16488400363192057</v>
      </c>
      <c r="CJ30" s="715">
        <f>+CJ11/CJ21*100</f>
        <v>430.09514828931719</v>
      </c>
      <c r="CK30" s="1062">
        <f>+CK11/CK21*100+0.4</f>
        <v>362.86575990516155</v>
      </c>
      <c r="CL30" s="1062">
        <f>+CL11/CL21*100-0.2</f>
        <v>790.98187737275373</v>
      </c>
      <c r="CM30" s="1056">
        <f>+CL30/CH30-1</f>
        <v>-0.10448642640255845</v>
      </c>
      <c r="CN30" s="715">
        <f>+CN11/CN21*100</f>
        <v>276.69315962538707</v>
      </c>
      <c r="CO30" s="1062">
        <f>+CO11/CO21*100+0.1</f>
        <v>565.20355990635358</v>
      </c>
      <c r="CP30" s="1062">
        <f>+CP11/CP21*100-0.2</f>
        <v>842.86053106624513</v>
      </c>
      <c r="CQ30" s="1056">
        <f>+CP30/CL30-1</f>
        <v>6.5587664114134192E-2</v>
      </c>
      <c r="CR30" s="715">
        <f>+CR11/CR21*100</f>
        <v>562.46243437665748</v>
      </c>
      <c r="CS30" s="1062">
        <f>+CS11/CS21*100-0.2</f>
        <v>706.43012026674978</v>
      </c>
      <c r="CT30" s="1062">
        <f>+CT11/CT21*100</f>
        <v>1271.8384371623931</v>
      </c>
      <c r="CU30" s="1056">
        <f>+CT30/CP30-1</f>
        <v>0.50895479178919123</v>
      </c>
      <c r="CV30" s="715">
        <f>+CV11/CV21*100</f>
        <v>624.36420251639527</v>
      </c>
      <c r="CW30" s="1062">
        <f>+CW11/CW21*100</f>
        <v>729.34530091144109</v>
      </c>
      <c r="CX30" s="1062">
        <f>+CX11/CX21*100-0.1</f>
        <v>1353.7050149847794</v>
      </c>
      <c r="CY30" s="1056">
        <f>+CX30/CT30-1</f>
        <v>6.4368692933230776E-2</v>
      </c>
      <c r="CZ30" s="715">
        <f>+CZ11/CZ21*100</f>
        <v>369.17354352989253</v>
      </c>
      <c r="DA30" s="1062">
        <f>+DA11/DA21*100</f>
        <v>547.99094745419222</v>
      </c>
      <c r="DB30" s="1062">
        <f>+DB11/DB21*100-0.1</f>
        <v>916.5941328228763</v>
      </c>
      <c r="DC30" s="1056">
        <f>+DB30/CX30-1</f>
        <v>-0.32289965489033656</v>
      </c>
      <c r="DD30" s="715">
        <f>+DD11/DD21*100</f>
        <v>424.64779916351432</v>
      </c>
      <c r="DE30" s="1062">
        <f ca="1">+DE11/DE21*100</f>
        <v>554.96188491494149</v>
      </c>
      <c r="DF30" s="1062">
        <f ca="1">+DF11/DF21*100-0.1</f>
        <v>979.39089045646426</v>
      </c>
      <c r="DG30" s="1056">
        <f ca="1">+DF30/DB30-1</f>
        <v>6.8510974906843325E-2</v>
      </c>
      <c r="DH30" s="715">
        <f>+DH11/DH21*100</f>
        <v>436.69075029338001</v>
      </c>
      <c r="DI30" s="715">
        <f>+DI11/DI21*100</f>
        <v>663.49209805271278</v>
      </c>
      <c r="DJ30" s="715">
        <f>+DJ11/DJ21*100</f>
        <v>1100.3245106495026</v>
      </c>
      <c r="DK30" s="1056">
        <f ca="1">+DJ30/DF30-1</f>
        <v>0.12347840006626454</v>
      </c>
      <c r="DL30" s="715">
        <f>+DL11/DL21*100</f>
        <v>503.62548131806875</v>
      </c>
      <c r="DM30" s="715">
        <f>+DM11/DM21*100</f>
        <v>696.68347016624</v>
      </c>
      <c r="DN30" s="715">
        <f>+DN11/DN21*100</f>
        <v>1200.5499726938569</v>
      </c>
      <c r="DO30" s="1056">
        <f>+DN30/DJ30-1</f>
        <v>9.1087184802593368E-2</v>
      </c>
      <c r="DP30" s="715">
        <f>+DP11/DP21*100</f>
        <v>545.42239732285771</v>
      </c>
      <c r="DQ30" s="715">
        <f>+DQ11/DQ21*100</f>
        <v>740.35259687315443</v>
      </c>
      <c r="DR30" s="715">
        <f>+DR11/DR21*100</f>
        <v>1286.0183527472609</v>
      </c>
      <c r="DS30" s="1056">
        <f>+DR30/DN30-1</f>
        <v>7.1191022445842522E-2</v>
      </c>
      <c r="JJ30"/>
    </row>
    <row r="31" spans="1:270" s="302" customFormat="1">
      <c r="A31" s="289"/>
      <c r="B31" s="102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63">
        <v>91.3</v>
      </c>
      <c r="Q31" s="1063">
        <v>73.7</v>
      </c>
      <c r="R31" s="1063">
        <v>164.8</v>
      </c>
      <c r="S31" s="1063"/>
      <c r="T31" s="1063">
        <v>116.2</v>
      </c>
      <c r="U31" s="1063">
        <v>116.8</v>
      </c>
      <c r="V31" s="1063">
        <v>233</v>
      </c>
      <c r="W31" s="1063"/>
      <c r="X31" s="1063"/>
      <c r="Y31" s="1063"/>
      <c r="Z31" s="1063"/>
      <c r="AA31" s="115"/>
      <c r="AB31" s="1063">
        <v>117.8</v>
      </c>
      <c r="AC31" s="1063">
        <v>250.4</v>
      </c>
      <c r="AD31" s="715"/>
      <c r="AE31" s="331"/>
      <c r="AF31" s="1063">
        <v>212.9</v>
      </c>
      <c r="AG31" s="1063">
        <v>187.6</v>
      </c>
      <c r="AH31" s="715"/>
      <c r="AI31" s="684"/>
      <c r="AJ31" s="1063">
        <v>300.89999999999998</v>
      </c>
      <c r="AK31" s="1063">
        <v>290.8</v>
      </c>
      <c r="AL31" s="1063">
        <v>591.6</v>
      </c>
      <c r="AM31" s="684"/>
      <c r="AN31" s="1063">
        <v>401.8</v>
      </c>
      <c r="AO31" s="1063">
        <v>271.3</v>
      </c>
      <c r="AP31" s="1063">
        <v>670.6</v>
      </c>
      <c r="AQ31" s="684"/>
      <c r="AR31" s="1063">
        <v>216.6</v>
      </c>
      <c r="AS31" s="1063"/>
      <c r="AT31" s="1063">
        <v>309.60000000000002</v>
      </c>
      <c r="AU31" s="684"/>
      <c r="AV31" s="1063">
        <v>150.19999999999999</v>
      </c>
      <c r="AW31" s="1063"/>
      <c r="AX31" s="1063">
        <v>320.2</v>
      </c>
      <c r="AY31" s="684"/>
      <c r="AZ31" s="1063">
        <v>119.2</v>
      </c>
      <c r="BA31" s="1063"/>
      <c r="BB31" s="1063">
        <v>282.5</v>
      </c>
      <c r="BC31" s="684"/>
      <c r="BD31" s="1063">
        <v>86.6</v>
      </c>
      <c r="BE31" s="1063">
        <v>123.6</v>
      </c>
      <c r="BF31" s="1063">
        <v>210.1</v>
      </c>
      <c r="BG31" s="1063"/>
      <c r="BH31" s="1063">
        <v>105.5</v>
      </c>
      <c r="BI31" s="1063">
        <v>146.1</v>
      </c>
      <c r="BJ31" s="1063">
        <v>251.2</v>
      </c>
      <c r="BK31" s="1063"/>
      <c r="BL31" s="1063">
        <v>149.69999999999999</v>
      </c>
      <c r="BM31" s="1063">
        <v>235</v>
      </c>
      <c r="BN31" s="1063">
        <v>383.6</v>
      </c>
      <c r="BO31" s="1063"/>
      <c r="BP31" s="1063">
        <v>213.3</v>
      </c>
      <c r="BQ31" s="1063">
        <v>288.10000000000002</v>
      </c>
      <c r="BR31" s="1063">
        <v>502.3</v>
      </c>
      <c r="BS31" s="1063"/>
      <c r="BT31" s="1063">
        <v>324.5</v>
      </c>
      <c r="BU31" s="1063">
        <v>295.39999999999998</v>
      </c>
      <c r="BV31" s="1063">
        <v>619.20000000000005</v>
      </c>
      <c r="BW31" s="1063"/>
      <c r="BX31" s="1738">
        <v>311.8</v>
      </c>
      <c r="BY31" s="1063">
        <v>345.8</v>
      </c>
      <c r="BZ31" s="1063">
        <v>657.6</v>
      </c>
      <c r="CA31" s="1063"/>
      <c r="CB31" s="1738">
        <v>370.4</v>
      </c>
      <c r="CC31" s="1063">
        <v>387.5</v>
      </c>
      <c r="CD31" s="1063">
        <v>758.2</v>
      </c>
      <c r="CE31" s="1063"/>
      <c r="CF31" s="1738">
        <v>388.3</v>
      </c>
      <c r="CG31" s="1738">
        <v>494.5</v>
      </c>
      <c r="CH31" s="1738">
        <v>883.3</v>
      </c>
      <c r="CI31" s="1063"/>
      <c r="CJ31" s="1738">
        <v>430.1</v>
      </c>
      <c r="CK31" s="1738">
        <v>362.1</v>
      </c>
      <c r="CL31" s="1738">
        <v>791</v>
      </c>
      <c r="CM31" s="1063"/>
      <c r="CN31" s="1738">
        <v>276.7</v>
      </c>
      <c r="CO31" s="1738">
        <v>565.20000000000005</v>
      </c>
      <c r="CP31" s="1738">
        <v>842.9</v>
      </c>
      <c r="CQ31" s="1063"/>
      <c r="CR31" s="1738">
        <v>562.5</v>
      </c>
      <c r="CS31" s="1738">
        <v>706.4</v>
      </c>
      <c r="CT31" s="1738">
        <v>1271.7</v>
      </c>
      <c r="CU31" s="1063"/>
      <c r="CV31" s="1738">
        <v>603.29999999999995</v>
      </c>
      <c r="CW31" s="1738">
        <v>746</v>
      </c>
      <c r="CX31" s="1738">
        <v>1353.7</v>
      </c>
      <c r="CY31" s="1063"/>
      <c r="CZ31" s="1738">
        <v>369.2</v>
      </c>
      <c r="DA31" s="1880">
        <v>547.4</v>
      </c>
      <c r="DB31" s="1880">
        <v>916.6</v>
      </c>
      <c r="DC31" s="1063"/>
      <c r="DD31" s="1738">
        <v>424.6</v>
      </c>
      <c r="DE31" s="2196">
        <v>554.79999999999995</v>
      </c>
      <c r="DF31" s="2181">
        <v>979.4</v>
      </c>
      <c r="DG31" s="1063"/>
      <c r="DH31" s="2261">
        <v>436.7</v>
      </c>
      <c r="DI31" s="721"/>
      <c r="DJ31" s="721"/>
      <c r="DK31" s="1059"/>
      <c r="DL31" s="721"/>
      <c r="DM31" s="721"/>
      <c r="DN31" s="721"/>
      <c r="DO31" s="1059"/>
      <c r="DP31" s="721"/>
      <c r="DQ31" s="721"/>
      <c r="DR31" s="721"/>
      <c r="DS31" s="1059"/>
      <c r="JJ31"/>
    </row>
    <row r="32" spans="1:270" s="102" customFormat="1">
      <c r="A32" s="289" t="s">
        <v>83</v>
      </c>
      <c r="C32" s="290" t="s">
        <v>82</v>
      </c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715">
        <f>+P13/P27*100</f>
        <v>89.413579336803778</v>
      </c>
      <c r="Q32" s="715">
        <f>+Q13/Q27*100</f>
        <v>71.735094436032938</v>
      </c>
      <c r="R32" s="715">
        <f>+R13/R27*100</f>
        <v>163.05992142062041</v>
      </c>
      <c r="S32" s="103"/>
      <c r="T32" s="715">
        <f>+T13/T27*100</f>
        <v>114.42712423914823</v>
      </c>
      <c r="U32" s="715">
        <f>+U13/U27*100</f>
        <v>114.59123478548985</v>
      </c>
      <c r="V32" s="715">
        <f>+V13/V27*100</f>
        <v>229.30648129622625</v>
      </c>
      <c r="W32" s="103"/>
      <c r="X32" s="715">
        <f>+X13/X27*100</f>
        <v>129.18652003438655</v>
      </c>
      <c r="Y32" s="715">
        <f>+Y13/Y27*100</f>
        <v>234.92543009201938</v>
      </c>
      <c r="Z32" s="715">
        <f>+Z13/Z27*100</f>
        <v>365.9929865337661</v>
      </c>
      <c r="AA32" s="115"/>
      <c r="AB32" s="715">
        <f>+AB13/AB27*100</f>
        <v>116.44982087606675</v>
      </c>
      <c r="AC32" s="715">
        <f>+AC13/AC27*100</f>
        <v>242.33495200586788</v>
      </c>
      <c r="AD32" s="715">
        <f>+AD13/AD27*100</f>
        <v>361.10122122165012</v>
      </c>
      <c r="AE32" s="331"/>
      <c r="AF32" s="715">
        <f>+AF13/AF27*100</f>
        <v>203.45316068832781</v>
      </c>
      <c r="AG32" s="715">
        <f>+AG13/AG27*100</f>
        <v>179.29115523227753</v>
      </c>
      <c r="AH32" s="715">
        <f>+AH13/AH27*100</f>
        <v>382.25380851654808</v>
      </c>
      <c r="AI32" s="684">
        <f>+AH32/AD32-1</f>
        <v>5.857799988417689E-2</v>
      </c>
      <c r="AJ32" s="715">
        <f>+AJ13/AJ27*100</f>
        <v>289.54999931935919</v>
      </c>
      <c r="AK32" s="715">
        <f>+AK13/AK27*100</f>
        <v>279.22069633169565</v>
      </c>
      <c r="AL32" s="715">
        <f>+AL13/AL27*100</f>
        <v>569.80374552994715</v>
      </c>
      <c r="AM32" s="684">
        <f>+AL32/AH32-1</f>
        <v>0.49064242876020914</v>
      </c>
      <c r="AN32" s="715">
        <f>+AN13/AN27*100</f>
        <v>387.49006741409625</v>
      </c>
      <c r="AO32" s="715">
        <f>+AO13/AO27*100</f>
        <v>267.10110415606113</v>
      </c>
      <c r="AP32" s="715">
        <f>+AP13/AP27*100</f>
        <v>653.55032842643902</v>
      </c>
      <c r="AQ32" s="684">
        <f>+AP32/AL32-1</f>
        <v>0.14697443383529052</v>
      </c>
      <c r="AR32" s="715">
        <f>+AR13/AR27*100</f>
        <v>215.17196015813286</v>
      </c>
      <c r="AS32" s="715">
        <f>+AS13/AS27*100</f>
        <v>94.03114056399653</v>
      </c>
      <c r="AT32" s="715">
        <f>+AT13/AT27*100</f>
        <v>308.50739824295221</v>
      </c>
      <c r="AU32" s="684">
        <f>+AT32/AP32-1</f>
        <v>-0.52795158257245589</v>
      </c>
      <c r="AV32" s="715">
        <f>+AV13/AV27*100</f>
        <v>149.58755899552008</v>
      </c>
      <c r="AW32" s="715">
        <f>+AW13/AW27*100</f>
        <v>167.34292212648373</v>
      </c>
      <c r="AX32" s="715">
        <f>+AX13/AX27*100</f>
        <v>317.44793733537819</v>
      </c>
      <c r="AY32" s="684"/>
      <c r="AZ32" s="715">
        <f>+AZ13/AZ27*100</f>
        <v>117.22523416884849</v>
      </c>
      <c r="BA32" s="715">
        <f>+BA13/BA27*100</f>
        <v>158.63723828377493</v>
      </c>
      <c r="BB32" s="715">
        <f>+BB13/BB27*100</f>
        <v>276.039128789465</v>
      </c>
      <c r="BC32" s="684"/>
      <c r="BD32" s="715">
        <f>+BD13/BD27*100</f>
        <v>85.097230953189268</v>
      </c>
      <c r="BE32" s="715">
        <f>+BE13/BE27*100</f>
        <v>119.47323429475843</v>
      </c>
      <c r="BF32" s="715">
        <f>+BF13/BF27*100</f>
        <v>202.52868991773644</v>
      </c>
      <c r="BG32" s="684"/>
      <c r="BH32" s="715">
        <f>+BH13/BH27*100</f>
        <v>99.721516114929727</v>
      </c>
      <c r="BI32" s="715">
        <f>+BI13/BI27*100</f>
        <v>151.41623286612602</v>
      </c>
      <c r="BJ32" s="715">
        <f>+BJ13/BJ27*100</f>
        <v>246.10291315436291</v>
      </c>
      <c r="BK32" s="684"/>
      <c r="BL32" s="715">
        <f>+BL13/BL27*100</f>
        <v>144.6328961294524</v>
      </c>
      <c r="BM32" s="715">
        <f>+BM13/BM27*100</f>
        <v>225.43193471960566</v>
      </c>
      <c r="BN32" s="715">
        <f>+BN13/BN27*100</f>
        <v>369.81756070690864</v>
      </c>
      <c r="BO32" s="684"/>
      <c r="BP32" s="715">
        <f>+BP13/BP27*100</f>
        <v>204.89980097520214</v>
      </c>
      <c r="BQ32" s="715">
        <f>+BQ13/BQ27*100</f>
        <v>275.76102073728259</v>
      </c>
      <c r="BR32" s="715">
        <f>+BR13/BR27*100</f>
        <v>484.28220081188471</v>
      </c>
      <c r="BS32" s="684"/>
      <c r="BT32" s="715">
        <f>+BT13/BT27*100</f>
        <v>309.99386275533385</v>
      </c>
      <c r="BU32" s="715">
        <f>+BU13/BU27*100</f>
        <v>290.609613621547</v>
      </c>
      <c r="BV32" s="715">
        <f>+BV13/BV27*100</f>
        <v>600.21947097855582</v>
      </c>
      <c r="BW32" s="684"/>
      <c r="BX32" s="715">
        <f>+BX13/BX27*100</f>
        <v>304.7898199236472</v>
      </c>
      <c r="BY32" s="1062">
        <f>+BY13/BY27*100-2.8</f>
        <v>337.22581298666103</v>
      </c>
      <c r="BZ32" s="715">
        <f>+BZ13/BZ27*100</f>
        <v>644.68025655950817</v>
      </c>
      <c r="CA32" s="684"/>
      <c r="CB32" s="715">
        <f>+CB13/CB27*100</f>
        <v>360.18636742699408</v>
      </c>
      <c r="CC32" s="1062">
        <f>+CC13/CC27*100-3.7</f>
        <v>379.93679772846218</v>
      </c>
      <c r="CD32" s="1062">
        <f>+CD13/CD27*100-0.1</f>
        <v>743.50911944752261</v>
      </c>
      <c r="CE32" s="684"/>
      <c r="CF32" s="715">
        <f>+CF13/CF27*100</f>
        <v>383.07567289255468</v>
      </c>
      <c r="CG32" s="1062">
        <f>+CG13/CG27*100+0.1</f>
        <v>483.88421858293862</v>
      </c>
      <c r="CH32" s="1062">
        <f>+CH13/CH27*100-0.1</f>
        <v>868.14171402426587</v>
      </c>
      <c r="CI32" s="684"/>
      <c r="CJ32" s="715">
        <f>+CJ13/CJ27*100</f>
        <v>419.52754352798303</v>
      </c>
      <c r="CK32" s="1062">
        <f>+CK13/CK27*100+0.1</f>
        <v>347.29846445983821</v>
      </c>
      <c r="CL32" s="1062">
        <f>+CL13/CL27*100-0.1</f>
        <v>764.55090815656877</v>
      </c>
      <c r="CM32" s="684"/>
      <c r="CN32" s="715">
        <f>+CN13/CN27*100</f>
        <v>272.89879557835616</v>
      </c>
      <c r="CO32" s="1062">
        <f>+CO13/CO27*100-3.5</f>
        <v>546.02511319651012</v>
      </c>
      <c r="CP32" s="1062">
        <f>+CP13/CP27*100-0.1</f>
        <v>824.64428350019068</v>
      </c>
      <c r="CQ32" s="684"/>
      <c r="CR32" s="715">
        <f>+CR13/CR27*100</f>
        <v>545.35044644432605</v>
      </c>
      <c r="CS32" s="1062">
        <f>+CS13/CS27*100-2.1</f>
        <v>680.68061800366513</v>
      </c>
      <c r="CT32" s="1062">
        <f>+CT13/CT27*100</f>
        <v>1230.7536113641083</v>
      </c>
      <c r="CU32" s="684"/>
      <c r="CV32" s="715">
        <f>+CV13/CV27*100</f>
        <v>604.35965228385624</v>
      </c>
      <c r="CW32" s="1062">
        <f>+CW13/CW27*100-0.1</f>
        <v>711.69465221425367</v>
      </c>
      <c r="CX32" s="1062">
        <f>+CX13/CX27*100-0.1</f>
        <v>1316.3287092818493</v>
      </c>
      <c r="CY32" s="684"/>
      <c r="CZ32" s="715">
        <f>+CZ13/CZ27*100+0.1</f>
        <v>366.24637013748634</v>
      </c>
      <c r="DA32" s="2034">
        <f>+DA13/DA27*100-0.1</f>
        <v>545.46407431497414</v>
      </c>
      <c r="DB32" s="2034">
        <f>+DB13/DB27*100-0.1</f>
        <v>911.43406244200514</v>
      </c>
      <c r="DC32" s="684"/>
      <c r="DD32" s="715">
        <f>+DD13/DD27*100+0.1</f>
        <v>423.08145835270892</v>
      </c>
      <c r="DE32" s="2034">
        <f ca="1">+DE13/DE27*100-0.1</f>
        <v>552.56216158508607</v>
      </c>
      <c r="DF32" s="2034">
        <f ca="1">+DF13/DF27*100-0.1</f>
        <v>975.52501288790461</v>
      </c>
      <c r="DG32" s="684"/>
      <c r="DH32" s="715">
        <f>+DH13/DH27*100+0.1</f>
        <v>435.04447836695306</v>
      </c>
      <c r="DI32" s="715">
        <f>+DI13/DI27*100</f>
        <v>656.015281182134</v>
      </c>
      <c r="DJ32" s="715">
        <f>+DJ13/DJ27*100</f>
        <v>1091.0943501656811</v>
      </c>
      <c r="DK32" s="671"/>
      <c r="DL32" s="715">
        <f>+DL13/DL27*100</f>
        <v>500.19783313013215</v>
      </c>
      <c r="DM32" s="715">
        <f>+DM13/DM27*100</f>
        <v>688.40808394826411</v>
      </c>
      <c r="DN32" s="715">
        <f>+DN13/DN27*100</f>
        <v>1188.8349687086722</v>
      </c>
      <c r="DO32" s="671"/>
      <c r="DP32" s="715">
        <f>+DP13/DP27*100</f>
        <v>540.96261505216989</v>
      </c>
      <c r="DQ32" s="715">
        <f>+DQ13/DQ27*100</f>
        <v>731.02430738585406</v>
      </c>
      <c r="DR32" s="715">
        <f>+DR13/DR27*100</f>
        <v>1272.21825629095</v>
      </c>
      <c r="DS32" s="671"/>
      <c r="JJ32"/>
    </row>
    <row r="33" spans="1:270" s="302" customFormat="1">
      <c r="A33" s="102"/>
      <c r="B33" s="102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63">
        <v>89.4</v>
      </c>
      <c r="Q33" s="1063">
        <v>73.7</v>
      </c>
      <c r="R33" s="1063">
        <v>163.1</v>
      </c>
      <c r="S33" s="1063"/>
      <c r="T33" s="1063">
        <v>114.4</v>
      </c>
      <c r="U33" s="1063">
        <v>114.6</v>
      </c>
      <c r="V33" s="1063">
        <v>229.3</v>
      </c>
      <c r="W33" s="1063"/>
      <c r="X33" s="1063"/>
      <c r="Y33" s="1063"/>
      <c r="Z33" s="1063"/>
      <c r="AA33" s="115"/>
      <c r="AB33" s="1063">
        <v>116.4</v>
      </c>
      <c r="AC33" s="1063">
        <v>242.3</v>
      </c>
      <c r="AD33" s="293"/>
      <c r="AE33" s="331"/>
      <c r="AF33" s="1063">
        <v>203.5</v>
      </c>
      <c r="AG33" s="1063">
        <v>179.3</v>
      </c>
      <c r="AH33" s="293"/>
      <c r="AI33" s="115"/>
      <c r="AJ33" s="1063">
        <v>289.5</v>
      </c>
      <c r="AK33" s="1063">
        <v>279.2</v>
      </c>
      <c r="AL33" s="1063">
        <v>569.79999999999995</v>
      </c>
      <c r="AM33" s="115"/>
      <c r="AN33" s="1063">
        <v>387.5</v>
      </c>
      <c r="AO33" s="1063">
        <v>267.10000000000002</v>
      </c>
      <c r="AP33" s="1063">
        <v>653.6</v>
      </c>
      <c r="AQ33" s="115"/>
      <c r="AR33" s="1063">
        <v>215.2</v>
      </c>
      <c r="AS33" s="1063"/>
      <c r="AT33" s="1063">
        <v>308.60000000000002</v>
      </c>
      <c r="AU33" s="115"/>
      <c r="AV33" s="1063">
        <v>149.6</v>
      </c>
      <c r="AW33" s="1063"/>
      <c r="AX33" s="1063">
        <v>317.39999999999998</v>
      </c>
      <c r="AY33" s="115"/>
      <c r="AZ33" s="1063">
        <v>117.1</v>
      </c>
      <c r="BA33" s="1063"/>
      <c r="BB33" s="1063">
        <v>275.89999999999998</v>
      </c>
      <c r="BC33" s="115"/>
      <c r="BD33" s="1063">
        <v>85.3</v>
      </c>
      <c r="BE33" s="1063">
        <v>119.1</v>
      </c>
      <c r="BF33" s="1063">
        <v>202.3</v>
      </c>
      <c r="BG33" s="1063"/>
      <c r="BH33" s="1063">
        <v>99.7</v>
      </c>
      <c r="BI33" s="1063">
        <v>142.1</v>
      </c>
      <c r="BJ33" s="1063">
        <v>246.1</v>
      </c>
      <c r="BK33" s="1063"/>
      <c r="BL33" s="1063">
        <v>144.6</v>
      </c>
      <c r="BM33" s="1063">
        <v>224.8</v>
      </c>
      <c r="BN33" s="1063">
        <v>369.2</v>
      </c>
      <c r="BO33" s="1063"/>
      <c r="BP33" s="1063">
        <v>204.9</v>
      </c>
      <c r="BQ33" s="1063">
        <v>275.7</v>
      </c>
      <c r="BR33" s="1063">
        <v>484.2</v>
      </c>
      <c r="BS33" s="1063"/>
      <c r="BT33" s="1063">
        <v>310</v>
      </c>
      <c r="BU33" s="1063">
        <v>286.7</v>
      </c>
      <c r="BV33" s="1063">
        <v>600.1</v>
      </c>
      <c r="BW33" s="1063"/>
      <c r="BX33" s="1738">
        <v>304.8</v>
      </c>
      <c r="BY33" s="1063">
        <v>337.2</v>
      </c>
      <c r="BZ33" s="1063">
        <v>644.5</v>
      </c>
      <c r="CA33" s="1063"/>
      <c r="CB33" s="1738">
        <v>360.2</v>
      </c>
      <c r="CC33" s="1063">
        <v>379.9</v>
      </c>
      <c r="CD33" s="1063">
        <v>743.5</v>
      </c>
      <c r="CE33" s="1063"/>
      <c r="CF33" s="1738">
        <v>383.1</v>
      </c>
      <c r="CG33" s="1738">
        <v>483.9</v>
      </c>
      <c r="CH33" s="1738">
        <v>868.1</v>
      </c>
      <c r="CI33" s="1063"/>
      <c r="CJ33" s="1738">
        <v>419.5</v>
      </c>
      <c r="CK33" s="1738">
        <v>350.7</v>
      </c>
      <c r="CL33" s="1738">
        <v>764.5</v>
      </c>
      <c r="CM33" s="1063"/>
      <c r="CN33" s="1738">
        <v>272.89999999999998</v>
      </c>
      <c r="CO33" s="1738">
        <v>546</v>
      </c>
      <c r="CP33" s="1738">
        <v>824.6</v>
      </c>
      <c r="CQ33" s="1063"/>
      <c r="CR33" s="1738">
        <v>545.4</v>
      </c>
      <c r="CS33" s="1738">
        <v>680.7</v>
      </c>
      <c r="CT33" s="1738">
        <v>1230.5999999999999</v>
      </c>
      <c r="CU33" s="1063"/>
      <c r="CV33" s="1738">
        <v>585.1</v>
      </c>
      <c r="CW33" s="1738">
        <v>725.5</v>
      </c>
      <c r="CX33" s="1738">
        <v>1316.3</v>
      </c>
      <c r="CY33" s="1063"/>
      <c r="CZ33" s="1738">
        <v>366.2</v>
      </c>
      <c r="DA33" s="1880">
        <v>545.20000000000005</v>
      </c>
      <c r="DB33" s="1880">
        <v>911.4</v>
      </c>
      <c r="DC33" s="1063"/>
      <c r="DD33" s="1738">
        <v>423</v>
      </c>
      <c r="DE33" s="2196">
        <v>552.29999999999995</v>
      </c>
      <c r="DF33" s="2181">
        <v>975.5</v>
      </c>
      <c r="DG33" s="1063"/>
      <c r="DH33" s="2261">
        <v>435</v>
      </c>
      <c r="DI33" s="721"/>
      <c r="DJ33" s="721"/>
      <c r="DK33" s="1059"/>
      <c r="DL33" s="304"/>
      <c r="DM33" s="721"/>
      <c r="DN33" s="721"/>
      <c r="DO33" s="1059"/>
      <c r="DP33" s="304"/>
      <c r="DQ33" s="721"/>
      <c r="DR33" s="721"/>
      <c r="DS33" s="1059"/>
      <c r="JJ33"/>
    </row>
    <row r="34" spans="1:270" s="102" customFormat="1">
      <c r="A34" s="289" t="s">
        <v>84</v>
      </c>
      <c r="C34" s="290" t="s">
        <v>82</v>
      </c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715">
        <f>+P17/P27*100</f>
        <v>86.575053008651281</v>
      </c>
      <c r="Q34" s="715">
        <f>+Q17/Q27*100</f>
        <v>68.976052342339358</v>
      </c>
      <c r="R34" s="715">
        <f>+R17/R27*100</f>
        <v>157.38827197990318</v>
      </c>
      <c r="S34" s="103"/>
      <c r="T34" s="715">
        <f>+T17/T27*100</f>
        <v>112.11078569179705</v>
      </c>
      <c r="U34" s="715">
        <f>+U17/U27*100</f>
        <v>114.59123478548985</v>
      </c>
      <c r="V34" s="715">
        <f>+V17/V27*100</f>
        <v>227.00882116299752</v>
      </c>
      <c r="W34" s="103"/>
      <c r="X34" s="715">
        <f>+X17/X27*100</f>
        <v>129.18652003438655</v>
      </c>
      <c r="Y34" s="715">
        <f>+Y17/Y27*100</f>
        <v>274.58816504262006</v>
      </c>
      <c r="Z34" s="715">
        <f>+Z17/Z27*100</f>
        <v>406.46122684308892</v>
      </c>
      <c r="AA34" s="115"/>
      <c r="AB34" s="715">
        <f>+AB17/AB27*100</f>
        <v>116.44982087606675</v>
      </c>
      <c r="AC34" s="715">
        <f>+AC17/AC27*100</f>
        <v>281.9976869564685</v>
      </c>
      <c r="AD34" s="715">
        <f>+AD17/AD27*100</f>
        <v>401.569461530973</v>
      </c>
      <c r="AE34" s="331"/>
      <c r="AF34" s="715">
        <f>+AF17/AF27*100</f>
        <v>203.45316068832781</v>
      </c>
      <c r="AG34" s="715">
        <f>+AG17/AG27*100</f>
        <v>179.29115523227753</v>
      </c>
      <c r="AH34" s="715">
        <f>+AH17/AH27*100</f>
        <v>382.25380851654808</v>
      </c>
      <c r="AI34" s="671">
        <f>+AH34/AD34-1</f>
        <v>-4.8100403204926256E-2</v>
      </c>
      <c r="AJ34" s="715">
        <f>+AJ17/AJ27*100</f>
        <v>326.04123211029213</v>
      </c>
      <c r="AK34" s="715">
        <f>+AK17/AK27*100</f>
        <v>279.22069633169565</v>
      </c>
      <c r="AL34" s="715">
        <f>+AL17/AL27*100</f>
        <v>605.63556001303334</v>
      </c>
      <c r="AM34" s="671">
        <f>+AL34/AH34-1</f>
        <v>0.58438070862756342</v>
      </c>
      <c r="AN34" s="715">
        <f>+AN17/AN27*100</f>
        <v>387.49006741409625</v>
      </c>
      <c r="AO34" s="715">
        <f>+AO17/AO27*100</f>
        <v>267.10110415606113</v>
      </c>
      <c r="AP34" s="715">
        <f>+AP17/AP27*100</f>
        <v>653.55032842643902</v>
      </c>
      <c r="AQ34" s="671">
        <f>+AP34/AL34-1</f>
        <v>7.9114853183942069E-2</v>
      </c>
      <c r="AR34" s="715">
        <f>+AR17/AR27*100</f>
        <v>215.17196015813286</v>
      </c>
      <c r="AS34" s="715">
        <f>+AS17/AS27*100</f>
        <v>94.03114056399653</v>
      </c>
      <c r="AT34" s="715">
        <f>+AT17/AT27*100</f>
        <v>308.50739824295221</v>
      </c>
      <c r="AU34" s="671">
        <f>+AT34/AP34-1</f>
        <v>-0.52795158257245589</v>
      </c>
      <c r="AV34" s="715">
        <f>+AV17/AV27*100</f>
        <v>149.58755899552008</v>
      </c>
      <c r="AW34" s="715">
        <f>+AW17/AW27*100</f>
        <v>167.34292212648373</v>
      </c>
      <c r="AX34" s="715">
        <f>+AX17/AX27*100</f>
        <v>317.44793733537819</v>
      </c>
      <c r="AY34" s="671"/>
      <c r="AZ34" s="715">
        <f>+AZ17/AZ27*100</f>
        <v>117.22523416884849</v>
      </c>
      <c r="BA34" s="715">
        <f>+BA17/BA27*100</f>
        <v>158.63723828377493</v>
      </c>
      <c r="BB34" s="715">
        <f>+BB17/BB27*100</f>
        <v>276.039128789465</v>
      </c>
      <c r="BC34" s="671"/>
      <c r="BD34" s="715">
        <f>+BD17/BD27*100</f>
        <v>85.097230953189268</v>
      </c>
      <c r="BE34" s="715">
        <f>+BE17/BE27*100</f>
        <v>119.47323429475843</v>
      </c>
      <c r="BF34" s="715">
        <f>+BF17/BF27*100</f>
        <v>202.52868991773644</v>
      </c>
      <c r="BG34" s="671"/>
      <c r="BH34" s="715">
        <f>+BH17/BH27*100</f>
        <v>99.721516114929727</v>
      </c>
      <c r="BI34" s="715">
        <f>+BI17/BI27*100</f>
        <v>151.41623286612602</v>
      </c>
      <c r="BJ34" s="715">
        <f>+BJ17/BJ27*100</f>
        <v>246.10291315436291</v>
      </c>
      <c r="BK34" s="671"/>
      <c r="BL34" s="715">
        <f>+BL17/BL27*100</f>
        <v>144.6328961294524</v>
      </c>
      <c r="BM34" s="715">
        <f>+BM17/BM27*100</f>
        <v>225.43193471960566</v>
      </c>
      <c r="BN34" s="715">
        <f>+BN17/BN27*100</f>
        <v>369.81756070690864</v>
      </c>
      <c r="BO34" s="671"/>
      <c r="BP34" s="715">
        <f>+BP17/BP27*100</f>
        <v>204.89980097520214</v>
      </c>
      <c r="BQ34" s="715">
        <f>+BQ17/BQ27*100</f>
        <v>275.76102073728259</v>
      </c>
      <c r="BR34" s="715">
        <f>+BR17/BR27*100</f>
        <v>484.28220081188471</v>
      </c>
      <c r="BS34" s="671"/>
      <c r="BT34" s="715">
        <f>+BT17/BT27*100</f>
        <v>309.99386275533385</v>
      </c>
      <c r="BU34" s="715">
        <f>+BU17/BU27*100</f>
        <v>290.609613621547</v>
      </c>
      <c r="BV34" s="715">
        <f>+BV17/BV27*100</f>
        <v>600.21947097855582</v>
      </c>
      <c r="BW34" s="1056">
        <f>+BV34/BR34-1</f>
        <v>0.2394002298087885</v>
      </c>
      <c r="BX34" s="715">
        <f>+BX17/BX27*100</f>
        <v>304.7898199236472</v>
      </c>
      <c r="BY34" s="715">
        <f>+BY17/BY27*100</f>
        <v>340.02581298666104</v>
      </c>
      <c r="BZ34" s="715">
        <f>+BZ17/BZ27*100</f>
        <v>644.68025655950817</v>
      </c>
      <c r="CA34" s="1056">
        <f>+BZ34/BV34-1</f>
        <v>7.407421406784187E-2</v>
      </c>
      <c r="CB34" s="715">
        <f>+CB17/CB27*100</f>
        <v>360.18636742699408</v>
      </c>
      <c r="CC34" s="715">
        <f>+CC17/CC27*100</f>
        <v>383.63679772846217</v>
      </c>
      <c r="CD34" s="715">
        <f>+CD17/CD27*100</f>
        <v>743.60911944752263</v>
      </c>
      <c r="CE34" s="1056">
        <f>+CD34/BZ34-1</f>
        <v>0.15345415325105849</v>
      </c>
      <c r="CF34" s="715">
        <f>+CF17/CF27*100</f>
        <v>383.07567289255468</v>
      </c>
      <c r="CG34" s="715">
        <f>+CG17/CG27*100</f>
        <v>483.78421858293859</v>
      </c>
      <c r="CH34" s="715">
        <f>+CH17/CH27*100</f>
        <v>868.24171402426589</v>
      </c>
      <c r="CI34" s="1056">
        <f>+CH34/CD34-1</f>
        <v>0.16760498401275825</v>
      </c>
      <c r="CJ34" s="715">
        <f>+CJ17/CJ27*100</f>
        <v>419.52754352798303</v>
      </c>
      <c r="CK34" s="715">
        <f>+CK17/CK27*100</f>
        <v>347.19846445983819</v>
      </c>
      <c r="CL34" s="715">
        <f>+CL17/CL27*100</f>
        <v>764.65090815656879</v>
      </c>
      <c r="CM34" s="671"/>
      <c r="CN34" s="715">
        <f>+CN17/CN27*100</f>
        <v>272.89879557835616</v>
      </c>
      <c r="CO34" s="715">
        <f>+CO17/CO27*100</f>
        <v>549.52511319651012</v>
      </c>
      <c r="CP34" s="715">
        <f>+CP17/CP27*100</f>
        <v>824.7442835001907</v>
      </c>
      <c r="CQ34" s="671"/>
      <c r="CR34" s="715">
        <f>+CR17/CR27*100</f>
        <v>545.35044644432605</v>
      </c>
      <c r="CS34" s="715">
        <f>+CS17/CS27*100</f>
        <v>682.78061800366515</v>
      </c>
      <c r="CT34" s="715">
        <f>+CT17/CT27*100</f>
        <v>1230.7536113641083</v>
      </c>
      <c r="CU34" s="671"/>
      <c r="CV34" s="715">
        <f>+CV17/CV27*100</f>
        <v>604.35965228385624</v>
      </c>
      <c r="CW34" s="715">
        <f>+CW17/CW27*100</f>
        <v>711.79465221425369</v>
      </c>
      <c r="CX34" s="715">
        <f>+CX17/CX27*100</f>
        <v>1316.4287092818493</v>
      </c>
      <c r="CY34" s="671"/>
      <c r="CZ34" s="715">
        <f>+CZ17/CZ27*100</f>
        <v>366.14637013748631</v>
      </c>
      <c r="DA34" s="715">
        <f>+DA17/DA27*100</f>
        <v>545.56407431497416</v>
      </c>
      <c r="DB34" s="715">
        <f>+DB17/DB27*100</f>
        <v>911.53406244200517</v>
      </c>
      <c r="DC34" s="671"/>
      <c r="DD34" s="715">
        <f>+DD17/DD27*100</f>
        <v>422.9814583527089</v>
      </c>
      <c r="DE34" s="715">
        <f ca="1">+DE17/DE27*100</f>
        <v>552.6621615850861</v>
      </c>
      <c r="DF34" s="715">
        <f ca="1">+DF17/DF27*100</f>
        <v>975.62501288790463</v>
      </c>
      <c r="DG34" s="671"/>
      <c r="DH34" s="715">
        <f>+DH17/DH27*100</f>
        <v>434.94447836695304</v>
      </c>
      <c r="DI34" s="715">
        <f>+DI17/DI27*100</f>
        <v>656.015281182134</v>
      </c>
      <c r="DJ34" s="715">
        <f>+DJ17/DJ27*100</f>
        <v>1091.0943501656811</v>
      </c>
      <c r="DK34" s="671"/>
      <c r="DL34" s="715">
        <f>+DL17/DL27*100</f>
        <v>500.19783313013215</v>
      </c>
      <c r="DM34" s="715">
        <f>+DM17/DM27*100</f>
        <v>688.40808394826411</v>
      </c>
      <c r="DN34" s="715">
        <f>+DN17/DN27*100</f>
        <v>1188.8349687086722</v>
      </c>
      <c r="DO34" s="671"/>
      <c r="DP34" s="715">
        <f>+DP17/DP27*100</f>
        <v>540.96261505216989</v>
      </c>
      <c r="DQ34" s="715">
        <f>+DQ17/DQ27*100</f>
        <v>731.02430738585406</v>
      </c>
      <c r="DR34" s="715">
        <f>+DR17/DR27*100</f>
        <v>1272.21825629095</v>
      </c>
      <c r="DS34" s="671"/>
      <c r="JJ34"/>
    </row>
    <row r="35" spans="1:270" s="102" customFormat="1">
      <c r="A35" s="328" t="s">
        <v>1160</v>
      </c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15"/>
      <c r="AB35" s="1063"/>
      <c r="AC35" s="1063"/>
      <c r="AD35" s="293"/>
      <c r="AE35" s="331"/>
      <c r="AF35" s="671">
        <f>+(AF30/T30)^(1/3)-1</f>
        <v>0.2237906596117416</v>
      </c>
      <c r="AG35" s="671">
        <f>+(AG30/U30)^(1/3)-1</f>
        <v>0.17102565860909436</v>
      </c>
      <c r="AH35" s="672">
        <f>+(AH30/V30)^(1/3)-1</f>
        <v>0.19763376147684997</v>
      </c>
      <c r="AI35" s="115"/>
      <c r="AJ35" s="671">
        <f t="shared" ref="AJ35:AL35" si="0">+(AJ30/X30)^(1/3)-1</f>
        <v>0.32066952515391089</v>
      </c>
      <c r="AK35" s="671">
        <f t="shared" si="0"/>
        <v>6.2009177773851842E-2</v>
      </c>
      <c r="AL35" s="672">
        <f t="shared" si="0"/>
        <v>0.16450403992372831</v>
      </c>
      <c r="AM35" s="115"/>
      <c r="AN35" s="671">
        <f t="shared" ref="AN35:AP35" si="1">+(AN30/AB30)^(1/3)-1</f>
        <v>0.50551854224531212</v>
      </c>
      <c r="AO35" s="671">
        <f t="shared" si="1"/>
        <v>2.6962838556968238E-2</v>
      </c>
      <c r="AP35" s="672">
        <f t="shared" si="1"/>
        <v>0.21968996438012844</v>
      </c>
      <c r="AQ35" s="115"/>
      <c r="AR35" s="671">
        <f t="shared" ref="AR35:AT35" si="2">+(AR30/AF30)^(1/3)-1</f>
        <v>5.6270604462664853E-3</v>
      </c>
      <c r="AS35" s="671">
        <f t="shared" si="2"/>
        <v>-0.20554484708992748</v>
      </c>
      <c r="AT35" s="672">
        <f t="shared" si="2"/>
        <v>-8.2109475144693356E-2</v>
      </c>
      <c r="AU35" s="115"/>
      <c r="AV35" s="671">
        <f t="shared" ref="AV35:AX35" si="3">+(AV30/AJ30)^(1/3)-1</f>
        <v>-0.20672416484310074</v>
      </c>
      <c r="AW35" s="671">
        <f t="shared" si="3"/>
        <v>-0.16473073253756043</v>
      </c>
      <c r="AX35" s="672">
        <f t="shared" si="3"/>
        <v>-0.18502013587420307</v>
      </c>
      <c r="AY35" s="115"/>
      <c r="AZ35" s="671">
        <f t="shared" ref="AZ35:BB35" si="4">+(AZ30/AN30)^(1/3)-1</f>
        <v>-0.33283126716272049</v>
      </c>
      <c r="BA35" s="671">
        <f t="shared" si="4"/>
        <v>-0.15551163718758043</v>
      </c>
      <c r="BB35" s="672">
        <f t="shared" si="4"/>
        <v>-0.25016072487941665</v>
      </c>
      <c r="BC35" s="115"/>
      <c r="BD35" s="671">
        <f t="shared" ref="BD35:BF35" si="5">+(BD30/AR30)^(1/3)-1</f>
        <v>-0.26391293855679088</v>
      </c>
      <c r="BE35" s="671">
        <f t="shared" si="5"/>
        <v>9.6477265022930636E-2</v>
      </c>
      <c r="BF35" s="672">
        <f t="shared" si="5"/>
        <v>-0.12093211563356565</v>
      </c>
      <c r="BG35" s="115"/>
      <c r="BH35" s="671">
        <f t="shared" ref="BH35:BJ35" si="6">+(BH30/AV30)^(1/3)-1</f>
        <v>-0.11116015512085753</v>
      </c>
      <c r="BI35" s="671">
        <f t="shared" si="6"/>
        <v>-4.8230403305122849E-2</v>
      </c>
      <c r="BJ35" s="672">
        <f t="shared" si="6"/>
        <v>-7.7756676346071085E-2</v>
      </c>
      <c r="BK35" s="115"/>
      <c r="BL35" s="671">
        <f t="shared" ref="BL35:BN35" si="7">+(BL30/AZ30)^(1/3)-1</f>
        <v>7.8577895427992983E-2</v>
      </c>
      <c r="BM35" s="671">
        <f t="shared" si="7"/>
        <v>0.12997957328241139</v>
      </c>
      <c r="BN35" s="672">
        <f t="shared" si="7"/>
        <v>0.1076840746942429</v>
      </c>
      <c r="BO35" s="115"/>
      <c r="BP35" s="671">
        <f t="shared" ref="BP35:BR35" si="8">+(BP30/BD30)^(1/3)-1</f>
        <v>0.35167645320205687</v>
      </c>
      <c r="BQ35" s="671">
        <f t="shared" si="8"/>
        <v>0.3246300830335942</v>
      </c>
      <c r="BR35" s="672">
        <f t="shared" si="8"/>
        <v>0.33678586972971658</v>
      </c>
      <c r="BS35" s="115"/>
      <c r="BT35" s="671">
        <f t="shared" ref="BT35:BV35" si="9">+(BT30/BH30)^(1/3)-1</f>
        <v>0.45442553766067428</v>
      </c>
      <c r="BU35" s="671">
        <f t="shared" si="9"/>
        <v>0.26426433569757402</v>
      </c>
      <c r="BV35" s="672">
        <f t="shared" si="9"/>
        <v>0.35100963690894749</v>
      </c>
      <c r="BW35" s="115"/>
      <c r="BX35" s="671">
        <f t="shared" ref="BX35:BZ35" si="10">+(BX30/BL30)^(1/3)-1</f>
        <v>0.27700785521590698</v>
      </c>
      <c r="BY35" s="671">
        <f t="shared" si="10"/>
        <v>0.13648320178519757</v>
      </c>
      <c r="BZ35" s="672">
        <f t="shared" si="10"/>
        <v>0.19624483610385357</v>
      </c>
      <c r="CA35" s="115"/>
      <c r="CB35" s="671">
        <f t="shared" ref="CB35:CD35" si="11">+(CB30/BP30)^(1/3)-1</f>
        <v>0.20191997804718698</v>
      </c>
      <c r="CC35" s="671">
        <f t="shared" si="11"/>
        <v>0.10372805421692144</v>
      </c>
      <c r="CD35" s="672">
        <f t="shared" si="11"/>
        <v>0.14711743562687474</v>
      </c>
      <c r="CE35" s="115"/>
      <c r="CF35" s="671">
        <f t="shared" ref="CF35" si="12">+(CF30/BT30)^(1/3)-1</f>
        <v>6.1627324837302488E-2</v>
      </c>
      <c r="CG35" s="671">
        <f t="shared" ref="CG35" si="13">+(CG30/BU30)^(1/3)-1</f>
        <v>0.18834197074383141</v>
      </c>
      <c r="CH35" s="672">
        <f t="shared" ref="CH35" si="14">+(CH30/BV30)^(1/3)-1</f>
        <v>0.12559400211535632</v>
      </c>
      <c r="CI35" s="115"/>
      <c r="CJ35" s="671">
        <f t="shared" ref="CJ35" si="15">+(CJ30/BX30)^(1/3)-1</f>
        <v>0.11317403228203426</v>
      </c>
      <c r="CK35" s="671">
        <f t="shared" ref="CK35" si="16">+(CK30/BY30)^(1/3)-1</f>
        <v>1.6006780626706574E-2</v>
      </c>
      <c r="CL35" s="672">
        <f t="shared" ref="CL35" si="17">+(CL30/BZ30)^(1/3)-1</f>
        <v>6.3388564673435122E-2</v>
      </c>
      <c r="CM35" s="115"/>
      <c r="CN35" s="671">
        <f t="shared" ref="CN35" si="18">+(CN30/CB30)^(1/3)-1</f>
        <v>-9.2610396668513006E-2</v>
      </c>
      <c r="CO35" s="671">
        <f t="shared" ref="CO35" si="19">+(CO30/CC30)^(1/3)-1</f>
        <v>0.13405694248053091</v>
      </c>
      <c r="CP35" s="672">
        <f t="shared" ref="CP35" si="20">+(CP30/CD30)^(1/3)-1</f>
        <v>3.5892478133242367E-2</v>
      </c>
      <c r="CQ35" s="115"/>
      <c r="CR35" s="671">
        <f t="shared" ref="CR35" si="21">+(CR30/CF30)^(1/3)-1</f>
        <v>0.13146555241889235</v>
      </c>
      <c r="CS35" s="671">
        <f t="shared" ref="CS35" si="22">+(CS30/CG30)^(1/3)-1</f>
        <v>0.125509356738019</v>
      </c>
      <c r="CT35" s="672">
        <f t="shared" ref="CT35" si="23">+(CT30/CH30)^(1/3)-1</f>
        <v>0.12922164784718371</v>
      </c>
      <c r="CU35" s="115"/>
      <c r="CV35" s="671">
        <f t="shared" ref="CV35" si="24">+(CV30/CJ30)^(1/3)-1</f>
        <v>0.13229037914116737</v>
      </c>
      <c r="CW35" s="671">
        <f t="shared" ref="CW35" si="25">+(CW30/CK30)^(1/3)-1</f>
        <v>0.2620088478560505</v>
      </c>
      <c r="CX35" s="672">
        <f t="shared" ref="CX35" si="26">+(CX30/CL30)^(1/3)-1</f>
        <v>0.19615052398939636</v>
      </c>
      <c r="CY35" s="115"/>
      <c r="CZ35" s="671">
        <f t="shared" ref="CZ35" si="27">+(CZ30/CN30)^(1/3)-1</f>
        <v>0.10089031015819128</v>
      </c>
      <c r="DA35" s="671">
        <f t="shared" ref="DA35" si="28">+(DA30/CO30)^(1/3)-1</f>
        <v>-1.0256104338566496E-2</v>
      </c>
      <c r="DB35" s="672">
        <f t="shared" ref="DB35" si="29">+(DB30/CP30)^(1/3)-1</f>
        <v>2.8348814742513495E-2</v>
      </c>
      <c r="DC35" s="115"/>
      <c r="DD35" s="671">
        <f t="shared" ref="DD35" si="30">+(DD30/CR30)^(1/3)-1</f>
        <v>-8.9433255344927742E-2</v>
      </c>
      <c r="DE35" s="671">
        <f t="shared" ref="DE35" ca="1" si="31">+(DE30/CS30)^(1/3)-1</f>
        <v>-7.7291227768774284E-2</v>
      </c>
      <c r="DF35" s="672">
        <f t="shared" ref="DF35" ca="1" si="32">+(DF30/CT30)^(1/3)-1</f>
        <v>-8.3410865380571297E-2</v>
      </c>
      <c r="DG35" s="115"/>
      <c r="DH35" s="671">
        <f t="shared" ref="DH35" si="33">+(DH30/CV30)^(1/3)-1</f>
        <v>-0.11234269258316099</v>
      </c>
      <c r="DI35" s="671">
        <f t="shared" ref="DI35" si="34">+(DI30/CW30)^(1/3)-1</f>
        <v>-3.1051141883358779E-2</v>
      </c>
      <c r="DJ35" s="672">
        <f t="shared" ref="DJ35" si="35">+(DJ30/CX30)^(1/3)-1</f>
        <v>-6.6748027515424191E-2</v>
      </c>
      <c r="DK35" s="115"/>
      <c r="DL35" s="671">
        <f t="shared" ref="DL35" si="36">+(DL30/CZ30)^(1/3)-1</f>
        <v>0.10907021410833084</v>
      </c>
      <c r="DM35" s="671">
        <f t="shared" ref="DM35" si="37">+(DM30/DA30)^(1/3)-1</f>
        <v>8.3313214311272032E-2</v>
      </c>
      <c r="DN35" s="672">
        <f t="shared" ref="DN35" si="38">+(DN30/DB30)^(1/3)-1</f>
        <v>9.4126969105299718E-2</v>
      </c>
      <c r="DO35" s="115"/>
      <c r="DP35" s="671">
        <f t="shared" ref="DP35" si="39">+(DP30/DD30)^(1/3)-1</f>
        <v>8.7012896791834438E-2</v>
      </c>
      <c r="DQ35" s="671">
        <f t="shared" ref="DQ35" ca="1" si="40">+(DQ30/DE30)^(1/3)-1</f>
        <v>0.10084240173468051</v>
      </c>
      <c r="DR35" s="672">
        <f t="shared" ref="DR35" ca="1" si="41">+(DR30/DF30)^(1/3)-1</f>
        <v>9.5040971286541431E-2</v>
      </c>
      <c r="DS35" s="115"/>
      <c r="JJ35"/>
    </row>
    <row r="36" spans="1:270" s="102" customFormat="1">
      <c r="A36" s="328" t="s">
        <v>1161</v>
      </c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15"/>
      <c r="AB36" s="1063"/>
      <c r="AC36" s="1063"/>
      <c r="AD36" s="293"/>
      <c r="AE36" s="331"/>
      <c r="AF36" s="671">
        <f>+(AF30/P30)^(1/4)-1</f>
        <v>0.23574911902998141</v>
      </c>
      <c r="AG36" s="671">
        <f>+(AG30/Q30)^(1/4)-1</f>
        <v>0.26311859843978014</v>
      </c>
      <c r="AH36" s="672">
        <f>+(AH30/R30)^(1/4)-1</f>
        <v>0.24831777534036026</v>
      </c>
      <c r="AI36" s="115"/>
      <c r="AJ36" s="671">
        <f t="shared" ref="AJ36:AL36" si="42">+(AJ30/T30)^(1/4)-1</f>
        <v>0.26858861910666532</v>
      </c>
      <c r="AK36" s="671">
        <f t="shared" si="42"/>
        <v>0.25609141362266641</v>
      </c>
      <c r="AL36" s="672">
        <f t="shared" si="42"/>
        <v>0.26226779579024706</v>
      </c>
      <c r="AM36" s="115"/>
      <c r="AN36" s="671">
        <f t="shared" ref="AN36:AP36" si="43">+(AN30/X30)^(1/4)-1</f>
        <v>0.32432625123585512</v>
      </c>
      <c r="AO36" s="671">
        <f t="shared" si="43"/>
        <v>2.8105193604987644E-2</v>
      </c>
      <c r="AP36" s="672">
        <f t="shared" si="43"/>
        <v>0.15671438448785624</v>
      </c>
      <c r="AQ36" s="115"/>
      <c r="AR36" s="671">
        <f t="shared" ref="AR36:AT36" si="44">+(AR30/AB30)^(1/4)-1</f>
        <v>0.16453478146971023</v>
      </c>
      <c r="AS36" s="671">
        <f t="shared" si="44"/>
        <v>-0.21714686160893326</v>
      </c>
      <c r="AT36" s="672">
        <f t="shared" si="44"/>
        <v>-4.3353720639108029E-2</v>
      </c>
      <c r="AU36" s="115"/>
      <c r="AV36" s="671">
        <f t="shared" ref="AV36:AX36" si="45">+(AV30/AF30)^(1/4)-1</f>
        <v>-8.355030931081564E-2</v>
      </c>
      <c r="AW36" s="671">
        <f t="shared" si="45"/>
        <v>-2.5085981183557648E-2</v>
      </c>
      <c r="AX36" s="672">
        <f t="shared" si="45"/>
        <v>-5.4266792957338827E-2</v>
      </c>
      <c r="AY36" s="115"/>
      <c r="AZ36" s="671">
        <f t="shared" ref="AZ36:BB36" si="46">+(AZ30/AJ30)^(1/4)-1</f>
        <v>-0.20644664147757741</v>
      </c>
      <c r="BA36" s="671">
        <f t="shared" si="46"/>
        <v>-0.13426175659792805</v>
      </c>
      <c r="BB36" s="672">
        <f t="shared" si="46"/>
        <v>-0.16853011366668691</v>
      </c>
      <c r="BC36" s="115"/>
      <c r="BD36" s="671">
        <f t="shared" ref="BD36:BF36" si="47">+(BD30/AN30)^(1/4)-1</f>
        <v>-0.3190977477743937</v>
      </c>
      <c r="BE36" s="671">
        <f t="shared" si="47"/>
        <v>-0.17773089304422029</v>
      </c>
      <c r="BF36" s="672">
        <f t="shared" si="47"/>
        <v>-0.25169075736358315</v>
      </c>
      <c r="BG36" s="115"/>
      <c r="BH36" s="671">
        <f t="shared" ref="BH36:BJ36" si="48">+(BH30/AR30)^(1/4)-1</f>
        <v>-0.16459215028139573</v>
      </c>
      <c r="BI36" s="671">
        <f t="shared" si="48"/>
        <v>0.11638282481753959</v>
      </c>
      <c r="BJ36" s="672">
        <f t="shared" si="48"/>
        <v>-5.0905157609119733E-2</v>
      </c>
      <c r="BK36" s="115"/>
      <c r="BL36" s="671">
        <f t="shared" ref="BL36:BN36" si="49">+(BL30/AV30)^(1/4)-1</f>
        <v>-8.1339808432812077E-4</v>
      </c>
      <c r="BM36" s="671">
        <f t="shared" si="49"/>
        <v>8.5974606877104121E-2</v>
      </c>
      <c r="BN36" s="672">
        <f t="shared" si="49"/>
        <v>4.6642340889831768E-2</v>
      </c>
      <c r="BO36" s="115"/>
      <c r="BP36" s="671">
        <f t="shared" ref="BP36:BR36" si="50">+(BP30/AZ30)^(1/4)-1</f>
        <v>0.15627881411734834</v>
      </c>
      <c r="BQ36" s="671">
        <f t="shared" si="50"/>
        <v>0.15249667828920654</v>
      </c>
      <c r="BR36" s="672">
        <f t="shared" si="50"/>
        <v>0.15451972155347171</v>
      </c>
      <c r="BS36" s="115"/>
      <c r="BT36" s="671">
        <f t="shared" ref="BT36:BV36" si="51">+(BT30/BD30)^(1/4)-1</f>
        <v>0.39225979622617957</v>
      </c>
      <c r="BU36" s="671">
        <f t="shared" si="51"/>
        <v>0.24220089592645411</v>
      </c>
      <c r="BV36" s="672">
        <f t="shared" si="51"/>
        <v>0.31004627945052832</v>
      </c>
      <c r="BW36" s="115"/>
      <c r="BX36" s="671">
        <f t="shared" ref="BX36:BZ36" si="52">+(BX30/BH30)^(1/4)-1</f>
        <v>0.31121570499157181</v>
      </c>
      <c r="BY36" s="671">
        <f t="shared" si="52"/>
        <v>0.24048942207743318</v>
      </c>
      <c r="BZ36" s="672">
        <f t="shared" si="52"/>
        <v>0.27212332822146146</v>
      </c>
      <c r="CA36" s="115"/>
      <c r="CB36" s="671">
        <f t="shared" ref="CB36:CD36" si="53">+(CB30/BL30)^(1/4)-1</f>
        <v>0.25409546450784037</v>
      </c>
      <c r="CC36" s="671">
        <f t="shared" si="53"/>
        <v>0.13235681668430099</v>
      </c>
      <c r="CD36" s="672">
        <f t="shared" si="53"/>
        <v>0.18521006990371358</v>
      </c>
      <c r="CE36" s="115"/>
      <c r="CF36" s="671">
        <f t="shared" ref="CF36" si="54">+(CF30/BP30)^(1/4)-1</f>
        <v>0.16156839615804652</v>
      </c>
      <c r="CG36" s="671">
        <f t="shared" ref="CG36" si="55">+(CG30/BQ30)^(1/4)-1</f>
        <v>0.14505660133176823</v>
      </c>
      <c r="CH36" s="672">
        <f t="shared" ref="CH36" si="56">+(CH30/BR30)^(1/4)-1</f>
        <v>0.15153351116720248</v>
      </c>
      <c r="CI36" s="115"/>
      <c r="CJ36" s="671">
        <f t="shared" ref="CJ36" si="57">+(CJ30/BT30)^(1/4)-1</f>
        <v>7.2945897903327284E-2</v>
      </c>
      <c r="CK36" s="671">
        <f t="shared" ref="CK36" si="58">+(CK30/BU30)^(1/4)-1</f>
        <v>5.289994963976774E-2</v>
      </c>
      <c r="CL36" s="672">
        <f t="shared" ref="CL36" si="59">+(CL30/BV30)^(1/4)-1</f>
        <v>6.3051662286157661E-2</v>
      </c>
      <c r="CM36" s="115"/>
      <c r="CN36" s="671">
        <f t="shared" ref="CN36" si="60">+(CN30/BX30)^(1/4)-1</f>
        <v>-2.9421269524033233E-2</v>
      </c>
      <c r="CO36" s="671">
        <f t="shared" ref="CO36" si="61">+(CO30/BY30)^(1/4)-1</f>
        <v>0.13054324494735003</v>
      </c>
      <c r="CP36" s="672">
        <f t="shared" ref="CP36" si="62">+(CP30/BZ30)^(1/4)-1</f>
        <v>6.3937913694496862E-2</v>
      </c>
      <c r="CQ36" s="115"/>
      <c r="CR36" s="671">
        <f t="shared" ref="CR36" si="63">+(CR30/CB30)^(1/4)-1</f>
        <v>0.11011794754211479</v>
      </c>
      <c r="CS36" s="671">
        <f t="shared" ref="CS36" si="64">+(CS30/CC30)^(1/4)-1</f>
        <v>0.16196280442582456</v>
      </c>
      <c r="CT36" s="672">
        <f t="shared" ref="CT36" si="65">+(CT30/CD30)^(1/4)-1</f>
        <v>0.13803355330486267</v>
      </c>
      <c r="CU36" s="115"/>
      <c r="CV36" s="671">
        <f t="shared" ref="CV36" si="66">+(CV30/CF30)^(1/4)-1</f>
        <v>0.12607449101351542</v>
      </c>
      <c r="CW36" s="671">
        <f t="shared" ref="CW36" si="67">+(CW30/CG30)^(1/4)-1</f>
        <v>0.1014830731986951</v>
      </c>
      <c r="CX36" s="672">
        <f t="shared" ref="CX36" si="68">+(CX30/CH30)^(1/4)-1</f>
        <v>0.11264704636586553</v>
      </c>
      <c r="CY36" s="115"/>
      <c r="CZ36" s="671">
        <f t="shared" ref="CZ36" si="69">+(CZ30/CJ30)^(1/4)-1</f>
        <v>-3.746505264387634E-2</v>
      </c>
      <c r="DA36" s="671">
        <f t="shared" ref="DA36" si="70">+(DA30/CK30)^(1/4)-1</f>
        <v>0.10855398771029301</v>
      </c>
      <c r="DB36" s="672">
        <f t="shared" ref="DB36" si="71">+(DB30/CL30)^(1/4)-1</f>
        <v>3.7534710679845373E-2</v>
      </c>
      <c r="DC36" s="115"/>
      <c r="DD36" s="671">
        <f t="shared" ref="DD36" si="72">+(DD30/CN30)^(1/4)-1</f>
        <v>0.11303190546817432</v>
      </c>
      <c r="DE36" s="671">
        <f t="shared" ref="DE36" ca="1" si="73">+(DE30/CO30)^(1/4)-1</f>
        <v>-4.5611944431538376E-3</v>
      </c>
      <c r="DF36" s="672">
        <f t="shared" ref="DF36" ca="1" si="74">+(DF30/CP30)^(1/4)-1</f>
        <v>3.8245567518627066E-2</v>
      </c>
      <c r="DG36" s="115"/>
      <c r="DH36" s="671">
        <f t="shared" ref="DH36" si="75">+(DH30/CR30)^(1/4)-1</f>
        <v>-6.1314481826043821E-2</v>
      </c>
      <c r="DI36" s="671">
        <f t="shared" ref="DI36" si="76">+(DI30/CS30)^(1/4)-1</f>
        <v>-1.5554593851971332E-2</v>
      </c>
      <c r="DJ36" s="672">
        <f t="shared" ref="DJ36" si="77">+(DJ30/CT30)^(1/4)-1</f>
        <v>-3.5566671052892129E-2</v>
      </c>
      <c r="DK36" s="115"/>
      <c r="DL36" s="671">
        <f t="shared" ref="DL36" si="78">+(DL30/CV30)^(1/4)-1</f>
        <v>-5.2307540521320361E-2</v>
      </c>
      <c r="DM36" s="671">
        <f t="shared" ref="DM36" si="79">+(DM30/CW30)^(1/4)-1</f>
        <v>-1.1388679321927442E-2</v>
      </c>
      <c r="DN36" s="672">
        <f t="shared" ref="DN36" si="80">+(DN30/CX30)^(1/4)-1</f>
        <v>-2.9570363789504173E-2</v>
      </c>
      <c r="DO36" s="115"/>
      <c r="DP36" s="671">
        <f t="shared" ref="DP36" si="81">+(DP30/CZ30)^(1/4)-1</f>
        <v>0.10249238751966794</v>
      </c>
      <c r="DQ36" s="671">
        <f t="shared" ref="DQ36" si="82">+(DQ30/DA30)^(1/4)-1</f>
        <v>7.8118019826231011E-2</v>
      </c>
      <c r="DR36" s="672">
        <f t="shared" ref="DR36" si="83">+(DR30/DB30)^(1/4)-1</f>
        <v>8.8347348057886688E-2</v>
      </c>
      <c r="DS36" s="115"/>
      <c r="JJ36"/>
    </row>
    <row r="37" spans="1:270" s="102" customFormat="1"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15"/>
      <c r="AB37" s="293"/>
      <c r="AC37" s="293"/>
      <c r="AD37" s="293"/>
      <c r="AE37" s="331"/>
      <c r="AF37" s="1063"/>
      <c r="AG37" s="1063"/>
      <c r="AH37" s="293"/>
      <c r="AI37" s="115"/>
      <c r="AJ37" s="1063"/>
      <c r="AK37" s="293"/>
      <c r="AL37" s="293"/>
      <c r="AM37" s="115"/>
      <c r="AN37" s="1063"/>
      <c r="AO37" s="293"/>
      <c r="AP37" s="293"/>
      <c r="AQ37" s="115"/>
      <c r="AR37" s="1063"/>
      <c r="AS37" s="293"/>
      <c r="AT37" s="293"/>
      <c r="AU37" s="115"/>
      <c r="AV37" s="1063"/>
      <c r="AW37" s="103"/>
      <c r="AX37" s="103"/>
      <c r="AY37" s="115"/>
      <c r="AZ37" s="103"/>
      <c r="BA37" s="103"/>
      <c r="BB37" s="103"/>
      <c r="BC37" s="115"/>
      <c r="BD37" s="103"/>
      <c r="BE37" s="103"/>
      <c r="BF37" s="103"/>
      <c r="BG37" s="115"/>
      <c r="BH37" s="103"/>
      <c r="BI37" s="103"/>
      <c r="BJ37" s="103"/>
      <c r="BK37" s="115"/>
      <c r="BL37" s="103"/>
      <c r="BM37" s="103"/>
      <c r="BN37" s="103"/>
      <c r="BO37" s="115"/>
      <c r="BP37" s="103"/>
      <c r="BQ37" s="103"/>
      <c r="BR37" s="103"/>
      <c r="BS37" s="115"/>
      <c r="BT37" s="103"/>
      <c r="BU37" s="103"/>
      <c r="BV37" s="103"/>
      <c r="BW37" s="115"/>
      <c r="BX37" s="103"/>
      <c r="BY37" s="103"/>
      <c r="BZ37" s="103"/>
      <c r="CA37" s="115"/>
      <c r="CB37" s="103"/>
      <c r="CC37" s="103"/>
      <c r="CD37" s="103"/>
      <c r="CE37" s="115"/>
      <c r="CF37" s="103"/>
      <c r="CG37" s="103"/>
      <c r="CH37" s="103"/>
      <c r="CI37" s="115"/>
      <c r="CJ37" s="103"/>
      <c r="CK37" s="103"/>
      <c r="CL37" s="103"/>
      <c r="CM37" s="115"/>
      <c r="CN37" s="103"/>
      <c r="CO37" s="103"/>
      <c r="CP37" s="103"/>
      <c r="CQ37" s="115"/>
      <c r="CR37" s="103"/>
      <c r="CS37" s="103"/>
      <c r="CT37" s="103"/>
      <c r="CU37" s="115"/>
      <c r="CV37" s="103"/>
      <c r="CW37" s="103"/>
      <c r="CX37" s="103"/>
      <c r="CY37" s="115"/>
      <c r="CZ37" s="103"/>
      <c r="DA37" s="103"/>
      <c r="DB37" s="103"/>
      <c r="DC37" s="115"/>
      <c r="DD37" s="103"/>
      <c r="DE37" s="103"/>
      <c r="DF37" s="103"/>
      <c r="DG37" s="115"/>
      <c r="DH37" s="103"/>
      <c r="DI37" s="103"/>
      <c r="DJ37" s="103"/>
      <c r="DK37" s="115"/>
      <c r="DL37" s="103"/>
      <c r="DM37" s="103"/>
      <c r="DN37" s="103"/>
      <c r="DO37" s="115"/>
      <c r="DP37" s="103"/>
      <c r="DQ37" s="103"/>
      <c r="DR37" s="103"/>
      <c r="DS37" s="115"/>
      <c r="JJ37"/>
    </row>
    <row r="38" spans="1:270" s="1055" customFormat="1" ht="12" customHeight="1">
      <c r="A38" s="1064" t="s">
        <v>85</v>
      </c>
      <c r="B38" s="1051"/>
      <c r="C38" s="1052"/>
      <c r="D38" s="1052"/>
      <c r="E38" s="1052"/>
      <c r="F38" s="1052"/>
      <c r="G38" s="1052"/>
      <c r="H38" s="1052"/>
      <c r="I38" s="1052"/>
      <c r="J38" s="1052"/>
      <c r="K38" s="1052"/>
      <c r="L38" s="1052"/>
      <c r="M38" s="1052"/>
      <c r="N38" s="1052"/>
      <c r="O38" s="1052"/>
      <c r="P38" s="1052"/>
      <c r="Q38" s="1052"/>
      <c r="R38" s="1052"/>
      <c r="S38" s="1052"/>
      <c r="T38" s="1052"/>
      <c r="U38" s="1052"/>
      <c r="V38" s="1052"/>
      <c r="W38" s="1052"/>
      <c r="X38" s="1052"/>
      <c r="Y38" s="1052"/>
      <c r="Z38" s="1052"/>
      <c r="AA38" s="1053"/>
      <c r="AB38" s="1052"/>
      <c r="AC38" s="1052"/>
      <c r="AD38" s="1052"/>
      <c r="AE38" s="1053"/>
      <c r="AF38" s="1052"/>
      <c r="AG38" s="1052"/>
      <c r="AH38" s="1052"/>
      <c r="AI38" s="1053"/>
      <c r="AJ38" s="1052"/>
      <c r="AK38" s="1052"/>
      <c r="AL38" s="1052"/>
      <c r="AM38" s="1053"/>
      <c r="AN38" s="1052"/>
      <c r="AO38" s="1052"/>
      <c r="AP38" s="1052"/>
      <c r="AQ38" s="1053"/>
      <c r="AR38" s="1052"/>
      <c r="AS38" s="1052"/>
      <c r="AT38" s="1052"/>
      <c r="AU38" s="1053"/>
      <c r="AV38" s="1054"/>
      <c r="AW38" s="1054"/>
      <c r="AX38" s="1054"/>
      <c r="AY38" s="1053"/>
      <c r="AZ38" s="1054"/>
      <c r="BA38" s="1054"/>
      <c r="BB38" s="1054"/>
      <c r="BC38" s="1053"/>
      <c r="BD38" s="1054"/>
      <c r="BE38" s="1054"/>
      <c r="BF38" s="1054"/>
      <c r="BG38" s="1053"/>
      <c r="BH38" s="1054"/>
      <c r="BI38" s="1054"/>
      <c r="BJ38" s="1054"/>
      <c r="BK38" s="1053"/>
      <c r="BL38" s="1054"/>
      <c r="BM38" s="1054"/>
      <c r="BN38" s="1054"/>
      <c r="BO38" s="1053"/>
      <c r="BP38" s="1054"/>
      <c r="BQ38" s="1054"/>
      <c r="BR38" s="1054"/>
      <c r="BS38" s="1053"/>
      <c r="BT38" s="1054"/>
      <c r="BU38" s="1054"/>
      <c r="BV38" s="1054"/>
      <c r="BW38" s="1053"/>
      <c r="BX38" s="1054"/>
      <c r="BY38" s="1054"/>
      <c r="BZ38" s="1054"/>
      <c r="CA38" s="1053"/>
      <c r="CB38" s="1054"/>
      <c r="CC38" s="1054"/>
      <c r="CD38" s="1054"/>
      <c r="CE38" s="1053"/>
      <c r="CF38" s="1054"/>
      <c r="CG38" s="1054"/>
      <c r="CH38" s="1054"/>
      <c r="CI38" s="1053"/>
      <c r="CJ38" s="1054"/>
      <c r="CK38" s="1054"/>
      <c r="CL38" s="1054"/>
      <c r="CM38" s="1053"/>
      <c r="CN38" s="1054"/>
      <c r="CO38" s="1054"/>
      <c r="CP38" s="1054"/>
      <c r="CQ38" s="1053"/>
      <c r="CR38" s="1054"/>
      <c r="CS38" s="1054"/>
      <c r="CT38" s="1054"/>
      <c r="CU38" s="1053"/>
      <c r="CV38" s="1054"/>
      <c r="CW38" s="1054"/>
      <c r="CX38" s="1054"/>
      <c r="CY38" s="1053"/>
      <c r="CZ38" s="1054"/>
      <c r="DA38" s="1054"/>
      <c r="DB38" s="1054"/>
      <c r="DC38" s="1053"/>
      <c r="DD38" s="1054"/>
      <c r="DE38" s="1054"/>
      <c r="DF38" s="1054"/>
      <c r="DG38" s="1053"/>
      <c r="DH38" s="1054"/>
      <c r="DI38" s="1054"/>
      <c r="DJ38" s="1054"/>
      <c r="DK38" s="1053"/>
      <c r="DL38" s="1054"/>
      <c r="DM38" s="1054"/>
      <c r="DN38" s="1054"/>
      <c r="DO38" s="1053"/>
      <c r="DP38" s="1054"/>
      <c r="DQ38" s="1054"/>
      <c r="DR38" s="1054"/>
      <c r="DS38" s="1053"/>
      <c r="DU38" s="1051"/>
      <c r="DV38" s="1051"/>
      <c r="DW38" s="1051"/>
      <c r="DX38" s="1051"/>
      <c r="DY38" s="1051"/>
      <c r="DZ38" s="1051"/>
      <c r="EA38" s="1051"/>
      <c r="EB38" s="1051"/>
      <c r="EC38" s="1051"/>
      <c r="ED38" s="1051"/>
      <c r="EE38" s="1051"/>
      <c r="EF38" s="1051"/>
      <c r="EG38" s="1051"/>
      <c r="EH38" s="1051"/>
      <c r="EI38" s="1051"/>
      <c r="EJ38" s="1051"/>
      <c r="EK38" s="1051"/>
      <c r="EL38" s="1051"/>
      <c r="EM38" s="1051"/>
      <c r="EN38" s="1051"/>
      <c r="EO38" s="1051"/>
      <c r="EP38" s="1051"/>
      <c r="EQ38" s="1051"/>
      <c r="ER38" s="1051"/>
      <c r="ES38" s="1051"/>
      <c r="ET38" s="1051"/>
      <c r="EU38" s="1051"/>
      <c r="EV38" s="1051"/>
      <c r="EW38" s="1051"/>
      <c r="EX38" s="1051"/>
      <c r="EY38" s="1051"/>
      <c r="EZ38" s="1051"/>
      <c r="FA38" s="1051"/>
      <c r="FB38" s="1051"/>
      <c r="FC38" s="1051"/>
      <c r="FD38" s="1051"/>
      <c r="FE38" s="1051"/>
      <c r="FF38" s="1051"/>
      <c r="FG38" s="1051"/>
      <c r="FH38" s="1051"/>
      <c r="FI38" s="1051"/>
      <c r="FJ38" s="1051"/>
      <c r="FK38" s="1051"/>
      <c r="FL38" s="1051"/>
      <c r="FM38" s="1051"/>
      <c r="FN38" s="1051"/>
      <c r="FO38" s="1051"/>
      <c r="FP38" s="1051"/>
      <c r="FQ38" s="1051"/>
      <c r="FR38" s="1051"/>
      <c r="FS38" s="1051"/>
      <c r="FT38" s="1051"/>
      <c r="FU38" s="1051"/>
      <c r="FV38" s="1051"/>
      <c r="FW38" s="1051"/>
      <c r="FX38" s="1051"/>
      <c r="FY38" s="1051"/>
      <c r="FZ38" s="1051"/>
      <c r="GA38" s="1051"/>
      <c r="GB38" s="1051"/>
      <c r="GC38" s="1051"/>
      <c r="GD38" s="1051"/>
      <c r="GE38" s="1051"/>
      <c r="GF38" s="1051"/>
      <c r="GG38" s="1051"/>
      <c r="GH38" s="1051"/>
      <c r="GI38" s="1051"/>
      <c r="GJ38" s="1051"/>
      <c r="GK38" s="1051"/>
      <c r="GL38" s="1051"/>
      <c r="GM38" s="1051"/>
      <c r="GN38" s="1051"/>
      <c r="GO38" s="1051"/>
      <c r="GP38" s="1051"/>
      <c r="GQ38" s="1051"/>
      <c r="GR38" s="1051"/>
      <c r="GS38" s="1051"/>
      <c r="GT38" s="1051"/>
      <c r="GU38" s="1051"/>
      <c r="GV38" s="1051"/>
      <c r="GW38" s="1051"/>
      <c r="GX38" s="1051"/>
      <c r="GY38" s="1051"/>
      <c r="GZ38" s="1051"/>
      <c r="HA38" s="1051"/>
      <c r="HB38" s="1051"/>
      <c r="HC38" s="1051"/>
      <c r="HD38" s="1051"/>
      <c r="HE38" s="1051"/>
      <c r="HF38" s="1051"/>
      <c r="HG38" s="1051"/>
      <c r="HH38" s="1051"/>
      <c r="HI38" s="1051"/>
      <c r="HJ38" s="1051"/>
      <c r="HK38" s="1051"/>
      <c r="HL38" s="1051"/>
      <c r="HM38" s="1051"/>
      <c r="HN38" s="1051"/>
      <c r="HO38" s="1051"/>
      <c r="HP38" s="1051"/>
      <c r="HQ38" s="1051"/>
      <c r="HR38" s="1051"/>
      <c r="HS38" s="1051"/>
      <c r="HT38" s="1051"/>
      <c r="HU38" s="1051"/>
      <c r="HV38" s="1051"/>
      <c r="HW38" s="1051"/>
      <c r="HX38" s="1051"/>
      <c r="HY38" s="1051"/>
      <c r="HZ38" s="1051"/>
      <c r="IA38" s="1051"/>
      <c r="IB38" s="1051"/>
      <c r="IC38" s="1051"/>
      <c r="ID38" s="1051"/>
      <c r="IE38" s="1051"/>
      <c r="IF38" s="1051"/>
      <c r="IG38" s="1051"/>
      <c r="IH38" s="1051"/>
      <c r="II38" s="1051"/>
      <c r="IJ38" s="1051"/>
      <c r="IK38" s="1051"/>
      <c r="IL38" s="1051"/>
      <c r="IM38" s="1051"/>
      <c r="IN38" s="1051"/>
      <c r="IO38" s="1051"/>
      <c r="IP38" s="1051"/>
      <c r="IQ38" s="1051"/>
      <c r="IR38" s="1051"/>
      <c r="IS38" s="1051"/>
      <c r="IT38" s="1051"/>
      <c r="IU38" s="1051"/>
      <c r="IV38" s="1051"/>
      <c r="IW38" s="1051"/>
      <c r="IX38" s="1051"/>
      <c r="IY38" s="1051"/>
      <c r="IZ38" s="1051"/>
      <c r="JA38" s="1051"/>
      <c r="JB38" s="1051"/>
      <c r="JC38" s="1051"/>
      <c r="JD38" s="1051"/>
      <c r="JE38" s="1051"/>
      <c r="JF38" s="1051"/>
      <c r="JG38" s="1051"/>
      <c r="JH38" s="1051"/>
      <c r="JI38" s="1051"/>
      <c r="JJ38"/>
    </row>
    <row r="39" spans="1:270" s="102" customFormat="1"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15"/>
      <c r="AB39" s="293"/>
      <c r="AC39" s="293"/>
      <c r="AD39" s="293"/>
      <c r="AE39" s="331"/>
      <c r="AF39" s="293"/>
      <c r="AG39" s="293"/>
      <c r="AH39" s="293"/>
      <c r="AI39" s="115"/>
      <c r="AJ39" s="293"/>
      <c r="AK39" s="293"/>
      <c r="AL39" s="293"/>
      <c r="AM39" s="115"/>
      <c r="AN39" s="293"/>
      <c r="AO39" s="293"/>
      <c r="AP39" s="293"/>
      <c r="AQ39" s="115"/>
      <c r="AR39" s="293"/>
      <c r="AS39" s="293"/>
      <c r="AT39" s="293"/>
      <c r="AU39" s="115"/>
      <c r="AV39" s="103"/>
      <c r="AW39" s="103"/>
      <c r="AX39" s="103"/>
      <c r="AY39" s="115"/>
      <c r="AZ39" s="103"/>
      <c r="BA39" s="103"/>
      <c r="BB39" s="103"/>
      <c r="BC39" s="115"/>
      <c r="BD39" s="293"/>
      <c r="BE39" s="293"/>
      <c r="BF39" s="103"/>
      <c r="BG39" s="115"/>
      <c r="BH39" s="293"/>
      <c r="BI39" s="293"/>
      <c r="BJ39" s="103"/>
      <c r="BK39" s="115"/>
      <c r="BL39" s="293"/>
      <c r="BM39" s="293"/>
      <c r="BN39" s="103"/>
      <c r="BO39" s="115"/>
      <c r="BP39" s="293"/>
      <c r="BQ39" s="293"/>
      <c r="BR39" s="103"/>
      <c r="BS39" s="115"/>
      <c r="BT39" s="293"/>
      <c r="BU39" s="293"/>
      <c r="BV39" s="103"/>
      <c r="BW39" s="115"/>
      <c r="BX39" s="293"/>
      <c r="BY39" s="293"/>
      <c r="BZ39" s="103"/>
      <c r="CA39" s="115"/>
      <c r="CB39" s="293"/>
      <c r="CC39" s="293"/>
      <c r="CD39" s="103"/>
      <c r="CE39" s="115"/>
      <c r="CF39" s="293"/>
      <c r="CG39" s="293"/>
      <c r="CH39" s="103"/>
      <c r="CI39" s="115"/>
      <c r="CJ39" s="293"/>
      <c r="CK39" s="293"/>
      <c r="CL39" s="103"/>
      <c r="CM39" s="115"/>
      <c r="CN39" s="293"/>
      <c r="CO39" s="293"/>
      <c r="CP39" s="103"/>
      <c r="CQ39" s="115"/>
      <c r="CR39" s="293"/>
      <c r="CS39" s="293"/>
      <c r="CT39" s="103"/>
      <c r="CU39" s="115"/>
      <c r="CV39" s="293"/>
      <c r="CW39" s="293"/>
      <c r="CX39" s="103"/>
      <c r="CY39" s="115"/>
      <c r="CZ39" s="293"/>
      <c r="DA39" s="293"/>
      <c r="DB39" s="103"/>
      <c r="DC39" s="115"/>
      <c r="DD39" s="293"/>
      <c r="DE39" s="293"/>
      <c r="DF39" s="103"/>
      <c r="DG39" s="115"/>
      <c r="DH39" s="293"/>
      <c r="DI39" s="293"/>
      <c r="DJ39" s="103"/>
      <c r="DK39" s="115"/>
      <c r="DL39" s="293"/>
      <c r="DM39" s="293"/>
      <c r="DN39" s="103"/>
      <c r="DO39" s="115"/>
      <c r="DP39" s="293"/>
      <c r="DQ39" s="293"/>
      <c r="DR39" s="103"/>
      <c r="DS39" s="115"/>
      <c r="JJ39"/>
    </row>
    <row r="40" spans="1:270" s="289" customFormat="1">
      <c r="A40" s="289" t="s">
        <v>86</v>
      </c>
      <c r="C40" s="290" t="s">
        <v>82</v>
      </c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655">
        <v>41</v>
      </c>
      <c r="Q40" s="655">
        <v>52</v>
      </c>
      <c r="R40" s="295">
        <f>+Q40+P40</f>
        <v>93</v>
      </c>
      <c r="S40" s="290"/>
      <c r="T40" s="655">
        <v>52</v>
      </c>
      <c r="U40" s="655">
        <v>70</v>
      </c>
      <c r="V40" s="295">
        <f>+U40+T40</f>
        <v>122</v>
      </c>
      <c r="W40" s="290"/>
      <c r="X40" s="655">
        <v>61</v>
      </c>
      <c r="Y40" s="655">
        <v>100</v>
      </c>
      <c r="Z40" s="295">
        <f>+Y40+X40</f>
        <v>161</v>
      </c>
      <c r="AA40" s="581"/>
      <c r="AB40" s="655">
        <v>61</v>
      </c>
      <c r="AC40" s="655">
        <v>100</v>
      </c>
      <c r="AD40" s="295">
        <f>+AC40+AB40</f>
        <v>161</v>
      </c>
      <c r="AE40" s="791"/>
      <c r="AF40" s="655">
        <v>90</v>
      </c>
      <c r="AG40" s="655">
        <v>125</v>
      </c>
      <c r="AH40" s="295">
        <f>+AG40+AF40</f>
        <v>215</v>
      </c>
      <c r="AI40" s="581"/>
      <c r="AJ40" s="655">
        <v>125</v>
      </c>
      <c r="AK40" s="655">
        <v>190</v>
      </c>
      <c r="AL40" s="295">
        <f>+AK40+AJ40</f>
        <v>315</v>
      </c>
      <c r="AM40" s="581"/>
      <c r="AN40" s="655">
        <v>145</v>
      </c>
      <c r="AO40" s="655">
        <v>200</v>
      </c>
      <c r="AP40" s="295">
        <f>+AO40+AN40</f>
        <v>345</v>
      </c>
      <c r="AQ40" s="581"/>
      <c r="AR40" s="655">
        <v>145</v>
      </c>
      <c r="AS40" s="655">
        <v>40</v>
      </c>
      <c r="AT40" s="295">
        <f>+AS40+AR40</f>
        <v>185</v>
      </c>
      <c r="AU40" s="581"/>
      <c r="AV40" s="655">
        <v>86</v>
      </c>
      <c r="AW40" s="655">
        <v>100</v>
      </c>
      <c r="AX40" s="295">
        <f>+AW40+AV40</f>
        <v>186</v>
      </c>
      <c r="AY40" s="671">
        <f>+AX40/AT40-1</f>
        <v>5.4054054054053502E-3</v>
      </c>
      <c r="AZ40" s="655">
        <v>86</v>
      </c>
      <c r="BA40" s="655">
        <v>100</v>
      </c>
      <c r="BB40" s="295">
        <f>+BA40+AZ40</f>
        <v>186</v>
      </c>
      <c r="BC40" s="671">
        <f>+BB40/AX40-1</f>
        <v>0</v>
      </c>
      <c r="BD40" s="655">
        <v>65</v>
      </c>
      <c r="BE40" s="655">
        <v>75</v>
      </c>
      <c r="BF40" s="295">
        <f>+BE40+BD40</f>
        <v>140</v>
      </c>
      <c r="BG40" s="1056">
        <f>+BF40/BB40-1</f>
        <v>-0.24731182795698925</v>
      </c>
      <c r="BH40" s="655">
        <v>75</v>
      </c>
      <c r="BI40" s="655">
        <v>125</v>
      </c>
      <c r="BJ40" s="295">
        <f>+BI40+BH40</f>
        <v>200</v>
      </c>
      <c r="BK40" s="1056">
        <f>+BJ40/BF40-1</f>
        <v>0.4285714285714286</v>
      </c>
      <c r="BL40" s="655">
        <v>100</v>
      </c>
      <c r="BM40" s="655">
        <v>160</v>
      </c>
      <c r="BN40" s="295">
        <f>+BM40+BL40</f>
        <v>260</v>
      </c>
      <c r="BO40" s="1056">
        <f>+BN40/BJ40-1</f>
        <v>0.30000000000000004</v>
      </c>
      <c r="BP40" s="655">
        <v>130</v>
      </c>
      <c r="BQ40" s="655">
        <v>200</v>
      </c>
      <c r="BR40" s="295">
        <f>+BQ40+BP40</f>
        <v>330</v>
      </c>
      <c r="BS40" s="1056">
        <f>+BR40/BN40-1</f>
        <v>0.26923076923076916</v>
      </c>
      <c r="BT40" s="655">
        <v>160</v>
      </c>
      <c r="BU40" s="655">
        <v>240</v>
      </c>
      <c r="BV40" s="295">
        <f>+BU40+BT40</f>
        <v>400</v>
      </c>
      <c r="BW40" s="1056">
        <f>+BV40/BR40-1</f>
        <v>0.21212121212121215</v>
      </c>
      <c r="BX40" s="655">
        <v>190</v>
      </c>
      <c r="BY40" s="655">
        <v>280</v>
      </c>
      <c r="BZ40" s="295">
        <f>+BY40+BX40</f>
        <v>470</v>
      </c>
      <c r="CA40" s="1056">
        <f>+BZ40/BV40-1</f>
        <v>0.17500000000000004</v>
      </c>
      <c r="CB40" s="655">
        <v>205</v>
      </c>
      <c r="CC40" s="655">
        <v>320</v>
      </c>
      <c r="CD40" s="295">
        <f>+CC40+CB40</f>
        <v>525</v>
      </c>
      <c r="CE40" s="1056">
        <f>+CD40/BZ40-1</f>
        <v>0.11702127659574457</v>
      </c>
      <c r="CF40" s="655">
        <v>215</v>
      </c>
      <c r="CG40" s="655">
        <v>360</v>
      </c>
      <c r="CH40" s="295">
        <f>+CG40+CF40</f>
        <v>575</v>
      </c>
      <c r="CI40" s="1056">
        <f>+CH40/CD40-1</f>
        <v>9.5238095238095344E-2</v>
      </c>
      <c r="CJ40" s="655">
        <v>250</v>
      </c>
      <c r="CK40" s="655">
        <v>180</v>
      </c>
      <c r="CL40" s="295">
        <f>+CK40+CJ40</f>
        <v>430</v>
      </c>
      <c r="CM40" s="1056">
        <f>+CL40/CH40-1</f>
        <v>-0.25217391304347825</v>
      </c>
      <c r="CN40" s="655">
        <v>135</v>
      </c>
      <c r="CO40" s="655">
        <v>335</v>
      </c>
      <c r="CP40" s="295">
        <f>+CO40+CN40</f>
        <v>470</v>
      </c>
      <c r="CQ40" s="1056">
        <f>+CP40/CL40-1</f>
        <v>9.3023255813953432E-2</v>
      </c>
      <c r="CR40" s="655">
        <v>272</v>
      </c>
      <c r="CS40" s="655">
        <v>350</v>
      </c>
      <c r="CT40" s="295">
        <f>+CS40+CR40</f>
        <v>622</v>
      </c>
      <c r="CU40" s="1056">
        <f>+CT40/CP40-1</f>
        <v>0.32340425531914896</v>
      </c>
      <c r="CV40" s="1489">
        <v>300</v>
      </c>
      <c r="CW40" s="655">
        <v>450</v>
      </c>
      <c r="CX40" s="295">
        <f>+CW40+CV40</f>
        <v>750</v>
      </c>
      <c r="CY40" s="1056">
        <f>+CX40/CT40-1</f>
        <v>0.20578778135048226</v>
      </c>
      <c r="CZ40" s="1489">
        <v>255</v>
      </c>
      <c r="DA40" s="1872">
        <v>385</v>
      </c>
      <c r="DB40" s="295">
        <f>+DA40+CZ40</f>
        <v>640</v>
      </c>
      <c r="DC40" s="1056">
        <f>+DB40/CX40-1</f>
        <v>-0.14666666666666661</v>
      </c>
      <c r="DD40" s="1489">
        <v>260</v>
      </c>
      <c r="DE40" s="2190">
        <v>390</v>
      </c>
      <c r="DF40" s="295">
        <f>+DE40+DD40</f>
        <v>650</v>
      </c>
      <c r="DG40" s="1056">
        <f>+DF40/DB40-1</f>
        <v>1.5625E-2</v>
      </c>
      <c r="DH40" s="1489">
        <v>280</v>
      </c>
      <c r="DI40" s="295">
        <f>MROUND((DI48*DI8/DI43*100),5)</f>
        <v>430</v>
      </c>
      <c r="DJ40" s="295">
        <f>+DI40+DH40</f>
        <v>710</v>
      </c>
      <c r="DK40" s="1056">
        <f>+DJ40/DF40-1</f>
        <v>9.2307692307692202E-2</v>
      </c>
      <c r="DL40" s="295">
        <f>MROUND((DL48*DL8/DL43*100),5)</f>
        <v>325</v>
      </c>
      <c r="DM40" s="295">
        <f>MROUND((DM48*DM8/DM43*100),5)</f>
        <v>450</v>
      </c>
      <c r="DN40" s="295">
        <f>+DM40+DL40</f>
        <v>775</v>
      </c>
      <c r="DO40" s="1056">
        <f>+DN40/DJ40-1</f>
        <v>9.1549295774647987E-2</v>
      </c>
      <c r="DP40" s="295">
        <f>MROUND((DP48*DP8/DP43*100),5)</f>
        <v>350</v>
      </c>
      <c r="DQ40" s="295">
        <f>MROUND((DQ48*DQ8/DQ43*100),5)</f>
        <v>480</v>
      </c>
      <c r="DR40" s="295">
        <f>+DQ40+DP40</f>
        <v>830</v>
      </c>
      <c r="DS40" s="1056">
        <f>+DR40/DN40-1</f>
        <v>7.0967741935483941E-2</v>
      </c>
      <c r="JJ40"/>
    </row>
    <row r="41" spans="1:270" s="289" customFormat="1">
      <c r="A41" s="289" t="s">
        <v>87</v>
      </c>
      <c r="C41" s="290" t="s">
        <v>82</v>
      </c>
      <c r="D41" s="290"/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655">
        <v>0</v>
      </c>
      <c r="Q41" s="655">
        <v>0</v>
      </c>
      <c r="R41" s="295">
        <f>+Q41+P41</f>
        <v>0</v>
      </c>
      <c r="S41" s="290"/>
      <c r="T41" s="655">
        <v>0</v>
      </c>
      <c r="U41" s="655">
        <v>0</v>
      </c>
      <c r="V41" s="295">
        <f>+U41+T41</f>
        <v>0</v>
      </c>
      <c r="W41" s="290"/>
      <c r="X41" s="655">
        <v>0</v>
      </c>
      <c r="Y41" s="655">
        <v>40</v>
      </c>
      <c r="Z41" s="295">
        <f>+Y41+X41</f>
        <v>40</v>
      </c>
      <c r="AA41" s="581"/>
      <c r="AB41" s="655">
        <v>0</v>
      </c>
      <c r="AC41" s="655">
        <v>40</v>
      </c>
      <c r="AD41" s="295">
        <f>+AC41+AB41</f>
        <v>40</v>
      </c>
      <c r="AE41" s="791"/>
      <c r="AF41" s="655">
        <v>0</v>
      </c>
      <c r="AG41" s="655">
        <v>0</v>
      </c>
      <c r="AH41" s="295">
        <f>+AG41+AF41</f>
        <v>0</v>
      </c>
      <c r="AI41" s="581"/>
      <c r="AJ41" s="655">
        <v>0</v>
      </c>
      <c r="AK41" s="655">
        <v>0</v>
      </c>
      <c r="AL41" s="295">
        <f>+AK41+AJ41</f>
        <v>0</v>
      </c>
      <c r="AM41" s="581"/>
      <c r="AN41" s="655">
        <v>0</v>
      </c>
      <c r="AO41" s="655">
        <v>0</v>
      </c>
      <c r="AP41" s="295">
        <f>+AO41+AN41</f>
        <v>0</v>
      </c>
      <c r="AQ41" s="581"/>
      <c r="AR41" s="655">
        <v>0</v>
      </c>
      <c r="AS41" s="655">
        <v>0</v>
      </c>
      <c r="AT41" s="295">
        <f>+AS41+AR41</f>
        <v>0</v>
      </c>
      <c r="AU41" s="581"/>
      <c r="AV41" s="655">
        <v>0</v>
      </c>
      <c r="AW41" s="655">
        <v>0</v>
      </c>
      <c r="AX41" s="295">
        <f>+AW41+AV41</f>
        <v>0</v>
      </c>
      <c r="AY41" s="581"/>
      <c r="AZ41" s="655">
        <v>0</v>
      </c>
      <c r="BA41" s="655">
        <v>0</v>
      </c>
      <c r="BB41" s="295">
        <f>+BA41+AZ41</f>
        <v>0</v>
      </c>
      <c r="BC41" s="581"/>
      <c r="BD41" s="655">
        <v>0</v>
      </c>
      <c r="BE41" s="655">
        <v>0</v>
      </c>
      <c r="BF41" s="295">
        <f>+BE41+BD41</f>
        <v>0</v>
      </c>
      <c r="BG41" s="581"/>
      <c r="BH41" s="655">
        <v>0</v>
      </c>
      <c r="BI41" s="655">
        <v>0</v>
      </c>
      <c r="BJ41" s="295">
        <f>+BI41+BH41</f>
        <v>0</v>
      </c>
      <c r="BK41" s="581"/>
      <c r="BL41" s="655">
        <v>0</v>
      </c>
      <c r="BM41" s="655">
        <v>0</v>
      </c>
      <c r="BN41" s="295">
        <f>+BM41+BL41</f>
        <v>0</v>
      </c>
      <c r="BO41" s="581"/>
      <c r="BP41" s="655">
        <v>0</v>
      </c>
      <c r="BQ41" s="655">
        <v>0</v>
      </c>
      <c r="BR41" s="295">
        <f>+BQ41+BP41</f>
        <v>0</v>
      </c>
      <c r="BS41" s="581"/>
      <c r="BT41" s="655">
        <v>0</v>
      </c>
      <c r="BU41" s="655">
        <v>0</v>
      </c>
      <c r="BV41" s="295">
        <f>+BU41+BT41</f>
        <v>0</v>
      </c>
      <c r="BW41" s="581"/>
      <c r="BX41" s="655">
        <v>0</v>
      </c>
      <c r="BY41" s="655">
        <v>0</v>
      </c>
      <c r="BZ41" s="295">
        <f>+BY41+BX41</f>
        <v>0</v>
      </c>
      <c r="CA41" s="581"/>
      <c r="CB41" s="655">
        <v>0</v>
      </c>
      <c r="CC41" s="655">
        <v>0</v>
      </c>
      <c r="CD41" s="295">
        <f>+CC41+CB41</f>
        <v>0</v>
      </c>
      <c r="CE41" s="581"/>
      <c r="CF41" s="655">
        <v>0</v>
      </c>
      <c r="CG41" s="655">
        <v>0</v>
      </c>
      <c r="CH41" s="295">
        <f>+CG41+CF41</f>
        <v>0</v>
      </c>
      <c r="CI41" s="581"/>
      <c r="CJ41" s="655">
        <v>0</v>
      </c>
      <c r="CK41" s="655">
        <v>0</v>
      </c>
      <c r="CL41" s="295">
        <f>+CK41+CJ41</f>
        <v>0</v>
      </c>
      <c r="CM41" s="581"/>
      <c r="CN41" s="655">
        <v>0</v>
      </c>
      <c r="CO41" s="655">
        <v>0</v>
      </c>
      <c r="CP41" s="295">
        <f>+CO41+CN41</f>
        <v>0</v>
      </c>
      <c r="CQ41" s="581"/>
      <c r="CR41" s="655">
        <v>0</v>
      </c>
      <c r="CS41" s="655">
        <v>0</v>
      </c>
      <c r="CT41" s="295">
        <f>+CS41+CR41</f>
        <v>0</v>
      </c>
      <c r="CU41" s="581"/>
      <c r="CV41" s="1489">
        <v>0</v>
      </c>
      <c r="CW41" s="655">
        <v>0</v>
      </c>
      <c r="CX41" s="295">
        <f>+CW41+CV41</f>
        <v>0</v>
      </c>
      <c r="CY41" s="581"/>
      <c r="CZ41" s="1489">
        <v>0</v>
      </c>
      <c r="DA41" s="655">
        <v>0</v>
      </c>
      <c r="DB41" s="295">
        <f>+DA41+CZ41</f>
        <v>0</v>
      </c>
      <c r="DC41" s="581"/>
      <c r="DD41" s="1489">
        <v>0</v>
      </c>
      <c r="DE41" s="655">
        <v>0</v>
      </c>
      <c r="DF41" s="295">
        <f>+DE41+DD41</f>
        <v>0</v>
      </c>
      <c r="DG41" s="581"/>
      <c r="DH41" s="1489">
        <v>0</v>
      </c>
      <c r="DI41" s="295">
        <f>ROUND((DI49*DI8/DI43*100),0)</f>
        <v>0</v>
      </c>
      <c r="DJ41" s="295">
        <f>+DI41+DH41</f>
        <v>0</v>
      </c>
      <c r="DK41" s="581"/>
      <c r="DL41" s="295">
        <f>ROUND((DL49*DL8/DL43*100),0)</f>
        <v>0</v>
      </c>
      <c r="DM41" s="295">
        <f>ROUND((DM49*DM8/DM43*100),0)</f>
        <v>0</v>
      </c>
      <c r="DN41" s="295">
        <f>+DM41+DL41</f>
        <v>0</v>
      </c>
      <c r="DO41" s="581"/>
      <c r="DP41" s="295">
        <f>ROUND((DP49*DP8/DP43*100),0)</f>
        <v>0</v>
      </c>
      <c r="DQ41" s="295">
        <f>ROUND((DQ49*DQ8/DQ43*100),0)</f>
        <v>0</v>
      </c>
      <c r="DR41" s="295">
        <f>+DQ41+DP41</f>
        <v>0</v>
      </c>
      <c r="DS41" s="581"/>
      <c r="JJ41"/>
    </row>
    <row r="42" spans="1:270" s="102" customFormat="1">
      <c r="A42" s="289" t="s">
        <v>88</v>
      </c>
      <c r="C42" s="290" t="s">
        <v>82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295">
        <f>SUM(P40:P41)</f>
        <v>41</v>
      </c>
      <c r="Q42" s="295">
        <f>SUM(Q40:Q41)</f>
        <v>52</v>
      </c>
      <c r="R42" s="295">
        <f>SUM(R40:R41)</f>
        <v>93</v>
      </c>
      <c r="S42" s="103"/>
      <c r="T42" s="295">
        <f>SUM(T40:T41)</f>
        <v>52</v>
      </c>
      <c r="U42" s="295">
        <f>SUM(U40:U41)</f>
        <v>70</v>
      </c>
      <c r="V42" s="295">
        <f>SUM(V40:V41)</f>
        <v>122</v>
      </c>
      <c r="W42" s="103"/>
      <c r="X42" s="295">
        <f>SUM(X40:X41)</f>
        <v>61</v>
      </c>
      <c r="Y42" s="295">
        <f>SUM(Y40:Y41)</f>
        <v>140</v>
      </c>
      <c r="Z42" s="295">
        <f>SUM(Z40:Z41)</f>
        <v>201</v>
      </c>
      <c r="AA42" s="115"/>
      <c r="AB42" s="295">
        <f>SUM(AB40:AB41)</f>
        <v>61</v>
      </c>
      <c r="AC42" s="295">
        <f>SUM(AC40:AC41)</f>
        <v>140</v>
      </c>
      <c r="AD42" s="295">
        <f>SUM(AD40:AD41)</f>
        <v>201</v>
      </c>
      <c r="AE42" s="331"/>
      <c r="AF42" s="295">
        <f>SUM(AF40:AF41)</f>
        <v>90</v>
      </c>
      <c r="AG42" s="295">
        <f>SUM(AG40:AG41)</f>
        <v>125</v>
      </c>
      <c r="AH42" s="295">
        <f>SUM(AH40:AH41)</f>
        <v>215</v>
      </c>
      <c r="AI42" s="115"/>
      <c r="AJ42" s="295">
        <f>SUM(AJ40:AJ41)</f>
        <v>125</v>
      </c>
      <c r="AK42" s="295">
        <f>SUM(AK40:AK41)</f>
        <v>190</v>
      </c>
      <c r="AL42" s="295">
        <f>SUM(AL40:AL41)</f>
        <v>315</v>
      </c>
      <c r="AM42" s="115"/>
      <c r="AN42" s="295">
        <f>SUM(AN40:AN41)</f>
        <v>145</v>
      </c>
      <c r="AO42" s="295">
        <f>SUM(AO40:AO41)</f>
        <v>200</v>
      </c>
      <c r="AP42" s="295">
        <f>SUM(AP40:AP41)</f>
        <v>345</v>
      </c>
      <c r="AQ42" s="115"/>
      <c r="AR42" s="295">
        <f>SUM(AR40:AR41)</f>
        <v>145</v>
      </c>
      <c r="AS42" s="295">
        <f>SUM(AS40:AS41)</f>
        <v>40</v>
      </c>
      <c r="AT42" s="295">
        <f>SUM(AT40:AT41)</f>
        <v>185</v>
      </c>
      <c r="AU42" s="115"/>
      <c r="AV42" s="295">
        <f>SUM(AV40:AV41)</f>
        <v>86</v>
      </c>
      <c r="AW42" s="295">
        <f>SUM(AW40:AW41)</f>
        <v>100</v>
      </c>
      <c r="AX42" s="295">
        <f>SUM(AX40:AX41)</f>
        <v>186</v>
      </c>
      <c r="AY42" s="115"/>
      <c r="AZ42" s="295">
        <f>SUM(AZ40:AZ41)</f>
        <v>86</v>
      </c>
      <c r="BA42" s="295">
        <f>SUM(BA40:BA41)</f>
        <v>100</v>
      </c>
      <c r="BB42" s="295">
        <f>SUM(BB40:BB41)</f>
        <v>186</v>
      </c>
      <c r="BC42" s="115"/>
      <c r="BD42" s="295">
        <f>SUM(BD40:BD41)</f>
        <v>65</v>
      </c>
      <c r="BE42" s="295">
        <f>SUM(BE40:BE41)</f>
        <v>75</v>
      </c>
      <c r="BF42" s="295">
        <f>SUM(BF40:BF41)</f>
        <v>140</v>
      </c>
      <c r="BG42" s="115"/>
      <c r="BH42" s="295">
        <f>SUM(BH40:BH41)</f>
        <v>75</v>
      </c>
      <c r="BI42" s="295">
        <f>SUM(BI40:BI41)</f>
        <v>125</v>
      </c>
      <c r="BJ42" s="295">
        <f>SUM(BJ40:BJ41)</f>
        <v>200</v>
      </c>
      <c r="BK42" s="115"/>
      <c r="BL42" s="295">
        <f>SUM(BL40:BL41)</f>
        <v>100</v>
      </c>
      <c r="BM42" s="295">
        <f>SUM(BM40:BM41)</f>
        <v>160</v>
      </c>
      <c r="BN42" s="295">
        <f>SUM(BN40:BN41)</f>
        <v>260</v>
      </c>
      <c r="BO42" s="115"/>
      <c r="BP42" s="295">
        <f>SUM(BP40:BP41)</f>
        <v>130</v>
      </c>
      <c r="BQ42" s="295">
        <f>SUM(BQ40:BQ41)</f>
        <v>200</v>
      </c>
      <c r="BR42" s="295">
        <f>SUM(BR40:BR41)</f>
        <v>330</v>
      </c>
      <c r="BS42" s="115"/>
      <c r="BT42" s="295">
        <f>SUM(BT40:BT41)</f>
        <v>160</v>
      </c>
      <c r="BU42" s="295">
        <f>SUM(BU40:BU41)</f>
        <v>240</v>
      </c>
      <c r="BV42" s="295">
        <f>SUM(BV40:BV41)</f>
        <v>400</v>
      </c>
      <c r="BW42" s="331"/>
      <c r="BX42" s="295">
        <f>SUM(BX40:BX41)</f>
        <v>190</v>
      </c>
      <c r="BY42" s="295">
        <f>SUM(BY40:BY41)</f>
        <v>280</v>
      </c>
      <c r="BZ42" s="295">
        <f>SUM(BZ40:BZ41)</f>
        <v>470</v>
      </c>
      <c r="CA42" s="331"/>
      <c r="CB42" s="295">
        <f>SUM(CB40:CB41)</f>
        <v>205</v>
      </c>
      <c r="CC42" s="295">
        <f>SUM(CC40:CC41)</f>
        <v>320</v>
      </c>
      <c r="CD42" s="295">
        <f>SUM(CD40:CD41)</f>
        <v>525</v>
      </c>
      <c r="CE42" s="331"/>
      <c r="CF42" s="295">
        <f>SUM(CF40:CF41)</f>
        <v>215</v>
      </c>
      <c r="CG42" s="295">
        <f>SUM(CG40:CG41)</f>
        <v>360</v>
      </c>
      <c r="CH42" s="295">
        <f>SUM(CH40:CH41)</f>
        <v>575</v>
      </c>
      <c r="CI42" s="331"/>
      <c r="CJ42" s="295">
        <f>SUM(CJ40:CJ41)</f>
        <v>250</v>
      </c>
      <c r="CK42" s="295">
        <f>SUM(CK40:CK41)</f>
        <v>180</v>
      </c>
      <c r="CL42" s="295">
        <f>SUM(CL40:CL41)</f>
        <v>430</v>
      </c>
      <c r="CM42" s="331"/>
      <c r="CN42" s="295">
        <f>SUM(CN40:CN41)</f>
        <v>135</v>
      </c>
      <c r="CO42" s="295">
        <f>SUM(CO40:CO41)</f>
        <v>335</v>
      </c>
      <c r="CP42" s="295">
        <f>SUM(CP40:CP41)</f>
        <v>470</v>
      </c>
      <c r="CQ42" s="331"/>
      <c r="CR42" s="295">
        <f>SUM(CR40:CR41)</f>
        <v>272</v>
      </c>
      <c r="CS42" s="295">
        <f>SUM(CS40:CS41)</f>
        <v>350</v>
      </c>
      <c r="CT42" s="295">
        <f>SUM(CT40:CT41)</f>
        <v>622</v>
      </c>
      <c r="CU42" s="331"/>
      <c r="CV42" s="295">
        <f>SUM(CV40:CV41)</f>
        <v>300</v>
      </c>
      <c r="CW42" s="295">
        <f>SUM(CW40:CW41)</f>
        <v>450</v>
      </c>
      <c r="CX42" s="295">
        <f>SUM(CX40:CX41)</f>
        <v>750</v>
      </c>
      <c r="CY42" s="331"/>
      <c r="CZ42" s="295">
        <f>SUM(CZ40:CZ41)</f>
        <v>255</v>
      </c>
      <c r="DA42" s="295">
        <f>SUM(DA40:DA41)</f>
        <v>385</v>
      </c>
      <c r="DB42" s="295">
        <f>SUM(DB40:DB41)</f>
        <v>640</v>
      </c>
      <c r="DC42" s="331"/>
      <c r="DD42" s="295">
        <f>SUM(DD40:DD41)</f>
        <v>260</v>
      </c>
      <c r="DE42" s="295">
        <f>SUM(DE40:DE41)</f>
        <v>390</v>
      </c>
      <c r="DF42" s="295">
        <f>SUM(DF40:DF41)</f>
        <v>650</v>
      </c>
      <c r="DG42" s="331"/>
      <c r="DH42" s="295">
        <f>SUM(DH40:DH41)</f>
        <v>280</v>
      </c>
      <c r="DI42" s="295">
        <f>SUM(DI40:DI41)</f>
        <v>430</v>
      </c>
      <c r="DJ42" s="295">
        <f>SUM(DJ40:DJ41)</f>
        <v>710</v>
      </c>
      <c r="DK42" s="331"/>
      <c r="DL42" s="295">
        <f>SUM(DL40:DL41)</f>
        <v>325</v>
      </c>
      <c r="DM42" s="295">
        <f>SUM(DM40:DM41)</f>
        <v>450</v>
      </c>
      <c r="DN42" s="295">
        <f>SUM(DN40:DN41)</f>
        <v>775</v>
      </c>
      <c r="DO42" s="331"/>
      <c r="DP42" s="295">
        <f>SUM(DP40:DP41)</f>
        <v>350</v>
      </c>
      <c r="DQ42" s="295">
        <f>SUM(DQ40:DQ41)</f>
        <v>480</v>
      </c>
      <c r="DR42" s="295">
        <f>SUM(DR40:DR41)</f>
        <v>830</v>
      </c>
      <c r="DS42" s="331"/>
      <c r="JJ42"/>
    </row>
    <row r="43" spans="1:270" s="102" customFormat="1">
      <c r="A43" s="102" t="s">
        <v>61</v>
      </c>
      <c r="C43" s="103" t="s">
        <v>63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711">
        <f>'Bal Sheet'!P295</f>
        <v>202.53310300000001</v>
      </c>
      <c r="Q43" s="711">
        <f>'Bal Sheet'!Q295</f>
        <v>204.49814400000002</v>
      </c>
      <c r="R43" s="711">
        <f>'Bal Sheet'!R295</f>
        <v>204.49814400000002</v>
      </c>
      <c r="S43" s="103"/>
      <c r="T43" s="711">
        <f>'Bal Sheet'!T295</f>
        <v>217.567485</v>
      </c>
      <c r="U43" s="711">
        <f>'Bal Sheet'!U295</f>
        <v>215.91628500000002</v>
      </c>
      <c r="V43" s="711">
        <f>'Bal Sheet'!V295</f>
        <v>215.91628499999999</v>
      </c>
      <c r="W43" s="103"/>
      <c r="X43" s="711">
        <f>'Bal Sheet'!X295</f>
        <v>219.76099399999998</v>
      </c>
      <c r="Y43" s="711">
        <f>'Bal Sheet'!Y295</f>
        <v>223.68359199999998</v>
      </c>
      <c r="Z43" s="711">
        <f>'Bal Sheet'!Z295</f>
        <v>223.68359199999998</v>
      </c>
      <c r="AA43" s="115"/>
      <c r="AB43" s="711">
        <f>'Bal Sheet'!AB295</f>
        <v>219.76099399999998</v>
      </c>
      <c r="AC43" s="711">
        <f>'Bal Sheet'!AC295</f>
        <v>223.68359199999998</v>
      </c>
      <c r="AD43" s="711">
        <f>'Bal Sheet'!AD295</f>
        <v>223.68359199999998</v>
      </c>
      <c r="AE43" s="331"/>
      <c r="AF43" s="711">
        <f>'Bal Sheet'!AF295</f>
        <v>230.31941699999999</v>
      </c>
      <c r="AG43" s="711">
        <f>'Bal Sheet'!AG295</f>
        <v>232.440369</v>
      </c>
      <c r="AH43" s="711">
        <f>'Bal Sheet'!AH295</f>
        <v>232.44036899999998</v>
      </c>
      <c r="AI43" s="115"/>
      <c r="AJ43" s="711">
        <f>'Bal Sheet'!AJ295</f>
        <v>249.68324899999999</v>
      </c>
      <c r="AK43" s="711">
        <f>'Bal Sheet'!AK295</f>
        <v>253.941205</v>
      </c>
      <c r="AL43" s="711">
        <f>'Bal Sheet'!AL295</f>
        <v>253.941205</v>
      </c>
      <c r="AM43" s="115"/>
      <c r="AN43" s="711">
        <f>'Bal Sheet'!AN295</f>
        <v>271.086657</v>
      </c>
      <c r="AO43" s="711">
        <f>'Bal Sheet'!AO295</f>
        <v>274.57084000000003</v>
      </c>
      <c r="AP43" s="711">
        <f>'Bal Sheet'!AP295</f>
        <v>274.57084000000003</v>
      </c>
      <c r="AQ43" s="115"/>
      <c r="AR43" s="711">
        <f>'Bal Sheet'!AR295</f>
        <v>281.016368</v>
      </c>
      <c r="AS43" s="711">
        <f>'Bal Sheet'!AS295</f>
        <v>283.43799999999999</v>
      </c>
      <c r="AT43" s="711">
        <f>'Bal Sheet'!AT295</f>
        <v>283.43799999999999</v>
      </c>
      <c r="AU43" s="115"/>
      <c r="AV43" s="711">
        <f>'Bal Sheet'!AV295</f>
        <v>342.18302399999999</v>
      </c>
      <c r="AW43" s="711">
        <f>'Bal Sheet'!AW295</f>
        <v>344.24427100000003</v>
      </c>
      <c r="AX43" s="711">
        <f>'Bal Sheet'!AX295</f>
        <v>344.24427100000003</v>
      </c>
      <c r="AY43" s="115"/>
      <c r="AZ43" s="711">
        <f>'Bal Sheet'!AZ295</f>
        <v>345.60130099999998</v>
      </c>
      <c r="BA43" s="711">
        <f>'Bal Sheet'!BA295</f>
        <v>346.81496099999998</v>
      </c>
      <c r="BB43" s="711">
        <f>'Bal Sheet'!BB295</f>
        <v>346.81496099999998</v>
      </c>
      <c r="BC43" s="115"/>
      <c r="BD43" s="711">
        <f>'Bal Sheet'!BD295</f>
        <v>348.285032</v>
      </c>
      <c r="BE43" s="711">
        <f>'Bal Sheet'!BE295</f>
        <v>348.584383</v>
      </c>
      <c r="BF43" s="711">
        <f>'Bal Sheet'!BF295</f>
        <v>348.584383</v>
      </c>
      <c r="BG43" s="115"/>
      <c r="BH43" s="711">
        <f>'Bal Sheet'!BH295</f>
        <v>339.00911100000002</v>
      </c>
      <c r="BI43" s="711">
        <f>'Bal Sheet'!BI295</f>
        <v>339.50657799999999</v>
      </c>
      <c r="BJ43" s="711">
        <f>'Bal Sheet'!BJ295</f>
        <v>339.50657799999999</v>
      </c>
      <c r="BK43" s="115"/>
      <c r="BL43" s="711">
        <f>'Bal Sheet'!BL295</f>
        <v>339.888036</v>
      </c>
      <c r="BM43" s="711">
        <f>'Bal Sheet'!BM295</f>
        <v>321.07474999999999</v>
      </c>
      <c r="BN43" s="711">
        <f>'Bal Sheet'!BN295</f>
        <v>321.07474999999999</v>
      </c>
      <c r="BO43" s="115"/>
      <c r="BP43" s="711">
        <f>'Bal Sheet'!BP295</f>
        <v>321.20299399999999</v>
      </c>
      <c r="BQ43" s="711">
        <f>'Bal Sheet'!BQ295</f>
        <v>333.45777699999996</v>
      </c>
      <c r="BR43" s="711">
        <f>'Bal Sheet'!BR295</f>
        <v>333.45777700000002</v>
      </c>
      <c r="BS43" s="115"/>
      <c r="BT43" s="711">
        <f>'Bal Sheet'!BT295</f>
        <v>333.53196000000003</v>
      </c>
      <c r="BU43" s="711">
        <f>'Bal Sheet'!BU295</f>
        <v>340.30238900000006</v>
      </c>
      <c r="BV43" s="711">
        <f>'Bal Sheet'!BV295</f>
        <v>340.30238900000001</v>
      </c>
      <c r="BW43" s="115"/>
      <c r="BX43" s="711">
        <f>'Bal Sheet'!BX295</f>
        <v>340.33847400000002</v>
      </c>
      <c r="BY43" s="711">
        <f>'Bal Sheet'!BY295</f>
        <v>340.35173099999997</v>
      </c>
      <c r="BZ43" s="711">
        <f>'Bal Sheet'!BZ295</f>
        <v>340.35173099999997</v>
      </c>
      <c r="CA43" s="115"/>
      <c r="CB43" s="711">
        <f>'Bal Sheet'!CB295</f>
        <v>340.35790300000002</v>
      </c>
      <c r="CC43" s="711">
        <f>'Bal Sheet'!CC295</f>
        <v>340.36482000000001</v>
      </c>
      <c r="CD43" s="711">
        <f>'Bal Sheet'!CD295</f>
        <v>340.36482000000001</v>
      </c>
      <c r="CE43" s="115"/>
      <c r="CF43" s="711">
        <f>'Bal Sheet'!CF295</f>
        <v>340.38273800000002</v>
      </c>
      <c r="CG43" s="711">
        <f>'Bal Sheet'!CG295</f>
        <v>340.38273800000002</v>
      </c>
      <c r="CH43" s="711">
        <f>'Bal Sheet'!CH295</f>
        <v>340.38273800000002</v>
      </c>
      <c r="CI43" s="115"/>
      <c r="CJ43" s="711">
        <f>'Bal Sheet'!CJ295</f>
        <v>354.37646699999999</v>
      </c>
      <c r="CK43" s="711">
        <f>'Bal Sheet'!CK295</f>
        <v>354.381396</v>
      </c>
      <c r="CL43" s="711">
        <f>'Bal Sheet'!CL295</f>
        <v>354.381396</v>
      </c>
      <c r="CM43" s="115"/>
      <c r="CN43" s="711">
        <f>'Bal Sheet'!CN295</f>
        <v>361.50362699999999</v>
      </c>
      <c r="CO43" s="711">
        <f>'Bal Sheet'!CO295</f>
        <v>361.82137699999998</v>
      </c>
      <c r="CP43" s="711">
        <f>'Bal Sheet'!CP295</f>
        <v>361.82137699999998</v>
      </c>
      <c r="CQ43" s="115"/>
      <c r="CR43" s="711">
        <f>'Bal Sheet'!CR295</f>
        <v>368.82316900000001</v>
      </c>
      <c r="CS43" s="711">
        <f>'Bal Sheet'!CS295</f>
        <v>383.64763699999997</v>
      </c>
      <c r="CT43" s="711">
        <f>'Bal Sheet'!CT295</f>
        <v>383.64763699999997</v>
      </c>
      <c r="CU43" s="115"/>
      <c r="CV43" s="711">
        <f>'Bal Sheet'!CV295</f>
        <v>386.47675400000003</v>
      </c>
      <c r="CW43" s="711">
        <f>'Bal Sheet'!CW295</f>
        <v>386.47675400000003</v>
      </c>
      <c r="CX43" s="711">
        <f>'Bal Sheet'!CX295</f>
        <v>386.47675400000003</v>
      </c>
      <c r="CY43" s="115"/>
      <c r="CZ43" s="711">
        <f>'Bal Sheet'!CZ295</f>
        <v>386.47675400000003</v>
      </c>
      <c r="DA43" s="711">
        <f>'Bal Sheet'!DA295</f>
        <v>382.96253300000001</v>
      </c>
      <c r="DB43" s="711">
        <f>'Bal Sheet'!DB295</f>
        <v>382.96253300000001</v>
      </c>
      <c r="DC43" s="115"/>
      <c r="DD43" s="711">
        <f>'Bal Sheet'!DD295</f>
        <v>381.13841500000001</v>
      </c>
      <c r="DE43" s="711">
        <f>'Bal Sheet'!DE295</f>
        <v>381.13841500000001</v>
      </c>
      <c r="DF43" s="711">
        <f>'Bal Sheet'!DF295</f>
        <v>381.13841500000001</v>
      </c>
      <c r="DG43" s="115"/>
      <c r="DH43" s="711">
        <f>'Bal Sheet'!DH295</f>
        <v>381.13841500000001</v>
      </c>
      <c r="DI43" s="711">
        <f>'Bal Sheet'!DI295</f>
        <v>382.09126103750003</v>
      </c>
      <c r="DJ43" s="711">
        <f>'Bal Sheet'!DJ295</f>
        <v>382.09126103750003</v>
      </c>
      <c r="DK43" s="115"/>
      <c r="DL43" s="711">
        <f>'Bal Sheet'!DL295</f>
        <v>383.04648919009378</v>
      </c>
      <c r="DM43" s="711">
        <f>'Bal Sheet'!DM295</f>
        <v>384.004105413069</v>
      </c>
      <c r="DN43" s="711">
        <f>'Bal Sheet'!DN295</f>
        <v>384.004105413069</v>
      </c>
      <c r="DO43" s="115"/>
      <c r="DP43" s="711">
        <f>'Bal Sheet'!DP295</f>
        <v>384.96411567660169</v>
      </c>
      <c r="DQ43" s="711">
        <f>'Bal Sheet'!DQ295</f>
        <v>385.92652596579319</v>
      </c>
      <c r="DR43" s="711">
        <f>'Bal Sheet'!DR295</f>
        <v>385.92652596579319</v>
      </c>
      <c r="DS43" s="115"/>
      <c r="JJ43"/>
    </row>
    <row r="44" spans="1:270" s="102" customFormat="1">
      <c r="A44" s="102" t="s">
        <v>89</v>
      </c>
      <c r="C44" s="103" t="s">
        <v>612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293">
        <f>+P40*P43/100</f>
        <v>83.038572230000014</v>
      </c>
      <c r="Q44" s="293">
        <f>+Q40*Q43/100</f>
        <v>106.33903488000001</v>
      </c>
      <c r="R44" s="293">
        <f>+Q44+P44</f>
        <v>189.37760711000004</v>
      </c>
      <c r="S44" s="103"/>
      <c r="T44" s="293">
        <f>+T40*T43/100</f>
        <v>113.1350922</v>
      </c>
      <c r="U44" s="293">
        <f>+U40*U43/100</f>
        <v>151.14139950000001</v>
      </c>
      <c r="V44" s="293">
        <f>+U44+T44</f>
        <v>264.27649170000001</v>
      </c>
      <c r="W44" s="103"/>
      <c r="X44" s="293">
        <f>+X40*X43/100</f>
        <v>134.05420633999998</v>
      </c>
      <c r="Y44" s="293">
        <f>+Y40*Y43/100</f>
        <v>223.68359199999998</v>
      </c>
      <c r="Z44" s="293">
        <f>+Y44+X44</f>
        <v>357.73779833999993</v>
      </c>
      <c r="AA44" s="115"/>
      <c r="AB44" s="293">
        <f>+AB40*AB43/100</f>
        <v>134.05420633999998</v>
      </c>
      <c r="AC44" s="293">
        <f>+AC40*AC43/100</f>
        <v>223.68359199999998</v>
      </c>
      <c r="AD44" s="293">
        <f>+AC44+AB44</f>
        <v>357.73779833999993</v>
      </c>
      <c r="AE44" s="331"/>
      <c r="AF44" s="293">
        <f>+AF40*AF43/100</f>
        <v>207.28747530000001</v>
      </c>
      <c r="AG44" s="293">
        <f>+AG40*AG43/100</f>
        <v>290.55046125000001</v>
      </c>
      <c r="AH44" s="293">
        <f>+AG44+AF44</f>
        <v>497.83793654999999</v>
      </c>
      <c r="AI44" s="115"/>
      <c r="AJ44" s="293">
        <f>+AJ40*AJ43/100</f>
        <v>312.10406124999997</v>
      </c>
      <c r="AK44" s="293">
        <f>+AK40*AK43/100</f>
        <v>482.48828950000001</v>
      </c>
      <c r="AL44" s="293">
        <f>+AK44+AJ44</f>
        <v>794.59235074999992</v>
      </c>
      <c r="AM44" s="115"/>
      <c r="AN44" s="293">
        <f>+AN40*AN43/100</f>
        <v>393.07565264999999</v>
      </c>
      <c r="AO44" s="293">
        <f>+AO40*AO43/100</f>
        <v>549.14168000000006</v>
      </c>
      <c r="AP44" s="293">
        <f>+AO44+AN44</f>
        <v>942.21733265000012</v>
      </c>
      <c r="AQ44" s="115"/>
      <c r="AR44" s="293">
        <f>+AR40*AR43/100</f>
        <v>407.4737336</v>
      </c>
      <c r="AS44" s="293">
        <f>+AS40*AS43/100</f>
        <v>113.37520000000001</v>
      </c>
      <c r="AT44" s="293">
        <f>+AS44+AR44</f>
        <v>520.84893360000001</v>
      </c>
      <c r="AU44" s="115"/>
      <c r="AV44" s="293">
        <f>+AV40*AV43/100</f>
        <v>294.27740064</v>
      </c>
      <c r="AW44" s="293">
        <f>+AW40*AW43/100</f>
        <v>344.24427100000003</v>
      </c>
      <c r="AX44" s="293">
        <f>+AW44+AV44</f>
        <v>638.52167164000002</v>
      </c>
      <c r="AY44" s="115"/>
      <c r="AZ44" s="293">
        <f>+AZ40*AZ43/100</f>
        <v>297.21711885999997</v>
      </c>
      <c r="BA44" s="293">
        <f>+BA40*BA43/100</f>
        <v>346.81496099999998</v>
      </c>
      <c r="BB44" s="293">
        <f>+BA44+AZ44</f>
        <v>644.03207985999995</v>
      </c>
      <c r="BC44" s="115"/>
      <c r="BD44" s="293">
        <f>+BD40*BD43/100</f>
        <v>226.3852708</v>
      </c>
      <c r="BE44" s="293">
        <f>+BE40*BE43/100</f>
        <v>261.43828724999997</v>
      </c>
      <c r="BF44" s="293">
        <f>+BE44+BD44</f>
        <v>487.82355804999997</v>
      </c>
      <c r="BG44" s="115"/>
      <c r="BH44" s="293">
        <f>+BH40*BH43/100</f>
        <v>254.25683325000003</v>
      </c>
      <c r="BI44" s="293">
        <f>+BI40*BI43/100</f>
        <v>424.38322249999999</v>
      </c>
      <c r="BJ44" s="293">
        <f>+BI44+BH44</f>
        <v>678.64005574999999</v>
      </c>
      <c r="BK44" s="115"/>
      <c r="BL44" s="293">
        <f>+BL40*BL43/100</f>
        <v>339.888036</v>
      </c>
      <c r="BM44" s="293">
        <f>+BM40*BM43/100</f>
        <v>513.71960000000001</v>
      </c>
      <c r="BN44" s="293">
        <f>+BM44+BL44</f>
        <v>853.60763599999996</v>
      </c>
      <c r="BO44" s="115"/>
      <c r="BP44" s="293">
        <f>+BP40*BP43/100</f>
        <v>417.5638922</v>
      </c>
      <c r="BQ44" s="293">
        <f>+BQ40*BQ43/100</f>
        <v>666.91555399999993</v>
      </c>
      <c r="BR44" s="293">
        <f>+BQ44+BP44</f>
        <v>1084.4794462</v>
      </c>
      <c r="BS44" s="115"/>
      <c r="BT44" s="293">
        <f>+BT40*BT43/100</f>
        <v>533.65113600000006</v>
      </c>
      <c r="BU44" s="293">
        <f>+BU40*BU43/100</f>
        <v>816.72573360000013</v>
      </c>
      <c r="BV44" s="293">
        <f>+BU44+BT44</f>
        <v>1350.3768696000002</v>
      </c>
      <c r="BW44" s="115"/>
      <c r="BX44" s="293">
        <f>+BX40*BX43/100</f>
        <v>646.64310060000003</v>
      </c>
      <c r="BY44" s="293">
        <f>+BY40*BY43/100</f>
        <v>952.9848467999999</v>
      </c>
      <c r="BZ44" s="293">
        <f>+BY44+BX44</f>
        <v>1599.6279473999998</v>
      </c>
      <c r="CA44" s="115"/>
      <c r="CB44" s="293">
        <f>+CB40*CB43/100</f>
        <v>697.73370115</v>
      </c>
      <c r="CC44" s="293">
        <f>+CC40*CC43/100</f>
        <v>1089.167424</v>
      </c>
      <c r="CD44" s="293">
        <f>+CC44+CB44</f>
        <v>1786.9011251500001</v>
      </c>
      <c r="CE44" s="115"/>
      <c r="CF44" s="293">
        <f>+CF40*CF43/100</f>
        <v>731.82288670000014</v>
      </c>
      <c r="CG44" s="293">
        <f>+CG40*CG43/100</f>
        <v>1225.3778568</v>
      </c>
      <c r="CH44" s="293">
        <f>+CG44+CF44</f>
        <v>1957.2007435</v>
      </c>
      <c r="CI44" s="115"/>
      <c r="CJ44" s="293">
        <f>+CJ40*CJ43/100</f>
        <v>885.94116750000001</v>
      </c>
      <c r="CK44" s="293">
        <f>+CK40*CK43/100</f>
        <v>637.88651279999999</v>
      </c>
      <c r="CL44" s="293">
        <f>+CK44+CJ44</f>
        <v>1523.8276802999999</v>
      </c>
      <c r="CM44" s="115"/>
      <c r="CN44" s="293">
        <f>+CN40*CN43/100</f>
        <v>488.02989645000002</v>
      </c>
      <c r="CO44" s="293">
        <f>+CO40*CO43/100</f>
        <v>1212.1016129499999</v>
      </c>
      <c r="CP44" s="293">
        <f>+CO44+CN44</f>
        <v>1700.1315093999999</v>
      </c>
      <c r="CQ44" s="115"/>
      <c r="CR44" s="293">
        <f>+CR40*CR43/100</f>
        <v>1003.1990196800001</v>
      </c>
      <c r="CS44" s="293">
        <f>+CS40*CS43/100</f>
        <v>1342.7667294999999</v>
      </c>
      <c r="CT44" s="293">
        <f>+CS44+CR44</f>
        <v>2345.9657491799999</v>
      </c>
      <c r="CU44" s="115"/>
      <c r="CV44" s="293">
        <f>+CV40*CV43/100</f>
        <v>1159.4302620000001</v>
      </c>
      <c r="CW44" s="293">
        <f>+CW40*CW43/100</f>
        <v>1739.145393</v>
      </c>
      <c r="CX44" s="293">
        <f>+CW44+CV44</f>
        <v>2898.5756550000001</v>
      </c>
      <c r="CY44" s="115"/>
      <c r="CZ44" s="293">
        <f>+CZ40*CZ43/100</f>
        <v>985.51572270000008</v>
      </c>
      <c r="DA44" s="293">
        <f>+DA40*DA43/100</f>
        <v>1474.40575205</v>
      </c>
      <c r="DB44" s="293">
        <f>+DA44+CZ44</f>
        <v>2459.92147475</v>
      </c>
      <c r="DC44" s="115"/>
      <c r="DD44" s="293">
        <f>+DD40*DD43/100</f>
        <v>990.95987900000011</v>
      </c>
      <c r="DE44" s="293">
        <f>+DE40*DE43/100</f>
        <v>1486.4398185</v>
      </c>
      <c r="DF44" s="293">
        <f>+DE44+DD44</f>
        <v>2477.3996975</v>
      </c>
      <c r="DG44" s="115"/>
      <c r="DH44" s="293">
        <f>+DH40*DH43/100</f>
        <v>1067.1875620000001</v>
      </c>
      <c r="DI44" s="293">
        <f>+DI40*DI43/100</f>
        <v>1642.99242246125</v>
      </c>
      <c r="DJ44" s="293">
        <f>+DI44+DH44</f>
        <v>2710.1799844612501</v>
      </c>
      <c r="DK44" s="115"/>
      <c r="DL44" s="293">
        <f>+DL40*DL43/100</f>
        <v>1244.9010898678048</v>
      </c>
      <c r="DM44" s="293">
        <f>+DM40*DM43/100</f>
        <v>1728.0184743588106</v>
      </c>
      <c r="DN44" s="293">
        <f>+DM44+DL44</f>
        <v>2972.9195642266154</v>
      </c>
      <c r="DO44" s="115"/>
      <c r="DP44" s="293">
        <f>+DP40*DP43/100</f>
        <v>1347.374404868106</v>
      </c>
      <c r="DQ44" s="293">
        <f>+DQ40*DQ43/100</f>
        <v>1852.4473246358073</v>
      </c>
      <c r="DR44" s="293">
        <f>+DQ44+DP44</f>
        <v>3199.821729503913</v>
      </c>
      <c r="DS44" s="115"/>
      <c r="JJ44"/>
    </row>
    <row r="45" spans="1:270" s="102" customFormat="1">
      <c r="A45" s="102" t="s">
        <v>90</v>
      </c>
      <c r="C45" s="103" t="s">
        <v>612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293">
        <f>+P41*P43/100</f>
        <v>0</v>
      </c>
      <c r="Q45" s="293">
        <f>+Q41*Q43/100</f>
        <v>0</v>
      </c>
      <c r="R45" s="293">
        <f>+Q45+P45</f>
        <v>0</v>
      </c>
      <c r="S45" s="103"/>
      <c r="T45" s="293">
        <f>+T41*T43/100</f>
        <v>0</v>
      </c>
      <c r="U45" s="293">
        <f>+U41*U43/100</f>
        <v>0</v>
      </c>
      <c r="V45" s="293">
        <f>+U45+T45</f>
        <v>0</v>
      </c>
      <c r="W45" s="103"/>
      <c r="X45" s="293">
        <f>+X41*X43/100</f>
        <v>0</v>
      </c>
      <c r="Y45" s="293">
        <f>+Y41*Y43/100</f>
        <v>89.473436799999988</v>
      </c>
      <c r="Z45" s="293">
        <f>+Y45+X45</f>
        <v>89.473436799999988</v>
      </c>
      <c r="AA45" s="115"/>
      <c r="AB45" s="293">
        <f>+AB41*AB43/100</f>
        <v>0</v>
      </c>
      <c r="AC45" s="293">
        <f>+AC41*AC43/100</f>
        <v>89.473436799999988</v>
      </c>
      <c r="AD45" s="293">
        <f>+AC45+AB45</f>
        <v>89.473436799999988</v>
      </c>
      <c r="AE45" s="331"/>
      <c r="AF45" s="293">
        <f>+AF41*AF43/100</f>
        <v>0</v>
      </c>
      <c r="AG45" s="293">
        <f>+AG41*AG43/100</f>
        <v>0</v>
      </c>
      <c r="AH45" s="293">
        <f>+AG45+AF45</f>
        <v>0</v>
      </c>
      <c r="AI45" s="115"/>
      <c r="AJ45" s="293">
        <f>+AJ41*AJ43/100</f>
        <v>0</v>
      </c>
      <c r="AK45" s="293">
        <f>+AK41*AK43/100</f>
        <v>0</v>
      </c>
      <c r="AL45" s="293">
        <f>+AK45+AJ45</f>
        <v>0</v>
      </c>
      <c r="AM45" s="115"/>
      <c r="AN45" s="293">
        <f>+AN41*AN43/100</f>
        <v>0</v>
      </c>
      <c r="AO45" s="293">
        <f>+AO41*AO43/100</f>
        <v>0</v>
      </c>
      <c r="AP45" s="293">
        <f>+AO45+AN45</f>
        <v>0</v>
      </c>
      <c r="AQ45" s="115"/>
      <c r="AR45" s="293">
        <f>+AR41*AR43/100</f>
        <v>0</v>
      </c>
      <c r="AS45" s="293">
        <f>+AS41*AS43/100</f>
        <v>0</v>
      </c>
      <c r="AT45" s="293">
        <f>+AS45+AR45</f>
        <v>0</v>
      </c>
      <c r="AU45" s="115"/>
      <c r="AV45" s="293">
        <f>+AV41*AV43/100</f>
        <v>0</v>
      </c>
      <c r="AW45" s="293">
        <f>+AW41*AW43/100</f>
        <v>0</v>
      </c>
      <c r="AX45" s="293">
        <f>+AW45+AV45</f>
        <v>0</v>
      </c>
      <c r="AY45" s="115"/>
      <c r="AZ45" s="293">
        <f>+AZ41*AZ43/100</f>
        <v>0</v>
      </c>
      <c r="BA45" s="293">
        <f>+BA41*BA43/100</f>
        <v>0</v>
      </c>
      <c r="BB45" s="293">
        <f>+BA45+AZ45</f>
        <v>0</v>
      </c>
      <c r="BC45" s="115"/>
      <c r="BD45" s="293">
        <f>+BD41*BD43/100</f>
        <v>0</v>
      </c>
      <c r="BE45" s="293">
        <f>+BE41*BE43/100</f>
        <v>0</v>
      </c>
      <c r="BF45" s="293">
        <f>+BE45+BD45</f>
        <v>0</v>
      </c>
      <c r="BG45" s="115"/>
      <c r="BH45" s="293">
        <f>+BH41*BH43/100</f>
        <v>0</v>
      </c>
      <c r="BI45" s="293">
        <f>+BI41*BI43/100</f>
        <v>0</v>
      </c>
      <c r="BJ45" s="293">
        <f>+BI45+BH45</f>
        <v>0</v>
      </c>
      <c r="BK45" s="115"/>
      <c r="BL45" s="293">
        <f>+BL41*BL43/100</f>
        <v>0</v>
      </c>
      <c r="BM45" s="293">
        <f>+BM41*BM43/100</f>
        <v>0</v>
      </c>
      <c r="BN45" s="293">
        <f>+BM45+BL45</f>
        <v>0</v>
      </c>
      <c r="BO45" s="115"/>
      <c r="BP45" s="293">
        <f>+BP41*BP43/100</f>
        <v>0</v>
      </c>
      <c r="BQ45" s="293">
        <f>+BQ41*BQ43/100</f>
        <v>0</v>
      </c>
      <c r="BR45" s="293">
        <f>+BQ45+BP45</f>
        <v>0</v>
      </c>
      <c r="BS45" s="115"/>
      <c r="BT45" s="293">
        <f>+BT41*BT43/100</f>
        <v>0</v>
      </c>
      <c r="BU45" s="293">
        <f>+BU41*BU43/100</f>
        <v>0</v>
      </c>
      <c r="BV45" s="293">
        <f>+BU45+BT45</f>
        <v>0</v>
      </c>
      <c r="BW45" s="115"/>
      <c r="BX45" s="293">
        <f>+BX41*BX43/100</f>
        <v>0</v>
      </c>
      <c r="BY45" s="293">
        <f>+BY41*BY43/100</f>
        <v>0</v>
      </c>
      <c r="BZ45" s="293">
        <f>+BY45+BX45</f>
        <v>0</v>
      </c>
      <c r="CA45" s="115"/>
      <c r="CB45" s="293">
        <f>+CB41*CB43/100</f>
        <v>0</v>
      </c>
      <c r="CC45" s="293">
        <f>+CC41*CC43/100</f>
        <v>0</v>
      </c>
      <c r="CD45" s="293">
        <f>+CC45+CB45</f>
        <v>0</v>
      </c>
      <c r="CE45" s="115"/>
      <c r="CF45" s="293">
        <f>+CF41*CF43/100</f>
        <v>0</v>
      </c>
      <c r="CG45" s="293">
        <f>+CG41*CG43/100</f>
        <v>0</v>
      </c>
      <c r="CH45" s="293">
        <f>+CG45+CF45</f>
        <v>0</v>
      </c>
      <c r="CI45" s="115"/>
      <c r="CJ45" s="293">
        <f>+CJ41*CJ43/100</f>
        <v>0</v>
      </c>
      <c r="CK45" s="293">
        <f>+CK41*CK43/100</f>
        <v>0</v>
      </c>
      <c r="CL45" s="293">
        <f>+CK45+CJ45</f>
        <v>0</v>
      </c>
      <c r="CM45" s="115"/>
      <c r="CN45" s="293">
        <f>+CN41*CN43/100</f>
        <v>0</v>
      </c>
      <c r="CO45" s="293">
        <f>+CO41*CO43/100</f>
        <v>0</v>
      </c>
      <c r="CP45" s="293">
        <f>+CO45+CN45</f>
        <v>0</v>
      </c>
      <c r="CQ45" s="115"/>
      <c r="CR45" s="293">
        <f>+CR41*CR43/100</f>
        <v>0</v>
      </c>
      <c r="CS45" s="293">
        <f>+CS41*CS43/100</f>
        <v>0</v>
      </c>
      <c r="CT45" s="293">
        <f>+CS45+CR45</f>
        <v>0</v>
      </c>
      <c r="CU45" s="115"/>
      <c r="CV45" s="293">
        <f>+CV41*CV43/100</f>
        <v>0</v>
      </c>
      <c r="CW45" s="293">
        <f>+CW41*CW43/100</f>
        <v>0</v>
      </c>
      <c r="CX45" s="293">
        <f>+CW45+CV45</f>
        <v>0</v>
      </c>
      <c r="CY45" s="115"/>
      <c r="CZ45" s="293">
        <f>+CZ41*CZ43/100</f>
        <v>0</v>
      </c>
      <c r="DA45" s="293">
        <f>+DA41*DA43/100</f>
        <v>0</v>
      </c>
      <c r="DB45" s="293">
        <f>+DA45+CZ45</f>
        <v>0</v>
      </c>
      <c r="DC45" s="115"/>
      <c r="DD45" s="293">
        <f>+DD41*DD43/100</f>
        <v>0</v>
      </c>
      <c r="DE45" s="293">
        <f>+DE41*DE43/100</f>
        <v>0</v>
      </c>
      <c r="DF45" s="293">
        <f>+DE45+DD45</f>
        <v>0</v>
      </c>
      <c r="DG45" s="115"/>
      <c r="DH45" s="293">
        <f>+DH41*DH43/100</f>
        <v>0</v>
      </c>
      <c r="DI45" s="293">
        <f>+DI41*DI43/100</f>
        <v>0</v>
      </c>
      <c r="DJ45" s="293">
        <f>+DI45+DH45</f>
        <v>0</v>
      </c>
      <c r="DK45" s="115"/>
      <c r="DL45" s="293">
        <f>+DL41*DL43/100</f>
        <v>0</v>
      </c>
      <c r="DM45" s="293">
        <f>+DM41*DM43/100</f>
        <v>0</v>
      </c>
      <c r="DN45" s="293">
        <f>+DM45+DL45</f>
        <v>0</v>
      </c>
      <c r="DO45" s="115"/>
      <c r="DP45" s="293">
        <f>+DP41*DP43/100</f>
        <v>0</v>
      </c>
      <c r="DQ45" s="293">
        <f>+DQ41*DQ43/100</f>
        <v>0</v>
      </c>
      <c r="DR45" s="293">
        <f>+DQ45+DP45</f>
        <v>0</v>
      </c>
      <c r="DS45" s="115"/>
      <c r="JJ45"/>
    </row>
    <row r="46" spans="1:270" s="102" customFormat="1">
      <c r="A46" s="102" t="s">
        <v>91</v>
      </c>
      <c r="C46" s="103" t="s">
        <v>612</v>
      </c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293">
        <f>SUM(P44:P45)</f>
        <v>83.038572230000014</v>
      </c>
      <c r="Q46" s="293">
        <f>SUM(Q44:Q45)</f>
        <v>106.33903488000001</v>
      </c>
      <c r="R46" s="293">
        <f>SUM(R44:R45)</f>
        <v>189.37760711000004</v>
      </c>
      <c r="S46" s="103"/>
      <c r="T46" s="293">
        <f>SUM(T44:T45)</f>
        <v>113.1350922</v>
      </c>
      <c r="U46" s="293">
        <f>SUM(U44:U45)</f>
        <v>151.14139950000001</v>
      </c>
      <c r="V46" s="293">
        <f>SUM(V44:V45)</f>
        <v>264.27649170000001</v>
      </c>
      <c r="W46" s="103"/>
      <c r="X46" s="293">
        <f>SUM(X44:X45)</f>
        <v>134.05420633999998</v>
      </c>
      <c r="Y46" s="293">
        <f>SUM(Y44:Y45)</f>
        <v>313.15702879999998</v>
      </c>
      <c r="Z46" s="293">
        <f>SUM(Z44:Z45)</f>
        <v>447.21123513999993</v>
      </c>
      <c r="AA46" s="115"/>
      <c r="AB46" s="293">
        <f>SUM(AB44:AB45)</f>
        <v>134.05420633999998</v>
      </c>
      <c r="AC46" s="293">
        <f>SUM(AC44:AC45)</f>
        <v>313.15702879999998</v>
      </c>
      <c r="AD46" s="293">
        <f>SUM(AD44:AD45)</f>
        <v>447.21123513999993</v>
      </c>
      <c r="AE46" s="331"/>
      <c r="AF46" s="293">
        <f>SUM(AF44:AF45)</f>
        <v>207.28747530000001</v>
      </c>
      <c r="AG46" s="293">
        <f>SUM(AG44:AG45)</f>
        <v>290.55046125000001</v>
      </c>
      <c r="AH46" s="293">
        <f>SUM(AH44:AH45)</f>
        <v>497.83793654999999</v>
      </c>
      <c r="AI46" s="115"/>
      <c r="AJ46" s="293">
        <f>SUM(AJ44:AJ45)</f>
        <v>312.10406124999997</v>
      </c>
      <c r="AK46" s="293">
        <f>SUM(AK44:AK45)</f>
        <v>482.48828950000001</v>
      </c>
      <c r="AL46" s="293">
        <f>SUM(AL44:AL45)</f>
        <v>794.59235074999992</v>
      </c>
      <c r="AM46" s="115"/>
      <c r="AN46" s="293">
        <f>SUM(AN44:AN45)</f>
        <v>393.07565264999999</v>
      </c>
      <c r="AO46" s="293">
        <f>SUM(AO44:AO45)</f>
        <v>549.14168000000006</v>
      </c>
      <c r="AP46" s="293">
        <f>SUM(AP44:AP45)</f>
        <v>942.21733265000012</v>
      </c>
      <c r="AQ46" s="115"/>
      <c r="AR46" s="293">
        <f>SUM(AR44:AR45)</f>
        <v>407.4737336</v>
      </c>
      <c r="AS46" s="293">
        <f>SUM(AS44:AS45)</f>
        <v>113.37520000000001</v>
      </c>
      <c r="AT46" s="293">
        <f>SUM(AT44:AT45)</f>
        <v>520.84893360000001</v>
      </c>
      <c r="AU46" s="115"/>
      <c r="AV46" s="293">
        <f>SUM(AV44:AV45)</f>
        <v>294.27740064</v>
      </c>
      <c r="AW46" s="293">
        <f>SUM(AW44:AW45)</f>
        <v>344.24427100000003</v>
      </c>
      <c r="AX46" s="293">
        <f>SUM(AX44:AX45)</f>
        <v>638.52167164000002</v>
      </c>
      <c r="AY46" s="115"/>
      <c r="AZ46" s="293">
        <f>SUM(AZ44:AZ45)</f>
        <v>297.21711885999997</v>
      </c>
      <c r="BA46" s="293">
        <f>SUM(BA44:BA45)</f>
        <v>346.81496099999998</v>
      </c>
      <c r="BB46" s="293">
        <f>SUM(BB44:BB45)</f>
        <v>644.03207985999995</v>
      </c>
      <c r="BC46" s="115"/>
      <c r="BD46" s="293">
        <f>SUM(BD44:BD45)</f>
        <v>226.3852708</v>
      </c>
      <c r="BE46" s="293">
        <f>SUM(BE44:BE45)</f>
        <v>261.43828724999997</v>
      </c>
      <c r="BF46" s="293">
        <f>SUM(BF44:BF45)</f>
        <v>487.82355804999997</v>
      </c>
      <c r="BG46" s="115"/>
      <c r="BH46" s="293">
        <f>SUM(BH44:BH45)</f>
        <v>254.25683325000003</v>
      </c>
      <c r="BI46" s="293">
        <f>SUM(BI44:BI45)</f>
        <v>424.38322249999999</v>
      </c>
      <c r="BJ46" s="293">
        <f>SUM(BJ44:BJ45)</f>
        <v>678.64005574999999</v>
      </c>
      <c r="BK46" s="115"/>
      <c r="BL46" s="293">
        <f>SUM(BL44:BL45)</f>
        <v>339.888036</v>
      </c>
      <c r="BM46" s="293">
        <f>SUM(BM44:BM45)</f>
        <v>513.71960000000001</v>
      </c>
      <c r="BN46" s="293">
        <f>SUM(BN44:BN45)</f>
        <v>853.60763599999996</v>
      </c>
      <c r="BO46" s="115"/>
      <c r="BP46" s="293">
        <f>SUM(BP44:BP45)</f>
        <v>417.5638922</v>
      </c>
      <c r="BQ46" s="293">
        <f>SUM(BQ44:BQ45)</f>
        <v>666.91555399999993</v>
      </c>
      <c r="BR46" s="293">
        <f>SUM(BR44:BR45)</f>
        <v>1084.4794462</v>
      </c>
      <c r="BS46" s="115"/>
      <c r="BT46" s="293">
        <f>SUM(BT44:BT45)</f>
        <v>533.65113600000006</v>
      </c>
      <c r="BU46" s="293">
        <f>SUM(BU44:BU45)</f>
        <v>816.72573360000013</v>
      </c>
      <c r="BV46" s="293">
        <f>SUM(BV44:BV45)</f>
        <v>1350.3768696000002</v>
      </c>
      <c r="BW46" s="115"/>
      <c r="BX46" s="293">
        <f>SUM(BX44:BX45)</f>
        <v>646.64310060000003</v>
      </c>
      <c r="BY46" s="293">
        <f>SUM(BY44:BY45)</f>
        <v>952.9848467999999</v>
      </c>
      <c r="BZ46" s="293">
        <f>SUM(BZ44:BZ45)</f>
        <v>1599.6279473999998</v>
      </c>
      <c r="CA46" s="115"/>
      <c r="CB46" s="293">
        <f>SUM(CB44:CB45)</f>
        <v>697.73370115</v>
      </c>
      <c r="CC46" s="293">
        <f>SUM(CC44:CC45)</f>
        <v>1089.167424</v>
      </c>
      <c r="CD46" s="293">
        <f>SUM(CD44:CD45)</f>
        <v>1786.9011251500001</v>
      </c>
      <c r="CE46" s="115"/>
      <c r="CF46" s="293">
        <f>SUM(CF44:CF45)</f>
        <v>731.82288670000014</v>
      </c>
      <c r="CG46" s="293">
        <f>SUM(CG44:CG45)</f>
        <v>1225.3778568</v>
      </c>
      <c r="CH46" s="293">
        <f>SUM(CH44:CH45)</f>
        <v>1957.2007435</v>
      </c>
      <c r="CI46" s="115"/>
      <c r="CJ46" s="293">
        <f>SUM(CJ44:CJ45)</f>
        <v>885.94116750000001</v>
      </c>
      <c r="CK46" s="293">
        <f>SUM(CK44:CK45)</f>
        <v>637.88651279999999</v>
      </c>
      <c r="CL46" s="293">
        <f>SUM(CL44:CL45)</f>
        <v>1523.8276802999999</v>
      </c>
      <c r="CM46" s="115"/>
      <c r="CN46" s="293">
        <f>SUM(CN44:CN45)</f>
        <v>488.02989645000002</v>
      </c>
      <c r="CO46" s="293">
        <f>SUM(CO44:CO45)</f>
        <v>1212.1016129499999</v>
      </c>
      <c r="CP46" s="293">
        <f>SUM(CP44:CP45)</f>
        <v>1700.1315093999999</v>
      </c>
      <c r="CQ46" s="115"/>
      <c r="CR46" s="293">
        <f>SUM(CR44:CR45)</f>
        <v>1003.1990196800001</v>
      </c>
      <c r="CS46" s="293">
        <f>SUM(CS44:CS45)</f>
        <v>1342.7667294999999</v>
      </c>
      <c r="CT46" s="293">
        <f>SUM(CT44:CT45)</f>
        <v>2345.9657491799999</v>
      </c>
      <c r="CU46" s="115"/>
      <c r="CV46" s="293">
        <f>SUM(CV44:CV45)</f>
        <v>1159.4302620000001</v>
      </c>
      <c r="CW46" s="293">
        <f>SUM(CW44:CW45)</f>
        <v>1739.145393</v>
      </c>
      <c r="CX46" s="293">
        <f>SUM(CX44:CX45)</f>
        <v>2898.5756550000001</v>
      </c>
      <c r="CY46" s="115"/>
      <c r="CZ46" s="293">
        <f>SUM(CZ44:CZ45)</f>
        <v>985.51572270000008</v>
      </c>
      <c r="DA46" s="293">
        <f>SUM(DA44:DA45)</f>
        <v>1474.40575205</v>
      </c>
      <c r="DB46" s="293">
        <f>SUM(DB44:DB45)</f>
        <v>2459.92147475</v>
      </c>
      <c r="DC46" s="115"/>
      <c r="DD46" s="293">
        <f>SUM(DD44:DD45)</f>
        <v>990.95987900000011</v>
      </c>
      <c r="DE46" s="293">
        <f>SUM(DE44:DE45)</f>
        <v>1486.4398185</v>
      </c>
      <c r="DF46" s="293">
        <f>SUM(DF44:DF45)</f>
        <v>2477.3996975</v>
      </c>
      <c r="DG46" s="115"/>
      <c r="DH46" s="293">
        <f>SUM(DH44:DH45)</f>
        <v>1067.1875620000001</v>
      </c>
      <c r="DI46" s="293">
        <f>SUM(DI44:DI45)</f>
        <v>1642.99242246125</v>
      </c>
      <c r="DJ46" s="293">
        <f>SUM(DJ44:DJ45)</f>
        <v>2710.1799844612501</v>
      </c>
      <c r="DK46" s="115"/>
      <c r="DL46" s="293">
        <f>SUM(DL44:DL45)</f>
        <v>1244.9010898678048</v>
      </c>
      <c r="DM46" s="293">
        <f>SUM(DM44:DM45)</f>
        <v>1728.0184743588106</v>
      </c>
      <c r="DN46" s="293">
        <f>SUM(DN44:DN45)</f>
        <v>2972.9195642266154</v>
      </c>
      <c r="DO46" s="115"/>
      <c r="DP46" s="293">
        <f>SUM(DP44:DP45)</f>
        <v>1347.374404868106</v>
      </c>
      <c r="DQ46" s="293">
        <f>SUM(DQ44:DQ45)</f>
        <v>1852.4473246358073</v>
      </c>
      <c r="DR46" s="293">
        <f>SUM(DR44:DR45)</f>
        <v>3199.821729503913</v>
      </c>
      <c r="DS46" s="115"/>
      <c r="JJ46"/>
    </row>
    <row r="47" spans="1:270" s="102" customFormat="1">
      <c r="A47" s="102" t="s">
        <v>75</v>
      </c>
      <c r="C47" s="103" t="s">
        <v>612</v>
      </c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293">
        <f>+P11</f>
        <v>183</v>
      </c>
      <c r="Q47" s="293">
        <f>+Q11</f>
        <v>150</v>
      </c>
      <c r="R47" s="293">
        <f>+R11</f>
        <v>333</v>
      </c>
      <c r="S47" s="103"/>
      <c r="T47" s="293">
        <f>+T11</f>
        <v>242</v>
      </c>
      <c r="U47" s="293">
        <f>+U11</f>
        <v>252</v>
      </c>
      <c r="V47" s="293">
        <f>+V11</f>
        <v>494</v>
      </c>
      <c r="W47" s="103"/>
      <c r="X47" s="293">
        <f>+X11</f>
        <v>284</v>
      </c>
      <c r="Y47" s="293">
        <f>+Y11</f>
        <v>539</v>
      </c>
      <c r="Z47" s="293">
        <f>+Z11</f>
        <v>823</v>
      </c>
      <c r="AA47" s="115"/>
      <c r="AB47" s="293">
        <f>+AB11</f>
        <v>256</v>
      </c>
      <c r="AC47" s="293">
        <f>+AC11</f>
        <v>556</v>
      </c>
      <c r="AD47" s="293">
        <f>+AD11</f>
        <v>812</v>
      </c>
      <c r="AE47" s="331"/>
      <c r="AF47" s="293">
        <f>+AF11</f>
        <v>482</v>
      </c>
      <c r="AG47" s="293">
        <f>+AG11</f>
        <v>434</v>
      </c>
      <c r="AH47" s="293">
        <f>+AH11</f>
        <v>916</v>
      </c>
      <c r="AI47" s="115"/>
      <c r="AJ47" s="293">
        <f>+AJ11</f>
        <v>730</v>
      </c>
      <c r="AK47" s="293">
        <f>+AK11</f>
        <v>733</v>
      </c>
      <c r="AL47" s="293">
        <f>+AL11</f>
        <v>1463</v>
      </c>
      <c r="AM47" s="115"/>
      <c r="AN47" s="293">
        <f>+AN11</f>
        <v>1060</v>
      </c>
      <c r="AO47" s="293">
        <f>+AO11</f>
        <v>743</v>
      </c>
      <c r="AP47" s="293">
        <f>+AP11</f>
        <v>1803</v>
      </c>
      <c r="AQ47" s="115"/>
      <c r="AR47" s="293">
        <f>+AR11</f>
        <v>604</v>
      </c>
      <c r="AS47" s="293">
        <f>+AS11</f>
        <v>267</v>
      </c>
      <c r="AT47" s="293">
        <f>+AT11</f>
        <v>871</v>
      </c>
      <c r="AU47" s="115"/>
      <c r="AV47" s="293">
        <f>AV8</f>
        <v>479</v>
      </c>
      <c r="AW47" s="293">
        <f>AW8</f>
        <v>571</v>
      </c>
      <c r="AX47" s="293">
        <f>AX8</f>
        <v>1050</v>
      </c>
      <c r="AY47" s="115"/>
      <c r="AZ47" s="293">
        <f>AZ8</f>
        <v>403.33370000000014</v>
      </c>
      <c r="BA47" s="293">
        <f>BA8</f>
        <v>553.33336999999983</v>
      </c>
      <c r="BB47" s="293">
        <f>BB8</f>
        <v>956.66706999999997</v>
      </c>
      <c r="BC47" s="115"/>
      <c r="BD47" s="293">
        <f>BD8</f>
        <v>304.32956000000013</v>
      </c>
      <c r="BE47" s="293">
        <f>BE8</f>
        <v>426.32420000000025</v>
      </c>
      <c r="BF47" s="293">
        <f>BF8</f>
        <v>730.65376000000037</v>
      </c>
      <c r="BG47" s="115"/>
      <c r="BH47" s="293">
        <f>BH8</f>
        <v>361</v>
      </c>
      <c r="BI47" s="293">
        <f>BI8</f>
        <v>490.49</v>
      </c>
      <c r="BJ47" s="293">
        <f>BJ8</f>
        <v>851.49</v>
      </c>
      <c r="BK47" s="115"/>
      <c r="BL47" s="293">
        <f>BL8</f>
        <v>501</v>
      </c>
      <c r="BM47" s="293">
        <f>BM8</f>
        <v>766.49</v>
      </c>
      <c r="BN47" s="293">
        <f>BN8</f>
        <v>1267.49</v>
      </c>
      <c r="BO47" s="115"/>
      <c r="BP47" s="293">
        <f>BP8</f>
        <v>678</v>
      </c>
      <c r="BQ47" s="293">
        <f>BQ8</f>
        <v>926.49</v>
      </c>
      <c r="BR47" s="293">
        <f>BR8</f>
        <v>1604.49</v>
      </c>
      <c r="BS47" s="115"/>
      <c r="BT47" s="293">
        <f>BT8</f>
        <v>1070</v>
      </c>
      <c r="BU47" s="293">
        <f>BU8</f>
        <v>993.49</v>
      </c>
      <c r="BV47" s="293">
        <f>BV8</f>
        <v>2063.4899999999998</v>
      </c>
      <c r="BW47" s="115"/>
      <c r="BX47" s="293">
        <f>BX8</f>
        <v>1050</v>
      </c>
      <c r="BY47" s="293">
        <f>BY8</f>
        <v>1167.49</v>
      </c>
      <c r="BZ47" s="293">
        <f>BZ8</f>
        <v>2217.4899999999998</v>
      </c>
      <c r="CA47" s="115"/>
      <c r="CB47" s="293">
        <f>CB8</f>
        <v>1248</v>
      </c>
      <c r="CC47" s="293">
        <f>CC8</f>
        <v>1309.49</v>
      </c>
      <c r="CD47" s="293">
        <f>CD8</f>
        <v>2557.4899999999998</v>
      </c>
      <c r="CE47" s="115"/>
      <c r="CF47" s="293">
        <f>CF8</f>
        <v>1310</v>
      </c>
      <c r="CG47" s="293">
        <f>CG8</f>
        <v>1672.49</v>
      </c>
      <c r="CH47" s="293">
        <f>CH8</f>
        <v>2982.49</v>
      </c>
      <c r="CI47" s="115"/>
      <c r="CJ47" s="293">
        <f>CJ8</f>
        <v>1457</v>
      </c>
      <c r="CK47" s="293">
        <f>CK8</f>
        <v>1274.49</v>
      </c>
      <c r="CL47" s="293">
        <f>CL8</f>
        <v>2731.49</v>
      </c>
      <c r="CM47" s="115"/>
      <c r="CN47" s="293">
        <f>CN8</f>
        <v>985</v>
      </c>
      <c r="CO47" s="293">
        <f>CO8</f>
        <v>2030.49</v>
      </c>
      <c r="CP47" s="293">
        <f>CP8</f>
        <v>3015.49</v>
      </c>
      <c r="CQ47" s="115"/>
      <c r="CR47" s="293">
        <f>CR8</f>
        <v>2043</v>
      </c>
      <c r="CS47" s="293">
        <f>CS8</f>
        <v>2663.49</v>
      </c>
      <c r="CT47" s="293">
        <f>CT8</f>
        <v>4706.49</v>
      </c>
      <c r="CU47" s="115"/>
      <c r="CV47" s="293">
        <f>CV8</f>
        <v>2383</v>
      </c>
      <c r="CW47" s="293">
        <f>CW8</f>
        <v>2799.49</v>
      </c>
      <c r="CX47" s="293">
        <f>CX8</f>
        <v>5182.49</v>
      </c>
      <c r="CY47" s="115"/>
      <c r="CZ47" s="293">
        <f>CZ8</f>
        <v>1415</v>
      </c>
      <c r="DA47" s="293">
        <f>DA8</f>
        <v>2107.4899999999998</v>
      </c>
      <c r="DB47" s="293">
        <f>DB8</f>
        <v>3522.49</v>
      </c>
      <c r="DC47" s="115"/>
      <c r="DD47" s="293">
        <f>DD8</f>
        <v>1612</v>
      </c>
      <c r="DE47" s="293">
        <f ca="1">DE8</f>
        <v>2103.4899999999998</v>
      </c>
      <c r="DF47" s="293">
        <f ca="1">DF8</f>
        <v>3715.49</v>
      </c>
      <c r="DG47" s="115"/>
      <c r="DH47" s="293">
        <f>DH8</f>
        <v>1655</v>
      </c>
      <c r="DI47" s="293">
        <f>DI8</f>
        <v>2517.6901979637678</v>
      </c>
      <c r="DJ47" s="293">
        <f>DJ8</f>
        <v>4172.6901979637678</v>
      </c>
      <c r="DK47" s="115"/>
      <c r="DL47" s="293">
        <f>DL8</f>
        <v>1915.8372403143462</v>
      </c>
      <c r="DM47" s="293">
        <f>DM8</f>
        <v>2656.8730472018797</v>
      </c>
      <c r="DN47" s="293">
        <f>DN8</f>
        <v>4572.7102875162254</v>
      </c>
      <c r="DO47" s="115"/>
      <c r="DP47" s="293">
        <f>DP8</f>
        <v>2085.2236692333981</v>
      </c>
      <c r="DQ47" s="293">
        <f>DQ8</f>
        <v>2837.5443840796966</v>
      </c>
      <c r="DR47" s="293">
        <f>DR8</f>
        <v>4922.7680533130952</v>
      </c>
      <c r="DS47" s="115"/>
      <c r="JJ47"/>
    </row>
    <row r="48" spans="1:270" s="296" customFormat="1">
      <c r="A48" s="289" t="s">
        <v>92</v>
      </c>
      <c r="B48" s="289"/>
      <c r="C48" s="103" t="s">
        <v>917</v>
      </c>
      <c r="D48" s="290"/>
      <c r="E48" s="290"/>
      <c r="F48" s="290"/>
      <c r="G48" s="290"/>
      <c r="H48" s="290"/>
      <c r="I48" s="290"/>
      <c r="J48" s="290"/>
      <c r="K48" s="290"/>
      <c r="L48" s="290"/>
      <c r="M48" s="290"/>
      <c r="N48" s="290"/>
      <c r="O48" s="290"/>
      <c r="P48" s="744">
        <f>+P44/P47</f>
        <v>0.45376268978142081</v>
      </c>
      <c r="Q48" s="744">
        <f>+Q44/Q47</f>
        <v>0.70892689920000007</v>
      </c>
      <c r="R48" s="744">
        <f>+R44/R47</f>
        <v>0.56870152285285303</v>
      </c>
      <c r="S48" s="290"/>
      <c r="T48" s="744">
        <f>+T44/T47</f>
        <v>0.46750038099173552</v>
      </c>
      <c r="U48" s="744">
        <f>+U44/U47</f>
        <v>0.59976745833333334</v>
      </c>
      <c r="V48" s="744">
        <f>+V44/V47</f>
        <v>0.53497265526315796</v>
      </c>
      <c r="W48" s="290"/>
      <c r="X48" s="744">
        <f>+X44/X47</f>
        <v>0.47202185330985907</v>
      </c>
      <c r="Y48" s="744">
        <f>+Y44/Y47</f>
        <v>0.41499738775510198</v>
      </c>
      <c r="Z48" s="744">
        <f>+Z44/Z47</f>
        <v>0.43467533212636689</v>
      </c>
      <c r="AA48" s="581"/>
      <c r="AB48" s="744">
        <f>+AB44/AB47</f>
        <v>0.52364924351562492</v>
      </c>
      <c r="AC48" s="744">
        <f>+AC44/AC47</f>
        <v>0.40230861870503593</v>
      </c>
      <c r="AD48" s="744">
        <f>+AD44/AD47</f>
        <v>0.4405637910591132</v>
      </c>
      <c r="AE48" s="791"/>
      <c r="AF48" s="744">
        <f>+AF44/AF47</f>
        <v>0.43005700269709546</v>
      </c>
      <c r="AG48" s="744">
        <f>+AG44/AG47</f>
        <v>0.66947110887096772</v>
      </c>
      <c r="AH48" s="744">
        <f>+AH44/AH47</f>
        <v>0.5434911971069869</v>
      </c>
      <c r="AI48" s="581"/>
      <c r="AJ48" s="744">
        <f>+AJ44/AJ47</f>
        <v>0.42753980993150681</v>
      </c>
      <c r="AK48" s="744">
        <f>+AK44/AK47</f>
        <v>0.658237775579809</v>
      </c>
      <c r="AL48" s="744">
        <f>+AL44/AL47</f>
        <v>0.54312532518796985</v>
      </c>
      <c r="AM48" s="581"/>
      <c r="AN48" s="744">
        <f>+AN44/AN47</f>
        <v>0.37082608740566037</v>
      </c>
      <c r="AO48" s="744">
        <f>+AO44/AO47</f>
        <v>0.73908705248990592</v>
      </c>
      <c r="AP48" s="744">
        <f>+AP44/AP47</f>
        <v>0.52258310185801449</v>
      </c>
      <c r="AQ48" s="581"/>
      <c r="AR48" s="744">
        <f>+AR44/AR47</f>
        <v>0.67462538675496686</v>
      </c>
      <c r="AS48" s="744">
        <f>+AS44/AS47</f>
        <v>0.42462621722846444</v>
      </c>
      <c r="AT48" s="744">
        <f>+AT44/AT47</f>
        <v>0.59798959081515501</v>
      </c>
      <c r="AU48" s="581"/>
      <c r="AV48" s="744">
        <f>+AV44/AV47</f>
        <v>0.61435783014613776</v>
      </c>
      <c r="AW48" s="744">
        <f>+AW44/AW47</f>
        <v>0.60287963397548161</v>
      </c>
      <c r="AX48" s="744">
        <f>+AX44/AX47</f>
        <v>0.60811587775238096</v>
      </c>
      <c r="AY48" s="581"/>
      <c r="AZ48" s="744">
        <f>+AZ44/AZ47</f>
        <v>0.73690127767652414</v>
      </c>
      <c r="BA48" s="744">
        <f>+BA44/BA47</f>
        <v>0.62677398437039877</v>
      </c>
      <c r="BB48" s="744">
        <f>+BB44/BB47</f>
        <v>0.67320398083734601</v>
      </c>
      <c r="BC48" s="581"/>
      <c r="BD48" s="744">
        <f>+BD44/BD47</f>
        <v>0.74388196401295981</v>
      </c>
      <c r="BE48" s="744">
        <f>+BE44/BE47</f>
        <v>0.613238205220346</v>
      </c>
      <c r="BF48" s="744">
        <f>+BF44/BF47</f>
        <v>0.6676535244956513</v>
      </c>
      <c r="BG48" s="581"/>
      <c r="BH48" s="744">
        <f>+BH44/BH47</f>
        <v>0.7043125574792245</v>
      </c>
      <c r="BI48" s="744">
        <f>+BI44/BI47</f>
        <v>0.86522298619747595</v>
      </c>
      <c r="BJ48" s="744">
        <f>+BJ44/BJ47</f>
        <v>0.79700296627088985</v>
      </c>
      <c r="BK48" s="581"/>
      <c r="BL48" s="744">
        <f>+BL44/BL47</f>
        <v>0.6784192335329341</v>
      </c>
      <c r="BM48" s="744">
        <f>+BM44/BM47</f>
        <v>0.67022348628162143</v>
      </c>
      <c r="BN48" s="744">
        <f>+BN44/BN47</f>
        <v>0.67346301430386035</v>
      </c>
      <c r="BO48" s="581"/>
      <c r="BP48" s="744">
        <f>+BP44/BP47</f>
        <v>0.61587594719764016</v>
      </c>
      <c r="BQ48" s="744">
        <f>+BQ44/BQ47</f>
        <v>0.719830277714816</v>
      </c>
      <c r="BR48" s="744">
        <f>+BR44/BR47</f>
        <v>0.67590290135806397</v>
      </c>
      <c r="BS48" s="581"/>
      <c r="BT48" s="744">
        <f>+BT44/BT47</f>
        <v>0.49873937943925239</v>
      </c>
      <c r="BU48" s="744">
        <f>+BU44/BU47</f>
        <v>0.8220774578506076</v>
      </c>
      <c r="BV48" s="744">
        <f>+BV44/BV47</f>
        <v>0.65441406045098371</v>
      </c>
      <c r="BW48" s="581"/>
      <c r="BX48" s="744">
        <f>+BX44/BX47</f>
        <v>0.61585057200000004</v>
      </c>
      <c r="BY48" s="744">
        <f>+BY44/BY47</f>
        <v>0.81626810233920621</v>
      </c>
      <c r="BZ48" s="744">
        <f>+BZ44/BZ47</f>
        <v>0.72136873104275556</v>
      </c>
      <c r="CA48" s="581"/>
      <c r="CB48" s="744">
        <f>+CB44/CB47</f>
        <v>0.55908149130608975</v>
      </c>
      <c r="CC48" s="744">
        <f>+CC44/CC47</f>
        <v>0.83174932530985346</v>
      </c>
      <c r="CD48" s="744">
        <f>+CD44/CD47</f>
        <v>0.6986932989571808</v>
      </c>
      <c r="CE48" s="581"/>
      <c r="CF48" s="744">
        <f>+CF44/CF47</f>
        <v>0.55864342496183217</v>
      </c>
      <c r="CG48" s="744">
        <f>+CG44/CG47</f>
        <v>0.73266677636338629</v>
      </c>
      <c r="CH48" s="744">
        <f>+CH44/CH47</f>
        <v>0.65623044620434612</v>
      </c>
      <c r="CI48" s="581"/>
      <c r="CJ48" s="744">
        <f>+CJ44/CJ47</f>
        <v>0.6080584540150995</v>
      </c>
      <c r="CK48" s="744">
        <f>+CK44/CK47</f>
        <v>0.50050334863357104</v>
      </c>
      <c r="CL48" s="744">
        <f>+CL44/CL47</f>
        <v>0.55787415670568075</v>
      </c>
      <c r="CM48" s="581"/>
      <c r="CN48" s="744">
        <f>+CN44/CN47</f>
        <v>0.49546182380710663</v>
      </c>
      <c r="CO48" s="744">
        <f>+CO44/CO47</f>
        <v>0.59695029916424114</v>
      </c>
      <c r="CP48" s="744">
        <f>+CP44/CP47</f>
        <v>0.56379941880092455</v>
      </c>
      <c r="CQ48" s="581"/>
      <c r="CR48" s="744">
        <f>+CR44/CR47</f>
        <v>0.49104210459128739</v>
      </c>
      <c r="CS48" s="744">
        <f>+CS44/CS47</f>
        <v>0.50413807804797461</v>
      </c>
      <c r="CT48" s="744">
        <f>+CT44/CT47</f>
        <v>0.49845335891078063</v>
      </c>
      <c r="CU48" s="581"/>
      <c r="CV48" s="744">
        <f>+CV44/CV47</f>
        <v>0.48654228367603863</v>
      </c>
      <c r="CW48" s="744">
        <f>+CW44/CW47</f>
        <v>0.62123650843546507</v>
      </c>
      <c r="CX48" s="744">
        <f>+CX44/CX47</f>
        <v>0.55930173623103951</v>
      </c>
      <c r="CY48" s="581"/>
      <c r="CZ48" s="744">
        <f>+CZ44/CZ47</f>
        <v>0.69647754254416971</v>
      </c>
      <c r="DA48" s="744">
        <f>+DA44/DA47</f>
        <v>0.6996027274388017</v>
      </c>
      <c r="DB48" s="744">
        <f>+DB44/DB47</f>
        <v>0.69834732667800337</v>
      </c>
      <c r="DC48" s="581"/>
      <c r="DD48" s="744">
        <f>+DD44/DD47</f>
        <v>0.61473937903225817</v>
      </c>
      <c r="DE48" s="744">
        <f ca="1">+DE44/DE47</f>
        <v>0.70665409319749561</v>
      </c>
      <c r="DF48" s="744">
        <f ca="1">+DF44/DF47</f>
        <v>0.66677603694263754</v>
      </c>
      <c r="DG48" s="581"/>
      <c r="DH48" s="744">
        <f>+DH44/DH47</f>
        <v>0.64482632145015106</v>
      </c>
      <c r="DI48" s="1065">
        <v>0.65</v>
      </c>
      <c r="DJ48" s="631">
        <f>+DJ44/DJ47</f>
        <v>0.64950424207955615</v>
      </c>
      <c r="DK48" s="896"/>
      <c r="DL48" s="1065">
        <v>0.65</v>
      </c>
      <c r="DM48" s="1065">
        <v>0.65</v>
      </c>
      <c r="DN48" s="631">
        <f>+DN44/DN47</f>
        <v>0.65014387033065812</v>
      </c>
      <c r="DO48" s="896"/>
      <c r="DP48" s="1065">
        <v>0.65</v>
      </c>
      <c r="DQ48" s="1065">
        <v>0.65</v>
      </c>
      <c r="DR48" s="631">
        <f>+DR44/DR47</f>
        <v>0.65000456955317776</v>
      </c>
      <c r="DS48" s="896"/>
      <c r="JJ48"/>
    </row>
    <row r="49" spans="1:270" s="302" customFormat="1">
      <c r="A49" s="102" t="s">
        <v>93</v>
      </c>
      <c r="B49" s="102"/>
      <c r="C49" s="103" t="s">
        <v>917</v>
      </c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632">
        <f>+P45/P47</f>
        <v>0</v>
      </c>
      <c r="Q49" s="632">
        <f>+Q45/Q47</f>
        <v>0</v>
      </c>
      <c r="R49" s="632">
        <f>+R45/R47</f>
        <v>0</v>
      </c>
      <c r="S49" s="103"/>
      <c r="T49" s="632">
        <f>+T45/T47</f>
        <v>0</v>
      </c>
      <c r="U49" s="632">
        <f>+U45/U47</f>
        <v>0</v>
      </c>
      <c r="V49" s="632">
        <f>+V45/V47</f>
        <v>0</v>
      </c>
      <c r="W49" s="103"/>
      <c r="X49" s="632">
        <f>+X45/X47</f>
        <v>0</v>
      </c>
      <c r="Y49" s="632">
        <f>+Y45/Y47</f>
        <v>0.1659989551020408</v>
      </c>
      <c r="Z49" s="632">
        <f>+Z45/Z47</f>
        <v>0.10871620510328067</v>
      </c>
      <c r="AA49" s="115"/>
      <c r="AB49" s="632">
        <f>+AB45/AB47</f>
        <v>0</v>
      </c>
      <c r="AC49" s="632">
        <f>+AC45/AC47</f>
        <v>0.16092344748201437</v>
      </c>
      <c r="AD49" s="632">
        <f>+AD45/AD47</f>
        <v>0.11018896157635466</v>
      </c>
      <c r="AE49" s="331"/>
      <c r="AF49" s="632">
        <f>+AF45/AF47</f>
        <v>0</v>
      </c>
      <c r="AG49" s="632">
        <f>+AG45/AG47</f>
        <v>0</v>
      </c>
      <c r="AH49" s="632">
        <f>+AH45/AH47</f>
        <v>0</v>
      </c>
      <c r="AI49" s="115"/>
      <c r="AJ49" s="632">
        <f>+AJ45/AJ47</f>
        <v>0</v>
      </c>
      <c r="AK49" s="632">
        <f>+AK45/AK47</f>
        <v>0</v>
      </c>
      <c r="AL49" s="632">
        <f>+AL45/AL47</f>
        <v>0</v>
      </c>
      <c r="AM49" s="115"/>
      <c r="AN49" s="632">
        <f>+AN45/AN47</f>
        <v>0</v>
      </c>
      <c r="AO49" s="632">
        <f>+AO45/AO47</f>
        <v>0</v>
      </c>
      <c r="AP49" s="632">
        <f>+AP45/AP47</f>
        <v>0</v>
      </c>
      <c r="AQ49" s="115"/>
      <c r="AR49" s="632">
        <f>+AR45/AR47</f>
        <v>0</v>
      </c>
      <c r="AS49" s="632">
        <f>+AS45/AS47</f>
        <v>0</v>
      </c>
      <c r="AT49" s="632">
        <f>+AT45/AT47</f>
        <v>0</v>
      </c>
      <c r="AU49" s="115"/>
      <c r="AV49" s="632">
        <f>+AV45/AV47</f>
        <v>0</v>
      </c>
      <c r="AW49" s="632">
        <f>+AW45/AW47</f>
        <v>0</v>
      </c>
      <c r="AX49" s="632">
        <f>+AX45/AX47</f>
        <v>0</v>
      </c>
      <c r="AY49" s="115"/>
      <c r="AZ49" s="632">
        <f>+AZ45/AZ47</f>
        <v>0</v>
      </c>
      <c r="BA49" s="632">
        <f>+BA45/BA47</f>
        <v>0</v>
      </c>
      <c r="BB49" s="632">
        <f>+BB45/BB47</f>
        <v>0</v>
      </c>
      <c r="BC49" s="115"/>
      <c r="BD49" s="632">
        <f>+BD45/BD47</f>
        <v>0</v>
      </c>
      <c r="BE49" s="632">
        <f>+BE45/BE47</f>
        <v>0</v>
      </c>
      <c r="BF49" s="632">
        <f>+BF45/BF47</f>
        <v>0</v>
      </c>
      <c r="BG49" s="115"/>
      <c r="BH49" s="632">
        <f>+BH45/BH47</f>
        <v>0</v>
      </c>
      <c r="BI49" s="632">
        <f>+BI45/BI47</f>
        <v>0</v>
      </c>
      <c r="BJ49" s="632">
        <f>+BJ45/BJ47</f>
        <v>0</v>
      </c>
      <c r="BK49" s="115"/>
      <c r="BL49" s="632">
        <f>+BL45/BL47</f>
        <v>0</v>
      </c>
      <c r="BM49" s="632">
        <f>+BM45/BM47</f>
        <v>0</v>
      </c>
      <c r="BN49" s="632">
        <f>+BN45/BN47</f>
        <v>0</v>
      </c>
      <c r="BO49" s="115"/>
      <c r="BP49" s="632">
        <f>+BP45/BP47</f>
        <v>0</v>
      </c>
      <c r="BQ49" s="632">
        <f>+BQ45/BQ47</f>
        <v>0</v>
      </c>
      <c r="BR49" s="632">
        <f>+BR45/BR47</f>
        <v>0</v>
      </c>
      <c r="BS49" s="115"/>
      <c r="BT49" s="632">
        <f>+BT45/BT47</f>
        <v>0</v>
      </c>
      <c r="BU49" s="632">
        <f>+BU45/BU47</f>
        <v>0</v>
      </c>
      <c r="BV49" s="632">
        <f>+BV45/BV47</f>
        <v>0</v>
      </c>
      <c r="BW49" s="115"/>
      <c r="BX49" s="632">
        <f>+BX45/BX47</f>
        <v>0</v>
      </c>
      <c r="BY49" s="632">
        <f>+BY45/BY47</f>
        <v>0</v>
      </c>
      <c r="BZ49" s="632">
        <f>+BZ45/BZ47</f>
        <v>0</v>
      </c>
      <c r="CA49" s="115"/>
      <c r="CB49" s="632">
        <f>+CB45/CB47</f>
        <v>0</v>
      </c>
      <c r="CC49" s="632">
        <f>+CC45/CC47</f>
        <v>0</v>
      </c>
      <c r="CD49" s="632">
        <f>+CD45/CD47</f>
        <v>0</v>
      </c>
      <c r="CE49" s="115"/>
      <c r="CF49" s="632">
        <f>+CF45/CF47</f>
        <v>0</v>
      </c>
      <c r="CG49" s="632">
        <f>+CG45/CG47</f>
        <v>0</v>
      </c>
      <c r="CH49" s="632">
        <f>+CH45/CH47</f>
        <v>0</v>
      </c>
      <c r="CI49" s="115"/>
      <c r="CJ49" s="632">
        <f>+CJ45/CJ47</f>
        <v>0</v>
      </c>
      <c r="CK49" s="632">
        <f>+CK45/CK47</f>
        <v>0</v>
      </c>
      <c r="CL49" s="632">
        <f>+CL45/CL47</f>
        <v>0</v>
      </c>
      <c r="CM49" s="115"/>
      <c r="CN49" s="632">
        <f>+CN45/CN47</f>
        <v>0</v>
      </c>
      <c r="CO49" s="632">
        <f>+CO45/CO47</f>
        <v>0</v>
      </c>
      <c r="CP49" s="632">
        <f>+CP45/CP47</f>
        <v>0</v>
      </c>
      <c r="CQ49" s="115"/>
      <c r="CR49" s="632">
        <f>+CR45/CR47</f>
        <v>0</v>
      </c>
      <c r="CS49" s="632">
        <f>+CS45/CS47</f>
        <v>0</v>
      </c>
      <c r="CT49" s="632">
        <f>+CT45/CT47</f>
        <v>0</v>
      </c>
      <c r="CU49" s="115"/>
      <c r="CV49" s="632">
        <f>+CV45/CV47</f>
        <v>0</v>
      </c>
      <c r="CW49" s="632">
        <f>+CW45/CW47</f>
        <v>0</v>
      </c>
      <c r="CX49" s="632">
        <f>+CX45/CX47</f>
        <v>0</v>
      </c>
      <c r="CY49" s="115"/>
      <c r="CZ49" s="632">
        <f>+CZ45/CZ47</f>
        <v>0</v>
      </c>
      <c r="DA49" s="632">
        <f>+DA45/DA47</f>
        <v>0</v>
      </c>
      <c r="DB49" s="632">
        <f>+DB45/DB47</f>
        <v>0</v>
      </c>
      <c r="DC49" s="115"/>
      <c r="DD49" s="632">
        <f>+DD45/DD47</f>
        <v>0</v>
      </c>
      <c r="DE49" s="632">
        <f ca="1">+DE45/DE47</f>
        <v>0</v>
      </c>
      <c r="DF49" s="632">
        <f ca="1">+DF45/DF47</f>
        <v>0</v>
      </c>
      <c r="DG49" s="115"/>
      <c r="DH49" s="632">
        <f>+DH45/DH47</f>
        <v>0</v>
      </c>
      <c r="DI49" s="1066">
        <v>0</v>
      </c>
      <c r="DJ49" s="628">
        <f>+DJ45/DJ47</f>
        <v>0</v>
      </c>
      <c r="DK49" s="300"/>
      <c r="DL49" s="1066">
        <v>0</v>
      </c>
      <c r="DM49" s="1066">
        <v>0</v>
      </c>
      <c r="DN49" s="628">
        <f>+DN45/DN47</f>
        <v>0</v>
      </c>
      <c r="DO49" s="300"/>
      <c r="DP49" s="1066">
        <v>0</v>
      </c>
      <c r="DQ49" s="1066">
        <v>0</v>
      </c>
      <c r="DR49" s="628">
        <f>+DR45/DR47</f>
        <v>0</v>
      </c>
      <c r="DS49" s="300"/>
      <c r="JJ49"/>
    </row>
    <row r="50" spans="1:270" s="289" customFormat="1">
      <c r="A50" s="289" t="s">
        <v>94</v>
      </c>
      <c r="C50" s="103" t="s">
        <v>917</v>
      </c>
      <c r="D50" s="290"/>
      <c r="E50" s="290"/>
      <c r="F50" s="290"/>
      <c r="G50" s="290"/>
      <c r="H50" s="290"/>
      <c r="I50" s="290"/>
      <c r="J50" s="290"/>
      <c r="K50" s="290"/>
      <c r="L50" s="290"/>
      <c r="M50" s="290"/>
      <c r="N50" s="290"/>
      <c r="O50" s="290"/>
      <c r="P50" s="744">
        <f>+P46/P47</f>
        <v>0.45376268978142081</v>
      </c>
      <c r="Q50" s="744">
        <f>+Q46/Q47</f>
        <v>0.70892689920000007</v>
      </c>
      <c r="R50" s="744">
        <f>+R46/R47</f>
        <v>0.56870152285285303</v>
      </c>
      <c r="S50" s="290"/>
      <c r="T50" s="744">
        <f>+T46/T47</f>
        <v>0.46750038099173552</v>
      </c>
      <c r="U50" s="744">
        <f>+U46/U47</f>
        <v>0.59976745833333334</v>
      </c>
      <c r="V50" s="744">
        <f>+V46/V47</f>
        <v>0.53497265526315796</v>
      </c>
      <c r="W50" s="290"/>
      <c r="X50" s="744">
        <f>+X46/X47</f>
        <v>0.47202185330985907</v>
      </c>
      <c r="Y50" s="744">
        <f>+Y46/Y47</f>
        <v>0.58099634285714286</v>
      </c>
      <c r="Z50" s="744">
        <f>+Z46/Z47</f>
        <v>0.5433915372296475</v>
      </c>
      <c r="AA50" s="581"/>
      <c r="AB50" s="744">
        <f>+AB46/AB47</f>
        <v>0.52364924351562492</v>
      </c>
      <c r="AC50" s="744">
        <f>+AC46/AC47</f>
        <v>0.56323206618705035</v>
      </c>
      <c r="AD50" s="744">
        <f>+AD46/AD47</f>
        <v>0.55075275263546786</v>
      </c>
      <c r="AE50" s="791"/>
      <c r="AF50" s="744">
        <f>+AF46/AF47</f>
        <v>0.43005700269709546</v>
      </c>
      <c r="AG50" s="744">
        <f>+AG46/AG47</f>
        <v>0.66947110887096772</v>
      </c>
      <c r="AH50" s="744">
        <f>+AH46/AH47</f>
        <v>0.5434911971069869</v>
      </c>
      <c r="AI50" s="581"/>
      <c r="AJ50" s="744">
        <f>+AJ46/AJ47</f>
        <v>0.42753980993150681</v>
      </c>
      <c r="AK50" s="744">
        <f>+AK46/AK47</f>
        <v>0.658237775579809</v>
      </c>
      <c r="AL50" s="744">
        <f>+AL46/AL47</f>
        <v>0.54312532518796985</v>
      </c>
      <c r="AM50" s="581"/>
      <c r="AN50" s="744">
        <f>+AN46/AN47</f>
        <v>0.37082608740566037</v>
      </c>
      <c r="AO50" s="744">
        <f>+AO46/AO47</f>
        <v>0.73908705248990592</v>
      </c>
      <c r="AP50" s="744">
        <f>+AP46/AP47</f>
        <v>0.52258310185801449</v>
      </c>
      <c r="AQ50" s="581"/>
      <c r="AR50" s="744">
        <f>+AR46/AR47</f>
        <v>0.67462538675496686</v>
      </c>
      <c r="AS50" s="744">
        <f>+AS46/AS47</f>
        <v>0.42462621722846444</v>
      </c>
      <c r="AT50" s="744">
        <f>+AT46/AT47</f>
        <v>0.59798959081515501</v>
      </c>
      <c r="AU50" s="581"/>
      <c r="AV50" s="744">
        <f>+AV46/AV47</f>
        <v>0.61435783014613776</v>
      </c>
      <c r="AW50" s="744">
        <f>+AW46/AW47</f>
        <v>0.60287963397548161</v>
      </c>
      <c r="AX50" s="744">
        <f>+AX46/AX47</f>
        <v>0.60811587775238096</v>
      </c>
      <c r="AY50" s="581"/>
      <c r="AZ50" s="744">
        <f>+AZ46/AZ47</f>
        <v>0.73690127767652414</v>
      </c>
      <c r="BA50" s="744">
        <f>+BA46/BA47</f>
        <v>0.62677398437039877</v>
      </c>
      <c r="BB50" s="744">
        <f>+BB46/BB47</f>
        <v>0.67320398083734601</v>
      </c>
      <c r="BC50" s="581"/>
      <c r="BD50" s="744">
        <f>+BD46/BD47</f>
        <v>0.74388196401295981</v>
      </c>
      <c r="BE50" s="744">
        <f>+BE46/BE47</f>
        <v>0.613238205220346</v>
      </c>
      <c r="BF50" s="744">
        <f>+BF46/BF47</f>
        <v>0.6676535244956513</v>
      </c>
      <c r="BG50" s="581"/>
      <c r="BH50" s="744">
        <f>+BH46/BH47</f>
        <v>0.7043125574792245</v>
      </c>
      <c r="BI50" s="744">
        <f>+BI46/BI47</f>
        <v>0.86522298619747595</v>
      </c>
      <c r="BJ50" s="744">
        <f>+BJ46/BJ47</f>
        <v>0.79700296627088985</v>
      </c>
      <c r="BK50" s="581"/>
      <c r="BL50" s="744">
        <f>+BL46/BL47</f>
        <v>0.6784192335329341</v>
      </c>
      <c r="BM50" s="744">
        <f>+BM46/BM47</f>
        <v>0.67022348628162143</v>
      </c>
      <c r="BN50" s="744">
        <f>+BN46/BN47</f>
        <v>0.67346301430386035</v>
      </c>
      <c r="BO50" s="581"/>
      <c r="BP50" s="744">
        <f>+BP46/BP47</f>
        <v>0.61587594719764016</v>
      </c>
      <c r="BQ50" s="744">
        <f>+BQ46/BQ47</f>
        <v>0.719830277714816</v>
      </c>
      <c r="BR50" s="744">
        <f>+BR46/BR47</f>
        <v>0.67590290135806397</v>
      </c>
      <c r="BS50" s="581"/>
      <c r="BT50" s="744">
        <f>+BT46/BT47</f>
        <v>0.49873937943925239</v>
      </c>
      <c r="BU50" s="744">
        <f>+BU46/BU47</f>
        <v>0.8220774578506076</v>
      </c>
      <c r="BV50" s="744">
        <f>+BV46/BV47</f>
        <v>0.65441406045098371</v>
      </c>
      <c r="BW50" s="581"/>
      <c r="BX50" s="744">
        <f>+BX46/BX47</f>
        <v>0.61585057200000004</v>
      </c>
      <c r="BY50" s="744">
        <f>+BY46/BY47</f>
        <v>0.81626810233920621</v>
      </c>
      <c r="BZ50" s="744">
        <f>+BZ46/BZ47</f>
        <v>0.72136873104275556</v>
      </c>
      <c r="CA50" s="581"/>
      <c r="CB50" s="744">
        <f>+CB46/CB47</f>
        <v>0.55908149130608975</v>
      </c>
      <c r="CC50" s="744">
        <f>+CC46/CC47</f>
        <v>0.83174932530985346</v>
      </c>
      <c r="CD50" s="744">
        <f>+CD46/CD47</f>
        <v>0.6986932989571808</v>
      </c>
      <c r="CE50" s="581"/>
      <c r="CF50" s="744">
        <f>+CF46/CF47</f>
        <v>0.55864342496183217</v>
      </c>
      <c r="CG50" s="744">
        <f>+CG46/CG47</f>
        <v>0.73266677636338629</v>
      </c>
      <c r="CH50" s="744">
        <f>+CH46/CH47</f>
        <v>0.65623044620434612</v>
      </c>
      <c r="CI50" s="581"/>
      <c r="CJ50" s="744">
        <f>+CJ46/CJ47</f>
        <v>0.6080584540150995</v>
      </c>
      <c r="CK50" s="744">
        <f>+CK46/CK47</f>
        <v>0.50050334863357104</v>
      </c>
      <c r="CL50" s="744">
        <f>+CL46/CL47</f>
        <v>0.55787415670568075</v>
      </c>
      <c r="CM50" s="581"/>
      <c r="CN50" s="744">
        <f>+CN46/CN47</f>
        <v>0.49546182380710663</v>
      </c>
      <c r="CO50" s="744">
        <f>+CO46/CO47</f>
        <v>0.59695029916424114</v>
      </c>
      <c r="CP50" s="744">
        <f>+CP46/CP47</f>
        <v>0.56379941880092455</v>
      </c>
      <c r="CQ50" s="581"/>
      <c r="CR50" s="744">
        <f>+CR46/CR47</f>
        <v>0.49104210459128739</v>
      </c>
      <c r="CS50" s="744">
        <f>+CS46/CS47</f>
        <v>0.50413807804797461</v>
      </c>
      <c r="CT50" s="744">
        <f>+CT46/CT47</f>
        <v>0.49845335891078063</v>
      </c>
      <c r="CU50" s="581"/>
      <c r="CV50" s="744">
        <f>+CV46/CV47</f>
        <v>0.48654228367603863</v>
      </c>
      <c r="CW50" s="744">
        <f>+CW46/CW47</f>
        <v>0.62123650843546507</v>
      </c>
      <c r="CX50" s="744">
        <f>+CX46/CX47</f>
        <v>0.55930173623103951</v>
      </c>
      <c r="CY50" s="581"/>
      <c r="CZ50" s="649">
        <f>+CZ46/CZ47</f>
        <v>0.69647754254416971</v>
      </c>
      <c r="DA50" s="649">
        <f>+DA46/DA47</f>
        <v>0.6996027274388017</v>
      </c>
      <c r="DB50" s="744">
        <f>+DB46/DB47</f>
        <v>0.69834732667800337</v>
      </c>
      <c r="DC50" s="581"/>
      <c r="DD50" s="649">
        <f>+DD46/DD47</f>
        <v>0.61473937903225817</v>
      </c>
      <c r="DE50" s="649">
        <f ca="1">+DE46/DE47</f>
        <v>0.70665409319749561</v>
      </c>
      <c r="DF50" s="744">
        <f ca="1">+DF46/DF47</f>
        <v>0.66677603694263754</v>
      </c>
      <c r="DG50" s="581"/>
      <c r="DH50" s="649">
        <f>+DH46/DH47</f>
        <v>0.64482632145015106</v>
      </c>
      <c r="DI50" s="649">
        <f>+DI46/DI47</f>
        <v>0.65257926642048847</v>
      </c>
      <c r="DJ50" s="649">
        <f>+DJ46/DJ47</f>
        <v>0.64950424207955615</v>
      </c>
      <c r="DK50" s="581"/>
      <c r="DL50" s="649">
        <f>+DL46/DL47</f>
        <v>0.64979480702835912</v>
      </c>
      <c r="DM50" s="649">
        <f>+DM46/DM47</f>
        <v>0.6503955754222791</v>
      </c>
      <c r="DN50" s="649">
        <f>+DN46/DN47</f>
        <v>0.65014387033065812</v>
      </c>
      <c r="DO50" s="581"/>
      <c r="DP50" s="649">
        <f>+DP46/DP47</f>
        <v>0.64615341977364393</v>
      </c>
      <c r="DQ50" s="649">
        <f>+DQ46/DQ47</f>
        <v>0.65283466050051342</v>
      </c>
      <c r="DR50" s="649">
        <f>+DR46/DR47</f>
        <v>0.65000456955317776</v>
      </c>
      <c r="DS50" s="581"/>
      <c r="JJ50"/>
    </row>
    <row r="51" spans="1:270" s="302" customFormat="1">
      <c r="A51" s="102" t="s">
        <v>95</v>
      </c>
      <c r="B51" s="102"/>
      <c r="C51" s="103" t="s">
        <v>917</v>
      </c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358">
        <v>0.85</v>
      </c>
      <c r="Q51" s="1358">
        <v>1</v>
      </c>
      <c r="R51" s="829">
        <f>+(P51*(P44/R44))+(Q51*(Q44/R44))</f>
        <v>0.93422777896192821</v>
      </c>
      <c r="S51" s="103"/>
      <c r="T51" s="1358">
        <v>0.9</v>
      </c>
      <c r="U51" s="1358">
        <v>0.9</v>
      </c>
      <c r="V51" s="829">
        <f>+(T51*(T44/V44))+(U51*(U44/V44))</f>
        <v>0.89999999999999991</v>
      </c>
      <c r="W51" s="103"/>
      <c r="X51" s="1358">
        <v>0.9</v>
      </c>
      <c r="Y51" s="1358">
        <v>0.9</v>
      </c>
      <c r="Z51" s="829">
        <f>+(X51*(X44/Z44))+(Y51*(Y44/Z44))</f>
        <v>0.90000000000000013</v>
      </c>
      <c r="AA51" s="115"/>
      <c r="AB51" s="1358">
        <v>0.9</v>
      </c>
      <c r="AC51" s="1358">
        <v>0.9</v>
      </c>
      <c r="AD51" s="829">
        <f>+(AB51*(AB44/AD44))+(AC51*(AC44/AD44))</f>
        <v>0.90000000000000013</v>
      </c>
      <c r="AE51" s="331"/>
      <c r="AF51" s="1358">
        <v>0.9</v>
      </c>
      <c r="AG51" s="1358">
        <v>1</v>
      </c>
      <c r="AH51" s="829">
        <f>+(AF51*(AF44/AH44))+(AG51*(AG44/AH44))</f>
        <v>0.95836245892860339</v>
      </c>
      <c r="AI51" s="115"/>
      <c r="AJ51" s="1358">
        <v>1</v>
      </c>
      <c r="AK51" s="1358">
        <v>1</v>
      </c>
      <c r="AL51" s="829">
        <f>+(AJ51*(AJ44/AL44))+(AK51*(AK44/AL44))</f>
        <v>1</v>
      </c>
      <c r="AM51" s="115"/>
      <c r="AN51" s="1358">
        <v>1</v>
      </c>
      <c r="AO51" s="1358">
        <v>1</v>
      </c>
      <c r="AP51" s="829">
        <f>+(AN51*(AN44/AP44))+(AO51*(AO44/AP44))</f>
        <v>1</v>
      </c>
      <c r="AQ51" s="115"/>
      <c r="AR51" s="1358">
        <v>0.8</v>
      </c>
      <c r="AS51" s="1358">
        <v>0.6</v>
      </c>
      <c r="AT51" s="829">
        <f>+(AR51*(AR44/AT44))+(AS51*(AS44/AT44))</f>
        <v>0.75646522717580544</v>
      </c>
      <c r="AU51" s="115"/>
      <c r="AV51" s="1358">
        <v>0</v>
      </c>
      <c r="AW51" s="1358">
        <v>0</v>
      </c>
      <c r="AX51" s="829">
        <f>+(AV51*(AV44/AX44))+(AW51*(AW44/AX44))</f>
        <v>0</v>
      </c>
      <c r="AY51" s="115"/>
      <c r="AZ51" s="1358">
        <v>0</v>
      </c>
      <c r="BA51" s="1358">
        <v>0</v>
      </c>
      <c r="BB51" s="829">
        <f>+(AZ51*(AZ44/BB44))+(BA51*(BA44/BB44))</f>
        <v>0</v>
      </c>
      <c r="BC51" s="115"/>
      <c r="BD51" s="1358">
        <v>0</v>
      </c>
      <c r="BE51" s="1358">
        <v>0</v>
      </c>
      <c r="BF51" s="829">
        <f>+(BD51*(BD44/BF44))+(BE51*(BE44/BF44))</f>
        <v>0</v>
      </c>
      <c r="BG51" s="115"/>
      <c r="BH51" s="1358">
        <v>0</v>
      </c>
      <c r="BI51" s="1358">
        <v>0.4</v>
      </c>
      <c r="BJ51" s="829">
        <f>+(BH51*(BH44/BJ44))+(BI51*(BI44/BJ44))</f>
        <v>0.25013744408646338</v>
      </c>
      <c r="BK51" s="115"/>
      <c r="BL51" s="1358">
        <v>0.4</v>
      </c>
      <c r="BM51" s="1358">
        <v>0.4</v>
      </c>
      <c r="BN51" s="829">
        <f>+(BL51*(BL44/BN44))+(BM51*(BM44/BN44))</f>
        <v>0.40000000000000008</v>
      </c>
      <c r="BO51" s="115"/>
      <c r="BP51" s="1358">
        <v>0.4</v>
      </c>
      <c r="BQ51" s="1358">
        <v>0.4</v>
      </c>
      <c r="BR51" s="829">
        <f>+(BP51*(BP44/BR44))+(BQ51*(BQ44/BR44))</f>
        <v>0.39999999999999997</v>
      </c>
      <c r="BS51" s="115"/>
      <c r="BT51" s="1358">
        <v>0.4</v>
      </c>
      <c r="BU51" s="1358">
        <v>0.4</v>
      </c>
      <c r="BV51" s="829">
        <f>+(BT51*(BT44/BV44))+(BU51*(BU44/BV44))</f>
        <v>0.4</v>
      </c>
      <c r="BW51" s="115"/>
      <c r="BX51" s="1358">
        <v>0.45</v>
      </c>
      <c r="BY51" s="1358">
        <v>0.45</v>
      </c>
      <c r="BZ51" s="829">
        <f>+(BX51*(BX44/BZ44))+(BY51*(BY44/BZ44))</f>
        <v>0.45000000000000007</v>
      </c>
      <c r="CA51" s="115"/>
      <c r="CB51" s="1358">
        <v>0.45</v>
      </c>
      <c r="CC51" s="1358">
        <v>0.45</v>
      </c>
      <c r="CD51" s="829">
        <f>+(CB51*(CB44/CD44))+(CC51*(CC44/CD44))</f>
        <v>0.44999999999999996</v>
      </c>
      <c r="CE51" s="115"/>
      <c r="CF51" s="1358">
        <v>0.45</v>
      </c>
      <c r="CG51" s="1358">
        <v>0.45</v>
      </c>
      <c r="CH51" s="829">
        <f>+(CF51*(CF44/CH44))+(CG51*(CG44/CH44))</f>
        <v>0.45000000000000007</v>
      </c>
      <c r="CI51" s="115"/>
      <c r="CJ51" s="1358">
        <v>0.4</v>
      </c>
      <c r="CK51" s="1358">
        <v>0.4</v>
      </c>
      <c r="CL51" s="829">
        <f>+(CJ51*(CJ44/CL44))+(CK51*(CK44/CL44))</f>
        <v>0.4</v>
      </c>
      <c r="CM51" s="115"/>
      <c r="CN51" s="1358">
        <v>0.4</v>
      </c>
      <c r="CO51" s="1358">
        <v>0.4</v>
      </c>
      <c r="CP51" s="829">
        <f>+(CN51*(CN44/CP44))+(CO51*(CO44/CP44))</f>
        <v>0.39999999999999997</v>
      </c>
      <c r="CQ51" s="115"/>
      <c r="CR51" s="1358">
        <v>0.4</v>
      </c>
      <c r="CS51" s="1358">
        <v>0.4</v>
      </c>
      <c r="CT51" s="829">
        <f>+(CR51*(CR44/CT44))+(CS51*(CS44/CT44))</f>
        <v>0.4</v>
      </c>
      <c r="CU51" s="115"/>
      <c r="CV51" s="1358">
        <v>0.4</v>
      </c>
      <c r="CW51" s="1358">
        <v>0.4</v>
      </c>
      <c r="CX51" s="829">
        <f>+(CV51*(CV44/CX44))+(CW51*(CW44/CX44))</f>
        <v>0.4</v>
      </c>
      <c r="CY51" s="115"/>
      <c r="CZ51" s="2021">
        <v>0.4</v>
      </c>
      <c r="DA51" s="2016">
        <v>0.4</v>
      </c>
      <c r="DB51" s="829">
        <f>+(CZ51*(CZ44/DB44))+(DA51*(DA44/DB44))</f>
        <v>0.4</v>
      </c>
      <c r="DC51" s="115"/>
      <c r="DD51" s="2021">
        <v>0.35</v>
      </c>
      <c r="DE51" s="2191">
        <v>0.35</v>
      </c>
      <c r="DF51" s="829">
        <f>+(DD51*(DD44/DF44))+(DE51*(DE44/DF44))</f>
        <v>0.35</v>
      </c>
      <c r="DG51" s="115"/>
      <c r="DH51" s="2021">
        <v>0.35</v>
      </c>
      <c r="DI51" s="1353">
        <v>0.4</v>
      </c>
      <c r="DJ51" s="829">
        <f>+(DH51*(DH44/DJ44))+(DI51*(DI44/DJ44))</f>
        <v>0.38031150019336923</v>
      </c>
      <c r="DK51" s="115"/>
      <c r="DL51" s="1353">
        <v>0.4</v>
      </c>
      <c r="DM51" s="1353">
        <v>0.4</v>
      </c>
      <c r="DN51" s="829">
        <f>+(DL51*(DL44/DN44))+(DM51*(DM44/DN44))</f>
        <v>0.4</v>
      </c>
      <c r="DO51" s="115"/>
      <c r="DP51" s="1353">
        <v>0.4</v>
      </c>
      <c r="DQ51" s="1353">
        <v>0.4</v>
      </c>
      <c r="DR51" s="829">
        <f>+(DP51*(DP44/DR44))+(DQ51*(DQ44/DR44))</f>
        <v>0.40000000000000008</v>
      </c>
      <c r="DS51" s="115"/>
      <c r="DU51" s="302" t="s">
        <v>949</v>
      </c>
      <c r="JJ51"/>
    </row>
    <row r="52" spans="1:270" s="102" customFormat="1">
      <c r="A52" s="102" t="s">
        <v>96</v>
      </c>
      <c r="C52" s="103" t="s">
        <v>917</v>
      </c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626" t="s">
        <v>97</v>
      </c>
      <c r="Q52" s="626" t="s">
        <v>97</v>
      </c>
      <c r="R52" s="293"/>
      <c r="S52" s="103"/>
      <c r="T52" s="626" t="s">
        <v>97</v>
      </c>
      <c r="U52" s="626" t="s">
        <v>97</v>
      </c>
      <c r="V52" s="293"/>
      <c r="W52" s="103"/>
      <c r="X52" s="626" t="s">
        <v>97</v>
      </c>
      <c r="Y52" s="1358">
        <v>0.9</v>
      </c>
      <c r="Z52" s="293"/>
      <c r="AA52" s="115"/>
      <c r="AB52" s="626" t="s">
        <v>97</v>
      </c>
      <c r="AC52" s="1358">
        <v>0.9</v>
      </c>
      <c r="AD52" s="293"/>
      <c r="AE52" s="331"/>
      <c r="AF52" s="626" t="s">
        <v>97</v>
      </c>
      <c r="AG52" s="626" t="s">
        <v>97</v>
      </c>
      <c r="AH52" s="829"/>
      <c r="AI52" s="115"/>
      <c r="AJ52" s="626" t="s">
        <v>97</v>
      </c>
      <c r="AK52" s="626" t="s">
        <v>97</v>
      </c>
      <c r="AL52" s="293"/>
      <c r="AM52" s="115"/>
      <c r="AN52" s="626" t="s">
        <v>97</v>
      </c>
      <c r="AO52" s="626" t="s">
        <v>97</v>
      </c>
      <c r="AP52" s="293"/>
      <c r="AQ52" s="115"/>
      <c r="AR52" s="626" t="s">
        <v>97</v>
      </c>
      <c r="AS52" s="626" t="s">
        <v>97</v>
      </c>
      <c r="AT52" s="293"/>
      <c r="AU52" s="115"/>
      <c r="AV52" s="626" t="s">
        <v>97</v>
      </c>
      <c r="AW52" s="626" t="s">
        <v>97</v>
      </c>
      <c r="AX52" s="293"/>
      <c r="AY52" s="115"/>
      <c r="AZ52" s="626" t="s">
        <v>97</v>
      </c>
      <c r="BA52" s="626" t="s">
        <v>97</v>
      </c>
      <c r="BB52" s="293"/>
      <c r="BC52" s="115"/>
      <c r="BD52" s="626" t="s">
        <v>97</v>
      </c>
      <c r="BE52" s="626" t="s">
        <v>97</v>
      </c>
      <c r="BF52" s="293"/>
      <c r="BG52" s="115"/>
      <c r="BH52" s="626" t="s">
        <v>97</v>
      </c>
      <c r="BI52" s="626" t="s">
        <v>97</v>
      </c>
      <c r="BJ52" s="293"/>
      <c r="BK52" s="115"/>
      <c r="BL52" s="626" t="s">
        <v>97</v>
      </c>
      <c r="BM52" s="626" t="s">
        <v>97</v>
      </c>
      <c r="BN52" s="293"/>
      <c r="BO52" s="115"/>
      <c r="BP52" s="626" t="s">
        <v>97</v>
      </c>
      <c r="BQ52" s="626" t="s">
        <v>97</v>
      </c>
      <c r="BR52" s="293"/>
      <c r="BS52" s="115"/>
      <c r="BT52" s="626" t="s">
        <v>97</v>
      </c>
      <c r="BU52" s="626" t="s">
        <v>97</v>
      </c>
      <c r="BV52" s="293"/>
      <c r="BW52" s="115"/>
      <c r="BX52" s="626" t="s">
        <v>97</v>
      </c>
      <c r="BY52" s="626" t="s">
        <v>97</v>
      </c>
      <c r="BZ52" s="293"/>
      <c r="CA52" s="115"/>
      <c r="CB52" s="626" t="s">
        <v>97</v>
      </c>
      <c r="CC52" s="626" t="s">
        <v>97</v>
      </c>
      <c r="CD52" s="293"/>
      <c r="CE52" s="115"/>
      <c r="CF52" s="626" t="s">
        <v>97</v>
      </c>
      <c r="CG52" s="626" t="s">
        <v>97</v>
      </c>
      <c r="CH52" s="293"/>
      <c r="CI52" s="115"/>
      <c r="CJ52" s="626" t="s">
        <v>97</v>
      </c>
      <c r="CK52" s="626" t="s">
        <v>97</v>
      </c>
      <c r="CL52" s="293"/>
      <c r="CM52" s="115"/>
      <c r="CN52" s="626" t="s">
        <v>97</v>
      </c>
      <c r="CO52" s="626" t="s">
        <v>97</v>
      </c>
      <c r="CP52" s="293"/>
      <c r="CQ52" s="115"/>
      <c r="CR52" s="626" t="s">
        <v>97</v>
      </c>
      <c r="CS52" s="626" t="s">
        <v>97</v>
      </c>
      <c r="CT52" s="293"/>
      <c r="CU52" s="115"/>
      <c r="CV52" s="626" t="s">
        <v>97</v>
      </c>
      <c r="CW52" s="626" t="s">
        <v>97</v>
      </c>
      <c r="CX52" s="293"/>
      <c r="CY52" s="115"/>
      <c r="CZ52" s="626" t="s">
        <v>97</v>
      </c>
      <c r="DA52" s="626" t="s">
        <v>97</v>
      </c>
      <c r="DB52" s="293"/>
      <c r="DC52" s="115"/>
      <c r="DD52" s="626" t="s">
        <v>97</v>
      </c>
      <c r="DE52" s="626" t="s">
        <v>97</v>
      </c>
      <c r="DF52" s="293"/>
      <c r="DG52" s="115"/>
      <c r="DH52" s="626" t="s">
        <v>97</v>
      </c>
      <c r="DI52" s="487" t="s">
        <v>97</v>
      </c>
      <c r="DJ52" s="293"/>
      <c r="DK52" s="115"/>
      <c r="DL52" s="487" t="s">
        <v>97</v>
      </c>
      <c r="DM52" s="487" t="s">
        <v>97</v>
      </c>
      <c r="DN52" s="293"/>
      <c r="DO52" s="115"/>
      <c r="DP52" s="487" t="s">
        <v>97</v>
      </c>
      <c r="DQ52" s="487" t="s">
        <v>97</v>
      </c>
      <c r="DR52" s="293"/>
      <c r="DS52" s="115"/>
      <c r="JJ52"/>
    </row>
    <row r="53" spans="1:270" s="641" customFormat="1">
      <c r="A53" s="641" t="s">
        <v>98</v>
      </c>
      <c r="C53" s="638" t="s">
        <v>612</v>
      </c>
      <c r="D53" s="638"/>
      <c r="E53" s="638"/>
      <c r="F53" s="638"/>
      <c r="G53" s="638"/>
      <c r="H53" s="638"/>
      <c r="I53" s="638"/>
      <c r="J53" s="638"/>
      <c r="K53" s="638"/>
      <c r="L53" s="638"/>
      <c r="M53" s="638"/>
      <c r="N53" s="638"/>
      <c r="O53" s="638"/>
      <c r="P53" s="638"/>
      <c r="Q53" s="638"/>
      <c r="R53" s="638"/>
      <c r="S53" s="638"/>
      <c r="T53" s="638"/>
      <c r="U53" s="638"/>
      <c r="V53" s="638"/>
      <c r="W53" s="638"/>
      <c r="X53" s="638"/>
      <c r="Y53" s="638"/>
      <c r="Z53" s="638"/>
      <c r="AA53" s="787"/>
      <c r="AB53" s="487"/>
      <c r="AC53" s="487"/>
      <c r="AD53" s="487"/>
      <c r="AE53" s="769"/>
      <c r="AF53" s="487">
        <v>27</v>
      </c>
      <c r="AG53" s="487">
        <v>97</v>
      </c>
      <c r="AH53" s="487">
        <f>+AG53+AF53</f>
        <v>124</v>
      </c>
      <c r="AI53" s="787"/>
      <c r="AJ53" s="487">
        <v>111</v>
      </c>
      <c r="AK53" s="850">
        <v>182</v>
      </c>
      <c r="AL53" s="487">
        <f>+AK53+AJ53</f>
        <v>293</v>
      </c>
      <c r="AM53" s="787"/>
      <c r="AN53" s="487">
        <v>151</v>
      </c>
      <c r="AO53" s="850">
        <v>210</v>
      </c>
      <c r="AP53" s="487">
        <f>+AO53+AN53</f>
        <v>361</v>
      </c>
      <c r="AQ53" s="787"/>
      <c r="AR53" s="487">
        <f>+AR46*0.15</f>
        <v>61.121060039999996</v>
      </c>
      <c r="AS53" s="487"/>
      <c r="AT53" s="487"/>
      <c r="AU53" s="787"/>
      <c r="AV53" s="487"/>
      <c r="AW53" s="487"/>
      <c r="AX53" s="293">
        <v>120</v>
      </c>
      <c r="AY53" s="787"/>
      <c r="AZ53" s="293">
        <v>42</v>
      </c>
      <c r="BA53" s="293">
        <v>30</v>
      </c>
      <c r="BB53" s="293">
        <f>AZ53+BA53</f>
        <v>72</v>
      </c>
      <c r="BC53" s="787"/>
      <c r="BD53" s="293">
        <v>49</v>
      </c>
      <c r="BE53" s="293"/>
      <c r="BF53" s="293">
        <f>+BD53+BE53</f>
        <v>49</v>
      </c>
      <c r="BG53" s="787"/>
      <c r="BH53" s="487">
        <v>0</v>
      </c>
      <c r="BI53" s="487">
        <v>0</v>
      </c>
      <c r="BJ53" s="293">
        <f>BH53+BI53</f>
        <v>0</v>
      </c>
      <c r="BK53" s="787"/>
      <c r="BL53" s="487">
        <v>0</v>
      </c>
      <c r="BM53" s="487">
        <v>0</v>
      </c>
      <c r="BN53" s="293">
        <f>BL53+BM53</f>
        <v>0</v>
      </c>
      <c r="BO53" s="787"/>
      <c r="BP53" s="487">
        <v>0</v>
      </c>
      <c r="BQ53" s="487">
        <v>0</v>
      </c>
      <c r="BR53" s="293">
        <f>BP53+BQ53</f>
        <v>0</v>
      </c>
      <c r="BS53" s="787"/>
      <c r="BT53" s="487">
        <v>0</v>
      </c>
      <c r="BU53" s="487">
        <v>0</v>
      </c>
      <c r="BV53" s="293">
        <f>BT53+BU53</f>
        <v>0</v>
      </c>
      <c r="BW53" s="787"/>
      <c r="BX53" s="487">
        <v>0</v>
      </c>
      <c r="BY53" s="487">
        <v>0</v>
      </c>
      <c r="BZ53" s="293">
        <f>BX53+BY53</f>
        <v>0</v>
      </c>
      <c r="CA53" s="787"/>
      <c r="CB53" s="487">
        <v>0</v>
      </c>
      <c r="CC53" s="487">
        <v>0</v>
      </c>
      <c r="CD53" s="293">
        <f>CB53+CC53</f>
        <v>0</v>
      </c>
      <c r="CE53" s="787"/>
      <c r="CF53" s="487">
        <v>0</v>
      </c>
      <c r="CG53" s="487">
        <v>0</v>
      </c>
      <c r="CH53" s="293">
        <f>CF53+CG53</f>
        <v>0</v>
      </c>
      <c r="CI53" s="787"/>
      <c r="CJ53" s="487">
        <v>0</v>
      </c>
      <c r="CK53" s="487">
        <v>0</v>
      </c>
      <c r="CL53" s="293">
        <f>CJ53+CK53</f>
        <v>0</v>
      </c>
      <c r="CM53" s="787"/>
      <c r="CN53" s="487">
        <v>0</v>
      </c>
      <c r="CO53" s="487">
        <v>0</v>
      </c>
      <c r="CP53" s="293">
        <f>CN53+CO53</f>
        <v>0</v>
      </c>
      <c r="CQ53" s="787"/>
      <c r="CR53" s="487">
        <v>0</v>
      </c>
      <c r="CS53" s="487">
        <v>0</v>
      </c>
      <c r="CT53" s="293">
        <f>CR53+CS53</f>
        <v>0</v>
      </c>
      <c r="CU53" s="787"/>
      <c r="CV53" s="487">
        <v>0</v>
      </c>
      <c r="CW53" s="487">
        <v>0</v>
      </c>
      <c r="CX53" s="293">
        <f>CV53+CW53</f>
        <v>0</v>
      </c>
      <c r="CY53" s="787"/>
      <c r="CZ53" s="487">
        <v>0</v>
      </c>
      <c r="DA53" s="487">
        <v>0</v>
      </c>
      <c r="DB53" s="293">
        <f>CZ53+DA53</f>
        <v>0</v>
      </c>
      <c r="DC53" s="787"/>
      <c r="DD53" s="487">
        <v>0</v>
      </c>
      <c r="DE53" s="487">
        <v>0</v>
      </c>
      <c r="DF53" s="293">
        <f>DD53+DE53</f>
        <v>0</v>
      </c>
      <c r="DG53" s="787"/>
      <c r="DH53" s="487">
        <v>0</v>
      </c>
      <c r="DI53" s="487"/>
      <c r="DJ53" s="850"/>
      <c r="DK53" s="787"/>
      <c r="DL53" s="487"/>
      <c r="DM53" s="487"/>
      <c r="DN53" s="850"/>
      <c r="DO53" s="787"/>
      <c r="DP53" s="487"/>
      <c r="DQ53" s="487"/>
      <c r="DR53" s="850"/>
      <c r="DS53" s="787"/>
      <c r="JJ53"/>
    </row>
    <row r="54" spans="1:270" s="102" customFormat="1">
      <c r="A54" s="102" t="s">
        <v>99</v>
      </c>
      <c r="C54" s="103" t="s">
        <v>917</v>
      </c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  <c r="AA54" s="115"/>
      <c r="AB54" s="293"/>
      <c r="AC54" s="293"/>
      <c r="AD54" s="293"/>
      <c r="AE54" s="331"/>
      <c r="AF54" s="632">
        <f>+AF53/AF46</f>
        <v>0.13025388997055337</v>
      </c>
      <c r="AG54" s="632">
        <f>+AG53/AG46</f>
        <v>0.33384906560701594</v>
      </c>
      <c r="AH54" s="632">
        <f>+AH53/AH46</f>
        <v>0.24907704073200165</v>
      </c>
      <c r="AI54" s="115"/>
      <c r="AJ54" s="632">
        <f>+AJ53/AJ46</f>
        <v>0.35565061074641818</v>
      </c>
      <c r="AK54" s="632">
        <f>+AK53/AK46</f>
        <v>0.37721122763125631</v>
      </c>
      <c r="AL54" s="632">
        <f>+AL53/AL46</f>
        <v>0.36874253788554989</v>
      </c>
      <c r="AM54" s="115"/>
      <c r="AN54" s="632">
        <f>+AN53/AN46</f>
        <v>0.38414996955930131</v>
      </c>
      <c r="AO54" s="632">
        <f>+AO53/AO46</f>
        <v>0.38241497166997046</v>
      </c>
      <c r="AP54" s="632">
        <f>+AP53/AP46</f>
        <v>0.38313878071493568</v>
      </c>
      <c r="AQ54" s="115"/>
      <c r="AR54" s="632">
        <f>+AR53/AR46</f>
        <v>0.15</v>
      </c>
      <c r="AS54" s="632"/>
      <c r="AT54" s="632"/>
      <c r="AU54" s="115"/>
      <c r="AV54" s="632"/>
      <c r="AW54" s="632"/>
      <c r="AX54" s="632"/>
      <c r="AY54" s="115"/>
      <c r="AZ54" s="632">
        <f>+AZ53/AZ46</f>
        <v>0.1413108375489755</v>
      </c>
      <c r="BA54" s="632">
        <f>+BA53/BA46</f>
        <v>8.6501458626521019E-2</v>
      </c>
      <c r="BB54" s="632">
        <f>+BB53/BB46</f>
        <v>0.11179567330815478</v>
      </c>
      <c r="BC54" s="632"/>
      <c r="BD54" s="632">
        <f>+BD53/BD46</f>
        <v>0.2164451769624581</v>
      </c>
      <c r="BE54" s="632"/>
      <c r="BF54" s="632"/>
      <c r="BG54" s="115"/>
      <c r="BH54" s="632">
        <f>+BH55/BH46</f>
        <v>0.12192396013018461</v>
      </c>
      <c r="BI54" s="632">
        <f>+BI55/BI46</f>
        <v>0.11074895874329717</v>
      </c>
      <c r="BJ54" s="632">
        <f>+BJ55/BJ46</f>
        <v>0.11493574441873784</v>
      </c>
      <c r="BK54" s="115"/>
      <c r="BL54" s="632">
        <f>+BL55/BL46</f>
        <v>0.23831377224469297</v>
      </c>
      <c r="BM54" s="632">
        <f>+BM55/BM46</f>
        <v>9.1489598605932101E-2</v>
      </c>
      <c r="BN54" s="632">
        <f>+BN55/BN46</f>
        <v>0.14995179822875906</v>
      </c>
      <c r="BO54" s="115"/>
      <c r="BP54" s="632">
        <f>+BP55/BP46</f>
        <v>0.19398228992751015</v>
      </c>
      <c r="BQ54" s="632">
        <f>+BQ55/BQ46</f>
        <v>7.047368998684353E-2</v>
      </c>
      <c r="BR54" s="632">
        <f>+BR55/BR46</f>
        <v>0.11802897735730272</v>
      </c>
      <c r="BS54" s="115"/>
      <c r="BT54" s="632">
        <f>+BT55/BT46</f>
        <v>0</v>
      </c>
      <c r="BU54" s="632">
        <f>+BU55/BU46</f>
        <v>0</v>
      </c>
      <c r="BV54" s="632">
        <f>+BV55/BV46</f>
        <v>0</v>
      </c>
      <c r="BW54" s="115"/>
      <c r="BX54" s="632">
        <f>+BX55/BX46</f>
        <v>0</v>
      </c>
      <c r="BY54" s="632">
        <f>+BY55/BY46</f>
        <v>0</v>
      </c>
      <c r="BZ54" s="632">
        <f>+BZ55/BZ46</f>
        <v>0</v>
      </c>
      <c r="CA54" s="115"/>
      <c r="CB54" s="632">
        <f>+CB55/CB46</f>
        <v>0</v>
      </c>
      <c r="CC54" s="632">
        <f>+CC55/CC46</f>
        <v>0</v>
      </c>
      <c r="CD54" s="632">
        <f>+CD55/CD46</f>
        <v>0</v>
      </c>
      <c r="CE54" s="115"/>
      <c r="CF54" s="632">
        <f>+CF55/CF46</f>
        <v>0</v>
      </c>
      <c r="CG54" s="632">
        <f>+CG55/CG46</f>
        <v>0</v>
      </c>
      <c r="CH54" s="632">
        <f>+CH55/CH46</f>
        <v>0</v>
      </c>
      <c r="CI54" s="115"/>
      <c r="CJ54" s="632">
        <f>+CJ55/CJ46</f>
        <v>0</v>
      </c>
      <c r="CK54" s="632">
        <f>+CK55/CK46</f>
        <v>0</v>
      </c>
      <c r="CL54" s="632">
        <f>+CL55/CL46</f>
        <v>0</v>
      </c>
      <c r="CM54" s="115"/>
      <c r="CN54" s="632">
        <f>+CN55/CN46</f>
        <v>0</v>
      </c>
      <c r="CO54" s="632">
        <f>+CO55/CO46</f>
        <v>0</v>
      </c>
      <c r="CP54" s="632">
        <f>+CP55/CP46</f>
        <v>0</v>
      </c>
      <c r="CQ54" s="115"/>
      <c r="CR54" s="632">
        <f>+CR55/CR46</f>
        <v>0</v>
      </c>
      <c r="CS54" s="632">
        <f>+CS55/CS46</f>
        <v>0</v>
      </c>
      <c r="CT54" s="632">
        <f>+CT55/CT46</f>
        <v>0</v>
      </c>
      <c r="CU54" s="115"/>
      <c r="CV54" s="632">
        <f>+CV55/CV46</f>
        <v>0</v>
      </c>
      <c r="CW54" s="632">
        <f>+CW55/CW46</f>
        <v>0</v>
      </c>
      <c r="CX54" s="632">
        <f>+CX55/CX46</f>
        <v>0</v>
      </c>
      <c r="CY54" s="115"/>
      <c r="CZ54" s="632">
        <f>+CZ55/CZ46</f>
        <v>0</v>
      </c>
      <c r="DA54" s="632">
        <f>+DA55/DA46</f>
        <v>0</v>
      </c>
      <c r="DB54" s="632">
        <f>+DB55/DB46</f>
        <v>0</v>
      </c>
      <c r="DC54" s="115"/>
      <c r="DD54" s="632">
        <f>+DD55/DD46</f>
        <v>0</v>
      </c>
      <c r="DE54" s="632">
        <f>+DE55/DE46</f>
        <v>0</v>
      </c>
      <c r="DF54" s="632">
        <f>+DF55/DF46</f>
        <v>0</v>
      </c>
      <c r="DG54" s="115"/>
      <c r="DH54" s="632">
        <f>+DH55/DH46</f>
        <v>0</v>
      </c>
      <c r="DI54" s="632">
        <f>+DI55/DI46</f>
        <v>0</v>
      </c>
      <c r="DJ54" s="632">
        <f>+DJ55/DJ46</f>
        <v>0</v>
      </c>
      <c r="DK54" s="115"/>
      <c r="DL54" s="632">
        <f>+DL55/DL46</f>
        <v>0</v>
      </c>
      <c r="DM54" s="632">
        <f>+DM55/DM46</f>
        <v>0</v>
      </c>
      <c r="DN54" s="632">
        <f>+DN55/DN46</f>
        <v>0</v>
      </c>
      <c r="DO54" s="115"/>
      <c r="DP54" s="632">
        <f>+DP55/DP46</f>
        <v>0</v>
      </c>
      <c r="DQ54" s="632">
        <f>+DQ55/DQ46</f>
        <v>0</v>
      </c>
      <c r="DR54" s="632">
        <f>+DR55/DR46</f>
        <v>0</v>
      </c>
      <c r="DS54" s="115"/>
      <c r="JJ54"/>
    </row>
    <row r="55" spans="1:270" s="102" customFormat="1">
      <c r="A55" s="102" t="s">
        <v>737</v>
      </c>
      <c r="C55" s="103" t="s">
        <v>612</v>
      </c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293"/>
      <c r="Q55" s="293"/>
      <c r="R55" s="293"/>
      <c r="S55" s="103"/>
      <c r="T55" s="293"/>
      <c r="U55" s="293"/>
      <c r="V55" s="293"/>
      <c r="W55" s="103"/>
      <c r="X55" s="293"/>
      <c r="Y55" s="293"/>
      <c r="Z55" s="293"/>
      <c r="AA55" s="115"/>
      <c r="AB55" s="293"/>
      <c r="AC55" s="293"/>
      <c r="AD55" s="293"/>
      <c r="AE55" s="331"/>
      <c r="AF55" s="293"/>
      <c r="AG55" s="293"/>
      <c r="AH55" s="293"/>
      <c r="AI55" s="115"/>
      <c r="AJ55" s="293"/>
      <c r="AK55" s="293"/>
      <c r="AL55" s="293"/>
      <c r="AM55" s="115"/>
      <c r="AN55" s="293"/>
      <c r="AO55" s="293"/>
      <c r="AP55" s="293"/>
      <c r="AQ55" s="115"/>
      <c r="AR55" s="293"/>
      <c r="AS55" s="293"/>
      <c r="AT55" s="293"/>
      <c r="AU55" s="115"/>
      <c r="AV55" s="293"/>
      <c r="AW55" s="293"/>
      <c r="AX55" s="293"/>
      <c r="AY55" s="115"/>
      <c r="AZ55" s="293"/>
      <c r="BA55" s="293"/>
      <c r="BB55" s="293"/>
      <c r="BC55" s="115"/>
      <c r="BD55" s="293"/>
      <c r="BE55" s="293"/>
      <c r="BF55" s="293"/>
      <c r="BG55" s="115"/>
      <c r="BH55" s="626">
        <v>31</v>
      </c>
      <c r="BI55" s="626">
        <v>47</v>
      </c>
      <c r="BJ55" s="293">
        <f>BH55+BI55</f>
        <v>78</v>
      </c>
      <c r="BK55" s="115"/>
      <c r="BL55" s="626">
        <v>81</v>
      </c>
      <c r="BM55" s="626">
        <v>47</v>
      </c>
      <c r="BN55" s="293">
        <f>BL55+BM55</f>
        <v>128</v>
      </c>
      <c r="BO55" s="115"/>
      <c r="BP55" s="293">
        <v>81</v>
      </c>
      <c r="BQ55" s="626">
        <v>47</v>
      </c>
      <c r="BR55" s="293">
        <f>BP55+BQ55</f>
        <v>128</v>
      </c>
      <c r="BS55" s="115"/>
      <c r="BT55" s="293">
        <v>0</v>
      </c>
      <c r="BU55" s="626">
        <v>0</v>
      </c>
      <c r="BV55" s="293">
        <f>BT55+BU55</f>
        <v>0</v>
      </c>
      <c r="BW55" s="115"/>
      <c r="BX55" s="293">
        <v>0</v>
      </c>
      <c r="BY55" s="626">
        <v>0</v>
      </c>
      <c r="BZ55" s="293">
        <f>BX55+BY55</f>
        <v>0</v>
      </c>
      <c r="CA55" s="115"/>
      <c r="CB55" s="293">
        <v>0</v>
      </c>
      <c r="CC55" s="293">
        <v>0</v>
      </c>
      <c r="CD55" s="293">
        <f>CB55+CC55</f>
        <v>0</v>
      </c>
      <c r="CE55" s="115"/>
      <c r="CF55" s="293">
        <v>0</v>
      </c>
      <c r="CG55" s="293">
        <v>0</v>
      </c>
      <c r="CH55" s="293">
        <f>CF55+CG55</f>
        <v>0</v>
      </c>
      <c r="CI55" s="115"/>
      <c r="CJ55" s="293">
        <v>0</v>
      </c>
      <c r="CK55" s="293">
        <v>0</v>
      </c>
      <c r="CL55" s="293">
        <f>CJ55+CK55</f>
        <v>0</v>
      </c>
      <c r="CM55" s="115"/>
      <c r="CN55" s="293">
        <v>0</v>
      </c>
      <c r="CO55" s="293">
        <v>0</v>
      </c>
      <c r="CP55" s="293">
        <f>CN55+CO55</f>
        <v>0</v>
      </c>
      <c r="CQ55" s="115"/>
      <c r="CR55" s="293">
        <v>0</v>
      </c>
      <c r="CS55" s="293">
        <v>0</v>
      </c>
      <c r="CT55" s="293">
        <f>CR55+CS55</f>
        <v>0</v>
      </c>
      <c r="CU55" s="115"/>
      <c r="CV55" s="293">
        <v>0</v>
      </c>
      <c r="CW55" s="293">
        <v>0</v>
      </c>
      <c r="CX55" s="293">
        <f>CV55+CW55</f>
        <v>0</v>
      </c>
      <c r="CY55" s="115"/>
      <c r="CZ55" s="293">
        <v>0</v>
      </c>
      <c r="DA55" s="293">
        <v>0</v>
      </c>
      <c r="DB55" s="293">
        <f>CZ55+DA55</f>
        <v>0</v>
      </c>
      <c r="DC55" s="115"/>
      <c r="DD55" s="293">
        <v>0</v>
      </c>
      <c r="DE55" s="293">
        <v>0</v>
      </c>
      <c r="DF55" s="293">
        <f>DD55+DE55</f>
        <v>0</v>
      </c>
      <c r="DG55" s="115"/>
      <c r="DH55" s="293">
        <v>0</v>
      </c>
      <c r="DI55" s="293"/>
      <c r="DJ55" s="293"/>
      <c r="DK55" s="115"/>
      <c r="DL55" s="293"/>
      <c r="DM55" s="293"/>
      <c r="DN55" s="293"/>
      <c r="DO55" s="115"/>
      <c r="DP55" s="293"/>
      <c r="DQ55" s="293"/>
      <c r="DR55" s="293"/>
      <c r="DS55" s="115"/>
      <c r="JJ55"/>
    </row>
    <row r="56" spans="1:270">
      <c r="AS56" s="332"/>
      <c r="DI56" s="1345"/>
      <c r="DJ56" s="1345"/>
      <c r="DK56" s="1345"/>
      <c r="DL56" s="1345"/>
      <c r="DM56" s="1345"/>
      <c r="DN56" s="1345"/>
      <c r="DO56" s="1345"/>
      <c r="DP56" s="1345"/>
      <c r="DQ56" s="1345"/>
      <c r="DR56" s="1345"/>
      <c r="DS56" s="1345"/>
    </row>
    <row r="57" spans="1:270">
      <c r="A57" s="289" t="s">
        <v>1053</v>
      </c>
      <c r="BL57" s="1068">
        <f>(BL46-'Bal Sheet'!BL270-'Bal Sheet'!BL269-'Bal Sheet'!BL268)/BL47</f>
        <v>0.6784192335329341</v>
      </c>
      <c r="BM57" s="1068">
        <f>(BM46-'Bal Sheet'!BM270-'Bal Sheet'!BM269-'Bal Sheet'!BM268)/BM47</f>
        <v>0.67022348628162143</v>
      </c>
      <c r="BN57" s="1068">
        <f>(BN46-'Bal Sheet'!BN270-'Bal Sheet'!BN269-'Bal Sheet'!BN268)/BN47</f>
        <v>0.67346301430386035</v>
      </c>
      <c r="BP57" s="1068">
        <f>(BP46-'Bal Sheet'!BP270-'Bal Sheet'!BP269-'Bal Sheet'!BP268)/BP47</f>
        <v>0.61587594719764016</v>
      </c>
      <c r="BQ57" s="1068">
        <f>(BQ46-'Bal Sheet'!BQ270-'Bal Sheet'!BQ269-'Bal Sheet'!BQ268)/BQ47</f>
        <v>0.53526271627324629</v>
      </c>
      <c r="BR57" s="1068">
        <f>(BR46-'Bal Sheet'!BR270-'Bal Sheet'!BR269-'Bal Sheet'!BR268)/BR47</f>
        <v>0.56932698003727045</v>
      </c>
      <c r="BT57" s="1068">
        <f>(BT46-'Bal Sheet'!BT270-'Bal Sheet'!BT269-'Bal Sheet'!BT268)/BT47</f>
        <v>0.49873937943925239</v>
      </c>
      <c r="BU57" s="1068">
        <f>(BU46-'Bal Sheet'!BU270-'Bal Sheet'!BU269-'Bal Sheet'!BU268)/BU47</f>
        <v>0.28055212795297396</v>
      </c>
      <c r="BV57" s="1068">
        <f>(BV46-'Bal Sheet'!BV270-'Bal Sheet'!BV269-'Bal Sheet'!BV268)/BV47</f>
        <v>0.39369072280456907</v>
      </c>
      <c r="BX57" s="1068">
        <f>(BX46-'Bal Sheet'!BX270-'Bal Sheet'!BX269-'Bal Sheet'!BX268)/BX47</f>
        <v>0.61585057200000004</v>
      </c>
      <c r="BY57" s="1068">
        <f>(BY46-'Bal Sheet'!BY270-'Bal Sheet'!BY269-'Bal Sheet'!BY268)/BY47</f>
        <v>0.81626810233920621</v>
      </c>
      <c r="BZ57" s="1068">
        <f>(BZ46-'Bal Sheet'!BZ270-'Bal Sheet'!BZ269-'Bal Sheet'!BZ268)/BZ47</f>
        <v>0.72136873104275556</v>
      </c>
      <c r="CB57" s="1068">
        <f>(CB46-'Bal Sheet'!CB270-'Bal Sheet'!CB269-'Bal Sheet'!CB268)/CB47</f>
        <v>0.55908149130608975</v>
      </c>
      <c r="CC57" s="1068">
        <f>(CC46-'Bal Sheet'!CC270-'Bal Sheet'!CC269-'Bal Sheet'!CC268)/CC47</f>
        <v>0.83174932530985346</v>
      </c>
      <c r="CD57" s="1068">
        <f>(CD46-'Bal Sheet'!CD270-'Bal Sheet'!CD269-'Bal Sheet'!CD268)/CD47</f>
        <v>0.6986932989571808</v>
      </c>
      <c r="CF57" s="1068">
        <f>(CF46-'Bal Sheet'!CF270-'Bal Sheet'!CF269-'Bal Sheet'!CF268)/CF47</f>
        <v>0.55864342496183217</v>
      </c>
      <c r="CG57" s="1068">
        <f>(CG46-'Bal Sheet'!CG270-'Bal Sheet'!CG269-'Bal Sheet'!CG268)/CG47</f>
        <v>0.73266677636338629</v>
      </c>
      <c r="CH57" s="1068">
        <f>(CH46-'Bal Sheet'!CH270-'Bal Sheet'!CH269-'Bal Sheet'!CH268)/CH47</f>
        <v>0.65623044620434612</v>
      </c>
      <c r="CJ57" s="1068">
        <f>(CJ46-'Bal Sheet'!CJ270-'Bal Sheet'!CJ269-'Bal Sheet'!CJ268)/CJ47</f>
        <v>-0.53813234900480433</v>
      </c>
      <c r="CK57" s="1068">
        <f>(CK46-'Bal Sheet'!CK270-'Bal Sheet'!CK269-'Bal Sheet'!CK268)/CK47</f>
        <v>0.50050334863357104</v>
      </c>
      <c r="CL57" s="1068">
        <f>(CL46-'Bal Sheet'!CL270-'Bal Sheet'!CL269-'Bal Sheet'!CL268)/CL47</f>
        <v>-5.351376710147214E-2</v>
      </c>
      <c r="CN57" s="1068">
        <f>(CN46-'Bal Sheet'!CN270-'Bal Sheet'!CN269-'Bal Sheet'!CN268)/CN47</f>
        <v>0.49546182380710663</v>
      </c>
      <c r="CO57" s="1068">
        <f>(CO46-'Bal Sheet'!CO270-'Bal Sheet'!CO269-'Bal Sheet'!CO268)/CO47</f>
        <v>0.59695029916424114</v>
      </c>
      <c r="CP57" s="1068">
        <f>(CP46-'Bal Sheet'!CP270-'Bal Sheet'!CP269-'Bal Sheet'!CP268)/CP47</f>
        <v>0.56379941880092455</v>
      </c>
      <c r="CR57" s="1068">
        <f>(CR46-'Bal Sheet'!CR270-'Bal Sheet'!CR269-'Bal Sheet'!CR268)/CR47</f>
        <v>0.27958836009789528</v>
      </c>
      <c r="CS57" s="1068">
        <f>(CS46-'Bal Sheet'!CS270-'Bal Sheet'!CS269-'Bal Sheet'!CS268)/CS47</f>
        <v>-0.578651795388757</v>
      </c>
      <c r="CT57" s="1068">
        <f>(CT46-'Bal Sheet'!CT270-'Bal Sheet'!CT269-'Bal Sheet'!CT268)/CT47</f>
        <v>-0.20610566490526913</v>
      </c>
      <c r="CV57" s="1068">
        <f>(CV46-'Bal Sheet'!CV270-'Bal Sheet'!CV269-'Bal Sheet'!CV268)/CV47</f>
        <v>0.28301731514897194</v>
      </c>
      <c r="CW57" s="1068">
        <f>(CW46-'Bal Sheet'!CW270-'Bal Sheet'!CW269-'Bal Sheet'!CW268)/CW47</f>
        <v>0.62123650843546507</v>
      </c>
      <c r="CX57" s="1068">
        <f>(CX46-'Bal Sheet'!CX270-'Bal Sheet'!CX269-'Bal Sheet'!CX268)/CX47</f>
        <v>0.46571737813290526</v>
      </c>
      <c r="CZ57" s="1068">
        <f>(CZ46-'Bal Sheet'!CZ270-'Bal Sheet'!CZ269-'Bal Sheet'!CZ268)/CZ47</f>
        <v>0.69647754254416971</v>
      </c>
      <c r="DA57" s="1068">
        <f>(DA46-'Bal Sheet'!DA270-'Bal Sheet'!DA269-'Bal Sheet'!DA268)/DA47</f>
        <v>1.0051795036038131</v>
      </c>
      <c r="DB57" s="1068">
        <f>(DB46-'Bal Sheet'!DB270-'Bal Sheet'!DB269-'Bal Sheet'!DB268)/DB47</f>
        <v>0.88117254406683909</v>
      </c>
      <c r="DD57" s="1068">
        <f>(DD46-'Bal Sheet'!DD270-'Bal Sheet'!DD269-'Bal Sheet'!DD268)/DD47</f>
        <v>0.84364756761786597</v>
      </c>
      <c r="DE57" s="1068">
        <f ca="1">(DE46-'Bal Sheet'!DE270-'Bal Sheet'!DE269-'Bal Sheet'!DE268)/DE47</f>
        <v>0.70665409319749561</v>
      </c>
      <c r="DF57" s="1068">
        <f ca="1">(DF46-'Bal Sheet'!DF270-'Bal Sheet'!DF269-'Bal Sheet'!DF268)/DF47</f>
        <v>0.76608999014934775</v>
      </c>
      <c r="DH57" s="1068">
        <f>(DH46-'Bal Sheet'!DH270-'Bal Sheet'!DH269-'Bal Sheet'!DH268)/DH47</f>
        <v>0.64482632145015106</v>
      </c>
      <c r="DI57" s="1346">
        <f>(DI46-'Bal Sheet'!DI270-'Bal Sheet'!DI269-'Bal Sheet'!DI268)/DI47</f>
        <v>0.65257926642048847</v>
      </c>
      <c r="DJ57" s="1346">
        <f>(DJ46-'Bal Sheet'!DJ270-'Bal Sheet'!DJ269-'Bal Sheet'!DJ268)/DJ47</f>
        <v>0.64950424207955615</v>
      </c>
      <c r="DK57" s="1345"/>
      <c r="DL57" s="1346">
        <f>(DL46-'Bal Sheet'!DL270-'Bal Sheet'!DL269-'Bal Sheet'!DL268)/DL47</f>
        <v>0.64979480702835912</v>
      </c>
      <c r="DM57" s="1346">
        <f>(DM46-'Bal Sheet'!DM270-'Bal Sheet'!DM269-'Bal Sheet'!DM268)/DM47</f>
        <v>0.6503955754222791</v>
      </c>
      <c r="DN57" s="1346">
        <f>(DN46-'Bal Sheet'!DN270-'Bal Sheet'!DN269-'Bal Sheet'!DN268)/DN47</f>
        <v>0.65014387033065812</v>
      </c>
      <c r="DO57" s="1345"/>
      <c r="DP57" s="1346">
        <f>(DP46-'Bal Sheet'!DP270-'Bal Sheet'!DP269-'Bal Sheet'!DP268)/DP47</f>
        <v>0.64615341977364393</v>
      </c>
      <c r="DQ57" s="1346">
        <f>(DQ46-'Bal Sheet'!DQ270-'Bal Sheet'!DQ269-'Bal Sheet'!DQ268)/DQ47</f>
        <v>0.65283466050051342</v>
      </c>
      <c r="DR57" s="1346">
        <f>(DR46-'Bal Sheet'!DR270-'Bal Sheet'!DR269-'Bal Sheet'!DR268)/DR47</f>
        <v>0.65000456955317776</v>
      </c>
      <c r="DS57" s="1345"/>
    </row>
    <row r="58" spans="1:270">
      <c r="DA58" s="1345"/>
      <c r="DB58" s="1345"/>
      <c r="DC58" s="1345"/>
      <c r="DD58" s="1345"/>
      <c r="DE58" s="1345"/>
      <c r="DF58" s="1345"/>
      <c r="DG58" s="1345"/>
      <c r="DH58" s="1345"/>
      <c r="DI58" s="1345"/>
      <c r="DJ58" s="1345"/>
      <c r="DK58" s="1345"/>
      <c r="DL58" s="1345"/>
      <c r="DM58" s="1345"/>
      <c r="DN58" s="1345"/>
      <c r="DO58" s="1345"/>
      <c r="DP58" s="1345"/>
      <c r="DQ58" s="1345"/>
      <c r="DR58" s="1345"/>
      <c r="DS58" s="1345"/>
    </row>
    <row r="59" spans="1:270">
      <c r="CZ59" s="1345"/>
      <c r="DA59" s="1345"/>
      <c r="DB59" s="1345"/>
      <c r="DC59" s="1345"/>
      <c r="DD59" s="1345"/>
      <c r="DE59" s="1345"/>
      <c r="DF59" s="1345"/>
      <c r="DG59" s="1345"/>
      <c r="DH59" s="1345"/>
      <c r="DI59" s="1345"/>
      <c r="DJ59" s="1345"/>
      <c r="DK59" s="1345"/>
      <c r="DL59" s="1345"/>
      <c r="DM59" s="1345"/>
      <c r="DN59" s="1345"/>
      <c r="DO59" s="1345"/>
      <c r="DP59" s="1345"/>
      <c r="DQ59" s="1345"/>
      <c r="DR59" s="1345"/>
      <c r="DS59" s="1345"/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9">
    <tabColor indexed="52"/>
  </sheetPr>
  <dimension ref="B3:CM87"/>
  <sheetViews>
    <sheetView showGridLines="0" topLeftCell="A33" zoomScaleNormal="100" workbookViewId="0">
      <selection activeCell="CP63" sqref="CP63"/>
    </sheetView>
  </sheetViews>
  <sheetFormatPr defaultColWidth="9.109375" defaultRowHeight="13.8" outlineLevelCol="2"/>
  <cols>
    <col min="1" max="1" width="4.6640625" style="1" customWidth="1"/>
    <col min="2" max="19" width="9.109375" style="1" hidden="1" customWidth="1" outlineLevel="1"/>
    <col min="20" max="20" width="9.109375" style="4" hidden="1" customWidth="1" outlineLevel="1"/>
    <col min="21" max="23" width="9.109375" style="1" hidden="1" customWidth="1" outlineLevel="2"/>
    <col min="24" max="24" width="9.109375" style="4" hidden="1" customWidth="1" outlineLevel="1" collapsed="1"/>
    <col min="25" max="27" width="9.109375" style="1" hidden="1" customWidth="1" outlineLevel="2"/>
    <col min="28" max="28" width="9.109375" style="4" hidden="1" customWidth="1" outlineLevel="1" collapsed="1"/>
    <col min="29" max="31" width="9.109375" style="4" hidden="1" customWidth="1" outlineLevel="1"/>
    <col min="32" max="32" width="9.109375" style="4" hidden="1" customWidth="1" outlineLevel="1" collapsed="1"/>
    <col min="33" max="34" width="4.6640625" style="1" hidden="1" customWidth="1" outlineLevel="1"/>
    <col min="35" max="35" width="31.6640625" style="1" customWidth="1" collapsed="1"/>
    <col min="36" max="38" width="9.109375" style="4" hidden="1" customWidth="1" outlineLevel="1"/>
    <col min="39" max="39" width="7.44140625" style="4" hidden="1" customWidth="1" outlineLevel="1"/>
    <col min="40" max="42" width="9.109375" style="4" hidden="1" customWidth="1" outlineLevel="1"/>
    <col min="43" max="43" width="9.109375" style="4" hidden="1" customWidth="1" outlineLevel="1" collapsed="1"/>
    <col min="44" max="46" width="9.109375" style="4" hidden="1" customWidth="1" outlineLevel="1"/>
    <col min="47" max="47" width="0" style="4" hidden="1" customWidth="1" collapsed="1"/>
    <col min="48" max="50" width="6.109375" style="1" hidden="1" customWidth="1" outlineLevel="1"/>
    <col min="51" max="51" width="0" style="4" hidden="1" customWidth="1" collapsed="1"/>
    <col min="52" max="54" width="9.109375" style="4" hidden="1" customWidth="1" outlineLevel="1"/>
    <col min="55" max="55" width="0" style="4" hidden="1" customWidth="1" collapsed="1"/>
    <col min="56" max="58" width="9.109375" style="4" hidden="1" customWidth="1" outlineLevel="1"/>
    <col min="59" max="59" width="0" style="4" hidden="1" customWidth="1" collapsed="1"/>
    <col min="60" max="62" width="6.109375" style="1" hidden="1" customWidth="1" outlineLevel="1"/>
    <col min="63" max="63" width="0" style="4" hidden="1" customWidth="1" collapsed="1"/>
    <col min="64" max="66" width="6.109375" style="1" hidden="1" customWidth="1" outlineLevel="1"/>
    <col min="67" max="67" width="9.109375" style="4" collapsed="1"/>
    <col min="68" max="70" width="6.109375" style="1" hidden="1" customWidth="1" outlineLevel="1"/>
    <col min="71" max="71" width="9.109375" style="4" collapsed="1"/>
    <col min="72" max="74" width="6.109375" style="1" hidden="1" customWidth="1" outlineLevel="1"/>
    <col min="75" max="75" width="9.109375" style="4" collapsed="1"/>
    <col min="76" max="77" width="6.109375" style="1" customWidth="1"/>
    <col min="78" max="78" width="7.88671875" style="1" customWidth="1"/>
    <col min="79" max="81" width="7.88671875" style="1" hidden="1" customWidth="1" outlineLevel="1"/>
    <col min="82" max="82" width="7.88671875" style="1" customWidth="1" collapsed="1"/>
    <col min="83" max="83" width="8" style="1" customWidth="1"/>
    <col min="84" max="84" width="9.109375" style="1"/>
    <col min="85" max="86" width="7.88671875" style="1" customWidth="1"/>
    <col min="87" max="87" width="9.109375" style="1"/>
    <col min="88" max="88" width="37.88671875" style="1" customWidth="1"/>
    <col min="89" max="16384" width="9.109375" style="1"/>
  </cols>
  <sheetData>
    <row r="3" spans="2:89">
      <c r="B3" s="93">
        <f t="shared" ref="B3:C5" si="0">B17/B$26</f>
        <v>0.26554658520619684</v>
      </c>
      <c r="C3" s="93">
        <f t="shared" si="0"/>
        <v>0.39797395079594788</v>
      </c>
      <c r="G3" s="93"/>
      <c r="K3" s="93"/>
      <c r="O3" s="93"/>
      <c r="S3" s="93"/>
      <c r="T3" s="93"/>
      <c r="X3" s="93"/>
      <c r="AB3" s="93"/>
      <c r="AC3" s="93"/>
      <c r="AD3" s="93"/>
      <c r="AE3" s="93"/>
      <c r="AF3" s="93"/>
      <c r="AI3" s="2" t="s">
        <v>545</v>
      </c>
      <c r="AJ3" s="93"/>
      <c r="AK3" s="93"/>
      <c r="AL3" s="93"/>
      <c r="AM3" s="337" t="str">
        <f>AM14</f>
        <v>FY18</v>
      </c>
      <c r="AN3" s="93"/>
      <c r="AO3" s="93"/>
      <c r="AP3" s="93"/>
      <c r="AQ3" s="337" t="str">
        <f>AQ14</f>
        <v>FY19</v>
      </c>
      <c r="AR3" s="93"/>
      <c r="AS3" s="93"/>
      <c r="AT3" s="93"/>
      <c r="AU3" s="337" t="str">
        <f>AU14</f>
        <v>FY20</v>
      </c>
      <c r="AY3" s="337" t="str">
        <f>AY14</f>
        <v>FY21</v>
      </c>
      <c r="AZ3" s="337"/>
      <c r="BA3" s="337"/>
      <c r="BB3" s="337"/>
      <c r="BC3" s="337" t="str">
        <f>BC14</f>
        <v>FY22</v>
      </c>
      <c r="BD3" s="337"/>
      <c r="BE3" s="337"/>
      <c r="BF3" s="337"/>
      <c r="BG3" s="337" t="str">
        <f>BG14</f>
        <v>FY23</v>
      </c>
      <c r="BK3" s="337" t="str">
        <f>BK14</f>
        <v>FY24</v>
      </c>
      <c r="BO3" s="337" t="str">
        <f>BO14</f>
        <v>FY25</v>
      </c>
      <c r="BS3" s="337" t="str">
        <f>BS14</f>
        <v>FY26E</v>
      </c>
      <c r="BW3" s="337" t="str">
        <f>BW14</f>
        <v>FY27E</v>
      </c>
      <c r="CJ3" s="497" t="s">
        <v>1121</v>
      </c>
      <c r="CK3" s="597" t="s">
        <v>1019</v>
      </c>
    </row>
    <row r="4" spans="2:89">
      <c r="B4" s="93">
        <f t="shared" si="0"/>
        <v>0.48810822605280385</v>
      </c>
      <c r="C4" s="93">
        <f t="shared" si="0"/>
        <v>0.36324167872648333</v>
      </c>
      <c r="G4" s="93">
        <f>G18/G$26</f>
        <v>-2.2116903633491312E-2</v>
      </c>
      <c r="K4" s="93">
        <f>K18/K$26</f>
        <v>9.1217697366868314E-2</v>
      </c>
      <c r="O4" s="93">
        <f>O18/O$26</f>
        <v>4.1520877407487396E-2</v>
      </c>
      <c r="S4" s="93">
        <f>S18/S$26</f>
        <v>6.3694267515923567E-2</v>
      </c>
      <c r="T4" s="93">
        <f>T18/T$26</f>
        <v>8.615384615384615E-2</v>
      </c>
      <c r="X4" s="93"/>
      <c r="AB4" s="93">
        <f>AB18/AB$26</f>
        <v>0.10205928943199818</v>
      </c>
      <c r="AC4" s="93"/>
      <c r="AD4" s="93"/>
      <c r="AE4" s="93"/>
      <c r="AF4" s="93">
        <f>AF18/AF$26</f>
        <v>0.10270040399744844</v>
      </c>
      <c r="AI4" s="1" t="str">
        <f>AI18</f>
        <v>Macquarie Capital</v>
      </c>
      <c r="AJ4" s="93"/>
      <c r="AK4" s="93"/>
      <c r="AL4" s="93"/>
      <c r="AM4" s="93">
        <f>AM18/AM$26</f>
        <v>0.14147401699268919</v>
      </c>
      <c r="AN4" s="93"/>
      <c r="AO4" s="93"/>
      <c r="AP4" s="93"/>
      <c r="AQ4" s="93">
        <f>AQ18/AQ$26</f>
        <v>0.28868999186330352</v>
      </c>
      <c r="AR4" s="93"/>
      <c r="AS4" s="93"/>
      <c r="AT4" s="93"/>
      <c r="AU4" s="93">
        <f>AU18/AU$26</f>
        <v>0.14005139500734215</v>
      </c>
      <c r="AY4" s="93">
        <f>AY18/AY$26</f>
        <v>0.10677382319173363</v>
      </c>
      <c r="AZ4" s="93"/>
      <c r="BA4" s="93"/>
      <c r="BB4" s="93"/>
      <c r="BC4" s="93">
        <f>BC18/BC$26</f>
        <v>0.16074825618262523</v>
      </c>
      <c r="BD4" s="93"/>
      <c r="BE4" s="93"/>
      <c r="BF4" s="93"/>
      <c r="BG4" s="93">
        <f>BG18/BG$26</f>
        <v>7.7391304347826081E-2</v>
      </c>
      <c r="BK4" s="93">
        <f>BK18/BK$26</f>
        <v>0.15656189483092506</v>
      </c>
      <c r="BO4" s="93">
        <f>BO18/BO$26</f>
        <v>0.14285714285714285</v>
      </c>
      <c r="BS4" s="93">
        <f>BS18/BS$26</f>
        <v>0.17782154393357308</v>
      </c>
      <c r="BW4" s="93">
        <f>BW18/BW$26</f>
        <v>0.2253666755108451</v>
      </c>
      <c r="CJ4" s="498" t="str">
        <f>AI4&amp;", "&amp;TEXT(CL39, "0.0")&amp;"x PE"</f>
        <v>Macquarie Capital, 16.7x PE</v>
      </c>
      <c r="CK4" s="499">
        <f>BS4</f>
        <v>0.17782154393357308</v>
      </c>
    </row>
    <row r="5" spans="2:89">
      <c r="B5" s="93">
        <f t="shared" si="0"/>
        <v>0.13135500763691904</v>
      </c>
      <c r="C5" s="93">
        <f t="shared" si="0"/>
        <v>0.73661360347322724</v>
      </c>
      <c r="G5" s="93">
        <f>G19/G$26</f>
        <v>0.55568720379146919</v>
      </c>
      <c r="K5" s="93">
        <f>K19/K$26</f>
        <v>0.33608850631773329</v>
      </c>
      <c r="O5" s="93">
        <f>O19/O$26</f>
        <v>0.16811826968186566</v>
      </c>
      <c r="S5" s="93">
        <f>S19/S$26</f>
        <v>0.21783439490445861</v>
      </c>
      <c r="T5" s="93">
        <f>T19/T$26</f>
        <v>0.25630769230769229</v>
      </c>
      <c r="X5" s="93"/>
      <c r="AB5" s="93">
        <f>AB19/AB$26</f>
        <v>0.19099343742928265</v>
      </c>
      <c r="AC5" s="93"/>
      <c r="AD5" s="93"/>
      <c r="AE5" s="93"/>
      <c r="AF5" s="93">
        <f>AF19/AF$26</f>
        <v>0.20646395917499469</v>
      </c>
      <c r="AI5" s="1" t="str">
        <f>AI19</f>
        <v>Commodities &amp; Global Markets</v>
      </c>
      <c r="AJ5" s="93"/>
      <c r="AK5" s="93"/>
      <c r="AL5" s="93"/>
      <c r="AM5" s="93">
        <f>AM19/AM$26</f>
        <v>0.17980636237897649</v>
      </c>
      <c r="AN5" s="93"/>
      <c r="AO5" s="93"/>
      <c r="AP5" s="93"/>
      <c r="AQ5" s="93">
        <f>AQ19/AQ$26</f>
        <v>0.28364524003254676</v>
      </c>
      <c r="AR5" s="93"/>
      <c r="AS5" s="93"/>
      <c r="AT5" s="93"/>
      <c r="AU5" s="93">
        <f>AU19/AU$26</f>
        <v>0.31901615271659323</v>
      </c>
      <c r="AY5" s="93">
        <f>AY19/AY$26</f>
        <v>0.42660324749876988</v>
      </c>
      <c r="AZ5" s="93"/>
      <c r="BA5" s="93"/>
      <c r="BB5" s="93"/>
      <c r="BC5" s="93">
        <f>BC19/BC$26</f>
        <v>0.41333756076939338</v>
      </c>
      <c r="BD5" s="93"/>
      <c r="BE5" s="93"/>
      <c r="BF5" s="93"/>
      <c r="BG5" s="93">
        <f>BG19/BG$26</f>
        <v>0.58038647342995164</v>
      </c>
      <c r="BK5" s="93">
        <f>BK19/BK$26</f>
        <v>0.47862356621480712</v>
      </c>
      <c r="BO5" s="93">
        <f>BO19/BO$26</f>
        <v>0.38748116696342966</v>
      </c>
      <c r="BS5" s="93">
        <f>BS19/BS$26</f>
        <v>0.34271608850381019</v>
      </c>
      <c r="BW5" s="93">
        <f>BW19/BW$26</f>
        <v>0.3540078049753323</v>
      </c>
      <c r="CJ5" s="498" t="str">
        <f>AI5&amp;", "&amp;TEXT(CL40, "0.0")&amp;"x PE"</f>
        <v>Commodities &amp; Global Markets, 12.8x PE</v>
      </c>
      <c r="CK5" s="499">
        <f>BS5</f>
        <v>0.34271608850381019</v>
      </c>
    </row>
    <row r="6" spans="2:89">
      <c r="B6" s="93">
        <f>B21/B$26</f>
        <v>6.6986689941086627E-2</v>
      </c>
      <c r="C6" s="93">
        <f>C21/C$26</f>
        <v>6.5123010130246017E-2</v>
      </c>
      <c r="G6" s="93">
        <f>G21/G$26</f>
        <v>0.31911532385466035</v>
      </c>
      <c r="K6" s="93">
        <f>K21/K$26</f>
        <v>0.21476011273267542</v>
      </c>
      <c r="O6" s="93">
        <f>O21/O$26</f>
        <v>0.31523173894687495</v>
      </c>
      <c r="S6" s="93">
        <f>S21/S$26</f>
        <v>0.3205944798301486</v>
      </c>
      <c r="T6" s="93">
        <f>T21/T$26</f>
        <v>0.32338461538461538</v>
      </c>
      <c r="X6" s="93"/>
      <c r="AB6" s="93">
        <f>AB21/AB$26</f>
        <v>0.15657490592528164</v>
      </c>
      <c r="AC6" s="93"/>
      <c r="AD6" s="93"/>
      <c r="AE6" s="93"/>
      <c r="AF6" s="93">
        <f>AF21/AF$26</f>
        <v>0.16031000979394766</v>
      </c>
      <c r="AI6" s="1" t="str">
        <f t="shared" ref="AI6:AI7" si="1">AI21</f>
        <v>MAM - Public Markets</v>
      </c>
      <c r="AJ6" s="93"/>
      <c r="AK6" s="93"/>
      <c r="AL6" s="93"/>
      <c r="AM6" s="93">
        <f>AM21/AM$26</f>
        <v>0.13463740516416317</v>
      </c>
      <c r="AN6" s="93"/>
      <c r="AO6" s="93"/>
      <c r="AP6" s="93"/>
      <c r="AQ6" s="93">
        <f>AQ21/AQ$26</f>
        <v>0.11763839343279321</v>
      </c>
      <c r="AR6" s="93"/>
      <c r="AS6" s="93"/>
      <c r="AT6" s="93"/>
      <c r="AU6" s="93">
        <f>AU21/AU$26</f>
        <v>0.15368002358166416</v>
      </c>
      <c r="AY6" s="93">
        <f>AY21/AY$26</f>
        <v>0.13423584325330334</v>
      </c>
      <c r="AZ6" s="93"/>
      <c r="BA6" s="93"/>
      <c r="BB6" s="93"/>
      <c r="BC6" s="93">
        <f>BC21/BC$26</f>
        <v>0.17073205101106179</v>
      </c>
      <c r="BD6" s="93"/>
      <c r="BE6" s="93"/>
      <c r="BF6" s="93"/>
      <c r="BG6" s="93">
        <f>BG21/BG$26</f>
        <v>9.9657079922905553E-2</v>
      </c>
      <c r="BK6" s="93">
        <f>BK21/BK$26</f>
        <v>7.5676275279106933E-2</v>
      </c>
      <c r="BO6" s="93">
        <f>BO21/BO$26</f>
        <v>0.10928950109956317</v>
      </c>
      <c r="BS6" s="93">
        <f>BS21/BS$26</f>
        <v>8.6152254848535614E-2</v>
      </c>
      <c r="BW6" s="93">
        <f>BW21/BW$26</f>
        <v>4.7209632663210321E-2</v>
      </c>
      <c r="CJ6" s="498" t="str">
        <f>AI6&amp;", "&amp;TEXT(CL41, "0.0")&amp;"x PE"</f>
        <v>MAM - Public Markets, 13.3x PE</v>
      </c>
      <c r="CK6" s="499">
        <f>BS6</f>
        <v>8.6152254848535614E-2</v>
      </c>
    </row>
    <row r="7" spans="2:89">
      <c r="B7" s="93"/>
      <c r="C7" s="93"/>
      <c r="G7" s="93"/>
      <c r="K7" s="93"/>
      <c r="O7" s="93"/>
      <c r="S7" s="93"/>
      <c r="T7" s="93">
        <f>T22/T$26</f>
        <v>0</v>
      </c>
      <c r="X7" s="93"/>
      <c r="AB7" s="93">
        <f>AB22/AB$26</f>
        <v>0.21545496508625939</v>
      </c>
      <c r="AC7" s="93"/>
      <c r="AD7" s="93"/>
      <c r="AE7" s="93"/>
      <c r="AF7" s="93">
        <f>AF22/AF$26</f>
        <v>0.16671529320413866</v>
      </c>
      <c r="AI7" s="1" t="str">
        <f t="shared" si="1"/>
        <v>MAM - Private Markets</v>
      </c>
      <c r="AJ7" s="93"/>
      <c r="AK7" s="93"/>
      <c r="AL7" s="93"/>
      <c r="AM7" s="93">
        <f>AM22/AM$26</f>
        <v>0.17320689438138118</v>
      </c>
      <c r="AN7" s="93"/>
      <c r="AO7" s="93"/>
      <c r="AP7" s="93"/>
      <c r="AQ7" s="93">
        <f>AQ22/AQ$26</f>
        <v>0.18699952357290248</v>
      </c>
      <c r="AR7" s="93"/>
      <c r="AS7" s="93"/>
      <c r="AT7" s="93"/>
      <c r="AU7" s="93">
        <f>AU22/AU$26</f>
        <v>0.24591615850350468</v>
      </c>
      <c r="AY7" s="93">
        <f>AY22/AY$26</f>
        <v>0.20593145213787264</v>
      </c>
      <c r="AZ7" s="93"/>
      <c r="BA7" s="93"/>
      <c r="BB7" s="93"/>
      <c r="BC7" s="93">
        <f>BC22/BC$26</f>
        <v>0.14939054463467907</v>
      </c>
      <c r="BD7" s="93"/>
      <c r="BE7" s="93"/>
      <c r="BF7" s="93"/>
      <c r="BG7" s="93">
        <f>BG22/BG$26</f>
        <v>0.12662311331380943</v>
      </c>
      <c r="BK7" s="93">
        <f>BK22/BK$26</f>
        <v>0.10427307672446823</v>
      </c>
      <c r="BO7" s="93">
        <f>BO22/BO$26</f>
        <v>0.17135698568306937</v>
      </c>
      <c r="BS7" s="93">
        <f>BS22/BS$26</f>
        <v>0.20917191128907131</v>
      </c>
      <c r="BW7" s="93">
        <f>BW22/BW$26</f>
        <v>0.15873505141613806</v>
      </c>
      <c r="CJ7" s="498" t="str">
        <f>AI7&amp;", "&amp;TEXT(CL42, "0.0")&amp;"x PE"</f>
        <v>MAM - Private Markets, 24.2x PE</v>
      </c>
      <c r="CK7" s="499">
        <f>BS7</f>
        <v>0.20917191128907131</v>
      </c>
    </row>
    <row r="8" spans="2:89">
      <c r="B8" s="93">
        <f>B23/B$26</f>
        <v>2.4438140955705869E-2</v>
      </c>
      <c r="C8" s="93">
        <f>C23/C$26</f>
        <v>9.5513748191027495E-2</v>
      </c>
      <c r="G8" s="93">
        <f>G23/G$26</f>
        <v>0.10071090047393365</v>
      </c>
      <c r="K8" s="93">
        <f>K23/K$26</f>
        <v>0.25416970043001175</v>
      </c>
      <c r="O8" s="93">
        <f>O23/O$26</f>
        <v>0.34071585931160497</v>
      </c>
      <c r="S8" s="93">
        <f>S23/S$26</f>
        <v>0.29469214437367303</v>
      </c>
      <c r="T8" s="93">
        <f>T23/T$26</f>
        <v>0.25415384615384617</v>
      </c>
      <c r="X8" s="93"/>
      <c r="AB8" s="93">
        <f>AB23/AB$26</f>
        <v>0.25571396243494005</v>
      </c>
      <c r="AC8" s="93"/>
      <c r="AD8" s="93"/>
      <c r="AE8" s="93"/>
      <c r="AF8" s="93">
        <f>AF23/AF$26</f>
        <v>0.25473102275143528</v>
      </c>
      <c r="AI8" s="1" t="str">
        <f>AI23</f>
        <v>Corporate and Asset Finance</v>
      </c>
      <c r="AJ8" s="93"/>
      <c r="AK8" s="93"/>
      <c r="AL8" s="93"/>
      <c r="AM8" s="93">
        <f>AM23/AM$26</f>
        <v>0.22525192649673978</v>
      </c>
      <c r="AN8" s="93"/>
      <c r="AO8" s="93"/>
      <c r="AP8" s="93"/>
      <c r="AQ8" s="93">
        <f>AQ23/AQ$26</f>
        <v>0</v>
      </c>
      <c r="AR8" s="93"/>
      <c r="AS8" s="93"/>
      <c r="AT8" s="93"/>
      <c r="AU8" s="93">
        <f>AU23/AU$26</f>
        <v>0</v>
      </c>
      <c r="AY8" s="93">
        <f>AY23/AY$26</f>
        <v>0</v>
      </c>
      <c r="AZ8" s="93"/>
      <c r="BA8" s="93"/>
      <c r="BB8" s="93"/>
      <c r="BC8" s="93">
        <f>BC23/BC$26</f>
        <v>0</v>
      </c>
      <c r="BD8" s="93"/>
      <c r="BE8" s="93"/>
      <c r="BF8" s="93"/>
      <c r="BG8" s="93">
        <f>BG23/BG$26</f>
        <v>0</v>
      </c>
      <c r="BK8" s="93">
        <f>BK23/BK$26</f>
        <v>0</v>
      </c>
      <c r="BO8" s="93">
        <f>BO23/BO$26</f>
        <v>0</v>
      </c>
      <c r="BS8" s="93">
        <f>BS23/BS$26</f>
        <v>0</v>
      </c>
      <c r="BW8" s="93">
        <f>BW23/BW$26</f>
        <v>0</v>
      </c>
      <c r="CJ8" s="498" t="str">
        <f>AI9&amp;", "&amp;TEXT(CL43, "0.0")&amp;"x PE"</f>
        <v>Banking &amp; Financial Services, 18.3x PE</v>
      </c>
      <c r="CK8" s="1322">
        <f>+BS9</f>
        <v>0.18413820142500975</v>
      </c>
    </row>
    <row r="9" spans="2:89">
      <c r="B9" s="93">
        <f>B24/B$26</f>
        <v>2.3565350207287804E-2</v>
      </c>
      <c r="C9" s="93">
        <f>C24/C$26</f>
        <v>-0.65846599131693195</v>
      </c>
      <c r="G9" s="93">
        <f>G24/G$26</f>
        <v>4.6603475513428118E-2</v>
      </c>
      <c r="K9" s="93">
        <f>K24/K$26</f>
        <v>0.10376398315271122</v>
      </c>
      <c r="O9" s="93">
        <f>O24/O$26</f>
        <v>0.13441325465216702</v>
      </c>
      <c r="S9" s="93">
        <f>S24/S$26</f>
        <v>0.10318471337579618</v>
      </c>
      <c r="T9" s="93">
        <f>T24/T$26</f>
        <v>0.08</v>
      </c>
      <c r="X9" s="93"/>
      <c r="AB9" s="93">
        <f>AB24/AB$26</f>
        <v>7.9203439692238059E-2</v>
      </c>
      <c r="AC9" s="93"/>
      <c r="AD9" s="93"/>
      <c r="AE9" s="93"/>
      <c r="AF9" s="93">
        <f>AF24/AF$26</f>
        <v>0.1090793110780353</v>
      </c>
      <c r="AI9" s="1" t="str">
        <f>AI24</f>
        <v>Banking &amp; Financial Services</v>
      </c>
      <c r="AJ9" s="93"/>
      <c r="AK9" s="93"/>
      <c r="AL9" s="93"/>
      <c r="AM9" s="93">
        <f>AM24/AM$26</f>
        <v>0.1456233945860502</v>
      </c>
      <c r="AN9" s="93"/>
      <c r="AO9" s="93"/>
      <c r="AP9" s="93"/>
      <c r="AQ9" s="93">
        <f>AQ24/AQ$26</f>
        <v>0.12302685109845403</v>
      </c>
      <c r="AR9" s="93"/>
      <c r="AS9" s="93"/>
      <c r="AT9" s="93"/>
      <c r="AU9" s="93">
        <f>AU24/AU$26</f>
        <v>0.14133627019089573</v>
      </c>
      <c r="AY9" s="93">
        <f>AY24/AY$26</f>
        <v>0.12645563391832049</v>
      </c>
      <c r="AZ9" s="93"/>
      <c r="BA9" s="93"/>
      <c r="BB9" s="93"/>
      <c r="BC9" s="93">
        <f>BC24/BC$26</f>
        <v>0.10579158740224054</v>
      </c>
      <c r="BD9" s="93"/>
      <c r="BE9" s="93"/>
      <c r="BF9" s="93"/>
      <c r="BG9" s="93">
        <f>BG24/BG$26</f>
        <v>0.11594202898550725</v>
      </c>
      <c r="BK9" s="93">
        <f>BK24/BK$26</f>
        <v>0.18486518695069268</v>
      </c>
      <c r="BO9" s="93">
        <f>BO24/BO$26</f>
        <v>0.18901520339679495</v>
      </c>
      <c r="BS9" s="93">
        <f>BS24/BS$26</f>
        <v>0.18413820142500975</v>
      </c>
      <c r="BW9" s="93">
        <f>BW24/BW$26</f>
        <v>0.21468083543447419</v>
      </c>
      <c r="CK9" s="433">
        <f>SUM(CK4:CK8)</f>
        <v>1</v>
      </c>
    </row>
    <row r="10" spans="2:89">
      <c r="B10" s="337">
        <f>B20/B$26</f>
        <v>0.88500981889591968</v>
      </c>
      <c r="C10" s="337">
        <f>C20/C$26</f>
        <v>1.4978292329956584</v>
      </c>
      <c r="G10" s="337">
        <f>G20/G$26</f>
        <v>0.53357030015797791</v>
      </c>
      <c r="K10" s="337">
        <f>K20/K$26</f>
        <v>0.42730620368460159</v>
      </c>
      <c r="O10" s="337">
        <f>O20/O$26</f>
        <v>0.20963914708935308</v>
      </c>
      <c r="S10" s="337">
        <f>S20/S$26</f>
        <v>0.28152866242038216</v>
      </c>
      <c r="T10" s="337">
        <f>T20/T$26</f>
        <v>0.34246153846153848</v>
      </c>
      <c r="X10" s="337"/>
      <c r="AB10" s="337">
        <f>AB20/AB$26</f>
        <v>0.29305272686128081</v>
      </c>
      <c r="AC10" s="337"/>
      <c r="AD10" s="337"/>
      <c r="AE10" s="337"/>
      <c r="AF10" s="337">
        <f>AF20/AF$26</f>
        <v>0.30916436317244311</v>
      </c>
      <c r="AI10" s="2" t="str">
        <f>AI20</f>
        <v>Capital Markets Facing</v>
      </c>
      <c r="AJ10" s="337"/>
      <c r="AK10" s="337"/>
      <c r="AL10" s="337"/>
      <c r="AM10" s="337">
        <f>AM20/AM$26</f>
        <v>0.3212803793716657</v>
      </c>
      <c r="AN10" s="337"/>
      <c r="AO10" s="337"/>
      <c r="AP10" s="337"/>
      <c r="AQ10" s="337">
        <f>AQ20/AQ$26</f>
        <v>0.57233523189585034</v>
      </c>
      <c r="AR10" s="337"/>
      <c r="AS10" s="337"/>
      <c r="AT10" s="337"/>
      <c r="AU10" s="337">
        <f>AU20/AU$26</f>
        <v>0.45906754772393538</v>
      </c>
      <c r="AY10" s="337">
        <f>AY20/AY$26</f>
        <v>0.53337707069050355</v>
      </c>
      <c r="AZ10" s="337"/>
      <c r="BA10" s="337"/>
      <c r="BB10" s="337"/>
      <c r="BC10" s="337">
        <f>BC20/BC$26</f>
        <v>0.57408581695201855</v>
      </c>
      <c r="BD10" s="337"/>
      <c r="BE10" s="337"/>
      <c r="BF10" s="337"/>
      <c r="BG10" s="337">
        <f>BG20/BG$26</f>
        <v>0.65777777777777779</v>
      </c>
      <c r="BK10" s="337">
        <f>BK20/BK$26</f>
        <v>0.63518546104573215</v>
      </c>
      <c r="BO10" s="337">
        <f>BO20/BO$26</f>
        <v>0.53033830982057251</v>
      </c>
      <c r="BS10" s="337">
        <f>BS20/BS$26</f>
        <v>0.52053763243738327</v>
      </c>
      <c r="BW10" s="337">
        <f>BW20/BW$26</f>
        <v>0.57937448048617735</v>
      </c>
    </row>
    <row r="11" spans="2:89">
      <c r="B11" s="337">
        <f>B25/B$26</f>
        <v>0.1149901811040803</v>
      </c>
      <c r="C11" s="337">
        <f>C25/C$26</f>
        <v>-0.49782923299565845</v>
      </c>
      <c r="G11" s="337">
        <f>G25/G$26</f>
        <v>0.46642969984202209</v>
      </c>
      <c r="K11" s="337">
        <f>K25/K$26</f>
        <v>0.57269379631539841</v>
      </c>
      <c r="O11" s="337">
        <f>O25/O$26</f>
        <v>0.79036085291064695</v>
      </c>
      <c r="S11" s="337">
        <f>S25/S$26</f>
        <v>0.71847133757961779</v>
      </c>
      <c r="T11" s="337">
        <f>T25/T$26</f>
        <v>0.65753846153846152</v>
      </c>
      <c r="X11" s="337"/>
      <c r="AB11" s="337">
        <f>AB25/AB$26</f>
        <v>0.70694727313871919</v>
      </c>
      <c r="AC11" s="337"/>
      <c r="AD11" s="337"/>
      <c r="AE11" s="337"/>
      <c r="AF11" s="337">
        <f>AF25/AF$26</f>
        <v>0.69083563682755689</v>
      </c>
      <c r="AI11" s="2" t="str">
        <f>AI25</f>
        <v>Annuity Style</v>
      </c>
      <c r="AJ11" s="337"/>
      <c r="AK11" s="337"/>
      <c r="AL11" s="337"/>
      <c r="AM11" s="337">
        <f>AM25/AM$26</f>
        <v>0.67871962062833435</v>
      </c>
      <c r="AN11" s="337"/>
      <c r="AO11" s="337"/>
      <c r="AP11" s="337"/>
      <c r="AQ11" s="337">
        <f>AQ25/AQ$26</f>
        <v>0.42766476810414972</v>
      </c>
      <c r="AR11" s="337"/>
      <c r="AS11" s="337"/>
      <c r="AT11" s="337"/>
      <c r="AU11" s="337">
        <f>AU25/AU$26</f>
        <v>0.54093245227606457</v>
      </c>
      <c r="AY11" s="337">
        <f>AY25/AY$26</f>
        <v>0.46662292930949645</v>
      </c>
      <c r="AZ11" s="337"/>
      <c r="BA11" s="337"/>
      <c r="BB11" s="337"/>
      <c r="BC11" s="337">
        <f>BC25/BC$26</f>
        <v>0.4259141830479814</v>
      </c>
      <c r="BD11" s="337"/>
      <c r="BE11" s="337"/>
      <c r="BF11" s="337"/>
      <c r="BG11" s="337">
        <f>BG25/BG$26</f>
        <v>0.34222222222222221</v>
      </c>
      <c r="BK11" s="337">
        <f>BK25/BK$26</f>
        <v>0.36481453895426785</v>
      </c>
      <c r="BO11" s="337">
        <f>BO25/BO$26</f>
        <v>0.46966169017942749</v>
      </c>
      <c r="BS11" s="337">
        <f>BS25/BS$26</f>
        <v>0.47946236756261662</v>
      </c>
      <c r="BW11" s="337">
        <f>BW25/BW$26</f>
        <v>0.4206255195138226</v>
      </c>
    </row>
    <row r="12" spans="2:89">
      <c r="T12" s="93"/>
      <c r="AB12" s="19">
        <f>AB11+AB10</f>
        <v>1</v>
      </c>
      <c r="AF12" s="19">
        <f>AF11+AF10</f>
        <v>1</v>
      </c>
      <c r="AM12" s="19">
        <f>SUM(AM4:AM9)</f>
        <v>1</v>
      </c>
      <c r="AN12" s="19">
        <f t="shared" ref="AN12:AU12" si="2">SUM(AN4:AN9)</f>
        <v>0</v>
      </c>
      <c r="AO12" s="19">
        <f t="shared" si="2"/>
        <v>0</v>
      </c>
      <c r="AP12" s="19">
        <f t="shared" si="2"/>
        <v>0</v>
      </c>
      <c r="AQ12" s="19">
        <f t="shared" si="2"/>
        <v>1.0000000000000002</v>
      </c>
      <c r="AR12" s="19">
        <f t="shared" si="2"/>
        <v>0</v>
      </c>
      <c r="AS12" s="19">
        <f t="shared" si="2"/>
        <v>0</v>
      </c>
      <c r="AT12" s="19">
        <f t="shared" si="2"/>
        <v>0</v>
      </c>
      <c r="AU12" s="19">
        <f t="shared" si="2"/>
        <v>1</v>
      </c>
      <c r="AY12" s="19">
        <f t="shared" ref="AY12" si="3">SUM(AY4:AY9)</f>
        <v>1</v>
      </c>
      <c r="AZ12" s="19"/>
      <c r="BA12" s="19"/>
      <c r="BB12" s="19"/>
      <c r="BC12" s="19">
        <f t="shared" ref="BC12" si="4">SUM(BC4:BC9)</f>
        <v>1</v>
      </c>
      <c r="BD12" s="19"/>
      <c r="BE12" s="19"/>
      <c r="BF12" s="19"/>
      <c r="BG12" s="19">
        <f t="shared" ref="BG12" si="5">SUM(BG4:BG9)</f>
        <v>0.99999999999999989</v>
      </c>
      <c r="BK12" s="19">
        <f t="shared" ref="BK12" si="6">SUM(BK4:BK9)</f>
        <v>0.99999999999999989</v>
      </c>
      <c r="BO12" s="19">
        <f t="shared" ref="BO12" si="7">SUM(BO4:BO9)</f>
        <v>1</v>
      </c>
      <c r="BS12" s="19">
        <f t="shared" ref="BS12" si="8">SUM(BS4:BS9)</f>
        <v>1</v>
      </c>
      <c r="BW12" s="19">
        <f t="shared" ref="BW12" si="9">SUM(BW4:BW9)</f>
        <v>1</v>
      </c>
    </row>
    <row r="13" spans="2:89">
      <c r="BZ13" s="442" t="s">
        <v>1099</v>
      </c>
      <c r="CA13" s="442"/>
      <c r="CB13" s="442"/>
      <c r="CC13" s="442"/>
      <c r="CD13" s="442"/>
    </row>
    <row r="14" spans="2:89">
      <c r="B14" s="46" t="str">
        <f>DIVISIONS!AP3</f>
        <v>FY08</v>
      </c>
      <c r="C14" s="46" t="str">
        <f>DIVISIONS!AT3</f>
        <v>FY09</v>
      </c>
      <c r="G14" s="46" t="str">
        <f>DIVISIONS!AX3</f>
        <v>FY10</v>
      </c>
      <c r="K14" s="46" t="str">
        <f>DIVISIONS!BB3</f>
        <v>FY11</v>
      </c>
      <c r="O14" s="46" t="str">
        <f>DIVISIONS!BF3</f>
        <v>FY12</v>
      </c>
      <c r="S14" s="46" t="str">
        <f>DIVISIONS!BJ3</f>
        <v>FY13</v>
      </c>
      <c r="T14" s="46" t="str">
        <f>DIVISIONS!BN3</f>
        <v>FY14</v>
      </c>
      <c r="U14" s="14"/>
      <c r="V14" s="14"/>
      <c r="W14" s="14"/>
      <c r="X14" s="46"/>
      <c r="Y14" s="14"/>
      <c r="Z14" s="14"/>
      <c r="AA14" s="14"/>
      <c r="AB14" s="46" t="str">
        <f>DIVISIONS!BV3</f>
        <v>FY16</v>
      </c>
      <c r="AC14" s="47"/>
      <c r="AD14" s="47"/>
      <c r="AE14" s="47"/>
      <c r="AF14" s="46" t="str">
        <f>DIVISIONS!BZ3</f>
        <v>FY17</v>
      </c>
      <c r="AI14" s="14"/>
      <c r="AJ14" s="46" t="str">
        <f>DIVISIONS!CA3</f>
        <v>Ch</v>
      </c>
      <c r="AK14" s="46" t="str">
        <f>DIVISIONS!CB3</f>
        <v>1H18</v>
      </c>
      <c r="AL14" s="46" t="str">
        <f>DIVISIONS!CC3</f>
        <v>2H18</v>
      </c>
      <c r="AM14" s="46" t="str">
        <f>DIVISIONS!CD3</f>
        <v>FY18</v>
      </c>
      <c r="AN14" s="46" t="str">
        <f>DIVISIONS!CE3</f>
        <v>Ch</v>
      </c>
      <c r="AO14" s="46" t="str">
        <f>DIVISIONS!CF3</f>
        <v>1H19</v>
      </c>
      <c r="AP14" s="46" t="str">
        <f>DIVISIONS!CG3</f>
        <v>2H19</v>
      </c>
      <c r="AQ14" s="46" t="str">
        <f>DIVISIONS!CH3</f>
        <v>FY19</v>
      </c>
      <c r="AR14" s="47"/>
      <c r="AS14" s="47"/>
      <c r="AT14" s="47"/>
      <c r="AU14" s="46" t="str">
        <f>DIVISIONS!CL3</f>
        <v>FY20</v>
      </c>
      <c r="AY14" s="46" t="str">
        <f>DIVISIONS!CP3</f>
        <v>FY21</v>
      </c>
      <c r="AZ14" s="47"/>
      <c r="BA14" s="47"/>
      <c r="BB14" s="47"/>
      <c r="BC14" s="46" t="str">
        <f>DIVISIONS!CT3</f>
        <v>FY22</v>
      </c>
      <c r="BD14" s="47"/>
      <c r="BE14" s="47"/>
      <c r="BF14" s="47"/>
      <c r="BG14" s="46" t="str">
        <f>DIVISIONS!CX3</f>
        <v>FY23</v>
      </c>
      <c r="BK14" s="46" t="str">
        <f>DIVISIONS!DB3</f>
        <v>FY24</v>
      </c>
      <c r="BO14" s="46" t="str">
        <f>DIVISIONS!DF3</f>
        <v>FY25</v>
      </c>
      <c r="BS14" s="46" t="str">
        <f>DIVISIONS!DJ3</f>
        <v>FY26E</v>
      </c>
      <c r="BW14" s="46" t="str">
        <f>DIVISIONS!DN3</f>
        <v>FY27E</v>
      </c>
      <c r="BZ14" s="571" t="s">
        <v>1019</v>
      </c>
      <c r="CA14" s="2230"/>
      <c r="CB14" s="2230"/>
      <c r="CC14" s="2230"/>
      <c r="CD14" s="571" t="s">
        <v>1020</v>
      </c>
    </row>
    <row r="15" spans="2:89">
      <c r="B15" s="41"/>
      <c r="C15" s="41"/>
      <c r="G15" s="41"/>
      <c r="K15" s="41"/>
      <c r="O15" s="41"/>
      <c r="S15" s="41"/>
      <c r="T15" s="41"/>
      <c r="U15" s="16"/>
      <c r="V15" s="16"/>
      <c r="W15" s="16"/>
      <c r="X15" s="41"/>
      <c r="Y15" s="16"/>
      <c r="Z15" s="16"/>
      <c r="AA15" s="16"/>
      <c r="AB15" s="41"/>
      <c r="AC15" s="41"/>
      <c r="AD15" s="41"/>
      <c r="AE15" s="41"/>
      <c r="AF15" s="41"/>
      <c r="AI15" s="16" t="s">
        <v>19</v>
      </c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Y15" s="41"/>
      <c r="AZ15" s="41"/>
      <c r="BA15" s="41"/>
      <c r="BB15" s="41"/>
      <c r="BC15" s="41"/>
      <c r="BD15" s="41"/>
      <c r="BE15" s="41"/>
      <c r="BF15" s="41"/>
      <c r="BG15" s="41"/>
      <c r="BK15" s="41"/>
      <c r="BO15" s="41"/>
      <c r="BS15" s="41"/>
      <c r="BW15" s="41"/>
      <c r="BZ15" s="572"/>
      <c r="CA15" s="573"/>
      <c r="CB15" s="573"/>
      <c r="CC15" s="573"/>
      <c r="CD15" s="572"/>
    </row>
    <row r="16" spans="2:89">
      <c r="B16" s="48"/>
      <c r="C16" s="48"/>
      <c r="G16" s="48"/>
      <c r="K16" s="48"/>
      <c r="O16" s="48"/>
      <c r="S16" s="48"/>
      <c r="T16" s="48"/>
      <c r="U16" s="338"/>
      <c r="V16" s="338"/>
      <c r="W16" s="338"/>
      <c r="X16" s="48"/>
      <c r="Y16" s="338"/>
      <c r="Z16" s="338"/>
      <c r="AA16" s="338"/>
      <c r="AB16" s="48"/>
      <c r="AC16" s="48"/>
      <c r="AD16" s="48"/>
      <c r="AE16" s="48"/>
      <c r="AF16" s="48"/>
      <c r="AI16" s="2" t="s">
        <v>804</v>
      </c>
      <c r="BZ16" s="573"/>
      <c r="CA16" s="573"/>
      <c r="CB16" s="573"/>
      <c r="CC16" s="573"/>
      <c r="CD16" s="573"/>
    </row>
    <row r="17" spans="2:88">
      <c r="B17" s="6">
        <v>1217</v>
      </c>
      <c r="C17" s="6">
        <v>275</v>
      </c>
      <c r="G17" s="8">
        <f>DIVISIONS!AX8</f>
        <v>0</v>
      </c>
      <c r="K17" s="8">
        <f>DIVISIONS!BB8</f>
        <v>0</v>
      </c>
      <c r="O17" s="8">
        <f>DIVISIONS!BF8</f>
        <v>0</v>
      </c>
      <c r="S17" s="8">
        <f>DIVISIONS!BJ8</f>
        <v>0</v>
      </c>
      <c r="T17" s="8">
        <f>DIVISIONS!BN8</f>
        <v>0</v>
      </c>
      <c r="X17" s="8"/>
      <c r="AB17" s="344"/>
      <c r="AC17" s="344"/>
      <c r="AD17" s="344"/>
      <c r="AE17" s="344"/>
      <c r="AF17" s="344"/>
      <c r="AJ17" s="344"/>
      <c r="AK17" s="344"/>
      <c r="AL17" s="344"/>
      <c r="AM17" s="344"/>
      <c r="AN17" s="344"/>
      <c r="AO17" s="344"/>
      <c r="AP17" s="344"/>
      <c r="AQ17" s="344"/>
      <c r="AR17" s="344"/>
      <c r="AS17" s="344"/>
      <c r="AT17" s="344"/>
      <c r="AU17" s="344"/>
      <c r="AY17" s="344"/>
      <c r="AZ17" s="344"/>
      <c r="BA17" s="344"/>
      <c r="BB17" s="344"/>
      <c r="BC17" s="344"/>
      <c r="BD17" s="344"/>
      <c r="BE17" s="344"/>
      <c r="BF17" s="344"/>
      <c r="BG17" s="344"/>
      <c r="BK17" s="344"/>
      <c r="BO17" s="344"/>
      <c r="BS17" s="344"/>
      <c r="BW17" s="344"/>
      <c r="BZ17" s="38"/>
      <c r="CA17" s="38"/>
      <c r="CB17" s="38"/>
      <c r="CC17" s="38"/>
      <c r="CD17" s="38"/>
    </row>
    <row r="18" spans="2:88">
      <c r="B18" s="6">
        <v>2237</v>
      </c>
      <c r="C18" s="6">
        <v>251</v>
      </c>
      <c r="G18" s="8">
        <f>DIVISIONS!AX9</f>
        <v>-56</v>
      </c>
      <c r="K18" s="8">
        <f>DIVISIONS!BB9</f>
        <v>206</v>
      </c>
      <c r="O18" s="8">
        <f>DIVISIONS!BF9</f>
        <v>85.000300000000038</v>
      </c>
      <c r="S18" s="8">
        <f>DIVISIONS!BJ9</f>
        <v>150</v>
      </c>
      <c r="T18" s="8">
        <f>DIVISIONS!BN9</f>
        <v>280</v>
      </c>
      <c r="X18" s="8"/>
      <c r="AB18" s="8">
        <f>DIVISIONS!BV9</f>
        <v>451</v>
      </c>
      <c r="AC18" s="8"/>
      <c r="AD18" s="8"/>
      <c r="AE18" s="8"/>
      <c r="AF18" s="8">
        <f>DIVISIONS!BZ9</f>
        <v>483</v>
      </c>
      <c r="AI18" s="1" t="s">
        <v>576</v>
      </c>
      <c r="AJ18" s="8">
        <f>DIVISIONS!CA9</f>
        <v>0</v>
      </c>
      <c r="AK18" s="8">
        <f>DIVISIONS!CB9</f>
        <v>199</v>
      </c>
      <c r="AL18" s="8">
        <f>DIVISIONS!CC9</f>
        <v>517</v>
      </c>
      <c r="AM18" s="8">
        <f>DIVISIONS!CD9</f>
        <v>716</v>
      </c>
      <c r="AN18" s="8">
        <f>DIVISIONS!CE9</f>
        <v>0</v>
      </c>
      <c r="AO18" s="8">
        <f>DIVISIONS!CF9</f>
        <v>509</v>
      </c>
      <c r="AP18" s="8">
        <f>DIVISIONS!CG9</f>
        <v>1265</v>
      </c>
      <c r="AQ18" s="8">
        <f>DIVISIONS!CH9</f>
        <v>1774</v>
      </c>
      <c r="AR18" s="8"/>
      <c r="AS18" s="8"/>
      <c r="AT18" s="8"/>
      <c r="AU18" s="8">
        <f>DIVISIONS!CL9</f>
        <v>763</v>
      </c>
      <c r="AY18" s="8">
        <f>DIVISIONS!CP9</f>
        <v>651</v>
      </c>
      <c r="AZ18" s="8"/>
      <c r="BA18" s="8"/>
      <c r="BB18" s="8"/>
      <c r="BC18" s="8">
        <f>DIVISIONS!CT9</f>
        <v>1521</v>
      </c>
      <c r="BD18" s="8"/>
      <c r="BE18" s="8"/>
      <c r="BF18" s="8"/>
      <c r="BG18" s="8">
        <f>DIVISIONS!CX9</f>
        <v>801</v>
      </c>
      <c r="BK18" s="8">
        <f>DIVISIONS!DB9</f>
        <v>1051</v>
      </c>
      <c r="BO18" s="8">
        <f>DIVISIONS!DF9</f>
        <v>1043</v>
      </c>
      <c r="BS18" s="8">
        <f>DIVISIONS!DJ9</f>
        <v>1560.9010000000003</v>
      </c>
      <c r="BW18" s="8">
        <f>DIVISIONS!DN9</f>
        <v>2039.3671488000002</v>
      </c>
      <c r="BZ18" s="38">
        <v>1560.9010000000003</v>
      </c>
      <c r="CA18" s="38"/>
      <c r="CB18" s="38"/>
      <c r="CC18" s="38"/>
      <c r="CD18" s="38">
        <v>2141.5174188000001</v>
      </c>
    </row>
    <row r="19" spans="2:88">
      <c r="B19" s="6">
        <v>602</v>
      </c>
      <c r="C19" s="6">
        <v>509</v>
      </c>
      <c r="G19" s="8">
        <f>DIVISIONS!AX10</f>
        <v>1407</v>
      </c>
      <c r="K19" s="8">
        <f>DIVISIONS!BB10</f>
        <v>759</v>
      </c>
      <c r="O19" s="8">
        <f>DIVISIONS!BF10</f>
        <v>344.16669999999999</v>
      </c>
      <c r="S19" s="8">
        <f>DIVISIONS!BJ10</f>
        <v>513</v>
      </c>
      <c r="T19" s="8">
        <f>DIVISIONS!BN10</f>
        <v>833</v>
      </c>
      <c r="X19" s="8"/>
      <c r="AB19" s="8">
        <f>DIVISIONS!BV10</f>
        <v>844</v>
      </c>
      <c r="AC19" s="8"/>
      <c r="AD19" s="8"/>
      <c r="AE19" s="8"/>
      <c r="AF19" s="8">
        <f>DIVISIONS!BZ10</f>
        <v>971</v>
      </c>
      <c r="AI19" s="1" t="s">
        <v>1029</v>
      </c>
      <c r="AJ19" s="8">
        <f>DIVISIONS!CA10</f>
        <v>0</v>
      </c>
      <c r="AK19" s="8">
        <f>DIVISIONS!CB10</f>
        <v>378</v>
      </c>
      <c r="AL19" s="8">
        <f>DIVISIONS!CC10</f>
        <v>532</v>
      </c>
      <c r="AM19" s="8">
        <f>DIVISIONS!CD10</f>
        <v>910</v>
      </c>
      <c r="AN19" s="8">
        <f>DIVISIONS!CE10</f>
        <v>0</v>
      </c>
      <c r="AO19" s="8">
        <f>DIVISIONS!CF10</f>
        <v>864</v>
      </c>
      <c r="AP19" s="8">
        <f>DIVISIONS!CG10</f>
        <v>879</v>
      </c>
      <c r="AQ19" s="8">
        <f>DIVISIONS!CH10</f>
        <v>1743</v>
      </c>
      <c r="AR19" s="8"/>
      <c r="AS19" s="8"/>
      <c r="AT19" s="8"/>
      <c r="AU19" s="8">
        <f>DIVISIONS!CL10</f>
        <v>1738</v>
      </c>
      <c r="AY19" s="8">
        <f>DIVISIONS!CP10</f>
        <v>2601</v>
      </c>
      <c r="AZ19" s="8"/>
      <c r="BA19" s="8"/>
      <c r="BB19" s="8"/>
      <c r="BC19" s="8">
        <f>DIVISIONS!CT10</f>
        <v>3911</v>
      </c>
      <c r="BD19" s="8"/>
      <c r="BE19" s="8"/>
      <c r="BF19" s="8"/>
      <c r="BG19" s="8">
        <f>DIVISIONS!CX10</f>
        <v>6007</v>
      </c>
      <c r="BK19" s="8">
        <f>DIVISIONS!DB10</f>
        <v>3213</v>
      </c>
      <c r="BO19" s="8">
        <f>DIVISIONS!DF10</f>
        <v>2829</v>
      </c>
      <c r="BS19" s="8">
        <f>DIVISIONS!DJ10</f>
        <v>3008.3300000000004</v>
      </c>
      <c r="BW19" s="8">
        <f>DIVISIONS!DN10</f>
        <v>3203.4544870000009</v>
      </c>
      <c r="BZ19" s="38">
        <v>2636.34</v>
      </c>
      <c r="CA19" s="38"/>
      <c r="CB19" s="38"/>
      <c r="CC19" s="38"/>
      <c r="CD19" s="38">
        <v>2819.9805870000009</v>
      </c>
    </row>
    <row r="20" spans="2:88">
      <c r="B20" s="7">
        <f>SUM(B17:B19)</f>
        <v>4056</v>
      </c>
      <c r="C20" s="7">
        <f>SUM(C17:C19)</f>
        <v>1035</v>
      </c>
      <c r="G20" s="7">
        <f>DIVISIONS!AX11</f>
        <v>1351</v>
      </c>
      <c r="K20" s="7">
        <f>DIVISIONS!BB11</f>
        <v>965</v>
      </c>
      <c r="O20" s="7">
        <f>DIVISIONS!BF11</f>
        <v>429.16700000000003</v>
      </c>
      <c r="S20" s="7">
        <f>DIVISIONS!BJ11</f>
        <v>663</v>
      </c>
      <c r="T20" s="7">
        <f>DIVISIONS!BN11</f>
        <v>1113</v>
      </c>
      <c r="X20" s="7"/>
      <c r="AB20" s="7">
        <f>DIVISIONS!BV11</f>
        <v>1295</v>
      </c>
      <c r="AC20" s="7"/>
      <c r="AD20" s="7"/>
      <c r="AE20" s="7"/>
      <c r="AF20" s="7">
        <f>DIVISIONS!BZ11</f>
        <v>1454</v>
      </c>
      <c r="AI20" s="2" t="s">
        <v>836</v>
      </c>
      <c r="AJ20" s="7">
        <f>DIVISIONS!CA11</f>
        <v>0</v>
      </c>
      <c r="AK20" s="7">
        <f>DIVISIONS!CB11</f>
        <v>577</v>
      </c>
      <c r="AL20" s="7">
        <f>DIVISIONS!CC11</f>
        <v>1049</v>
      </c>
      <c r="AM20" s="7">
        <f>DIVISIONS!CD11</f>
        <v>1626</v>
      </c>
      <c r="AN20" s="7">
        <f>DIVISIONS!CE11</f>
        <v>0</v>
      </c>
      <c r="AO20" s="7">
        <f>DIVISIONS!CF11</f>
        <v>1373</v>
      </c>
      <c r="AP20" s="7">
        <f>DIVISIONS!CG11</f>
        <v>2144</v>
      </c>
      <c r="AQ20" s="7">
        <f>DIVISIONS!CH11</f>
        <v>3517</v>
      </c>
      <c r="AR20" s="7"/>
      <c r="AS20" s="7"/>
      <c r="AT20" s="7"/>
      <c r="AU20" s="7">
        <f>DIVISIONS!CL11</f>
        <v>2501</v>
      </c>
      <c r="AY20" s="7">
        <f>DIVISIONS!CP11</f>
        <v>3252</v>
      </c>
      <c r="AZ20" s="7"/>
      <c r="BA20" s="7"/>
      <c r="BB20" s="7"/>
      <c r="BC20" s="7">
        <f>DIVISIONS!CT11</f>
        <v>5432</v>
      </c>
      <c r="BD20" s="7"/>
      <c r="BE20" s="7"/>
      <c r="BF20" s="7"/>
      <c r="BG20" s="7">
        <f>DIVISIONS!CX11</f>
        <v>6808</v>
      </c>
      <c r="BK20" s="7">
        <f>DIVISIONS!DB11</f>
        <v>4264</v>
      </c>
      <c r="BO20" s="7">
        <f>DIVISIONS!DF11</f>
        <v>3872</v>
      </c>
      <c r="BS20" s="7">
        <f>DIVISIONS!DJ11</f>
        <v>4569.2310000000007</v>
      </c>
      <c r="BW20" s="7">
        <f>DIVISIONS!DN11</f>
        <v>5242.8216358000009</v>
      </c>
      <c r="BZ20" s="38">
        <v>4197.241</v>
      </c>
      <c r="CA20" s="38"/>
      <c r="CB20" s="38"/>
      <c r="CC20" s="38"/>
      <c r="CD20" s="38">
        <v>4961.498005800001</v>
      </c>
    </row>
    <row r="21" spans="2:88">
      <c r="B21" s="6">
        <v>307</v>
      </c>
      <c r="C21" s="6">
        <v>45</v>
      </c>
      <c r="G21" s="8">
        <f>DIVISIONS!AX12</f>
        <v>808</v>
      </c>
      <c r="K21" s="8">
        <f>DIVISIONS!BB12</f>
        <v>485</v>
      </c>
      <c r="O21" s="8">
        <f>DIVISIONS!BF12</f>
        <v>645.33300000000008</v>
      </c>
      <c r="S21" s="8">
        <f>DIVISIONS!BJ12</f>
        <v>755</v>
      </c>
      <c r="T21" s="8">
        <f>DIVISIONS!BN12</f>
        <v>1051</v>
      </c>
      <c r="X21" s="8"/>
      <c r="Y21" s="8">
        <f>DIVISIONS!BS374</f>
        <v>0</v>
      </c>
      <c r="Z21" s="8">
        <f>DIVISIONS!BT374</f>
        <v>393.29432878679108</v>
      </c>
      <c r="AA21" s="8">
        <f>DIVISIONS!BU374</f>
        <v>273.71116225546604</v>
      </c>
      <c r="AB21" s="8">
        <f>DIVISIONS!BV374</f>
        <v>691.90450928381961</v>
      </c>
      <c r="AC21" s="8">
        <f>DIVISIONS!BW374</f>
        <v>0</v>
      </c>
      <c r="AD21" s="8">
        <f>DIVISIONS!BX374</f>
        <v>404.39687499999997</v>
      </c>
      <c r="AE21" s="8">
        <f>DIVISIONS!BY374</f>
        <v>347.4806378132119</v>
      </c>
      <c r="AF21" s="8">
        <f>DIVISIONS!BZ374</f>
        <v>753.93797606093585</v>
      </c>
      <c r="AI21" s="66" t="s">
        <v>1367</v>
      </c>
      <c r="AJ21" s="8">
        <f>DIVISIONS!CA374</f>
        <v>0</v>
      </c>
      <c r="AK21" s="8">
        <f>DIVISIONS!CB374</f>
        <v>398.13338414634148</v>
      </c>
      <c r="AL21" s="8">
        <f>DIVISIONS!CC374</f>
        <v>238.46650998824913</v>
      </c>
      <c r="AM21" s="8">
        <f>DIVISIONS!CD374</f>
        <v>681.39990753582981</v>
      </c>
      <c r="AN21" s="8">
        <f>DIVISIONS!CE374</f>
        <v>0</v>
      </c>
      <c r="AO21" s="8">
        <f>DIVISIONS!CF374</f>
        <v>363.86735572782084</v>
      </c>
      <c r="AP21" s="8">
        <f>DIVISIONS!CG374</f>
        <v>358.66136034732273</v>
      </c>
      <c r="AQ21" s="8">
        <f>DIVISIONS!CH374</f>
        <v>722.88792764451432</v>
      </c>
      <c r="AR21" s="8">
        <f>DIVISIONS!CI374</f>
        <v>0</v>
      </c>
      <c r="AS21" s="8">
        <f>DIVISIONS!CJ374</f>
        <v>388.5</v>
      </c>
      <c r="AT21" s="8">
        <f>DIVISIONS!CK374</f>
        <v>450.68722139673105</v>
      </c>
      <c r="AU21" s="8">
        <f>DIVISIONS!CL374</f>
        <v>837.24876847290636</v>
      </c>
      <c r="AY21" s="8">
        <f>DIVISIONS!CP374</f>
        <v>818.43593631539045</v>
      </c>
      <c r="AZ21" s="8"/>
      <c r="BA21" s="8"/>
      <c r="BB21" s="8"/>
      <c r="BC21" s="8">
        <f>DIVISIONS!CT374</f>
        <v>1615.4666666666667</v>
      </c>
      <c r="BD21" s="8"/>
      <c r="BE21" s="8"/>
      <c r="BF21" s="8"/>
      <c r="BG21" s="8">
        <f>DIVISIONS!CX374</f>
        <v>1031.4507772020725</v>
      </c>
      <c r="BK21" s="8">
        <f>DIVISIONS!DB374</f>
        <v>508.01483594864482</v>
      </c>
      <c r="BO21" s="8">
        <f>DIVISIONS!DF374</f>
        <v>797.92264752791073</v>
      </c>
      <c r="BS21" s="8">
        <f>DIVISIONS!DJ374</f>
        <v>756.23649289407012</v>
      </c>
      <c r="BW21" s="8">
        <f>DIVISIONS!DN374</f>
        <v>427.20501485870085</v>
      </c>
      <c r="BZ21" s="38">
        <v>756.23649289407012</v>
      </c>
      <c r="CA21" s="38"/>
      <c r="CB21" s="38"/>
      <c r="CC21" s="38"/>
      <c r="CD21" s="38">
        <v>427.20501485870085</v>
      </c>
    </row>
    <row r="22" spans="2:88">
      <c r="B22" s="6"/>
      <c r="C22" s="6"/>
      <c r="G22" s="8"/>
      <c r="K22" s="8"/>
      <c r="O22" s="8"/>
      <c r="S22" s="8"/>
      <c r="T22" s="8"/>
      <c r="X22" s="8"/>
      <c r="Y22" s="8">
        <f>DIVISIONS!BS375</f>
        <v>0</v>
      </c>
      <c r="Z22" s="8">
        <f>DIVISIONS!BT375</f>
        <v>745.70567121320892</v>
      </c>
      <c r="AA22" s="8">
        <f>DIVISIONS!BU375</f>
        <v>231.28883774453394</v>
      </c>
      <c r="AB22" s="8">
        <f>DIVISIONS!BV375</f>
        <v>952.09549071618028</v>
      </c>
      <c r="AC22" s="8">
        <f>DIVISIONS!BW375</f>
        <v>0</v>
      </c>
      <c r="AD22" s="8">
        <f>DIVISIONS!BX375</f>
        <v>452.60312499999998</v>
      </c>
      <c r="AE22" s="8">
        <f>DIVISIONS!BY375</f>
        <v>333.5193621867881</v>
      </c>
      <c r="AF22" s="8">
        <f>DIVISIONS!BZ375</f>
        <v>784.06202393906415</v>
      </c>
      <c r="AI22" s="452" t="s">
        <v>1368</v>
      </c>
      <c r="AJ22" s="8">
        <f>DIVISIONS!CA375</f>
        <v>0</v>
      </c>
      <c r="AK22" s="8">
        <f>DIVISIONS!CB375</f>
        <v>744.86661585365846</v>
      </c>
      <c r="AL22" s="8">
        <f>DIVISIONS!CC375</f>
        <v>176.53349001175087</v>
      </c>
      <c r="AM22" s="8">
        <f>DIVISIONS!CD375</f>
        <v>876.60009246417019</v>
      </c>
      <c r="AN22" s="8">
        <f>DIVISIONS!CE375</f>
        <v>0</v>
      </c>
      <c r="AO22" s="8">
        <f>DIVISIONS!CF375</f>
        <v>486.13264427217916</v>
      </c>
      <c r="AP22" s="8">
        <f>DIVISIONS!CG375</f>
        <v>663.33863965267733</v>
      </c>
      <c r="AQ22" s="8">
        <f>DIVISIONS!CH375</f>
        <v>1149.1120723554857</v>
      </c>
      <c r="AR22" s="8">
        <f>DIVISIONS!CI375</f>
        <v>0</v>
      </c>
      <c r="AS22" s="8">
        <f>DIVISIONS!CJ375</f>
        <v>733.50000000000011</v>
      </c>
      <c r="AT22" s="8">
        <f>DIVISIONS!CK375</f>
        <v>604.31277860326895</v>
      </c>
      <c r="AU22" s="8">
        <f>DIVISIONS!CL375</f>
        <v>1339.7512315270935</v>
      </c>
      <c r="AY22" s="8">
        <f>DIVISIONS!CP375</f>
        <v>1255.5640636846094</v>
      </c>
      <c r="AZ22" s="8"/>
      <c r="BA22" s="8"/>
      <c r="BB22" s="8"/>
      <c r="BC22" s="8">
        <f>DIVISIONS!CT375</f>
        <v>1413.5333333333333</v>
      </c>
      <c r="BD22" s="8"/>
      <c r="BE22" s="8"/>
      <c r="BF22" s="8"/>
      <c r="BG22" s="8">
        <f>DIVISIONS!CX375</f>
        <v>1310.5492227979275</v>
      </c>
      <c r="BK22" s="8">
        <f>DIVISIONS!DB375</f>
        <v>699.98516405135524</v>
      </c>
      <c r="BO22" s="8">
        <f>DIVISIONS!DF375</f>
        <v>1251.0773524720894</v>
      </c>
      <c r="BS22" s="8">
        <f>DIVISIONS!DJ375</f>
        <v>1836.0916134267097</v>
      </c>
      <c r="BW22" s="8">
        <f>DIVISIONS!DN375</f>
        <v>1436.4104563701251</v>
      </c>
      <c r="BZ22" s="38">
        <v>1836.0916134267097</v>
      </c>
      <c r="CA22" s="38"/>
      <c r="CB22" s="38"/>
      <c r="CC22" s="38"/>
      <c r="CD22" s="38">
        <v>1436.4104563701251</v>
      </c>
    </row>
    <row r="23" spans="2:88">
      <c r="B23" s="6">
        <v>112</v>
      </c>
      <c r="C23" s="6">
        <v>66</v>
      </c>
      <c r="G23" s="8">
        <f>DIVISIONS!AX13</f>
        <v>255</v>
      </c>
      <c r="K23" s="8">
        <f>DIVISIONS!BB13</f>
        <v>574</v>
      </c>
      <c r="O23" s="8">
        <f>DIVISIONS!BF13</f>
        <v>697.50333000000001</v>
      </c>
      <c r="S23" s="8">
        <f>DIVISIONS!BJ13</f>
        <v>694</v>
      </c>
      <c r="T23" s="8">
        <f>DIVISIONS!BN13</f>
        <v>826</v>
      </c>
      <c r="X23" s="8"/>
      <c r="AB23" s="8">
        <f>DIVISIONS!BV13</f>
        <v>1130</v>
      </c>
      <c r="AC23" s="8"/>
      <c r="AD23" s="8"/>
      <c r="AE23" s="8"/>
      <c r="AF23" s="8">
        <f>DIVISIONS!BZ13</f>
        <v>1198</v>
      </c>
      <c r="AI23" s="1" t="s">
        <v>589</v>
      </c>
      <c r="AJ23" s="8">
        <f>DIVISIONS!CA13</f>
        <v>0</v>
      </c>
      <c r="AK23" s="8">
        <f>DIVISIONS!CB13</f>
        <v>565</v>
      </c>
      <c r="AL23" s="8">
        <f>DIVISIONS!CC13</f>
        <v>575</v>
      </c>
      <c r="AM23" s="8">
        <f>DIVISIONS!CD13</f>
        <v>1140</v>
      </c>
      <c r="AN23" s="8">
        <f>DIVISIONS!CE13</f>
        <v>0</v>
      </c>
      <c r="AO23" s="8">
        <f>DIVISIONS!CF13</f>
        <v>0</v>
      </c>
      <c r="AP23" s="8">
        <f>DIVISIONS!CG13</f>
        <v>0</v>
      </c>
      <c r="AQ23" s="8"/>
      <c r="AR23" s="8"/>
      <c r="AS23" s="8"/>
      <c r="AT23" s="8"/>
      <c r="AU23" s="8"/>
      <c r="AY23" s="8"/>
      <c r="AZ23" s="8"/>
      <c r="BA23" s="8"/>
      <c r="BB23" s="8"/>
      <c r="BC23" s="8"/>
      <c r="BD23" s="8"/>
      <c r="BE23" s="8"/>
      <c r="BF23" s="8"/>
      <c r="BG23" s="8"/>
      <c r="BK23" s="8"/>
      <c r="BO23" s="8"/>
      <c r="BS23" s="8"/>
      <c r="BW23" s="8"/>
      <c r="BZ23" s="38">
        <v>0</v>
      </c>
      <c r="CA23" s="38"/>
      <c r="CB23" s="38"/>
      <c r="CC23" s="38"/>
      <c r="CD23" s="38">
        <v>0</v>
      </c>
    </row>
    <row r="24" spans="2:88">
      <c r="B24" s="6">
        <f>238-130</f>
        <v>108</v>
      </c>
      <c r="C24" s="6">
        <f>-99-356</f>
        <v>-455</v>
      </c>
      <c r="G24" s="8">
        <f>DIVISIONS!AX14+DIVISIONS!AX15</f>
        <v>118</v>
      </c>
      <c r="K24" s="8">
        <f>DIVISIONS!BB14+DIVISIONS!BB15</f>
        <v>234.33370000000002</v>
      </c>
      <c r="O24" s="8">
        <f>DIVISIONS!BF14</f>
        <v>275.16679999999985</v>
      </c>
      <c r="S24" s="8">
        <f>DIVISIONS!BJ14</f>
        <v>243</v>
      </c>
      <c r="T24" s="8">
        <f>DIVISIONS!BN14</f>
        <v>260</v>
      </c>
      <c r="X24" s="8"/>
      <c r="AB24" s="8">
        <f>DIVISIONS!BV14</f>
        <v>350</v>
      </c>
      <c r="AC24" s="8"/>
      <c r="AD24" s="8"/>
      <c r="AE24" s="8"/>
      <c r="AF24" s="8">
        <f>DIVISIONS!BZ14</f>
        <v>513</v>
      </c>
      <c r="AI24" s="1" t="s">
        <v>212</v>
      </c>
      <c r="AJ24" s="8">
        <f>DIVISIONS!CA14</f>
        <v>0</v>
      </c>
      <c r="AK24" s="8">
        <f>DIVISIONS!CB14</f>
        <v>377</v>
      </c>
      <c r="AL24" s="8">
        <f>DIVISIONS!CC14</f>
        <v>360</v>
      </c>
      <c r="AM24" s="8">
        <f>DIVISIONS!CD14</f>
        <v>737</v>
      </c>
      <c r="AN24" s="8">
        <f>DIVISIONS!CE14</f>
        <v>0</v>
      </c>
      <c r="AO24" s="8">
        <f>DIVISIONS!CF14</f>
        <v>378</v>
      </c>
      <c r="AP24" s="8">
        <f>DIVISIONS!CG14</f>
        <v>378</v>
      </c>
      <c r="AQ24" s="8">
        <f>DIVISIONS!CH14</f>
        <v>756</v>
      </c>
      <c r="AR24" s="8"/>
      <c r="AS24" s="8"/>
      <c r="AT24" s="8"/>
      <c r="AU24" s="8">
        <f>DIVISIONS!CL14</f>
        <v>770</v>
      </c>
      <c r="AY24" s="8">
        <f>DIVISIONS!CP14</f>
        <v>771</v>
      </c>
      <c r="AZ24" s="8"/>
      <c r="BA24" s="8"/>
      <c r="BB24" s="8"/>
      <c r="BC24" s="8">
        <f>DIVISIONS!CT14</f>
        <v>1001</v>
      </c>
      <c r="BD24" s="8"/>
      <c r="BE24" s="8"/>
      <c r="BF24" s="8"/>
      <c r="BG24" s="8">
        <f>DIVISIONS!CX14</f>
        <v>1200</v>
      </c>
      <c r="BK24" s="8">
        <f>DIVISIONS!DB14</f>
        <v>1241</v>
      </c>
      <c r="BO24" s="8">
        <f>DIVISIONS!DF14</f>
        <v>1380</v>
      </c>
      <c r="BS24" s="8">
        <f>DIVISIONS!DJ14</f>
        <v>1616.3480328900316</v>
      </c>
      <c r="BW24" s="8">
        <f>DIVISIONS!DN14</f>
        <v>1942.6698391392708</v>
      </c>
      <c r="BZ24" s="38">
        <v>1694.5461769759261</v>
      </c>
      <c r="CA24" s="38"/>
      <c r="CB24" s="38"/>
      <c r="CC24" s="38"/>
      <c r="CD24" s="38">
        <v>2090.3993694421501</v>
      </c>
    </row>
    <row r="25" spans="2:88">
      <c r="B25" s="7">
        <f>SUM(B21:B24)</f>
        <v>527</v>
      </c>
      <c r="C25" s="7">
        <f>SUM(C21:C24)</f>
        <v>-344</v>
      </c>
      <c r="G25" s="7">
        <f>DIVISIONS!AX16</f>
        <v>1181</v>
      </c>
      <c r="K25" s="7">
        <f>DIVISIONS!BB16</f>
        <v>1293.3337000000001</v>
      </c>
      <c r="O25" s="7">
        <f>DIVISIONS!BF16</f>
        <v>1618.0031300000001</v>
      </c>
      <c r="S25" s="7">
        <f>DIVISIONS!BJ16</f>
        <v>1692</v>
      </c>
      <c r="T25" s="7">
        <f>DIVISIONS!BN16</f>
        <v>2137</v>
      </c>
      <c r="X25" s="7"/>
      <c r="AB25" s="7">
        <f>DIVISIONS!BV16</f>
        <v>3124</v>
      </c>
      <c r="AC25" s="7"/>
      <c r="AD25" s="7"/>
      <c r="AE25" s="7"/>
      <c r="AF25" s="7">
        <f>DIVISIONS!BZ16</f>
        <v>3249</v>
      </c>
      <c r="AI25" s="2" t="s">
        <v>837</v>
      </c>
      <c r="AJ25" s="7">
        <f>DIVISIONS!CA16</f>
        <v>0</v>
      </c>
      <c r="AK25" s="7">
        <f>DIVISIONS!CB16</f>
        <v>2085</v>
      </c>
      <c r="AL25" s="7">
        <f>DIVISIONS!CC16</f>
        <v>1350</v>
      </c>
      <c r="AM25" s="7">
        <f>DIVISIONS!CD16</f>
        <v>3435</v>
      </c>
      <c r="AN25" s="7">
        <f>DIVISIONS!CE16</f>
        <v>0</v>
      </c>
      <c r="AO25" s="7">
        <f>DIVISIONS!CF16</f>
        <v>1228</v>
      </c>
      <c r="AP25" s="7">
        <f>DIVISIONS!CG16</f>
        <v>1400</v>
      </c>
      <c r="AQ25" s="7">
        <f>DIVISIONS!CH16</f>
        <v>2628</v>
      </c>
      <c r="AR25" s="7"/>
      <c r="AS25" s="7"/>
      <c r="AT25" s="7"/>
      <c r="AU25" s="7">
        <f>DIVISIONS!CL16</f>
        <v>2947</v>
      </c>
      <c r="AY25" s="7">
        <f>DIVISIONS!CP16</f>
        <v>2845</v>
      </c>
      <c r="AZ25" s="7"/>
      <c r="BA25" s="7"/>
      <c r="BB25" s="7"/>
      <c r="BC25" s="7">
        <f>DIVISIONS!CT16</f>
        <v>4030</v>
      </c>
      <c r="BD25" s="7"/>
      <c r="BE25" s="7"/>
      <c r="BF25" s="7"/>
      <c r="BG25" s="7">
        <f>DIVISIONS!CX16</f>
        <v>3542</v>
      </c>
      <c r="BK25" s="7">
        <f>DIVISIONS!DB16</f>
        <v>2449</v>
      </c>
      <c r="BO25" s="7">
        <f>DIVISIONS!DF16</f>
        <v>3429</v>
      </c>
      <c r="BS25" s="7">
        <f>DIVISIONS!DJ16</f>
        <v>4208.676139210811</v>
      </c>
      <c r="BW25" s="7">
        <f>DIVISIONS!DN16</f>
        <v>3806.2853103680968</v>
      </c>
      <c r="BZ25" s="38">
        <v>4286.8742832967055</v>
      </c>
      <c r="CA25" s="38"/>
      <c r="CB25" s="38"/>
      <c r="CC25" s="38"/>
      <c r="CD25" s="38">
        <v>3954.0148406709759</v>
      </c>
      <c r="CJ25" s="21"/>
    </row>
    <row r="26" spans="2:88">
      <c r="B26" s="7">
        <f>+B20+B25</f>
        <v>4583</v>
      </c>
      <c r="C26" s="7">
        <f>+C20+C25</f>
        <v>691</v>
      </c>
      <c r="G26" s="7">
        <f>DIVISIONS!AX17</f>
        <v>2532</v>
      </c>
      <c r="K26" s="7">
        <f>DIVISIONS!BB17</f>
        <v>2258.3337000000001</v>
      </c>
      <c r="O26" s="7">
        <f>DIVISIONS!BF17</f>
        <v>2047.17013</v>
      </c>
      <c r="S26" s="7">
        <f>DIVISIONS!BJ17</f>
        <v>2355</v>
      </c>
      <c r="T26" s="7">
        <f>DIVISIONS!BN17</f>
        <v>3250</v>
      </c>
      <c r="X26" s="7"/>
      <c r="AB26" s="7">
        <f>DIVISIONS!BV17</f>
        <v>4419</v>
      </c>
      <c r="AC26" s="7"/>
      <c r="AD26" s="7"/>
      <c r="AE26" s="7"/>
      <c r="AF26" s="7">
        <f>DIVISIONS!BZ17</f>
        <v>4703</v>
      </c>
      <c r="AI26" s="2" t="s">
        <v>825</v>
      </c>
      <c r="AJ26" s="7">
        <f>DIVISIONS!CA17</f>
        <v>0</v>
      </c>
      <c r="AK26" s="7">
        <f>DIVISIONS!CB17</f>
        <v>2662</v>
      </c>
      <c r="AL26" s="7">
        <f>DIVISIONS!CC17</f>
        <v>2399</v>
      </c>
      <c r="AM26" s="7">
        <f>DIVISIONS!CD17</f>
        <v>5061</v>
      </c>
      <c r="AN26" s="7">
        <f>DIVISIONS!CE17</f>
        <v>0</v>
      </c>
      <c r="AO26" s="7">
        <f>DIVISIONS!CF17</f>
        <v>2601</v>
      </c>
      <c r="AP26" s="7">
        <f>DIVISIONS!CG17</f>
        <v>3544</v>
      </c>
      <c r="AQ26" s="7">
        <f>DIVISIONS!CH17</f>
        <v>6145</v>
      </c>
      <c r="AR26" s="7"/>
      <c r="AS26" s="7"/>
      <c r="AT26" s="7"/>
      <c r="AU26" s="7">
        <f>DIVISIONS!CL17</f>
        <v>5448</v>
      </c>
      <c r="AY26" s="7">
        <f>DIVISIONS!CP17</f>
        <v>6097</v>
      </c>
      <c r="AZ26" s="7"/>
      <c r="BA26" s="7"/>
      <c r="BB26" s="7"/>
      <c r="BC26" s="7">
        <f>DIVISIONS!CT17</f>
        <v>9462</v>
      </c>
      <c r="BD26" s="7"/>
      <c r="BE26" s="7"/>
      <c r="BF26" s="7"/>
      <c r="BG26" s="7">
        <f>DIVISIONS!CX17</f>
        <v>10350</v>
      </c>
      <c r="BK26" s="7">
        <f>DIVISIONS!DB17</f>
        <v>6713</v>
      </c>
      <c r="BO26" s="7">
        <f>DIVISIONS!DF17</f>
        <v>7301</v>
      </c>
      <c r="BS26" s="7">
        <f>DIVISIONS!DJ17</f>
        <v>8777.9071392108126</v>
      </c>
      <c r="BW26" s="7">
        <f>DIVISIONS!DN17</f>
        <v>9049.1069461680981</v>
      </c>
      <c r="BZ26" s="38">
        <v>8484.1152832967055</v>
      </c>
      <c r="CA26" s="38"/>
      <c r="CB26" s="38"/>
      <c r="CC26" s="38"/>
      <c r="CD26" s="38">
        <v>8915.5128464709778</v>
      </c>
      <c r="CJ26" s="4"/>
    </row>
    <row r="27" spans="2:88">
      <c r="B27" s="6">
        <v>-2780</v>
      </c>
      <c r="C27" s="6">
        <v>180</v>
      </c>
      <c r="G27" s="8">
        <f>DIVISIONS!AX18</f>
        <v>-1482</v>
      </c>
      <c r="K27" s="8">
        <f>DIVISIONS!BB18</f>
        <v>-1301.6666300000002</v>
      </c>
      <c r="O27" s="8">
        <f>DIVISIONS!BF18</f>
        <v>-1318.3296700000001</v>
      </c>
      <c r="S27" s="8">
        <f>DIVISIONS!BJ18</f>
        <v>-1504</v>
      </c>
      <c r="T27" s="8">
        <f>DIVISIONS!BN18</f>
        <v>-1985</v>
      </c>
      <c r="X27" s="8"/>
      <c r="AB27" s="8">
        <f>DIVISIONS!BV18</f>
        <v>-2356</v>
      </c>
      <c r="AC27" s="8"/>
      <c r="AD27" s="8"/>
      <c r="AE27" s="8"/>
      <c r="AF27" s="8">
        <f>DIVISIONS!BZ18</f>
        <v>-2486</v>
      </c>
      <c r="AI27" s="1" t="s">
        <v>579</v>
      </c>
      <c r="AJ27" s="8">
        <f>DIVISIONS!CA18</f>
        <v>0</v>
      </c>
      <c r="AK27" s="8">
        <f>DIVISIONS!CB18</f>
        <v>-1414</v>
      </c>
      <c r="AL27" s="8">
        <f>DIVISIONS!CC18</f>
        <v>-1090</v>
      </c>
      <c r="AM27" s="8">
        <f>DIVISIONS!CD18</f>
        <v>-2504</v>
      </c>
      <c r="AN27" s="8">
        <f>DIVISIONS!CE18</f>
        <v>0</v>
      </c>
      <c r="AO27" s="8">
        <f>DIVISIONS!CF18</f>
        <v>-1291</v>
      </c>
      <c r="AP27" s="8">
        <f>DIVISIONS!CG18</f>
        <v>-1872</v>
      </c>
      <c r="AQ27" s="8">
        <f>DIVISIONS!CH18</f>
        <v>-3163</v>
      </c>
      <c r="AR27" s="8"/>
      <c r="AS27" s="8"/>
      <c r="AT27" s="8"/>
      <c r="AU27" s="8">
        <f>DIVISIONS!CL18</f>
        <v>-2717</v>
      </c>
      <c r="AY27" s="8">
        <f>DIVISIONS!CP18</f>
        <v>-3082</v>
      </c>
      <c r="AZ27" s="8"/>
      <c r="BA27" s="8"/>
      <c r="BB27" s="8"/>
      <c r="BC27" s="8">
        <f>DIVISIONS!CT18</f>
        <v>-4756</v>
      </c>
      <c r="BD27" s="8"/>
      <c r="BE27" s="8"/>
      <c r="BF27" s="8"/>
      <c r="BG27" s="8">
        <f>DIVISIONS!CX18</f>
        <v>-5169</v>
      </c>
      <c r="BK27" s="8">
        <f>DIVISIONS!DB18</f>
        <v>-3191</v>
      </c>
      <c r="BO27" s="8">
        <f>DIVISIONS!DF18</f>
        <v>-3586</v>
      </c>
      <c r="BS27" s="8">
        <f>DIVISIONS!DJ18</f>
        <v>-4605.216941247043</v>
      </c>
      <c r="BW27" s="8">
        <f>DIVISIONS!DN18</f>
        <v>-4476.3966586518709</v>
      </c>
      <c r="BZ27" s="38">
        <v>-4263.849331953219</v>
      </c>
      <c r="CA27" s="38"/>
      <c r="CB27" s="38"/>
      <c r="CC27" s="38"/>
      <c r="CD27" s="38">
        <v>-4376.4614307500742</v>
      </c>
      <c r="CI27" s="437"/>
      <c r="CJ27" s="4"/>
    </row>
    <row r="28" spans="2:88">
      <c r="B28" s="7">
        <f>SUM(B26:B27)</f>
        <v>1803</v>
      </c>
      <c r="C28" s="7">
        <f>SUM(C26:C27)</f>
        <v>871</v>
      </c>
      <c r="G28" s="7">
        <f>DIVISIONS!AX19</f>
        <v>1050</v>
      </c>
      <c r="K28" s="7">
        <f>DIVISIONS!BB19</f>
        <v>956.66706999999997</v>
      </c>
      <c r="O28" s="7">
        <f>DIVISIONS!BF19</f>
        <v>728.84045999999989</v>
      </c>
      <c r="S28" s="7">
        <f>DIVISIONS!BJ19</f>
        <v>851</v>
      </c>
      <c r="T28" s="7">
        <f>DIVISIONS!BN19</f>
        <v>1265</v>
      </c>
      <c r="X28" s="7"/>
      <c r="AB28" s="7">
        <f>DIVISIONS!BV19</f>
        <v>2063</v>
      </c>
      <c r="AC28" s="7"/>
      <c r="AD28" s="7"/>
      <c r="AE28" s="7"/>
      <c r="AF28" s="7">
        <f>DIVISIONS!BZ19</f>
        <v>2217</v>
      </c>
      <c r="AI28" s="2" t="s">
        <v>694</v>
      </c>
      <c r="AJ28" s="7">
        <f>DIVISIONS!CA19</f>
        <v>0</v>
      </c>
      <c r="AK28" s="7">
        <f>DIVISIONS!CB19</f>
        <v>1248</v>
      </c>
      <c r="AL28" s="7">
        <f>DIVISIONS!CC19</f>
        <v>1309</v>
      </c>
      <c r="AM28" s="7">
        <f>DIVISIONS!CD19</f>
        <v>2557</v>
      </c>
      <c r="AN28" s="7">
        <f>DIVISIONS!CE19</f>
        <v>0</v>
      </c>
      <c r="AO28" s="7">
        <f>DIVISIONS!CF19</f>
        <v>1310</v>
      </c>
      <c r="AP28" s="7">
        <f>DIVISIONS!CG19</f>
        <v>1672</v>
      </c>
      <c r="AQ28" s="7">
        <f>DIVISIONS!CH19</f>
        <v>2982</v>
      </c>
      <c r="AR28" s="7"/>
      <c r="AS28" s="7"/>
      <c r="AT28" s="7"/>
      <c r="AU28" s="7">
        <f>DIVISIONS!CL19</f>
        <v>2731</v>
      </c>
      <c r="AY28" s="7">
        <f>DIVISIONS!CP19</f>
        <v>3015</v>
      </c>
      <c r="AZ28" s="7"/>
      <c r="BA28" s="7"/>
      <c r="BB28" s="7"/>
      <c r="BC28" s="7">
        <f>DIVISIONS!CT19</f>
        <v>4706</v>
      </c>
      <c r="BD28" s="7"/>
      <c r="BE28" s="7"/>
      <c r="BF28" s="7"/>
      <c r="BG28" s="7">
        <f>DIVISIONS!CX19</f>
        <v>5181</v>
      </c>
      <c r="BK28" s="7">
        <f>DIVISIONS!DB19</f>
        <v>3522</v>
      </c>
      <c r="BO28" s="7">
        <f>DIVISIONS!DF19</f>
        <v>3715</v>
      </c>
      <c r="BS28" s="7">
        <f>DIVISIONS!DJ19</f>
        <v>4172.6901979637696</v>
      </c>
      <c r="BW28" s="7">
        <f>DIVISIONS!DN19</f>
        <v>4572.7102875162273</v>
      </c>
      <c r="BZ28" s="38">
        <v>4220.2659513434864</v>
      </c>
      <c r="CA28" s="38"/>
      <c r="CB28" s="38"/>
      <c r="CC28" s="38"/>
      <c r="CD28" s="38">
        <v>4539.0514157209036</v>
      </c>
      <c r="CF28" s="451"/>
      <c r="CG28" s="451" t="s">
        <v>1369</v>
      </c>
      <c r="CH28" s="451" t="s">
        <v>1390</v>
      </c>
      <c r="CI28" s="451" t="s">
        <v>1434</v>
      </c>
      <c r="CJ28" s="4"/>
    </row>
    <row r="29" spans="2:88" ht="14.4" thickBot="1">
      <c r="B29" s="48"/>
      <c r="C29" s="48"/>
      <c r="G29" s="48"/>
      <c r="K29" s="48"/>
      <c r="O29" s="48"/>
      <c r="S29" s="48"/>
      <c r="T29" s="48"/>
      <c r="U29" s="338"/>
      <c r="V29" s="338"/>
      <c r="W29" s="338"/>
      <c r="X29" s="48"/>
      <c r="Y29" s="338"/>
      <c r="Z29" s="338"/>
      <c r="AA29" s="338"/>
      <c r="AB29" s="48"/>
      <c r="AC29" s="48"/>
      <c r="AD29" s="48"/>
      <c r="AE29" s="48"/>
      <c r="AF29" s="48"/>
      <c r="AI29" s="2" t="s">
        <v>410</v>
      </c>
      <c r="AM29" s="47" t="str">
        <f>AM14</f>
        <v>FY18</v>
      </c>
      <c r="AQ29" s="47" t="str">
        <f>AQ14</f>
        <v>FY19</v>
      </c>
      <c r="AU29" s="47" t="str">
        <f>AU14</f>
        <v>FY20</v>
      </c>
      <c r="AY29" s="47" t="str">
        <f>AY14</f>
        <v>FY21</v>
      </c>
      <c r="AZ29" s="47"/>
      <c r="BA29" s="47"/>
      <c r="BB29" s="47"/>
      <c r="BC29" s="47" t="str">
        <f>BC14</f>
        <v>FY22</v>
      </c>
      <c r="BD29" s="47"/>
      <c r="BE29" s="47"/>
      <c r="BF29" s="47"/>
      <c r="BG29" s="47" t="str">
        <f>BG14</f>
        <v>FY23</v>
      </c>
      <c r="BK29" s="47" t="str">
        <f>BK14</f>
        <v>FY24</v>
      </c>
      <c r="BO29" s="47" t="str">
        <f>BO14</f>
        <v>FY25</v>
      </c>
      <c r="BS29" s="47" t="str">
        <f>BS14</f>
        <v>FY26E</v>
      </c>
      <c r="BW29" s="47" t="str">
        <f>BW14</f>
        <v>FY27E</v>
      </c>
      <c r="BZ29" s="2232" t="s">
        <v>1019</v>
      </c>
      <c r="CA29" s="2232"/>
      <c r="CB29" s="2232"/>
      <c r="CC29" s="2232"/>
      <c r="CD29" s="2232" t="s">
        <v>1020</v>
      </c>
      <c r="CF29" s="454"/>
      <c r="CG29" s="98"/>
      <c r="CH29" s="98"/>
      <c r="CI29" s="98"/>
      <c r="CJ29" s="4"/>
    </row>
    <row r="30" spans="2:88">
      <c r="B30" s="339">
        <f t="shared" ref="B30:C33" si="10">$AB30</f>
        <v>0</v>
      </c>
      <c r="C30" s="339">
        <f t="shared" si="10"/>
        <v>0</v>
      </c>
      <c r="G30" s="339">
        <f>$AB30</f>
        <v>0</v>
      </c>
      <c r="K30" s="339">
        <f>$AB30</f>
        <v>0</v>
      </c>
      <c r="O30" s="339">
        <f>$AB30</f>
        <v>0</v>
      </c>
      <c r="S30" s="339">
        <f>$AB30</f>
        <v>0</v>
      </c>
      <c r="T30" s="340">
        <v>16.672094569097553</v>
      </c>
      <c r="U30" s="1">
        <v>13.67798079341388</v>
      </c>
      <c r="V30" s="1">
        <v>12.17180213535601</v>
      </c>
      <c r="W30" s="1">
        <v>10.809656718355358</v>
      </c>
      <c r="X30" s="341"/>
      <c r="Y30" s="342"/>
      <c r="Z30" s="342"/>
      <c r="AA30" s="342"/>
      <c r="AB30" s="344"/>
      <c r="AC30" s="344"/>
      <c r="AD30" s="344"/>
      <c r="AE30" s="344"/>
      <c r="AF30" s="344"/>
      <c r="AJ30" s="344"/>
      <c r="AK30" s="344"/>
      <c r="AL30" s="344"/>
      <c r="AM30" s="344"/>
      <c r="AN30" s="344"/>
      <c r="AO30" s="344"/>
      <c r="AP30" s="344"/>
      <c r="AQ30" s="344"/>
      <c r="AR30" s="344"/>
      <c r="AS30" s="344"/>
      <c r="AT30" s="344"/>
      <c r="AU30" s="344"/>
      <c r="AY30" s="344"/>
      <c r="AZ30" s="344"/>
      <c r="BA30" s="344"/>
      <c r="BB30" s="344"/>
      <c r="BC30" s="344"/>
      <c r="BD30" s="344"/>
      <c r="BE30" s="344"/>
      <c r="BF30" s="344"/>
      <c r="BG30" s="344"/>
      <c r="BK30" s="344"/>
      <c r="BO30" s="1785"/>
      <c r="BS30" s="1785"/>
      <c r="BW30" s="1785"/>
      <c r="BZ30" s="339"/>
      <c r="CA30" s="339"/>
      <c r="CB30" s="339"/>
      <c r="CC30" s="339"/>
      <c r="CD30" s="339"/>
      <c r="CF30" s="67"/>
      <c r="CG30" s="67"/>
      <c r="CH30" s="67"/>
      <c r="CI30" s="67"/>
    </row>
    <row r="31" spans="2:88">
      <c r="B31" s="339">
        <f t="shared" si="10"/>
        <v>16.324706862685794</v>
      </c>
      <c r="C31" s="339">
        <f t="shared" si="10"/>
        <v>16.324706862685794</v>
      </c>
      <c r="G31" s="339">
        <f>$AB31</f>
        <v>16.324706862685794</v>
      </c>
      <c r="K31" s="339">
        <f>$AB31</f>
        <v>16.324706862685794</v>
      </c>
      <c r="O31" s="339">
        <f>$AB31</f>
        <v>16.324706862685794</v>
      </c>
      <c r="S31" s="339">
        <f>$AB31</f>
        <v>16.324706862685794</v>
      </c>
      <c r="T31" s="340">
        <v>16.944602491471937</v>
      </c>
      <c r="U31" s="1">
        <v>14.882810280621849</v>
      </c>
      <c r="V31" s="1">
        <v>13.035276639746868</v>
      </c>
      <c r="W31" s="1">
        <v>11.568806082454225</v>
      </c>
      <c r="X31" s="341"/>
      <c r="Y31" s="342"/>
      <c r="Z31" s="342"/>
      <c r="AA31" s="342"/>
      <c r="AB31" s="341">
        <v>16.324706862685794</v>
      </c>
      <c r="AC31" s="342"/>
      <c r="AD31" s="342"/>
      <c r="AE31" s="342"/>
      <c r="AF31" s="363">
        <v>16.464505804269109</v>
      </c>
      <c r="AI31" s="1" t="s">
        <v>576</v>
      </c>
      <c r="AJ31" s="363"/>
      <c r="AK31" s="363"/>
      <c r="AL31" s="363"/>
      <c r="AM31" s="363">
        <v>20.022632509594608</v>
      </c>
      <c r="AN31" s="363"/>
      <c r="AO31" s="363"/>
      <c r="AP31" s="363"/>
      <c r="AQ31" s="363">
        <v>11.745544720377199</v>
      </c>
      <c r="AR31" s="363"/>
      <c r="AS31" s="363"/>
      <c r="AT31" s="363"/>
      <c r="AU31" s="363">
        <v>14.789651670896506</v>
      </c>
      <c r="AY31" s="363">
        <v>16.710811323476037</v>
      </c>
      <c r="AZ31" s="363"/>
      <c r="BA31" s="363"/>
      <c r="BB31" s="363"/>
      <c r="BC31" s="363">
        <v>10.893406477195539</v>
      </c>
      <c r="BD31" s="363"/>
      <c r="BE31" s="363"/>
      <c r="BF31" s="363"/>
      <c r="BG31" s="363">
        <v>14.480360398327013</v>
      </c>
      <c r="BK31" s="363">
        <v>16.903299860850606</v>
      </c>
      <c r="BO31" s="363">
        <v>14.303908023891942</v>
      </c>
      <c r="BS31" s="363">
        <v>15.881510175156279</v>
      </c>
      <c r="BW31" s="363">
        <v>13.196008586382444</v>
      </c>
      <c r="BZ31" s="339">
        <v>15.881510175156279</v>
      </c>
      <c r="CA31" s="339"/>
      <c r="CB31" s="339"/>
      <c r="CC31" s="339"/>
      <c r="CD31" s="339">
        <v>13.196008586382444</v>
      </c>
      <c r="CE31" s="2233"/>
      <c r="CF31" s="449" t="s">
        <v>890</v>
      </c>
      <c r="CG31" s="449">
        <v>19.125349381228716</v>
      </c>
      <c r="CH31" s="449">
        <v>15.881510175156279</v>
      </c>
      <c r="CI31" s="449">
        <v>13.196008586382444</v>
      </c>
    </row>
    <row r="32" spans="2:88">
      <c r="B32" s="339">
        <f t="shared" si="10"/>
        <v>13.578449790990801</v>
      </c>
      <c r="C32" s="339">
        <f t="shared" si="10"/>
        <v>13.578449790990801</v>
      </c>
      <c r="G32" s="339">
        <f>$AB32</f>
        <v>13.578449790990801</v>
      </c>
      <c r="K32" s="339">
        <f>$AB32</f>
        <v>13.578449790990801</v>
      </c>
      <c r="O32" s="339">
        <f>$AB32</f>
        <v>13.578449790990801</v>
      </c>
      <c r="S32" s="339">
        <f>$AB32</f>
        <v>13.578449790990801</v>
      </c>
      <c r="T32" s="340">
        <v>11.533203117753418</v>
      </c>
      <c r="U32" s="1">
        <v>11.156313938362842</v>
      </c>
      <c r="V32" s="1">
        <v>10.378630162496846</v>
      </c>
      <c r="W32" s="1">
        <v>9.1216559751487178</v>
      </c>
      <c r="X32" s="341"/>
      <c r="Y32" s="342"/>
      <c r="Z32" s="342"/>
      <c r="AA32" s="342"/>
      <c r="AB32" s="341">
        <v>13.578449790990801</v>
      </c>
      <c r="AC32" s="342"/>
      <c r="AD32" s="342"/>
      <c r="AE32" s="342"/>
      <c r="AF32" s="363">
        <v>15.200869282609196</v>
      </c>
      <c r="AI32" s="1" t="s">
        <v>1072</v>
      </c>
      <c r="AJ32" s="363"/>
      <c r="AK32" s="363"/>
      <c r="AL32" s="363"/>
      <c r="AM32" s="363">
        <v>11.48062212894642</v>
      </c>
      <c r="AN32" s="363"/>
      <c r="AO32" s="363"/>
      <c r="AP32" s="363"/>
      <c r="AQ32" s="363">
        <v>9.6778285178540226</v>
      </c>
      <c r="AR32" s="363"/>
      <c r="AS32" s="363"/>
      <c r="AT32" s="363"/>
      <c r="AU32" s="363">
        <v>9.9383793178658202</v>
      </c>
      <c r="AY32" s="363">
        <v>10.306992295791355</v>
      </c>
      <c r="AZ32" s="363"/>
      <c r="BA32" s="363"/>
      <c r="BB32" s="363"/>
      <c r="BC32" s="363">
        <v>7.0928341001270505</v>
      </c>
      <c r="BD32" s="363"/>
      <c r="BE32" s="363"/>
      <c r="BF32" s="363"/>
      <c r="BG32" s="363">
        <v>8.555119144682692</v>
      </c>
      <c r="BK32" s="363">
        <v>13.687612433567615</v>
      </c>
      <c r="BO32" s="363">
        <v>10.894152295119662</v>
      </c>
      <c r="BS32" s="363">
        <v>14.19257886586014</v>
      </c>
      <c r="BW32" s="363">
        <v>12.134045241183493</v>
      </c>
      <c r="BZ32" s="339">
        <v>14.19257886586014</v>
      </c>
      <c r="CA32" s="339"/>
      <c r="CB32" s="339"/>
      <c r="CC32" s="339"/>
      <c r="CD32" s="339">
        <v>12.134045241183493</v>
      </c>
      <c r="CE32" s="2233"/>
      <c r="CF32" s="449" t="s">
        <v>1023</v>
      </c>
      <c r="CG32" s="449">
        <v>17.010242179456416</v>
      </c>
      <c r="CH32" s="449">
        <v>14.19257886586014</v>
      </c>
      <c r="CI32" s="449">
        <v>12.134045241183493</v>
      </c>
    </row>
    <row r="33" spans="2:91">
      <c r="B33" s="339">
        <f t="shared" si="10"/>
        <v>19.415592272704448</v>
      </c>
      <c r="C33" s="339">
        <f t="shared" si="10"/>
        <v>19.415592272704448</v>
      </c>
      <c r="G33" s="339">
        <f>$AB33</f>
        <v>19.415592272704448</v>
      </c>
      <c r="K33" s="339">
        <f>$AB33</f>
        <v>19.415592272704448</v>
      </c>
      <c r="O33" s="339">
        <f>$AB33</f>
        <v>19.415592272704448</v>
      </c>
      <c r="S33" s="339">
        <f>$AB33</f>
        <v>19.415592272704448</v>
      </c>
      <c r="T33" s="340">
        <v>26.781320354396819</v>
      </c>
      <c r="U33" s="1">
        <v>21.09516827278669</v>
      </c>
      <c r="V33" s="1">
        <v>18.793600315489805</v>
      </c>
      <c r="W33" s="1">
        <v>16.679052039012458</v>
      </c>
      <c r="X33" s="341"/>
      <c r="Y33" s="342"/>
      <c r="Z33" s="342"/>
      <c r="AA33" s="342"/>
      <c r="AB33" s="341">
        <v>19.415592272704448</v>
      </c>
      <c r="AC33" s="342"/>
      <c r="AD33" s="342"/>
      <c r="AE33" s="342"/>
      <c r="AF33" s="363">
        <v>18.446067600547511</v>
      </c>
      <c r="AI33" s="66" t="s">
        <v>1367</v>
      </c>
      <c r="AJ33" s="363"/>
      <c r="AK33" s="363"/>
      <c r="AL33" s="363"/>
      <c r="AM33" s="363">
        <v>12.585623203735974</v>
      </c>
      <c r="AN33" s="363"/>
      <c r="AO33" s="363"/>
      <c r="AP33" s="363"/>
      <c r="AQ33" s="363">
        <v>12.326845868866293</v>
      </c>
      <c r="AR33" s="363"/>
      <c r="AS33" s="363"/>
      <c r="AT33" s="363"/>
      <c r="AU33" s="363">
        <v>14.733115979960184</v>
      </c>
      <c r="AY33" s="363">
        <v>10.24701411120405</v>
      </c>
      <c r="AZ33" s="363"/>
      <c r="BA33" s="363"/>
      <c r="BB33" s="363"/>
      <c r="BC33" s="363">
        <v>9.3641906444181071</v>
      </c>
      <c r="BD33" s="363"/>
      <c r="BE33" s="363"/>
      <c r="BF33" s="363"/>
      <c r="BG33" s="363">
        <v>11.380909906523483</v>
      </c>
      <c r="BK33" s="363">
        <v>12.711342304798389</v>
      </c>
      <c r="BO33" s="363">
        <v>10.531571096073453</v>
      </c>
      <c r="BS33" s="363">
        <v>13.298722447456383</v>
      </c>
      <c r="BW33" s="363">
        <v>12.453373990766856</v>
      </c>
      <c r="BZ33" s="339">
        <v>13.298722447456383</v>
      </c>
      <c r="CA33" s="339"/>
      <c r="CB33" s="339"/>
      <c r="CC33" s="339"/>
      <c r="CD33" s="339">
        <v>12.453373990766856</v>
      </c>
      <c r="CE33" s="2233"/>
      <c r="CF33" s="449" t="s">
        <v>1373</v>
      </c>
      <c r="CG33" s="449">
        <v>13.895206489083593</v>
      </c>
      <c r="CH33" s="449">
        <v>13.298722447456383</v>
      </c>
      <c r="CI33" s="449">
        <v>12.453373990766856</v>
      </c>
    </row>
    <row r="34" spans="2:91">
      <c r="B34" s="339"/>
      <c r="C34" s="339"/>
      <c r="G34" s="339"/>
      <c r="K34" s="339"/>
      <c r="O34" s="339"/>
      <c r="S34" s="339"/>
      <c r="T34" s="340"/>
      <c r="X34" s="341"/>
      <c r="Y34" s="342"/>
      <c r="Z34" s="342"/>
      <c r="AA34" s="342"/>
      <c r="AB34" s="453">
        <f>AB33</f>
        <v>19.415592272704448</v>
      </c>
      <c r="AC34" s="342"/>
      <c r="AD34" s="342"/>
      <c r="AE34" s="342"/>
      <c r="AF34" s="453">
        <f>AF33</f>
        <v>18.446067600547511</v>
      </c>
      <c r="AH34" s="97"/>
      <c r="AI34" s="452" t="s">
        <v>1368</v>
      </c>
      <c r="AJ34" s="363"/>
      <c r="AK34" s="363"/>
      <c r="AL34" s="363"/>
      <c r="AM34" s="363">
        <v>25.57194455912223</v>
      </c>
      <c r="AN34" s="363"/>
      <c r="AO34" s="363"/>
      <c r="AP34" s="363"/>
      <c r="AQ34" s="363">
        <v>21.913523273847161</v>
      </c>
      <c r="AR34" s="363"/>
      <c r="AS34" s="363"/>
      <c r="AT34" s="363"/>
      <c r="AU34" s="363">
        <v>27.082143688365619</v>
      </c>
      <c r="AY34" s="363">
        <v>22.282408727091461</v>
      </c>
      <c r="AZ34" s="363"/>
      <c r="BA34" s="363"/>
      <c r="BB34" s="363"/>
      <c r="BC34" s="363">
        <v>15.67655179514356</v>
      </c>
      <c r="BD34" s="363"/>
      <c r="BE34" s="363"/>
      <c r="BF34" s="363"/>
      <c r="BG34" s="363">
        <v>17.016718478597159</v>
      </c>
      <c r="BK34" s="363">
        <v>24.830057321105947</v>
      </c>
      <c r="BO34" s="363">
        <v>23.658548787625552</v>
      </c>
      <c r="BS34" s="363">
        <v>22.017777064220073</v>
      </c>
      <c r="BW34" s="363">
        <v>18.569328339401054</v>
      </c>
      <c r="BZ34" s="339">
        <v>22.017777064220073</v>
      </c>
      <c r="CA34" s="339"/>
      <c r="CB34" s="339"/>
      <c r="CC34" s="339"/>
      <c r="CD34" s="339">
        <v>18.569328339401054</v>
      </c>
      <c r="CE34" s="2233"/>
      <c r="CF34" s="449" t="s">
        <v>1372</v>
      </c>
      <c r="CG34" s="449">
        <v>25.376082527003614</v>
      </c>
      <c r="CH34" s="449">
        <v>22.017777064220073</v>
      </c>
      <c r="CI34" s="449">
        <v>18.569328339401054</v>
      </c>
    </row>
    <row r="35" spans="2:91">
      <c r="B35" s="339">
        <f>$AB35</f>
        <v>12.78230714401883</v>
      </c>
      <c r="C35" s="339">
        <f>$AB35</f>
        <v>12.78230714401883</v>
      </c>
      <c r="G35" s="339">
        <f>$AB35</f>
        <v>12.78230714401883</v>
      </c>
      <c r="K35" s="339">
        <f>$AB35</f>
        <v>12.78230714401883</v>
      </c>
      <c r="O35" s="339">
        <f>$AB35</f>
        <v>12.78230714401883</v>
      </c>
      <c r="S35" s="339">
        <f>$AB35</f>
        <v>12.78230714401883</v>
      </c>
      <c r="T35" s="340">
        <v>16.447734424867445</v>
      </c>
      <c r="U35" s="1">
        <v>15.191739809217109</v>
      </c>
      <c r="V35" s="1">
        <v>14.15939258251961</v>
      </c>
      <c r="W35" s="1">
        <v>13.488240625515456</v>
      </c>
      <c r="X35" s="341"/>
      <c r="Y35" s="342"/>
      <c r="Z35" s="342"/>
      <c r="AA35" s="342"/>
      <c r="AB35" s="341">
        <v>12.78230714401883</v>
      </c>
      <c r="AC35" s="342"/>
      <c r="AD35" s="342"/>
      <c r="AE35" s="342"/>
      <c r="AF35" s="363">
        <v>12.954261070865252</v>
      </c>
      <c r="AI35" s="1" t="s">
        <v>589</v>
      </c>
      <c r="AJ35" s="363"/>
      <c r="AK35" s="363"/>
      <c r="AL35" s="363"/>
      <c r="AM35" s="363">
        <v>11.616882816597101</v>
      </c>
      <c r="AN35" s="363"/>
      <c r="AO35" s="363"/>
      <c r="AP35" s="363"/>
      <c r="AQ35" s="363">
        <v>10.885933745304667</v>
      </c>
      <c r="AR35" s="363"/>
      <c r="AS35" s="363"/>
      <c r="AT35" s="363"/>
      <c r="AU35" s="363"/>
      <c r="AY35" s="363"/>
      <c r="AZ35" s="363"/>
      <c r="BA35" s="363"/>
      <c r="BB35" s="363"/>
      <c r="BC35" s="363"/>
      <c r="BD35" s="363"/>
      <c r="BE35" s="363"/>
      <c r="BF35" s="363"/>
      <c r="BG35" s="363"/>
      <c r="BK35" s="363"/>
      <c r="BO35" s="363"/>
      <c r="BS35" s="363"/>
      <c r="BW35" s="363"/>
      <c r="BZ35" s="339"/>
      <c r="CA35" s="339"/>
      <c r="CB35" s="339"/>
      <c r="CC35" s="339"/>
      <c r="CD35" s="339"/>
      <c r="CF35" s="449"/>
      <c r="CG35" s="449"/>
      <c r="CH35" s="449"/>
      <c r="CI35" s="449"/>
    </row>
    <row r="36" spans="2:91" ht="14.4" thickBot="1">
      <c r="B36" s="339">
        <f>$AB36</f>
        <v>12.78230714401883</v>
      </c>
      <c r="C36" s="339">
        <f>$AB36</f>
        <v>12.78230714401883</v>
      </c>
      <c r="G36" s="339">
        <f>$AB36</f>
        <v>12.78230714401883</v>
      </c>
      <c r="K36" s="339">
        <f>$AB36</f>
        <v>12.78230714401883</v>
      </c>
      <c r="O36" s="339">
        <f>$AB36</f>
        <v>12.78230714401883</v>
      </c>
      <c r="S36" s="339">
        <f>$AB36</f>
        <v>12.78230714401883</v>
      </c>
      <c r="T36" s="340">
        <v>16.447734424867445</v>
      </c>
      <c r="U36" s="1">
        <v>15.191739809217109</v>
      </c>
      <c r="V36" s="1">
        <v>14.15939258251961</v>
      </c>
      <c r="W36" s="1">
        <v>13.488240625515456</v>
      </c>
      <c r="X36" s="341"/>
      <c r="Y36" s="342"/>
      <c r="Z36" s="342"/>
      <c r="AA36" s="342"/>
      <c r="AB36" s="341">
        <v>12.78230714401883</v>
      </c>
      <c r="AC36" s="342"/>
      <c r="AD36" s="342"/>
      <c r="AE36" s="342"/>
      <c r="AF36" s="363">
        <v>12.954261070865252</v>
      </c>
      <c r="AI36" s="1" t="s">
        <v>590</v>
      </c>
      <c r="AJ36" s="363"/>
      <c r="AK36" s="363"/>
      <c r="AL36" s="363"/>
      <c r="AM36" s="363">
        <v>14.095796130417591</v>
      </c>
      <c r="AN36" s="363"/>
      <c r="AO36" s="363"/>
      <c r="AP36" s="363"/>
      <c r="AQ36" s="363">
        <v>13.247145662777937</v>
      </c>
      <c r="AR36" s="363"/>
      <c r="AS36" s="363"/>
      <c r="AT36" s="363"/>
      <c r="AU36" s="363">
        <v>15.344625981040066</v>
      </c>
      <c r="AY36" s="363">
        <v>14.407272751566145</v>
      </c>
      <c r="AZ36" s="363"/>
      <c r="BA36" s="363"/>
      <c r="BB36" s="363"/>
      <c r="BC36" s="363">
        <v>11.883418120125516</v>
      </c>
      <c r="BD36" s="363"/>
      <c r="BE36" s="363"/>
      <c r="BF36" s="363"/>
      <c r="BG36" s="363">
        <v>10.907280063478185</v>
      </c>
      <c r="BK36" s="363">
        <v>12.89315731287248</v>
      </c>
      <c r="BO36" s="363">
        <v>14.204442828768434</v>
      </c>
      <c r="BS36" s="363">
        <v>16.611860428169937</v>
      </c>
      <c r="BW36" s="363">
        <v>15.941581995067329</v>
      </c>
      <c r="BZ36" s="339">
        <v>16.611860428169937</v>
      </c>
      <c r="CA36" s="339"/>
      <c r="CB36" s="339"/>
      <c r="CC36" s="339"/>
      <c r="CD36" s="339">
        <v>15.941581995067329</v>
      </c>
      <c r="CE36" s="2233"/>
      <c r="CF36" s="450" t="s">
        <v>815</v>
      </c>
      <c r="CG36" s="450">
        <v>17.160142763423266</v>
      </c>
      <c r="CH36" s="450">
        <v>16.611860428169937</v>
      </c>
      <c r="CI36" s="450">
        <v>15.941581995067329</v>
      </c>
    </row>
    <row r="37" spans="2:91">
      <c r="B37" s="48"/>
      <c r="C37" s="48"/>
      <c r="G37" s="48"/>
      <c r="K37" s="48"/>
      <c r="O37" s="48"/>
      <c r="S37" s="48"/>
      <c r="T37" s="48"/>
      <c r="U37" s="338"/>
      <c r="V37" s="338"/>
      <c r="W37" s="338"/>
      <c r="X37" s="48"/>
      <c r="Y37" s="338"/>
      <c r="Z37" s="338"/>
      <c r="AA37" s="338"/>
      <c r="AB37" s="48"/>
      <c r="AC37" s="48"/>
      <c r="AD37" s="48"/>
      <c r="AE37" s="48"/>
      <c r="AF37" s="48"/>
      <c r="AI37" s="2" t="s">
        <v>412</v>
      </c>
      <c r="BZ37" s="2234"/>
      <c r="CA37" s="2234"/>
      <c r="CB37" s="2234"/>
      <c r="CC37" s="2234"/>
      <c r="CD37" s="2234"/>
      <c r="CI37" s="437"/>
      <c r="CK37" s="1784" t="str">
        <f>+CK3</f>
        <v>FY26E</v>
      </c>
    </row>
    <row r="38" spans="2:91">
      <c r="B38" s="343">
        <f t="shared" ref="B38:C41" si="11">$AB38</f>
        <v>0</v>
      </c>
      <c r="C38" s="343">
        <f t="shared" si="11"/>
        <v>0</v>
      </c>
      <c r="G38" s="343">
        <f>$AB38</f>
        <v>0</v>
      </c>
      <c r="K38" s="343">
        <f>$AB38</f>
        <v>0</v>
      </c>
      <c r="O38" s="343">
        <f>$AB38</f>
        <v>0</v>
      </c>
      <c r="S38" s="343">
        <f>$AB38</f>
        <v>0</v>
      </c>
      <c r="T38" s="344">
        <v>-0.1</v>
      </c>
      <c r="U38" s="345">
        <v>0</v>
      </c>
      <c r="V38" s="345">
        <v>0</v>
      </c>
      <c r="W38" s="345">
        <v>0</v>
      </c>
      <c r="X38" s="344"/>
      <c r="Y38" s="345">
        <v>0</v>
      </c>
      <c r="Z38" s="345">
        <v>0</v>
      </c>
      <c r="AA38" s="345">
        <v>0</v>
      </c>
      <c r="AB38" s="344"/>
      <c r="AC38" s="344"/>
      <c r="AD38" s="344"/>
      <c r="AE38" s="344"/>
      <c r="AF38" s="344"/>
      <c r="AJ38" s="344"/>
      <c r="AK38" s="344"/>
      <c r="AL38" s="344"/>
      <c r="AM38" s="344"/>
      <c r="AN38" s="344"/>
      <c r="AO38" s="344"/>
      <c r="AP38" s="344"/>
      <c r="AQ38" s="344"/>
      <c r="AR38" s="344"/>
      <c r="AS38" s="344"/>
      <c r="AT38" s="344"/>
      <c r="AU38" s="344"/>
      <c r="AY38" s="344"/>
      <c r="AZ38" s="344"/>
      <c r="BA38" s="344"/>
      <c r="BB38" s="344"/>
      <c r="BC38" s="344"/>
      <c r="BD38" s="344"/>
      <c r="BE38" s="344"/>
      <c r="BF38" s="344"/>
      <c r="BG38" s="344"/>
      <c r="BK38" s="344"/>
      <c r="BO38" s="344"/>
      <c r="BS38" s="344"/>
      <c r="BW38" s="344"/>
      <c r="BZ38" s="343"/>
      <c r="CA38" s="343"/>
      <c r="CB38" s="343"/>
      <c r="CC38" s="343"/>
      <c r="CD38" s="343"/>
      <c r="CI38" s="437"/>
      <c r="CJ38" s="2158" t="s">
        <v>1438</v>
      </c>
      <c r="CK38" s="446" t="s">
        <v>1123</v>
      </c>
      <c r="CL38" s="446" t="s">
        <v>1124</v>
      </c>
    </row>
    <row r="39" spans="2:91">
      <c r="B39" s="343">
        <f t="shared" si="11"/>
        <v>0</v>
      </c>
      <c r="C39" s="343">
        <f t="shared" si="11"/>
        <v>0</v>
      </c>
      <c r="G39" s="343">
        <f>$AB39</f>
        <v>0</v>
      </c>
      <c r="K39" s="343">
        <f>$AB39</f>
        <v>0</v>
      </c>
      <c r="O39" s="343">
        <f>$AB39</f>
        <v>0</v>
      </c>
      <c r="S39" s="343">
        <f>$AB39</f>
        <v>0</v>
      </c>
      <c r="T39" s="344">
        <v>-0.1</v>
      </c>
      <c r="U39" s="345">
        <v>0</v>
      </c>
      <c r="V39" s="345">
        <v>0</v>
      </c>
      <c r="W39" s="345">
        <v>0</v>
      </c>
      <c r="X39" s="344"/>
      <c r="Y39" s="345">
        <v>0</v>
      </c>
      <c r="Z39" s="345">
        <v>0</v>
      </c>
      <c r="AA39" s="345">
        <v>0</v>
      </c>
      <c r="AB39" s="344">
        <v>0</v>
      </c>
      <c r="AC39" s="344"/>
      <c r="AD39" s="344"/>
      <c r="AE39" s="344"/>
      <c r="AF39" s="344">
        <v>0</v>
      </c>
      <c r="AI39" s="1" t="s">
        <v>576</v>
      </c>
      <c r="AJ39" s="344"/>
      <c r="AK39" s="344"/>
      <c r="AL39" s="344"/>
      <c r="AM39" s="344">
        <v>0.2</v>
      </c>
      <c r="AN39" s="344">
        <v>0.2</v>
      </c>
      <c r="AO39" s="344">
        <v>0.2</v>
      </c>
      <c r="AP39" s="344">
        <v>0.2</v>
      </c>
      <c r="AQ39" s="344">
        <v>0.14000000000000001</v>
      </c>
      <c r="AR39" s="344">
        <v>0.2</v>
      </c>
      <c r="AS39" s="344">
        <v>0.2</v>
      </c>
      <c r="AT39" s="344">
        <v>0.2</v>
      </c>
      <c r="AU39" s="344">
        <v>0.05</v>
      </c>
      <c r="AY39" s="344">
        <v>0.1</v>
      </c>
      <c r="AZ39" s="344">
        <v>0.1</v>
      </c>
      <c r="BA39" s="344">
        <v>0.1</v>
      </c>
      <c r="BB39" s="344">
        <v>0.1</v>
      </c>
      <c r="BC39" s="344">
        <v>0.5</v>
      </c>
      <c r="BD39" s="344">
        <v>0.5</v>
      </c>
      <c r="BE39" s="344">
        <v>0.5</v>
      </c>
      <c r="BF39" s="344">
        <v>0.5</v>
      </c>
      <c r="BG39" s="344">
        <v>0.2</v>
      </c>
      <c r="BH39" s="570">
        <v>0.2</v>
      </c>
      <c r="BI39" s="570">
        <v>0.2</v>
      </c>
      <c r="BJ39" s="570">
        <v>0.2</v>
      </c>
      <c r="BK39" s="344">
        <v>-0.25</v>
      </c>
      <c r="BL39" s="570">
        <v>0.05</v>
      </c>
      <c r="BM39" s="570">
        <v>0.05</v>
      </c>
      <c r="BN39" s="570">
        <v>0.05</v>
      </c>
      <c r="BO39" s="344">
        <v>0.05</v>
      </c>
      <c r="BP39" s="570">
        <v>0.1</v>
      </c>
      <c r="BQ39" s="570">
        <v>0.1</v>
      </c>
      <c r="BR39" s="570">
        <v>0.1</v>
      </c>
      <c r="BS39" s="344">
        <v>0.05</v>
      </c>
      <c r="BT39" s="570">
        <v>0.1</v>
      </c>
      <c r="BU39" s="570">
        <v>0.1</v>
      </c>
      <c r="BV39" s="570">
        <v>0.1</v>
      </c>
      <c r="BW39" s="344">
        <v>0.05</v>
      </c>
      <c r="BZ39" s="343">
        <v>0.05</v>
      </c>
      <c r="CA39" s="343"/>
      <c r="CB39" s="343"/>
      <c r="CC39" s="343"/>
      <c r="CD39" s="343">
        <v>0.05</v>
      </c>
      <c r="CI39" s="437"/>
      <c r="CJ39" s="1909" t="str">
        <f>AI39&amp;" at "&amp;TEXT(BS39, "0%")&amp;" premium"</f>
        <v>Macquarie Capital at 5% premium</v>
      </c>
      <c r="CK39" s="500">
        <f>BS31</f>
        <v>15.881510175156279</v>
      </c>
      <c r="CL39" s="500">
        <f>BS47</f>
        <v>16.675585683914093</v>
      </c>
    </row>
    <row r="40" spans="2:91">
      <c r="B40" s="343">
        <f t="shared" si="11"/>
        <v>0.1</v>
      </c>
      <c r="C40" s="343">
        <f t="shared" si="11"/>
        <v>0.1</v>
      </c>
      <c r="G40" s="343">
        <f>$AB40</f>
        <v>0.1</v>
      </c>
      <c r="K40" s="343">
        <f>$AB40</f>
        <v>0.1</v>
      </c>
      <c r="O40" s="343">
        <f>$AB40</f>
        <v>0.1</v>
      </c>
      <c r="S40" s="343">
        <f>$AB40</f>
        <v>0.1</v>
      </c>
      <c r="T40" s="344">
        <v>0.2</v>
      </c>
      <c r="U40" s="346">
        <v>0.1</v>
      </c>
      <c r="V40" s="346">
        <v>0.1</v>
      </c>
      <c r="W40" s="346">
        <v>0.1</v>
      </c>
      <c r="X40" s="344"/>
      <c r="Y40" s="346">
        <v>0.1</v>
      </c>
      <c r="Z40" s="346">
        <v>0.1</v>
      </c>
      <c r="AA40" s="346">
        <v>0.1</v>
      </c>
      <c r="AB40" s="344">
        <v>0.1</v>
      </c>
      <c r="AC40" s="347"/>
      <c r="AD40" s="347"/>
      <c r="AE40" s="347"/>
      <c r="AF40" s="347">
        <f>AF86</f>
        <v>9.9000000000000005E-2</v>
      </c>
      <c r="AI40" s="1" t="s">
        <v>1072</v>
      </c>
      <c r="AJ40" s="344"/>
      <c r="AK40" s="344"/>
      <c r="AL40" s="344"/>
      <c r="AM40" s="347">
        <f>AM86</f>
        <v>0.25928351045594789</v>
      </c>
      <c r="AN40" s="344"/>
      <c r="AO40" s="344"/>
      <c r="AP40" s="344"/>
      <c r="AQ40" s="347">
        <f>AQ86</f>
        <v>0.34404486505432885</v>
      </c>
      <c r="AR40" s="347"/>
      <c r="AS40" s="347"/>
      <c r="AT40" s="347"/>
      <c r="AU40" s="347">
        <f>AU86</f>
        <v>0</v>
      </c>
      <c r="AY40" s="347">
        <f>AY86</f>
        <v>6.5374076721467708E-2</v>
      </c>
      <c r="AZ40" s="347"/>
      <c r="BA40" s="347"/>
      <c r="BB40" s="347"/>
      <c r="BC40" s="1372">
        <f>BC86</f>
        <v>0.2</v>
      </c>
      <c r="BD40" s="347"/>
      <c r="BE40" s="347"/>
      <c r="BF40" s="347"/>
      <c r="BG40" s="347">
        <f>BG86</f>
        <v>0.25</v>
      </c>
      <c r="BK40" s="347">
        <f>BK86</f>
        <v>0</v>
      </c>
      <c r="BO40" s="347">
        <f>BO86</f>
        <v>0</v>
      </c>
      <c r="BS40" s="599">
        <v>-0.1</v>
      </c>
      <c r="BT40" s="570">
        <v>-0.1</v>
      </c>
      <c r="BU40" s="570">
        <v>-0.1</v>
      </c>
      <c r="BV40" s="570">
        <v>-0.1</v>
      </c>
      <c r="BW40" s="599">
        <v>-0.1</v>
      </c>
      <c r="BZ40" s="343">
        <v>-0.1</v>
      </c>
      <c r="CA40" s="343"/>
      <c r="CB40" s="343"/>
      <c r="CC40" s="343"/>
      <c r="CD40" s="343">
        <v>-0.1</v>
      </c>
      <c r="CI40" s="437"/>
      <c r="CJ40" s="1909" t="str">
        <f>AI40&amp;" at "&amp;TEXT(BS40, "0%")&amp;" premium"</f>
        <v>Commodities and Global Markets at -10% premium</v>
      </c>
      <c r="CK40" s="500">
        <f>BS32</f>
        <v>14.19257886586014</v>
      </c>
      <c r="CL40" s="500">
        <f>BS48</f>
        <v>12.773320979274127</v>
      </c>
    </row>
    <row r="41" spans="2:91">
      <c r="B41" s="343">
        <f t="shared" si="11"/>
        <v>-0.1</v>
      </c>
      <c r="C41" s="343">
        <f t="shared" si="11"/>
        <v>-0.1</v>
      </c>
      <c r="G41" s="343">
        <f>$AB41</f>
        <v>-0.1</v>
      </c>
      <c r="K41" s="343">
        <f>$AB41</f>
        <v>-0.1</v>
      </c>
      <c r="O41" s="343">
        <f>$AB41</f>
        <v>-0.1</v>
      </c>
      <c r="S41" s="343">
        <f>$AB41</f>
        <v>-0.1</v>
      </c>
      <c r="T41" s="344">
        <v>0.1</v>
      </c>
      <c r="U41" s="346">
        <v>0.2</v>
      </c>
      <c r="V41" s="346">
        <v>0.2</v>
      </c>
      <c r="W41" s="346">
        <v>0.2</v>
      </c>
      <c r="X41" s="344"/>
      <c r="Y41" s="346">
        <v>0.2</v>
      </c>
      <c r="Z41" s="346">
        <v>0.2</v>
      </c>
      <c r="AA41" s="346">
        <v>0.2</v>
      </c>
      <c r="AB41" s="344">
        <v>-0.1</v>
      </c>
      <c r="AC41" s="346"/>
      <c r="AD41" s="346"/>
      <c r="AE41" s="346"/>
      <c r="AF41" s="344">
        <v>0.1</v>
      </c>
      <c r="AI41" s="66" t="s">
        <v>1367</v>
      </c>
      <c r="AJ41" s="344">
        <v>0.1</v>
      </c>
      <c r="AK41" s="344">
        <v>0.1</v>
      </c>
      <c r="AL41" s="344">
        <v>0.1</v>
      </c>
      <c r="AM41" s="344">
        <v>0.05</v>
      </c>
      <c r="AN41" s="344">
        <v>0.05</v>
      </c>
      <c r="AO41" s="344">
        <v>0.05</v>
      </c>
      <c r="AP41" s="344">
        <v>0.05</v>
      </c>
      <c r="AQ41" s="344">
        <v>0.2</v>
      </c>
      <c r="AR41" s="344">
        <v>0.05</v>
      </c>
      <c r="AS41" s="344">
        <v>0.05</v>
      </c>
      <c r="AT41" s="344">
        <v>0.05</v>
      </c>
      <c r="AU41" s="344">
        <v>0.05</v>
      </c>
      <c r="AY41" s="344">
        <v>0.1</v>
      </c>
      <c r="AZ41" s="344">
        <v>0.05</v>
      </c>
      <c r="BA41" s="344">
        <v>0.05</v>
      </c>
      <c r="BB41" s="344">
        <v>0.05</v>
      </c>
      <c r="BC41" s="1371">
        <v>0.2</v>
      </c>
      <c r="BD41" s="344">
        <v>0.2</v>
      </c>
      <c r="BE41" s="344">
        <v>0.2</v>
      </c>
      <c r="BF41" s="344">
        <v>0.2</v>
      </c>
      <c r="BG41" s="599">
        <v>0.25</v>
      </c>
      <c r="BH41" s="570">
        <v>0.2</v>
      </c>
      <c r="BI41" s="570">
        <v>0.2</v>
      </c>
      <c r="BJ41" s="570">
        <v>0.2</v>
      </c>
      <c r="BK41" s="599">
        <v>0</v>
      </c>
      <c r="BL41" s="570">
        <v>0.1</v>
      </c>
      <c r="BM41" s="570">
        <v>0.1</v>
      </c>
      <c r="BN41" s="570">
        <v>0.1</v>
      </c>
      <c r="BO41" s="599">
        <v>0</v>
      </c>
      <c r="BP41" s="570">
        <v>0.1</v>
      </c>
      <c r="BQ41" s="570">
        <v>0.1</v>
      </c>
      <c r="BR41" s="570">
        <v>0.1</v>
      </c>
      <c r="BS41" s="599">
        <v>0</v>
      </c>
      <c r="BT41" s="570">
        <v>0.1</v>
      </c>
      <c r="BU41" s="570">
        <v>0.1</v>
      </c>
      <c r="BV41" s="570">
        <v>0.1</v>
      </c>
      <c r="BW41" s="599">
        <v>0</v>
      </c>
      <c r="BZ41" s="343">
        <v>0</v>
      </c>
      <c r="CA41" s="343"/>
      <c r="CB41" s="343"/>
      <c r="CC41" s="343"/>
      <c r="CD41" s="343">
        <v>0</v>
      </c>
      <c r="CI41" s="437"/>
      <c r="CJ41" s="1909" t="str">
        <f>AI41&amp;" at "&amp;TEXT(BS41, "0%")&amp;" premium"</f>
        <v>MAM - Public Markets at 0% premium</v>
      </c>
      <c r="CK41" s="500">
        <f>BS33</f>
        <v>13.298722447456383</v>
      </c>
      <c r="CL41" s="500">
        <f>BS49</f>
        <v>13.298722447456383</v>
      </c>
    </row>
    <row r="42" spans="2:91">
      <c r="B42" s="343"/>
      <c r="C42" s="343"/>
      <c r="G42" s="343"/>
      <c r="K42" s="343"/>
      <c r="O42" s="343"/>
      <c r="S42" s="343"/>
      <c r="T42" s="344"/>
      <c r="U42" s="346"/>
      <c r="V42" s="346"/>
      <c r="W42" s="346"/>
      <c r="X42" s="344"/>
      <c r="Y42" s="346"/>
      <c r="Z42" s="346"/>
      <c r="AA42" s="346"/>
      <c r="AB42" s="344">
        <v>-0.1</v>
      </c>
      <c r="AC42" s="346"/>
      <c r="AD42" s="346"/>
      <c r="AE42" s="346"/>
      <c r="AF42" s="344">
        <v>0</v>
      </c>
      <c r="AI42" s="452" t="s">
        <v>1368</v>
      </c>
      <c r="AJ42" s="344"/>
      <c r="AK42" s="344"/>
      <c r="AL42" s="344"/>
      <c r="AM42" s="344">
        <v>0.21</v>
      </c>
      <c r="AN42" s="344">
        <v>0.21</v>
      </c>
      <c r="AO42" s="344">
        <v>0.21</v>
      </c>
      <c r="AP42" s="344">
        <v>0.21</v>
      </c>
      <c r="AQ42" s="344">
        <v>0.21</v>
      </c>
      <c r="AR42" s="344">
        <v>0.21</v>
      </c>
      <c r="AS42" s="344">
        <v>0.21</v>
      </c>
      <c r="AT42" s="344">
        <v>0.21</v>
      </c>
      <c r="AU42" s="344">
        <v>0</v>
      </c>
      <c r="AY42" s="344">
        <v>0.05</v>
      </c>
      <c r="AZ42" s="344"/>
      <c r="BA42" s="344"/>
      <c r="BB42" s="344"/>
      <c r="BC42" s="1371">
        <v>0.6</v>
      </c>
      <c r="BD42" s="344">
        <v>0.6</v>
      </c>
      <c r="BE42" s="344">
        <v>0.6</v>
      </c>
      <c r="BF42" s="344">
        <v>0.6</v>
      </c>
      <c r="BG42" s="599">
        <v>0.5</v>
      </c>
      <c r="BH42" s="570">
        <v>0.6</v>
      </c>
      <c r="BI42" s="570">
        <v>0.6</v>
      </c>
      <c r="BJ42" s="570">
        <v>0.6</v>
      </c>
      <c r="BK42" s="599">
        <v>0</v>
      </c>
      <c r="BL42" s="570">
        <v>0.2</v>
      </c>
      <c r="BM42" s="570">
        <v>0.2</v>
      </c>
      <c r="BN42" s="570">
        <v>0.2</v>
      </c>
      <c r="BO42" s="599">
        <v>0.1</v>
      </c>
      <c r="BP42" s="570">
        <v>0.15</v>
      </c>
      <c r="BQ42" s="570">
        <v>0.15</v>
      </c>
      <c r="BR42" s="570">
        <v>0.15</v>
      </c>
      <c r="BS42" s="344">
        <v>0.1</v>
      </c>
      <c r="BT42" s="570">
        <v>0.1</v>
      </c>
      <c r="BU42" s="570">
        <v>0.1</v>
      </c>
      <c r="BV42" s="570">
        <v>0.1</v>
      </c>
      <c r="BW42" s="344">
        <v>0.1</v>
      </c>
      <c r="BZ42" s="343">
        <v>0.1</v>
      </c>
      <c r="CA42" s="343"/>
      <c r="CB42" s="343"/>
      <c r="CC42" s="343"/>
      <c r="CD42" s="343">
        <v>0.1</v>
      </c>
      <c r="CJ42" s="1909" t="str">
        <f>AI42&amp;" at "&amp;TEXT(BS42, "0%")&amp;" premium"</f>
        <v>MAM - Private Markets at 10% premium</v>
      </c>
      <c r="CK42" s="500">
        <f>BS34</f>
        <v>22.017777064220073</v>
      </c>
      <c r="CL42" s="500">
        <f>BS50</f>
        <v>24.219554770642084</v>
      </c>
    </row>
    <row r="43" spans="2:91">
      <c r="B43" s="343">
        <f>$AB43</f>
        <v>0.1</v>
      </c>
      <c r="C43" s="343">
        <f>$AB43</f>
        <v>0.1</v>
      </c>
      <c r="G43" s="343">
        <f>$AB43</f>
        <v>0.1</v>
      </c>
      <c r="K43" s="343">
        <f>$AB43</f>
        <v>0.1</v>
      </c>
      <c r="O43" s="343">
        <f>$AB43</f>
        <v>0.1</v>
      </c>
      <c r="S43" s="343">
        <f>$AB43</f>
        <v>0.1</v>
      </c>
      <c r="T43" s="344">
        <v>0.1</v>
      </c>
      <c r="U43" s="344">
        <v>0</v>
      </c>
      <c r="V43" s="344">
        <v>0</v>
      </c>
      <c r="W43" s="344">
        <v>0</v>
      </c>
      <c r="X43" s="344"/>
      <c r="Y43" s="344">
        <v>0</v>
      </c>
      <c r="Z43" s="344">
        <v>0</v>
      </c>
      <c r="AA43" s="344">
        <v>0</v>
      </c>
      <c r="AB43" s="344">
        <v>0.1</v>
      </c>
      <c r="AC43" s="344"/>
      <c r="AD43" s="344"/>
      <c r="AE43" s="344"/>
      <c r="AF43" s="344">
        <v>0</v>
      </c>
      <c r="AI43" s="1" t="s">
        <v>589</v>
      </c>
      <c r="AJ43" s="344"/>
      <c r="AK43" s="344"/>
      <c r="AL43" s="344"/>
      <c r="AM43" s="344">
        <v>0</v>
      </c>
      <c r="AN43" s="344"/>
      <c r="AO43" s="344"/>
      <c r="AP43" s="344"/>
      <c r="AQ43" s="344">
        <v>0</v>
      </c>
      <c r="AR43" s="344">
        <v>0</v>
      </c>
      <c r="AS43" s="344">
        <v>0</v>
      </c>
      <c r="AT43" s="344">
        <v>0</v>
      </c>
      <c r="AU43" s="344"/>
      <c r="AY43" s="344"/>
      <c r="AZ43" s="344"/>
      <c r="BA43" s="344"/>
      <c r="BB43" s="344"/>
      <c r="BC43" s="344"/>
      <c r="BD43" s="344"/>
      <c r="BE43" s="344"/>
      <c r="BF43" s="344"/>
      <c r="BG43" s="344"/>
      <c r="BK43" s="344"/>
      <c r="BO43" s="344"/>
      <c r="BS43" s="344"/>
      <c r="BW43" s="344"/>
      <c r="BZ43" s="343">
        <v>0</v>
      </c>
      <c r="CA43" s="343"/>
      <c r="CB43" s="343"/>
      <c r="CC43" s="343"/>
      <c r="CD43" s="343">
        <v>0</v>
      </c>
      <c r="CJ43" s="1910" t="str">
        <f>+AI44&amp;" at "&amp;TEXT(BS44,"0%")&amp;" premium"</f>
        <v>Banking and Financial Services at 10% premium</v>
      </c>
      <c r="CK43" s="1385">
        <f>+BS36</f>
        <v>16.611860428169937</v>
      </c>
      <c r="CL43" s="1385">
        <f>+BS52</f>
        <v>18.273046470986934</v>
      </c>
      <c r="CM43" s="570"/>
    </row>
    <row r="44" spans="2:91">
      <c r="B44" s="343">
        <f>$AB44</f>
        <v>0</v>
      </c>
      <c r="C44" s="343">
        <f>$AB44</f>
        <v>0</v>
      </c>
      <c r="G44" s="343">
        <f>$AB44</f>
        <v>0</v>
      </c>
      <c r="K44" s="343">
        <f>$AB44</f>
        <v>0</v>
      </c>
      <c r="O44" s="343">
        <f>$AB44</f>
        <v>0</v>
      </c>
      <c r="S44" s="343">
        <f>$AB44</f>
        <v>0</v>
      </c>
      <c r="T44" s="344">
        <v>0</v>
      </c>
      <c r="U44" s="344">
        <v>0</v>
      </c>
      <c r="V44" s="344">
        <v>0</v>
      </c>
      <c r="W44" s="344">
        <v>0</v>
      </c>
      <c r="X44" s="344"/>
      <c r="Y44" s="344">
        <v>0</v>
      </c>
      <c r="Z44" s="344">
        <v>0</v>
      </c>
      <c r="AA44" s="344">
        <v>0</v>
      </c>
      <c r="AB44" s="344">
        <v>0</v>
      </c>
      <c r="AC44" s="344"/>
      <c r="AD44" s="344"/>
      <c r="AE44" s="344"/>
      <c r="AF44" s="344">
        <v>0</v>
      </c>
      <c r="AI44" s="1" t="s">
        <v>590</v>
      </c>
      <c r="AJ44" s="344"/>
      <c r="AK44" s="344"/>
      <c r="AL44" s="344"/>
      <c r="AM44" s="344">
        <v>0.15</v>
      </c>
      <c r="AN44" s="344">
        <v>0.15</v>
      </c>
      <c r="AO44" s="344">
        <v>0.15</v>
      </c>
      <c r="AP44" s="344">
        <v>0.15</v>
      </c>
      <c r="AQ44" s="344">
        <v>0.14000000000000001</v>
      </c>
      <c r="AR44" s="344">
        <v>0.15</v>
      </c>
      <c r="AS44" s="344">
        <v>0.15</v>
      </c>
      <c r="AT44" s="344">
        <v>0.15</v>
      </c>
      <c r="AU44" s="344">
        <v>0</v>
      </c>
      <c r="AY44" s="344">
        <v>0.06</v>
      </c>
      <c r="AZ44" s="344">
        <v>0.05</v>
      </c>
      <c r="BA44" s="344">
        <v>0.05</v>
      </c>
      <c r="BB44" s="344">
        <v>0.05</v>
      </c>
      <c r="BC44" s="1370">
        <v>0.4</v>
      </c>
      <c r="BD44" s="344">
        <v>0.3</v>
      </c>
      <c r="BE44" s="344">
        <v>0.3</v>
      </c>
      <c r="BF44" s="344">
        <v>0.3</v>
      </c>
      <c r="BG44" s="344">
        <v>0.4</v>
      </c>
      <c r="BH44" s="570">
        <v>0.3</v>
      </c>
      <c r="BI44" s="570">
        <v>0.3</v>
      </c>
      <c r="BJ44" s="570">
        <v>0.3</v>
      </c>
      <c r="BK44" s="344">
        <v>0</v>
      </c>
      <c r="BL44" s="570">
        <v>0.25</v>
      </c>
      <c r="BM44" s="570">
        <v>0.25</v>
      </c>
      <c r="BN44" s="570">
        <v>0.25</v>
      </c>
      <c r="BO44" s="344">
        <v>0.15</v>
      </c>
      <c r="BP44" s="570">
        <v>0.25</v>
      </c>
      <c r="BQ44" s="570">
        <v>0.25</v>
      </c>
      <c r="BR44" s="570">
        <v>0.25</v>
      </c>
      <c r="BS44" s="344">
        <v>0.1</v>
      </c>
      <c r="BT44" s="344">
        <v>0.2</v>
      </c>
      <c r="BU44" s="344">
        <v>0.2</v>
      </c>
      <c r="BV44" s="344">
        <v>0.2</v>
      </c>
      <c r="BW44" s="344">
        <v>0.1</v>
      </c>
      <c r="BZ44" s="343">
        <v>0.1</v>
      </c>
      <c r="CA44" s="343"/>
      <c r="CB44" s="343"/>
      <c r="CC44" s="343"/>
      <c r="CD44" s="343">
        <v>0.1</v>
      </c>
    </row>
    <row r="45" spans="2:91">
      <c r="B45" s="48"/>
      <c r="C45" s="48"/>
      <c r="G45" s="48"/>
      <c r="K45" s="48"/>
      <c r="O45" s="48"/>
      <c r="S45" s="48"/>
      <c r="T45" s="48"/>
      <c r="U45" s="338"/>
      <c r="V45" s="338"/>
      <c r="W45" s="338"/>
      <c r="X45" s="48"/>
      <c r="Y45" s="338"/>
      <c r="Z45" s="338"/>
      <c r="AA45" s="338"/>
      <c r="AB45" s="48"/>
      <c r="AC45" s="48"/>
      <c r="AD45" s="48"/>
      <c r="AE45" s="48"/>
      <c r="AF45" s="48"/>
      <c r="AI45" s="2" t="s">
        <v>411</v>
      </c>
      <c r="BZ45" s="2234"/>
      <c r="CA45" s="2234"/>
      <c r="CB45" s="2234"/>
      <c r="CC45" s="2234"/>
      <c r="CD45" s="2234"/>
      <c r="CE45" s="2" t="s">
        <v>1098</v>
      </c>
    </row>
    <row r="46" spans="2:91">
      <c r="B46" s="348">
        <f t="shared" ref="B46:C49" si="12">+B30*(1+B38)</f>
        <v>0</v>
      </c>
      <c r="C46" s="348">
        <f t="shared" si="12"/>
        <v>0</v>
      </c>
      <c r="G46" s="348">
        <f>+G30*(1+G38)</f>
        <v>0</v>
      </c>
      <c r="K46" s="348">
        <f>+K30*(1+K38)</f>
        <v>0</v>
      </c>
      <c r="O46" s="348">
        <f>+O30*(1+O38)</f>
        <v>0</v>
      </c>
      <c r="S46" s="348">
        <f t="shared" ref="S46:T49" si="13">+S30*(1+S38)</f>
        <v>0</v>
      </c>
      <c r="T46" s="348">
        <f t="shared" si="13"/>
        <v>15.004885112187798</v>
      </c>
      <c r="X46" s="348"/>
      <c r="AB46" s="348"/>
      <c r="AC46" s="348"/>
      <c r="AD46" s="348"/>
      <c r="AE46" s="348"/>
      <c r="AF46" s="348"/>
      <c r="AJ46" s="348"/>
      <c r="AK46" s="348"/>
      <c r="AL46" s="348"/>
      <c r="AM46" s="348"/>
      <c r="AN46" s="348"/>
      <c r="AO46" s="348"/>
      <c r="AP46" s="348"/>
      <c r="AQ46" s="348"/>
      <c r="AR46" s="348"/>
      <c r="AS46" s="348"/>
      <c r="AT46" s="348"/>
      <c r="AU46" s="348"/>
      <c r="AY46" s="348"/>
      <c r="AZ46" s="348"/>
      <c r="BA46" s="348"/>
      <c r="BB46" s="348"/>
      <c r="BC46" s="348"/>
      <c r="BD46" s="348"/>
      <c r="BE46" s="348"/>
      <c r="BF46" s="348"/>
      <c r="BG46" s="348"/>
      <c r="BK46" s="348"/>
      <c r="BO46" s="348"/>
      <c r="BS46" s="348"/>
      <c r="BW46" s="348"/>
      <c r="BZ46" s="573"/>
      <c r="CA46" s="573"/>
      <c r="CB46" s="573"/>
      <c r="CC46" s="573"/>
      <c r="CD46" s="573"/>
    </row>
    <row r="47" spans="2:91">
      <c r="B47" s="348">
        <f t="shared" si="12"/>
        <v>16.324706862685794</v>
      </c>
      <c r="C47" s="348">
        <f t="shared" si="12"/>
        <v>16.324706862685794</v>
      </c>
      <c r="G47" s="348">
        <f>+G31*(1+G39)</f>
        <v>16.324706862685794</v>
      </c>
      <c r="K47" s="348">
        <f>+K31*(1+K39)</f>
        <v>16.324706862685794</v>
      </c>
      <c r="O47" s="348">
        <f>+O31*(1+O39)</f>
        <v>16.324706862685794</v>
      </c>
      <c r="S47" s="348">
        <f t="shared" si="13"/>
        <v>16.324706862685794</v>
      </c>
      <c r="T47" s="348">
        <f t="shared" si="13"/>
        <v>15.250142242324744</v>
      </c>
      <c r="X47" s="348"/>
      <c r="AB47" s="348">
        <f t="shared" ref="AB47:AB52" si="14">+AB31*(1+AB39)</f>
        <v>16.324706862685794</v>
      </c>
      <c r="AC47" s="348"/>
      <c r="AD47" s="348"/>
      <c r="AE47" s="348"/>
      <c r="AF47" s="348">
        <f t="shared" ref="AF47:AF52" si="15">+AF31*(1+AF39)</f>
        <v>16.464505804269109</v>
      </c>
      <c r="AI47" s="1" t="s">
        <v>576</v>
      </c>
      <c r="AJ47" s="348"/>
      <c r="AK47" s="348"/>
      <c r="AL47" s="348"/>
      <c r="AM47" s="348">
        <f t="shared" ref="AM47:AM52" si="16">+AM31*(1+AM39)</f>
        <v>24.027159011513529</v>
      </c>
      <c r="AN47" s="348"/>
      <c r="AO47" s="348"/>
      <c r="AP47" s="348"/>
      <c r="AQ47" s="348">
        <f t="shared" ref="AQ47:AQ52" si="17">+AQ31*(1+AQ39)</f>
        <v>13.389920981230008</v>
      </c>
      <c r="AR47" s="348"/>
      <c r="AS47" s="348"/>
      <c r="AT47" s="348"/>
      <c r="AU47" s="348">
        <f t="shared" ref="AU47:AU52" si="18">+AU31*(1+AU39)</f>
        <v>15.529134254441331</v>
      </c>
      <c r="AY47" s="348">
        <f t="shared" ref="AY47:AY52" si="19">+AY31*(1+AY39)</f>
        <v>18.381892455823643</v>
      </c>
      <c r="AZ47" s="348"/>
      <c r="BA47" s="348"/>
      <c r="BB47" s="348"/>
      <c r="BC47" s="348">
        <f t="shared" ref="BC47:BC52" si="20">+BC31*(1+BC39)</f>
        <v>16.340109715793307</v>
      </c>
      <c r="BD47" s="348"/>
      <c r="BE47" s="348"/>
      <c r="BF47" s="348"/>
      <c r="BG47" s="348">
        <f t="shared" ref="BG47:BG50" si="21">+BG31*(1+BG39)</f>
        <v>17.376432477992417</v>
      </c>
      <c r="BK47" s="348">
        <f t="shared" ref="BK47:BK52" si="22">+BK31*(1+BK39)</f>
        <v>12.677474895637953</v>
      </c>
      <c r="BO47" s="348">
        <f t="shared" ref="BO47:BO52" si="23">+BO31*(1+BO39)</f>
        <v>15.01910342508654</v>
      </c>
      <c r="BS47" s="457">
        <f t="shared" ref="BS47:BS52" si="24">+BS31*(1+BS39)</f>
        <v>16.675585683914093</v>
      </c>
      <c r="BW47" s="348">
        <f t="shared" ref="BW47:BW52" si="25">+BW31*(1+BW39)</f>
        <v>13.855809015701567</v>
      </c>
      <c r="BZ47" s="2174">
        <v>16.675585683914093</v>
      </c>
      <c r="CA47" s="2174"/>
      <c r="CB47" s="2174"/>
      <c r="CC47" s="2174"/>
      <c r="CD47" s="2174">
        <v>13.855809015701567</v>
      </c>
      <c r="CE47" s="1" t="s">
        <v>1122</v>
      </c>
    </row>
    <row r="48" spans="2:91">
      <c r="B48" s="348">
        <f t="shared" si="12"/>
        <v>14.936294770089882</v>
      </c>
      <c r="C48" s="348">
        <f t="shared" si="12"/>
        <v>14.936294770089882</v>
      </c>
      <c r="G48" s="348">
        <f>+G32*(1+G40)</f>
        <v>14.936294770089882</v>
      </c>
      <c r="K48" s="348">
        <f>+K32*(1+K40)</f>
        <v>14.936294770089882</v>
      </c>
      <c r="O48" s="348">
        <f>+O32*(1+O40)</f>
        <v>14.936294770089882</v>
      </c>
      <c r="S48" s="348">
        <f t="shared" si="13"/>
        <v>14.936294770089882</v>
      </c>
      <c r="T48" s="348">
        <f t="shared" si="13"/>
        <v>13.839843741304101</v>
      </c>
      <c r="X48" s="348"/>
      <c r="AB48" s="348">
        <f t="shared" si="14"/>
        <v>14.936294770089882</v>
      </c>
      <c r="AC48" s="348"/>
      <c r="AD48" s="348"/>
      <c r="AE48" s="348"/>
      <c r="AF48" s="348">
        <f t="shared" si="15"/>
        <v>16.705755341587505</v>
      </c>
      <c r="AI48" s="1" t="s">
        <v>1072</v>
      </c>
      <c r="AJ48" s="348"/>
      <c r="AK48" s="348"/>
      <c r="AL48" s="348"/>
      <c r="AM48" s="348">
        <f t="shared" si="16"/>
        <v>14.457358136757886</v>
      </c>
      <c r="AN48" s="348"/>
      <c r="AO48" s="348"/>
      <c r="AP48" s="348"/>
      <c r="AQ48" s="348">
        <f t="shared" si="17"/>
        <v>13.007435724298045</v>
      </c>
      <c r="AR48" s="348"/>
      <c r="AS48" s="348"/>
      <c r="AT48" s="348"/>
      <c r="AU48" s="348">
        <f t="shared" si="18"/>
        <v>9.9383793178658202</v>
      </c>
      <c r="AY48" s="348">
        <f t="shared" si="19"/>
        <v>10.980802400903995</v>
      </c>
      <c r="AZ48" s="348"/>
      <c r="BA48" s="348"/>
      <c r="BB48" s="348"/>
      <c r="BC48" s="348">
        <f t="shared" si="20"/>
        <v>8.511400920152461</v>
      </c>
      <c r="BD48" s="348"/>
      <c r="BE48" s="348"/>
      <c r="BF48" s="348"/>
      <c r="BG48" s="348">
        <f t="shared" si="21"/>
        <v>10.693898930853365</v>
      </c>
      <c r="BK48" s="348">
        <f t="shared" si="22"/>
        <v>13.687612433567615</v>
      </c>
      <c r="BO48" s="348">
        <f t="shared" si="23"/>
        <v>10.894152295119662</v>
      </c>
      <c r="BS48" s="457">
        <f t="shared" si="24"/>
        <v>12.773320979274127</v>
      </c>
      <c r="BW48" s="348">
        <f t="shared" si="25"/>
        <v>10.920640717065144</v>
      </c>
      <c r="BZ48" s="2174">
        <v>12.773320979274127</v>
      </c>
      <c r="CA48" s="2174"/>
      <c r="CB48" s="2174"/>
      <c r="CC48" s="2174"/>
      <c r="CD48" s="2174">
        <v>10.920640717065144</v>
      </c>
      <c r="CE48" s="1" t="s">
        <v>1104</v>
      </c>
    </row>
    <row r="49" spans="2:83">
      <c r="B49" s="348">
        <f t="shared" si="12"/>
        <v>17.474033045434002</v>
      </c>
      <c r="C49" s="348">
        <f t="shared" si="12"/>
        <v>17.474033045434002</v>
      </c>
      <c r="G49" s="348">
        <f>+G33*(1+G41)</f>
        <v>17.474033045434002</v>
      </c>
      <c r="K49" s="348">
        <f>+K33*(1+K41)</f>
        <v>17.474033045434002</v>
      </c>
      <c r="O49" s="348">
        <f>+O33*(1+O41)</f>
        <v>17.474033045434002</v>
      </c>
      <c r="S49" s="348">
        <f t="shared" si="13"/>
        <v>17.474033045434002</v>
      </c>
      <c r="T49" s="348">
        <f t="shared" si="13"/>
        <v>29.459452389836503</v>
      </c>
      <c r="X49" s="348"/>
      <c r="AB49" s="348">
        <f t="shared" si="14"/>
        <v>17.474033045434002</v>
      </c>
      <c r="AC49" s="348"/>
      <c r="AD49" s="348"/>
      <c r="AE49" s="348"/>
      <c r="AF49" s="348">
        <f t="shared" si="15"/>
        <v>20.290674360602264</v>
      </c>
      <c r="AI49" s="66" t="s">
        <v>1367</v>
      </c>
      <c r="AJ49" s="348"/>
      <c r="AK49" s="348"/>
      <c r="AL49" s="348"/>
      <c r="AM49" s="348">
        <f t="shared" si="16"/>
        <v>13.214904363922773</v>
      </c>
      <c r="AN49" s="348"/>
      <c r="AO49" s="348"/>
      <c r="AP49" s="348"/>
      <c r="AQ49" s="348">
        <f t="shared" si="17"/>
        <v>14.792215042639551</v>
      </c>
      <c r="AR49" s="348"/>
      <c r="AS49" s="348"/>
      <c r="AT49" s="348"/>
      <c r="AU49" s="348">
        <f t="shared" si="18"/>
        <v>15.469771778958194</v>
      </c>
      <c r="AY49" s="348">
        <f t="shared" si="19"/>
        <v>11.271715522324456</v>
      </c>
      <c r="AZ49" s="348"/>
      <c r="BA49" s="348"/>
      <c r="BB49" s="348"/>
      <c r="BC49" s="348">
        <f t="shared" si="20"/>
        <v>11.237028773301729</v>
      </c>
      <c r="BD49" s="348"/>
      <c r="BE49" s="348"/>
      <c r="BF49" s="348"/>
      <c r="BG49" s="348">
        <f t="shared" si="21"/>
        <v>14.226137383154354</v>
      </c>
      <c r="BK49" s="348">
        <f t="shared" si="22"/>
        <v>12.711342304798389</v>
      </c>
      <c r="BO49" s="348">
        <f t="shared" si="23"/>
        <v>10.531571096073453</v>
      </c>
      <c r="BS49" s="457">
        <f t="shared" si="24"/>
        <v>13.298722447456383</v>
      </c>
      <c r="BW49" s="348">
        <f t="shared" si="25"/>
        <v>12.453373990766856</v>
      </c>
      <c r="BZ49" s="2174">
        <v>13.298722447456383</v>
      </c>
      <c r="CA49" s="2174"/>
      <c r="CB49" s="2174"/>
      <c r="CC49" s="2174"/>
      <c r="CD49" s="2174">
        <v>12.453373990766856</v>
      </c>
      <c r="CE49" s="1" t="s">
        <v>1103</v>
      </c>
    </row>
    <row r="50" spans="2:83">
      <c r="B50" s="348"/>
      <c r="C50" s="348"/>
      <c r="G50" s="348"/>
      <c r="K50" s="348"/>
      <c r="O50" s="348"/>
      <c r="S50" s="348"/>
      <c r="T50" s="348"/>
      <c r="X50" s="348"/>
      <c r="AB50" s="348">
        <f t="shared" si="14"/>
        <v>17.474033045434002</v>
      </c>
      <c r="AC50" s="348"/>
      <c r="AD50" s="348"/>
      <c r="AE50" s="348"/>
      <c r="AF50" s="348">
        <f t="shared" si="15"/>
        <v>18.446067600547511</v>
      </c>
      <c r="AI50" s="452" t="s">
        <v>1368</v>
      </c>
      <c r="AJ50" s="348"/>
      <c r="AK50" s="348"/>
      <c r="AL50" s="348"/>
      <c r="AM50" s="348">
        <f t="shared" si="16"/>
        <v>30.942052916537897</v>
      </c>
      <c r="AN50" s="348"/>
      <c r="AO50" s="348"/>
      <c r="AP50" s="348"/>
      <c r="AQ50" s="348">
        <f t="shared" si="17"/>
        <v>26.515363161355065</v>
      </c>
      <c r="AR50" s="348"/>
      <c r="AS50" s="348"/>
      <c r="AT50" s="348"/>
      <c r="AU50" s="348">
        <f t="shared" si="18"/>
        <v>27.082143688365619</v>
      </c>
      <c r="AY50" s="348">
        <f t="shared" si="19"/>
        <v>23.396529163446036</v>
      </c>
      <c r="AZ50" s="348"/>
      <c r="BA50" s="348"/>
      <c r="BB50" s="348"/>
      <c r="BC50" s="348">
        <f t="shared" si="20"/>
        <v>25.082482872229697</v>
      </c>
      <c r="BD50" s="348"/>
      <c r="BE50" s="348"/>
      <c r="BF50" s="348"/>
      <c r="BG50" s="348">
        <f t="shared" si="21"/>
        <v>25.525077717895741</v>
      </c>
      <c r="BK50" s="348">
        <f t="shared" si="22"/>
        <v>24.830057321105947</v>
      </c>
      <c r="BO50" s="348">
        <f t="shared" si="23"/>
        <v>26.02440366638811</v>
      </c>
      <c r="BS50" s="457">
        <f t="shared" si="24"/>
        <v>24.219554770642084</v>
      </c>
      <c r="BW50" s="348">
        <f t="shared" si="25"/>
        <v>20.42626117334116</v>
      </c>
      <c r="BZ50" s="2174">
        <v>24.219554770642084</v>
      </c>
      <c r="CA50" s="2174"/>
      <c r="CB50" s="2174"/>
      <c r="CC50" s="2174"/>
      <c r="CD50" s="2174">
        <v>20.42626117334116</v>
      </c>
      <c r="CE50" s="1" t="s">
        <v>1097</v>
      </c>
    </row>
    <row r="51" spans="2:83">
      <c r="B51" s="348">
        <f>+B35*(1+B43)</f>
        <v>14.060537858420714</v>
      </c>
      <c r="C51" s="348">
        <f>+C35*(1+C43)</f>
        <v>14.060537858420714</v>
      </c>
      <c r="G51" s="348">
        <f>+G35*(1+G43)</f>
        <v>14.060537858420714</v>
      </c>
      <c r="K51" s="348">
        <f>+K35*(1+K43)</f>
        <v>14.060537858420714</v>
      </c>
      <c r="O51" s="348">
        <f>+O35*(1+O43)</f>
        <v>14.060537858420714</v>
      </c>
      <c r="S51" s="348">
        <f>+S35*(1+S43)</f>
        <v>14.060537858420714</v>
      </c>
      <c r="T51" s="348">
        <f>+T35*(1+T43)</f>
        <v>18.09250786735419</v>
      </c>
      <c r="X51" s="348"/>
      <c r="AB51" s="348">
        <f t="shared" si="14"/>
        <v>14.060537858420714</v>
      </c>
      <c r="AC51" s="348"/>
      <c r="AD51" s="348"/>
      <c r="AE51" s="348"/>
      <c r="AF51" s="348">
        <f t="shared" si="15"/>
        <v>12.954261070865252</v>
      </c>
      <c r="AI51" s="1" t="s">
        <v>589</v>
      </c>
      <c r="AJ51" s="348"/>
      <c r="AK51" s="348"/>
      <c r="AL51" s="348"/>
      <c r="AM51" s="348">
        <f t="shared" si="16"/>
        <v>11.616882816597101</v>
      </c>
      <c r="AN51" s="348"/>
      <c r="AO51" s="348"/>
      <c r="AP51" s="348"/>
      <c r="AQ51" s="348">
        <f t="shared" si="17"/>
        <v>10.885933745304667</v>
      </c>
      <c r="AR51" s="348"/>
      <c r="AS51" s="348"/>
      <c r="AT51" s="348"/>
      <c r="AU51" s="348"/>
      <c r="AY51" s="348"/>
      <c r="AZ51" s="348"/>
      <c r="BA51" s="348"/>
      <c r="BB51" s="348"/>
      <c r="BC51" s="348"/>
      <c r="BD51" s="348"/>
      <c r="BE51" s="348"/>
      <c r="BF51" s="348"/>
      <c r="BG51" s="348"/>
      <c r="BK51" s="348"/>
      <c r="BO51" s="348"/>
      <c r="BS51" s="457"/>
      <c r="BW51" s="348"/>
      <c r="BZ51" s="2174"/>
      <c r="CA51" s="2174"/>
      <c r="CB51" s="2174"/>
      <c r="CC51" s="2174"/>
      <c r="CD51" s="2174"/>
      <c r="CE51" s="1" t="s">
        <v>1105</v>
      </c>
    </row>
    <row r="52" spans="2:83">
      <c r="B52" s="348">
        <f>+B36*(1+B44)</f>
        <v>12.78230714401883</v>
      </c>
      <c r="C52" s="348">
        <f>+C36*(1+C44)</f>
        <v>12.78230714401883</v>
      </c>
      <c r="G52" s="348">
        <f>+G36*(1+G44)</f>
        <v>12.78230714401883</v>
      </c>
      <c r="K52" s="348">
        <f>+K36*(1+K44)</f>
        <v>12.78230714401883</v>
      </c>
      <c r="O52" s="348">
        <f>+O36*(1+O44)</f>
        <v>12.78230714401883</v>
      </c>
      <c r="S52" s="348">
        <f>+S36*(1+S44)</f>
        <v>12.78230714401883</v>
      </c>
      <c r="T52" s="348">
        <f>+T36*(1+T44)</f>
        <v>16.447734424867445</v>
      </c>
      <c r="X52" s="348"/>
      <c r="AB52" s="348">
        <f t="shared" si="14"/>
        <v>12.78230714401883</v>
      </c>
      <c r="AC52" s="348"/>
      <c r="AD52" s="348"/>
      <c r="AE52" s="348"/>
      <c r="AF52" s="348">
        <f t="shared" si="15"/>
        <v>12.954261070865252</v>
      </c>
      <c r="AI52" s="1" t="s">
        <v>590</v>
      </c>
      <c r="AJ52" s="348"/>
      <c r="AK52" s="348"/>
      <c r="AL52" s="348"/>
      <c r="AM52" s="348">
        <f t="shared" si="16"/>
        <v>16.210165549980228</v>
      </c>
      <c r="AN52" s="348"/>
      <c r="AO52" s="348"/>
      <c r="AP52" s="348"/>
      <c r="AQ52" s="348">
        <f t="shared" si="17"/>
        <v>15.101746055566849</v>
      </c>
      <c r="AR52" s="348"/>
      <c r="AS52" s="348"/>
      <c r="AT52" s="348"/>
      <c r="AU52" s="348">
        <f t="shared" si="18"/>
        <v>15.344625981040066</v>
      </c>
      <c r="AY52" s="348">
        <f t="shared" si="19"/>
        <v>15.271709116660114</v>
      </c>
      <c r="AZ52" s="348"/>
      <c r="BA52" s="348"/>
      <c r="BB52" s="348"/>
      <c r="BC52" s="348">
        <f t="shared" si="20"/>
        <v>16.636785368175723</v>
      </c>
      <c r="BD52" s="348"/>
      <c r="BE52" s="348"/>
      <c r="BF52" s="348"/>
      <c r="BG52" s="348">
        <f>+BG36*(1+BG44)</f>
        <v>15.270192088869457</v>
      </c>
      <c r="BK52" s="348">
        <f t="shared" si="22"/>
        <v>12.89315731287248</v>
      </c>
      <c r="BO52" s="348">
        <f t="shared" si="23"/>
        <v>16.335109253083697</v>
      </c>
      <c r="BS52" s="457">
        <f t="shared" si="24"/>
        <v>18.273046470986934</v>
      </c>
      <c r="BW52" s="348">
        <f t="shared" si="25"/>
        <v>17.535740194574064</v>
      </c>
      <c r="BZ52" s="2174">
        <v>18.273046470986934</v>
      </c>
      <c r="CA52" s="2174"/>
      <c r="CB52" s="2174"/>
      <c r="CC52" s="2174"/>
      <c r="CD52" s="2174">
        <v>17.535740194574064</v>
      </c>
      <c r="CE52" s="1" t="s">
        <v>1106</v>
      </c>
    </row>
    <row r="53" spans="2:83" ht="14.4" thickBot="1">
      <c r="B53" s="349">
        <f>B65/B26</f>
        <v>11.745541405207859</v>
      </c>
      <c r="C53" s="349">
        <f>C65/C26</f>
        <v>10.996313597223754</v>
      </c>
      <c r="G53" s="349">
        <f>G65/G26</f>
        <v>15.526836988470869</v>
      </c>
      <c r="K53" s="349">
        <f>K65/K26</f>
        <v>15.161850274640475</v>
      </c>
      <c r="O53" s="349">
        <f>O65/O26</f>
        <v>15.206009751898256</v>
      </c>
      <c r="S53" s="349">
        <f>S65/S26</f>
        <v>15.35797626560603</v>
      </c>
      <c r="T53" s="349">
        <f>T65/T26</f>
        <v>20.301949715377077</v>
      </c>
      <c r="X53" s="348"/>
      <c r="AB53" s="348">
        <f>AB65/AB26</f>
        <v>15.627563065884283</v>
      </c>
      <c r="AC53" s="348"/>
      <c r="AD53" s="348"/>
      <c r="AE53" s="348"/>
      <c r="AF53" s="348">
        <f>AF65/AF26</f>
        <v>16.180981605217937</v>
      </c>
      <c r="AI53" s="1" t="s">
        <v>579</v>
      </c>
      <c r="AJ53" s="348"/>
      <c r="AK53" s="348"/>
      <c r="AL53" s="348"/>
      <c r="AM53" s="348">
        <f>AM65/AM26</f>
        <v>18.114645571485809</v>
      </c>
      <c r="AN53" s="348"/>
      <c r="AO53" s="348"/>
      <c r="AP53" s="348"/>
      <c r="AQ53" s="348">
        <f>AQ65/AQ26</f>
        <v>16.111446362117299</v>
      </c>
      <c r="AR53" s="348"/>
      <c r="AS53" s="348"/>
      <c r="AT53" s="348"/>
      <c r="AU53" s="348">
        <f>AU65/AU26</f>
        <v>16.55146428512511</v>
      </c>
      <c r="AY53" s="348">
        <f>AY65/AY26</f>
        <v>14.909494020404059</v>
      </c>
      <c r="AZ53" s="348"/>
      <c r="BA53" s="348"/>
      <c r="BB53" s="348"/>
      <c r="BC53" s="348">
        <f>BC65/BC26</f>
        <v>13.570364517890937</v>
      </c>
      <c r="BD53" s="348"/>
      <c r="BE53" s="348"/>
      <c r="BF53" s="348"/>
      <c r="BG53" s="348">
        <f>BG65/BG26</f>
        <v>13.971636234264194</v>
      </c>
      <c r="BK53" s="348">
        <f>BK65/BK26</f>
        <v>14.470572815823195</v>
      </c>
      <c r="BO53" s="348">
        <f>BO65/BO26</f>
        <v>15.064902563310698</v>
      </c>
      <c r="BS53" s="457">
        <f>BS65/BS26</f>
        <v>16.919432394652585</v>
      </c>
      <c r="BW53" s="348">
        <f>BW65/BW26</f>
        <v>14.583499847598832</v>
      </c>
      <c r="BZ53" s="2174">
        <v>17.113696856997816</v>
      </c>
      <c r="CA53" s="2174"/>
      <c r="CB53" s="2174"/>
      <c r="CC53" s="2174"/>
      <c r="CD53" s="2174">
        <v>14.781627557266209</v>
      </c>
    </row>
    <row r="54" spans="2:83" ht="14.4" thickBot="1">
      <c r="B54" s="455">
        <f>B70/B28</f>
        <v>11.06223580343304</v>
      </c>
      <c r="C54" s="91">
        <f>C70/C28</f>
        <v>9.9676109565808151</v>
      </c>
      <c r="G54" s="91">
        <f>G70/G28</f>
        <v>15.0154084170423</v>
      </c>
      <c r="K54" s="91">
        <f>K70/K28</f>
        <v>14.609934131023243</v>
      </c>
      <c r="O54" s="91">
        <f>O70/O28</f>
        <v>14.480199332427308</v>
      </c>
      <c r="S54" s="91">
        <f>S70/S28</f>
        <v>14.779832904853974</v>
      </c>
      <c r="T54" s="415">
        <f>T70/T28</f>
        <v>19.969933905100397</v>
      </c>
      <c r="U54" s="416"/>
      <c r="V54" s="416"/>
      <c r="W54" s="416"/>
      <c r="X54" s="415"/>
      <c r="Y54" s="416"/>
      <c r="Z54" s="416"/>
      <c r="AA54" s="416"/>
      <c r="AB54" s="415">
        <f>AB67/AB28</f>
        <v>15.627563065884281</v>
      </c>
      <c r="AC54" s="415"/>
      <c r="AD54" s="415"/>
      <c r="AE54" s="415"/>
      <c r="AF54" s="415">
        <f>AF67/AF28</f>
        <v>16.180981605217941</v>
      </c>
      <c r="AI54" s="414" t="s">
        <v>406</v>
      </c>
      <c r="AJ54" s="415"/>
      <c r="AK54" s="415"/>
      <c r="AL54" s="415"/>
      <c r="AM54" s="415">
        <f>AM67/AM28</f>
        <v>18.114645571485809</v>
      </c>
      <c r="AN54" s="415"/>
      <c r="AO54" s="415"/>
      <c r="AP54" s="415"/>
      <c r="AQ54" s="415">
        <f>AQ67/AQ28</f>
        <v>16.111446362117299</v>
      </c>
      <c r="AR54" s="415"/>
      <c r="AS54" s="415"/>
      <c r="AT54" s="415"/>
      <c r="AU54" s="594">
        <f>AU67/AU28</f>
        <v>16.55146428512511</v>
      </c>
      <c r="AY54" s="594">
        <f>AY67/AY28</f>
        <v>14.909494020404059</v>
      </c>
      <c r="AZ54" s="598"/>
      <c r="BA54" s="598"/>
      <c r="BB54" s="598"/>
      <c r="BC54" s="594">
        <f>BC67/BC28</f>
        <v>13.570364517890935</v>
      </c>
      <c r="BD54" s="598"/>
      <c r="BE54" s="598"/>
      <c r="BF54" s="598"/>
      <c r="BG54" s="594">
        <f>BG67/BG28</f>
        <v>13.971636234264194</v>
      </c>
      <c r="BK54" s="594">
        <f>BK67/BK28</f>
        <v>14.470572815823195</v>
      </c>
      <c r="BO54" s="594">
        <f>BO67/BO28</f>
        <v>15.064902563310698</v>
      </c>
      <c r="BS54" s="594">
        <f>BS67/BS28</f>
        <v>16.919432394652588</v>
      </c>
      <c r="BW54" s="594">
        <f>BW67/BW28</f>
        <v>14.583499847598832</v>
      </c>
      <c r="BZ54" s="574">
        <v>17.113696856997816</v>
      </c>
      <c r="CA54" s="2231"/>
      <c r="CB54" s="2231"/>
      <c r="CC54" s="2231"/>
      <c r="CD54" s="574">
        <v>14.781627557266207</v>
      </c>
    </row>
    <row r="55" spans="2:83">
      <c r="B55" s="48"/>
      <c r="C55" s="48"/>
      <c r="G55" s="48"/>
      <c r="K55" s="48"/>
      <c r="O55" s="48"/>
      <c r="S55" s="48"/>
      <c r="T55" s="48"/>
      <c r="U55" s="338"/>
      <c r="V55" s="338"/>
      <c r="W55" s="338"/>
      <c r="X55" s="48"/>
      <c r="Y55" s="338"/>
      <c r="Z55" s="338"/>
      <c r="AA55" s="338"/>
      <c r="AB55" s="448" t="str">
        <f>AB14</f>
        <v>FY16</v>
      </c>
      <c r="AC55" s="448">
        <f>AC14</f>
        <v>0</v>
      </c>
      <c r="AD55" s="448">
        <f>AD14</f>
        <v>0</v>
      </c>
      <c r="AE55" s="448">
        <f>AE14</f>
        <v>0</v>
      </c>
      <c r="AF55" s="448" t="str">
        <f>AF14</f>
        <v>FY17</v>
      </c>
      <c r="AI55" s="2" t="s">
        <v>413</v>
      </c>
      <c r="AJ55" s="47" t="str">
        <f t="shared" ref="AJ55:AU55" si="26">AJ14</f>
        <v>Ch</v>
      </c>
      <c r="AK55" s="47" t="str">
        <f t="shared" si="26"/>
        <v>1H18</v>
      </c>
      <c r="AL55" s="47" t="str">
        <f t="shared" si="26"/>
        <v>2H18</v>
      </c>
      <c r="AM55" s="47" t="str">
        <f t="shared" si="26"/>
        <v>FY18</v>
      </c>
      <c r="AN55" s="47" t="str">
        <f t="shared" si="26"/>
        <v>Ch</v>
      </c>
      <c r="AO55" s="47" t="str">
        <f t="shared" si="26"/>
        <v>1H19</v>
      </c>
      <c r="AP55" s="47" t="str">
        <f t="shared" si="26"/>
        <v>2H19</v>
      </c>
      <c r="AQ55" s="47" t="str">
        <f t="shared" si="26"/>
        <v>FY19</v>
      </c>
      <c r="AR55" s="47">
        <f t="shared" si="26"/>
        <v>0</v>
      </c>
      <c r="AS55" s="47">
        <f t="shared" si="26"/>
        <v>0</v>
      </c>
      <c r="AT55" s="47">
        <f t="shared" si="26"/>
        <v>0</v>
      </c>
      <c r="AU55" s="47" t="str">
        <f t="shared" si="26"/>
        <v>FY20</v>
      </c>
      <c r="AY55" s="47" t="str">
        <f t="shared" ref="AY55" si="27">AY14</f>
        <v>FY21</v>
      </c>
      <c r="AZ55" s="47"/>
      <c r="BA55" s="47"/>
      <c r="BB55" s="47"/>
      <c r="BC55" s="47" t="str">
        <f t="shared" ref="BC55" si="28">BC14</f>
        <v>FY22</v>
      </c>
      <c r="BD55" s="47"/>
      <c r="BE55" s="47"/>
      <c r="BF55" s="47"/>
      <c r="BG55" s="47" t="str">
        <f t="shared" ref="BG55" si="29">BG14</f>
        <v>FY23</v>
      </c>
      <c r="BK55" s="47" t="str">
        <f t="shared" ref="BK55" si="30">BK14</f>
        <v>FY24</v>
      </c>
      <c r="BO55" s="47" t="str">
        <f t="shared" ref="BO55" si="31">BO14</f>
        <v>FY25</v>
      </c>
      <c r="BS55" s="47" t="str">
        <f t="shared" ref="BS55" si="32">BS14</f>
        <v>FY26E</v>
      </c>
      <c r="BW55" s="47" t="str">
        <f t="shared" ref="BW55" si="33">BW14</f>
        <v>FY27E</v>
      </c>
      <c r="BZ55" s="2230" t="s">
        <v>1019</v>
      </c>
      <c r="CA55" s="2230"/>
      <c r="CB55" s="2230"/>
      <c r="CC55" s="2230"/>
      <c r="CD55" s="2230" t="s">
        <v>1020</v>
      </c>
    </row>
    <row r="56" spans="2:83">
      <c r="B56" s="8">
        <f t="shared" ref="B56:C58" si="34">+B17*B46</f>
        <v>0</v>
      </c>
      <c r="C56" s="8">
        <f t="shared" si="34"/>
        <v>0</v>
      </c>
      <c r="G56" s="8">
        <f>+G17*G46</f>
        <v>0</v>
      </c>
      <c r="K56" s="8">
        <f>+K17*K46</f>
        <v>0</v>
      </c>
      <c r="O56" s="8">
        <f>+O17*O46</f>
        <v>0</v>
      </c>
      <c r="S56" s="8">
        <f t="shared" ref="S56:T58" si="35">+S17*S46</f>
        <v>0</v>
      </c>
      <c r="T56" s="8">
        <f t="shared" si="35"/>
        <v>0</v>
      </c>
      <c r="X56" s="8"/>
      <c r="AB56" s="8"/>
      <c r="AC56" s="8"/>
      <c r="AD56" s="8"/>
      <c r="AE56" s="8"/>
      <c r="AF56" s="8"/>
      <c r="AI56" s="1" t="s">
        <v>565</v>
      </c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Y56" s="8"/>
      <c r="AZ56" s="8"/>
      <c r="BA56" s="8"/>
      <c r="BB56" s="8"/>
      <c r="BC56" s="8"/>
      <c r="BD56" s="8"/>
      <c r="BE56" s="8"/>
      <c r="BF56" s="8"/>
      <c r="BG56" s="8"/>
      <c r="BK56" s="8"/>
      <c r="BO56" s="8"/>
      <c r="BS56" s="8"/>
      <c r="BW56" s="8"/>
      <c r="BZ56" s="38"/>
      <c r="CA56" s="38"/>
      <c r="CB56" s="38"/>
      <c r="CC56" s="38"/>
      <c r="CD56" s="38"/>
    </row>
    <row r="57" spans="2:83">
      <c r="B57" s="8">
        <f t="shared" si="34"/>
        <v>36518.369251828124</v>
      </c>
      <c r="C57" s="8">
        <f t="shared" si="34"/>
        <v>4097.5014225341347</v>
      </c>
      <c r="G57" s="8">
        <f>+G18*G47</f>
        <v>-914.18358431040451</v>
      </c>
      <c r="K57" s="8">
        <f>+K18*K47</f>
        <v>3362.8896137132733</v>
      </c>
      <c r="O57" s="8">
        <f>+O18*O47</f>
        <v>1387.6049807403519</v>
      </c>
      <c r="S57" s="8">
        <f t="shared" si="35"/>
        <v>2448.7060294028693</v>
      </c>
      <c r="T57" s="8">
        <f t="shared" si="35"/>
        <v>4270.0398278509283</v>
      </c>
      <c r="X57" s="8"/>
      <c r="AB57" s="8">
        <f>+AB18*AB47</f>
        <v>7362.4427950712934</v>
      </c>
      <c r="AC57" s="8"/>
      <c r="AD57" s="8"/>
      <c r="AE57" s="8"/>
      <c r="AF57" s="8">
        <f>+AF18*AF47</f>
        <v>7952.3563034619792</v>
      </c>
      <c r="AI57" s="1" t="s">
        <v>576</v>
      </c>
      <c r="AJ57" s="8"/>
      <c r="AK57" s="8"/>
      <c r="AL57" s="8"/>
      <c r="AM57" s="8">
        <f>+AM18*AM47</f>
        <v>17203.445852243687</v>
      </c>
      <c r="AN57" s="8"/>
      <c r="AO57" s="8"/>
      <c r="AP57" s="8"/>
      <c r="AQ57" s="8">
        <f>+AQ18*AQ47</f>
        <v>23753.719820702034</v>
      </c>
      <c r="AR57" s="8"/>
      <c r="AS57" s="8"/>
      <c r="AT57" s="8"/>
      <c r="AU57" s="8">
        <f>+AU18*AU47</f>
        <v>11848.729436138736</v>
      </c>
      <c r="AY57" s="8">
        <f>+AY18*AY47</f>
        <v>11966.611988741191</v>
      </c>
      <c r="AZ57" s="8"/>
      <c r="BA57" s="8"/>
      <c r="BB57" s="8"/>
      <c r="BC57" s="8">
        <f>+BC18*BC47</f>
        <v>24853.306877721621</v>
      </c>
      <c r="BD57" s="8"/>
      <c r="BE57" s="8"/>
      <c r="BF57" s="8"/>
      <c r="BG57" s="8">
        <f>+BG18*BG47</f>
        <v>13918.522414871926</v>
      </c>
      <c r="BK57" s="8">
        <f>+BK18*BK47</f>
        <v>13324.02611531549</v>
      </c>
      <c r="BO57" s="8">
        <f>+BO18*BO47</f>
        <v>15664.92487236526</v>
      </c>
      <c r="BS57" s="8">
        <f>+BS18*BS47</f>
        <v>26028.938369607196</v>
      </c>
      <c r="BW57" s="8">
        <f>+BW18*BW47</f>
        <v>28257.081726668643</v>
      </c>
      <c r="BZ57" s="38">
        <v>26028.938369607196</v>
      </c>
      <c r="CA57" s="38"/>
      <c r="CB57" s="38"/>
      <c r="CC57" s="38"/>
      <c r="CD57" s="38">
        <v>29672.45635869099</v>
      </c>
    </row>
    <row r="58" spans="2:83">
      <c r="B58" s="8">
        <f t="shared" si="34"/>
        <v>8991.6494515941085</v>
      </c>
      <c r="C58" s="8">
        <f t="shared" si="34"/>
        <v>7602.5740379757499</v>
      </c>
      <c r="G58" s="8">
        <f>+G19*G48</f>
        <v>21015.366741516464</v>
      </c>
      <c r="K58" s="8">
        <f>+K19*K48</f>
        <v>11336.64773049822</v>
      </c>
      <c r="O58" s="8">
        <f>+O19*O48</f>
        <v>5140.5752812490928</v>
      </c>
      <c r="S58" s="8">
        <f t="shared" si="35"/>
        <v>7662.3192170561097</v>
      </c>
      <c r="T58" s="8">
        <f t="shared" si="35"/>
        <v>11528.589836506317</v>
      </c>
      <c r="X58" s="8"/>
      <c r="AB58" s="8">
        <f>+AB19*AB48</f>
        <v>12606.232785955861</v>
      </c>
      <c r="AC58" s="8"/>
      <c r="AD58" s="8"/>
      <c r="AE58" s="8"/>
      <c r="AF58" s="8">
        <f>+AF19*AF48</f>
        <v>16221.288436681467</v>
      </c>
      <c r="AI58" s="1" t="s">
        <v>1072</v>
      </c>
      <c r="AJ58" s="8"/>
      <c r="AK58" s="8"/>
      <c r="AL58" s="8"/>
      <c r="AM58" s="8">
        <f>+AM19*AM48</f>
        <v>13156.195904449676</v>
      </c>
      <c r="AN58" s="8"/>
      <c r="AO58" s="8"/>
      <c r="AP58" s="8"/>
      <c r="AQ58" s="8">
        <f>+AQ19*AQ48</f>
        <v>22671.960467451492</v>
      </c>
      <c r="AR58" s="8"/>
      <c r="AS58" s="8"/>
      <c r="AT58" s="8"/>
      <c r="AU58" s="8">
        <f>+AU19*AU48</f>
        <v>17272.903254450797</v>
      </c>
      <c r="AY58" s="8">
        <f>+AY19*AY48</f>
        <v>28561.067044751289</v>
      </c>
      <c r="AZ58" s="8"/>
      <c r="BA58" s="8"/>
      <c r="BB58" s="8"/>
      <c r="BC58" s="8">
        <f>+BC19*BC48</f>
        <v>33288.088998716274</v>
      </c>
      <c r="BD58" s="8"/>
      <c r="BE58" s="8"/>
      <c r="BF58" s="8"/>
      <c r="BG58" s="8">
        <f>+BG19*BG48</f>
        <v>64238.250877636165</v>
      </c>
      <c r="BK58" s="8">
        <f>+BK19*BK48</f>
        <v>43978.298749052745</v>
      </c>
      <c r="BO58" s="8">
        <f>+BO19*BO48</f>
        <v>30819.556842893526</v>
      </c>
      <c r="BS58" s="8">
        <f>+BS19*BS48</f>
        <v>38426.36470157974</v>
      </c>
      <c r="BW58" s="8">
        <f>+BW19*BW48</f>
        <v>34983.775505997241</v>
      </c>
      <c r="BZ58" s="38">
        <v>33674.817030499551</v>
      </c>
      <c r="CA58" s="38"/>
      <c r="CB58" s="38"/>
      <c r="CC58" s="38"/>
      <c r="CD58" s="38">
        <v>30795.994819725474</v>
      </c>
    </row>
    <row r="59" spans="2:83">
      <c r="B59" s="7">
        <f>SUM(B56:B58)</f>
        <v>45510.018703422233</v>
      </c>
      <c r="C59" s="7">
        <f>SUM(C56:C58)</f>
        <v>11700.075460509885</v>
      </c>
      <c r="G59" s="7">
        <f>SUM(G56:G58)</f>
        <v>20101.183157206058</v>
      </c>
      <c r="K59" s="7">
        <f>SUM(K56:K58)</f>
        <v>14699.537344211494</v>
      </c>
      <c r="O59" s="7">
        <f>SUM(O56:O58)</f>
        <v>6528.1802619894443</v>
      </c>
      <c r="S59" s="7">
        <f>SUM(S56:S58)</f>
        <v>10111.025246458979</v>
      </c>
      <c r="T59" s="7">
        <f>SUM(T56:T58)</f>
        <v>15798.629664357246</v>
      </c>
      <c r="X59" s="7"/>
      <c r="AB59" s="7">
        <f>SUM(AB56:AB58)</f>
        <v>19968.675581027153</v>
      </c>
      <c r="AC59" s="7"/>
      <c r="AD59" s="7"/>
      <c r="AE59" s="7"/>
      <c r="AF59" s="7">
        <f>SUM(AF56:AF58)</f>
        <v>24173.644740143445</v>
      </c>
      <c r="AI59" s="2" t="s">
        <v>836</v>
      </c>
      <c r="AJ59" s="7"/>
      <c r="AK59" s="7"/>
      <c r="AL59" s="7"/>
      <c r="AM59" s="7">
        <f>SUM(AM56:AM58)</f>
        <v>30359.641756693363</v>
      </c>
      <c r="AN59" s="7"/>
      <c r="AO59" s="7"/>
      <c r="AP59" s="7"/>
      <c r="AQ59" s="7">
        <f>SUM(AQ56:AQ58)</f>
        <v>46425.680288153526</v>
      </c>
      <c r="AR59" s="7"/>
      <c r="AS59" s="7"/>
      <c r="AT59" s="7"/>
      <c r="AU59" s="7">
        <f>SUM(AU56:AU58)</f>
        <v>29121.632690589533</v>
      </c>
      <c r="AY59" s="7">
        <f>SUM(AY56:AY58)</f>
        <v>40527.679033492481</v>
      </c>
      <c r="AZ59" s="7"/>
      <c r="BA59" s="7"/>
      <c r="BB59" s="7"/>
      <c r="BC59" s="7">
        <f>SUM(BC56:BC58)</f>
        <v>58141.395876437891</v>
      </c>
      <c r="BD59" s="7"/>
      <c r="BE59" s="7"/>
      <c r="BF59" s="7"/>
      <c r="BG59" s="7">
        <f>SUM(BG56:BG58)</f>
        <v>78156.773292508093</v>
      </c>
      <c r="BK59" s="7">
        <f>SUM(BK56:BK58)</f>
        <v>57302.324864368231</v>
      </c>
      <c r="BO59" s="7">
        <f>SUM(BO56:BO58)</f>
        <v>46484.481715258786</v>
      </c>
      <c r="BS59" s="7">
        <f>SUM(BS56:BS58)</f>
        <v>64455.303071186936</v>
      </c>
      <c r="BW59" s="7">
        <f>SUM(BW56:BW58)</f>
        <v>63240.857232665883</v>
      </c>
      <c r="BZ59" s="575">
        <v>59703.755400106747</v>
      </c>
      <c r="CA59" s="575"/>
      <c r="CB59" s="575"/>
      <c r="CC59" s="575"/>
      <c r="CD59" s="575">
        <v>60468.451178416464</v>
      </c>
    </row>
    <row r="60" spans="2:83">
      <c r="B60" s="8">
        <f>+B21*B49</f>
        <v>5364.5281449482382</v>
      </c>
      <c r="C60" s="8">
        <f>+C21*C49</f>
        <v>786.33148704453004</v>
      </c>
      <c r="G60" s="8">
        <f>+G21*G49</f>
        <v>14119.018700710674</v>
      </c>
      <c r="K60" s="8">
        <f>+K21*K49</f>
        <v>8474.9060270354912</v>
      </c>
      <c r="O60" s="8">
        <f>+O21*O49</f>
        <v>11276.570167309063</v>
      </c>
      <c r="S60" s="8">
        <f>+S21*S49</f>
        <v>13192.894949302672</v>
      </c>
      <c r="T60" s="8">
        <f>+T21*T49</f>
        <v>30961.884461718164</v>
      </c>
      <c r="X60" s="8"/>
      <c r="AB60" s="8">
        <f>+AB21*AB49</f>
        <v>12090.362259510261</v>
      </c>
      <c r="AC60" s="8"/>
      <c r="AD60" s="8"/>
      <c r="AE60" s="8"/>
      <c r="AF60" s="8">
        <f>+AF21*AF49</f>
        <v>15297.909960343994</v>
      </c>
      <c r="AI60" s="66" t="s">
        <v>1367</v>
      </c>
      <c r="AJ60" s="8"/>
      <c r="AK60" s="8"/>
      <c r="AL60" s="8"/>
      <c r="AM60" s="8">
        <f>+AM21*AM49</f>
        <v>9004.6346116718123</v>
      </c>
      <c r="AN60" s="8"/>
      <c r="AO60" s="8"/>
      <c r="AP60" s="8"/>
      <c r="AQ60" s="8">
        <f>+AQ21*AQ49</f>
        <v>10693.113677445715</v>
      </c>
      <c r="AR60" s="8"/>
      <c r="AS60" s="8"/>
      <c r="AT60" s="8"/>
      <c r="AU60" s="8">
        <f>+AU21*AU49</f>
        <v>12952.04737048967</v>
      </c>
      <c r="AY60" s="8">
        <f>+AY21*AY49</f>
        <v>9225.1770473943361</v>
      </c>
      <c r="AZ60" s="8"/>
      <c r="BA60" s="8"/>
      <c r="BB60" s="8"/>
      <c r="BC60" s="8">
        <f>+BC21*BC49</f>
        <v>18153.045415643166</v>
      </c>
      <c r="BD60" s="8"/>
      <c r="BE60" s="8"/>
      <c r="BF60" s="8"/>
      <c r="BG60" s="8">
        <f>+BG21*BG49</f>
        <v>14673.560460438015</v>
      </c>
      <c r="BK60" s="8">
        <f>+BK21*BK49</f>
        <v>6457.5504756592227</v>
      </c>
      <c r="BO60" s="8">
        <f>+BO21*BO49</f>
        <v>8403.3790916073503</v>
      </c>
      <c r="BS60" s="8">
        <f>+BS21*BS49</f>
        <v>10056.979223636059</v>
      </c>
      <c r="BW60" s="8">
        <f>+BW21*BW49</f>
        <v>5320.1438207665133</v>
      </c>
      <c r="BZ60" s="38">
        <v>10056.979223636059</v>
      </c>
      <c r="CA60" s="38"/>
      <c r="CB60" s="38"/>
      <c r="CC60" s="38"/>
      <c r="CD60" s="38">
        <v>5320.1438207665133</v>
      </c>
    </row>
    <row r="61" spans="2:83">
      <c r="B61" s="8"/>
      <c r="C61" s="8"/>
      <c r="G61" s="8"/>
      <c r="K61" s="8"/>
      <c r="O61" s="8"/>
      <c r="S61" s="8"/>
      <c r="T61" s="8"/>
      <c r="X61" s="8"/>
      <c r="AB61" s="8">
        <f>+AB22*AB50</f>
        <v>16636.948067183235</v>
      </c>
      <c r="AC61" s="8"/>
      <c r="AD61" s="8"/>
      <c r="AE61" s="8"/>
      <c r="AF61" s="8">
        <f>+AF22*AF50</f>
        <v>14462.861096602079</v>
      </c>
      <c r="AI61" s="452" t="s">
        <v>1368</v>
      </c>
      <c r="AJ61" s="8"/>
      <c r="AK61" s="8"/>
      <c r="AL61" s="8"/>
      <c r="AM61" s="8">
        <f>+AM22*AM50</f>
        <v>27123.806447668368</v>
      </c>
      <c r="AN61" s="8"/>
      <c r="AO61" s="8"/>
      <c r="AP61" s="8"/>
      <c r="AQ61" s="8">
        <f>+AQ22*AQ50</f>
        <v>30469.123911603023</v>
      </c>
      <c r="AR61" s="8"/>
      <c r="AS61" s="8"/>
      <c r="AT61" s="8"/>
      <c r="AU61" s="8">
        <f>+AU22*AU50</f>
        <v>36283.335358881544</v>
      </c>
      <c r="AY61" s="8">
        <f>+AY22*AY50</f>
        <v>29375.84123257178</v>
      </c>
      <c r="AZ61" s="8"/>
      <c r="BA61" s="8"/>
      <c r="BB61" s="8"/>
      <c r="BC61" s="8">
        <f>+BC22*BC50</f>
        <v>35454.925622659081</v>
      </c>
      <c r="BD61" s="8"/>
      <c r="BE61" s="8"/>
      <c r="BF61" s="8"/>
      <c r="BG61" s="8">
        <f>+BG22*BG50</f>
        <v>33451.870765044958</v>
      </c>
      <c r="BK61" s="8">
        <f>+BK22*BK50</f>
        <v>17380.671747318902</v>
      </c>
      <c r="BO61" s="8">
        <f>+BO22*BO50</f>
        <v>32558.542038609772</v>
      </c>
      <c r="BS61" s="8">
        <f>+BS22*BS50</f>
        <v>44469.321395304789</v>
      </c>
      <c r="BW61" s="8">
        <f>+BW22*BW50</f>
        <v>29340.495133934342</v>
      </c>
      <c r="BZ61" s="38">
        <v>44469.321395304789</v>
      </c>
      <c r="CA61" s="38"/>
      <c r="CB61" s="38"/>
      <c r="CC61" s="38"/>
      <c r="CD61" s="38">
        <v>29340.495133934342</v>
      </c>
    </row>
    <row r="62" spans="2:83">
      <c r="B62" s="8">
        <f>+B23*B51</f>
        <v>1574.78024014312</v>
      </c>
      <c r="C62" s="8">
        <f>+C23*C51</f>
        <v>927.99549865576716</v>
      </c>
      <c r="G62" s="8">
        <f>+G23*G51</f>
        <v>3585.4371538972823</v>
      </c>
      <c r="K62" s="8">
        <f>+K23*K51</f>
        <v>8070.7487307334895</v>
      </c>
      <c r="O62" s="8">
        <f>+O23*O51</f>
        <v>9807.2719778395167</v>
      </c>
      <c r="S62" s="8">
        <f>+S23*S51</f>
        <v>9758.0132737439762</v>
      </c>
      <c r="T62" s="8">
        <f>+T23*T51</f>
        <v>14944.411498434562</v>
      </c>
      <c r="X62" s="8"/>
      <c r="AB62" s="8">
        <f>+AB23*AB51</f>
        <v>15888.407780015406</v>
      </c>
      <c r="AC62" s="8"/>
      <c r="AD62" s="8"/>
      <c r="AE62" s="8"/>
      <c r="AF62" s="8">
        <f>+AF23*AF51</f>
        <v>15519.204762896572</v>
      </c>
      <c r="AI62" s="1" t="s">
        <v>589</v>
      </c>
      <c r="AJ62" s="8"/>
      <c r="AK62" s="8"/>
      <c r="AL62" s="8"/>
      <c r="AM62" s="8">
        <f>+AM23*AM51</f>
        <v>13243.246410920696</v>
      </c>
      <c r="AN62" s="8"/>
      <c r="AO62" s="8"/>
      <c r="AP62" s="8"/>
      <c r="AQ62" s="8"/>
      <c r="AR62" s="8"/>
      <c r="AS62" s="8"/>
      <c r="AT62" s="8"/>
      <c r="AU62" s="8"/>
      <c r="AY62" s="8"/>
      <c r="AZ62" s="8"/>
      <c r="BA62" s="8"/>
      <c r="BB62" s="8"/>
      <c r="BC62" s="8"/>
      <c r="BD62" s="8"/>
      <c r="BE62" s="8"/>
      <c r="BF62" s="8"/>
      <c r="BG62" s="8"/>
      <c r="BK62" s="8"/>
      <c r="BO62" s="8"/>
      <c r="BS62" s="8"/>
      <c r="BW62" s="8"/>
      <c r="BZ62" s="38">
        <v>0</v>
      </c>
      <c r="CA62" s="38"/>
      <c r="CB62" s="38"/>
      <c r="CC62" s="38"/>
      <c r="CD62" s="38">
        <v>0</v>
      </c>
    </row>
    <row r="63" spans="2:83">
      <c r="B63" s="8">
        <f>+B24*B52</f>
        <v>1380.4891715540336</v>
      </c>
      <c r="C63" s="8">
        <f>+C24*C52</f>
        <v>-5815.9497505285681</v>
      </c>
      <c r="G63" s="8">
        <f>+G24*G52</f>
        <v>1508.3122429942218</v>
      </c>
      <c r="K63" s="8">
        <f>+K24*K52</f>
        <v>2995.3253275943657</v>
      </c>
      <c r="O63" s="8">
        <f>+O24*O52</f>
        <v>3517.2665534367989</v>
      </c>
      <c r="S63" s="8">
        <f>+S24*S52</f>
        <v>3106.1006359965759</v>
      </c>
      <c r="T63" s="8">
        <f>+T24*T52</f>
        <v>4276.4109504655353</v>
      </c>
      <c r="X63" s="8"/>
      <c r="AB63" s="8">
        <f>+AB24*AB52</f>
        <v>4473.8075004065904</v>
      </c>
      <c r="AC63" s="8"/>
      <c r="AD63" s="8"/>
      <c r="AE63" s="8"/>
      <c r="AF63" s="8">
        <f>+AF24*AF52</f>
        <v>6645.5359293538741</v>
      </c>
      <c r="AI63" s="1" t="s">
        <v>590</v>
      </c>
      <c r="AJ63" s="8"/>
      <c r="AK63" s="8"/>
      <c r="AL63" s="8"/>
      <c r="AM63" s="8">
        <f>+AM24*AM52</f>
        <v>11946.892010335428</v>
      </c>
      <c r="AN63" s="8"/>
      <c r="AO63" s="8"/>
      <c r="AP63" s="8"/>
      <c r="AQ63" s="8">
        <f>+AQ24*AQ52</f>
        <v>11416.920018008537</v>
      </c>
      <c r="AR63" s="8"/>
      <c r="AS63" s="8"/>
      <c r="AT63" s="8"/>
      <c r="AU63" s="8">
        <f>+AU24*AU52</f>
        <v>11815.362005400852</v>
      </c>
      <c r="AY63" s="8">
        <f>+AY24*AY52</f>
        <v>11774.487728944949</v>
      </c>
      <c r="AZ63" s="8"/>
      <c r="BA63" s="8"/>
      <c r="BB63" s="8"/>
      <c r="BC63" s="8">
        <f>+BC24*BC52</f>
        <v>16653.422153543899</v>
      </c>
      <c r="BD63" s="8"/>
      <c r="BE63" s="8"/>
      <c r="BF63" s="8"/>
      <c r="BG63" s="8">
        <f>+BG24*BG52</f>
        <v>18324.230506643347</v>
      </c>
      <c r="BK63" s="8">
        <f>+BK24*BK52</f>
        <v>16000.408225274748</v>
      </c>
      <c r="BO63" s="8">
        <f>+BO24*BO52</f>
        <v>22542.450769255502</v>
      </c>
      <c r="BS63" s="8">
        <f>+BS24*BS52</f>
        <v>29535.602718287864</v>
      </c>
      <c r="BW63" s="8">
        <f>+BW24*BW52</f>
        <v>34066.153582981242</v>
      </c>
      <c r="BZ63" s="38">
        <v>30964.521039114345</v>
      </c>
      <c r="CA63" s="38"/>
      <c r="CB63" s="38"/>
      <c r="CC63" s="38"/>
      <c r="CD63" s="38">
        <v>36656.700245438988</v>
      </c>
    </row>
    <row r="64" spans="2:83">
      <c r="B64" s="7">
        <f>SUM(B60:B63)</f>
        <v>8319.7975566453915</v>
      </c>
      <c r="C64" s="7">
        <f>SUM(C60:C63)</f>
        <v>-4101.6227648282711</v>
      </c>
      <c r="G64" s="7">
        <f>SUM(G60:G63)</f>
        <v>19212.76809760218</v>
      </c>
      <c r="K64" s="7">
        <f>SUM(K60:K63)</f>
        <v>19540.980085363346</v>
      </c>
      <c r="O64" s="7">
        <f>SUM(O60:O63)</f>
        <v>24601.108698585376</v>
      </c>
      <c r="S64" s="7">
        <f>SUM(S60:S63)</f>
        <v>26057.008859043224</v>
      </c>
      <c r="T64" s="7">
        <f>SUM(T60:T63)</f>
        <v>50182.706910618261</v>
      </c>
      <c r="X64" s="7"/>
      <c r="AB64" s="7">
        <f>SUM(AB60:AB63)</f>
        <v>49089.525607115494</v>
      </c>
      <c r="AC64" s="7"/>
      <c r="AD64" s="7"/>
      <c r="AE64" s="7"/>
      <c r="AF64" s="7">
        <f>SUM(AF60:AF63)</f>
        <v>51925.511749196514</v>
      </c>
      <c r="AI64" s="2" t="s">
        <v>837</v>
      </c>
      <c r="AJ64" s="7"/>
      <c r="AK64" s="7"/>
      <c r="AL64" s="7"/>
      <c r="AM64" s="7">
        <f>SUM(AM60:AM63)</f>
        <v>61318.579480596309</v>
      </c>
      <c r="AN64" s="7"/>
      <c r="AO64" s="7"/>
      <c r="AP64" s="7"/>
      <c r="AQ64" s="7">
        <f>SUM(AQ60:AQ63)</f>
        <v>52579.157607057277</v>
      </c>
      <c r="AR64" s="7"/>
      <c r="AS64" s="7"/>
      <c r="AT64" s="7"/>
      <c r="AU64" s="7">
        <f>SUM(AU60:AU63)</f>
        <v>61050.744734772066</v>
      </c>
      <c r="AY64" s="7">
        <f>SUM(AY60:AY63)</f>
        <v>50375.506008911063</v>
      </c>
      <c r="AZ64" s="7"/>
      <c r="BA64" s="7"/>
      <c r="BB64" s="7"/>
      <c r="BC64" s="7">
        <f>SUM(BC60:BC63)</f>
        <v>70261.393191846146</v>
      </c>
      <c r="BD64" s="7"/>
      <c r="BE64" s="7"/>
      <c r="BF64" s="7"/>
      <c r="BG64" s="7">
        <f>SUM(BG60:BG63)</f>
        <v>66449.661732126318</v>
      </c>
      <c r="BK64" s="7">
        <f>SUM(BK60:BK63)</f>
        <v>39838.630448252872</v>
      </c>
      <c r="BO64" s="7">
        <f>SUM(BO60:BO63)</f>
        <v>63504.371899472622</v>
      </c>
      <c r="BS64" s="7">
        <f>SUM(BS60:BS63)</f>
        <v>84061.903337228709</v>
      </c>
      <c r="BW64" s="7">
        <f>SUM(BW60:BW63)</f>
        <v>68726.792537682108</v>
      </c>
      <c r="BZ64" s="575">
        <v>85490.821658055196</v>
      </c>
      <c r="CA64" s="575"/>
      <c r="CB64" s="575"/>
      <c r="CC64" s="575"/>
      <c r="CD64" s="575">
        <v>71317.339200139846</v>
      </c>
    </row>
    <row r="65" spans="2:83">
      <c r="B65" s="7">
        <f>+B64+B59</f>
        <v>53829.816260067622</v>
      </c>
      <c r="C65" s="7">
        <f>+C64+C59</f>
        <v>7598.4526956816135</v>
      </c>
      <c r="G65" s="7">
        <f>+G64+G59</f>
        <v>39313.951254808242</v>
      </c>
      <c r="K65" s="7">
        <f>+K64+K59</f>
        <v>34240.517429574844</v>
      </c>
      <c r="O65" s="7">
        <f>+O64+O59</f>
        <v>31129.288960574821</v>
      </c>
      <c r="S65" s="7">
        <f>+S64+S59</f>
        <v>36168.0341055022</v>
      </c>
      <c r="T65" s="7">
        <f>+T64+T59</f>
        <v>65981.336574975503</v>
      </c>
      <c r="X65" s="7"/>
      <c r="AB65" s="7">
        <f>+AB64+AB59</f>
        <v>69058.201188142644</v>
      </c>
      <c r="AC65" s="7"/>
      <c r="AD65" s="7"/>
      <c r="AE65" s="7"/>
      <c r="AF65" s="7">
        <f>+AF64+AF59</f>
        <v>76099.156489339963</v>
      </c>
      <c r="AI65" s="2" t="s">
        <v>825</v>
      </c>
      <c r="AJ65" s="7"/>
      <c r="AK65" s="7"/>
      <c r="AL65" s="7"/>
      <c r="AM65" s="7">
        <f>+AM64+AM59</f>
        <v>91678.221237289676</v>
      </c>
      <c r="AN65" s="7"/>
      <c r="AO65" s="7"/>
      <c r="AP65" s="7"/>
      <c r="AQ65" s="7">
        <f>+AQ64+AQ59</f>
        <v>99004.837895210803</v>
      </c>
      <c r="AR65" s="7"/>
      <c r="AS65" s="7"/>
      <c r="AT65" s="7"/>
      <c r="AU65" s="7">
        <f>+AU64+AU59</f>
        <v>90172.377425361599</v>
      </c>
      <c r="AY65" s="7">
        <f>+AY64+AY59</f>
        <v>90903.185042403551</v>
      </c>
      <c r="AZ65" s="7"/>
      <c r="BA65" s="7"/>
      <c r="BB65" s="7"/>
      <c r="BC65" s="7">
        <f>+BC64+BC59</f>
        <v>128402.78906828404</v>
      </c>
      <c r="BD65" s="7"/>
      <c r="BE65" s="7"/>
      <c r="BF65" s="7"/>
      <c r="BG65" s="7">
        <f>+BG64+BG59</f>
        <v>144606.43502463441</v>
      </c>
      <c r="BK65" s="7">
        <f>+BK64+BK59</f>
        <v>97140.95531262111</v>
      </c>
      <c r="BO65" s="7">
        <f>+BO64+BO59</f>
        <v>109988.8536147314</v>
      </c>
      <c r="BS65" s="7">
        <f>+BS64+BS59</f>
        <v>148517.20640841563</v>
      </c>
      <c r="BW65" s="7">
        <f>+BW64+BW59</f>
        <v>131967.64977034798</v>
      </c>
      <c r="BZ65" s="575">
        <v>145194.57705816196</v>
      </c>
      <c r="CA65" s="575"/>
      <c r="CB65" s="575"/>
      <c r="CC65" s="575"/>
      <c r="CD65" s="575">
        <v>131785.7903785563</v>
      </c>
    </row>
    <row r="66" spans="2:83">
      <c r="B66" s="8">
        <f>+B27*B53</f>
        <v>-32652.605106477851</v>
      </c>
      <c r="C66" s="8">
        <f>+C27*C53</f>
        <v>1979.3364475002757</v>
      </c>
      <c r="G66" s="8">
        <f>+G27*G53</f>
        <v>-23010.772416913827</v>
      </c>
      <c r="K66" s="8">
        <f>+K27*K53</f>
        <v>-19735.674551555843</v>
      </c>
      <c r="O66" s="8">
        <f>+O27*O53</f>
        <v>-20046.53381823681</v>
      </c>
      <c r="S66" s="8">
        <f>+S27*S53</f>
        <v>-23098.396303471469</v>
      </c>
      <c r="T66" s="8">
        <f>+T27*T53</f>
        <v>-40299.370185023501</v>
      </c>
      <c r="X66" s="8"/>
      <c r="AB66" s="8">
        <f>+AB27*AB53</f>
        <v>-36818.538583223373</v>
      </c>
      <c r="AC66" s="8"/>
      <c r="AD66" s="8"/>
      <c r="AE66" s="8"/>
      <c r="AF66" s="8">
        <f>+AF27*AF53</f>
        <v>-40225.920270571791</v>
      </c>
      <c r="AI66" s="1" t="s">
        <v>579</v>
      </c>
      <c r="AJ66" s="8"/>
      <c r="AK66" s="8"/>
      <c r="AL66" s="8"/>
      <c r="AM66" s="8">
        <f>+AM27*AM53</f>
        <v>-45359.072511000464</v>
      </c>
      <c r="AN66" s="8"/>
      <c r="AO66" s="8"/>
      <c r="AP66" s="8"/>
      <c r="AQ66" s="8">
        <f>+AQ27*AQ53</f>
        <v>-50960.504843377013</v>
      </c>
      <c r="AR66" s="8"/>
      <c r="AS66" s="8"/>
      <c r="AT66" s="8"/>
      <c r="AU66" s="8">
        <f>+AU27*AU53</f>
        <v>-44970.328462684927</v>
      </c>
      <c r="AY66" s="8">
        <f>+AY27*AY53</f>
        <v>-45951.060570885311</v>
      </c>
      <c r="AZ66" s="8"/>
      <c r="BA66" s="8"/>
      <c r="BB66" s="8"/>
      <c r="BC66" s="8">
        <f>+BC27*BC53</f>
        <v>-64540.653647089297</v>
      </c>
      <c r="BD66" s="8"/>
      <c r="BE66" s="8"/>
      <c r="BF66" s="8"/>
      <c r="BG66" s="8">
        <f>+BG27*BG53</f>
        <v>-72219.387694911624</v>
      </c>
      <c r="BK66" s="8">
        <f>+BK27*BK53</f>
        <v>-46175.597855291817</v>
      </c>
      <c r="BO66" s="8">
        <f>+BO27*BO53</f>
        <v>-54022.740592032162</v>
      </c>
      <c r="BS66" s="8">
        <f>+BS27*BS53</f>
        <v>-77917.656700138104</v>
      </c>
      <c r="BW66" s="8">
        <f>+BW27*BW53</f>
        <v>-65281.529989241477</v>
      </c>
      <c r="BZ66" s="38">
        <v>-72970.224910960038</v>
      </c>
      <c r="CA66" s="38"/>
      <c r="CB66" s="38"/>
      <c r="CC66" s="38"/>
      <c r="CD66" s="38">
        <v>-64691.222888087999</v>
      </c>
    </row>
    <row r="67" spans="2:83">
      <c r="B67" s="7">
        <f>SUM(B65:B66)</f>
        <v>21177.211153589771</v>
      </c>
      <c r="C67" s="7">
        <f>SUM(C65:C66)</f>
        <v>9577.7891431818898</v>
      </c>
      <c r="G67" s="7">
        <f>SUM(G65:G66)</f>
        <v>16303.178837894415</v>
      </c>
      <c r="K67" s="7">
        <f>SUM(K65:K66)</f>
        <v>14504.842878019001</v>
      </c>
      <c r="O67" s="7">
        <f>SUM(O65:O66)</f>
        <v>11082.75514233801</v>
      </c>
      <c r="S67" s="7">
        <f>SUM(S65:S66)</f>
        <v>13069.637802030731</v>
      </c>
      <c r="T67" s="7">
        <f>SUM(T65:T66)</f>
        <v>25681.966389952002</v>
      </c>
      <c r="X67" s="7"/>
      <c r="AB67" s="7">
        <f>SUM(AB65:AB66)</f>
        <v>32239.662604919271</v>
      </c>
      <c r="AC67" s="7"/>
      <c r="AD67" s="7"/>
      <c r="AE67" s="7"/>
      <c r="AF67" s="7">
        <f>SUM(AF65:AF66)</f>
        <v>35873.236218768172</v>
      </c>
      <c r="AI67" s="2" t="s">
        <v>694</v>
      </c>
      <c r="AJ67" s="7"/>
      <c r="AK67" s="7"/>
      <c r="AL67" s="7"/>
      <c r="AM67" s="7">
        <f>SUM(AM65:AM66)</f>
        <v>46319.148726289211</v>
      </c>
      <c r="AN67" s="7"/>
      <c r="AO67" s="7"/>
      <c r="AP67" s="7"/>
      <c r="AQ67" s="7">
        <f>SUM(AQ65:AQ66)</f>
        <v>48044.33305183379</v>
      </c>
      <c r="AR67" s="7"/>
      <c r="AS67" s="7"/>
      <c r="AT67" s="7"/>
      <c r="AU67" s="7">
        <f>SUM(AU65:AU66)</f>
        <v>45202.048962676672</v>
      </c>
      <c r="AY67" s="7">
        <f>SUM(AY65:AY66)</f>
        <v>44952.12447151824</v>
      </c>
      <c r="AZ67" s="7"/>
      <c r="BA67" s="7"/>
      <c r="BB67" s="7"/>
      <c r="BC67" s="7">
        <f>SUM(BC65:BC66)</f>
        <v>63862.13542119474</v>
      </c>
      <c r="BD67" s="7"/>
      <c r="BE67" s="7"/>
      <c r="BF67" s="7"/>
      <c r="BG67" s="7">
        <f>SUM(BG65:BG66)</f>
        <v>72387.047329722787</v>
      </c>
      <c r="BK67" s="7">
        <f>SUM(BK65:BK66)</f>
        <v>50965.357457329294</v>
      </c>
      <c r="BO67" s="7">
        <f>SUM(BO65:BO66)</f>
        <v>55966.113022699239</v>
      </c>
      <c r="BS67" s="7">
        <f>SUM(BS65:BS66)</f>
        <v>70599.549708277525</v>
      </c>
      <c r="BW67" s="7">
        <f>SUM(BW65:BW66)</f>
        <v>66686.119781106507</v>
      </c>
      <c r="BZ67" s="575">
        <v>72224.35214720192</v>
      </c>
      <c r="CA67" s="575"/>
      <c r="CB67" s="575"/>
      <c r="CC67" s="575"/>
      <c r="CD67" s="575">
        <v>67094.567490468296</v>
      </c>
    </row>
    <row r="68" spans="2:83">
      <c r="B68" s="8">
        <f>-'Bal Sheet'!AP$113</f>
        <v>-841</v>
      </c>
      <c r="C68" s="8">
        <f>-'Bal Sheet'!AT$113</f>
        <v>-505</v>
      </c>
      <c r="G68" s="8">
        <f>-'Bal Sheet'!AX$113</f>
        <v>-146</v>
      </c>
      <c r="K68" s="8">
        <f>-'Bal Sheet'!BB$113</f>
        <v>-137</v>
      </c>
      <c r="O68" s="8">
        <f>-'Bal Sheet'!BF$113</f>
        <v>-138</v>
      </c>
      <c r="S68" s="8">
        <f>-'Bal Sheet'!BJ$113</f>
        <v>-101</v>
      </c>
      <c r="T68" s="8">
        <f>-'Bal Sheet'!BN$113</f>
        <v>-29</v>
      </c>
      <c r="X68" s="8"/>
      <c r="AB68" s="8">
        <f>-'Bal Sheet'!BV$113</f>
        <v>-157</v>
      </c>
      <c r="AC68" s="8"/>
      <c r="AD68" s="8"/>
      <c r="AE68" s="8"/>
      <c r="AF68" s="8">
        <f>-'Bal Sheet'!BZ$113</f>
        <v>-1316</v>
      </c>
      <c r="AI68" s="1" t="s">
        <v>407</v>
      </c>
      <c r="AJ68" s="8"/>
      <c r="AK68" s="8"/>
      <c r="AL68" s="8"/>
      <c r="AM68" s="8">
        <f>-'Bal Sheet'!CD$113</f>
        <v>-1432</v>
      </c>
      <c r="AN68" s="8"/>
      <c r="AO68" s="8"/>
      <c r="AP68" s="8"/>
      <c r="AQ68" s="8">
        <f>-'Bal Sheet'!CH$113</f>
        <v>-212</v>
      </c>
      <c r="AR68" s="8"/>
      <c r="AS68" s="8"/>
      <c r="AT68" s="8"/>
      <c r="AU68" s="8">
        <f>-'Bal Sheet'!CL$113</f>
        <v>-330</v>
      </c>
      <c r="AY68" s="8">
        <f>-'Bal Sheet'!CP$113</f>
        <v>-303</v>
      </c>
      <c r="AZ68" s="8"/>
      <c r="BA68" s="8"/>
      <c r="BB68" s="8"/>
      <c r="BC68" s="8">
        <f>-'Bal Sheet'!CT$113</f>
        <v>-245</v>
      </c>
      <c r="BD68" s="8"/>
      <c r="BE68" s="8"/>
      <c r="BF68" s="8"/>
      <c r="BG68" s="8">
        <f>-'Bal Sheet'!CX$113</f>
        <v>-951</v>
      </c>
      <c r="BK68" s="8">
        <f>-'Bal Sheet'!DB$113</f>
        <v>-515</v>
      </c>
      <c r="BO68" s="8">
        <f>-'Bal Sheet'!DF$113</f>
        <v>-433</v>
      </c>
      <c r="BS68" s="8">
        <f>-'Bal Sheet'!DJ$113</f>
        <v>-633</v>
      </c>
      <c r="BW68" s="8">
        <f>-'Bal Sheet'!DN$113</f>
        <v>-633</v>
      </c>
      <c r="BZ68" s="38">
        <v>-633</v>
      </c>
      <c r="CA68" s="38"/>
      <c r="CB68" s="38"/>
      <c r="CC68" s="38"/>
      <c r="CD68" s="38">
        <v>-633</v>
      </c>
    </row>
    <row r="69" spans="2:83" ht="14.4" thickBot="1">
      <c r="B69" s="8">
        <f>-'Bal Sheet'!AP$110</f>
        <v>-391</v>
      </c>
      <c r="C69" s="8">
        <f>-'Bal Sheet'!AT$110</f>
        <v>-391</v>
      </c>
      <c r="G69" s="8">
        <f>-'Bal Sheet'!AX$110</f>
        <v>-391</v>
      </c>
      <c r="K69" s="8">
        <f>-'Bal Sheet'!BB$110</f>
        <v>-391</v>
      </c>
      <c r="O69" s="8">
        <f>-'Bal Sheet'!BF$110</f>
        <v>-391</v>
      </c>
      <c r="S69" s="8">
        <f>-'Bal Sheet'!BJ$110</f>
        <v>-391</v>
      </c>
      <c r="T69" s="8">
        <f>-'Bal Sheet'!BN$110</f>
        <v>-391</v>
      </c>
      <c r="X69" s="8"/>
      <c r="AB69" s="8">
        <f>-'Bal Sheet'!BV$110</f>
        <v>-391</v>
      </c>
      <c r="AC69" s="8"/>
      <c r="AD69" s="8"/>
      <c r="AE69" s="8"/>
      <c r="AF69" s="8">
        <f>-'Bal Sheet'!BZ$110</f>
        <v>-391</v>
      </c>
      <c r="AI69" s="1" t="s">
        <v>408</v>
      </c>
      <c r="AJ69" s="8"/>
      <c r="AK69" s="8"/>
      <c r="AL69" s="8"/>
      <c r="AM69" s="8">
        <f>-'Bal Sheet'!CD$110</f>
        <v>-391</v>
      </c>
      <c r="AN69" s="8"/>
      <c r="AO69" s="8"/>
      <c r="AP69" s="8"/>
      <c r="AQ69" s="8">
        <f>-'Bal Sheet'!CH$110</f>
        <v>-391</v>
      </c>
      <c r="AR69" s="8"/>
      <c r="AS69" s="8"/>
      <c r="AT69" s="8"/>
      <c r="AU69" s="8">
        <f>-'Bal Sheet'!CL$110</f>
        <v>-391</v>
      </c>
      <c r="AY69" s="8">
        <f>-'Bal Sheet'!CP$110</f>
        <v>0</v>
      </c>
      <c r="AZ69" s="8"/>
      <c r="BA69" s="8"/>
      <c r="BB69" s="8"/>
      <c r="BC69" s="8">
        <f>-'Bal Sheet'!CT$110</f>
        <v>0</v>
      </c>
      <c r="BD69" s="8"/>
      <c r="BE69" s="8"/>
      <c r="BF69" s="8"/>
      <c r="BG69" s="8">
        <f>-'Bal Sheet'!CX$110</f>
        <v>0</v>
      </c>
      <c r="BK69" s="8">
        <f>-'Bal Sheet'!DB$110</f>
        <v>0</v>
      </c>
      <c r="BO69" s="8">
        <f>-'Bal Sheet'!DF$110</f>
        <v>0</v>
      </c>
      <c r="BS69" s="8">
        <f>-'Bal Sheet'!DJ$110</f>
        <v>0</v>
      </c>
      <c r="BW69" s="8">
        <f>-'Bal Sheet'!DN$110</f>
        <v>0</v>
      </c>
      <c r="BZ69" s="38">
        <v>0</v>
      </c>
      <c r="CA69" s="38"/>
      <c r="CB69" s="38"/>
      <c r="CC69" s="38"/>
      <c r="CD69" s="38">
        <v>0</v>
      </c>
    </row>
    <row r="70" spans="2:83" ht="14.4" thickBot="1">
      <c r="B70" s="456">
        <f>SUM(B67:B69)</f>
        <v>19945.211153589771</v>
      </c>
      <c r="C70" s="90">
        <f>SUM(C67:C69)</f>
        <v>8681.7891431818898</v>
      </c>
      <c r="G70" s="90">
        <f>SUM(G67:G69)</f>
        <v>15766.178837894415</v>
      </c>
      <c r="K70" s="90">
        <f>SUM(K67:K69)</f>
        <v>13976.842878019001</v>
      </c>
      <c r="O70" s="90">
        <f>SUM(O67:O69)</f>
        <v>10553.75514233801</v>
      </c>
      <c r="S70" s="90">
        <f>SUM(S67:S69)</f>
        <v>12577.637802030731</v>
      </c>
      <c r="T70" s="7">
        <f>SUM(T67:T69)</f>
        <v>25261.966389952002</v>
      </c>
      <c r="X70" s="7"/>
      <c r="AB70" s="7">
        <f>SUM(AB67:AB69)</f>
        <v>31691.662604919271</v>
      </c>
      <c r="AC70" s="7"/>
      <c r="AD70" s="7"/>
      <c r="AE70" s="7"/>
      <c r="AF70" s="7">
        <f>SUM(AF67:AF69)</f>
        <v>34166.236218768172</v>
      </c>
      <c r="AI70" s="1" t="s">
        <v>560</v>
      </c>
      <c r="AJ70" s="7"/>
      <c r="AK70" s="7"/>
      <c r="AL70" s="7"/>
      <c r="AM70" s="7">
        <f>SUM(AM67:AM69)</f>
        <v>44496.148726289211</v>
      </c>
      <c r="AN70" s="7"/>
      <c r="AO70" s="7"/>
      <c r="AP70" s="7"/>
      <c r="AQ70" s="7">
        <f>SUM(AQ67:AQ69)</f>
        <v>47441.33305183379</v>
      </c>
      <c r="AR70" s="7"/>
      <c r="AS70" s="7"/>
      <c r="AT70" s="7"/>
      <c r="AU70" s="7">
        <f>SUM(AU67:AU69)</f>
        <v>44481.048962676672</v>
      </c>
      <c r="AY70" s="7">
        <f>SUM(AY67:AY69)</f>
        <v>44649.12447151824</v>
      </c>
      <c r="AZ70" s="7"/>
      <c r="BA70" s="7"/>
      <c r="BB70" s="7"/>
      <c r="BC70" s="7">
        <f>SUM(BC67:BC69)</f>
        <v>63617.13542119474</v>
      </c>
      <c r="BD70" s="7"/>
      <c r="BE70" s="7"/>
      <c r="BF70" s="7"/>
      <c r="BG70" s="7">
        <f>SUM(BG67:BG69)</f>
        <v>71436.047329722787</v>
      </c>
      <c r="BK70" s="7">
        <f>SUM(BK67:BK69)</f>
        <v>50450.357457329294</v>
      </c>
      <c r="BO70" s="7">
        <f>SUM(BO67:BO69)</f>
        <v>55533.113022699239</v>
      </c>
      <c r="BS70" s="7">
        <f>SUM(BS67:BS69)</f>
        <v>69966.549708277525</v>
      </c>
      <c r="BW70" s="7">
        <f>SUM(BW67:BW69)</f>
        <v>66053.119781106507</v>
      </c>
      <c r="BZ70" s="575">
        <v>71591.35214720192</v>
      </c>
      <c r="CA70" s="575"/>
      <c r="CB70" s="575"/>
      <c r="CC70" s="575"/>
      <c r="CD70" s="575">
        <v>66461.567490468296</v>
      </c>
      <c r="CE70" s="350"/>
    </row>
    <row r="71" spans="2:83">
      <c r="B71" s="24">
        <f>'EPS and DPS'!AP$43</f>
        <v>274.57084000000003</v>
      </c>
      <c r="C71" s="24">
        <f>'EPS and DPS'!AT$43</f>
        <v>283.43799999999999</v>
      </c>
      <c r="G71" s="24">
        <f>'EPS and DPS'!AX$43</f>
        <v>344.24427100000003</v>
      </c>
      <c r="K71" s="24">
        <f>'EPS and DPS'!BB$43</f>
        <v>346.81496099999998</v>
      </c>
      <c r="O71" s="24">
        <f>'EPS and DPS'!BF$43</f>
        <v>348.584383</v>
      </c>
      <c r="S71" s="24">
        <f>'EPS and DPS'!BJ$43</f>
        <v>339.50657799999999</v>
      </c>
      <c r="T71" s="24">
        <f>'EPS and DPS'!BN$43</f>
        <v>321.07474999999999</v>
      </c>
      <c r="X71" s="24"/>
      <c r="AB71" s="24">
        <f>X71</f>
        <v>0</v>
      </c>
      <c r="AC71" s="24"/>
      <c r="AD71" s="24"/>
      <c r="AE71" s="24"/>
      <c r="AF71" s="24">
        <f>AB71</f>
        <v>0</v>
      </c>
      <c r="AI71" s="1" t="s">
        <v>415</v>
      </c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Y71" s="24"/>
      <c r="AZ71" s="24"/>
      <c r="BA71" s="24"/>
      <c r="BB71" s="24"/>
      <c r="BC71" s="24"/>
      <c r="BD71" s="24"/>
      <c r="BE71" s="24"/>
      <c r="BF71" s="24"/>
      <c r="BG71" s="24"/>
      <c r="BK71" s="24"/>
      <c r="BO71" s="24"/>
      <c r="BS71" s="24"/>
      <c r="BW71" s="24"/>
      <c r="BZ71" s="443"/>
      <c r="CA71" s="443"/>
      <c r="CB71" s="443"/>
      <c r="CC71" s="443"/>
      <c r="CD71" s="443"/>
    </row>
    <row r="72" spans="2:83">
      <c r="B72" s="351">
        <f>ROUND(B70/B71,1)</f>
        <v>72.599999999999994</v>
      </c>
      <c r="C72" s="351">
        <f>ROUND(C70/C71,1)</f>
        <v>30.6</v>
      </c>
      <c r="G72" s="351">
        <f>ROUND(G70/G71,1)</f>
        <v>45.8</v>
      </c>
      <c r="K72" s="351">
        <f>ROUND(K70/K71,1)</f>
        <v>40.299999999999997</v>
      </c>
      <c r="O72" s="351">
        <f>ROUND(O70/O71,1)</f>
        <v>30.3</v>
      </c>
      <c r="S72" s="351">
        <f>ROUND(S70/S71,1)</f>
        <v>37</v>
      </c>
      <c r="T72" s="352">
        <f>ROUND(T70/T71,1)</f>
        <v>78.7</v>
      </c>
      <c r="U72" s="94"/>
      <c r="V72" s="94"/>
      <c r="W72" s="94"/>
      <c r="X72" s="352"/>
      <c r="Y72" s="94"/>
      <c r="Z72" s="94"/>
      <c r="AA72" s="94"/>
      <c r="AB72" s="352"/>
      <c r="AC72" s="352"/>
      <c r="AD72" s="352"/>
      <c r="AE72" s="352"/>
      <c r="AF72" s="352"/>
      <c r="AI72" s="2" t="s">
        <v>414</v>
      </c>
      <c r="AJ72" s="351"/>
      <c r="AK72" s="351"/>
      <c r="AL72" s="351"/>
      <c r="AM72" s="351"/>
      <c r="AN72" s="351"/>
      <c r="AO72" s="351"/>
      <c r="AP72" s="351"/>
      <c r="AQ72" s="351"/>
      <c r="AR72" s="351"/>
      <c r="AS72" s="351"/>
      <c r="AT72" s="351"/>
      <c r="AU72" s="351"/>
      <c r="AY72" s="351"/>
      <c r="AZ72" s="351"/>
      <c r="BA72" s="351"/>
      <c r="BB72" s="351"/>
      <c r="BC72" s="351"/>
      <c r="BD72" s="351"/>
      <c r="BE72" s="351"/>
      <c r="BF72" s="351"/>
      <c r="BG72" s="351"/>
      <c r="BK72" s="351"/>
      <c r="BO72" s="351"/>
      <c r="BS72" s="351"/>
      <c r="BW72" s="351"/>
      <c r="BZ72" s="351"/>
      <c r="CA72" s="351"/>
      <c r="CB72" s="351"/>
      <c r="CC72" s="351"/>
      <c r="CD72" s="351"/>
    </row>
    <row r="73" spans="2:83">
      <c r="B73" s="351">
        <v>75.3</v>
      </c>
      <c r="C73" s="351">
        <v>29</v>
      </c>
      <c r="G73" s="351">
        <v>45.8</v>
      </c>
      <c r="K73" s="351">
        <v>39.700000000000003</v>
      </c>
      <c r="O73" s="351">
        <v>28.7</v>
      </c>
      <c r="S73" s="351">
        <v>36.1</v>
      </c>
      <c r="T73" s="351">
        <v>82.1</v>
      </c>
      <c r="U73" s="353"/>
      <c r="V73" s="353"/>
      <c r="W73" s="353"/>
      <c r="X73" s="351"/>
      <c r="Y73" s="353"/>
      <c r="Z73" s="353"/>
      <c r="AA73" s="353"/>
      <c r="AB73" s="351"/>
      <c r="AC73" s="351"/>
      <c r="AD73" s="351"/>
      <c r="AE73" s="351"/>
      <c r="AF73" s="351"/>
      <c r="AI73" s="2" t="s">
        <v>409</v>
      </c>
      <c r="AJ73" s="351"/>
      <c r="AK73" s="351"/>
      <c r="AL73" s="351"/>
      <c r="AM73" s="351"/>
      <c r="AN73" s="351"/>
      <c r="AO73" s="351"/>
      <c r="AP73" s="351"/>
      <c r="AQ73" s="351"/>
      <c r="AR73" s="351"/>
      <c r="AS73" s="351"/>
      <c r="AT73" s="351"/>
      <c r="AU73" s="351"/>
      <c r="AY73" s="351"/>
      <c r="AZ73" s="351"/>
      <c r="BA73" s="351"/>
      <c r="BB73" s="351"/>
      <c r="BC73" s="351"/>
      <c r="BD73" s="351"/>
      <c r="BE73" s="351"/>
      <c r="BF73" s="351"/>
      <c r="BG73" s="351"/>
      <c r="BK73" s="351"/>
      <c r="BO73" s="351"/>
      <c r="BS73" s="351"/>
      <c r="BW73" s="351"/>
    </row>
    <row r="75" spans="2:83">
      <c r="T75" s="355"/>
      <c r="U75" s="356"/>
      <c r="V75" s="356"/>
      <c r="W75" s="356"/>
      <c r="X75" s="357"/>
      <c r="Y75" s="356"/>
      <c r="Z75" s="356"/>
      <c r="AA75" s="356"/>
      <c r="AB75" s="357"/>
      <c r="AC75" s="355"/>
      <c r="AD75" s="355"/>
      <c r="AE75" s="355"/>
      <c r="AF75" s="355"/>
      <c r="AI75" s="354" t="s">
        <v>1100</v>
      </c>
      <c r="AJ75" s="355"/>
      <c r="AK75" s="355"/>
      <c r="AL75" s="355"/>
      <c r="AM75" s="355"/>
      <c r="AN75" s="355"/>
      <c r="AO75" s="355"/>
      <c r="AP75" s="355"/>
      <c r="AQ75" s="355"/>
      <c r="AR75" s="355"/>
      <c r="AS75" s="355"/>
      <c r="AT75" s="355"/>
      <c r="AU75" s="355"/>
      <c r="AY75" s="355"/>
      <c r="AZ75" s="355"/>
      <c r="BA75" s="355"/>
      <c r="BB75" s="355"/>
      <c r="BC75" s="355"/>
      <c r="BD75" s="355"/>
      <c r="BE75" s="355"/>
      <c r="BF75" s="355"/>
      <c r="BG75" s="355"/>
      <c r="BK75" s="355"/>
      <c r="BO75" s="355"/>
      <c r="BS75" s="355"/>
      <c r="BW75" s="355"/>
    </row>
    <row r="76" spans="2:83">
      <c r="X76" s="7"/>
      <c r="AB76" s="7"/>
      <c r="AI76" s="2" t="s">
        <v>1102</v>
      </c>
    </row>
    <row r="77" spans="2:83">
      <c r="X77" s="8"/>
      <c r="AB77" s="358"/>
      <c r="AC77" s="358">
        <v>0.66</v>
      </c>
      <c r="AD77" s="358">
        <v>0.66</v>
      </c>
      <c r="AE77" s="358">
        <v>0.66</v>
      </c>
      <c r="AF77" s="358">
        <v>0.66</v>
      </c>
      <c r="AI77" s="1" t="s">
        <v>591</v>
      </c>
      <c r="AM77" s="447">
        <f>DIVISIONS!BZ266</f>
        <v>0.43213918409324648</v>
      </c>
      <c r="AN77" s="447">
        <f>DIVISIONS!CA266</f>
        <v>0</v>
      </c>
      <c r="AO77" s="447">
        <f>DIVISIONS!CB266</f>
        <v>0.37343283582089548</v>
      </c>
      <c r="AP77" s="447">
        <f>DIVISIONS!CC266</f>
        <v>0.48020489094514207</v>
      </c>
      <c r="AQ77" s="447">
        <f>DIVISIONS!CD266</f>
        <v>0.43005608131791101</v>
      </c>
      <c r="AR77" s="447">
        <f>DIVISIONS!CE266</f>
        <v>0</v>
      </c>
      <c r="AS77" s="447">
        <f>DIVISIONS!CF266</f>
        <v>0.47977017637626934</v>
      </c>
      <c r="AT77" s="447">
        <f>DIVISIONS!CG266</f>
        <v>0.5928271028037384</v>
      </c>
      <c r="AU77" s="447"/>
      <c r="AY77" s="447">
        <f>DIVISIONS!CP266</f>
        <v>0.65374076721467711</v>
      </c>
      <c r="AZ77" s="447"/>
      <c r="BA77" s="447"/>
      <c r="BB77" s="447"/>
      <c r="BC77" s="447">
        <f>DIVISIONS!CT266</f>
        <v>0.66498141991003323</v>
      </c>
      <c r="BD77" s="447"/>
      <c r="BE77" s="447"/>
      <c r="BF77" s="447"/>
      <c r="BG77" s="447">
        <f>DIVISIONS!CX266</f>
        <v>0.76984235352532271</v>
      </c>
      <c r="BK77" s="447">
        <f>DIVISIONS!DB266</f>
        <v>0.63628177966101696</v>
      </c>
      <c r="BO77" s="447">
        <f>DIVISIONS!DF266</f>
        <v>0.58072887389919425</v>
      </c>
      <c r="BS77" s="447">
        <f>DIVISIONS!DJ266</f>
        <v>0.5964696640160273</v>
      </c>
      <c r="BW77" s="447">
        <f>DIVISIONS!DN266</f>
        <v>0.60749318416685905</v>
      </c>
    </row>
    <row r="78" spans="2:83">
      <c r="X78" s="8"/>
      <c r="AB78" s="93"/>
      <c r="AC78" s="93">
        <v>0.66</v>
      </c>
      <c r="AD78" s="93">
        <v>0.66</v>
      </c>
      <c r="AE78" s="93">
        <v>0.66</v>
      </c>
      <c r="AF78" s="93">
        <f>100%-AF77</f>
        <v>0.33999999999999997</v>
      </c>
      <c r="AI78" s="1" t="s">
        <v>975</v>
      </c>
      <c r="AM78" s="447">
        <f>DIVISIONS!BZ267</f>
        <v>0.2569592046623243</v>
      </c>
      <c r="AN78" s="447">
        <f>DIVISIONS!CA267</f>
        <v>0</v>
      </c>
      <c r="AO78" s="447">
        <f>DIVISIONS!CB267</f>
        <v>0.26</v>
      </c>
      <c r="AP78" s="447">
        <f>DIVISIONS!CC267</f>
        <v>0.19401850627891606</v>
      </c>
      <c r="AQ78" s="447">
        <f>DIVISIONS!CD267</f>
        <v>0.2250087627059236</v>
      </c>
      <c r="AR78" s="447">
        <f>DIVISIONS!CE267</f>
        <v>0</v>
      </c>
      <c r="AS78" s="447">
        <f>DIVISIONS!CF267</f>
        <v>0.20451630144307856</v>
      </c>
      <c r="AT78" s="447">
        <f>DIVISIONS!CG267</f>
        <v>0.17039719626168223</v>
      </c>
      <c r="AU78" s="447"/>
      <c r="AY78" s="447">
        <f>DIVISIONS!CP267</f>
        <v>0.18459614010007147</v>
      </c>
      <c r="AZ78" s="447"/>
      <c r="BA78" s="447"/>
      <c r="BB78" s="447"/>
      <c r="BC78" s="447">
        <f>DIVISIONS!CT267</f>
        <v>0.1885487971836495</v>
      </c>
      <c r="BD78" s="447"/>
      <c r="BE78" s="447"/>
      <c r="BF78" s="447"/>
      <c r="BG78" s="447">
        <f>DIVISIONS!CX267</f>
        <v>0.13727035749751734</v>
      </c>
      <c r="BK78" s="447">
        <f>DIVISIONS!DB267</f>
        <v>0.2328566384180791</v>
      </c>
      <c r="BO78" s="447">
        <f>DIVISIONS!DF267</f>
        <v>0.26594528761476482</v>
      </c>
      <c r="BS78" s="447">
        <f>DIVISIONS!DJ267</f>
        <v>0.24667103484710223</v>
      </c>
      <c r="BW78" s="447">
        <f>DIVISIONS!DN267</f>
        <v>0.23915513366145102</v>
      </c>
    </row>
    <row r="79" spans="2:83">
      <c r="X79" s="7"/>
      <c r="AB79" s="348"/>
      <c r="AC79" s="348" t="str">
        <f>CF32</f>
        <v>CGM</v>
      </c>
      <c r="AD79" s="348" t="e">
        <f>#REF!</f>
        <v>#REF!</v>
      </c>
      <c r="AE79" s="348" t="e">
        <f>#REF!</f>
        <v>#REF!</v>
      </c>
      <c r="AI79" s="1" t="s">
        <v>1108</v>
      </c>
      <c r="AM79" s="447">
        <f>DIVISIONS!BZ268</f>
        <v>0.31090161124442922</v>
      </c>
      <c r="AN79" s="447">
        <f>DIVISIONS!CA268</f>
        <v>0</v>
      </c>
      <c r="AO79" s="447">
        <f>DIVISIONS!CB268</f>
        <v>0.36656716417910445</v>
      </c>
      <c r="AP79" s="447">
        <f>DIVISIONS!CC268</f>
        <v>0.32577660277594184</v>
      </c>
      <c r="AQ79" s="447">
        <f>DIVISIONS!CD268</f>
        <v>0.34493515597616542</v>
      </c>
      <c r="AR79" s="447">
        <f>DIVISIONS!CE268</f>
        <v>0</v>
      </c>
      <c r="AS79" s="447">
        <f>DIVISIONS!CF268</f>
        <v>0.31571352218065207</v>
      </c>
      <c r="AT79" s="447">
        <f>DIVISIONS!CG268</f>
        <v>0.23677570093457945</v>
      </c>
      <c r="AU79" s="447"/>
      <c r="AY79" s="447">
        <f>DIVISIONS!CP268</f>
        <v>0.16166309268525136</v>
      </c>
      <c r="AZ79" s="447"/>
      <c r="BA79" s="447"/>
      <c r="BB79" s="447"/>
      <c r="BC79" s="447">
        <f>DIVISIONS!CT268</f>
        <v>0.14646978290631724</v>
      </c>
      <c r="BD79" s="447"/>
      <c r="BE79" s="447"/>
      <c r="BF79" s="447"/>
      <c r="BG79" s="447">
        <f>DIVISIONS!CX268</f>
        <v>9.2887288977159865E-2</v>
      </c>
      <c r="BK79" s="447">
        <f>DIVISIONS!DB268</f>
        <v>0.13086158192090397</v>
      </c>
      <c r="BO79" s="447">
        <f>DIVISIONS!DF268</f>
        <v>0.15332583848604084</v>
      </c>
      <c r="BS79" s="447">
        <f>DIVISIONS!DJ268</f>
        <v>0.15685930113687038</v>
      </c>
      <c r="BW79" s="447">
        <f>DIVISIONS!DN268</f>
        <v>0.1533516821716899</v>
      </c>
    </row>
    <row r="80" spans="2:83">
      <c r="X80" s="7"/>
      <c r="AB80" s="7"/>
      <c r="AF80" s="348" t="str">
        <f>CF32</f>
        <v>CGM</v>
      </c>
      <c r="AI80" s="2" t="s">
        <v>1120</v>
      </c>
      <c r="AJ80" s="457"/>
      <c r="AK80" s="457"/>
      <c r="AL80" s="457"/>
      <c r="AM80" s="457" t="str">
        <f t="shared" ref="AM80" si="36">CF32</f>
        <v>CGM</v>
      </c>
      <c r="AN80" s="457"/>
      <c r="AO80" s="457"/>
      <c r="AP80" s="457"/>
      <c r="AQ80" s="457"/>
      <c r="AR80" s="457"/>
      <c r="AS80" s="457"/>
      <c r="AT80" s="457"/>
      <c r="AU80" s="457"/>
      <c r="AY80" s="457">
        <f t="shared" ref="AY80" si="37">CK32</f>
        <v>0</v>
      </c>
      <c r="AZ80" s="457"/>
      <c r="BA80" s="457"/>
      <c r="BB80" s="457"/>
      <c r="BC80" s="457">
        <f t="shared" ref="BC80" si="38">CO32</f>
        <v>0</v>
      </c>
      <c r="BD80" s="457"/>
      <c r="BE80" s="457"/>
      <c r="BF80" s="457"/>
      <c r="BG80" s="457">
        <f t="shared" ref="BG80" si="39">CS32</f>
        <v>0</v>
      </c>
      <c r="BK80" s="457">
        <f t="shared" ref="BK80" si="40">CW32</f>
        <v>0</v>
      </c>
      <c r="BO80" s="457">
        <f t="shared" ref="BO80" si="41">DA32</f>
        <v>0</v>
      </c>
      <c r="BS80" s="457">
        <f t="shared" ref="BS80" si="42">DE32</f>
        <v>0</v>
      </c>
      <c r="BW80" s="457">
        <f t="shared" ref="BW80" si="43">DI32</f>
        <v>0</v>
      </c>
    </row>
    <row r="81" spans="20:75">
      <c r="X81" s="8"/>
      <c r="AB81" s="8"/>
      <c r="AI81" s="2"/>
    </row>
    <row r="82" spans="20:75">
      <c r="T82" s="5"/>
      <c r="U82" s="2"/>
      <c r="V82" s="2"/>
      <c r="W82" s="2"/>
      <c r="X82" s="7"/>
      <c r="AB82" s="359"/>
      <c r="AC82" s="36"/>
      <c r="AD82" s="36"/>
      <c r="AE82" s="36"/>
      <c r="AI82" s="2" t="s">
        <v>1101</v>
      </c>
    </row>
    <row r="83" spans="20:75">
      <c r="AB83" s="359"/>
      <c r="AC83" s="36"/>
      <c r="AD83" s="36"/>
      <c r="AE83" s="36"/>
      <c r="AF83" s="359">
        <v>0.15</v>
      </c>
      <c r="AI83" s="1" t="s">
        <v>591</v>
      </c>
      <c r="AM83" s="359">
        <v>0.6</v>
      </c>
      <c r="AN83" s="36">
        <v>0.6</v>
      </c>
      <c r="AO83" s="36">
        <v>0.6</v>
      </c>
      <c r="AP83" s="36">
        <v>0.6</v>
      </c>
      <c r="AQ83" s="359">
        <v>0.8</v>
      </c>
      <c r="AR83" s="359">
        <v>0.8</v>
      </c>
      <c r="AS83" s="359">
        <v>0.8</v>
      </c>
      <c r="AT83" s="359">
        <v>0.8</v>
      </c>
      <c r="AU83" s="359"/>
      <c r="AY83" s="359">
        <v>0.1</v>
      </c>
      <c r="AZ83" s="359">
        <v>0.1</v>
      </c>
      <c r="BA83" s="359">
        <v>0.1</v>
      </c>
      <c r="BB83" s="359">
        <v>0.1</v>
      </c>
      <c r="BC83" s="359">
        <v>0</v>
      </c>
      <c r="BD83" s="359">
        <v>0</v>
      </c>
      <c r="BE83" s="359">
        <v>0</v>
      </c>
      <c r="BF83" s="359">
        <v>0</v>
      </c>
      <c r="BG83" s="359">
        <v>0</v>
      </c>
      <c r="BH83" s="359">
        <v>0</v>
      </c>
      <c r="BI83" s="359">
        <v>0</v>
      </c>
      <c r="BJ83" s="359">
        <v>0</v>
      </c>
      <c r="BK83" s="359">
        <v>0</v>
      </c>
      <c r="BL83" s="359">
        <v>0</v>
      </c>
      <c r="BM83" s="359">
        <v>0</v>
      </c>
      <c r="BN83" s="359">
        <v>0</v>
      </c>
      <c r="BO83" s="359">
        <v>0</v>
      </c>
      <c r="BP83" s="359">
        <v>0</v>
      </c>
      <c r="BQ83" s="359">
        <v>0</v>
      </c>
      <c r="BR83" s="359">
        <v>0</v>
      </c>
      <c r="BS83" s="359">
        <v>0</v>
      </c>
      <c r="BT83" s="359">
        <v>0</v>
      </c>
      <c r="BU83" s="359">
        <v>0</v>
      </c>
      <c r="BV83" s="359">
        <v>0</v>
      </c>
      <c r="BW83" s="359">
        <v>0</v>
      </c>
    </row>
    <row r="84" spans="20:75">
      <c r="AB84" s="36"/>
      <c r="AC84" s="36"/>
      <c r="AD84" s="36"/>
      <c r="AE84" s="36"/>
      <c r="AF84" s="359">
        <v>0</v>
      </c>
      <c r="AI84" s="1" t="s">
        <v>975</v>
      </c>
      <c r="AM84" s="359">
        <v>0</v>
      </c>
      <c r="AQ84" s="359">
        <v>0</v>
      </c>
      <c r="AR84" s="359"/>
      <c r="AS84" s="359"/>
      <c r="AT84" s="359"/>
      <c r="AU84" s="359"/>
      <c r="AY84" s="359">
        <v>0</v>
      </c>
      <c r="AZ84" s="359"/>
      <c r="BA84" s="359"/>
      <c r="BB84" s="359"/>
      <c r="BC84" s="359">
        <v>0</v>
      </c>
      <c r="BD84" s="359">
        <v>0</v>
      </c>
      <c r="BE84" s="359">
        <v>0</v>
      </c>
      <c r="BF84" s="359">
        <v>0</v>
      </c>
      <c r="BG84" s="359">
        <v>0</v>
      </c>
      <c r="BH84" s="359">
        <v>0</v>
      </c>
      <c r="BI84" s="359">
        <v>0</v>
      </c>
      <c r="BJ84" s="359">
        <v>0</v>
      </c>
      <c r="BK84" s="359">
        <v>0</v>
      </c>
      <c r="BL84" s="359">
        <v>0</v>
      </c>
      <c r="BM84" s="359">
        <v>0</v>
      </c>
      <c r="BN84" s="359">
        <v>0</v>
      </c>
      <c r="BO84" s="359">
        <v>0</v>
      </c>
      <c r="BP84" s="359">
        <v>0</v>
      </c>
      <c r="BQ84" s="359">
        <v>0</v>
      </c>
      <c r="BR84" s="359">
        <v>0</v>
      </c>
      <c r="BS84" s="359">
        <v>0</v>
      </c>
      <c r="BT84" s="359">
        <v>0</v>
      </c>
      <c r="BU84" s="359">
        <v>0</v>
      </c>
      <c r="BV84" s="359">
        <v>0</v>
      </c>
      <c r="BW84" s="359">
        <v>0</v>
      </c>
    </row>
    <row r="85" spans="20:75">
      <c r="AB85" s="36"/>
      <c r="AC85" s="36"/>
      <c r="AD85" s="36"/>
      <c r="AE85" s="36"/>
      <c r="AF85" s="359"/>
      <c r="AI85" s="1" t="s">
        <v>1108</v>
      </c>
      <c r="AM85" s="359">
        <v>0</v>
      </c>
      <c r="AQ85" s="359">
        <v>0</v>
      </c>
      <c r="AR85" s="359"/>
      <c r="AS85" s="359"/>
      <c r="AT85" s="359"/>
      <c r="AU85" s="359"/>
      <c r="AY85" s="359">
        <v>0</v>
      </c>
      <c r="AZ85" s="359"/>
      <c r="BA85" s="359"/>
      <c r="BB85" s="359"/>
      <c r="BC85" s="359">
        <v>0</v>
      </c>
      <c r="BD85" s="359">
        <v>0</v>
      </c>
      <c r="BE85" s="359">
        <v>0</v>
      </c>
      <c r="BF85" s="359">
        <v>0</v>
      </c>
      <c r="BG85" s="359">
        <v>0</v>
      </c>
      <c r="BH85" s="359">
        <v>0</v>
      </c>
      <c r="BI85" s="359">
        <v>0</v>
      </c>
      <c r="BJ85" s="359">
        <v>0</v>
      </c>
      <c r="BK85" s="359">
        <v>0</v>
      </c>
      <c r="BL85" s="359">
        <v>0</v>
      </c>
      <c r="BM85" s="359">
        <v>0</v>
      </c>
      <c r="BN85" s="359">
        <v>0</v>
      </c>
      <c r="BO85" s="359">
        <v>0</v>
      </c>
      <c r="BP85" s="359">
        <v>0</v>
      </c>
      <c r="BQ85" s="359">
        <v>0</v>
      </c>
      <c r="BR85" s="359">
        <v>0</v>
      </c>
      <c r="BS85" s="359">
        <v>0</v>
      </c>
      <c r="BT85" s="359">
        <v>0</v>
      </c>
      <c r="BU85" s="359">
        <v>0</v>
      </c>
      <c r="BV85" s="359">
        <v>0</v>
      </c>
      <c r="BW85" s="359">
        <v>0</v>
      </c>
    </row>
    <row r="86" spans="20:75">
      <c r="X86" s="8"/>
      <c r="AB86" s="348"/>
      <c r="AC86" s="348"/>
      <c r="AD86" s="348"/>
      <c r="AE86" s="348"/>
      <c r="AF86" s="36">
        <f>+AF77*AF83+AF78*AF84</f>
        <v>9.9000000000000005E-2</v>
      </c>
      <c r="AI86" s="2" t="s">
        <v>526</v>
      </c>
      <c r="AM86" s="37">
        <f>+AM77*AM83+AM78*AM84 +AM79*AM85</f>
        <v>0.25928351045594789</v>
      </c>
      <c r="AN86" s="37">
        <f t="shared" ref="AN86:AT86" si="44">+AN77*AN83+AN78*AN84 +AN79*AN85</f>
        <v>0</v>
      </c>
      <c r="AO86" s="37">
        <f t="shared" si="44"/>
        <v>0.22405970149253729</v>
      </c>
      <c r="AP86" s="37">
        <f t="shared" si="44"/>
        <v>0.28812293456708521</v>
      </c>
      <c r="AQ86" s="37">
        <f t="shared" si="44"/>
        <v>0.34404486505432885</v>
      </c>
      <c r="AR86" s="37">
        <f t="shared" si="44"/>
        <v>0</v>
      </c>
      <c r="AS86" s="37">
        <f t="shared" si="44"/>
        <v>0.38381614110101547</v>
      </c>
      <c r="AT86" s="37">
        <f t="shared" si="44"/>
        <v>0.47426168224299076</v>
      </c>
      <c r="AU86" s="37"/>
      <c r="AY86" s="37">
        <f t="shared" ref="AY86" si="45">+AY77*AY83+AY78*AY84 +AY79*AY85</f>
        <v>6.5374076721467708E-2</v>
      </c>
      <c r="AZ86" s="37"/>
      <c r="BA86" s="37"/>
      <c r="BB86" s="37"/>
      <c r="BC86" s="1383">
        <v>0.2</v>
      </c>
      <c r="BD86" s="1383">
        <v>0.2</v>
      </c>
      <c r="BE86" s="1383">
        <v>0.2</v>
      </c>
      <c r="BF86" s="1383">
        <v>0.2</v>
      </c>
      <c r="BG86" s="1383">
        <v>0.25</v>
      </c>
      <c r="BH86" s="1384">
        <v>0.2</v>
      </c>
      <c r="BI86" s="1384">
        <v>0.2</v>
      </c>
      <c r="BJ86" s="1384">
        <v>0.2</v>
      </c>
      <c r="BK86" s="1383">
        <v>0</v>
      </c>
      <c r="BL86" s="1384">
        <v>0.05</v>
      </c>
      <c r="BM86" s="1384">
        <v>0.05</v>
      </c>
      <c r="BN86" s="1384">
        <v>0.05</v>
      </c>
      <c r="BO86" s="1383">
        <v>0</v>
      </c>
      <c r="BP86" s="1384">
        <v>0.05</v>
      </c>
      <c r="BQ86" s="1384">
        <v>0.05</v>
      </c>
      <c r="BR86" s="1384">
        <v>0.05</v>
      </c>
      <c r="BS86" s="1383">
        <v>0</v>
      </c>
      <c r="BT86" s="1384">
        <v>0.05</v>
      </c>
      <c r="BU86" s="1384">
        <v>0.05</v>
      </c>
      <c r="BV86" s="1384">
        <v>0.05</v>
      </c>
      <c r="BW86" s="1383">
        <v>0</v>
      </c>
    </row>
    <row r="87" spans="20:75">
      <c r="X87" s="8"/>
      <c r="AB87" s="93"/>
      <c r="AC87" s="93"/>
      <c r="AD87" s="93"/>
      <c r="AE87" s="93"/>
      <c r="AF87" s="348" t="e">
        <f>+AF80*(1+AF86)</f>
        <v>#VALUE!</v>
      </c>
      <c r="AI87" s="11" t="s">
        <v>1100</v>
      </c>
      <c r="AJ87" s="458"/>
      <c r="AK87" s="458"/>
      <c r="AL87" s="458"/>
      <c r="AM87" s="459" t="e">
        <f>+AM80*(1+AM86)</f>
        <v>#VALUE!</v>
      </c>
      <c r="AN87" s="458"/>
      <c r="AO87" s="458"/>
      <c r="AP87" s="458"/>
      <c r="AQ87" s="459">
        <f>+AQ80*(1+AQ86)</f>
        <v>0</v>
      </c>
      <c r="AR87" s="459"/>
      <c r="AS87" s="459"/>
      <c r="AT87" s="459"/>
      <c r="AU87" s="459"/>
      <c r="AY87" s="459">
        <f>+AY80*(1+AY86)</f>
        <v>0</v>
      </c>
      <c r="AZ87" s="459"/>
      <c r="BA87" s="459"/>
      <c r="BB87" s="459"/>
      <c r="BC87" s="459">
        <f>+BC80*(1+BC86)</f>
        <v>0</v>
      </c>
      <c r="BD87" s="459"/>
      <c r="BE87" s="459"/>
      <c r="BF87" s="459"/>
      <c r="BG87" s="459">
        <f>+BG80*(1+BG86)</f>
        <v>0</v>
      </c>
      <c r="BK87" s="459">
        <f>+BK80*(1+BK86)</f>
        <v>0</v>
      </c>
      <c r="BO87" s="459">
        <f>+BO80*(1+BO86)</f>
        <v>0</v>
      </c>
      <c r="BS87" s="459">
        <f>+BS80*(1+BS86)</f>
        <v>0</v>
      </c>
      <c r="BW87" s="459">
        <f>+BW80*(1+BW86)</f>
        <v>0</v>
      </c>
    </row>
  </sheetData>
  <phoneticPr fontId="9" type="noConversion"/>
  <pageMargins left="0.75" right="0.75" top="1" bottom="1" header="0.5" footer="0.5"/>
  <pageSetup paperSize="9" scale="95" orientation="portrait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">
    <tabColor indexed="52"/>
    <pageSetUpPr fitToPage="1"/>
  </sheetPr>
  <dimension ref="B2:M123"/>
  <sheetViews>
    <sheetView showGridLines="0" topLeftCell="A18" zoomScale="115" zoomScaleNormal="115" workbookViewId="0">
      <selection activeCell="C33" sqref="C33"/>
    </sheetView>
  </sheetViews>
  <sheetFormatPr defaultColWidth="9.109375" defaultRowHeight="13.8" outlineLevelRow="1"/>
  <cols>
    <col min="1" max="1" width="17" style="102" bestFit="1" customWidth="1"/>
    <col min="2" max="2" width="28.109375" style="102" customWidth="1"/>
    <col min="3" max="3" width="6.5546875" style="102" customWidth="1"/>
    <col min="4" max="4" width="9.109375" style="103" customWidth="1"/>
    <col min="5" max="5" width="8.6640625" style="103" customWidth="1"/>
    <col min="6" max="8" width="9.109375" style="102"/>
    <col min="9" max="9" width="23.109375" style="102" customWidth="1"/>
    <col min="10" max="12" width="9.109375" style="102"/>
    <col min="13" max="13" width="10.33203125" style="102" customWidth="1"/>
    <col min="14" max="14" width="9.109375" style="102"/>
    <col min="15" max="15" width="13.88671875" style="102" customWidth="1"/>
    <col min="16" max="16" width="9.88671875" style="102" bestFit="1" customWidth="1"/>
    <col min="17" max="17" width="9.88671875" style="102" customWidth="1"/>
    <col min="18" max="16384" width="9.109375" style="102"/>
  </cols>
  <sheetData>
    <row r="2" spans="2:13">
      <c r="E2" s="378"/>
      <c r="I2" s="412"/>
      <c r="J2" s="441"/>
    </row>
    <row r="3" spans="2:13">
      <c r="D3" s="370"/>
      <c r="E3" s="378"/>
      <c r="I3" s="413"/>
    </row>
    <row r="4" spans="2:13">
      <c r="B4" s="367" t="s">
        <v>960</v>
      </c>
      <c r="C4" s="367"/>
      <c r="D4" s="368"/>
      <c r="I4" s="399" t="s">
        <v>1159</v>
      </c>
      <c r="J4" s="399"/>
      <c r="K4" s="400"/>
      <c r="M4" s="586" t="s">
        <v>1038</v>
      </c>
    </row>
    <row r="5" spans="2:13">
      <c r="B5" s="314"/>
      <c r="C5" s="315"/>
      <c r="D5" s="316"/>
      <c r="E5" s="290"/>
      <c r="I5" s="314"/>
      <c r="J5" s="315"/>
      <c r="K5" s="316"/>
      <c r="M5" s="418"/>
    </row>
    <row r="6" spans="2:13" ht="14.4" thickBot="1">
      <c r="B6" s="289" t="s">
        <v>1114</v>
      </c>
      <c r="C6" s="464"/>
      <c r="D6" s="465"/>
      <c r="E6" s="379"/>
      <c r="F6" s="1766" t="s">
        <v>1362</v>
      </c>
      <c r="G6" s="328" t="s">
        <v>1112</v>
      </c>
      <c r="I6" s="289" t="str">
        <f>B6</f>
        <v>Bull Case: P/E</v>
      </c>
      <c r="J6" s="464"/>
      <c r="K6" s="465"/>
      <c r="M6" s="418"/>
    </row>
    <row r="7" spans="2:13" ht="14.4" outlineLevel="1" thickBot="1">
      <c r="B7" s="1407" t="s">
        <v>1384</v>
      </c>
      <c r="C7" s="103" t="s">
        <v>105</v>
      </c>
      <c r="D7" s="486">
        <f ca="1">'BULL BEAR'!DJ14/100</f>
        <v>14.421300504079811</v>
      </c>
      <c r="E7" s="369"/>
      <c r="F7" s="1403">
        <v>2</v>
      </c>
      <c r="G7" s="476">
        <f ca="1">+D7/G14*100-1</f>
        <v>0.32172808904105832</v>
      </c>
      <c r="I7" s="102" t="str">
        <f t="shared" ref="I7:I45" si="0">B7</f>
        <v>FY26E Bull Case EPS</v>
      </c>
      <c r="J7" s="103" t="s">
        <v>105</v>
      </c>
      <c r="K7" s="1767">
        <v>15.129895898524987</v>
      </c>
      <c r="M7" s="460">
        <f t="shared" ref="M7" ca="1" si="1">+D7/K7-1</f>
        <v>-4.6834122270084988E-2</v>
      </c>
    </row>
    <row r="8" spans="2:13" outlineLevel="1">
      <c r="B8" s="1407" t="s">
        <v>1425</v>
      </c>
      <c r="C8" s="103" t="s">
        <v>105</v>
      </c>
      <c r="D8" s="486">
        <f ca="1">'BULL BEAR'!DN14/100</f>
        <v>18.131571945216802</v>
      </c>
      <c r="E8" s="369"/>
      <c r="F8" s="1404">
        <f>12-F7</f>
        <v>10</v>
      </c>
      <c r="G8" s="476">
        <f ca="1">+D8/G18*100-1</f>
        <v>0.52515466170309133</v>
      </c>
      <c r="I8" s="102" t="str">
        <f t="shared" si="0"/>
        <v>FY27E Bull Case EPS</v>
      </c>
      <c r="J8" s="103" t="s">
        <v>105</v>
      </c>
      <c r="K8" s="1767">
        <v>18.422903412604132</v>
      </c>
      <c r="M8" s="460">
        <f ca="1">+D8/K8-1</f>
        <v>-1.581354799852086E-2</v>
      </c>
    </row>
    <row r="9" spans="2:13" ht="14.4" outlineLevel="1" thickBot="1">
      <c r="B9" s="1407" t="s">
        <v>997</v>
      </c>
      <c r="C9" s="103" t="s">
        <v>105</v>
      </c>
      <c r="D9" s="369">
        <f ca="1">+D7*(F7/12)+D8*(F8/12)</f>
        <v>17.513193371693969</v>
      </c>
      <c r="E9" s="369"/>
      <c r="F9" s="103"/>
      <c r="G9" s="103"/>
      <c r="H9" s="103"/>
      <c r="I9" s="102" t="str">
        <f t="shared" si="0"/>
        <v>12-month Fwd Bull Case EPS</v>
      </c>
      <c r="J9" s="103" t="s">
        <v>105</v>
      </c>
      <c r="K9" s="1767">
        <v>17.599651534084348</v>
      </c>
      <c r="M9" s="418"/>
    </row>
    <row r="10" spans="2:13" ht="14.4" outlineLevel="1" thickBot="1">
      <c r="B10" s="1407" t="s">
        <v>782</v>
      </c>
      <c r="C10" s="103" t="s">
        <v>523</v>
      </c>
      <c r="D10" s="374">
        <f>F10</f>
        <v>24</v>
      </c>
      <c r="E10" s="374"/>
      <c r="F10" s="462">
        <v>24</v>
      </c>
      <c r="G10" s="408"/>
      <c r="H10" s="408"/>
      <c r="I10" s="102" t="str">
        <f t="shared" si="0"/>
        <v>Bull Case P/E Multiple</v>
      </c>
      <c r="J10" s="103" t="s">
        <v>523</v>
      </c>
      <c r="K10" s="1768">
        <v>24</v>
      </c>
      <c r="M10" s="418"/>
    </row>
    <row r="11" spans="2:13">
      <c r="B11" s="466" t="s">
        <v>999</v>
      </c>
      <c r="C11" s="467" t="s">
        <v>105</v>
      </c>
      <c r="D11" s="468">
        <f ca="1">ROUND(D9*D10,1)</f>
        <v>420.3</v>
      </c>
      <c r="E11" s="1386">
        <f ca="1">+D11/D39-1</f>
        <v>0.9594405594405595</v>
      </c>
      <c r="I11" s="305" t="str">
        <f t="shared" si="0"/>
        <v>Bull Case Valuation</v>
      </c>
      <c r="J11" s="306" t="s">
        <v>105</v>
      </c>
      <c r="K11" s="1769">
        <v>422.4</v>
      </c>
      <c r="M11" s="592">
        <f ca="1">+D11/K11-1</f>
        <v>-4.9715909090908283E-3</v>
      </c>
    </row>
    <row r="12" spans="2:13" ht="14.4" thickBot="1">
      <c r="B12" s="1410" t="s">
        <v>1126</v>
      </c>
      <c r="C12" s="464"/>
      <c r="D12" s="465"/>
      <c r="E12" s="379"/>
      <c r="I12" s="289" t="str">
        <f t="shared" si="0"/>
        <v>Base Case: SOTP</v>
      </c>
      <c r="J12" s="464"/>
      <c r="K12" s="1770"/>
      <c r="M12" s="420"/>
    </row>
    <row r="13" spans="2:13" ht="14.4" outlineLevel="1" thickBot="1">
      <c r="B13" s="1407" t="s">
        <v>1385</v>
      </c>
      <c r="C13" s="103" t="s">
        <v>917</v>
      </c>
      <c r="D13" s="360">
        <f>F13</f>
        <v>0.16666666666666666</v>
      </c>
      <c r="E13" s="360"/>
      <c r="F13" s="475">
        <f>F7/(F7+F8)</f>
        <v>0.16666666666666666</v>
      </c>
      <c r="G13" s="409"/>
      <c r="H13" s="409"/>
      <c r="I13" s="102" t="str">
        <f t="shared" si="0"/>
        <v>FY26E Weight</v>
      </c>
      <c r="J13" s="103" t="s">
        <v>917</v>
      </c>
      <c r="K13" s="1771">
        <v>0.25</v>
      </c>
      <c r="M13" s="420"/>
    </row>
    <row r="14" spans="2:13" outlineLevel="1">
      <c r="B14" s="1407" t="s">
        <v>1386</v>
      </c>
      <c r="C14" s="103" t="s">
        <v>612</v>
      </c>
      <c r="D14" s="487">
        <f>'BULL BEAR'!DJ$5</f>
        <v>4172.6901979637696</v>
      </c>
      <c r="E14" s="293"/>
      <c r="F14" s="417" t="s">
        <v>819</v>
      </c>
      <c r="G14" s="488">
        <f>'EPS and DPS'!$DJ$32</f>
        <v>1091.0943501656811</v>
      </c>
      <c r="H14" s="2035">
        <f ca="1">+D38/G14*100</f>
        <v>20.438195832114587</v>
      </c>
      <c r="I14" s="102" t="str">
        <f t="shared" si="0"/>
        <v>FY26E Earnings</v>
      </c>
      <c r="J14" s="103" t="s">
        <v>612</v>
      </c>
      <c r="K14" s="576">
        <v>4220.2659513434883</v>
      </c>
      <c r="M14" s="460">
        <f t="shared" ref="M14" si="2">+D14/K14-1</f>
        <v>-1.1273164755072673E-2</v>
      </c>
    </row>
    <row r="15" spans="2:13" outlineLevel="1">
      <c r="B15" s="1410" t="s">
        <v>1387</v>
      </c>
      <c r="C15" s="290" t="s">
        <v>523</v>
      </c>
      <c r="D15" s="1557">
        <f>$D$51</f>
        <v>16.919432394652588</v>
      </c>
      <c r="E15" s="361"/>
      <c r="I15" s="102" t="str">
        <f t="shared" si="0"/>
        <v>FY26E P/E Multiple</v>
      </c>
      <c r="J15" s="103" t="s">
        <v>523</v>
      </c>
      <c r="K15" s="1772">
        <v>17.113696856997816</v>
      </c>
      <c r="M15" s="501">
        <f>D15-K15</f>
        <v>-0.19426446234522743</v>
      </c>
    </row>
    <row r="16" spans="2:13" outlineLevel="1">
      <c r="B16" s="1483" t="s">
        <v>1388</v>
      </c>
      <c r="C16" s="481" t="s">
        <v>612</v>
      </c>
      <c r="D16" s="482">
        <f>+D14*D15</f>
        <v>70599.549708277525</v>
      </c>
      <c r="E16" s="293"/>
      <c r="I16" s="308" t="str">
        <f t="shared" si="0"/>
        <v>FY26E Valuation</v>
      </c>
      <c r="J16" s="317" t="s">
        <v>612</v>
      </c>
      <c r="K16" s="1076">
        <v>72224.352147201949</v>
      </c>
      <c r="M16" s="420"/>
    </row>
    <row r="17" spans="2:13">
      <c r="B17" s="1407" t="s">
        <v>1426</v>
      </c>
      <c r="C17" s="103" t="s">
        <v>917</v>
      </c>
      <c r="D17" s="360">
        <f>100%-D13</f>
        <v>0.83333333333333337</v>
      </c>
      <c r="E17" s="360"/>
      <c r="I17" s="102" t="str">
        <f t="shared" si="0"/>
        <v>FY27E Weight</v>
      </c>
      <c r="J17" s="103" t="s">
        <v>917</v>
      </c>
      <c r="K17" s="1771">
        <v>0.75</v>
      </c>
      <c r="M17" s="420"/>
    </row>
    <row r="18" spans="2:13">
      <c r="B18" s="1407" t="s">
        <v>1427</v>
      </c>
      <c r="C18" s="103" t="s">
        <v>612</v>
      </c>
      <c r="D18" s="487">
        <f>'BULL BEAR'!DN$5</f>
        <v>4572.7102875162273</v>
      </c>
      <c r="E18" s="293"/>
      <c r="F18" s="417" t="s">
        <v>819</v>
      </c>
      <c r="G18" s="488">
        <f>'EPS and DPS'!$DN$32</f>
        <v>1188.8349687086722</v>
      </c>
      <c r="I18" s="102" t="str">
        <f t="shared" si="0"/>
        <v>FY27E Earnings</v>
      </c>
      <c r="J18" s="103" t="s">
        <v>612</v>
      </c>
      <c r="K18" s="576">
        <v>4539.0514157209018</v>
      </c>
      <c r="M18" s="460">
        <f t="shared" ref="M18" si="3">+D18/K18-1</f>
        <v>7.4153977808555371E-3</v>
      </c>
    </row>
    <row r="19" spans="2:13">
      <c r="B19" s="1410" t="s">
        <v>1428</v>
      </c>
      <c r="C19" s="290" t="s">
        <v>523</v>
      </c>
      <c r="D19" s="1557">
        <f>D52</f>
        <v>14.583499847598832</v>
      </c>
      <c r="E19" s="379">
        <f ca="1">+D11/D24-1</f>
        <v>1.4072164948453612</v>
      </c>
      <c r="I19" s="102" t="str">
        <f t="shared" si="0"/>
        <v>FY27E P/E Multiple</v>
      </c>
      <c r="J19" s="103" t="s">
        <v>523</v>
      </c>
      <c r="K19" s="1772">
        <v>14.781627557266207</v>
      </c>
      <c r="M19" s="501">
        <f>D19-K19</f>
        <v>-0.19812770966737503</v>
      </c>
    </row>
    <row r="20" spans="2:13">
      <c r="B20" s="1483" t="s">
        <v>1429</v>
      </c>
      <c r="C20" s="481" t="s">
        <v>612</v>
      </c>
      <c r="D20" s="482">
        <f>+D18*D19</f>
        <v>66686.119781106507</v>
      </c>
      <c r="E20" s="293"/>
      <c r="I20" s="308" t="str">
        <f t="shared" si="0"/>
        <v>FY27E Valuation</v>
      </c>
      <c r="J20" s="317" t="s">
        <v>612</v>
      </c>
      <c r="K20" s="1076">
        <v>67094.567490468267</v>
      </c>
      <c r="M20" s="420"/>
    </row>
    <row r="21" spans="2:13">
      <c r="B21" s="1484" t="s">
        <v>1143</v>
      </c>
      <c r="C21" s="484" t="s">
        <v>612</v>
      </c>
      <c r="D21" s="1377">
        <f>+(D13*D16)+(D17*D20)</f>
        <v>67338.358102301674</v>
      </c>
      <c r="E21" s="295"/>
      <c r="F21" s="421">
        <f>'Bal Sheet'!DH100</f>
        <v>633</v>
      </c>
      <c r="G21" s="861" t="s">
        <v>1210</v>
      </c>
      <c r="I21" s="289" t="str">
        <f t="shared" si="0"/>
        <v>Weighted Average SOTP Base Case</v>
      </c>
      <c r="J21" s="290" t="s">
        <v>612</v>
      </c>
      <c r="K21" s="577">
        <v>68377.013654651688</v>
      </c>
      <c r="M21" s="420"/>
    </row>
    <row r="22" spans="2:13">
      <c r="B22" s="1407" t="s">
        <v>1118</v>
      </c>
      <c r="C22" s="103" t="s">
        <v>612</v>
      </c>
      <c r="D22" s="293">
        <f>-F21</f>
        <v>-633</v>
      </c>
      <c r="E22" s="293"/>
      <c r="F22" s="152"/>
      <c r="I22" s="102" t="str">
        <f t="shared" si="0"/>
        <v>Outside Equity Interests + Pref.</v>
      </c>
      <c r="J22" s="102" t="s">
        <v>612</v>
      </c>
      <c r="K22" s="576">
        <v>-633</v>
      </c>
      <c r="M22" s="420"/>
    </row>
    <row r="23" spans="2:13">
      <c r="B23" s="1407" t="s">
        <v>525</v>
      </c>
      <c r="C23" s="103" t="s">
        <v>612</v>
      </c>
      <c r="D23" s="293">
        <f>+D21+D22</f>
        <v>66705.358102301674</v>
      </c>
      <c r="E23" s="293"/>
      <c r="I23" s="102" t="str">
        <f t="shared" si="0"/>
        <v>Group Value</v>
      </c>
      <c r="J23" s="103" t="s">
        <v>612</v>
      </c>
      <c r="K23" s="576">
        <v>67744.013654651688</v>
      </c>
      <c r="M23" s="420"/>
    </row>
    <row r="24" spans="2:13">
      <c r="B24" s="1485" t="s">
        <v>1125</v>
      </c>
      <c r="C24" s="478" t="s">
        <v>105</v>
      </c>
      <c r="D24" s="479">
        <f>ROUND(+D23/D47,1)</f>
        <v>174.6</v>
      </c>
      <c r="E24" s="379"/>
      <c r="I24" s="305" t="str">
        <f t="shared" si="0"/>
        <v>Base Case SOTP Valuation</v>
      </c>
      <c r="J24" s="306" t="s">
        <v>105</v>
      </c>
      <c r="K24" s="1769">
        <v>177.3</v>
      </c>
      <c r="M24" s="592">
        <f>+D24/K24-1</f>
        <v>-1.5228426395939132E-2</v>
      </c>
    </row>
    <row r="25" spans="2:13" ht="14.4" thickBot="1">
      <c r="B25" s="1407" t="s">
        <v>1012</v>
      </c>
      <c r="C25" s="103" t="s">
        <v>105</v>
      </c>
      <c r="D25" s="369">
        <f>+G14*(F7/12)/100+G18*(F8/12)/100</f>
        <v>11.725448656181738</v>
      </c>
      <c r="E25" s="380"/>
      <c r="I25" s="289" t="str">
        <f t="shared" si="0"/>
        <v>12-month Fwd Base Case EPS</v>
      </c>
      <c r="J25" s="290"/>
      <c r="K25" s="1773"/>
      <c r="M25" s="419"/>
    </row>
    <row r="26" spans="2:13" ht="14.4" thickBot="1">
      <c r="B26" s="1486" t="s">
        <v>1117</v>
      </c>
      <c r="C26" s="609" t="s">
        <v>523</v>
      </c>
      <c r="D26" s="610">
        <f>+D24/D25</f>
        <v>14.89068820474939</v>
      </c>
      <c r="E26" s="380"/>
      <c r="F26" s="1402">
        <f>+D26</f>
        <v>14.89068820474939</v>
      </c>
      <c r="I26" s="289" t="str">
        <f t="shared" si="0"/>
        <v>Base Case Implied P/E Multiple</v>
      </c>
      <c r="J26" s="290"/>
      <c r="K26" s="1774">
        <v>15.271370093787159</v>
      </c>
      <c r="M26" s="419"/>
    </row>
    <row r="27" spans="2:13">
      <c r="B27" s="289" t="s">
        <v>1115</v>
      </c>
      <c r="C27" s="464"/>
      <c r="D27" s="465"/>
      <c r="E27" s="379"/>
      <c r="G27" s="328" t="s">
        <v>1112</v>
      </c>
      <c r="I27" s="289" t="str">
        <f t="shared" si="0"/>
        <v>Bear Case: P/E</v>
      </c>
      <c r="J27" s="464"/>
      <c r="K27" s="1770"/>
      <c r="M27" s="420"/>
    </row>
    <row r="28" spans="2:13">
      <c r="B28" s="1407" t="s">
        <v>1389</v>
      </c>
      <c r="C28" s="103" t="s">
        <v>105</v>
      </c>
      <c r="D28" s="486">
        <f ca="1">'BULL BEAR'!$DJ$26/100</f>
        <v>6.2634181987971882</v>
      </c>
      <c r="E28" s="369"/>
      <c r="F28" s="463">
        <f>F7</f>
        <v>2</v>
      </c>
      <c r="G28" s="476">
        <f ca="1">+D28/G14*100-1</f>
        <v>-0.42595081737467555</v>
      </c>
      <c r="I28" s="102" t="str">
        <f t="shared" si="0"/>
        <v>FY26E Bear Case EPS</v>
      </c>
      <c r="J28" s="103" t="s">
        <v>105</v>
      </c>
      <c r="K28" s="1767">
        <v>6.6162151644805167</v>
      </c>
      <c r="M28" s="460">
        <f t="shared" ref="M28" ca="1" si="4">+D28/K28-1</f>
        <v>-5.3323079270054086E-2</v>
      </c>
    </row>
    <row r="29" spans="2:13">
      <c r="B29" s="1407" t="s">
        <v>1430</v>
      </c>
      <c r="C29" s="103" t="s">
        <v>105</v>
      </c>
      <c r="D29" s="486">
        <f ca="1">'BULL BEAR'!$DN$26/100</f>
        <v>8.1582024459289162</v>
      </c>
      <c r="E29" s="369"/>
      <c r="F29" s="463">
        <f>12-F28</f>
        <v>10</v>
      </c>
      <c r="G29" s="476">
        <f ca="1">+D29/G18*100-1</f>
        <v>-0.31376493284089213</v>
      </c>
      <c r="I29" s="102" t="str">
        <f t="shared" si="0"/>
        <v>FY27E Bear Case EPS</v>
      </c>
      <c r="J29" s="103" t="s">
        <v>105</v>
      </c>
      <c r="K29" s="1767">
        <v>8.3782766969683262</v>
      </c>
      <c r="M29" s="460">
        <f ca="1">+D29/K29-1</f>
        <v>-2.6267245520674165E-2</v>
      </c>
    </row>
    <row r="30" spans="2:13">
      <c r="B30" s="1407" t="s">
        <v>1021</v>
      </c>
      <c r="C30" s="103" t="s">
        <v>105</v>
      </c>
      <c r="D30" s="369">
        <f ca="1">+D28*(F28/12)+D29*(F29/12)</f>
        <v>7.8424050714069615</v>
      </c>
      <c r="E30" s="369"/>
      <c r="F30" s="103"/>
      <c r="G30" s="301">
        <f ca="1">+D30/D25-1</f>
        <v>-0.33116375318633196</v>
      </c>
      <c r="H30" s="103"/>
      <c r="I30" s="102" t="str">
        <f t="shared" si="0"/>
        <v>12-month Fwd Bear Case EPS</v>
      </c>
      <c r="J30" s="103" t="s">
        <v>105</v>
      </c>
      <c r="K30" s="1767">
        <v>7.937761313846373</v>
      </c>
      <c r="M30" s="420"/>
    </row>
    <row r="31" spans="2:13" ht="14.4" thickBot="1">
      <c r="B31" s="1407" t="s">
        <v>1207</v>
      </c>
      <c r="C31" s="103" t="s">
        <v>523</v>
      </c>
      <c r="D31" s="374">
        <f ca="1">+D33/F31</f>
        <v>0.9517156683689707</v>
      </c>
      <c r="E31" s="379">
        <f ca="1">+D33/D24-1</f>
        <v>-0.50572737686139746</v>
      </c>
      <c r="F31" s="421">
        <f>'Bal Sheet'!DH515</f>
        <v>90.678343194558337</v>
      </c>
      <c r="G31" s="861" t="s">
        <v>1291</v>
      </c>
      <c r="H31" s="103"/>
      <c r="I31" s="102" t="str">
        <f t="shared" si="0"/>
        <v>Implied P/BV on last reported</v>
      </c>
      <c r="J31" s="103" t="s">
        <v>523</v>
      </c>
      <c r="K31" s="1768">
        <v>0.9627436598912068</v>
      </c>
      <c r="M31" s="420"/>
    </row>
    <row r="32" spans="2:13" ht="14.4" thickBot="1">
      <c r="B32" s="1407" t="s">
        <v>1022</v>
      </c>
      <c r="C32" s="103" t="s">
        <v>523</v>
      </c>
      <c r="D32" s="374">
        <f>F32</f>
        <v>11</v>
      </c>
      <c r="E32" s="374"/>
      <c r="F32" s="462">
        <v>11</v>
      </c>
      <c r="G32" s="408"/>
      <c r="I32" s="102" t="str">
        <f t="shared" si="0"/>
        <v>Bear Case P/E Multiple</v>
      </c>
      <c r="J32" s="103" t="s">
        <v>523</v>
      </c>
      <c r="K32" s="1768">
        <v>11</v>
      </c>
      <c r="M32" s="420"/>
    </row>
    <row r="33" spans="2:13">
      <c r="B33" s="466" t="s">
        <v>1037</v>
      </c>
      <c r="C33" s="467" t="s">
        <v>105</v>
      </c>
      <c r="D33" s="468">
        <f ca="1">ROUND(D30*D32,1)</f>
        <v>86.3</v>
      </c>
      <c r="E33" s="380"/>
      <c r="I33" s="305" t="str">
        <f t="shared" si="0"/>
        <v>Bear Case Valuation</v>
      </c>
      <c r="J33" s="306" t="s">
        <v>105</v>
      </c>
      <c r="K33" s="1769">
        <v>87.3</v>
      </c>
      <c r="M33" s="592">
        <f ca="1">+D33/K33-1</f>
        <v>-1.1454753722794919E-2</v>
      </c>
    </row>
    <row r="34" spans="2:13" ht="14.4" thickBot="1">
      <c r="B34" s="289" t="s">
        <v>1116</v>
      </c>
      <c r="C34" s="464"/>
      <c r="D34" s="465"/>
      <c r="E34" s="379"/>
      <c r="I34" s="289" t="str">
        <f t="shared" si="0"/>
        <v>Bull / Base / Bear Scenario weights</v>
      </c>
      <c r="J34" s="464"/>
      <c r="K34" s="1770"/>
      <c r="M34" s="420"/>
    </row>
    <row r="35" spans="2:13" ht="14.4" thickBot="1">
      <c r="B35" s="102" t="s">
        <v>20</v>
      </c>
      <c r="C35" s="103" t="s">
        <v>917</v>
      </c>
      <c r="D35" s="360">
        <f>F35</f>
        <v>0.25</v>
      </c>
      <c r="E35" s="360"/>
      <c r="F35" s="582">
        <v>0.25</v>
      </c>
      <c r="G35" s="409"/>
      <c r="H35" s="409"/>
      <c r="I35" s="102" t="str">
        <f t="shared" si="0"/>
        <v>Bull Case</v>
      </c>
      <c r="J35" s="103" t="s">
        <v>917</v>
      </c>
      <c r="K35" s="1771">
        <v>0.25</v>
      </c>
      <c r="M35" s="461">
        <f>+D35-K35</f>
        <v>0</v>
      </c>
    </row>
    <row r="36" spans="2:13" ht="14.4" thickBot="1">
      <c r="B36" s="289" t="s">
        <v>19</v>
      </c>
      <c r="C36" s="290" t="s">
        <v>917</v>
      </c>
      <c r="D36" s="379">
        <f>F36</f>
        <v>0.6</v>
      </c>
      <c r="E36" s="360"/>
      <c r="F36" s="582">
        <v>0.6</v>
      </c>
      <c r="G36" s="409"/>
      <c r="H36" s="409"/>
      <c r="I36" s="289" t="str">
        <f t="shared" si="0"/>
        <v>Base Case</v>
      </c>
      <c r="J36" s="290" t="s">
        <v>917</v>
      </c>
      <c r="K36" s="1770">
        <v>0.6</v>
      </c>
      <c r="M36" s="461">
        <f>+D36-K36</f>
        <v>0</v>
      </c>
    </row>
    <row r="37" spans="2:13" ht="14.4" thickBot="1">
      <c r="B37" s="102" t="s">
        <v>21</v>
      </c>
      <c r="C37" s="103" t="s">
        <v>917</v>
      </c>
      <c r="D37" s="360">
        <f>100%-D36-D35</f>
        <v>0.15000000000000002</v>
      </c>
      <c r="E37" s="360"/>
      <c r="I37" s="102" t="str">
        <f t="shared" si="0"/>
        <v>Bear Case</v>
      </c>
      <c r="J37" s="103" t="s">
        <v>917</v>
      </c>
      <c r="K37" s="1771">
        <v>0.15000000000000002</v>
      </c>
      <c r="M37" s="461">
        <f>+D37-K37</f>
        <v>0</v>
      </c>
    </row>
    <row r="38" spans="2:13" ht="14.4" thickBot="1">
      <c r="B38" s="384" t="s">
        <v>987</v>
      </c>
      <c r="C38" s="385" t="s">
        <v>105</v>
      </c>
      <c r="D38" s="386">
        <f ca="1">ROUND($D35*D11+$D36*D24+$D37*D33,0)</f>
        <v>223</v>
      </c>
      <c r="E38" s="377"/>
      <c r="I38" s="578" t="str">
        <f t="shared" si="0"/>
        <v>12m Price Target</v>
      </c>
      <c r="J38" s="579" t="s">
        <v>612</v>
      </c>
      <c r="K38" s="580">
        <v>225</v>
      </c>
      <c r="M38" s="593">
        <f ca="1">+D38/K38-1</f>
        <v>-8.8888888888888351E-3</v>
      </c>
    </row>
    <row r="39" spans="2:13" ht="14.4" thickBot="1">
      <c r="B39" s="102" t="s">
        <v>524</v>
      </c>
      <c r="C39" s="103" t="s">
        <v>105</v>
      </c>
      <c r="D39" s="362">
        <f>SUMMARY!FI3</f>
        <v>214.5</v>
      </c>
      <c r="E39" s="381"/>
      <c r="I39" s="102" t="str">
        <f t="shared" si="0"/>
        <v>Current price</v>
      </c>
      <c r="J39" s="103" t="s">
        <v>105</v>
      </c>
      <c r="K39" s="1775">
        <v>211.77</v>
      </c>
      <c r="M39" s="417"/>
    </row>
    <row r="40" spans="2:13" ht="14.4" thickBot="1">
      <c r="B40" s="469" t="s">
        <v>528</v>
      </c>
      <c r="C40" s="470" t="s">
        <v>917</v>
      </c>
      <c r="D40" s="471">
        <f ca="1">+D38/D39-1</f>
        <v>3.9627039627039728E-2</v>
      </c>
      <c r="E40" s="377"/>
      <c r="F40" s="371"/>
      <c r="G40" s="371"/>
      <c r="H40" s="371"/>
      <c r="I40" s="328" t="str">
        <f t="shared" si="0"/>
        <v>Upside to Price Target</v>
      </c>
      <c r="J40" s="581" t="s">
        <v>917</v>
      </c>
      <c r="K40" s="1776">
        <v>6.2473438164045936E-2</v>
      </c>
    </row>
    <row r="41" spans="2:13">
      <c r="B41" s="102" t="s">
        <v>527</v>
      </c>
      <c r="C41" s="103" t="s">
        <v>105</v>
      </c>
      <c r="D41" s="365">
        <f>F41</f>
        <v>7.55</v>
      </c>
      <c r="E41" s="362"/>
      <c r="F41" s="2001">
        <f>('BULL BEAR'!$DL$126+'BULL BEAR'!$DI$126)/100</f>
        <v>7.55</v>
      </c>
      <c r="I41" s="102" t="str">
        <f t="shared" si="0"/>
        <v>Next 12mth Dividend</v>
      </c>
      <c r="J41" s="103" t="s">
        <v>105</v>
      </c>
      <c r="K41" s="1777">
        <v>7.7</v>
      </c>
      <c r="L41" s="2151"/>
    </row>
    <row r="42" spans="2:13">
      <c r="B42" s="472" t="s">
        <v>1000</v>
      </c>
      <c r="C42" s="473" t="s">
        <v>917</v>
      </c>
      <c r="D42" s="474">
        <f ca="1">(D38+D41)/D39-1</f>
        <v>7.4825174825174923E-2</v>
      </c>
      <c r="E42" s="376"/>
      <c r="I42" s="322" t="str">
        <f t="shared" si="0"/>
        <v>Implied TSR</v>
      </c>
      <c r="J42" s="326" t="s">
        <v>105</v>
      </c>
      <c r="K42" s="1778">
        <v>9.8833640270104217E-2</v>
      </c>
    </row>
    <row r="43" spans="2:13">
      <c r="B43" s="1558" t="s">
        <v>1431</v>
      </c>
      <c r="C43" s="307" t="s">
        <v>523</v>
      </c>
      <c r="D43" s="1559">
        <f ca="1">D38/F43*100</f>
        <v>18.757860078949854</v>
      </c>
      <c r="E43" s="376"/>
      <c r="F43" s="488">
        <f>'EPS and DPS'!$DN$32</f>
        <v>1188.8349687086722</v>
      </c>
      <c r="G43" s="289" t="s">
        <v>998</v>
      </c>
      <c r="H43" s="410"/>
      <c r="I43" s="291" t="str">
        <f t="shared" si="0"/>
        <v>Implied FY27E P/E Multiple</v>
      </c>
      <c r="J43" s="330" t="s">
        <v>523</v>
      </c>
      <c r="K43" s="1768">
        <v>19.064234261016537</v>
      </c>
    </row>
    <row r="44" spans="2:13">
      <c r="B44" s="1407" t="s">
        <v>1432</v>
      </c>
      <c r="C44" s="103" t="s">
        <v>523</v>
      </c>
      <c r="D44" s="374">
        <f ca="1">D38/F44</f>
        <v>2.1841740670455616</v>
      </c>
      <c r="E44" s="376"/>
      <c r="F44" s="421">
        <f ca="1">'Bal Sheet'!$DN$515</f>
        <v>102.09808978349537</v>
      </c>
      <c r="G44" s="410"/>
      <c r="H44" s="410"/>
      <c r="I44" s="102" t="str">
        <f t="shared" si="0"/>
        <v>Implied FY27E P/BV Multiple</v>
      </c>
      <c r="J44" s="103" t="s">
        <v>523</v>
      </c>
      <c r="K44" s="1768">
        <v>2.2040547088396614</v>
      </c>
    </row>
    <row r="45" spans="2:13">
      <c r="B45" s="1487" t="s">
        <v>1433</v>
      </c>
      <c r="C45" s="317" t="s">
        <v>917</v>
      </c>
      <c r="D45" s="401">
        <f ca="1">F45/100/D38</f>
        <v>3.4753363228699555E-2</v>
      </c>
      <c r="E45" s="376"/>
      <c r="F45" s="488">
        <f>'EPS and DPS'!$DN$40</f>
        <v>775</v>
      </c>
      <c r="G45" s="411"/>
      <c r="H45" s="411"/>
      <c r="I45" s="308" t="str">
        <f t="shared" si="0"/>
        <v>Implied FY27E Dividend Yield</v>
      </c>
      <c r="J45" s="317" t="s">
        <v>917</v>
      </c>
      <c r="K45" s="1779">
        <v>3.4222222222222223E-2</v>
      </c>
    </row>
    <row r="46" spans="2:13">
      <c r="B46" s="289"/>
      <c r="C46" s="290"/>
      <c r="D46" s="376"/>
      <c r="E46" s="376"/>
      <c r="I46" s="289"/>
      <c r="J46" s="290"/>
      <c r="K46" s="438"/>
    </row>
    <row r="47" spans="2:13">
      <c r="B47" s="289" t="s">
        <v>415</v>
      </c>
      <c r="D47" s="1853">
        <f>'Bal Sheet'!$DJ$295</f>
        <v>382.09126103750003</v>
      </c>
      <c r="E47" s="588" t="s">
        <v>1019</v>
      </c>
      <c r="K47" s="439"/>
    </row>
    <row r="48" spans="2:13">
      <c r="D48" s="102"/>
      <c r="E48" s="376"/>
      <c r="K48" s="439"/>
    </row>
    <row r="49" spans="2:11">
      <c r="B49" s="289" t="s">
        <v>1206</v>
      </c>
      <c r="E49" s="115"/>
      <c r="K49" s="439"/>
    </row>
    <row r="50" spans="2:11">
      <c r="B50" s="102" t="s">
        <v>1369</v>
      </c>
      <c r="D50" s="372">
        <f>SOTP!$BO$54</f>
        <v>15.064902563310698</v>
      </c>
      <c r="E50" s="102"/>
      <c r="I50" s="371"/>
      <c r="K50" s="439"/>
    </row>
    <row r="51" spans="2:11">
      <c r="B51" s="102" t="s">
        <v>1390</v>
      </c>
      <c r="D51" s="372">
        <f>SOTP!$BS$54</f>
        <v>16.919432394652588</v>
      </c>
      <c r="G51" s="289"/>
      <c r="K51" s="439"/>
    </row>
    <row r="52" spans="2:11">
      <c r="B52" s="102" t="s">
        <v>1434</v>
      </c>
      <c r="D52" s="372">
        <f>SOTP!$BW$54</f>
        <v>14.583499847598832</v>
      </c>
      <c r="G52" s="289"/>
      <c r="K52" s="439"/>
    </row>
    <row r="53" spans="2:11">
      <c r="G53" s="289"/>
      <c r="K53" s="439"/>
    </row>
    <row r="54" spans="2:11">
      <c r="B54" s="367" t="s">
        <v>960</v>
      </c>
      <c r="C54" s="367"/>
      <c r="D54" s="368"/>
      <c r="E54" s="376"/>
      <c r="G54" s="289" t="s">
        <v>1113</v>
      </c>
      <c r="K54" s="440"/>
    </row>
    <row r="55" spans="2:11">
      <c r="B55" s="314"/>
      <c r="C55" s="315"/>
      <c r="D55" s="316" t="s">
        <v>520</v>
      </c>
      <c r="E55" s="376"/>
      <c r="G55" s="289" t="s">
        <v>1113</v>
      </c>
      <c r="K55" s="440"/>
    </row>
    <row r="56" spans="2:11">
      <c r="B56" s="102" t="s">
        <v>521</v>
      </c>
      <c r="D56" s="381">
        <f>D24</f>
        <v>174.6</v>
      </c>
      <c r="E56" s="376"/>
      <c r="G56" s="289" t="s">
        <v>1113</v>
      </c>
      <c r="K56" s="440"/>
    </row>
    <row r="57" spans="2:11">
      <c r="B57" s="102" t="s">
        <v>416</v>
      </c>
      <c r="D57" s="381">
        <f>D71</f>
        <v>27.001903562122862</v>
      </c>
      <c r="E57" s="376"/>
      <c r="G57" s="289" t="s">
        <v>1113</v>
      </c>
      <c r="K57" s="440"/>
    </row>
    <row r="58" spans="2:11">
      <c r="B58" s="102" t="s">
        <v>522</v>
      </c>
      <c r="D58" s="381">
        <v>101.51318005431327</v>
      </c>
      <c r="E58" s="376"/>
      <c r="G58" s="289" t="s">
        <v>1113</v>
      </c>
      <c r="K58" s="440"/>
    </row>
    <row r="59" spans="2:11">
      <c r="B59" s="102" t="s">
        <v>1119</v>
      </c>
      <c r="D59" s="381">
        <f>D81</f>
        <v>28.291994510090952</v>
      </c>
      <c r="E59" s="376"/>
      <c r="G59" s="289" t="s">
        <v>1113</v>
      </c>
      <c r="K59" s="440"/>
    </row>
    <row r="60" spans="2:11">
      <c r="B60" s="102" t="s">
        <v>418</v>
      </c>
      <c r="D60" s="381">
        <f>D96</f>
        <v>10.263657263823147</v>
      </c>
      <c r="E60" s="376"/>
      <c r="G60" s="289" t="s">
        <v>1113</v>
      </c>
      <c r="K60" s="440"/>
    </row>
    <row r="61" spans="2:11">
      <c r="B61" s="329" t="s">
        <v>475</v>
      </c>
      <c r="C61" s="388"/>
      <c r="D61" s="366">
        <f>AVERAGE(D56:D60)</f>
        <v>68.334147078070032</v>
      </c>
      <c r="E61" s="376"/>
      <c r="G61" s="289" t="s">
        <v>1113</v>
      </c>
      <c r="K61" s="440"/>
    </row>
    <row r="62" spans="2:11">
      <c r="B62" s="291" t="s">
        <v>0</v>
      </c>
      <c r="C62" s="291"/>
      <c r="D62" s="387">
        <f ca="1">D38</f>
        <v>223</v>
      </c>
      <c r="E62" s="376"/>
      <c r="G62" s="289" t="s">
        <v>1113</v>
      </c>
      <c r="K62" s="440"/>
    </row>
    <row r="63" spans="2:11">
      <c r="B63" s="322" t="s">
        <v>272</v>
      </c>
      <c r="C63" s="322"/>
      <c r="D63" s="389">
        <f ca="1">+D62/D61-1</f>
        <v>2.2633757723679224</v>
      </c>
      <c r="E63" s="376"/>
      <c r="G63" s="289" t="s">
        <v>1113</v>
      </c>
      <c r="K63" s="440"/>
    </row>
    <row r="64" spans="2:11">
      <c r="G64" s="289" t="s">
        <v>1113</v>
      </c>
      <c r="K64" s="440"/>
    </row>
    <row r="65" spans="2:11">
      <c r="G65" s="289" t="s">
        <v>1113</v>
      </c>
      <c r="K65" s="440"/>
    </row>
    <row r="66" spans="2:11">
      <c r="B66" s="397" t="s">
        <v>1003</v>
      </c>
      <c r="C66" s="397"/>
      <c r="D66" s="398"/>
      <c r="E66" s="290"/>
      <c r="F66" s="289"/>
      <c r="G66" s="289" t="s">
        <v>1113</v>
      </c>
      <c r="H66" s="289"/>
      <c r="K66" s="440"/>
    </row>
    <row r="67" spans="2:11">
      <c r="B67" s="102" t="s">
        <v>1001</v>
      </c>
      <c r="C67" s="103" t="s">
        <v>105</v>
      </c>
      <c r="D67" s="375">
        <f>'BULL BEAR'!CD6/100</f>
        <v>7.5834870762028981</v>
      </c>
      <c r="E67" s="369"/>
      <c r="F67" s="373">
        <f>F$7</f>
        <v>2</v>
      </c>
      <c r="G67" s="289" t="s">
        <v>1113</v>
      </c>
      <c r="H67" s="407"/>
      <c r="K67" s="440"/>
    </row>
    <row r="68" spans="2:11">
      <c r="B68" s="102" t="s">
        <v>1002</v>
      </c>
      <c r="C68" s="103" t="s">
        <v>105</v>
      </c>
      <c r="D68" s="375">
        <f>'BULL BEAR'!CH6/100</f>
        <v>8.8347179028145284</v>
      </c>
      <c r="E68" s="369"/>
      <c r="F68" s="373">
        <v>1</v>
      </c>
      <c r="G68" s="289" t="s">
        <v>1113</v>
      </c>
      <c r="H68" s="407"/>
      <c r="K68" s="440"/>
    </row>
    <row r="69" spans="2:11" ht="14.4" thickBot="1">
      <c r="B69" s="102" t="s">
        <v>1012</v>
      </c>
      <c r="C69" s="103" t="s">
        <v>105</v>
      </c>
      <c r="D69" s="369">
        <f>+D67*(F67/12)+D68*(F68/12)</f>
        <v>2.0001410046016934</v>
      </c>
      <c r="E69" s="369"/>
      <c r="F69" s="103"/>
      <c r="G69" s="289" t="s">
        <v>1113</v>
      </c>
      <c r="H69" s="103"/>
      <c r="K69" s="440"/>
    </row>
    <row r="70" spans="2:11" ht="14.4" thickBot="1">
      <c r="B70" s="102" t="s">
        <v>782</v>
      </c>
      <c r="C70" s="103" t="s">
        <v>523</v>
      </c>
      <c r="D70" s="374">
        <f>F70</f>
        <v>13.5</v>
      </c>
      <c r="E70" s="374"/>
      <c r="F70" s="382">
        <v>13.5</v>
      </c>
      <c r="G70" s="289" t="s">
        <v>1113</v>
      </c>
      <c r="H70" s="408"/>
      <c r="K70" s="440"/>
    </row>
    <row r="71" spans="2:11">
      <c r="B71" s="305" t="s">
        <v>560</v>
      </c>
      <c r="C71" s="306" t="s">
        <v>105</v>
      </c>
      <c r="D71" s="395">
        <f>+D69*D70</f>
        <v>27.001903562122862</v>
      </c>
      <c r="G71" s="289" t="s">
        <v>1113</v>
      </c>
      <c r="K71" s="440"/>
    </row>
    <row r="72" spans="2:11">
      <c r="G72" s="289" t="s">
        <v>1113</v>
      </c>
      <c r="K72" s="440"/>
    </row>
    <row r="73" spans="2:11">
      <c r="G73" s="289" t="s">
        <v>1113</v>
      </c>
      <c r="K73" s="440"/>
    </row>
    <row r="74" spans="2:11">
      <c r="B74" s="397" t="s">
        <v>1016</v>
      </c>
      <c r="C74" s="397"/>
      <c r="D74" s="398"/>
      <c r="E74" s="290"/>
      <c r="F74" s="289"/>
      <c r="G74" s="289" t="s">
        <v>1113</v>
      </c>
      <c r="H74" s="289"/>
      <c r="K74" s="440"/>
    </row>
    <row r="75" spans="2:11">
      <c r="B75" s="102" t="s">
        <v>1001</v>
      </c>
      <c r="C75" s="103" t="s">
        <v>105</v>
      </c>
      <c r="D75" s="369">
        <f>D67</f>
        <v>7.5834870762028981</v>
      </c>
      <c r="E75" s="369"/>
      <c r="F75" s="289"/>
      <c r="G75" s="289" t="s">
        <v>1113</v>
      </c>
      <c r="H75" s="289"/>
      <c r="K75" s="440"/>
    </row>
    <row r="76" spans="2:11">
      <c r="B76" s="102" t="s">
        <v>1002</v>
      </c>
      <c r="C76" s="103" t="s">
        <v>105</v>
      </c>
      <c r="D76" s="369">
        <f>D68</f>
        <v>8.8347179028145284</v>
      </c>
      <c r="E76" s="369"/>
      <c r="F76" s="289"/>
      <c r="G76" s="289" t="s">
        <v>1113</v>
      </c>
      <c r="H76" s="289"/>
      <c r="K76" s="440"/>
    </row>
    <row r="77" spans="2:11" ht="14.4" thickBot="1">
      <c r="B77" s="102" t="s">
        <v>1012</v>
      </c>
      <c r="C77" s="103" t="s">
        <v>105</v>
      </c>
      <c r="D77" s="369">
        <f>D69</f>
        <v>2.0001410046016934</v>
      </c>
      <c r="E77" s="369"/>
      <c r="F77" s="289"/>
      <c r="G77" s="289" t="s">
        <v>1113</v>
      </c>
      <c r="H77" s="289"/>
      <c r="K77" s="440"/>
    </row>
    <row r="78" spans="2:11" ht="14.4" thickBot="1">
      <c r="B78" s="102" t="s">
        <v>1009</v>
      </c>
      <c r="C78" s="103" t="s">
        <v>523</v>
      </c>
      <c r="D78" s="374">
        <f>F78</f>
        <v>12.3</v>
      </c>
      <c r="E78" s="374"/>
      <c r="F78" s="382">
        <v>12.3</v>
      </c>
      <c r="G78" s="289" t="s">
        <v>1113</v>
      </c>
      <c r="H78" s="408"/>
      <c r="K78" s="440"/>
    </row>
    <row r="79" spans="2:11" ht="14.4" thickBot="1">
      <c r="B79" s="102" t="s">
        <v>202</v>
      </c>
      <c r="C79" s="103" t="s">
        <v>917</v>
      </c>
      <c r="D79" s="325">
        <f>F79</f>
        <v>0.15</v>
      </c>
      <c r="F79" s="383">
        <v>0.15</v>
      </c>
      <c r="G79" s="289" t="s">
        <v>1113</v>
      </c>
      <c r="H79" s="409"/>
      <c r="K79" s="440"/>
    </row>
    <row r="80" spans="2:11">
      <c r="B80" s="102" t="s">
        <v>1009</v>
      </c>
      <c r="C80" s="103" t="s">
        <v>523</v>
      </c>
      <c r="D80" s="374">
        <f>+D78*(1+D79)</f>
        <v>14.145</v>
      </c>
      <c r="G80" s="289" t="s">
        <v>1113</v>
      </c>
      <c r="K80" s="440"/>
    </row>
    <row r="81" spans="2:11">
      <c r="B81" s="305" t="s">
        <v>560</v>
      </c>
      <c r="C81" s="306" t="s">
        <v>105</v>
      </c>
      <c r="D81" s="395">
        <f>+D80*D77</f>
        <v>28.291994510090952</v>
      </c>
      <c r="G81" s="289" t="s">
        <v>1113</v>
      </c>
      <c r="K81" s="440"/>
    </row>
    <row r="82" spans="2:11">
      <c r="G82" s="289" t="s">
        <v>1113</v>
      </c>
      <c r="K82" s="440"/>
    </row>
    <row r="83" spans="2:11">
      <c r="B83" s="397" t="s">
        <v>418</v>
      </c>
      <c r="C83" s="397"/>
      <c r="D83" s="398"/>
      <c r="G83" s="289" t="s">
        <v>1113</v>
      </c>
      <c r="K83" s="440"/>
    </row>
    <row r="84" spans="2:11">
      <c r="G84" s="289" t="s">
        <v>1113</v>
      </c>
      <c r="K84" s="440"/>
    </row>
    <row r="85" spans="2:11">
      <c r="B85" s="100" t="s">
        <v>1010</v>
      </c>
      <c r="C85" s="103" t="s">
        <v>917</v>
      </c>
      <c r="D85" s="390">
        <f>'Bal Sheet'!CD547</f>
        <v>0.16800000000000001</v>
      </c>
      <c r="F85" s="373">
        <f>F$7</f>
        <v>2</v>
      </c>
      <c r="G85" s="289" t="s">
        <v>1113</v>
      </c>
      <c r="H85" s="407"/>
      <c r="K85" s="440"/>
    </row>
    <row r="86" spans="2:11">
      <c r="B86" s="100" t="s">
        <v>1011</v>
      </c>
      <c r="C86" s="103" t="s">
        <v>917</v>
      </c>
      <c r="D86" s="390">
        <f>'Bal Sheet'!CH547</f>
        <v>0.18000000000000002</v>
      </c>
      <c r="F86" s="373">
        <v>1</v>
      </c>
      <c r="G86" s="289" t="s">
        <v>1113</v>
      </c>
      <c r="H86" s="407"/>
      <c r="K86" s="440"/>
    </row>
    <row r="87" spans="2:11">
      <c r="B87" s="102" t="s">
        <v>1013</v>
      </c>
      <c r="C87" s="103" t="s">
        <v>917</v>
      </c>
      <c r="D87" s="333">
        <f>+D85*(F85/12)+D86*(F86/12)</f>
        <v>4.3000000000000003E-2</v>
      </c>
      <c r="G87" s="289" t="s">
        <v>1113</v>
      </c>
      <c r="K87" s="440"/>
    </row>
    <row r="88" spans="2:11">
      <c r="B88" s="100" t="s">
        <v>1004</v>
      </c>
      <c r="C88" s="103" t="s">
        <v>917</v>
      </c>
      <c r="D88" s="391">
        <v>0.03</v>
      </c>
      <c r="G88" s="289" t="s">
        <v>1113</v>
      </c>
      <c r="K88" s="440"/>
    </row>
    <row r="89" spans="2:11">
      <c r="B89" s="100" t="s">
        <v>783</v>
      </c>
      <c r="C89" s="103" t="s">
        <v>917</v>
      </c>
      <c r="D89" s="390">
        <v>0.05</v>
      </c>
      <c r="G89" s="289" t="s">
        <v>1113</v>
      </c>
      <c r="K89" s="440"/>
    </row>
    <row r="90" spans="2:11">
      <c r="B90" s="100" t="s">
        <v>1005</v>
      </c>
      <c r="C90" s="103" t="s">
        <v>917</v>
      </c>
      <c r="D90" s="390">
        <v>0.05</v>
      </c>
      <c r="G90" s="289" t="s">
        <v>1113</v>
      </c>
      <c r="K90" s="440"/>
    </row>
    <row r="91" spans="2:11">
      <c r="B91" s="100" t="s">
        <v>1006</v>
      </c>
      <c r="C91" s="103" t="s">
        <v>917</v>
      </c>
      <c r="D91" s="392">
        <f>+D89+D90</f>
        <v>0.1</v>
      </c>
      <c r="G91" s="289" t="s">
        <v>1113</v>
      </c>
      <c r="K91" s="440"/>
    </row>
    <row r="92" spans="2:11" ht="14.4" thickBot="1">
      <c r="B92" s="393" t="s">
        <v>1007</v>
      </c>
      <c r="C92" s="103" t="s">
        <v>523</v>
      </c>
      <c r="D92" s="394">
        <f>(D87-D88)/(D91-D88)</f>
        <v>0.18571428571428578</v>
      </c>
      <c r="G92" s="289" t="s">
        <v>1113</v>
      </c>
      <c r="K92" s="440"/>
    </row>
    <row r="93" spans="2:11" ht="14.4" thickBot="1">
      <c r="B93" s="396" t="s">
        <v>1014</v>
      </c>
      <c r="C93" s="103" t="s">
        <v>917</v>
      </c>
      <c r="D93" s="325">
        <f>F93</f>
        <v>0.15</v>
      </c>
      <c r="F93" s="383">
        <v>0.15</v>
      </c>
      <c r="G93" s="289" t="s">
        <v>1113</v>
      </c>
      <c r="H93" s="409"/>
      <c r="K93" s="440"/>
    </row>
    <row r="94" spans="2:11">
      <c r="B94" s="393" t="s">
        <v>1008</v>
      </c>
      <c r="C94" s="103" t="s">
        <v>523</v>
      </c>
      <c r="D94" s="394">
        <f>+D92*(1+D93)</f>
        <v>0.21357142857142863</v>
      </c>
      <c r="G94" s="289" t="s">
        <v>1113</v>
      </c>
      <c r="K94" s="440"/>
    </row>
    <row r="95" spans="2:11">
      <c r="B95" s="100" t="s">
        <v>1015</v>
      </c>
      <c r="C95" s="103" t="s">
        <v>105</v>
      </c>
      <c r="D95" s="369">
        <f>'Bal Sheet'!CD515</f>
        <v>48.057258091479603</v>
      </c>
      <c r="G95" s="289" t="s">
        <v>1113</v>
      </c>
      <c r="K95" s="440"/>
    </row>
    <row r="96" spans="2:11">
      <c r="B96" s="305" t="s">
        <v>560</v>
      </c>
      <c r="C96" s="306" t="s">
        <v>105</v>
      </c>
      <c r="D96" s="395">
        <f>+D94*D95</f>
        <v>10.263657263823147</v>
      </c>
      <c r="G96" s="289" t="s">
        <v>1113</v>
      </c>
      <c r="K96" s="440"/>
    </row>
    <row r="97" spans="2:11">
      <c r="G97" s="289" t="s">
        <v>1113</v>
      </c>
      <c r="K97" s="440"/>
    </row>
    <row r="98" spans="2:11">
      <c r="G98" s="289" t="s">
        <v>1113</v>
      </c>
      <c r="K98" s="440"/>
    </row>
    <row r="99" spans="2:11">
      <c r="G99" s="289" t="s">
        <v>1113</v>
      </c>
      <c r="K99" s="440"/>
    </row>
    <row r="100" spans="2:11" ht="14.4" thickBot="1">
      <c r="G100" s="289" t="s">
        <v>1113</v>
      </c>
      <c r="K100" s="440"/>
    </row>
    <row r="101" spans="2:11" ht="14.4" thickBot="1">
      <c r="B101" s="102" t="s">
        <v>1001</v>
      </c>
      <c r="C101" s="103" t="s">
        <v>105</v>
      </c>
      <c r="D101" s="369">
        <f>'BULL BEAR'!CD7/100</f>
        <v>7.4360911944752264</v>
      </c>
      <c r="E101" s="369"/>
      <c r="F101" s="428">
        <f>F7</f>
        <v>2</v>
      </c>
      <c r="G101" s="289" t="s">
        <v>1113</v>
      </c>
      <c r="K101" s="440"/>
    </row>
    <row r="102" spans="2:11">
      <c r="B102" s="102" t="s">
        <v>1002</v>
      </c>
      <c r="C102" s="103" t="s">
        <v>105</v>
      </c>
      <c r="D102" s="369">
        <f>'BULL BEAR'!CH7/100</f>
        <v>8.6824171402426593</v>
      </c>
      <c r="E102" s="369"/>
      <c r="F102" s="373">
        <f>12-F101</f>
        <v>10</v>
      </c>
      <c r="G102" s="289" t="s">
        <v>1113</v>
      </c>
      <c r="K102" s="440"/>
    </row>
    <row r="103" spans="2:11">
      <c r="B103" s="102" t="s">
        <v>997</v>
      </c>
      <c r="C103" s="103" t="s">
        <v>105</v>
      </c>
      <c r="D103" s="369">
        <f>+D101*(F101/12)+D102*(F102/12)</f>
        <v>8.4746961492814208</v>
      </c>
      <c r="E103" s="369"/>
      <c r="F103" s="103"/>
      <c r="G103" s="289" t="s">
        <v>1113</v>
      </c>
      <c r="K103" s="440"/>
    </row>
    <row r="104" spans="2:11">
      <c r="G104" s="289" t="s">
        <v>1113</v>
      </c>
      <c r="K104" s="440"/>
    </row>
    <row r="105" spans="2:11" ht="14.4" thickBot="1">
      <c r="B105" s="102" t="s">
        <v>0</v>
      </c>
      <c r="D105" s="381">
        <f ca="1">D38</f>
        <v>223</v>
      </c>
      <c r="G105" s="289" t="s">
        <v>1113</v>
      </c>
      <c r="K105" s="440"/>
    </row>
    <row r="106" spans="2:11" ht="14.4" thickBot="1">
      <c r="B106" s="102" t="s">
        <v>1052</v>
      </c>
      <c r="C106" s="103" t="s">
        <v>523</v>
      </c>
      <c r="D106" s="374">
        <f ca="1">+D105/D103</f>
        <v>26.313627777546742</v>
      </c>
      <c r="E106" s="374"/>
      <c r="F106" s="382"/>
      <c r="G106" s="289" t="s">
        <v>1113</v>
      </c>
      <c r="K106" s="440"/>
    </row>
    <row r="107" spans="2:11">
      <c r="K107" s="440"/>
    </row>
    <row r="108" spans="2:11">
      <c r="K108" s="440"/>
    </row>
    <row r="118" spans="4:5">
      <c r="D118" s="102"/>
      <c r="E118" s="290"/>
    </row>
    <row r="119" spans="4:5">
      <c r="D119" s="102"/>
      <c r="E119" s="381"/>
    </row>
    <row r="120" spans="4:5">
      <c r="D120" s="102"/>
      <c r="E120" s="381"/>
    </row>
    <row r="121" spans="4:5">
      <c r="D121" s="102"/>
      <c r="E121" s="381"/>
    </row>
    <row r="122" spans="4:5">
      <c r="D122" s="102"/>
      <c r="E122" s="362"/>
    </row>
    <row r="123" spans="4:5">
      <c r="D123" s="102"/>
      <c r="E123" s="362"/>
    </row>
  </sheetData>
  <pageMargins left="0" right="0" top="0" bottom="0" header="0" footer="0"/>
  <pageSetup paperSize="5" scale="4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2">
    <tabColor indexed="10"/>
  </sheetPr>
  <dimension ref="A1:ED349"/>
  <sheetViews>
    <sheetView showGridLines="0" zoomScale="130" zoomScaleNormal="130" workbookViewId="0">
      <pane xSplit="1" ySplit="2" topLeftCell="DB239" activePane="bottomRight" state="frozen"/>
      <selection activeCell="JH1" sqref="JH1"/>
      <selection pane="topRight" activeCell="JH1" sqref="JH1"/>
      <selection pane="bottomLeft" activeCell="JH1" sqref="JH1"/>
      <selection pane="bottomRight" activeCell="DK259" sqref="DK259"/>
    </sheetView>
  </sheetViews>
  <sheetFormatPr defaultColWidth="9.109375" defaultRowHeight="13.8"/>
  <cols>
    <col min="1" max="1" width="28.5546875" style="1" customWidth="1"/>
    <col min="2" max="3" width="9.109375" style="1"/>
    <col min="4" max="47" width="0" style="1" hidden="1" customWidth="1"/>
    <col min="48" max="55" width="0" style="4" hidden="1" customWidth="1"/>
    <col min="56" max="125" width="9.109375" style="4"/>
    <col min="126" max="16384" width="9.109375" style="1"/>
  </cols>
  <sheetData>
    <row r="1" spans="1:134" s="4" customFormat="1">
      <c r="BB1" s="8"/>
      <c r="BR1" s="8"/>
    </row>
    <row r="2" spans="1:134" s="34" customFormat="1" ht="13.5" customHeight="1">
      <c r="A2" s="25"/>
      <c r="B2" s="26"/>
      <c r="C2" s="27"/>
      <c r="D2" s="28" t="s">
        <v>623</v>
      </c>
      <c r="E2" s="28" t="s">
        <v>624</v>
      </c>
      <c r="F2" s="29" t="s">
        <v>625</v>
      </c>
      <c r="G2" s="29" t="s">
        <v>626</v>
      </c>
      <c r="H2" s="28" t="s">
        <v>627</v>
      </c>
      <c r="I2" s="28" t="s">
        <v>628</v>
      </c>
      <c r="J2" s="29" t="s">
        <v>629</v>
      </c>
      <c r="K2" s="29" t="s">
        <v>626</v>
      </c>
      <c r="L2" s="28" t="s">
        <v>630</v>
      </c>
      <c r="M2" s="28" t="s">
        <v>631</v>
      </c>
      <c r="N2" s="29" t="s">
        <v>632</v>
      </c>
      <c r="O2" s="29" t="s">
        <v>626</v>
      </c>
      <c r="P2" s="28" t="s">
        <v>633</v>
      </c>
      <c r="Q2" s="28" t="s">
        <v>634</v>
      </c>
      <c r="R2" s="29" t="s">
        <v>635</v>
      </c>
      <c r="S2" s="29" t="s">
        <v>626</v>
      </c>
      <c r="T2" s="28" t="s">
        <v>636</v>
      </c>
      <c r="U2" s="28" t="s">
        <v>637</v>
      </c>
      <c r="V2" s="29" t="s">
        <v>638</v>
      </c>
      <c r="W2" s="29" t="s">
        <v>626</v>
      </c>
      <c r="X2" s="28" t="s">
        <v>639</v>
      </c>
      <c r="Y2" s="28" t="s">
        <v>640</v>
      </c>
      <c r="Z2" s="30">
        <v>2005</v>
      </c>
      <c r="AA2" s="31" t="s">
        <v>626</v>
      </c>
      <c r="AB2" s="28" t="s">
        <v>639</v>
      </c>
      <c r="AC2" s="28" t="s">
        <v>640</v>
      </c>
      <c r="AD2" s="29" t="s">
        <v>641</v>
      </c>
      <c r="AE2" s="31" t="s">
        <v>626</v>
      </c>
      <c r="AF2" s="28" t="s">
        <v>642</v>
      </c>
      <c r="AG2" s="28" t="s">
        <v>643</v>
      </c>
      <c r="AH2" s="29" t="s">
        <v>644</v>
      </c>
      <c r="AI2" s="31" t="s">
        <v>626</v>
      </c>
      <c r="AJ2" s="29" t="s">
        <v>645</v>
      </c>
      <c r="AK2" s="29" t="s">
        <v>646</v>
      </c>
      <c r="AL2" s="29" t="s">
        <v>647</v>
      </c>
      <c r="AM2" s="31" t="s">
        <v>626</v>
      </c>
      <c r="AN2" s="29" t="s">
        <v>609</v>
      </c>
      <c r="AO2" s="29" t="s">
        <v>610</v>
      </c>
      <c r="AP2" s="29" t="s">
        <v>611</v>
      </c>
      <c r="AQ2" s="31" t="s">
        <v>626</v>
      </c>
      <c r="AR2" s="29" t="s">
        <v>573</v>
      </c>
      <c r="AS2" s="29" t="s">
        <v>574</v>
      </c>
      <c r="AT2" s="29" t="s">
        <v>583</v>
      </c>
      <c r="AU2" s="31" t="s">
        <v>626</v>
      </c>
      <c r="AV2" s="29" t="s">
        <v>575</v>
      </c>
      <c r="AW2" s="29" t="s">
        <v>582</v>
      </c>
      <c r="AX2" s="29" t="s">
        <v>584</v>
      </c>
      <c r="AY2" s="31" t="s">
        <v>626</v>
      </c>
      <c r="AZ2" s="29" t="s">
        <v>603</v>
      </c>
      <c r="BA2" s="29" t="s">
        <v>813</v>
      </c>
      <c r="BB2" s="29" t="s">
        <v>814</v>
      </c>
      <c r="BC2" s="31" t="s">
        <v>626</v>
      </c>
      <c r="BD2" s="29" t="s">
        <v>826</v>
      </c>
      <c r="BE2" s="29" t="s">
        <v>885</v>
      </c>
      <c r="BF2" s="29" t="s">
        <v>886</v>
      </c>
      <c r="BG2" s="31" t="s">
        <v>626</v>
      </c>
      <c r="BH2" s="29" t="s">
        <v>893</v>
      </c>
      <c r="BI2" s="29" t="s">
        <v>901</v>
      </c>
      <c r="BJ2" s="29" t="s">
        <v>902</v>
      </c>
      <c r="BK2" s="29" t="s">
        <v>626</v>
      </c>
      <c r="BL2" s="29" t="s">
        <v>69</v>
      </c>
      <c r="BM2" s="29" t="s">
        <v>1</v>
      </c>
      <c r="BN2" s="29" t="s">
        <v>2</v>
      </c>
      <c r="BO2" s="29" t="s">
        <v>626</v>
      </c>
      <c r="BP2" s="29" t="s">
        <v>944</v>
      </c>
      <c r="BQ2" s="29" t="s">
        <v>894</v>
      </c>
      <c r="BR2" s="29" t="s">
        <v>501</v>
      </c>
      <c r="BS2" s="29" t="s">
        <v>626</v>
      </c>
      <c r="BT2" s="29" t="s">
        <v>961</v>
      </c>
      <c r="BU2" s="29" t="s">
        <v>976</v>
      </c>
      <c r="BV2" s="29" t="s">
        <v>977</v>
      </c>
      <c r="BW2" s="29" t="s">
        <v>626</v>
      </c>
      <c r="BX2" s="29" t="s">
        <v>986</v>
      </c>
      <c r="BY2" s="29" t="s">
        <v>1017</v>
      </c>
      <c r="BZ2" s="29" t="s">
        <v>1018</v>
      </c>
      <c r="CA2" s="29" t="s">
        <v>626</v>
      </c>
      <c r="CB2" s="29" t="str">
        <f>'P&amp;L'!CB4</f>
        <v>1H18</v>
      </c>
      <c r="CC2" s="29" t="str">
        <f>'P&amp;L'!CC4</f>
        <v>2H18</v>
      </c>
      <c r="CD2" s="29" t="str">
        <f>'P&amp;L'!CD4</f>
        <v>FY18</v>
      </c>
      <c r="CE2" s="29" t="s">
        <v>626</v>
      </c>
      <c r="CF2" s="1782" t="str">
        <f>'P&amp;L'!CF4</f>
        <v>1H19</v>
      </c>
      <c r="CG2" s="1782" t="str">
        <f>'P&amp;L'!CG4</f>
        <v>2H19</v>
      </c>
      <c r="CH2" s="1782" t="str">
        <f>'P&amp;L'!CH4</f>
        <v>FY19</v>
      </c>
      <c r="CI2" s="1782" t="s">
        <v>626</v>
      </c>
      <c r="CJ2" s="1782" t="str">
        <f>'P&amp;L'!CJ4</f>
        <v>1H20</v>
      </c>
      <c r="CK2" s="1782" t="str">
        <f>'P&amp;L'!CK4</f>
        <v>2H20</v>
      </c>
      <c r="CL2" s="1782" t="str">
        <f>'P&amp;L'!CL4</f>
        <v>FY20</v>
      </c>
      <c r="CM2" s="1782" t="s">
        <v>626</v>
      </c>
      <c r="CN2" s="1782" t="str">
        <f>'P&amp;L'!CN4</f>
        <v>1H21</v>
      </c>
      <c r="CO2" s="1782" t="str">
        <f>'P&amp;L'!CO4</f>
        <v>2H21</v>
      </c>
      <c r="CP2" s="1782" t="str">
        <f>'P&amp;L'!CP4</f>
        <v>FY21</v>
      </c>
      <c r="CQ2" s="1783" t="s">
        <v>626</v>
      </c>
      <c r="CR2" s="1782" t="str">
        <f>'P&amp;L'!CR4</f>
        <v>1H22</v>
      </c>
      <c r="CS2" s="1782" t="str">
        <f>'P&amp;L'!CS4</f>
        <v>2H22</v>
      </c>
      <c r="CT2" s="1782" t="str">
        <f>'P&amp;L'!CT4</f>
        <v>FY22</v>
      </c>
      <c r="CU2" s="1783" t="s">
        <v>626</v>
      </c>
      <c r="CV2" s="1782" t="str">
        <f>'P&amp;L'!CV4</f>
        <v>1H23</v>
      </c>
      <c r="CW2" s="1782" t="str">
        <f>'P&amp;L'!CW4</f>
        <v>2H23</v>
      </c>
      <c r="CX2" s="1782" t="str">
        <f>'P&amp;L'!CX4</f>
        <v>FY23</v>
      </c>
      <c r="CY2" s="1783" t="s">
        <v>626</v>
      </c>
      <c r="CZ2" s="1782" t="str">
        <f>'P&amp;L'!CZ4</f>
        <v>1H24</v>
      </c>
      <c r="DA2" s="1782" t="str">
        <f>'P&amp;L'!DA4</f>
        <v>2H24</v>
      </c>
      <c r="DB2" s="1782" t="str">
        <f>'P&amp;L'!DB4</f>
        <v>FY24</v>
      </c>
      <c r="DC2" s="1783" t="s">
        <v>626</v>
      </c>
      <c r="DD2" s="1782" t="str">
        <f>'P&amp;L'!DD4</f>
        <v>1H25</v>
      </c>
      <c r="DE2" s="1782" t="str">
        <f>'P&amp;L'!DE4</f>
        <v>2H25</v>
      </c>
      <c r="DF2" s="1782" t="str">
        <f>'P&amp;L'!DF4</f>
        <v>FY25</v>
      </c>
      <c r="DG2" s="1783" t="s">
        <v>626</v>
      </c>
      <c r="DH2" s="1782" t="str">
        <f>'P&amp;L'!DH4</f>
        <v>1H26</v>
      </c>
      <c r="DI2" s="32" t="str">
        <f>'P&amp;L'!DI4</f>
        <v>2H26E</v>
      </c>
      <c r="DJ2" s="32" t="str">
        <f>'P&amp;L'!DJ4</f>
        <v>FY26E</v>
      </c>
      <c r="DK2" s="33" t="s">
        <v>626</v>
      </c>
      <c r="DL2" s="32" t="str">
        <f>'P&amp;L'!DL4</f>
        <v>1H27E</v>
      </c>
      <c r="DM2" s="32" t="str">
        <f>'P&amp;L'!DM4</f>
        <v>2H27E</v>
      </c>
      <c r="DN2" s="32" t="str">
        <f>'P&amp;L'!DN4</f>
        <v>FY27E</v>
      </c>
      <c r="DO2" s="33" t="s">
        <v>626</v>
      </c>
      <c r="DP2" s="32" t="str">
        <f>'P&amp;L'!DP4</f>
        <v>1H28E</v>
      </c>
      <c r="DQ2" s="32" t="str">
        <f>'P&amp;L'!DQ4</f>
        <v>2H28E</v>
      </c>
      <c r="DR2" s="32" t="str">
        <f>'P&amp;L'!DR4</f>
        <v>FY28E</v>
      </c>
      <c r="DS2" s="33" t="s">
        <v>626</v>
      </c>
      <c r="DT2" s="32"/>
      <c r="DU2" s="33"/>
      <c r="DV2" s="35"/>
      <c r="DW2" s="35"/>
      <c r="DX2" s="35"/>
      <c r="DY2" s="35"/>
      <c r="DZ2" s="35"/>
      <c r="EA2" s="35"/>
      <c r="EB2" s="35"/>
      <c r="EC2" s="35"/>
      <c r="ED2" s="35"/>
    </row>
    <row r="4" spans="1:134">
      <c r="A4" s="2" t="s">
        <v>19</v>
      </c>
    </row>
    <row r="5" spans="1:134">
      <c r="A5" s="1" t="s">
        <v>769</v>
      </c>
      <c r="BJ5" s="8">
        <f>BJ87</f>
        <v>851</v>
      </c>
      <c r="BL5" s="8">
        <f>BL87</f>
        <v>501</v>
      </c>
      <c r="BM5" s="8">
        <f>BM87</f>
        <v>766</v>
      </c>
      <c r="BN5" s="8">
        <f>BN87</f>
        <v>1267</v>
      </c>
      <c r="BO5" s="10">
        <f>+BN5/BJ5-1</f>
        <v>0.48883666274970627</v>
      </c>
      <c r="BP5" s="8">
        <f>BP87</f>
        <v>678</v>
      </c>
      <c r="BQ5" s="8">
        <f>BQ87</f>
        <v>926</v>
      </c>
      <c r="BR5" s="8">
        <f>BR87</f>
        <v>1604</v>
      </c>
      <c r="BS5" s="10">
        <f>+BR5/BN5-1</f>
        <v>0.26598263614838191</v>
      </c>
      <c r="BT5" s="8">
        <f>BT87</f>
        <v>1070</v>
      </c>
      <c r="BV5" s="8">
        <f>BV87</f>
        <v>2063</v>
      </c>
      <c r="BW5" s="10">
        <f>+BV5/BR5-1</f>
        <v>0.28615960099750626</v>
      </c>
      <c r="BZ5" s="8">
        <f>BZ87</f>
        <v>2217</v>
      </c>
      <c r="CA5" s="10">
        <f>+BZ5/BV5-1</f>
        <v>7.4648570043625684E-2</v>
      </c>
      <c r="CD5" s="8">
        <f>CD87</f>
        <v>2557</v>
      </c>
      <c r="CE5" s="10">
        <f>+CD5/BZ5-1</f>
        <v>0.15336039693279213</v>
      </c>
      <c r="CH5" s="8">
        <f>CH87</f>
        <v>2982</v>
      </c>
      <c r="CI5" s="10">
        <f>+CH5/CD5-1</f>
        <v>0.1662104028157998</v>
      </c>
      <c r="CL5" s="8">
        <f>CL87</f>
        <v>2731</v>
      </c>
      <c r="CM5" s="10">
        <f>+CL5/CH5-1</f>
        <v>-8.4171696847753164E-2</v>
      </c>
      <c r="CP5" s="8">
        <f>CP87</f>
        <v>3015</v>
      </c>
      <c r="CQ5" s="10">
        <f>+CP5/CL5-1</f>
        <v>0.10399121201025263</v>
      </c>
      <c r="CT5" s="8">
        <f>CT87</f>
        <v>4706</v>
      </c>
      <c r="CU5" s="10">
        <f>+CT5/CP5-1</f>
        <v>0.56086235489220559</v>
      </c>
      <c r="CX5" s="8">
        <f>CX87</f>
        <v>5182</v>
      </c>
      <c r="CY5" s="10">
        <f>+CX5/CT5-1</f>
        <v>0.10114747131321722</v>
      </c>
      <c r="DB5" s="8">
        <f>DB87</f>
        <v>3522</v>
      </c>
      <c r="DC5" s="10">
        <f>+DB5/CX5-1</f>
        <v>-0.32033963720571212</v>
      </c>
      <c r="DF5" s="8">
        <f ca="1">DF87</f>
        <v>3715</v>
      </c>
      <c r="DG5" s="10">
        <f ca="1">+DF5/DB5-1</f>
        <v>5.4798409994321506E-2</v>
      </c>
      <c r="DJ5" s="8">
        <f>DJ87</f>
        <v>4172.6901979637696</v>
      </c>
      <c r="DK5" s="10">
        <f ca="1">+DJ5/DF5-1</f>
        <v>0.12320059164569841</v>
      </c>
      <c r="DN5" s="8">
        <f>DN87</f>
        <v>4572.7102875162273</v>
      </c>
      <c r="DO5" s="10">
        <f>+DN5/DJ5-1</f>
        <v>9.5866232711851795E-2</v>
      </c>
      <c r="DR5" s="8">
        <f>DR87</f>
        <v>4922.7680533130915</v>
      </c>
      <c r="DS5" s="10">
        <f>+DR5/DN5-1</f>
        <v>7.6553672501960879E-2</v>
      </c>
    </row>
    <row r="6" spans="1:134">
      <c r="A6" s="1" t="s">
        <v>81</v>
      </c>
      <c r="BJ6" s="24">
        <f>BJ119</f>
        <v>251.1734372490865</v>
      </c>
      <c r="BL6" s="24"/>
      <c r="BM6" s="24"/>
      <c r="BN6" s="24">
        <f>BN119</f>
        <v>384.26457391798874</v>
      </c>
      <c r="BO6" s="10">
        <f>+BN6/BJ6-1</f>
        <v>0.52987743499690576</v>
      </c>
      <c r="BP6" s="24"/>
      <c r="BQ6" s="24"/>
      <c r="BR6" s="24">
        <f>BR119</f>
        <v>502.32875126169216</v>
      </c>
      <c r="BS6" s="10">
        <f>+BR6/BN6-1</f>
        <v>0.30724710357739382</v>
      </c>
      <c r="BT6" s="24"/>
      <c r="BV6" s="24">
        <f>BV119</f>
        <v>619.36840792970804</v>
      </c>
      <c r="BW6" s="10">
        <f>+BV6/BR6-1</f>
        <v>0.23299414252926787</v>
      </c>
      <c r="BZ6" s="24">
        <f>BZ119</f>
        <v>657.79501210597653</v>
      </c>
      <c r="CA6" s="10">
        <f>+BZ6/BV6-1</f>
        <v>6.2041595412837935E-2</v>
      </c>
      <c r="CD6" s="24">
        <f>CD119</f>
        <v>758.34870762028982</v>
      </c>
      <c r="CE6" s="10">
        <f>+CD6/BZ6-1</f>
        <v>0.15286478867084075</v>
      </c>
      <c r="CH6" s="24">
        <f>CH119</f>
        <v>883.47179028145285</v>
      </c>
      <c r="CI6" s="10">
        <f>+CH6/CD6-1</f>
        <v>0.16499412658564583</v>
      </c>
      <c r="CL6" s="24">
        <f>CL119</f>
        <v>791.18187737275366</v>
      </c>
      <c r="CM6" s="10">
        <f>+CL6/CH6-1</f>
        <v>-0.10446277280602001</v>
      </c>
      <c r="CP6" s="24">
        <f>CP119</f>
        <v>843.06053106624529</v>
      </c>
      <c r="CQ6" s="10">
        <f>+CP6/CL6-1</f>
        <v>6.5571084446174321E-2</v>
      </c>
      <c r="CT6" s="24">
        <f>CT119</f>
        <v>1271.8384371623933</v>
      </c>
      <c r="CU6" s="10">
        <f>+CT6/CP6-1</f>
        <v>0.50859682110116</v>
      </c>
      <c r="CX6" s="24">
        <f>CX119</f>
        <v>1353.8050149847795</v>
      </c>
      <c r="CY6" s="10">
        <f>+CX6/CT6-1</f>
        <v>6.4447319272141534E-2</v>
      </c>
      <c r="DB6" s="24">
        <f>DB119</f>
        <v>916.69413282287644</v>
      </c>
      <c r="DC6" s="10">
        <f>+DB6/CX6-1</f>
        <v>-0.32287580362288537</v>
      </c>
      <c r="DF6" s="24">
        <f ca="1">DF119</f>
        <v>979.4908904564644</v>
      </c>
      <c r="DG6" s="10">
        <f ca="1">+DF6/DB6-1</f>
        <v>6.8503501206243156E-2</v>
      </c>
      <c r="DJ6" s="24">
        <f>DJ119</f>
        <v>1100.3245106495026</v>
      </c>
      <c r="DK6" s="10">
        <f ca="1">+DJ6/DF6-1</f>
        <v>0.12336369982647533</v>
      </c>
      <c r="DN6" s="24">
        <f>DN119</f>
        <v>1200.5499726938567</v>
      </c>
      <c r="DO6" s="10">
        <f>+DN6/DJ6-1</f>
        <v>9.1087184802593146E-2</v>
      </c>
      <c r="DR6" s="24">
        <f>DR119</f>
        <v>1286.0183527472609</v>
      </c>
      <c r="DS6" s="10">
        <f>+DR6/DN6-1</f>
        <v>7.1191022445842744E-2</v>
      </c>
    </row>
    <row r="7" spans="1:134">
      <c r="A7" s="1" t="s">
        <v>998</v>
      </c>
      <c r="BJ7" s="24"/>
      <c r="BL7" s="24"/>
      <c r="BM7" s="24"/>
      <c r="BN7" s="24"/>
      <c r="BO7" s="10"/>
      <c r="BP7" s="24"/>
      <c r="BQ7" s="24"/>
      <c r="BR7" s="24"/>
      <c r="BS7" s="10"/>
      <c r="BT7" s="24"/>
      <c r="BV7" s="24">
        <f>BV123</f>
        <v>600.21947097855582</v>
      </c>
      <c r="BW7" s="10"/>
      <c r="BZ7" s="24">
        <f>BZ123</f>
        <v>644.68025655950817</v>
      </c>
      <c r="CA7" s="10">
        <f>+BZ7/BV7-1</f>
        <v>7.407421406784187E-2</v>
      </c>
      <c r="CD7" s="24">
        <f>CD123</f>
        <v>743.60911944752263</v>
      </c>
      <c r="CE7" s="10">
        <f>+CD7/BZ7-1</f>
        <v>0.15345415325105849</v>
      </c>
      <c r="CH7" s="24">
        <f>CH123</f>
        <v>868.24171402426589</v>
      </c>
      <c r="CI7" s="10">
        <f>+CH7/CD7-1</f>
        <v>0.16760498401275825</v>
      </c>
      <c r="CL7" s="24">
        <f>CL123</f>
        <v>764.65090815656879</v>
      </c>
      <c r="CM7" s="10">
        <f>+CL7/CH7-1</f>
        <v>-0.11931102156743634</v>
      </c>
      <c r="CO7" s="36">
        <f>+CP26/CP7-1</f>
        <v>-1.5824368882177975E-4</v>
      </c>
      <c r="CP7" s="24">
        <f>CP123</f>
        <v>824.74428350019082</v>
      </c>
      <c r="CQ7" s="10">
        <f>+CP7/CL7-1</f>
        <v>7.8589294412133803E-2</v>
      </c>
      <c r="CT7" s="24">
        <f>CT123</f>
        <v>1230.7536113641083</v>
      </c>
      <c r="CU7" s="10">
        <f>+CT7/CP7-1</f>
        <v>0.49228510701623263</v>
      </c>
      <c r="CX7" s="24">
        <f>CX123</f>
        <v>1316.4287092818493</v>
      </c>
      <c r="CY7" s="10">
        <f>+CX7/CT7-1</f>
        <v>6.9611900486550526E-2</v>
      </c>
      <c r="DB7" s="24">
        <f>DB123</f>
        <v>911.53406244200505</v>
      </c>
      <c r="DC7" s="10">
        <f>+DB7/CX7-1</f>
        <v>-0.30757050798499086</v>
      </c>
      <c r="DF7" s="24">
        <f ca="1">DF123</f>
        <v>975.62501288790463</v>
      </c>
      <c r="DG7" s="10">
        <f ca="1">+DF7/DB7-1</f>
        <v>7.0311086646833054E-2</v>
      </c>
      <c r="DJ7" s="24">
        <f>DJ123</f>
        <v>1091.0943501656811</v>
      </c>
      <c r="DK7" s="10">
        <f ca="1">+DJ7/DF7-1</f>
        <v>0.11835421986156414</v>
      </c>
      <c r="DN7" s="24">
        <f>DN123</f>
        <v>1188.8349687086725</v>
      </c>
      <c r="DO7" s="10">
        <f>+DN7/DJ7-1</f>
        <v>8.9580354373707038E-2</v>
      </c>
      <c r="DR7" s="24">
        <f>DR123</f>
        <v>1272.21825629095</v>
      </c>
      <c r="DS7" s="10">
        <f>+DR7/DN7-1</f>
        <v>7.0138656564627588E-2</v>
      </c>
    </row>
    <row r="8" spans="1:134">
      <c r="A8" s="1" t="s">
        <v>473</v>
      </c>
      <c r="BJ8" s="8">
        <f>BJ128</f>
        <v>200</v>
      </c>
      <c r="BL8" s="8"/>
      <c r="BM8" s="8"/>
      <c r="BN8" s="8">
        <f>BN128</f>
        <v>260</v>
      </c>
      <c r="BO8" s="10">
        <f>+BN8/BJ8-1</f>
        <v>0.30000000000000004</v>
      </c>
      <c r="BP8" s="8"/>
      <c r="BQ8" s="8"/>
      <c r="BR8" s="8">
        <f>BR128</f>
        <v>330</v>
      </c>
      <c r="BS8" s="10">
        <f>+BR8/BN8-1</f>
        <v>0.26923076923076916</v>
      </c>
      <c r="BT8" s="8"/>
      <c r="BV8" s="8">
        <f>BV128</f>
        <v>400</v>
      </c>
      <c r="BW8" s="10">
        <f>+BV8/BR8-1</f>
        <v>0.21212121212121215</v>
      </c>
      <c r="BZ8" s="8">
        <f>BZ128</f>
        <v>470</v>
      </c>
      <c r="CA8" s="10">
        <f>+BZ8/BV8-1</f>
        <v>0.17500000000000004</v>
      </c>
      <c r="CD8" s="8">
        <f>CD128</f>
        <v>525</v>
      </c>
      <c r="CE8" s="10">
        <f>+CD8/BZ8-1</f>
        <v>0.11702127659574457</v>
      </c>
      <c r="CH8" s="8">
        <f>CH128</f>
        <v>575</v>
      </c>
      <c r="CI8" s="10">
        <f>+CH8/CD8-1</f>
        <v>9.5238095238095344E-2</v>
      </c>
      <c r="CL8" s="8">
        <f>CL128</f>
        <v>430</v>
      </c>
      <c r="CM8" s="10">
        <f>+CL8/CH8-1</f>
        <v>-0.25217391304347825</v>
      </c>
      <c r="CP8" s="8">
        <f>CP128</f>
        <v>470</v>
      </c>
      <c r="CQ8" s="10">
        <f>+CP8/CL8-1</f>
        <v>9.3023255813953432E-2</v>
      </c>
      <c r="CT8" s="8">
        <f>CT128</f>
        <v>622</v>
      </c>
      <c r="CU8" s="10">
        <f>+CT8/CP8-1</f>
        <v>0.32340425531914896</v>
      </c>
      <c r="CX8" s="8">
        <f>CX128</f>
        <v>750</v>
      </c>
      <c r="CY8" s="10">
        <f>+CX8/CT8-1</f>
        <v>0.20578778135048226</v>
      </c>
      <c r="DB8" s="8">
        <f>DB128</f>
        <v>640</v>
      </c>
      <c r="DC8" s="10">
        <f>+DB8/CX8-1</f>
        <v>-0.14666666666666661</v>
      </c>
      <c r="DF8" s="8">
        <f>DF128</f>
        <v>650</v>
      </c>
      <c r="DG8" s="10">
        <f>+DF8/DB8-1</f>
        <v>1.5625E-2</v>
      </c>
      <c r="DJ8" s="8">
        <f>DJ128</f>
        <v>710</v>
      </c>
      <c r="DK8" s="10">
        <f>+DJ8/DF8-1</f>
        <v>9.2307692307692202E-2</v>
      </c>
      <c r="DN8" s="8">
        <f>DN128</f>
        <v>775</v>
      </c>
      <c r="DO8" s="10">
        <f>+DN8/DJ8-1</f>
        <v>9.1549295774647987E-2</v>
      </c>
      <c r="DR8" s="8">
        <f>DR128</f>
        <v>830</v>
      </c>
      <c r="DS8" s="10">
        <f>+DR8/DN8-1</f>
        <v>7.0967741935483941E-2</v>
      </c>
    </row>
    <row r="9" spans="1:134">
      <c r="A9" s="1" t="s">
        <v>906</v>
      </c>
      <c r="BJ9" s="13">
        <f>BJ142</f>
        <v>7.8E-2</v>
      </c>
      <c r="BL9" s="13"/>
      <c r="BM9" s="13"/>
      <c r="BN9" s="13">
        <f>BN142</f>
        <v>0.11099999999999999</v>
      </c>
      <c r="BO9" s="71">
        <f>+(BN9-BJ9)*100</f>
        <v>3.2999999999999989</v>
      </c>
      <c r="BP9" s="13"/>
      <c r="BQ9" s="13"/>
      <c r="BR9" s="13">
        <f>BR142</f>
        <v>0.14000000000000001</v>
      </c>
      <c r="BS9" s="71">
        <f>+(BR9-BN9)*100</f>
        <v>2.9000000000000026</v>
      </c>
      <c r="BT9" s="13"/>
      <c r="BV9" s="13">
        <f>BV142</f>
        <v>0.14699999999999999</v>
      </c>
      <c r="BW9" s="71">
        <f>+(BV9-BR9)*100</f>
        <v>0.69999999999999785</v>
      </c>
      <c r="BZ9" s="13">
        <f>BZ142</f>
        <v>0.152</v>
      </c>
      <c r="CA9" s="71">
        <f>+(BZ9-BV9)*100</f>
        <v>0.50000000000000044</v>
      </c>
      <c r="CD9" s="13">
        <f>CD142</f>
        <v>0.16800000000000001</v>
      </c>
      <c r="CE9" s="71">
        <f>+(CD9-BZ9)*100</f>
        <v>1.6000000000000014</v>
      </c>
      <c r="CH9" s="13">
        <f>CH142</f>
        <v>0.18000000000000002</v>
      </c>
      <c r="CI9" s="71">
        <f>+(CH9-CD9)*100</f>
        <v>1.2000000000000011</v>
      </c>
      <c r="CL9" s="13">
        <f>CL142</f>
        <v>0.14499999999999999</v>
      </c>
      <c r="CM9" s="71">
        <f>+(CL9-CH9)*100</f>
        <v>-3.5000000000000031</v>
      </c>
      <c r="CP9" s="13">
        <f>CP142</f>
        <v>0.14299999999999999</v>
      </c>
      <c r="CQ9" s="71">
        <f>+(CP9-CL9)*100</f>
        <v>-0.20000000000000018</v>
      </c>
      <c r="CT9" s="13">
        <f>CT142</f>
        <v>0.187</v>
      </c>
      <c r="CU9" s="71">
        <f>+(CT9-CP9)*100</f>
        <v>4.4000000000000012</v>
      </c>
      <c r="CX9" s="13">
        <f>CX142</f>
        <v>0.16900000000000001</v>
      </c>
      <c r="CY9" s="71">
        <f>+(CX9-CT9)*100</f>
        <v>-1.7999999999999989</v>
      </c>
      <c r="DB9" s="13">
        <f>DB142</f>
        <v>0.108</v>
      </c>
      <c r="DC9" s="71">
        <f>+(DB9-CX9)*100</f>
        <v>-6.1000000000000014</v>
      </c>
      <c r="DF9" s="13">
        <f ca="1">DF142</f>
        <v>0.112</v>
      </c>
      <c r="DG9" s="71">
        <f ca="1">+(DF9-DB9)*100</f>
        <v>0.40000000000000036</v>
      </c>
      <c r="DJ9" s="13">
        <f ca="1">DJ142</f>
        <v>0.12043363282491794</v>
      </c>
      <c r="DK9" s="71">
        <f ca="1">+(DJ9-DF9)*100</f>
        <v>0.8433632824917936</v>
      </c>
      <c r="DN9" s="13">
        <f ca="1">DN142</f>
        <v>0.12514348111403092</v>
      </c>
      <c r="DO9" s="71">
        <f ca="1">+(DN9-DJ9)*100</f>
        <v>0.47098482891129861</v>
      </c>
      <c r="DR9" s="13">
        <f ca="1">DR142</f>
        <v>0.12355319033990177</v>
      </c>
      <c r="DS9" s="71">
        <f ca="1">+(DR9-DN9)*100</f>
        <v>-0.15902907741291578</v>
      </c>
    </row>
    <row r="10" spans="1:134">
      <c r="BJ10" s="13"/>
      <c r="BL10" s="13"/>
      <c r="BM10" s="13"/>
      <c r="BN10" s="13"/>
      <c r="BO10" s="71"/>
      <c r="BP10" s="13"/>
      <c r="BQ10" s="13"/>
      <c r="BR10" s="13"/>
      <c r="BS10" s="71"/>
      <c r="BT10" s="13"/>
      <c r="BV10" s="13"/>
      <c r="BW10" s="71"/>
      <c r="BZ10" s="13"/>
      <c r="CA10" s="71"/>
      <c r="CD10" s="13"/>
      <c r="CE10" s="71"/>
      <c r="CH10" s="13"/>
      <c r="CI10" s="71"/>
      <c r="CL10" s="13"/>
      <c r="CM10" s="71"/>
      <c r="CP10" s="13"/>
      <c r="CQ10" s="71"/>
      <c r="CT10" s="13"/>
      <c r="CU10" s="71"/>
      <c r="CX10" s="13"/>
      <c r="CY10" s="71"/>
      <c r="DB10" s="13"/>
      <c r="DC10" s="71"/>
      <c r="DF10" s="13"/>
      <c r="DG10" s="71"/>
      <c r="DJ10" s="13"/>
      <c r="DK10" s="71"/>
      <c r="DN10" s="13"/>
      <c r="DO10" s="71"/>
      <c r="DR10" s="13"/>
      <c r="DS10" s="71"/>
    </row>
    <row r="11" spans="1:134">
      <c r="A11" s="2" t="s">
        <v>20</v>
      </c>
    </row>
    <row r="12" spans="1:134">
      <c r="A12" s="1" t="s">
        <v>769</v>
      </c>
      <c r="BJ12" s="8">
        <f>BJ185</f>
        <v>851</v>
      </c>
      <c r="BL12" s="8">
        <f>BL185</f>
        <v>501</v>
      </c>
      <c r="BM12" s="8">
        <f>BM185</f>
        <v>766</v>
      </c>
      <c r="BN12" s="8">
        <f>BN185</f>
        <v>1267</v>
      </c>
      <c r="BO12" s="10">
        <f>+BN12/BJ12-1</f>
        <v>0.48883666274970627</v>
      </c>
      <c r="BP12" s="8">
        <f>BP185</f>
        <v>678</v>
      </c>
      <c r="BQ12" s="8">
        <f>BQ185</f>
        <v>926</v>
      </c>
      <c r="BR12" s="8">
        <f>BR185</f>
        <v>1604</v>
      </c>
      <c r="BS12" s="10">
        <f>+BR12/BN12-1</f>
        <v>0.26598263614838191</v>
      </c>
      <c r="BT12" s="8">
        <f>BT185</f>
        <v>1070</v>
      </c>
      <c r="BV12" s="8">
        <f>BV185</f>
        <v>2063</v>
      </c>
      <c r="BW12" s="10">
        <f>+BV12/BR12-1</f>
        <v>0.28615960099750626</v>
      </c>
      <c r="BZ12" s="8">
        <f>BZ185</f>
        <v>2217</v>
      </c>
      <c r="CA12" s="10">
        <f>+BZ12/BV12-1</f>
        <v>7.4648570043625684E-2</v>
      </c>
      <c r="CD12" s="8">
        <f>CD185</f>
        <v>2557</v>
      </c>
      <c r="CE12" s="10">
        <f>+CD12/BZ12-1</f>
        <v>0.15336039693279213</v>
      </c>
      <c r="CH12" s="8">
        <f>CH185</f>
        <v>2982</v>
      </c>
      <c r="CI12" s="10">
        <f>+CH12/CD12-1</f>
        <v>0.1662104028157998</v>
      </c>
      <c r="CL12" s="8">
        <f>CL185</f>
        <v>2731</v>
      </c>
      <c r="CM12" s="10">
        <f>+CL12/CH12-1</f>
        <v>-8.4171696847753164E-2</v>
      </c>
      <c r="CP12" s="8">
        <f>CP185</f>
        <v>3015</v>
      </c>
      <c r="CQ12" s="10">
        <f>+CP12/CL12-1</f>
        <v>0.10399121201025263</v>
      </c>
      <c r="CT12" s="8">
        <f>CT185</f>
        <v>4706</v>
      </c>
      <c r="CU12" s="10">
        <f>+CT12/CP12-1</f>
        <v>0.56086235489220559</v>
      </c>
      <c r="CX12" s="8">
        <f>CX185</f>
        <v>5182</v>
      </c>
      <c r="CY12" s="10">
        <f>+CX12/CT12-1</f>
        <v>0.10114747131321722</v>
      </c>
      <c r="DB12" s="8">
        <f>DB185</f>
        <v>3522</v>
      </c>
      <c r="DC12" s="10">
        <f>+DB12/CX12-1</f>
        <v>-0.32033963720571212</v>
      </c>
      <c r="DF12" s="8">
        <f ca="1">DF185</f>
        <v>3715</v>
      </c>
      <c r="DG12" s="10">
        <f ca="1">+DF12/DB12-1</f>
        <v>5.4798409994321506E-2</v>
      </c>
      <c r="DJ12" s="8">
        <f ca="1">DJ185</f>
        <v>5563.205464377992</v>
      </c>
      <c r="DK12" s="10">
        <f ca="1">+DJ12/DF12-1</f>
        <v>0.49749810615827506</v>
      </c>
      <c r="DN12" s="8">
        <f ca="1">DN185</f>
        <v>7016.5045744552772</v>
      </c>
      <c r="DO12" s="10">
        <f ca="1">+DN12/DJ12-1</f>
        <v>0.26123412471154794</v>
      </c>
      <c r="DR12" s="8">
        <f ca="1">DR185</f>
        <v>7897.4973512355427</v>
      </c>
      <c r="DS12" s="10">
        <f ca="1">+DR12/DN12-1</f>
        <v>0.12556006590342195</v>
      </c>
    </row>
    <row r="13" spans="1:134">
      <c r="A13" s="1" t="s">
        <v>81</v>
      </c>
      <c r="BJ13" s="24">
        <f>BJ222</f>
        <v>251.1734372490865</v>
      </c>
      <c r="BL13" s="24"/>
      <c r="BM13" s="24"/>
      <c r="BN13" s="24">
        <f>BN222</f>
        <v>384.26457391798874</v>
      </c>
      <c r="BO13" s="10">
        <f>+BN13/BJ13-1</f>
        <v>0.52987743499690576</v>
      </c>
      <c r="BP13" s="24"/>
      <c r="BQ13" s="24"/>
      <c r="BR13" s="24">
        <f>BR222</f>
        <v>502.32875126169216</v>
      </c>
      <c r="BS13" s="10">
        <f>+BR13/BN13-1</f>
        <v>0.30724710357739382</v>
      </c>
      <c r="BT13" s="24"/>
      <c r="BV13" s="24">
        <f>BV222</f>
        <v>619.36840792970804</v>
      </c>
      <c r="BW13" s="10">
        <f>+BV13/BR13-1</f>
        <v>0.23299414252926787</v>
      </c>
      <c r="BZ13" s="24">
        <f>BZ222</f>
        <v>657.79501210597653</v>
      </c>
      <c r="CA13" s="10">
        <f>+BZ13/BV13-1</f>
        <v>6.2041595412837935E-2</v>
      </c>
      <c r="CD13" s="24">
        <f>CD222</f>
        <v>758.34870762028982</v>
      </c>
      <c r="CE13" s="10">
        <f>+CD13/BZ13-1</f>
        <v>0.15286478867084075</v>
      </c>
      <c r="CH13" s="24">
        <f>CH222</f>
        <v>883.47179028145285</v>
      </c>
      <c r="CI13" s="10">
        <f>+CH13/CD13-1</f>
        <v>0.16499412658564583</v>
      </c>
      <c r="CL13" s="24">
        <f>CL222</f>
        <v>791.18187737275366</v>
      </c>
      <c r="CM13" s="10">
        <f>+CL13/CH13-1</f>
        <v>-0.10446277280602001</v>
      </c>
      <c r="CP13" s="24">
        <f>CP222</f>
        <v>842.9188883175226</v>
      </c>
      <c r="CQ13" s="10">
        <f>+CP13/CL13-1</f>
        <v>6.5392057660079272E-2</v>
      </c>
      <c r="CT13" s="24">
        <f>CT222</f>
        <v>1271.7017550259679</v>
      </c>
      <c r="CU13" s="10">
        <f>+CT13/CP13-1</f>
        <v>0.50868816994278254</v>
      </c>
      <c r="CX13" s="24">
        <f>CX222</f>
        <v>1353.6727518445196</v>
      </c>
      <c r="CY13" s="10">
        <f>+CX13/CT13-1</f>
        <v>6.4457720919696149E-2</v>
      </c>
      <c r="DB13" s="24">
        <f>DB222</f>
        <v>911.95433487676439</v>
      </c>
      <c r="DC13" s="10">
        <f>+DB13/CX13-1</f>
        <v>-0.32631107951745941</v>
      </c>
      <c r="DF13" s="24">
        <f ca="1">DF222</f>
        <v>965.29760173218517</v>
      </c>
      <c r="DG13" s="10">
        <f ca="1">+DF13/DB13-1</f>
        <v>5.8493353028064909E-2</v>
      </c>
      <c r="DJ13" s="24">
        <f ca="1">DJ222</f>
        <v>1460.2316223215266</v>
      </c>
      <c r="DK13" s="10">
        <f ca="1">+DJ13/DF13-1</f>
        <v>0.51272687272940853</v>
      </c>
      <c r="DN13" s="24">
        <f ca="1">DN222</f>
        <v>1840.655574903963</v>
      </c>
      <c r="DO13" s="10">
        <f ca="1">+DN13/DJ13-1</f>
        <v>0.26052302029839991</v>
      </c>
      <c r="DR13" s="24">
        <f ca="1">DR222</f>
        <v>2063.1240187842291</v>
      </c>
      <c r="DS13" s="10">
        <f ca="1">+DR13/DN13-1</f>
        <v>0.12086370036494931</v>
      </c>
    </row>
    <row r="14" spans="1:134">
      <c r="A14" s="1" t="s">
        <v>998</v>
      </c>
      <c r="BJ14" s="24"/>
      <c r="BL14" s="24"/>
      <c r="BM14" s="24"/>
      <c r="BN14" s="24"/>
      <c r="BO14" s="10"/>
      <c r="BP14" s="24"/>
      <c r="BQ14" s="24"/>
      <c r="BR14" s="24"/>
      <c r="BS14" s="10"/>
      <c r="BT14" s="24"/>
      <c r="BV14" s="24">
        <f>BV225</f>
        <v>600.21947097855582</v>
      </c>
      <c r="BW14" s="10"/>
      <c r="BZ14" s="24">
        <f>BZ225</f>
        <v>644.68025655950817</v>
      </c>
      <c r="CA14" s="10"/>
      <c r="CD14" s="24">
        <f>CD225</f>
        <v>743.60911944752263</v>
      </c>
      <c r="CE14" s="10"/>
      <c r="CH14" s="24">
        <f>CH225</f>
        <v>868.24171402426589</v>
      </c>
      <c r="CI14" s="10"/>
      <c r="CL14" s="24">
        <f>CL225</f>
        <v>764.65090815656879</v>
      </c>
      <c r="CM14" s="10"/>
      <c r="CP14" s="24">
        <f>CP225</f>
        <v>824.61377292243503</v>
      </c>
      <c r="CQ14" s="10"/>
      <c r="CT14" s="24">
        <f>CT225</f>
        <v>1230.6275909838403</v>
      </c>
      <c r="CU14" s="10"/>
      <c r="CX14" s="24">
        <f>CX225</f>
        <v>1316.3081952654666</v>
      </c>
      <c r="CY14" s="10"/>
      <c r="DB14" s="24">
        <f>DB225</f>
        <v>906.95953813295989</v>
      </c>
      <c r="DC14" s="10"/>
      <c r="DF14" s="24">
        <f ca="1">DF225</f>
        <v>961.87505318389856</v>
      </c>
      <c r="DG14" s="10"/>
      <c r="DJ14" s="24">
        <f ca="1">DJ225</f>
        <v>1442.1300504079811</v>
      </c>
      <c r="DK14" s="10"/>
      <c r="DN14" s="24">
        <f ca="1">DN225</f>
        <v>1813.1571945216801</v>
      </c>
      <c r="DO14" s="10"/>
      <c r="DR14" s="24">
        <f ca="1">DR225</f>
        <v>2030.2555646953451</v>
      </c>
      <c r="DS14" s="10"/>
    </row>
    <row r="15" spans="1:134">
      <c r="A15" s="1" t="s">
        <v>473</v>
      </c>
      <c r="BJ15" s="8">
        <f>BJ230</f>
        <v>200</v>
      </c>
      <c r="BL15" s="8"/>
      <c r="BM15" s="8"/>
      <c r="BN15" s="8">
        <f>BN230</f>
        <v>260</v>
      </c>
      <c r="BO15" s="10">
        <f>+BN15/BJ15-1</f>
        <v>0.30000000000000004</v>
      </c>
      <c r="BP15" s="8"/>
      <c r="BQ15" s="8"/>
      <c r="BR15" s="8">
        <f>BR230</f>
        <v>330</v>
      </c>
      <c r="BS15" s="10">
        <f>+BR15/BN15-1</f>
        <v>0.26923076923076916</v>
      </c>
      <c r="BT15" s="8"/>
      <c r="BV15" s="8">
        <f>BV230</f>
        <v>396.72251807505802</v>
      </c>
      <c r="BW15" s="10">
        <f>+BV15/BR15-1</f>
        <v>0.20218944871229705</v>
      </c>
      <c r="BZ15" s="8">
        <f>BZ230</f>
        <v>469.88874480611622</v>
      </c>
      <c r="CA15" s="10">
        <f>+BZ15/BV15-1</f>
        <v>0.18442670480634393</v>
      </c>
      <c r="CD15" s="8">
        <f>CD230</f>
        <v>524.8952478207093</v>
      </c>
      <c r="CE15" s="10">
        <f>+CD15/BZ15-1</f>
        <v>0.1170628231099462</v>
      </c>
      <c r="CH15" s="8">
        <f>CH230</f>
        <v>574.90553195484313</v>
      </c>
      <c r="CI15" s="10">
        <f>+CH15/CD15-1</f>
        <v>9.5276694429544673E-2</v>
      </c>
      <c r="CL15" s="8">
        <f>CL230</f>
        <v>429.91938605129656</v>
      </c>
      <c r="CM15" s="10">
        <f>+CL15/CH15-1</f>
        <v>-0.25219125203153336</v>
      </c>
      <c r="CP15" s="8">
        <f>CP230</f>
        <v>469.80509050596737</v>
      </c>
      <c r="CQ15" s="10">
        <f>+CP15/CL15-1</f>
        <v>9.277484511924694E-2</v>
      </c>
      <c r="CT15" s="8">
        <f>CT230</f>
        <v>611.42602763747345</v>
      </c>
      <c r="CU15" s="10">
        <f>+CT15/CP15-1</f>
        <v>0.30144615286944676</v>
      </c>
      <c r="CX15" s="8">
        <f>CX230</f>
        <v>749.92908814102873</v>
      </c>
      <c r="CY15" s="10">
        <f>+CX15/CT15-1</f>
        <v>0.22652463951972357</v>
      </c>
      <c r="DB15" s="8">
        <f>DB230</f>
        <v>636.41066612765223</v>
      </c>
      <c r="DC15" s="10">
        <f>+DB15/CX15-1</f>
        <v>-0.15137220813073549</v>
      </c>
      <c r="DF15" s="8">
        <f ca="1">DF230</f>
        <v>640.93712017719395</v>
      </c>
      <c r="DG15" s="10">
        <f ca="1">+DF15/DB15-1</f>
        <v>7.1124735810663697E-3</v>
      </c>
      <c r="DJ15" s="8">
        <f ca="1">DJ230</f>
        <v>932.64054897300889</v>
      </c>
      <c r="DK15" s="10">
        <f ca="1">+DJ15/DF15-1</f>
        <v>0.45512019761809142</v>
      </c>
      <c r="DN15" s="8">
        <f ca="1">DN230</f>
        <v>1171.6517183493593</v>
      </c>
      <c r="DO15" s="10">
        <f ca="1">+DN15/DJ15-1</f>
        <v>0.25627361971291207</v>
      </c>
      <c r="DR15" s="8">
        <f ca="1">DR230</f>
        <v>1312.0036645217338</v>
      </c>
      <c r="DS15" s="10">
        <f ca="1">+DR15/DN15-1</f>
        <v>0.11978981806138123</v>
      </c>
    </row>
    <row r="16" spans="1:134">
      <c r="A16" s="1" t="s">
        <v>906</v>
      </c>
      <c r="BJ16" s="13">
        <f>BJ245</f>
        <v>7.8E-2</v>
      </c>
      <c r="BL16" s="13"/>
      <c r="BM16" s="13"/>
      <c r="BN16" s="13">
        <f>BN245</f>
        <v>0.11099999999999999</v>
      </c>
      <c r="BO16" s="71">
        <f>+(BN16-BJ16)*100</f>
        <v>3.2999999999999989</v>
      </c>
      <c r="BP16" s="13"/>
      <c r="BQ16" s="13"/>
      <c r="BR16" s="13">
        <f>BR245</f>
        <v>0.14000000000000001</v>
      </c>
      <c r="BS16" s="71">
        <f>+(BR16-BN16)*100</f>
        <v>2.9000000000000026</v>
      </c>
      <c r="BT16" s="13"/>
      <c r="BV16" s="13">
        <f>BV245</f>
        <v>0.14758804499897252</v>
      </c>
      <c r="BW16" s="71">
        <f>+(BV16-BR16)*100</f>
        <v>0.75880449989725041</v>
      </c>
      <c r="BZ16" s="13">
        <f>BZ245</f>
        <v>0.14981754291120425</v>
      </c>
      <c r="CA16" s="71">
        <f>+(BZ16-BV16)*100</f>
        <v>0.22294979122317315</v>
      </c>
      <c r="CD16" s="13">
        <f>CD245</f>
        <v>0.16470575605162605</v>
      </c>
      <c r="CE16" s="71">
        <f>+(CD16-BZ16)*100</f>
        <v>1.4888213140421795</v>
      </c>
      <c r="CH16" s="13">
        <f>CH245</f>
        <v>0.17730065402655745</v>
      </c>
      <c r="CI16" s="71">
        <f>+(CH16-CD16)*100</f>
        <v>1.2594897974931407</v>
      </c>
      <c r="CL16" s="13">
        <f>CL245</f>
        <v>0.14576713222552595</v>
      </c>
      <c r="CM16" s="71">
        <f>+(CL16-CH16)*100</f>
        <v>-3.1533521801031501</v>
      </c>
      <c r="CP16" s="13">
        <f>CP245</f>
        <v>0.14109914664011558</v>
      </c>
      <c r="CQ16" s="71">
        <f>+(CP16-CL16)*100</f>
        <v>-0.46679855854103725</v>
      </c>
      <c r="CT16" s="13">
        <f>CT245</f>
        <v>0.19822767379873979</v>
      </c>
      <c r="CU16" s="71">
        <f>+(CT16-CP16)*100</f>
        <v>5.7128527158624207</v>
      </c>
      <c r="CX16" s="13">
        <f>CX245</f>
        <v>0.19544971857296795</v>
      </c>
      <c r="CY16" s="71">
        <f>+(CX16-CT16)*100</f>
        <v>-0.27779552257718443</v>
      </c>
      <c r="DB16" s="13">
        <f>DB245</f>
        <v>0.12112165334487836</v>
      </c>
      <c r="DC16" s="71">
        <f>+(DB16-CX16)*100</f>
        <v>-7.432806522808959</v>
      </c>
      <c r="DF16" s="13">
        <f ca="1">DF245</f>
        <v>0.12026463035283777</v>
      </c>
      <c r="DG16" s="71">
        <f ca="1">+(DF16-DB16)*100</f>
        <v>-8.5702299204058752E-2</v>
      </c>
      <c r="DJ16" s="13">
        <f ca="1">DJ245</f>
        <v>0.17116787226415361</v>
      </c>
      <c r="DK16" s="71">
        <f ca="1">+(DJ16-DF16)*100</f>
        <v>5.0903241911315842</v>
      </c>
      <c r="DN16" s="13">
        <f ca="1">DN245</f>
        <v>0.201186631596937</v>
      </c>
      <c r="DO16" s="71">
        <f ca="1">+(DN16-DJ16)*100</f>
        <v>3.0018759332783391</v>
      </c>
      <c r="DR16" s="13">
        <f ca="1">DR245</f>
        <v>0.20711642034430289</v>
      </c>
      <c r="DS16" s="71">
        <f ca="1">+(DR16-DN16)*100</f>
        <v>0.59297887473658828</v>
      </c>
    </row>
    <row r="17" spans="1:123">
      <c r="A17" s="3" t="s">
        <v>43</v>
      </c>
    </row>
    <row r="18" spans="1:123">
      <c r="A18" s="3" t="s">
        <v>769</v>
      </c>
      <c r="BJ18" s="10"/>
      <c r="BL18" s="10">
        <f>BL186</f>
        <v>0</v>
      </c>
      <c r="BM18" s="10">
        <f>BM186</f>
        <v>0</v>
      </c>
      <c r="BN18" s="10">
        <f>BN186</f>
        <v>0</v>
      </c>
      <c r="BP18" s="10">
        <f>BP186</f>
        <v>0</v>
      </c>
      <c r="BQ18" s="10">
        <f>BQ186</f>
        <v>0</v>
      </c>
      <c r="BR18" s="10">
        <f>BR186</f>
        <v>0</v>
      </c>
      <c r="BT18" s="10">
        <f>BT186</f>
        <v>0</v>
      </c>
      <c r="BV18" s="10">
        <f>BV186</f>
        <v>0</v>
      </c>
      <c r="BZ18" s="10">
        <f>BZ186</f>
        <v>0</v>
      </c>
      <c r="CD18" s="10">
        <f>CD186</f>
        <v>0</v>
      </c>
      <c r="CH18" s="10">
        <f>CH186</f>
        <v>0</v>
      </c>
      <c r="CL18" s="10">
        <f>CL186</f>
        <v>0</v>
      </c>
      <c r="CP18" s="10">
        <f>CP186</f>
        <v>0</v>
      </c>
      <c r="CT18" s="10">
        <f>CT186</f>
        <v>0</v>
      </c>
      <c r="CX18" s="10">
        <f>CX186</f>
        <v>0</v>
      </c>
      <c r="DB18" s="10">
        <f>DB186</f>
        <v>0</v>
      </c>
      <c r="DF18" s="10">
        <f ca="1">DF186</f>
        <v>0</v>
      </c>
      <c r="DJ18" s="10">
        <f ca="1">DJ186</f>
        <v>0.33324191359636046</v>
      </c>
      <c r="DN18" s="10">
        <f ca="1">DN186</f>
        <v>0.53443015920137227</v>
      </c>
      <c r="DR18" s="10">
        <f ca="1">DR186</f>
        <v>0.60427980065410902</v>
      </c>
    </row>
    <row r="19" spans="1:123">
      <c r="A19" s="3" t="s">
        <v>81</v>
      </c>
      <c r="BJ19" s="10"/>
      <c r="BL19" s="10"/>
      <c r="BM19" s="10"/>
      <c r="BN19" s="10">
        <f>BN223</f>
        <v>0</v>
      </c>
      <c r="BP19" s="10"/>
      <c r="BQ19" s="10"/>
      <c r="BR19" s="10">
        <f>BR223</f>
        <v>0</v>
      </c>
      <c r="BT19" s="10"/>
      <c r="BV19" s="10">
        <f>BV223</f>
        <v>0</v>
      </c>
      <c r="BZ19" s="10">
        <f>BZ223</f>
        <v>0</v>
      </c>
      <c r="CD19" s="10">
        <f>CD223</f>
        <v>0</v>
      </c>
      <c r="CH19" s="10">
        <f>CH223</f>
        <v>0</v>
      </c>
      <c r="CL19" s="10">
        <f>CL223</f>
        <v>0</v>
      </c>
      <c r="CP19" s="10">
        <f>CP223</f>
        <v>-1.6801017661627338E-4</v>
      </c>
      <c r="CT19" s="10">
        <f>CT223</f>
        <v>-1.0746815981621527E-4</v>
      </c>
      <c r="CX19" s="10">
        <f>CX223</f>
        <v>-9.7697333660273777E-5</v>
      </c>
      <c r="DB19" s="10">
        <f>DB223</f>
        <v>-5.1705337433722853E-3</v>
      </c>
      <c r="DF19" s="10">
        <f ca="1">DF223</f>
        <v>-1.4490475473094899E-2</v>
      </c>
      <c r="DJ19" s="10">
        <f ca="1">DJ223</f>
        <v>0.32709178809402051</v>
      </c>
      <c r="DN19" s="10">
        <f ca="1">DN223</f>
        <v>0.53317697452760249</v>
      </c>
      <c r="DR19" s="10">
        <f ca="1">DR223</f>
        <v>0.60427260962246265</v>
      </c>
    </row>
    <row r="20" spans="1:123">
      <c r="A20" s="3" t="s">
        <v>473</v>
      </c>
      <c r="BJ20" s="10"/>
      <c r="BL20" s="10"/>
      <c r="BM20" s="10"/>
      <c r="BN20" s="10">
        <f>BN231</f>
        <v>0</v>
      </c>
      <c r="BP20" s="10"/>
      <c r="BQ20" s="10"/>
      <c r="BR20" s="10">
        <f>BR231</f>
        <v>0</v>
      </c>
      <c r="BT20" s="10"/>
      <c r="BV20" s="10">
        <f>BV231</f>
        <v>-8.1937048123549294E-3</v>
      </c>
      <c r="BZ20" s="10">
        <f>BZ231</f>
        <v>-2.3671317847617779E-4</v>
      </c>
      <c r="CD20" s="10">
        <f>CD231</f>
        <v>-1.9952796055366928E-4</v>
      </c>
      <c r="CH20" s="10">
        <f>CH231</f>
        <v>-1.6429225244674051E-4</v>
      </c>
      <c r="CL20" s="10">
        <f>CL231</f>
        <v>-1.8747429931031956E-4</v>
      </c>
      <c r="CP20" s="10">
        <f>CP231</f>
        <v>-4.147010511332816E-4</v>
      </c>
      <c r="CT20" s="10">
        <f>CT231</f>
        <v>-1.6999955566762925E-2</v>
      </c>
      <c r="CX20" s="10">
        <f>CX231</f>
        <v>-9.4549145295053094E-5</v>
      </c>
      <c r="DB20" s="10">
        <f>DB231</f>
        <v>-5.6083341755434057E-3</v>
      </c>
      <c r="DF20" s="10">
        <f ca="1">DF231</f>
        <v>-1.3942892035086252E-2</v>
      </c>
      <c r="DJ20" s="10">
        <f ca="1">DJ231</f>
        <v>0.31357823799015327</v>
      </c>
      <c r="DN20" s="10">
        <f ca="1">DN231</f>
        <v>0.5118086688378829</v>
      </c>
      <c r="DR20" s="10">
        <f ca="1">DR231</f>
        <v>0.58072730665269123</v>
      </c>
    </row>
    <row r="21" spans="1:123">
      <c r="A21" s="3" t="s">
        <v>906</v>
      </c>
      <c r="BJ21" s="71"/>
      <c r="BL21" s="71"/>
      <c r="BM21" s="71"/>
      <c r="BN21" s="71">
        <f>BN246*100</f>
        <v>0</v>
      </c>
      <c r="BP21" s="71"/>
      <c r="BQ21" s="71"/>
      <c r="BR21" s="71">
        <f>BR246*100</f>
        <v>0</v>
      </c>
      <c r="BT21" s="71"/>
      <c r="BV21" s="71">
        <f>BV246*100</f>
        <v>5.880449989725256E-2</v>
      </c>
      <c r="BZ21" s="71">
        <f>BZ246*100</f>
        <v>-0.21824570887957473</v>
      </c>
      <c r="CD21" s="71">
        <f>CD246*100</f>
        <v>-0.32942439483739649</v>
      </c>
      <c r="CH21" s="71">
        <f>CH246*100</f>
        <v>-0.26993459734425684</v>
      </c>
      <c r="CL21" s="71">
        <f>CL246*100</f>
        <v>7.6713222552596272E-2</v>
      </c>
      <c r="CP21" s="71">
        <f>CP246*100</f>
        <v>-0.1900853359884408</v>
      </c>
      <c r="CT21" s="71">
        <f>CT246*100</f>
        <v>1.122767379873979</v>
      </c>
      <c r="CX21" s="71">
        <f>CX246*100</f>
        <v>2.6449718572967935</v>
      </c>
      <c r="DB21" s="71">
        <f>DB246*100</f>
        <v>1.3121653344878359</v>
      </c>
      <c r="DF21" s="71">
        <f ca="1">DF246*100</f>
        <v>0.82646303528377674</v>
      </c>
      <c r="DJ21" s="71">
        <f ca="1">DJ246*100</f>
        <v>5.0734239439235678</v>
      </c>
      <c r="DN21" s="71">
        <f ca="1">DN246*100</f>
        <v>7.6043150482906077</v>
      </c>
      <c r="DR21" s="71">
        <f ca="1">DR246*100</f>
        <v>8.3563230004401117</v>
      </c>
    </row>
    <row r="23" spans="1:123">
      <c r="A23" s="2" t="s">
        <v>21</v>
      </c>
    </row>
    <row r="24" spans="1:123">
      <c r="A24" s="1" t="s">
        <v>769</v>
      </c>
      <c r="BJ24" s="8">
        <f>BJ288</f>
        <v>851</v>
      </c>
      <c r="BL24" s="8">
        <f>BL288</f>
        <v>501</v>
      </c>
      <c r="BM24" s="8">
        <f>BM288</f>
        <v>766</v>
      </c>
      <c r="BN24" s="8">
        <f>BN288</f>
        <v>1267</v>
      </c>
      <c r="BO24" s="10">
        <f>+BN24/BJ24-1</f>
        <v>0.48883666274970627</v>
      </c>
      <c r="BP24" s="8">
        <f>BP288</f>
        <v>678</v>
      </c>
      <c r="BQ24" s="8">
        <f>BQ288</f>
        <v>926</v>
      </c>
      <c r="BR24" s="8">
        <f>BR288</f>
        <v>1604</v>
      </c>
      <c r="BS24" s="10">
        <f>+BR24/BN24-1</f>
        <v>0.26598263614838191</v>
      </c>
      <c r="BT24" s="8">
        <f>BT288</f>
        <v>1070</v>
      </c>
      <c r="BV24" s="8">
        <f>BV288</f>
        <v>2063</v>
      </c>
      <c r="BW24" s="10">
        <f>+BV24/BR24-1</f>
        <v>0.28615960099750626</v>
      </c>
      <c r="BZ24" s="8">
        <f>BZ288</f>
        <v>2217</v>
      </c>
      <c r="CA24" s="10">
        <f>+BZ24/BV24-1</f>
        <v>7.4648570043625684E-2</v>
      </c>
      <c r="CD24" s="8">
        <f>CD288</f>
        <v>2557</v>
      </c>
      <c r="CE24" s="10">
        <f>+CD24/BZ24-1</f>
        <v>0.15336039693279213</v>
      </c>
      <c r="CH24" s="8">
        <f>CH288</f>
        <v>2982</v>
      </c>
      <c r="CI24" s="10">
        <f>+CH24/CD24-1</f>
        <v>0.1662104028157998</v>
      </c>
      <c r="CL24" s="8">
        <f>CL288</f>
        <v>2731</v>
      </c>
      <c r="CM24" s="10">
        <f>+CL24/CH24-1</f>
        <v>-8.4171696847753164E-2</v>
      </c>
      <c r="CP24" s="8">
        <f>CP288</f>
        <v>3015</v>
      </c>
      <c r="CQ24" s="10">
        <f>+CP24/CL24-1</f>
        <v>0.10399121201025263</v>
      </c>
      <c r="CT24" s="8">
        <f>CT288</f>
        <v>4706</v>
      </c>
      <c r="CU24" s="10">
        <f>+CT24/CP24-1</f>
        <v>0.56086235489220559</v>
      </c>
      <c r="CX24" s="8">
        <f>CX288</f>
        <v>5182</v>
      </c>
      <c r="CY24" s="10">
        <f>+CX24/CT24-1</f>
        <v>0.10114747131321722</v>
      </c>
      <c r="DB24" s="8">
        <f>DB288</f>
        <v>3522</v>
      </c>
      <c r="DC24" s="10">
        <f>+DB24/CX24-1</f>
        <v>-0.32033963720571212</v>
      </c>
      <c r="DF24" s="8">
        <f ca="1">DF288</f>
        <v>3715</v>
      </c>
      <c r="DG24" s="10">
        <f ca="1">+DF24/DB24-1</f>
        <v>5.4798409994321506E-2</v>
      </c>
      <c r="DJ24" s="8">
        <f ca="1">DJ288</f>
        <v>2453.6144689586936</v>
      </c>
      <c r="DK24" s="10">
        <f ca="1">+DJ24/DF24-1</f>
        <v>-0.33953850095324534</v>
      </c>
      <c r="DN24" s="8">
        <f ca="1">DN288</f>
        <v>3200.6026815185792</v>
      </c>
      <c r="DO24" s="10">
        <f ca="1">+DN24/DJ24-1</f>
        <v>0.30444400373825031</v>
      </c>
      <c r="DR24" s="8">
        <f ca="1">DR288</f>
        <v>2713.6224827347519</v>
      </c>
      <c r="DS24" s="10">
        <f ca="1">+DR24/DN24-1</f>
        <v>-0.15215265599689221</v>
      </c>
    </row>
    <row r="25" spans="1:123">
      <c r="A25" s="1" t="s">
        <v>81</v>
      </c>
      <c r="BJ25" s="24">
        <f>BJ325</f>
        <v>251.1734372490865</v>
      </c>
      <c r="BN25" s="24">
        <f>BN325</f>
        <v>384.26457391798874</v>
      </c>
      <c r="BO25" s="10">
        <f>+BN25/BJ25-1</f>
        <v>0.52987743499690576</v>
      </c>
      <c r="BR25" s="24">
        <f>BR325</f>
        <v>502.32875126169216</v>
      </c>
      <c r="BS25" s="10">
        <f>+BR25/BN25-1</f>
        <v>0.30724710357739382</v>
      </c>
      <c r="BV25" s="24">
        <f>BV325</f>
        <v>619.36840792970804</v>
      </c>
      <c r="BW25" s="10">
        <f>+BV25/BR25-1</f>
        <v>0.23299414252926787</v>
      </c>
      <c r="BZ25" s="24">
        <f>BZ325</f>
        <v>657.79501210597653</v>
      </c>
      <c r="CA25" s="10">
        <f>+BZ25/BV25-1</f>
        <v>6.2041595412837935E-2</v>
      </c>
      <c r="CD25" s="24">
        <f>CD325</f>
        <v>758.34870762028982</v>
      </c>
      <c r="CE25" s="10">
        <f>+CD25/BZ25-1</f>
        <v>0.15286478867084075</v>
      </c>
      <c r="CH25" s="24">
        <f>CH325</f>
        <v>883.47179028145285</v>
      </c>
      <c r="CI25" s="10">
        <f>+CH25/CD25-1</f>
        <v>0.16499412658564583</v>
      </c>
      <c r="CL25" s="24">
        <f>CL325</f>
        <v>791.18187737275366</v>
      </c>
      <c r="CM25" s="10">
        <f>+CL25/CH25-1</f>
        <v>-0.10446277280602001</v>
      </c>
      <c r="CP25" s="24">
        <f>CP325</f>
        <v>842.9188883175226</v>
      </c>
      <c r="CQ25" s="10">
        <f>+CP25/CL25-1</f>
        <v>6.5392057660079272E-2</v>
      </c>
      <c r="CT25" s="24">
        <f>CT325</f>
        <v>1271.7017550259679</v>
      </c>
      <c r="CU25" s="10">
        <f>+CT25/CP25-1</f>
        <v>0.50868816994278254</v>
      </c>
      <c r="CX25" s="24">
        <f>CX325</f>
        <v>1353.6727518445196</v>
      </c>
      <c r="CY25" s="10">
        <f>+CX25/CT25-1</f>
        <v>6.4457720919696149E-2</v>
      </c>
      <c r="DB25" s="24">
        <f>DB325</f>
        <v>911.95433487676439</v>
      </c>
      <c r="DC25" s="10">
        <f>+DB25/CX25-1</f>
        <v>-0.32631107951745941</v>
      </c>
      <c r="DF25" s="24">
        <f ca="1">DF325</f>
        <v>965.29760173218517</v>
      </c>
      <c r="DG25" s="10">
        <f ca="1">+DF25/DB25-1</f>
        <v>5.8493353028064909E-2</v>
      </c>
      <c r="DJ25" s="24">
        <f ca="1">DJ325</f>
        <v>623.54925789446577</v>
      </c>
      <c r="DK25" s="10">
        <f ca="1">+DJ25/DF25-1</f>
        <v>-0.35403417891484101</v>
      </c>
      <c r="DN25" s="24">
        <f ca="1">DN325</f>
        <v>817.87272959946358</v>
      </c>
      <c r="DO25" s="10">
        <f ca="1">+DN25/DJ25-1</f>
        <v>0.31164093172232854</v>
      </c>
      <c r="DR25" s="24">
        <f ca="1">DR325</f>
        <v>680.78601794542021</v>
      </c>
      <c r="DS25" s="10">
        <f ca="1">+DR25/DN25-1</f>
        <v>-0.16761374562663167</v>
      </c>
    </row>
    <row r="26" spans="1:123">
      <c r="A26" s="1" t="s">
        <v>998</v>
      </c>
      <c r="BJ26" s="24"/>
      <c r="BN26" s="24"/>
      <c r="BO26" s="10"/>
      <c r="BR26" s="24"/>
      <c r="BS26" s="10"/>
      <c r="BV26" s="24">
        <f>BV328</f>
        <v>600.21947097855582</v>
      </c>
      <c r="BW26" s="10"/>
      <c r="BZ26" s="24">
        <f>BZ328</f>
        <v>644.68025655950817</v>
      </c>
      <c r="CA26" s="10"/>
      <c r="CD26" s="24">
        <f>CD328</f>
        <v>743.60911944752263</v>
      </c>
      <c r="CE26" s="10"/>
      <c r="CH26" s="24">
        <f>CH328</f>
        <v>868.24171402426589</v>
      </c>
      <c r="CI26" s="10"/>
      <c r="CL26" s="24">
        <f>CL328</f>
        <v>764.65090815656879</v>
      </c>
      <c r="CM26" s="10"/>
      <c r="CP26" s="24">
        <f>CP328</f>
        <v>824.61377292243503</v>
      </c>
      <c r="CQ26" s="10"/>
      <c r="CT26" s="24">
        <f>CT328</f>
        <v>1230.6275909838403</v>
      </c>
      <c r="CU26" s="10"/>
      <c r="CX26" s="24">
        <f>CX328</f>
        <v>1316.3081952654666</v>
      </c>
      <c r="CY26" s="10"/>
      <c r="DB26" s="24">
        <f>DB328</f>
        <v>906.95953813295989</v>
      </c>
      <c r="DC26" s="10"/>
      <c r="DF26" s="24">
        <f ca="1">DF328</f>
        <v>961.87505318389856</v>
      </c>
      <c r="DG26" s="10"/>
      <c r="DJ26" s="24">
        <f ca="1">DJ328</f>
        <v>626.34181987971886</v>
      </c>
      <c r="DK26" s="10"/>
      <c r="DN26" s="24">
        <f ca="1">DN328</f>
        <v>815.82024459289164</v>
      </c>
      <c r="DO26" s="10"/>
      <c r="DR26" s="24">
        <f ca="1">DR328</f>
        <v>682.1373512232899</v>
      </c>
      <c r="DS26" s="10"/>
    </row>
    <row r="27" spans="1:123">
      <c r="A27" s="1" t="s">
        <v>473</v>
      </c>
      <c r="BJ27" s="8">
        <f>BJ333</f>
        <v>200</v>
      </c>
      <c r="BN27" s="8">
        <f>BN333</f>
        <v>260</v>
      </c>
      <c r="BO27" s="10">
        <f>+BN27/BJ27-1</f>
        <v>0.30000000000000004</v>
      </c>
      <c r="BR27" s="8">
        <f>BR333</f>
        <v>330</v>
      </c>
      <c r="BS27" s="10">
        <f>+BR27/BN27-1</f>
        <v>0.26923076923076916</v>
      </c>
      <c r="BV27" s="8">
        <f>BV333</f>
        <v>396.72251807505802</v>
      </c>
      <c r="BW27" s="10">
        <f>+BV27/BR27-1</f>
        <v>0.20218944871229705</v>
      </c>
      <c r="BZ27" s="8">
        <f>BZ333</f>
        <v>469.88874480611622</v>
      </c>
      <c r="CA27" s="10">
        <f>+BZ27/BV27-1</f>
        <v>0.18442670480634393</v>
      </c>
      <c r="CD27" s="8">
        <f>CD333</f>
        <v>524.8952478207093</v>
      </c>
      <c r="CE27" s="10">
        <f>+CD27/BZ27-1</f>
        <v>0.1170628231099462</v>
      </c>
      <c r="CH27" s="8">
        <f>CH333</f>
        <v>574.90553195484313</v>
      </c>
      <c r="CI27" s="10">
        <f>+CH27/CD27-1</f>
        <v>9.5276694429544673E-2</v>
      </c>
      <c r="CL27" s="8">
        <f>CL333</f>
        <v>429.91938605129656</v>
      </c>
      <c r="CM27" s="10">
        <f>+CL27/CH27-1</f>
        <v>-0.25219125203153336</v>
      </c>
      <c r="CP27" s="8">
        <f>CP333</f>
        <v>469.80509050596737</v>
      </c>
      <c r="CQ27" s="10">
        <f>+CP27/CL27-1</f>
        <v>9.277484511924694E-2</v>
      </c>
      <c r="CT27" s="8">
        <f>CT333</f>
        <v>611.42602763747345</v>
      </c>
      <c r="CU27" s="10">
        <f>+CT27/CP27-1</f>
        <v>0.30144615286944676</v>
      </c>
      <c r="CX27" s="8">
        <f>CX333</f>
        <v>749.92908814102873</v>
      </c>
      <c r="CY27" s="10">
        <f>+CX27/CT27-1</f>
        <v>0.22652463951972357</v>
      </c>
      <c r="DB27" s="8">
        <f>DB333</f>
        <v>636.41066612765223</v>
      </c>
      <c r="DC27" s="10">
        <f>+DB27/CX27-1</f>
        <v>-0.15137220813073549</v>
      </c>
      <c r="DF27" s="8">
        <f ca="1">DF333</f>
        <v>640.93712017719395</v>
      </c>
      <c r="DG27" s="10">
        <f ca="1">+DF27/DB27-1</f>
        <v>7.1124735810663697E-3</v>
      </c>
      <c r="DJ27" s="8">
        <f ca="1">DJ333</f>
        <v>411.3348608010844</v>
      </c>
      <c r="DK27" s="10">
        <f ca="1">+DJ27/DF27-1</f>
        <v>-0.35822899337244429</v>
      </c>
      <c r="DN27" s="8">
        <f ca="1">DN333</f>
        <v>534.45295898576933</v>
      </c>
      <c r="DO27" s="10">
        <f ca="1">+DN27/DJ27-1</f>
        <v>0.29931355184656483</v>
      </c>
      <c r="DR27" s="8">
        <f ca="1">DR333</f>
        <v>450.8115018132375</v>
      </c>
      <c r="DS27" s="10">
        <f ca="1">+DR27/DN27-1</f>
        <v>-0.15649919373869337</v>
      </c>
    </row>
    <row r="28" spans="1:123">
      <c r="A28" s="1" t="s">
        <v>906</v>
      </c>
      <c r="BJ28" s="13">
        <f>BJ348</f>
        <v>7.8E-2</v>
      </c>
      <c r="BN28" s="13">
        <f>BN348</f>
        <v>0.11099999999999999</v>
      </c>
      <c r="BO28" s="71">
        <f>+(BN28-BJ28)*100</f>
        <v>3.2999999999999989</v>
      </c>
      <c r="BR28" s="13">
        <f>BR348</f>
        <v>0.14000000000000001</v>
      </c>
      <c r="BS28" s="71">
        <f>+(BR28-BN28)*100</f>
        <v>2.9000000000000026</v>
      </c>
      <c r="BV28" s="13">
        <f>BV348</f>
        <v>0.14758804499897252</v>
      </c>
      <c r="BW28" s="71">
        <f>+(BV28-BR28)*100</f>
        <v>0.75880449989725041</v>
      </c>
      <c r="BZ28" s="13">
        <f>BZ348</f>
        <v>0.14981754291120425</v>
      </c>
      <c r="CA28" s="71">
        <f>+(BZ28-BV28)*100</f>
        <v>0.22294979122317315</v>
      </c>
      <c r="CD28" s="13">
        <f>CD348</f>
        <v>0.16470575605162605</v>
      </c>
      <c r="CE28" s="71">
        <f>+(CD28-BZ28)*100</f>
        <v>1.4888213140421795</v>
      </c>
      <c r="CH28" s="13">
        <f>CH348</f>
        <v>0.17730065402655745</v>
      </c>
      <c r="CI28" s="71">
        <f>+(CH28-CD28)*100</f>
        <v>1.2594897974931407</v>
      </c>
      <c r="CL28" s="13">
        <f>CL348</f>
        <v>0.14576713222552595</v>
      </c>
      <c r="CM28" s="71">
        <f>+(CL28-CH28)*100</f>
        <v>-3.1533521801031501</v>
      </c>
      <c r="CP28" s="13">
        <f>CP348</f>
        <v>0.14109914664011558</v>
      </c>
      <c r="CQ28" s="71">
        <f>+(CP28-CL28)*100</f>
        <v>-0.46679855854103725</v>
      </c>
      <c r="CT28" s="13">
        <f>CT348</f>
        <v>0.19822767379873979</v>
      </c>
      <c r="CU28" s="71">
        <f>+(CT28-CP28)*100</f>
        <v>5.7128527158624207</v>
      </c>
      <c r="CX28" s="13">
        <f>CX348</f>
        <v>0.19544971857296795</v>
      </c>
      <c r="CY28" s="71">
        <f>+(CX28-CT28)*100</f>
        <v>-0.27779552257718443</v>
      </c>
      <c r="DB28" s="13">
        <f>DB348</f>
        <v>0.12112165334487836</v>
      </c>
      <c r="DC28" s="71">
        <f>+(DB28-CX28)*100</f>
        <v>-7.432806522808959</v>
      </c>
      <c r="DF28" s="13">
        <f ca="1">DF348</f>
        <v>0.12026463035283777</v>
      </c>
      <c r="DG28" s="71">
        <f ca="1">+(DF28-DB28)*100</f>
        <v>-8.5702299204058752E-2</v>
      </c>
      <c r="DJ28" s="13">
        <f ca="1">DJ348</f>
        <v>7.8012424334693076E-2</v>
      </c>
      <c r="DK28" s="71">
        <f ca="1">+(DJ28-DF28)*100</f>
        <v>-4.2252206018144696</v>
      </c>
      <c r="DN28" s="13">
        <f ca="1">DN348</f>
        <v>0.10004056386900953</v>
      </c>
      <c r="DO28" s="71">
        <f ca="1">+(DN28-DJ28)*100</f>
        <v>2.2028139534316455</v>
      </c>
      <c r="DR28" s="13">
        <f ca="1">DR348</f>
        <v>8.1402095213995385E-2</v>
      </c>
      <c r="DS28" s="71">
        <f ca="1">+(DR28-DN28)*100</f>
        <v>-1.8638468655014147</v>
      </c>
    </row>
    <row r="29" spans="1:123">
      <c r="A29" s="3" t="s">
        <v>43</v>
      </c>
    </row>
    <row r="30" spans="1:123">
      <c r="A30" s="3" t="s">
        <v>769</v>
      </c>
      <c r="BJ30" s="10"/>
      <c r="BL30" s="39">
        <f>BL289</f>
        <v>0</v>
      </c>
      <c r="BM30" s="39">
        <f>BM289</f>
        <v>0</v>
      </c>
      <c r="BN30" s="39">
        <f>BN289</f>
        <v>0</v>
      </c>
      <c r="BP30" s="39">
        <f>BP289</f>
        <v>0</v>
      </c>
      <c r="BQ30" s="39">
        <f>BQ289</f>
        <v>0</v>
      </c>
      <c r="BR30" s="39">
        <f>BR289</f>
        <v>0</v>
      </c>
      <c r="BT30" s="39">
        <f>BT289</f>
        <v>0</v>
      </c>
      <c r="BV30" s="39">
        <f>BV289</f>
        <v>0</v>
      </c>
      <c r="BZ30" s="39">
        <f>BZ289</f>
        <v>0</v>
      </c>
      <c r="CD30" s="39">
        <f>CD289</f>
        <v>0</v>
      </c>
      <c r="CH30" s="39">
        <f>CH289</f>
        <v>0</v>
      </c>
      <c r="CL30" s="39">
        <f>CL289</f>
        <v>0</v>
      </c>
      <c r="CP30" s="39">
        <f>CP289</f>
        <v>0</v>
      </c>
      <c r="CT30" s="39">
        <f>CT289</f>
        <v>0</v>
      </c>
      <c r="CX30" s="39">
        <f>CX289</f>
        <v>0</v>
      </c>
      <c r="DB30" s="39">
        <f>DB289</f>
        <v>0</v>
      </c>
      <c r="DF30" s="39">
        <f ca="1">DF289</f>
        <v>0</v>
      </c>
      <c r="DJ30" s="39">
        <f ca="1">DJ289</f>
        <v>-0.4119825933504403</v>
      </c>
      <c r="DN30" s="39">
        <f ca="1">DN289</f>
        <v>-0.30006440813527679</v>
      </c>
      <c r="DR30" s="39">
        <f ca="1">DR289</f>
        <v>-0.44876084890726342</v>
      </c>
    </row>
    <row r="31" spans="1:123">
      <c r="A31" s="3" t="s">
        <v>81</v>
      </c>
      <c r="BJ31" s="10"/>
      <c r="BN31" s="39">
        <f>BN326</f>
        <v>0</v>
      </c>
      <c r="BR31" s="39">
        <f>BR326</f>
        <v>0</v>
      </c>
      <c r="BV31" s="39">
        <f>BV326</f>
        <v>0</v>
      </c>
      <c r="BZ31" s="39">
        <f>BZ326</f>
        <v>0</v>
      </c>
      <c r="CD31" s="39">
        <f>CD326</f>
        <v>0</v>
      </c>
      <c r="CH31" s="39">
        <f>CH326</f>
        <v>0</v>
      </c>
      <c r="CL31" s="39">
        <f>CL326</f>
        <v>0</v>
      </c>
      <c r="CP31" s="39">
        <f>CP326</f>
        <v>-1.6801017661627338E-4</v>
      </c>
      <c r="CT31" s="39">
        <f>CT326</f>
        <v>-1.0746815981621527E-4</v>
      </c>
      <c r="CX31" s="39">
        <f>CX326</f>
        <v>-9.7697333660273777E-5</v>
      </c>
      <c r="DB31" s="39">
        <f>DB326</f>
        <v>-5.1705337433722853E-3</v>
      </c>
      <c r="DF31" s="39">
        <f ca="1">DF326</f>
        <v>-1.4490475473094899E-2</v>
      </c>
      <c r="DJ31" s="39">
        <f ca="1">DJ326</f>
        <v>-0.43330421901953686</v>
      </c>
      <c r="DN31" s="39">
        <f ca="1">DN326</f>
        <v>-0.31875161534152718</v>
      </c>
      <c r="DR31" s="39">
        <f ca="1">DR326</f>
        <v>-0.47062495920755032</v>
      </c>
    </row>
    <row r="32" spans="1:123">
      <c r="A32" s="3" t="s">
        <v>473</v>
      </c>
      <c r="BJ32" s="10"/>
      <c r="BN32" s="39">
        <f>BN334</f>
        <v>0</v>
      </c>
      <c r="BR32" s="39">
        <f>BR334</f>
        <v>0</v>
      </c>
      <c r="BV32" s="39">
        <f>BV334</f>
        <v>-8.1937048123549294E-3</v>
      </c>
      <c r="BZ32" s="39">
        <f>BZ334</f>
        <v>-2.3671317847617779E-4</v>
      </c>
      <c r="CD32" s="39">
        <f>CD334</f>
        <v>-1.9952796055366928E-4</v>
      </c>
      <c r="CH32" s="39">
        <f>CH334</f>
        <v>-1.6429225244674051E-4</v>
      </c>
      <c r="CL32" s="39">
        <f>CL334</f>
        <v>-1.8747429931031956E-4</v>
      </c>
      <c r="CP32" s="39">
        <f>CP334</f>
        <v>-4.147010511332816E-4</v>
      </c>
      <c r="CT32" s="39">
        <f>CT334</f>
        <v>-1.6999955566762925E-2</v>
      </c>
      <c r="CX32" s="39">
        <f>CX334</f>
        <v>-9.4549145295053094E-5</v>
      </c>
      <c r="DB32" s="39">
        <f>DB334</f>
        <v>-5.6083341755434057E-3</v>
      </c>
      <c r="DF32" s="39">
        <f ca="1">DF334</f>
        <v>-1.3942892035086252E-2</v>
      </c>
      <c r="DJ32" s="39">
        <f ca="1">DJ334</f>
        <v>-0.42065512563227547</v>
      </c>
      <c r="DN32" s="39">
        <f ca="1">DN334</f>
        <v>-0.31038327872803961</v>
      </c>
      <c r="DR32" s="39">
        <f ca="1">DR334</f>
        <v>-0.45685361227320787</v>
      </c>
    </row>
    <row r="33" spans="1:134">
      <c r="A33" s="3" t="s">
        <v>906</v>
      </c>
      <c r="BJ33" s="71"/>
      <c r="BN33" s="85">
        <f>BN349*100</f>
        <v>0</v>
      </c>
      <c r="BR33" s="85">
        <f>BR349*100</f>
        <v>0</v>
      </c>
      <c r="BV33" s="85">
        <f>BV349*100</f>
        <v>5.880449989725256E-2</v>
      </c>
      <c r="BZ33" s="85">
        <f>BZ349*100</f>
        <v>-0.21824570887957473</v>
      </c>
      <c r="CD33" s="85">
        <f>CD349*100</f>
        <v>-0.32942439483739649</v>
      </c>
      <c r="CH33" s="85">
        <f>CH349*100</f>
        <v>-0.26993459734425684</v>
      </c>
      <c r="CL33" s="85">
        <f>CL349*100</f>
        <v>7.6713222552596272E-2</v>
      </c>
      <c r="CP33" s="85">
        <f>CP349*100</f>
        <v>-0.1900853359884408</v>
      </c>
      <c r="CT33" s="85">
        <f>CT349*100</f>
        <v>1.122767379873979</v>
      </c>
      <c r="CX33" s="85">
        <f>CX349*100</f>
        <v>2.6449718572967935</v>
      </c>
      <c r="DB33" s="85">
        <f>DB349*100</f>
        <v>1.3121653344878359</v>
      </c>
      <c r="DF33" s="85">
        <f ca="1">DF349*100</f>
        <v>0.82646303528377674</v>
      </c>
      <c r="DJ33" s="85">
        <f ca="1">DJ349*100</f>
        <v>-4.242120849022486</v>
      </c>
      <c r="DN33" s="85">
        <f ca="1">DN349*100</f>
        <v>-2.5102917245021397</v>
      </c>
      <c r="DR33" s="85">
        <f ca="1">DR349*100</f>
        <v>-4.2151095125906384</v>
      </c>
    </row>
    <row r="35" spans="1:134" s="96" customFormat="1">
      <c r="A35" s="16" t="s">
        <v>601</v>
      </c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8"/>
      <c r="AO35" s="18"/>
      <c r="AP35" s="18"/>
      <c r="AQ35" s="18"/>
      <c r="AR35" s="18"/>
      <c r="AS35" s="18"/>
      <c r="AT35" s="18"/>
      <c r="AU35" s="18"/>
      <c r="AV35" s="44"/>
      <c r="AW35" s="44"/>
      <c r="AX35" s="18"/>
      <c r="AY35" s="18"/>
      <c r="AZ35" s="45"/>
      <c r="BA35" s="45"/>
      <c r="BB35" s="45"/>
      <c r="BC35" s="18"/>
      <c r="BD35" s="45"/>
      <c r="BE35" s="45"/>
      <c r="BF35" s="45"/>
      <c r="BG35" s="18"/>
      <c r="BH35" s="45"/>
      <c r="BI35" s="45"/>
      <c r="BJ35" s="45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92"/>
      <c r="DU35" s="92"/>
      <c r="DV35" s="92"/>
      <c r="DW35" s="92"/>
      <c r="DX35" s="92"/>
      <c r="DY35" s="92"/>
      <c r="DZ35" s="92"/>
      <c r="EA35" s="92"/>
      <c r="EB35" s="92"/>
      <c r="EC35" s="92"/>
      <c r="ED35" s="92"/>
    </row>
    <row r="37" spans="1:134">
      <c r="A37" s="1" t="s">
        <v>571</v>
      </c>
      <c r="AV37" s="8">
        <f>'P&amp;L'!AV9</f>
        <v>425</v>
      </c>
      <c r="AW37" s="8">
        <f>'P&amp;L'!AW9</f>
        <v>655</v>
      </c>
      <c r="AX37" s="8">
        <f>'P&amp;L'!AX9</f>
        <v>1080</v>
      </c>
      <c r="AZ37" s="8">
        <f>'P&amp;L'!AZ9</f>
        <v>605</v>
      </c>
      <c r="BA37" s="8">
        <f>'P&amp;L'!BA9</f>
        <v>670</v>
      </c>
      <c r="BB37" s="8">
        <f>'P&amp;L'!BB9</f>
        <v>1275</v>
      </c>
      <c r="BD37" s="8">
        <f>'P&amp;L'!BD9</f>
        <v>698</v>
      </c>
      <c r="BE37" s="8">
        <f>'P&amp;L'!BE9</f>
        <v>635</v>
      </c>
      <c r="BF37" s="8">
        <f>'P&amp;L'!BF9</f>
        <v>1333</v>
      </c>
      <c r="BH37" s="8">
        <f>'P&amp;L'!BH9</f>
        <v>644</v>
      </c>
      <c r="BI37" s="8">
        <f>'P&amp;L'!BI9</f>
        <v>723</v>
      </c>
      <c r="BJ37" s="8">
        <f>'P&amp;L'!BJ9</f>
        <v>1367</v>
      </c>
      <c r="BL37" s="8">
        <f>'P&amp;L'!BL9</f>
        <v>860</v>
      </c>
      <c r="BM37" s="8">
        <f>'P&amp;L'!BM9</f>
        <v>845</v>
      </c>
      <c r="BN37" s="8">
        <f>'P&amp;L'!BN9</f>
        <v>1705</v>
      </c>
      <c r="BP37" s="8">
        <f>'P&amp;L'!BP9</f>
        <v>956</v>
      </c>
      <c r="BQ37" s="8">
        <f>'P&amp;L'!BQ9</f>
        <v>1136</v>
      </c>
      <c r="BR37" s="8">
        <f>'P&amp;L'!BR9</f>
        <v>2092</v>
      </c>
      <c r="BT37" s="8">
        <f>'P&amp;L'!BT9</f>
        <v>1165</v>
      </c>
      <c r="BU37" s="8">
        <f>'P&amp;L'!BU9</f>
        <v>1114</v>
      </c>
      <c r="BV37" s="8">
        <f>'P&amp;L'!BV9</f>
        <v>2279</v>
      </c>
      <c r="BX37" s="8">
        <f>'P&amp;L'!BX9</f>
        <v>1098</v>
      </c>
      <c r="BY37" s="8">
        <f>'P&amp;L'!BY9</f>
        <v>1087</v>
      </c>
      <c r="BZ37" s="8">
        <f>'P&amp;L'!BZ9</f>
        <v>2185</v>
      </c>
      <c r="CB37" s="8">
        <f>'P&amp;L'!CB9</f>
        <v>1011</v>
      </c>
      <c r="CC37" s="8">
        <f>'P&amp;L'!CC9</f>
        <v>975</v>
      </c>
      <c r="CD37" s="8">
        <f>'P&amp;L'!CD9</f>
        <v>1986</v>
      </c>
      <c r="CF37" s="8">
        <f>'P&amp;L'!CF9</f>
        <v>998</v>
      </c>
      <c r="CG37" s="8">
        <f>'P&amp;L'!CG9</f>
        <v>762</v>
      </c>
      <c r="CH37" s="8">
        <f>'P&amp;L'!CH9</f>
        <v>1760</v>
      </c>
      <c r="CJ37" s="8">
        <f>'P&amp;L'!CJ9</f>
        <v>790</v>
      </c>
      <c r="CK37" s="8">
        <f>'P&amp;L'!CK9</f>
        <v>1069</v>
      </c>
      <c r="CL37" s="8">
        <f>'P&amp;L'!CL9</f>
        <v>1859</v>
      </c>
      <c r="CN37" s="8">
        <f>'P&amp;L'!CN9</f>
        <v>1033</v>
      </c>
      <c r="CO37" s="8">
        <f>'P&amp;L'!CO9</f>
        <v>1162</v>
      </c>
      <c r="CP37" s="8">
        <f>'P&amp;L'!CP9</f>
        <v>2195</v>
      </c>
      <c r="CR37" s="8">
        <f>'P&amp;L'!CR9</f>
        <v>1373</v>
      </c>
      <c r="CS37" s="8">
        <f>'P&amp;L'!CS9</f>
        <v>1487</v>
      </c>
      <c r="CT37" s="8">
        <f>'P&amp;L'!CT9</f>
        <v>2860</v>
      </c>
      <c r="CV37" s="8">
        <f>'P&amp;L'!CV9</f>
        <v>1431</v>
      </c>
      <c r="CW37" s="8">
        <f>'P&amp;L'!CW9</f>
        <v>1597</v>
      </c>
      <c r="CX37" s="8">
        <f>'P&amp;L'!CX9</f>
        <v>3028</v>
      </c>
      <c r="CZ37" s="8">
        <f>'P&amp;L'!CZ9</f>
        <v>1633</v>
      </c>
      <c r="DA37" s="8">
        <f>'P&amp;L'!DA9</f>
        <v>1826</v>
      </c>
      <c r="DB37" s="8">
        <f>'P&amp;L'!DB9</f>
        <v>3459</v>
      </c>
      <c r="DD37" s="8">
        <f>'P&amp;L'!DD9</f>
        <v>1669</v>
      </c>
      <c r="DE37" s="8">
        <f>'P&amp;L'!DE9</f>
        <v>1838</v>
      </c>
      <c r="DF37" s="8">
        <f>'P&amp;L'!DF9</f>
        <v>3507</v>
      </c>
      <c r="DH37" s="8">
        <f>'P&amp;L'!DH9</f>
        <v>2066</v>
      </c>
      <c r="DI37" s="8">
        <f>'P&amp;L'!DI9</f>
        <v>1961.8562328900316</v>
      </c>
      <c r="DJ37" s="8">
        <f>'P&amp;L'!DJ9</f>
        <v>4027.8562328900316</v>
      </c>
      <c r="DL37" s="8">
        <f>'P&amp;L'!DL9</f>
        <v>2105.8243482422477</v>
      </c>
      <c r="DM37" s="8">
        <f>'P&amp;L'!DM9</f>
        <v>2193.0643408970232</v>
      </c>
      <c r="DN37" s="8">
        <f>'P&amp;L'!DN9</f>
        <v>4298.8886891392704</v>
      </c>
      <c r="DP37" s="8">
        <f>'P&amp;L'!DP9</f>
        <v>2269.6231916062784</v>
      </c>
      <c r="DQ37" s="8">
        <f>'P&amp;L'!DQ9</f>
        <v>2350.5513257509156</v>
      </c>
      <c r="DR37" s="8">
        <f>'P&amp;L'!DR9</f>
        <v>4620.1745173571944</v>
      </c>
    </row>
    <row r="38" spans="1:134">
      <c r="A38" s="1" t="s">
        <v>566</v>
      </c>
      <c r="AV38" s="8">
        <f>'P&amp;L'!AV10</f>
        <v>1882</v>
      </c>
      <c r="AW38" s="8">
        <f>'P&amp;L'!AW10</f>
        <v>1839</v>
      </c>
      <c r="AX38" s="8">
        <f>'P&amp;L'!AX10</f>
        <v>3721</v>
      </c>
      <c r="AZ38" s="8">
        <f>'P&amp;L'!AZ10</f>
        <v>1995</v>
      </c>
      <c r="BA38" s="8">
        <f>'P&amp;L'!BA10</f>
        <v>1896</v>
      </c>
      <c r="BB38" s="8">
        <f>'P&amp;L'!BB10</f>
        <v>3891</v>
      </c>
      <c r="BD38" s="8">
        <f>'P&amp;L'!BD10</f>
        <v>1765.663</v>
      </c>
      <c r="BE38" s="8">
        <f>'P&amp;L'!BE10</f>
        <v>1598</v>
      </c>
      <c r="BF38" s="8">
        <f>'P&amp;L'!BF10</f>
        <v>3363.663</v>
      </c>
      <c r="BH38" s="8">
        <f>'P&amp;L'!BH10</f>
        <v>1636</v>
      </c>
      <c r="BI38" s="8">
        <f>'P&amp;L'!BI10</f>
        <v>1743</v>
      </c>
      <c r="BJ38" s="8">
        <f>'P&amp;L'!BJ10</f>
        <v>3379</v>
      </c>
      <c r="BL38" s="8">
        <f>'P&amp;L'!BL10</f>
        <v>1838</v>
      </c>
      <c r="BM38" s="8">
        <f>'P&amp;L'!BM10</f>
        <v>2017</v>
      </c>
      <c r="BN38" s="8">
        <f>'P&amp;L'!BN10</f>
        <v>3855</v>
      </c>
      <c r="BP38" s="8">
        <f>'P&amp;L'!BP10</f>
        <v>2167</v>
      </c>
      <c r="BQ38" s="8">
        <f>'P&amp;L'!BQ10</f>
        <v>2572</v>
      </c>
      <c r="BR38" s="8">
        <f>'P&amp;L'!BR10</f>
        <v>4739</v>
      </c>
      <c r="BT38" s="8">
        <f>'P&amp;L'!BT10</f>
        <v>2794</v>
      </c>
      <c r="BU38" s="8">
        <f>'P&amp;L'!BU10</f>
        <v>2068</v>
      </c>
      <c r="BV38" s="8">
        <f>'P&amp;L'!BV10</f>
        <v>4862</v>
      </c>
      <c r="BX38" s="8">
        <f>'P&amp;L'!BX10</f>
        <v>2203</v>
      </c>
      <c r="BY38" s="8">
        <f>'P&amp;L'!BY10</f>
        <v>2128</v>
      </c>
      <c r="BZ38" s="8">
        <f>'P&amp;L'!BZ10</f>
        <v>4331</v>
      </c>
      <c r="CB38" s="8">
        <f>'P&amp;L'!CB10</f>
        <v>2568</v>
      </c>
      <c r="CC38" s="8">
        <f>'P&amp;L'!CC10</f>
        <v>2102</v>
      </c>
      <c r="CD38" s="8">
        <f>'P&amp;L'!CD10</f>
        <v>4670</v>
      </c>
      <c r="CF38" s="8">
        <f>'P&amp;L'!CF10</f>
        <v>2661</v>
      </c>
      <c r="CG38" s="8">
        <f>'P&amp;L'!CG10</f>
        <v>2865</v>
      </c>
      <c r="CH38" s="8">
        <f>'P&amp;L'!CH10</f>
        <v>5526</v>
      </c>
      <c r="CJ38" s="8">
        <f>'P&amp;L'!CJ10</f>
        <v>2874</v>
      </c>
      <c r="CK38" s="8">
        <f>'P&amp;L'!CK10</f>
        <v>2963</v>
      </c>
      <c r="CL38" s="8">
        <f>'P&amp;L'!CL10</f>
        <v>5837</v>
      </c>
      <c r="CN38" s="8">
        <f>'P&amp;L'!CN10</f>
        <v>2613</v>
      </c>
      <c r="CO38" s="8">
        <f>'P&amp;L'!CO10</f>
        <v>2563</v>
      </c>
      <c r="CP38" s="8">
        <f>'P&amp;L'!CP10</f>
        <v>5176</v>
      </c>
      <c r="CR38" s="8">
        <f>'P&amp;L'!CR10</f>
        <v>3452</v>
      </c>
      <c r="CS38" s="8">
        <f>'P&amp;L'!CS10</f>
        <v>3435</v>
      </c>
      <c r="CT38" s="8">
        <f>'P&amp;L'!CT10</f>
        <v>6887</v>
      </c>
      <c r="CV38" s="8">
        <f>'P&amp;L'!CV10</f>
        <v>3055</v>
      </c>
      <c r="CW38" s="8">
        <f>'P&amp;L'!CW10</f>
        <v>3345</v>
      </c>
      <c r="CX38" s="8">
        <f>'P&amp;L'!CX10</f>
        <v>6400</v>
      </c>
      <c r="CZ38" s="8">
        <f>'P&amp;L'!CZ10</f>
        <v>3023</v>
      </c>
      <c r="DA38" s="8">
        <f>'P&amp;L'!DA10</f>
        <v>3226</v>
      </c>
      <c r="DB38" s="8">
        <f>'P&amp;L'!DB10</f>
        <v>6249</v>
      </c>
      <c r="DD38" s="8">
        <f>'P&amp;L'!DD10</f>
        <v>3300</v>
      </c>
      <c r="DE38" s="8">
        <f ca="1">'P&amp;L'!DE10</f>
        <v>3490</v>
      </c>
      <c r="DF38" s="8">
        <f ca="1">'P&amp;L'!DF10</f>
        <v>6790</v>
      </c>
      <c r="DH38" s="8">
        <f>'P&amp;L'!DH10</f>
        <v>3901</v>
      </c>
      <c r="DI38" s="8">
        <f>'P&amp;L'!DI10</f>
        <v>3615.0750669774479</v>
      </c>
      <c r="DJ38" s="8">
        <f>'P&amp;L'!DJ10</f>
        <v>7516.0750669774479</v>
      </c>
      <c r="DL38" s="8">
        <f>'P&amp;L'!DL10</f>
        <v>3486.4374788938881</v>
      </c>
      <c r="DM38" s="8">
        <f>'P&amp;L'!DM10</f>
        <v>3535.1484407541348</v>
      </c>
      <c r="DN38" s="8">
        <f>'P&amp;L'!DN10</f>
        <v>7021.5859196480233</v>
      </c>
      <c r="DP38" s="8">
        <f>'P&amp;L'!DP10</f>
        <v>3657.478527223222</v>
      </c>
      <c r="DQ38" s="8">
        <f>'P&amp;L'!DQ10</f>
        <v>3710.7117919172324</v>
      </c>
      <c r="DR38" s="8">
        <f>'P&amp;L'!DR10</f>
        <v>7368.1903191404544</v>
      </c>
    </row>
    <row r="39" spans="1:134">
      <c r="A39" s="1" t="s">
        <v>665</v>
      </c>
      <c r="AV39" s="8">
        <f>'P&amp;L'!AV11</f>
        <v>442</v>
      </c>
      <c r="AW39" s="8">
        <f>'P&amp;L'!AW11</f>
        <v>484</v>
      </c>
      <c r="AX39" s="8">
        <f>'P&amp;L'!AX11</f>
        <v>926</v>
      </c>
      <c r="AZ39" s="8">
        <f>'P&amp;L'!AZ11</f>
        <v>496</v>
      </c>
      <c r="BA39" s="8">
        <f>'P&amp;L'!BA11</f>
        <v>454</v>
      </c>
      <c r="BB39" s="8">
        <f>'P&amp;L'!BB11</f>
        <v>950</v>
      </c>
      <c r="BD39" s="8">
        <f>'P&amp;L'!BD11</f>
        <v>462.66300000000001</v>
      </c>
      <c r="BE39" s="8">
        <f>'P&amp;L'!BE11</f>
        <v>476</v>
      </c>
      <c r="BF39" s="8">
        <f>'P&amp;L'!BF11</f>
        <v>938.66300000000001</v>
      </c>
      <c r="BH39" s="8">
        <f>'P&amp;L'!BH11</f>
        <v>499</v>
      </c>
      <c r="BI39" s="8">
        <f>'P&amp;L'!BI11</f>
        <v>518</v>
      </c>
      <c r="BJ39" s="8">
        <f>'P&amp;L'!BJ11</f>
        <v>1017</v>
      </c>
      <c r="BL39" s="8">
        <f>'P&amp;L'!BL11</f>
        <v>628</v>
      </c>
      <c r="BM39" s="8">
        <f>'P&amp;L'!BM11</f>
        <v>660</v>
      </c>
      <c r="BN39" s="8">
        <f>'P&amp;L'!BN11</f>
        <v>1288</v>
      </c>
      <c r="BP39" s="8">
        <f>'P&amp;L'!BP11</f>
        <v>650</v>
      </c>
      <c r="BQ39" s="8">
        <f>'P&amp;L'!BQ11</f>
        <v>738</v>
      </c>
      <c r="BR39" s="8">
        <f>'P&amp;L'!BR11</f>
        <v>1388</v>
      </c>
      <c r="BT39" s="8">
        <f>'P&amp;L'!BT11</f>
        <v>791</v>
      </c>
      <c r="BU39" s="8">
        <f>'P&amp;L'!BU11</f>
        <v>791</v>
      </c>
      <c r="BV39" s="8">
        <f>'P&amp;L'!BV11</f>
        <v>1582</v>
      </c>
      <c r="BX39" s="8">
        <f>'P&amp;L'!BX11</f>
        <v>794</v>
      </c>
      <c r="BY39" s="8">
        <f>'P&amp;L'!BY11</f>
        <v>786</v>
      </c>
      <c r="BZ39" s="8">
        <f>'P&amp;L'!BZ11</f>
        <v>1580</v>
      </c>
      <c r="CB39" s="8">
        <f>'P&amp;L'!CB11</f>
        <v>804</v>
      </c>
      <c r="CC39" s="8">
        <f>'P&amp;L'!CC11</f>
        <v>786</v>
      </c>
      <c r="CD39" s="8">
        <f>'P&amp;L'!CD11</f>
        <v>1590</v>
      </c>
      <c r="CF39" s="8">
        <f>'P&amp;L'!CF11</f>
        <v>899</v>
      </c>
      <c r="CG39" s="8">
        <f>'P&amp;L'!CG11</f>
        <v>916</v>
      </c>
      <c r="CH39" s="8">
        <f>'P&amp;L'!CH11</f>
        <v>1815</v>
      </c>
      <c r="CJ39" s="8">
        <f>'P&amp;L'!CJ11</f>
        <v>967</v>
      </c>
      <c r="CK39" s="8">
        <f>'P&amp;L'!CK11</f>
        <v>1086</v>
      </c>
      <c r="CL39" s="8">
        <f>'P&amp;L'!CL11</f>
        <v>2053</v>
      </c>
      <c r="CN39" s="8">
        <f>'P&amp;L'!CN11</f>
        <v>985</v>
      </c>
      <c r="CO39" s="8">
        <f>'P&amp;L'!CO11</f>
        <v>1026</v>
      </c>
      <c r="CP39" s="8">
        <f>'P&amp;L'!CP11</f>
        <v>2011</v>
      </c>
      <c r="CR39" s="8">
        <f>'P&amp;L'!CR11</f>
        <v>1374</v>
      </c>
      <c r="CS39" s="8">
        <f>'P&amp;L'!CS11</f>
        <v>1422</v>
      </c>
      <c r="CT39" s="8">
        <f>'P&amp;L'!CT11</f>
        <v>2796</v>
      </c>
      <c r="CV39" s="8">
        <f>'P&amp;L'!CV11</f>
        <v>1389</v>
      </c>
      <c r="CW39" s="8">
        <f>'P&amp;L'!CW11</f>
        <v>1415</v>
      </c>
      <c r="CX39" s="8">
        <f>'P&amp;L'!CX11</f>
        <v>2804</v>
      </c>
      <c r="CZ39" s="8">
        <f>'P&amp;L'!CZ11</f>
        <v>1417</v>
      </c>
      <c r="DA39" s="8">
        <f>'P&amp;L'!DA11</f>
        <v>1478</v>
      </c>
      <c r="DB39" s="8">
        <f>'P&amp;L'!DB11</f>
        <v>2895</v>
      </c>
      <c r="DD39" s="8">
        <f>'P&amp;L'!DD11</f>
        <v>1448</v>
      </c>
      <c r="DE39" s="8">
        <f ca="1">'P&amp;L'!DE11</f>
        <v>1500</v>
      </c>
      <c r="DF39" s="8">
        <f ca="1">'P&amp;L'!DF11</f>
        <v>2948</v>
      </c>
      <c r="DH39" s="8">
        <f>'P&amp;L'!DH11</f>
        <v>1477</v>
      </c>
      <c r="DI39" s="8">
        <f>'P&amp;L'!DI11</f>
        <v>1264.8718317971143</v>
      </c>
      <c r="DJ39" s="8">
        <f>'P&amp;L'!DJ11</f>
        <v>2741.8718317971143</v>
      </c>
      <c r="DL39" s="8">
        <f>'P&amp;L'!DL11</f>
        <v>1188.7122515753802</v>
      </c>
      <c r="DM39" s="8">
        <f>'P&amp;L'!DM11</f>
        <v>1202.9413318089396</v>
      </c>
      <c r="DN39" s="8">
        <f>'P&amp;L'!DN11</f>
        <v>2391.65358338432</v>
      </c>
      <c r="DP39" s="8">
        <f>'P&amp;L'!DP11</f>
        <v>1231.5552775971755</v>
      </c>
      <c r="DQ39" s="8">
        <f>'P&amp;L'!DQ11</f>
        <v>1257.3738747826887</v>
      </c>
      <c r="DR39" s="8">
        <f>'P&amp;L'!DR11</f>
        <v>2488.9291523798643</v>
      </c>
    </row>
    <row r="40" spans="1:134">
      <c r="A40" s="1" t="s">
        <v>666</v>
      </c>
      <c r="AV40" s="8">
        <f>'P&amp;L'!AV12</f>
        <v>52</v>
      </c>
      <c r="AW40" s="8">
        <f>'P&amp;L'!AW12</f>
        <v>5</v>
      </c>
      <c r="AX40" s="8">
        <f>'P&amp;L'!AX12</f>
        <v>57</v>
      </c>
      <c r="AZ40" s="8">
        <f>'P&amp;L'!AZ12</f>
        <v>15</v>
      </c>
      <c r="BA40" s="8">
        <f>'P&amp;L'!BA12</f>
        <v>21</v>
      </c>
      <c r="BB40" s="8">
        <f>'P&amp;L'!BB12</f>
        <v>36</v>
      </c>
      <c r="BD40" s="8">
        <f>'P&amp;L'!BD12</f>
        <v>89</v>
      </c>
      <c r="BE40" s="8">
        <f>'P&amp;L'!BE12</f>
        <v>41</v>
      </c>
      <c r="BF40" s="8">
        <f>'P&amp;L'!BF12</f>
        <v>130</v>
      </c>
      <c r="BH40" s="8">
        <f>'P&amp;L'!BH12</f>
        <v>76</v>
      </c>
      <c r="BI40" s="8">
        <f>'P&amp;L'!BI12</f>
        <v>88</v>
      </c>
      <c r="BJ40" s="8">
        <f>'P&amp;L'!BJ12</f>
        <v>164</v>
      </c>
      <c r="BL40" s="8">
        <f>'P&amp;L'!BL12</f>
        <v>76</v>
      </c>
      <c r="BM40" s="8">
        <f>'P&amp;L'!BM12</f>
        <v>142</v>
      </c>
      <c r="BN40" s="8">
        <f>'P&amp;L'!BN12</f>
        <v>218</v>
      </c>
      <c r="BP40" s="8">
        <f>'P&amp;L'!BP12</f>
        <v>373</v>
      </c>
      <c r="BQ40" s="8">
        <f>'P&amp;L'!BQ12</f>
        <v>294</v>
      </c>
      <c r="BR40" s="8">
        <f>'P&amp;L'!BR12</f>
        <v>667</v>
      </c>
      <c r="BT40" s="8">
        <f>'P&amp;L'!BT12</f>
        <v>629</v>
      </c>
      <c r="BU40" s="8">
        <f>'P&amp;L'!BU12</f>
        <v>85</v>
      </c>
      <c r="BV40" s="8">
        <f>'P&amp;L'!BV12</f>
        <v>714</v>
      </c>
      <c r="BX40" s="8">
        <f>'P&amp;L'!BX12</f>
        <v>170</v>
      </c>
      <c r="BY40" s="8">
        <f>'P&amp;L'!BY12</f>
        <v>94</v>
      </c>
      <c r="BZ40" s="8">
        <f>'P&amp;L'!BZ12</f>
        <v>264</v>
      </c>
      <c r="CB40" s="8">
        <f>'P&amp;L'!CB12</f>
        <v>537</v>
      </c>
      <c r="CC40" s="8">
        <f>'P&amp;L'!CC12</f>
        <v>58</v>
      </c>
      <c r="CD40" s="8">
        <f>'P&amp;L'!CD12</f>
        <v>595</v>
      </c>
      <c r="CF40" s="8">
        <f>'P&amp;L'!CF12</f>
        <v>282</v>
      </c>
      <c r="CG40" s="8">
        <f>'P&amp;L'!CG12</f>
        <v>577</v>
      </c>
      <c r="CH40" s="8">
        <f>'P&amp;L'!CH12</f>
        <v>859</v>
      </c>
      <c r="CJ40" s="8">
        <f>'P&amp;L'!CJ12</f>
        <v>546</v>
      </c>
      <c r="CK40" s="8">
        <f>'P&amp;L'!CK12</f>
        <v>275</v>
      </c>
      <c r="CL40" s="8">
        <f>'P&amp;L'!CL12</f>
        <v>821</v>
      </c>
      <c r="CN40" s="8">
        <f>'P&amp;L'!CN12</f>
        <v>413</v>
      </c>
      <c r="CO40" s="8">
        <f>'P&amp;L'!CO12</f>
        <v>247</v>
      </c>
      <c r="CP40" s="8">
        <f>'P&amp;L'!CP12</f>
        <v>660</v>
      </c>
      <c r="CR40" s="8">
        <f>'P&amp;L'!CR12</f>
        <v>177</v>
      </c>
      <c r="CS40" s="8">
        <f>'P&amp;L'!CS12</f>
        <v>218</v>
      </c>
      <c r="CT40" s="8">
        <f>'P&amp;L'!CT12</f>
        <v>395</v>
      </c>
      <c r="CV40" s="8">
        <f>'P&amp;L'!CV12</f>
        <v>237</v>
      </c>
      <c r="CW40" s="8">
        <f>'P&amp;L'!CW12</f>
        <v>455</v>
      </c>
      <c r="CX40" s="8">
        <f>'P&amp;L'!CX12</f>
        <v>692</v>
      </c>
      <c r="CZ40" s="8">
        <f>'P&amp;L'!CZ12</f>
        <v>236</v>
      </c>
      <c r="DA40" s="8">
        <f>'P&amp;L'!DA12</f>
        <v>396</v>
      </c>
      <c r="DB40" s="8">
        <f>'P&amp;L'!DB12</f>
        <v>632</v>
      </c>
      <c r="DD40" s="8">
        <f>'P&amp;L'!DD12</f>
        <v>403</v>
      </c>
      <c r="DE40" s="8">
        <f ca="1">'P&amp;L'!DE12</f>
        <v>434</v>
      </c>
      <c r="DF40" s="8">
        <f ca="1">'P&amp;L'!DF12</f>
        <v>837</v>
      </c>
      <c r="DH40" s="8">
        <f>'P&amp;L'!DH12</f>
        <v>756</v>
      </c>
      <c r="DI40" s="8">
        <f>'P&amp;L'!DI12</f>
        <v>687.9232351803339</v>
      </c>
      <c r="DJ40" s="8">
        <f>'P&amp;L'!DJ12</f>
        <v>1443.9232351803339</v>
      </c>
      <c r="DL40" s="8">
        <f>'P&amp;L'!DL12</f>
        <v>551.54082731850792</v>
      </c>
      <c r="DM40" s="8">
        <f>'P&amp;L'!DM12</f>
        <v>564.66007294519545</v>
      </c>
      <c r="DN40" s="8">
        <f>'P&amp;L'!DN12</f>
        <v>1116.2009002637033</v>
      </c>
      <c r="DP40" s="8">
        <f>'P&amp;L'!DP12</f>
        <v>587.53366128604671</v>
      </c>
      <c r="DQ40" s="8">
        <f>'P&amp;L'!DQ12</f>
        <v>608.07262499994374</v>
      </c>
      <c r="DR40" s="8">
        <f>'P&amp;L'!DR12</f>
        <v>1195.6062862859903</v>
      </c>
    </row>
    <row r="41" spans="1:134">
      <c r="A41" s="1" t="s">
        <v>656</v>
      </c>
      <c r="AV41" s="8">
        <f>'P&amp;L'!AV13</f>
        <v>596</v>
      </c>
      <c r="AW41" s="8">
        <f>'P&amp;L'!AW13</f>
        <v>489</v>
      </c>
      <c r="AX41" s="8">
        <f>'P&amp;L'!AX13</f>
        <v>1085</v>
      </c>
      <c r="AZ41" s="8">
        <f>'P&amp;L'!AZ13</f>
        <v>402</v>
      </c>
      <c r="BA41" s="8">
        <f>'P&amp;L'!BA13</f>
        <v>529</v>
      </c>
      <c r="BB41" s="8">
        <f>'P&amp;L'!BB13</f>
        <v>931</v>
      </c>
      <c r="BD41" s="8">
        <f>'P&amp;L'!BD13</f>
        <v>339</v>
      </c>
      <c r="BE41" s="8">
        <f>'P&amp;L'!BE13</f>
        <v>343</v>
      </c>
      <c r="BF41" s="8">
        <f>'P&amp;L'!BF13</f>
        <v>682</v>
      </c>
      <c r="BH41" s="8">
        <f>'P&amp;L'!BH13</f>
        <v>327</v>
      </c>
      <c r="BI41" s="8">
        <f>'P&amp;L'!BI13</f>
        <v>327</v>
      </c>
      <c r="BJ41" s="8">
        <f>'P&amp;L'!BJ13</f>
        <v>654</v>
      </c>
      <c r="BL41" s="8">
        <f>'P&amp;L'!BL13</f>
        <v>357</v>
      </c>
      <c r="BM41" s="8">
        <f>'P&amp;L'!BM13</f>
        <v>452</v>
      </c>
      <c r="BN41" s="8">
        <f>'P&amp;L'!BN13</f>
        <v>809</v>
      </c>
      <c r="BP41" s="8">
        <f>'P&amp;L'!BP13</f>
        <v>429</v>
      </c>
      <c r="BQ41" s="8">
        <f>'P&amp;L'!BQ13</f>
        <v>544</v>
      </c>
      <c r="BR41" s="8">
        <f>'P&amp;L'!BR13</f>
        <v>973</v>
      </c>
      <c r="BT41" s="8">
        <f>'P&amp;L'!BT13</f>
        <v>537</v>
      </c>
      <c r="BU41" s="8">
        <f>'P&amp;L'!BU13</f>
        <v>425</v>
      </c>
      <c r="BV41" s="8">
        <f>'P&amp;L'!BV13</f>
        <v>962</v>
      </c>
      <c r="BX41" s="8">
        <f>'P&amp;L'!BX13</f>
        <v>471</v>
      </c>
      <c r="BY41" s="8">
        <f>'P&amp;L'!BY13</f>
        <v>492</v>
      </c>
      <c r="BZ41" s="8">
        <f>'P&amp;L'!BZ13</f>
        <v>963</v>
      </c>
      <c r="CB41" s="8">
        <f>'P&amp;L'!CB13</f>
        <v>458</v>
      </c>
      <c r="CC41" s="8">
        <f>'P&amp;L'!CC13</f>
        <v>462</v>
      </c>
      <c r="CD41" s="8">
        <f>'P&amp;L'!CD13</f>
        <v>920</v>
      </c>
      <c r="CF41" s="8">
        <f>'P&amp;L'!CF13</f>
        <v>573</v>
      </c>
      <c r="CG41" s="8">
        <f>'P&amp;L'!CG13</f>
        <v>433</v>
      </c>
      <c r="CH41" s="8">
        <f>'P&amp;L'!CH13</f>
        <v>1006</v>
      </c>
      <c r="CJ41" s="8">
        <f>'P&amp;L'!CJ13</f>
        <v>482</v>
      </c>
      <c r="CK41" s="8">
        <f>'P&amp;L'!CK13</f>
        <v>578</v>
      </c>
      <c r="CL41" s="8">
        <f>'P&amp;L'!CL13</f>
        <v>1060</v>
      </c>
      <c r="CN41" s="8">
        <f>'P&amp;L'!CN13</f>
        <v>413</v>
      </c>
      <c r="CO41" s="8">
        <f>'P&amp;L'!CO13</f>
        <v>445</v>
      </c>
      <c r="CP41" s="8">
        <f>'P&amp;L'!CP13</f>
        <v>858</v>
      </c>
      <c r="CR41" s="8">
        <f>'P&amp;L'!CR13</f>
        <v>618</v>
      </c>
      <c r="CS41" s="8">
        <f>'P&amp;L'!CS13</f>
        <v>755</v>
      </c>
      <c r="CT41" s="8">
        <f>'P&amp;L'!CT13</f>
        <v>1373</v>
      </c>
      <c r="CV41" s="8">
        <f>'P&amp;L'!CV13</f>
        <v>438</v>
      </c>
      <c r="CW41" s="8">
        <f>'P&amp;L'!CW13</f>
        <v>553</v>
      </c>
      <c r="CX41" s="8">
        <f>'P&amp;L'!CX13</f>
        <v>991</v>
      </c>
      <c r="CZ41" s="8">
        <f>'P&amp;L'!CZ13</f>
        <v>408</v>
      </c>
      <c r="DA41" s="8">
        <f>'P&amp;L'!DA13</f>
        <v>335</v>
      </c>
      <c r="DB41" s="8">
        <f>'P&amp;L'!DB13</f>
        <v>743</v>
      </c>
      <c r="DD41" s="8">
        <f>'P&amp;L'!DD13</f>
        <v>413</v>
      </c>
      <c r="DE41" s="8">
        <f ca="1">'P&amp;L'!DE13</f>
        <v>503</v>
      </c>
      <c r="DF41" s="8">
        <f ca="1">'P&amp;L'!DF13</f>
        <v>916</v>
      </c>
      <c r="DH41" s="8">
        <f>'P&amp;L'!DH13</f>
        <v>558</v>
      </c>
      <c r="DI41" s="8">
        <f>'P&amp;L'!DI13</f>
        <v>581.6</v>
      </c>
      <c r="DJ41" s="8">
        <f>'P&amp;L'!DJ13</f>
        <v>1139.5999999999999</v>
      </c>
      <c r="DL41" s="8">
        <f>'P&amp;L'!DL13</f>
        <v>606.04500000000007</v>
      </c>
      <c r="DM41" s="8">
        <f>'P&amp;L'!DM13</f>
        <v>637.48024999999996</v>
      </c>
      <c r="DN41" s="8">
        <f>'P&amp;L'!DN13</f>
        <v>1243.5252500000001</v>
      </c>
      <c r="DP41" s="8">
        <f>'P&amp;L'!DP13</f>
        <v>647.04715499999998</v>
      </c>
      <c r="DQ41" s="8">
        <f>'P&amp;L'!DQ13</f>
        <v>662.68278410000005</v>
      </c>
      <c r="DR41" s="8">
        <f>'P&amp;L'!DR13</f>
        <v>1309.7299391000001</v>
      </c>
    </row>
    <row r="42" spans="1:134">
      <c r="A42" s="1" t="s">
        <v>654</v>
      </c>
      <c r="AV42" s="8">
        <f>'P&amp;L'!AV14</f>
        <v>546</v>
      </c>
      <c r="AW42" s="8">
        <f>'P&amp;L'!AW14</f>
        <v>531</v>
      </c>
      <c r="AX42" s="8">
        <f>'P&amp;L'!AX14</f>
        <v>1077</v>
      </c>
      <c r="AZ42" s="8">
        <f>'P&amp;L'!AZ14</f>
        <v>582</v>
      </c>
      <c r="BA42" s="8">
        <f>'P&amp;L'!BA14</f>
        <v>555</v>
      </c>
      <c r="BB42" s="8">
        <f>'P&amp;L'!BB14</f>
        <v>1137</v>
      </c>
      <c r="BD42" s="8">
        <f>'P&amp;L'!BD14</f>
        <v>486.5</v>
      </c>
      <c r="BE42" s="8">
        <f>'P&amp;L'!BE14</f>
        <v>420</v>
      </c>
      <c r="BF42" s="8">
        <f>'P&amp;L'!BF14</f>
        <v>906.5</v>
      </c>
      <c r="BH42" s="8">
        <f>'P&amp;L'!BH14</f>
        <v>394</v>
      </c>
      <c r="BI42" s="8">
        <f>'P&amp;L'!BI14</f>
        <v>417</v>
      </c>
      <c r="BJ42" s="8">
        <f>'P&amp;L'!BJ14</f>
        <v>811</v>
      </c>
      <c r="BL42" s="8">
        <f>'P&amp;L'!BL14</f>
        <v>469</v>
      </c>
      <c r="BM42" s="8">
        <f>'P&amp;L'!BM14</f>
        <v>438</v>
      </c>
      <c r="BN42" s="8">
        <f>'P&amp;L'!BN14</f>
        <v>907</v>
      </c>
      <c r="BP42" s="8">
        <f>'P&amp;L'!BP14</f>
        <v>396</v>
      </c>
      <c r="BQ42" s="8">
        <f>'P&amp;L'!BQ14</f>
        <v>440</v>
      </c>
      <c r="BR42" s="8">
        <f>'P&amp;L'!BR14</f>
        <v>836</v>
      </c>
      <c r="BT42" s="8">
        <f>'P&amp;L'!BT14</f>
        <v>461</v>
      </c>
      <c r="BU42" s="8">
        <f>'P&amp;L'!BU14</f>
        <v>427</v>
      </c>
      <c r="BV42" s="8">
        <f>'P&amp;L'!BV14</f>
        <v>888</v>
      </c>
      <c r="BX42" s="8">
        <f>'P&amp;L'!BX14</f>
        <v>419</v>
      </c>
      <c r="BY42" s="8">
        <f>'P&amp;L'!BY14</f>
        <v>394</v>
      </c>
      <c r="BZ42" s="8">
        <f>'P&amp;L'!BZ14</f>
        <v>813</v>
      </c>
      <c r="CB42" s="8">
        <f>'P&amp;L'!CB14</f>
        <v>386</v>
      </c>
      <c r="CC42" s="8">
        <f>'P&amp;L'!CC14</f>
        <v>388</v>
      </c>
      <c r="CD42" s="8">
        <f>'P&amp;L'!CD14</f>
        <v>774</v>
      </c>
      <c r="CF42" s="8">
        <f>'P&amp;L'!CF14</f>
        <v>473</v>
      </c>
      <c r="CG42" s="8">
        <f>'P&amp;L'!CG14</f>
        <v>459</v>
      </c>
      <c r="CH42" s="8">
        <f>'P&amp;L'!CH14</f>
        <v>932</v>
      </c>
      <c r="CJ42" s="8">
        <f>'P&amp;L'!CJ14</f>
        <v>412</v>
      </c>
      <c r="CK42" s="8">
        <f>'P&amp;L'!CK14</f>
        <v>458</v>
      </c>
      <c r="CL42" s="8">
        <f>'P&amp;L'!CL14</f>
        <v>870</v>
      </c>
      <c r="CN42" s="8">
        <f>'P&amp;L'!CN14</f>
        <v>401</v>
      </c>
      <c r="CO42" s="8">
        <f>'P&amp;L'!CO14</f>
        <v>415</v>
      </c>
      <c r="CP42" s="8">
        <f>'P&amp;L'!CP14</f>
        <v>816</v>
      </c>
      <c r="CR42" s="8">
        <f>'P&amp;L'!CR14</f>
        <v>381</v>
      </c>
      <c r="CS42" s="8">
        <f>'P&amp;L'!CS14</f>
        <v>420</v>
      </c>
      <c r="CT42" s="8">
        <f>'P&amp;L'!CT14</f>
        <v>801</v>
      </c>
      <c r="CV42" s="8">
        <f>'P&amp;L'!CV14</f>
        <v>358</v>
      </c>
      <c r="CW42" s="8">
        <f>'P&amp;L'!CW14</f>
        <v>357</v>
      </c>
      <c r="CX42" s="8">
        <f>'P&amp;L'!CX14</f>
        <v>715</v>
      </c>
      <c r="CZ42" s="8">
        <f>'P&amp;L'!CZ14</f>
        <v>377</v>
      </c>
      <c r="DA42" s="8">
        <f>'P&amp;L'!DA14</f>
        <v>414</v>
      </c>
      <c r="DB42" s="8">
        <f>'P&amp;L'!DB14</f>
        <v>791</v>
      </c>
      <c r="DD42" s="8">
        <f>'P&amp;L'!DD14</f>
        <v>429</v>
      </c>
      <c r="DE42" s="8">
        <f ca="1">'P&amp;L'!DE14</f>
        <v>434</v>
      </c>
      <c r="DF42" s="8">
        <f ca="1">'P&amp;L'!DF14</f>
        <v>863</v>
      </c>
      <c r="DH42" s="8">
        <f>'P&amp;L'!DH14</f>
        <v>484</v>
      </c>
      <c r="DI42" s="8">
        <f>'P&amp;L'!DI14</f>
        <v>426.65500564971751</v>
      </c>
      <c r="DJ42" s="8">
        <f>'P&amp;L'!DJ14</f>
        <v>910.65500564971751</v>
      </c>
      <c r="DL42" s="8">
        <f>'P&amp;L'!DL14</f>
        <v>456.36391480225984</v>
      </c>
      <c r="DM42" s="8">
        <f>'P&amp;L'!DM14</f>
        <v>438.90054957514121</v>
      </c>
      <c r="DN42" s="8">
        <f>'P&amp;L'!DN14</f>
        <v>895.26446437740105</v>
      </c>
      <c r="DP42" s="8">
        <f>'P&amp;L'!DP14</f>
        <v>468.89483732775136</v>
      </c>
      <c r="DQ42" s="8">
        <f>'P&amp;L'!DQ14</f>
        <v>452.10594870617103</v>
      </c>
      <c r="DR42" s="8">
        <f>'P&amp;L'!DR14</f>
        <v>921.0007860339224</v>
      </c>
    </row>
    <row r="43" spans="1:134">
      <c r="A43" s="1" t="s">
        <v>655</v>
      </c>
      <c r="AV43" s="8">
        <f>'P&amp;L'!AV15</f>
        <v>246</v>
      </c>
      <c r="AW43" s="8">
        <f>'P&amp;L'!AW15</f>
        <v>330</v>
      </c>
      <c r="AX43" s="8">
        <f>'P&amp;L'!AX15</f>
        <v>576</v>
      </c>
      <c r="AZ43" s="8">
        <f>'P&amp;L'!AZ15</f>
        <v>500</v>
      </c>
      <c r="BA43" s="8">
        <f>'P&amp;L'!BA15</f>
        <v>337</v>
      </c>
      <c r="BB43" s="8">
        <f>'P&amp;L'!BB15</f>
        <v>837</v>
      </c>
      <c r="BD43" s="8">
        <f>'P&amp;L'!BD15</f>
        <v>388.5</v>
      </c>
      <c r="BE43" s="8">
        <f>'P&amp;L'!BE15</f>
        <v>318</v>
      </c>
      <c r="BF43" s="8">
        <f>'P&amp;L'!BF15</f>
        <v>706.5</v>
      </c>
      <c r="BH43" s="8">
        <f>'P&amp;L'!BH15</f>
        <v>340</v>
      </c>
      <c r="BI43" s="8">
        <f>'P&amp;L'!BI15</f>
        <v>393</v>
      </c>
      <c r="BJ43" s="8">
        <f>'P&amp;L'!BJ15</f>
        <v>733</v>
      </c>
      <c r="BL43" s="8">
        <f>'P&amp;L'!BL15</f>
        <v>308</v>
      </c>
      <c r="BM43" s="8">
        <f>'P&amp;L'!BM15</f>
        <v>325</v>
      </c>
      <c r="BN43" s="8">
        <f>'P&amp;L'!BN15</f>
        <v>633</v>
      </c>
      <c r="BP43" s="8">
        <f>'P&amp;L'!BP15</f>
        <v>319</v>
      </c>
      <c r="BQ43" s="8">
        <f>'P&amp;L'!BQ15</f>
        <v>556</v>
      </c>
      <c r="BR43" s="8">
        <f>'P&amp;L'!BR15</f>
        <v>875</v>
      </c>
      <c r="BT43" s="8">
        <f>'P&amp;L'!BT15</f>
        <v>376</v>
      </c>
      <c r="BU43" s="8">
        <f>'P&amp;L'!BU15</f>
        <v>340</v>
      </c>
      <c r="BV43" s="8">
        <f>'P&amp;L'!BV15</f>
        <v>716</v>
      </c>
      <c r="BX43" s="8">
        <f>'P&amp;L'!BX15</f>
        <v>349</v>
      </c>
      <c r="BY43" s="8">
        <f>'P&amp;L'!BY15</f>
        <v>362</v>
      </c>
      <c r="BZ43" s="8">
        <f>'P&amp;L'!BZ15</f>
        <v>711</v>
      </c>
      <c r="CB43" s="8">
        <f>'P&amp;L'!CB15</f>
        <v>383</v>
      </c>
      <c r="CC43" s="8">
        <f>'P&amp;L'!CC15</f>
        <v>408</v>
      </c>
      <c r="CD43" s="8">
        <f>'P&amp;L'!CD15</f>
        <v>791</v>
      </c>
      <c r="CF43" s="8">
        <f>'P&amp;L'!CF15</f>
        <v>434</v>
      </c>
      <c r="CG43" s="8">
        <f>'P&amp;L'!CG15</f>
        <v>480</v>
      </c>
      <c r="CH43" s="8">
        <f>'P&amp;L'!CH15</f>
        <v>914</v>
      </c>
      <c r="CJ43" s="8">
        <f>'P&amp;L'!CJ15</f>
        <v>467</v>
      </c>
      <c r="CK43" s="8">
        <f>'P&amp;L'!CK15</f>
        <v>566</v>
      </c>
      <c r="CL43" s="8">
        <f>'P&amp;L'!CL15</f>
        <v>1033</v>
      </c>
      <c r="CN43" s="8">
        <f>'P&amp;L'!CN15</f>
        <v>401</v>
      </c>
      <c r="CO43" s="8">
        <f>'P&amp;L'!CO15</f>
        <v>430</v>
      </c>
      <c r="CP43" s="8">
        <f>'P&amp;L'!CP15</f>
        <v>831</v>
      </c>
      <c r="CR43" s="8">
        <f>'P&amp;L'!CR15</f>
        <v>902</v>
      </c>
      <c r="CS43" s="8">
        <f>'P&amp;L'!CS15</f>
        <v>620</v>
      </c>
      <c r="CT43" s="8">
        <f>'P&amp;L'!CT15</f>
        <v>1522</v>
      </c>
      <c r="CV43" s="8">
        <f>'P&amp;L'!CV15</f>
        <v>633</v>
      </c>
      <c r="CW43" s="8">
        <f>'P&amp;L'!CW15</f>
        <v>565</v>
      </c>
      <c r="CX43" s="8">
        <f>'P&amp;L'!CX15</f>
        <v>1198</v>
      </c>
      <c r="CZ43" s="8">
        <f>'P&amp;L'!CZ15</f>
        <v>585</v>
      </c>
      <c r="DA43" s="8">
        <f>'P&amp;L'!DA15</f>
        <v>603</v>
      </c>
      <c r="DB43" s="8">
        <f>'P&amp;L'!DB15</f>
        <v>1188</v>
      </c>
      <c r="DD43" s="8">
        <f>'P&amp;L'!DD15</f>
        <v>607</v>
      </c>
      <c r="DE43" s="8">
        <f ca="1">'P&amp;L'!DE15</f>
        <v>619</v>
      </c>
      <c r="DF43" s="8">
        <f ca="1">'P&amp;L'!DF15</f>
        <v>1226</v>
      </c>
      <c r="DH43" s="8">
        <f>'P&amp;L'!DH15</f>
        <v>626</v>
      </c>
      <c r="DI43" s="8">
        <f>'P&amp;L'!DI15</f>
        <v>654.02499435028244</v>
      </c>
      <c r="DJ43" s="8">
        <f>'P&amp;L'!DJ15</f>
        <v>1280.0249943502824</v>
      </c>
      <c r="DL43" s="8">
        <f>'P&amp;L'!DL15</f>
        <v>683.77548519774018</v>
      </c>
      <c r="DM43" s="8">
        <f>'P&amp;L'!DM15</f>
        <v>691.16623642485877</v>
      </c>
      <c r="DN43" s="8">
        <f>'P&amp;L'!DN15</f>
        <v>1374.9417216225988</v>
      </c>
      <c r="DP43" s="8">
        <f>'P&amp;L'!DP15</f>
        <v>722.4475960122486</v>
      </c>
      <c r="DQ43" s="8">
        <f>'P&amp;L'!DQ15</f>
        <v>730.47655932842895</v>
      </c>
      <c r="DR43" s="8">
        <f>'P&amp;L'!DR15</f>
        <v>1452.9241553406775</v>
      </c>
    </row>
    <row r="44" spans="1:134">
      <c r="A44" s="1" t="s">
        <v>651</v>
      </c>
      <c r="AV44" s="8">
        <f>'P&amp;L'!AV16</f>
        <v>633</v>
      </c>
      <c r="AW44" s="8">
        <f>'P&amp;L'!AW16</f>
        <v>666</v>
      </c>
      <c r="AX44" s="8">
        <f>'P&amp;L'!AX16</f>
        <v>1299</v>
      </c>
      <c r="AZ44" s="8">
        <f>'P&amp;L'!AZ16</f>
        <v>606</v>
      </c>
      <c r="BA44" s="8">
        <f>'P&amp;L'!BA16</f>
        <v>762</v>
      </c>
      <c r="BB44" s="8">
        <f>'P&amp;L'!BB16</f>
        <v>1368</v>
      </c>
      <c r="BD44" s="8">
        <f>'P&amp;L'!BD16</f>
        <v>374</v>
      </c>
      <c r="BE44" s="8">
        <f>'P&amp;L'!BE16</f>
        <v>661</v>
      </c>
      <c r="BF44" s="8">
        <f>'P&amp;L'!BF16</f>
        <v>1035</v>
      </c>
      <c r="BH44" s="8">
        <f>'P&amp;L'!BH16</f>
        <v>555</v>
      </c>
      <c r="BI44" s="8">
        <f>'P&amp;L'!BI16</f>
        <v>679</v>
      </c>
      <c r="BJ44" s="8">
        <f>'P&amp;L'!BJ16</f>
        <v>1234</v>
      </c>
      <c r="BL44" s="8">
        <f>'P&amp;L'!BL16</f>
        <v>591</v>
      </c>
      <c r="BM44" s="8">
        <f>'P&amp;L'!BM16</f>
        <v>979</v>
      </c>
      <c r="BN44" s="8">
        <f>'P&amp;L'!BN16</f>
        <v>1570</v>
      </c>
      <c r="BP44" s="8">
        <f>'P&amp;L'!BP16</f>
        <v>687</v>
      </c>
      <c r="BQ44" s="8">
        <f>'P&amp;L'!BQ16</f>
        <v>1040</v>
      </c>
      <c r="BR44" s="8">
        <f>'P&amp;L'!BR16</f>
        <v>1727</v>
      </c>
      <c r="BT44" s="8">
        <f>'P&amp;L'!BT16</f>
        <v>1108</v>
      </c>
      <c r="BU44" s="8">
        <f>'P&amp;L'!BU16</f>
        <v>959</v>
      </c>
      <c r="BV44" s="8">
        <f>'P&amp;L'!BV16</f>
        <v>2067</v>
      </c>
      <c r="BX44" s="8">
        <f>'P&amp;L'!BX16</f>
        <v>776</v>
      </c>
      <c r="BY44" s="8">
        <f>'P&amp;L'!BY16</f>
        <v>982</v>
      </c>
      <c r="BZ44" s="8">
        <f>'P&amp;L'!BZ16</f>
        <v>1758</v>
      </c>
      <c r="CB44" s="8">
        <f>'P&amp;L'!CB16</f>
        <v>881</v>
      </c>
      <c r="CC44" s="8">
        <f>'P&amp;L'!CC16</f>
        <v>1076</v>
      </c>
      <c r="CD44" s="8">
        <f>'P&amp;L'!CD16</f>
        <v>1957</v>
      </c>
      <c r="CF44" s="8">
        <f>'P&amp;L'!CF16</f>
        <v>1231</v>
      </c>
      <c r="CG44" s="8">
        <f>'P&amp;L'!CG16</f>
        <v>1560</v>
      </c>
      <c r="CH44" s="8">
        <f>'P&amp;L'!CH16</f>
        <v>2791</v>
      </c>
      <c r="CJ44" s="8">
        <f>'P&amp;L'!CJ16</f>
        <v>1627</v>
      </c>
      <c r="CK44" s="8">
        <f>'P&amp;L'!CK16</f>
        <v>1234</v>
      </c>
      <c r="CL44" s="8">
        <f>'P&amp;L'!CL16</f>
        <v>2861</v>
      </c>
      <c r="CN44" s="8">
        <f>'P&amp;L'!CN16</f>
        <v>1487</v>
      </c>
      <c r="CO44" s="8">
        <f>'P&amp;L'!CO16</f>
        <v>1995</v>
      </c>
      <c r="CP44" s="8">
        <f>'P&amp;L'!CP16</f>
        <v>3482</v>
      </c>
      <c r="CR44" s="8">
        <f>'P&amp;L'!CR16</f>
        <v>1659</v>
      </c>
      <c r="CS44" s="8">
        <f>'P&amp;L'!CS16</f>
        <v>2337</v>
      </c>
      <c r="CT44" s="8">
        <f>'P&amp;L'!CT16</f>
        <v>3996</v>
      </c>
      <c r="CV44" s="8">
        <f>'P&amp;L'!CV16</f>
        <v>2817</v>
      </c>
      <c r="CW44" s="8">
        <f>'P&amp;L'!CW16</f>
        <v>4756</v>
      </c>
      <c r="CX44" s="8">
        <f>'P&amp;L'!CX16</f>
        <v>7573</v>
      </c>
      <c r="CZ44" s="8">
        <f>'P&amp;L'!CZ16</f>
        <v>2612</v>
      </c>
      <c r="DA44" s="8">
        <f>'P&amp;L'!DA16</f>
        <v>2836</v>
      </c>
      <c r="DB44" s="8">
        <f>'P&amp;L'!DB16</f>
        <v>5448</v>
      </c>
      <c r="DD44" s="8">
        <f>'P&amp;L'!DD16</f>
        <v>2460</v>
      </c>
      <c r="DE44" s="8">
        <f>'P&amp;L'!DE16</f>
        <v>2910</v>
      </c>
      <c r="DF44" s="8">
        <f>'P&amp;L'!DF16</f>
        <v>5370</v>
      </c>
      <c r="DH44" s="8">
        <f>'P&amp;L'!DH16</f>
        <v>2445</v>
      </c>
      <c r="DI44" s="8">
        <f>'P&amp;L'!DI16</f>
        <v>3280.9700000000003</v>
      </c>
      <c r="DJ44" s="8">
        <f>'P&amp;L'!DJ16</f>
        <v>5725.97</v>
      </c>
      <c r="DL44" s="8">
        <f>'P&amp;L'!DL16</f>
        <v>2623.5912999999996</v>
      </c>
      <c r="DM44" s="8">
        <f>'P&amp;L'!DM16</f>
        <v>3347.8119890000003</v>
      </c>
      <c r="DN44" s="8">
        <f>'P&amp;L'!DN16</f>
        <v>5971.4032889999999</v>
      </c>
      <c r="DP44" s="8">
        <f>'P&amp;L'!DP16</f>
        <v>2678.5929496700001</v>
      </c>
      <c r="DQ44" s="8">
        <f>'P&amp;L'!DQ16</f>
        <v>3425.7311526600997</v>
      </c>
      <c r="DR44" s="8">
        <f>'P&amp;L'!DR16</f>
        <v>6104.3241023300998</v>
      </c>
    </row>
    <row r="45" spans="1:134">
      <c r="A45" s="1" t="s">
        <v>652</v>
      </c>
      <c r="AV45" s="8">
        <f>'P&amp;L'!AV17</f>
        <v>-197</v>
      </c>
      <c r="AW45" s="8">
        <f>'P&amp;L'!AW17</f>
        <v>-33</v>
      </c>
      <c r="AX45" s="8">
        <f>'P&amp;L'!AX17</f>
        <v>-230</v>
      </c>
      <c r="AZ45" s="8">
        <f>'P&amp;L'!AZ17</f>
        <v>85</v>
      </c>
      <c r="BA45" s="8">
        <f>'P&amp;L'!BA17</f>
        <v>94</v>
      </c>
      <c r="BB45" s="8">
        <f>'P&amp;L'!BB17</f>
        <v>179</v>
      </c>
      <c r="BD45" s="8">
        <f>'P&amp;L'!BD17</f>
        <v>49</v>
      </c>
      <c r="BE45" s="8">
        <f>'P&amp;L'!BE17</f>
        <v>59</v>
      </c>
      <c r="BF45" s="8">
        <f>'P&amp;L'!BF17</f>
        <v>108</v>
      </c>
      <c r="BH45" s="8">
        <f>'P&amp;L'!BH17</f>
        <v>75</v>
      </c>
      <c r="BI45" s="8">
        <f>'P&amp;L'!BI17</f>
        <v>17</v>
      </c>
      <c r="BJ45" s="8">
        <f>'P&amp;L'!BJ17</f>
        <v>92</v>
      </c>
      <c r="BL45" s="8">
        <f>'P&amp;L'!BL17</f>
        <v>70</v>
      </c>
      <c r="BM45" s="8">
        <f>'P&amp;L'!BM17</f>
        <v>79</v>
      </c>
      <c r="BN45" s="8">
        <f>'P&amp;L'!BN17</f>
        <v>149</v>
      </c>
      <c r="BP45" s="8">
        <f>'P&amp;L'!BP17</f>
        <v>19</v>
      </c>
      <c r="BQ45" s="8">
        <f>'P&amp;L'!BQ17</f>
        <v>-14</v>
      </c>
      <c r="BR45" s="8">
        <f>'P&amp;L'!BR17</f>
        <v>5</v>
      </c>
      <c r="BT45" s="8">
        <f>'P&amp;L'!BT17</f>
        <v>-63</v>
      </c>
      <c r="BU45" s="8">
        <f>'P&amp;L'!BU17</f>
        <v>67</v>
      </c>
      <c r="BV45" s="8">
        <f>'P&amp;L'!BV17</f>
        <v>4</v>
      </c>
      <c r="BX45" s="8">
        <f>'P&amp;L'!BX17</f>
        <v>-8</v>
      </c>
      <c r="BY45" s="8">
        <f>'P&amp;L'!BY17</f>
        <v>59</v>
      </c>
      <c r="BZ45" s="8">
        <f>'P&amp;L'!BZ17</f>
        <v>51</v>
      </c>
      <c r="CB45" s="8">
        <f>'P&amp;L'!CB17</f>
        <v>103</v>
      </c>
      <c r="CC45" s="8">
        <f>'P&amp;L'!CC17</f>
        <v>138</v>
      </c>
      <c r="CD45" s="8">
        <f>'P&amp;L'!CD17</f>
        <v>241</v>
      </c>
      <c r="CF45" s="8">
        <f>'P&amp;L'!CF17</f>
        <v>7</v>
      </c>
      <c r="CG45" s="8">
        <f>'P&amp;L'!CG17</f>
        <v>-63</v>
      </c>
      <c r="CH45" s="8">
        <f>'P&amp;L'!CH17</f>
        <v>-56</v>
      </c>
      <c r="CJ45" s="8">
        <f>'P&amp;L'!CJ17</f>
        <v>-49</v>
      </c>
      <c r="CK45" s="8">
        <f>'P&amp;L'!CK17</f>
        <v>144</v>
      </c>
      <c r="CL45" s="8">
        <f>'P&amp;L'!CL17</f>
        <v>95</v>
      </c>
      <c r="CN45" s="8">
        <f>'P&amp;L'!CN17</f>
        <v>-54</v>
      </c>
      <c r="CO45" s="8">
        <f>'P&amp;L'!CO17</f>
        <v>51</v>
      </c>
      <c r="CP45" s="8">
        <f>'P&amp;L'!CP17</f>
        <v>-3</v>
      </c>
      <c r="CR45" s="8">
        <f>'P&amp;L'!CR17</f>
        <v>242</v>
      </c>
      <c r="CS45" s="8">
        <f>'P&amp;L'!CS17</f>
        <v>-2</v>
      </c>
      <c r="CT45" s="8">
        <f>'P&amp;L'!CT17</f>
        <v>240</v>
      </c>
      <c r="CV45" s="8">
        <f>'P&amp;L'!CV17</f>
        <v>-61</v>
      </c>
      <c r="CW45" s="8">
        <f>'P&amp;L'!CW17</f>
        <v>-52</v>
      </c>
      <c r="CX45" s="8">
        <f>'P&amp;L'!CX17</f>
        <v>-113</v>
      </c>
      <c r="CZ45" s="8">
        <f>'P&amp;L'!CZ17</f>
        <v>-5</v>
      </c>
      <c r="DA45" s="8">
        <f>'P&amp;L'!DA17</f>
        <v>-44</v>
      </c>
      <c r="DB45" s="8">
        <f>'P&amp;L'!DB17</f>
        <v>-49</v>
      </c>
      <c r="DD45" s="8">
        <f>'P&amp;L'!DD17</f>
        <v>1</v>
      </c>
      <c r="DE45" s="8">
        <f>'P&amp;L'!DE17</f>
        <v>166</v>
      </c>
      <c r="DF45" s="8">
        <f>'P&amp;L'!DF17</f>
        <v>167</v>
      </c>
      <c r="DH45" s="8">
        <f>'P&amp;L'!DH17</f>
        <v>-50</v>
      </c>
      <c r="DI45" s="8">
        <f>'P&amp;L'!DI17</f>
        <v>7.98</v>
      </c>
      <c r="DJ45" s="8">
        <f>'P&amp;L'!DJ17</f>
        <v>-42.019999999999996</v>
      </c>
      <c r="DL45" s="8">
        <f>'P&amp;L'!DL17</f>
        <v>1.9400000000000972E-2</v>
      </c>
      <c r="DM45" s="8">
        <f>'P&amp;L'!DM17</f>
        <v>2.1199820000000003</v>
      </c>
      <c r="DN45" s="8">
        <f>'P&amp;L'!DN17</f>
        <v>2.1393820000000012</v>
      </c>
      <c r="DP45" s="8">
        <f>'P&amp;L'!DP17</f>
        <v>2.2835814599999971</v>
      </c>
      <c r="DQ45" s="8">
        <f>'P&amp;L'!DQ17</f>
        <v>4.5120889037999952</v>
      </c>
      <c r="DR45" s="8">
        <f>'P&amp;L'!DR17</f>
        <v>6.7956703637999922</v>
      </c>
    </row>
    <row r="46" spans="1:134">
      <c r="A46" s="1" t="s">
        <v>621</v>
      </c>
      <c r="AV46" s="8">
        <f>'P&amp;L'!AV18</f>
        <v>362</v>
      </c>
      <c r="AW46" s="8">
        <f>'P&amp;L'!AW18</f>
        <v>406</v>
      </c>
      <c r="AX46" s="8">
        <f>'P&amp;L'!AX18</f>
        <v>768</v>
      </c>
      <c r="AZ46" s="8">
        <f>'P&amp;L'!AZ18</f>
        <v>370</v>
      </c>
      <c r="BA46" s="8">
        <f>'P&amp;L'!BA18</f>
        <v>561</v>
      </c>
      <c r="BB46" s="8">
        <f>'P&amp;L'!BB18</f>
        <v>931</v>
      </c>
      <c r="BD46" s="8">
        <f>'P&amp;L'!BD18</f>
        <v>356</v>
      </c>
      <c r="BE46" s="8">
        <f>'P&amp;L'!BE18</f>
        <v>767</v>
      </c>
      <c r="BF46" s="8">
        <f>'P&amp;L'!BF18</f>
        <v>1123</v>
      </c>
      <c r="BH46" s="8">
        <f>'P&amp;L'!BH18</f>
        <v>144</v>
      </c>
      <c r="BI46" s="8">
        <f>'P&amp;L'!BI18</f>
        <v>441</v>
      </c>
      <c r="BJ46" s="8">
        <f>'P&amp;L'!BJ18</f>
        <v>585</v>
      </c>
      <c r="BL46" s="8">
        <f>'P&amp;L'!BL18</f>
        <v>320</v>
      </c>
      <c r="BM46" s="8">
        <f>'P&amp;L'!BM18</f>
        <v>535</v>
      </c>
      <c r="BN46" s="8">
        <f>'P&amp;L'!BN18</f>
        <v>855</v>
      </c>
      <c r="BP46" s="8">
        <f>'P&amp;L'!BP18</f>
        <v>455</v>
      </c>
      <c r="BQ46" s="8">
        <f>'P&amp;L'!BQ18</f>
        <v>244</v>
      </c>
      <c r="BR46" s="8">
        <f>'P&amp;L'!BR18</f>
        <v>699</v>
      </c>
      <c r="BT46" s="8">
        <f>'P&amp;L'!BT18</f>
        <v>314</v>
      </c>
      <c r="BU46" s="8">
        <f>'P&amp;L'!BU18</f>
        <v>632</v>
      </c>
      <c r="BV46" s="8">
        <f>'P&amp;L'!BV18</f>
        <v>946</v>
      </c>
      <c r="BX46" s="8">
        <f>'P&amp;L'!BX18</f>
        <v>1149</v>
      </c>
      <c r="BY46" s="8">
        <f>'P&amp;L'!BY18</f>
        <v>890</v>
      </c>
      <c r="BZ46" s="8">
        <f>'P&amp;L'!BZ18</f>
        <v>2039</v>
      </c>
      <c r="CB46" s="8">
        <f>'P&amp;L'!CB18</f>
        <v>834</v>
      </c>
      <c r="CC46" s="8">
        <f>'P&amp;L'!CC18</f>
        <v>1232</v>
      </c>
      <c r="CD46" s="8">
        <f>'P&amp;L'!CD18</f>
        <v>2066</v>
      </c>
      <c r="CF46" s="8">
        <f>'P&amp;L'!CF18</f>
        <v>933</v>
      </c>
      <c r="CG46" s="8">
        <f>'P&amp;L'!CG18</f>
        <v>1800</v>
      </c>
      <c r="CH46" s="8">
        <f>'P&amp;L'!CH18</f>
        <v>2733</v>
      </c>
      <c r="CJ46" s="8">
        <f>'P&amp;L'!CJ18</f>
        <v>1078</v>
      </c>
      <c r="CK46" s="8">
        <f>'P&amp;L'!CK18</f>
        <v>595</v>
      </c>
      <c r="CL46" s="8">
        <f>'P&amp;L'!CL18</f>
        <v>1673</v>
      </c>
      <c r="CN46" s="8">
        <f>'P&amp;L'!CN18</f>
        <v>440</v>
      </c>
      <c r="CO46" s="8">
        <f>'P&amp;L'!CO18</f>
        <v>1484</v>
      </c>
      <c r="CP46" s="8">
        <f>'P&amp;L'!CP18</f>
        <v>1924</v>
      </c>
      <c r="CR46" s="8">
        <f>'P&amp;L'!CR18</f>
        <v>1078</v>
      </c>
      <c r="CS46" s="8">
        <f>'P&amp;L'!CS18</f>
        <v>2263</v>
      </c>
      <c r="CT46" s="8">
        <f>'P&amp;L'!CT18</f>
        <v>3341</v>
      </c>
      <c r="CV46" s="8">
        <f>'P&amp;L'!CV18</f>
        <v>1460</v>
      </c>
      <c r="CW46" s="8">
        <f>'P&amp;L'!CW18</f>
        <v>774</v>
      </c>
      <c r="CX46" s="8">
        <f>'P&amp;L'!CX18</f>
        <v>2234</v>
      </c>
      <c r="CZ46" s="8">
        <f>'P&amp;L'!CZ18</f>
        <v>647</v>
      </c>
      <c r="DA46" s="8">
        <f>'P&amp;L'!DA18</f>
        <v>1133</v>
      </c>
      <c r="DB46" s="8">
        <f>'P&amp;L'!DB18</f>
        <v>1780</v>
      </c>
      <c r="DD46" s="8">
        <f>'P&amp;L'!DD18</f>
        <v>786</v>
      </c>
      <c r="DE46" s="8">
        <f>'P&amp;L'!DE18</f>
        <v>588</v>
      </c>
      <c r="DF46" s="8">
        <f>'P&amp;L'!DF18</f>
        <v>1374</v>
      </c>
      <c r="DH46" s="8">
        <f>'P&amp;L'!DH18</f>
        <v>329</v>
      </c>
      <c r="DI46" s="8">
        <f>'P&amp;L'!DI18</f>
        <v>1100.3424</v>
      </c>
      <c r="DJ46" s="8">
        <f>'P&amp;L'!DJ18</f>
        <v>1429.3424</v>
      </c>
      <c r="DL46" s="8">
        <f>'P&amp;L'!DL18</f>
        <v>694.38060000000007</v>
      </c>
      <c r="DM46" s="8">
        <f>'P&amp;L'!DM18</f>
        <v>935.69831799999997</v>
      </c>
      <c r="DN46" s="8">
        <f>'P&amp;L'!DN18</f>
        <v>1630.0789180000002</v>
      </c>
      <c r="DP46" s="8">
        <f>'P&amp;L'!DP18</f>
        <v>804.34669154000005</v>
      </c>
      <c r="DQ46" s="8">
        <f>'P&amp;L'!DQ18</f>
        <v>1059.7373032861999</v>
      </c>
      <c r="DR46" s="8">
        <f>'P&amp;L'!DR18</f>
        <v>1864.0839948262001</v>
      </c>
    </row>
    <row r="47" spans="1:134">
      <c r="A47" s="1" t="s">
        <v>567</v>
      </c>
      <c r="AV47" s="8">
        <f>'P&amp;L'!AV19</f>
        <v>0</v>
      </c>
      <c r="AW47" s="8">
        <f>'P&amp;L'!AW19</f>
        <v>0</v>
      </c>
      <c r="AX47" s="8">
        <f>'P&amp;L'!AX19</f>
        <v>0</v>
      </c>
      <c r="AZ47" s="8">
        <f>'P&amp;L'!AZ19</f>
        <v>0</v>
      </c>
      <c r="BA47" s="8">
        <f>'P&amp;L'!BA19</f>
        <v>0</v>
      </c>
      <c r="BB47" s="8">
        <f>'P&amp;L'!BB19</f>
        <v>0</v>
      </c>
      <c r="BD47" s="8">
        <f>'P&amp;L'!BD19</f>
        <v>0</v>
      </c>
      <c r="BE47" s="8">
        <f>'P&amp;L'!BE19</f>
        <v>0</v>
      </c>
      <c r="BF47" s="8">
        <f>'P&amp;L'!BF19</f>
        <v>0</v>
      </c>
      <c r="BH47" s="8">
        <f>'P&amp;L'!BH19</f>
        <v>0</v>
      </c>
      <c r="BI47" s="8">
        <f>'P&amp;L'!BI19</f>
        <v>0</v>
      </c>
      <c r="BJ47" s="8">
        <f>'P&amp;L'!BJ19</f>
        <v>0</v>
      </c>
      <c r="BL47" s="8">
        <f>'P&amp;L'!BL19</f>
        <v>0</v>
      </c>
      <c r="BM47" s="8">
        <f>'P&amp;L'!BM19</f>
        <v>0</v>
      </c>
      <c r="BN47" s="8">
        <f>'P&amp;L'!BN19</f>
        <v>0</v>
      </c>
      <c r="BP47" s="8">
        <f>'P&amp;L'!BP19</f>
        <v>0</v>
      </c>
      <c r="BQ47" s="8">
        <f>'P&amp;L'!BQ19</f>
        <v>0</v>
      </c>
      <c r="BR47" s="8">
        <f>'P&amp;L'!BR19</f>
        <v>0</v>
      </c>
      <c r="BT47" s="8">
        <f>'P&amp;L'!BT19</f>
        <v>0</v>
      </c>
      <c r="BU47" s="8">
        <f>'P&amp;L'!BU19</f>
        <v>0</v>
      </c>
      <c r="BV47" s="8">
        <f>'P&amp;L'!BV19</f>
        <v>0</v>
      </c>
      <c r="BX47" s="8">
        <f>'P&amp;L'!BX19</f>
        <v>0</v>
      </c>
      <c r="BY47" s="8">
        <f>'P&amp;L'!BY19</f>
        <v>0</v>
      </c>
      <c r="BZ47" s="8">
        <f>'P&amp;L'!BZ19</f>
        <v>0</v>
      </c>
      <c r="CB47" s="8">
        <f>'P&amp;L'!CB19</f>
        <v>0</v>
      </c>
      <c r="CC47" s="8">
        <f>'P&amp;L'!CC19</f>
        <v>0</v>
      </c>
      <c r="CD47" s="8">
        <f>'P&amp;L'!CD19</f>
        <v>0</v>
      </c>
      <c r="CF47" s="8">
        <f>'P&amp;L'!CF19</f>
        <v>0</v>
      </c>
      <c r="CG47" s="8">
        <f>'P&amp;L'!CG19</f>
        <v>0</v>
      </c>
      <c r="CH47" s="8">
        <f>'P&amp;L'!CH19</f>
        <v>0</v>
      </c>
      <c r="CJ47" s="8">
        <f>'P&amp;L'!CJ19</f>
        <v>0</v>
      </c>
      <c r="CK47" s="8">
        <f>'P&amp;L'!CK19</f>
        <v>0</v>
      </c>
      <c r="CL47" s="8">
        <f>'P&amp;L'!CL19</f>
        <v>0</v>
      </c>
      <c r="CN47" s="8">
        <f>'P&amp;L'!CN19</f>
        <v>0</v>
      </c>
      <c r="CO47" s="8">
        <f>'P&amp;L'!CO19</f>
        <v>0</v>
      </c>
      <c r="CP47" s="8">
        <f>'P&amp;L'!CP19</f>
        <v>0</v>
      </c>
      <c r="CR47" s="8">
        <f>'P&amp;L'!CR19</f>
        <v>0</v>
      </c>
      <c r="CS47" s="8">
        <f>'P&amp;L'!CS19</f>
        <v>0</v>
      </c>
      <c r="CT47" s="8">
        <f>'P&amp;L'!CT19</f>
        <v>0</v>
      </c>
      <c r="CV47" s="8">
        <f>'P&amp;L'!CV19</f>
        <v>0</v>
      </c>
      <c r="CW47" s="8">
        <f>'P&amp;L'!CW19</f>
        <v>0</v>
      </c>
      <c r="CX47" s="8">
        <f>'P&amp;L'!CX19</f>
        <v>0</v>
      </c>
      <c r="CZ47" s="8">
        <f>'P&amp;L'!CZ19</f>
        <v>0</v>
      </c>
      <c r="DA47" s="8">
        <f>'P&amp;L'!DA19</f>
        <v>0</v>
      </c>
      <c r="DB47" s="8">
        <f>'P&amp;L'!DB19</f>
        <v>0</v>
      </c>
      <c r="DD47" s="8">
        <f>'P&amp;L'!DD19</f>
        <v>0</v>
      </c>
      <c r="DE47" s="8">
        <f>'P&amp;L'!DE19</f>
        <v>0</v>
      </c>
      <c r="DF47" s="8">
        <f>'P&amp;L'!DF19</f>
        <v>0</v>
      </c>
      <c r="DH47" s="8">
        <f>'P&amp;L'!DH19</f>
        <v>0</v>
      </c>
      <c r="DI47" s="8">
        <f>'P&amp;L'!DI19</f>
        <v>0</v>
      </c>
      <c r="DJ47" s="8">
        <f>'P&amp;L'!DJ19</f>
        <v>0</v>
      </c>
      <c r="DL47" s="8">
        <f>'P&amp;L'!DL19</f>
        <v>0</v>
      </c>
      <c r="DM47" s="8">
        <f>'P&amp;L'!DM19</f>
        <v>0</v>
      </c>
      <c r="DN47" s="8">
        <f>'P&amp;L'!DN19</f>
        <v>0</v>
      </c>
      <c r="DP47" s="8">
        <f>'P&amp;L'!DP19</f>
        <v>0</v>
      </c>
      <c r="DQ47" s="8">
        <f>'P&amp;L'!DQ19</f>
        <v>0</v>
      </c>
      <c r="DR47" s="8">
        <f>'P&amp;L'!DR19</f>
        <v>0</v>
      </c>
    </row>
    <row r="48" spans="1:134" s="2" customFormat="1">
      <c r="A48" s="2" t="s">
        <v>568</v>
      </c>
      <c r="AV48" s="7">
        <f>'P&amp;L'!AV20</f>
        <v>3105</v>
      </c>
      <c r="AW48" s="7">
        <f>'P&amp;L'!AW20</f>
        <v>3533</v>
      </c>
      <c r="AX48" s="7">
        <f>'P&amp;L'!AX20</f>
        <v>6638</v>
      </c>
      <c r="AY48" s="5"/>
      <c r="AZ48" s="7">
        <f>'P&amp;L'!AZ20</f>
        <v>3661</v>
      </c>
      <c r="BA48" s="7">
        <f>'P&amp;L'!BA20</f>
        <v>3983</v>
      </c>
      <c r="BB48" s="7">
        <f>'P&amp;L'!BB20</f>
        <v>7644</v>
      </c>
      <c r="BC48" s="5"/>
      <c r="BD48" s="7">
        <f>'P&amp;L'!BD20</f>
        <v>3242.663</v>
      </c>
      <c r="BE48" s="7">
        <f>'P&amp;L'!BE20</f>
        <v>3720</v>
      </c>
      <c r="BF48" s="7">
        <f>'P&amp;L'!BF20</f>
        <v>6962.6630000000005</v>
      </c>
      <c r="BG48" s="5"/>
      <c r="BH48" s="7">
        <f>'P&amp;L'!BH20</f>
        <v>3054</v>
      </c>
      <c r="BI48" s="7">
        <f>'P&amp;L'!BI20</f>
        <v>3603</v>
      </c>
      <c r="BJ48" s="7">
        <f>'P&amp;L'!BJ20</f>
        <v>6657</v>
      </c>
      <c r="BK48" s="5"/>
      <c r="BL48" s="7">
        <f>'P&amp;L'!BL20</f>
        <v>3679</v>
      </c>
      <c r="BM48" s="7">
        <f>'P&amp;L'!BM20</f>
        <v>4455</v>
      </c>
      <c r="BN48" s="7">
        <f>'P&amp;L'!BN20</f>
        <v>8134</v>
      </c>
      <c r="BO48" s="5"/>
      <c r="BP48" s="7">
        <f>'P&amp;L'!BP20</f>
        <v>4284</v>
      </c>
      <c r="BQ48" s="7">
        <f>'P&amp;L'!BQ20</f>
        <v>4978</v>
      </c>
      <c r="BR48" s="7">
        <f>'P&amp;L'!BR20</f>
        <v>9262</v>
      </c>
      <c r="BS48" s="5"/>
      <c r="BT48" s="7">
        <f>'P&amp;L'!BT20</f>
        <v>5318</v>
      </c>
      <c r="BU48" s="7">
        <f>'P&amp;L'!BU20</f>
        <v>4840</v>
      </c>
      <c r="BV48" s="7">
        <f>'P&amp;L'!BV20</f>
        <v>10158</v>
      </c>
      <c r="BW48" s="5"/>
      <c r="BX48" s="7">
        <f>'P&amp;L'!BX20</f>
        <v>5218</v>
      </c>
      <c r="BY48" s="7">
        <f>'P&amp;L'!BY20</f>
        <v>5146</v>
      </c>
      <c r="BZ48" s="7">
        <f>'P&amp;L'!BZ20</f>
        <v>10364</v>
      </c>
      <c r="CA48" s="5"/>
      <c r="CB48" s="7">
        <f>'P&amp;L'!CB20</f>
        <v>5397</v>
      </c>
      <c r="CC48" s="7">
        <f>'P&amp;L'!CC20</f>
        <v>5523</v>
      </c>
      <c r="CD48" s="7">
        <f>'P&amp;L'!CD20</f>
        <v>10920</v>
      </c>
      <c r="CE48" s="5"/>
      <c r="CF48" s="7">
        <f>'P&amp;L'!CF20</f>
        <v>5830</v>
      </c>
      <c r="CG48" s="7">
        <f>'P&amp;L'!CG20</f>
        <v>6924</v>
      </c>
      <c r="CH48" s="7">
        <f>'P&amp;L'!CH20</f>
        <v>12754</v>
      </c>
      <c r="CI48" s="5"/>
      <c r="CJ48" s="7">
        <f>'P&amp;L'!CJ20</f>
        <v>6320</v>
      </c>
      <c r="CK48" s="7">
        <f>'P&amp;L'!CK20</f>
        <v>6005</v>
      </c>
      <c r="CL48" s="7">
        <f>'P&amp;L'!CL20</f>
        <v>12325</v>
      </c>
      <c r="CM48" s="5"/>
      <c r="CN48" s="7">
        <f>'P&amp;L'!CN20</f>
        <v>5519</v>
      </c>
      <c r="CO48" s="7">
        <f>'P&amp;L'!CO20</f>
        <v>7255</v>
      </c>
      <c r="CP48" s="7">
        <f>'P&amp;L'!CP20</f>
        <v>12774</v>
      </c>
      <c r="CQ48" s="5"/>
      <c r="CR48" s="7">
        <f>'P&amp;L'!CR20</f>
        <v>7804</v>
      </c>
      <c r="CS48" s="7">
        <f>'P&amp;L'!CS20</f>
        <v>9520</v>
      </c>
      <c r="CT48" s="7">
        <f>'P&amp;L'!CT20</f>
        <v>17324</v>
      </c>
      <c r="CU48" s="5"/>
      <c r="CV48" s="7">
        <f>'P&amp;L'!CV20</f>
        <v>8702</v>
      </c>
      <c r="CW48" s="7">
        <f>'P&amp;L'!CW20</f>
        <v>10420</v>
      </c>
      <c r="CX48" s="7">
        <f>'P&amp;L'!CX20</f>
        <v>19122</v>
      </c>
      <c r="CY48" s="5"/>
      <c r="CZ48" s="7">
        <f>'P&amp;L'!CZ20</f>
        <v>7910</v>
      </c>
      <c r="DA48" s="7">
        <f>'P&amp;L'!DA20</f>
        <v>8977</v>
      </c>
      <c r="DB48" s="7">
        <f>'P&amp;L'!DB20</f>
        <v>16887</v>
      </c>
      <c r="DC48" s="5"/>
      <c r="DD48" s="7">
        <f>'P&amp;L'!DD20</f>
        <v>8216</v>
      </c>
      <c r="DE48" s="7">
        <f ca="1">'P&amp;L'!DE20</f>
        <v>8992</v>
      </c>
      <c r="DF48" s="7">
        <f ca="1">'P&amp;L'!DF20</f>
        <v>17208</v>
      </c>
      <c r="DG48" s="5"/>
      <c r="DH48" s="7">
        <f>'P&amp;L'!DH20</f>
        <v>8691</v>
      </c>
      <c r="DI48" s="7">
        <f>'P&amp;L'!DI20</f>
        <v>9966.2236998674798</v>
      </c>
      <c r="DJ48" s="7">
        <f>'P&amp;L'!DJ20</f>
        <v>18657.223699867478</v>
      </c>
      <c r="DK48" s="5"/>
      <c r="DL48" s="7">
        <f>'P&amp;L'!DL20</f>
        <v>8910.2531271361349</v>
      </c>
      <c r="DM48" s="7">
        <f>'P&amp;L'!DM20</f>
        <v>10013.843070651159</v>
      </c>
      <c r="DN48" s="7">
        <f>'P&amp;L'!DN20</f>
        <v>18924.096197787294</v>
      </c>
      <c r="DO48" s="5"/>
      <c r="DP48" s="7">
        <f>'P&amp;L'!DP20</f>
        <v>9412.3249414995025</v>
      </c>
      <c r="DQ48" s="7">
        <f>'P&amp;L'!DQ20</f>
        <v>10551.243662518247</v>
      </c>
      <c r="DR48" s="7">
        <f>'P&amp;L'!DR20</f>
        <v>19963.56860401775</v>
      </c>
      <c r="DS48" s="5"/>
      <c r="DT48" s="5"/>
      <c r="DU48" s="5"/>
    </row>
    <row r="49" spans="1:134" s="2" customFormat="1">
      <c r="A49" s="1" t="s">
        <v>45</v>
      </c>
      <c r="AV49" s="8">
        <f>'P&amp;L'!AV699</f>
        <v>-1402</v>
      </c>
      <c r="AW49" s="8">
        <f>'P&amp;L'!AW699</f>
        <v>-1447</v>
      </c>
      <c r="AX49" s="8">
        <f>'P&amp;L'!AX699</f>
        <v>-2849</v>
      </c>
      <c r="AY49" s="5"/>
      <c r="AZ49" s="8">
        <f>'P&amp;L'!AZ699</f>
        <v>-1753.6662999999999</v>
      </c>
      <c r="BA49" s="8">
        <f>'P&amp;L'!BA699</f>
        <v>-1857.6666300000002</v>
      </c>
      <c r="BB49" s="8">
        <f>'P&amp;L'!BB699</f>
        <v>-3611.33293</v>
      </c>
      <c r="BC49" s="5"/>
      <c r="BD49" s="8">
        <f>'P&amp;L'!BD699</f>
        <v>-1531.3334399999999</v>
      </c>
      <c r="BE49" s="8">
        <f>'P&amp;L'!BE699</f>
        <v>-1803.4994999999999</v>
      </c>
      <c r="BF49" s="8">
        <f>'P&amp;L'!BF699</f>
        <v>-3334.8329399999998</v>
      </c>
      <c r="BG49" s="5"/>
      <c r="BH49" s="8">
        <f>'P&amp;L'!BH699</f>
        <v>-1442</v>
      </c>
      <c r="BI49" s="8">
        <f>'P&amp;L'!BI699</f>
        <v>-1630</v>
      </c>
      <c r="BJ49" s="8">
        <f>'P&amp;L'!BJ699</f>
        <v>-3072</v>
      </c>
      <c r="BK49" s="5"/>
      <c r="BL49" s="8">
        <f>'P&amp;L'!BL699</f>
        <v>-1622</v>
      </c>
      <c r="BM49" s="8">
        <f>'P&amp;L'!BM699</f>
        <v>-1883</v>
      </c>
      <c r="BN49" s="8">
        <f>'P&amp;L'!BN699</f>
        <v>-3505</v>
      </c>
      <c r="BO49" s="5"/>
      <c r="BP49" s="8">
        <f>'P&amp;L'!BP699</f>
        <v>-1821</v>
      </c>
      <c r="BQ49" s="8">
        <f>'P&amp;L'!BQ699</f>
        <v>-2070</v>
      </c>
      <c r="BR49" s="8">
        <f>'P&amp;L'!BR699</f>
        <v>-3891</v>
      </c>
      <c r="BS49" s="5"/>
      <c r="BT49" s="8">
        <f>'P&amp;L'!BT699</f>
        <v>-2118</v>
      </c>
      <c r="BU49" s="8">
        <f>'P&amp;L'!BU699</f>
        <v>-1839</v>
      </c>
      <c r="BV49" s="8">
        <f>'P&amp;L'!BV699</f>
        <v>-3957</v>
      </c>
      <c r="BW49" s="5"/>
      <c r="BX49" s="8">
        <f>'P&amp;L'!BX699</f>
        <v>-2141</v>
      </c>
      <c r="BY49" s="8">
        <f>'P&amp;L'!BY699</f>
        <v>-1980</v>
      </c>
      <c r="BZ49" s="8">
        <f>'P&amp;L'!BZ699</f>
        <v>-4121</v>
      </c>
      <c r="CA49" s="5"/>
      <c r="CB49" s="8">
        <f>'P&amp;L'!CB699</f>
        <v>-2130</v>
      </c>
      <c r="CC49" s="8">
        <f>'P&amp;L'!CC699</f>
        <v>-2091</v>
      </c>
      <c r="CD49" s="8">
        <f>'P&amp;L'!CD699</f>
        <v>-4221</v>
      </c>
      <c r="CE49" s="5"/>
      <c r="CF49" s="8">
        <f>'P&amp;L'!CF699</f>
        <v>-2297</v>
      </c>
      <c r="CG49" s="8">
        <f>'P&amp;L'!CG699</f>
        <v>-2594</v>
      </c>
      <c r="CH49" s="8">
        <f>'P&amp;L'!CH699</f>
        <v>-4891</v>
      </c>
      <c r="CI49" s="5"/>
      <c r="CJ49" s="8">
        <f>'P&amp;L'!CJ699</f>
        <v>-2602</v>
      </c>
      <c r="CK49" s="8">
        <f>'P&amp;L'!CK699</f>
        <v>-2399</v>
      </c>
      <c r="CL49" s="8">
        <f>'P&amp;L'!CL699</f>
        <v>-5001</v>
      </c>
      <c r="CM49" s="5"/>
      <c r="CN49" s="8">
        <f>'P&amp;L'!CN699</f>
        <v>-2431</v>
      </c>
      <c r="CO49" s="8">
        <f>'P&amp;L'!CO699</f>
        <v>-2759</v>
      </c>
      <c r="CP49" s="8">
        <f>'P&amp;L'!CP699</f>
        <v>-5190</v>
      </c>
      <c r="CQ49" s="5"/>
      <c r="CR49" s="8">
        <f>'P&amp;L'!CR699</f>
        <v>-3001</v>
      </c>
      <c r="CS49" s="8">
        <f>'P&amp;L'!CS699</f>
        <v>-3363</v>
      </c>
      <c r="CT49" s="8">
        <f>'P&amp;L'!CT699</f>
        <v>-6364</v>
      </c>
      <c r="CU49" s="5"/>
      <c r="CV49" s="8">
        <f>'P&amp;L'!CV699</f>
        <v>-3434</v>
      </c>
      <c r="CW49" s="8">
        <f>'P&amp;L'!CW699</f>
        <v>-3844</v>
      </c>
      <c r="CX49" s="8">
        <f>'P&amp;L'!CX699</f>
        <v>-7278</v>
      </c>
      <c r="CY49" s="5"/>
      <c r="CZ49" s="8">
        <f>'P&amp;L'!CZ699</f>
        <v>-3506</v>
      </c>
      <c r="DA49" s="8">
        <f>'P&amp;L'!DA699</f>
        <v>-3767</v>
      </c>
      <c r="DB49" s="8">
        <f>'P&amp;L'!DB699</f>
        <v>-7273</v>
      </c>
      <c r="DC49" s="5"/>
      <c r="DD49" s="8">
        <f>'P&amp;L'!DD699</f>
        <v>-3541</v>
      </c>
      <c r="DE49" s="8">
        <f>'P&amp;L'!DE699</f>
        <v>-3714</v>
      </c>
      <c r="DF49" s="8">
        <f>'P&amp;L'!DF699</f>
        <v>-7255</v>
      </c>
      <c r="DG49" s="5"/>
      <c r="DH49" s="8">
        <f>'P&amp;L'!DH699</f>
        <v>-3734</v>
      </c>
      <c r="DI49" s="8">
        <f>'P&amp;L'!DI699</f>
        <v>-3885.8306205783306</v>
      </c>
      <c r="DJ49" s="8">
        <f>'P&amp;L'!DJ699</f>
        <v>-7619.8306205783301</v>
      </c>
      <c r="DK49" s="5"/>
      <c r="DL49" s="8">
        <f>'P&amp;L'!DL699</f>
        <v>-3831.4088446685378</v>
      </c>
      <c r="DM49" s="8">
        <f>'P&amp;L'!DM699</f>
        <v>-3955.468012907208</v>
      </c>
      <c r="DN49" s="8">
        <f>'P&amp;L'!DN699</f>
        <v>-7786.8768575757458</v>
      </c>
      <c r="DO49" s="5"/>
      <c r="DP49" s="8">
        <f>'P&amp;L'!DP699</f>
        <v>-4019.0627500202877</v>
      </c>
      <c r="DQ49" s="8">
        <f>'P&amp;L'!DQ699</f>
        <v>-4167.741246694708</v>
      </c>
      <c r="DR49" s="8">
        <f>'P&amp;L'!DR699</f>
        <v>-8186.8039967149962</v>
      </c>
      <c r="DS49" s="5"/>
      <c r="DT49" s="5"/>
      <c r="DU49" s="5"/>
    </row>
    <row r="50" spans="1:134">
      <c r="A50" s="1" t="s">
        <v>46</v>
      </c>
      <c r="AV50" s="8">
        <f>'P&amp;L'!AV21-AV49</f>
        <v>-107</v>
      </c>
      <c r="AW50" s="8">
        <f>'P&amp;L'!AW21-AW49</f>
        <v>-146</v>
      </c>
      <c r="AX50" s="8">
        <f>'P&amp;L'!AX21-AX49</f>
        <v>-253</v>
      </c>
      <c r="AZ50" s="8">
        <f>'P&amp;L'!AZ21-AZ49</f>
        <v>-142</v>
      </c>
      <c r="BA50" s="8">
        <f>'P&amp;L'!BA21-BA49</f>
        <v>-136</v>
      </c>
      <c r="BB50" s="8">
        <f>'P&amp;L'!BB21-BB49</f>
        <v>-278</v>
      </c>
      <c r="BD50" s="8">
        <f>'P&amp;L'!BD21-BD49</f>
        <v>-121</v>
      </c>
      <c r="BE50" s="8">
        <f>'P&amp;L'!BE21-BE49</f>
        <v>-104</v>
      </c>
      <c r="BF50" s="8">
        <f>'P&amp;L'!BF21-BF49</f>
        <v>-225</v>
      </c>
      <c r="BH50" s="8">
        <f>'P&amp;L'!BH21-BH49</f>
        <v>-96</v>
      </c>
      <c r="BI50" s="8">
        <f>'P&amp;L'!BI21-BI49</f>
        <v>-105</v>
      </c>
      <c r="BJ50" s="8">
        <f>'P&amp;L'!BJ21-BJ49</f>
        <v>-201</v>
      </c>
      <c r="BL50" s="8">
        <f>'P&amp;L'!BL21-BL49</f>
        <v>-108</v>
      </c>
      <c r="BM50" s="8">
        <f>'P&amp;L'!BM21-BM49</f>
        <v>-123</v>
      </c>
      <c r="BN50" s="8">
        <f>'P&amp;L'!BN21-BN49</f>
        <v>-231</v>
      </c>
      <c r="BP50" s="8">
        <f>'P&amp;L'!BP21-BP49</f>
        <v>-123</v>
      </c>
      <c r="BQ50" s="8">
        <f>'P&amp;L'!BQ21-BQ49</f>
        <v>-129</v>
      </c>
      <c r="BR50" s="8">
        <f>'P&amp;L'!BR21-BR49</f>
        <v>-252</v>
      </c>
      <c r="BT50" s="8">
        <f>'P&amp;L'!BT21-BT49</f>
        <v>-145</v>
      </c>
      <c r="BU50" s="8">
        <f>'P&amp;L'!BU21-BU49</f>
        <v>-142</v>
      </c>
      <c r="BV50" s="8">
        <f>'P&amp;L'!BV21-BV49</f>
        <v>-287</v>
      </c>
      <c r="BX50" s="8">
        <f>'P&amp;L'!BX21-BX49</f>
        <v>-149</v>
      </c>
      <c r="BY50" s="8">
        <f>'P&amp;L'!BY21-BY49</f>
        <v>-109</v>
      </c>
      <c r="BZ50" s="8">
        <f>'P&amp;L'!BZ21-BZ49</f>
        <v>-258</v>
      </c>
      <c r="CB50" s="8">
        <f>'P&amp;L'!CB21-CB49</f>
        <v>-131</v>
      </c>
      <c r="CC50" s="8">
        <f>'P&amp;L'!CC21-CC49</f>
        <v>-141</v>
      </c>
      <c r="CD50" s="8">
        <f>'P&amp;L'!CD21-CD49</f>
        <v>-272</v>
      </c>
      <c r="CF50" s="8">
        <f>'P&amp;L'!CF21-CF49</f>
        <v>-157</v>
      </c>
      <c r="CG50" s="8">
        <f>'P&amp;L'!CG21-CG49</f>
        <v>-169</v>
      </c>
      <c r="CH50" s="8">
        <f>'P&amp;L'!CH21-CH49</f>
        <v>-326</v>
      </c>
      <c r="CJ50" s="8">
        <f>'P&amp;L'!CJ21-CJ49</f>
        <v>-174</v>
      </c>
      <c r="CK50" s="8">
        <f>'P&amp;L'!CK21-CK49</f>
        <v>-148</v>
      </c>
      <c r="CL50" s="8">
        <f>'P&amp;L'!CL21-CL49</f>
        <v>-322</v>
      </c>
      <c r="CN50" s="8">
        <f>'P&amp;L'!CN21-CN49</f>
        <v>-184</v>
      </c>
      <c r="CO50" s="8">
        <f>'P&amp;L'!CO21-CO49</f>
        <v>-143</v>
      </c>
      <c r="CP50" s="8">
        <f>'P&amp;L'!CP21-CP49</f>
        <v>-327</v>
      </c>
      <c r="CR50" s="8">
        <f>'P&amp;L'!CR21-CR49</f>
        <v>-163</v>
      </c>
      <c r="CS50" s="8">
        <f>'P&amp;L'!CS21-CS49</f>
        <v>-198</v>
      </c>
      <c r="CT50" s="8">
        <f>'P&amp;L'!CT21-CT49</f>
        <v>-361</v>
      </c>
      <c r="CV50" s="8">
        <f>'P&amp;L'!CV21-CV49</f>
        <v>-179</v>
      </c>
      <c r="CW50" s="8">
        <f>'P&amp;L'!CW21-CW49</f>
        <v>-246</v>
      </c>
      <c r="CX50" s="8">
        <f>'P&amp;L'!CX21-CX49</f>
        <v>-425</v>
      </c>
      <c r="CZ50" s="8">
        <f>'P&amp;L'!CZ21-CZ49</f>
        <v>-228</v>
      </c>
      <c r="DA50" s="8">
        <f>'P&amp;L'!DA21-DA49</f>
        <v>-222</v>
      </c>
      <c r="DB50" s="8">
        <f>'P&amp;L'!DB21-DB49</f>
        <v>-450</v>
      </c>
      <c r="DD50" s="8">
        <f>'P&amp;L'!DD21-DD49</f>
        <v>-215</v>
      </c>
      <c r="DE50" s="8">
        <f>'P&amp;L'!DE21-DE49</f>
        <v>-190</v>
      </c>
      <c r="DF50" s="8">
        <f>'P&amp;L'!DF21-DF49</f>
        <v>-405</v>
      </c>
      <c r="DH50" s="8">
        <f>'P&amp;L'!DH21-DH49</f>
        <v>-222</v>
      </c>
      <c r="DI50" s="8">
        <f>'P&amp;L'!DI21-DI49</f>
        <v>-227.45464918032803</v>
      </c>
      <c r="DJ50" s="8">
        <f>'P&amp;L'!DJ21-DJ49</f>
        <v>-449.45464918032849</v>
      </c>
      <c r="DL50" s="8">
        <f>'P&amp;L'!DL21-DL49</f>
        <v>-235.61127288000034</v>
      </c>
      <c r="DM50" s="8">
        <f>'P&amp;L'!DM21-DM49</f>
        <v>-241.40035772905821</v>
      </c>
      <c r="DN50" s="8">
        <f>'P&amp;L'!DN21-DN49</f>
        <v>-477.01163060905856</v>
      </c>
      <c r="DP50" s="8">
        <f>'P&amp;L'!DP21-DP49</f>
        <v>-249.37386459987238</v>
      </c>
      <c r="DQ50" s="8">
        <f>'P&amp;L'!DQ21-DQ49</f>
        <v>-256.90495531078886</v>
      </c>
      <c r="DR50" s="8">
        <f>'P&amp;L'!DR21-DR49</f>
        <v>-506.2788199106617</v>
      </c>
    </row>
    <row r="51" spans="1:134">
      <c r="A51" s="1" t="s">
        <v>605</v>
      </c>
      <c r="AV51" s="8">
        <f>'P&amp;L'!AV22</f>
        <v>-329</v>
      </c>
      <c r="AW51" s="8">
        <f>'P&amp;L'!AW22</f>
        <v>-315</v>
      </c>
      <c r="AX51" s="8">
        <f>'P&amp;L'!AX22</f>
        <v>-644</v>
      </c>
      <c r="AZ51" s="8">
        <f>'P&amp;L'!AZ22</f>
        <v>-441</v>
      </c>
      <c r="BA51" s="8">
        <f>'P&amp;L'!BA22</f>
        <v>-344</v>
      </c>
      <c r="BB51" s="8">
        <f>'P&amp;L'!BB22</f>
        <v>-785</v>
      </c>
      <c r="BD51" s="8">
        <f>'P&amp;L'!BD22</f>
        <v>-386</v>
      </c>
      <c r="BE51" s="8">
        <f>'P&amp;L'!BE22</f>
        <v>-337.66629999999998</v>
      </c>
      <c r="BF51" s="8">
        <f>'P&amp;L'!BF22</f>
        <v>-723.66629999999998</v>
      </c>
      <c r="BH51" s="8">
        <f>'P&amp;L'!BH22</f>
        <v>-320</v>
      </c>
      <c r="BI51" s="8">
        <f>'P&amp;L'!BI22</f>
        <v>-284</v>
      </c>
      <c r="BJ51" s="8">
        <f>'P&amp;L'!BJ22</f>
        <v>-604</v>
      </c>
      <c r="BL51" s="8">
        <f>'P&amp;L'!BL22</f>
        <v>-379</v>
      </c>
      <c r="BM51" s="8">
        <f>'P&amp;L'!BM22</f>
        <v>-400</v>
      </c>
      <c r="BN51" s="8">
        <f>'P&amp;L'!BN22</f>
        <v>-779</v>
      </c>
      <c r="BP51" s="8">
        <f>'P&amp;L'!BP22</f>
        <v>-387</v>
      </c>
      <c r="BQ51" s="8">
        <f>'P&amp;L'!BQ22</f>
        <v>-437</v>
      </c>
      <c r="BR51" s="8">
        <f>'P&amp;L'!BR22</f>
        <v>-824</v>
      </c>
      <c r="BT51" s="8">
        <f>'P&amp;L'!BT22</f>
        <v>-444</v>
      </c>
      <c r="BU51" s="8">
        <f>'P&amp;L'!BU22</f>
        <v>-448</v>
      </c>
      <c r="BV51" s="8">
        <f>'P&amp;L'!BV22</f>
        <v>-892</v>
      </c>
      <c r="BX51" s="8">
        <f>'P&amp;L'!BX22</f>
        <v>-418</v>
      </c>
      <c r="BY51" s="8">
        <f>'P&amp;L'!BY22</f>
        <v>-434</v>
      </c>
      <c r="BZ51" s="8">
        <f>'P&amp;L'!BZ22</f>
        <v>-852</v>
      </c>
      <c r="CB51" s="8">
        <f>'P&amp;L'!CB22</f>
        <v>-422</v>
      </c>
      <c r="CC51" s="8">
        <f>'P&amp;L'!CC22</f>
        <v>-408</v>
      </c>
      <c r="CD51" s="8">
        <f>'P&amp;L'!CD22</f>
        <v>-830</v>
      </c>
      <c r="CF51" s="8">
        <f>'P&amp;L'!CF22</f>
        <v>-579</v>
      </c>
      <c r="CG51" s="8">
        <f>'P&amp;L'!CG22</f>
        <v>-561</v>
      </c>
      <c r="CH51" s="8">
        <f>'P&amp;L'!CH22</f>
        <v>-1140</v>
      </c>
      <c r="CJ51" s="8">
        <f>'P&amp;L'!CJ22</f>
        <v>-482</v>
      </c>
      <c r="CK51" s="8">
        <f>'P&amp;L'!CK22</f>
        <v>-482</v>
      </c>
      <c r="CL51" s="8">
        <f>'P&amp;L'!CL22</f>
        <v>-964</v>
      </c>
      <c r="CN51" s="8">
        <f>'P&amp;L'!CN22</f>
        <v>-471</v>
      </c>
      <c r="CO51" s="8">
        <f>'P&amp;L'!CO22</f>
        <v>-408</v>
      </c>
      <c r="CP51" s="8">
        <f>'P&amp;L'!CP22</f>
        <v>-879</v>
      </c>
      <c r="CR51" s="8">
        <f>'P&amp;L'!CR22</f>
        <v>-498</v>
      </c>
      <c r="CS51" s="8">
        <f>'P&amp;L'!CS22</f>
        <v>-531</v>
      </c>
      <c r="CT51" s="8">
        <f>'P&amp;L'!CT22</f>
        <v>-1029</v>
      </c>
      <c r="CV51" s="8">
        <f>'P&amp;L'!CV22</f>
        <v>-500</v>
      </c>
      <c r="CW51" s="8">
        <f>'P&amp;L'!CW22</f>
        <v>-528</v>
      </c>
      <c r="CX51" s="8">
        <f>'P&amp;L'!CX22</f>
        <v>-1028</v>
      </c>
      <c r="CZ51" s="8">
        <f>'P&amp;L'!CZ22</f>
        <v>-529</v>
      </c>
      <c r="DA51" s="8">
        <f>'P&amp;L'!DA22</f>
        <v>-542</v>
      </c>
      <c r="DB51" s="8">
        <f>'P&amp;L'!DB22</f>
        <v>-1071</v>
      </c>
      <c r="DD51" s="8">
        <f>'P&amp;L'!DD22</f>
        <v>-580</v>
      </c>
      <c r="DE51" s="8">
        <f>'P&amp;L'!DE22</f>
        <v>-626</v>
      </c>
      <c r="DF51" s="8">
        <f>'P&amp;L'!DF22</f>
        <v>-1206</v>
      </c>
      <c r="DH51" s="8">
        <f>'P&amp;L'!DH22</f>
        <v>-628</v>
      </c>
      <c r="DI51" s="8">
        <f>'P&amp;L'!DI22</f>
        <v>-561.50916065666809</v>
      </c>
      <c r="DJ51" s="8">
        <f>'P&amp;L'!DJ22</f>
        <v>-1189.509160656668</v>
      </c>
      <c r="DL51" s="8">
        <f>'P&amp;L'!DL22</f>
        <v>-549.01522593116874</v>
      </c>
      <c r="DM51" s="8">
        <f>'P&amp;L'!DM22</f>
        <v>-571.74769568802799</v>
      </c>
      <c r="DN51" s="8">
        <f>'P&amp;L'!DN22</f>
        <v>-1120.7629216191967</v>
      </c>
      <c r="DP51" s="8">
        <f>'P&amp;L'!DP22</f>
        <v>-571.69703948997517</v>
      </c>
      <c r="DQ51" s="8">
        <f>'P&amp;L'!DQ22</f>
        <v>-595.42322325910618</v>
      </c>
      <c r="DR51" s="8">
        <f>'P&amp;L'!DR22</f>
        <v>-1167.1202627490813</v>
      </c>
    </row>
    <row r="52" spans="1:134">
      <c r="A52" s="1" t="s">
        <v>606</v>
      </c>
      <c r="AV52" s="8">
        <f>'P&amp;L'!AV23</f>
        <v>-735</v>
      </c>
      <c r="AW52" s="8">
        <f>'P&amp;L'!AW23</f>
        <v>-863</v>
      </c>
      <c r="AX52" s="8">
        <f>'P&amp;L'!AX23</f>
        <v>-1598</v>
      </c>
      <c r="AZ52" s="8">
        <f>'P&amp;L'!AZ23</f>
        <v>-828</v>
      </c>
      <c r="BA52" s="8">
        <f>'P&amp;L'!BA23</f>
        <v>-870</v>
      </c>
      <c r="BB52" s="8">
        <f>'P&amp;L'!BB23</f>
        <v>-1698</v>
      </c>
      <c r="BD52" s="8">
        <f>'P&amp;L'!BD23</f>
        <v>-790</v>
      </c>
      <c r="BE52" s="8">
        <f>'P&amp;L'!BE23</f>
        <v>-840</v>
      </c>
      <c r="BF52" s="8">
        <f>'P&amp;L'!BF23</f>
        <v>-1630</v>
      </c>
      <c r="BH52" s="8">
        <f>'P&amp;L'!BH23</f>
        <v>-679</v>
      </c>
      <c r="BI52" s="8">
        <f>'P&amp;L'!BI23</f>
        <v>-696</v>
      </c>
      <c r="BJ52" s="8">
        <f>'P&amp;L'!BJ23</f>
        <v>-1375</v>
      </c>
      <c r="BL52" s="8">
        <f>'P&amp;L'!BL23</f>
        <v>-760</v>
      </c>
      <c r="BM52" s="8">
        <f>'P&amp;L'!BM23</f>
        <v>-751</v>
      </c>
      <c r="BN52" s="8">
        <f>'P&amp;L'!BN23</f>
        <v>-1511</v>
      </c>
      <c r="BP52" s="8">
        <f>'P&amp;L'!BP23</f>
        <v>-832</v>
      </c>
      <c r="BQ52" s="8">
        <f>'P&amp;L'!BQ23</f>
        <v>-941</v>
      </c>
      <c r="BR52" s="8">
        <f>'P&amp;L'!BR23</f>
        <v>-1773</v>
      </c>
      <c r="BT52" s="8">
        <f>'P&amp;L'!BT23</f>
        <v>-992</v>
      </c>
      <c r="BU52" s="8">
        <f>'P&amp;L'!BU23</f>
        <v>-1015</v>
      </c>
      <c r="BV52" s="8">
        <f>'P&amp;L'!BV23</f>
        <v>-2007</v>
      </c>
      <c r="BX52" s="8">
        <f>'P&amp;L'!BX23</f>
        <v>-1025</v>
      </c>
      <c r="BY52" s="8">
        <f>'P&amp;L'!BY23</f>
        <v>-1004</v>
      </c>
      <c r="BZ52" s="8">
        <f>'P&amp;L'!BZ23</f>
        <v>-2029</v>
      </c>
      <c r="CB52" s="8">
        <f>'P&amp;L'!CB23</f>
        <v>-1010</v>
      </c>
      <c r="CC52" s="8">
        <f>'P&amp;L'!CC23</f>
        <v>-1123</v>
      </c>
      <c r="CD52" s="8">
        <f>'P&amp;L'!CD23</f>
        <v>-2133</v>
      </c>
      <c r="CF52" s="8">
        <f>'P&amp;L'!CF23</f>
        <v>-1092</v>
      </c>
      <c r="CG52" s="8">
        <f>'P&amp;L'!CG23</f>
        <v>-1438</v>
      </c>
      <c r="CH52" s="8">
        <f>'P&amp;L'!CH23</f>
        <v>-2530</v>
      </c>
      <c r="CJ52" s="8">
        <f>'P&amp;L'!CJ23</f>
        <v>-1222</v>
      </c>
      <c r="CK52" s="8">
        <f>'P&amp;L'!CK23</f>
        <v>-1362</v>
      </c>
      <c r="CL52" s="8">
        <f>'P&amp;L'!CL23</f>
        <v>-2584</v>
      </c>
      <c r="CN52" s="8">
        <f>'P&amp;L'!CN23</f>
        <v>-1180</v>
      </c>
      <c r="CO52" s="8">
        <f>'P&amp;L'!CO23</f>
        <v>-1291</v>
      </c>
      <c r="CP52" s="8">
        <f>'P&amp;L'!CP23</f>
        <v>-2471</v>
      </c>
      <c r="CR52" s="8">
        <f>'P&amp;L'!CR23</f>
        <v>-1407</v>
      </c>
      <c r="CS52" s="8">
        <f>'P&amp;L'!CS23</f>
        <v>-1624</v>
      </c>
      <c r="CT52" s="8">
        <f>'P&amp;L'!CT23</f>
        <v>-3031</v>
      </c>
      <c r="CV52" s="8">
        <f>'P&amp;L'!CV23</f>
        <v>-1483</v>
      </c>
      <c r="CW52" s="8">
        <f>'P&amp;L'!CW23</f>
        <v>-1916</v>
      </c>
      <c r="CX52" s="8">
        <f>'P&amp;L'!CX23</f>
        <v>-3399</v>
      </c>
      <c r="CZ52" s="8">
        <f>'P&amp;L'!CZ23</f>
        <v>-1656</v>
      </c>
      <c r="DA52" s="8">
        <f>'P&amp;L'!DA23</f>
        <v>-1611</v>
      </c>
      <c r="DB52" s="8">
        <f>'P&amp;L'!DB23</f>
        <v>-3267</v>
      </c>
      <c r="DD52" s="8">
        <f>'P&amp;L'!DD23</f>
        <v>-1583</v>
      </c>
      <c r="DE52" s="8">
        <f>'P&amp;L'!DE23</f>
        <v>-1691</v>
      </c>
      <c r="DF52" s="8">
        <f>'P&amp;L'!DF23</f>
        <v>-3274</v>
      </c>
      <c r="DH52" s="8">
        <f>'P&amp;L'!DH23</f>
        <v>-1655</v>
      </c>
      <c r="DI52" s="8">
        <f>'P&amp;L'!DI23</f>
        <v>-1718.4049999999997</v>
      </c>
      <c r="DJ52" s="8">
        <f>'P&amp;L'!DJ23</f>
        <v>-3373.4049999999997</v>
      </c>
      <c r="DL52" s="8">
        <f>'P&amp;L'!DL23</f>
        <v>-1616.1849999999997</v>
      </c>
      <c r="DM52" s="8">
        <f>'P&amp;L'!DM23</f>
        <v>-1663.9884</v>
      </c>
      <c r="DN52" s="8">
        <f>'P&amp;L'!DN23</f>
        <v>-3280.1733999999997</v>
      </c>
      <c r="DP52" s="8">
        <f>'P&amp;L'!DP23</f>
        <v>-1657.4045499999997</v>
      </c>
      <c r="DQ52" s="8">
        <f>'P&amp;L'!DQ23</f>
        <v>-1706.1287712000001</v>
      </c>
      <c r="DR52" s="8">
        <f>'P&amp;L'!DR23</f>
        <v>-3363.5333211999996</v>
      </c>
    </row>
    <row r="53" spans="1:134" s="2" customFormat="1">
      <c r="A53" s="2" t="s">
        <v>569</v>
      </c>
      <c r="AV53" s="7">
        <f>'P&amp;L'!AV24</f>
        <v>-2573</v>
      </c>
      <c r="AW53" s="7">
        <f>'P&amp;L'!AW24</f>
        <v>-2771</v>
      </c>
      <c r="AX53" s="7">
        <f>'P&amp;L'!AX24</f>
        <v>-5344</v>
      </c>
      <c r="AY53" s="5"/>
      <c r="AZ53" s="7">
        <f>'P&amp;L'!AZ24</f>
        <v>-3164.6662999999999</v>
      </c>
      <c r="BA53" s="7">
        <f>'P&amp;L'!BA24</f>
        <v>-3207.6666300000002</v>
      </c>
      <c r="BB53" s="7">
        <f>'P&amp;L'!BB24</f>
        <v>-6372.3329300000005</v>
      </c>
      <c r="BC53" s="5"/>
      <c r="BD53" s="7">
        <f>'P&amp;L'!BD24</f>
        <v>-2828.3334399999999</v>
      </c>
      <c r="BE53" s="7">
        <f>'P&amp;L'!BE24</f>
        <v>-3085.1657999999998</v>
      </c>
      <c r="BF53" s="7">
        <f>'P&amp;L'!BF24</f>
        <v>-5913.4992399999992</v>
      </c>
      <c r="BG53" s="5"/>
      <c r="BH53" s="7">
        <f>'P&amp;L'!BH24</f>
        <v>-2537</v>
      </c>
      <c r="BI53" s="7">
        <f>'P&amp;L'!BI24</f>
        <v>-2715</v>
      </c>
      <c r="BJ53" s="7">
        <f>'P&amp;L'!BJ24</f>
        <v>-5252</v>
      </c>
      <c r="BK53" s="5"/>
      <c r="BL53" s="7">
        <f>'P&amp;L'!BL24</f>
        <v>-2869</v>
      </c>
      <c r="BM53" s="7">
        <f>'P&amp;L'!BM24</f>
        <v>-3157</v>
      </c>
      <c r="BN53" s="7">
        <f>'P&amp;L'!BN24</f>
        <v>-6026</v>
      </c>
      <c r="BO53" s="5"/>
      <c r="BP53" s="7">
        <f>'P&amp;L'!BP24</f>
        <v>-3163</v>
      </c>
      <c r="BQ53" s="7">
        <f>'P&amp;L'!BQ24</f>
        <v>-3577</v>
      </c>
      <c r="BR53" s="7">
        <f>'P&amp;L'!BR24</f>
        <v>-6740</v>
      </c>
      <c r="BS53" s="5"/>
      <c r="BT53" s="7">
        <f>'P&amp;L'!BT24</f>
        <v>-3699</v>
      </c>
      <c r="BU53" s="7">
        <f>'P&amp;L'!BU24</f>
        <v>-3444</v>
      </c>
      <c r="BV53" s="7">
        <f>'P&amp;L'!BV24</f>
        <v>-7143</v>
      </c>
      <c r="BW53" s="5"/>
      <c r="BX53" s="7">
        <f>'P&amp;L'!BX24</f>
        <v>-3733</v>
      </c>
      <c r="BY53" s="7">
        <f>'P&amp;L'!BY24</f>
        <v>-3527</v>
      </c>
      <c r="BZ53" s="7">
        <f>'P&amp;L'!BZ24</f>
        <v>-7260</v>
      </c>
      <c r="CA53" s="5"/>
      <c r="CB53" s="7">
        <f>'P&amp;L'!CB24</f>
        <v>-3693</v>
      </c>
      <c r="CC53" s="7">
        <f>'P&amp;L'!CC24</f>
        <v>-3763</v>
      </c>
      <c r="CD53" s="7">
        <f>'P&amp;L'!CD24</f>
        <v>-7456</v>
      </c>
      <c r="CE53" s="5"/>
      <c r="CF53" s="7">
        <f>'P&amp;L'!CF24</f>
        <v>-4125</v>
      </c>
      <c r="CG53" s="7">
        <f>'P&amp;L'!CG24</f>
        <v>-4762</v>
      </c>
      <c r="CH53" s="7">
        <f>'P&amp;L'!CH24</f>
        <v>-8887</v>
      </c>
      <c r="CI53" s="5"/>
      <c r="CJ53" s="7">
        <f>'P&amp;L'!CJ24</f>
        <v>-4480</v>
      </c>
      <c r="CK53" s="7">
        <f>'P&amp;L'!CK24</f>
        <v>-4391</v>
      </c>
      <c r="CL53" s="7">
        <f>'P&amp;L'!CL24</f>
        <v>-8871</v>
      </c>
      <c r="CM53" s="5"/>
      <c r="CN53" s="7">
        <f>'P&amp;L'!CN24</f>
        <v>-4266</v>
      </c>
      <c r="CO53" s="7">
        <f>'P&amp;L'!CO24</f>
        <v>-4601</v>
      </c>
      <c r="CP53" s="7">
        <f>'P&amp;L'!CP24</f>
        <v>-8867</v>
      </c>
      <c r="CQ53" s="5"/>
      <c r="CR53" s="7">
        <f>'P&amp;L'!CR24</f>
        <v>-5069</v>
      </c>
      <c r="CS53" s="7">
        <f>'P&amp;L'!CS24</f>
        <v>-5716</v>
      </c>
      <c r="CT53" s="7">
        <f>'P&amp;L'!CT24</f>
        <v>-10785</v>
      </c>
      <c r="CU53" s="5"/>
      <c r="CV53" s="7">
        <f>'P&amp;L'!CV24</f>
        <v>-5596</v>
      </c>
      <c r="CW53" s="7">
        <f>'P&amp;L'!CW24</f>
        <v>-6534</v>
      </c>
      <c r="CX53" s="7">
        <f>'P&amp;L'!CX24</f>
        <v>-12130</v>
      </c>
      <c r="CY53" s="5"/>
      <c r="CZ53" s="7">
        <f>'P&amp;L'!CZ24</f>
        <v>-5919</v>
      </c>
      <c r="DA53" s="7">
        <f>'P&amp;L'!DA24</f>
        <v>-6142</v>
      </c>
      <c r="DB53" s="7">
        <f>'P&amp;L'!DB24</f>
        <v>-12061</v>
      </c>
      <c r="DC53" s="5"/>
      <c r="DD53" s="7">
        <f>'P&amp;L'!DD24</f>
        <v>-5919</v>
      </c>
      <c r="DE53" s="7">
        <f>'P&amp;L'!DE24</f>
        <v>-6221</v>
      </c>
      <c r="DF53" s="7">
        <f>'P&amp;L'!DF24</f>
        <v>-12140</v>
      </c>
      <c r="DG53" s="5"/>
      <c r="DH53" s="7">
        <f>'P&amp;L'!DH24</f>
        <v>-6239</v>
      </c>
      <c r="DI53" s="7">
        <f>'P&amp;L'!DI24</f>
        <v>-6393.1994304153268</v>
      </c>
      <c r="DJ53" s="7">
        <f>'P&amp;L'!DJ24</f>
        <v>-12632.199430415327</v>
      </c>
      <c r="DK53" s="5"/>
      <c r="DL53" s="7">
        <f>'P&amp;L'!DL24</f>
        <v>-6232.2203434797066</v>
      </c>
      <c r="DM53" s="7">
        <f>'P&amp;L'!DM24</f>
        <v>-6432.6044663242947</v>
      </c>
      <c r="DN53" s="7">
        <f>'P&amp;L'!DN24</f>
        <v>-12664.824809804002</v>
      </c>
      <c r="DO53" s="5"/>
      <c r="DP53" s="7">
        <f>'P&amp;L'!DP24</f>
        <v>-6497.5382041101348</v>
      </c>
      <c r="DQ53" s="7">
        <f>'P&amp;L'!DQ24</f>
        <v>-6726.1981964646029</v>
      </c>
      <c r="DR53" s="7">
        <f>'P&amp;L'!DR24</f>
        <v>-13223.736400574737</v>
      </c>
      <c r="DS53" s="5"/>
      <c r="DT53" s="5"/>
      <c r="DU53" s="5"/>
    </row>
    <row r="54" spans="1:134" s="2" customFormat="1">
      <c r="A54" s="2" t="s">
        <v>572</v>
      </c>
      <c r="AV54" s="7">
        <f>'P&amp;L'!AV25</f>
        <v>532</v>
      </c>
      <c r="AW54" s="7">
        <f>'P&amp;L'!AW25</f>
        <v>762</v>
      </c>
      <c r="AX54" s="7">
        <f>'P&amp;L'!AX25</f>
        <v>1294</v>
      </c>
      <c r="AY54" s="5"/>
      <c r="AZ54" s="7">
        <f>'P&amp;L'!AZ25</f>
        <v>496.33370000000014</v>
      </c>
      <c r="BA54" s="7">
        <f>'P&amp;L'!BA25</f>
        <v>775.33336999999983</v>
      </c>
      <c r="BB54" s="7">
        <f>'P&amp;L'!BB25</f>
        <v>1271.66707</v>
      </c>
      <c r="BC54" s="5"/>
      <c r="BD54" s="7">
        <f>'P&amp;L'!BD25</f>
        <v>414.32956000000013</v>
      </c>
      <c r="BE54" s="7">
        <f>'P&amp;L'!BE25</f>
        <v>634.83420000000024</v>
      </c>
      <c r="BF54" s="7">
        <f>'P&amp;L'!BF25</f>
        <v>1049.1637600000004</v>
      </c>
      <c r="BG54" s="5"/>
      <c r="BH54" s="7">
        <f>'P&amp;L'!BH25</f>
        <v>517</v>
      </c>
      <c r="BI54" s="7">
        <f>'P&amp;L'!BI25</f>
        <v>888</v>
      </c>
      <c r="BJ54" s="7">
        <f>'P&amp;L'!BJ25</f>
        <v>1405</v>
      </c>
      <c r="BK54" s="5"/>
      <c r="BL54" s="7">
        <f>'P&amp;L'!BL25</f>
        <v>810</v>
      </c>
      <c r="BM54" s="7">
        <f>'P&amp;L'!BM25</f>
        <v>1298</v>
      </c>
      <c r="BN54" s="7">
        <f>'P&amp;L'!BN25</f>
        <v>2108</v>
      </c>
      <c r="BO54" s="5"/>
      <c r="BP54" s="7">
        <f>'P&amp;L'!BP25</f>
        <v>1121</v>
      </c>
      <c r="BQ54" s="7">
        <f>'P&amp;L'!BQ25</f>
        <v>1401</v>
      </c>
      <c r="BR54" s="7">
        <f>'P&amp;L'!BR25</f>
        <v>2522</v>
      </c>
      <c r="BS54" s="5"/>
      <c r="BT54" s="7">
        <f>'P&amp;L'!BT25</f>
        <v>1619</v>
      </c>
      <c r="BU54" s="7">
        <f>'P&amp;L'!BU25</f>
        <v>1396</v>
      </c>
      <c r="BV54" s="7">
        <f>'P&amp;L'!BV25</f>
        <v>3015</v>
      </c>
      <c r="BW54" s="5"/>
      <c r="BX54" s="7">
        <f>'P&amp;L'!BX25</f>
        <v>1485</v>
      </c>
      <c r="BY54" s="7">
        <f>'P&amp;L'!BY25</f>
        <v>1619</v>
      </c>
      <c r="BZ54" s="7">
        <f>'P&amp;L'!BZ25</f>
        <v>3104</v>
      </c>
      <c r="CA54" s="5"/>
      <c r="CB54" s="7">
        <f>'P&amp;L'!CB25</f>
        <v>1704</v>
      </c>
      <c r="CC54" s="7">
        <f>'P&amp;L'!CC25</f>
        <v>1760</v>
      </c>
      <c r="CD54" s="7">
        <f>'P&amp;L'!CD25</f>
        <v>3464</v>
      </c>
      <c r="CE54" s="5"/>
      <c r="CF54" s="7">
        <f>'P&amp;L'!CF25</f>
        <v>1705</v>
      </c>
      <c r="CG54" s="7">
        <f>'P&amp;L'!CG25</f>
        <v>2162</v>
      </c>
      <c r="CH54" s="7">
        <f>'P&amp;L'!CH25</f>
        <v>3867</v>
      </c>
      <c r="CI54" s="5"/>
      <c r="CJ54" s="7">
        <f>'P&amp;L'!CJ25</f>
        <v>1840</v>
      </c>
      <c r="CK54" s="7">
        <f>'P&amp;L'!CK25</f>
        <v>1614</v>
      </c>
      <c r="CL54" s="7">
        <f>'P&amp;L'!CL25</f>
        <v>3454</v>
      </c>
      <c r="CM54" s="5"/>
      <c r="CN54" s="7">
        <f>'P&amp;L'!CN25</f>
        <v>1253</v>
      </c>
      <c r="CO54" s="7">
        <f>'P&amp;L'!CO25</f>
        <v>2654</v>
      </c>
      <c r="CP54" s="7">
        <f>'P&amp;L'!CP25</f>
        <v>3907</v>
      </c>
      <c r="CQ54" s="5"/>
      <c r="CR54" s="7">
        <f>'P&amp;L'!CR25</f>
        <v>2735</v>
      </c>
      <c r="CS54" s="7">
        <f>'P&amp;L'!CS25</f>
        <v>3804</v>
      </c>
      <c r="CT54" s="7">
        <f>'P&amp;L'!CT25</f>
        <v>6539</v>
      </c>
      <c r="CU54" s="5"/>
      <c r="CV54" s="7">
        <f>'P&amp;L'!CV25</f>
        <v>3106</v>
      </c>
      <c r="CW54" s="7">
        <f>'P&amp;L'!CW25</f>
        <v>3886</v>
      </c>
      <c r="CX54" s="7">
        <f>'P&amp;L'!CX25</f>
        <v>6992</v>
      </c>
      <c r="CY54" s="5"/>
      <c r="CZ54" s="7">
        <f>'P&amp;L'!CZ25</f>
        <v>1991</v>
      </c>
      <c r="DA54" s="7">
        <f>'P&amp;L'!DA25</f>
        <v>2835</v>
      </c>
      <c r="DB54" s="7">
        <f>'P&amp;L'!DB25</f>
        <v>4826</v>
      </c>
      <c r="DC54" s="5"/>
      <c r="DD54" s="7">
        <f>'P&amp;L'!DD25</f>
        <v>2297</v>
      </c>
      <c r="DE54" s="7">
        <f ca="1">'P&amp;L'!DE25</f>
        <v>2771</v>
      </c>
      <c r="DF54" s="7">
        <f ca="1">'P&amp;L'!DF25</f>
        <v>5068</v>
      </c>
      <c r="DG54" s="5"/>
      <c r="DH54" s="7">
        <f>'P&amp;L'!DH25</f>
        <v>2452</v>
      </c>
      <c r="DI54" s="7">
        <f>'P&amp;L'!DI25</f>
        <v>3573.024269452153</v>
      </c>
      <c r="DJ54" s="7">
        <f>'P&amp;L'!DJ25</f>
        <v>6025.024269452153</v>
      </c>
      <c r="DK54" s="5"/>
      <c r="DL54" s="7">
        <f>'P&amp;L'!DL25</f>
        <v>2678.0327836564284</v>
      </c>
      <c r="DM54" s="7">
        <f>'P&amp;L'!DM25</f>
        <v>3581.2386043268643</v>
      </c>
      <c r="DN54" s="7">
        <f>'P&amp;L'!DN25</f>
        <v>6259.2713879832927</v>
      </c>
      <c r="DO54" s="5"/>
      <c r="DP54" s="7">
        <f>'P&amp;L'!DP25</f>
        <v>2914.7867373893678</v>
      </c>
      <c r="DQ54" s="7">
        <f>'P&amp;L'!DQ25</f>
        <v>3825.0454660536443</v>
      </c>
      <c r="DR54" s="7">
        <f>'P&amp;L'!DR25</f>
        <v>6739.8322034430121</v>
      </c>
      <c r="DS54" s="5"/>
      <c r="DT54" s="5"/>
      <c r="DU54" s="5"/>
    </row>
    <row r="55" spans="1:134">
      <c r="A55" s="1" t="s">
        <v>664</v>
      </c>
      <c r="AV55" s="8">
        <f>'P&amp;L'!AV26</f>
        <v>-1</v>
      </c>
      <c r="AW55" s="8">
        <f>'P&amp;L'!AW26</f>
        <v>-13</v>
      </c>
      <c r="AX55" s="8">
        <f>'P&amp;L'!AX26</f>
        <v>-14</v>
      </c>
      <c r="AZ55" s="8">
        <f>'P&amp;L'!AZ26</f>
        <v>7</v>
      </c>
      <c r="BA55" s="8">
        <f>'P&amp;L'!BA26</f>
        <v>-10</v>
      </c>
      <c r="BB55" s="8">
        <f>'P&amp;L'!BB26</f>
        <v>-3</v>
      </c>
      <c r="BD55" s="8">
        <f>'P&amp;L'!BD26</f>
        <v>12</v>
      </c>
      <c r="BE55" s="8">
        <f>'P&amp;L'!BE26</f>
        <v>-14</v>
      </c>
      <c r="BF55" s="8">
        <f>'P&amp;L'!BF26</f>
        <v>-2</v>
      </c>
      <c r="BH55" s="8">
        <f>'P&amp;L'!BH26</f>
        <v>13</v>
      </c>
      <c r="BI55" s="8">
        <f>'P&amp;L'!BI26</f>
        <v>-9</v>
      </c>
      <c r="BJ55" s="8">
        <f>'P&amp;L'!BJ26</f>
        <v>4</v>
      </c>
      <c r="BL55" s="8">
        <f>'P&amp;L'!BL26</f>
        <v>9</v>
      </c>
      <c r="BM55" s="8">
        <f>'P&amp;L'!BM26</f>
        <v>-1</v>
      </c>
      <c r="BN55" s="8">
        <f>'P&amp;L'!BN26</f>
        <v>8</v>
      </c>
      <c r="BP55" s="8">
        <f>'P&amp;L'!BP26</f>
        <v>0</v>
      </c>
      <c r="BQ55" s="8">
        <f>'P&amp;L'!BQ26</f>
        <v>5</v>
      </c>
      <c r="BR55" s="8">
        <f>'P&amp;L'!BR26</f>
        <v>5</v>
      </c>
      <c r="BT55" s="8">
        <f>'P&amp;L'!BT26</f>
        <v>-10</v>
      </c>
      <c r="BU55" s="8">
        <f>'P&amp;L'!BU26</f>
        <v>2</v>
      </c>
      <c r="BV55" s="8">
        <f>'P&amp;L'!BV26</f>
        <v>-8</v>
      </c>
      <c r="BX55" s="8">
        <f>'P&amp;L'!BX26</f>
        <v>11</v>
      </c>
      <c r="BY55" s="8">
        <f>'P&amp;L'!BY26</f>
        <v>-15</v>
      </c>
      <c r="BZ55" s="8">
        <f>'P&amp;L'!BZ26</f>
        <v>-4</v>
      </c>
      <c r="CB55" s="8">
        <f>'P&amp;L'!CB26</f>
        <v>-1</v>
      </c>
      <c r="CC55" s="8">
        <f>'P&amp;L'!CC26</f>
        <v>-9</v>
      </c>
      <c r="CD55" s="8">
        <f>'P&amp;L'!CD26</f>
        <v>-10</v>
      </c>
      <c r="CF55" s="8">
        <f>'P&amp;L'!CF26</f>
        <v>-14</v>
      </c>
      <c r="CG55" s="8">
        <f>'P&amp;L'!CG26</f>
        <v>23</v>
      </c>
      <c r="CH55" s="8">
        <f>'P&amp;L'!CH26</f>
        <v>9</v>
      </c>
      <c r="CJ55" s="8">
        <f>'P&amp;L'!CJ26</f>
        <v>-1</v>
      </c>
      <c r="CK55" s="8">
        <f>'P&amp;L'!CK26</f>
        <v>18</v>
      </c>
      <c r="CL55" s="8">
        <f>'P&amp;L'!CL26</f>
        <v>17</v>
      </c>
      <c r="CN55" s="8">
        <f>'P&amp;L'!CN26</f>
        <v>7</v>
      </c>
      <c r="CO55" s="8">
        <f>'P&amp;L'!CO26</f>
        <v>0</v>
      </c>
      <c r="CP55" s="8">
        <f>'P&amp;L'!CP26</f>
        <v>7</v>
      </c>
      <c r="CR55" s="8">
        <f>'P&amp;L'!CR26</f>
        <v>-89</v>
      </c>
      <c r="CS55" s="8">
        <f>'P&amp;L'!CS26</f>
        <v>-158</v>
      </c>
      <c r="CT55" s="8">
        <f>'P&amp;L'!CT26</f>
        <v>-247</v>
      </c>
      <c r="CV55" s="8">
        <f>'P&amp;L'!CV26</f>
        <v>12</v>
      </c>
      <c r="CW55" s="8">
        <f>'P&amp;L'!CW26</f>
        <v>2</v>
      </c>
      <c r="CX55" s="8">
        <f>'P&amp;L'!CX26</f>
        <v>14</v>
      </c>
      <c r="CZ55" s="8">
        <f>'P&amp;L'!CZ26</f>
        <v>11</v>
      </c>
      <c r="DA55" s="8">
        <f>'P&amp;L'!DA26</f>
        <v>-24</v>
      </c>
      <c r="DB55" s="8">
        <f>'P&amp;L'!DB26</f>
        <v>-13</v>
      </c>
      <c r="DD55" s="8">
        <f>'P&amp;L'!DD26</f>
        <v>1</v>
      </c>
      <c r="DE55" s="8">
        <f>'P&amp;L'!DE26</f>
        <v>-28</v>
      </c>
      <c r="DF55" s="8">
        <f>'P&amp;L'!DF26</f>
        <v>-27</v>
      </c>
      <c r="DH55" s="8">
        <f>'P&amp;L'!DH26</f>
        <v>-26</v>
      </c>
      <c r="DI55" s="8">
        <f>'P&amp;L'!DI26</f>
        <v>-2</v>
      </c>
      <c r="DJ55" s="8">
        <f>'P&amp;L'!DJ26</f>
        <v>-28</v>
      </c>
      <c r="DL55" s="8">
        <f>'P&amp;L'!DL26</f>
        <v>-2</v>
      </c>
      <c r="DM55" s="8">
        <f>'P&amp;L'!DM26</f>
        <v>-2</v>
      </c>
      <c r="DN55" s="8">
        <f>'P&amp;L'!DN26</f>
        <v>-4</v>
      </c>
      <c r="DP55" s="8">
        <f>'P&amp;L'!DP26</f>
        <v>-2</v>
      </c>
      <c r="DQ55" s="8">
        <f>'P&amp;L'!DQ26</f>
        <v>-2</v>
      </c>
      <c r="DR55" s="8">
        <f>'P&amp;L'!DR26</f>
        <v>-4</v>
      </c>
    </row>
    <row r="56" spans="1:134">
      <c r="A56" s="1" t="s">
        <v>570</v>
      </c>
      <c r="AV56" s="8">
        <f>'P&amp;L'!AV27</f>
        <v>-36</v>
      </c>
      <c r="AW56" s="8">
        <f>'P&amp;L'!AW27</f>
        <v>-165</v>
      </c>
      <c r="AX56" s="8">
        <f>'P&amp;L'!AX27</f>
        <v>-201</v>
      </c>
      <c r="AZ56" s="8">
        <f>'P&amp;L'!AZ27</f>
        <v>-85</v>
      </c>
      <c r="BA56" s="8">
        <f>'P&amp;L'!BA27</f>
        <v>-197</v>
      </c>
      <c r="BB56" s="8">
        <f>'P&amp;L'!BB27</f>
        <v>-282</v>
      </c>
      <c r="BD56" s="8">
        <f>'P&amp;L'!BD27</f>
        <v>-107</v>
      </c>
      <c r="BE56" s="8">
        <f>'P&amp;L'!BE27</f>
        <v>-180</v>
      </c>
      <c r="BF56" s="8">
        <f>'P&amp;L'!BF27</f>
        <v>-287</v>
      </c>
      <c r="BH56" s="8">
        <f>'P&amp;L'!BH27</f>
        <v>-156</v>
      </c>
      <c r="BI56" s="8">
        <f>'P&amp;L'!BI27</f>
        <v>-377</v>
      </c>
      <c r="BJ56" s="8">
        <f>'P&amp;L'!BJ27</f>
        <v>-533</v>
      </c>
      <c r="BL56" s="8">
        <f>'P&amp;L'!BL27</f>
        <v>-307</v>
      </c>
      <c r="BM56" s="8">
        <f>'P&amp;L'!BM27</f>
        <v>-520</v>
      </c>
      <c r="BN56" s="8">
        <f>'P&amp;L'!BN27</f>
        <v>-827</v>
      </c>
      <c r="BP56" s="8">
        <f>'P&amp;L'!BP27</f>
        <v>-432</v>
      </c>
      <c r="BQ56" s="8">
        <f>'P&amp;L'!BQ27</f>
        <v>-467</v>
      </c>
      <c r="BR56" s="8">
        <f>'P&amp;L'!BR27</f>
        <v>-899</v>
      </c>
      <c r="BT56" s="8">
        <f>'P&amp;L'!BT27</f>
        <v>-530</v>
      </c>
      <c r="BU56" s="8">
        <f>'P&amp;L'!BU27</f>
        <v>-397</v>
      </c>
      <c r="BV56" s="8">
        <f>'P&amp;L'!BV27</f>
        <v>-927</v>
      </c>
      <c r="BX56" s="8">
        <f>'P&amp;L'!BX27</f>
        <v>-438</v>
      </c>
      <c r="BY56" s="8">
        <f>'P&amp;L'!BY27</f>
        <v>-430</v>
      </c>
      <c r="BZ56" s="8">
        <f>'P&amp;L'!BZ27</f>
        <v>-868</v>
      </c>
      <c r="CB56" s="8">
        <f>'P&amp;L'!CB27</f>
        <v>-448</v>
      </c>
      <c r="CC56" s="8">
        <f>'P&amp;L'!CC27</f>
        <v>-435</v>
      </c>
      <c r="CD56" s="8">
        <f>'P&amp;L'!CD27</f>
        <v>-883</v>
      </c>
      <c r="CF56" s="8">
        <f>'P&amp;L'!CF27</f>
        <v>-374</v>
      </c>
      <c r="CG56" s="8">
        <f>'P&amp;L'!CG27</f>
        <v>-505</v>
      </c>
      <c r="CH56" s="8">
        <f>'P&amp;L'!CH27</f>
        <v>-879</v>
      </c>
      <c r="CJ56" s="8">
        <f>'P&amp;L'!CJ27</f>
        <v>-376</v>
      </c>
      <c r="CK56" s="8">
        <f>'P&amp;L'!CK27</f>
        <v>-352</v>
      </c>
      <c r="CL56" s="8">
        <f>'P&amp;L'!CL27</f>
        <v>-728</v>
      </c>
      <c r="CN56" s="8">
        <f>'P&amp;L'!CN27</f>
        <v>-275</v>
      </c>
      <c r="CO56" s="8">
        <f>'P&amp;L'!CO27</f>
        <v>-624</v>
      </c>
      <c r="CP56" s="8">
        <f>'P&amp;L'!CP27</f>
        <v>-899</v>
      </c>
      <c r="CR56" s="8">
        <f>'P&amp;L'!CR27</f>
        <v>-603</v>
      </c>
      <c r="CS56" s="8">
        <f>'P&amp;L'!CS27</f>
        <v>-983</v>
      </c>
      <c r="CT56" s="8">
        <f>'P&amp;L'!CT27</f>
        <v>-1586</v>
      </c>
      <c r="CV56" s="8">
        <f>'P&amp;L'!CV27</f>
        <v>-735</v>
      </c>
      <c r="CW56" s="8">
        <f>'P&amp;L'!CW27</f>
        <v>-1089</v>
      </c>
      <c r="CX56" s="8">
        <f>'P&amp;L'!CX27</f>
        <v>-1824</v>
      </c>
      <c r="CZ56" s="8">
        <f>'P&amp;L'!CZ27</f>
        <v>-587</v>
      </c>
      <c r="DA56" s="8">
        <f>'P&amp;L'!DA27</f>
        <v>-704</v>
      </c>
      <c r="DB56" s="8">
        <f>'P&amp;L'!DB27</f>
        <v>-1291</v>
      </c>
      <c r="DD56" s="8">
        <f>'P&amp;L'!DD27</f>
        <v>-686</v>
      </c>
      <c r="DE56" s="8">
        <f>'P&amp;L'!DE27</f>
        <v>-640</v>
      </c>
      <c r="DF56" s="8">
        <f>'P&amp;L'!DF27</f>
        <v>-1326</v>
      </c>
      <c r="DH56" s="8">
        <f>'P&amp;L'!DH27</f>
        <v>-771</v>
      </c>
      <c r="DI56" s="8">
        <f>'P&amp;L'!DI27</f>
        <v>-1053.334071488385</v>
      </c>
      <c r="DJ56" s="8">
        <f>'P&amp;L'!DJ27</f>
        <v>-1824.334071488385</v>
      </c>
      <c r="DL56" s="8">
        <f>'P&amp;L'!DL27</f>
        <v>-760.19554334208203</v>
      </c>
      <c r="DM56" s="8">
        <f>'P&amp;L'!DM27</f>
        <v>-922.36555712498478</v>
      </c>
      <c r="DN56" s="8">
        <f>'P&amp;L'!DN27</f>
        <v>-1682.5611004670668</v>
      </c>
      <c r="DP56" s="8">
        <f>'P&amp;L'!DP27</f>
        <v>-827.56306815596963</v>
      </c>
      <c r="DQ56" s="8">
        <f>'P&amp;L'!DQ27</f>
        <v>-985.50108197394763</v>
      </c>
      <c r="DR56" s="8">
        <f>'P&amp;L'!DR27</f>
        <v>-1813.0641501299174</v>
      </c>
    </row>
    <row r="57" spans="1:134">
      <c r="A57" s="1" t="s">
        <v>676</v>
      </c>
      <c r="AV57" s="8">
        <f>'P&amp;L'!AV28</f>
        <v>-6</v>
      </c>
      <c r="AW57" s="8">
        <f>'P&amp;L'!AW28</f>
        <v>-2</v>
      </c>
      <c r="AX57" s="8">
        <f>'P&amp;L'!AX28</f>
        <v>-8</v>
      </c>
      <c r="AZ57" s="8">
        <f>'P&amp;L'!AZ28</f>
        <v>-2</v>
      </c>
      <c r="BA57" s="8">
        <f>'P&amp;L'!BA28</f>
        <v>-2</v>
      </c>
      <c r="BB57" s="8">
        <f>'P&amp;L'!BB28</f>
        <v>-4</v>
      </c>
      <c r="BD57" s="8">
        <f>'P&amp;L'!BD28</f>
        <v>-2</v>
      </c>
      <c r="BE57" s="8">
        <f>'P&amp;L'!BE28</f>
        <v>-2</v>
      </c>
      <c r="BF57" s="8">
        <f>'P&amp;L'!BF28</f>
        <v>-4</v>
      </c>
      <c r="BH57" s="8">
        <f>'P&amp;L'!BH28</f>
        <v>-2</v>
      </c>
      <c r="BI57" s="8">
        <f>'P&amp;L'!BI28</f>
        <v>-2</v>
      </c>
      <c r="BJ57" s="8">
        <f>'P&amp;L'!BJ28</f>
        <v>-4</v>
      </c>
      <c r="BL57" s="8">
        <f>'P&amp;L'!BL28</f>
        <v>-2</v>
      </c>
      <c r="BM57" s="8">
        <f>'P&amp;L'!BM28</f>
        <v>-2</v>
      </c>
      <c r="BN57" s="8">
        <f>'P&amp;L'!BN28</f>
        <v>-4</v>
      </c>
      <c r="BP57" s="8">
        <f>'P&amp;L'!BP28</f>
        <v>-2</v>
      </c>
      <c r="BQ57" s="8">
        <f>'P&amp;L'!BQ28</f>
        <v>-3</v>
      </c>
      <c r="BR57" s="8">
        <f>'P&amp;L'!BR28</f>
        <v>-5</v>
      </c>
      <c r="BT57" s="8">
        <f>'P&amp;L'!BT28</f>
        <v>-1</v>
      </c>
      <c r="BU57" s="8">
        <f>'P&amp;L'!BU28</f>
        <v>0</v>
      </c>
      <c r="BV57" s="8">
        <f>'P&amp;L'!BV28</f>
        <v>-1</v>
      </c>
      <c r="BX57" s="8">
        <f>'P&amp;L'!BX28</f>
        <v>0</v>
      </c>
      <c r="BY57" s="8">
        <f>'P&amp;L'!BY28</f>
        <v>0</v>
      </c>
      <c r="BZ57" s="8">
        <f>'P&amp;L'!BZ28</f>
        <v>0</v>
      </c>
      <c r="CB57" s="8">
        <f>'P&amp;L'!CB28</f>
        <v>0</v>
      </c>
      <c r="CC57" s="8">
        <f>'P&amp;L'!CC28</f>
        <v>0</v>
      </c>
      <c r="CD57" s="8">
        <f>'P&amp;L'!CD28</f>
        <v>0</v>
      </c>
      <c r="CF57" s="8">
        <f>'P&amp;L'!CF28</f>
        <v>0</v>
      </c>
      <c r="CG57" s="8">
        <f>'P&amp;L'!CG28</f>
        <v>0</v>
      </c>
      <c r="CH57" s="8">
        <f>'P&amp;L'!CH28</f>
        <v>0</v>
      </c>
      <c r="CJ57" s="8">
        <f>'P&amp;L'!CJ28</f>
        <v>0</v>
      </c>
      <c r="CK57" s="8">
        <f>'P&amp;L'!CK28</f>
        <v>0</v>
      </c>
      <c r="CL57" s="8">
        <f>'P&amp;L'!CL28</f>
        <v>0</v>
      </c>
      <c r="CN57" s="8">
        <f>'P&amp;L'!CN28</f>
        <v>0</v>
      </c>
      <c r="CO57" s="8">
        <f>'P&amp;L'!CO28</f>
        <v>0</v>
      </c>
      <c r="CP57" s="8">
        <f>'P&amp;L'!CP28</f>
        <v>0</v>
      </c>
      <c r="CR57" s="8">
        <f>'P&amp;L'!CR28</f>
        <v>0</v>
      </c>
      <c r="CS57" s="8">
        <f>'P&amp;L'!CS28</f>
        <v>0</v>
      </c>
      <c r="CT57" s="8">
        <f>'P&amp;L'!CT28</f>
        <v>0</v>
      </c>
      <c r="CV57" s="8">
        <f>'P&amp;L'!CV28</f>
        <v>0</v>
      </c>
      <c r="CW57" s="8">
        <f>'P&amp;L'!CW28</f>
        <v>0</v>
      </c>
      <c r="CX57" s="8">
        <f>'P&amp;L'!CX28</f>
        <v>0</v>
      </c>
      <c r="CZ57" s="8">
        <f>'P&amp;L'!CZ28</f>
        <v>0</v>
      </c>
      <c r="DA57" s="8">
        <f>'P&amp;L'!DA28</f>
        <v>0</v>
      </c>
      <c r="DB57" s="8">
        <f>'P&amp;L'!DB28</f>
        <v>0</v>
      </c>
      <c r="DD57" s="8">
        <f>'P&amp;L'!DD28</f>
        <v>0</v>
      </c>
      <c r="DE57" s="8">
        <f>'P&amp;L'!DE28</f>
        <v>0</v>
      </c>
      <c r="DF57" s="8">
        <f>'P&amp;L'!DF28</f>
        <v>0</v>
      </c>
      <c r="DH57" s="8">
        <f>'P&amp;L'!DH28</f>
        <v>0</v>
      </c>
      <c r="DI57" s="8">
        <f>'P&amp;L'!DI28</f>
        <v>0</v>
      </c>
      <c r="DJ57" s="8">
        <f>'P&amp;L'!DJ28</f>
        <v>0</v>
      </c>
      <c r="DL57" s="8">
        <f>'P&amp;L'!DL28</f>
        <v>0</v>
      </c>
      <c r="DM57" s="8">
        <f>'P&amp;L'!DM28</f>
        <v>0</v>
      </c>
      <c r="DN57" s="8">
        <f>'P&amp;L'!DN28</f>
        <v>0</v>
      </c>
      <c r="DP57" s="8">
        <f>'P&amp;L'!DP28</f>
        <v>0</v>
      </c>
      <c r="DQ57" s="8">
        <f>'P&amp;L'!DQ28</f>
        <v>0</v>
      </c>
      <c r="DR57" s="8">
        <f>'P&amp;L'!DR28</f>
        <v>0</v>
      </c>
    </row>
    <row r="58" spans="1:134" ht="14.4" thickBot="1">
      <c r="A58" s="1" t="s">
        <v>677</v>
      </c>
      <c r="AV58" s="8">
        <f>'P&amp;L'!AV29</f>
        <v>-10</v>
      </c>
      <c r="AW58" s="8">
        <f>'P&amp;L'!AW29</f>
        <v>-11</v>
      </c>
      <c r="AX58" s="8">
        <f>'P&amp;L'!AX29</f>
        <v>-21</v>
      </c>
      <c r="AZ58" s="8">
        <f>'P&amp;L'!AZ29</f>
        <v>-13</v>
      </c>
      <c r="BA58" s="8">
        <f>'P&amp;L'!BA29</f>
        <v>-13</v>
      </c>
      <c r="BB58" s="8">
        <f>'P&amp;L'!BB29</f>
        <v>-26</v>
      </c>
      <c r="BD58" s="8">
        <f>'P&amp;L'!BD29</f>
        <v>-13</v>
      </c>
      <c r="BE58" s="8">
        <f>'P&amp;L'!BE29</f>
        <v>-13</v>
      </c>
      <c r="BF58" s="8">
        <f>'P&amp;L'!BF29</f>
        <v>-26</v>
      </c>
      <c r="BH58" s="8">
        <f>'P&amp;L'!BH29</f>
        <v>-11</v>
      </c>
      <c r="BI58" s="8">
        <f>'P&amp;L'!BI29</f>
        <v>-10</v>
      </c>
      <c r="BJ58" s="8">
        <f>'P&amp;L'!BJ29</f>
        <v>-21</v>
      </c>
      <c r="BL58" s="8">
        <f>'P&amp;L'!BL29</f>
        <v>-9</v>
      </c>
      <c r="BM58" s="8">
        <f>'P&amp;L'!BM29</f>
        <v>-9</v>
      </c>
      <c r="BN58" s="8">
        <f>'P&amp;L'!BN29</f>
        <v>-18</v>
      </c>
      <c r="BP58" s="8">
        <f>'P&amp;L'!BP29</f>
        <v>-9</v>
      </c>
      <c r="BQ58" s="8">
        <f>'P&amp;L'!BQ29</f>
        <v>-10</v>
      </c>
      <c r="BR58" s="8">
        <f>'P&amp;L'!BR29</f>
        <v>-19</v>
      </c>
      <c r="BT58" s="8">
        <f>'P&amp;L'!BT29</f>
        <v>-8</v>
      </c>
      <c r="BU58" s="8">
        <f>'P&amp;L'!BU29</f>
        <v>-8</v>
      </c>
      <c r="BV58" s="8">
        <f>'P&amp;L'!BV29</f>
        <v>-16</v>
      </c>
      <c r="BX58" s="8">
        <f>'P&amp;L'!BX29</f>
        <v>-8</v>
      </c>
      <c r="BY58" s="8">
        <f>'P&amp;L'!BY29</f>
        <v>-7</v>
      </c>
      <c r="BZ58" s="8">
        <f>'P&amp;L'!BZ29</f>
        <v>-15</v>
      </c>
      <c r="CB58" s="8">
        <f>'P&amp;L'!CB29</f>
        <v>-7</v>
      </c>
      <c r="CC58" s="8">
        <f>'P&amp;L'!CC29</f>
        <v>-7</v>
      </c>
      <c r="CD58" s="8">
        <f>'P&amp;L'!CD29</f>
        <v>-14</v>
      </c>
      <c r="CF58" s="8">
        <f>'P&amp;L'!CF29</f>
        <v>-7</v>
      </c>
      <c r="CG58" s="8">
        <f>'P&amp;L'!CG29</f>
        <v>-8</v>
      </c>
      <c r="CH58" s="8">
        <f>'P&amp;L'!CH29</f>
        <v>-15</v>
      </c>
      <c r="CJ58" s="8">
        <f>'P&amp;L'!CJ29</f>
        <v>-6</v>
      </c>
      <c r="CK58" s="8">
        <f>'P&amp;L'!CK29</f>
        <v>-6</v>
      </c>
      <c r="CL58" s="8">
        <f>'P&amp;L'!CL29</f>
        <v>-12</v>
      </c>
      <c r="CN58" s="8">
        <f>'P&amp;L'!CN29</f>
        <v>0</v>
      </c>
      <c r="CO58" s="8">
        <f>'P&amp;L'!CO29</f>
        <v>0</v>
      </c>
      <c r="CP58" s="8">
        <f>'P&amp;L'!CP29</f>
        <v>0</v>
      </c>
      <c r="CR58" s="8">
        <f>'P&amp;L'!CR29</f>
        <v>0</v>
      </c>
      <c r="CS58" s="8">
        <f>'P&amp;L'!CS29</f>
        <v>0</v>
      </c>
      <c r="CT58" s="8">
        <f>'P&amp;L'!CT29</f>
        <v>0</v>
      </c>
      <c r="CV58" s="8">
        <f>'P&amp;L'!CV29</f>
        <v>0</v>
      </c>
      <c r="CW58" s="8">
        <f>'P&amp;L'!CW29</f>
        <v>0</v>
      </c>
      <c r="CX58" s="8">
        <f>'P&amp;L'!CX29</f>
        <v>0</v>
      </c>
      <c r="CZ58" s="8">
        <f>'P&amp;L'!CZ29</f>
        <v>0</v>
      </c>
      <c r="DA58" s="8">
        <f>'P&amp;L'!DA29</f>
        <v>0</v>
      </c>
      <c r="DB58" s="8">
        <f>'P&amp;L'!DB29</f>
        <v>0</v>
      </c>
      <c r="DD58" s="8">
        <f>'P&amp;L'!DD29</f>
        <v>0</v>
      </c>
      <c r="DE58" s="8">
        <f>'P&amp;L'!DE29</f>
        <v>0</v>
      </c>
      <c r="DF58" s="8">
        <f>'P&amp;L'!DF29</f>
        <v>0</v>
      </c>
      <c r="DH58" s="8">
        <f>'P&amp;L'!DH29</f>
        <v>0</v>
      </c>
      <c r="DI58" s="8">
        <f>'P&amp;L'!DI29</f>
        <v>0</v>
      </c>
      <c r="DJ58" s="8">
        <f>'P&amp;L'!DJ29</f>
        <v>0</v>
      </c>
      <c r="DL58" s="8">
        <f>'P&amp;L'!DL29</f>
        <v>0</v>
      </c>
      <c r="DM58" s="8">
        <f>'P&amp;L'!DM29</f>
        <v>0</v>
      </c>
      <c r="DN58" s="8">
        <f>'P&amp;L'!DN29</f>
        <v>0</v>
      </c>
      <c r="DP58" s="8">
        <f>'P&amp;L'!DP29</f>
        <v>0</v>
      </c>
      <c r="DQ58" s="8">
        <f>'P&amp;L'!DQ29</f>
        <v>0</v>
      </c>
      <c r="DR58" s="8">
        <f>'P&amp;L'!DR29</f>
        <v>0</v>
      </c>
    </row>
    <row r="59" spans="1:134" ht="14.4" thickBot="1">
      <c r="A59" s="2008" t="s">
        <v>769</v>
      </c>
      <c r="B59" s="2009"/>
      <c r="C59" s="2009"/>
      <c r="D59" s="2009"/>
      <c r="E59" s="2009"/>
      <c r="F59" s="2009"/>
      <c r="G59" s="2009"/>
      <c r="H59" s="2009"/>
      <c r="I59" s="2009"/>
      <c r="J59" s="2009"/>
      <c r="K59" s="2009"/>
      <c r="L59" s="2009"/>
      <c r="M59" s="2009"/>
      <c r="N59" s="2009"/>
      <c r="O59" s="2009"/>
      <c r="P59" s="2009"/>
      <c r="Q59" s="2009"/>
      <c r="R59" s="2009"/>
      <c r="S59" s="2009"/>
      <c r="T59" s="2009"/>
      <c r="U59" s="2009"/>
      <c r="V59" s="2009"/>
      <c r="W59" s="2009"/>
      <c r="X59" s="2009"/>
      <c r="Y59" s="2009"/>
      <c r="Z59" s="2009"/>
      <c r="AA59" s="2009"/>
      <c r="AB59" s="2009"/>
      <c r="AC59" s="2009"/>
      <c r="AD59" s="2009"/>
      <c r="AE59" s="2009"/>
      <c r="AF59" s="2009"/>
      <c r="AG59" s="2009"/>
      <c r="AH59" s="2009"/>
      <c r="AI59" s="2009"/>
      <c r="AJ59" s="2009"/>
      <c r="AK59" s="2009"/>
      <c r="AL59" s="2009"/>
      <c r="AM59" s="2009"/>
      <c r="AN59" s="2009"/>
      <c r="AO59" s="2009"/>
      <c r="AP59" s="2009"/>
      <c r="AQ59" s="2009"/>
      <c r="AR59" s="2009"/>
      <c r="AS59" s="2009"/>
      <c r="AT59" s="2009"/>
      <c r="AU59" s="2009"/>
      <c r="AV59" s="2010">
        <f>'P&amp;L'!AV30</f>
        <v>479</v>
      </c>
      <c r="AW59" s="2010">
        <f>'P&amp;L'!AW30</f>
        <v>571</v>
      </c>
      <c r="AX59" s="2010">
        <f>'P&amp;L'!AX30</f>
        <v>1050</v>
      </c>
      <c r="AY59" s="2010"/>
      <c r="AZ59" s="2010">
        <f>'P&amp;L'!AZ30</f>
        <v>403.33370000000014</v>
      </c>
      <c r="BA59" s="2010">
        <f>'P&amp;L'!BA30</f>
        <v>553.33336999999983</v>
      </c>
      <c r="BB59" s="2010">
        <f>'P&amp;L'!BB30</f>
        <v>956.66706999999997</v>
      </c>
      <c r="BC59" s="2010"/>
      <c r="BD59" s="2010">
        <f>'P&amp;L'!BD30</f>
        <v>304.32956000000013</v>
      </c>
      <c r="BE59" s="2010">
        <f>'P&amp;L'!BE30</f>
        <v>426.32420000000025</v>
      </c>
      <c r="BF59" s="2013">
        <f>'P&amp;L'!BF30</f>
        <v>730.65376000000037</v>
      </c>
      <c r="BG59" s="2010"/>
      <c r="BH59" s="2013">
        <f>'P&amp;L'!BH30</f>
        <v>361</v>
      </c>
      <c r="BI59" s="2013">
        <f>'P&amp;L'!BI30</f>
        <v>490.49</v>
      </c>
      <c r="BJ59" s="2013">
        <f>'P&amp;L'!BJ30</f>
        <v>851.49</v>
      </c>
      <c r="BK59" s="2010"/>
      <c r="BL59" s="2013">
        <f>'P&amp;L'!BL30</f>
        <v>501</v>
      </c>
      <c r="BM59" s="2013">
        <f>'P&amp;L'!BM30</f>
        <v>766.49</v>
      </c>
      <c r="BN59" s="2013">
        <f>'P&amp;L'!BN30</f>
        <v>1267.49</v>
      </c>
      <c r="BO59" s="2010"/>
      <c r="BP59" s="2013">
        <f>'P&amp;L'!BP30</f>
        <v>678</v>
      </c>
      <c r="BQ59" s="2013">
        <f>'P&amp;L'!BQ30</f>
        <v>926.49</v>
      </c>
      <c r="BR59" s="2013">
        <f>'P&amp;L'!BR30</f>
        <v>1604.49</v>
      </c>
      <c r="BS59" s="2010"/>
      <c r="BT59" s="2013">
        <f>'P&amp;L'!BT30</f>
        <v>1070</v>
      </c>
      <c r="BU59" s="2013">
        <f>'P&amp;L'!BU30</f>
        <v>993.49</v>
      </c>
      <c r="BV59" s="2013">
        <f>'P&amp;L'!BV30</f>
        <v>2063.4899999999998</v>
      </c>
      <c r="BW59" s="2010"/>
      <c r="BX59" s="2013">
        <f>'P&amp;L'!BX30</f>
        <v>1050</v>
      </c>
      <c r="BY59" s="2013">
        <f>'P&amp;L'!BY30</f>
        <v>1167.49</v>
      </c>
      <c r="BZ59" s="2013">
        <f>'P&amp;L'!BZ30</f>
        <v>2217.4899999999998</v>
      </c>
      <c r="CA59" s="2010"/>
      <c r="CB59" s="2013">
        <f>'P&amp;L'!CB30</f>
        <v>1248</v>
      </c>
      <c r="CC59" s="2013">
        <f>'P&amp;L'!CC30</f>
        <v>1309.49</v>
      </c>
      <c r="CD59" s="2013">
        <f>'P&amp;L'!CD30</f>
        <v>2557.4899999999998</v>
      </c>
      <c r="CE59" s="2015"/>
      <c r="CF59" s="2013">
        <f>'P&amp;L'!CF30</f>
        <v>1310</v>
      </c>
      <c r="CG59" s="2013">
        <f>'P&amp;L'!CG30</f>
        <v>1672.49</v>
      </c>
      <c r="CH59" s="2013">
        <f>'P&amp;L'!CH30</f>
        <v>2982.49</v>
      </c>
      <c r="CI59" s="2015"/>
      <c r="CJ59" s="2013">
        <f>'P&amp;L'!CJ30</f>
        <v>1457</v>
      </c>
      <c r="CK59" s="2013">
        <f>'P&amp;L'!CK30</f>
        <v>1274.49</v>
      </c>
      <c r="CL59" s="2013">
        <f>'P&amp;L'!CL30</f>
        <v>2731.49</v>
      </c>
      <c r="CM59" s="2015"/>
      <c r="CN59" s="2013">
        <f>'P&amp;L'!CN30</f>
        <v>985</v>
      </c>
      <c r="CO59" s="2013">
        <f>'P&amp;L'!CO30</f>
        <v>2030.49</v>
      </c>
      <c r="CP59" s="2013">
        <f>'P&amp;L'!CP30</f>
        <v>3015.49</v>
      </c>
      <c r="CQ59" s="2010"/>
      <c r="CR59" s="2013">
        <f>'P&amp;L'!CR30</f>
        <v>2043</v>
      </c>
      <c r="CS59" s="2013">
        <f>'P&amp;L'!CS30</f>
        <v>2663.49</v>
      </c>
      <c r="CT59" s="2013">
        <f>'P&amp;L'!CT30</f>
        <v>4706.49</v>
      </c>
      <c r="CU59" s="2010"/>
      <c r="CV59" s="2013">
        <f>'P&amp;L'!CV30</f>
        <v>2383</v>
      </c>
      <c r="CW59" s="2013">
        <f>'P&amp;L'!CW30</f>
        <v>2799.49</v>
      </c>
      <c r="CX59" s="2013">
        <f>'P&amp;L'!CX30</f>
        <v>5182.49</v>
      </c>
      <c r="CY59" s="2010"/>
      <c r="CZ59" s="2013">
        <f>'P&amp;L'!CZ30</f>
        <v>1415</v>
      </c>
      <c r="DA59" s="2013">
        <f>'P&amp;L'!DA30</f>
        <v>2107.4899999999998</v>
      </c>
      <c r="DB59" s="2013">
        <f>'P&amp;L'!DB30</f>
        <v>3522.49</v>
      </c>
      <c r="DC59" s="2010"/>
      <c r="DD59" s="2013">
        <f>'P&amp;L'!DD30</f>
        <v>1612</v>
      </c>
      <c r="DE59" s="2013">
        <f ca="1">'P&amp;L'!DE30</f>
        <v>2103.4899999999998</v>
      </c>
      <c r="DF59" s="2013">
        <f ca="1">'P&amp;L'!DF30</f>
        <v>3715.49</v>
      </c>
      <c r="DG59" s="2010"/>
      <c r="DH59" s="2013">
        <f>'P&amp;L'!DH30</f>
        <v>1655</v>
      </c>
      <c r="DI59" s="2013">
        <f>'P&amp;L'!DI30</f>
        <v>2517.6901979637678</v>
      </c>
      <c r="DJ59" s="2013">
        <f>'P&amp;L'!DJ30</f>
        <v>4172.6901979637678</v>
      </c>
      <c r="DK59" s="2010"/>
      <c r="DL59" s="2013">
        <f>'P&amp;L'!DL30</f>
        <v>1915.8372403143462</v>
      </c>
      <c r="DM59" s="2013">
        <f>'P&amp;L'!DM30</f>
        <v>2656.8730472018797</v>
      </c>
      <c r="DN59" s="2013">
        <f>'P&amp;L'!DN30</f>
        <v>4572.7102875162254</v>
      </c>
      <c r="DO59" s="2010"/>
      <c r="DP59" s="2013">
        <f>'P&amp;L'!DP30</f>
        <v>2085.2236692333981</v>
      </c>
      <c r="DQ59" s="2013">
        <f>'P&amp;L'!DQ30</f>
        <v>2837.5443840796966</v>
      </c>
      <c r="DR59" s="2013">
        <f>'P&amp;L'!DR30</f>
        <v>4922.7680533130952</v>
      </c>
      <c r="DS59" s="2010"/>
    </row>
    <row r="61" spans="1:134" s="96" customFormat="1">
      <c r="A61" s="422" t="s">
        <v>22</v>
      </c>
      <c r="B61" s="423"/>
      <c r="C61" s="423"/>
      <c r="D61" s="423"/>
      <c r="E61" s="423"/>
      <c r="F61" s="423"/>
      <c r="G61" s="423"/>
      <c r="H61" s="423"/>
      <c r="I61" s="423"/>
      <c r="J61" s="423"/>
      <c r="K61" s="423"/>
      <c r="L61" s="423"/>
      <c r="M61" s="423"/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  <c r="AA61" s="423"/>
      <c r="AB61" s="423"/>
      <c r="AC61" s="423"/>
      <c r="AD61" s="423"/>
      <c r="AE61" s="423"/>
      <c r="AF61" s="423"/>
      <c r="AG61" s="423"/>
      <c r="AH61" s="423"/>
      <c r="AI61" s="423"/>
      <c r="AJ61" s="423"/>
      <c r="AK61" s="423"/>
      <c r="AL61" s="423"/>
      <c r="AM61" s="423"/>
      <c r="AN61" s="424"/>
      <c r="AO61" s="424"/>
      <c r="AP61" s="424"/>
      <c r="AQ61" s="424"/>
      <c r="AR61" s="424"/>
      <c r="AS61" s="424"/>
      <c r="AT61" s="424"/>
      <c r="AU61" s="424"/>
      <c r="AV61" s="425"/>
      <c r="AW61" s="425"/>
      <c r="AX61" s="424"/>
      <c r="AY61" s="424"/>
      <c r="AZ61" s="426"/>
      <c r="BA61" s="426"/>
      <c r="BB61" s="426"/>
      <c r="BC61" s="424"/>
      <c r="BD61" s="426"/>
      <c r="BE61" s="426"/>
      <c r="BF61" s="426"/>
      <c r="BG61" s="424"/>
      <c r="BH61" s="426"/>
      <c r="BI61" s="426"/>
      <c r="BJ61" s="426"/>
      <c r="BK61" s="424"/>
      <c r="BL61" s="426"/>
      <c r="BM61" s="426"/>
      <c r="BN61" s="426"/>
      <c r="BO61" s="424"/>
      <c r="BP61" s="426"/>
      <c r="BQ61" s="426"/>
      <c r="BR61" s="426"/>
      <c r="BS61" s="424"/>
      <c r="BT61" s="426"/>
      <c r="BU61" s="424"/>
      <c r="BV61" s="424"/>
      <c r="BW61" s="424"/>
      <c r="BX61" s="424"/>
      <c r="BY61" s="424"/>
      <c r="BZ61" s="424"/>
      <c r="CA61" s="424"/>
      <c r="CB61" s="424"/>
      <c r="CC61" s="424"/>
      <c r="CD61" s="424"/>
      <c r="CE61" s="424"/>
      <c r="CF61" s="424"/>
      <c r="CG61" s="424"/>
      <c r="CH61" s="424"/>
      <c r="CI61" s="424"/>
      <c r="CJ61" s="424"/>
      <c r="CK61" s="424"/>
      <c r="CL61" s="424"/>
      <c r="CM61" s="424"/>
      <c r="CN61" s="424"/>
      <c r="CO61" s="424"/>
      <c r="CP61" s="424"/>
      <c r="CQ61" s="424"/>
      <c r="CR61" s="424"/>
      <c r="CS61" s="424"/>
      <c r="CT61" s="424"/>
      <c r="CU61" s="424"/>
      <c r="CV61" s="424"/>
      <c r="CW61" s="424"/>
      <c r="CX61" s="424"/>
      <c r="CY61" s="424"/>
      <c r="CZ61" s="424"/>
      <c r="DA61" s="424"/>
      <c r="DB61" s="424"/>
      <c r="DC61" s="424"/>
      <c r="DD61" s="424"/>
      <c r="DE61" s="424"/>
      <c r="DF61" s="424"/>
      <c r="DG61" s="424"/>
      <c r="DH61" s="424"/>
      <c r="DI61" s="424"/>
      <c r="DJ61" s="424"/>
      <c r="DK61" s="424"/>
      <c r="DL61" s="424"/>
      <c r="DM61" s="424"/>
      <c r="DN61" s="424"/>
      <c r="DO61" s="424"/>
      <c r="DP61" s="424"/>
      <c r="DQ61" s="424"/>
      <c r="DR61" s="424"/>
      <c r="DS61" s="424"/>
      <c r="DT61" s="92"/>
      <c r="DU61" s="92"/>
      <c r="DV61" s="92"/>
      <c r="DW61" s="92"/>
      <c r="DX61" s="92"/>
      <c r="DY61" s="92"/>
      <c r="DZ61" s="92"/>
      <c r="EA61" s="92"/>
      <c r="EB61" s="92"/>
      <c r="EC61" s="92"/>
      <c r="ED61" s="92"/>
    </row>
    <row r="63" spans="1:134">
      <c r="A63" s="1" t="s">
        <v>598</v>
      </c>
      <c r="BF63" s="38">
        <f>BF37</f>
        <v>1333</v>
      </c>
      <c r="BH63" s="38">
        <f>BH37</f>
        <v>644</v>
      </c>
      <c r="BI63" s="38">
        <f>BI37</f>
        <v>723</v>
      </c>
      <c r="BJ63" s="38">
        <f>BJ37</f>
        <v>1367</v>
      </c>
      <c r="BK63" s="10">
        <f>+BJ63/BF63-1</f>
        <v>2.5506376594148561E-2</v>
      </c>
      <c r="BL63" s="38">
        <f>BL37</f>
        <v>860</v>
      </c>
      <c r="BM63" s="38">
        <f>BM37</f>
        <v>845</v>
      </c>
      <c r="BN63" s="38">
        <f>BN37</f>
        <v>1705</v>
      </c>
      <c r="BO63" s="10">
        <f>+BN63/BJ63-1</f>
        <v>0.24725676664228247</v>
      </c>
      <c r="BP63" s="38">
        <f>BP37</f>
        <v>956</v>
      </c>
      <c r="BQ63" s="38">
        <f>BQ37</f>
        <v>1136</v>
      </c>
      <c r="BR63" s="38">
        <f>BR37</f>
        <v>2092</v>
      </c>
      <c r="BS63" s="10">
        <f>+BR63/BN63-1</f>
        <v>0.22697947214076253</v>
      </c>
      <c r="BT63" s="38">
        <f>BT37</f>
        <v>1165</v>
      </c>
      <c r="BU63" s="38">
        <f>BU37</f>
        <v>1114</v>
      </c>
      <c r="BV63" s="38">
        <f>BV37</f>
        <v>2279</v>
      </c>
      <c r="BW63" s="10">
        <f>+BV63/BR63-1</f>
        <v>8.9388145315487666E-2</v>
      </c>
      <c r="BX63" s="38">
        <f>BX37</f>
        <v>1098</v>
      </c>
      <c r="BY63" s="38">
        <f>BY37</f>
        <v>1087</v>
      </c>
      <c r="BZ63" s="38">
        <f>BZ37</f>
        <v>2185</v>
      </c>
      <c r="CA63" s="10">
        <f>+BZ63/BV63-1</f>
        <v>-4.1246160596753012E-2</v>
      </c>
      <c r="CB63" s="38">
        <f>CB37</f>
        <v>1011</v>
      </c>
      <c r="CC63" s="38">
        <f>CC37</f>
        <v>975</v>
      </c>
      <c r="CD63" s="38">
        <f>CD37</f>
        <v>1986</v>
      </c>
      <c r="CE63" s="10">
        <f>+CD63/BZ63-1</f>
        <v>-9.1075514874141894E-2</v>
      </c>
      <c r="CF63" s="38">
        <f>CF37</f>
        <v>998</v>
      </c>
      <c r="CG63" s="38">
        <f>CG37</f>
        <v>762</v>
      </c>
      <c r="CH63" s="38">
        <f>CH37</f>
        <v>1760</v>
      </c>
      <c r="CI63" s="10">
        <f>+CH63/CD63-1</f>
        <v>-0.11379657603222559</v>
      </c>
      <c r="CJ63" s="38">
        <f>CJ37</f>
        <v>790</v>
      </c>
      <c r="CK63" s="38">
        <f>CK37</f>
        <v>1069</v>
      </c>
      <c r="CL63" s="38">
        <f>CL37</f>
        <v>1859</v>
      </c>
      <c r="CM63" s="10">
        <f>+CL63/CH63-1</f>
        <v>5.6249999999999911E-2</v>
      </c>
      <c r="CN63" s="38">
        <f>CN37</f>
        <v>1033</v>
      </c>
      <c r="CO63" s="38">
        <f>CO37</f>
        <v>1162</v>
      </c>
      <c r="CP63" s="38">
        <f>CP37</f>
        <v>2195</v>
      </c>
      <c r="CQ63" s="10">
        <f>+CP63/CL63-1</f>
        <v>0.18074233458848843</v>
      </c>
      <c r="CR63" s="38">
        <f>CR37</f>
        <v>1373</v>
      </c>
      <c r="CS63" s="38">
        <f>CS37</f>
        <v>1487</v>
      </c>
      <c r="CT63" s="38">
        <f>CT37</f>
        <v>2860</v>
      </c>
      <c r="CU63" s="10">
        <f>+CT63/CP63-1</f>
        <v>0.30296127562642372</v>
      </c>
      <c r="CV63" s="38">
        <f>CV37</f>
        <v>1431</v>
      </c>
      <c r="CW63" s="38">
        <f>CW37</f>
        <v>1597</v>
      </c>
      <c r="CX63" s="38">
        <f>CX37</f>
        <v>3028</v>
      </c>
      <c r="CY63" s="10">
        <f>+CX63/CT63-1</f>
        <v>5.8741258741258795E-2</v>
      </c>
      <c r="CZ63" s="38">
        <f>CZ37</f>
        <v>1633</v>
      </c>
      <c r="DA63" s="38">
        <f>DA37</f>
        <v>1826</v>
      </c>
      <c r="DB63" s="38">
        <f>DB37</f>
        <v>3459</v>
      </c>
      <c r="DC63" s="10">
        <f>+DB63/CX63-1</f>
        <v>0.14233817701453111</v>
      </c>
      <c r="DD63" s="38">
        <f>DD37</f>
        <v>1669</v>
      </c>
      <c r="DE63" s="38">
        <f>DE37</f>
        <v>1838</v>
      </c>
      <c r="DF63" s="38">
        <f>DF37</f>
        <v>3507</v>
      </c>
      <c r="DG63" s="10">
        <f>+DF63/DB63-1</f>
        <v>1.3876843018213458E-2</v>
      </c>
      <c r="DH63" s="38">
        <f>DH37</f>
        <v>2066</v>
      </c>
      <c r="DI63" s="38">
        <f>DI37</f>
        <v>1961.8562328900316</v>
      </c>
      <c r="DJ63" s="38">
        <f>DJ37</f>
        <v>4027.8562328900316</v>
      </c>
      <c r="DK63" s="10">
        <f>+DJ63/DF63-1</f>
        <v>0.14851902848304288</v>
      </c>
      <c r="DL63" s="38">
        <f>DL37</f>
        <v>2105.8243482422477</v>
      </c>
      <c r="DM63" s="38">
        <f>DM37</f>
        <v>2193.0643408970232</v>
      </c>
      <c r="DN63" s="38">
        <f>DN37</f>
        <v>4298.8886891392704</v>
      </c>
      <c r="DO63" s="10">
        <f>+DN63/DJ63-1</f>
        <v>6.7289506024590606E-2</v>
      </c>
      <c r="DP63" s="38">
        <f>DP37</f>
        <v>2269.6231916062784</v>
      </c>
      <c r="DQ63" s="38">
        <f>DQ37</f>
        <v>2350.5513257509156</v>
      </c>
      <c r="DR63" s="38">
        <f>DR37</f>
        <v>4620.1745173571944</v>
      </c>
      <c r="DS63" s="10">
        <f>+DR63/DN63-1</f>
        <v>7.4736949814407039E-2</v>
      </c>
    </row>
    <row r="64" spans="1:134">
      <c r="A64" s="1" t="s">
        <v>23</v>
      </c>
      <c r="BF64" s="38">
        <f>BF39</f>
        <v>938.66300000000001</v>
      </c>
      <c r="BH64" s="38">
        <f>BH39</f>
        <v>499</v>
      </c>
      <c r="BI64" s="38">
        <f>BI39</f>
        <v>518</v>
      </c>
      <c r="BJ64" s="38">
        <f>BJ39</f>
        <v>1017</v>
      </c>
      <c r="BK64" s="10">
        <f t="shared" ref="BK64:BK80" si="0">+BJ64/BF64-1</f>
        <v>8.3455936795207686E-2</v>
      </c>
      <c r="BL64" s="38">
        <f>BL39</f>
        <v>628</v>
      </c>
      <c r="BM64" s="38">
        <f>BM39</f>
        <v>660</v>
      </c>
      <c r="BN64" s="38">
        <f>BN39</f>
        <v>1288</v>
      </c>
      <c r="BO64" s="10">
        <f>+BN64/BJ64-1</f>
        <v>0.26647000983284164</v>
      </c>
      <c r="BP64" s="38">
        <f>BP39</f>
        <v>650</v>
      </c>
      <c r="BQ64" s="38">
        <f>BQ39</f>
        <v>738</v>
      </c>
      <c r="BR64" s="38">
        <f>BR39</f>
        <v>1388</v>
      </c>
      <c r="BS64" s="10">
        <f>+BR64/BN64-1</f>
        <v>7.7639751552795122E-2</v>
      </c>
      <c r="BT64" s="38">
        <f>BT39</f>
        <v>791</v>
      </c>
      <c r="BU64" s="38">
        <f>BU39</f>
        <v>791</v>
      </c>
      <c r="BV64" s="38">
        <f>BV39</f>
        <v>1582</v>
      </c>
      <c r="BW64" s="10">
        <f t="shared" ref="BW64:BW80" si="1">+BV64/BR64-1</f>
        <v>0.13976945244956762</v>
      </c>
      <c r="BX64" s="38">
        <f>BX39</f>
        <v>794</v>
      </c>
      <c r="BY64" s="38">
        <f>BY39</f>
        <v>786</v>
      </c>
      <c r="BZ64" s="38">
        <f>BZ39</f>
        <v>1580</v>
      </c>
      <c r="CA64" s="10">
        <f>+BZ64/BV64-1</f>
        <v>-1.2642225031606058E-3</v>
      </c>
      <c r="CB64" s="38">
        <f>CB39</f>
        <v>804</v>
      </c>
      <c r="CC64" s="38">
        <f>CC39</f>
        <v>786</v>
      </c>
      <c r="CD64" s="38">
        <f>CD39</f>
        <v>1590</v>
      </c>
      <c r="CE64" s="10">
        <f>+CD64/BZ64-1</f>
        <v>6.3291139240506666E-3</v>
      </c>
      <c r="CF64" s="38">
        <f>CF39</f>
        <v>899</v>
      </c>
      <c r="CG64" s="38">
        <f>CG39</f>
        <v>916</v>
      </c>
      <c r="CH64" s="38">
        <f>CH39</f>
        <v>1815</v>
      </c>
      <c r="CI64" s="10">
        <f>+CH64/CD64-1</f>
        <v>0.14150943396226423</v>
      </c>
      <c r="CJ64" s="38">
        <f>CJ39</f>
        <v>967</v>
      </c>
      <c r="CK64" s="38">
        <f>CK39</f>
        <v>1086</v>
      </c>
      <c r="CL64" s="38">
        <f>CL39</f>
        <v>2053</v>
      </c>
      <c r="CM64" s="10">
        <f>+CL64/CH64-1</f>
        <v>0.13112947658402208</v>
      </c>
      <c r="CN64" s="38">
        <f>CN39</f>
        <v>985</v>
      </c>
      <c r="CO64" s="38">
        <f>CO39</f>
        <v>1026</v>
      </c>
      <c r="CP64" s="38">
        <f>CP39</f>
        <v>2011</v>
      </c>
      <c r="CQ64" s="10">
        <f>+CP64/CL64-1</f>
        <v>-2.0457866536775504E-2</v>
      </c>
      <c r="CR64" s="38">
        <f>CR39</f>
        <v>1374</v>
      </c>
      <c r="CS64" s="38">
        <f>CS39</f>
        <v>1422</v>
      </c>
      <c r="CT64" s="38">
        <f>CT39</f>
        <v>2796</v>
      </c>
      <c r="CU64" s="10">
        <f>+CT64/CP64-1</f>
        <v>0.39035305818000987</v>
      </c>
      <c r="CV64" s="38">
        <f>CV39</f>
        <v>1389</v>
      </c>
      <c r="CW64" s="38">
        <f>CW39</f>
        <v>1415</v>
      </c>
      <c r="CX64" s="38">
        <f>CX39</f>
        <v>2804</v>
      </c>
      <c r="CY64" s="10">
        <f>+CX64/CT64-1</f>
        <v>2.8612303290413976E-3</v>
      </c>
      <c r="CZ64" s="38">
        <f>CZ39</f>
        <v>1417</v>
      </c>
      <c r="DA64" s="38">
        <f>DA39</f>
        <v>1478</v>
      </c>
      <c r="DB64" s="38">
        <f>DB39</f>
        <v>2895</v>
      </c>
      <c r="DC64" s="10">
        <f>+DB64/CX64-1</f>
        <v>3.2453637660484924E-2</v>
      </c>
      <c r="DD64" s="38">
        <f>DD39</f>
        <v>1448</v>
      </c>
      <c r="DE64" s="38">
        <f ca="1">DE39</f>
        <v>1500</v>
      </c>
      <c r="DF64" s="38">
        <f ca="1">DF39</f>
        <v>2948</v>
      </c>
      <c r="DG64" s="10">
        <f ca="1">+DF64/DB64-1</f>
        <v>1.8307426597581999E-2</v>
      </c>
      <c r="DH64" s="38">
        <f>DH39</f>
        <v>1477</v>
      </c>
      <c r="DI64" s="38">
        <f>DI39</f>
        <v>1264.8718317971143</v>
      </c>
      <c r="DJ64" s="38">
        <f>DJ39</f>
        <v>2741.8718317971143</v>
      </c>
      <c r="DK64" s="10">
        <f ca="1">+DJ64/DF64-1</f>
        <v>-6.9921359634628755E-2</v>
      </c>
      <c r="DL64" s="38">
        <f>DL39</f>
        <v>1188.7122515753802</v>
      </c>
      <c r="DM64" s="38">
        <f>DM39</f>
        <v>1202.9413318089396</v>
      </c>
      <c r="DN64" s="38">
        <f>DN39</f>
        <v>2391.65358338432</v>
      </c>
      <c r="DO64" s="10">
        <f>+DN64/DJ64-1</f>
        <v>-0.12772962045539871</v>
      </c>
      <c r="DP64" s="38">
        <f>DP39</f>
        <v>1231.5552775971755</v>
      </c>
      <c r="DQ64" s="38">
        <f>DQ39</f>
        <v>1257.3738747826887</v>
      </c>
      <c r="DR64" s="38">
        <f>DR39</f>
        <v>2488.9291523798643</v>
      </c>
      <c r="DS64" s="10">
        <f>+DR64/DN64-1</f>
        <v>4.0672934270812755E-2</v>
      </c>
    </row>
    <row r="65" spans="1:125">
      <c r="A65" s="3" t="s">
        <v>49</v>
      </c>
      <c r="BF65" s="20">
        <f>'P&amp;L'!BF205/1000</f>
        <v>320.06849999999997</v>
      </c>
      <c r="BH65" s="20">
        <f>'P&amp;L'!BH205/1000</f>
        <v>330.82350000000002</v>
      </c>
      <c r="BI65" s="20">
        <f>'P&amp;L'!BI205/1000</f>
        <v>340.15</v>
      </c>
      <c r="BJ65" s="20">
        <f>'P&amp;L'!BJ205/1000</f>
        <v>335.48674999999997</v>
      </c>
      <c r="BK65" s="10">
        <f t="shared" si="0"/>
        <v>4.8171719491296505E-2</v>
      </c>
      <c r="BL65" s="20">
        <f>'P&amp;L'!BL205/1000</f>
        <v>362.1</v>
      </c>
      <c r="BM65" s="20">
        <f>'P&amp;L'!BM205/1000</f>
        <v>402.75</v>
      </c>
      <c r="BN65" s="20">
        <f>'P&amp;L'!BN205/1000</f>
        <v>382.42500000000001</v>
      </c>
      <c r="BO65" s="10">
        <f>+BN65/BJ65-1</f>
        <v>0.13991089066855866</v>
      </c>
      <c r="BP65" s="20">
        <f>'P&amp;L'!BP205/1000</f>
        <v>424.05</v>
      </c>
      <c r="BQ65" s="20">
        <f>'P&amp;L'!BQ205/1000</f>
        <v>453.65</v>
      </c>
      <c r="BR65" s="20">
        <f>'P&amp;L'!BR205/1000</f>
        <v>438.85</v>
      </c>
      <c r="BS65" s="10">
        <f>+BR65/BN65-1</f>
        <v>0.14754527031444087</v>
      </c>
      <c r="BT65" s="20">
        <f>'P&amp;L'!BT205/1000</f>
        <v>493.15</v>
      </c>
      <c r="BU65" s="20">
        <f>'P&amp;L'!BU205/1000</f>
        <v>489.6</v>
      </c>
      <c r="BV65" s="20">
        <f>'P&amp;L'!BV205/1000</f>
        <v>491.375</v>
      </c>
      <c r="BW65" s="10">
        <f t="shared" si="1"/>
        <v>0.11968782043978576</v>
      </c>
      <c r="BX65" s="20">
        <f>'P&amp;L'!BX205/1000</f>
        <v>484.1</v>
      </c>
      <c r="BY65" s="20">
        <f>'P&amp;L'!BY205/1000</f>
        <v>485.65</v>
      </c>
      <c r="BZ65" s="20">
        <f>'P&amp;L'!BZ205/1000</f>
        <v>484.875</v>
      </c>
      <c r="CA65" s="10">
        <f>+BZ65/BV65-1</f>
        <v>-1.3228186212159709E-2</v>
      </c>
      <c r="CB65" s="20">
        <f>'P&amp;L'!CB205/1000</f>
        <v>475.95</v>
      </c>
      <c r="CC65" s="20">
        <f>'P&amp;L'!CC205/1000</f>
        <v>483.5</v>
      </c>
      <c r="CD65" s="20">
        <f>'P&amp;L'!CD205/1000</f>
        <v>479.72500000000002</v>
      </c>
      <c r="CE65" s="10">
        <f>+CD65/BZ65-1</f>
        <v>-1.062129414797619E-2</v>
      </c>
      <c r="CF65" s="20">
        <f>'P&amp;L'!CF205/1000</f>
        <v>521.9</v>
      </c>
      <c r="CG65" s="20">
        <f>'P&amp;L'!CG205/1000</f>
        <v>549.35</v>
      </c>
      <c r="CH65" s="20">
        <f>'P&amp;L'!CH205/1000</f>
        <v>535.625</v>
      </c>
      <c r="CI65" s="10">
        <f>+CH65/CD65-1</f>
        <v>0.11652509250091203</v>
      </c>
      <c r="CJ65" s="20">
        <f>'P&amp;L'!CJ205/1000</f>
        <v>556</v>
      </c>
      <c r="CK65" s="20">
        <f>'P&amp;L'!CK205/1000</f>
        <v>579.85</v>
      </c>
      <c r="CL65" s="20">
        <f>'P&amp;L'!CL205/1000</f>
        <v>567.92499999999995</v>
      </c>
      <c r="CM65" s="10">
        <f>+CL65/CH65-1</f>
        <v>6.0303383897316154E-2</v>
      </c>
      <c r="CN65" s="20">
        <f>'P&amp;L'!CN205/1000</f>
        <v>576.29999999999995</v>
      </c>
      <c r="CO65" s="20">
        <f>'P&amp;L'!CO205/1000</f>
        <v>558.54999999999995</v>
      </c>
      <c r="CP65" s="20">
        <f>'P&amp;L'!CP205/1000</f>
        <v>567.42499999999995</v>
      </c>
      <c r="CQ65" s="10">
        <f>+CP65/CL65-1</f>
        <v>-8.8039793986882664E-4</v>
      </c>
      <c r="CR65" s="20">
        <f>'P&amp;L'!CR205/1000</f>
        <v>648.85</v>
      </c>
      <c r="CS65" s="20">
        <f>'P&amp;L'!CS205/1000</f>
        <v>764.25</v>
      </c>
      <c r="CT65" s="20">
        <f>'P&amp;L'!CT205/1000</f>
        <v>706.55</v>
      </c>
      <c r="CU65" s="10">
        <f>+CT65/CP65-1</f>
        <v>0.24518658853592989</v>
      </c>
      <c r="CV65" s="20">
        <f>'P&amp;L'!CV205/1000</f>
        <v>812.95</v>
      </c>
      <c r="CW65" s="20">
        <f>'P&amp;L'!CW205/1000</f>
        <v>855.75</v>
      </c>
      <c r="CX65" s="20">
        <f>'P&amp;L'!CX205/1000</f>
        <v>834.35</v>
      </c>
      <c r="CY65" s="10">
        <f>+CX65/CT65-1</f>
        <v>0.18087891868940642</v>
      </c>
      <c r="CZ65" s="20">
        <f>'P&amp;L'!CZ205/1000</f>
        <v>885.3</v>
      </c>
      <c r="DA65" s="20">
        <f>'P&amp;L'!DA205/1000</f>
        <v>915.15</v>
      </c>
      <c r="DB65" s="20">
        <f>'P&amp;L'!DB205/1000</f>
        <v>900.22500000000002</v>
      </c>
      <c r="DC65" s="10">
        <f>+DB65/CX65-1</f>
        <v>7.8953676514652127E-2</v>
      </c>
      <c r="DD65" s="20">
        <f>'P&amp;L'!DD205/1000</f>
        <v>927.55</v>
      </c>
      <c r="DE65" s="20">
        <f>'P&amp;L'!DE205/1000</f>
        <v>928.9</v>
      </c>
      <c r="DF65" s="20">
        <f>'P&amp;L'!DF205/1000</f>
        <v>928.22500000000002</v>
      </c>
      <c r="DG65" s="10">
        <f>+DF65/DB65-1</f>
        <v>3.110333527729181E-2</v>
      </c>
      <c r="DH65" s="20">
        <f>'P&amp;L'!DH205/1000</f>
        <v>950.05</v>
      </c>
      <c r="DI65" s="20">
        <f>'P&amp;L'!DI205/1000</f>
        <v>846.94224999999994</v>
      </c>
      <c r="DJ65" s="20">
        <f>'P&amp;L'!DJ205/1000</f>
        <v>898.49612500000001</v>
      </c>
      <c r="DK65" s="10">
        <f>+DJ65/DF65-1</f>
        <v>-3.2027660319426832E-2</v>
      </c>
      <c r="DL65" s="20">
        <f>'P&amp;L'!DL205/1000</f>
        <v>746.626683125</v>
      </c>
      <c r="DM65" s="20">
        <f>'P&amp;L'!DM205/1000</f>
        <v>771.83261211718752</v>
      </c>
      <c r="DN65" s="20">
        <f>'P&amp;L'!DN205/1000</f>
        <v>759.22964762109382</v>
      </c>
      <c r="DO65" s="10">
        <f>+DN65/DJ65-1</f>
        <v>-0.15499953033064684</v>
      </c>
      <c r="DP65" s="20">
        <f>'P&amp;L'!DP205/1000</f>
        <v>797.87909020874599</v>
      </c>
      <c r="DQ65" s="20">
        <f>'P&amp;L'!DQ205/1000</f>
        <v>824.87536137190625</v>
      </c>
      <c r="DR65" s="20">
        <f>'P&amp;L'!DR205/1000</f>
        <v>811.37722579032618</v>
      </c>
      <c r="DS65" s="10">
        <f>+DR65/DN65-1</f>
        <v>6.8684854882349766E-2</v>
      </c>
    </row>
    <row r="66" spans="1:125" s="3" customFormat="1">
      <c r="A66" s="3" t="s">
        <v>50</v>
      </c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65">
        <f>+BF64/(BF65*1000)</f>
        <v>2.9326940951702528E-3</v>
      </c>
      <c r="BG66" s="9"/>
      <c r="BH66" s="65">
        <f>+BH64/(BH65*1000)</f>
        <v>1.5083571753518115E-3</v>
      </c>
      <c r="BI66" s="65">
        <f>+BI64/(BI65*1000)</f>
        <v>1.5228575628399236E-3</v>
      </c>
      <c r="BJ66" s="65">
        <f>+BJ64/(BJ65*1000)</f>
        <v>3.0314162928938328E-3</v>
      </c>
      <c r="BK66" s="10"/>
      <c r="BL66" s="65">
        <f>+BL64/(BL65*1000)</f>
        <v>1.7343275338304336E-3</v>
      </c>
      <c r="BM66" s="65">
        <f>+BM64/(BM65*1000)</f>
        <v>1.638733705772812E-3</v>
      </c>
      <c r="BN66" s="65">
        <f>+BN64/(BN65*1000)</f>
        <v>3.3679806498006144E-3</v>
      </c>
      <c r="BO66" s="10"/>
      <c r="BP66" s="65">
        <f>+BP64/(BP65*1000)</f>
        <v>1.5328381087135951E-3</v>
      </c>
      <c r="BQ66" s="65">
        <f>+BQ64/(BQ65*1000)</f>
        <v>1.6268048054667696E-3</v>
      </c>
      <c r="BR66" s="65">
        <f>+BR64/(BR65*1000)</f>
        <v>3.1628118947248491E-3</v>
      </c>
      <c r="BS66" s="10"/>
      <c r="BT66" s="65">
        <f>+BT64/(BT65*1000)</f>
        <v>1.6039744499645138E-3</v>
      </c>
      <c r="BU66" s="65">
        <f>+BU64/(BU65*1000)</f>
        <v>1.6156045751633988E-3</v>
      </c>
      <c r="BV66" s="65">
        <f>+BV64/(BV65*1000)</f>
        <v>3.2195370134825746E-3</v>
      </c>
      <c r="BW66" s="10"/>
      <c r="BX66" s="65">
        <f>+BX64/(BX65*1000)</f>
        <v>1.640156992356951E-3</v>
      </c>
      <c r="BY66" s="65">
        <f>+BY64/(BY65*1000)</f>
        <v>1.6184495006692063E-3</v>
      </c>
      <c r="BZ66" s="65">
        <f>+BZ64/(BZ65*1000)</f>
        <v>3.2585717968548595E-3</v>
      </c>
      <c r="CA66" s="10"/>
      <c r="CB66" s="65">
        <f>+CB64/(CB65*1000)</f>
        <v>1.689253072801765E-3</v>
      </c>
      <c r="CC66" s="65">
        <f>+CC64/(CC65*1000)</f>
        <v>1.6256463288521199E-3</v>
      </c>
      <c r="CD66" s="65">
        <f>+CD64/(CD65*1000)</f>
        <v>3.3143988743550993E-3</v>
      </c>
      <c r="CE66" s="10"/>
      <c r="CF66" s="65">
        <f>+CF64/(CF65*1000)</f>
        <v>1.7225522130676376E-3</v>
      </c>
      <c r="CG66" s="65">
        <f>+CG64/(CG65*1000)</f>
        <v>1.6674251388004004E-3</v>
      </c>
      <c r="CH66" s="65">
        <f>+CH64/(CH65*1000)</f>
        <v>3.3885647607934657E-3</v>
      </c>
      <c r="CI66" s="10"/>
      <c r="CJ66" s="65">
        <f>+CJ64/(CJ65*1000)</f>
        <v>1.7392086330935252E-3</v>
      </c>
      <c r="CK66" s="65">
        <f>+CK64/(CK65*1000)</f>
        <v>1.8728981633180995E-3</v>
      </c>
      <c r="CL66" s="65">
        <f>+CL64/(CL65*1000)</f>
        <v>3.6149139411013778E-3</v>
      </c>
      <c r="CM66" s="10"/>
      <c r="CN66" s="65">
        <f>+CN64/(CN65*1000)</f>
        <v>1.7091792469200069E-3</v>
      </c>
      <c r="CO66" s="65">
        <f>+CO64/(CO65*1000)</f>
        <v>1.8368991137767434E-3</v>
      </c>
      <c r="CP66" s="65">
        <f>+CP64/(CP65*1000)</f>
        <v>3.5440807155130635E-3</v>
      </c>
      <c r="CQ66" s="10"/>
      <c r="CR66" s="65">
        <f>+CR64/(CR65*1000)</f>
        <v>2.1175926639439009E-3</v>
      </c>
      <c r="CS66" s="65">
        <f>+CS64/(CS65*1000)</f>
        <v>1.8606476938174681E-3</v>
      </c>
      <c r="CT66" s="65">
        <f>+CT64/(CT65*1000)</f>
        <v>3.9572570943316116E-3</v>
      </c>
      <c r="CU66" s="10"/>
      <c r="CV66" s="65">
        <f>+CV64/(CV65*1000)</f>
        <v>1.7085921643397502E-3</v>
      </c>
      <c r="CW66" s="65">
        <f>+CW64/(CW65*1000)</f>
        <v>1.6535203038270524E-3</v>
      </c>
      <c r="CX66" s="65">
        <f>+CX64/(CX65*1000)</f>
        <v>3.3606999460657999E-3</v>
      </c>
      <c r="CY66" s="10"/>
      <c r="CZ66" s="65">
        <f>+CZ64/(CZ65*1000)</f>
        <v>1.6005873715124817E-3</v>
      </c>
      <c r="DA66" s="65">
        <f>+DA64/(DA65*1000)</f>
        <v>1.6150357864830902E-3</v>
      </c>
      <c r="DB66" s="65">
        <f>+DB64/(DB65*1000)</f>
        <v>3.2158627009914189E-3</v>
      </c>
      <c r="DC66" s="10"/>
      <c r="DD66" s="65">
        <f>+DD64/(DD65*1000)</f>
        <v>1.5611018273947496E-3</v>
      </c>
      <c r="DE66" s="65">
        <f ca="1">+DE64/(DE65*1000)</f>
        <v>1.6148132199375605E-3</v>
      </c>
      <c r="DF66" s="65">
        <f ca="1">+DF64/(DF65*1000)</f>
        <v>3.175954105954914E-3</v>
      </c>
      <c r="DG66" s="10"/>
      <c r="DH66" s="65">
        <f>+DH64/(DH65*1000)</f>
        <v>1.5546550181569391E-3</v>
      </c>
      <c r="DI66" s="65">
        <f>+DI64/(DI65*1000)</f>
        <v>1.4934569999278159E-3</v>
      </c>
      <c r="DJ66" s="65">
        <f>+DJ64/(DJ65*1000)</f>
        <v>3.0516234355458288E-3</v>
      </c>
      <c r="DK66" s="10"/>
      <c r="DL66" s="65">
        <f>+DL64/(DL65*1000)</f>
        <v>1.5921105934762934E-3</v>
      </c>
      <c r="DM66" s="65">
        <f>+DM64/(DM65*1000)</f>
        <v>1.5585520913779384E-3</v>
      </c>
      <c r="DN66" s="65">
        <f>+DN64/(DN65*1000)</f>
        <v>3.1501056246659043E-3</v>
      </c>
      <c r="DO66" s="10"/>
      <c r="DP66" s="65">
        <f>+DP64/(DP65*1000)</f>
        <v>1.5435362233580635E-3</v>
      </c>
      <c r="DQ66" s="65">
        <f>+DQ64/(DQ65*1000)</f>
        <v>1.5243198350493399E-3</v>
      </c>
      <c r="DR66" s="65">
        <f>+DR64/(DR65*1000)</f>
        <v>3.0675363730544815E-3</v>
      </c>
      <c r="DS66" s="10"/>
      <c r="DT66" s="9"/>
      <c r="DU66" s="9"/>
    </row>
    <row r="67" spans="1:125">
      <c r="A67" s="1" t="s">
        <v>24</v>
      </c>
      <c r="BF67" s="38">
        <f>BF40</f>
        <v>130</v>
      </c>
      <c r="BH67" s="38">
        <f t="shared" ref="BH67:BJ70" si="2">BH40</f>
        <v>76</v>
      </c>
      <c r="BI67" s="38">
        <f t="shared" si="2"/>
        <v>88</v>
      </c>
      <c r="BJ67" s="38">
        <f t="shared" si="2"/>
        <v>164</v>
      </c>
      <c r="BK67" s="10">
        <f t="shared" si="0"/>
        <v>0.2615384615384615</v>
      </c>
      <c r="BL67" s="38">
        <f t="shared" ref="BL67:BN70" si="3">BL40</f>
        <v>76</v>
      </c>
      <c r="BM67" s="38">
        <f t="shared" si="3"/>
        <v>142</v>
      </c>
      <c r="BN67" s="38">
        <f t="shared" si="3"/>
        <v>218</v>
      </c>
      <c r="BO67" s="10">
        <f t="shared" ref="BO67:BO80" si="4">+BN67/BJ67-1</f>
        <v>0.3292682926829269</v>
      </c>
      <c r="BP67" s="38">
        <f t="shared" ref="BP67:BR70" si="5">BP40</f>
        <v>373</v>
      </c>
      <c r="BQ67" s="38">
        <f t="shared" si="5"/>
        <v>294</v>
      </c>
      <c r="BR67" s="38">
        <f t="shared" si="5"/>
        <v>667</v>
      </c>
      <c r="BS67" s="10">
        <f t="shared" ref="BS67:BS80" si="6">+BR67/BN67-1</f>
        <v>2.0596330275229358</v>
      </c>
      <c r="BT67" s="38">
        <f t="shared" ref="BT67:BV70" si="7">BT40</f>
        <v>629</v>
      </c>
      <c r="BU67" s="38">
        <f t="shared" si="7"/>
        <v>85</v>
      </c>
      <c r="BV67" s="38">
        <f t="shared" si="7"/>
        <v>714</v>
      </c>
      <c r="BW67" s="10">
        <f t="shared" si="1"/>
        <v>7.0464767616191804E-2</v>
      </c>
      <c r="BX67" s="38">
        <f t="shared" ref="BX67:BZ70" si="8">BX40</f>
        <v>170</v>
      </c>
      <c r="BY67" s="38">
        <f t="shared" si="8"/>
        <v>94</v>
      </c>
      <c r="BZ67" s="38">
        <f t="shared" si="8"/>
        <v>264</v>
      </c>
      <c r="CA67" s="10">
        <f t="shared" ref="CA67:CA80" si="9">+BZ67/BV67-1</f>
        <v>-0.63025210084033612</v>
      </c>
      <c r="CB67" s="38">
        <f t="shared" ref="CB67:CD70" si="10">CB40</f>
        <v>537</v>
      </c>
      <c r="CC67" s="38">
        <f t="shared" si="10"/>
        <v>58</v>
      </c>
      <c r="CD67" s="38">
        <f t="shared" si="10"/>
        <v>595</v>
      </c>
      <c r="CE67" s="10">
        <f t="shared" ref="CE67:CE80" si="11">+CD67/BZ67-1</f>
        <v>1.2537878787878789</v>
      </c>
      <c r="CF67" s="38">
        <f t="shared" ref="CF67:CH70" si="12">CF40</f>
        <v>282</v>
      </c>
      <c r="CG67" s="38">
        <f t="shared" si="12"/>
        <v>577</v>
      </c>
      <c r="CH67" s="38">
        <f t="shared" si="12"/>
        <v>859</v>
      </c>
      <c r="CI67" s="10">
        <f t="shared" ref="CI67:CI80" si="13">+CH67/CD67-1</f>
        <v>0.44369747899159662</v>
      </c>
      <c r="CJ67" s="38">
        <f t="shared" ref="CJ67:CL67" si="14">CJ40</f>
        <v>546</v>
      </c>
      <c r="CK67" s="38">
        <f t="shared" si="14"/>
        <v>275</v>
      </c>
      <c r="CL67" s="38">
        <f t="shared" si="14"/>
        <v>821</v>
      </c>
      <c r="CM67" s="10">
        <f t="shared" ref="CM67:CM80" si="15">+CL67/CH67-1</f>
        <v>-4.4237485448195613E-2</v>
      </c>
      <c r="CN67" s="38">
        <f t="shared" ref="CN67:CP67" si="16">CN40</f>
        <v>413</v>
      </c>
      <c r="CO67" s="38">
        <f t="shared" si="16"/>
        <v>247</v>
      </c>
      <c r="CP67" s="38">
        <f t="shared" si="16"/>
        <v>660</v>
      </c>
      <c r="CQ67" s="10">
        <f t="shared" ref="CQ67:CQ80" si="17">+CP67/CL67-1</f>
        <v>-0.19610231425091351</v>
      </c>
      <c r="CR67" s="38">
        <f t="shared" ref="CR67:CT67" si="18">CR40</f>
        <v>177</v>
      </c>
      <c r="CS67" s="38">
        <f t="shared" si="18"/>
        <v>218</v>
      </c>
      <c r="CT67" s="38">
        <f t="shared" si="18"/>
        <v>395</v>
      </c>
      <c r="CU67" s="10">
        <f t="shared" ref="CU67:CU80" si="19">+CT67/CP67-1</f>
        <v>-0.40151515151515149</v>
      </c>
      <c r="CV67" s="38">
        <f t="shared" ref="CV67:CX67" si="20">CV40</f>
        <v>237</v>
      </c>
      <c r="CW67" s="38">
        <f t="shared" si="20"/>
        <v>455</v>
      </c>
      <c r="CX67" s="38">
        <f t="shared" si="20"/>
        <v>692</v>
      </c>
      <c r="CY67" s="10">
        <f t="shared" ref="CY67:CY80" si="21">+CX67/CT67-1</f>
        <v>0.7518987341772152</v>
      </c>
      <c r="CZ67" s="38">
        <f t="shared" ref="CZ67:DB67" si="22">CZ40</f>
        <v>236</v>
      </c>
      <c r="DA67" s="38">
        <f t="shared" si="22"/>
        <v>396</v>
      </c>
      <c r="DB67" s="38">
        <f t="shared" si="22"/>
        <v>632</v>
      </c>
      <c r="DC67" s="10">
        <f t="shared" ref="DC67:DC80" si="23">+DB67/CX67-1</f>
        <v>-8.6705202312138741E-2</v>
      </c>
      <c r="DD67" s="38">
        <f t="shared" ref="DD67:DF67" si="24">DD40</f>
        <v>403</v>
      </c>
      <c r="DE67" s="38">
        <f t="shared" ca="1" si="24"/>
        <v>434</v>
      </c>
      <c r="DF67" s="38">
        <f t="shared" ca="1" si="24"/>
        <v>837</v>
      </c>
      <c r="DG67" s="10">
        <f t="shared" ref="DG67:DG80" ca="1" si="25">+DF67/DB67-1</f>
        <v>0.32436708860759489</v>
      </c>
      <c r="DH67" s="38">
        <f t="shared" ref="DH67" si="26">DH40</f>
        <v>756</v>
      </c>
      <c r="DI67" s="38">
        <f t="shared" ref="DI67:DJ67" si="27">DI40</f>
        <v>687.9232351803339</v>
      </c>
      <c r="DJ67" s="38">
        <f t="shared" si="27"/>
        <v>1443.9232351803339</v>
      </c>
      <c r="DK67" s="10">
        <f t="shared" ref="DK67:DK80" ca="1" si="28">+DJ67/DF67-1</f>
        <v>0.7251173658068506</v>
      </c>
      <c r="DL67" s="38">
        <f t="shared" ref="DL67:DN67" si="29">DL40</f>
        <v>551.54082731850792</v>
      </c>
      <c r="DM67" s="38">
        <f t="shared" si="29"/>
        <v>564.66007294519545</v>
      </c>
      <c r="DN67" s="38">
        <f t="shared" si="29"/>
        <v>1116.2009002637033</v>
      </c>
      <c r="DO67" s="10">
        <f t="shared" ref="DO67:DO80" si="30">+DN67/DJ67-1</f>
        <v>-0.22696659138925823</v>
      </c>
      <c r="DP67" s="38">
        <f t="shared" ref="DP67:DR67" si="31">DP40</f>
        <v>587.53366128604671</v>
      </c>
      <c r="DQ67" s="38">
        <f t="shared" si="31"/>
        <v>608.07262499994374</v>
      </c>
      <c r="DR67" s="38">
        <f t="shared" si="31"/>
        <v>1195.6062862859903</v>
      </c>
      <c r="DS67" s="10">
        <f t="shared" ref="DS67:DS80" si="32">+DR67/DN67-1</f>
        <v>7.1138973282970364E-2</v>
      </c>
    </row>
    <row r="68" spans="1:125">
      <c r="A68" s="1" t="s">
        <v>25</v>
      </c>
      <c r="BF68" s="38">
        <f>BF41</f>
        <v>682</v>
      </c>
      <c r="BH68" s="38">
        <f t="shared" si="2"/>
        <v>327</v>
      </c>
      <c r="BI68" s="38">
        <f t="shared" si="2"/>
        <v>327</v>
      </c>
      <c r="BJ68" s="38">
        <f t="shared" si="2"/>
        <v>654</v>
      </c>
      <c r="BK68" s="10">
        <f t="shared" si="0"/>
        <v>-4.1055718475073277E-2</v>
      </c>
      <c r="BL68" s="38">
        <f t="shared" si="3"/>
        <v>357</v>
      </c>
      <c r="BM68" s="38">
        <f t="shared" si="3"/>
        <v>452</v>
      </c>
      <c r="BN68" s="38">
        <f t="shared" si="3"/>
        <v>809</v>
      </c>
      <c r="BO68" s="10">
        <f t="shared" si="4"/>
        <v>0.23700305810397548</v>
      </c>
      <c r="BP68" s="38">
        <f t="shared" si="5"/>
        <v>429</v>
      </c>
      <c r="BQ68" s="38">
        <f t="shared" si="5"/>
        <v>544</v>
      </c>
      <c r="BR68" s="38">
        <f t="shared" si="5"/>
        <v>973</v>
      </c>
      <c r="BS68" s="10">
        <f t="shared" si="6"/>
        <v>0.2027194066749074</v>
      </c>
      <c r="BT68" s="38">
        <f t="shared" si="7"/>
        <v>537</v>
      </c>
      <c r="BU68" s="38">
        <f t="shared" si="7"/>
        <v>425</v>
      </c>
      <c r="BV68" s="38">
        <f t="shared" si="7"/>
        <v>962</v>
      </c>
      <c r="BW68" s="10">
        <f t="shared" si="1"/>
        <v>-1.1305241521068821E-2</v>
      </c>
      <c r="BX68" s="38">
        <f t="shared" si="8"/>
        <v>471</v>
      </c>
      <c r="BY68" s="38">
        <f t="shared" si="8"/>
        <v>492</v>
      </c>
      <c r="BZ68" s="38">
        <f t="shared" si="8"/>
        <v>963</v>
      </c>
      <c r="CA68" s="10">
        <f t="shared" si="9"/>
        <v>1.0395010395010118E-3</v>
      </c>
      <c r="CB68" s="38">
        <f t="shared" si="10"/>
        <v>458</v>
      </c>
      <c r="CC68" s="38">
        <f t="shared" si="10"/>
        <v>462</v>
      </c>
      <c r="CD68" s="38">
        <f t="shared" si="10"/>
        <v>920</v>
      </c>
      <c r="CE68" s="10">
        <f t="shared" si="11"/>
        <v>-4.4652128764278265E-2</v>
      </c>
      <c r="CF68" s="38">
        <f t="shared" si="12"/>
        <v>573</v>
      </c>
      <c r="CG68" s="38">
        <f t="shared" si="12"/>
        <v>433</v>
      </c>
      <c r="CH68" s="38">
        <f t="shared" si="12"/>
        <v>1006</v>
      </c>
      <c r="CI68" s="10">
        <f t="shared" si="13"/>
        <v>9.3478260869565233E-2</v>
      </c>
      <c r="CJ68" s="38">
        <f t="shared" ref="CJ68:CL68" si="33">CJ41</f>
        <v>482</v>
      </c>
      <c r="CK68" s="38">
        <f t="shared" si="33"/>
        <v>578</v>
      </c>
      <c r="CL68" s="38">
        <f t="shared" si="33"/>
        <v>1060</v>
      </c>
      <c r="CM68" s="10">
        <f t="shared" si="15"/>
        <v>5.3677932405566509E-2</v>
      </c>
      <c r="CN68" s="38">
        <f t="shared" ref="CN68:CP68" si="34">CN41</f>
        <v>413</v>
      </c>
      <c r="CO68" s="38">
        <f t="shared" si="34"/>
        <v>445</v>
      </c>
      <c r="CP68" s="38">
        <f t="shared" si="34"/>
        <v>858</v>
      </c>
      <c r="CQ68" s="10">
        <f t="shared" si="17"/>
        <v>-0.19056603773584901</v>
      </c>
      <c r="CR68" s="38">
        <f t="shared" ref="CR68:CT68" si="35">CR41</f>
        <v>618</v>
      </c>
      <c r="CS68" s="38">
        <f t="shared" si="35"/>
        <v>755</v>
      </c>
      <c r="CT68" s="38">
        <f t="shared" si="35"/>
        <v>1373</v>
      </c>
      <c r="CU68" s="10">
        <f t="shared" si="19"/>
        <v>0.60023310023310028</v>
      </c>
      <c r="CV68" s="38">
        <f t="shared" ref="CV68:CX68" si="36">CV41</f>
        <v>438</v>
      </c>
      <c r="CW68" s="38">
        <f t="shared" si="36"/>
        <v>553</v>
      </c>
      <c r="CX68" s="38">
        <f t="shared" si="36"/>
        <v>991</v>
      </c>
      <c r="CY68" s="10">
        <f t="shared" si="21"/>
        <v>-0.27822286962855058</v>
      </c>
      <c r="CZ68" s="38">
        <f t="shared" ref="CZ68:DB68" si="37">CZ41</f>
        <v>408</v>
      </c>
      <c r="DA68" s="38">
        <f t="shared" si="37"/>
        <v>335</v>
      </c>
      <c r="DB68" s="38">
        <f t="shared" si="37"/>
        <v>743</v>
      </c>
      <c r="DC68" s="10">
        <f t="shared" si="23"/>
        <v>-0.25025227043390519</v>
      </c>
      <c r="DD68" s="38">
        <f t="shared" ref="DD68:DF68" si="38">DD41</f>
        <v>413</v>
      </c>
      <c r="DE68" s="38">
        <f t="shared" ca="1" si="38"/>
        <v>503</v>
      </c>
      <c r="DF68" s="38">
        <f t="shared" ca="1" si="38"/>
        <v>916</v>
      </c>
      <c r="DG68" s="10">
        <f t="shared" ca="1" si="25"/>
        <v>0.2328398384925976</v>
      </c>
      <c r="DH68" s="38">
        <f t="shared" ref="DH68" si="39">DH41</f>
        <v>558</v>
      </c>
      <c r="DI68" s="38">
        <f t="shared" ref="DI68:DJ68" si="40">DI41</f>
        <v>581.6</v>
      </c>
      <c r="DJ68" s="38">
        <f t="shared" si="40"/>
        <v>1139.5999999999999</v>
      </c>
      <c r="DK68" s="10">
        <f t="shared" ca="1" si="28"/>
        <v>0.24410480349344965</v>
      </c>
      <c r="DL68" s="38">
        <f t="shared" ref="DL68:DN68" si="41">DL41</f>
        <v>606.04500000000007</v>
      </c>
      <c r="DM68" s="38">
        <f t="shared" si="41"/>
        <v>637.48024999999996</v>
      </c>
      <c r="DN68" s="38">
        <f t="shared" si="41"/>
        <v>1243.5252500000001</v>
      </c>
      <c r="DO68" s="10">
        <f t="shared" si="30"/>
        <v>9.1194498069498309E-2</v>
      </c>
      <c r="DP68" s="38">
        <f t="shared" ref="DP68:DR68" si="42">DP41</f>
        <v>647.04715499999998</v>
      </c>
      <c r="DQ68" s="38">
        <f t="shared" si="42"/>
        <v>662.68278410000005</v>
      </c>
      <c r="DR68" s="38">
        <f t="shared" si="42"/>
        <v>1309.7299391000001</v>
      </c>
      <c r="DS68" s="10">
        <f t="shared" si="32"/>
        <v>5.3239521352702823E-2</v>
      </c>
    </row>
    <row r="69" spans="1:125">
      <c r="A69" s="1" t="s">
        <v>26</v>
      </c>
      <c r="BF69" s="38">
        <f>BF42</f>
        <v>906.5</v>
      </c>
      <c r="BH69" s="38">
        <f t="shared" si="2"/>
        <v>394</v>
      </c>
      <c r="BI69" s="38">
        <f t="shared" si="2"/>
        <v>417</v>
      </c>
      <c r="BJ69" s="38">
        <f t="shared" si="2"/>
        <v>811</v>
      </c>
      <c r="BK69" s="10">
        <f t="shared" si="0"/>
        <v>-0.10535024820739103</v>
      </c>
      <c r="BL69" s="38">
        <f t="shared" si="3"/>
        <v>469</v>
      </c>
      <c r="BM69" s="38">
        <f t="shared" si="3"/>
        <v>438</v>
      </c>
      <c r="BN69" s="38">
        <f t="shared" si="3"/>
        <v>907</v>
      </c>
      <c r="BO69" s="10">
        <f t="shared" si="4"/>
        <v>0.11837237977805182</v>
      </c>
      <c r="BP69" s="38">
        <f t="shared" si="5"/>
        <v>396</v>
      </c>
      <c r="BQ69" s="38">
        <f t="shared" si="5"/>
        <v>440</v>
      </c>
      <c r="BR69" s="38">
        <f t="shared" si="5"/>
        <v>836</v>
      </c>
      <c r="BS69" s="10">
        <f t="shared" si="6"/>
        <v>-7.8280044101433299E-2</v>
      </c>
      <c r="BT69" s="38">
        <f t="shared" si="7"/>
        <v>461</v>
      </c>
      <c r="BU69" s="38">
        <f t="shared" si="7"/>
        <v>427</v>
      </c>
      <c r="BV69" s="38">
        <f t="shared" si="7"/>
        <v>888</v>
      </c>
      <c r="BW69" s="10">
        <f t="shared" si="1"/>
        <v>6.2200956937799035E-2</v>
      </c>
      <c r="BX69" s="38">
        <f t="shared" si="8"/>
        <v>419</v>
      </c>
      <c r="BY69" s="38">
        <f t="shared" si="8"/>
        <v>394</v>
      </c>
      <c r="BZ69" s="38">
        <f t="shared" si="8"/>
        <v>813</v>
      </c>
      <c r="CA69" s="10">
        <f t="shared" si="9"/>
        <v>-8.4459459459459429E-2</v>
      </c>
      <c r="CB69" s="38">
        <f t="shared" si="10"/>
        <v>386</v>
      </c>
      <c r="CC69" s="38">
        <f t="shared" si="10"/>
        <v>388</v>
      </c>
      <c r="CD69" s="38">
        <f t="shared" si="10"/>
        <v>774</v>
      </c>
      <c r="CE69" s="10">
        <f t="shared" si="11"/>
        <v>-4.7970479704797064E-2</v>
      </c>
      <c r="CF69" s="38">
        <f t="shared" si="12"/>
        <v>473</v>
      </c>
      <c r="CG69" s="38">
        <f t="shared" si="12"/>
        <v>459</v>
      </c>
      <c r="CH69" s="38">
        <f t="shared" si="12"/>
        <v>932</v>
      </c>
      <c r="CI69" s="10">
        <f t="shared" si="13"/>
        <v>0.20413436692506459</v>
      </c>
      <c r="CJ69" s="38">
        <f t="shared" ref="CJ69:CL69" si="43">CJ42</f>
        <v>412</v>
      </c>
      <c r="CK69" s="38">
        <f t="shared" si="43"/>
        <v>458</v>
      </c>
      <c r="CL69" s="38">
        <f t="shared" si="43"/>
        <v>870</v>
      </c>
      <c r="CM69" s="10">
        <f t="shared" si="15"/>
        <v>-6.6523605150214604E-2</v>
      </c>
      <c r="CN69" s="38">
        <f t="shared" ref="CN69:CP69" si="44">CN42</f>
        <v>401</v>
      </c>
      <c r="CO69" s="38">
        <f t="shared" si="44"/>
        <v>415</v>
      </c>
      <c r="CP69" s="38">
        <f t="shared" si="44"/>
        <v>816</v>
      </c>
      <c r="CQ69" s="10">
        <f t="shared" si="17"/>
        <v>-6.2068965517241392E-2</v>
      </c>
      <c r="CR69" s="38">
        <f t="shared" ref="CR69:CT69" si="45">CR42</f>
        <v>381</v>
      </c>
      <c r="CS69" s="38">
        <f t="shared" si="45"/>
        <v>420</v>
      </c>
      <c r="CT69" s="38">
        <f t="shared" si="45"/>
        <v>801</v>
      </c>
      <c r="CU69" s="10">
        <f t="shared" si="19"/>
        <v>-1.8382352941176516E-2</v>
      </c>
      <c r="CV69" s="38">
        <f t="shared" ref="CV69:CX69" si="46">CV42</f>
        <v>358</v>
      </c>
      <c r="CW69" s="38">
        <f t="shared" si="46"/>
        <v>357</v>
      </c>
      <c r="CX69" s="38">
        <f t="shared" si="46"/>
        <v>715</v>
      </c>
      <c r="CY69" s="10">
        <f t="shared" si="21"/>
        <v>-0.10736579275905123</v>
      </c>
      <c r="CZ69" s="38">
        <f t="shared" ref="CZ69:DB69" si="47">CZ42</f>
        <v>377</v>
      </c>
      <c r="DA69" s="38">
        <f t="shared" si="47"/>
        <v>414</v>
      </c>
      <c r="DB69" s="38">
        <f t="shared" si="47"/>
        <v>791</v>
      </c>
      <c r="DC69" s="10">
        <f t="shared" si="23"/>
        <v>0.10629370629370638</v>
      </c>
      <c r="DD69" s="38">
        <f t="shared" ref="DD69:DF69" si="48">DD42</f>
        <v>429</v>
      </c>
      <c r="DE69" s="38">
        <f t="shared" ca="1" si="48"/>
        <v>434</v>
      </c>
      <c r="DF69" s="38">
        <f t="shared" ca="1" si="48"/>
        <v>863</v>
      </c>
      <c r="DG69" s="10">
        <f t="shared" ca="1" si="25"/>
        <v>9.1024020227560065E-2</v>
      </c>
      <c r="DH69" s="38">
        <f t="shared" ref="DH69" si="49">DH42</f>
        <v>484</v>
      </c>
      <c r="DI69" s="38">
        <f t="shared" ref="DI69:DJ69" si="50">DI42</f>
        <v>426.65500564971751</v>
      </c>
      <c r="DJ69" s="38">
        <f t="shared" si="50"/>
        <v>910.65500564971751</v>
      </c>
      <c r="DK69" s="10">
        <f t="shared" ca="1" si="28"/>
        <v>5.5220168771399125E-2</v>
      </c>
      <c r="DL69" s="38">
        <f t="shared" ref="DL69:DN69" si="51">DL42</f>
        <v>456.36391480225984</v>
      </c>
      <c r="DM69" s="38">
        <f t="shared" si="51"/>
        <v>438.90054957514121</v>
      </c>
      <c r="DN69" s="38">
        <f t="shared" si="51"/>
        <v>895.26446437740105</v>
      </c>
      <c r="DO69" s="10">
        <f t="shared" si="30"/>
        <v>-1.690051795337788E-2</v>
      </c>
      <c r="DP69" s="38">
        <f t="shared" ref="DP69:DR69" si="52">DP42</f>
        <v>468.89483732775136</v>
      </c>
      <c r="DQ69" s="38">
        <f t="shared" si="52"/>
        <v>452.10594870617103</v>
      </c>
      <c r="DR69" s="38">
        <f t="shared" si="52"/>
        <v>921.0007860339224</v>
      </c>
      <c r="DS69" s="10">
        <f t="shared" si="32"/>
        <v>2.8747172126863507E-2</v>
      </c>
    </row>
    <row r="70" spans="1:125">
      <c r="A70" s="1" t="s">
        <v>27</v>
      </c>
      <c r="BF70" s="38">
        <f>BF43</f>
        <v>706.5</v>
      </c>
      <c r="BH70" s="38">
        <f t="shared" si="2"/>
        <v>340</v>
      </c>
      <c r="BI70" s="38">
        <f t="shared" si="2"/>
        <v>393</v>
      </c>
      <c r="BJ70" s="38">
        <f t="shared" si="2"/>
        <v>733</v>
      </c>
      <c r="BK70" s="10">
        <f t="shared" si="0"/>
        <v>3.7508846426043796E-2</v>
      </c>
      <c r="BL70" s="38">
        <f t="shared" si="3"/>
        <v>308</v>
      </c>
      <c r="BM70" s="38">
        <f t="shared" si="3"/>
        <v>325</v>
      </c>
      <c r="BN70" s="38">
        <f t="shared" si="3"/>
        <v>633</v>
      </c>
      <c r="BO70" s="10">
        <f t="shared" si="4"/>
        <v>-0.13642564802182811</v>
      </c>
      <c r="BP70" s="38">
        <f t="shared" si="5"/>
        <v>319</v>
      </c>
      <c r="BQ70" s="38">
        <f t="shared" si="5"/>
        <v>556</v>
      </c>
      <c r="BR70" s="38">
        <f t="shared" si="5"/>
        <v>875</v>
      </c>
      <c r="BS70" s="10">
        <f t="shared" si="6"/>
        <v>0.38230647709320698</v>
      </c>
      <c r="BT70" s="38">
        <f t="shared" si="7"/>
        <v>376</v>
      </c>
      <c r="BU70" s="38">
        <f t="shared" si="7"/>
        <v>340</v>
      </c>
      <c r="BV70" s="38">
        <f t="shared" si="7"/>
        <v>716</v>
      </c>
      <c r="BW70" s="10">
        <f t="shared" si="1"/>
        <v>-0.18171428571428572</v>
      </c>
      <c r="BX70" s="38">
        <f t="shared" si="8"/>
        <v>349</v>
      </c>
      <c r="BY70" s="38">
        <f t="shared" si="8"/>
        <v>362</v>
      </c>
      <c r="BZ70" s="38">
        <f t="shared" si="8"/>
        <v>711</v>
      </c>
      <c r="CA70" s="10">
        <f t="shared" si="9"/>
        <v>-6.9832402234636382E-3</v>
      </c>
      <c r="CB70" s="38">
        <f t="shared" si="10"/>
        <v>383</v>
      </c>
      <c r="CC70" s="38">
        <f t="shared" si="10"/>
        <v>408</v>
      </c>
      <c r="CD70" s="38">
        <f t="shared" si="10"/>
        <v>791</v>
      </c>
      <c r="CE70" s="10">
        <f t="shared" si="11"/>
        <v>0.11251758087201136</v>
      </c>
      <c r="CF70" s="38">
        <f t="shared" si="12"/>
        <v>434</v>
      </c>
      <c r="CG70" s="38">
        <f t="shared" si="12"/>
        <v>480</v>
      </c>
      <c r="CH70" s="38">
        <f t="shared" si="12"/>
        <v>914</v>
      </c>
      <c r="CI70" s="10">
        <f t="shared" si="13"/>
        <v>0.15549936788874841</v>
      </c>
      <c r="CJ70" s="38">
        <f t="shared" ref="CJ70:CL70" si="53">CJ43</f>
        <v>467</v>
      </c>
      <c r="CK70" s="38">
        <f t="shared" si="53"/>
        <v>566</v>
      </c>
      <c r="CL70" s="38">
        <f t="shared" si="53"/>
        <v>1033</v>
      </c>
      <c r="CM70" s="10">
        <f t="shared" si="15"/>
        <v>0.13019693654266962</v>
      </c>
      <c r="CN70" s="38">
        <f t="shared" ref="CN70:CP70" si="54">CN43</f>
        <v>401</v>
      </c>
      <c r="CO70" s="38">
        <f t="shared" si="54"/>
        <v>430</v>
      </c>
      <c r="CP70" s="38">
        <f t="shared" si="54"/>
        <v>831</v>
      </c>
      <c r="CQ70" s="10">
        <f t="shared" si="17"/>
        <v>-0.19554695062923522</v>
      </c>
      <c r="CR70" s="38">
        <f t="shared" ref="CR70:CT70" si="55">CR43</f>
        <v>902</v>
      </c>
      <c r="CS70" s="38">
        <f t="shared" si="55"/>
        <v>620</v>
      </c>
      <c r="CT70" s="38">
        <f t="shared" si="55"/>
        <v>1522</v>
      </c>
      <c r="CU70" s="10">
        <f t="shared" si="19"/>
        <v>0.83152827918170868</v>
      </c>
      <c r="CV70" s="38">
        <f t="shared" ref="CV70:CX70" si="56">CV43</f>
        <v>633</v>
      </c>
      <c r="CW70" s="38">
        <f t="shared" si="56"/>
        <v>565</v>
      </c>
      <c r="CX70" s="38">
        <f t="shared" si="56"/>
        <v>1198</v>
      </c>
      <c r="CY70" s="10">
        <f t="shared" si="21"/>
        <v>-0.21287779237844939</v>
      </c>
      <c r="CZ70" s="38">
        <f t="shared" ref="CZ70:DB70" si="57">CZ43</f>
        <v>585</v>
      </c>
      <c r="DA70" s="38">
        <f t="shared" si="57"/>
        <v>603</v>
      </c>
      <c r="DB70" s="38">
        <f t="shared" si="57"/>
        <v>1188</v>
      </c>
      <c r="DC70" s="10">
        <f t="shared" si="23"/>
        <v>-8.3472454090149917E-3</v>
      </c>
      <c r="DD70" s="38">
        <f t="shared" ref="DD70:DF70" si="58">DD43</f>
        <v>607</v>
      </c>
      <c r="DE70" s="38">
        <f t="shared" ca="1" si="58"/>
        <v>619</v>
      </c>
      <c r="DF70" s="38">
        <f t="shared" ca="1" si="58"/>
        <v>1226</v>
      </c>
      <c r="DG70" s="10">
        <f t="shared" ca="1" si="25"/>
        <v>3.1986531986532007E-2</v>
      </c>
      <c r="DH70" s="38">
        <f t="shared" ref="DH70" si="59">DH43</f>
        <v>626</v>
      </c>
      <c r="DI70" s="38">
        <f t="shared" ref="DI70:DJ70" si="60">DI43</f>
        <v>654.02499435028244</v>
      </c>
      <c r="DJ70" s="38">
        <f t="shared" si="60"/>
        <v>1280.0249943502824</v>
      </c>
      <c r="DK70" s="10">
        <f t="shared" ca="1" si="28"/>
        <v>4.406606390724499E-2</v>
      </c>
      <c r="DL70" s="38">
        <f t="shared" ref="DL70:DN70" si="61">DL43</f>
        <v>683.77548519774018</v>
      </c>
      <c r="DM70" s="38">
        <f t="shared" si="61"/>
        <v>691.16623642485877</v>
      </c>
      <c r="DN70" s="38">
        <f t="shared" si="61"/>
        <v>1374.9417216225988</v>
      </c>
      <c r="DO70" s="10">
        <f t="shared" si="30"/>
        <v>7.4152245222753876E-2</v>
      </c>
      <c r="DP70" s="38">
        <f t="shared" ref="DP70:DR70" si="62">DP43</f>
        <v>722.4475960122486</v>
      </c>
      <c r="DQ70" s="38">
        <f t="shared" si="62"/>
        <v>730.47655932842895</v>
      </c>
      <c r="DR70" s="38">
        <f t="shared" si="62"/>
        <v>1452.9241553406775</v>
      </c>
      <c r="DS70" s="10">
        <f t="shared" si="32"/>
        <v>5.671690115421768E-2</v>
      </c>
    </row>
    <row r="71" spans="1:125">
      <c r="A71" s="1" t="s">
        <v>761</v>
      </c>
      <c r="BF71" s="8">
        <f>+BF64+BF67+BF68+BF69+BF70</f>
        <v>3363.663</v>
      </c>
      <c r="BH71" s="8">
        <f>+BH64+BH67+BH68+BH69+BH70</f>
        <v>1636</v>
      </c>
      <c r="BI71" s="8">
        <f>+BI64+BI67+BI68+BI69+BI70</f>
        <v>1743</v>
      </c>
      <c r="BJ71" s="8">
        <f>+BJ64+BJ67+BJ68+BJ69+BJ70</f>
        <v>3379</v>
      </c>
      <c r="BK71" s="10">
        <f t="shared" si="0"/>
        <v>4.559612541446656E-3</v>
      </c>
      <c r="BL71" s="8">
        <f>+BL64+BL67+BL68+BL69+BL70</f>
        <v>1838</v>
      </c>
      <c r="BM71" s="8">
        <f>+BM64+BM67+BM68+BM69+BM70</f>
        <v>2017</v>
      </c>
      <c r="BN71" s="8">
        <f>+BN64+BN67+BN68+BN69+BN70</f>
        <v>3855</v>
      </c>
      <c r="BO71" s="10">
        <f t="shared" si="4"/>
        <v>0.14087007990529732</v>
      </c>
      <c r="BP71" s="8">
        <f>+BP64+BP67+BP68+BP69+BP70</f>
        <v>2167</v>
      </c>
      <c r="BQ71" s="8">
        <f>+BQ64+BQ67+BQ68+BQ69+BQ70</f>
        <v>2572</v>
      </c>
      <c r="BR71" s="8">
        <f>+BR64+BR67+BR68+BR69+BR70</f>
        <v>4739</v>
      </c>
      <c r="BS71" s="10">
        <f t="shared" si="6"/>
        <v>0.2293125810635539</v>
      </c>
      <c r="BT71" s="8">
        <f>+BT64+BT67+BT68+BT69+BT70</f>
        <v>2794</v>
      </c>
      <c r="BU71" s="8">
        <f>+BU64+BU67+BU68+BU69+BU70</f>
        <v>2068</v>
      </c>
      <c r="BV71" s="8">
        <f>+BV64+BV67+BV68+BV69+BV70</f>
        <v>4862</v>
      </c>
      <c r="BW71" s="10">
        <f t="shared" si="1"/>
        <v>2.5954842793838306E-2</v>
      </c>
      <c r="BX71" s="8">
        <f>+BX64+BX67+BX68+BX69+BX70</f>
        <v>2203</v>
      </c>
      <c r="BY71" s="8">
        <f>+BY64+BY67+BY68+BY69+BY70</f>
        <v>2128</v>
      </c>
      <c r="BZ71" s="8">
        <f>+BZ64+BZ67+BZ68+BZ69+BZ70</f>
        <v>4331</v>
      </c>
      <c r="CA71" s="10">
        <f t="shared" si="9"/>
        <v>-0.10921431509666801</v>
      </c>
      <c r="CB71" s="8">
        <f>+CB64+CB67+CB68+CB69+CB70</f>
        <v>2568</v>
      </c>
      <c r="CC71" s="8">
        <f>+CC64+CC67+CC68+CC69+CC70</f>
        <v>2102</v>
      </c>
      <c r="CD71" s="8">
        <f>+CD64+CD67+CD68+CD69+CD70</f>
        <v>4670</v>
      </c>
      <c r="CE71" s="10">
        <f t="shared" si="11"/>
        <v>7.8272916185638364E-2</v>
      </c>
      <c r="CF71" s="8">
        <f>+CF64+CF67+CF68+CF69+CF70</f>
        <v>2661</v>
      </c>
      <c r="CG71" s="8">
        <f>+CG64+CG67+CG68+CG69+CG70</f>
        <v>2865</v>
      </c>
      <c r="CH71" s="8">
        <f>+CH64+CH67+CH68+CH69+CH70</f>
        <v>5526</v>
      </c>
      <c r="CI71" s="10">
        <f t="shared" si="13"/>
        <v>0.18329764453961461</v>
      </c>
      <c r="CJ71" s="8">
        <f>+CJ64+CJ67+CJ68+CJ69+CJ70</f>
        <v>2874</v>
      </c>
      <c r="CK71" s="8">
        <f>+CK64+CK67+CK68+CK69+CK70</f>
        <v>2963</v>
      </c>
      <c r="CL71" s="8">
        <f>+CL64+CL67+CL68+CL69+CL70</f>
        <v>5837</v>
      </c>
      <c r="CM71" s="10">
        <f t="shared" si="15"/>
        <v>5.6279406442272917E-2</v>
      </c>
      <c r="CN71" s="8">
        <f>+CN64+CN67+CN68+CN69+CN70</f>
        <v>2613</v>
      </c>
      <c r="CO71" s="8">
        <f>+CO64+CO67+CO68+CO69+CO70</f>
        <v>2563</v>
      </c>
      <c r="CP71" s="8">
        <f>+CP64+CP67+CP68+CP69+CP70</f>
        <v>5176</v>
      </c>
      <c r="CQ71" s="10">
        <f t="shared" si="17"/>
        <v>-0.11324310433441842</v>
      </c>
      <c r="CR71" s="8">
        <f>+CR64+CR67+CR68+CR69+CR70</f>
        <v>3452</v>
      </c>
      <c r="CS71" s="8">
        <f>+CS64+CS67+CS68+CS69+CS70</f>
        <v>3435</v>
      </c>
      <c r="CT71" s="8">
        <f>+CT64+CT67+CT68+CT69+CT70</f>
        <v>6887</v>
      </c>
      <c r="CU71" s="10">
        <f t="shared" si="19"/>
        <v>0.33056414219474495</v>
      </c>
      <c r="CV71" s="8">
        <f>+CV64+CV67+CV68+CV69+CV70</f>
        <v>3055</v>
      </c>
      <c r="CW71" s="8">
        <f>+CW64+CW67+CW68+CW69+CW70</f>
        <v>3345</v>
      </c>
      <c r="CX71" s="8">
        <f>+CX64+CX67+CX68+CX69+CX70</f>
        <v>6400</v>
      </c>
      <c r="CY71" s="10">
        <f t="shared" si="21"/>
        <v>-7.0712937418324406E-2</v>
      </c>
      <c r="CZ71" s="8">
        <f>+CZ64+CZ67+CZ68+CZ69+CZ70</f>
        <v>3023</v>
      </c>
      <c r="DA71" s="8">
        <f>+DA64+DA67+DA68+DA69+DA70</f>
        <v>3226</v>
      </c>
      <c r="DB71" s="8">
        <f>+DB64+DB67+DB68+DB69+DB70</f>
        <v>6249</v>
      </c>
      <c r="DC71" s="10">
        <f t="shared" si="23"/>
        <v>-2.3593749999999969E-2</v>
      </c>
      <c r="DD71" s="8">
        <f>+DD64+DD67+DD68+DD69+DD70</f>
        <v>3300</v>
      </c>
      <c r="DE71" s="8">
        <f ca="1">+DE64+DE67+DE68+DE69+DE70</f>
        <v>3490</v>
      </c>
      <c r="DF71" s="8">
        <f ca="1">+DF64+DF67+DF68+DF69+DF70</f>
        <v>6790</v>
      </c>
      <c r="DG71" s="10">
        <f t="shared" ca="1" si="25"/>
        <v>8.6573851816290626E-2</v>
      </c>
      <c r="DH71" s="8">
        <f>+DH64+DH67+DH68+DH69+DH70</f>
        <v>3901</v>
      </c>
      <c r="DI71" s="8">
        <f>+DI64+DI67+DI68+DI69+DI70</f>
        <v>3615.0750669774479</v>
      </c>
      <c r="DJ71" s="8">
        <f>+DJ64+DJ67+DJ68+DJ69+DJ70</f>
        <v>7516.075066977447</v>
      </c>
      <c r="DK71" s="10">
        <f t="shared" ca="1" si="28"/>
        <v>0.10693299955485225</v>
      </c>
      <c r="DL71" s="8">
        <f>+DL64+DL67+DL68+DL69+DL70</f>
        <v>3486.4374788938881</v>
      </c>
      <c r="DM71" s="8">
        <f>+DM64+DM67+DM68+DM69+DM70</f>
        <v>3535.1484407541348</v>
      </c>
      <c r="DN71" s="8">
        <f>+DN64+DN67+DN68+DN69+DN70</f>
        <v>7021.5859196480233</v>
      </c>
      <c r="DO71" s="10">
        <f t="shared" si="30"/>
        <v>-6.5790873949889916E-2</v>
      </c>
      <c r="DP71" s="8">
        <f>+DP64+DP67+DP68+DP69+DP70</f>
        <v>3657.478527223222</v>
      </c>
      <c r="DQ71" s="8">
        <f>+DQ64+DQ67+DQ68+DQ69+DQ70</f>
        <v>3710.7117919172324</v>
      </c>
      <c r="DR71" s="8">
        <f>+DR64+DR67+DR68+DR69+DR70</f>
        <v>7368.1903191404544</v>
      </c>
      <c r="DS71" s="10">
        <f t="shared" si="32"/>
        <v>4.9362694334132096E-2</v>
      </c>
    </row>
    <row r="72" spans="1:125">
      <c r="A72" s="1" t="s">
        <v>651</v>
      </c>
      <c r="BF72" s="38">
        <f>BF44</f>
        <v>1035</v>
      </c>
      <c r="BH72" s="38">
        <f t="shared" ref="BH72:BJ74" si="63">BH44</f>
        <v>555</v>
      </c>
      <c r="BI72" s="38">
        <f t="shared" si="63"/>
        <v>679</v>
      </c>
      <c r="BJ72" s="38">
        <f t="shared" si="63"/>
        <v>1234</v>
      </c>
      <c r="BK72" s="10">
        <f t="shared" si="0"/>
        <v>0.19227053140096628</v>
      </c>
      <c r="BL72" s="38">
        <f t="shared" ref="BL72:BN74" si="64">BL44</f>
        <v>591</v>
      </c>
      <c r="BM72" s="38">
        <f t="shared" si="64"/>
        <v>979</v>
      </c>
      <c r="BN72" s="38">
        <f t="shared" si="64"/>
        <v>1570</v>
      </c>
      <c r="BO72" s="10">
        <f t="shared" si="4"/>
        <v>0.27228525121555913</v>
      </c>
      <c r="BP72" s="38">
        <f t="shared" ref="BP72:BR74" si="65">BP44</f>
        <v>687</v>
      </c>
      <c r="BQ72" s="38">
        <f t="shared" si="65"/>
        <v>1040</v>
      </c>
      <c r="BR72" s="38">
        <f t="shared" si="65"/>
        <v>1727</v>
      </c>
      <c r="BS72" s="10">
        <f t="shared" si="6"/>
        <v>0.10000000000000009</v>
      </c>
      <c r="BT72" s="38">
        <f t="shared" ref="BT72:BV74" si="66">BT44</f>
        <v>1108</v>
      </c>
      <c r="BU72" s="38">
        <f t="shared" si="66"/>
        <v>959</v>
      </c>
      <c r="BV72" s="38">
        <f t="shared" si="66"/>
        <v>2067</v>
      </c>
      <c r="BW72" s="10">
        <f t="shared" si="1"/>
        <v>0.19687319050376373</v>
      </c>
      <c r="BX72" s="38">
        <f t="shared" ref="BX72:BZ74" si="67">BX44</f>
        <v>776</v>
      </c>
      <c r="BY72" s="38">
        <f t="shared" si="67"/>
        <v>982</v>
      </c>
      <c r="BZ72" s="38">
        <f t="shared" si="67"/>
        <v>1758</v>
      </c>
      <c r="CA72" s="10">
        <f t="shared" si="9"/>
        <v>-0.14949201741654572</v>
      </c>
      <c r="CB72" s="38">
        <f t="shared" ref="CB72:CD74" si="68">CB44</f>
        <v>881</v>
      </c>
      <c r="CC72" s="38">
        <f t="shared" si="68"/>
        <v>1076</v>
      </c>
      <c r="CD72" s="38">
        <f t="shared" si="68"/>
        <v>1957</v>
      </c>
      <c r="CE72" s="10">
        <f t="shared" si="11"/>
        <v>0.11319681456200237</v>
      </c>
      <c r="CF72" s="38">
        <f t="shared" ref="CF72:CH74" si="69">CF44</f>
        <v>1231</v>
      </c>
      <c r="CG72" s="38">
        <f t="shared" si="69"/>
        <v>1560</v>
      </c>
      <c r="CH72" s="38">
        <f t="shared" si="69"/>
        <v>2791</v>
      </c>
      <c r="CI72" s="10">
        <f t="shared" si="13"/>
        <v>0.42616249361267244</v>
      </c>
      <c r="CJ72" s="38">
        <f t="shared" ref="CJ72:CL72" si="70">CJ44</f>
        <v>1627</v>
      </c>
      <c r="CK72" s="38">
        <f t="shared" si="70"/>
        <v>1234</v>
      </c>
      <c r="CL72" s="38">
        <f t="shared" si="70"/>
        <v>2861</v>
      </c>
      <c r="CM72" s="10">
        <f t="shared" si="15"/>
        <v>2.5080616266571099E-2</v>
      </c>
      <c r="CN72" s="38">
        <f t="shared" ref="CN72:CP72" si="71">CN44</f>
        <v>1487</v>
      </c>
      <c r="CO72" s="38">
        <f t="shared" si="71"/>
        <v>1995</v>
      </c>
      <c r="CP72" s="38">
        <f t="shared" si="71"/>
        <v>3482</v>
      </c>
      <c r="CQ72" s="10">
        <f t="shared" si="17"/>
        <v>0.21705697308633343</v>
      </c>
      <c r="CR72" s="38">
        <f t="shared" ref="CR72:CT72" si="72">CR44</f>
        <v>1659</v>
      </c>
      <c r="CS72" s="38">
        <f t="shared" si="72"/>
        <v>2337</v>
      </c>
      <c r="CT72" s="38">
        <f t="shared" si="72"/>
        <v>3996</v>
      </c>
      <c r="CU72" s="10">
        <f t="shared" si="19"/>
        <v>0.14761631246410101</v>
      </c>
      <c r="CV72" s="38">
        <f t="shared" ref="CV72:CX72" si="73">CV44</f>
        <v>2817</v>
      </c>
      <c r="CW72" s="38">
        <f t="shared" si="73"/>
        <v>4756</v>
      </c>
      <c r="CX72" s="38">
        <f t="shared" si="73"/>
        <v>7573</v>
      </c>
      <c r="CY72" s="10">
        <f t="shared" si="21"/>
        <v>0.89514514514514509</v>
      </c>
      <c r="CZ72" s="38">
        <f t="shared" ref="CZ72:DB72" si="74">CZ44</f>
        <v>2612</v>
      </c>
      <c r="DA72" s="38">
        <f t="shared" si="74"/>
        <v>2836</v>
      </c>
      <c r="DB72" s="38">
        <f t="shared" si="74"/>
        <v>5448</v>
      </c>
      <c r="DC72" s="10">
        <f t="shared" si="23"/>
        <v>-0.28060213917866106</v>
      </c>
      <c r="DD72" s="38">
        <f t="shared" ref="DD72:DF72" si="75">DD44</f>
        <v>2460</v>
      </c>
      <c r="DE72" s="38">
        <f t="shared" si="75"/>
        <v>2910</v>
      </c>
      <c r="DF72" s="38">
        <f t="shared" si="75"/>
        <v>5370</v>
      </c>
      <c r="DG72" s="10">
        <f t="shared" si="25"/>
        <v>-1.4317180616740033E-2</v>
      </c>
      <c r="DH72" s="38">
        <f t="shared" ref="DH72" si="76">DH44</f>
        <v>2445</v>
      </c>
      <c r="DI72" s="38">
        <f t="shared" ref="DI72:DJ72" si="77">DI44</f>
        <v>3280.9700000000003</v>
      </c>
      <c r="DJ72" s="38">
        <f t="shared" si="77"/>
        <v>5725.97</v>
      </c>
      <c r="DK72" s="10">
        <f t="shared" si="28"/>
        <v>6.6288640595903114E-2</v>
      </c>
      <c r="DL72" s="38">
        <f t="shared" ref="DL72:DN72" si="78">DL44</f>
        <v>2623.5912999999996</v>
      </c>
      <c r="DM72" s="38">
        <f t="shared" si="78"/>
        <v>3347.8119890000003</v>
      </c>
      <c r="DN72" s="38">
        <f t="shared" si="78"/>
        <v>5971.4032889999999</v>
      </c>
      <c r="DO72" s="10">
        <f t="shared" si="30"/>
        <v>4.2863181085475377E-2</v>
      </c>
      <c r="DP72" s="38">
        <f t="shared" ref="DP72:DR72" si="79">DP44</f>
        <v>2678.5929496700001</v>
      </c>
      <c r="DQ72" s="38">
        <f t="shared" si="79"/>
        <v>3425.7311526600997</v>
      </c>
      <c r="DR72" s="38">
        <f t="shared" si="79"/>
        <v>6104.3241023300998</v>
      </c>
      <c r="DS72" s="10">
        <f t="shared" si="32"/>
        <v>2.2259560591888938E-2</v>
      </c>
    </row>
    <row r="73" spans="1:125">
      <c r="A73" s="1" t="s">
        <v>652</v>
      </c>
      <c r="BF73" s="38">
        <f>BF45</f>
        <v>108</v>
      </c>
      <c r="BH73" s="38">
        <f t="shared" si="63"/>
        <v>75</v>
      </c>
      <c r="BI73" s="38">
        <f t="shared" si="63"/>
        <v>17</v>
      </c>
      <c r="BJ73" s="38">
        <f t="shared" si="63"/>
        <v>92</v>
      </c>
      <c r="BK73" s="10">
        <f t="shared" si="0"/>
        <v>-0.14814814814814814</v>
      </c>
      <c r="BL73" s="38">
        <f t="shared" si="64"/>
        <v>70</v>
      </c>
      <c r="BM73" s="38">
        <f t="shared" si="64"/>
        <v>79</v>
      </c>
      <c r="BN73" s="38">
        <f t="shared" si="64"/>
        <v>149</v>
      </c>
      <c r="BO73" s="10">
        <f t="shared" si="4"/>
        <v>0.61956521739130443</v>
      </c>
      <c r="BP73" s="38">
        <f t="shared" si="65"/>
        <v>19</v>
      </c>
      <c r="BQ73" s="38">
        <f t="shared" si="65"/>
        <v>-14</v>
      </c>
      <c r="BR73" s="38">
        <f t="shared" si="65"/>
        <v>5</v>
      </c>
      <c r="BS73" s="10">
        <f t="shared" si="6"/>
        <v>-0.96644295302013428</v>
      </c>
      <c r="BT73" s="38">
        <f t="shared" si="66"/>
        <v>-63</v>
      </c>
      <c r="BU73" s="38">
        <f t="shared" si="66"/>
        <v>67</v>
      </c>
      <c r="BV73" s="38">
        <f t="shared" si="66"/>
        <v>4</v>
      </c>
      <c r="BW73" s="10">
        <f t="shared" si="1"/>
        <v>-0.19999999999999996</v>
      </c>
      <c r="BX73" s="38">
        <f t="shared" si="67"/>
        <v>-8</v>
      </c>
      <c r="BY73" s="38">
        <f t="shared" si="67"/>
        <v>59</v>
      </c>
      <c r="BZ73" s="38">
        <f t="shared" si="67"/>
        <v>51</v>
      </c>
      <c r="CA73" s="10">
        <f t="shared" si="9"/>
        <v>11.75</v>
      </c>
      <c r="CB73" s="38">
        <f t="shared" si="68"/>
        <v>103</v>
      </c>
      <c r="CC73" s="38">
        <f t="shared" si="68"/>
        <v>138</v>
      </c>
      <c r="CD73" s="38">
        <f t="shared" si="68"/>
        <v>241</v>
      </c>
      <c r="CE73" s="10">
        <f t="shared" si="11"/>
        <v>3.7254901960784315</v>
      </c>
      <c r="CF73" s="38">
        <f t="shared" si="69"/>
        <v>7</v>
      </c>
      <c r="CG73" s="38">
        <f t="shared" si="69"/>
        <v>-63</v>
      </c>
      <c r="CH73" s="38">
        <f t="shared" si="69"/>
        <v>-56</v>
      </c>
      <c r="CI73" s="10">
        <f t="shared" si="13"/>
        <v>-1.2323651452282158</v>
      </c>
      <c r="CJ73" s="38">
        <f t="shared" ref="CJ73:CL73" si="80">CJ45</f>
        <v>-49</v>
      </c>
      <c r="CK73" s="38">
        <f t="shared" si="80"/>
        <v>144</v>
      </c>
      <c r="CL73" s="38">
        <f t="shared" si="80"/>
        <v>95</v>
      </c>
      <c r="CM73" s="10">
        <f t="shared" si="15"/>
        <v>-2.6964285714285712</v>
      </c>
      <c r="CN73" s="38">
        <f t="shared" ref="CN73:CP73" si="81">CN45</f>
        <v>-54</v>
      </c>
      <c r="CO73" s="38">
        <f t="shared" si="81"/>
        <v>51</v>
      </c>
      <c r="CP73" s="38">
        <f t="shared" si="81"/>
        <v>-3</v>
      </c>
      <c r="CQ73" s="10">
        <f t="shared" si="17"/>
        <v>-1.0315789473684212</v>
      </c>
      <c r="CR73" s="38">
        <f t="shared" ref="CR73:CT73" si="82">CR45</f>
        <v>242</v>
      </c>
      <c r="CS73" s="38">
        <f t="shared" si="82"/>
        <v>-2</v>
      </c>
      <c r="CT73" s="38">
        <f t="shared" si="82"/>
        <v>240</v>
      </c>
      <c r="CU73" s="10">
        <f t="shared" si="19"/>
        <v>-81</v>
      </c>
      <c r="CV73" s="38">
        <f t="shared" ref="CV73:CX73" si="83">CV45</f>
        <v>-61</v>
      </c>
      <c r="CW73" s="38">
        <f t="shared" si="83"/>
        <v>-52</v>
      </c>
      <c r="CX73" s="38">
        <f t="shared" si="83"/>
        <v>-113</v>
      </c>
      <c r="CY73" s="10">
        <f t="shared" si="21"/>
        <v>-1.4708333333333332</v>
      </c>
      <c r="CZ73" s="38">
        <f t="shared" ref="CZ73:DB73" si="84">CZ45</f>
        <v>-5</v>
      </c>
      <c r="DA73" s="38">
        <f t="shared" si="84"/>
        <v>-44</v>
      </c>
      <c r="DB73" s="38">
        <f t="shared" si="84"/>
        <v>-49</v>
      </c>
      <c r="DC73" s="10">
        <f t="shared" si="23"/>
        <v>-0.5663716814159292</v>
      </c>
      <c r="DD73" s="38">
        <f t="shared" ref="DD73:DF73" si="85">DD45</f>
        <v>1</v>
      </c>
      <c r="DE73" s="38">
        <f t="shared" si="85"/>
        <v>166</v>
      </c>
      <c r="DF73" s="38">
        <f t="shared" si="85"/>
        <v>167</v>
      </c>
      <c r="DG73" s="10">
        <f t="shared" si="25"/>
        <v>-4.408163265306122</v>
      </c>
      <c r="DH73" s="38">
        <f t="shared" ref="DH73" si="86">DH45</f>
        <v>-50</v>
      </c>
      <c r="DI73" s="38">
        <f t="shared" ref="DI73:DJ73" si="87">DI45</f>
        <v>7.98</v>
      </c>
      <c r="DJ73" s="38">
        <f t="shared" si="87"/>
        <v>-42.019999999999996</v>
      </c>
      <c r="DK73" s="10">
        <f t="shared" si="28"/>
        <v>-1.2516167664670659</v>
      </c>
      <c r="DL73" s="38">
        <f t="shared" ref="DL73:DN73" si="88">DL45</f>
        <v>1.9400000000000972E-2</v>
      </c>
      <c r="DM73" s="38">
        <f t="shared" si="88"/>
        <v>2.1199820000000003</v>
      </c>
      <c r="DN73" s="38">
        <f t="shared" si="88"/>
        <v>2.1393820000000012</v>
      </c>
      <c r="DO73" s="10">
        <f t="shared" si="30"/>
        <v>-1.0509134221799143</v>
      </c>
      <c r="DP73" s="38">
        <f t="shared" ref="DP73:DR73" si="89">DP45</f>
        <v>2.2835814599999971</v>
      </c>
      <c r="DQ73" s="38">
        <f t="shared" si="89"/>
        <v>4.5120889037999952</v>
      </c>
      <c r="DR73" s="38">
        <f t="shared" si="89"/>
        <v>6.7956703637999922</v>
      </c>
      <c r="DS73" s="10">
        <f t="shared" si="32"/>
        <v>2.176464214338528</v>
      </c>
    </row>
    <row r="74" spans="1:125">
      <c r="A74" s="1" t="s">
        <v>621</v>
      </c>
      <c r="BF74" s="38">
        <f>BF46</f>
        <v>1123</v>
      </c>
      <c r="BH74" s="38">
        <f t="shared" si="63"/>
        <v>144</v>
      </c>
      <c r="BI74" s="38">
        <f t="shared" si="63"/>
        <v>441</v>
      </c>
      <c r="BJ74" s="38">
        <f t="shared" si="63"/>
        <v>585</v>
      </c>
      <c r="BK74" s="10">
        <f t="shared" si="0"/>
        <v>-0.4790739091718611</v>
      </c>
      <c r="BL74" s="38">
        <f t="shared" si="64"/>
        <v>320</v>
      </c>
      <c r="BM74" s="38">
        <f t="shared" si="64"/>
        <v>535</v>
      </c>
      <c r="BN74" s="38">
        <f t="shared" si="64"/>
        <v>855</v>
      </c>
      <c r="BO74" s="10">
        <f t="shared" si="4"/>
        <v>0.46153846153846145</v>
      </c>
      <c r="BP74" s="38">
        <f t="shared" si="65"/>
        <v>455</v>
      </c>
      <c r="BQ74" s="38">
        <f t="shared" si="65"/>
        <v>244</v>
      </c>
      <c r="BR74" s="38">
        <f t="shared" si="65"/>
        <v>699</v>
      </c>
      <c r="BS74" s="10">
        <f t="shared" si="6"/>
        <v>-0.18245614035087721</v>
      </c>
      <c r="BT74" s="38">
        <f t="shared" si="66"/>
        <v>314</v>
      </c>
      <c r="BU74" s="38">
        <f t="shared" si="66"/>
        <v>632</v>
      </c>
      <c r="BV74" s="38">
        <f t="shared" si="66"/>
        <v>946</v>
      </c>
      <c r="BW74" s="10">
        <f t="shared" si="1"/>
        <v>0.35336194563662371</v>
      </c>
      <c r="BX74" s="38">
        <f t="shared" si="67"/>
        <v>1149</v>
      </c>
      <c r="BY74" s="38">
        <f t="shared" si="67"/>
        <v>890</v>
      </c>
      <c r="BZ74" s="38">
        <f t="shared" si="67"/>
        <v>2039</v>
      </c>
      <c r="CA74" s="10">
        <f t="shared" si="9"/>
        <v>1.1553911205073994</v>
      </c>
      <c r="CB74" s="38">
        <f t="shared" si="68"/>
        <v>834</v>
      </c>
      <c r="CC74" s="38">
        <f t="shared" si="68"/>
        <v>1232</v>
      </c>
      <c r="CD74" s="38">
        <f t="shared" si="68"/>
        <v>2066</v>
      </c>
      <c r="CE74" s="10">
        <f t="shared" si="11"/>
        <v>1.3241785188818023E-2</v>
      </c>
      <c r="CF74" s="38">
        <f t="shared" si="69"/>
        <v>933</v>
      </c>
      <c r="CG74" s="38">
        <f t="shared" si="69"/>
        <v>1800</v>
      </c>
      <c r="CH74" s="38">
        <f t="shared" si="69"/>
        <v>2733</v>
      </c>
      <c r="CI74" s="10">
        <f t="shared" si="13"/>
        <v>0.32284607938044529</v>
      </c>
      <c r="CJ74" s="38">
        <f t="shared" ref="CJ74:CL74" si="90">CJ46</f>
        <v>1078</v>
      </c>
      <c r="CK74" s="38">
        <f t="shared" si="90"/>
        <v>595</v>
      </c>
      <c r="CL74" s="38">
        <f t="shared" si="90"/>
        <v>1673</v>
      </c>
      <c r="CM74" s="10">
        <f t="shared" si="15"/>
        <v>-0.3878521770947676</v>
      </c>
      <c r="CN74" s="38">
        <f t="shared" ref="CN74:CP74" si="91">CN46</f>
        <v>440</v>
      </c>
      <c r="CO74" s="38">
        <f t="shared" si="91"/>
        <v>1484</v>
      </c>
      <c r="CP74" s="38">
        <f t="shared" si="91"/>
        <v>1924</v>
      </c>
      <c r="CQ74" s="10">
        <f t="shared" si="17"/>
        <v>0.15002988643156012</v>
      </c>
      <c r="CR74" s="38">
        <f t="shared" ref="CR74:CT74" si="92">CR46</f>
        <v>1078</v>
      </c>
      <c r="CS74" s="38">
        <f t="shared" si="92"/>
        <v>2263</v>
      </c>
      <c r="CT74" s="38">
        <f t="shared" si="92"/>
        <v>3341</v>
      </c>
      <c r="CU74" s="10">
        <f t="shared" si="19"/>
        <v>0.7364864864864864</v>
      </c>
      <c r="CV74" s="38">
        <f t="shared" ref="CV74:CX74" si="93">CV46</f>
        <v>1460</v>
      </c>
      <c r="CW74" s="38">
        <f t="shared" si="93"/>
        <v>774</v>
      </c>
      <c r="CX74" s="38">
        <f t="shared" si="93"/>
        <v>2234</v>
      </c>
      <c r="CY74" s="10">
        <f t="shared" si="21"/>
        <v>-0.33133792277761154</v>
      </c>
      <c r="CZ74" s="38">
        <f t="shared" ref="CZ74:DB74" si="94">CZ46</f>
        <v>647</v>
      </c>
      <c r="DA74" s="38">
        <f t="shared" si="94"/>
        <v>1133</v>
      </c>
      <c r="DB74" s="38">
        <f t="shared" si="94"/>
        <v>1780</v>
      </c>
      <c r="DC74" s="10">
        <f t="shared" si="23"/>
        <v>-0.20322291853178154</v>
      </c>
      <c r="DD74" s="38">
        <f t="shared" ref="DD74:DF74" si="95">DD46</f>
        <v>786</v>
      </c>
      <c r="DE74" s="38">
        <f t="shared" si="95"/>
        <v>588</v>
      </c>
      <c r="DF74" s="38">
        <f t="shared" si="95"/>
        <v>1374</v>
      </c>
      <c r="DG74" s="10">
        <f t="shared" si="25"/>
        <v>-0.22808988764044946</v>
      </c>
      <c r="DH74" s="38">
        <f t="shared" ref="DH74" si="96">DH46</f>
        <v>329</v>
      </c>
      <c r="DI74" s="38">
        <f t="shared" ref="DI74:DJ74" si="97">DI46</f>
        <v>1100.3424</v>
      </c>
      <c r="DJ74" s="38">
        <f t="shared" si="97"/>
        <v>1429.3424</v>
      </c>
      <c r="DK74" s="10">
        <f t="shared" si="28"/>
        <v>4.027831149927219E-2</v>
      </c>
      <c r="DL74" s="38">
        <f t="shared" ref="DL74:DN74" si="98">DL46</f>
        <v>694.38060000000007</v>
      </c>
      <c r="DM74" s="38">
        <f t="shared" si="98"/>
        <v>935.69831799999997</v>
      </c>
      <c r="DN74" s="38">
        <f t="shared" si="98"/>
        <v>1630.0789180000002</v>
      </c>
      <c r="DO74" s="10">
        <f t="shared" si="30"/>
        <v>0.14043977006489139</v>
      </c>
      <c r="DP74" s="38">
        <f t="shared" ref="DP74:DR74" si="99">DP46</f>
        <v>804.34669154000005</v>
      </c>
      <c r="DQ74" s="38">
        <f t="shared" si="99"/>
        <v>1059.7373032861999</v>
      </c>
      <c r="DR74" s="38">
        <f t="shared" si="99"/>
        <v>1864.0839948262001</v>
      </c>
      <c r="DS74" s="10">
        <f t="shared" si="32"/>
        <v>0.14355444650085336</v>
      </c>
    </row>
    <row r="75" spans="1:125">
      <c r="A75" s="2" t="s">
        <v>568</v>
      </c>
      <c r="BF75" s="7">
        <f>+BF63+BF71+BF72+BF73+BF74</f>
        <v>6962.6630000000005</v>
      </c>
      <c r="BH75" s="7">
        <f>+BH63+BH71+BH72+BH73+BH74</f>
        <v>3054</v>
      </c>
      <c r="BI75" s="7">
        <f>+BI63+BI71+BI72+BI73+BI74</f>
        <v>3603</v>
      </c>
      <c r="BJ75" s="7">
        <f>+BJ63+BJ71+BJ72+BJ73+BJ74</f>
        <v>6657</v>
      </c>
      <c r="BK75" s="23">
        <f t="shared" si="0"/>
        <v>-4.3900300790085667E-2</v>
      </c>
      <c r="BL75" s="7">
        <f>+BL63+BL71+BL72+BL73+BL74</f>
        <v>3679</v>
      </c>
      <c r="BM75" s="7">
        <f>+BM63+BM71+BM72+BM73+BM74</f>
        <v>4455</v>
      </c>
      <c r="BN75" s="7">
        <f>+BN63+BN71+BN72+BN73+BN74</f>
        <v>8134</v>
      </c>
      <c r="BO75" s="23">
        <f t="shared" si="4"/>
        <v>0.22187171398527861</v>
      </c>
      <c r="BP75" s="7">
        <f>+BP63+BP71+BP72+BP73+BP74</f>
        <v>4284</v>
      </c>
      <c r="BQ75" s="7">
        <f>+BQ63+BQ71+BQ72+BQ73+BQ74</f>
        <v>4978</v>
      </c>
      <c r="BR75" s="7">
        <f>+BR63+BR71+BR72+BR73+BR74</f>
        <v>9262</v>
      </c>
      <c r="BS75" s="23">
        <f t="shared" si="6"/>
        <v>0.13867715761003185</v>
      </c>
      <c r="BT75" s="7">
        <f>+BT63+BT71+BT72+BT73+BT74</f>
        <v>5318</v>
      </c>
      <c r="BU75" s="7">
        <f>+BU63+BU71+BU72+BU73+BU74</f>
        <v>4840</v>
      </c>
      <c r="BV75" s="7">
        <f>+BV63+BV71+BV72+BV73+BV74</f>
        <v>10158</v>
      </c>
      <c r="BW75" s="23">
        <f t="shared" si="1"/>
        <v>9.6739365147916256E-2</v>
      </c>
      <c r="BX75" s="7">
        <f>+BX63+BX71+BX72+BX73+BX74</f>
        <v>5218</v>
      </c>
      <c r="BY75" s="7">
        <f>+BY63+BY71+BY72+BY73+BY74</f>
        <v>5146</v>
      </c>
      <c r="BZ75" s="7">
        <f>+BZ63+BZ71+BZ72+BZ73+BZ74</f>
        <v>10364</v>
      </c>
      <c r="CA75" s="23">
        <f t="shared" si="9"/>
        <v>2.0279582594999068E-2</v>
      </c>
      <c r="CB75" s="7">
        <f>+CB63+CB71+CB72+CB73+CB74</f>
        <v>5397</v>
      </c>
      <c r="CC75" s="7">
        <f>+CC63+CC71+CC72+CC73+CC74</f>
        <v>5523</v>
      </c>
      <c r="CD75" s="7">
        <f>+CD63+CD71+CD72+CD73+CD74</f>
        <v>10920</v>
      </c>
      <c r="CE75" s="23">
        <f t="shared" si="11"/>
        <v>5.3647240447703526E-2</v>
      </c>
      <c r="CF75" s="7">
        <f>+CF63+CF71+CF72+CF73+CF74</f>
        <v>5830</v>
      </c>
      <c r="CG75" s="7">
        <f>+CG63+CG71+CG72+CG73+CG74</f>
        <v>6924</v>
      </c>
      <c r="CH75" s="7">
        <f>+CH63+CH71+CH72+CH73+CH74</f>
        <v>12754</v>
      </c>
      <c r="CI75" s="23">
        <f t="shared" si="13"/>
        <v>0.16794871794871802</v>
      </c>
      <c r="CJ75" s="7">
        <f>+CJ63+CJ71+CJ72+CJ73+CJ74</f>
        <v>6320</v>
      </c>
      <c r="CK75" s="7">
        <f>+CK63+CK71+CK72+CK73+CK74</f>
        <v>6005</v>
      </c>
      <c r="CL75" s="7">
        <f>+CL63+CL71+CL72+CL73+CL74</f>
        <v>12325</v>
      </c>
      <c r="CM75" s="23">
        <f t="shared" si="15"/>
        <v>-3.3636506194135163E-2</v>
      </c>
      <c r="CN75" s="7">
        <f>+CN63+CN71+CN72+CN73+CN74</f>
        <v>5519</v>
      </c>
      <c r="CO75" s="7">
        <f>+CO63+CO71+CO72+CO73+CO74</f>
        <v>7255</v>
      </c>
      <c r="CP75" s="7">
        <f>+CP63+CP71+CP72+CP73+CP74</f>
        <v>12774</v>
      </c>
      <c r="CQ75" s="23">
        <f t="shared" si="17"/>
        <v>3.6430020283975573E-2</v>
      </c>
      <c r="CR75" s="7">
        <f>+CR63+CR71+CR72+CR73+CR74</f>
        <v>7804</v>
      </c>
      <c r="CS75" s="7">
        <f>+CS63+CS71+CS72+CS73+CS74</f>
        <v>9520</v>
      </c>
      <c r="CT75" s="7">
        <f>+CT63+CT71+CT72+CT73+CT74</f>
        <v>17324</v>
      </c>
      <c r="CU75" s="23">
        <f t="shared" si="19"/>
        <v>0.35619226553937677</v>
      </c>
      <c r="CV75" s="7">
        <f>+CV63+CV71+CV72+CV73+CV74</f>
        <v>8702</v>
      </c>
      <c r="CW75" s="7">
        <f>+CW63+CW71+CW72+CW73+CW74</f>
        <v>10420</v>
      </c>
      <c r="CX75" s="7">
        <f>+CX63+CX71+CX72+CX73+CX74</f>
        <v>19122</v>
      </c>
      <c r="CY75" s="23">
        <f t="shared" si="21"/>
        <v>0.10378665435234358</v>
      </c>
      <c r="CZ75" s="7">
        <f>+CZ63+CZ71+CZ72+CZ73+CZ74</f>
        <v>7910</v>
      </c>
      <c r="DA75" s="7">
        <f>+DA63+DA71+DA72+DA73+DA74</f>
        <v>8977</v>
      </c>
      <c r="DB75" s="7">
        <f>+DB63+DB71+DB72+DB73+DB74</f>
        <v>16887</v>
      </c>
      <c r="DC75" s="23">
        <f t="shared" si="23"/>
        <v>-0.11688107938500159</v>
      </c>
      <c r="DD75" s="7">
        <f>+DD63+DD71+DD72+DD73+DD74</f>
        <v>8216</v>
      </c>
      <c r="DE75" s="7">
        <f ca="1">+DE63+DE71+DE72+DE73+DE74</f>
        <v>8992</v>
      </c>
      <c r="DF75" s="7">
        <f ca="1">+DF63+DF71+DF72+DF73+DF74</f>
        <v>17208</v>
      </c>
      <c r="DG75" s="23">
        <f t="shared" ca="1" si="25"/>
        <v>1.9008704920945085E-2</v>
      </c>
      <c r="DH75" s="7">
        <f>+DH63+DH71+DH72+DH73+DH74</f>
        <v>8691</v>
      </c>
      <c r="DI75" s="7">
        <f>+DI63+DI71+DI72+DI73+DI74</f>
        <v>9966.2236998674798</v>
      </c>
      <c r="DJ75" s="7">
        <f>+DJ63+DJ71+DJ72+DJ73+DJ74</f>
        <v>18657.223699867482</v>
      </c>
      <c r="DK75" s="23">
        <f t="shared" ca="1" si="28"/>
        <v>8.4218020680351113E-2</v>
      </c>
      <c r="DL75" s="7">
        <f>+DL63+DL71+DL72+DL73+DL74</f>
        <v>8910.2531271361349</v>
      </c>
      <c r="DM75" s="7">
        <f>+DM63+DM71+DM72+DM73+DM74</f>
        <v>10013.843070651159</v>
      </c>
      <c r="DN75" s="7">
        <f>+DN63+DN71+DN72+DN73+DN74</f>
        <v>18924.096197787294</v>
      </c>
      <c r="DO75" s="23">
        <f t="shared" si="30"/>
        <v>1.430397695889285E-2</v>
      </c>
      <c r="DP75" s="7">
        <f>+DP63+DP71+DP72+DP73+DP74</f>
        <v>9412.3249414995025</v>
      </c>
      <c r="DQ75" s="7">
        <f>+DQ63+DQ71+DQ72+DQ73+DQ74</f>
        <v>10551.243662518247</v>
      </c>
      <c r="DR75" s="7">
        <f>+DR63+DR71+DR72+DR73+DR74</f>
        <v>19963.56860401775</v>
      </c>
      <c r="DS75" s="23">
        <f t="shared" si="32"/>
        <v>5.4928509946593707E-2</v>
      </c>
    </row>
    <row r="76" spans="1:125">
      <c r="A76" s="1" t="s">
        <v>47</v>
      </c>
      <c r="BF76" s="38">
        <f>BF49</f>
        <v>-3334.8329399999998</v>
      </c>
      <c r="BH76" s="38">
        <f t="shared" ref="BH76:BJ79" si="100">BH49</f>
        <v>-1442</v>
      </c>
      <c r="BI76" s="38">
        <f t="shared" si="100"/>
        <v>-1630</v>
      </c>
      <c r="BJ76" s="38">
        <f t="shared" si="100"/>
        <v>-3072</v>
      </c>
      <c r="BK76" s="10">
        <f t="shared" si="0"/>
        <v>-7.8814424808938077E-2</v>
      </c>
      <c r="BL76" s="38">
        <f t="shared" ref="BL76:BN79" si="101">BL49</f>
        <v>-1622</v>
      </c>
      <c r="BM76" s="38">
        <f t="shared" si="101"/>
        <v>-1883</v>
      </c>
      <c r="BN76" s="38">
        <f t="shared" si="101"/>
        <v>-3505</v>
      </c>
      <c r="BO76" s="10">
        <f t="shared" si="4"/>
        <v>0.14095052083333326</v>
      </c>
      <c r="BP76" s="38">
        <f t="shared" ref="BP76:BR79" si="102">BP49</f>
        <v>-1821</v>
      </c>
      <c r="BQ76" s="38">
        <f t="shared" si="102"/>
        <v>-2070</v>
      </c>
      <c r="BR76" s="38">
        <f t="shared" si="102"/>
        <v>-3891</v>
      </c>
      <c r="BS76" s="10">
        <f t="shared" si="6"/>
        <v>0.11012838801711844</v>
      </c>
      <c r="BT76" s="38">
        <f t="shared" ref="BT76:BV79" si="103">BT49</f>
        <v>-2118</v>
      </c>
      <c r="BU76" s="38">
        <f t="shared" si="103"/>
        <v>-1839</v>
      </c>
      <c r="BV76" s="38">
        <f t="shared" si="103"/>
        <v>-3957</v>
      </c>
      <c r="BW76" s="10">
        <f t="shared" si="1"/>
        <v>1.6962220508866643E-2</v>
      </c>
      <c r="BX76" s="38">
        <f t="shared" ref="BX76:BZ79" si="104">BX49</f>
        <v>-2141</v>
      </c>
      <c r="BY76" s="38">
        <f t="shared" si="104"/>
        <v>-1980</v>
      </c>
      <c r="BZ76" s="38">
        <f t="shared" si="104"/>
        <v>-4121</v>
      </c>
      <c r="CA76" s="10">
        <f t="shared" si="9"/>
        <v>4.1445539550164279E-2</v>
      </c>
      <c r="CB76" s="38">
        <f t="shared" ref="CB76:CD79" si="105">CB49</f>
        <v>-2130</v>
      </c>
      <c r="CC76" s="38">
        <f t="shared" si="105"/>
        <v>-2091</v>
      </c>
      <c r="CD76" s="38">
        <f t="shared" si="105"/>
        <v>-4221</v>
      </c>
      <c r="CE76" s="10">
        <f t="shared" si="11"/>
        <v>2.4265954865323902E-2</v>
      </c>
      <c r="CF76" s="38">
        <f t="shared" ref="CF76:CH79" si="106">CF49</f>
        <v>-2297</v>
      </c>
      <c r="CG76" s="38">
        <f t="shared" si="106"/>
        <v>-2594</v>
      </c>
      <c r="CH76" s="38">
        <f t="shared" si="106"/>
        <v>-4891</v>
      </c>
      <c r="CI76" s="10">
        <f t="shared" si="13"/>
        <v>0.15873015873015883</v>
      </c>
      <c r="CJ76" s="38">
        <f t="shared" ref="CJ76:CL76" si="107">CJ49</f>
        <v>-2602</v>
      </c>
      <c r="CK76" s="38">
        <f t="shared" si="107"/>
        <v>-2399</v>
      </c>
      <c r="CL76" s="38">
        <f t="shared" si="107"/>
        <v>-5001</v>
      </c>
      <c r="CM76" s="10">
        <f t="shared" si="15"/>
        <v>2.249028828460431E-2</v>
      </c>
      <c r="CN76" s="38">
        <f t="shared" ref="CN76:CP76" si="108">CN49</f>
        <v>-2431</v>
      </c>
      <c r="CO76" s="38">
        <f t="shared" si="108"/>
        <v>-2759</v>
      </c>
      <c r="CP76" s="38">
        <f t="shared" si="108"/>
        <v>-5190</v>
      </c>
      <c r="CQ76" s="10">
        <f t="shared" si="17"/>
        <v>3.7792441511697694E-2</v>
      </c>
      <c r="CR76" s="38">
        <f t="shared" ref="CR76:CT76" si="109">CR49</f>
        <v>-3001</v>
      </c>
      <c r="CS76" s="38">
        <f t="shared" si="109"/>
        <v>-3363</v>
      </c>
      <c r="CT76" s="38">
        <f t="shared" si="109"/>
        <v>-6364</v>
      </c>
      <c r="CU76" s="10">
        <f t="shared" si="19"/>
        <v>0.22620423892100194</v>
      </c>
      <c r="CV76" s="38">
        <f t="shared" ref="CV76:CX76" si="110">CV49</f>
        <v>-3434</v>
      </c>
      <c r="CW76" s="38">
        <f t="shared" si="110"/>
        <v>-3844</v>
      </c>
      <c r="CX76" s="38">
        <f t="shared" si="110"/>
        <v>-7278</v>
      </c>
      <c r="CY76" s="10">
        <f t="shared" si="21"/>
        <v>0.14362036455059712</v>
      </c>
      <c r="CZ76" s="38">
        <f t="shared" ref="CZ76:DB76" si="111">CZ49</f>
        <v>-3506</v>
      </c>
      <c r="DA76" s="38">
        <f t="shared" si="111"/>
        <v>-3767</v>
      </c>
      <c r="DB76" s="38">
        <f t="shared" si="111"/>
        <v>-7273</v>
      </c>
      <c r="DC76" s="10">
        <f t="shared" si="23"/>
        <v>-6.8700192360537926E-4</v>
      </c>
      <c r="DD76" s="38">
        <f t="shared" ref="DD76:DF76" si="112">DD49</f>
        <v>-3541</v>
      </c>
      <c r="DE76" s="38">
        <f t="shared" si="112"/>
        <v>-3714</v>
      </c>
      <c r="DF76" s="38">
        <f t="shared" si="112"/>
        <v>-7255</v>
      </c>
      <c r="DG76" s="10">
        <f t="shared" si="25"/>
        <v>-2.4749071909803133E-3</v>
      </c>
      <c r="DH76" s="38">
        <f t="shared" ref="DH76" si="113">DH49</f>
        <v>-3734</v>
      </c>
      <c r="DI76" s="38">
        <f t="shared" ref="DI76:DJ76" si="114">DI49</f>
        <v>-3885.8306205783306</v>
      </c>
      <c r="DJ76" s="38">
        <f t="shared" si="114"/>
        <v>-7619.8306205783301</v>
      </c>
      <c r="DK76" s="10">
        <f t="shared" si="28"/>
        <v>5.0286784366413428E-2</v>
      </c>
      <c r="DL76" s="38">
        <f t="shared" ref="DL76:DN76" si="115">DL49</f>
        <v>-3831.4088446685378</v>
      </c>
      <c r="DM76" s="38">
        <f t="shared" si="115"/>
        <v>-3955.468012907208</v>
      </c>
      <c r="DN76" s="38">
        <f t="shared" si="115"/>
        <v>-7786.8768575757458</v>
      </c>
      <c r="DO76" s="10">
        <f t="shared" si="30"/>
        <v>2.1922565646838033E-2</v>
      </c>
      <c r="DP76" s="38">
        <f t="shared" ref="DP76:DR76" si="116">DP49</f>
        <v>-4019.0627500202877</v>
      </c>
      <c r="DQ76" s="38">
        <f t="shared" si="116"/>
        <v>-4167.741246694708</v>
      </c>
      <c r="DR76" s="38">
        <f t="shared" si="116"/>
        <v>-8186.8039967149962</v>
      </c>
      <c r="DS76" s="10">
        <f t="shared" si="32"/>
        <v>5.1359119510175244E-2</v>
      </c>
    </row>
    <row r="77" spans="1:125">
      <c r="A77" s="1" t="s">
        <v>48</v>
      </c>
      <c r="BF77" s="38">
        <f>BF50</f>
        <v>-225</v>
      </c>
      <c r="BH77" s="38">
        <f t="shared" si="100"/>
        <v>-96</v>
      </c>
      <c r="BI77" s="38">
        <f t="shared" si="100"/>
        <v>-105</v>
      </c>
      <c r="BJ77" s="38">
        <f t="shared" si="100"/>
        <v>-201</v>
      </c>
      <c r="BK77" s="10">
        <f t="shared" si="0"/>
        <v>-0.10666666666666669</v>
      </c>
      <c r="BL77" s="38">
        <f t="shared" si="101"/>
        <v>-108</v>
      </c>
      <c r="BM77" s="38">
        <f t="shared" si="101"/>
        <v>-123</v>
      </c>
      <c r="BN77" s="38">
        <f t="shared" si="101"/>
        <v>-231</v>
      </c>
      <c r="BO77" s="10">
        <f t="shared" si="4"/>
        <v>0.14925373134328357</v>
      </c>
      <c r="BP77" s="38">
        <f t="shared" si="102"/>
        <v>-123</v>
      </c>
      <c r="BQ77" s="38">
        <f t="shared" si="102"/>
        <v>-129</v>
      </c>
      <c r="BR77" s="38">
        <f t="shared" si="102"/>
        <v>-252</v>
      </c>
      <c r="BS77" s="10">
        <f t="shared" si="6"/>
        <v>9.0909090909090828E-2</v>
      </c>
      <c r="BT77" s="38">
        <f t="shared" si="103"/>
        <v>-145</v>
      </c>
      <c r="BU77" s="38">
        <f t="shared" si="103"/>
        <v>-142</v>
      </c>
      <c r="BV77" s="38">
        <f t="shared" si="103"/>
        <v>-287</v>
      </c>
      <c r="BW77" s="10">
        <f t="shared" si="1"/>
        <v>0.13888888888888884</v>
      </c>
      <c r="BX77" s="38">
        <f t="shared" si="104"/>
        <v>-149</v>
      </c>
      <c r="BY77" s="38">
        <f t="shared" si="104"/>
        <v>-109</v>
      </c>
      <c r="BZ77" s="38">
        <f t="shared" si="104"/>
        <v>-258</v>
      </c>
      <c r="CA77" s="10">
        <f t="shared" si="9"/>
        <v>-0.10104529616724733</v>
      </c>
      <c r="CB77" s="38">
        <f t="shared" si="105"/>
        <v>-131</v>
      </c>
      <c r="CC77" s="38">
        <f t="shared" si="105"/>
        <v>-141</v>
      </c>
      <c r="CD77" s="38">
        <f t="shared" si="105"/>
        <v>-272</v>
      </c>
      <c r="CE77" s="10">
        <f t="shared" si="11"/>
        <v>5.4263565891472965E-2</v>
      </c>
      <c r="CF77" s="38">
        <f t="shared" si="106"/>
        <v>-157</v>
      </c>
      <c r="CG77" s="38">
        <f t="shared" si="106"/>
        <v>-169</v>
      </c>
      <c r="CH77" s="38">
        <f t="shared" si="106"/>
        <v>-326</v>
      </c>
      <c r="CI77" s="10">
        <f t="shared" si="13"/>
        <v>0.19852941176470584</v>
      </c>
      <c r="CJ77" s="38">
        <f t="shared" ref="CJ77:CL77" si="117">CJ50</f>
        <v>-174</v>
      </c>
      <c r="CK77" s="38">
        <f t="shared" si="117"/>
        <v>-148</v>
      </c>
      <c r="CL77" s="38">
        <f t="shared" si="117"/>
        <v>-322</v>
      </c>
      <c r="CM77" s="10">
        <f t="shared" si="15"/>
        <v>-1.2269938650306789E-2</v>
      </c>
      <c r="CN77" s="38">
        <f t="shared" ref="CN77:CP77" si="118">CN50</f>
        <v>-184</v>
      </c>
      <c r="CO77" s="38">
        <f t="shared" si="118"/>
        <v>-143</v>
      </c>
      <c r="CP77" s="38">
        <f t="shared" si="118"/>
        <v>-327</v>
      </c>
      <c r="CQ77" s="10">
        <f t="shared" si="17"/>
        <v>1.552795031055898E-2</v>
      </c>
      <c r="CR77" s="38">
        <f t="shared" ref="CR77:CT77" si="119">CR50</f>
        <v>-163</v>
      </c>
      <c r="CS77" s="38">
        <f t="shared" si="119"/>
        <v>-198</v>
      </c>
      <c r="CT77" s="38">
        <f t="shared" si="119"/>
        <v>-361</v>
      </c>
      <c r="CU77" s="10">
        <f t="shared" si="19"/>
        <v>0.10397553516819569</v>
      </c>
      <c r="CV77" s="38">
        <f t="shared" ref="CV77:CX77" si="120">CV50</f>
        <v>-179</v>
      </c>
      <c r="CW77" s="38">
        <f t="shared" si="120"/>
        <v>-246</v>
      </c>
      <c r="CX77" s="38">
        <f t="shared" si="120"/>
        <v>-425</v>
      </c>
      <c r="CY77" s="10">
        <f t="shared" si="21"/>
        <v>0.17728531855955687</v>
      </c>
      <c r="CZ77" s="38">
        <f t="shared" ref="CZ77:DB77" si="121">CZ50</f>
        <v>-228</v>
      </c>
      <c r="DA77" s="38">
        <f t="shared" si="121"/>
        <v>-222</v>
      </c>
      <c r="DB77" s="38">
        <f t="shared" si="121"/>
        <v>-450</v>
      </c>
      <c r="DC77" s="10">
        <f t="shared" si="23"/>
        <v>5.8823529411764719E-2</v>
      </c>
      <c r="DD77" s="38">
        <f t="shared" ref="DD77:DF77" si="122">DD50</f>
        <v>-215</v>
      </c>
      <c r="DE77" s="38">
        <f t="shared" si="122"/>
        <v>-190</v>
      </c>
      <c r="DF77" s="38">
        <f t="shared" si="122"/>
        <v>-405</v>
      </c>
      <c r="DG77" s="10">
        <f t="shared" si="25"/>
        <v>-9.9999999999999978E-2</v>
      </c>
      <c r="DH77" s="38">
        <f t="shared" ref="DH77" si="123">DH50</f>
        <v>-222</v>
      </c>
      <c r="DI77" s="38">
        <f t="shared" ref="DI77:DJ77" si="124">DI50</f>
        <v>-227.45464918032803</v>
      </c>
      <c r="DJ77" s="38">
        <f t="shared" si="124"/>
        <v>-449.45464918032849</v>
      </c>
      <c r="DK77" s="10">
        <f t="shared" si="28"/>
        <v>0.10976456587735428</v>
      </c>
      <c r="DL77" s="38">
        <f t="shared" ref="DL77:DN77" si="125">DL50</f>
        <v>-235.61127288000034</v>
      </c>
      <c r="DM77" s="38">
        <f t="shared" si="125"/>
        <v>-241.40035772905821</v>
      </c>
      <c r="DN77" s="38">
        <f t="shared" si="125"/>
        <v>-477.01163060905856</v>
      </c>
      <c r="DO77" s="10">
        <f t="shared" si="30"/>
        <v>6.1312039999999568E-2</v>
      </c>
      <c r="DP77" s="38">
        <f t="shared" ref="DP77:DR77" si="126">DP50</f>
        <v>-249.37386459987238</v>
      </c>
      <c r="DQ77" s="38">
        <f t="shared" si="126"/>
        <v>-256.90495531078886</v>
      </c>
      <c r="DR77" s="38">
        <f t="shared" si="126"/>
        <v>-506.2788199106617</v>
      </c>
      <c r="DS77" s="10">
        <f t="shared" si="32"/>
        <v>6.1355294973068464E-2</v>
      </c>
    </row>
    <row r="78" spans="1:125">
      <c r="A78" s="1" t="s">
        <v>28</v>
      </c>
      <c r="BF78" s="38">
        <f>BF51</f>
        <v>-723.66629999999998</v>
      </c>
      <c r="BH78" s="38">
        <f t="shared" si="100"/>
        <v>-320</v>
      </c>
      <c r="BI78" s="38">
        <f t="shared" si="100"/>
        <v>-284</v>
      </c>
      <c r="BJ78" s="38">
        <f t="shared" si="100"/>
        <v>-604</v>
      </c>
      <c r="BK78" s="10">
        <f t="shared" si="0"/>
        <v>-0.16536116162933101</v>
      </c>
      <c r="BL78" s="38">
        <f t="shared" si="101"/>
        <v>-379</v>
      </c>
      <c r="BM78" s="38">
        <f t="shared" si="101"/>
        <v>-400</v>
      </c>
      <c r="BN78" s="38">
        <f t="shared" si="101"/>
        <v>-779</v>
      </c>
      <c r="BO78" s="10">
        <f t="shared" si="4"/>
        <v>0.28973509933774833</v>
      </c>
      <c r="BP78" s="38">
        <f t="shared" si="102"/>
        <v>-387</v>
      </c>
      <c r="BQ78" s="38">
        <f t="shared" si="102"/>
        <v>-437</v>
      </c>
      <c r="BR78" s="38">
        <f t="shared" si="102"/>
        <v>-824</v>
      </c>
      <c r="BS78" s="10">
        <f t="shared" si="6"/>
        <v>5.7766367137355612E-2</v>
      </c>
      <c r="BT78" s="38">
        <f t="shared" si="103"/>
        <v>-444</v>
      </c>
      <c r="BU78" s="38">
        <f t="shared" si="103"/>
        <v>-448</v>
      </c>
      <c r="BV78" s="38">
        <f t="shared" si="103"/>
        <v>-892</v>
      </c>
      <c r="BW78" s="10">
        <f t="shared" si="1"/>
        <v>8.2524271844660158E-2</v>
      </c>
      <c r="BX78" s="38">
        <f t="shared" si="104"/>
        <v>-418</v>
      </c>
      <c r="BY78" s="38">
        <f t="shared" si="104"/>
        <v>-434</v>
      </c>
      <c r="BZ78" s="38">
        <f t="shared" si="104"/>
        <v>-852</v>
      </c>
      <c r="CA78" s="10">
        <f t="shared" si="9"/>
        <v>-4.4843049327354279E-2</v>
      </c>
      <c r="CB78" s="38">
        <f t="shared" si="105"/>
        <v>-422</v>
      </c>
      <c r="CC78" s="38">
        <f t="shared" si="105"/>
        <v>-408</v>
      </c>
      <c r="CD78" s="38">
        <f t="shared" si="105"/>
        <v>-830</v>
      </c>
      <c r="CE78" s="10">
        <f t="shared" si="11"/>
        <v>-2.5821596244131495E-2</v>
      </c>
      <c r="CF78" s="38">
        <f t="shared" si="106"/>
        <v>-579</v>
      </c>
      <c r="CG78" s="38">
        <f t="shared" si="106"/>
        <v>-561</v>
      </c>
      <c r="CH78" s="38">
        <f t="shared" si="106"/>
        <v>-1140</v>
      </c>
      <c r="CI78" s="10">
        <f t="shared" si="13"/>
        <v>0.37349397590361444</v>
      </c>
      <c r="CJ78" s="38">
        <f t="shared" ref="CJ78:CL78" si="127">CJ51</f>
        <v>-482</v>
      </c>
      <c r="CK78" s="38">
        <f t="shared" si="127"/>
        <v>-482</v>
      </c>
      <c r="CL78" s="38">
        <f t="shared" si="127"/>
        <v>-964</v>
      </c>
      <c r="CM78" s="10">
        <f t="shared" si="15"/>
        <v>-0.15438596491228074</v>
      </c>
      <c r="CN78" s="38">
        <f t="shared" ref="CN78:CP78" si="128">CN51</f>
        <v>-471</v>
      </c>
      <c r="CO78" s="38">
        <f t="shared" si="128"/>
        <v>-408</v>
      </c>
      <c r="CP78" s="38">
        <f t="shared" si="128"/>
        <v>-879</v>
      </c>
      <c r="CQ78" s="10">
        <f t="shared" si="17"/>
        <v>-8.8174273858921182E-2</v>
      </c>
      <c r="CR78" s="38">
        <f t="shared" ref="CR78:CT78" si="129">CR51</f>
        <v>-498</v>
      </c>
      <c r="CS78" s="38">
        <f t="shared" si="129"/>
        <v>-531</v>
      </c>
      <c r="CT78" s="38">
        <f t="shared" si="129"/>
        <v>-1029</v>
      </c>
      <c r="CU78" s="10">
        <f t="shared" si="19"/>
        <v>0.17064846416382262</v>
      </c>
      <c r="CV78" s="38">
        <f t="shared" ref="CV78:CX78" si="130">CV51</f>
        <v>-500</v>
      </c>
      <c r="CW78" s="38">
        <f t="shared" si="130"/>
        <v>-528</v>
      </c>
      <c r="CX78" s="38">
        <f t="shared" si="130"/>
        <v>-1028</v>
      </c>
      <c r="CY78" s="10">
        <f t="shared" si="21"/>
        <v>-9.7181729834794339E-4</v>
      </c>
      <c r="CZ78" s="38">
        <f t="shared" ref="CZ78:DB78" si="131">CZ51</f>
        <v>-529</v>
      </c>
      <c r="DA78" s="38">
        <f t="shared" si="131"/>
        <v>-542</v>
      </c>
      <c r="DB78" s="38">
        <f t="shared" si="131"/>
        <v>-1071</v>
      </c>
      <c r="DC78" s="10">
        <f t="shared" si="23"/>
        <v>4.182879377431914E-2</v>
      </c>
      <c r="DD78" s="38">
        <f t="shared" ref="DD78:DF78" si="132">DD51</f>
        <v>-580</v>
      </c>
      <c r="DE78" s="38">
        <f t="shared" si="132"/>
        <v>-626</v>
      </c>
      <c r="DF78" s="38">
        <f t="shared" si="132"/>
        <v>-1206</v>
      </c>
      <c r="DG78" s="10">
        <f t="shared" si="25"/>
        <v>0.12605042016806722</v>
      </c>
      <c r="DH78" s="38">
        <f t="shared" ref="DH78" si="133">DH51</f>
        <v>-628</v>
      </c>
      <c r="DI78" s="38">
        <f t="shared" ref="DI78:DJ78" si="134">DI51</f>
        <v>-561.50916065666809</v>
      </c>
      <c r="DJ78" s="38">
        <f t="shared" si="134"/>
        <v>-1189.509160656668</v>
      </c>
      <c r="DK78" s="10">
        <f t="shared" si="28"/>
        <v>-1.3673996138749644E-2</v>
      </c>
      <c r="DL78" s="38">
        <f t="shared" ref="DL78:DN78" si="135">DL51</f>
        <v>-549.01522593116874</v>
      </c>
      <c r="DM78" s="38">
        <f t="shared" si="135"/>
        <v>-571.74769568802799</v>
      </c>
      <c r="DN78" s="38">
        <f t="shared" si="135"/>
        <v>-1120.7629216191967</v>
      </c>
      <c r="DO78" s="10">
        <f t="shared" si="30"/>
        <v>-5.7793786976402917E-2</v>
      </c>
      <c r="DP78" s="38">
        <f t="shared" ref="DP78:DR78" si="136">DP51</f>
        <v>-571.69703948997517</v>
      </c>
      <c r="DQ78" s="38">
        <f t="shared" si="136"/>
        <v>-595.42322325910618</v>
      </c>
      <c r="DR78" s="38">
        <f t="shared" si="136"/>
        <v>-1167.1202627490813</v>
      </c>
      <c r="DS78" s="10">
        <f t="shared" si="32"/>
        <v>4.1362307974027956E-2</v>
      </c>
    </row>
    <row r="79" spans="1:125">
      <c r="A79" s="1" t="s">
        <v>29</v>
      </c>
      <c r="BF79" s="38">
        <f>BF52</f>
        <v>-1630</v>
      </c>
      <c r="BH79" s="38">
        <f t="shared" si="100"/>
        <v>-679</v>
      </c>
      <c r="BI79" s="38">
        <f t="shared" si="100"/>
        <v>-696</v>
      </c>
      <c r="BJ79" s="38">
        <f t="shared" si="100"/>
        <v>-1375</v>
      </c>
      <c r="BK79" s="10">
        <f t="shared" si="0"/>
        <v>-0.15644171779141103</v>
      </c>
      <c r="BL79" s="38">
        <f t="shared" si="101"/>
        <v>-760</v>
      </c>
      <c r="BM79" s="38">
        <f t="shared" si="101"/>
        <v>-751</v>
      </c>
      <c r="BN79" s="38">
        <f t="shared" si="101"/>
        <v>-1511</v>
      </c>
      <c r="BO79" s="10">
        <f t="shared" si="4"/>
        <v>9.8909090909090835E-2</v>
      </c>
      <c r="BP79" s="38">
        <f t="shared" si="102"/>
        <v>-832</v>
      </c>
      <c r="BQ79" s="38">
        <f t="shared" si="102"/>
        <v>-941</v>
      </c>
      <c r="BR79" s="38">
        <f t="shared" si="102"/>
        <v>-1773</v>
      </c>
      <c r="BS79" s="10">
        <f t="shared" si="6"/>
        <v>0.17339510258107205</v>
      </c>
      <c r="BT79" s="38">
        <f t="shared" si="103"/>
        <v>-992</v>
      </c>
      <c r="BU79" s="38">
        <f t="shared" si="103"/>
        <v>-1015</v>
      </c>
      <c r="BV79" s="38">
        <f t="shared" si="103"/>
        <v>-2007</v>
      </c>
      <c r="BW79" s="10">
        <f t="shared" si="1"/>
        <v>0.13197969543147203</v>
      </c>
      <c r="BX79" s="38">
        <f t="shared" si="104"/>
        <v>-1025</v>
      </c>
      <c r="BY79" s="38">
        <f t="shared" si="104"/>
        <v>-1004</v>
      </c>
      <c r="BZ79" s="38">
        <f t="shared" si="104"/>
        <v>-2029</v>
      </c>
      <c r="CA79" s="10">
        <f t="shared" si="9"/>
        <v>1.0961634280019839E-2</v>
      </c>
      <c r="CB79" s="38">
        <f t="shared" si="105"/>
        <v>-1010</v>
      </c>
      <c r="CC79" s="38">
        <f t="shared" si="105"/>
        <v>-1123</v>
      </c>
      <c r="CD79" s="38">
        <f t="shared" si="105"/>
        <v>-2133</v>
      </c>
      <c r="CE79" s="10">
        <f t="shared" si="11"/>
        <v>5.1256776737309107E-2</v>
      </c>
      <c r="CF79" s="38">
        <f t="shared" si="106"/>
        <v>-1092</v>
      </c>
      <c r="CG79" s="38">
        <f t="shared" si="106"/>
        <v>-1438</v>
      </c>
      <c r="CH79" s="38">
        <f t="shared" si="106"/>
        <v>-2530</v>
      </c>
      <c r="CI79" s="10">
        <f t="shared" si="13"/>
        <v>0.18612283169245192</v>
      </c>
      <c r="CJ79" s="38">
        <f t="shared" ref="CJ79:CL79" si="137">CJ52</f>
        <v>-1222</v>
      </c>
      <c r="CK79" s="38">
        <f t="shared" si="137"/>
        <v>-1362</v>
      </c>
      <c r="CL79" s="38">
        <f t="shared" si="137"/>
        <v>-2584</v>
      </c>
      <c r="CM79" s="10">
        <f t="shared" si="15"/>
        <v>2.134387351778666E-2</v>
      </c>
      <c r="CN79" s="38">
        <f t="shared" ref="CN79:CP79" si="138">CN52</f>
        <v>-1180</v>
      </c>
      <c r="CO79" s="38">
        <f t="shared" si="138"/>
        <v>-1291</v>
      </c>
      <c r="CP79" s="38">
        <f t="shared" si="138"/>
        <v>-2471</v>
      </c>
      <c r="CQ79" s="10">
        <f t="shared" si="17"/>
        <v>-4.3730650154798711E-2</v>
      </c>
      <c r="CR79" s="38">
        <f t="shared" ref="CR79:CT79" si="139">CR52</f>
        <v>-1407</v>
      </c>
      <c r="CS79" s="38">
        <f t="shared" si="139"/>
        <v>-1624</v>
      </c>
      <c r="CT79" s="38">
        <f t="shared" si="139"/>
        <v>-3031</v>
      </c>
      <c r="CU79" s="10">
        <f t="shared" si="19"/>
        <v>0.22662889518413598</v>
      </c>
      <c r="CV79" s="38">
        <f t="shared" ref="CV79:CX79" si="140">CV52</f>
        <v>-1483</v>
      </c>
      <c r="CW79" s="38">
        <f t="shared" si="140"/>
        <v>-1916</v>
      </c>
      <c r="CX79" s="38">
        <f t="shared" si="140"/>
        <v>-3399</v>
      </c>
      <c r="CY79" s="10">
        <f t="shared" si="21"/>
        <v>0.12141207522269881</v>
      </c>
      <c r="CZ79" s="38">
        <f t="shared" ref="CZ79:DB79" si="141">CZ52</f>
        <v>-1656</v>
      </c>
      <c r="DA79" s="38">
        <f t="shared" si="141"/>
        <v>-1611</v>
      </c>
      <c r="DB79" s="38">
        <f t="shared" si="141"/>
        <v>-3267</v>
      </c>
      <c r="DC79" s="10">
        <f t="shared" si="23"/>
        <v>-3.8834951456310662E-2</v>
      </c>
      <c r="DD79" s="38">
        <f t="shared" ref="DD79:DF79" si="142">DD52</f>
        <v>-1583</v>
      </c>
      <c r="DE79" s="38">
        <f t="shared" si="142"/>
        <v>-1691</v>
      </c>
      <c r="DF79" s="38">
        <f t="shared" si="142"/>
        <v>-3274</v>
      </c>
      <c r="DG79" s="10">
        <f t="shared" si="25"/>
        <v>2.1426385062748299E-3</v>
      </c>
      <c r="DH79" s="38">
        <f t="shared" ref="DH79" si="143">DH52</f>
        <v>-1655</v>
      </c>
      <c r="DI79" s="38">
        <f t="shared" ref="DI79:DJ79" si="144">DI52</f>
        <v>-1718.4049999999997</v>
      </c>
      <c r="DJ79" s="38">
        <f t="shared" si="144"/>
        <v>-3373.4049999999997</v>
      </c>
      <c r="DK79" s="10">
        <f t="shared" si="28"/>
        <v>3.0361942577886269E-2</v>
      </c>
      <c r="DL79" s="38">
        <f t="shared" ref="DL79:DN79" si="145">DL52</f>
        <v>-1616.1849999999997</v>
      </c>
      <c r="DM79" s="38">
        <f t="shared" si="145"/>
        <v>-1663.9884</v>
      </c>
      <c r="DN79" s="38">
        <f t="shared" si="145"/>
        <v>-3280.1733999999997</v>
      </c>
      <c r="DO79" s="10">
        <f t="shared" si="30"/>
        <v>-2.7637238932176844E-2</v>
      </c>
      <c r="DP79" s="38">
        <f t="shared" ref="DP79:DR79" si="146">DP52</f>
        <v>-1657.4045499999997</v>
      </c>
      <c r="DQ79" s="38">
        <f t="shared" si="146"/>
        <v>-1706.1287712000001</v>
      </c>
      <c r="DR79" s="38">
        <f t="shared" si="146"/>
        <v>-3363.5333211999996</v>
      </c>
      <c r="DS79" s="10">
        <f t="shared" si="32"/>
        <v>2.5413266627916764E-2</v>
      </c>
    </row>
    <row r="80" spans="1:125">
      <c r="A80" s="2" t="s">
        <v>569</v>
      </c>
      <c r="BF80" s="7">
        <f>+BF76+BF77+BF78+BF79</f>
        <v>-5913.4992400000001</v>
      </c>
      <c r="BH80" s="7">
        <f>+BH76+BH77+BH78+BH79</f>
        <v>-2537</v>
      </c>
      <c r="BI80" s="7">
        <f>+BI76+BI77+BI78+BI79</f>
        <v>-2715</v>
      </c>
      <c r="BJ80" s="7">
        <f>+BJ76+BJ77+BJ78+BJ79</f>
        <v>-5252</v>
      </c>
      <c r="BK80" s="23">
        <f t="shared" si="0"/>
        <v>-0.11186257292898549</v>
      </c>
      <c r="BL80" s="7">
        <f>+BL76+BL77+BL78+BL79</f>
        <v>-2869</v>
      </c>
      <c r="BM80" s="7">
        <f>+BM76+BM77+BM78+BM79</f>
        <v>-3157</v>
      </c>
      <c r="BN80" s="7">
        <f>+BN76+BN77+BN78+BN79</f>
        <v>-6026</v>
      </c>
      <c r="BO80" s="23">
        <f t="shared" si="4"/>
        <v>0.14737242955064733</v>
      </c>
      <c r="BP80" s="7">
        <f>+BP76+BP77+BP78+BP79</f>
        <v>-3163</v>
      </c>
      <c r="BQ80" s="7">
        <f>+BQ76+BQ77+BQ78+BQ79</f>
        <v>-3577</v>
      </c>
      <c r="BR80" s="7">
        <f>+BR76+BR77+BR78+BR79</f>
        <v>-6740</v>
      </c>
      <c r="BS80" s="23">
        <f t="shared" si="6"/>
        <v>0.1184865582475938</v>
      </c>
      <c r="BT80" s="7">
        <f>+BT76+BT77+BT78+BT79</f>
        <v>-3699</v>
      </c>
      <c r="BU80" s="7">
        <f>+BU76+BU77+BU78+BU79</f>
        <v>-3444</v>
      </c>
      <c r="BV80" s="7">
        <f>+BV76+BV77+BV78+BV79</f>
        <v>-7143</v>
      </c>
      <c r="BW80" s="23">
        <f t="shared" si="1"/>
        <v>5.9792284866468925E-2</v>
      </c>
      <c r="BX80" s="7">
        <f>+BX76+BX77+BX78+BX79</f>
        <v>-3733</v>
      </c>
      <c r="BY80" s="7">
        <f>+BY76+BY77+BY78+BY79</f>
        <v>-3527</v>
      </c>
      <c r="BZ80" s="7">
        <f>+BZ76+BZ77+BZ78+BZ79</f>
        <v>-7260</v>
      </c>
      <c r="CA80" s="23">
        <f t="shared" si="9"/>
        <v>1.6379672406551915E-2</v>
      </c>
      <c r="CB80" s="7">
        <f>+CB76+CB77+CB78+CB79</f>
        <v>-3693</v>
      </c>
      <c r="CC80" s="7">
        <f>+CC76+CC77+CC78+CC79</f>
        <v>-3763</v>
      </c>
      <c r="CD80" s="7">
        <f>+CD76+CD77+CD78+CD79</f>
        <v>-7456</v>
      </c>
      <c r="CE80" s="23">
        <f t="shared" si="11"/>
        <v>2.6997245179063434E-2</v>
      </c>
      <c r="CF80" s="7">
        <f>+CF76+CF77+CF78+CF79</f>
        <v>-4125</v>
      </c>
      <c r="CG80" s="7">
        <f>+CG76+CG77+CG78+CG79</f>
        <v>-4762</v>
      </c>
      <c r="CH80" s="7">
        <f>+CH76+CH77+CH78+CH79</f>
        <v>-8887</v>
      </c>
      <c r="CI80" s="23">
        <f t="shared" si="13"/>
        <v>0.19192596566523612</v>
      </c>
      <c r="CJ80" s="7">
        <f>+CJ76+CJ77+CJ78+CJ79</f>
        <v>-4480</v>
      </c>
      <c r="CK80" s="7">
        <f>+CK76+CK77+CK78+CK79</f>
        <v>-4391</v>
      </c>
      <c r="CL80" s="7">
        <f>+CL76+CL77+CL78+CL79</f>
        <v>-8871</v>
      </c>
      <c r="CM80" s="23">
        <f t="shared" si="15"/>
        <v>-1.8003825812985541E-3</v>
      </c>
      <c r="CN80" s="7">
        <f>+CN76+CN77+CN78+CN79</f>
        <v>-4266</v>
      </c>
      <c r="CO80" s="7">
        <f>+CO76+CO77+CO78+CO79</f>
        <v>-4601</v>
      </c>
      <c r="CP80" s="7">
        <f>+CP76+CP77+CP78+CP79</f>
        <v>-8867</v>
      </c>
      <c r="CQ80" s="23">
        <f t="shared" si="17"/>
        <v>-4.5090745124565235E-4</v>
      </c>
      <c r="CR80" s="7">
        <f>+CR76+CR77+CR78+CR79</f>
        <v>-5069</v>
      </c>
      <c r="CS80" s="7">
        <f>+CS76+CS77+CS78+CS79</f>
        <v>-5716</v>
      </c>
      <c r="CT80" s="7">
        <f>+CT76+CT77+CT78+CT79</f>
        <v>-10785</v>
      </c>
      <c r="CU80" s="23">
        <f t="shared" si="19"/>
        <v>0.216307657606857</v>
      </c>
      <c r="CV80" s="7">
        <f>+CV76+CV77+CV78+CV79</f>
        <v>-5596</v>
      </c>
      <c r="CW80" s="7">
        <f>+CW76+CW77+CW78+CW79</f>
        <v>-6534</v>
      </c>
      <c r="CX80" s="7">
        <f>+CX76+CX77+CX78+CX79</f>
        <v>-12130</v>
      </c>
      <c r="CY80" s="23">
        <f t="shared" si="21"/>
        <v>0.12471024571163647</v>
      </c>
      <c r="CZ80" s="7">
        <f>+CZ76+CZ77+CZ78+CZ79</f>
        <v>-5919</v>
      </c>
      <c r="DA80" s="7">
        <f>+DA76+DA77+DA78+DA79</f>
        <v>-6142</v>
      </c>
      <c r="DB80" s="7">
        <f>+DB76+DB77+DB78+DB79</f>
        <v>-12061</v>
      </c>
      <c r="DC80" s="23">
        <f t="shared" si="23"/>
        <v>-5.688375927452638E-3</v>
      </c>
      <c r="DD80" s="7">
        <f>+DD76+DD77+DD78+DD79</f>
        <v>-5919</v>
      </c>
      <c r="DE80" s="7">
        <f>+DE76+DE77+DE78+DE79</f>
        <v>-6221</v>
      </c>
      <c r="DF80" s="7">
        <f>+DF76+DF77+DF78+DF79</f>
        <v>-12140</v>
      </c>
      <c r="DG80" s="23">
        <f t="shared" si="25"/>
        <v>6.5500373103390963E-3</v>
      </c>
      <c r="DH80" s="7">
        <f>+DH76+DH77+DH78+DH79</f>
        <v>-6239</v>
      </c>
      <c r="DI80" s="7">
        <f>+DI76+DI77+DI78+DI79</f>
        <v>-6393.1994304153268</v>
      </c>
      <c r="DJ80" s="7">
        <f>+DJ76+DJ77+DJ78+DJ79</f>
        <v>-12632.199430415327</v>
      </c>
      <c r="DK80" s="23">
        <f t="shared" si="28"/>
        <v>4.0543610413124043E-2</v>
      </c>
      <c r="DL80" s="7">
        <f>+DL76+DL77+DL78+DL79</f>
        <v>-6232.2203434797066</v>
      </c>
      <c r="DM80" s="7">
        <f>+DM76+DM77+DM78+DM79</f>
        <v>-6432.6044663242947</v>
      </c>
      <c r="DN80" s="7">
        <f>+DN76+DN77+DN78+DN79</f>
        <v>-12664.824809804</v>
      </c>
      <c r="DO80" s="23">
        <f t="shared" si="30"/>
        <v>2.5827156678763785E-3</v>
      </c>
      <c r="DP80" s="7">
        <f>+DP76+DP77+DP78+DP79</f>
        <v>-6497.5382041101348</v>
      </c>
      <c r="DQ80" s="7">
        <f>+DQ76+DQ77+DQ78+DQ79</f>
        <v>-6726.1981964646029</v>
      </c>
      <c r="DR80" s="7">
        <f>+DR76+DR77+DR78+DR79</f>
        <v>-13223.73640057474</v>
      </c>
      <c r="DS80" s="23">
        <f t="shared" si="32"/>
        <v>4.4131016351531382E-2</v>
      </c>
    </row>
    <row r="81" spans="1:123">
      <c r="A81" s="3" t="s">
        <v>30</v>
      </c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10">
        <f>-BF76/BF75</f>
        <v>0.47895940676720955</v>
      </c>
      <c r="BG81" s="9"/>
      <c r="BH81" s="10">
        <f>-BH76/BH75</f>
        <v>0.47216764898493779</v>
      </c>
      <c r="BI81" s="10">
        <f>-BI76/BI75</f>
        <v>0.4524007771301693</v>
      </c>
      <c r="BJ81" s="10">
        <f>-BJ76/BJ75</f>
        <v>0.46146913023884634</v>
      </c>
      <c r="BL81" s="10">
        <f>-BL76/BL75</f>
        <v>0.44088067409622178</v>
      </c>
      <c r="BM81" s="10">
        <f>-BM76/BM75</f>
        <v>0.42267115600448935</v>
      </c>
      <c r="BN81" s="10">
        <f>-BN76/BN75</f>
        <v>0.43090730268010818</v>
      </c>
      <c r="BP81" s="10">
        <f>-BP76/BP75</f>
        <v>0.42507002801120447</v>
      </c>
      <c r="BQ81" s="10">
        <f>-BQ76/BQ75</f>
        <v>0.41582965046203296</v>
      </c>
      <c r="BR81" s="10">
        <f>-BR76/BR75</f>
        <v>0.42010364931980132</v>
      </c>
      <c r="BT81" s="10">
        <f>-BT76/BT75</f>
        <v>0.39827002632568637</v>
      </c>
      <c r="BU81" s="10">
        <f>-BU76/BU75</f>
        <v>0.37995867768595043</v>
      </c>
      <c r="BV81" s="10">
        <f>-BV76/BV75</f>
        <v>0.38954518606024807</v>
      </c>
      <c r="BX81" s="10">
        <f>-BX76/BX75</f>
        <v>0.41031046377922575</v>
      </c>
      <c r="BY81" s="10">
        <f>-BY76/BY75</f>
        <v>0.38476486591527398</v>
      </c>
      <c r="BZ81" s="10">
        <f>-BZ76/BZ75</f>
        <v>0.39762639907371672</v>
      </c>
      <c r="CB81" s="10">
        <f>-CB76/CB75</f>
        <v>0.39466370205669815</v>
      </c>
      <c r="CC81" s="10">
        <f>-CC76/CC75</f>
        <v>0.37859858772406302</v>
      </c>
      <c r="CD81" s="10">
        <f>-CD76/CD75</f>
        <v>0.38653846153846155</v>
      </c>
      <c r="CF81" s="10">
        <f>-CF76/CF75</f>
        <v>0.39399656946826755</v>
      </c>
      <c r="CG81" s="10">
        <f>-CG76/CG75</f>
        <v>0.37463893703061812</v>
      </c>
      <c r="CH81" s="10">
        <f>-CH76/CH75</f>
        <v>0.3834875333228791</v>
      </c>
      <c r="CJ81" s="10">
        <f>-CJ76/CJ75</f>
        <v>0.41170886075949364</v>
      </c>
      <c r="CK81" s="10">
        <f>-CK76/CK75</f>
        <v>0.39950041631973354</v>
      </c>
      <c r="CL81" s="10">
        <f>-CL76/CL75</f>
        <v>0.40576064908722109</v>
      </c>
      <c r="CN81" s="10">
        <f>-CN76/CN75</f>
        <v>0.44047834752672588</v>
      </c>
      <c r="CO81" s="10">
        <f>-CO76/CO75</f>
        <v>0.380289455547898</v>
      </c>
      <c r="CP81" s="10">
        <f>-CP76/CP75</f>
        <v>0.40629403475810238</v>
      </c>
      <c r="CR81" s="10">
        <f>-CR76/CR75</f>
        <v>0.38454638646847772</v>
      </c>
      <c r="CS81" s="10">
        <f>-CS76/CS75</f>
        <v>0.35325630252100843</v>
      </c>
      <c r="CT81" s="10">
        <f>-CT76/CT75</f>
        <v>0.36735165088894017</v>
      </c>
      <c r="CV81" s="10">
        <f>-CV76/CV75</f>
        <v>0.39462192599402435</v>
      </c>
      <c r="CW81" s="10">
        <f>-CW76/CW75</f>
        <v>0.36890595009596927</v>
      </c>
      <c r="CX81" s="10">
        <f>-CX76/CX75</f>
        <v>0.38060872293693127</v>
      </c>
      <c r="CZ81" s="10">
        <f>-CZ76/CZ75</f>
        <v>0.44323640960809102</v>
      </c>
      <c r="DA81" s="10">
        <f>-DA76/DA75</f>
        <v>0.41962793806394116</v>
      </c>
      <c r="DB81" s="10">
        <f>-DB76/DB75</f>
        <v>0.43068632676022978</v>
      </c>
      <c r="DD81" s="10">
        <f>-DD76/DD75</f>
        <v>0.43098831548198635</v>
      </c>
      <c r="DE81" s="10">
        <f ca="1">-DE76/DE75</f>
        <v>0.41303380782918148</v>
      </c>
      <c r="DF81" s="10">
        <f ca="1">-DF76/DF75</f>
        <v>0.42160622966062294</v>
      </c>
      <c r="DH81" s="10">
        <f>-DH76/DH75</f>
        <v>0.42963985732366816</v>
      </c>
      <c r="DI81" s="10">
        <f>-DI76/DI75</f>
        <v>0.38990000000000002</v>
      </c>
      <c r="DJ81" s="10">
        <f>-DJ76/DJ75</f>
        <v>0.40841181641791924</v>
      </c>
      <c r="DL81" s="10">
        <f>-DL76/DL75</f>
        <v>0.43</v>
      </c>
      <c r="DM81" s="10">
        <f>-DM76/DM75</f>
        <v>0.39500000000000002</v>
      </c>
      <c r="DN81" s="10">
        <f>-DN76/DN75</f>
        <v>0.41147945857970375</v>
      </c>
      <c r="DP81" s="10">
        <f>-DP76/DP75</f>
        <v>0.42699999999999999</v>
      </c>
      <c r="DQ81" s="10">
        <f>-DQ76/DQ75</f>
        <v>0.39500000000000002</v>
      </c>
      <c r="DR81" s="10">
        <f>-DR76/DR75</f>
        <v>0.41008720229845924</v>
      </c>
    </row>
    <row r="82" spans="1:123">
      <c r="A82" s="3" t="s">
        <v>31</v>
      </c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10">
        <f>-BF78/BF69</f>
        <v>0.79830810810810804</v>
      </c>
      <c r="BG82" s="9"/>
      <c r="BH82" s="10">
        <f>-BH78/BH69</f>
        <v>0.81218274111675126</v>
      </c>
      <c r="BI82" s="10">
        <f>-BI78/BI69</f>
        <v>0.68105515587529974</v>
      </c>
      <c r="BJ82" s="10">
        <f>-BJ78/BJ69</f>
        <v>0.7447595561035758</v>
      </c>
      <c r="BL82" s="10">
        <f>-BL78/BL69</f>
        <v>0.8081023454157783</v>
      </c>
      <c r="BM82" s="10">
        <f>-BM78/BM69</f>
        <v>0.91324200913242004</v>
      </c>
      <c r="BN82" s="10">
        <f>-BN78/BN69</f>
        <v>0.85887541345093721</v>
      </c>
      <c r="BP82" s="10">
        <f>-BP78/BP69</f>
        <v>0.97727272727272729</v>
      </c>
      <c r="BQ82" s="10">
        <f>-BQ78/BQ69</f>
        <v>0.99318181818181817</v>
      </c>
      <c r="BR82" s="10">
        <f>-BR78/BR69</f>
        <v>0.9856459330143541</v>
      </c>
      <c r="BT82" s="10">
        <f>-BT78/BT69</f>
        <v>0.96312364425162689</v>
      </c>
      <c r="BU82" s="10">
        <f>-BU78/BU69</f>
        <v>1.0491803278688525</v>
      </c>
      <c r="BV82" s="10">
        <f>-BV78/BV69</f>
        <v>1.0045045045045045</v>
      </c>
      <c r="BX82" s="10">
        <f>-BX78/BX69</f>
        <v>0.99761336515513122</v>
      </c>
      <c r="BY82" s="10">
        <f>-BY78/BY69</f>
        <v>1.101522842639594</v>
      </c>
      <c r="BZ82" s="10">
        <f>-BZ78/BZ69</f>
        <v>1.0479704797047971</v>
      </c>
      <c r="CB82" s="10">
        <f>-CB78/CB69</f>
        <v>1.0932642487046633</v>
      </c>
      <c r="CC82" s="10">
        <f>-CC78/CC69</f>
        <v>1.0515463917525774</v>
      </c>
      <c r="CD82" s="10">
        <f>-CD78/CD69</f>
        <v>1.0723514211886305</v>
      </c>
      <c r="CF82" s="10">
        <f>-CF78/CF69</f>
        <v>1.2241014799154335</v>
      </c>
      <c r="CG82" s="10">
        <f>-CG78/CG69</f>
        <v>1.2222222222222223</v>
      </c>
      <c r="CH82" s="10">
        <f>-CH78/CH69</f>
        <v>1.2231759656652361</v>
      </c>
      <c r="CJ82" s="10">
        <f>-CJ78/CJ69</f>
        <v>1.1699029126213591</v>
      </c>
      <c r="CK82" s="10">
        <f>-CK78/CK69</f>
        <v>1.0524017467248907</v>
      </c>
      <c r="CL82" s="10">
        <f>-CL78/CL69</f>
        <v>1.1080459770114943</v>
      </c>
      <c r="CN82" s="10">
        <f>-CN78/CN69</f>
        <v>1.1745635910224439</v>
      </c>
      <c r="CO82" s="10">
        <f>-CO78/CO69</f>
        <v>0.98313253012048196</v>
      </c>
      <c r="CP82" s="10">
        <f>-CP78/CP69</f>
        <v>1.0772058823529411</v>
      </c>
      <c r="CR82" s="10">
        <f>-CR78/CR69</f>
        <v>1.3070866141732282</v>
      </c>
      <c r="CS82" s="10">
        <f>-CS78/CS69</f>
        <v>1.2642857142857142</v>
      </c>
      <c r="CT82" s="10">
        <f>-CT78/CT69</f>
        <v>1.2846441947565543</v>
      </c>
      <c r="CV82" s="10">
        <f>-CV78/CV69</f>
        <v>1.3966480446927374</v>
      </c>
      <c r="CW82" s="10">
        <f>-CW78/CW69</f>
        <v>1.4789915966386555</v>
      </c>
      <c r="CX82" s="10">
        <f>-CX78/CX69</f>
        <v>1.4377622377622377</v>
      </c>
      <c r="CZ82" s="10">
        <f>-CZ78/CZ69</f>
        <v>1.403183023872679</v>
      </c>
      <c r="DA82" s="10">
        <f>-DA78/DA69</f>
        <v>1.3091787439613527</v>
      </c>
      <c r="DB82" s="10">
        <f>-DB78/DB69</f>
        <v>1.3539823008849559</v>
      </c>
      <c r="DD82" s="10">
        <f>-DD78/DD69</f>
        <v>1.3519813519813519</v>
      </c>
      <c r="DE82" s="10">
        <f ca="1">-DE78/DE69</f>
        <v>1.4423963133640554</v>
      </c>
      <c r="DF82" s="10">
        <f ca="1">-DF78/DF69</f>
        <v>1.3974507531865585</v>
      </c>
      <c r="DH82" s="10">
        <f>-DH78/DH69</f>
        <v>1.2975206611570247</v>
      </c>
      <c r="DI82" s="10">
        <f>-DI78/DI69</f>
        <v>1.3160730642351011</v>
      </c>
      <c r="DJ82" s="10">
        <f>-DJ78/DJ69</f>
        <v>1.3062127296033459</v>
      </c>
      <c r="DL82" s="10">
        <f>-DL78/DL69</f>
        <v>1.2030206774106016</v>
      </c>
      <c r="DM82" s="10">
        <f>-DM78/DM69</f>
        <v>1.3026816581603367</v>
      </c>
      <c r="DN82" s="10">
        <f>-DN78/DN69</f>
        <v>1.251879155505871</v>
      </c>
      <c r="DP82" s="10">
        <f>-DP78/DP69</f>
        <v>1.2192436213375633</v>
      </c>
      <c r="DQ82" s="10">
        <f>-DQ78/DQ69</f>
        <v>1.316999311694699</v>
      </c>
      <c r="DR82" s="10">
        <f>-DR78/DR69</f>
        <v>1.2672304741182858</v>
      </c>
    </row>
    <row r="83" spans="1:123">
      <c r="A83" s="2" t="s">
        <v>572</v>
      </c>
      <c r="BF83" s="7">
        <f>+BF75+BF80</f>
        <v>1049.1637600000004</v>
      </c>
      <c r="BH83" s="7">
        <f>+BH75+BH80</f>
        <v>517</v>
      </c>
      <c r="BI83" s="7">
        <f>+BI75+BI80</f>
        <v>888</v>
      </c>
      <c r="BJ83" s="7">
        <f>+BJ75+BJ80</f>
        <v>1405</v>
      </c>
      <c r="BL83" s="7">
        <f>+BL75+BL80</f>
        <v>810</v>
      </c>
      <c r="BM83" s="7">
        <f>+BM75+BM80</f>
        <v>1298</v>
      </c>
      <c r="BN83" s="7">
        <f>+BN75+BN80</f>
        <v>2108</v>
      </c>
      <c r="BP83" s="7">
        <f>+BP75+BP80</f>
        <v>1121</v>
      </c>
      <c r="BQ83" s="7">
        <f>+BQ75+BQ80</f>
        <v>1401</v>
      </c>
      <c r="BR83" s="7">
        <f>+BR75+BR80</f>
        <v>2522</v>
      </c>
      <c r="BT83" s="7">
        <f>+BT75+BT80</f>
        <v>1619</v>
      </c>
      <c r="BU83" s="7">
        <f>+BU75+BU80</f>
        <v>1396</v>
      </c>
      <c r="BV83" s="7">
        <f>+BV75+BV80</f>
        <v>3015</v>
      </c>
      <c r="BX83" s="7">
        <f>+BX75+BX80</f>
        <v>1485</v>
      </c>
      <c r="BY83" s="7">
        <f>+BY75+BY80</f>
        <v>1619</v>
      </c>
      <c r="BZ83" s="7">
        <f>+BZ75+BZ80</f>
        <v>3104</v>
      </c>
      <c r="CB83" s="7">
        <f>+CB75+CB80</f>
        <v>1704</v>
      </c>
      <c r="CC83" s="7">
        <f>+CC75+CC80</f>
        <v>1760</v>
      </c>
      <c r="CD83" s="7">
        <f>+CD75+CD80</f>
        <v>3464</v>
      </c>
      <c r="CF83" s="7">
        <f>+CF75+CF80</f>
        <v>1705</v>
      </c>
      <c r="CG83" s="7">
        <f>+CG75+CG80</f>
        <v>2162</v>
      </c>
      <c r="CH83" s="7">
        <f>+CH75+CH80</f>
        <v>3867</v>
      </c>
      <c r="CJ83" s="7">
        <f>+CJ75+CJ80</f>
        <v>1840</v>
      </c>
      <c r="CK83" s="7">
        <f>+CK75+CK80</f>
        <v>1614</v>
      </c>
      <c r="CL83" s="7">
        <f>+CL75+CL80</f>
        <v>3454</v>
      </c>
      <c r="CN83" s="7">
        <f>+CN75+CN80</f>
        <v>1253</v>
      </c>
      <c r="CO83" s="7">
        <f>+CO75+CO80</f>
        <v>2654</v>
      </c>
      <c r="CP83" s="7">
        <f>+CP75+CP80</f>
        <v>3907</v>
      </c>
      <c r="CR83" s="7">
        <f>+CR75+CR80</f>
        <v>2735</v>
      </c>
      <c r="CS83" s="7">
        <f>+CS75+CS80</f>
        <v>3804</v>
      </c>
      <c r="CT83" s="7">
        <f>+CT75+CT80</f>
        <v>6539</v>
      </c>
      <c r="CV83" s="7">
        <f>+CV75+CV80</f>
        <v>3106</v>
      </c>
      <c r="CW83" s="7">
        <f>+CW75+CW80</f>
        <v>3886</v>
      </c>
      <c r="CX83" s="7">
        <f>+CX75+CX80</f>
        <v>6992</v>
      </c>
      <c r="CZ83" s="7">
        <f>+CZ75+CZ80</f>
        <v>1991</v>
      </c>
      <c r="DA83" s="7">
        <f>+DA75+DA80</f>
        <v>2835</v>
      </c>
      <c r="DB83" s="7">
        <f>+DB75+DB80</f>
        <v>4826</v>
      </c>
      <c r="DD83" s="7">
        <f>+DD75+DD80</f>
        <v>2297</v>
      </c>
      <c r="DE83" s="7">
        <f ca="1">+DE75+DE80</f>
        <v>2771</v>
      </c>
      <c r="DF83" s="7">
        <f ca="1">+DF75+DF80</f>
        <v>5068</v>
      </c>
      <c r="DH83" s="7">
        <f>+DH75+DH80</f>
        <v>2452</v>
      </c>
      <c r="DI83" s="7">
        <f>+DI75+DI80</f>
        <v>3573.024269452153</v>
      </c>
      <c r="DJ83" s="7">
        <f>+DJ75+DJ80</f>
        <v>6025.0242694521548</v>
      </c>
      <c r="DL83" s="7">
        <f>+DL75+DL80</f>
        <v>2678.0327836564284</v>
      </c>
      <c r="DM83" s="7">
        <f>+DM75+DM80</f>
        <v>3581.2386043268643</v>
      </c>
      <c r="DN83" s="7">
        <f>+DN75+DN80</f>
        <v>6259.2713879832936</v>
      </c>
      <c r="DP83" s="7">
        <f>+DP75+DP80</f>
        <v>2914.7867373893678</v>
      </c>
      <c r="DQ83" s="7">
        <f>+DQ75+DQ80</f>
        <v>3825.0454660536443</v>
      </c>
      <c r="DR83" s="7">
        <f>+DR75+DR80</f>
        <v>6739.8322034430093</v>
      </c>
    </row>
    <row r="84" spans="1:123">
      <c r="A84" s="1" t="s">
        <v>922</v>
      </c>
      <c r="BF84" s="38">
        <f>BF56</f>
        <v>-287</v>
      </c>
      <c r="BH84" s="38">
        <f>BH56</f>
        <v>-156</v>
      </c>
      <c r="BI84" s="38">
        <f>BI56</f>
        <v>-377</v>
      </c>
      <c r="BJ84" s="38">
        <f>BJ56</f>
        <v>-533</v>
      </c>
      <c r="BL84" s="38">
        <f>BL56</f>
        <v>-307</v>
      </c>
      <c r="BM84" s="38">
        <f>BM56</f>
        <v>-520</v>
      </c>
      <c r="BN84" s="38">
        <f>BN56</f>
        <v>-827</v>
      </c>
      <c r="BP84" s="38">
        <f>BP56</f>
        <v>-432</v>
      </c>
      <c r="BQ84" s="38">
        <f>BQ56</f>
        <v>-467</v>
      </c>
      <c r="BR84" s="38">
        <f>BR56</f>
        <v>-899</v>
      </c>
      <c r="BT84" s="38">
        <f>BT56</f>
        <v>-530</v>
      </c>
      <c r="BU84" s="38">
        <f>BU56</f>
        <v>-397</v>
      </c>
      <c r="BV84" s="38">
        <f>BV56</f>
        <v>-927</v>
      </c>
      <c r="BX84" s="38">
        <f>BX56</f>
        <v>-438</v>
      </c>
      <c r="BY84" s="38">
        <f>BY56</f>
        <v>-430</v>
      </c>
      <c r="BZ84" s="38">
        <f>BZ56</f>
        <v>-868</v>
      </c>
      <c r="CB84" s="38">
        <f>CB56</f>
        <v>-448</v>
      </c>
      <c r="CC84" s="38">
        <f>CC56</f>
        <v>-435</v>
      </c>
      <c r="CD84" s="38">
        <f>CD56</f>
        <v>-883</v>
      </c>
      <c r="CF84" s="38">
        <f>CF56</f>
        <v>-374</v>
      </c>
      <c r="CG84" s="38">
        <f>CG56</f>
        <v>-505</v>
      </c>
      <c r="CH84" s="38">
        <f>CH56</f>
        <v>-879</v>
      </c>
      <c r="CJ84" s="38">
        <f>CJ56</f>
        <v>-376</v>
      </c>
      <c r="CK84" s="38">
        <f>CK56</f>
        <v>-352</v>
      </c>
      <c r="CL84" s="38">
        <f>CL56</f>
        <v>-728</v>
      </c>
      <c r="CN84" s="38">
        <f>CN56</f>
        <v>-275</v>
      </c>
      <c r="CO84" s="38">
        <f>CO56</f>
        <v>-624</v>
      </c>
      <c r="CP84" s="38">
        <f>CP56</f>
        <v>-899</v>
      </c>
      <c r="CR84" s="38">
        <f>CR56</f>
        <v>-603</v>
      </c>
      <c r="CS84" s="38">
        <f>CS56</f>
        <v>-983</v>
      </c>
      <c r="CT84" s="38">
        <f>CT56</f>
        <v>-1586</v>
      </c>
      <c r="CV84" s="38">
        <f>CV56</f>
        <v>-735</v>
      </c>
      <c r="CW84" s="38">
        <f>CW56</f>
        <v>-1089</v>
      </c>
      <c r="CX84" s="38">
        <f>CX56</f>
        <v>-1824</v>
      </c>
      <c r="CZ84" s="38">
        <f>CZ56</f>
        <v>-587</v>
      </c>
      <c r="DA84" s="38">
        <f>DA56</f>
        <v>-704</v>
      </c>
      <c r="DB84" s="38">
        <f>DB56</f>
        <v>-1291</v>
      </c>
      <c r="DD84" s="38">
        <f>DD56</f>
        <v>-686</v>
      </c>
      <c r="DE84" s="38">
        <f>DE56</f>
        <v>-640</v>
      </c>
      <c r="DF84" s="38">
        <f>DF56</f>
        <v>-1326</v>
      </c>
      <c r="DH84" s="38">
        <f>DH56</f>
        <v>-771</v>
      </c>
      <c r="DI84" s="38">
        <f>DI56</f>
        <v>-1053.334071488385</v>
      </c>
      <c r="DJ84" s="38">
        <f>DJ56</f>
        <v>-1824.334071488385</v>
      </c>
      <c r="DL84" s="38">
        <f>DL56</f>
        <v>-760.19554334208203</v>
      </c>
      <c r="DM84" s="38">
        <f>DM56</f>
        <v>-922.36555712498478</v>
      </c>
      <c r="DN84" s="38">
        <f>DN56</f>
        <v>-1682.5611004670668</v>
      </c>
      <c r="DP84" s="38">
        <f>DP56</f>
        <v>-827.56306815596963</v>
      </c>
      <c r="DQ84" s="38">
        <f>DQ56</f>
        <v>-985.50108197394763</v>
      </c>
      <c r="DR84" s="38">
        <f>DR56</f>
        <v>-1813.0641501299174</v>
      </c>
    </row>
    <row r="85" spans="1:123">
      <c r="A85" s="3" t="s">
        <v>907</v>
      </c>
      <c r="BF85" s="10">
        <f>-BF84/BF83</f>
        <v>0.27355119471530343</v>
      </c>
      <c r="BG85" s="1"/>
      <c r="BH85" s="10">
        <f>-BH84/BH83</f>
        <v>0.30174081237911027</v>
      </c>
      <c r="BI85" s="10">
        <f>-BI84/BI83</f>
        <v>0.42454954954954954</v>
      </c>
      <c r="BJ85" s="10">
        <f>-BJ84/BJ83</f>
        <v>0.37935943060498223</v>
      </c>
      <c r="BK85" s="1"/>
      <c r="BL85" s="10">
        <f>-BL84/BL83</f>
        <v>0.37901234567901232</v>
      </c>
      <c r="BM85" s="10">
        <f>-BM84/BM83</f>
        <v>0.40061633281972264</v>
      </c>
      <c r="BN85" s="10">
        <f>-BN84/BN83</f>
        <v>0.39231499051233398</v>
      </c>
      <c r="BO85" s="1"/>
      <c r="BP85" s="10">
        <f>-BP84/BP83</f>
        <v>0.38537020517395182</v>
      </c>
      <c r="BQ85" s="10">
        <f>-BQ84/BQ83</f>
        <v>0.33333333333333331</v>
      </c>
      <c r="BR85" s="10">
        <f>-BR84/BR83</f>
        <v>0.35646312450436163</v>
      </c>
      <c r="BS85" s="1"/>
      <c r="BT85" s="10">
        <f>-BT84/BT83</f>
        <v>0.32736256948733788</v>
      </c>
      <c r="BU85" s="10">
        <f>-BU84/BU83</f>
        <v>0.28438395415472778</v>
      </c>
      <c r="BV85" s="10">
        <f>-BV84/BV83</f>
        <v>0.30746268656716419</v>
      </c>
      <c r="BX85" s="10">
        <f>-BX84/BX83</f>
        <v>0.29494949494949496</v>
      </c>
      <c r="BY85" s="10">
        <f>-BY84/BY83</f>
        <v>0.26559604694255712</v>
      </c>
      <c r="BZ85" s="10">
        <f>-BZ84/BZ83</f>
        <v>0.27963917525773196</v>
      </c>
      <c r="CB85" s="10">
        <f>-CB84/CB83</f>
        <v>0.26291079812206575</v>
      </c>
      <c r="CC85" s="10">
        <f>-CC84/CC83</f>
        <v>0.24715909090909091</v>
      </c>
      <c r="CD85" s="10">
        <f>-CD84/CD83</f>
        <v>0.25490762124711314</v>
      </c>
      <c r="CF85" s="10">
        <f>-CF84/CF83</f>
        <v>0.21935483870967742</v>
      </c>
      <c r="CG85" s="10">
        <f>-CG84/CG83</f>
        <v>0.2335800185013876</v>
      </c>
      <c r="CH85" s="10">
        <f>-CH84/CH83</f>
        <v>0.22730799069045771</v>
      </c>
      <c r="CJ85" s="10">
        <f>-CJ84/CJ83</f>
        <v>0.20434782608695654</v>
      </c>
      <c r="CK85" s="10">
        <f>-CK84/CK83</f>
        <v>0.21809169764560099</v>
      </c>
      <c r="CL85" s="10">
        <f>-CL84/CL83</f>
        <v>0.21077012159814706</v>
      </c>
      <c r="CN85" s="10">
        <f>-CN84/CN83</f>
        <v>0.2194732641660016</v>
      </c>
      <c r="CO85" s="10">
        <f>-CO84/CO83</f>
        <v>0.23511680482290881</v>
      </c>
      <c r="CP85" s="10">
        <f>-CP84/CP83</f>
        <v>0.23009982083439978</v>
      </c>
      <c r="CR85" s="10">
        <f>-CR84/CR83</f>
        <v>0.22047531992687386</v>
      </c>
      <c r="CS85" s="10">
        <f>-CS84/CS83</f>
        <v>0.25841219768664564</v>
      </c>
      <c r="CT85" s="10">
        <f>-CT84/CT83</f>
        <v>0.24254473161033796</v>
      </c>
      <c r="CV85" s="10">
        <f>-CV84/CV83</f>
        <v>0.23663876368319381</v>
      </c>
      <c r="CW85" s="10">
        <f>-CW84/CW83</f>
        <v>0.28023674729799281</v>
      </c>
      <c r="CX85" s="10">
        <f>-CX84/CX83</f>
        <v>0.2608695652173913</v>
      </c>
      <c r="CZ85" s="10">
        <f>-CZ84/CZ83</f>
        <v>0.29482672024108486</v>
      </c>
      <c r="DA85" s="10">
        <f>-DA84/DA83</f>
        <v>0.24832451499118166</v>
      </c>
      <c r="DB85" s="10">
        <f>-DB84/DB83</f>
        <v>0.26750932449233322</v>
      </c>
      <c r="DD85" s="10">
        <f>-DD84/DD83</f>
        <v>0.29865041358293426</v>
      </c>
      <c r="DE85" s="10">
        <f ca="1">-DE84/DE83</f>
        <v>0.23096355106459762</v>
      </c>
      <c r="DF85" s="10">
        <f ca="1">-DF84/DF83</f>
        <v>0.26164167324388321</v>
      </c>
      <c r="DH85" s="10">
        <f>-DH84/DH83</f>
        <v>0.31443719412724308</v>
      </c>
      <c r="DI85" s="10">
        <f>-DI84/DI83</f>
        <v>0.2948018239041772</v>
      </c>
      <c r="DJ85" s="10">
        <f>-DJ84/DJ83</f>
        <v>0.30279281707429018</v>
      </c>
      <c r="DL85" s="10">
        <f>-DL84/DL83</f>
        <v>0.28386341944035343</v>
      </c>
      <c r="DM85" s="10">
        <f>-DM84/DM83</f>
        <v>0.25755490181820884</v>
      </c>
      <c r="DN85" s="10">
        <f>-DN84/DN83</f>
        <v>0.26881101587914685</v>
      </c>
      <c r="DP85" s="10">
        <f>-DP84/DP83</f>
        <v>0.28391890821390847</v>
      </c>
      <c r="DQ85" s="10">
        <f>-DQ84/DQ83</f>
        <v>0.25764427919093563</v>
      </c>
      <c r="DR85" s="10">
        <f>-DR84/DR83</f>
        <v>0.26900731285323731</v>
      </c>
    </row>
    <row r="86" spans="1:123" ht="14.4" thickBot="1">
      <c r="A86" s="1" t="s">
        <v>599</v>
      </c>
      <c r="BF86" s="38">
        <f>+BF55+BF57+BF58</f>
        <v>-32</v>
      </c>
      <c r="BH86" s="38">
        <f>+BH55+BH57+BH58</f>
        <v>0</v>
      </c>
      <c r="BI86" s="38">
        <f>+BI55+BI57+BI58</f>
        <v>-21</v>
      </c>
      <c r="BJ86" s="38">
        <f>+BJ55+BJ57+BJ58</f>
        <v>-21</v>
      </c>
      <c r="BL86" s="38">
        <f>+BL55+BL57+BL58</f>
        <v>-2</v>
      </c>
      <c r="BM86" s="38">
        <f>+BM55+BM57+BM58</f>
        <v>-12</v>
      </c>
      <c r="BN86" s="38">
        <f>+BN55+BN57+BN58</f>
        <v>-14</v>
      </c>
      <c r="BP86" s="38">
        <f>+BP55+BP57+BP58</f>
        <v>-11</v>
      </c>
      <c r="BQ86" s="38">
        <f>+BQ55+BQ57+BQ58</f>
        <v>-8</v>
      </c>
      <c r="BR86" s="38">
        <f>+BR55+BR57+BR58</f>
        <v>-19</v>
      </c>
      <c r="BT86" s="38">
        <f>+BT55+BT57+BT58</f>
        <v>-19</v>
      </c>
      <c r="BU86" s="38">
        <f>+BU55+BU57+BU58</f>
        <v>-6</v>
      </c>
      <c r="BV86" s="38">
        <f>+BV55+BV57+BV58</f>
        <v>-25</v>
      </c>
      <c r="BX86" s="38">
        <f>+BX55+BX57+BX58</f>
        <v>3</v>
      </c>
      <c r="BY86" s="38">
        <f>+BY55+BY57+BY58</f>
        <v>-22</v>
      </c>
      <c r="BZ86" s="38">
        <f>+BZ55+BZ57+BZ58</f>
        <v>-19</v>
      </c>
      <c r="CB86" s="38">
        <f>+CB55+CB57+CB58</f>
        <v>-8</v>
      </c>
      <c r="CC86" s="38">
        <f>+CC55+CC57+CC58</f>
        <v>-16</v>
      </c>
      <c r="CD86" s="38">
        <f>+CD55+CD57+CD58</f>
        <v>-24</v>
      </c>
      <c r="CF86" s="38">
        <f>+CF55+CF57+CF58</f>
        <v>-21</v>
      </c>
      <c r="CG86" s="38">
        <f>+CG55+CG57+CG58</f>
        <v>15</v>
      </c>
      <c r="CH86" s="38">
        <f>+CH55+CH57+CH58</f>
        <v>-6</v>
      </c>
      <c r="CJ86" s="38">
        <f>+CJ55+CJ57+CJ58</f>
        <v>-7</v>
      </c>
      <c r="CK86" s="38">
        <f>+CK55+CK57+CK58</f>
        <v>12</v>
      </c>
      <c r="CL86" s="38">
        <f>+CL55+CL57+CL58</f>
        <v>5</v>
      </c>
      <c r="CN86" s="38">
        <f>+CN55+CN57+CN58</f>
        <v>7</v>
      </c>
      <c r="CO86" s="38">
        <f>+CO55+CO57+CO58</f>
        <v>0</v>
      </c>
      <c r="CP86" s="38">
        <f>+CP55+CP57+CP58</f>
        <v>7</v>
      </c>
      <c r="CR86" s="38">
        <f>+CR55+CR57+CR58</f>
        <v>-89</v>
      </c>
      <c r="CS86" s="38">
        <f>+CS55+CS57+CS58</f>
        <v>-158</v>
      </c>
      <c r="CT86" s="38">
        <f>+CT55+CT57+CT58</f>
        <v>-247</v>
      </c>
      <c r="CV86" s="38">
        <f>+CV55+CV57+CV58</f>
        <v>12</v>
      </c>
      <c r="CW86" s="38">
        <f>+CW55+CW57+CW58</f>
        <v>2</v>
      </c>
      <c r="CX86" s="38">
        <f>+CX55+CX57+CX58</f>
        <v>14</v>
      </c>
      <c r="CZ86" s="38">
        <f>+CZ55+CZ57+CZ58</f>
        <v>11</v>
      </c>
      <c r="DA86" s="38">
        <f>+DA55+DA57+DA58</f>
        <v>-24</v>
      </c>
      <c r="DB86" s="38">
        <f>+DB55+DB57+DB58</f>
        <v>-13</v>
      </c>
      <c r="DD86" s="38">
        <f>+DD55+DD57+DD58</f>
        <v>1</v>
      </c>
      <c r="DE86" s="38">
        <f>+DE55+DE57+DE58</f>
        <v>-28</v>
      </c>
      <c r="DF86" s="38">
        <f>+DF55+DF57+DF58</f>
        <v>-27</v>
      </c>
      <c r="DH86" s="38">
        <f>+DH55+DH57+DH58</f>
        <v>-26</v>
      </c>
      <c r="DI86" s="38">
        <f>+DI55+DI57+DI58</f>
        <v>-2</v>
      </c>
      <c r="DJ86" s="38">
        <f>+DJ55+DJ57+DJ58</f>
        <v>-28</v>
      </c>
      <c r="DL86" s="38">
        <f>+DL55+DL57+DL58</f>
        <v>-2</v>
      </c>
      <c r="DM86" s="38">
        <f>+DM55+DM57+DM58</f>
        <v>-2</v>
      </c>
      <c r="DN86" s="38">
        <f>+DN55+DN57+DN58</f>
        <v>-4</v>
      </c>
      <c r="DP86" s="38">
        <f>+DP55+DP57+DP58</f>
        <v>-2</v>
      </c>
      <c r="DQ86" s="38">
        <f>+DQ55+DQ57+DQ58</f>
        <v>-2</v>
      </c>
      <c r="DR86" s="38">
        <f>+DR55+DR57+DR58</f>
        <v>-4</v>
      </c>
    </row>
    <row r="87" spans="1:123" ht="14.4" thickBot="1">
      <c r="A87" s="2008" t="s">
        <v>769</v>
      </c>
      <c r="B87" s="2009"/>
      <c r="C87" s="2009"/>
      <c r="D87" s="2009"/>
      <c r="E87" s="2009"/>
      <c r="F87" s="2009"/>
      <c r="G87" s="2009"/>
      <c r="H87" s="2009"/>
      <c r="I87" s="2009"/>
      <c r="J87" s="2009"/>
      <c r="K87" s="2009"/>
      <c r="L87" s="2009"/>
      <c r="M87" s="2009"/>
      <c r="N87" s="2009"/>
      <c r="O87" s="2009"/>
      <c r="P87" s="2009"/>
      <c r="Q87" s="2009"/>
      <c r="R87" s="2009"/>
      <c r="S87" s="2009"/>
      <c r="T87" s="2009"/>
      <c r="U87" s="2009"/>
      <c r="V87" s="2009"/>
      <c r="W87" s="2009"/>
      <c r="X87" s="2009"/>
      <c r="Y87" s="2009"/>
      <c r="Z87" s="2009"/>
      <c r="AA87" s="2009"/>
      <c r="AB87" s="2009"/>
      <c r="AC87" s="2009"/>
      <c r="AD87" s="2009"/>
      <c r="AE87" s="2009"/>
      <c r="AF87" s="2009"/>
      <c r="AG87" s="2009"/>
      <c r="AH87" s="2009"/>
      <c r="AI87" s="2009"/>
      <c r="AJ87" s="2009"/>
      <c r="AK87" s="2009"/>
      <c r="AL87" s="2009"/>
      <c r="AM87" s="2009"/>
      <c r="AN87" s="2009"/>
      <c r="AO87" s="2009"/>
      <c r="AP87" s="2009"/>
      <c r="AQ87" s="2009"/>
      <c r="AR87" s="2009"/>
      <c r="AS87" s="2009"/>
      <c r="AT87" s="2009"/>
      <c r="AU87" s="2009"/>
      <c r="AV87" s="2010"/>
      <c r="AW87" s="2010"/>
      <c r="AX87" s="2010"/>
      <c r="AY87" s="2010"/>
      <c r="AZ87" s="2010"/>
      <c r="BA87" s="2010"/>
      <c r="BB87" s="2010"/>
      <c r="BC87" s="2010"/>
      <c r="BD87" s="2010"/>
      <c r="BE87" s="2010"/>
      <c r="BF87" s="2013">
        <f>+BF83+BF84+BF86</f>
        <v>730.16376000000037</v>
      </c>
      <c r="BG87" s="2010"/>
      <c r="BH87" s="2013">
        <f>+BH83+BH84+BH86</f>
        <v>361</v>
      </c>
      <c r="BI87" s="2013">
        <f>+BI83+BI84+BI86</f>
        <v>490</v>
      </c>
      <c r="BJ87" s="2013">
        <f>+BJ83+BJ84+BJ86</f>
        <v>851</v>
      </c>
      <c r="BK87" s="2010"/>
      <c r="BL87" s="2013">
        <f>+BL83+BL84+BL86</f>
        <v>501</v>
      </c>
      <c r="BM87" s="2013">
        <f>+BM83+BM84+BM86</f>
        <v>766</v>
      </c>
      <c r="BN87" s="2013">
        <f>+BN83+BN84+BN86</f>
        <v>1267</v>
      </c>
      <c r="BO87" s="2010"/>
      <c r="BP87" s="2013">
        <f>+BP83+BP84+BP86</f>
        <v>678</v>
      </c>
      <c r="BQ87" s="2013">
        <f>+BQ83+BQ84+BQ86</f>
        <v>926</v>
      </c>
      <c r="BR87" s="2013">
        <f>+BR83+BR84+BR86</f>
        <v>1604</v>
      </c>
      <c r="BS87" s="2010"/>
      <c r="BT87" s="2013">
        <f>+BT83+BT84+BT86</f>
        <v>1070</v>
      </c>
      <c r="BU87" s="2013">
        <f>+BU83+BU84+BU86</f>
        <v>993</v>
      </c>
      <c r="BV87" s="2013">
        <f>+BV83+BV84+BV86</f>
        <v>2063</v>
      </c>
      <c r="BW87" s="2010"/>
      <c r="BX87" s="2013">
        <f>+BX83+BX84+BX86</f>
        <v>1050</v>
      </c>
      <c r="BY87" s="2013">
        <f>+BY83+BY84+BY86</f>
        <v>1167</v>
      </c>
      <c r="BZ87" s="2013">
        <f>+BZ83+BZ84+BZ86</f>
        <v>2217</v>
      </c>
      <c r="CA87" s="2010"/>
      <c r="CB87" s="2013">
        <f>+CB83+CB84+CB86</f>
        <v>1248</v>
      </c>
      <c r="CC87" s="2013">
        <f>+CC83+CC84+CC86</f>
        <v>1309</v>
      </c>
      <c r="CD87" s="2013">
        <f>+CD83+CD84+CD86</f>
        <v>2557</v>
      </c>
      <c r="CE87" s="2015">
        <f>+CD87/BZ87-1</f>
        <v>0.15336039693279213</v>
      </c>
      <c r="CF87" s="2013">
        <f>+CF83+CF84+CF86</f>
        <v>1310</v>
      </c>
      <c r="CG87" s="2013">
        <f>+CG83+CG84+CG86</f>
        <v>1672</v>
      </c>
      <c r="CH87" s="2013">
        <f>+CH83+CH84+CH86</f>
        <v>2982</v>
      </c>
      <c r="CI87" s="2015">
        <f>+CH87/CD87-1</f>
        <v>0.1662104028157998</v>
      </c>
      <c r="CJ87" s="2013">
        <f>+CJ83+CJ84+CJ86</f>
        <v>1457</v>
      </c>
      <c r="CK87" s="2013">
        <f>+CK83+CK84+CK86</f>
        <v>1274</v>
      </c>
      <c r="CL87" s="2013">
        <f>+CL83+CL84+CL86</f>
        <v>2731</v>
      </c>
      <c r="CM87" s="2015">
        <f>+CL87/CH87-1</f>
        <v>-8.4171696847753164E-2</v>
      </c>
      <c r="CN87" s="2013">
        <f>+CN83+CN84+CN86</f>
        <v>985</v>
      </c>
      <c r="CO87" s="2013">
        <f>+CO83+CO84+CO86</f>
        <v>2030</v>
      </c>
      <c r="CP87" s="2013">
        <f>+CP83+CP84+CP86</f>
        <v>3015</v>
      </c>
      <c r="CQ87" s="2010"/>
      <c r="CR87" s="2013">
        <f>+CR83+CR84+CR86</f>
        <v>2043</v>
      </c>
      <c r="CS87" s="2013">
        <f>+CS83+CS84+CS86</f>
        <v>2663</v>
      </c>
      <c r="CT87" s="2013">
        <f>+CT83+CT84+CT86</f>
        <v>4706</v>
      </c>
      <c r="CU87" s="2010"/>
      <c r="CV87" s="2013">
        <f>+CV83+CV84+CV86</f>
        <v>2383</v>
      </c>
      <c r="CW87" s="2013">
        <f>+CW83+CW84+CW86</f>
        <v>2799</v>
      </c>
      <c r="CX87" s="2013">
        <f>+CX83+CX84+CX86</f>
        <v>5182</v>
      </c>
      <c r="CY87" s="2010"/>
      <c r="CZ87" s="2013">
        <f>+CZ83+CZ84+CZ86</f>
        <v>1415</v>
      </c>
      <c r="DA87" s="2013">
        <f>+DA83+DA84+DA86</f>
        <v>2107</v>
      </c>
      <c r="DB87" s="2013">
        <f>+DB83+DB84+DB86</f>
        <v>3522</v>
      </c>
      <c r="DC87" s="2010"/>
      <c r="DD87" s="2013">
        <f>+DD83+DD84+DD86</f>
        <v>1612</v>
      </c>
      <c r="DE87" s="2013">
        <f ca="1">+DE83+DE84+DE86</f>
        <v>2103</v>
      </c>
      <c r="DF87" s="2013">
        <f ca="1">+DF83+DF84+DF86</f>
        <v>3715</v>
      </c>
      <c r="DG87" s="2010"/>
      <c r="DH87" s="2013">
        <f>+DH83+DH84+DH86</f>
        <v>1655</v>
      </c>
      <c r="DI87" s="2013">
        <f>+DI83+DI84+DI86</f>
        <v>2517.6901979637678</v>
      </c>
      <c r="DJ87" s="2013">
        <f>+DJ83+DJ84+DJ86</f>
        <v>4172.6901979637696</v>
      </c>
      <c r="DK87" s="2010"/>
      <c r="DL87" s="2013">
        <f>+DL83+DL84+DL86</f>
        <v>1915.8372403143462</v>
      </c>
      <c r="DM87" s="2013">
        <f>+DM83+DM84+DM86</f>
        <v>2656.8730472018797</v>
      </c>
      <c r="DN87" s="2013">
        <f>+DN83+DN84+DN86</f>
        <v>4572.7102875162273</v>
      </c>
      <c r="DO87" s="2010"/>
      <c r="DP87" s="2013">
        <f>+DP83+DP84+DP86</f>
        <v>2085.2236692333981</v>
      </c>
      <c r="DQ87" s="2013">
        <f>+DQ83+DQ84+DQ86</f>
        <v>2837.5443840796966</v>
      </c>
      <c r="DR87" s="2013">
        <f>+DR83+DR84+DR86</f>
        <v>4922.7680533130915</v>
      </c>
      <c r="DS87" s="2010"/>
    </row>
    <row r="89" spans="1:123">
      <c r="A89" s="2" t="s">
        <v>784</v>
      </c>
      <c r="BF89" s="8">
        <f>'Bal Sheet'!BF267</f>
        <v>11404</v>
      </c>
      <c r="BJ89" s="8">
        <f>'Bal Sheet'!BJ267</f>
        <v>11203</v>
      </c>
      <c r="BL89" s="8">
        <f>'Bal Sheet'!BL267</f>
        <v>11403</v>
      </c>
      <c r="BM89" s="8">
        <f>'Bal Sheet'!BM267</f>
        <v>12229</v>
      </c>
      <c r="BN89" s="8">
        <f>'Bal Sheet'!BN267</f>
        <v>11403</v>
      </c>
      <c r="BP89" s="8">
        <f>'Bal Sheet'!BP267</f>
        <v>11418</v>
      </c>
      <c r="BQ89" s="8">
        <f>'Bal Sheet'!BQ267</f>
        <v>11690</v>
      </c>
      <c r="BR89" s="8">
        <f>'Bal Sheet'!BR267</f>
        <v>11418</v>
      </c>
      <c r="BT89" s="8">
        <f>'Bal Sheet'!BT267</f>
        <v>13909</v>
      </c>
      <c r="BV89" s="8">
        <f>'Bal Sheet'!BV267</f>
        <v>13909</v>
      </c>
      <c r="BZ89" s="8">
        <f>'Bal Sheet'!BZ267</f>
        <v>15116</v>
      </c>
      <c r="CD89" s="8">
        <f>'Bal Sheet'!CD267</f>
        <v>15563</v>
      </c>
      <c r="CH89" s="8">
        <f>'Bal Sheet'!CH267</f>
        <v>16357</v>
      </c>
      <c r="CL89" s="8">
        <f>'Bal Sheet'!CL267</f>
        <v>17761</v>
      </c>
      <c r="CP89" s="8">
        <f>'Bal Sheet'!CP267</f>
        <v>21063</v>
      </c>
      <c r="CT89" s="8">
        <f>'Bal Sheet'!CT267</f>
        <v>22048</v>
      </c>
      <c r="CX89" s="8">
        <f>'Bal Sheet'!CX267</f>
        <v>28561</v>
      </c>
      <c r="DB89" s="8">
        <f>'Bal Sheet'!DB267</f>
        <v>33155</v>
      </c>
      <c r="DF89" s="8">
        <f>'Bal Sheet'!DF267</f>
        <v>33481</v>
      </c>
      <c r="DJ89" s="8">
        <f>'Bal Sheet'!DJ267</f>
        <v>35356</v>
      </c>
      <c r="DN89" s="8">
        <f ca="1">'Bal Sheet'!DN267</f>
        <v>36028.200914198373</v>
      </c>
      <c r="DR89" s="8">
        <f ca="1">'Bal Sheet'!DR267</f>
        <v>39206.085631694339</v>
      </c>
    </row>
    <row r="90" spans="1:123">
      <c r="A90" s="1" t="s">
        <v>64</v>
      </c>
      <c r="BF90" s="8">
        <f>'Bal Sheet'!BF268</f>
        <v>0</v>
      </c>
      <c r="BJ90" s="8">
        <f>'Bal Sheet'!BJ268</f>
        <v>0</v>
      </c>
      <c r="BL90" s="8">
        <f>'Bal Sheet'!BL268</f>
        <v>0</v>
      </c>
      <c r="BM90" s="8">
        <f>'Bal Sheet'!BM268</f>
        <v>0</v>
      </c>
      <c r="BN90" s="8">
        <f>'Bal Sheet'!BN268</f>
        <v>0</v>
      </c>
      <c r="BP90" s="8">
        <f>'Bal Sheet'!BP268</f>
        <v>0</v>
      </c>
      <c r="BQ90" s="8">
        <f>'Bal Sheet'!BQ268</f>
        <v>0</v>
      </c>
      <c r="BR90" s="8">
        <f>'Bal Sheet'!BR268</f>
        <v>0</v>
      </c>
      <c r="BT90" s="8">
        <f>'Bal Sheet'!BT268</f>
        <v>0</v>
      </c>
      <c r="BV90" s="8">
        <f>'Bal Sheet'!BV268</f>
        <v>538</v>
      </c>
      <c r="BZ90" s="8">
        <f>'Bal Sheet'!BZ268</f>
        <v>0</v>
      </c>
      <c r="CD90" s="8">
        <f>'Bal Sheet'!CD268</f>
        <v>0</v>
      </c>
      <c r="CH90" s="8">
        <f>'Bal Sheet'!CH268</f>
        <v>0</v>
      </c>
      <c r="CL90" s="8">
        <f>'Bal Sheet'!CL268</f>
        <v>1670</v>
      </c>
      <c r="CP90" s="8">
        <f>'Bal Sheet'!CP268</f>
        <v>0</v>
      </c>
      <c r="CT90" s="8">
        <f>'Bal Sheet'!CT268</f>
        <v>2800</v>
      </c>
      <c r="CX90" s="8">
        <f>'Bal Sheet'!CX268</f>
        <v>0</v>
      </c>
      <c r="DB90" s="8">
        <f>'Bal Sheet'!DB268</f>
        <v>0</v>
      </c>
      <c r="DF90" s="8">
        <f>'Bal Sheet'!DF268</f>
        <v>0</v>
      </c>
      <c r="DJ90" s="8">
        <f>'Bal Sheet'!DJ268</f>
        <v>0</v>
      </c>
      <c r="DN90" s="8">
        <f>'Bal Sheet'!DN268</f>
        <v>0</v>
      </c>
      <c r="DR90" s="8">
        <f>'Bal Sheet'!DR268</f>
        <v>0</v>
      </c>
    </row>
    <row r="91" spans="1:123">
      <c r="A91" s="1" t="s">
        <v>101</v>
      </c>
      <c r="BF91" s="8">
        <f>'Bal Sheet'!BF269</f>
        <v>0</v>
      </c>
      <c r="BJ91" s="8">
        <f>'Bal Sheet'!BJ269</f>
        <v>-251</v>
      </c>
      <c r="BL91" s="8">
        <f>'Bal Sheet'!BL269</f>
        <v>0</v>
      </c>
      <c r="BM91" s="8">
        <f>'Bal Sheet'!BM269</f>
        <v>0</v>
      </c>
      <c r="BN91" s="8">
        <f>'Bal Sheet'!BN269</f>
        <v>0</v>
      </c>
      <c r="BP91" s="8">
        <f>'Bal Sheet'!BP269</f>
        <v>0</v>
      </c>
      <c r="BQ91" s="8">
        <f>'Bal Sheet'!BQ269</f>
        <v>0</v>
      </c>
      <c r="BR91" s="8">
        <f>'Bal Sheet'!BR269</f>
        <v>0</v>
      </c>
      <c r="BT91" s="8">
        <f>'Bal Sheet'!BT269</f>
        <v>0</v>
      </c>
      <c r="BV91" s="8">
        <f>'Bal Sheet'!BV269</f>
        <v>0</v>
      </c>
      <c r="BZ91" s="8">
        <f>'Bal Sheet'!BZ269</f>
        <v>0</v>
      </c>
      <c r="CD91" s="8">
        <f>'Bal Sheet'!CD269</f>
        <v>0</v>
      </c>
      <c r="CH91" s="8">
        <f>'Bal Sheet'!CH269</f>
        <v>0</v>
      </c>
      <c r="CL91" s="8">
        <f>'Bal Sheet'!CL269</f>
        <v>0</v>
      </c>
      <c r="CP91" s="8">
        <f>'Bal Sheet'!CP269</f>
        <v>0</v>
      </c>
      <c r="CT91" s="8">
        <f>'Bal Sheet'!CT269</f>
        <v>0</v>
      </c>
      <c r="CX91" s="8">
        <f>'Bal Sheet'!CX269</f>
        <v>0</v>
      </c>
      <c r="DB91" s="8">
        <f>'Bal Sheet'!DB269</f>
        <v>-644</v>
      </c>
      <c r="DF91" s="8">
        <f>'Bal Sheet'!DF269</f>
        <v>-369</v>
      </c>
      <c r="DJ91" s="8">
        <f>'Bal Sheet'!DJ269</f>
        <v>0</v>
      </c>
      <c r="DN91" s="8">
        <f>'Bal Sheet'!DN269</f>
        <v>0</v>
      </c>
      <c r="DR91" s="8">
        <f>'Bal Sheet'!DR269</f>
        <v>0</v>
      </c>
    </row>
    <row r="92" spans="1:123">
      <c r="A92" s="1" t="s">
        <v>65</v>
      </c>
      <c r="BF92" s="8">
        <f>'Bal Sheet'!BF270</f>
        <v>93</v>
      </c>
      <c r="BJ92" s="8">
        <f>'Bal Sheet'!BJ270</f>
        <v>0</v>
      </c>
      <c r="BL92" s="8">
        <f>'Bal Sheet'!BL270</f>
        <v>0</v>
      </c>
      <c r="BM92" s="8">
        <f>'Bal Sheet'!BM270</f>
        <v>0</v>
      </c>
      <c r="BN92" s="8">
        <f>'Bal Sheet'!BN270</f>
        <v>0</v>
      </c>
      <c r="BP92" s="8">
        <f>'Bal Sheet'!BP270</f>
        <v>0</v>
      </c>
      <c r="BQ92" s="8">
        <f>'Bal Sheet'!BQ270</f>
        <v>171</v>
      </c>
      <c r="BR92" s="8">
        <f>'Bal Sheet'!BR270</f>
        <v>171</v>
      </c>
      <c r="BT92" s="8">
        <f>'Bal Sheet'!BT270</f>
        <v>0</v>
      </c>
      <c r="BV92" s="8">
        <f>'Bal Sheet'!BV270</f>
        <v>0</v>
      </c>
      <c r="BZ92" s="8">
        <f>'Bal Sheet'!BZ270</f>
        <v>0</v>
      </c>
      <c r="CD92" s="8">
        <f>'Bal Sheet'!CD270</f>
        <v>0</v>
      </c>
      <c r="CH92" s="8">
        <f>'Bal Sheet'!CH270</f>
        <v>0</v>
      </c>
      <c r="CL92" s="8">
        <f>'Bal Sheet'!CL270</f>
        <v>0</v>
      </c>
      <c r="CP92" s="8">
        <f>'Bal Sheet'!CP270</f>
        <v>0</v>
      </c>
      <c r="CT92" s="8">
        <f>'Bal Sheet'!CT270</f>
        <v>516</v>
      </c>
      <c r="CX92" s="8">
        <f>'Bal Sheet'!CX270</f>
        <v>485</v>
      </c>
      <c r="DB92" s="8">
        <f>'Bal Sheet'!DB270</f>
        <v>0</v>
      </c>
      <c r="DF92" s="8">
        <f>'Bal Sheet'!DF270</f>
        <v>0</v>
      </c>
      <c r="DJ92" s="8">
        <f>'Bal Sheet'!DJ270</f>
        <v>0</v>
      </c>
      <c r="DN92" s="8">
        <f>'Bal Sheet'!DN270</f>
        <v>0</v>
      </c>
      <c r="DR92" s="8">
        <f>'Bal Sheet'!DR270</f>
        <v>0</v>
      </c>
    </row>
    <row r="93" spans="1:123">
      <c r="A93" s="1" t="s">
        <v>66</v>
      </c>
      <c r="BF93" s="8">
        <f>'Bal Sheet'!BF271</f>
        <v>57.546471799999608</v>
      </c>
      <c r="BJ93" s="8">
        <f>'Bal Sheet'!BJ271</f>
        <v>139.20512049999999</v>
      </c>
      <c r="BL93" s="8">
        <f>'Bal Sheet'!BL271</f>
        <v>94.383222499999988</v>
      </c>
      <c r="BM93" s="8">
        <f>'Bal Sheet'!BM271</f>
        <v>-1215.601964</v>
      </c>
      <c r="BN93" s="8">
        <f>'Bal Sheet'!BN271</f>
        <v>-1121.2187414999999</v>
      </c>
      <c r="BP93" s="8">
        <f>'Bal Sheet'!BP271</f>
        <v>-36.280399999999986</v>
      </c>
      <c r="BQ93" s="8">
        <f>'Bal Sheet'!BQ271</f>
        <v>677.07389220000005</v>
      </c>
      <c r="BR93" s="8">
        <f>'Bal Sheet'!BR271</f>
        <v>640.79349220000006</v>
      </c>
      <c r="BT93" s="8">
        <f>'Bal Sheet'!BT271</f>
        <v>1.9155539999999291</v>
      </c>
      <c r="BV93" s="8">
        <f>'Bal Sheet'!BV271</f>
        <v>-8.923310000000015</v>
      </c>
      <c r="BZ93" s="8">
        <f>'Bal Sheet'!BZ271</f>
        <v>-16.121165799999858</v>
      </c>
      <c r="CD93" s="8">
        <f>'Bal Sheet'!CD271</f>
        <v>63.228547949999893</v>
      </c>
      <c r="CH93" s="8">
        <f>'Bal Sheet'!CH271</f>
        <v>-125.49968929999989</v>
      </c>
      <c r="CL93" s="8">
        <f>'Bal Sheet'!CL271</f>
        <v>85.829024300000015</v>
      </c>
      <c r="CP93" s="8">
        <f>'Bal Sheet'!CP271</f>
        <v>769.42640925000001</v>
      </c>
      <c r="CT93" s="8">
        <f>'Bal Sheet'!CT271</f>
        <v>693.81063263000021</v>
      </c>
      <c r="CX93" s="8">
        <f>'Bal Sheet'!CX271</f>
        <v>119.70699150000019</v>
      </c>
      <c r="DB93" s="8">
        <f>'Bal Sheet'!DB271</f>
        <v>39.171115700000314</v>
      </c>
      <c r="DF93" s="8">
        <f ca="1">'Bal Sheet'!DF271</f>
        <v>35.875631050000379</v>
      </c>
      <c r="DJ93" s="8">
        <f ca="1">'Bal Sheet'!DJ271</f>
        <v>194.298096734605</v>
      </c>
      <c r="DN93" s="8">
        <f ca="1">'Bal Sheet'!DN271</f>
        <v>422.0460964409906</v>
      </c>
      <c r="DR93" s="8">
        <f ca="1">'Bal Sheet'!DR271</f>
        <v>467.63525859420884</v>
      </c>
    </row>
    <row r="94" spans="1:123">
      <c r="A94" s="1" t="s">
        <v>128</v>
      </c>
      <c r="BF94" s="8">
        <f>'Bal Sheet'!BF272</f>
        <v>-243</v>
      </c>
      <c r="BJ94" s="8">
        <f>'Bal Sheet'!BJ272</f>
        <v>-37</v>
      </c>
      <c r="BL94" s="8">
        <f>'Bal Sheet'!BL272</f>
        <v>-14</v>
      </c>
      <c r="BM94" s="8">
        <f>'Bal Sheet'!BM272</f>
        <v>35</v>
      </c>
      <c r="BN94" s="8">
        <f>'Bal Sheet'!BN272</f>
        <v>21</v>
      </c>
      <c r="BP94" s="8">
        <f>'Bal Sheet'!BP272</f>
        <v>-13</v>
      </c>
      <c r="BQ94" s="8">
        <f>'Bal Sheet'!BQ272</f>
        <v>32</v>
      </c>
      <c r="BR94" s="8">
        <f>'Bal Sheet'!BR272</f>
        <v>19</v>
      </c>
      <c r="BT94" s="8">
        <f>'Bal Sheet'!BT272</f>
        <v>-117</v>
      </c>
      <c r="BV94" s="8">
        <f>'Bal Sheet'!BV272</f>
        <v>-65</v>
      </c>
      <c r="BZ94" s="8">
        <f>'Bal Sheet'!BZ272</f>
        <v>-151</v>
      </c>
      <c r="CD94" s="8">
        <f>'Bal Sheet'!CD272</f>
        <v>-77</v>
      </c>
      <c r="CH94" s="8">
        <f>'Bal Sheet'!CH272</f>
        <v>-108</v>
      </c>
      <c r="CL94" s="8">
        <f>'Bal Sheet'!CL272</f>
        <v>-74</v>
      </c>
      <c r="CP94" s="8">
        <f>'Bal Sheet'!CP272</f>
        <v>-187</v>
      </c>
      <c r="CT94" s="8">
        <f>'Bal Sheet'!CT272</f>
        <v>-225</v>
      </c>
      <c r="CX94" s="8">
        <f>'Bal Sheet'!CX272</f>
        <v>-470</v>
      </c>
      <c r="DB94" s="8">
        <f>'Bal Sheet'!DB272</f>
        <v>-456</v>
      </c>
      <c r="DF94" s="8">
        <f>'Bal Sheet'!DF272</f>
        <v>20</v>
      </c>
      <c r="DJ94" s="8">
        <f>'Bal Sheet'!DJ272</f>
        <v>-91.16</v>
      </c>
      <c r="DN94" s="8">
        <f>'Bal Sheet'!DN272</f>
        <v>-173.87924399999997</v>
      </c>
      <c r="DR94" s="8">
        <f>'Bal Sheet'!DR272</f>
        <v>-184.46848995959996</v>
      </c>
    </row>
    <row r="95" spans="1:123">
      <c r="A95" s="1" t="s">
        <v>130</v>
      </c>
      <c r="BF95" s="8">
        <f>'Bal Sheet'!BF273</f>
        <v>-266</v>
      </c>
      <c r="BJ95" s="8">
        <f>'Bal Sheet'!BJ273</f>
        <v>13</v>
      </c>
      <c r="BL95" s="8">
        <f>'Bal Sheet'!BL273</f>
        <v>669</v>
      </c>
      <c r="BM95" s="8">
        <f>'Bal Sheet'!BM273</f>
        <v>-57</v>
      </c>
      <c r="BN95" s="8">
        <f>'Bal Sheet'!BN273</f>
        <v>612</v>
      </c>
      <c r="BP95" s="8">
        <f>'Bal Sheet'!BP273</f>
        <v>157</v>
      </c>
      <c r="BQ95" s="8">
        <f>'Bal Sheet'!BQ273</f>
        <v>830</v>
      </c>
      <c r="BR95" s="8">
        <f>'Bal Sheet'!BR273</f>
        <v>987</v>
      </c>
      <c r="BT95" s="8">
        <f>'Bal Sheet'!BT273</f>
        <v>434</v>
      </c>
      <c r="BV95" s="8">
        <f>'Bal Sheet'!BV273</f>
        <v>-120</v>
      </c>
      <c r="BZ95" s="8">
        <f>'Bal Sheet'!BZ273</f>
        <v>-140</v>
      </c>
      <c r="CD95" s="8">
        <f>'Bal Sheet'!CD273</f>
        <v>-99</v>
      </c>
      <c r="CH95" s="8">
        <f>'Bal Sheet'!CH273</f>
        <v>476</v>
      </c>
      <c r="CL95" s="8">
        <f>'Bal Sheet'!CL273</f>
        <v>1000</v>
      </c>
      <c r="CP95" s="8">
        <f>'Bal Sheet'!CP273</f>
        <v>-1487</v>
      </c>
      <c r="CT95" s="8">
        <f>'Bal Sheet'!CT273</f>
        <v>237</v>
      </c>
      <c r="CX95" s="8">
        <f>'Bal Sheet'!CX273</f>
        <v>1779</v>
      </c>
      <c r="DB95" s="8">
        <f>'Bal Sheet'!DB273</f>
        <v>589</v>
      </c>
      <c r="DF95" s="8">
        <f>'Bal Sheet'!DF273</f>
        <v>938</v>
      </c>
      <c r="DJ95" s="8">
        <f>'Bal Sheet'!DJ273</f>
        <v>-1050</v>
      </c>
      <c r="DN95" s="8">
        <f>'Bal Sheet'!DN273</f>
        <v>0</v>
      </c>
      <c r="DR95" s="8">
        <f>'Bal Sheet'!DR273</f>
        <v>0</v>
      </c>
    </row>
    <row r="96" spans="1:123">
      <c r="A96" s="1" t="s">
        <v>921</v>
      </c>
      <c r="BF96" s="8">
        <f>'Bal Sheet'!BF274</f>
        <v>730.65376000000037</v>
      </c>
      <c r="BJ96" s="8">
        <f>'Bal Sheet'!BJ274</f>
        <v>851.49</v>
      </c>
      <c r="BL96" s="8">
        <f>'Bal Sheet'!BL274</f>
        <v>501</v>
      </c>
      <c r="BM96" s="8">
        <f>'Bal Sheet'!BM274</f>
        <v>766.49</v>
      </c>
      <c r="BN96" s="8">
        <f>'Bal Sheet'!BN274</f>
        <v>1267.49</v>
      </c>
      <c r="BP96" s="8">
        <f>'Bal Sheet'!BP274</f>
        <v>678</v>
      </c>
      <c r="BQ96" s="8">
        <f>'Bal Sheet'!BQ274</f>
        <v>926.49</v>
      </c>
      <c r="BR96" s="8">
        <f>'Bal Sheet'!BR274</f>
        <v>1604.49</v>
      </c>
      <c r="BT96" s="8">
        <f>'Bal Sheet'!BT274</f>
        <v>1070</v>
      </c>
      <c r="BV96" s="8">
        <f>'Bal Sheet'!BV274</f>
        <v>2063.4899999999998</v>
      </c>
      <c r="BZ96" s="8">
        <f>'Bal Sheet'!BZ274</f>
        <v>2217.4899999999998</v>
      </c>
      <c r="CD96" s="8">
        <f>'Bal Sheet'!CD274</f>
        <v>2557.4899999999998</v>
      </c>
      <c r="CH96" s="8">
        <f>'Bal Sheet'!CH274</f>
        <v>2982.49</v>
      </c>
      <c r="CL96" s="8">
        <f>'Bal Sheet'!CL274</f>
        <v>2731.49</v>
      </c>
      <c r="CP96" s="8">
        <f>'Bal Sheet'!CP274</f>
        <v>3015.49</v>
      </c>
      <c r="CT96" s="8">
        <f>'Bal Sheet'!CT274</f>
        <v>4706.49</v>
      </c>
      <c r="CX96" s="8">
        <f>'Bal Sheet'!CX274</f>
        <v>5182.49</v>
      </c>
      <c r="DB96" s="8">
        <f>'Bal Sheet'!DB274</f>
        <v>3522.49</v>
      </c>
      <c r="DF96" s="8">
        <f ca="1">'Bal Sheet'!DF274</f>
        <v>3715.49</v>
      </c>
      <c r="DJ96" s="8">
        <f>'Bal Sheet'!DJ274</f>
        <v>4172.6901979637678</v>
      </c>
      <c r="DN96" s="8">
        <f>'Bal Sheet'!DN274</f>
        <v>4572.7102875162254</v>
      </c>
      <c r="DR96" s="8">
        <f>'Bal Sheet'!DR274</f>
        <v>4922.7680533130952</v>
      </c>
    </row>
    <row r="97" spans="1:125">
      <c r="A97" s="1" t="s">
        <v>147</v>
      </c>
      <c r="BF97" s="8">
        <f>'Bal Sheet'!BF275</f>
        <v>-573.20023179999998</v>
      </c>
      <c r="BJ97" s="8">
        <f>'Bal Sheet'!BJ275</f>
        <v>-515.69512050000003</v>
      </c>
      <c r="BL97" s="8">
        <f>'Bal Sheet'!BL275</f>
        <v>-424.38322249999999</v>
      </c>
      <c r="BM97" s="8">
        <f>'Bal Sheet'!BM275</f>
        <v>-339.888036</v>
      </c>
      <c r="BN97" s="8">
        <f>'Bal Sheet'!BN275</f>
        <v>-764.27125849999993</v>
      </c>
      <c r="BP97" s="8">
        <f>'Bal Sheet'!BP275</f>
        <v>-513.71960000000001</v>
      </c>
      <c r="BQ97" s="8">
        <f>'Bal Sheet'!BQ275</f>
        <v>-417.5638922</v>
      </c>
      <c r="BR97" s="8">
        <f>'Bal Sheet'!BR275</f>
        <v>-931.28349219999996</v>
      </c>
      <c r="BT97" s="8">
        <f>'Bal Sheet'!BT275</f>
        <v>-666.91555399999993</v>
      </c>
      <c r="BV97" s="8">
        <f>'Bal Sheet'!BV275</f>
        <v>-1200.5666900000001</v>
      </c>
      <c r="BZ97" s="8">
        <f>'Bal Sheet'!BZ275</f>
        <v>-1463.3688342</v>
      </c>
      <c r="CD97" s="8">
        <f>'Bal Sheet'!CD275</f>
        <v>-1650.7185479499999</v>
      </c>
      <c r="CH97" s="8">
        <f>'Bal Sheet'!CH275</f>
        <v>-1820.9903107</v>
      </c>
      <c r="CL97" s="8">
        <f>'Bal Sheet'!CL275</f>
        <v>-2111.3190242999999</v>
      </c>
      <c r="CP97" s="8">
        <f>'Bal Sheet'!CP275</f>
        <v>-1125.91640925</v>
      </c>
      <c r="CT97" s="8">
        <f>'Bal Sheet'!CT275</f>
        <v>-2215.3006326300001</v>
      </c>
      <c r="CX97" s="8">
        <f>'Bal Sheet'!CX275</f>
        <v>-2502.1969915</v>
      </c>
      <c r="DB97" s="8">
        <f>'Bal Sheet'!DB275</f>
        <v>-2724.6611157000002</v>
      </c>
      <c r="DF97" s="8">
        <f>'Bal Sheet'!DF275</f>
        <v>-2465.36563105</v>
      </c>
      <c r="DJ97" s="8">
        <f>'Bal Sheet'!DJ275</f>
        <v>-2553.6273805000001</v>
      </c>
      <c r="DN97" s="8">
        <f>'Bal Sheet'!DN275</f>
        <v>-1642.99242246125</v>
      </c>
      <c r="DR97" s="8">
        <f>'Bal Sheet'!DR275</f>
        <v>-1728.0184743588106</v>
      </c>
    </row>
    <row r="98" spans="1:125">
      <c r="A98" s="1" t="s">
        <v>148</v>
      </c>
      <c r="BF98" s="8">
        <f>'Bal Sheet'!BF276</f>
        <v>-201</v>
      </c>
      <c r="BJ98" s="8">
        <f>'Bal Sheet'!BJ276</f>
        <v>200</v>
      </c>
      <c r="BL98" s="8">
        <f>'Bal Sheet'!BL276</f>
        <v>826.00000000000011</v>
      </c>
      <c r="BM98" s="8">
        <f>'Bal Sheet'!BM276</f>
        <v>-811</v>
      </c>
      <c r="BN98" s="8">
        <f>'Bal Sheet'!BN276</f>
        <v>15.000000000000114</v>
      </c>
      <c r="BP98" s="8">
        <f>'Bal Sheet'!BP276</f>
        <v>272</v>
      </c>
      <c r="BQ98" s="8">
        <f>'Bal Sheet'!BQ276</f>
        <v>2219</v>
      </c>
      <c r="BR98" s="8">
        <f>'Bal Sheet'!BR276</f>
        <v>2491</v>
      </c>
      <c r="BT98" s="8">
        <f>'Bal Sheet'!BT276</f>
        <v>722</v>
      </c>
      <c r="BV98" s="8">
        <f>'Bal Sheet'!BV276</f>
        <v>1207</v>
      </c>
      <c r="BZ98" s="8">
        <f>'Bal Sheet'!BZ276</f>
        <v>447</v>
      </c>
      <c r="CD98" s="8">
        <f>'Bal Sheet'!CD276</f>
        <v>793.99999999999989</v>
      </c>
      <c r="CH98" s="8">
        <f>'Bal Sheet'!CH276</f>
        <v>1404</v>
      </c>
      <c r="CL98" s="8">
        <f>'Bal Sheet'!CL276</f>
        <v>3302</v>
      </c>
      <c r="CP98" s="8">
        <f>'Bal Sheet'!CP276</f>
        <v>985</v>
      </c>
      <c r="CT98" s="8">
        <f>'Bal Sheet'!CT276</f>
        <v>6513</v>
      </c>
      <c r="CX98" s="8">
        <f>'Bal Sheet'!CX276</f>
        <v>4594</v>
      </c>
      <c r="DB98" s="8">
        <f>'Bal Sheet'!DB276</f>
        <v>325.99999999999989</v>
      </c>
      <c r="DF98" s="8">
        <f ca="1">'Bal Sheet'!DF276</f>
        <v>1875</v>
      </c>
      <c r="DJ98" s="8">
        <f ca="1">'Bal Sheet'!DJ276</f>
        <v>672.20091419837263</v>
      </c>
      <c r="DN98" s="8">
        <f ca="1">'Bal Sheet'!DN276</f>
        <v>3177.8847174959665</v>
      </c>
      <c r="DR98" s="8">
        <f ca="1">'Bal Sheet'!DR276</f>
        <v>3477.9163475888927</v>
      </c>
    </row>
    <row r="99" spans="1:125" s="2" customFormat="1">
      <c r="A99" s="2" t="s">
        <v>785</v>
      </c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7">
        <f>'Bal Sheet'!BF277</f>
        <v>11203</v>
      </c>
      <c r="BG99" s="5"/>
      <c r="BH99" s="5"/>
      <c r="BI99" s="5"/>
      <c r="BJ99" s="7">
        <f>'Bal Sheet'!BJ277</f>
        <v>11403</v>
      </c>
      <c r="BK99" s="5"/>
      <c r="BL99" s="7">
        <f>'Bal Sheet'!BL277</f>
        <v>12229</v>
      </c>
      <c r="BM99" s="7">
        <f>'Bal Sheet'!BM277</f>
        <v>11418</v>
      </c>
      <c r="BN99" s="7">
        <f>'Bal Sheet'!BN277</f>
        <v>11418</v>
      </c>
      <c r="BO99" s="5"/>
      <c r="BP99" s="7">
        <f>'Bal Sheet'!BP277</f>
        <v>11690</v>
      </c>
      <c r="BQ99" s="7">
        <f>'Bal Sheet'!BQ277</f>
        <v>13909</v>
      </c>
      <c r="BR99" s="7">
        <f>'Bal Sheet'!BR277</f>
        <v>13909</v>
      </c>
      <c r="BS99" s="5"/>
      <c r="BT99" s="7">
        <f>'Bal Sheet'!BT277</f>
        <v>14631</v>
      </c>
      <c r="BU99" s="5"/>
      <c r="BV99" s="7">
        <f>'Bal Sheet'!BV277</f>
        <v>15116</v>
      </c>
      <c r="BW99" s="5"/>
      <c r="BX99" s="5"/>
      <c r="BY99" s="5"/>
      <c r="BZ99" s="7">
        <f>'Bal Sheet'!BZ277</f>
        <v>15563</v>
      </c>
      <c r="CA99" s="5"/>
      <c r="CB99" s="5"/>
      <c r="CC99" s="5"/>
      <c r="CD99" s="7">
        <f>'Bal Sheet'!CD277</f>
        <v>16357</v>
      </c>
      <c r="CE99" s="5"/>
      <c r="CF99" s="5"/>
      <c r="CG99" s="5"/>
      <c r="CH99" s="7">
        <f>'Bal Sheet'!CH277</f>
        <v>17761</v>
      </c>
      <c r="CI99" s="5"/>
      <c r="CJ99" s="5"/>
      <c r="CK99" s="5"/>
      <c r="CL99" s="7">
        <f>'Bal Sheet'!CL277</f>
        <v>21063</v>
      </c>
      <c r="CM99" s="5"/>
      <c r="CN99" s="5"/>
      <c r="CO99" s="5"/>
      <c r="CP99" s="7">
        <f>'Bal Sheet'!CP277</f>
        <v>22048</v>
      </c>
      <c r="CQ99" s="5"/>
      <c r="CR99" s="5"/>
      <c r="CS99" s="5"/>
      <c r="CT99" s="7">
        <f>'Bal Sheet'!CT277</f>
        <v>28561</v>
      </c>
      <c r="CU99" s="5"/>
      <c r="CV99" s="5"/>
      <c r="CW99" s="5"/>
      <c r="CX99" s="7">
        <f>'Bal Sheet'!CX277</f>
        <v>33155</v>
      </c>
      <c r="CY99" s="5"/>
      <c r="CZ99" s="5"/>
      <c r="DA99" s="5"/>
      <c r="DB99" s="7">
        <f>'Bal Sheet'!DB277</f>
        <v>33481</v>
      </c>
      <c r="DC99" s="5"/>
      <c r="DD99" s="5"/>
      <c r="DE99" s="5"/>
      <c r="DF99" s="7">
        <f>'Bal Sheet'!DF277</f>
        <v>35356</v>
      </c>
      <c r="DG99" s="5"/>
      <c r="DH99" s="5"/>
      <c r="DI99" s="5"/>
      <c r="DJ99" s="7">
        <f ca="1">'Bal Sheet'!DJ277</f>
        <v>36028.200914198373</v>
      </c>
      <c r="DK99" s="5"/>
      <c r="DL99" s="5"/>
      <c r="DM99" s="5"/>
      <c r="DN99" s="7">
        <f ca="1">'Bal Sheet'!DN277</f>
        <v>39206.085631694339</v>
      </c>
      <c r="DO99" s="5"/>
      <c r="DP99" s="5"/>
      <c r="DQ99" s="5"/>
      <c r="DR99" s="7">
        <f ca="1">'Bal Sheet'!DR277</f>
        <v>42684.001979283232</v>
      </c>
      <c r="DS99" s="5"/>
      <c r="DT99" s="5"/>
      <c r="DU99" s="5"/>
    </row>
    <row r="101" spans="1:125">
      <c r="A101" s="1" t="s">
        <v>789</v>
      </c>
      <c r="BJ101" s="8">
        <f>Capital!BJ72</f>
        <v>9665</v>
      </c>
      <c r="BL101" s="8">
        <f>Capital!BL72</f>
        <v>10196</v>
      </c>
      <c r="BM101" s="8">
        <f>Capital!BM72</f>
        <v>9515</v>
      </c>
      <c r="BN101" s="8">
        <f>Capital!BN72</f>
        <v>9515</v>
      </c>
      <c r="BP101" s="8">
        <f>Capital!BP72</f>
        <v>9692</v>
      </c>
      <c r="BQ101" s="8">
        <f>Capital!BQ72</f>
        <v>12195</v>
      </c>
      <c r="BR101" s="8">
        <f>Capital!BR72</f>
        <v>12195</v>
      </c>
      <c r="BT101" s="8">
        <f>Capital!BT72</f>
        <v>13312</v>
      </c>
      <c r="BV101" s="8">
        <f>Capital!BV72</f>
        <v>13859</v>
      </c>
      <c r="BZ101" s="8">
        <f>Capital!BZ72</f>
        <v>14439</v>
      </c>
      <c r="CD101" s="8">
        <f>Capital!CD72</f>
        <v>14954</v>
      </c>
      <c r="CH101" s="8">
        <f>Capital!CH72</f>
        <v>18197</v>
      </c>
      <c r="CL101" s="8">
        <f>Capital!CL72</f>
        <v>21242</v>
      </c>
      <c r="CP101" s="8">
        <f>Capital!CP72</f>
        <v>22428</v>
      </c>
      <c r="CT101" s="8">
        <f>Capital!CT72</f>
        <v>28290</v>
      </c>
      <c r="CX101" s="8">
        <f>Capital!CX72</f>
        <v>33363</v>
      </c>
      <c r="DB101" s="8">
        <f>Capital!DB72</f>
        <v>33250</v>
      </c>
      <c r="DF101" s="8">
        <f>Capital!DF72</f>
        <v>35550</v>
      </c>
      <c r="DJ101" s="8">
        <f ca="1">Capital!DJ72</f>
        <v>37108.077958050904</v>
      </c>
      <c r="DN101" s="8">
        <f ca="1">Capital!DN72</f>
        <v>40372.857494758231</v>
      </c>
      <c r="DR101" s="8">
        <f ca="1">Capital!DR72</f>
        <v>43918.392310733128</v>
      </c>
    </row>
    <row r="102" spans="1:125" s="3" customFormat="1">
      <c r="A102" s="3" t="s">
        <v>468</v>
      </c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10">
        <f>+BJ101/BJ99</f>
        <v>0.84758396913093048</v>
      </c>
      <c r="BK102" s="9"/>
      <c r="BL102" s="10">
        <f>+BL101/BL99</f>
        <v>0.83375582631449829</v>
      </c>
      <c r="BM102" s="10">
        <f>+BM101/BM99</f>
        <v>0.83333333333333337</v>
      </c>
      <c r="BN102" s="10">
        <f>+BN101/BN99</f>
        <v>0.83333333333333337</v>
      </c>
      <c r="BO102" s="9"/>
      <c r="BP102" s="10">
        <f>+BP101/BP99</f>
        <v>0.82908468776732247</v>
      </c>
      <c r="BQ102" s="10">
        <f>+BQ101/BQ99</f>
        <v>0.87677043640808106</v>
      </c>
      <c r="BR102" s="10">
        <f>+BR101/BR99</f>
        <v>0.87677043640808106</v>
      </c>
      <c r="BS102" s="9"/>
      <c r="BT102" s="10">
        <f>+BT101/BT99</f>
        <v>0.90984895085776774</v>
      </c>
      <c r="BU102" s="9"/>
      <c r="BV102" s="10">
        <f>+BV101/BV99</f>
        <v>0.91684308017994176</v>
      </c>
      <c r="BW102" s="9"/>
      <c r="BX102" s="9"/>
      <c r="BY102" s="9"/>
      <c r="BZ102" s="10">
        <f>+BZ101/BZ99</f>
        <v>0.9277774208057572</v>
      </c>
      <c r="CA102" s="9"/>
      <c r="CB102" s="9"/>
      <c r="CC102" s="9"/>
      <c r="CD102" s="10">
        <f>+CD101/CD99</f>
        <v>0.91422632512074342</v>
      </c>
      <c r="CE102" s="9"/>
      <c r="CF102" s="9"/>
      <c r="CG102" s="9"/>
      <c r="CH102" s="10">
        <f>+CH101/CH99</f>
        <v>1.0245481673329204</v>
      </c>
      <c r="CI102" s="9"/>
      <c r="CJ102" s="9"/>
      <c r="CK102" s="9"/>
      <c r="CL102" s="10">
        <f>+CL101/CL99</f>
        <v>1.0084983145800692</v>
      </c>
      <c r="CM102" s="9"/>
      <c r="CN102" s="9"/>
      <c r="CO102" s="9"/>
      <c r="CP102" s="10">
        <f>+CP101/CP99</f>
        <v>1.0172351233671988</v>
      </c>
      <c r="CQ102" s="9"/>
      <c r="CR102" s="9"/>
      <c r="CS102" s="9"/>
      <c r="CT102" s="10">
        <f>+CT101/CT99</f>
        <v>0.99051153671089953</v>
      </c>
      <c r="CU102" s="9"/>
      <c r="CV102" s="9"/>
      <c r="CW102" s="9"/>
      <c r="CX102" s="10">
        <f>+CX101/CX99</f>
        <v>1.0062735635650732</v>
      </c>
      <c r="CY102" s="9"/>
      <c r="CZ102" s="9"/>
      <c r="DA102" s="9"/>
      <c r="DB102" s="10">
        <f>+DB101/DB99</f>
        <v>0.9931005644992682</v>
      </c>
      <c r="DC102" s="9"/>
      <c r="DD102" s="9"/>
      <c r="DE102" s="9"/>
      <c r="DF102" s="10">
        <f>+DF101/DF99</f>
        <v>1.0054870460459329</v>
      </c>
      <c r="DG102" s="9"/>
      <c r="DH102" s="9"/>
      <c r="DI102" s="9"/>
      <c r="DJ102" s="10">
        <f ca="1">+DJ101/DJ99</f>
        <v>1.0299731048581713</v>
      </c>
      <c r="DK102" s="9"/>
      <c r="DL102" s="9"/>
      <c r="DM102" s="9"/>
      <c r="DN102" s="10">
        <f ca="1">+DN101/DN99</f>
        <v>1.0297599682361727</v>
      </c>
      <c r="DO102" s="9"/>
      <c r="DP102" s="9"/>
      <c r="DQ102" s="9"/>
      <c r="DR102" s="10">
        <f ca="1">+DR101/DR99</f>
        <v>1.028919273596909</v>
      </c>
      <c r="DS102" s="9"/>
      <c r="DT102" s="9"/>
      <c r="DU102" s="9"/>
    </row>
    <row r="103" spans="1:125">
      <c r="A103" s="1" t="s">
        <v>559</v>
      </c>
      <c r="BJ103" s="8">
        <f>Capital!BJ67</f>
        <v>97548</v>
      </c>
      <c r="BL103" s="8">
        <f>Capital!BL67</f>
        <v>105694</v>
      </c>
      <c r="BM103" s="8">
        <f>Capital!BM67</f>
        <v>100985.5</v>
      </c>
      <c r="BN103" s="8">
        <f>Capital!BN67</f>
        <v>100985.5</v>
      </c>
      <c r="BP103" s="8">
        <f>Capital!BP67</f>
        <v>107293</v>
      </c>
      <c r="BQ103" s="8">
        <f>Capital!BQ67</f>
        <v>126659</v>
      </c>
      <c r="BR103" s="8">
        <f>Capital!BR67</f>
        <v>126659</v>
      </c>
      <c r="BT103" s="8">
        <f>Capital!BT67</f>
        <v>136812</v>
      </c>
      <c r="BV103" s="8">
        <f>Capital!BV67</f>
        <v>131228</v>
      </c>
      <c r="BZ103" s="8">
        <f>Capital!BZ67</f>
        <v>130830.5</v>
      </c>
      <c r="CD103" s="8">
        <f>Capital!CD67</f>
        <v>148364</v>
      </c>
      <c r="CH103" s="8">
        <f>Capital!CH67</f>
        <v>166594.5</v>
      </c>
      <c r="CL103" s="8">
        <f>Capital!CL67</f>
        <v>187863.5</v>
      </c>
      <c r="CP103" s="8">
        <f>Capital!CP67</f>
        <v>184810</v>
      </c>
      <c r="CT103" s="8">
        <f>Capital!CT67</f>
        <v>240895.5</v>
      </c>
      <c r="CX103" s="8">
        <f>Capital!CX67</f>
        <v>254230</v>
      </c>
      <c r="DB103" s="8">
        <f>Capital!DB67</f>
        <v>272588</v>
      </c>
      <c r="DF103" s="8">
        <f>Capital!DF67</f>
        <v>309562</v>
      </c>
      <c r="DJ103" s="8">
        <f>Capital!DJ67</f>
        <v>338766.47981602908</v>
      </c>
      <c r="DN103" s="8">
        <f>Capital!DN67</f>
        <v>358383.5322935399</v>
      </c>
      <c r="DR103" s="8">
        <f>Capital!DR67</f>
        <v>381179.80909249315</v>
      </c>
    </row>
    <row r="104" spans="1:125" s="2" customFormat="1">
      <c r="A104" s="2" t="s">
        <v>790</v>
      </c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2">
        <f>+BJ101/BJ103</f>
        <v>9.9079427563865993E-2</v>
      </c>
      <c r="BK104" s="5"/>
      <c r="BL104" s="52">
        <f>+BL101/BL103</f>
        <v>9.646715991447008E-2</v>
      </c>
      <c r="BM104" s="52">
        <f>+BM101/BM103</f>
        <v>9.4221447633571154E-2</v>
      </c>
      <c r="BN104" s="52">
        <f>+BN101/BN103</f>
        <v>9.4221447633571154E-2</v>
      </c>
      <c r="BO104" s="5"/>
      <c r="BP104" s="52">
        <f>+BP101/BP103</f>
        <v>9.0332081310057502E-2</v>
      </c>
      <c r="BQ104" s="52">
        <f>+BQ101/BQ103</f>
        <v>9.6282143392889569E-2</v>
      </c>
      <c r="BR104" s="52">
        <f>+BR101/BR103</f>
        <v>9.6282143392889569E-2</v>
      </c>
      <c r="BS104" s="5"/>
      <c r="BT104" s="52">
        <f>+BT101/BT103</f>
        <v>9.7301406309388064E-2</v>
      </c>
      <c r="BU104" s="5"/>
      <c r="BV104" s="52">
        <f>+BV101/BV103</f>
        <v>0.10561008321394824</v>
      </c>
      <c r="BW104" s="5"/>
      <c r="BX104" s="5"/>
      <c r="BY104" s="5"/>
      <c r="BZ104" s="52">
        <f>+BZ101/BZ103</f>
        <v>0.11036417349165523</v>
      </c>
      <c r="CA104" s="5"/>
      <c r="CB104" s="5"/>
      <c r="CC104" s="5"/>
      <c r="CD104" s="52">
        <f>+CD101/CD103</f>
        <v>0.10079264511606589</v>
      </c>
      <c r="CE104" s="5"/>
      <c r="CF104" s="5"/>
      <c r="CG104" s="5"/>
      <c r="CH104" s="52">
        <f>+CH101/CH103</f>
        <v>0.10922929628529153</v>
      </c>
      <c r="CI104" s="5"/>
      <c r="CJ104" s="5"/>
      <c r="CK104" s="5"/>
      <c r="CL104" s="52">
        <f>+CL101/CL103</f>
        <v>0.11307145879854257</v>
      </c>
      <c r="CM104" s="5"/>
      <c r="CN104" s="5"/>
      <c r="CO104" s="5"/>
      <c r="CP104" s="52">
        <f>+CP101/CP103</f>
        <v>0.12135706942265029</v>
      </c>
      <c r="CQ104" s="5"/>
      <c r="CR104" s="5"/>
      <c r="CS104" s="5"/>
      <c r="CT104" s="52">
        <f>+CT101/CT103</f>
        <v>0.11743681388817973</v>
      </c>
      <c r="CU104" s="5"/>
      <c r="CV104" s="5"/>
      <c r="CW104" s="5"/>
      <c r="CX104" s="52">
        <f>+CX101/CX103</f>
        <v>0.13123156197144317</v>
      </c>
      <c r="CY104" s="5"/>
      <c r="CZ104" s="5"/>
      <c r="DA104" s="5"/>
      <c r="DB104" s="52">
        <f>+DB101/DB103</f>
        <v>0.12197895725417113</v>
      </c>
      <c r="DC104" s="5"/>
      <c r="DD104" s="5"/>
      <c r="DE104" s="5"/>
      <c r="DF104" s="52">
        <f>+DF101/DF103</f>
        <v>0.11483967670450508</v>
      </c>
      <c r="DG104" s="5"/>
      <c r="DH104" s="5"/>
      <c r="DI104" s="5"/>
      <c r="DJ104" s="52">
        <f ca="1">+DJ101/DJ103</f>
        <v>0.10953881263046704</v>
      </c>
      <c r="DK104" s="5"/>
      <c r="DL104" s="5"/>
      <c r="DM104" s="5"/>
      <c r="DN104" s="52">
        <f ca="1">+DN101/DN103</f>
        <v>0.11265265799570885</v>
      </c>
      <c r="DO104" s="5"/>
      <c r="DP104" s="5"/>
      <c r="DQ104" s="5"/>
      <c r="DR104" s="52">
        <f ca="1">+DR101/DR103</f>
        <v>0.11521699539987006</v>
      </c>
      <c r="DS104" s="5"/>
      <c r="DT104" s="5"/>
      <c r="DU104" s="5"/>
    </row>
    <row r="106" spans="1:125">
      <c r="A106" s="2" t="s">
        <v>786</v>
      </c>
      <c r="BF106" s="22">
        <f>'Bal Sheet'!BF290</f>
        <v>346.81496099999998</v>
      </c>
      <c r="BJ106" s="22">
        <f>'Bal Sheet'!BJ290</f>
        <v>348.584383</v>
      </c>
      <c r="BN106" s="22">
        <f>'Bal Sheet'!BN290</f>
        <v>339.50657799999999</v>
      </c>
      <c r="BR106" s="22">
        <f>'Bal Sheet'!BR290</f>
        <v>321.07474999999999</v>
      </c>
      <c r="BV106" s="22">
        <f>'Bal Sheet'!BV290</f>
        <v>333.45777700000002</v>
      </c>
      <c r="BZ106" s="22">
        <f>'Bal Sheet'!BZ290</f>
        <v>340.30238900000001</v>
      </c>
      <c r="CD106" s="22">
        <f>'Bal Sheet'!CD290</f>
        <v>340.35173099999997</v>
      </c>
      <c r="CH106" s="22">
        <f>'Bal Sheet'!CH290</f>
        <v>340.36482000000001</v>
      </c>
      <c r="CL106" s="22">
        <f>'Bal Sheet'!CL290</f>
        <v>340.38273800000002</v>
      </c>
      <c r="CP106" s="22">
        <f>'Bal Sheet'!CP290</f>
        <v>354.381396</v>
      </c>
      <c r="CT106" s="22">
        <f>'Bal Sheet'!CT290</f>
        <v>361.82137699999998</v>
      </c>
      <c r="CX106" s="22">
        <f>'Bal Sheet'!CX290</f>
        <v>383.64763699999997</v>
      </c>
      <c r="DB106" s="22">
        <f>'Bal Sheet'!DB290</f>
        <v>386.47675400000003</v>
      </c>
      <c r="DF106" s="22">
        <f>'Bal Sheet'!DF290</f>
        <v>382.96253300000001</v>
      </c>
      <c r="DJ106" s="22">
        <f>'Bal Sheet'!DJ290</f>
        <v>381.13841500000001</v>
      </c>
      <c r="DN106" s="22">
        <f>'Bal Sheet'!DN290</f>
        <v>382.09126103750003</v>
      </c>
      <c r="DR106" s="22">
        <f>'Bal Sheet'!DR290</f>
        <v>384.004105413069</v>
      </c>
    </row>
    <row r="107" spans="1:125">
      <c r="A107" s="1" t="s">
        <v>64</v>
      </c>
      <c r="BF107" s="20">
        <f>'Bal Sheet'!BF291</f>
        <v>0</v>
      </c>
      <c r="BJ107" s="20">
        <f>'Bal Sheet'!BJ291</f>
        <v>0</v>
      </c>
      <c r="BN107" s="20">
        <f>'Bal Sheet'!BN291</f>
        <v>0</v>
      </c>
      <c r="BR107" s="20">
        <f>'Bal Sheet'!BR291</f>
        <v>9.1154360000000008</v>
      </c>
      <c r="BV107" s="20">
        <f>'Bal Sheet'!BV291</f>
        <v>6.7479440000000004</v>
      </c>
      <c r="BZ107" s="20">
        <f>'Bal Sheet'!BZ291</f>
        <v>0</v>
      </c>
      <c r="CD107" s="20">
        <f>'Bal Sheet'!CD291</f>
        <v>0</v>
      </c>
      <c r="CH107" s="20">
        <f>'Bal Sheet'!CH291</f>
        <v>0</v>
      </c>
      <c r="CL107" s="20">
        <f>'Bal Sheet'!CL291</f>
        <v>13.998657999999999</v>
      </c>
      <c r="CP107" s="20">
        <f>'Bal Sheet'!CP291</f>
        <v>0</v>
      </c>
      <c r="CT107" s="20">
        <f>'Bal Sheet'!CT291</f>
        <v>14.408999999999999</v>
      </c>
      <c r="CX107" s="20">
        <f>'Bal Sheet'!CX291</f>
        <v>0</v>
      </c>
      <c r="DB107" s="20">
        <f>'Bal Sheet'!DB291</f>
        <v>0</v>
      </c>
      <c r="DF107" s="20">
        <f>'Bal Sheet'!DF291</f>
        <v>0</v>
      </c>
      <c r="DJ107" s="20">
        <f>'Bal Sheet'!DJ291</f>
        <v>0</v>
      </c>
      <c r="DN107" s="20">
        <f>'Bal Sheet'!DN291</f>
        <v>0</v>
      </c>
      <c r="DR107" s="20">
        <f>'Bal Sheet'!DR291</f>
        <v>0</v>
      </c>
    </row>
    <row r="108" spans="1:125">
      <c r="A108" s="1" t="s">
        <v>101</v>
      </c>
      <c r="BF108" s="20">
        <f>'Bal Sheet'!BF292</f>
        <v>0</v>
      </c>
      <c r="BJ108" s="20">
        <f>'Bal Sheet'!BJ292</f>
        <v>-9.8090489999999999</v>
      </c>
      <c r="BN108" s="20">
        <f>'Bal Sheet'!BN292</f>
        <v>0</v>
      </c>
      <c r="BR108" s="20">
        <f>'Bal Sheet'!BR292</f>
        <v>0</v>
      </c>
      <c r="BV108" s="20">
        <f>'Bal Sheet'!BV292</f>
        <v>0</v>
      </c>
      <c r="BZ108" s="20">
        <f>'Bal Sheet'!BZ292</f>
        <v>0</v>
      </c>
      <c r="CD108" s="20">
        <f>'Bal Sheet'!CD292</f>
        <v>0</v>
      </c>
      <c r="CH108" s="20">
        <f>'Bal Sheet'!CH292</f>
        <v>0</v>
      </c>
      <c r="CL108" s="20">
        <f>'Bal Sheet'!CL292</f>
        <v>0</v>
      </c>
      <c r="CP108" s="20">
        <f>'Bal Sheet'!CP292</f>
        <v>0</v>
      </c>
      <c r="CT108" s="20">
        <f>'Bal Sheet'!CT292</f>
        <v>0</v>
      </c>
      <c r="CX108" s="20">
        <f>'Bal Sheet'!CX292</f>
        <v>0</v>
      </c>
      <c r="DB108" s="20">
        <f>'Bal Sheet'!DB292</f>
        <v>-3.514221</v>
      </c>
      <c r="DF108" s="20">
        <f>'Bal Sheet'!DF292</f>
        <v>-1.8241179999999999</v>
      </c>
      <c r="DJ108" s="20">
        <f>'Bal Sheet'!DJ292</f>
        <v>0</v>
      </c>
      <c r="DN108" s="20">
        <f>'Bal Sheet'!DN292</f>
        <v>0</v>
      </c>
      <c r="DR108" s="20">
        <f>'Bal Sheet'!DR292</f>
        <v>0</v>
      </c>
    </row>
    <row r="109" spans="1:125">
      <c r="A109" s="1" t="s">
        <v>65</v>
      </c>
      <c r="BF109" s="20">
        <f>'Bal Sheet'!BF293</f>
        <v>1.4071530000000001</v>
      </c>
      <c r="BJ109" s="20">
        <f>'Bal Sheet'!BJ293</f>
        <v>0</v>
      </c>
      <c r="BN109" s="20">
        <f>'Bal Sheet'!BN293</f>
        <v>0</v>
      </c>
      <c r="BR109" s="20">
        <f>'Bal Sheet'!BR293</f>
        <v>2.967273</v>
      </c>
      <c r="BV109" s="20">
        <f>'Bal Sheet'!BV293</f>
        <v>2.6245000000000001E-2</v>
      </c>
      <c r="BZ109" s="20">
        <f>'Bal Sheet'!BZ293</f>
        <v>0</v>
      </c>
      <c r="CD109" s="20">
        <f>'Bal Sheet'!CD293</f>
        <v>0</v>
      </c>
      <c r="CH109" s="20">
        <f>'Bal Sheet'!CH293</f>
        <v>0</v>
      </c>
      <c r="CL109" s="20">
        <f>'Bal Sheet'!CL293</f>
        <v>0</v>
      </c>
      <c r="CP109" s="20">
        <f>'Bal Sheet'!CP293</f>
        <v>2.261063</v>
      </c>
      <c r="CT109" s="20">
        <f>'Bal Sheet'!CT293</f>
        <v>3.3000050000000001</v>
      </c>
      <c r="CX109" s="20">
        <f>'Bal Sheet'!CX293</f>
        <v>2.7367370000000002</v>
      </c>
      <c r="DB109" s="20">
        <f>'Bal Sheet'!DB293</f>
        <v>0</v>
      </c>
      <c r="DF109" s="20">
        <f>'Bal Sheet'!DF293</f>
        <v>0</v>
      </c>
      <c r="DJ109" s="20">
        <f>'Bal Sheet'!DJ293</f>
        <v>0</v>
      </c>
      <c r="DN109" s="20">
        <f>'Bal Sheet'!DN293</f>
        <v>0</v>
      </c>
      <c r="DR109" s="20">
        <f>'Bal Sheet'!DR293</f>
        <v>0</v>
      </c>
    </row>
    <row r="110" spans="1:125">
      <c r="A110" s="1" t="s">
        <v>66</v>
      </c>
      <c r="BF110" s="20">
        <f>'Bal Sheet'!BF294</f>
        <v>0.36226900000001994</v>
      </c>
      <c r="BJ110" s="20">
        <f>'Bal Sheet'!BJ294</f>
        <v>0.73124399999998779</v>
      </c>
      <c r="BN110" s="20">
        <f>'Bal Sheet'!BN294</f>
        <v>-18.431827999999996</v>
      </c>
      <c r="BR110" s="20">
        <f>'Bal Sheet'!BR294</f>
        <v>0.30031800000002606</v>
      </c>
      <c r="BV110" s="20">
        <f>'Bal Sheet'!BV294</f>
        <v>7.0422999999983318E-2</v>
      </c>
      <c r="BZ110" s="20">
        <f>'Bal Sheet'!BZ294</f>
        <v>4.9341999999967356E-2</v>
      </c>
      <c r="CD110" s="20">
        <f>'Bal Sheet'!CD294</f>
        <v>1.3089000000036322E-2</v>
      </c>
      <c r="CH110" s="20">
        <f>'Bal Sheet'!CH294</f>
        <v>1.791800000000876E-2</v>
      </c>
      <c r="CL110" s="20">
        <f>'Bal Sheet'!CL294</f>
        <v>-2.1316282072803006E-14</v>
      </c>
      <c r="CP110" s="20">
        <f>'Bal Sheet'!CP294</f>
        <v>5.1789179999999888</v>
      </c>
      <c r="CT110" s="20">
        <f>'Bal Sheet'!CT294</f>
        <v>4.1172549999999912</v>
      </c>
      <c r="CX110" s="20">
        <f>'Bal Sheet'!CX294</f>
        <v>9.2380000000053197E-2</v>
      </c>
      <c r="DB110" s="20">
        <f>'Bal Sheet'!DB294</f>
        <v>-2.042810365310288E-14</v>
      </c>
      <c r="DF110" s="20">
        <f>'Bal Sheet'!DF294</f>
        <v>1.3322676295501878E-15</v>
      </c>
      <c r="DJ110" s="20">
        <f>'Bal Sheet'!DJ294</f>
        <v>0.95284603750000008</v>
      </c>
      <c r="DN110" s="20">
        <f>'Bal Sheet'!DN294</f>
        <v>1.9128443755689846</v>
      </c>
      <c r="DR110" s="20">
        <f>'Bal Sheet'!DR294</f>
        <v>1.9224205527241769</v>
      </c>
    </row>
    <row r="111" spans="1:125">
      <c r="A111" s="2" t="s">
        <v>787</v>
      </c>
      <c r="BF111" s="22">
        <f>'Bal Sheet'!BF295</f>
        <v>348.584383</v>
      </c>
      <c r="BJ111" s="22">
        <f>'Bal Sheet'!BJ295</f>
        <v>339.50657799999999</v>
      </c>
      <c r="BN111" s="22">
        <f>'Bal Sheet'!BN295</f>
        <v>321.07474999999999</v>
      </c>
      <c r="BR111" s="22">
        <f>'Bal Sheet'!BR295</f>
        <v>333.45777700000002</v>
      </c>
      <c r="BV111" s="22">
        <f>'Bal Sheet'!BV295</f>
        <v>340.30238900000001</v>
      </c>
      <c r="BZ111" s="22">
        <f>'Bal Sheet'!BZ295</f>
        <v>340.35173099999997</v>
      </c>
      <c r="CD111" s="22">
        <f>'Bal Sheet'!CD295</f>
        <v>340.36482000000001</v>
      </c>
      <c r="CH111" s="22">
        <f>'Bal Sheet'!CH295</f>
        <v>340.38273800000002</v>
      </c>
      <c r="CL111" s="22">
        <f>'Bal Sheet'!CL295</f>
        <v>354.381396</v>
      </c>
      <c r="CP111" s="22">
        <f>'Bal Sheet'!CP295</f>
        <v>361.82137699999998</v>
      </c>
      <c r="CT111" s="22">
        <f>'Bal Sheet'!CT295</f>
        <v>383.64763699999997</v>
      </c>
      <c r="CX111" s="22">
        <f>'Bal Sheet'!CX295</f>
        <v>386.47675400000003</v>
      </c>
      <c r="DB111" s="22">
        <f>'Bal Sheet'!DB295</f>
        <v>382.96253300000001</v>
      </c>
      <c r="DF111" s="22">
        <f>'Bal Sheet'!DF295</f>
        <v>381.13841500000001</v>
      </c>
      <c r="DJ111" s="22">
        <f>'Bal Sheet'!DJ295</f>
        <v>382.09126103750003</v>
      </c>
      <c r="DN111" s="22">
        <f>'Bal Sheet'!DN295</f>
        <v>384.004105413069</v>
      </c>
      <c r="DR111" s="22">
        <f>'Bal Sheet'!DR295</f>
        <v>385.92652596579319</v>
      </c>
    </row>
    <row r="112" spans="1:125" s="3" customFormat="1">
      <c r="A112" s="3" t="s">
        <v>153</v>
      </c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51">
        <f>'Bal Sheet'!BF296</f>
        <v>347.99235199999998</v>
      </c>
      <c r="BG112" s="9"/>
      <c r="BH112" s="9"/>
      <c r="BI112" s="9"/>
      <c r="BJ112" s="51">
        <f>'Bal Sheet'!BJ296</f>
        <v>341.52729575000001</v>
      </c>
      <c r="BK112" s="9"/>
      <c r="BL112" s="9"/>
      <c r="BM112" s="9"/>
      <c r="BN112" s="51">
        <f>'Bal Sheet'!BN296</f>
        <v>335.08935000000002</v>
      </c>
      <c r="BO112" s="9"/>
      <c r="BP112" s="9"/>
      <c r="BQ112" s="9"/>
      <c r="BR112" s="51">
        <f>'Bal Sheet'!BR296</f>
        <v>324.23462874999996</v>
      </c>
      <c r="BS112" s="9"/>
      <c r="BT112" s="9"/>
      <c r="BU112" s="9"/>
      <c r="BV112" s="51">
        <f>'Bal Sheet'!BV296</f>
        <v>335.20602150000002</v>
      </c>
      <c r="BW112" s="9"/>
      <c r="BX112" s="9"/>
      <c r="BY112" s="9"/>
      <c r="BZ112" s="51">
        <f>'Bal Sheet'!BZ296</f>
        <v>340.33276699999999</v>
      </c>
      <c r="CA112" s="9"/>
      <c r="CB112" s="9"/>
      <c r="CC112" s="9"/>
      <c r="CD112" s="51">
        <f>'Bal Sheet'!CD296</f>
        <v>340.35808925000003</v>
      </c>
      <c r="CE112" s="9"/>
      <c r="CF112" s="9"/>
      <c r="CG112" s="9"/>
      <c r="CH112" s="51">
        <f>'Bal Sheet'!CH296</f>
        <v>340.37825850000002</v>
      </c>
      <c r="CI112" s="9"/>
      <c r="CJ112" s="9"/>
      <c r="CK112" s="9"/>
      <c r="CL112" s="51">
        <f>'Bal Sheet'!CL296</f>
        <v>350.87926700000003</v>
      </c>
      <c r="CM112" s="9"/>
      <c r="CN112" s="9"/>
      <c r="CO112" s="9"/>
      <c r="CP112" s="51">
        <f>'Bal Sheet'!CP296</f>
        <v>359.80250675000002</v>
      </c>
      <c r="CQ112" s="9"/>
      <c r="CR112" s="9"/>
      <c r="CS112" s="9"/>
      <c r="CT112" s="51">
        <f>'Bal Sheet'!CT296</f>
        <v>370.77883800000001</v>
      </c>
      <c r="CU112" s="9"/>
      <c r="CV112" s="9"/>
      <c r="CW112" s="9"/>
      <c r="CX112" s="51">
        <f>'Bal Sheet'!CX296</f>
        <v>385.76947475000003</v>
      </c>
      <c r="CY112" s="9"/>
      <c r="CZ112" s="9"/>
      <c r="DA112" s="9"/>
      <c r="DB112" s="51">
        <f>'Bal Sheet'!DB296</f>
        <v>385.59819875000005</v>
      </c>
      <c r="DC112" s="9"/>
      <c r="DD112" s="9"/>
      <c r="DE112" s="9"/>
      <c r="DF112" s="51">
        <f>'Bal Sheet'!DF296</f>
        <v>381.59444450000001</v>
      </c>
      <c r="DG112" s="9"/>
      <c r="DH112" s="9"/>
      <c r="DI112" s="9"/>
      <c r="DJ112" s="51">
        <f>'Bal Sheet'!DJ296</f>
        <v>381.376626509375</v>
      </c>
      <c r="DK112" s="9"/>
      <c r="DL112" s="9"/>
      <c r="DM112" s="9"/>
      <c r="DN112" s="51">
        <f>'Bal Sheet'!DN296</f>
        <v>383.04708620768918</v>
      </c>
      <c r="DO112" s="9"/>
      <c r="DP112" s="9"/>
      <c r="DQ112" s="9"/>
      <c r="DR112" s="51">
        <f>'Bal Sheet'!DR296</f>
        <v>384.96471568301638</v>
      </c>
      <c r="DS112" s="9"/>
      <c r="DT112" s="9"/>
      <c r="DU112" s="9"/>
    </row>
    <row r="113" spans="1:125" s="3" customFormat="1">
      <c r="A113" s="3" t="s">
        <v>152</v>
      </c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51">
        <f>'Bal Sheet'!BF297</f>
        <v>327.01473700000003</v>
      </c>
      <c r="BG113" s="9"/>
      <c r="BH113" s="9"/>
      <c r="BI113" s="9"/>
      <c r="BJ113" s="51">
        <f>'Bal Sheet'!BJ297</f>
        <v>314.51878900000003</v>
      </c>
      <c r="BK113" s="9"/>
      <c r="BL113" s="9"/>
      <c r="BM113" s="9"/>
      <c r="BN113" s="51">
        <f>'Bal Sheet'!BN297</f>
        <v>306.08165700000001</v>
      </c>
      <c r="BO113" s="9"/>
      <c r="BP113" s="9"/>
      <c r="BQ113" s="9"/>
      <c r="BR113" s="51">
        <f>'Bal Sheet'!BR297</f>
        <v>298.05655400000001</v>
      </c>
      <c r="BS113" s="9"/>
      <c r="BT113" s="9"/>
      <c r="BU113" s="9"/>
      <c r="BV113" s="51">
        <f>'Bal Sheet'!BV297</f>
        <v>315.07742000000002</v>
      </c>
      <c r="BW113" s="9"/>
      <c r="BX113" s="9"/>
      <c r="BY113" s="9"/>
      <c r="BZ113" s="51">
        <f>'Bal Sheet'!BZ297</f>
        <v>321.14715999999999</v>
      </c>
      <c r="CA113" s="9"/>
      <c r="CB113" s="9"/>
      <c r="CC113" s="9"/>
      <c r="CD113" s="51">
        <f>'Bal Sheet'!CD297</f>
        <v>322.47566</v>
      </c>
      <c r="CE113" s="9"/>
      <c r="CF113" s="9"/>
      <c r="CG113" s="9"/>
      <c r="CH113" s="51">
        <f>'Bal Sheet'!CH297</f>
        <v>324.00468599999999</v>
      </c>
      <c r="CI113" s="9"/>
      <c r="CJ113" s="9"/>
      <c r="CK113" s="9"/>
      <c r="CL113" s="51">
        <f>'Bal Sheet'!CL297</f>
        <v>333.23437699999999</v>
      </c>
      <c r="CM113" s="9"/>
      <c r="CN113" s="9"/>
      <c r="CO113" s="9"/>
      <c r="CP113" s="51">
        <f>'Bal Sheet'!CP297</f>
        <v>345.94075900000001</v>
      </c>
      <c r="CQ113" s="9"/>
      <c r="CR113" s="9"/>
      <c r="CS113" s="9"/>
      <c r="CT113" s="51">
        <f>'Bal Sheet'!CT297</f>
        <v>358.49600600000002</v>
      </c>
      <c r="CU113" s="9"/>
      <c r="CV113" s="9"/>
      <c r="CW113" s="9"/>
      <c r="CX113" s="51">
        <f>'Bal Sheet'!CX297</f>
        <v>370.47358700000001</v>
      </c>
      <c r="CY113" s="9"/>
      <c r="CZ113" s="9"/>
      <c r="DA113" s="9"/>
      <c r="DB113" s="51">
        <f>'Bal Sheet'!DB297</f>
        <v>369.31511599999999</v>
      </c>
      <c r="DC113" s="9"/>
      <c r="DD113" s="9"/>
      <c r="DE113" s="9"/>
      <c r="DF113" s="51">
        <f>'Bal Sheet'!DF297</f>
        <v>365.852305</v>
      </c>
      <c r="DG113" s="9"/>
      <c r="DH113" s="9"/>
      <c r="DI113" s="9"/>
      <c r="DJ113" s="51">
        <f>'Bal Sheet'!DJ297</f>
        <v>366.85013912562499</v>
      </c>
      <c r="DK113" s="9"/>
      <c r="DL113" s="9"/>
      <c r="DM113" s="9"/>
      <c r="DN113" s="51">
        <f>'Bal Sheet'!DN297</f>
        <v>368.45697166368359</v>
      </c>
      <c r="DO113" s="9"/>
      <c r="DP113" s="9"/>
      <c r="DQ113" s="9"/>
      <c r="DR113" s="51">
        <f>'Bal Sheet'!DR297</f>
        <v>370.30155937807484</v>
      </c>
      <c r="DS113" s="9"/>
      <c r="DT113" s="9"/>
      <c r="DU113" s="9"/>
    </row>
    <row r="115" spans="1:125">
      <c r="A115" s="2" t="s">
        <v>75</v>
      </c>
      <c r="BF115" s="7">
        <f>'EPS and DPS'!BF8</f>
        <v>730.65376000000037</v>
      </c>
      <c r="BJ115" s="7">
        <f>'EPS and DPS'!BJ8</f>
        <v>851.49</v>
      </c>
      <c r="BL115" s="7">
        <f>'EPS and DPS'!BL8</f>
        <v>501</v>
      </c>
      <c r="BM115" s="7">
        <f>'EPS and DPS'!BM8</f>
        <v>766.49</v>
      </c>
      <c r="BN115" s="7">
        <f>'EPS and DPS'!BN8</f>
        <v>1267.49</v>
      </c>
      <c r="BP115" s="7">
        <f>'EPS and DPS'!BP8</f>
        <v>678</v>
      </c>
      <c r="BQ115" s="7">
        <f>'EPS and DPS'!BQ8</f>
        <v>926.49</v>
      </c>
      <c r="BR115" s="7">
        <f>'EPS and DPS'!BR8</f>
        <v>1604.49</v>
      </c>
      <c r="BT115" s="7">
        <f>'EPS and DPS'!BT8</f>
        <v>1070</v>
      </c>
      <c r="BV115" s="7">
        <f>'EPS and DPS'!BV8</f>
        <v>2063.4899999999998</v>
      </c>
      <c r="BZ115" s="7">
        <f>'EPS and DPS'!BZ8</f>
        <v>2217.4899999999998</v>
      </c>
      <c r="CD115" s="7">
        <f>'EPS and DPS'!CD8</f>
        <v>2557.4899999999998</v>
      </c>
      <c r="CH115" s="7">
        <f>'EPS and DPS'!CH8</f>
        <v>2982.49</v>
      </c>
      <c r="CL115" s="7">
        <f>'EPS and DPS'!CL8</f>
        <v>2731.49</v>
      </c>
      <c r="CP115" s="7">
        <f>'EPS and DPS'!CP8</f>
        <v>3015.49</v>
      </c>
      <c r="CT115" s="7">
        <f>'EPS and DPS'!CT8</f>
        <v>4706.49</v>
      </c>
      <c r="CX115" s="7">
        <f>'EPS and DPS'!CX8</f>
        <v>5182.49</v>
      </c>
      <c r="DB115" s="7">
        <f>'EPS and DPS'!DB8</f>
        <v>3522.49</v>
      </c>
      <c r="DF115" s="7">
        <f ca="1">'EPS and DPS'!DF8</f>
        <v>3715.49</v>
      </c>
      <c r="DJ115" s="7">
        <f>'EPS and DPS'!DJ8</f>
        <v>4172.6901979637678</v>
      </c>
      <c r="DN115" s="7">
        <f>'EPS and DPS'!DN8</f>
        <v>4572.7102875162254</v>
      </c>
      <c r="DR115" s="7">
        <f>'EPS and DPS'!DR8</f>
        <v>4922.7680533130952</v>
      </c>
    </row>
    <row r="116" spans="1:125">
      <c r="A116" s="12" t="s">
        <v>479</v>
      </c>
      <c r="BF116" s="8">
        <f>'EPS and DPS'!BF10</f>
        <v>-43</v>
      </c>
      <c r="BJ116" s="8">
        <f>'EPS and DPS'!BJ10</f>
        <v>-61</v>
      </c>
      <c r="BL116" s="8">
        <f>'EPS and DPS'!BL10</f>
        <v>-37</v>
      </c>
      <c r="BM116" s="8">
        <f>'EPS and DPS'!BM10</f>
        <v>-54</v>
      </c>
      <c r="BN116" s="8">
        <f>'EPS and DPS'!BN10</f>
        <v>-91</v>
      </c>
      <c r="BP116" s="8">
        <f>'EPS and DPS'!BP10</f>
        <v>-48</v>
      </c>
      <c r="BQ116" s="8">
        <f>'EPS and DPS'!BQ10</f>
        <v>-59</v>
      </c>
      <c r="BR116" s="8">
        <f>'EPS and DPS'!BR10</f>
        <v>-107</v>
      </c>
      <c r="BT116" s="8">
        <f>'EPS and DPS'!BT10</f>
        <v>-62</v>
      </c>
      <c r="BV116" s="8">
        <f>'EPS and DPS'!BV10</f>
        <v>-112</v>
      </c>
      <c r="BZ116" s="8">
        <f>'EPS and DPS'!BZ10</f>
        <v>-105</v>
      </c>
      <c r="CD116" s="8">
        <f>'EPS and DPS'!CD10</f>
        <v>-112</v>
      </c>
      <c r="CH116" s="8">
        <f>'EPS and DPS'!CH10</f>
        <v>-120</v>
      </c>
      <c r="CL116" s="8">
        <f>'EPS and DPS'!CL10</f>
        <v>-95</v>
      </c>
      <c r="CP116" s="8">
        <f>'EPS and DPS'!CP10</f>
        <v>-99</v>
      </c>
      <c r="CT116" s="8">
        <f>'EPS and DPS'!CT10</f>
        <v>-147</v>
      </c>
      <c r="CX116" s="8">
        <f>'EPS and DPS'!CX10</f>
        <v>-167</v>
      </c>
      <c r="DB116" s="8">
        <f>'EPS and DPS'!DB10</f>
        <v>-137</v>
      </c>
      <c r="DF116" s="8">
        <f>'EPS and DPS'!DF10</f>
        <v>-132</v>
      </c>
      <c r="DJ116" s="8">
        <f>'EPS and DPS'!DJ10</f>
        <v>-136.14819981271509</v>
      </c>
      <c r="DN116" s="8">
        <f>'EPS and DPS'!DN10</f>
        <v>-149.20021481926057</v>
      </c>
      <c r="DR116" s="8">
        <f>'EPS and DPS'!DR10</f>
        <v>-160.62203920175656</v>
      </c>
    </row>
    <row r="117" spans="1:125">
      <c r="A117" s="2" t="s">
        <v>68</v>
      </c>
      <c r="BF117" s="7">
        <f>'EPS and DPS'!BF11</f>
        <v>687.65376000000037</v>
      </c>
      <c r="BJ117" s="7">
        <f>'EPS and DPS'!BJ11</f>
        <v>790.49</v>
      </c>
      <c r="BL117" s="7">
        <f>'EPS and DPS'!BL11</f>
        <v>464</v>
      </c>
      <c r="BM117" s="7">
        <f>'EPS and DPS'!BM11</f>
        <v>712.49</v>
      </c>
      <c r="BN117" s="7">
        <f>'EPS and DPS'!BN11</f>
        <v>1176.49</v>
      </c>
      <c r="BP117" s="7">
        <f>'EPS and DPS'!BP11</f>
        <v>630</v>
      </c>
      <c r="BQ117" s="7">
        <f>'EPS and DPS'!BQ11</f>
        <v>867.49</v>
      </c>
      <c r="BR117" s="7">
        <f>'EPS and DPS'!BR11</f>
        <v>1497.49</v>
      </c>
      <c r="BT117" s="7">
        <f>'EPS and DPS'!BT11</f>
        <v>1008</v>
      </c>
      <c r="BV117" s="7">
        <f>'EPS and DPS'!BV11</f>
        <v>1951.4899999999998</v>
      </c>
      <c r="BZ117" s="7">
        <f>'EPS and DPS'!BZ11</f>
        <v>2112.4899999999998</v>
      </c>
      <c r="CD117" s="7">
        <f>'EPS and DPS'!CD11</f>
        <v>2445.4899999999998</v>
      </c>
      <c r="CH117" s="7">
        <f>'EPS and DPS'!CH11</f>
        <v>2862.49</v>
      </c>
      <c r="CL117" s="7">
        <f>'EPS and DPS'!CL11</f>
        <v>2636.49</v>
      </c>
      <c r="CP117" s="7">
        <f>'EPS and DPS'!CP11</f>
        <v>2916.49</v>
      </c>
      <c r="CT117" s="7">
        <f>'EPS and DPS'!CT11</f>
        <v>4559.49</v>
      </c>
      <c r="CX117" s="7">
        <f>'EPS and DPS'!CX11</f>
        <v>5015.49</v>
      </c>
      <c r="DB117" s="7">
        <f>'EPS and DPS'!DB11</f>
        <v>3385.49</v>
      </c>
      <c r="DF117" s="7">
        <f ca="1">'EPS and DPS'!DF11</f>
        <v>3583.49</v>
      </c>
      <c r="DJ117" s="7">
        <f>'EPS and DPS'!DJ11</f>
        <v>4036.5419981510527</v>
      </c>
      <c r="DN117" s="7">
        <f>'EPS and DPS'!DN11</f>
        <v>4423.5100726969649</v>
      </c>
      <c r="DR117" s="7">
        <f>'EPS and DPS'!DR11</f>
        <v>4762.1460141113384</v>
      </c>
    </row>
    <row r="118" spans="1:125" ht="14.4" thickBot="1">
      <c r="A118" s="1" t="s">
        <v>788</v>
      </c>
      <c r="BF118" s="24">
        <f>'EPS and DPS'!BF21</f>
        <v>327.01473700000003</v>
      </c>
      <c r="BJ118" s="24">
        <f>'EPS and DPS'!BJ21</f>
        <v>314.71878900000002</v>
      </c>
      <c r="BL118" s="24">
        <f>'EPS and DPS'!BL21</f>
        <v>309.90126099999998</v>
      </c>
      <c r="BM118" s="24">
        <f>'EPS and DPS'!BM21</f>
        <v>302.281567</v>
      </c>
      <c r="BN118" s="24">
        <f>'EPS and DPS'!BN21</f>
        <v>306.16665699999999</v>
      </c>
      <c r="BP118" s="24">
        <f>'EPS and DPS'!BP21</f>
        <v>295.35898400000002</v>
      </c>
      <c r="BQ118" s="24">
        <f>'EPS and DPS'!BQ21</f>
        <v>300.988857</v>
      </c>
      <c r="BR118" s="24">
        <f>'EPS and DPS'!BR21</f>
        <v>298.109554</v>
      </c>
      <c r="BT118" s="24">
        <f>'EPS and DPS'!BT21</f>
        <v>310.60417100000001</v>
      </c>
      <c r="BV118" s="24">
        <f>'EPS and DPS'!BV21</f>
        <v>315.07742000000002</v>
      </c>
      <c r="BZ118" s="24">
        <f>'EPS and DPS'!BZ21</f>
        <v>321.14715999999999</v>
      </c>
      <c r="CD118" s="24">
        <f>'EPS and DPS'!CD21</f>
        <v>322.47566</v>
      </c>
      <c r="CH118" s="24">
        <f>'EPS and DPS'!CH21</f>
        <v>324.00468599999999</v>
      </c>
      <c r="CL118" s="24">
        <f>'EPS and DPS'!CL21</f>
        <v>333.23437699999999</v>
      </c>
      <c r="CP118" s="24">
        <f>'EPS and DPS'!CP21</f>
        <v>345.94075900000001</v>
      </c>
      <c r="CT118" s="24">
        <f>'EPS and DPS'!CT21</f>
        <v>358.49600600000002</v>
      </c>
      <c r="CX118" s="24">
        <f>'EPS and DPS'!CX21</f>
        <v>370.47358700000001</v>
      </c>
      <c r="DB118" s="24">
        <f>'EPS and DPS'!DB21</f>
        <v>369.31511599999999</v>
      </c>
      <c r="DF118" s="24">
        <f>'EPS and DPS'!DF21</f>
        <v>365.852305</v>
      </c>
      <c r="DJ118" s="24">
        <f>'EPS and DPS'!DJ21</f>
        <v>366.85013912562499</v>
      </c>
      <c r="DN118" s="24">
        <f>'EPS and DPS'!DN21</f>
        <v>368.45697166368359</v>
      </c>
      <c r="DR118" s="24">
        <f>'EPS and DPS'!DR21</f>
        <v>370.30155937807484</v>
      </c>
    </row>
    <row r="119" spans="1:125" ht="14.4" thickBot="1">
      <c r="A119" s="2008" t="s">
        <v>81</v>
      </c>
      <c r="B119" s="2009"/>
      <c r="C119" s="2009"/>
      <c r="D119" s="2009"/>
      <c r="E119" s="2009"/>
      <c r="F119" s="2009"/>
      <c r="G119" s="2009"/>
      <c r="H119" s="2009"/>
      <c r="I119" s="2009"/>
      <c r="J119" s="2009"/>
      <c r="K119" s="2009"/>
      <c r="L119" s="2009"/>
      <c r="M119" s="2009"/>
      <c r="N119" s="2009"/>
      <c r="O119" s="2009"/>
      <c r="P119" s="2009"/>
      <c r="Q119" s="2009"/>
      <c r="R119" s="2009"/>
      <c r="S119" s="2009"/>
      <c r="T119" s="2009"/>
      <c r="U119" s="2009"/>
      <c r="V119" s="2009"/>
      <c r="W119" s="2009"/>
      <c r="X119" s="2009"/>
      <c r="Y119" s="2009"/>
      <c r="Z119" s="2009"/>
      <c r="AA119" s="2009"/>
      <c r="AB119" s="2009"/>
      <c r="AC119" s="2009"/>
      <c r="AD119" s="2009"/>
      <c r="AE119" s="2009"/>
      <c r="AF119" s="2009"/>
      <c r="AG119" s="2009"/>
      <c r="AH119" s="2009"/>
      <c r="AI119" s="2009"/>
      <c r="AJ119" s="2009"/>
      <c r="AK119" s="2009"/>
      <c r="AL119" s="2009"/>
      <c r="AM119" s="2009"/>
      <c r="AN119" s="2009"/>
      <c r="AO119" s="2009"/>
      <c r="AP119" s="2009"/>
      <c r="AQ119" s="2009"/>
      <c r="AR119" s="2009"/>
      <c r="AS119" s="2009"/>
      <c r="AT119" s="2009"/>
      <c r="AU119" s="2009"/>
      <c r="AV119" s="2010"/>
      <c r="AW119" s="2010"/>
      <c r="AX119" s="2010"/>
      <c r="AY119" s="2010"/>
      <c r="AZ119" s="2010"/>
      <c r="BA119" s="2010"/>
      <c r="BB119" s="2010"/>
      <c r="BC119" s="2010"/>
      <c r="BD119" s="2010"/>
      <c r="BE119" s="2010"/>
      <c r="BF119" s="2011">
        <f>+BF117/(BF118/100)</f>
        <v>210.2821928786654</v>
      </c>
      <c r="BG119" s="2010"/>
      <c r="BH119" s="2010"/>
      <c r="BI119" s="2010"/>
      <c r="BJ119" s="2011">
        <f>+BJ117/(BJ118/100)</f>
        <v>251.1734372490865</v>
      </c>
      <c r="BK119" s="2010"/>
      <c r="BL119" s="2011">
        <f>+BL117/(BL118/100)</f>
        <v>149.72510873390735</v>
      </c>
      <c r="BM119" s="2011">
        <f>+BM117/(BM118/100)</f>
        <v>235.70408446374105</v>
      </c>
      <c r="BN119" s="2011">
        <f>+BN117/(BN118/100)</f>
        <v>384.26457391798874</v>
      </c>
      <c r="BO119" s="2010"/>
      <c r="BP119" s="2011">
        <f>+BP117/(BP118/100)</f>
        <v>213.29975864218167</v>
      </c>
      <c r="BQ119" s="2011">
        <f>+BQ117/(BQ118/100)</f>
        <v>288.21332744554064</v>
      </c>
      <c r="BR119" s="2011">
        <f>+BR117/(BR118/100)</f>
        <v>502.32875126169216</v>
      </c>
      <c r="BS119" s="2010"/>
      <c r="BT119" s="2011">
        <f>+BT117/(BT118/100)</f>
        <v>324.52880357488823</v>
      </c>
      <c r="BU119" s="2010"/>
      <c r="BV119" s="2011">
        <f>+BV117/(BV118/100)</f>
        <v>619.36840792970804</v>
      </c>
      <c r="BW119" s="2010"/>
      <c r="BX119" s="2010"/>
      <c r="BY119" s="2010"/>
      <c r="BZ119" s="2011">
        <f>+BZ117/(BZ118/100)</f>
        <v>657.79501210597653</v>
      </c>
      <c r="CA119" s="2010"/>
      <c r="CB119" s="2010"/>
      <c r="CC119" s="2010"/>
      <c r="CD119" s="2011">
        <f>+CD117/(CD118/100)</f>
        <v>758.34870762028982</v>
      </c>
      <c r="CE119" s="2010"/>
      <c r="CF119" s="2010"/>
      <c r="CG119" s="2010"/>
      <c r="CH119" s="2011">
        <f>+CH117/(CH118/100)</f>
        <v>883.47179028145285</v>
      </c>
      <c r="CI119" s="2010"/>
      <c r="CJ119" s="2010"/>
      <c r="CK119" s="2010"/>
      <c r="CL119" s="2011">
        <f>+CL117/(CL118/100)</f>
        <v>791.18187737275366</v>
      </c>
      <c r="CM119" s="2010"/>
      <c r="CN119" s="2010"/>
      <c r="CO119" s="2010"/>
      <c r="CP119" s="2011">
        <f>+CP117/(CP118/100)</f>
        <v>843.06053106624529</v>
      </c>
      <c r="CQ119" s="2010"/>
      <c r="CR119" s="2010"/>
      <c r="CS119" s="2010"/>
      <c r="CT119" s="2011">
        <f>+CT117/(CT118/100)</f>
        <v>1271.8384371623933</v>
      </c>
      <c r="CU119" s="2010"/>
      <c r="CV119" s="2010"/>
      <c r="CW119" s="2010"/>
      <c r="CX119" s="2011">
        <f>+CX117/(CX118/100)</f>
        <v>1353.8050149847795</v>
      </c>
      <c r="CY119" s="2010"/>
      <c r="CZ119" s="2010"/>
      <c r="DA119" s="2010"/>
      <c r="DB119" s="2011">
        <f>+DB117/(DB118/100)</f>
        <v>916.69413282287644</v>
      </c>
      <c r="DC119" s="2010"/>
      <c r="DD119" s="2010"/>
      <c r="DE119" s="2010"/>
      <c r="DF119" s="2011">
        <f ca="1">+DF117/(DF118/100)</f>
        <v>979.4908904564644</v>
      </c>
      <c r="DG119" s="2010"/>
      <c r="DH119" s="2010"/>
      <c r="DI119" s="2010"/>
      <c r="DJ119" s="2011">
        <f>+DJ117/(DJ118/100)</f>
        <v>1100.3245106495026</v>
      </c>
      <c r="DK119" s="2010"/>
      <c r="DL119" s="2010"/>
      <c r="DM119" s="2010"/>
      <c r="DN119" s="2011">
        <f>+DN117/(DN118/100)</f>
        <v>1200.5499726938567</v>
      </c>
      <c r="DO119" s="2010"/>
      <c r="DP119" s="2010"/>
      <c r="DQ119" s="2010"/>
      <c r="DR119" s="2011">
        <f>+DR117/(DR118/100)</f>
        <v>1286.0183527472609</v>
      </c>
      <c r="DS119" s="2010"/>
    </row>
    <row r="120" spans="1:125">
      <c r="BF120" s="69">
        <f>'EPS and DPS'!BF30</f>
        <v>210.2821928786654</v>
      </c>
      <c r="BJ120" s="69">
        <f>'EPS and DPS'!BJ30</f>
        <v>251.1734372490865</v>
      </c>
      <c r="BL120" s="69">
        <f>'EPS and DPS'!BL30</f>
        <v>149.72510873390738</v>
      </c>
      <c r="BM120" s="69">
        <f>'EPS and DPS'!BM30</f>
        <v>235.70408446374108</v>
      </c>
      <c r="BN120" s="69">
        <f>'EPS and DPS'!BN30</f>
        <v>384.26457391798874</v>
      </c>
      <c r="BP120" s="69">
        <f>'EPS and DPS'!BP30</f>
        <v>213.29975864218164</v>
      </c>
      <c r="BQ120" s="69">
        <f>'EPS and DPS'!BQ30</f>
        <v>288.21332744554064</v>
      </c>
      <c r="BR120" s="69">
        <f>'EPS and DPS'!BR30</f>
        <v>502.32875126169222</v>
      </c>
      <c r="BT120" s="69">
        <f>'EPS and DPS'!BT30</f>
        <v>324.52880357488823</v>
      </c>
      <c r="BV120" s="69">
        <f>'EPS and DPS'!BV30</f>
        <v>619.36840792970816</v>
      </c>
      <c r="BZ120" s="69">
        <f>'EPS and DPS'!BZ30</f>
        <v>657.79501210597653</v>
      </c>
      <c r="CD120" s="69">
        <f>'EPS and DPS'!CD30</f>
        <v>758.24870762028979</v>
      </c>
      <c r="CH120" s="69">
        <f>'EPS and DPS'!CH30</f>
        <v>883.27179028145281</v>
      </c>
      <c r="CL120" s="69">
        <f>'EPS and DPS'!CL30</f>
        <v>790.98187737275373</v>
      </c>
      <c r="CP120" s="69">
        <f>'EPS and DPS'!CP30</f>
        <v>842.86053106624513</v>
      </c>
      <c r="CT120" s="69">
        <f>'EPS and DPS'!CT30</f>
        <v>1271.8384371623931</v>
      </c>
      <c r="CX120" s="69">
        <f>'EPS and DPS'!CX30</f>
        <v>1353.7050149847794</v>
      </c>
      <c r="DB120" s="69">
        <f>'EPS and DPS'!DB30</f>
        <v>916.5941328228763</v>
      </c>
      <c r="DF120" s="69">
        <f ca="1">'EPS and DPS'!DF30</f>
        <v>979.39089045646426</v>
      </c>
      <c r="DJ120" s="69">
        <f>'EPS and DPS'!DJ30</f>
        <v>1100.3245106495026</v>
      </c>
      <c r="DN120" s="69">
        <f>'EPS and DPS'!DN30</f>
        <v>1200.5499726938569</v>
      </c>
      <c r="DR120" s="69">
        <f>'EPS and DPS'!DR30</f>
        <v>1286.0183527472609</v>
      </c>
    </row>
    <row r="121" spans="1:125">
      <c r="A121" s="1" t="s">
        <v>1035</v>
      </c>
      <c r="BF121" s="69"/>
      <c r="BJ121" s="69"/>
      <c r="BL121" s="69"/>
      <c r="BM121" s="69"/>
      <c r="BN121" s="69"/>
      <c r="BP121" s="69"/>
      <c r="BQ121" s="69"/>
      <c r="BR121" s="69"/>
      <c r="BT121" s="69"/>
      <c r="BV121" s="8">
        <f>'EPS and DPS'!BV12</f>
        <v>174</v>
      </c>
      <c r="BZ121" s="8">
        <f>'EPS and DPS'!BZ12</f>
        <v>180</v>
      </c>
      <c r="CD121" s="8">
        <f>'EPS and DPS'!CD12</f>
        <v>165</v>
      </c>
      <c r="CH121" s="8">
        <f>'EPS and DPS'!CH12</f>
        <v>187</v>
      </c>
      <c r="CL121" s="8">
        <f>'EPS and DPS'!CL12</f>
        <v>197</v>
      </c>
      <c r="CP121" s="8">
        <f>'EPS and DPS'!CP12</f>
        <v>180</v>
      </c>
      <c r="CT121" s="8">
        <f>'EPS and DPS'!CT12</f>
        <v>226</v>
      </c>
      <c r="CX121" s="8">
        <f>'EPS and DPS'!CX12</f>
        <v>337</v>
      </c>
      <c r="DB121" s="8">
        <f>'EPS and DPS'!DB12</f>
        <v>84</v>
      </c>
      <c r="DF121" s="8">
        <f>'EPS and DPS'!DF12</f>
        <v>88</v>
      </c>
      <c r="DJ121" s="8">
        <f>'EPS and DPS'!DJ12</f>
        <v>70</v>
      </c>
      <c r="DN121" s="8">
        <f>'EPS and DPS'!DN12</f>
        <v>70</v>
      </c>
      <c r="DR121" s="8">
        <f>'EPS and DPS'!DR12</f>
        <v>70</v>
      </c>
    </row>
    <row r="122" spans="1:125" ht="14.4" thickBot="1">
      <c r="A122" s="1" t="s">
        <v>79</v>
      </c>
      <c r="BF122" s="69"/>
      <c r="BJ122" s="69"/>
      <c r="BL122" s="69"/>
      <c r="BM122" s="69"/>
      <c r="BN122" s="69"/>
      <c r="BP122" s="69"/>
      <c r="BQ122" s="69"/>
      <c r="BR122" s="69"/>
      <c r="BT122" s="69"/>
      <c r="BV122" s="8">
        <f>'EPS and DPS'!BV24+'EPS and DPS'!BV25+'EPS and DPS'!BV26</f>
        <v>39.041381999999999</v>
      </c>
      <c r="BZ122" s="8">
        <f>'EPS and DPS'!BZ24+'EPS and DPS'!BZ25+'EPS and DPS'!BZ26</f>
        <v>34.453927</v>
      </c>
      <c r="CD122" s="8">
        <f>'EPS and DPS'!CD24+'EPS and DPS'!CD25+'EPS and DPS'!CD26</f>
        <v>28.581088999999999</v>
      </c>
      <c r="CH122" s="8">
        <f>'EPS and DPS'!CH24+'EPS and DPS'!CH25+'EPS and DPS'!CH26</f>
        <v>27.221240000000005</v>
      </c>
      <c r="CL122" s="8">
        <f>'EPS and DPS'!CL24+'EPS and DPS'!CL25+'EPS and DPS'!CL26</f>
        <v>37.325569999999999</v>
      </c>
      <c r="CP122" s="8">
        <f>'EPS and DPS'!CP24+'EPS and DPS'!CP25+'EPS and DPS'!CP26</f>
        <v>29.507736000000001</v>
      </c>
      <c r="CT122" s="8">
        <f>'EPS and DPS'!CT24+'EPS and DPS'!CT25+'EPS and DPS'!CT26</f>
        <v>30.329991</v>
      </c>
      <c r="CX122" s="8">
        <f>'EPS and DPS'!CX24+'EPS and DPS'!CX25+'EPS and DPS'!CX26</f>
        <v>36.118122999999997</v>
      </c>
      <c r="DB122" s="8">
        <f>'EPS and DPS'!DB24+'EPS and DPS'!DB25+'EPS and DPS'!DB26</f>
        <v>11.305877000000001</v>
      </c>
      <c r="DF122" s="8">
        <f>'EPS and DPS'!DF24+'EPS and DPS'!DF25+'EPS and DPS'!DF26</f>
        <v>10.469535</v>
      </c>
      <c r="DJ122" s="8">
        <f>'EPS and DPS'!DJ24+'EPS and DPS'!DJ25+'EPS and DPS'!DJ26</f>
        <v>9.5189620000000001</v>
      </c>
      <c r="DN122" s="8">
        <f>'EPS and DPS'!DN24+'EPS and DPS'!DN25+'EPS and DPS'!DN26</f>
        <v>9.5189620000000001</v>
      </c>
      <c r="DR122" s="8">
        <f>'EPS and DPS'!DR24+'EPS and DPS'!DR25+'EPS and DPS'!DR26</f>
        <v>9.5189620000000001</v>
      </c>
    </row>
    <row r="123" spans="1:125" ht="14.4" thickBot="1">
      <c r="A123" s="2008" t="s">
        <v>1036</v>
      </c>
      <c r="B123" s="2009"/>
      <c r="C123" s="2009"/>
      <c r="D123" s="2009"/>
      <c r="E123" s="2009"/>
      <c r="F123" s="2009"/>
      <c r="G123" s="2009"/>
      <c r="H123" s="2009"/>
      <c r="I123" s="2009"/>
      <c r="J123" s="2009"/>
      <c r="K123" s="2009"/>
      <c r="L123" s="2009"/>
      <c r="M123" s="2009"/>
      <c r="N123" s="2009"/>
      <c r="O123" s="2009"/>
      <c r="P123" s="2009"/>
      <c r="Q123" s="2009"/>
      <c r="R123" s="2009"/>
      <c r="S123" s="2009"/>
      <c r="T123" s="2009"/>
      <c r="U123" s="2009"/>
      <c r="V123" s="2009"/>
      <c r="W123" s="2009"/>
      <c r="X123" s="2009"/>
      <c r="Y123" s="2009"/>
      <c r="Z123" s="2009"/>
      <c r="AA123" s="2009"/>
      <c r="AB123" s="2009"/>
      <c r="AC123" s="2009"/>
      <c r="AD123" s="2009"/>
      <c r="AE123" s="2009"/>
      <c r="AF123" s="2009"/>
      <c r="AG123" s="2009"/>
      <c r="AH123" s="2009"/>
      <c r="AI123" s="2009"/>
      <c r="AJ123" s="2009"/>
      <c r="AK123" s="2009"/>
      <c r="AL123" s="2009"/>
      <c r="AM123" s="2009"/>
      <c r="AN123" s="2009"/>
      <c r="AO123" s="2009"/>
      <c r="AP123" s="2009"/>
      <c r="AQ123" s="2009"/>
      <c r="AR123" s="2009"/>
      <c r="AS123" s="2009"/>
      <c r="AT123" s="2009"/>
      <c r="AU123" s="2009"/>
      <c r="AV123" s="2010"/>
      <c r="AW123" s="2010"/>
      <c r="AX123" s="2010"/>
      <c r="AY123" s="2010"/>
      <c r="AZ123" s="2010"/>
      <c r="BA123" s="2010"/>
      <c r="BB123" s="2010"/>
      <c r="BC123" s="2010"/>
      <c r="BD123" s="2010"/>
      <c r="BE123" s="2010"/>
      <c r="BF123" s="2011" t="str">
        <f>IFERROR(+BF121/(BF122/100),"na")</f>
        <v>na</v>
      </c>
      <c r="BG123" s="2010"/>
      <c r="BH123" s="2010"/>
      <c r="BI123" s="2010"/>
      <c r="BJ123" s="2011" t="str">
        <f>IFERROR(+BJ121/(BJ122/100),"na")</f>
        <v>na</v>
      </c>
      <c r="BK123" s="2010"/>
      <c r="BL123" s="2011"/>
      <c r="BM123" s="2011"/>
      <c r="BN123" s="2011"/>
      <c r="BO123" s="2010"/>
      <c r="BP123" s="2011"/>
      <c r="BQ123" s="2011"/>
      <c r="BR123" s="2011"/>
      <c r="BS123" s="2010"/>
      <c r="BT123" s="2011"/>
      <c r="BU123" s="2010"/>
      <c r="BV123" s="2011">
        <f>(BV117+BV121)/((BV118+BV122)/100)</f>
        <v>600.21947097855582</v>
      </c>
      <c r="BW123" s="2010"/>
      <c r="BX123" s="2010"/>
      <c r="BY123" s="2010"/>
      <c r="BZ123" s="2011">
        <f>(BZ117+BZ121)/((BZ118+BZ122)/100)</f>
        <v>644.68025655950817</v>
      </c>
      <c r="CA123" s="2010"/>
      <c r="CB123" s="2010"/>
      <c r="CC123" s="2010"/>
      <c r="CD123" s="2011">
        <f>(CD117+CD121)/((CD118+CD122)/100)</f>
        <v>743.60911944752263</v>
      </c>
      <c r="CE123" s="2010"/>
      <c r="CF123" s="2010"/>
      <c r="CG123" s="2010"/>
      <c r="CH123" s="2011">
        <f>(CH117+CH121)/((CH118+CH122)/100)</f>
        <v>868.24171402426589</v>
      </c>
      <c r="CI123" s="2010"/>
      <c r="CJ123" s="2010"/>
      <c r="CK123" s="2010"/>
      <c r="CL123" s="2011">
        <f>(CL117+CL121)/((CL118+CL122)/100)</f>
        <v>764.65090815656879</v>
      </c>
      <c r="CM123" s="2010"/>
      <c r="CN123" s="2010"/>
      <c r="CO123" s="2010"/>
      <c r="CP123" s="2011">
        <f>(CP117+CP121)/((CP118+CP122)/100)</f>
        <v>824.74428350019082</v>
      </c>
      <c r="CQ123" s="2010"/>
      <c r="CR123" s="2010"/>
      <c r="CS123" s="2010"/>
      <c r="CT123" s="2011">
        <f>(CT117+CT121)/((CT118+CT122)/100)</f>
        <v>1230.7536113641083</v>
      </c>
      <c r="CU123" s="2010"/>
      <c r="CV123" s="2010"/>
      <c r="CW123" s="2010"/>
      <c r="CX123" s="2011">
        <f>(CX117+CX121)/((CX118+CX122)/100)</f>
        <v>1316.4287092818493</v>
      </c>
      <c r="CY123" s="2010"/>
      <c r="CZ123" s="2010"/>
      <c r="DA123" s="2010"/>
      <c r="DB123" s="2011">
        <f>(DB117+DB121)/((DB118+DB122)/100)</f>
        <v>911.53406244200505</v>
      </c>
      <c r="DC123" s="2010"/>
      <c r="DD123" s="2010"/>
      <c r="DE123" s="2010"/>
      <c r="DF123" s="2011">
        <f ca="1">(DF117+DF121)/((DF118+DF122)/100)</f>
        <v>975.62501288790463</v>
      </c>
      <c r="DG123" s="2010"/>
      <c r="DH123" s="2010"/>
      <c r="DI123" s="2010"/>
      <c r="DJ123" s="2011">
        <f>(DJ117+DJ121)/((DJ118+DJ122)/100)</f>
        <v>1091.0943501656811</v>
      </c>
      <c r="DK123" s="2010"/>
      <c r="DL123" s="2010"/>
      <c r="DM123" s="2010"/>
      <c r="DN123" s="2011">
        <f>(DN117+DN121)/((DN118+DN122)/100)</f>
        <v>1188.8349687086725</v>
      </c>
      <c r="DO123" s="2010"/>
      <c r="DP123" s="2010"/>
      <c r="DQ123" s="2010"/>
      <c r="DR123" s="2011">
        <f>(DR117+DR121)/((DR118+DR122)/100)</f>
        <v>1272.21825629095</v>
      </c>
      <c r="DS123" s="2010"/>
    </row>
    <row r="124" spans="1:125">
      <c r="BF124" s="69"/>
      <c r="BJ124" s="69"/>
      <c r="BL124" s="69"/>
      <c r="BM124" s="69"/>
      <c r="BN124" s="69"/>
      <c r="BP124" s="69"/>
      <c r="BQ124" s="69"/>
      <c r="BR124" s="69"/>
      <c r="BT124" s="69"/>
      <c r="BV124" s="69"/>
      <c r="BZ124" s="69"/>
      <c r="CD124" s="69"/>
      <c r="CH124" s="69"/>
      <c r="CL124" s="69"/>
      <c r="CP124" s="69"/>
      <c r="CT124" s="69"/>
      <c r="CX124" s="69"/>
      <c r="DB124" s="69"/>
      <c r="DF124" s="69"/>
      <c r="DJ124" s="69"/>
      <c r="DN124" s="69"/>
      <c r="DR124" s="69"/>
    </row>
    <row r="126" spans="1:125">
      <c r="A126" s="1" t="s">
        <v>86</v>
      </c>
      <c r="BF126" s="8">
        <f>'EPS and DPS'!BF40</f>
        <v>140</v>
      </c>
      <c r="BJ126" s="8">
        <f>'EPS and DPS'!BJ40</f>
        <v>200</v>
      </c>
      <c r="BL126" s="8">
        <f>'EPS and DPS'!BL40</f>
        <v>100</v>
      </c>
      <c r="BM126" s="8">
        <f>'EPS and DPS'!BM40</f>
        <v>160</v>
      </c>
      <c r="BN126" s="8">
        <f>'EPS and DPS'!BN40</f>
        <v>260</v>
      </c>
      <c r="BP126" s="8">
        <f>'EPS and DPS'!BP40</f>
        <v>130</v>
      </c>
      <c r="BQ126" s="8">
        <f>'EPS and DPS'!BQ40</f>
        <v>200</v>
      </c>
      <c r="BR126" s="8">
        <f>'EPS and DPS'!BR40</f>
        <v>330</v>
      </c>
      <c r="BT126" s="8">
        <f>'EPS and DPS'!BT40</f>
        <v>160</v>
      </c>
      <c r="BU126" s="8">
        <f>'EPS and DPS'!BU40</f>
        <v>240</v>
      </c>
      <c r="BV126" s="8">
        <f>'EPS and DPS'!BV40</f>
        <v>400</v>
      </c>
      <c r="BX126" s="8">
        <f>'EPS and DPS'!BX40</f>
        <v>190</v>
      </c>
      <c r="BY126" s="8">
        <f>'EPS and DPS'!BY40</f>
        <v>280</v>
      </c>
      <c r="BZ126" s="8">
        <f>'EPS and DPS'!BZ40</f>
        <v>470</v>
      </c>
      <c r="CB126" s="8">
        <f>'EPS and DPS'!CB40</f>
        <v>205</v>
      </c>
      <c r="CC126" s="8">
        <f>'EPS and DPS'!CC40</f>
        <v>320</v>
      </c>
      <c r="CD126" s="8">
        <f>'EPS and DPS'!CD40</f>
        <v>525</v>
      </c>
      <c r="CF126" s="8">
        <f>'EPS and DPS'!CF40</f>
        <v>215</v>
      </c>
      <c r="CG126" s="8">
        <f>'EPS and DPS'!CG40</f>
        <v>360</v>
      </c>
      <c r="CH126" s="8">
        <f>'EPS and DPS'!CH40</f>
        <v>575</v>
      </c>
      <c r="CJ126" s="8">
        <f>'EPS and DPS'!CJ40</f>
        <v>250</v>
      </c>
      <c r="CK126" s="8">
        <f>'EPS and DPS'!CK40</f>
        <v>180</v>
      </c>
      <c r="CL126" s="8">
        <f>'EPS and DPS'!CL40</f>
        <v>430</v>
      </c>
      <c r="CN126" s="8">
        <f>'EPS and DPS'!CN40</f>
        <v>135</v>
      </c>
      <c r="CO126" s="8">
        <f>'EPS and DPS'!CO40</f>
        <v>335</v>
      </c>
      <c r="CP126" s="8">
        <f>'EPS and DPS'!CP40</f>
        <v>470</v>
      </c>
      <c r="CR126" s="8">
        <f>'EPS and DPS'!CR40</f>
        <v>272</v>
      </c>
      <c r="CS126" s="8">
        <f>'EPS and DPS'!CS40</f>
        <v>350</v>
      </c>
      <c r="CT126" s="8">
        <f>'EPS and DPS'!CT40</f>
        <v>622</v>
      </c>
      <c r="CV126" s="8">
        <f>'EPS and DPS'!CV40</f>
        <v>300</v>
      </c>
      <c r="CW126" s="8">
        <f>'EPS and DPS'!CW40</f>
        <v>450</v>
      </c>
      <c r="CX126" s="8">
        <f>'EPS and DPS'!CX40</f>
        <v>750</v>
      </c>
      <c r="CZ126" s="8">
        <f>'EPS and DPS'!CZ40</f>
        <v>255</v>
      </c>
      <c r="DA126" s="8">
        <f>'EPS and DPS'!DA40</f>
        <v>385</v>
      </c>
      <c r="DB126" s="8">
        <f>'EPS and DPS'!DB40</f>
        <v>640</v>
      </c>
      <c r="DD126" s="8">
        <f>'EPS and DPS'!DD40</f>
        <v>260</v>
      </c>
      <c r="DE126" s="8">
        <f>'EPS and DPS'!DE40</f>
        <v>390</v>
      </c>
      <c r="DF126" s="8">
        <f>'EPS and DPS'!DF40</f>
        <v>650</v>
      </c>
      <c r="DH126" s="8">
        <f>'EPS and DPS'!DH40</f>
        <v>280</v>
      </c>
      <c r="DI126" s="8">
        <f>'EPS and DPS'!DI40</f>
        <v>430</v>
      </c>
      <c r="DJ126" s="8">
        <f>'EPS and DPS'!DJ40</f>
        <v>710</v>
      </c>
      <c r="DL126" s="8">
        <f>'EPS and DPS'!DL40</f>
        <v>325</v>
      </c>
      <c r="DM126" s="8">
        <f>'EPS and DPS'!DM40</f>
        <v>450</v>
      </c>
      <c r="DN126" s="8">
        <f>'EPS and DPS'!DN40</f>
        <v>775</v>
      </c>
      <c r="DP126" s="8">
        <f>'EPS and DPS'!DP40</f>
        <v>350</v>
      </c>
      <c r="DQ126" s="8">
        <f>'EPS and DPS'!DQ40</f>
        <v>480</v>
      </c>
      <c r="DR126" s="8">
        <f>'EPS and DPS'!DR40</f>
        <v>830</v>
      </c>
    </row>
    <row r="127" spans="1:125" ht="14.4" thickBot="1">
      <c r="A127" s="1" t="s">
        <v>87</v>
      </c>
      <c r="BF127" s="8">
        <f>'EPS and DPS'!BF41</f>
        <v>0</v>
      </c>
      <c r="BJ127" s="8">
        <f>'EPS and DPS'!BJ41</f>
        <v>0</v>
      </c>
      <c r="BL127" s="8">
        <f>'EPS and DPS'!BL41</f>
        <v>0</v>
      </c>
      <c r="BM127" s="8">
        <f>'EPS and DPS'!BM41</f>
        <v>0</v>
      </c>
      <c r="BN127" s="8">
        <f>'EPS and DPS'!BN41</f>
        <v>0</v>
      </c>
      <c r="BP127" s="8">
        <f>'EPS and DPS'!BP41</f>
        <v>0</v>
      </c>
      <c r="BQ127" s="8">
        <f>'EPS and DPS'!BQ41</f>
        <v>0</v>
      </c>
      <c r="BR127" s="8">
        <f>'EPS and DPS'!BR41</f>
        <v>0</v>
      </c>
      <c r="BT127" s="8">
        <f>'EPS and DPS'!BT41</f>
        <v>0</v>
      </c>
      <c r="BV127" s="8">
        <f>'EPS and DPS'!BV41</f>
        <v>0</v>
      </c>
      <c r="BZ127" s="8">
        <f>'EPS and DPS'!BZ41</f>
        <v>0</v>
      </c>
      <c r="CD127" s="8">
        <f>'EPS and DPS'!CD41</f>
        <v>0</v>
      </c>
      <c r="CH127" s="8">
        <f>'EPS and DPS'!CH41</f>
        <v>0</v>
      </c>
      <c r="CL127" s="8">
        <f>'EPS and DPS'!CL41</f>
        <v>0</v>
      </c>
      <c r="CP127" s="8">
        <f>'EPS and DPS'!CP41</f>
        <v>0</v>
      </c>
      <c r="CT127" s="8">
        <f>'EPS and DPS'!CT41</f>
        <v>0</v>
      </c>
      <c r="CX127" s="8">
        <f>'EPS and DPS'!CX41</f>
        <v>0</v>
      </c>
      <c r="DB127" s="8">
        <f>'EPS and DPS'!DB41</f>
        <v>0</v>
      </c>
      <c r="DF127" s="8">
        <f>'EPS and DPS'!DF41</f>
        <v>0</v>
      </c>
      <c r="DJ127" s="8">
        <f>'EPS and DPS'!DJ41</f>
        <v>0</v>
      </c>
      <c r="DN127" s="8">
        <f>'EPS and DPS'!DN41</f>
        <v>0</v>
      </c>
      <c r="DR127" s="8">
        <f>'EPS and DPS'!DR41</f>
        <v>0</v>
      </c>
    </row>
    <row r="128" spans="1:125" s="2" customFormat="1" ht="14.4" thickBot="1">
      <c r="A128" s="2008" t="s">
        <v>88</v>
      </c>
      <c r="B128" s="2008"/>
      <c r="C128" s="2008"/>
      <c r="D128" s="2008"/>
      <c r="E128" s="2008"/>
      <c r="F128" s="2008"/>
      <c r="G128" s="2008"/>
      <c r="H128" s="2008"/>
      <c r="I128" s="2008"/>
      <c r="J128" s="2008"/>
      <c r="K128" s="2008"/>
      <c r="L128" s="2008"/>
      <c r="M128" s="2008"/>
      <c r="N128" s="2008"/>
      <c r="O128" s="2008"/>
      <c r="P128" s="2008"/>
      <c r="Q128" s="2008"/>
      <c r="R128" s="2008"/>
      <c r="S128" s="2008"/>
      <c r="T128" s="2008"/>
      <c r="U128" s="2008"/>
      <c r="V128" s="2008"/>
      <c r="W128" s="2008"/>
      <c r="X128" s="2008"/>
      <c r="Y128" s="2008"/>
      <c r="Z128" s="2008"/>
      <c r="AA128" s="2008"/>
      <c r="AB128" s="2008"/>
      <c r="AC128" s="2008"/>
      <c r="AD128" s="2008"/>
      <c r="AE128" s="2008"/>
      <c r="AF128" s="2008"/>
      <c r="AG128" s="2008"/>
      <c r="AH128" s="2008"/>
      <c r="AI128" s="2008"/>
      <c r="AJ128" s="2008"/>
      <c r="AK128" s="2008"/>
      <c r="AL128" s="2008"/>
      <c r="AM128" s="2008"/>
      <c r="AN128" s="2008"/>
      <c r="AO128" s="2008"/>
      <c r="AP128" s="2008"/>
      <c r="AQ128" s="2008"/>
      <c r="AR128" s="2008"/>
      <c r="AS128" s="2008"/>
      <c r="AT128" s="2008"/>
      <c r="AU128" s="2008"/>
      <c r="AV128" s="2012"/>
      <c r="AW128" s="2012"/>
      <c r="AX128" s="2012"/>
      <c r="AY128" s="2012"/>
      <c r="AZ128" s="2012"/>
      <c r="BA128" s="2012"/>
      <c r="BB128" s="2012"/>
      <c r="BC128" s="2012"/>
      <c r="BD128" s="2012"/>
      <c r="BE128" s="2012"/>
      <c r="BF128" s="2013">
        <f>'EPS and DPS'!BF42</f>
        <v>140</v>
      </c>
      <c r="BG128" s="2012"/>
      <c r="BH128" s="2012"/>
      <c r="BI128" s="2012"/>
      <c r="BJ128" s="2013">
        <f>'EPS and DPS'!BJ42</f>
        <v>200</v>
      </c>
      <c r="BK128" s="2012"/>
      <c r="BL128" s="2013">
        <f>'EPS and DPS'!BL42</f>
        <v>100</v>
      </c>
      <c r="BM128" s="2013">
        <f>'EPS and DPS'!BM42</f>
        <v>160</v>
      </c>
      <c r="BN128" s="2013">
        <f>'EPS and DPS'!BN42</f>
        <v>260</v>
      </c>
      <c r="BO128" s="2012"/>
      <c r="BP128" s="2013">
        <f>'EPS and DPS'!BP42</f>
        <v>130</v>
      </c>
      <c r="BQ128" s="2013">
        <f>'EPS and DPS'!BQ42</f>
        <v>200</v>
      </c>
      <c r="BR128" s="2013">
        <f>'EPS and DPS'!BR42</f>
        <v>330</v>
      </c>
      <c r="BS128" s="2012"/>
      <c r="BT128" s="2013">
        <f>'EPS and DPS'!BT42</f>
        <v>160</v>
      </c>
      <c r="BU128" s="2012"/>
      <c r="BV128" s="2013">
        <f>'EPS and DPS'!BV42</f>
        <v>400</v>
      </c>
      <c r="BW128" s="2012"/>
      <c r="BX128" s="2012"/>
      <c r="BY128" s="2012"/>
      <c r="BZ128" s="2013">
        <f>'EPS and DPS'!BZ42</f>
        <v>470</v>
      </c>
      <c r="CA128" s="2012"/>
      <c r="CB128" s="2012"/>
      <c r="CC128" s="2012"/>
      <c r="CD128" s="2013">
        <f>'EPS and DPS'!CD42</f>
        <v>525</v>
      </c>
      <c r="CE128" s="2012"/>
      <c r="CF128" s="2012"/>
      <c r="CG128" s="2012"/>
      <c r="CH128" s="2013">
        <f>'EPS and DPS'!CH42</f>
        <v>575</v>
      </c>
      <c r="CI128" s="2012"/>
      <c r="CJ128" s="2012"/>
      <c r="CK128" s="2012"/>
      <c r="CL128" s="2013">
        <f>'EPS and DPS'!CL42</f>
        <v>430</v>
      </c>
      <c r="CM128" s="2012"/>
      <c r="CN128" s="2012"/>
      <c r="CO128" s="2012"/>
      <c r="CP128" s="2013">
        <f>'EPS and DPS'!CP42</f>
        <v>470</v>
      </c>
      <c r="CQ128" s="2012"/>
      <c r="CR128" s="2012"/>
      <c r="CS128" s="2012"/>
      <c r="CT128" s="2013">
        <f>'EPS and DPS'!CT42</f>
        <v>622</v>
      </c>
      <c r="CU128" s="2012"/>
      <c r="CV128" s="2012"/>
      <c r="CW128" s="2012"/>
      <c r="CX128" s="2013">
        <f>'EPS and DPS'!CX42</f>
        <v>750</v>
      </c>
      <c r="CY128" s="2012"/>
      <c r="CZ128" s="2012"/>
      <c r="DA128" s="2012"/>
      <c r="DB128" s="2013">
        <f>'EPS and DPS'!DB42</f>
        <v>640</v>
      </c>
      <c r="DC128" s="2012"/>
      <c r="DD128" s="2012"/>
      <c r="DE128" s="2012"/>
      <c r="DF128" s="2013">
        <f>'EPS and DPS'!DF42</f>
        <v>650</v>
      </c>
      <c r="DG128" s="2012"/>
      <c r="DH128" s="2012"/>
      <c r="DI128" s="2012"/>
      <c r="DJ128" s="2013">
        <f>'EPS and DPS'!DJ42</f>
        <v>710</v>
      </c>
      <c r="DK128" s="2012"/>
      <c r="DL128" s="2012"/>
      <c r="DM128" s="2012"/>
      <c r="DN128" s="2013">
        <f>'EPS and DPS'!DN42</f>
        <v>775</v>
      </c>
      <c r="DO128" s="2012"/>
      <c r="DP128" s="2012"/>
      <c r="DQ128" s="2012"/>
      <c r="DR128" s="2013">
        <f>'EPS and DPS'!DR42</f>
        <v>830</v>
      </c>
      <c r="DS128" s="2012"/>
      <c r="DT128" s="5"/>
      <c r="DU128" s="5"/>
    </row>
    <row r="129" spans="1:125">
      <c r="A129" s="1" t="s">
        <v>61</v>
      </c>
      <c r="BF129" s="20">
        <f>'EPS and DPS'!BF43</f>
        <v>348.584383</v>
      </c>
      <c r="BJ129" s="20">
        <f>'EPS and DPS'!BJ43</f>
        <v>339.50657799999999</v>
      </c>
      <c r="BL129" s="20">
        <f>'EPS and DPS'!BL43</f>
        <v>339.888036</v>
      </c>
      <c r="BM129" s="20">
        <f>'EPS and DPS'!BM43</f>
        <v>321.07474999999999</v>
      </c>
      <c r="BN129" s="20">
        <f>'EPS and DPS'!BN43</f>
        <v>321.07474999999999</v>
      </c>
      <c r="BP129" s="20">
        <f>'EPS and DPS'!BP43</f>
        <v>321.20299399999999</v>
      </c>
      <c r="BQ129" s="20">
        <f>'EPS and DPS'!BQ43</f>
        <v>333.45777699999996</v>
      </c>
      <c r="BR129" s="20">
        <f>'EPS and DPS'!BR43</f>
        <v>333.45777700000002</v>
      </c>
      <c r="BT129" s="20">
        <f>'EPS and DPS'!BT43</f>
        <v>333.53196000000003</v>
      </c>
      <c r="BV129" s="20">
        <f>'EPS and DPS'!BV43</f>
        <v>340.30238900000001</v>
      </c>
      <c r="BZ129" s="20">
        <f>'EPS and DPS'!BZ43</f>
        <v>340.35173099999997</v>
      </c>
      <c r="CD129" s="20">
        <f>'EPS and DPS'!CD43</f>
        <v>340.36482000000001</v>
      </c>
      <c r="CH129" s="20">
        <f>'EPS and DPS'!CH43</f>
        <v>340.38273800000002</v>
      </c>
      <c r="CL129" s="20">
        <f>'EPS and DPS'!CL43</f>
        <v>354.381396</v>
      </c>
      <c r="CP129" s="20">
        <f>'EPS and DPS'!CP43</f>
        <v>361.82137699999998</v>
      </c>
      <c r="CT129" s="20">
        <f>'EPS and DPS'!CT43</f>
        <v>383.64763699999997</v>
      </c>
      <c r="CX129" s="20">
        <f>'EPS and DPS'!CX43</f>
        <v>386.47675400000003</v>
      </c>
      <c r="DB129" s="20">
        <f>'EPS and DPS'!DB43</f>
        <v>382.96253300000001</v>
      </c>
      <c r="DF129" s="20">
        <f>'EPS and DPS'!DF43</f>
        <v>381.13841500000001</v>
      </c>
      <c r="DJ129" s="20">
        <f>'EPS and DPS'!DJ43</f>
        <v>382.09126103750003</v>
      </c>
      <c r="DN129" s="20">
        <f>'EPS and DPS'!DN43</f>
        <v>384.004105413069</v>
      </c>
      <c r="DR129" s="20">
        <f>'EPS and DPS'!DR43</f>
        <v>385.92652596579319</v>
      </c>
    </row>
    <row r="130" spans="1:125">
      <c r="A130" s="1" t="s">
        <v>89</v>
      </c>
      <c r="BF130" s="8">
        <f>'EPS and DPS'!BF44</f>
        <v>487.82355804999997</v>
      </c>
      <c r="BJ130" s="8">
        <f>'EPS and DPS'!BJ44</f>
        <v>678.64005574999999</v>
      </c>
      <c r="BL130" s="8">
        <f>'EPS and DPS'!BL44</f>
        <v>339.888036</v>
      </c>
      <c r="BM130" s="8">
        <f>'EPS and DPS'!BM44</f>
        <v>513.71960000000001</v>
      </c>
      <c r="BN130" s="8">
        <f>'EPS and DPS'!BN44</f>
        <v>853.60763599999996</v>
      </c>
      <c r="BP130" s="8">
        <f>'EPS and DPS'!BP44</f>
        <v>417.5638922</v>
      </c>
      <c r="BQ130" s="8">
        <f>'EPS and DPS'!BQ44</f>
        <v>666.91555399999993</v>
      </c>
      <c r="BR130" s="8">
        <f>'EPS and DPS'!BR44</f>
        <v>1084.4794462</v>
      </c>
      <c r="BT130" s="8">
        <f>'EPS and DPS'!BT44</f>
        <v>533.65113600000006</v>
      </c>
      <c r="BV130" s="8">
        <f>'EPS and DPS'!BV44</f>
        <v>1350.3768696000002</v>
      </c>
      <c r="BZ130" s="8">
        <f>'EPS and DPS'!BZ44</f>
        <v>1599.6279473999998</v>
      </c>
      <c r="CD130" s="8">
        <f>'EPS and DPS'!CD44</f>
        <v>1786.9011251500001</v>
      </c>
      <c r="CH130" s="8">
        <f>'EPS and DPS'!CH44</f>
        <v>1957.2007435</v>
      </c>
      <c r="CL130" s="8">
        <f>'EPS and DPS'!CL44</f>
        <v>1523.8276802999999</v>
      </c>
      <c r="CP130" s="8">
        <f>'EPS and DPS'!CP44</f>
        <v>1700.1315093999999</v>
      </c>
      <c r="CT130" s="8">
        <f>'EPS and DPS'!CT44</f>
        <v>2345.9657491799999</v>
      </c>
      <c r="CX130" s="8">
        <f>'EPS and DPS'!CX44</f>
        <v>2898.5756550000001</v>
      </c>
      <c r="DB130" s="8">
        <f>'EPS and DPS'!DB44</f>
        <v>2459.92147475</v>
      </c>
      <c r="DF130" s="8">
        <f>'EPS and DPS'!DF44</f>
        <v>2477.3996975</v>
      </c>
      <c r="DJ130" s="8">
        <f>'EPS and DPS'!DJ44</f>
        <v>2710.1799844612501</v>
      </c>
      <c r="DN130" s="8">
        <f>'EPS and DPS'!DN44</f>
        <v>2972.9195642266154</v>
      </c>
      <c r="DR130" s="8">
        <f>'EPS and DPS'!DR44</f>
        <v>3199.821729503913</v>
      </c>
    </row>
    <row r="131" spans="1:125">
      <c r="A131" s="1" t="s">
        <v>90</v>
      </c>
      <c r="BF131" s="8">
        <f>'EPS and DPS'!BF45</f>
        <v>0</v>
      </c>
      <c r="BJ131" s="8">
        <f>'EPS and DPS'!BJ45</f>
        <v>0</v>
      </c>
      <c r="BL131" s="8">
        <f>'EPS and DPS'!BL45</f>
        <v>0</v>
      </c>
      <c r="BM131" s="8">
        <f>'EPS and DPS'!BM45</f>
        <v>0</v>
      </c>
      <c r="BN131" s="8">
        <f>'EPS and DPS'!BN45</f>
        <v>0</v>
      </c>
      <c r="BP131" s="8">
        <f>'EPS and DPS'!BP45</f>
        <v>0</v>
      </c>
      <c r="BQ131" s="8">
        <f>'EPS and DPS'!BQ45</f>
        <v>0</v>
      </c>
      <c r="BR131" s="8">
        <f>'EPS and DPS'!BR45</f>
        <v>0</v>
      </c>
      <c r="BT131" s="8">
        <f>'EPS and DPS'!BT45</f>
        <v>0</v>
      </c>
      <c r="BV131" s="8">
        <f>'EPS and DPS'!BV45</f>
        <v>0</v>
      </c>
      <c r="BZ131" s="8">
        <f>'EPS and DPS'!BZ45</f>
        <v>0</v>
      </c>
      <c r="CD131" s="8">
        <f>'EPS and DPS'!CD45</f>
        <v>0</v>
      </c>
      <c r="CH131" s="8">
        <f>'EPS and DPS'!CH45</f>
        <v>0</v>
      </c>
      <c r="CL131" s="8">
        <f>'EPS and DPS'!CL45</f>
        <v>0</v>
      </c>
      <c r="CP131" s="8">
        <f>'EPS and DPS'!CP45</f>
        <v>0</v>
      </c>
      <c r="CT131" s="8">
        <f>'EPS and DPS'!CT45</f>
        <v>0</v>
      </c>
      <c r="CX131" s="8">
        <f>'EPS and DPS'!CX45</f>
        <v>0</v>
      </c>
      <c r="DB131" s="8">
        <f>'EPS and DPS'!DB45</f>
        <v>0</v>
      </c>
      <c r="DF131" s="8">
        <f>'EPS and DPS'!DF45</f>
        <v>0</v>
      </c>
      <c r="DJ131" s="8">
        <f>'EPS and DPS'!DJ45</f>
        <v>0</v>
      </c>
      <c r="DN131" s="8">
        <f>'EPS and DPS'!DN45</f>
        <v>0</v>
      </c>
      <c r="DR131" s="8">
        <f>'EPS and DPS'!DR45</f>
        <v>0</v>
      </c>
    </row>
    <row r="132" spans="1:125" s="2" customFormat="1">
      <c r="A132" s="2" t="s">
        <v>91</v>
      </c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7">
        <f>'EPS and DPS'!BF46</f>
        <v>487.82355804999997</v>
      </c>
      <c r="BG132" s="5"/>
      <c r="BH132" s="5"/>
      <c r="BI132" s="5"/>
      <c r="BJ132" s="7">
        <f>'EPS and DPS'!BJ46</f>
        <v>678.64005574999999</v>
      </c>
      <c r="BK132" s="5"/>
      <c r="BL132" s="7">
        <f>'EPS and DPS'!BL46</f>
        <v>339.888036</v>
      </c>
      <c r="BM132" s="7">
        <f>'EPS and DPS'!BM46</f>
        <v>513.71960000000001</v>
      </c>
      <c r="BN132" s="7">
        <f>'EPS and DPS'!BN46</f>
        <v>853.60763599999996</v>
      </c>
      <c r="BO132" s="5"/>
      <c r="BP132" s="7">
        <f>'EPS and DPS'!BP46</f>
        <v>417.5638922</v>
      </c>
      <c r="BQ132" s="7">
        <f>'EPS and DPS'!BQ46</f>
        <v>666.91555399999993</v>
      </c>
      <c r="BR132" s="7">
        <f>'EPS and DPS'!BR46</f>
        <v>1084.4794462</v>
      </c>
      <c r="BS132" s="5"/>
      <c r="BT132" s="7">
        <f>'EPS and DPS'!BT46</f>
        <v>533.65113600000006</v>
      </c>
      <c r="BU132" s="5"/>
      <c r="BV132" s="7">
        <f>'EPS and DPS'!BV46</f>
        <v>1350.3768696000002</v>
      </c>
      <c r="BW132" s="5"/>
      <c r="BX132" s="5"/>
      <c r="BY132" s="5"/>
      <c r="BZ132" s="7">
        <f>'EPS and DPS'!BZ46</f>
        <v>1599.6279473999998</v>
      </c>
      <c r="CA132" s="5"/>
      <c r="CB132" s="5"/>
      <c r="CC132" s="5"/>
      <c r="CD132" s="7">
        <f>'EPS and DPS'!CD46</f>
        <v>1786.9011251500001</v>
      </c>
      <c r="CE132" s="5"/>
      <c r="CF132" s="5"/>
      <c r="CG132" s="5"/>
      <c r="CH132" s="7">
        <f>'EPS and DPS'!CH46</f>
        <v>1957.2007435</v>
      </c>
      <c r="CI132" s="5"/>
      <c r="CJ132" s="5"/>
      <c r="CK132" s="5"/>
      <c r="CL132" s="7">
        <f>'EPS and DPS'!CL46</f>
        <v>1523.8276802999999</v>
      </c>
      <c r="CM132" s="5"/>
      <c r="CN132" s="5"/>
      <c r="CO132" s="5"/>
      <c r="CP132" s="7">
        <f>'EPS and DPS'!CP46</f>
        <v>1700.1315093999999</v>
      </c>
      <c r="CQ132" s="5"/>
      <c r="CR132" s="5"/>
      <c r="CS132" s="5"/>
      <c r="CT132" s="7">
        <f>'EPS and DPS'!CT46</f>
        <v>2345.9657491799999</v>
      </c>
      <c r="CU132" s="5"/>
      <c r="CV132" s="5"/>
      <c r="CW132" s="5"/>
      <c r="CX132" s="7">
        <f>'EPS and DPS'!CX46</f>
        <v>2898.5756550000001</v>
      </c>
      <c r="CY132" s="5"/>
      <c r="CZ132" s="5"/>
      <c r="DA132" s="5"/>
      <c r="DB132" s="7">
        <f>'EPS and DPS'!DB46</f>
        <v>2459.92147475</v>
      </c>
      <c r="DC132" s="5"/>
      <c r="DD132" s="5"/>
      <c r="DE132" s="5"/>
      <c r="DF132" s="7">
        <f>'EPS and DPS'!DF46</f>
        <v>2477.3996975</v>
      </c>
      <c r="DG132" s="5"/>
      <c r="DH132" s="5"/>
      <c r="DI132" s="5"/>
      <c r="DJ132" s="7">
        <f>'EPS and DPS'!DJ46</f>
        <v>2710.1799844612501</v>
      </c>
      <c r="DK132" s="5"/>
      <c r="DL132" s="5"/>
      <c r="DM132" s="5"/>
      <c r="DN132" s="7">
        <f>'EPS and DPS'!DN46</f>
        <v>2972.9195642266154</v>
      </c>
      <c r="DO132" s="5"/>
      <c r="DP132" s="5"/>
      <c r="DQ132" s="5"/>
      <c r="DR132" s="7">
        <f>'EPS and DPS'!DR46</f>
        <v>3199.821729503913</v>
      </c>
      <c r="DS132" s="5"/>
      <c r="DT132" s="5"/>
      <c r="DU132" s="5"/>
    </row>
    <row r="133" spans="1:125">
      <c r="A133" s="1" t="s">
        <v>75</v>
      </c>
      <c r="BF133" s="8">
        <f>'EPS and DPS'!BF47</f>
        <v>730.65376000000037</v>
      </c>
      <c r="BJ133" s="8">
        <f>'EPS and DPS'!BJ47</f>
        <v>851.49</v>
      </c>
      <c r="BL133" s="8">
        <f>'EPS and DPS'!BL47</f>
        <v>501</v>
      </c>
      <c r="BM133" s="8">
        <f>'EPS and DPS'!BM47</f>
        <v>766.49</v>
      </c>
      <c r="BN133" s="8">
        <f>'EPS and DPS'!BN47</f>
        <v>1267.49</v>
      </c>
      <c r="BP133" s="8">
        <f>'EPS and DPS'!BP47</f>
        <v>678</v>
      </c>
      <c r="BQ133" s="8">
        <f>'EPS and DPS'!BQ47</f>
        <v>926.49</v>
      </c>
      <c r="BR133" s="8">
        <f>'EPS and DPS'!BR47</f>
        <v>1604.49</v>
      </c>
      <c r="BT133" s="8">
        <f>'EPS and DPS'!BT47</f>
        <v>1070</v>
      </c>
      <c r="BV133" s="8">
        <f>'EPS and DPS'!BV47</f>
        <v>2063.4899999999998</v>
      </c>
      <c r="BZ133" s="8">
        <f>'EPS and DPS'!BZ47</f>
        <v>2217.4899999999998</v>
      </c>
      <c r="CD133" s="8">
        <f>'EPS and DPS'!CD47</f>
        <v>2557.4899999999998</v>
      </c>
      <c r="CH133" s="8">
        <f>'EPS and DPS'!CH47</f>
        <v>2982.49</v>
      </c>
      <c r="CL133" s="8">
        <f>'EPS and DPS'!CL47</f>
        <v>2731.49</v>
      </c>
      <c r="CP133" s="8">
        <f>'EPS and DPS'!CP47</f>
        <v>3015.49</v>
      </c>
      <c r="CT133" s="8">
        <f>'EPS and DPS'!CT47</f>
        <v>4706.49</v>
      </c>
      <c r="CX133" s="8">
        <f>'EPS and DPS'!CX47</f>
        <v>5182.49</v>
      </c>
      <c r="DB133" s="8">
        <f>'EPS and DPS'!DB47</f>
        <v>3522.49</v>
      </c>
      <c r="DF133" s="8">
        <f ca="1">'EPS and DPS'!DF47</f>
        <v>3715.49</v>
      </c>
      <c r="DJ133" s="8">
        <f>'EPS and DPS'!DJ47</f>
        <v>4172.6901979637678</v>
      </c>
      <c r="DN133" s="8">
        <f>'EPS and DPS'!DN47</f>
        <v>4572.7102875162254</v>
      </c>
      <c r="DR133" s="8">
        <f>'EPS and DPS'!DR47</f>
        <v>4922.7680533130952</v>
      </c>
    </row>
    <row r="134" spans="1:125">
      <c r="A134" s="1" t="s">
        <v>92</v>
      </c>
      <c r="BF134" s="42">
        <f>'EPS and DPS'!BF48</f>
        <v>0.6676535244956513</v>
      </c>
      <c r="BJ134" s="42">
        <f>'EPS and DPS'!BJ48</f>
        <v>0.79700296627088985</v>
      </c>
      <c r="BL134" s="42">
        <f>'EPS and DPS'!BL48</f>
        <v>0.6784192335329341</v>
      </c>
      <c r="BM134" s="42">
        <f>'EPS and DPS'!BM48</f>
        <v>0.67022348628162143</v>
      </c>
      <c r="BN134" s="42">
        <f>'EPS and DPS'!BN48</f>
        <v>0.67346301430386035</v>
      </c>
      <c r="BP134" s="42">
        <f>'EPS and DPS'!BP48</f>
        <v>0.61587594719764016</v>
      </c>
      <c r="BQ134" s="42">
        <f>'EPS and DPS'!BQ48</f>
        <v>0.719830277714816</v>
      </c>
      <c r="BR134" s="42">
        <f>'EPS and DPS'!BR48</f>
        <v>0.67590290135806397</v>
      </c>
      <c r="BT134" s="42">
        <f>'EPS and DPS'!BT48</f>
        <v>0.49873937943925239</v>
      </c>
      <c r="BV134" s="42">
        <f>'EPS and DPS'!BV48</f>
        <v>0.65441406045098371</v>
      </c>
      <c r="BZ134" s="42">
        <f>'EPS and DPS'!BZ48</f>
        <v>0.72136873104275556</v>
      </c>
      <c r="CD134" s="42">
        <f>'EPS and DPS'!CD48</f>
        <v>0.6986932989571808</v>
      </c>
      <c r="CH134" s="42">
        <f>'EPS and DPS'!CH48</f>
        <v>0.65623044620434612</v>
      </c>
      <c r="CL134" s="42">
        <f>'EPS and DPS'!CL48</f>
        <v>0.55787415670568075</v>
      </c>
      <c r="CP134" s="42">
        <f>'EPS and DPS'!CP48</f>
        <v>0.56379941880092455</v>
      </c>
      <c r="CT134" s="42">
        <f>'EPS and DPS'!CT48</f>
        <v>0.49845335891078063</v>
      </c>
      <c r="CX134" s="42">
        <f>'EPS and DPS'!CX48</f>
        <v>0.55930173623103951</v>
      </c>
      <c r="DB134" s="42">
        <f>'EPS and DPS'!DB48</f>
        <v>0.69834732667800337</v>
      </c>
      <c r="DF134" s="42">
        <f ca="1">'EPS and DPS'!DF48</f>
        <v>0.66677603694263754</v>
      </c>
      <c r="DJ134" s="42">
        <f>'EPS and DPS'!DJ48</f>
        <v>0.64950424207955615</v>
      </c>
      <c r="DN134" s="42">
        <f>'EPS and DPS'!DN48</f>
        <v>0.65014387033065812</v>
      </c>
      <c r="DR134" s="42">
        <f>'EPS and DPS'!DR48</f>
        <v>0.65000456955317776</v>
      </c>
    </row>
    <row r="135" spans="1:125">
      <c r="A135" s="1" t="s">
        <v>93</v>
      </c>
      <c r="BF135" s="42">
        <f>'EPS and DPS'!BF49</f>
        <v>0</v>
      </c>
      <c r="BJ135" s="42">
        <f>'EPS and DPS'!BJ49</f>
        <v>0</v>
      </c>
      <c r="BL135" s="42">
        <f>'EPS and DPS'!BL49</f>
        <v>0</v>
      </c>
      <c r="BM135" s="42">
        <f>'EPS and DPS'!BM49</f>
        <v>0</v>
      </c>
      <c r="BN135" s="42">
        <f>'EPS and DPS'!BN49</f>
        <v>0</v>
      </c>
      <c r="BP135" s="42">
        <f>'EPS and DPS'!BP49</f>
        <v>0</v>
      </c>
      <c r="BQ135" s="42">
        <f>'EPS and DPS'!BQ49</f>
        <v>0</v>
      </c>
      <c r="BR135" s="42">
        <f>'EPS and DPS'!BR49</f>
        <v>0</v>
      </c>
      <c r="BT135" s="42">
        <f>'EPS and DPS'!BT49</f>
        <v>0</v>
      </c>
      <c r="BV135" s="42">
        <f>'EPS and DPS'!BV49</f>
        <v>0</v>
      </c>
      <c r="BZ135" s="42">
        <f>'EPS and DPS'!BZ49</f>
        <v>0</v>
      </c>
      <c r="CD135" s="42">
        <f>'EPS and DPS'!CD49</f>
        <v>0</v>
      </c>
      <c r="CH135" s="42">
        <f>'EPS and DPS'!CH49</f>
        <v>0</v>
      </c>
      <c r="CL135" s="42">
        <f>'EPS and DPS'!CL49</f>
        <v>0</v>
      </c>
      <c r="CP135" s="42">
        <f>'EPS and DPS'!CP49</f>
        <v>0</v>
      </c>
      <c r="CT135" s="42">
        <f>'EPS and DPS'!CT49</f>
        <v>0</v>
      </c>
      <c r="CX135" s="42">
        <f>'EPS and DPS'!CX49</f>
        <v>0</v>
      </c>
      <c r="DB135" s="42">
        <f>'EPS and DPS'!DB49</f>
        <v>0</v>
      </c>
      <c r="DF135" s="42">
        <f ca="1">'EPS and DPS'!DF49</f>
        <v>0</v>
      </c>
      <c r="DJ135" s="42">
        <f>'EPS and DPS'!DJ49</f>
        <v>0</v>
      </c>
      <c r="DN135" s="42">
        <f>'EPS and DPS'!DN49</f>
        <v>0</v>
      </c>
      <c r="DR135" s="42">
        <f>'EPS and DPS'!DR49</f>
        <v>0</v>
      </c>
    </row>
    <row r="136" spans="1:125" s="2" customFormat="1">
      <c r="A136" s="2" t="s">
        <v>94</v>
      </c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43">
        <f>'EPS and DPS'!BF50</f>
        <v>0.6676535244956513</v>
      </c>
      <c r="BG136" s="5"/>
      <c r="BH136" s="5"/>
      <c r="BI136" s="5"/>
      <c r="BJ136" s="43">
        <f>'EPS and DPS'!BJ50</f>
        <v>0.79700296627088985</v>
      </c>
      <c r="BK136" s="5"/>
      <c r="BL136" s="43">
        <f>'EPS and DPS'!BL50</f>
        <v>0.6784192335329341</v>
      </c>
      <c r="BM136" s="43">
        <f>'EPS and DPS'!BM50</f>
        <v>0.67022348628162143</v>
      </c>
      <c r="BN136" s="43">
        <f>'EPS and DPS'!BN50</f>
        <v>0.67346301430386035</v>
      </c>
      <c r="BO136" s="5"/>
      <c r="BP136" s="43">
        <f>'EPS and DPS'!BP50</f>
        <v>0.61587594719764016</v>
      </c>
      <c r="BQ136" s="43">
        <f>'EPS and DPS'!BQ50</f>
        <v>0.719830277714816</v>
      </c>
      <c r="BR136" s="43">
        <f>'EPS and DPS'!BR50</f>
        <v>0.67590290135806397</v>
      </c>
      <c r="BS136" s="5"/>
      <c r="BT136" s="43">
        <f>'EPS and DPS'!BT50</f>
        <v>0.49873937943925239</v>
      </c>
      <c r="BU136" s="5"/>
      <c r="BV136" s="43">
        <f>'EPS and DPS'!BV50</f>
        <v>0.65441406045098371</v>
      </c>
      <c r="BW136" s="5"/>
      <c r="BX136" s="5"/>
      <c r="BY136" s="5"/>
      <c r="BZ136" s="43">
        <f>'EPS and DPS'!BZ50</f>
        <v>0.72136873104275556</v>
      </c>
      <c r="CA136" s="5"/>
      <c r="CB136" s="5"/>
      <c r="CC136" s="5"/>
      <c r="CD136" s="43">
        <f>'EPS and DPS'!CD50</f>
        <v>0.6986932989571808</v>
      </c>
      <c r="CE136" s="5"/>
      <c r="CF136" s="5"/>
      <c r="CG136" s="5"/>
      <c r="CH136" s="43">
        <f>'EPS and DPS'!CH50</f>
        <v>0.65623044620434612</v>
      </c>
      <c r="CI136" s="5"/>
      <c r="CJ136" s="5"/>
      <c r="CK136" s="5"/>
      <c r="CL136" s="43">
        <f>'EPS and DPS'!CL50</f>
        <v>0.55787415670568075</v>
      </c>
      <c r="CM136" s="5"/>
      <c r="CN136" s="5"/>
      <c r="CO136" s="5"/>
      <c r="CP136" s="43">
        <f>'EPS and DPS'!CP50</f>
        <v>0.56379941880092455</v>
      </c>
      <c r="CQ136" s="5"/>
      <c r="CR136" s="5"/>
      <c r="CS136" s="5"/>
      <c r="CT136" s="43">
        <f>'EPS and DPS'!CT50</f>
        <v>0.49845335891078063</v>
      </c>
      <c r="CU136" s="5"/>
      <c r="CV136" s="5"/>
      <c r="CW136" s="5"/>
      <c r="CX136" s="43">
        <f>'EPS and DPS'!CX50</f>
        <v>0.55930173623103951</v>
      </c>
      <c r="CY136" s="5"/>
      <c r="CZ136" s="5"/>
      <c r="DA136" s="5"/>
      <c r="DB136" s="43">
        <f>'EPS and DPS'!DB50</f>
        <v>0.69834732667800337</v>
      </c>
      <c r="DC136" s="5"/>
      <c r="DD136" s="5"/>
      <c r="DE136" s="5"/>
      <c r="DF136" s="43">
        <f ca="1">'EPS and DPS'!DF50</f>
        <v>0.66677603694263754</v>
      </c>
      <c r="DG136" s="5"/>
      <c r="DH136" s="5"/>
      <c r="DI136" s="5"/>
      <c r="DJ136" s="43">
        <f>'EPS and DPS'!DJ50</f>
        <v>0.64950424207955615</v>
      </c>
      <c r="DK136" s="5"/>
      <c r="DL136" s="5"/>
      <c r="DM136" s="5"/>
      <c r="DN136" s="43">
        <f>'EPS and DPS'!DN50</f>
        <v>0.65014387033065812</v>
      </c>
      <c r="DO136" s="5"/>
      <c r="DP136" s="5"/>
      <c r="DQ136" s="5"/>
      <c r="DR136" s="43">
        <f>'EPS and DPS'!DR50</f>
        <v>0.65000456955317776</v>
      </c>
      <c r="DS136" s="5"/>
      <c r="DT136" s="5"/>
      <c r="DU136" s="5"/>
    </row>
    <row r="138" spans="1:125">
      <c r="A138" s="1" t="s">
        <v>485</v>
      </c>
      <c r="BF138" s="8">
        <f>'Bal Sheet'!BF539</f>
        <v>11277.25</v>
      </c>
      <c r="BJ138" s="8">
        <f>'Bal Sheet'!BJ539</f>
        <v>11147.5</v>
      </c>
      <c r="BL138" s="8">
        <f>'Bal Sheet'!BL539</f>
        <v>11816</v>
      </c>
      <c r="BM138" s="8">
        <f>'Bal Sheet'!BM539</f>
        <v>11823.5</v>
      </c>
      <c r="BN138" s="8">
        <f>'Bal Sheet'!BN539</f>
        <v>11819.75</v>
      </c>
      <c r="BP138" s="8">
        <f>'Bal Sheet'!BP539</f>
        <v>11554</v>
      </c>
      <c r="BQ138" s="8">
        <f>'Bal Sheet'!BQ539</f>
        <v>12799.5</v>
      </c>
      <c r="BR138" s="8">
        <f>'Bal Sheet'!BR539</f>
        <v>12176.75</v>
      </c>
      <c r="BT138" s="8">
        <f>'Bal Sheet'!BT539</f>
        <v>14270</v>
      </c>
      <c r="BV138" s="8">
        <f>'Bal Sheet'!BV539</f>
        <v>14571.75</v>
      </c>
      <c r="BZ138" s="8">
        <f>'Bal Sheet'!BZ539</f>
        <v>15130.25</v>
      </c>
      <c r="CD138" s="8">
        <f>'Bal Sheet'!CD539</f>
        <v>15658.5</v>
      </c>
      <c r="CH138" s="8">
        <f>'Bal Sheet'!CH539</f>
        <v>16809.5</v>
      </c>
      <c r="CL138" s="8">
        <f>'Bal Sheet'!CL539</f>
        <v>19514.5</v>
      </c>
      <c r="CP138" s="8">
        <f>'Bal Sheet'!CP539</f>
        <v>21031.75</v>
      </c>
      <c r="CT138" s="8">
        <f>'Bal Sheet'!CT539</f>
        <v>24684.25</v>
      </c>
      <c r="CX138" s="8">
        <f>'Bal Sheet'!CX539</f>
        <v>31097.5</v>
      </c>
      <c r="DB138" s="8">
        <f>'Bal Sheet'!DB539</f>
        <v>32984.5</v>
      </c>
      <c r="DF138" s="8">
        <f>'Bal Sheet'!DF539</f>
        <v>33358.75</v>
      </c>
      <c r="DJ138" s="8">
        <f ca="1">'Bal Sheet'!DJ539</f>
        <v>35126.55022854959</v>
      </c>
      <c r="DN138" s="8">
        <f ca="1">'Bal Sheet'!DN539</f>
        <v>37019.073532421811</v>
      </c>
      <c r="DR138" s="8">
        <f ca="1">'Bal Sheet'!DR539</f>
        <v>40322.643245204359</v>
      </c>
    </row>
    <row r="139" spans="1:125">
      <c r="A139" s="1" t="s">
        <v>486</v>
      </c>
      <c r="BF139" s="8">
        <f>'Bal Sheet'!BF540</f>
        <v>-532.34176470587772</v>
      </c>
      <c r="BJ139" s="8">
        <f>'Bal Sheet'!BJ540</f>
        <v>-230.96153846153902</v>
      </c>
      <c r="BL139" s="8">
        <f>'Bal Sheet'!BL540</f>
        <v>-298.75862068965398</v>
      </c>
      <c r="BM139" s="8">
        <f>'Bal Sheet'!BM540</f>
        <v>-468.09259259259306</v>
      </c>
      <c r="BN139" s="8">
        <f>'Bal Sheet'!BN540</f>
        <v>-400.9211711711705</v>
      </c>
      <c r="BP139" s="8">
        <f>'Bal Sheet'!BP540</f>
        <v>-706</v>
      </c>
      <c r="BQ139" s="8">
        <f>'Bal Sheet'!BQ540</f>
        <v>-767.16233766233745</v>
      </c>
      <c r="BR139" s="8">
        <f>'Bal Sheet'!BR540</f>
        <v>-716.10714285714312</v>
      </c>
      <c r="BT139" s="8">
        <f>'Bal Sheet'!BT540</f>
        <v>-725.69620253164612</v>
      </c>
      <c r="BV139" s="8">
        <f>'Bal Sheet'!BV540</f>
        <v>-534.40306122448965</v>
      </c>
      <c r="BZ139" s="8">
        <f>'Bal Sheet'!BZ540</f>
        <v>-541.50000000000182</v>
      </c>
      <c r="CD139" s="8">
        <f>'Bal Sheet'!CD540</f>
        <v>-435.34523809524035</v>
      </c>
      <c r="CH139" s="8">
        <f>'Bal Sheet'!CH540</f>
        <v>-240.11111111111313</v>
      </c>
      <c r="CL139" s="8">
        <f>'Bal Sheet'!CL540</f>
        <v>-676.63793103448188</v>
      </c>
      <c r="CP139" s="8">
        <f>'Bal Sheet'!CP540</f>
        <v>55.59265734265864</v>
      </c>
      <c r="CT139" s="8">
        <f>'Bal Sheet'!CT540</f>
        <v>484.14572192513151</v>
      </c>
      <c r="CX139" s="8">
        <f>'Bal Sheet'!CX540</f>
        <v>-431.87869822485663</v>
      </c>
      <c r="DB139" s="8">
        <f>'Bal Sheet'!DB540</f>
        <v>-368.85185185185401</v>
      </c>
      <c r="DF139" s="8">
        <f ca="1">'Bal Sheet'!DF540</f>
        <v>-184.73214285714494</v>
      </c>
      <c r="DJ139" s="8">
        <f>'Bal Sheet'!DJ540</f>
        <v>-479.33333333333576</v>
      </c>
      <c r="DN139" s="8">
        <f>'Bal Sheet'!DN540</f>
        <v>-479.33333333333576</v>
      </c>
      <c r="DR139" s="8">
        <f>'Bal Sheet'!DR540</f>
        <v>-479.33333333333576</v>
      </c>
    </row>
    <row r="140" spans="1:125">
      <c r="A140" s="1" t="s">
        <v>484</v>
      </c>
      <c r="BF140" s="8">
        <f>'Bal Sheet'!BF541</f>
        <v>10744.908235294122</v>
      </c>
      <c r="BJ140" s="8">
        <f>'Bal Sheet'!BJ541</f>
        <v>10916.538461538461</v>
      </c>
      <c r="BL140" s="8">
        <f>'Bal Sheet'!BL541</f>
        <v>11517.241379310346</v>
      </c>
      <c r="BM140" s="8">
        <f>'Bal Sheet'!BM541</f>
        <v>11355.407407407407</v>
      </c>
      <c r="BN140" s="8">
        <f>'Bal Sheet'!BN541</f>
        <v>11418.82882882883</v>
      </c>
      <c r="BP140" s="8">
        <f>'Bal Sheet'!BP541</f>
        <v>10848</v>
      </c>
      <c r="BQ140" s="8">
        <f>'Bal Sheet'!BQ541</f>
        <v>12032.337662337663</v>
      </c>
      <c r="BR140" s="8">
        <f>'Bal Sheet'!BR541</f>
        <v>11460.642857142857</v>
      </c>
      <c r="BT140" s="8">
        <f>'Bal Sheet'!BT541</f>
        <v>13544.303797468354</v>
      </c>
      <c r="BV140" s="8">
        <f>'Bal Sheet'!BV541</f>
        <v>14037.34693877551</v>
      </c>
      <c r="BZ140" s="8">
        <f>'Bal Sheet'!BZ541</f>
        <v>14588.749999999998</v>
      </c>
      <c r="CD140" s="8">
        <f>'Bal Sheet'!CD541</f>
        <v>15223.15476190476</v>
      </c>
      <c r="CH140" s="8">
        <f>'Bal Sheet'!CH541</f>
        <v>16569.388888888887</v>
      </c>
      <c r="CL140" s="8">
        <f>'Bal Sheet'!CL541</f>
        <v>18837.862068965518</v>
      </c>
      <c r="CP140" s="8">
        <f>'Bal Sheet'!CP541</f>
        <v>21087.342657342659</v>
      </c>
      <c r="CT140" s="8">
        <f>'Bal Sheet'!CT541</f>
        <v>25168.395721925132</v>
      </c>
      <c r="CX140" s="8">
        <f>'Bal Sheet'!CX541</f>
        <v>30665.621301775143</v>
      </c>
      <c r="DB140" s="8">
        <f>'Bal Sheet'!DB541</f>
        <v>32615.648148148146</v>
      </c>
      <c r="DF140" s="8">
        <f ca="1">'Bal Sheet'!DF541</f>
        <v>33174.017857142855</v>
      </c>
      <c r="DJ140" s="8">
        <f ca="1">'Bal Sheet'!DJ541</f>
        <v>34647.216895216254</v>
      </c>
      <c r="DN140" s="8">
        <f ca="1">'Bal Sheet'!DN541</f>
        <v>36539.740199088475</v>
      </c>
      <c r="DR140" s="8">
        <f ca="1">'Bal Sheet'!DR541</f>
        <v>39843.309911871023</v>
      </c>
    </row>
    <row r="141" spans="1:125" ht="14.4" thickBot="1">
      <c r="A141" s="1" t="s">
        <v>769</v>
      </c>
      <c r="BF141" s="8">
        <f>BF115</f>
        <v>730.65376000000037</v>
      </c>
      <c r="BJ141" s="8">
        <f>BJ115</f>
        <v>851.49</v>
      </c>
      <c r="BL141" s="8">
        <f>BL115</f>
        <v>501</v>
      </c>
      <c r="BM141" s="8">
        <f>BM115</f>
        <v>766.49</v>
      </c>
      <c r="BN141" s="8">
        <f>BN115</f>
        <v>1267.49</v>
      </c>
      <c r="BP141" s="8">
        <f>BP115</f>
        <v>678</v>
      </c>
      <c r="BQ141" s="8">
        <f>BQ115</f>
        <v>926.49</v>
      </c>
      <c r="BR141" s="8">
        <f>BR115</f>
        <v>1604.49</v>
      </c>
      <c r="BT141" s="8">
        <f>BT115</f>
        <v>1070</v>
      </c>
      <c r="BV141" s="8">
        <f>BV115</f>
        <v>2063.4899999999998</v>
      </c>
      <c r="BZ141" s="8">
        <f>BZ115</f>
        <v>2217.4899999999998</v>
      </c>
      <c r="CD141" s="8">
        <f>CD115</f>
        <v>2557.4899999999998</v>
      </c>
      <c r="CH141" s="8">
        <f>CH115</f>
        <v>2982.49</v>
      </c>
      <c r="CL141" s="8">
        <f>CL115</f>
        <v>2731.49</v>
      </c>
      <c r="CP141" s="8">
        <f>CP115</f>
        <v>3015.49</v>
      </c>
      <c r="CT141" s="8">
        <f>CT115</f>
        <v>4706.49</v>
      </c>
      <c r="CX141" s="8">
        <f>CX115</f>
        <v>5182.49</v>
      </c>
      <c r="DB141" s="8">
        <f>DB115</f>
        <v>3522.49</v>
      </c>
      <c r="DF141" s="8">
        <f ca="1">DF115</f>
        <v>3715.49</v>
      </c>
      <c r="DJ141" s="8">
        <f>DJ115</f>
        <v>4172.6901979637678</v>
      </c>
      <c r="DN141" s="8">
        <f>DN115</f>
        <v>4572.7102875162254</v>
      </c>
      <c r="DR141" s="8">
        <f>DR115</f>
        <v>4922.7680533130952</v>
      </c>
    </row>
    <row r="142" spans="1:125" ht="14.4" thickBot="1">
      <c r="A142" s="2008" t="s">
        <v>906</v>
      </c>
      <c r="B142" s="2009"/>
      <c r="C142" s="2009"/>
      <c r="D142" s="2009"/>
      <c r="E142" s="2009"/>
      <c r="F142" s="2009"/>
      <c r="G142" s="2009"/>
      <c r="H142" s="2009"/>
      <c r="I142" s="2009"/>
      <c r="J142" s="2009"/>
      <c r="K142" s="2009"/>
      <c r="L142" s="2009"/>
      <c r="M142" s="2009"/>
      <c r="N142" s="2009"/>
      <c r="O142" s="2009"/>
      <c r="P142" s="2009"/>
      <c r="Q142" s="2009"/>
      <c r="R142" s="2009"/>
      <c r="S142" s="2009"/>
      <c r="T142" s="2009"/>
      <c r="U142" s="2009"/>
      <c r="V142" s="2009"/>
      <c r="W142" s="2009"/>
      <c r="X142" s="2009"/>
      <c r="Y142" s="2009"/>
      <c r="Z142" s="2009"/>
      <c r="AA142" s="2009"/>
      <c r="AB142" s="2009"/>
      <c r="AC142" s="2009"/>
      <c r="AD142" s="2009"/>
      <c r="AE142" s="2009"/>
      <c r="AF142" s="2009"/>
      <c r="AG142" s="2009"/>
      <c r="AH142" s="2009"/>
      <c r="AI142" s="2009"/>
      <c r="AJ142" s="2009"/>
      <c r="AK142" s="2009"/>
      <c r="AL142" s="2009"/>
      <c r="AM142" s="2009"/>
      <c r="AN142" s="2009"/>
      <c r="AO142" s="2009"/>
      <c r="AP142" s="2009"/>
      <c r="AQ142" s="2009"/>
      <c r="AR142" s="2009"/>
      <c r="AS142" s="2009"/>
      <c r="AT142" s="2009"/>
      <c r="AU142" s="2009"/>
      <c r="AV142" s="2010"/>
      <c r="AW142" s="2010"/>
      <c r="AX142" s="2010"/>
      <c r="AY142" s="2010"/>
      <c r="AZ142" s="2010"/>
      <c r="BA142" s="2010"/>
      <c r="BB142" s="2010"/>
      <c r="BC142" s="2010"/>
      <c r="BD142" s="2010"/>
      <c r="BE142" s="2010"/>
      <c r="BF142" s="2014">
        <f>+BF141/BF140</f>
        <v>6.8000000000000005E-2</v>
      </c>
      <c r="BG142" s="2010"/>
      <c r="BH142" s="2010"/>
      <c r="BI142" s="2010"/>
      <c r="BJ142" s="2014">
        <f>+BJ141/BJ140</f>
        <v>7.8E-2</v>
      </c>
      <c r="BK142" s="2010"/>
      <c r="BL142" s="2014">
        <f>+BL141*2/BL140</f>
        <v>8.6999999999999994E-2</v>
      </c>
      <c r="BM142" s="2014">
        <f>+BM141*2/BM140</f>
        <v>0.13500000000000001</v>
      </c>
      <c r="BN142" s="2014">
        <f>+BN141/BN140</f>
        <v>0.11099999999999999</v>
      </c>
      <c r="BO142" s="2010"/>
      <c r="BP142" s="2014">
        <f>+BP141*2/BP140</f>
        <v>0.125</v>
      </c>
      <c r="BQ142" s="2014">
        <f>+BQ141*2/BQ140</f>
        <v>0.154</v>
      </c>
      <c r="BR142" s="2014">
        <f>+BR141/BR140</f>
        <v>0.14000000000000001</v>
      </c>
      <c r="BS142" s="2010"/>
      <c r="BT142" s="2014">
        <f>+BT141*2/BT140</f>
        <v>0.158</v>
      </c>
      <c r="BU142" s="2010"/>
      <c r="BV142" s="2014">
        <f>+BV141/BV140</f>
        <v>0.14699999999999999</v>
      </c>
      <c r="BW142" s="2010"/>
      <c r="BX142" s="2010"/>
      <c r="BY142" s="2010"/>
      <c r="BZ142" s="2014">
        <f>+BZ141/BZ140</f>
        <v>0.152</v>
      </c>
      <c r="CA142" s="2010"/>
      <c r="CB142" s="2010"/>
      <c r="CC142" s="2010"/>
      <c r="CD142" s="2014">
        <f>+CD141/CD140</f>
        <v>0.16800000000000001</v>
      </c>
      <c r="CE142" s="2010"/>
      <c r="CF142" s="2010"/>
      <c r="CG142" s="2010"/>
      <c r="CH142" s="2014">
        <f>+CH141/CH140</f>
        <v>0.18000000000000002</v>
      </c>
      <c r="CI142" s="2010"/>
      <c r="CJ142" s="2010"/>
      <c r="CK142" s="2010"/>
      <c r="CL142" s="2014">
        <f>+CL141/CL140</f>
        <v>0.14499999999999999</v>
      </c>
      <c r="CM142" s="2010"/>
      <c r="CN142" s="2010"/>
      <c r="CO142" s="2010"/>
      <c r="CP142" s="2014">
        <f>+CP141/CP140</f>
        <v>0.14299999999999999</v>
      </c>
      <c r="CQ142" s="2010"/>
      <c r="CR142" s="2010"/>
      <c r="CS142" s="2010"/>
      <c r="CT142" s="2014">
        <f>+CT141/CT140</f>
        <v>0.187</v>
      </c>
      <c r="CU142" s="2010"/>
      <c r="CV142" s="2010"/>
      <c r="CW142" s="2010"/>
      <c r="CX142" s="2014">
        <f>+CX141/CX140</f>
        <v>0.16900000000000001</v>
      </c>
      <c r="CY142" s="2010"/>
      <c r="CZ142" s="2010"/>
      <c r="DA142" s="2010"/>
      <c r="DB142" s="2014">
        <f>+DB141/DB140</f>
        <v>0.108</v>
      </c>
      <c r="DC142" s="2010"/>
      <c r="DD142" s="2010"/>
      <c r="DE142" s="2010"/>
      <c r="DF142" s="2014">
        <f ca="1">+DF141/DF140</f>
        <v>0.112</v>
      </c>
      <c r="DG142" s="2010"/>
      <c r="DH142" s="2010"/>
      <c r="DI142" s="2010"/>
      <c r="DJ142" s="2014">
        <f ca="1">+DJ141/DJ140</f>
        <v>0.12043363282491794</v>
      </c>
      <c r="DK142" s="2010"/>
      <c r="DL142" s="2010"/>
      <c r="DM142" s="2010"/>
      <c r="DN142" s="2014">
        <f ca="1">+DN141/DN140</f>
        <v>0.12514348111403092</v>
      </c>
      <c r="DO142" s="2010"/>
      <c r="DP142" s="2010"/>
      <c r="DQ142" s="2010"/>
      <c r="DR142" s="2014">
        <f ca="1">+DR141/DR140</f>
        <v>0.12355319033990177</v>
      </c>
      <c r="DS142" s="2010"/>
    </row>
    <row r="143" spans="1:125">
      <c r="BF143" s="10">
        <f>'Bal Sheet'!BF547</f>
        <v>6.8000000000000005E-2</v>
      </c>
      <c r="BJ143" s="10">
        <f>'Bal Sheet'!BJ547</f>
        <v>7.8E-2</v>
      </c>
      <c r="BL143" s="10">
        <f>'Bal Sheet'!BL547</f>
        <v>8.6999999999999994E-2</v>
      </c>
      <c r="BM143" s="10">
        <f>'Bal Sheet'!BM547</f>
        <v>0.13500000000000001</v>
      </c>
      <c r="BN143" s="10">
        <f>'Bal Sheet'!BN547</f>
        <v>0.11099999999999999</v>
      </c>
      <c r="BP143" s="10">
        <f>'Bal Sheet'!BP547</f>
        <v>0.125</v>
      </c>
      <c r="BQ143" s="10">
        <f>'Bal Sheet'!BQ547</f>
        <v>0.154</v>
      </c>
      <c r="BR143" s="10">
        <f>'Bal Sheet'!BR547</f>
        <v>0.14000000000000001</v>
      </c>
      <c r="BT143" s="10">
        <f>'Bal Sheet'!BT547</f>
        <v>0.158</v>
      </c>
      <c r="BV143" s="10">
        <f>'Bal Sheet'!BV547</f>
        <v>0.14699999999999999</v>
      </c>
      <c r="BZ143" s="10">
        <f>'Bal Sheet'!BZ547</f>
        <v>0.152</v>
      </c>
      <c r="CD143" s="10">
        <f>'Bal Sheet'!CD547</f>
        <v>0.16800000000000001</v>
      </c>
      <c r="CH143" s="10">
        <f>'Bal Sheet'!CH547</f>
        <v>0.18000000000000002</v>
      </c>
      <c r="CL143" s="10">
        <f>'Bal Sheet'!CL547</f>
        <v>0.14499999999999999</v>
      </c>
      <c r="CP143" s="10">
        <f>'Bal Sheet'!CP547</f>
        <v>0.14299999999999999</v>
      </c>
      <c r="CT143" s="10">
        <f>'Bal Sheet'!CT547</f>
        <v>0.187</v>
      </c>
      <c r="CX143" s="10">
        <f>'Bal Sheet'!CX547</f>
        <v>0.16900000000000001</v>
      </c>
      <c r="DB143" s="10">
        <f>'Bal Sheet'!DB547</f>
        <v>0.108</v>
      </c>
      <c r="DF143" s="10">
        <f ca="1">'Bal Sheet'!DF547</f>
        <v>0.112</v>
      </c>
      <c r="DJ143" s="10">
        <f ca="1">'Bal Sheet'!DJ547</f>
        <v>0.12043363282491794</v>
      </c>
      <c r="DN143" s="10">
        <f ca="1">'Bal Sheet'!DN547</f>
        <v>0.12514348111403092</v>
      </c>
      <c r="DR143" s="10">
        <f ca="1">'Bal Sheet'!DR547</f>
        <v>0.12355319033990177</v>
      </c>
    </row>
    <row r="146" spans="1:134" s="96" customFormat="1">
      <c r="A146" s="49" t="s">
        <v>32</v>
      </c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50"/>
      <c r="AJ146" s="50"/>
      <c r="AK146" s="50"/>
      <c r="AL146" s="50"/>
      <c r="AM146" s="50"/>
      <c r="AN146" s="55"/>
      <c r="AO146" s="55"/>
      <c r="AP146" s="55"/>
      <c r="AQ146" s="55"/>
      <c r="AR146" s="55"/>
      <c r="AS146" s="55"/>
      <c r="AT146" s="55"/>
      <c r="AU146" s="55"/>
      <c r="AV146" s="56"/>
      <c r="AW146" s="56"/>
      <c r="AX146" s="55"/>
      <c r="AY146" s="55"/>
      <c r="AZ146" s="57"/>
      <c r="BA146" s="57"/>
      <c r="BB146" s="57"/>
      <c r="BC146" s="55"/>
      <c r="BD146" s="57"/>
      <c r="BE146" s="57"/>
      <c r="BF146" s="57"/>
      <c r="BG146" s="55"/>
      <c r="BH146" s="57"/>
      <c r="BI146" s="57"/>
      <c r="BJ146" s="57"/>
      <c r="BK146" s="55"/>
      <c r="BL146" s="55"/>
      <c r="BM146" s="55"/>
      <c r="BN146" s="55"/>
      <c r="BO146" s="55"/>
      <c r="BP146" s="55"/>
      <c r="BQ146" s="55"/>
      <c r="BR146" s="55"/>
      <c r="BS146" s="55"/>
      <c r="BT146" s="55"/>
      <c r="BU146" s="55"/>
      <c r="BV146" s="55"/>
      <c r="BW146" s="55"/>
      <c r="BX146" s="55"/>
      <c r="BY146" s="55"/>
      <c r="BZ146" s="55"/>
      <c r="CA146" s="55"/>
      <c r="CB146" s="55"/>
      <c r="CC146" s="55"/>
      <c r="CD146" s="55"/>
      <c r="CE146" s="55"/>
      <c r="CF146" s="55"/>
      <c r="CG146" s="55"/>
      <c r="CH146" s="55"/>
      <c r="CI146" s="55"/>
      <c r="CJ146" s="55"/>
      <c r="CK146" s="55"/>
      <c r="CL146" s="55"/>
      <c r="CM146" s="55"/>
      <c r="CN146" s="55"/>
      <c r="CO146" s="55"/>
      <c r="CP146" s="55"/>
      <c r="CQ146" s="55"/>
      <c r="CR146" s="55"/>
      <c r="CS146" s="55"/>
      <c r="CT146" s="55"/>
      <c r="CU146" s="55"/>
      <c r="CV146" s="55"/>
      <c r="CW146" s="55"/>
      <c r="CX146" s="55"/>
      <c r="CY146" s="55"/>
      <c r="CZ146" s="55"/>
      <c r="DA146" s="55"/>
      <c r="DB146" s="55"/>
      <c r="DC146" s="55"/>
      <c r="DD146" s="55"/>
      <c r="DE146" s="55"/>
      <c r="DF146" s="55"/>
      <c r="DG146" s="55"/>
      <c r="DH146" s="55"/>
      <c r="DI146" s="55"/>
      <c r="DJ146" s="55"/>
      <c r="DK146" s="55"/>
      <c r="DL146" s="55"/>
      <c r="DM146" s="55"/>
      <c r="DN146" s="55"/>
      <c r="DO146" s="55"/>
      <c r="DP146" s="55"/>
      <c r="DQ146" s="55"/>
      <c r="DR146" s="55"/>
      <c r="DS146" s="55"/>
      <c r="DT146" s="92"/>
      <c r="DU146" s="92"/>
      <c r="DV146" s="92"/>
      <c r="DW146" s="92"/>
      <c r="DX146" s="92"/>
      <c r="DY146" s="92"/>
      <c r="DZ146" s="92"/>
      <c r="EA146" s="92"/>
      <c r="EB146" s="92"/>
      <c r="EC146" s="92"/>
      <c r="ED146" s="92"/>
    </row>
    <row r="148" spans="1:134" ht="14.4" thickBot="1">
      <c r="A148" s="11" t="s">
        <v>557</v>
      </c>
      <c r="DJ148" s="5" t="s">
        <v>520</v>
      </c>
      <c r="DK148" s="5" t="s">
        <v>1093</v>
      </c>
      <c r="DN148" s="5" t="s">
        <v>520</v>
      </c>
      <c r="DO148" s="5" t="s">
        <v>1093</v>
      </c>
      <c r="DR148" s="5" t="s">
        <v>520</v>
      </c>
      <c r="DS148" s="5" t="s">
        <v>1093</v>
      </c>
    </row>
    <row r="149" spans="1:134" ht="14.4" thickBot="1">
      <c r="A149" s="3" t="s">
        <v>41</v>
      </c>
      <c r="DJ149" s="13">
        <f>DK$63</f>
        <v>0.14851902848304288</v>
      </c>
      <c r="DK149" s="68">
        <f>DJ149</f>
        <v>0.14851902848304288</v>
      </c>
      <c r="DN149" s="13">
        <f>DO$63</f>
        <v>6.7289506024590606E-2</v>
      </c>
      <c r="DO149" s="68">
        <f>DN149</f>
        <v>6.7289506024590606E-2</v>
      </c>
      <c r="DR149" s="13">
        <f>DS$63</f>
        <v>7.4736949814407039E-2</v>
      </c>
      <c r="DS149" s="68">
        <f>DR149</f>
        <v>7.4736949814407039E-2</v>
      </c>
    </row>
    <row r="150" spans="1:134" ht="14.4" thickBot="1">
      <c r="A150" s="3" t="s">
        <v>51</v>
      </c>
      <c r="DJ150" s="13">
        <f>DK$65</f>
        <v>-3.2027660319426832E-2</v>
      </c>
      <c r="DK150" s="86">
        <v>0.1</v>
      </c>
      <c r="DN150" s="13">
        <f>DO$65</f>
        <v>-0.15499953033064684</v>
      </c>
      <c r="DO150" s="86">
        <v>0.15</v>
      </c>
      <c r="DR150" s="13">
        <f>DS$65</f>
        <v>6.8684854882349766E-2</v>
      </c>
      <c r="DS150" s="86">
        <v>0.15</v>
      </c>
    </row>
    <row r="151" spans="1:134" ht="14.4" thickBot="1">
      <c r="A151" s="3" t="s">
        <v>587</v>
      </c>
      <c r="DJ151" s="8">
        <f>DJ$67</f>
        <v>1443.9232351803339</v>
      </c>
      <c r="DK151" s="1911">
        <f>+DJ151*1.3</f>
        <v>1877.1002057344342</v>
      </c>
      <c r="DN151" s="8">
        <f>DN$67</f>
        <v>1116.2009002637033</v>
      </c>
      <c r="DO151" s="1911">
        <f>+DN151*1.5</f>
        <v>1674.3013503955549</v>
      </c>
      <c r="DR151" s="8">
        <f>DR$67</f>
        <v>1195.6062862859903</v>
      </c>
      <c r="DS151" s="1911">
        <f>+DR151*1.5</f>
        <v>1793.4094294289855</v>
      </c>
    </row>
    <row r="152" spans="1:134" ht="14.4" thickBot="1">
      <c r="A152" s="3" t="s">
        <v>36</v>
      </c>
      <c r="DJ152" s="13">
        <f ca="1">DK$68</f>
        <v>0.24410480349344965</v>
      </c>
      <c r="DK152" s="86">
        <v>0.3</v>
      </c>
      <c r="DN152" s="13">
        <f>DO$68</f>
        <v>9.1194498069498309E-2</v>
      </c>
      <c r="DO152" s="86">
        <v>0.1</v>
      </c>
      <c r="DR152" s="13">
        <f>DS$68</f>
        <v>5.3239521352702823E-2</v>
      </c>
      <c r="DS152" s="86">
        <v>0.1</v>
      </c>
    </row>
    <row r="153" spans="1:134" ht="14.4" thickBot="1">
      <c r="A153" s="3" t="s">
        <v>37</v>
      </c>
      <c r="DJ153" s="13">
        <f ca="1">DK$69</f>
        <v>5.5220168771399125E-2</v>
      </c>
      <c r="DK153" s="86">
        <v>0.1</v>
      </c>
      <c r="DN153" s="13">
        <f>DO$69</f>
        <v>-1.690051795337788E-2</v>
      </c>
      <c r="DO153" s="86">
        <v>0.1</v>
      </c>
      <c r="DR153" s="13">
        <f>DS$69</f>
        <v>2.8747172126863507E-2</v>
      </c>
      <c r="DS153" s="86">
        <v>0.1</v>
      </c>
    </row>
    <row r="154" spans="1:134" ht="14.4" thickBot="1">
      <c r="A154" s="3" t="s">
        <v>1267</v>
      </c>
      <c r="DJ154" s="13">
        <f>DK$72</f>
        <v>6.6288640595903114E-2</v>
      </c>
      <c r="DK154" s="86">
        <v>0.12</v>
      </c>
      <c r="DN154" s="13">
        <f>DO$72</f>
        <v>4.2863181085475377E-2</v>
      </c>
      <c r="DO154" s="86">
        <v>0.1</v>
      </c>
      <c r="DR154" s="13">
        <f>DS$72</f>
        <v>2.2259560591888938E-2</v>
      </c>
      <c r="DS154" s="86">
        <v>0.1</v>
      </c>
    </row>
    <row r="155" spans="1:134" ht="14.4" thickBot="1">
      <c r="A155" s="3" t="s">
        <v>42</v>
      </c>
      <c r="DJ155" s="8">
        <f>DJ$74</f>
        <v>1429.3424</v>
      </c>
      <c r="DK155" s="1911">
        <f>+DJ155*2</f>
        <v>2858.6848</v>
      </c>
      <c r="DN155" s="8">
        <f>DN$74</f>
        <v>1630.0789180000002</v>
      </c>
      <c r="DO155" s="1911">
        <f>+DN155*2</f>
        <v>3260.1578360000003</v>
      </c>
      <c r="DR155" s="8">
        <f>DR$74</f>
        <v>1864.0839948262001</v>
      </c>
      <c r="DS155" s="1911">
        <f>+DR155*2</f>
        <v>3728.1679896524001</v>
      </c>
    </row>
    <row r="156" spans="1:134" ht="14.4" thickBot="1">
      <c r="A156" s="3" t="s">
        <v>30</v>
      </c>
      <c r="DJ156" s="13">
        <f>DJ$81</f>
        <v>0.40841181641791924</v>
      </c>
      <c r="DK156" s="86">
        <v>0.38500000000000001</v>
      </c>
      <c r="DN156" s="13">
        <f>DN$81</f>
        <v>0.41147945857970375</v>
      </c>
      <c r="DO156" s="86">
        <v>0.37</v>
      </c>
      <c r="DR156" s="13">
        <f>DR$81</f>
        <v>0.41008720229845924</v>
      </c>
      <c r="DS156" s="86">
        <v>0.37</v>
      </c>
    </row>
    <row r="157" spans="1:134" ht="14.4" thickBot="1">
      <c r="A157" s="3" t="s">
        <v>39</v>
      </c>
      <c r="DJ157" s="13">
        <f>DJ$82</f>
        <v>1.3062127296033459</v>
      </c>
      <c r="DK157" s="68">
        <f>DJ157</f>
        <v>1.3062127296033459</v>
      </c>
      <c r="DN157" s="13">
        <f>DN$82</f>
        <v>1.251879155505871</v>
      </c>
      <c r="DO157" s="68">
        <f>DN157</f>
        <v>1.251879155505871</v>
      </c>
      <c r="DR157" s="13">
        <f>DR$82</f>
        <v>1.2672304741182858</v>
      </c>
      <c r="DS157" s="68">
        <f>DR157</f>
        <v>1.2672304741182858</v>
      </c>
    </row>
    <row r="158" spans="1:134" ht="14.4" thickBot="1">
      <c r="A158" s="3" t="s">
        <v>40</v>
      </c>
      <c r="DJ158" s="13">
        <f>DK$79</f>
        <v>3.0361942577886269E-2</v>
      </c>
      <c r="DK158" s="68">
        <f>DJ158</f>
        <v>3.0361942577886269E-2</v>
      </c>
      <c r="DN158" s="13">
        <f>DO$79</f>
        <v>-2.7637238932176844E-2</v>
      </c>
      <c r="DO158" s="68">
        <f>DN158</f>
        <v>-2.7637238932176844E-2</v>
      </c>
      <c r="DR158" s="13">
        <f>DS$79</f>
        <v>2.5413266627916764E-2</v>
      </c>
      <c r="DS158" s="68">
        <f>DR158</f>
        <v>2.5413266627916764E-2</v>
      </c>
    </row>
    <row r="159" spans="1:134" ht="14.4" thickBot="1">
      <c r="A159" s="3" t="s">
        <v>907</v>
      </c>
      <c r="DJ159" s="13">
        <f>DJ$85</f>
        <v>0.30279281707429018</v>
      </c>
      <c r="DK159" s="68">
        <f>DJ159</f>
        <v>0.30279281707429018</v>
      </c>
      <c r="DN159" s="13">
        <f>DN$85</f>
        <v>0.26881101587914685</v>
      </c>
      <c r="DO159" s="68">
        <f>DN159</f>
        <v>0.26881101587914685</v>
      </c>
      <c r="DR159" s="13">
        <f>DR$85</f>
        <v>0.26900731285323731</v>
      </c>
      <c r="DS159" s="68">
        <f>DR159</f>
        <v>0.26900731285323731</v>
      </c>
    </row>
    <row r="160" spans="1:134">
      <c r="A160" s="3"/>
    </row>
    <row r="161" spans="1:123" ht="14.4" thickBot="1">
      <c r="A161" s="2" t="s">
        <v>760</v>
      </c>
    </row>
    <row r="162" spans="1:123" ht="14.4" thickBot="1">
      <c r="A162" s="1" t="s">
        <v>598</v>
      </c>
      <c r="BF162" s="38">
        <f>BF$63</f>
        <v>1333</v>
      </c>
      <c r="BH162" s="8">
        <f t="shared" ref="BH162:BI164" si="147">BH63</f>
        <v>644</v>
      </c>
      <c r="BI162" s="8">
        <f t="shared" si="147"/>
        <v>723</v>
      </c>
      <c r="BJ162" s="38">
        <f>BJ$63</f>
        <v>1367</v>
      </c>
      <c r="BL162" s="8">
        <f t="shared" ref="BL162:BM164" si="148">BL63</f>
        <v>860</v>
      </c>
      <c r="BM162" s="8">
        <f t="shared" si="148"/>
        <v>845</v>
      </c>
      <c r="BN162" s="38">
        <f>BN$63</f>
        <v>1705</v>
      </c>
      <c r="BP162" s="8">
        <f t="shared" ref="BP162:BQ164" si="149">BP63</f>
        <v>956</v>
      </c>
      <c r="BQ162" s="8">
        <f t="shared" si="149"/>
        <v>1136</v>
      </c>
      <c r="BR162" s="38">
        <f>BR$63</f>
        <v>2092</v>
      </c>
      <c r="BT162" s="8">
        <f t="shared" ref="BT162:BU164" si="150">BT63</f>
        <v>1165</v>
      </c>
      <c r="BU162" s="8">
        <f t="shared" si="150"/>
        <v>1114</v>
      </c>
      <c r="BV162" s="38">
        <f>BV$63</f>
        <v>2279</v>
      </c>
      <c r="BX162" s="8">
        <f t="shared" ref="BX162:BY164" si="151">BX63</f>
        <v>1098</v>
      </c>
      <c r="BY162" s="8">
        <f t="shared" si="151"/>
        <v>1087</v>
      </c>
      <c r="BZ162" s="38">
        <f>BZ$63</f>
        <v>2185</v>
      </c>
      <c r="CB162" s="8">
        <f>CB63</f>
        <v>1011</v>
      </c>
      <c r="CC162" s="8">
        <f t="shared" ref="CC162" si="152">CC63</f>
        <v>975</v>
      </c>
      <c r="CD162" s="38">
        <f>CD$63</f>
        <v>1986</v>
      </c>
      <c r="CG162" s="8">
        <f t="shared" ref="CG162:CG164" si="153">CG63</f>
        <v>762</v>
      </c>
      <c r="CH162" s="38">
        <f>CH$63</f>
        <v>1760</v>
      </c>
      <c r="CK162" s="8">
        <f t="shared" ref="CK162:CK164" si="154">CK63</f>
        <v>1069</v>
      </c>
      <c r="CL162" s="38">
        <f>CL$63</f>
        <v>1859</v>
      </c>
      <c r="CO162" s="8">
        <f t="shared" ref="CO162:CO164" si="155">CO63</f>
        <v>1162</v>
      </c>
      <c r="CP162" s="38">
        <f>CP$63</f>
        <v>2195</v>
      </c>
      <c r="CQ162" s="1387">
        <f t="shared" ref="CQ162:CQ164" si="156">+AVERAGE(CR162,CV162)</f>
        <v>0.15473021742286167</v>
      </c>
      <c r="CR162" s="36">
        <f>+CS162/CS$173</f>
        <v>0.15619747899159664</v>
      </c>
      <c r="CS162" s="8">
        <f t="shared" ref="CS162:CS164" si="157">CS63</f>
        <v>1487</v>
      </c>
      <c r="CT162" s="38">
        <f>CT$63</f>
        <v>2860</v>
      </c>
      <c r="CU162" s="1387"/>
      <c r="CV162" s="36">
        <f>+CW162/CW$173</f>
        <v>0.15326295585412669</v>
      </c>
      <c r="CW162" s="8">
        <f t="shared" ref="CW162:CW164" si="158">CW63</f>
        <v>1597</v>
      </c>
      <c r="CX162" s="38">
        <f>CX$63</f>
        <v>3028</v>
      </c>
      <c r="CY162" s="1387"/>
      <c r="CZ162" s="36">
        <f>+DA162/DA$173</f>
        <v>0.20340871115071851</v>
      </c>
      <c r="DA162" s="8">
        <f t="shared" ref="DA162:DA164" si="159">DA63</f>
        <v>1826</v>
      </c>
      <c r="DB162" s="38">
        <f>DB$63</f>
        <v>3459</v>
      </c>
      <c r="DC162" s="1387"/>
      <c r="DD162" s="36">
        <f ca="1">+DE162/DE$173</f>
        <v>0.20440391459074733</v>
      </c>
      <c r="DE162" s="8">
        <f t="shared" ref="DE162:DE164" si="160">DE63</f>
        <v>1838</v>
      </c>
      <c r="DF162" s="38">
        <f>DF$63</f>
        <v>3507</v>
      </c>
      <c r="DG162" s="1387"/>
      <c r="DH162" s="36">
        <f>+DI162/DI$173</f>
        <v>0.19685051148471797</v>
      </c>
      <c r="DI162" s="8">
        <f t="shared" ref="DI162:DI164" si="161">DI63</f>
        <v>1961.8562328900316</v>
      </c>
      <c r="DJ162" s="8">
        <f>+DF162*(1+DK162)</f>
        <v>4027.8562328900316</v>
      </c>
      <c r="DK162" s="53">
        <f>DK149</f>
        <v>0.14851902848304288</v>
      </c>
      <c r="DN162" s="8">
        <f>+DJ162*(1+DO162)</f>
        <v>4298.8886891392704</v>
      </c>
      <c r="DO162" s="53">
        <f>DO149</f>
        <v>6.7289506024590606E-2</v>
      </c>
      <c r="DR162" s="8">
        <f>+DN162*(1+DS162)</f>
        <v>4620.1745173571944</v>
      </c>
      <c r="DS162" s="53">
        <f>DS149</f>
        <v>7.4736949814407039E-2</v>
      </c>
    </row>
    <row r="163" spans="1:123" ht="14.4" thickBot="1">
      <c r="A163" s="1" t="s">
        <v>23</v>
      </c>
      <c r="BF163" s="38">
        <f>BF$64</f>
        <v>938.66300000000001</v>
      </c>
      <c r="BH163" s="8">
        <f t="shared" si="147"/>
        <v>499</v>
      </c>
      <c r="BI163" s="8">
        <f t="shared" si="147"/>
        <v>518</v>
      </c>
      <c r="BJ163" s="38">
        <f>BJ$64</f>
        <v>1017</v>
      </c>
      <c r="BL163" s="8">
        <f t="shared" si="148"/>
        <v>628</v>
      </c>
      <c r="BM163" s="8">
        <f t="shared" si="148"/>
        <v>660</v>
      </c>
      <c r="BN163" s="38">
        <f>BN$64</f>
        <v>1288</v>
      </c>
      <c r="BP163" s="8">
        <f t="shared" si="149"/>
        <v>650</v>
      </c>
      <c r="BQ163" s="8">
        <f t="shared" si="149"/>
        <v>738</v>
      </c>
      <c r="BR163" s="38">
        <f>BR$64</f>
        <v>1388</v>
      </c>
      <c r="BT163" s="8">
        <f t="shared" si="150"/>
        <v>791</v>
      </c>
      <c r="BU163" s="8">
        <f t="shared" si="150"/>
        <v>791</v>
      </c>
      <c r="BV163" s="38">
        <f>BV$64</f>
        <v>1582</v>
      </c>
      <c r="BX163" s="8">
        <f t="shared" si="151"/>
        <v>794</v>
      </c>
      <c r="BY163" s="8">
        <f t="shared" si="151"/>
        <v>786</v>
      </c>
      <c r="BZ163" s="38">
        <f>BZ$64</f>
        <v>1580</v>
      </c>
      <c r="CB163" s="8">
        <f>CB64</f>
        <v>804</v>
      </c>
      <c r="CC163" s="8">
        <f t="shared" ref="CC163" si="162">CC64</f>
        <v>786</v>
      </c>
      <c r="CD163" s="38">
        <f>CD$64</f>
        <v>1590</v>
      </c>
      <c r="CG163" s="8">
        <f t="shared" si="153"/>
        <v>916</v>
      </c>
      <c r="CH163" s="38">
        <f>CH$64</f>
        <v>1815</v>
      </c>
      <c r="CK163" s="8">
        <f t="shared" si="154"/>
        <v>1086</v>
      </c>
      <c r="CL163" s="38">
        <f>CL$64</f>
        <v>2053</v>
      </c>
      <c r="CO163" s="8">
        <f t="shared" si="155"/>
        <v>1026</v>
      </c>
      <c r="CP163" s="38">
        <f>CP$64</f>
        <v>2011</v>
      </c>
      <c r="CQ163" s="1387">
        <f t="shared" si="156"/>
        <v>0.14258314650236292</v>
      </c>
      <c r="CR163" s="36">
        <f t="shared" ref="CR163:CR172" si="163">+CS163/CS$173</f>
        <v>0.14936974789915966</v>
      </c>
      <c r="CS163" s="8">
        <f t="shared" si="157"/>
        <v>1422</v>
      </c>
      <c r="CT163" s="38">
        <f>CT$64</f>
        <v>2796</v>
      </c>
      <c r="CU163" s="1387"/>
      <c r="CV163" s="36">
        <f t="shared" ref="CV163:CV172" si="164">+CW163/CW$173</f>
        <v>0.13579654510556621</v>
      </c>
      <c r="CW163" s="8">
        <f t="shared" si="158"/>
        <v>1415</v>
      </c>
      <c r="CX163" s="38">
        <f>CX$64</f>
        <v>2804</v>
      </c>
      <c r="CY163" s="1387"/>
      <c r="CZ163" s="36">
        <f t="shared" ref="CZ163:CZ172" si="165">+DA163/DA$173</f>
        <v>0.16464297649548848</v>
      </c>
      <c r="DA163" s="8">
        <f t="shared" si="159"/>
        <v>1478</v>
      </c>
      <c r="DB163" s="38">
        <f>DB$64</f>
        <v>2895</v>
      </c>
      <c r="DC163" s="1387"/>
      <c r="DD163" s="36">
        <f t="shared" ref="DD163:DD172" ca="1" si="166">+DE163/DE$173</f>
        <v>0.16681494661921709</v>
      </c>
      <c r="DE163" s="8">
        <f t="shared" ca="1" si="160"/>
        <v>1500</v>
      </c>
      <c r="DF163" s="38">
        <f ca="1">DF$64</f>
        <v>2948</v>
      </c>
      <c r="DG163" s="1387"/>
      <c r="DH163" s="36">
        <f t="shared" ref="DH163:DH172" si="167">+DI163/DI$173</f>
        <v>0.12691585799081884</v>
      </c>
      <c r="DI163" s="8">
        <f t="shared" si="161"/>
        <v>1264.8718317971143</v>
      </c>
      <c r="DJ163" s="8">
        <f>+DJ164*1000*DJ$66</f>
        <v>3115.85247980548</v>
      </c>
      <c r="DK163" s="64">
        <f ca="1">+DJ163/DF163-1</f>
        <v>5.6937747559525187E-2</v>
      </c>
      <c r="DN163" s="8">
        <f>+DN164*1000*DN$66</f>
        <v>3698.868593721219</v>
      </c>
      <c r="DO163" s="64">
        <f>+DN163/DJ163-1</f>
        <v>0.18711287446834968</v>
      </c>
      <c r="DR163" s="8">
        <f>+DR164*1000*DR$66</f>
        <v>4142.2027060857417</v>
      </c>
      <c r="DS163" s="64">
        <f>+DR163/DN163-1</f>
        <v>0.11985668080155021</v>
      </c>
    </row>
    <row r="164" spans="1:123" ht="14.4" thickBot="1">
      <c r="A164" s="3" t="s">
        <v>49</v>
      </c>
      <c r="BF164" s="63">
        <f>BF$65</f>
        <v>320.06849999999997</v>
      </c>
      <c r="BH164" s="51">
        <f t="shared" si="147"/>
        <v>330.82350000000002</v>
      </c>
      <c r="BI164" s="51">
        <f t="shared" si="147"/>
        <v>340.15</v>
      </c>
      <c r="BJ164" s="63">
        <f>BJ$65</f>
        <v>335.48674999999997</v>
      </c>
      <c r="BL164" s="51">
        <f t="shared" si="148"/>
        <v>362.1</v>
      </c>
      <c r="BM164" s="51">
        <f t="shared" si="148"/>
        <v>402.75</v>
      </c>
      <c r="BN164" s="63">
        <f>BN$65</f>
        <v>382.42500000000001</v>
      </c>
      <c r="BP164" s="51">
        <f t="shared" si="149"/>
        <v>424.05</v>
      </c>
      <c r="BQ164" s="51">
        <f t="shared" si="149"/>
        <v>453.65</v>
      </c>
      <c r="BR164" s="63">
        <f>BR$65</f>
        <v>438.85</v>
      </c>
      <c r="BT164" s="51">
        <f t="shared" si="150"/>
        <v>493.15</v>
      </c>
      <c r="BU164" s="51">
        <f t="shared" si="150"/>
        <v>489.6</v>
      </c>
      <c r="BV164" s="63">
        <f>BV$65</f>
        <v>491.375</v>
      </c>
      <c r="BX164" s="51">
        <f t="shared" si="151"/>
        <v>484.1</v>
      </c>
      <c r="BY164" s="51">
        <f t="shared" si="151"/>
        <v>485.65</v>
      </c>
      <c r="BZ164" s="63">
        <f>BZ$65</f>
        <v>484.875</v>
      </c>
      <c r="CB164" s="51">
        <f>CB65</f>
        <v>475.95</v>
      </c>
      <c r="CC164" s="51">
        <f t="shared" ref="CC164" si="168">CC65</f>
        <v>483.5</v>
      </c>
      <c r="CD164" s="63">
        <f>CD$65</f>
        <v>479.72500000000002</v>
      </c>
      <c r="CG164" s="51">
        <f t="shared" si="153"/>
        <v>549.35</v>
      </c>
      <c r="CH164" s="63">
        <f>CH$65</f>
        <v>535.625</v>
      </c>
      <c r="CK164" s="51">
        <f t="shared" si="154"/>
        <v>579.85</v>
      </c>
      <c r="CL164" s="63">
        <f>CL$65</f>
        <v>567.92499999999995</v>
      </c>
      <c r="CO164" s="51">
        <f t="shared" si="155"/>
        <v>558.54999999999995</v>
      </c>
      <c r="CP164" s="63">
        <f>CP$65</f>
        <v>567.42499999999995</v>
      </c>
      <c r="CQ164" s="1387">
        <f t="shared" si="156"/>
        <v>8.1202040557105754E-2</v>
      </c>
      <c r="CR164" s="36">
        <f t="shared" si="163"/>
        <v>8.0278361344537821E-2</v>
      </c>
      <c r="CS164" s="51">
        <f t="shared" si="157"/>
        <v>764.25</v>
      </c>
      <c r="CT164" s="63">
        <f>CT$65</f>
        <v>706.55</v>
      </c>
      <c r="CU164" s="1387"/>
      <c r="CV164" s="36">
        <f t="shared" si="164"/>
        <v>8.21257197696737E-2</v>
      </c>
      <c r="CW164" s="51">
        <f t="shared" si="158"/>
        <v>855.75</v>
      </c>
      <c r="CX164" s="63">
        <f>CX$65</f>
        <v>834.35</v>
      </c>
      <c r="CY164" s="1387"/>
      <c r="CZ164" s="36">
        <f t="shared" si="165"/>
        <v>0.10194385652222346</v>
      </c>
      <c r="DA164" s="51">
        <f t="shared" si="159"/>
        <v>915.15</v>
      </c>
      <c r="DB164" s="63">
        <f>DB$65</f>
        <v>900.22500000000002</v>
      </c>
      <c r="DC164" s="1387"/>
      <c r="DD164" s="36">
        <f t="shared" ca="1" si="166"/>
        <v>0.10330293594306049</v>
      </c>
      <c r="DE164" s="51">
        <f t="shared" si="160"/>
        <v>928.9</v>
      </c>
      <c r="DF164" s="63">
        <f>DF$65</f>
        <v>928.22500000000002</v>
      </c>
      <c r="DG164" s="1387"/>
      <c r="DH164" s="36">
        <f t="shared" si="167"/>
        <v>8.4981260255201946E-2</v>
      </c>
      <c r="DI164" s="51">
        <f t="shared" si="161"/>
        <v>846.94224999999994</v>
      </c>
      <c r="DJ164" s="51">
        <f>+DF164*(1+DK164)</f>
        <v>1021.0475000000001</v>
      </c>
      <c r="DK164" s="53">
        <f>DK150</f>
        <v>0.1</v>
      </c>
      <c r="DN164" s="51">
        <f>+DJ164*(1+DO164)</f>
        <v>1174.2046250000001</v>
      </c>
      <c r="DO164" s="53">
        <f>DO150</f>
        <v>0.15</v>
      </c>
      <c r="DR164" s="51">
        <f>+DN164*(1+DS164)</f>
        <v>1350.3353187499999</v>
      </c>
      <c r="DS164" s="53">
        <f>DS150</f>
        <v>0.15</v>
      </c>
    </row>
    <row r="165" spans="1:123" ht="14.4" thickBot="1">
      <c r="A165" s="1" t="s">
        <v>24</v>
      </c>
      <c r="BF165" s="38">
        <f>BF$67</f>
        <v>130</v>
      </c>
      <c r="BH165" s="8">
        <f t="shared" ref="BH165:BI178" si="169">BH67</f>
        <v>76</v>
      </c>
      <c r="BI165" s="8">
        <f t="shared" si="169"/>
        <v>88</v>
      </c>
      <c r="BJ165" s="38">
        <f>BJ$67</f>
        <v>164</v>
      </c>
      <c r="BL165" s="8">
        <f t="shared" ref="BL165:BM178" si="170">BL67</f>
        <v>76</v>
      </c>
      <c r="BM165" s="8">
        <f t="shared" si="170"/>
        <v>142</v>
      </c>
      <c r="BN165" s="38">
        <f>BN$67</f>
        <v>218</v>
      </c>
      <c r="BP165" s="8">
        <f t="shared" ref="BP165:BQ178" si="171">BP67</f>
        <v>373</v>
      </c>
      <c r="BQ165" s="8">
        <f t="shared" si="171"/>
        <v>294</v>
      </c>
      <c r="BR165" s="38">
        <f>BR$67</f>
        <v>667</v>
      </c>
      <c r="BT165" s="8">
        <f t="shared" ref="BT165:BU178" si="172">BT67</f>
        <v>629</v>
      </c>
      <c r="BU165" s="8">
        <f t="shared" si="172"/>
        <v>85</v>
      </c>
      <c r="BV165" s="38">
        <f>BV$67</f>
        <v>714</v>
      </c>
      <c r="BX165" s="8">
        <f t="shared" ref="BX165:BY178" si="173">BX67</f>
        <v>170</v>
      </c>
      <c r="BY165" s="8">
        <f t="shared" si="173"/>
        <v>94</v>
      </c>
      <c r="BZ165" s="38">
        <f>BZ$67</f>
        <v>264</v>
      </c>
      <c r="CB165" s="8">
        <f t="shared" ref="CB165:CC178" si="174">CB67</f>
        <v>537</v>
      </c>
      <c r="CC165" s="8">
        <f t="shared" si="174"/>
        <v>58</v>
      </c>
      <c r="CD165" s="38">
        <f>CD$67</f>
        <v>595</v>
      </c>
      <c r="CG165" s="8">
        <f t="shared" ref="CG165" si="175">CG67</f>
        <v>577</v>
      </c>
      <c r="CH165" s="38">
        <f>CH$67</f>
        <v>859</v>
      </c>
      <c r="CK165" s="8">
        <f t="shared" ref="CK165:CK178" si="176">CK67</f>
        <v>275</v>
      </c>
      <c r="CL165" s="38">
        <f>CL$67</f>
        <v>821</v>
      </c>
      <c r="CO165" s="8">
        <f t="shared" ref="CO165:CO178" si="177">CO67</f>
        <v>247</v>
      </c>
      <c r="CP165" s="38">
        <f>CP$67</f>
        <v>660</v>
      </c>
      <c r="CQ165" s="1387">
        <f>+AVERAGE(CR165,CV165)</f>
        <v>3.3282593267633345E-2</v>
      </c>
      <c r="CR165" s="36">
        <f t="shared" si="163"/>
        <v>2.2899159663865545E-2</v>
      </c>
      <c r="CS165" s="8">
        <f t="shared" ref="CS165:CS178" si="178">CS67</f>
        <v>218</v>
      </c>
      <c r="CT165" s="38">
        <f>CT$67</f>
        <v>395</v>
      </c>
      <c r="CU165" s="1387"/>
      <c r="CV165" s="36">
        <f t="shared" si="164"/>
        <v>4.3666026871401149E-2</v>
      </c>
      <c r="CW165" s="8">
        <f t="shared" ref="CW165:CW178" si="179">CW67</f>
        <v>455</v>
      </c>
      <c r="CX165" s="38">
        <f>CX$67</f>
        <v>692</v>
      </c>
      <c r="CY165" s="1387"/>
      <c r="CZ165" s="36">
        <f t="shared" si="165"/>
        <v>4.4112732538710037E-2</v>
      </c>
      <c r="DA165" s="8">
        <f t="shared" ref="DA165:DA178" si="180">DA67</f>
        <v>396</v>
      </c>
      <c r="DB165" s="38">
        <f>DB$67</f>
        <v>632</v>
      </c>
      <c r="DC165" s="1387"/>
      <c r="DD165" s="36">
        <f t="shared" ca="1" si="166"/>
        <v>4.826512455516014E-2</v>
      </c>
      <c r="DE165" s="8">
        <f t="shared" ref="DE165:DE178" ca="1" si="181">DE67</f>
        <v>434</v>
      </c>
      <c r="DF165" s="38">
        <f ca="1">DF$67</f>
        <v>837</v>
      </c>
      <c r="DG165" s="1387"/>
      <c r="DH165" s="36">
        <f t="shared" si="167"/>
        <v>6.9025466003686142E-2</v>
      </c>
      <c r="DI165" s="8">
        <f t="shared" ref="DI165:DI178" si="182">DI67</f>
        <v>687.9232351803339</v>
      </c>
      <c r="DJ165" s="54">
        <f>DK151</f>
        <v>1877.1002057344342</v>
      </c>
      <c r="DK165" s="10">
        <f ca="1">+DJ165/DF165-1</f>
        <v>1.242652575548906</v>
      </c>
      <c r="DN165" s="54">
        <f>DO151</f>
        <v>1674.3013503955549</v>
      </c>
      <c r="DO165" s="10">
        <f>+DN165/DJ165-1</f>
        <v>-0.1080383746799134</v>
      </c>
      <c r="DR165" s="54">
        <f>DS151</f>
        <v>1793.4094294289855</v>
      </c>
      <c r="DS165" s="10">
        <f>+DR165/DN165-1</f>
        <v>7.1138973282970364E-2</v>
      </c>
    </row>
    <row r="166" spans="1:123" ht="14.4" thickBot="1">
      <c r="A166" s="1" t="s">
        <v>25</v>
      </c>
      <c r="BF166" s="38">
        <f>BF$68</f>
        <v>682</v>
      </c>
      <c r="BH166" s="8">
        <f t="shared" si="169"/>
        <v>327</v>
      </c>
      <c r="BI166" s="8">
        <f t="shared" si="169"/>
        <v>327</v>
      </c>
      <c r="BJ166" s="38">
        <f>BJ$68</f>
        <v>654</v>
      </c>
      <c r="BL166" s="8">
        <f t="shared" si="170"/>
        <v>357</v>
      </c>
      <c r="BM166" s="8">
        <f t="shared" si="170"/>
        <v>452</v>
      </c>
      <c r="BN166" s="38">
        <f>BN$68</f>
        <v>809</v>
      </c>
      <c r="BP166" s="8">
        <f t="shared" si="171"/>
        <v>429</v>
      </c>
      <c r="BQ166" s="8">
        <f t="shared" si="171"/>
        <v>544</v>
      </c>
      <c r="BR166" s="38">
        <f>BR$68</f>
        <v>973</v>
      </c>
      <c r="BT166" s="8">
        <f t="shared" si="172"/>
        <v>537</v>
      </c>
      <c r="BU166" s="8">
        <f t="shared" si="172"/>
        <v>425</v>
      </c>
      <c r="BV166" s="38">
        <f>BV$68</f>
        <v>962</v>
      </c>
      <c r="BX166" s="8">
        <f t="shared" si="173"/>
        <v>471</v>
      </c>
      <c r="BY166" s="8">
        <f t="shared" si="173"/>
        <v>492</v>
      </c>
      <c r="BZ166" s="38">
        <f>BZ$68</f>
        <v>963</v>
      </c>
      <c r="CB166" s="8">
        <f t="shared" si="174"/>
        <v>458</v>
      </c>
      <c r="CC166" s="8">
        <f t="shared" si="174"/>
        <v>462</v>
      </c>
      <c r="CD166" s="38">
        <f>CD$68</f>
        <v>920</v>
      </c>
      <c r="CG166" s="8">
        <f t="shared" ref="CG166" si="183">CG68</f>
        <v>433</v>
      </c>
      <c r="CH166" s="38">
        <f>CH$68</f>
        <v>1006</v>
      </c>
      <c r="CK166" s="8">
        <f t="shared" si="176"/>
        <v>578</v>
      </c>
      <c r="CL166" s="38">
        <f>CL$68</f>
        <v>1060</v>
      </c>
      <c r="CO166" s="8">
        <f t="shared" si="177"/>
        <v>445</v>
      </c>
      <c r="CP166" s="38">
        <f>CP$68</f>
        <v>858</v>
      </c>
      <c r="CQ166" s="1387">
        <f t="shared" ref="CQ166:CQ172" si="184">+AVERAGE(CR166,CV166)</f>
        <v>6.6188869981773896E-2</v>
      </c>
      <c r="CR166" s="36">
        <f t="shared" si="163"/>
        <v>7.9306722689075626E-2</v>
      </c>
      <c r="CS166" s="8">
        <f t="shared" si="178"/>
        <v>755</v>
      </c>
      <c r="CT166" s="38">
        <f>CT$68</f>
        <v>1373</v>
      </c>
      <c r="CU166" s="1387"/>
      <c r="CV166" s="36">
        <f t="shared" si="164"/>
        <v>5.3071017274472172E-2</v>
      </c>
      <c r="CW166" s="8">
        <f t="shared" si="179"/>
        <v>553</v>
      </c>
      <c r="CX166" s="38">
        <f>CX$68</f>
        <v>991</v>
      </c>
      <c r="CY166" s="1387"/>
      <c r="CZ166" s="36">
        <f t="shared" si="165"/>
        <v>3.7317589395120865E-2</v>
      </c>
      <c r="DA166" s="8">
        <f t="shared" si="180"/>
        <v>335</v>
      </c>
      <c r="DB166" s="38">
        <f>DB$68</f>
        <v>743</v>
      </c>
      <c r="DC166" s="1387"/>
      <c r="DD166" s="36">
        <f t="shared" ca="1" si="166"/>
        <v>5.5938612099644125E-2</v>
      </c>
      <c r="DE166" s="8">
        <f t="shared" ca="1" si="181"/>
        <v>503</v>
      </c>
      <c r="DF166" s="38">
        <f ca="1">DF$68</f>
        <v>916</v>
      </c>
      <c r="DG166" s="1387"/>
      <c r="DH166" s="36">
        <f t="shared" si="167"/>
        <v>5.8357108721905721E-2</v>
      </c>
      <c r="DI166" s="8">
        <f t="shared" si="182"/>
        <v>581.6</v>
      </c>
      <c r="DJ166" s="8">
        <f ca="1">+DF166*(1+DK166)</f>
        <v>1190.8</v>
      </c>
      <c r="DK166" s="53">
        <f>DK152</f>
        <v>0.3</v>
      </c>
      <c r="DN166" s="8">
        <f ca="1">+DJ166*(1+DO166)</f>
        <v>1309.8800000000001</v>
      </c>
      <c r="DO166" s="53">
        <f>DO152</f>
        <v>0.1</v>
      </c>
      <c r="DR166" s="8">
        <f ca="1">+DN166*(1+DS166)</f>
        <v>1440.8680000000002</v>
      </c>
      <c r="DS166" s="53">
        <f>DS152</f>
        <v>0.1</v>
      </c>
    </row>
    <row r="167" spans="1:123" ht="14.4" thickBot="1">
      <c r="A167" s="1" t="s">
        <v>26</v>
      </c>
      <c r="BF167" s="38">
        <f>BF$69</f>
        <v>906.5</v>
      </c>
      <c r="BH167" s="8">
        <f t="shared" si="169"/>
        <v>394</v>
      </c>
      <c r="BI167" s="8">
        <f t="shared" si="169"/>
        <v>417</v>
      </c>
      <c r="BJ167" s="38">
        <f>BJ$69</f>
        <v>811</v>
      </c>
      <c r="BL167" s="8">
        <f t="shared" si="170"/>
        <v>469</v>
      </c>
      <c r="BM167" s="8">
        <f t="shared" si="170"/>
        <v>438</v>
      </c>
      <c r="BN167" s="38">
        <f>BN$69</f>
        <v>907</v>
      </c>
      <c r="BP167" s="8">
        <f t="shared" si="171"/>
        <v>396</v>
      </c>
      <c r="BQ167" s="8">
        <f t="shared" si="171"/>
        <v>440</v>
      </c>
      <c r="BR167" s="38">
        <f>BR$69</f>
        <v>836</v>
      </c>
      <c r="BT167" s="8">
        <f t="shared" si="172"/>
        <v>461</v>
      </c>
      <c r="BU167" s="8">
        <f t="shared" si="172"/>
        <v>427</v>
      </c>
      <c r="BV167" s="38">
        <f>BV$69</f>
        <v>888</v>
      </c>
      <c r="BX167" s="8">
        <f t="shared" si="173"/>
        <v>419</v>
      </c>
      <c r="BY167" s="8">
        <f t="shared" si="173"/>
        <v>394</v>
      </c>
      <c r="BZ167" s="38">
        <f>BZ$69</f>
        <v>813</v>
      </c>
      <c r="CB167" s="8">
        <f t="shared" si="174"/>
        <v>386</v>
      </c>
      <c r="CC167" s="8">
        <f t="shared" si="174"/>
        <v>388</v>
      </c>
      <c r="CD167" s="38">
        <f>CD$69</f>
        <v>774</v>
      </c>
      <c r="CG167" s="8">
        <f t="shared" ref="CG167" si="185">CG69</f>
        <v>459</v>
      </c>
      <c r="CH167" s="38">
        <f>CH$69</f>
        <v>932</v>
      </c>
      <c r="CK167" s="8">
        <f t="shared" si="176"/>
        <v>458</v>
      </c>
      <c r="CL167" s="38">
        <f>CL$69</f>
        <v>870</v>
      </c>
      <c r="CO167" s="8">
        <f t="shared" si="177"/>
        <v>415</v>
      </c>
      <c r="CP167" s="38">
        <f>CP$69</f>
        <v>816</v>
      </c>
      <c r="CQ167" s="1387">
        <f t="shared" si="184"/>
        <v>3.9189341763576829E-2</v>
      </c>
      <c r="CR167" s="36">
        <f t="shared" si="163"/>
        <v>4.4117647058823532E-2</v>
      </c>
      <c r="CS167" s="8">
        <f t="shared" si="178"/>
        <v>420</v>
      </c>
      <c r="CT167" s="38">
        <f>CT$69</f>
        <v>801</v>
      </c>
      <c r="CU167" s="1387"/>
      <c r="CV167" s="36">
        <f t="shared" si="164"/>
        <v>3.4261036468330133E-2</v>
      </c>
      <c r="CW167" s="8">
        <f t="shared" si="179"/>
        <v>357</v>
      </c>
      <c r="CX167" s="38">
        <f>CX$69</f>
        <v>715</v>
      </c>
      <c r="CY167" s="1387"/>
      <c r="CZ167" s="36">
        <f t="shared" si="165"/>
        <v>4.6117856745015041E-2</v>
      </c>
      <c r="DA167" s="8">
        <f t="shared" si="180"/>
        <v>414</v>
      </c>
      <c r="DB167" s="38">
        <f>DB$69</f>
        <v>791</v>
      </c>
      <c r="DC167" s="1387"/>
      <c r="DD167" s="36">
        <f t="shared" ca="1" si="166"/>
        <v>4.826512455516014E-2</v>
      </c>
      <c r="DE167" s="8">
        <f t="shared" ca="1" si="181"/>
        <v>434</v>
      </c>
      <c r="DF167" s="38">
        <f ca="1">DF$69</f>
        <v>863</v>
      </c>
      <c r="DG167" s="1387"/>
      <c r="DH167" s="36">
        <f t="shared" si="167"/>
        <v>4.2810097234260429E-2</v>
      </c>
      <c r="DI167" s="8">
        <f t="shared" si="182"/>
        <v>426.65500564971751</v>
      </c>
      <c r="DJ167" s="8">
        <f ca="1">+DF167*(1+DK167)</f>
        <v>949.30000000000007</v>
      </c>
      <c r="DK167" s="53">
        <f>DK153</f>
        <v>0.1</v>
      </c>
      <c r="DN167" s="8">
        <f ca="1">+DJ167*(1+DO167)</f>
        <v>1044.2300000000002</v>
      </c>
      <c r="DO167" s="53">
        <f>DO153</f>
        <v>0.1</v>
      </c>
      <c r="DR167" s="8">
        <f ca="1">+DN167*(1+DS167)</f>
        <v>1148.6530000000005</v>
      </c>
      <c r="DS167" s="53">
        <f>DS153</f>
        <v>0.1</v>
      </c>
    </row>
    <row r="168" spans="1:123">
      <c r="A168" s="1" t="s">
        <v>27</v>
      </c>
      <c r="BF168" s="38">
        <f>BF$70</f>
        <v>706.5</v>
      </c>
      <c r="BH168" s="8">
        <f t="shared" si="169"/>
        <v>340</v>
      </c>
      <c r="BI168" s="8">
        <f t="shared" si="169"/>
        <v>393</v>
      </c>
      <c r="BJ168" s="38">
        <f>BJ$70</f>
        <v>733</v>
      </c>
      <c r="BL168" s="8">
        <f t="shared" si="170"/>
        <v>308</v>
      </c>
      <c r="BM168" s="8">
        <f t="shared" si="170"/>
        <v>325</v>
      </c>
      <c r="BN168" s="38">
        <f>BN$70</f>
        <v>633</v>
      </c>
      <c r="BP168" s="8">
        <f t="shared" si="171"/>
        <v>319</v>
      </c>
      <c r="BQ168" s="8">
        <f t="shared" si="171"/>
        <v>556</v>
      </c>
      <c r="BR168" s="38">
        <f>BR$70</f>
        <v>875</v>
      </c>
      <c r="BT168" s="8">
        <f t="shared" si="172"/>
        <v>376</v>
      </c>
      <c r="BU168" s="8">
        <f t="shared" si="172"/>
        <v>340</v>
      </c>
      <c r="BV168" s="38">
        <f>BV$70</f>
        <v>716</v>
      </c>
      <c r="BX168" s="8">
        <f t="shared" si="173"/>
        <v>349</v>
      </c>
      <c r="BY168" s="8">
        <f t="shared" si="173"/>
        <v>362</v>
      </c>
      <c r="BZ168" s="38">
        <f>BZ$70</f>
        <v>711</v>
      </c>
      <c r="CB168" s="8">
        <f t="shared" si="174"/>
        <v>383</v>
      </c>
      <c r="CC168" s="8">
        <f t="shared" si="174"/>
        <v>408</v>
      </c>
      <c r="CD168" s="38">
        <f>CD$70</f>
        <v>791</v>
      </c>
      <c r="CG168" s="8">
        <f t="shared" ref="CG168" si="186">CG70</f>
        <v>480</v>
      </c>
      <c r="CH168" s="38">
        <f>CH$70</f>
        <v>914</v>
      </c>
      <c r="CK168" s="8">
        <f t="shared" si="176"/>
        <v>566</v>
      </c>
      <c r="CL168" s="38">
        <f>CL$70</f>
        <v>1033</v>
      </c>
      <c r="CO168" s="8">
        <f t="shared" si="177"/>
        <v>430</v>
      </c>
      <c r="CP168" s="38">
        <f>CP$70</f>
        <v>831</v>
      </c>
      <c r="CQ168" s="1387">
        <f t="shared" si="184"/>
        <v>5.9674349586283648E-2</v>
      </c>
      <c r="CR168" s="36">
        <f t="shared" si="163"/>
        <v>6.5126050420168072E-2</v>
      </c>
      <c r="CS168" s="8">
        <f t="shared" si="178"/>
        <v>620</v>
      </c>
      <c r="CT168" s="38">
        <f>CT$70</f>
        <v>1522</v>
      </c>
      <c r="CU168" s="1387"/>
      <c r="CV168" s="36">
        <f t="shared" si="164"/>
        <v>5.4222648752399231E-2</v>
      </c>
      <c r="CW168" s="8">
        <f t="shared" si="179"/>
        <v>565</v>
      </c>
      <c r="CX168" s="38">
        <f>CX$70</f>
        <v>1198</v>
      </c>
      <c r="CY168" s="1387"/>
      <c r="CZ168" s="36">
        <f t="shared" si="165"/>
        <v>6.7171660911217554E-2</v>
      </c>
      <c r="DA168" s="8">
        <f t="shared" si="180"/>
        <v>603</v>
      </c>
      <c r="DB168" s="38">
        <f>DB$70</f>
        <v>1188</v>
      </c>
      <c r="DC168" s="1387"/>
      <c r="DD168" s="36">
        <f t="shared" ca="1" si="166"/>
        <v>6.8838967971530246E-2</v>
      </c>
      <c r="DE168" s="8">
        <f t="shared" ca="1" si="181"/>
        <v>619</v>
      </c>
      <c r="DF168" s="38">
        <f ca="1">DF$70</f>
        <v>1226</v>
      </c>
      <c r="DG168" s="1387"/>
      <c r="DH168" s="36">
        <f t="shared" si="167"/>
        <v>6.5624153545638247E-2</v>
      </c>
      <c r="DI168" s="8">
        <f t="shared" si="182"/>
        <v>654.02499435028244</v>
      </c>
      <c r="DJ168" s="8">
        <f>DJ$70</f>
        <v>1280.0249943502824</v>
      </c>
      <c r="DK168" s="8">
        <f>+DG168*(1+ED168)</f>
        <v>0</v>
      </c>
      <c r="DN168" s="8">
        <f>DN$70</f>
        <v>1374.9417216225988</v>
      </c>
      <c r="DO168" s="8">
        <f>+DK168*(1+EH168)</f>
        <v>0</v>
      </c>
      <c r="DR168" s="8">
        <f>DR$70</f>
        <v>1452.9241553406775</v>
      </c>
      <c r="DS168" s="8">
        <f>+DO168*(1+EL168)</f>
        <v>0</v>
      </c>
    </row>
    <row r="169" spans="1:123">
      <c r="A169" s="1" t="s">
        <v>761</v>
      </c>
      <c r="BF169" s="8">
        <f>+BF163+BF165+BF166+BF167+BF168</f>
        <v>3363.663</v>
      </c>
      <c r="BH169" s="8">
        <f t="shared" si="169"/>
        <v>1636</v>
      </c>
      <c r="BI169" s="8">
        <f t="shared" si="169"/>
        <v>1743</v>
      </c>
      <c r="BJ169" s="8">
        <f>+BJ163+BJ165+BJ166+BJ167+BJ168</f>
        <v>3379</v>
      </c>
      <c r="BL169" s="8">
        <f t="shared" si="170"/>
        <v>1838</v>
      </c>
      <c r="BM169" s="8">
        <f t="shared" si="170"/>
        <v>2017</v>
      </c>
      <c r="BN169" s="8">
        <f>+BN163+BN165+BN166+BN167+BN168</f>
        <v>3855</v>
      </c>
      <c r="BP169" s="8">
        <f t="shared" si="171"/>
        <v>2167</v>
      </c>
      <c r="BQ169" s="8">
        <f t="shared" si="171"/>
        <v>2572</v>
      </c>
      <c r="BR169" s="8">
        <f>+BR163+BR165+BR166+BR167+BR168</f>
        <v>4739</v>
      </c>
      <c r="BT169" s="8">
        <f t="shared" si="172"/>
        <v>2794</v>
      </c>
      <c r="BU169" s="8">
        <f t="shared" si="172"/>
        <v>2068</v>
      </c>
      <c r="BV169" s="8">
        <f>+BV163+BV165+BV166+BV167+BV168</f>
        <v>4862</v>
      </c>
      <c r="BX169" s="8">
        <f t="shared" si="173"/>
        <v>2203</v>
      </c>
      <c r="BY169" s="8">
        <f t="shared" si="173"/>
        <v>2128</v>
      </c>
      <c r="BZ169" s="8">
        <f>+BZ163+BZ165+BZ166+BZ167+BZ168</f>
        <v>4331</v>
      </c>
      <c r="CB169" s="8">
        <f t="shared" si="174"/>
        <v>2568</v>
      </c>
      <c r="CC169" s="8">
        <f t="shared" si="174"/>
        <v>2102</v>
      </c>
      <c r="CD169" s="8">
        <f>+CD163+CD165+CD166+CD167+CD168</f>
        <v>4670</v>
      </c>
      <c r="CG169" s="8">
        <f t="shared" ref="CG169" si="187">CG71</f>
        <v>2865</v>
      </c>
      <c r="CH169" s="8">
        <f>+CH163+CH165+CH166+CH167+CH168</f>
        <v>5526</v>
      </c>
      <c r="CK169" s="8">
        <f t="shared" si="176"/>
        <v>2963</v>
      </c>
      <c r="CL169" s="8">
        <f>+CL163+CL165+CL166+CL167+CL168</f>
        <v>5837</v>
      </c>
      <c r="CO169" s="8">
        <f t="shared" si="177"/>
        <v>2563</v>
      </c>
      <c r="CP169" s="8">
        <f>+CP163+CP165+CP166+CP167+CP168</f>
        <v>5176</v>
      </c>
      <c r="CQ169" s="1387">
        <f t="shared" si="184"/>
        <v>0.34091830110163068</v>
      </c>
      <c r="CR169" s="36">
        <f t="shared" si="163"/>
        <v>0.36081932773109243</v>
      </c>
      <c r="CS169" s="8">
        <f t="shared" si="178"/>
        <v>3435</v>
      </c>
      <c r="CT169" s="8">
        <f>+CT163+CT165+CT166+CT167+CT168</f>
        <v>6887</v>
      </c>
      <c r="CU169" s="1387"/>
      <c r="CV169" s="36">
        <f t="shared" si="164"/>
        <v>0.32101727447216888</v>
      </c>
      <c r="CW169" s="8">
        <f t="shared" si="179"/>
        <v>3345</v>
      </c>
      <c r="CX169" s="8">
        <f>+CX163+CX165+CX166+CX167+CX168</f>
        <v>6400</v>
      </c>
      <c r="CY169" s="1387"/>
      <c r="CZ169" s="36">
        <f t="shared" si="165"/>
        <v>0.35936281608555198</v>
      </c>
      <c r="DA169" s="8">
        <f t="shared" si="180"/>
        <v>3226</v>
      </c>
      <c r="DB169" s="8">
        <f>+DB163+DB165+DB166+DB167+DB168</f>
        <v>6249</v>
      </c>
      <c r="DC169" s="1387"/>
      <c r="DD169" s="36">
        <f t="shared" ca="1" si="166"/>
        <v>0.38812277580071175</v>
      </c>
      <c r="DE169" s="8">
        <f t="shared" ca="1" si="181"/>
        <v>3490</v>
      </c>
      <c r="DF169" s="8">
        <f ca="1">+DF163+DF165+DF166+DF167+DF168</f>
        <v>6790</v>
      </c>
      <c r="DG169" s="1387"/>
      <c r="DH169" s="36">
        <f t="shared" si="167"/>
        <v>0.36273268349630938</v>
      </c>
      <c r="DI169" s="8">
        <f t="shared" si="182"/>
        <v>3615.0750669774479</v>
      </c>
      <c r="DJ169" s="8">
        <f ca="1">+DJ163+DJ165+DJ166+DJ167+DJ168</f>
        <v>8413.077679890197</v>
      </c>
      <c r="DK169" s="10">
        <f ca="1">+DJ169/DF169-1</f>
        <v>0.23903942266424116</v>
      </c>
      <c r="DN169" s="8">
        <f ca="1">+DN163+DN165+DN166+DN167+DN168</f>
        <v>9102.2216657393728</v>
      </c>
      <c r="DO169" s="10">
        <f ca="1">+DN169/DJ169-1</f>
        <v>8.1913422420482274E-2</v>
      </c>
      <c r="DR169" s="8">
        <f ca="1">+DR163+DR165+DR166+DR167+DR168</f>
        <v>9978.0572908554059</v>
      </c>
      <c r="DS169" s="10">
        <f ca="1">+DR169/DN169-1</f>
        <v>9.6222181493630821E-2</v>
      </c>
    </row>
    <row r="170" spans="1:123">
      <c r="A170" s="1" t="s">
        <v>651</v>
      </c>
      <c r="BF170" s="38">
        <f>BF$72</f>
        <v>1035</v>
      </c>
      <c r="BH170" s="8">
        <f t="shared" si="169"/>
        <v>555</v>
      </c>
      <c r="BI170" s="8">
        <f t="shared" si="169"/>
        <v>679</v>
      </c>
      <c r="BJ170" s="38">
        <f>BJ$72</f>
        <v>1234</v>
      </c>
      <c r="BL170" s="8">
        <f t="shared" si="170"/>
        <v>591</v>
      </c>
      <c r="BM170" s="8">
        <f t="shared" si="170"/>
        <v>979</v>
      </c>
      <c r="BN170" s="38">
        <f>BN$72</f>
        <v>1570</v>
      </c>
      <c r="BP170" s="8">
        <f t="shared" si="171"/>
        <v>687</v>
      </c>
      <c r="BQ170" s="8">
        <f t="shared" si="171"/>
        <v>1040</v>
      </c>
      <c r="BR170" s="38">
        <f>BR$72</f>
        <v>1727</v>
      </c>
      <c r="BT170" s="8">
        <f t="shared" si="172"/>
        <v>1108</v>
      </c>
      <c r="BU170" s="8">
        <f t="shared" si="172"/>
        <v>959</v>
      </c>
      <c r="BV170" s="38">
        <f>BV$72</f>
        <v>2067</v>
      </c>
      <c r="BX170" s="8">
        <f t="shared" si="173"/>
        <v>776</v>
      </c>
      <c r="BY170" s="8">
        <f t="shared" si="173"/>
        <v>982</v>
      </c>
      <c r="BZ170" s="38">
        <f>BZ$72</f>
        <v>1758</v>
      </c>
      <c r="CB170" s="8">
        <f t="shared" si="174"/>
        <v>881</v>
      </c>
      <c r="CC170" s="8">
        <f t="shared" si="174"/>
        <v>1076</v>
      </c>
      <c r="CD170" s="38">
        <f>CD$72</f>
        <v>1957</v>
      </c>
      <c r="CG170" s="8">
        <f t="shared" ref="CG170" si="188">CG72</f>
        <v>1560</v>
      </c>
      <c r="CH170" s="38">
        <f>CH$72</f>
        <v>2791</v>
      </c>
      <c r="CK170" s="8">
        <f t="shared" si="176"/>
        <v>1234</v>
      </c>
      <c r="CL170" s="38">
        <f>CL$72</f>
        <v>2861</v>
      </c>
      <c r="CO170" s="8">
        <f t="shared" si="177"/>
        <v>1995</v>
      </c>
      <c r="CP170" s="38">
        <f>CP$72</f>
        <v>3482</v>
      </c>
      <c r="CQ170" s="1387">
        <f t="shared" si="184"/>
        <v>0.35095656784786849</v>
      </c>
      <c r="CR170" s="36">
        <f t="shared" si="163"/>
        <v>0.24548319327731091</v>
      </c>
      <c r="CS170" s="8">
        <f t="shared" si="178"/>
        <v>2337</v>
      </c>
      <c r="CT170" s="38">
        <f>CT$72</f>
        <v>3996</v>
      </c>
      <c r="CU170" s="1387"/>
      <c r="CV170" s="36">
        <f t="shared" si="164"/>
        <v>0.4564299424184261</v>
      </c>
      <c r="CW170" s="8">
        <f t="shared" si="179"/>
        <v>4756</v>
      </c>
      <c r="CX170" s="38">
        <f>CX$72</f>
        <v>7573</v>
      </c>
      <c r="CY170" s="1387"/>
      <c r="CZ170" s="36">
        <f t="shared" si="165"/>
        <v>0.31591845828227694</v>
      </c>
      <c r="DA170" s="8">
        <f t="shared" si="180"/>
        <v>2836</v>
      </c>
      <c r="DB170" s="38">
        <f>DB$72</f>
        <v>5448</v>
      </c>
      <c r="DC170" s="1387"/>
      <c r="DD170" s="36">
        <f t="shared" ca="1" si="166"/>
        <v>0.32362099644128112</v>
      </c>
      <c r="DE170" s="8">
        <f t="shared" si="181"/>
        <v>2910</v>
      </c>
      <c r="DF170" s="38">
        <f>DF$72</f>
        <v>5370</v>
      </c>
      <c r="DG170" s="1387"/>
      <c r="DH170" s="36">
        <f t="shared" si="167"/>
        <v>0.32920894601669709</v>
      </c>
      <c r="DI170" s="8">
        <f t="shared" si="182"/>
        <v>3280.9700000000003</v>
      </c>
      <c r="DJ170" s="8">
        <f>+DF170*(1+DK170)</f>
        <v>6014.4000000000005</v>
      </c>
      <c r="DK170" s="10">
        <f>DK154</f>
        <v>0.12</v>
      </c>
      <c r="DN170" s="8">
        <f>+DJ170*(1+DO170)</f>
        <v>6615.8400000000011</v>
      </c>
      <c r="DO170" s="10">
        <f>DO154</f>
        <v>0.1</v>
      </c>
      <c r="DR170" s="8">
        <f>+DN170*(1+DS170)</f>
        <v>7277.4240000000018</v>
      </c>
      <c r="DS170" s="10">
        <f>DS154</f>
        <v>0.1</v>
      </c>
    </row>
    <row r="171" spans="1:123" ht="14.4" thickBot="1">
      <c r="A171" s="1" t="s">
        <v>652</v>
      </c>
      <c r="BF171" s="38">
        <f>BF$73</f>
        <v>108</v>
      </c>
      <c r="BH171" s="8">
        <f t="shared" si="169"/>
        <v>75</v>
      </c>
      <c r="BI171" s="8">
        <f t="shared" si="169"/>
        <v>17</v>
      </c>
      <c r="BJ171" s="38">
        <f>BJ$73</f>
        <v>92</v>
      </c>
      <c r="BL171" s="8">
        <f t="shared" si="170"/>
        <v>70</v>
      </c>
      <c r="BM171" s="8">
        <f t="shared" si="170"/>
        <v>79</v>
      </c>
      <c r="BN171" s="38">
        <f>BN$73</f>
        <v>149</v>
      </c>
      <c r="BP171" s="8">
        <f t="shared" si="171"/>
        <v>19</v>
      </c>
      <c r="BQ171" s="8">
        <f t="shared" si="171"/>
        <v>-14</v>
      </c>
      <c r="BR171" s="38">
        <f>BR$73</f>
        <v>5</v>
      </c>
      <c r="BT171" s="8">
        <f t="shared" si="172"/>
        <v>-63</v>
      </c>
      <c r="BU171" s="8">
        <f t="shared" si="172"/>
        <v>67</v>
      </c>
      <c r="BV171" s="38">
        <f>BV$73</f>
        <v>4</v>
      </c>
      <c r="BX171" s="8">
        <f t="shared" si="173"/>
        <v>-8</v>
      </c>
      <c r="BY171" s="8">
        <f t="shared" si="173"/>
        <v>59</v>
      </c>
      <c r="BZ171" s="38">
        <f>BZ$73</f>
        <v>51</v>
      </c>
      <c r="CB171" s="8">
        <f t="shared" si="174"/>
        <v>103</v>
      </c>
      <c r="CC171" s="8">
        <f t="shared" si="174"/>
        <v>138</v>
      </c>
      <c r="CD171" s="38">
        <f>CD$73</f>
        <v>241</v>
      </c>
      <c r="CG171" s="8">
        <f t="shared" ref="CG171" si="189">CG73</f>
        <v>-63</v>
      </c>
      <c r="CH171" s="38">
        <f>CH$73</f>
        <v>-56</v>
      </c>
      <c r="CK171" s="8">
        <f t="shared" si="176"/>
        <v>144</v>
      </c>
      <c r="CL171" s="38">
        <f>CL$73</f>
        <v>95</v>
      </c>
      <c r="CO171" s="8">
        <f t="shared" si="177"/>
        <v>51</v>
      </c>
      <c r="CP171" s="38">
        <f>CP$73</f>
        <v>-3</v>
      </c>
      <c r="CQ171" s="1387">
        <f t="shared" si="184"/>
        <v>-2.60024355231536E-3</v>
      </c>
      <c r="CR171" s="36">
        <f t="shared" si="163"/>
        <v>-2.1008403361344539E-4</v>
      </c>
      <c r="CS171" s="8">
        <f t="shared" si="178"/>
        <v>-2</v>
      </c>
      <c r="CT171" s="38">
        <f>CT$73</f>
        <v>240</v>
      </c>
      <c r="CU171" s="1387"/>
      <c r="CV171" s="36">
        <f t="shared" si="164"/>
        <v>-4.9904030710172746E-3</v>
      </c>
      <c r="CW171" s="8">
        <f t="shared" si="179"/>
        <v>-52</v>
      </c>
      <c r="CX171" s="38">
        <f>CX$73</f>
        <v>-113</v>
      </c>
      <c r="CY171" s="1387"/>
      <c r="CZ171" s="36">
        <f t="shared" si="165"/>
        <v>-4.9014147265233378E-3</v>
      </c>
      <c r="DA171" s="8">
        <f t="shared" si="180"/>
        <v>-44</v>
      </c>
      <c r="DB171" s="38">
        <f>DB$73</f>
        <v>-49</v>
      </c>
      <c r="DC171" s="1387"/>
      <c r="DD171" s="36">
        <f t="shared" ca="1" si="166"/>
        <v>1.846085409252669E-2</v>
      </c>
      <c r="DE171" s="8">
        <f t="shared" si="181"/>
        <v>166</v>
      </c>
      <c r="DF171" s="38">
        <f>DF$73</f>
        <v>167</v>
      </c>
      <c r="DG171" s="1387"/>
      <c r="DH171" s="36">
        <f t="shared" si="167"/>
        <v>8.0070448349519891E-4</v>
      </c>
      <c r="DI171" s="8">
        <f t="shared" si="182"/>
        <v>7.98</v>
      </c>
      <c r="DJ171" s="8">
        <f>DJ$73</f>
        <v>-42.019999999999996</v>
      </c>
      <c r="DK171" s="10">
        <f t="shared" ref="DK171:DK176" si="190">+DJ171/DF171-1</f>
        <v>-1.2516167664670659</v>
      </c>
      <c r="DN171" s="8">
        <f>DN$73</f>
        <v>2.1393820000000012</v>
      </c>
      <c r="DO171" s="10">
        <f t="shared" ref="DO171:DO176" si="191">+DN171/DJ171-1</f>
        <v>-1.0509134221799143</v>
      </c>
      <c r="DR171" s="8">
        <f>DR$73</f>
        <v>6.7956703637999922</v>
      </c>
      <c r="DS171" s="10">
        <f t="shared" ref="DS171:DS176" si="192">+DR171/DN171-1</f>
        <v>2.176464214338528</v>
      </c>
    </row>
    <row r="172" spans="1:123" ht="14.4" thickBot="1">
      <c r="A172" s="1" t="s">
        <v>621</v>
      </c>
      <c r="BF172" s="38">
        <f>BF$74</f>
        <v>1123</v>
      </c>
      <c r="BH172" s="8">
        <f t="shared" si="169"/>
        <v>144</v>
      </c>
      <c r="BI172" s="8">
        <f t="shared" si="169"/>
        <v>441</v>
      </c>
      <c r="BJ172" s="38">
        <f>BJ$74</f>
        <v>585</v>
      </c>
      <c r="BL172" s="8">
        <f t="shared" si="170"/>
        <v>320</v>
      </c>
      <c r="BM172" s="8">
        <f t="shared" si="170"/>
        <v>535</v>
      </c>
      <c r="BN172" s="38">
        <f>BN$74</f>
        <v>855</v>
      </c>
      <c r="BP172" s="8">
        <f t="shared" si="171"/>
        <v>455</v>
      </c>
      <c r="BQ172" s="8">
        <f t="shared" si="171"/>
        <v>244</v>
      </c>
      <c r="BR172" s="38">
        <f>BR$74</f>
        <v>699</v>
      </c>
      <c r="BT172" s="8">
        <f t="shared" si="172"/>
        <v>314</v>
      </c>
      <c r="BU172" s="8">
        <f t="shared" si="172"/>
        <v>632</v>
      </c>
      <c r="BV172" s="38">
        <f>BV$74</f>
        <v>946</v>
      </c>
      <c r="BX172" s="8">
        <f t="shared" si="173"/>
        <v>1149</v>
      </c>
      <c r="BY172" s="8">
        <f t="shared" si="173"/>
        <v>890</v>
      </c>
      <c r="BZ172" s="38">
        <f>BZ$74</f>
        <v>2039</v>
      </c>
      <c r="CB172" s="8">
        <f t="shared" si="174"/>
        <v>834</v>
      </c>
      <c r="CC172" s="8">
        <f t="shared" si="174"/>
        <v>1232</v>
      </c>
      <c r="CD172" s="38">
        <f>CD$74</f>
        <v>2066</v>
      </c>
      <c r="CG172" s="8">
        <f t="shared" ref="CG172" si="193">CG74</f>
        <v>1800</v>
      </c>
      <c r="CH172" s="38">
        <f>CH$74</f>
        <v>2733</v>
      </c>
      <c r="CK172" s="8">
        <f t="shared" si="176"/>
        <v>595</v>
      </c>
      <c r="CL172" s="38">
        <f>CL$74</f>
        <v>1673</v>
      </c>
      <c r="CO172" s="8">
        <f t="shared" si="177"/>
        <v>1484</v>
      </c>
      <c r="CP172" s="38">
        <f>CP$74</f>
        <v>1924</v>
      </c>
      <c r="CQ172" s="1387">
        <f t="shared" si="184"/>
        <v>0.15599515717995452</v>
      </c>
      <c r="CR172" s="36">
        <f t="shared" si="163"/>
        <v>0.23771008403361343</v>
      </c>
      <c r="CS172" s="8">
        <f t="shared" si="178"/>
        <v>2263</v>
      </c>
      <c r="CT172" s="38">
        <f>CT$74</f>
        <v>3341</v>
      </c>
      <c r="CU172" s="1387"/>
      <c r="CV172" s="36">
        <f t="shared" si="164"/>
        <v>7.428023032629559E-2</v>
      </c>
      <c r="CW172" s="8">
        <f t="shared" si="179"/>
        <v>774</v>
      </c>
      <c r="CX172" s="38">
        <f>CX$74</f>
        <v>2234</v>
      </c>
      <c r="CY172" s="1387"/>
      <c r="CZ172" s="36">
        <f t="shared" si="165"/>
        <v>0.12621142920797593</v>
      </c>
      <c r="DA172" s="8">
        <f t="shared" si="180"/>
        <v>1133</v>
      </c>
      <c r="DB172" s="38">
        <f>DB$74</f>
        <v>1780</v>
      </c>
      <c r="DC172" s="1387"/>
      <c r="DD172" s="36">
        <f t="shared" ca="1" si="166"/>
        <v>6.5391459074733094E-2</v>
      </c>
      <c r="DE172" s="8">
        <f t="shared" si="181"/>
        <v>588</v>
      </c>
      <c r="DF172" s="38">
        <f>DF$74</f>
        <v>1374</v>
      </c>
      <c r="DG172" s="1387"/>
      <c r="DH172" s="36">
        <f t="shared" si="167"/>
        <v>0.11040715451878039</v>
      </c>
      <c r="DI172" s="8">
        <f t="shared" si="182"/>
        <v>1100.3424</v>
      </c>
      <c r="DJ172" s="54">
        <f>DK155</f>
        <v>2858.6848</v>
      </c>
      <c r="DK172" s="10">
        <f t="shared" si="190"/>
        <v>1.0805566229985444</v>
      </c>
      <c r="DN172" s="54">
        <f>DO155</f>
        <v>3260.1578360000003</v>
      </c>
      <c r="DO172" s="10">
        <f t="shared" si="191"/>
        <v>0.14043977006489139</v>
      </c>
      <c r="DR172" s="54">
        <f>DS155</f>
        <v>3728.1679896524001</v>
      </c>
      <c r="DS172" s="10">
        <f t="shared" si="192"/>
        <v>0.14355444650085336</v>
      </c>
    </row>
    <row r="173" spans="1:123">
      <c r="A173" s="2" t="s">
        <v>568</v>
      </c>
      <c r="BF173" s="7">
        <f>+BF162+BF169+BF170+BF171+BF172</f>
        <v>6962.6630000000005</v>
      </c>
      <c r="BH173" s="7">
        <f t="shared" si="169"/>
        <v>3054</v>
      </c>
      <c r="BI173" s="7">
        <f t="shared" si="169"/>
        <v>3603</v>
      </c>
      <c r="BJ173" s="7">
        <f>+BJ162+BJ169+BJ170+BJ171+BJ172</f>
        <v>6657</v>
      </c>
      <c r="BL173" s="7">
        <f t="shared" si="170"/>
        <v>3679</v>
      </c>
      <c r="BM173" s="7">
        <f t="shared" si="170"/>
        <v>4455</v>
      </c>
      <c r="BN173" s="7">
        <f>+BN162+BN169+BN170+BN171+BN172</f>
        <v>8134</v>
      </c>
      <c r="BP173" s="7">
        <f t="shared" si="171"/>
        <v>4284</v>
      </c>
      <c r="BQ173" s="7">
        <f t="shared" si="171"/>
        <v>4978</v>
      </c>
      <c r="BR173" s="7">
        <f>+BR162+BR169+BR170+BR171+BR172</f>
        <v>9262</v>
      </c>
      <c r="BT173" s="7">
        <f t="shared" si="172"/>
        <v>5318</v>
      </c>
      <c r="BU173" s="7">
        <f t="shared" si="172"/>
        <v>4840</v>
      </c>
      <c r="BV173" s="7">
        <f>+BV162+BV169+BV170+BV171+BV172</f>
        <v>10158</v>
      </c>
      <c r="BX173" s="7">
        <f t="shared" si="173"/>
        <v>5218</v>
      </c>
      <c r="BY173" s="7">
        <f t="shared" si="173"/>
        <v>5146</v>
      </c>
      <c r="BZ173" s="7">
        <f>+BZ162+BZ169+BZ170+BZ171+BZ172</f>
        <v>10364</v>
      </c>
      <c r="CB173" s="7">
        <f t="shared" si="174"/>
        <v>5397</v>
      </c>
      <c r="CC173" s="7">
        <f t="shared" si="174"/>
        <v>5523</v>
      </c>
      <c r="CD173" s="7">
        <f>+CD162+CD169+CD170+CD171+CD172</f>
        <v>10920</v>
      </c>
      <c r="CG173" s="7">
        <f t="shared" ref="CG173" si="194">CG75</f>
        <v>6924</v>
      </c>
      <c r="CH173" s="7">
        <f>+CH162+CH169+CH170+CH171+CH172</f>
        <v>12754</v>
      </c>
      <c r="CK173" s="7">
        <f t="shared" si="176"/>
        <v>6005</v>
      </c>
      <c r="CL173" s="7">
        <f>+CL162+CL169+CL170+CL171+CL172</f>
        <v>12325</v>
      </c>
      <c r="CO173" s="7">
        <f t="shared" si="177"/>
        <v>7255</v>
      </c>
      <c r="CP173" s="7">
        <f>+CP162+CP169+CP170+CP171+CP172</f>
        <v>12774</v>
      </c>
      <c r="CQ173" s="19">
        <f>SUM(CQ162:CQ172)</f>
        <v>1.4221203416587362</v>
      </c>
      <c r="CR173" s="19">
        <f>SUM(CR162:CR172)</f>
        <v>1.4410976890756302</v>
      </c>
      <c r="CS173" s="7">
        <f t="shared" si="178"/>
        <v>9520</v>
      </c>
      <c r="CT173" s="7">
        <f>+CT162+CT169+CT170+CT171+CT172</f>
        <v>17324</v>
      </c>
      <c r="CU173" s="19"/>
      <c r="CV173" s="19">
        <f>SUM(CV162:CV172)</f>
        <v>1.4031429942418425</v>
      </c>
      <c r="CW173" s="7">
        <f t="shared" si="179"/>
        <v>10420</v>
      </c>
      <c r="CX173" s="7">
        <f>+CX162+CX169+CX170+CX171+CX172</f>
        <v>19122</v>
      </c>
      <c r="CY173" s="19"/>
      <c r="CZ173" s="19">
        <f>SUM(CZ162:CZ172)</f>
        <v>1.4613066726077755</v>
      </c>
      <c r="DA173" s="7">
        <f t="shared" si="180"/>
        <v>8977</v>
      </c>
      <c r="DB173" s="7">
        <f>+DB162+DB169+DB170+DB171+DB172</f>
        <v>16887</v>
      </c>
      <c r="DC173" s="19"/>
      <c r="DD173" s="19">
        <f ca="1">SUM(DD162:DD172)</f>
        <v>1.4914257117437721</v>
      </c>
      <c r="DE173" s="7">
        <f t="shared" ca="1" si="181"/>
        <v>8992</v>
      </c>
      <c r="DF173" s="7">
        <f ca="1">+DF162+DF169+DF170+DF171+DF172</f>
        <v>17208</v>
      </c>
      <c r="DG173" s="19"/>
      <c r="DH173" s="19">
        <f>SUM(DH162:DH172)</f>
        <v>1.4477139437515114</v>
      </c>
      <c r="DI173" s="7">
        <f t="shared" si="182"/>
        <v>9966.2236998674798</v>
      </c>
      <c r="DJ173" s="7">
        <f ca="1">+DJ162+DJ169+DJ170+DJ171+DJ172</f>
        <v>21271.998712780227</v>
      </c>
      <c r="DK173" s="23">
        <f t="shared" ca="1" si="190"/>
        <v>0.23616914881335571</v>
      </c>
      <c r="DN173" s="7">
        <f ca="1">+DN162+DN169+DN170+DN171+DN172</f>
        <v>23279.247572878645</v>
      </c>
      <c r="DO173" s="23">
        <f t="shared" ca="1" si="191"/>
        <v>9.4361084127579486E-2</v>
      </c>
      <c r="DR173" s="7">
        <f ca="1">+DR162+DR169+DR170+DR171+DR172</f>
        <v>25610.619468228804</v>
      </c>
      <c r="DS173" s="23">
        <f t="shared" ca="1" si="192"/>
        <v>0.10014807772680379</v>
      </c>
    </row>
    <row r="174" spans="1:123">
      <c r="A174" s="1" t="s">
        <v>47</v>
      </c>
      <c r="BF174" s="38">
        <f>BF$76</f>
        <v>-3334.8329399999998</v>
      </c>
      <c r="BH174" s="8">
        <f t="shared" si="169"/>
        <v>-1442</v>
      </c>
      <c r="BI174" s="8">
        <f t="shared" si="169"/>
        <v>-1630</v>
      </c>
      <c r="BJ174" s="38">
        <f>BJ$76</f>
        <v>-3072</v>
      </c>
      <c r="BL174" s="8">
        <f t="shared" si="170"/>
        <v>-1622</v>
      </c>
      <c r="BM174" s="8">
        <f t="shared" si="170"/>
        <v>-1883</v>
      </c>
      <c r="BN174" s="38">
        <f>BN$76</f>
        <v>-3505</v>
      </c>
      <c r="BP174" s="8">
        <f t="shared" si="171"/>
        <v>-1821</v>
      </c>
      <c r="BQ174" s="8">
        <f t="shared" si="171"/>
        <v>-2070</v>
      </c>
      <c r="BR174" s="38">
        <f>BR$76</f>
        <v>-3891</v>
      </c>
      <c r="BT174" s="8">
        <f t="shared" si="172"/>
        <v>-2118</v>
      </c>
      <c r="BU174" s="8">
        <f t="shared" si="172"/>
        <v>-1839</v>
      </c>
      <c r="BV174" s="38">
        <f>BV$76</f>
        <v>-3957</v>
      </c>
      <c r="BX174" s="8">
        <f t="shared" si="173"/>
        <v>-2141</v>
      </c>
      <c r="BY174" s="8">
        <f t="shared" si="173"/>
        <v>-1980</v>
      </c>
      <c r="BZ174" s="38">
        <f>BZ$76</f>
        <v>-4121</v>
      </c>
      <c r="CB174" s="8">
        <f t="shared" si="174"/>
        <v>-2130</v>
      </c>
      <c r="CC174" s="8">
        <f t="shared" si="174"/>
        <v>-2091</v>
      </c>
      <c r="CD174" s="38">
        <f>CD$76</f>
        <v>-4221</v>
      </c>
      <c r="CG174" s="8">
        <f t="shared" ref="CG174" si="195">CG76</f>
        <v>-2594</v>
      </c>
      <c r="CH174" s="38">
        <f>CH$76</f>
        <v>-4891</v>
      </c>
      <c r="CK174" s="8">
        <f t="shared" si="176"/>
        <v>-2399</v>
      </c>
      <c r="CL174" s="38">
        <f>CL$76</f>
        <v>-5001</v>
      </c>
      <c r="CO174" s="8">
        <f t="shared" si="177"/>
        <v>-2759</v>
      </c>
      <c r="CP174" s="38">
        <f>CP$76</f>
        <v>-5190</v>
      </c>
      <c r="CS174" s="8">
        <f t="shared" si="178"/>
        <v>-3363</v>
      </c>
      <c r="CT174" s="38">
        <f>CT$76</f>
        <v>-6364</v>
      </c>
      <c r="CW174" s="8">
        <f t="shared" si="179"/>
        <v>-3844</v>
      </c>
      <c r="CX174" s="38">
        <f>CX$76</f>
        <v>-7278</v>
      </c>
      <c r="DA174" s="8">
        <f t="shared" si="180"/>
        <v>-3767</v>
      </c>
      <c r="DB174" s="38">
        <f>DB$76</f>
        <v>-7273</v>
      </c>
      <c r="DE174" s="8">
        <f t="shared" si="181"/>
        <v>-3714</v>
      </c>
      <c r="DF174" s="38">
        <f>DF$76</f>
        <v>-7255</v>
      </c>
      <c r="DI174" s="8">
        <f t="shared" si="182"/>
        <v>-3885.8306205783306</v>
      </c>
      <c r="DJ174" s="8">
        <f ca="1">-DJ173*DK156</f>
        <v>-8189.7195044203872</v>
      </c>
      <c r="DK174" s="10">
        <f t="shared" ca="1" si="190"/>
        <v>0.12883797442045308</v>
      </c>
      <c r="DN174" s="8">
        <f ca="1">-DN173*DO156</f>
        <v>-8613.321601965099</v>
      </c>
      <c r="DO174" s="10">
        <f t="shared" ca="1" si="191"/>
        <v>5.1723639291440193E-2</v>
      </c>
      <c r="DR174" s="8">
        <f ca="1">-DR173*DS156</f>
        <v>-9475.9292032446574</v>
      </c>
      <c r="DS174" s="10">
        <f t="shared" ca="1" si="192"/>
        <v>0.10014807772680379</v>
      </c>
    </row>
    <row r="175" spans="1:123">
      <c r="A175" s="1" t="s">
        <v>48</v>
      </c>
      <c r="BF175" s="38">
        <f>BF$77</f>
        <v>-225</v>
      </c>
      <c r="BH175" s="8">
        <f t="shared" si="169"/>
        <v>-96</v>
      </c>
      <c r="BI175" s="8">
        <f t="shared" si="169"/>
        <v>-105</v>
      </c>
      <c r="BJ175" s="38">
        <f>BJ$77</f>
        <v>-201</v>
      </c>
      <c r="BL175" s="8">
        <f t="shared" si="170"/>
        <v>-108</v>
      </c>
      <c r="BM175" s="8">
        <f t="shared" si="170"/>
        <v>-123</v>
      </c>
      <c r="BN175" s="38">
        <f>BN$77</f>
        <v>-231</v>
      </c>
      <c r="BP175" s="8">
        <f t="shared" si="171"/>
        <v>-123</v>
      </c>
      <c r="BQ175" s="8">
        <f t="shared" si="171"/>
        <v>-129</v>
      </c>
      <c r="BR175" s="38">
        <f>BR$77</f>
        <v>-252</v>
      </c>
      <c r="BT175" s="8">
        <f t="shared" si="172"/>
        <v>-145</v>
      </c>
      <c r="BU175" s="8">
        <f t="shared" si="172"/>
        <v>-142</v>
      </c>
      <c r="BV175" s="38">
        <f>BV$77</f>
        <v>-287</v>
      </c>
      <c r="BX175" s="8">
        <f t="shared" si="173"/>
        <v>-149</v>
      </c>
      <c r="BY175" s="8">
        <f t="shared" si="173"/>
        <v>-109</v>
      </c>
      <c r="BZ175" s="38">
        <f>BZ$77</f>
        <v>-258</v>
      </c>
      <c r="CB175" s="8">
        <f t="shared" si="174"/>
        <v>-131</v>
      </c>
      <c r="CC175" s="8">
        <f t="shared" si="174"/>
        <v>-141</v>
      </c>
      <c r="CD175" s="38">
        <f>CD$77</f>
        <v>-272</v>
      </c>
      <c r="CG175" s="8">
        <f t="shared" ref="CG175" si="196">CG77</f>
        <v>-169</v>
      </c>
      <c r="CH175" s="38">
        <f>CH$77</f>
        <v>-326</v>
      </c>
      <c r="CK175" s="8">
        <f t="shared" si="176"/>
        <v>-148</v>
      </c>
      <c r="CL175" s="38">
        <f>CL$77</f>
        <v>-322</v>
      </c>
      <c r="CO175" s="8">
        <f t="shared" si="177"/>
        <v>-143</v>
      </c>
      <c r="CP175" s="38">
        <f>CP$77</f>
        <v>-327</v>
      </c>
      <c r="CS175" s="8">
        <f t="shared" si="178"/>
        <v>-198</v>
      </c>
      <c r="CT175" s="38">
        <f>CT$77</f>
        <v>-361</v>
      </c>
      <c r="CW175" s="8">
        <f t="shared" si="179"/>
        <v>-246</v>
      </c>
      <c r="CX175" s="38">
        <f>CX$77</f>
        <v>-425</v>
      </c>
      <c r="DA175" s="8">
        <f t="shared" si="180"/>
        <v>-222</v>
      </c>
      <c r="DB175" s="38">
        <f>DB$77</f>
        <v>-450</v>
      </c>
      <c r="DE175" s="8">
        <f t="shared" si="181"/>
        <v>-190</v>
      </c>
      <c r="DF175" s="38">
        <f>DF$77</f>
        <v>-405</v>
      </c>
      <c r="DI175" s="8">
        <f t="shared" si="182"/>
        <v>-227.45464918032803</v>
      </c>
      <c r="DJ175" s="8">
        <f>DJ$77</f>
        <v>-449.45464918032849</v>
      </c>
      <c r="DK175" s="10">
        <f t="shared" si="190"/>
        <v>0.10976456587735428</v>
      </c>
      <c r="DN175" s="8">
        <f>DN$77</f>
        <v>-477.01163060905856</v>
      </c>
      <c r="DO175" s="10">
        <f t="shared" si="191"/>
        <v>6.1312039999999568E-2</v>
      </c>
      <c r="DR175" s="8">
        <f>DR$77</f>
        <v>-506.2788199106617</v>
      </c>
      <c r="DS175" s="10">
        <f t="shared" si="192"/>
        <v>6.1355294973068464E-2</v>
      </c>
    </row>
    <row r="176" spans="1:123" ht="14.4" thickBot="1">
      <c r="A176" s="1" t="s">
        <v>28</v>
      </c>
      <c r="BF176" s="38">
        <f>BF$78</f>
        <v>-723.66629999999998</v>
      </c>
      <c r="BH176" s="8">
        <f t="shared" si="169"/>
        <v>-320</v>
      </c>
      <c r="BI176" s="8">
        <f t="shared" si="169"/>
        <v>-284</v>
      </c>
      <c r="BJ176" s="38">
        <f>BJ$78</f>
        <v>-604</v>
      </c>
      <c r="BL176" s="8">
        <f t="shared" si="170"/>
        <v>-379</v>
      </c>
      <c r="BM176" s="8">
        <f t="shared" si="170"/>
        <v>-400</v>
      </c>
      <c r="BN176" s="38">
        <f>BN$78</f>
        <v>-779</v>
      </c>
      <c r="BP176" s="8">
        <f t="shared" si="171"/>
        <v>-387</v>
      </c>
      <c r="BQ176" s="8">
        <f t="shared" si="171"/>
        <v>-437</v>
      </c>
      <c r="BR176" s="38">
        <f>BR$78</f>
        <v>-824</v>
      </c>
      <c r="BT176" s="8">
        <f t="shared" si="172"/>
        <v>-444</v>
      </c>
      <c r="BU176" s="8">
        <f t="shared" si="172"/>
        <v>-448</v>
      </c>
      <c r="BV176" s="38">
        <f>BV$78</f>
        <v>-892</v>
      </c>
      <c r="BX176" s="8">
        <f t="shared" si="173"/>
        <v>-418</v>
      </c>
      <c r="BY176" s="8">
        <f t="shared" si="173"/>
        <v>-434</v>
      </c>
      <c r="BZ176" s="38">
        <f>BZ$78</f>
        <v>-852</v>
      </c>
      <c r="CB176" s="8">
        <f t="shared" si="174"/>
        <v>-422</v>
      </c>
      <c r="CC176" s="8">
        <f t="shared" si="174"/>
        <v>-408</v>
      </c>
      <c r="CD176" s="38">
        <f>CD$78</f>
        <v>-830</v>
      </c>
      <c r="CG176" s="8">
        <f t="shared" ref="CG176" si="197">CG78</f>
        <v>-561</v>
      </c>
      <c r="CH176" s="38">
        <f>CH$78</f>
        <v>-1140</v>
      </c>
      <c r="CK176" s="8">
        <f t="shared" si="176"/>
        <v>-482</v>
      </c>
      <c r="CL176" s="38">
        <f>CL$78</f>
        <v>-964</v>
      </c>
      <c r="CO176" s="8">
        <f t="shared" si="177"/>
        <v>-408</v>
      </c>
      <c r="CP176" s="38">
        <f>CP$78</f>
        <v>-879</v>
      </c>
      <c r="CS176" s="8">
        <f t="shared" si="178"/>
        <v>-531</v>
      </c>
      <c r="CT176" s="38">
        <f>CT$78</f>
        <v>-1029</v>
      </c>
      <c r="CW176" s="8">
        <f t="shared" si="179"/>
        <v>-528</v>
      </c>
      <c r="CX176" s="38">
        <f>CX$78</f>
        <v>-1028</v>
      </c>
      <c r="DA176" s="8">
        <f t="shared" si="180"/>
        <v>-542</v>
      </c>
      <c r="DB176" s="38">
        <f>DB$78</f>
        <v>-1071</v>
      </c>
      <c r="DE176" s="8">
        <f t="shared" si="181"/>
        <v>-626</v>
      </c>
      <c r="DF176" s="38">
        <f>DF$78</f>
        <v>-1206</v>
      </c>
      <c r="DI176" s="8">
        <f t="shared" si="182"/>
        <v>-561.50916065666809</v>
      </c>
      <c r="DJ176" s="8">
        <f ca="1">-DJ167*DK157</f>
        <v>-1239.9877442124564</v>
      </c>
      <c r="DK176" s="10">
        <f t="shared" ca="1" si="190"/>
        <v>2.8182209131390135E-2</v>
      </c>
      <c r="DN176" s="8">
        <f ca="1">-DN167*DO157</f>
        <v>-1307.249770553896</v>
      </c>
      <c r="DO176" s="10">
        <f t="shared" ca="1" si="191"/>
        <v>5.4244105762641492E-2</v>
      </c>
      <c r="DR176" s="8">
        <f ca="1">-DR167*DS157</f>
        <v>-1455.6080857873919</v>
      </c>
      <c r="DS176" s="10">
        <f t="shared" ca="1" si="192"/>
        <v>0.11348888221310216</v>
      </c>
    </row>
    <row r="177" spans="1:125" ht="14.4" thickBot="1">
      <c r="A177" s="1" t="s">
        <v>29</v>
      </c>
      <c r="BF177" s="38">
        <f>BF$79</f>
        <v>-1630</v>
      </c>
      <c r="BH177" s="8">
        <f t="shared" si="169"/>
        <v>-679</v>
      </c>
      <c r="BI177" s="8">
        <f t="shared" si="169"/>
        <v>-696</v>
      </c>
      <c r="BJ177" s="38">
        <f>BJ$79</f>
        <v>-1375</v>
      </c>
      <c r="BL177" s="8">
        <f t="shared" si="170"/>
        <v>-760</v>
      </c>
      <c r="BM177" s="8">
        <f t="shared" si="170"/>
        <v>-751</v>
      </c>
      <c r="BN177" s="38">
        <f>BN$79</f>
        <v>-1511</v>
      </c>
      <c r="BP177" s="8">
        <f t="shared" si="171"/>
        <v>-832</v>
      </c>
      <c r="BQ177" s="8">
        <f t="shared" si="171"/>
        <v>-941</v>
      </c>
      <c r="BR177" s="38">
        <f>BR$79</f>
        <v>-1773</v>
      </c>
      <c r="BT177" s="8">
        <f t="shared" si="172"/>
        <v>-992</v>
      </c>
      <c r="BU177" s="8">
        <f t="shared" si="172"/>
        <v>-1015</v>
      </c>
      <c r="BV177" s="38">
        <f>BV$79</f>
        <v>-2007</v>
      </c>
      <c r="BX177" s="8">
        <f t="shared" si="173"/>
        <v>-1025</v>
      </c>
      <c r="BY177" s="8">
        <f t="shared" si="173"/>
        <v>-1004</v>
      </c>
      <c r="BZ177" s="38">
        <f>BZ$79</f>
        <v>-2029</v>
      </c>
      <c r="CB177" s="8">
        <f t="shared" si="174"/>
        <v>-1010</v>
      </c>
      <c r="CC177" s="8">
        <f t="shared" si="174"/>
        <v>-1123</v>
      </c>
      <c r="CD177" s="38">
        <f>CD$79</f>
        <v>-2133</v>
      </c>
      <c r="CG177" s="8">
        <f t="shared" ref="CG177" si="198">CG79</f>
        <v>-1438</v>
      </c>
      <c r="CH177" s="38">
        <f>CH$79</f>
        <v>-2530</v>
      </c>
      <c r="CK177" s="8">
        <f t="shared" si="176"/>
        <v>-1362</v>
      </c>
      <c r="CL177" s="38">
        <f>CL$79</f>
        <v>-2584</v>
      </c>
      <c r="CO177" s="8">
        <f t="shared" si="177"/>
        <v>-1291</v>
      </c>
      <c r="CP177" s="38">
        <f>CP$79</f>
        <v>-2471</v>
      </c>
      <c r="CS177" s="8">
        <f t="shared" si="178"/>
        <v>-1624</v>
      </c>
      <c r="CT177" s="38">
        <f>CT$79</f>
        <v>-3031</v>
      </c>
      <c r="CW177" s="8">
        <f t="shared" si="179"/>
        <v>-1916</v>
      </c>
      <c r="CX177" s="38">
        <f>CX$79</f>
        <v>-3399</v>
      </c>
      <c r="DA177" s="8">
        <f t="shared" si="180"/>
        <v>-1611</v>
      </c>
      <c r="DB177" s="38">
        <f>DB$79</f>
        <v>-3267</v>
      </c>
      <c r="DE177" s="8">
        <f t="shared" si="181"/>
        <v>-1691</v>
      </c>
      <c r="DF177" s="38">
        <f>DF$79</f>
        <v>-3274</v>
      </c>
      <c r="DI177" s="8">
        <f t="shared" si="182"/>
        <v>-1718.4049999999997</v>
      </c>
      <c r="DJ177" s="8">
        <f>+DF177*(1+DK177)</f>
        <v>-3373.4049999999997</v>
      </c>
      <c r="DK177" s="53">
        <f>DK158</f>
        <v>3.0361942577886269E-2</v>
      </c>
      <c r="DN177" s="8">
        <f>+DJ177*(1+DO177)</f>
        <v>-3280.1733999999997</v>
      </c>
      <c r="DO177" s="53">
        <f>DO158</f>
        <v>-2.7637238932176844E-2</v>
      </c>
      <c r="DR177" s="8">
        <f>+DN177*(1+DS177)</f>
        <v>-3363.5333212</v>
      </c>
      <c r="DS177" s="53">
        <f>DS158</f>
        <v>2.5413266627916764E-2</v>
      </c>
    </row>
    <row r="178" spans="1:125">
      <c r="A178" s="2" t="s">
        <v>569</v>
      </c>
      <c r="BF178" s="7">
        <f>+BF174+BF175+BF176+BF177</f>
        <v>-5913.4992400000001</v>
      </c>
      <c r="BH178" s="7">
        <f t="shared" si="169"/>
        <v>-2537</v>
      </c>
      <c r="BI178" s="7">
        <f t="shared" si="169"/>
        <v>-2715</v>
      </c>
      <c r="BJ178" s="7">
        <f>+BJ174+BJ175+BJ176+BJ177</f>
        <v>-5252</v>
      </c>
      <c r="BL178" s="7">
        <f t="shared" si="170"/>
        <v>-2869</v>
      </c>
      <c r="BM178" s="7">
        <f t="shared" si="170"/>
        <v>-3157</v>
      </c>
      <c r="BN178" s="7">
        <f>+BN174+BN175+BN176+BN177</f>
        <v>-6026</v>
      </c>
      <c r="BP178" s="7">
        <f t="shared" si="171"/>
        <v>-3163</v>
      </c>
      <c r="BQ178" s="7">
        <f t="shared" si="171"/>
        <v>-3577</v>
      </c>
      <c r="BR178" s="7">
        <f>+BR174+BR175+BR176+BR177</f>
        <v>-6740</v>
      </c>
      <c r="BT178" s="7">
        <f t="shared" si="172"/>
        <v>-3699</v>
      </c>
      <c r="BU178" s="7">
        <f t="shared" si="172"/>
        <v>-3444</v>
      </c>
      <c r="BV178" s="7">
        <f>+BV174+BV175+BV176+BV177</f>
        <v>-7143</v>
      </c>
      <c r="BX178" s="7">
        <f t="shared" si="173"/>
        <v>-3733</v>
      </c>
      <c r="BY178" s="7">
        <f t="shared" si="173"/>
        <v>-3527</v>
      </c>
      <c r="BZ178" s="7">
        <f>+BZ174+BZ175+BZ176+BZ177</f>
        <v>-7260</v>
      </c>
      <c r="CB178" s="7">
        <f t="shared" si="174"/>
        <v>-3693</v>
      </c>
      <c r="CC178" s="7">
        <f t="shared" si="174"/>
        <v>-3763</v>
      </c>
      <c r="CD178" s="7">
        <f>+CD174+CD175+CD176+CD177</f>
        <v>-7456</v>
      </c>
      <c r="CG178" s="7">
        <f t="shared" ref="CG178" si="199">CG80</f>
        <v>-4762</v>
      </c>
      <c r="CH178" s="7">
        <f>+CH174+CH175+CH176+CH177</f>
        <v>-8887</v>
      </c>
      <c r="CK178" s="7">
        <f t="shared" si="176"/>
        <v>-4391</v>
      </c>
      <c r="CL178" s="7">
        <f>+CL174+CL175+CL176+CL177</f>
        <v>-8871</v>
      </c>
      <c r="CO178" s="7">
        <f t="shared" si="177"/>
        <v>-4601</v>
      </c>
      <c r="CP178" s="7">
        <f>+CP174+CP175+CP176+CP177</f>
        <v>-8867</v>
      </c>
      <c r="CS178" s="7">
        <f t="shared" si="178"/>
        <v>-5716</v>
      </c>
      <c r="CT178" s="7">
        <f>+CT174+CT175+CT176+CT177</f>
        <v>-10785</v>
      </c>
      <c r="CW178" s="7">
        <f t="shared" si="179"/>
        <v>-6534</v>
      </c>
      <c r="CX178" s="7">
        <f>+CX174+CX175+CX176+CX177</f>
        <v>-12130</v>
      </c>
      <c r="DA178" s="7">
        <f t="shared" si="180"/>
        <v>-6142</v>
      </c>
      <c r="DB178" s="7">
        <f>+DB174+DB175+DB176+DB177</f>
        <v>-12061</v>
      </c>
      <c r="DE178" s="7">
        <f t="shared" si="181"/>
        <v>-6221</v>
      </c>
      <c r="DF178" s="7">
        <f>+DF174+DF175+DF176+DF177</f>
        <v>-12140</v>
      </c>
      <c r="DI178" s="7">
        <f t="shared" si="182"/>
        <v>-6393.1994304153268</v>
      </c>
      <c r="DJ178" s="7">
        <f ca="1">+DJ174+DJ175+DJ176+DJ177</f>
        <v>-13252.566897813173</v>
      </c>
      <c r="DK178" s="23">
        <f ca="1">+DJ178/DF178-1</f>
        <v>9.164471975396804E-2</v>
      </c>
      <c r="DN178" s="7">
        <f ca="1">+DN174+DN175+DN176+DN177</f>
        <v>-13677.756403128053</v>
      </c>
      <c r="DO178" s="23">
        <f ca="1">+DN178/DJ178-1</f>
        <v>3.2083558498017473E-2</v>
      </c>
      <c r="DR178" s="7">
        <f ca="1">+DR174+DR175+DR176+DR177</f>
        <v>-14801.349430142711</v>
      </c>
      <c r="DS178" s="23">
        <f ca="1">+DR178/DN178-1</f>
        <v>8.2147465848835921E-2</v>
      </c>
    </row>
    <row r="179" spans="1:125">
      <c r="A179" s="3" t="s">
        <v>30</v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10">
        <f>-BF174/BF173</f>
        <v>0.47895940676720955</v>
      </c>
      <c r="BG179" s="9"/>
      <c r="BH179" s="10">
        <f>-BH174/BH173</f>
        <v>0.47216764898493779</v>
      </c>
      <c r="BI179" s="10">
        <f>-BI174/BI173</f>
        <v>0.4524007771301693</v>
      </c>
      <c r="BJ179" s="10">
        <f>-BJ174/BJ173</f>
        <v>0.46146913023884634</v>
      </c>
      <c r="BK179" s="9"/>
      <c r="BL179" s="10">
        <f>-BL174/BL173</f>
        <v>0.44088067409622178</v>
      </c>
      <c r="BM179" s="10">
        <f>-BM174/BM173</f>
        <v>0.42267115600448935</v>
      </c>
      <c r="BN179" s="10">
        <f>-BN174/BN173</f>
        <v>0.43090730268010818</v>
      </c>
      <c r="BO179" s="9"/>
      <c r="BP179" s="10">
        <f>-BP174/BP173</f>
        <v>0.42507002801120447</v>
      </c>
      <c r="BQ179" s="10">
        <f>-BQ174/BQ173</f>
        <v>0.41582965046203296</v>
      </c>
      <c r="BR179" s="10">
        <f>-BR174/BR173</f>
        <v>0.42010364931980132</v>
      </c>
      <c r="BS179" s="9"/>
      <c r="BT179" s="10">
        <f>-BT174/BT173</f>
        <v>0.39827002632568637</v>
      </c>
      <c r="BU179" s="10">
        <f>-BU174/BU173</f>
        <v>0.37995867768595043</v>
      </c>
      <c r="BV179" s="10">
        <f>-BV174/BV173</f>
        <v>0.38954518606024807</v>
      </c>
      <c r="BW179" s="9"/>
      <c r="BX179" s="10">
        <f>-BX174/BX173</f>
        <v>0.41031046377922575</v>
      </c>
      <c r="BY179" s="10">
        <f>-BY174/BY173</f>
        <v>0.38476486591527398</v>
      </c>
      <c r="BZ179" s="10">
        <f>-BZ174/BZ173</f>
        <v>0.39762639907371672</v>
      </c>
      <c r="CA179" s="9"/>
      <c r="CB179" s="10">
        <f>-CB174/CB173</f>
        <v>0.39466370205669815</v>
      </c>
      <c r="CC179" s="10">
        <f>-CC174/CC173</f>
        <v>0.37859858772406302</v>
      </c>
      <c r="CD179" s="10">
        <f>-CD174/CD173</f>
        <v>0.38653846153846155</v>
      </c>
      <c r="CE179" s="9"/>
      <c r="CG179" s="10">
        <f>-CG174/CG173</f>
        <v>0.37463893703061812</v>
      </c>
      <c r="CH179" s="10">
        <f>-CH174/CH173</f>
        <v>0.3834875333228791</v>
      </c>
      <c r="CI179" s="9"/>
      <c r="CK179" s="10">
        <f>-CK174/CK173</f>
        <v>0.39950041631973354</v>
      </c>
      <c r="CL179" s="10">
        <f>-CL174/CL173</f>
        <v>0.40576064908722109</v>
      </c>
      <c r="CM179" s="9"/>
      <c r="CO179" s="10">
        <f>-CO174/CO173</f>
        <v>0.380289455547898</v>
      </c>
      <c r="CP179" s="10">
        <f>-CP174/CP173</f>
        <v>0.40629403475810238</v>
      </c>
      <c r="CS179" s="10">
        <f>-CS174/CS173</f>
        <v>0.35325630252100843</v>
      </c>
      <c r="CT179" s="10">
        <f>-CT174/CT173</f>
        <v>0.36735165088894017</v>
      </c>
      <c r="CW179" s="10">
        <f>-CW174/CW173</f>
        <v>0.36890595009596927</v>
      </c>
      <c r="CX179" s="10">
        <f>-CX174/CX173</f>
        <v>0.38060872293693127</v>
      </c>
      <c r="DA179" s="10">
        <f>-DA174/DA173</f>
        <v>0.41962793806394116</v>
      </c>
      <c r="DB179" s="10">
        <f>-DB174/DB173</f>
        <v>0.43068632676022978</v>
      </c>
      <c r="DE179" s="10">
        <f ca="1">-DE174/DE173</f>
        <v>0.41303380782918148</v>
      </c>
      <c r="DF179" s="10">
        <f ca="1">-DF174/DF173</f>
        <v>0.42160622966062294</v>
      </c>
      <c r="DI179" s="10">
        <f>-DI174/DI173</f>
        <v>0.38990000000000002</v>
      </c>
      <c r="DJ179" s="10">
        <f ca="1">-DJ174/DJ173</f>
        <v>0.38500000000000001</v>
      </c>
      <c r="DN179" s="10">
        <f ca="1">-DN174/DN173</f>
        <v>0.37</v>
      </c>
      <c r="DR179" s="10">
        <f ca="1">-DR174/DR173</f>
        <v>0.37</v>
      </c>
    </row>
    <row r="180" spans="1:125">
      <c r="A180" s="3" t="s">
        <v>31</v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10">
        <f>-BF176/BF167</f>
        <v>0.79830810810810804</v>
      </c>
      <c r="BG180" s="9"/>
      <c r="BH180" s="10">
        <f>-BH176/BH167</f>
        <v>0.81218274111675126</v>
      </c>
      <c r="BI180" s="10">
        <f>-BI176/BI167</f>
        <v>0.68105515587529974</v>
      </c>
      <c r="BJ180" s="10">
        <f>-BJ176/BJ167</f>
        <v>0.7447595561035758</v>
      </c>
      <c r="BK180" s="9"/>
      <c r="BL180" s="10">
        <f>-BL176/BL167</f>
        <v>0.8081023454157783</v>
      </c>
      <c r="BM180" s="10">
        <f>-BM176/BM167</f>
        <v>0.91324200913242004</v>
      </c>
      <c r="BN180" s="10">
        <f>-BN176/BN167</f>
        <v>0.85887541345093721</v>
      </c>
      <c r="BO180" s="9"/>
      <c r="BP180" s="10">
        <f>-BP176/BP167</f>
        <v>0.97727272727272729</v>
      </c>
      <c r="BQ180" s="10">
        <f>-BQ176/BQ167</f>
        <v>0.99318181818181817</v>
      </c>
      <c r="BR180" s="10">
        <f>-BR176/BR167</f>
        <v>0.9856459330143541</v>
      </c>
      <c r="BS180" s="9"/>
      <c r="BT180" s="10">
        <f>-BT176/BT167</f>
        <v>0.96312364425162689</v>
      </c>
      <c r="BU180" s="10">
        <f>-BU176/BU167</f>
        <v>1.0491803278688525</v>
      </c>
      <c r="BV180" s="10">
        <f>-BV176/BV167</f>
        <v>1.0045045045045045</v>
      </c>
      <c r="BW180" s="9"/>
      <c r="BX180" s="10">
        <f>-BX176/BX167</f>
        <v>0.99761336515513122</v>
      </c>
      <c r="BY180" s="10">
        <f>-BY176/BY167</f>
        <v>1.101522842639594</v>
      </c>
      <c r="BZ180" s="10">
        <f>-BZ176/BZ167</f>
        <v>1.0479704797047971</v>
      </c>
      <c r="CA180" s="9"/>
      <c r="CB180" s="10">
        <f>-CB176/CB167</f>
        <v>1.0932642487046633</v>
      </c>
      <c r="CC180" s="10">
        <f>-CC176/CC167</f>
        <v>1.0515463917525774</v>
      </c>
      <c r="CD180" s="10">
        <f>-CD176/CD167</f>
        <v>1.0723514211886305</v>
      </c>
      <c r="CE180" s="9"/>
      <c r="CG180" s="10">
        <f>-CG176/CG167</f>
        <v>1.2222222222222223</v>
      </c>
      <c r="CH180" s="10">
        <f>-CH176/CH167</f>
        <v>1.2231759656652361</v>
      </c>
      <c r="CI180" s="9"/>
      <c r="CK180" s="10">
        <f>-CK176/CK167</f>
        <v>1.0524017467248907</v>
      </c>
      <c r="CL180" s="10">
        <f>-CL176/CL167</f>
        <v>1.1080459770114943</v>
      </c>
      <c r="CM180" s="9"/>
      <c r="CO180" s="10">
        <f>-CO176/CO167</f>
        <v>0.98313253012048196</v>
      </c>
      <c r="CP180" s="10">
        <f>-CP176/CP167</f>
        <v>1.0772058823529411</v>
      </c>
      <c r="CS180" s="10">
        <f>-CS176/CS167</f>
        <v>1.2642857142857142</v>
      </c>
      <c r="CT180" s="10">
        <f>-CT176/CT167</f>
        <v>1.2846441947565543</v>
      </c>
      <c r="CW180" s="10">
        <f>-CW176/CW167</f>
        <v>1.4789915966386555</v>
      </c>
      <c r="CX180" s="10">
        <f>-CX176/CX167</f>
        <v>1.4377622377622377</v>
      </c>
      <c r="DA180" s="10">
        <f>-DA176/DA167</f>
        <v>1.3091787439613527</v>
      </c>
      <c r="DB180" s="10">
        <f>-DB176/DB167</f>
        <v>1.3539823008849559</v>
      </c>
      <c r="DE180" s="10">
        <f ca="1">-DE176/DE167</f>
        <v>1.4423963133640554</v>
      </c>
      <c r="DF180" s="10">
        <f ca="1">-DF176/DF167</f>
        <v>1.3974507531865585</v>
      </c>
      <c r="DI180" s="10">
        <f>-DI176/DI167</f>
        <v>1.3160730642351011</v>
      </c>
      <c r="DJ180" s="10">
        <f ca="1">-DJ176/DJ167</f>
        <v>1.3062127296033459</v>
      </c>
      <c r="DN180" s="10">
        <f ca="1">-DN176/DN167</f>
        <v>1.251879155505871</v>
      </c>
      <c r="DR180" s="10">
        <f ca="1">-DR176/DR167</f>
        <v>1.2672304741182858</v>
      </c>
    </row>
    <row r="181" spans="1:125">
      <c r="A181" s="2" t="s">
        <v>572</v>
      </c>
      <c r="BF181" s="7">
        <f>+BF173+BF178</f>
        <v>1049.1637600000004</v>
      </c>
      <c r="BH181" s="4">
        <f t="shared" ref="BH181:BI185" si="200">BH83</f>
        <v>517</v>
      </c>
      <c r="BI181" s="4">
        <f t="shared" si="200"/>
        <v>888</v>
      </c>
      <c r="BJ181" s="7">
        <f>+BJ173+BJ178</f>
        <v>1405</v>
      </c>
      <c r="BL181" s="4">
        <f t="shared" ref="BL181:BM185" si="201">BL83</f>
        <v>810</v>
      </c>
      <c r="BM181" s="4">
        <f t="shared" si="201"/>
        <v>1298</v>
      </c>
      <c r="BN181" s="7">
        <f>+BN173+BN178</f>
        <v>2108</v>
      </c>
      <c r="BP181" s="4">
        <f t="shared" ref="BP181:BQ185" si="202">BP83</f>
        <v>1121</v>
      </c>
      <c r="BQ181" s="4">
        <f t="shared" si="202"/>
        <v>1401</v>
      </c>
      <c r="BR181" s="7">
        <f>+BR173+BR178</f>
        <v>2522</v>
      </c>
      <c r="BT181" s="4">
        <f t="shared" ref="BT181:BU185" si="203">BT83</f>
        <v>1619</v>
      </c>
      <c r="BU181" s="4">
        <f t="shared" si="203"/>
        <v>1396</v>
      </c>
      <c r="BV181" s="7">
        <f>+BV173+BV178</f>
        <v>3015</v>
      </c>
      <c r="BX181" s="4">
        <f t="shared" ref="BX181:BY185" si="204">BX83</f>
        <v>1485</v>
      </c>
      <c r="BY181" s="4">
        <f t="shared" si="204"/>
        <v>1619</v>
      </c>
      <c r="BZ181" s="7">
        <f>+BZ173+BZ178</f>
        <v>3104</v>
      </c>
      <c r="CB181" s="4">
        <f>CB83</f>
        <v>1704</v>
      </c>
      <c r="CC181" s="4">
        <f t="shared" ref="CC181" si="205">CC83</f>
        <v>1760</v>
      </c>
      <c r="CD181" s="7">
        <f>+CD173+CD178</f>
        <v>3464</v>
      </c>
      <c r="CG181" s="4">
        <f t="shared" ref="CG181:CG185" si="206">CG83</f>
        <v>2162</v>
      </c>
      <c r="CH181" s="7">
        <f>+CH173+CH178</f>
        <v>3867</v>
      </c>
      <c r="CK181" s="4">
        <f t="shared" ref="CK181:CK185" si="207">CK83</f>
        <v>1614</v>
      </c>
      <c r="CL181" s="7">
        <f>+CL173+CL178</f>
        <v>3454</v>
      </c>
      <c r="CO181" s="4">
        <f t="shared" ref="CO181:CO185" si="208">CO83</f>
        <v>2654</v>
      </c>
      <c r="CP181" s="7">
        <f>+CP173+CP178</f>
        <v>3907</v>
      </c>
      <c r="CS181" s="4">
        <f t="shared" ref="CS181:CS185" si="209">CS83</f>
        <v>3804</v>
      </c>
      <c r="CT181" s="7">
        <f>+CT173+CT178</f>
        <v>6539</v>
      </c>
      <c r="CW181" s="4">
        <f t="shared" ref="CW181:CW185" si="210">CW83</f>
        <v>3886</v>
      </c>
      <c r="CX181" s="7">
        <f>+CX173+CX178</f>
        <v>6992</v>
      </c>
      <c r="DA181" s="4">
        <f t="shared" ref="DA181:DA185" si="211">DA83</f>
        <v>2835</v>
      </c>
      <c r="DB181" s="7">
        <f>+DB173+DB178</f>
        <v>4826</v>
      </c>
      <c r="DE181" s="4">
        <f t="shared" ref="DE181:DE185" ca="1" si="212">DE83</f>
        <v>2771</v>
      </c>
      <c r="DF181" s="7">
        <f ca="1">+DF173+DF178</f>
        <v>5068</v>
      </c>
      <c r="DI181" s="427">
        <f t="shared" ref="DI181:DI185" si="213">DI83</f>
        <v>3573.024269452153</v>
      </c>
      <c r="DJ181" s="7">
        <f ca="1">+DJ173+DJ178</f>
        <v>8019.4318149670544</v>
      </c>
      <c r="DN181" s="7">
        <f ca="1">+DN173+DN178</f>
        <v>9601.4911697505922</v>
      </c>
      <c r="DR181" s="7">
        <f ca="1">+DR173+DR178</f>
        <v>10809.270038086093</v>
      </c>
    </row>
    <row r="182" spans="1:125" ht="14.4" thickBot="1">
      <c r="A182" s="1" t="s">
        <v>922</v>
      </c>
      <c r="BF182" s="38">
        <f>BF$84</f>
        <v>-287</v>
      </c>
      <c r="BH182" s="4">
        <f t="shared" si="200"/>
        <v>-156</v>
      </c>
      <c r="BI182" s="4">
        <f t="shared" si="200"/>
        <v>-377</v>
      </c>
      <c r="BJ182" s="38">
        <f>BJ$84</f>
        <v>-533</v>
      </c>
      <c r="BL182" s="4">
        <f t="shared" si="201"/>
        <v>-307</v>
      </c>
      <c r="BM182" s="4">
        <f t="shared" si="201"/>
        <v>-520</v>
      </c>
      <c r="BN182" s="38">
        <f>BN$84</f>
        <v>-827</v>
      </c>
      <c r="BP182" s="4">
        <f t="shared" si="202"/>
        <v>-432</v>
      </c>
      <c r="BQ182" s="4">
        <f t="shared" si="202"/>
        <v>-467</v>
      </c>
      <c r="BR182" s="38">
        <f>BR$84</f>
        <v>-899</v>
      </c>
      <c r="BT182" s="4">
        <f t="shared" si="203"/>
        <v>-530</v>
      </c>
      <c r="BU182" s="4">
        <f t="shared" si="203"/>
        <v>-397</v>
      </c>
      <c r="BV182" s="38">
        <f>BV$84</f>
        <v>-927</v>
      </c>
      <c r="BX182" s="4">
        <f t="shared" si="204"/>
        <v>-438</v>
      </c>
      <c r="BY182" s="4">
        <f t="shared" si="204"/>
        <v>-430</v>
      </c>
      <c r="BZ182" s="38">
        <f>BZ$84</f>
        <v>-868</v>
      </c>
      <c r="CB182" s="4">
        <f>CB84</f>
        <v>-448</v>
      </c>
      <c r="CC182" s="4">
        <f t="shared" ref="CC182" si="214">CC84</f>
        <v>-435</v>
      </c>
      <c r="CD182" s="38">
        <f>CD$84</f>
        <v>-883</v>
      </c>
      <c r="CG182" s="4">
        <f t="shared" si="206"/>
        <v>-505</v>
      </c>
      <c r="CH182" s="38">
        <f>CH$84</f>
        <v>-879</v>
      </c>
      <c r="CK182" s="4">
        <f t="shared" si="207"/>
        <v>-352</v>
      </c>
      <c r="CL182" s="38">
        <f>CL$84</f>
        <v>-728</v>
      </c>
      <c r="CO182" s="4">
        <f t="shared" si="208"/>
        <v>-624</v>
      </c>
      <c r="CP182" s="38">
        <f>CP$84</f>
        <v>-899</v>
      </c>
      <c r="CS182" s="4">
        <f t="shared" si="209"/>
        <v>-983</v>
      </c>
      <c r="CT182" s="38">
        <f>CT$84</f>
        <v>-1586</v>
      </c>
      <c r="CW182" s="4">
        <f t="shared" si="210"/>
        <v>-1089</v>
      </c>
      <c r="CX182" s="38">
        <f>CX$84</f>
        <v>-1824</v>
      </c>
      <c r="DA182" s="4">
        <f t="shared" si="211"/>
        <v>-704</v>
      </c>
      <c r="DB182" s="38">
        <f>DB$84</f>
        <v>-1291</v>
      </c>
      <c r="DE182" s="4">
        <f t="shared" si="212"/>
        <v>-640</v>
      </c>
      <c r="DF182" s="38">
        <f>DF$84</f>
        <v>-1326</v>
      </c>
      <c r="DI182" s="427">
        <f t="shared" si="213"/>
        <v>-1053.334071488385</v>
      </c>
      <c r="DJ182" s="8">
        <f ca="1">-DJ183*DJ181</f>
        <v>-2428.2263505890623</v>
      </c>
      <c r="DN182" s="8">
        <f ca="1">-DN183*DN181</f>
        <v>-2580.9865952953146</v>
      </c>
      <c r="DR182" s="8">
        <f ca="1">-DR183*DR181</f>
        <v>-2907.7726868505501</v>
      </c>
    </row>
    <row r="183" spans="1:125" ht="14.4" thickBot="1">
      <c r="A183" s="3" t="s">
        <v>907</v>
      </c>
      <c r="BF183" s="10">
        <f>-BF182/BF181</f>
        <v>0.27355119471530343</v>
      </c>
      <c r="BG183" s="1"/>
      <c r="BH183" s="10">
        <f t="shared" si="200"/>
        <v>0.30174081237911027</v>
      </c>
      <c r="BI183" s="10">
        <f t="shared" si="200"/>
        <v>0.42454954954954954</v>
      </c>
      <c r="BJ183" s="10">
        <f>-BJ182/BJ181</f>
        <v>0.37935943060498223</v>
      </c>
      <c r="BK183" s="1"/>
      <c r="BL183" s="10">
        <f t="shared" si="201"/>
        <v>0.37901234567901232</v>
      </c>
      <c r="BM183" s="10">
        <f t="shared" si="201"/>
        <v>0.40061633281972264</v>
      </c>
      <c r="BN183" s="10">
        <f>-BN182/BN181</f>
        <v>0.39231499051233398</v>
      </c>
      <c r="BO183" s="1"/>
      <c r="BP183" s="10">
        <f t="shared" si="202"/>
        <v>0.38537020517395182</v>
      </c>
      <c r="BQ183" s="10">
        <f t="shared" si="202"/>
        <v>0.33333333333333331</v>
      </c>
      <c r="BR183" s="10">
        <f>-BR182/BR181</f>
        <v>0.35646312450436163</v>
      </c>
      <c r="BS183" s="1"/>
      <c r="BT183" s="10">
        <f t="shared" si="203"/>
        <v>0.32736256948733788</v>
      </c>
      <c r="BU183" s="10">
        <f t="shared" si="203"/>
        <v>0.28438395415472778</v>
      </c>
      <c r="BV183" s="10">
        <f>-BV182/BV181</f>
        <v>0.30746268656716419</v>
      </c>
      <c r="BW183" s="1"/>
      <c r="BX183" s="10">
        <f t="shared" si="204"/>
        <v>0.29494949494949496</v>
      </c>
      <c r="BY183" s="10">
        <f t="shared" si="204"/>
        <v>0.26559604694255712</v>
      </c>
      <c r="BZ183" s="10">
        <f>-BZ182/BZ181</f>
        <v>0.27963917525773196</v>
      </c>
      <c r="CA183" s="1"/>
      <c r="CB183" s="10">
        <f>CB85</f>
        <v>0.26291079812206575</v>
      </c>
      <c r="CC183" s="10">
        <f t="shared" ref="CC183" si="215">CC85</f>
        <v>0.24715909090909091</v>
      </c>
      <c r="CD183" s="10">
        <f>-CD182/CD181</f>
        <v>0.25490762124711314</v>
      </c>
      <c r="CE183" s="1"/>
      <c r="CG183" s="10">
        <f t="shared" si="206"/>
        <v>0.2335800185013876</v>
      </c>
      <c r="CH183" s="10">
        <f>-CH182/CH181</f>
        <v>0.22730799069045771</v>
      </c>
      <c r="CI183" s="1"/>
      <c r="CK183" s="10">
        <f t="shared" si="207"/>
        <v>0.21809169764560099</v>
      </c>
      <c r="CL183" s="10">
        <f>-CL182/CL181</f>
        <v>0.21077012159814706</v>
      </c>
      <c r="CM183" s="1"/>
      <c r="CO183" s="10">
        <f t="shared" si="208"/>
        <v>0.23511680482290881</v>
      </c>
      <c r="CP183" s="10">
        <f>-CP182/CP181</f>
        <v>0.23009982083439978</v>
      </c>
      <c r="CS183" s="10">
        <f t="shared" si="209"/>
        <v>0.25841219768664564</v>
      </c>
      <c r="CT183" s="10">
        <f>-CT182/CT181</f>
        <v>0.24254473161033796</v>
      </c>
      <c r="CW183" s="10">
        <f t="shared" si="210"/>
        <v>0.28023674729799281</v>
      </c>
      <c r="CX183" s="10">
        <f>-CX182/CX181</f>
        <v>0.2608695652173913</v>
      </c>
      <c r="DA183" s="10">
        <f t="shared" si="211"/>
        <v>0.24832451499118166</v>
      </c>
      <c r="DB183" s="10">
        <f>-DB182/DB181</f>
        <v>0.26750932449233322</v>
      </c>
      <c r="DE183" s="10">
        <f t="shared" ca="1" si="212"/>
        <v>0.23096355106459762</v>
      </c>
      <c r="DF183" s="10">
        <f ca="1">-DF182/DF181</f>
        <v>0.26164167324388321</v>
      </c>
      <c r="DI183" s="10">
        <f t="shared" si="213"/>
        <v>0.2948018239041772</v>
      </c>
      <c r="DJ183" s="53">
        <f>DK159</f>
        <v>0.30279281707429018</v>
      </c>
      <c r="DN183" s="53">
        <f>DO159</f>
        <v>0.26881101587914685</v>
      </c>
      <c r="DR183" s="53">
        <f>DS159</f>
        <v>0.26900731285323731</v>
      </c>
    </row>
    <row r="184" spans="1:125" ht="14.4" thickBot="1">
      <c r="A184" s="1" t="s">
        <v>599</v>
      </c>
      <c r="BF184" s="38">
        <f>BF$86</f>
        <v>-32</v>
      </c>
      <c r="BH184" s="4">
        <f t="shared" si="200"/>
        <v>0</v>
      </c>
      <c r="BI184" s="4">
        <f t="shared" si="200"/>
        <v>-21</v>
      </c>
      <c r="BJ184" s="38">
        <f>BJ$86</f>
        <v>-21</v>
      </c>
      <c r="BL184" s="4">
        <f t="shared" si="201"/>
        <v>-2</v>
      </c>
      <c r="BM184" s="4">
        <f t="shared" si="201"/>
        <v>-12</v>
      </c>
      <c r="BN184" s="38">
        <f>BN$86</f>
        <v>-14</v>
      </c>
      <c r="BP184" s="4">
        <f t="shared" si="202"/>
        <v>-11</v>
      </c>
      <c r="BQ184" s="4">
        <f t="shared" si="202"/>
        <v>-8</v>
      </c>
      <c r="BR184" s="38">
        <f>BR$86</f>
        <v>-19</v>
      </c>
      <c r="BT184" s="4">
        <f t="shared" si="203"/>
        <v>-19</v>
      </c>
      <c r="BU184" s="4">
        <f t="shared" si="203"/>
        <v>-6</v>
      </c>
      <c r="BV184" s="38">
        <f>BV$86</f>
        <v>-25</v>
      </c>
      <c r="BX184" s="4">
        <f t="shared" si="204"/>
        <v>3</v>
      </c>
      <c r="BY184" s="4">
        <f t="shared" si="204"/>
        <v>-22</v>
      </c>
      <c r="BZ184" s="38">
        <f>BZ$86</f>
        <v>-19</v>
      </c>
      <c r="CB184" s="4">
        <f>CB86</f>
        <v>-8</v>
      </c>
      <c r="CC184" s="4">
        <f t="shared" ref="CC184" si="216">CC86</f>
        <v>-16</v>
      </c>
      <c r="CD184" s="38">
        <f>CD$86</f>
        <v>-24</v>
      </c>
      <c r="CG184" s="4">
        <f t="shared" si="206"/>
        <v>15</v>
      </c>
      <c r="CH184" s="38">
        <f>CH$86</f>
        <v>-6</v>
      </c>
      <c r="CK184" s="4">
        <f t="shared" si="207"/>
        <v>12</v>
      </c>
      <c r="CL184" s="38">
        <f>CL$86</f>
        <v>5</v>
      </c>
      <c r="CO184" s="4">
        <f t="shared" si="208"/>
        <v>0</v>
      </c>
      <c r="CP184" s="38">
        <f>CP$86</f>
        <v>7</v>
      </c>
      <c r="CS184" s="4">
        <f t="shared" si="209"/>
        <v>-158</v>
      </c>
      <c r="CT184" s="38">
        <f>CT$86</f>
        <v>-247</v>
      </c>
      <c r="CW184" s="4">
        <f t="shared" si="210"/>
        <v>2</v>
      </c>
      <c r="CX184" s="38">
        <f>CX$86</f>
        <v>14</v>
      </c>
      <c r="DA184" s="4">
        <f t="shared" si="211"/>
        <v>-24</v>
      </c>
      <c r="DB184" s="38">
        <f>DB$86</f>
        <v>-13</v>
      </c>
      <c r="DE184" s="4">
        <f t="shared" si="212"/>
        <v>-28</v>
      </c>
      <c r="DF184" s="38">
        <f>DF$86</f>
        <v>-27</v>
      </c>
      <c r="DI184" s="4">
        <f t="shared" si="213"/>
        <v>-2</v>
      </c>
      <c r="DJ184" s="8">
        <f>DJ$86</f>
        <v>-28</v>
      </c>
      <c r="DN184" s="8">
        <f>DN$86</f>
        <v>-4</v>
      </c>
      <c r="DR184" s="8">
        <f>DR$86</f>
        <v>-4</v>
      </c>
    </row>
    <row r="185" spans="1:125" ht="14.4" thickBot="1">
      <c r="A185" s="72" t="s">
        <v>769</v>
      </c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4"/>
      <c r="AW185" s="74"/>
      <c r="AX185" s="74"/>
      <c r="AY185" s="74"/>
      <c r="AZ185" s="74"/>
      <c r="BA185" s="74"/>
      <c r="BB185" s="74"/>
      <c r="BC185" s="74"/>
      <c r="BD185" s="74"/>
      <c r="BE185" s="74"/>
      <c r="BF185" s="75">
        <f>+BF181+BF182+BF184</f>
        <v>730.16376000000037</v>
      </c>
      <c r="BG185" s="74"/>
      <c r="BH185" s="76">
        <f t="shared" si="200"/>
        <v>361</v>
      </c>
      <c r="BI185" s="76">
        <f t="shared" si="200"/>
        <v>490</v>
      </c>
      <c r="BJ185" s="75">
        <f>+BJ181+BJ182+BJ184</f>
        <v>851</v>
      </c>
      <c r="BK185" s="74"/>
      <c r="BL185" s="76">
        <f t="shared" si="201"/>
        <v>501</v>
      </c>
      <c r="BM185" s="76">
        <f t="shared" si="201"/>
        <v>766</v>
      </c>
      <c r="BN185" s="75">
        <f>+BN181+BN182+BN184</f>
        <v>1267</v>
      </c>
      <c r="BO185" s="74"/>
      <c r="BP185" s="76">
        <f t="shared" si="202"/>
        <v>678</v>
      </c>
      <c r="BQ185" s="76">
        <f t="shared" si="202"/>
        <v>926</v>
      </c>
      <c r="BR185" s="75">
        <f>+BR181+BR182+BR184</f>
        <v>1604</v>
      </c>
      <c r="BS185" s="74"/>
      <c r="BT185" s="76">
        <f t="shared" si="203"/>
        <v>1070</v>
      </c>
      <c r="BU185" s="76">
        <f t="shared" si="203"/>
        <v>993</v>
      </c>
      <c r="BV185" s="75">
        <f>+BV181+BV182+BV184</f>
        <v>2063</v>
      </c>
      <c r="BW185" s="74"/>
      <c r="BX185" s="76">
        <f t="shared" si="204"/>
        <v>1050</v>
      </c>
      <c r="BY185" s="76">
        <f t="shared" si="204"/>
        <v>1167</v>
      </c>
      <c r="BZ185" s="75">
        <f>+BZ181+BZ182+BZ184</f>
        <v>2217</v>
      </c>
      <c r="CA185" s="74"/>
      <c r="CB185" s="76">
        <f>CB87</f>
        <v>1248</v>
      </c>
      <c r="CC185" s="76">
        <f t="shared" ref="CC185" si="217">CC87</f>
        <v>1309</v>
      </c>
      <c r="CD185" s="75">
        <f>+CD181+CD182+CD184</f>
        <v>2557</v>
      </c>
      <c r="CE185" s="74"/>
      <c r="CF185" s="74"/>
      <c r="CG185" s="76">
        <f t="shared" si="206"/>
        <v>1672</v>
      </c>
      <c r="CH185" s="75">
        <f>+CH181+CH182+CH184</f>
        <v>2982</v>
      </c>
      <c r="CI185" s="74"/>
      <c r="CJ185" s="74"/>
      <c r="CK185" s="76">
        <f t="shared" si="207"/>
        <v>1274</v>
      </c>
      <c r="CL185" s="75">
        <f>+CL181+CL182+CL184</f>
        <v>2731</v>
      </c>
      <c r="CM185" s="74"/>
      <c r="CN185" s="74"/>
      <c r="CO185" s="76">
        <f t="shared" si="208"/>
        <v>2030</v>
      </c>
      <c r="CP185" s="75">
        <f>+CP181+CP182+CP184</f>
        <v>3015</v>
      </c>
      <c r="CQ185" s="77">
        <f>+CP185/CL185-1</f>
        <v>0.10399121201025263</v>
      </c>
      <c r="CR185" s="74"/>
      <c r="CS185" s="76">
        <f t="shared" si="209"/>
        <v>2663</v>
      </c>
      <c r="CT185" s="75">
        <f>+CT181+CT182+CT184</f>
        <v>4706</v>
      </c>
      <c r="CU185" s="77">
        <f>+CT185/CP185-1</f>
        <v>0.56086235489220559</v>
      </c>
      <c r="CV185" s="74"/>
      <c r="CW185" s="76">
        <f t="shared" si="210"/>
        <v>2799</v>
      </c>
      <c r="CX185" s="75">
        <f>+CX181+CX182+CX184</f>
        <v>5182</v>
      </c>
      <c r="CY185" s="77">
        <f>+CX185/CT185-1</f>
        <v>0.10114747131321722</v>
      </c>
      <c r="CZ185" s="74"/>
      <c r="DA185" s="76">
        <f t="shared" si="211"/>
        <v>2107</v>
      </c>
      <c r="DB185" s="75">
        <f>+DB181+DB182+DB184</f>
        <v>3522</v>
      </c>
      <c r="DC185" s="77">
        <f>+DB185/CX185-1</f>
        <v>-0.32033963720571212</v>
      </c>
      <c r="DD185" s="74"/>
      <c r="DE185" s="76">
        <f t="shared" ca="1" si="212"/>
        <v>2103</v>
      </c>
      <c r="DF185" s="75">
        <f ca="1">+DF181+DF182+DF184</f>
        <v>3715</v>
      </c>
      <c r="DG185" s="77">
        <f ca="1">+DF185/DB185-1</f>
        <v>5.4798409994321506E-2</v>
      </c>
      <c r="DH185" s="74"/>
      <c r="DI185" s="2229">
        <f t="shared" si="213"/>
        <v>2517.6901979637678</v>
      </c>
      <c r="DJ185" s="75">
        <f ca="1">+DJ181+DJ182+DJ184</f>
        <v>5563.205464377992</v>
      </c>
      <c r="DK185" s="77">
        <f ca="1">+DJ185/DF185-1</f>
        <v>0.49749810615827506</v>
      </c>
      <c r="DL185" s="74"/>
      <c r="DM185" s="74"/>
      <c r="DN185" s="75">
        <f ca="1">+DN181+DN182+DN184</f>
        <v>7016.5045744552772</v>
      </c>
      <c r="DO185" s="77">
        <f ca="1">+DN185/DJ185-1</f>
        <v>0.26123412471154794</v>
      </c>
      <c r="DP185" s="74"/>
      <c r="DQ185" s="74"/>
      <c r="DR185" s="75">
        <f ca="1">+DR181+DR182+DR184</f>
        <v>7897.4973512355427</v>
      </c>
      <c r="DS185" s="77">
        <f ca="1">+DR185/DN185-1</f>
        <v>0.12556006590342195</v>
      </c>
    </row>
    <row r="186" spans="1:125" s="11" customFormat="1">
      <c r="A186" s="2005" t="s">
        <v>43</v>
      </c>
      <c r="B186" s="2005"/>
      <c r="C186" s="2005"/>
      <c r="D186" s="2005"/>
      <c r="E186" s="2005"/>
      <c r="F186" s="2005"/>
      <c r="G186" s="2005"/>
      <c r="H186" s="2005"/>
      <c r="I186" s="2005"/>
      <c r="J186" s="2005"/>
      <c r="K186" s="2005"/>
      <c r="L186" s="2005"/>
      <c r="M186" s="2005"/>
      <c r="N186" s="2005"/>
      <c r="O186" s="2005"/>
      <c r="P186" s="2005"/>
      <c r="Q186" s="2005"/>
      <c r="R186" s="2005"/>
      <c r="S186" s="2005"/>
      <c r="T186" s="2005"/>
      <c r="U186" s="2005"/>
      <c r="V186" s="2005"/>
      <c r="W186" s="2005"/>
      <c r="X186" s="2005"/>
      <c r="Y186" s="2005"/>
      <c r="Z186" s="2005"/>
      <c r="AA186" s="2005"/>
      <c r="AB186" s="2005"/>
      <c r="AC186" s="2005"/>
      <c r="AD186" s="2005"/>
      <c r="AE186" s="2005"/>
      <c r="AF186" s="2005"/>
      <c r="AG186" s="2005"/>
      <c r="AH186" s="2005"/>
      <c r="AI186" s="2005"/>
      <c r="AJ186" s="2005"/>
      <c r="AK186" s="2005"/>
      <c r="AL186" s="2005"/>
      <c r="AM186" s="2005"/>
      <c r="AN186" s="2005"/>
      <c r="AO186" s="2005"/>
      <c r="AP186" s="2005"/>
      <c r="AQ186" s="2005"/>
      <c r="AR186" s="2005"/>
      <c r="AS186" s="2005"/>
      <c r="AT186" s="2005"/>
      <c r="AU186" s="2005"/>
      <c r="AV186" s="2006"/>
      <c r="AW186" s="2006"/>
      <c r="AX186" s="2006"/>
      <c r="AY186" s="2006"/>
      <c r="AZ186" s="2006"/>
      <c r="BA186" s="2006"/>
      <c r="BB186" s="2006"/>
      <c r="BC186" s="2006"/>
      <c r="BD186" s="2006"/>
      <c r="BE186" s="2006"/>
      <c r="BF186" s="2006"/>
      <c r="BG186" s="2006"/>
      <c r="BH186" s="2006"/>
      <c r="BI186" s="2006"/>
      <c r="BJ186" s="2006"/>
      <c r="BK186" s="2006"/>
      <c r="BL186" s="2007">
        <f>BL185/BL$87-1</f>
        <v>0</v>
      </c>
      <c r="BM186" s="2007">
        <f>BM185/BM$87-1</f>
        <v>0</v>
      </c>
      <c r="BN186" s="2007">
        <f>BN185/BN$87-1</f>
        <v>0</v>
      </c>
      <c r="BO186" s="2006"/>
      <c r="BP186" s="2007">
        <f>BP185/BP$87-1</f>
        <v>0</v>
      </c>
      <c r="BQ186" s="2007">
        <f>BQ185/BQ$87-1</f>
        <v>0</v>
      </c>
      <c r="BR186" s="2007">
        <f>BR185/BR$87-1</f>
        <v>0</v>
      </c>
      <c r="BS186" s="2006"/>
      <c r="BT186" s="2007">
        <f>BT185/BT$87-1</f>
        <v>0</v>
      </c>
      <c r="BU186" s="2006"/>
      <c r="BV186" s="2007">
        <f>BV185/BV$87-1</f>
        <v>0</v>
      </c>
      <c r="BW186" s="2006"/>
      <c r="BX186" s="2006"/>
      <c r="BY186" s="2006"/>
      <c r="BZ186" s="2007">
        <f>BZ185/BZ$87-1</f>
        <v>0</v>
      </c>
      <c r="CA186" s="2006"/>
      <c r="CB186" s="2006"/>
      <c r="CC186" s="2006"/>
      <c r="CD186" s="2007">
        <f>CD185/CD$87-1</f>
        <v>0</v>
      </c>
      <c r="CE186" s="2006"/>
      <c r="CF186" s="2006"/>
      <c r="CG186" s="2006"/>
      <c r="CH186" s="2007">
        <f>CH185/CH$87-1</f>
        <v>0</v>
      </c>
      <c r="CI186" s="2006"/>
      <c r="CJ186" s="2006"/>
      <c r="CK186" s="2006"/>
      <c r="CL186" s="2007">
        <f>CL185/CL$87-1</f>
        <v>0</v>
      </c>
      <c r="CM186" s="2006"/>
      <c r="CN186" s="2006"/>
      <c r="CO186" s="2006"/>
      <c r="CP186" s="2007">
        <f>CP185/CP$87-1</f>
        <v>0</v>
      </c>
      <c r="CQ186" s="2006"/>
      <c r="CR186" s="2006"/>
      <c r="CS186" s="2006"/>
      <c r="CT186" s="2007">
        <f>CT185/CT$87-1</f>
        <v>0</v>
      </c>
      <c r="CU186" s="2006"/>
      <c r="CV186" s="2006"/>
      <c r="CW186" s="2006"/>
      <c r="CX186" s="2007">
        <f>CX185/CX$87-1</f>
        <v>0</v>
      </c>
      <c r="CY186" s="2006"/>
      <c r="CZ186" s="2006"/>
      <c r="DA186" s="2006"/>
      <c r="DB186" s="2007">
        <f>DB185/DB$87-1</f>
        <v>0</v>
      </c>
      <c r="DC186" s="2006"/>
      <c r="DD186" s="2006"/>
      <c r="DE186" s="2006"/>
      <c r="DF186" s="2007">
        <f ca="1">DF185/DF$87-1</f>
        <v>0</v>
      </c>
      <c r="DG186" s="2006"/>
      <c r="DH186" s="2006"/>
      <c r="DI186" s="2006"/>
      <c r="DJ186" s="2007">
        <f ca="1">DJ185/DJ$87-1</f>
        <v>0.33324191359636046</v>
      </c>
      <c r="DK186" s="2006"/>
      <c r="DL186" s="2006"/>
      <c r="DM186" s="2006"/>
      <c r="DN186" s="2007">
        <f ca="1">DN185/DN$87-1</f>
        <v>0.53443015920137227</v>
      </c>
      <c r="DO186" s="2006"/>
      <c r="DP186" s="2006"/>
      <c r="DQ186" s="2006"/>
      <c r="DR186" s="2007">
        <f ca="1">DR185/DR$87-1</f>
        <v>0.60427980065410902</v>
      </c>
      <c r="DS186" s="2006"/>
      <c r="DT186" s="15"/>
      <c r="DU186" s="15"/>
    </row>
    <row r="188" spans="1:125">
      <c r="A188" s="2" t="s">
        <v>784</v>
      </c>
      <c r="BF188" s="8">
        <f t="shared" ref="BF188:BF198" si="218">BF89</f>
        <v>11404</v>
      </c>
      <c r="BJ188" s="8">
        <f t="shared" ref="BJ188:BJ198" si="219">BJ89</f>
        <v>11203</v>
      </c>
      <c r="BL188" s="8"/>
      <c r="BN188" s="8">
        <f t="shared" ref="BN188:BN198" si="220">BN89</f>
        <v>11403</v>
      </c>
      <c r="BP188" s="8"/>
      <c r="BR188" s="8">
        <f t="shared" ref="BR188:BR198" si="221">BR89</f>
        <v>11418</v>
      </c>
      <c r="BT188" s="8"/>
      <c r="BV188" s="8">
        <f t="shared" ref="BV188:BV198" si="222">BV89</f>
        <v>13909</v>
      </c>
      <c r="BZ188" s="8">
        <f t="shared" ref="BZ188:BZ198" si="223">BZ89</f>
        <v>15116</v>
      </c>
      <c r="CD188" s="8">
        <f t="shared" ref="CD188:CD198" si="224">CD89</f>
        <v>15563</v>
      </c>
      <c r="CH188" s="8">
        <f t="shared" ref="CH188:CH198" si="225">CH89</f>
        <v>16357</v>
      </c>
      <c r="CL188" s="8">
        <f t="shared" ref="CL188:CL198" si="226">CL89</f>
        <v>17761</v>
      </c>
      <c r="CP188" s="8">
        <f>CL198</f>
        <v>21063</v>
      </c>
      <c r="CT188" s="8">
        <f>CP198</f>
        <v>21561.721624425998</v>
      </c>
      <c r="CX188" s="8">
        <f>CT198</f>
        <v>24950.743879696536</v>
      </c>
      <c r="DB188" s="8">
        <f>CX198</f>
        <v>28939.439319104848</v>
      </c>
      <c r="DF188" s="8">
        <f>DB198</f>
        <v>29954.669993950261</v>
      </c>
      <c r="DJ188" s="8">
        <f ca="1">DF198</f>
        <v>32195.21949409935</v>
      </c>
      <c r="DN188" s="8">
        <f ca="1">DJ198</f>
        <v>33766.36379225416</v>
      </c>
      <c r="DR188" s="8">
        <f ca="1">DN198</f>
        <v>36943.503724699032</v>
      </c>
    </row>
    <row r="189" spans="1:125">
      <c r="A189" s="1" t="s">
        <v>64</v>
      </c>
      <c r="BF189" s="8">
        <f t="shared" si="218"/>
        <v>0</v>
      </c>
      <c r="BJ189" s="8">
        <f t="shared" si="219"/>
        <v>0</v>
      </c>
      <c r="BL189" s="8"/>
      <c r="BN189" s="8">
        <f t="shared" si="220"/>
        <v>0</v>
      </c>
      <c r="BP189" s="8"/>
      <c r="BR189" s="8">
        <f t="shared" si="221"/>
        <v>0</v>
      </c>
      <c r="BT189" s="8"/>
      <c r="BV189" s="8">
        <f t="shared" si="222"/>
        <v>538</v>
      </c>
      <c r="BZ189" s="8">
        <f t="shared" si="223"/>
        <v>0</v>
      </c>
      <c r="CD189" s="8">
        <f t="shared" si="224"/>
        <v>0</v>
      </c>
      <c r="CH189" s="8">
        <f t="shared" si="225"/>
        <v>0</v>
      </c>
      <c r="CL189" s="8">
        <f t="shared" si="226"/>
        <v>1670</v>
      </c>
      <c r="CP189" s="8">
        <f>-CL205</f>
        <v>0</v>
      </c>
      <c r="CT189" s="8">
        <f>-CP205</f>
        <v>0</v>
      </c>
      <c r="CX189" s="8">
        <f>-CT205</f>
        <v>0</v>
      </c>
      <c r="DB189" s="8">
        <f>-CX205</f>
        <v>0</v>
      </c>
      <c r="DF189" s="8">
        <f>-DB205</f>
        <v>0</v>
      </c>
      <c r="DJ189" s="8">
        <f ca="1">-DF205</f>
        <v>0</v>
      </c>
      <c r="DN189" s="8">
        <f ca="1">-DJ205</f>
        <v>0</v>
      </c>
      <c r="DR189" s="8">
        <f ca="1">-DN205</f>
        <v>0</v>
      </c>
    </row>
    <row r="190" spans="1:125">
      <c r="A190" s="1" t="s">
        <v>101</v>
      </c>
      <c r="BF190" s="8">
        <f t="shared" si="218"/>
        <v>0</v>
      </c>
      <c r="BJ190" s="8">
        <f t="shared" si="219"/>
        <v>-251</v>
      </c>
      <c r="BL190" s="8"/>
      <c r="BN190" s="8">
        <f t="shared" si="220"/>
        <v>0</v>
      </c>
      <c r="BP190" s="8"/>
      <c r="BR190" s="8">
        <f t="shared" si="221"/>
        <v>0</v>
      </c>
      <c r="BT190" s="8"/>
      <c r="BV190" s="8">
        <f t="shared" si="222"/>
        <v>0</v>
      </c>
      <c r="BZ190" s="8">
        <f t="shared" si="223"/>
        <v>0</v>
      </c>
      <c r="CD190" s="8">
        <f t="shared" si="224"/>
        <v>0</v>
      </c>
      <c r="CH190" s="8">
        <f t="shared" si="225"/>
        <v>0</v>
      </c>
      <c r="CL190" s="8">
        <f t="shared" si="226"/>
        <v>0</v>
      </c>
      <c r="CP190" s="8">
        <f>-CL207</f>
        <v>0</v>
      </c>
      <c r="CT190" s="8">
        <f>-CP207</f>
        <v>0</v>
      </c>
      <c r="CX190" s="8">
        <f>-CT207</f>
        <v>0</v>
      </c>
      <c r="DB190" s="8">
        <f>-CX207</f>
        <v>0</v>
      </c>
      <c r="DF190" s="8">
        <f>-DB207</f>
        <v>0</v>
      </c>
      <c r="DJ190" s="8">
        <f ca="1">-DF207</f>
        <v>0</v>
      </c>
      <c r="DN190" s="8">
        <f ca="1">-DJ207</f>
        <v>0</v>
      </c>
      <c r="DR190" s="8">
        <f ca="1">-DN207</f>
        <v>0</v>
      </c>
    </row>
    <row r="191" spans="1:125">
      <c r="A191" s="1" t="s">
        <v>65</v>
      </c>
      <c r="BF191" s="8">
        <f t="shared" si="218"/>
        <v>93</v>
      </c>
      <c r="BJ191" s="8">
        <f t="shared" si="219"/>
        <v>0</v>
      </c>
      <c r="BL191" s="8"/>
      <c r="BN191" s="8">
        <f t="shared" si="220"/>
        <v>0</v>
      </c>
      <c r="BP191" s="8"/>
      <c r="BR191" s="8">
        <f t="shared" si="221"/>
        <v>171</v>
      </c>
      <c r="BT191" s="8"/>
      <c r="BV191" s="8">
        <f t="shared" si="222"/>
        <v>0</v>
      </c>
      <c r="BZ191" s="8">
        <f t="shared" si="223"/>
        <v>0</v>
      </c>
      <c r="CD191" s="8">
        <f t="shared" si="224"/>
        <v>0</v>
      </c>
      <c r="CH191" s="8">
        <f t="shared" si="225"/>
        <v>0</v>
      </c>
      <c r="CL191" s="8">
        <f t="shared" si="226"/>
        <v>0</v>
      </c>
      <c r="CP191" s="6">
        <v>0</v>
      </c>
      <c r="CT191" s="6">
        <v>0</v>
      </c>
      <c r="CX191" s="6">
        <v>0</v>
      </c>
      <c r="DB191" s="6">
        <v>0</v>
      </c>
      <c r="DF191" s="6">
        <v>0</v>
      </c>
      <c r="DJ191" s="6">
        <v>0</v>
      </c>
      <c r="DN191" s="6">
        <v>0</v>
      </c>
      <c r="DR191" s="6">
        <v>0</v>
      </c>
    </row>
    <row r="192" spans="1:125">
      <c r="A192" s="1" t="s">
        <v>66</v>
      </c>
      <c r="BF192" s="8">
        <f t="shared" si="218"/>
        <v>57.546471799999608</v>
      </c>
      <c r="BJ192" s="8">
        <f t="shared" si="219"/>
        <v>139.20512049999999</v>
      </c>
      <c r="BL192" s="8"/>
      <c r="BN192" s="8">
        <f t="shared" si="220"/>
        <v>-1121.2187414999999</v>
      </c>
      <c r="BP192" s="8"/>
      <c r="BR192" s="8">
        <f t="shared" si="221"/>
        <v>640.79349220000006</v>
      </c>
      <c r="BT192" s="8"/>
      <c r="BV192" s="8">
        <f t="shared" si="222"/>
        <v>-8.923310000000015</v>
      </c>
      <c r="BZ192" s="8">
        <f t="shared" si="223"/>
        <v>-16.121165799999858</v>
      </c>
      <c r="CD192" s="8">
        <f t="shared" si="224"/>
        <v>63.228547949999893</v>
      </c>
      <c r="CH192" s="8">
        <f t="shared" si="225"/>
        <v>-125.49968929999989</v>
      </c>
      <c r="CL192" s="8">
        <f t="shared" si="226"/>
        <v>85.829024300000015</v>
      </c>
      <c r="CP192" s="8">
        <f>CP93</f>
        <v>769.42640925000001</v>
      </c>
      <c r="CT192" s="8">
        <f>CT93</f>
        <v>693.81063263000021</v>
      </c>
      <c r="CX192" s="8">
        <f>CX93</f>
        <v>119.70699150000019</v>
      </c>
      <c r="DB192" s="8">
        <f>DB93</f>
        <v>39.171115700000314</v>
      </c>
      <c r="DF192" s="8">
        <f ca="1">DF93</f>
        <v>35.875631050000379</v>
      </c>
      <c r="DJ192" s="8">
        <f ca="1">DJ93</f>
        <v>194.298096734605</v>
      </c>
      <c r="DN192" s="8">
        <f ca="1">DN93</f>
        <v>422.0460964409906</v>
      </c>
      <c r="DR192" s="8">
        <f ca="1">DR93</f>
        <v>467.63525859420884</v>
      </c>
    </row>
    <row r="193" spans="1:123">
      <c r="A193" s="1" t="s">
        <v>128</v>
      </c>
      <c r="BF193" s="8">
        <f t="shared" si="218"/>
        <v>-243</v>
      </c>
      <c r="BJ193" s="8">
        <f t="shared" si="219"/>
        <v>-37</v>
      </c>
      <c r="BL193" s="8"/>
      <c r="BN193" s="8">
        <f t="shared" si="220"/>
        <v>21</v>
      </c>
      <c r="BP193" s="8"/>
      <c r="BR193" s="8">
        <f t="shared" si="221"/>
        <v>19</v>
      </c>
      <c r="BT193" s="8"/>
      <c r="BV193" s="8">
        <f t="shared" si="222"/>
        <v>-65</v>
      </c>
      <c r="BZ193" s="8">
        <f t="shared" si="223"/>
        <v>-151</v>
      </c>
      <c r="CD193" s="8">
        <f t="shared" si="224"/>
        <v>-77</v>
      </c>
      <c r="CH193" s="8">
        <f t="shared" si="225"/>
        <v>-108</v>
      </c>
      <c r="CL193" s="8">
        <f t="shared" si="226"/>
        <v>-74</v>
      </c>
      <c r="CP193" s="8">
        <f>CP94</f>
        <v>-187</v>
      </c>
      <c r="CT193" s="8">
        <f>CT94</f>
        <v>-225</v>
      </c>
      <c r="CX193" s="8">
        <f>CX94</f>
        <v>-470</v>
      </c>
      <c r="DB193" s="8">
        <f>DB94</f>
        <v>-456</v>
      </c>
      <c r="DF193" s="8">
        <f>DF94</f>
        <v>20</v>
      </c>
      <c r="DJ193" s="8">
        <f>DJ94</f>
        <v>-91.16</v>
      </c>
      <c r="DN193" s="8">
        <f>DN94</f>
        <v>-173.87924399999997</v>
      </c>
      <c r="DR193" s="8">
        <f>DR94</f>
        <v>-184.46848995959996</v>
      </c>
    </row>
    <row r="194" spans="1:123" ht="14.4" thickBot="1">
      <c r="A194" s="1" t="s">
        <v>130</v>
      </c>
      <c r="BF194" s="8">
        <f t="shared" si="218"/>
        <v>-266</v>
      </c>
      <c r="BJ194" s="8">
        <f t="shared" si="219"/>
        <v>13</v>
      </c>
      <c r="BL194" s="8"/>
      <c r="BN194" s="8">
        <f t="shared" si="220"/>
        <v>612</v>
      </c>
      <c r="BP194" s="8"/>
      <c r="BR194" s="8">
        <f t="shared" si="221"/>
        <v>987</v>
      </c>
      <c r="BT194" s="8"/>
      <c r="BV194" s="8">
        <f t="shared" si="222"/>
        <v>-120</v>
      </c>
      <c r="BZ194" s="8">
        <f t="shared" si="223"/>
        <v>-140</v>
      </c>
      <c r="CD194" s="8">
        <f t="shared" si="224"/>
        <v>-99</v>
      </c>
      <c r="CH194" s="8">
        <f t="shared" si="225"/>
        <v>476</v>
      </c>
      <c r="CL194" s="8">
        <f t="shared" si="226"/>
        <v>1000</v>
      </c>
      <c r="CP194" s="8">
        <f>CP95</f>
        <v>-1487</v>
      </c>
      <c r="CT194" s="8">
        <f>CT95</f>
        <v>237</v>
      </c>
      <c r="CX194" s="8">
        <f>CX95</f>
        <v>1779</v>
      </c>
      <c r="DB194" s="8">
        <f>DB95</f>
        <v>589</v>
      </c>
      <c r="DF194" s="8">
        <f>DF95</f>
        <v>938</v>
      </c>
      <c r="DJ194" s="8">
        <f>DJ95</f>
        <v>-1050</v>
      </c>
      <c r="DN194" s="8">
        <f>DN95</f>
        <v>0</v>
      </c>
      <c r="DR194" s="8">
        <f>DR95</f>
        <v>0</v>
      </c>
    </row>
    <row r="195" spans="1:123" ht="14.4" thickBot="1">
      <c r="A195" s="1" t="s">
        <v>921</v>
      </c>
      <c r="BF195" s="8">
        <f t="shared" si="218"/>
        <v>730.65376000000037</v>
      </c>
      <c r="BJ195" s="8">
        <f t="shared" si="219"/>
        <v>851.49</v>
      </c>
      <c r="BL195" s="8"/>
      <c r="BN195" s="8">
        <f t="shared" si="220"/>
        <v>1267.49</v>
      </c>
      <c r="BP195" s="8"/>
      <c r="BR195" s="8">
        <f t="shared" si="221"/>
        <v>1604.49</v>
      </c>
      <c r="BT195" s="8"/>
      <c r="BV195" s="8">
        <f t="shared" si="222"/>
        <v>2063.4899999999998</v>
      </c>
      <c r="BZ195" s="8">
        <f t="shared" si="223"/>
        <v>2217.4899999999998</v>
      </c>
      <c r="CD195" s="8">
        <f t="shared" si="224"/>
        <v>2557.4899999999998</v>
      </c>
      <c r="CH195" s="8">
        <f t="shared" si="225"/>
        <v>2982.49</v>
      </c>
      <c r="CL195" s="8">
        <f t="shared" si="226"/>
        <v>2731.49</v>
      </c>
      <c r="CP195" s="54">
        <f>CP185</f>
        <v>3015</v>
      </c>
      <c r="CT195" s="54">
        <f>CT185</f>
        <v>4706</v>
      </c>
      <c r="CX195" s="54">
        <f>CX185</f>
        <v>5182</v>
      </c>
      <c r="DB195" s="54">
        <f>DB185</f>
        <v>3522</v>
      </c>
      <c r="DF195" s="54">
        <f ca="1">DF185</f>
        <v>3715</v>
      </c>
      <c r="DJ195" s="54">
        <f ca="1">DJ185</f>
        <v>5563.205464377992</v>
      </c>
      <c r="DN195" s="54">
        <f ca="1">DN185</f>
        <v>7016.5045744552772</v>
      </c>
      <c r="DR195" s="54">
        <f ca="1">DR185</f>
        <v>7897.4973512355427</v>
      </c>
    </row>
    <row r="196" spans="1:123">
      <c r="A196" s="1" t="s">
        <v>147</v>
      </c>
      <c r="BF196" s="8">
        <f t="shared" si="218"/>
        <v>-573.20023179999998</v>
      </c>
      <c r="BJ196" s="8">
        <f t="shared" si="219"/>
        <v>-515.69512050000003</v>
      </c>
      <c r="BL196" s="8"/>
      <c r="BN196" s="8">
        <f t="shared" si="220"/>
        <v>-764.27125849999993</v>
      </c>
      <c r="BP196" s="8"/>
      <c r="BR196" s="8">
        <f t="shared" si="221"/>
        <v>-931.28349219999996</v>
      </c>
      <c r="BT196" s="8"/>
      <c r="BV196" s="8">
        <f t="shared" si="222"/>
        <v>-1200.5666900000001</v>
      </c>
      <c r="BZ196" s="8">
        <f t="shared" si="223"/>
        <v>-1463.3688342</v>
      </c>
      <c r="CD196" s="8">
        <f t="shared" si="224"/>
        <v>-1650.7185479499999</v>
      </c>
      <c r="CH196" s="8">
        <f t="shared" si="225"/>
        <v>-1820.9903107</v>
      </c>
      <c r="CL196" s="8">
        <f t="shared" si="226"/>
        <v>-2111.3190242999999</v>
      </c>
      <c r="CP196" s="8">
        <f>-(CL235/2+CP235/2)</f>
        <v>-1611.7047848240009</v>
      </c>
      <c r="CT196" s="8">
        <f>-(CP235/2+CT235/2)</f>
        <v>-2022.7883773594604</v>
      </c>
      <c r="CX196" s="8">
        <f>-(CT235/2+CX235/2)</f>
        <v>-2622.0115520916902</v>
      </c>
      <c r="DB196" s="8">
        <f>-(CX235/2+DB235/2)</f>
        <v>-2678.9404408545875</v>
      </c>
      <c r="DF196" s="8">
        <f ca="1">-(DB235/2+DF235/2)</f>
        <v>-2468.3261309009131</v>
      </c>
      <c r="DJ196" s="8">
        <f ca="1">-(DF235/2+DJ235/2)</f>
        <v>-3045.1992629577858</v>
      </c>
      <c r="DN196" s="8">
        <f ca="1">-(DJ235/2+DN235/2)</f>
        <v>-4087.5314944513975</v>
      </c>
      <c r="DR196" s="8">
        <f ca="1">-(DN235/2+DR235/2)</f>
        <v>-4847.5734032831715</v>
      </c>
    </row>
    <row r="197" spans="1:123">
      <c r="A197" s="1" t="s">
        <v>148</v>
      </c>
      <c r="BF197" s="8">
        <f t="shared" si="218"/>
        <v>-201</v>
      </c>
      <c r="BJ197" s="8">
        <f t="shared" si="219"/>
        <v>200</v>
      </c>
      <c r="BL197" s="8"/>
      <c r="BN197" s="8">
        <f t="shared" si="220"/>
        <v>15.000000000000114</v>
      </c>
      <c r="BP197" s="8"/>
      <c r="BR197" s="8">
        <f t="shared" si="221"/>
        <v>2491</v>
      </c>
      <c r="BT197" s="8"/>
      <c r="BV197" s="8">
        <f t="shared" si="222"/>
        <v>1207</v>
      </c>
      <c r="BZ197" s="8">
        <f t="shared" si="223"/>
        <v>447</v>
      </c>
      <c r="CD197" s="8">
        <f t="shared" si="224"/>
        <v>793.99999999999989</v>
      </c>
      <c r="CH197" s="8">
        <f t="shared" si="225"/>
        <v>1404</v>
      </c>
      <c r="CL197" s="8">
        <f t="shared" si="226"/>
        <v>3302</v>
      </c>
      <c r="CP197" s="8">
        <f>SUM(CP189:CP196)</f>
        <v>498.72162442599893</v>
      </c>
      <c r="CT197" s="8">
        <f>SUM(CT189:CT196)</f>
        <v>3389.02225527054</v>
      </c>
      <c r="CX197" s="8">
        <f>SUM(CX189:CX196)</f>
        <v>3988.69543940831</v>
      </c>
      <c r="DB197" s="8">
        <f>SUM(DB189:DB196)</f>
        <v>1015.230674845413</v>
      </c>
      <c r="DF197" s="8">
        <f ca="1">SUM(DF189:DF196)</f>
        <v>2240.5495001490872</v>
      </c>
      <c r="DJ197" s="8">
        <f ca="1">SUM(DJ189:DJ196)</f>
        <v>1571.1442981548112</v>
      </c>
      <c r="DN197" s="8">
        <f ca="1">SUM(DN189:DN196)</f>
        <v>3177.1399324448703</v>
      </c>
      <c r="DR197" s="8">
        <f ca="1">SUM(DR189:DR196)</f>
        <v>3333.0907165869803</v>
      </c>
    </row>
    <row r="198" spans="1:123">
      <c r="A198" s="2" t="s">
        <v>785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7">
        <f t="shared" si="218"/>
        <v>11203</v>
      </c>
      <c r="BG198" s="5"/>
      <c r="BH198" s="5"/>
      <c r="BI198" s="5"/>
      <c r="BJ198" s="7">
        <f t="shared" si="219"/>
        <v>11403</v>
      </c>
      <c r="BK198" s="5"/>
      <c r="BL198" s="7"/>
      <c r="BM198" s="5"/>
      <c r="BN198" s="7">
        <f t="shared" si="220"/>
        <v>11418</v>
      </c>
      <c r="BO198" s="5"/>
      <c r="BP198" s="7"/>
      <c r="BQ198" s="5"/>
      <c r="BR198" s="7">
        <f t="shared" si="221"/>
        <v>13909</v>
      </c>
      <c r="BS198" s="5"/>
      <c r="BT198" s="7"/>
      <c r="BU198" s="5"/>
      <c r="BV198" s="7">
        <f t="shared" si="222"/>
        <v>15116</v>
      </c>
      <c r="BW198" s="5"/>
      <c r="BX198" s="5"/>
      <c r="BY198" s="5"/>
      <c r="BZ198" s="7">
        <f t="shared" si="223"/>
        <v>15563</v>
      </c>
      <c r="CA198" s="5"/>
      <c r="CB198" s="5"/>
      <c r="CC198" s="5"/>
      <c r="CD198" s="7">
        <f t="shared" si="224"/>
        <v>16357</v>
      </c>
      <c r="CE198" s="5"/>
      <c r="CF198" s="5"/>
      <c r="CG198" s="5"/>
      <c r="CH198" s="7">
        <f t="shared" si="225"/>
        <v>17761</v>
      </c>
      <c r="CI198" s="5"/>
      <c r="CJ198" s="5"/>
      <c r="CK198" s="5"/>
      <c r="CL198" s="7">
        <f t="shared" si="226"/>
        <v>21063</v>
      </c>
      <c r="CM198" s="5"/>
      <c r="CN198" s="5"/>
      <c r="CO198" s="5"/>
      <c r="CP198" s="7">
        <f>+CP188+CP197</f>
        <v>21561.721624425998</v>
      </c>
      <c r="CQ198" s="5"/>
      <c r="CR198" s="5"/>
      <c r="CS198" s="5"/>
      <c r="CT198" s="7">
        <f>+CT188+CT197</f>
        <v>24950.743879696536</v>
      </c>
      <c r="CU198" s="5"/>
      <c r="CV198" s="5"/>
      <c r="CW198" s="5"/>
      <c r="CX198" s="7">
        <f>+CX188+CX197</f>
        <v>28939.439319104848</v>
      </c>
      <c r="CY198" s="5"/>
      <c r="CZ198" s="5"/>
      <c r="DA198" s="5"/>
      <c r="DB198" s="7">
        <f>+DB188+DB197</f>
        <v>29954.669993950261</v>
      </c>
      <c r="DC198" s="5"/>
      <c r="DD198" s="5"/>
      <c r="DE198" s="5"/>
      <c r="DF198" s="7">
        <f ca="1">+DF188+DF197</f>
        <v>32195.21949409935</v>
      </c>
      <c r="DG198" s="5"/>
      <c r="DH198" s="5"/>
      <c r="DI198" s="5"/>
      <c r="DJ198" s="7">
        <f ca="1">+DJ188+DJ197</f>
        <v>33766.36379225416</v>
      </c>
      <c r="DK198" s="5"/>
      <c r="DL198" s="5"/>
      <c r="DM198" s="5"/>
      <c r="DN198" s="7">
        <f ca="1">+DN188+DN197</f>
        <v>36943.503724699032</v>
      </c>
      <c r="DO198" s="5"/>
      <c r="DP198" s="5"/>
      <c r="DQ198" s="5"/>
      <c r="DR198" s="7">
        <f ca="1">+DR188+DR197</f>
        <v>40276.594441286012</v>
      </c>
      <c r="DS198" s="5"/>
    </row>
    <row r="200" spans="1:123">
      <c r="A200" s="1" t="s">
        <v>789</v>
      </c>
      <c r="BJ200" s="8">
        <f>BJ101</f>
        <v>9665</v>
      </c>
      <c r="BN200" s="8">
        <f>BN101</f>
        <v>9515</v>
      </c>
      <c r="BR200" s="8">
        <f>BR101</f>
        <v>12195</v>
      </c>
      <c r="BV200" s="8">
        <f>BV101</f>
        <v>13859</v>
      </c>
      <c r="BZ200" s="8">
        <f>BZ101</f>
        <v>14439</v>
      </c>
      <c r="CD200" s="8">
        <f>CD101</f>
        <v>14954</v>
      </c>
      <c r="CH200" s="8">
        <f>CH101</f>
        <v>18197</v>
      </c>
      <c r="CL200" s="8">
        <f>CL101</f>
        <v>21242</v>
      </c>
      <c r="CP200" s="8">
        <f>+CP198*CP201</f>
        <v>21744.95991767825</v>
      </c>
      <c r="CT200" s="8">
        <f>+CT198*CT201</f>
        <v>25162.783150192936</v>
      </c>
      <c r="CX200" s="8">
        <f>+CX198*CX201</f>
        <v>29185.375778209425</v>
      </c>
      <c r="DB200" s="8">
        <f>+DB198*DB201</f>
        <v>30209.234202701013</v>
      </c>
      <c r="DF200" s="8">
        <f ca="1">+DF198*DF201</f>
        <v>32468.824597334584</v>
      </c>
      <c r="DJ200" s="8">
        <f ca="1">+DJ198*DJ201</f>
        <v>34053.320973985792</v>
      </c>
      <c r="DN200" s="8">
        <f ca="1">+DN198*DN201</f>
        <v>37257.461241041485</v>
      </c>
      <c r="DR200" s="8">
        <f ca="1">+DR198*DR201</f>
        <v>40618.877611061929</v>
      </c>
    </row>
    <row r="201" spans="1:123">
      <c r="A201" s="3" t="s">
        <v>468</v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10">
        <f>BJ102</f>
        <v>0.84758396913093048</v>
      </c>
      <c r="BK201" s="9"/>
      <c r="BL201" s="9"/>
      <c r="BM201" s="9"/>
      <c r="BN201" s="10">
        <f>BN102</f>
        <v>0.83333333333333337</v>
      </c>
      <c r="BO201" s="9"/>
      <c r="BP201" s="9"/>
      <c r="BQ201" s="9"/>
      <c r="BR201" s="10">
        <f>BR102</f>
        <v>0.87677043640808106</v>
      </c>
      <c r="BS201" s="9"/>
      <c r="BT201" s="9"/>
      <c r="BU201" s="9"/>
      <c r="BV201" s="10">
        <f>BV102</f>
        <v>0.91684308017994176</v>
      </c>
      <c r="BW201" s="9"/>
      <c r="BX201" s="9"/>
      <c r="BY201" s="9"/>
      <c r="BZ201" s="10">
        <f>BZ102</f>
        <v>0.9277774208057572</v>
      </c>
      <c r="CA201" s="9"/>
      <c r="CB201" s="9"/>
      <c r="CC201" s="9"/>
      <c r="CD201" s="10">
        <f>CD102</f>
        <v>0.91422632512074342</v>
      </c>
      <c r="CE201" s="9"/>
      <c r="CF201" s="9"/>
      <c r="CG201" s="9"/>
      <c r="CH201" s="10">
        <f>CH102</f>
        <v>1.0245481673329204</v>
      </c>
      <c r="CI201" s="9"/>
      <c r="CJ201" s="9"/>
      <c r="CK201" s="9"/>
      <c r="CL201" s="10">
        <f>CL102</f>
        <v>1.0084983145800692</v>
      </c>
      <c r="CM201" s="9"/>
      <c r="CN201" s="9"/>
      <c r="CO201" s="9"/>
      <c r="CP201" s="10">
        <f>CL201</f>
        <v>1.0084983145800692</v>
      </c>
      <c r="CQ201" s="9"/>
      <c r="CR201" s="9"/>
      <c r="CS201" s="9"/>
      <c r="CT201" s="10">
        <f>CP201</f>
        <v>1.0084983145800692</v>
      </c>
      <c r="CU201" s="9"/>
      <c r="CV201" s="9"/>
      <c r="CW201" s="9"/>
      <c r="CX201" s="10">
        <f>CT201</f>
        <v>1.0084983145800692</v>
      </c>
      <c r="CY201" s="9"/>
      <c r="CZ201" s="9"/>
      <c r="DA201" s="9"/>
      <c r="DB201" s="10">
        <f>CX201</f>
        <v>1.0084983145800692</v>
      </c>
      <c r="DC201" s="9"/>
      <c r="DD201" s="9"/>
      <c r="DE201" s="9"/>
      <c r="DF201" s="10">
        <f>DB201</f>
        <v>1.0084983145800692</v>
      </c>
      <c r="DG201" s="9"/>
      <c r="DH201" s="9"/>
      <c r="DI201" s="9"/>
      <c r="DJ201" s="10">
        <f>DF201</f>
        <v>1.0084983145800692</v>
      </c>
      <c r="DK201" s="9"/>
      <c r="DL201" s="9"/>
      <c r="DM201" s="9"/>
      <c r="DN201" s="10">
        <f>DJ201</f>
        <v>1.0084983145800692</v>
      </c>
      <c r="DO201" s="9"/>
      <c r="DP201" s="9"/>
      <c r="DQ201" s="9"/>
      <c r="DR201" s="10">
        <f>DN201</f>
        <v>1.0084983145800692</v>
      </c>
      <c r="DS201" s="9"/>
    </row>
    <row r="202" spans="1:123">
      <c r="A202" s="1" t="s">
        <v>559</v>
      </c>
      <c r="BJ202" s="8">
        <f>BJ103</f>
        <v>97548</v>
      </c>
      <c r="BN202" s="8">
        <f>BN103</f>
        <v>100985.5</v>
      </c>
      <c r="BR202" s="8">
        <f>BR103</f>
        <v>126659</v>
      </c>
      <c r="BV202" s="8">
        <f>BV103</f>
        <v>131228</v>
      </c>
      <c r="BZ202" s="8">
        <f>BZ103</f>
        <v>130830.5</v>
      </c>
      <c r="CD202" s="8">
        <f>CD103</f>
        <v>148364</v>
      </c>
      <c r="CH202" s="8">
        <f>CH103</f>
        <v>166594.5</v>
      </c>
      <c r="CL202" s="8">
        <f>CL103</f>
        <v>187863.5</v>
      </c>
      <c r="CP202" s="8">
        <f>CP103</f>
        <v>184810</v>
      </c>
      <c r="CT202" s="8">
        <f>CT103</f>
        <v>240895.5</v>
      </c>
      <c r="CX202" s="8">
        <f>CX103</f>
        <v>254230</v>
      </c>
      <c r="DB202" s="8">
        <f>DB103</f>
        <v>272588</v>
      </c>
      <c r="DF202" s="8">
        <f>DF103</f>
        <v>309562</v>
      </c>
      <c r="DJ202" s="8">
        <f>DJ103</f>
        <v>338766.47981602908</v>
      </c>
      <c r="DN202" s="8">
        <f>DN103</f>
        <v>358383.5322935399</v>
      </c>
      <c r="DR202" s="8">
        <f>DR103</f>
        <v>381179.80909249315</v>
      </c>
    </row>
    <row r="203" spans="1:123">
      <c r="A203" s="2" t="s">
        <v>790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2">
        <f>BJ104</f>
        <v>9.9079427563865993E-2</v>
      </c>
      <c r="BK203" s="5"/>
      <c r="BL203" s="5"/>
      <c r="BM203" s="5"/>
      <c r="BN203" s="52">
        <f>BN104</f>
        <v>9.4221447633571154E-2</v>
      </c>
      <c r="BO203" s="5"/>
      <c r="BP203" s="5"/>
      <c r="BQ203" s="5"/>
      <c r="BR203" s="52">
        <f>BR104</f>
        <v>9.6282143392889569E-2</v>
      </c>
      <c r="BS203" s="5"/>
      <c r="BT203" s="5"/>
      <c r="BU203" s="5"/>
      <c r="BV203" s="52">
        <f>BV104</f>
        <v>0.10561008321394824</v>
      </c>
      <c r="BW203" s="5"/>
      <c r="BX203" s="5"/>
      <c r="BY203" s="5"/>
      <c r="BZ203" s="52">
        <f>BZ104</f>
        <v>0.11036417349165523</v>
      </c>
      <c r="CA203" s="5"/>
      <c r="CB203" s="5"/>
      <c r="CC203" s="5"/>
      <c r="CD203" s="52">
        <f>CD104</f>
        <v>0.10079264511606589</v>
      </c>
      <c r="CE203" s="5"/>
      <c r="CF203" s="5"/>
      <c r="CG203" s="5"/>
      <c r="CH203" s="52">
        <f>CH104</f>
        <v>0.10922929628529153</v>
      </c>
      <c r="CI203" s="5"/>
      <c r="CJ203" s="5"/>
      <c r="CK203" s="5"/>
      <c r="CL203" s="52">
        <f>CL104</f>
        <v>0.11307145879854257</v>
      </c>
      <c r="CM203" s="5"/>
      <c r="CN203" s="5"/>
      <c r="CO203" s="5"/>
      <c r="CP203" s="52">
        <f>+CP200/CP202</f>
        <v>0.11766116507590633</v>
      </c>
      <c r="CQ203" s="5"/>
      <c r="CR203" s="5"/>
      <c r="CS203" s="5"/>
      <c r="CT203" s="52">
        <f>+CT200/CT202</f>
        <v>0.10445518139688345</v>
      </c>
      <c r="CU203" s="5"/>
      <c r="CV203" s="5"/>
      <c r="CW203" s="5"/>
      <c r="CX203" s="52">
        <f>+CX200/CX202</f>
        <v>0.11479910230188972</v>
      </c>
      <c r="CY203" s="5"/>
      <c r="CZ203" s="5"/>
      <c r="DA203" s="5"/>
      <c r="DB203" s="52">
        <f>+DB200/DB202</f>
        <v>0.11082378609000033</v>
      </c>
      <c r="DC203" s="5"/>
      <c r="DD203" s="5"/>
      <c r="DE203" s="5"/>
      <c r="DF203" s="52">
        <f ca="1">+DF200/DF202</f>
        <v>0.1048863381078252</v>
      </c>
      <c r="DG203" s="5"/>
      <c r="DH203" s="5"/>
      <c r="DI203" s="5"/>
      <c r="DJ203" s="52">
        <f ca="1">+DJ200/DJ202</f>
        <v>0.10052151851764918</v>
      </c>
      <c r="DK203" s="5"/>
      <c r="DL203" s="5"/>
      <c r="DM203" s="5"/>
      <c r="DN203" s="52">
        <f ca="1">+DN200/DN202</f>
        <v>0.10395974670656784</v>
      </c>
      <c r="DO203" s="5"/>
      <c r="DP203" s="5"/>
      <c r="DQ203" s="5"/>
      <c r="DR203" s="52">
        <f ca="1">+DR200/DR202</f>
        <v>0.10656093697031517</v>
      </c>
      <c r="DS203" s="5"/>
    </row>
    <row r="204" spans="1:123">
      <c r="A204" s="3" t="s">
        <v>469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65">
        <v>8.5000000000000006E-2</v>
      </c>
      <c r="BK204" s="5"/>
      <c r="BL204" s="5"/>
      <c r="BM204" s="5"/>
      <c r="BN204" s="65">
        <v>8.5000000000000006E-2</v>
      </c>
      <c r="BO204" s="5"/>
      <c r="BP204" s="5"/>
      <c r="BQ204" s="5"/>
      <c r="BR204" s="65">
        <v>8.5000000000000006E-2</v>
      </c>
      <c r="BS204" s="5"/>
      <c r="BT204" s="5"/>
      <c r="BU204" s="5"/>
      <c r="BV204" s="65">
        <v>8.5000000000000006E-2</v>
      </c>
      <c r="BW204" s="5"/>
      <c r="BX204" s="5"/>
      <c r="BY204" s="5"/>
      <c r="BZ204" s="65">
        <v>8.5000000000000006E-2</v>
      </c>
      <c r="CA204" s="5"/>
      <c r="CB204" s="5"/>
      <c r="CC204" s="5"/>
      <c r="CD204" s="65">
        <v>8.5000000000000006E-2</v>
      </c>
      <c r="CE204" s="5"/>
      <c r="CF204" s="5"/>
      <c r="CG204" s="5"/>
      <c r="CH204" s="65">
        <v>8.5000000000000006E-2</v>
      </c>
      <c r="CI204" s="5"/>
      <c r="CJ204" s="5"/>
      <c r="CK204" s="5"/>
      <c r="CL204" s="65">
        <v>8.5000000000000006E-2</v>
      </c>
      <c r="CM204" s="5"/>
      <c r="CN204" s="5"/>
      <c r="CO204" s="5"/>
      <c r="CP204" s="65">
        <v>8.5000000000000006E-2</v>
      </c>
      <c r="CQ204" s="5"/>
      <c r="CR204" s="5"/>
      <c r="CS204" s="5"/>
      <c r="CT204" s="65">
        <v>8.5000000000000006E-2</v>
      </c>
      <c r="CU204" s="5"/>
      <c r="CV204" s="5"/>
      <c r="CW204" s="5"/>
      <c r="CX204" s="65">
        <v>8.5000000000000006E-2</v>
      </c>
      <c r="CY204" s="5"/>
      <c r="CZ204" s="5"/>
      <c r="DA204" s="5"/>
      <c r="DB204" s="65">
        <v>8.5000000000000006E-2</v>
      </c>
      <c r="DC204" s="5"/>
      <c r="DD204" s="5"/>
      <c r="DE204" s="5"/>
      <c r="DF204" s="65">
        <v>8.5000000000000006E-2</v>
      </c>
      <c r="DG204" s="5"/>
      <c r="DH204" s="5"/>
      <c r="DI204" s="5"/>
      <c r="DJ204" s="65">
        <v>8.5000000000000006E-2</v>
      </c>
      <c r="DK204" s="5"/>
      <c r="DL204" s="5"/>
      <c r="DM204" s="5"/>
      <c r="DN204" s="65">
        <v>8.5000000000000006E-2</v>
      </c>
      <c r="DO204" s="5"/>
      <c r="DP204" s="5"/>
      <c r="DQ204" s="5"/>
      <c r="DR204" s="65">
        <v>8.5000000000000006E-2</v>
      </c>
      <c r="DS204" s="5"/>
    </row>
    <row r="205" spans="1:123">
      <c r="A205" s="1" t="s">
        <v>471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8">
        <f>IF(BJ203&lt;BJ204,(BJ203-BJ204)*BJ202,0)</f>
        <v>0</v>
      </c>
      <c r="BK205" s="5"/>
      <c r="BL205" s="5"/>
      <c r="BM205" s="5"/>
      <c r="BN205" s="8">
        <f>IF(BN203&lt;BN204,(BN203-BN204)*BN202,0)</f>
        <v>0</v>
      </c>
      <c r="BO205" s="5"/>
      <c r="BP205" s="5"/>
      <c r="BQ205" s="5"/>
      <c r="BR205" s="8">
        <f>IF(BR203&lt;BR204,(BR203-BR204)*BR202,0)</f>
        <v>0</v>
      </c>
      <c r="BS205" s="5"/>
      <c r="BT205" s="5"/>
      <c r="BU205" s="5"/>
      <c r="BV205" s="8">
        <f>IF(BV203&lt;BV204,(BV203-BV204)*BV202,0)</f>
        <v>0</v>
      </c>
      <c r="BW205" s="5"/>
      <c r="BX205" s="5"/>
      <c r="BY205" s="5"/>
      <c r="BZ205" s="8">
        <f>IF(BZ203&lt;BZ204,(BZ203-BZ204)*BZ202,0)</f>
        <v>0</v>
      </c>
      <c r="CA205" s="5"/>
      <c r="CB205" s="5"/>
      <c r="CC205" s="5"/>
      <c r="CD205" s="8">
        <f>IF(CD203&lt;CD204,(CD203-CD204)*CD202,0)</f>
        <v>0</v>
      </c>
      <c r="CE205" s="5"/>
      <c r="CF205" s="5"/>
      <c r="CG205" s="5"/>
      <c r="CH205" s="8">
        <f>IF(CH203&lt;CH204,(CH203-CH204)*CH202,0)</f>
        <v>0</v>
      </c>
      <c r="CI205" s="5"/>
      <c r="CJ205" s="5"/>
      <c r="CK205" s="5"/>
      <c r="CL205" s="8">
        <f>IF(CL203&lt;CL204,(CL203-CL204)*CL202,0)</f>
        <v>0</v>
      </c>
      <c r="CM205" s="5"/>
      <c r="CN205" s="5"/>
      <c r="CO205" s="5"/>
      <c r="CP205" s="8">
        <f>IF(CP203&lt;CP204,(CP203-CP204)*CP202,0)</f>
        <v>0</v>
      </c>
      <c r="CQ205" s="5"/>
      <c r="CR205" s="5"/>
      <c r="CS205" s="5"/>
      <c r="CT205" s="8">
        <f>IF(CT203&lt;CT204,(CT203-CT204)*CT202,0)</f>
        <v>0</v>
      </c>
      <c r="CU205" s="5"/>
      <c r="CV205" s="5"/>
      <c r="CW205" s="5"/>
      <c r="CX205" s="8">
        <f>IF(CX203&lt;CX204,(CX203-CX204)*CX202,0)</f>
        <v>0</v>
      </c>
      <c r="CY205" s="5"/>
      <c r="CZ205" s="5"/>
      <c r="DA205" s="5"/>
      <c r="DB205" s="8">
        <f>IF(DB203&lt;DB204,(DB203-DB204)*DB202,0)</f>
        <v>0</v>
      </c>
      <c r="DC205" s="5"/>
      <c r="DD205" s="5"/>
      <c r="DE205" s="5"/>
      <c r="DF205" s="8">
        <f ca="1">IF(DF203&lt;DF204,(DF203-DF204)*DF202,0)</f>
        <v>0</v>
      </c>
      <c r="DG205" s="5"/>
      <c r="DH205" s="5"/>
      <c r="DI205" s="5"/>
      <c r="DJ205" s="8">
        <f ca="1">IF(DJ203&lt;DJ204,(DJ203-DJ204)*DJ202,0)</f>
        <v>0</v>
      </c>
      <c r="DK205" s="5"/>
      <c r="DL205" s="5"/>
      <c r="DM205" s="5"/>
      <c r="DN205" s="8">
        <f ca="1">IF(DN203&lt;DN204,(DN203-DN204)*DN202,0)</f>
        <v>0</v>
      </c>
      <c r="DO205" s="5"/>
      <c r="DP205" s="5"/>
      <c r="DQ205" s="5"/>
      <c r="DR205" s="8">
        <f ca="1">IF(DR203&lt;DR204,(DR203-DR204)*DR202,0)</f>
        <v>0</v>
      </c>
      <c r="DS205" s="5"/>
    </row>
    <row r="206" spans="1:123">
      <c r="A206" s="3" t="s">
        <v>470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65">
        <v>0.12</v>
      </c>
      <c r="BK206" s="5"/>
      <c r="BL206" s="5"/>
      <c r="BM206" s="5"/>
      <c r="BN206" s="65">
        <v>0.12</v>
      </c>
      <c r="BO206" s="5"/>
      <c r="BP206" s="5"/>
      <c r="BQ206" s="5"/>
      <c r="BR206" s="65">
        <v>0.12</v>
      </c>
      <c r="BS206" s="5"/>
      <c r="BT206" s="5"/>
      <c r="BU206" s="5"/>
      <c r="BV206" s="65">
        <v>0.12</v>
      </c>
      <c r="BW206" s="5"/>
      <c r="BX206" s="5"/>
      <c r="BY206" s="5"/>
      <c r="BZ206" s="65">
        <v>0.12</v>
      </c>
      <c r="CA206" s="5"/>
      <c r="CB206" s="5"/>
      <c r="CC206" s="5"/>
      <c r="CD206" s="65">
        <v>0.12</v>
      </c>
      <c r="CE206" s="5"/>
      <c r="CF206" s="5"/>
      <c r="CG206" s="5"/>
      <c r="CH206" s="65">
        <v>0.12</v>
      </c>
      <c r="CI206" s="5"/>
      <c r="CJ206" s="5"/>
      <c r="CK206" s="5"/>
      <c r="CL206" s="65">
        <v>0.12</v>
      </c>
      <c r="CM206" s="5"/>
      <c r="CN206" s="5"/>
      <c r="CO206" s="5"/>
      <c r="CP206" s="65">
        <v>0.12</v>
      </c>
      <c r="CQ206" s="5"/>
      <c r="CR206" s="5"/>
      <c r="CS206" s="5"/>
      <c r="CT206" s="65">
        <v>0.12</v>
      </c>
      <c r="CU206" s="5"/>
      <c r="CV206" s="5"/>
      <c r="CW206" s="5"/>
      <c r="CX206" s="65">
        <v>0.12</v>
      </c>
      <c r="CY206" s="5"/>
      <c r="CZ206" s="5"/>
      <c r="DA206" s="5"/>
      <c r="DB206" s="65">
        <v>0.12</v>
      </c>
      <c r="DC206" s="5"/>
      <c r="DD206" s="5"/>
      <c r="DE206" s="5"/>
      <c r="DF206" s="65">
        <v>0.12</v>
      </c>
      <c r="DG206" s="5"/>
      <c r="DH206" s="5"/>
      <c r="DI206" s="5"/>
      <c r="DJ206" s="65">
        <v>0.12</v>
      </c>
      <c r="DK206" s="5"/>
      <c r="DL206" s="5"/>
      <c r="DM206" s="5"/>
      <c r="DN206" s="65">
        <v>0.12</v>
      </c>
      <c r="DO206" s="5"/>
      <c r="DP206" s="5"/>
      <c r="DQ206" s="5"/>
      <c r="DR206" s="65">
        <v>0.12</v>
      </c>
      <c r="DS206" s="5"/>
    </row>
    <row r="207" spans="1:123">
      <c r="A207" s="1" t="s">
        <v>472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8">
        <f>IF(BJ203&gt;BJ206,(BJ203-BJ206)*BJ202,0)</f>
        <v>0</v>
      </c>
      <c r="BK207" s="5"/>
      <c r="BL207" s="5"/>
      <c r="BM207" s="5"/>
      <c r="BN207" s="8">
        <f>IF(BN203&gt;BN206,(BN203-BN206)*BN202,0)</f>
        <v>0</v>
      </c>
      <c r="BO207" s="5"/>
      <c r="BP207" s="5"/>
      <c r="BQ207" s="5"/>
      <c r="BR207" s="8">
        <f>IF(BR203&gt;BR206,(BR203-BR206)*BR202,0)</f>
        <v>0</v>
      </c>
      <c r="BS207" s="5"/>
      <c r="BT207" s="5"/>
      <c r="BU207" s="5"/>
      <c r="BV207" s="8">
        <f>IF(BV203&gt;BV206,(BV203-BV206)*BV202,0)</f>
        <v>0</v>
      </c>
      <c r="BW207" s="5"/>
      <c r="BX207" s="5"/>
      <c r="BY207" s="5"/>
      <c r="BZ207" s="8">
        <f>IF(BZ203&gt;BZ206,(BZ203-BZ206)*BZ202,0)</f>
        <v>0</v>
      </c>
      <c r="CA207" s="5"/>
      <c r="CB207" s="5"/>
      <c r="CC207" s="5"/>
      <c r="CD207" s="8">
        <f>IF(CD203&gt;CD206,(CD203-CD206)*CD202,0)</f>
        <v>0</v>
      </c>
      <c r="CE207" s="5"/>
      <c r="CF207" s="5"/>
      <c r="CG207" s="5"/>
      <c r="CH207" s="8">
        <f>IF(CH203&gt;CH206,(CH203-CH206)*CH202,0)</f>
        <v>0</v>
      </c>
      <c r="CI207" s="5"/>
      <c r="CJ207" s="5"/>
      <c r="CK207" s="5"/>
      <c r="CL207" s="8">
        <f>IF(CL203&gt;CL206,(CL203-CL206)*CL202,0)</f>
        <v>0</v>
      </c>
      <c r="CM207" s="5"/>
      <c r="CN207" s="5"/>
      <c r="CO207" s="5"/>
      <c r="CP207" s="8">
        <f>IF(CP203&gt;CP206,(CP203-CP206)*CP202,0)</f>
        <v>0</v>
      </c>
      <c r="CQ207" s="5"/>
      <c r="CR207" s="5"/>
      <c r="CS207" s="5"/>
      <c r="CT207" s="8">
        <f>IF(CT203&gt;CT206,(CT203-CT206)*CT202,0)</f>
        <v>0</v>
      </c>
      <c r="CU207" s="5"/>
      <c r="CV207" s="5"/>
      <c r="CW207" s="5"/>
      <c r="CX207" s="8">
        <f>IF(CX203&gt;CX206,(CX203-CX206)*CX202,0)</f>
        <v>0</v>
      </c>
      <c r="CY207" s="5"/>
      <c r="CZ207" s="5"/>
      <c r="DA207" s="5"/>
      <c r="DB207" s="8">
        <f>IF(DB203&gt;DB206,(DB203-DB206)*DB202,0)</f>
        <v>0</v>
      </c>
      <c r="DC207" s="5"/>
      <c r="DD207" s="5"/>
      <c r="DE207" s="5"/>
      <c r="DF207" s="8">
        <f ca="1">IF(DF203&gt;DF206,(DF203-DF206)*DF202,0)</f>
        <v>0</v>
      </c>
      <c r="DG207" s="5"/>
      <c r="DH207" s="5"/>
      <c r="DI207" s="5"/>
      <c r="DJ207" s="8">
        <f ca="1">IF(DJ203&gt;DJ206,(DJ203-DJ206)*DJ202,0)</f>
        <v>0</v>
      </c>
      <c r="DK207" s="5"/>
      <c r="DL207" s="5"/>
      <c r="DM207" s="5"/>
      <c r="DN207" s="8">
        <f ca="1">IF(DN203&gt;DN206,(DN203-DN206)*DN202,0)</f>
        <v>0</v>
      </c>
      <c r="DO207" s="5"/>
      <c r="DP207" s="5"/>
      <c r="DQ207" s="5"/>
      <c r="DR207" s="8">
        <f ca="1">IF(DR203&gt;DR206,(DR203-DR206)*DR202,0)</f>
        <v>0</v>
      </c>
      <c r="DS207" s="5"/>
    </row>
    <row r="209" spans="1:125">
      <c r="A209" s="2" t="s">
        <v>786</v>
      </c>
      <c r="BF209" s="22">
        <f t="shared" ref="BF209:BF216" si="227">BF106</f>
        <v>346.81496099999998</v>
      </c>
      <c r="BJ209" s="22">
        <f t="shared" ref="BJ209:BJ216" si="228">BJ106</f>
        <v>348.584383</v>
      </c>
      <c r="BN209" s="22">
        <f t="shared" ref="BN209:BN216" si="229">BN106</f>
        <v>339.50657799999999</v>
      </c>
      <c r="BR209" s="22">
        <f t="shared" ref="BR209:BR216" si="230">BR106</f>
        <v>321.07474999999999</v>
      </c>
      <c r="BV209" s="22">
        <f t="shared" ref="BV209:BV216" si="231">BV106</f>
        <v>333.45777700000002</v>
      </c>
      <c r="BZ209" s="22">
        <f t="shared" ref="BZ209:BZ216" si="232">BZ106</f>
        <v>340.30238900000001</v>
      </c>
      <c r="CD209" s="22">
        <f t="shared" ref="CD209:CD216" si="233">CD106</f>
        <v>340.35173099999997</v>
      </c>
      <c r="CH209" s="22">
        <f t="shared" ref="CH209:CH216" si="234">CH106</f>
        <v>340.36482000000001</v>
      </c>
      <c r="CL209" s="22">
        <f t="shared" ref="CL209:CL216" si="235">CL106</f>
        <v>340.38273800000002</v>
      </c>
      <c r="CP209" s="1851">
        <f t="shared" ref="CP209:CP216" si="236">CP106</f>
        <v>354.381396</v>
      </c>
      <c r="CT209" s="1851">
        <f t="shared" ref="CT209:CT216" si="237">CT106</f>
        <v>361.82137699999998</v>
      </c>
      <c r="CX209" s="1851">
        <f t="shared" ref="CX209:CX216" si="238">CX106</f>
        <v>383.64763699999997</v>
      </c>
      <c r="DB209" s="22">
        <f>CX214</f>
        <v>386.47675400000003</v>
      </c>
      <c r="DF209" s="22">
        <f>DB214</f>
        <v>386.47675400000003</v>
      </c>
      <c r="DJ209" s="22">
        <f>DF214</f>
        <v>386.47675400000003</v>
      </c>
      <c r="DN209" s="22">
        <f>DJ214</f>
        <v>387.42960003750005</v>
      </c>
      <c r="DR209" s="22">
        <f>DN214</f>
        <v>389.34244441306902</v>
      </c>
    </row>
    <row r="210" spans="1:125">
      <c r="A210" s="1" t="s">
        <v>64</v>
      </c>
      <c r="BF210" s="20">
        <f t="shared" si="227"/>
        <v>0</v>
      </c>
      <c r="BJ210" s="20">
        <f t="shared" si="228"/>
        <v>0</v>
      </c>
      <c r="BN210" s="20">
        <f t="shared" si="229"/>
        <v>0</v>
      </c>
      <c r="BR210" s="20">
        <f t="shared" si="230"/>
        <v>9.1154360000000008</v>
      </c>
      <c r="BV210" s="20">
        <f t="shared" si="231"/>
        <v>6.7479440000000004</v>
      </c>
      <c r="BZ210" s="20">
        <f t="shared" si="232"/>
        <v>0</v>
      </c>
      <c r="CD210" s="20">
        <f t="shared" si="233"/>
        <v>0</v>
      </c>
      <c r="CH210" s="20">
        <f t="shared" si="234"/>
        <v>0</v>
      </c>
      <c r="CL210" s="20">
        <f t="shared" si="235"/>
        <v>13.998657999999999</v>
      </c>
      <c r="CP210" s="449">
        <f t="shared" si="236"/>
        <v>0</v>
      </c>
      <c r="CT210" s="449">
        <f t="shared" si="237"/>
        <v>14.408999999999999</v>
      </c>
      <c r="CX210" s="449">
        <f t="shared" si="238"/>
        <v>0</v>
      </c>
      <c r="DB210" s="20">
        <v>0</v>
      </c>
      <c r="DF210" s="20">
        <v>0</v>
      </c>
      <c r="DJ210" s="20">
        <v>0</v>
      </c>
      <c r="DN210" s="20">
        <v>0</v>
      </c>
      <c r="DR210" s="20">
        <v>0</v>
      </c>
    </row>
    <row r="211" spans="1:125">
      <c r="A211" s="1" t="s">
        <v>101</v>
      </c>
      <c r="BF211" s="20">
        <f t="shared" si="227"/>
        <v>0</v>
      </c>
      <c r="BJ211" s="20">
        <f t="shared" si="228"/>
        <v>-9.8090489999999999</v>
      </c>
      <c r="BN211" s="20">
        <f t="shared" si="229"/>
        <v>0</v>
      </c>
      <c r="BR211" s="20">
        <f t="shared" si="230"/>
        <v>0</v>
      </c>
      <c r="BV211" s="20">
        <f t="shared" si="231"/>
        <v>0</v>
      </c>
      <c r="BZ211" s="20">
        <f t="shared" si="232"/>
        <v>0</v>
      </c>
      <c r="CD211" s="20">
        <f t="shared" si="233"/>
        <v>0</v>
      </c>
      <c r="CH211" s="20">
        <f t="shared" si="234"/>
        <v>0</v>
      </c>
      <c r="CL211" s="20">
        <f t="shared" si="235"/>
        <v>0</v>
      </c>
      <c r="CP211" s="449">
        <f t="shared" si="236"/>
        <v>0</v>
      </c>
      <c r="CT211" s="449">
        <f t="shared" si="237"/>
        <v>0</v>
      </c>
      <c r="CX211" s="449">
        <f t="shared" si="238"/>
        <v>0</v>
      </c>
      <c r="DB211" s="20">
        <v>0</v>
      </c>
      <c r="DF211" s="20">
        <v>0</v>
      </c>
      <c r="DJ211" s="20">
        <v>0</v>
      </c>
      <c r="DN211" s="20">
        <v>0</v>
      </c>
      <c r="DR211" s="20">
        <v>0</v>
      </c>
    </row>
    <row r="212" spans="1:125">
      <c r="A212" s="1" t="s">
        <v>65</v>
      </c>
      <c r="BF212" s="20">
        <f t="shared" si="227"/>
        <v>1.4071530000000001</v>
      </c>
      <c r="BJ212" s="20">
        <f t="shared" si="228"/>
        <v>0</v>
      </c>
      <c r="BN212" s="20">
        <f t="shared" si="229"/>
        <v>0</v>
      </c>
      <c r="BR212" s="20">
        <f t="shared" si="230"/>
        <v>2.967273</v>
      </c>
      <c r="BV212" s="20">
        <f t="shared" si="231"/>
        <v>2.6245000000000001E-2</v>
      </c>
      <c r="BZ212" s="20">
        <f t="shared" si="232"/>
        <v>0</v>
      </c>
      <c r="CD212" s="20">
        <f t="shared" si="233"/>
        <v>0</v>
      </c>
      <c r="CH212" s="20">
        <f t="shared" si="234"/>
        <v>0</v>
      </c>
      <c r="CL212" s="20">
        <f t="shared" si="235"/>
        <v>0</v>
      </c>
      <c r="CP212" s="449">
        <f t="shared" si="236"/>
        <v>2.261063</v>
      </c>
      <c r="CT212" s="449">
        <f t="shared" si="237"/>
        <v>3.3000050000000001</v>
      </c>
      <c r="CX212" s="449">
        <f t="shared" si="238"/>
        <v>2.7367370000000002</v>
      </c>
      <c r="DB212" s="20">
        <v>0</v>
      </c>
      <c r="DF212" s="20">
        <v>0</v>
      </c>
      <c r="DJ212" s="20">
        <v>0</v>
      </c>
      <c r="DN212" s="20">
        <v>0</v>
      </c>
      <c r="DR212" s="20">
        <v>0</v>
      </c>
    </row>
    <row r="213" spans="1:125">
      <c r="A213" s="1" t="s">
        <v>66</v>
      </c>
      <c r="BF213" s="20">
        <f t="shared" si="227"/>
        <v>0.36226900000001994</v>
      </c>
      <c r="BJ213" s="20">
        <f t="shared" si="228"/>
        <v>0.73124399999998779</v>
      </c>
      <c r="BN213" s="20">
        <f t="shared" si="229"/>
        <v>-18.431827999999996</v>
      </c>
      <c r="BR213" s="20">
        <f t="shared" si="230"/>
        <v>0.30031800000002606</v>
      </c>
      <c r="BV213" s="20">
        <f t="shared" si="231"/>
        <v>7.0422999999983318E-2</v>
      </c>
      <c r="BZ213" s="20">
        <f t="shared" si="232"/>
        <v>4.9341999999967356E-2</v>
      </c>
      <c r="CD213" s="20">
        <f t="shared" si="233"/>
        <v>1.3089000000036322E-2</v>
      </c>
      <c r="CH213" s="20">
        <f t="shared" si="234"/>
        <v>1.791800000000876E-2</v>
      </c>
      <c r="CL213" s="20">
        <f t="shared" si="235"/>
        <v>-2.1316282072803006E-14</v>
      </c>
      <c r="CP213" s="449">
        <f t="shared" si="236"/>
        <v>5.1789179999999888</v>
      </c>
      <c r="CT213" s="449">
        <f t="shared" si="237"/>
        <v>4.1172549999999912</v>
      </c>
      <c r="CX213" s="449">
        <f t="shared" si="238"/>
        <v>9.2380000000053197E-2</v>
      </c>
      <c r="DB213" s="20">
        <f>DB110</f>
        <v>-2.042810365310288E-14</v>
      </c>
      <c r="DF213" s="20">
        <f>DF110</f>
        <v>1.3322676295501878E-15</v>
      </c>
      <c r="DJ213" s="20">
        <f>DJ110</f>
        <v>0.95284603750000008</v>
      </c>
      <c r="DN213" s="20">
        <f>DN110</f>
        <v>1.9128443755689846</v>
      </c>
      <c r="DR213" s="20">
        <f>DR110</f>
        <v>1.9224205527241769</v>
      </c>
    </row>
    <row r="214" spans="1:125">
      <c r="A214" s="2" t="s">
        <v>787</v>
      </c>
      <c r="BF214" s="22">
        <f t="shared" si="227"/>
        <v>348.584383</v>
      </c>
      <c r="BJ214" s="22">
        <f t="shared" si="228"/>
        <v>339.50657799999999</v>
      </c>
      <c r="BN214" s="22">
        <f t="shared" si="229"/>
        <v>321.07474999999999</v>
      </c>
      <c r="BR214" s="22">
        <f t="shared" si="230"/>
        <v>333.45777700000002</v>
      </c>
      <c r="BV214" s="22">
        <f t="shared" si="231"/>
        <v>340.30238900000001</v>
      </c>
      <c r="BZ214" s="22">
        <f t="shared" si="232"/>
        <v>340.35173099999997</v>
      </c>
      <c r="CD214" s="22">
        <f t="shared" si="233"/>
        <v>340.36482000000001</v>
      </c>
      <c r="CH214" s="22">
        <f t="shared" si="234"/>
        <v>340.38273800000002</v>
      </c>
      <c r="CL214" s="22">
        <f t="shared" si="235"/>
        <v>354.381396</v>
      </c>
      <c r="CP214" s="1851">
        <f t="shared" si="236"/>
        <v>361.82137699999998</v>
      </c>
      <c r="CT214" s="1851">
        <f t="shared" si="237"/>
        <v>383.64763699999997</v>
      </c>
      <c r="CX214" s="1851">
        <f t="shared" si="238"/>
        <v>386.47675400000003</v>
      </c>
      <c r="DB214" s="22">
        <f>SUM(DB209:DB213)</f>
        <v>386.47675400000003</v>
      </c>
      <c r="DF214" s="22">
        <f>SUM(DF209:DF213)</f>
        <v>386.47675400000003</v>
      </c>
      <c r="DJ214" s="22">
        <f>SUM(DJ209:DJ213)</f>
        <v>387.42960003750005</v>
      </c>
      <c r="DN214" s="22">
        <f>SUM(DN209:DN213)</f>
        <v>389.34244441306902</v>
      </c>
      <c r="DR214" s="22">
        <f>SUM(DR209:DR213)</f>
        <v>391.26486496579321</v>
      </c>
    </row>
    <row r="215" spans="1:125">
      <c r="A215" s="3" t="s">
        <v>153</v>
      </c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51">
        <f t="shared" si="227"/>
        <v>347.99235199999998</v>
      </c>
      <c r="BG215" s="9"/>
      <c r="BH215" s="9"/>
      <c r="BI215" s="9"/>
      <c r="BJ215" s="51">
        <f t="shared" si="228"/>
        <v>341.52729575000001</v>
      </c>
      <c r="BK215" s="9"/>
      <c r="BL215" s="9"/>
      <c r="BM215" s="9"/>
      <c r="BN215" s="51">
        <f t="shared" si="229"/>
        <v>335.08935000000002</v>
      </c>
      <c r="BO215" s="9"/>
      <c r="BP215" s="9"/>
      <c r="BQ215" s="9"/>
      <c r="BR215" s="51">
        <f t="shared" si="230"/>
        <v>324.23462874999996</v>
      </c>
      <c r="BS215" s="9"/>
      <c r="BT215" s="9"/>
      <c r="BU215" s="9"/>
      <c r="BV215" s="51">
        <f t="shared" si="231"/>
        <v>335.20602150000002</v>
      </c>
      <c r="BW215" s="9"/>
      <c r="BX215" s="9"/>
      <c r="BY215" s="9"/>
      <c r="BZ215" s="51">
        <f t="shared" si="232"/>
        <v>340.33276699999999</v>
      </c>
      <c r="CA215" s="9"/>
      <c r="CB215" s="9"/>
      <c r="CC215" s="9"/>
      <c r="CD215" s="51">
        <f t="shared" si="233"/>
        <v>340.35808925000003</v>
      </c>
      <c r="CE215" s="9"/>
      <c r="CF215" s="9"/>
      <c r="CG215" s="9"/>
      <c r="CH215" s="51">
        <f t="shared" si="234"/>
        <v>340.37825850000002</v>
      </c>
      <c r="CI215" s="9"/>
      <c r="CJ215" s="9"/>
      <c r="CK215" s="9"/>
      <c r="CL215" s="51">
        <f t="shared" si="235"/>
        <v>350.87926700000003</v>
      </c>
      <c r="CM215" s="9"/>
      <c r="CN215" s="9"/>
      <c r="CO215" s="9"/>
      <c r="CP215" s="1852">
        <f t="shared" si="236"/>
        <v>359.80250675000002</v>
      </c>
      <c r="CQ215" s="9"/>
      <c r="CR215" s="9"/>
      <c r="CS215" s="9"/>
      <c r="CT215" s="1852">
        <f t="shared" si="237"/>
        <v>370.77883800000001</v>
      </c>
      <c r="CU215" s="9"/>
      <c r="CV215" s="9"/>
      <c r="CW215" s="9"/>
      <c r="CX215" s="1852">
        <f t="shared" si="238"/>
        <v>385.76947475000003</v>
      </c>
      <c r="CY215" s="9"/>
      <c r="CZ215" s="9"/>
      <c r="DA215" s="9"/>
      <c r="DB215" s="51">
        <f>AVERAGE(DB214,CX214)</f>
        <v>386.47675400000003</v>
      </c>
      <c r="DC215" s="9"/>
      <c r="DD215" s="9"/>
      <c r="DE215" s="9"/>
      <c r="DF215" s="51">
        <f>AVERAGE(DF214,DB214)</f>
        <v>386.47675400000003</v>
      </c>
      <c r="DG215" s="9"/>
      <c r="DH215" s="9"/>
      <c r="DI215" s="9"/>
      <c r="DJ215" s="51">
        <f>AVERAGE(DJ214,DF214)</f>
        <v>386.95317701875001</v>
      </c>
      <c r="DK215" s="9"/>
      <c r="DL215" s="9"/>
      <c r="DM215" s="9"/>
      <c r="DN215" s="51">
        <f>AVERAGE(DN214,DJ214)</f>
        <v>388.38602222528453</v>
      </c>
      <c r="DO215" s="9"/>
      <c r="DP215" s="9"/>
      <c r="DQ215" s="9"/>
      <c r="DR215" s="51">
        <f>AVERAGE(DR214,DN214)</f>
        <v>390.30365468943114</v>
      </c>
      <c r="DS215" s="9"/>
    </row>
    <row r="216" spans="1:125">
      <c r="A216" s="3" t="s">
        <v>152</v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51">
        <f t="shared" si="227"/>
        <v>327.01473700000003</v>
      </c>
      <c r="BG216" s="9"/>
      <c r="BH216" s="9"/>
      <c r="BI216" s="9"/>
      <c r="BJ216" s="51">
        <f t="shared" si="228"/>
        <v>314.51878900000003</v>
      </c>
      <c r="BK216" s="9"/>
      <c r="BL216" s="9"/>
      <c r="BM216" s="9"/>
      <c r="BN216" s="51">
        <f t="shared" si="229"/>
        <v>306.08165700000001</v>
      </c>
      <c r="BO216" s="9"/>
      <c r="BP216" s="9"/>
      <c r="BQ216" s="9"/>
      <c r="BR216" s="51">
        <f t="shared" si="230"/>
        <v>298.05655400000001</v>
      </c>
      <c r="BS216" s="9"/>
      <c r="BT216" s="9"/>
      <c r="BU216" s="9"/>
      <c r="BV216" s="51">
        <f t="shared" si="231"/>
        <v>315.07742000000002</v>
      </c>
      <c r="BW216" s="9"/>
      <c r="BX216" s="9"/>
      <c r="BY216" s="9"/>
      <c r="BZ216" s="51">
        <f t="shared" si="232"/>
        <v>321.14715999999999</v>
      </c>
      <c r="CA216" s="9"/>
      <c r="CB216" s="9"/>
      <c r="CC216" s="9"/>
      <c r="CD216" s="51">
        <f t="shared" si="233"/>
        <v>322.47566</v>
      </c>
      <c r="CE216" s="9"/>
      <c r="CF216" s="9"/>
      <c r="CG216" s="9"/>
      <c r="CH216" s="51">
        <f t="shared" si="234"/>
        <v>324.00468599999999</v>
      </c>
      <c r="CI216" s="9"/>
      <c r="CJ216" s="9"/>
      <c r="CK216" s="9"/>
      <c r="CL216" s="51">
        <f t="shared" si="235"/>
        <v>333.23437699999999</v>
      </c>
      <c r="CM216" s="9"/>
      <c r="CN216" s="9"/>
      <c r="CO216" s="9"/>
      <c r="CP216" s="1852">
        <f t="shared" si="236"/>
        <v>345.94075900000001</v>
      </c>
      <c r="CQ216" s="9"/>
      <c r="CR216" s="9"/>
      <c r="CS216" s="9"/>
      <c r="CT216" s="1852">
        <f t="shared" si="237"/>
        <v>358.49600600000002</v>
      </c>
      <c r="CU216" s="9"/>
      <c r="CV216" s="9"/>
      <c r="CW216" s="9"/>
      <c r="CX216" s="1852">
        <f t="shared" si="238"/>
        <v>370.47358700000001</v>
      </c>
      <c r="CY216" s="9"/>
      <c r="CZ216" s="9"/>
      <c r="DA216" s="9"/>
      <c r="DB216" s="51">
        <f>+DB215+(CX216-CX215)</f>
        <v>371.18086625000001</v>
      </c>
      <c r="DC216" s="9"/>
      <c r="DD216" s="9"/>
      <c r="DE216" s="9"/>
      <c r="DF216" s="51">
        <f>+DF215+(DB216-DB215)</f>
        <v>371.18086625000001</v>
      </c>
      <c r="DG216" s="9"/>
      <c r="DH216" s="9"/>
      <c r="DI216" s="9"/>
      <c r="DJ216" s="51">
        <f>+DJ215+(DF216-DF215)</f>
        <v>371.65728926874999</v>
      </c>
      <c r="DK216" s="9"/>
      <c r="DL216" s="9"/>
      <c r="DM216" s="9"/>
      <c r="DN216" s="51">
        <f>+DN215+(DJ216-DJ215)</f>
        <v>373.09013447528451</v>
      </c>
      <c r="DO216" s="9"/>
      <c r="DP216" s="9"/>
      <c r="DQ216" s="9"/>
      <c r="DR216" s="51">
        <f>+DR215+(DN216-DN215)</f>
        <v>375.00776693943112</v>
      </c>
      <c r="DS216" s="9"/>
    </row>
    <row r="218" spans="1:125">
      <c r="A218" s="2" t="s">
        <v>75</v>
      </c>
      <c r="BF218" s="7">
        <f>BF115</f>
        <v>730.65376000000037</v>
      </c>
      <c r="BJ218" s="7">
        <f>BJ115</f>
        <v>851.49</v>
      </c>
      <c r="BN218" s="7">
        <f>BN115</f>
        <v>1267.49</v>
      </c>
      <c r="BR218" s="7">
        <f>BR115</f>
        <v>1604.49</v>
      </c>
      <c r="BV218" s="7">
        <f>BV115</f>
        <v>2063.4899999999998</v>
      </c>
      <c r="BZ218" s="7">
        <f>BZ115</f>
        <v>2217.4899999999998</v>
      </c>
      <c r="CD218" s="7">
        <f>CD115</f>
        <v>2557.4899999999998</v>
      </c>
      <c r="CH218" s="7">
        <f>CH115</f>
        <v>2982.49</v>
      </c>
      <c r="CL218" s="7">
        <f>CL115</f>
        <v>2731.49</v>
      </c>
      <c r="CP218" s="7">
        <f>CP185</f>
        <v>3015</v>
      </c>
      <c r="CT218" s="7">
        <f>CT185</f>
        <v>4706</v>
      </c>
      <c r="CX218" s="7">
        <f>CX185</f>
        <v>5182</v>
      </c>
      <c r="DB218" s="7">
        <f>DB185</f>
        <v>3522</v>
      </c>
      <c r="DF218" s="7">
        <f ca="1">DF185</f>
        <v>3715</v>
      </c>
      <c r="DJ218" s="7">
        <f ca="1">DJ185</f>
        <v>5563.205464377992</v>
      </c>
      <c r="DN218" s="7">
        <f ca="1">DN185</f>
        <v>7016.5045744552772</v>
      </c>
      <c r="DR218" s="7">
        <f ca="1">DR185</f>
        <v>7897.4973512355427</v>
      </c>
    </row>
    <row r="219" spans="1:125">
      <c r="A219" s="12" t="s">
        <v>479</v>
      </c>
      <c r="BF219" s="8">
        <f>BF116</f>
        <v>-43</v>
      </c>
      <c r="BJ219" s="8">
        <f>BJ116</f>
        <v>-61</v>
      </c>
      <c r="BN219" s="8">
        <f>BN116</f>
        <v>-91</v>
      </c>
      <c r="BR219" s="8">
        <f>BR116</f>
        <v>-107</v>
      </c>
      <c r="BV219" s="8">
        <f>BV116</f>
        <v>-112</v>
      </c>
      <c r="BZ219" s="8">
        <f>BZ116</f>
        <v>-105</v>
      </c>
      <c r="CD219" s="8">
        <f>CD116</f>
        <v>-112</v>
      </c>
      <c r="CH219" s="8">
        <f>CH116</f>
        <v>-120</v>
      </c>
      <c r="CL219" s="8">
        <f>CL116</f>
        <v>-95</v>
      </c>
      <c r="CP219" s="8">
        <f>CP116</f>
        <v>-99</v>
      </c>
      <c r="CT219" s="8">
        <f>CT116</f>
        <v>-147</v>
      </c>
      <c r="CX219" s="8">
        <f>CX116</f>
        <v>-167</v>
      </c>
      <c r="DB219" s="8">
        <f>DB116</f>
        <v>-137</v>
      </c>
      <c r="DF219" s="8">
        <f>DF116</f>
        <v>-132</v>
      </c>
      <c r="DJ219" s="8">
        <f>DJ116</f>
        <v>-136.14819981271509</v>
      </c>
      <c r="DN219" s="8">
        <f>DN116</f>
        <v>-149.20021481926057</v>
      </c>
      <c r="DR219" s="8">
        <f>DR116</f>
        <v>-160.62203920175656</v>
      </c>
    </row>
    <row r="220" spans="1:125">
      <c r="A220" s="2" t="s">
        <v>68</v>
      </c>
      <c r="BF220" s="7">
        <f>BF117</f>
        <v>687.65376000000037</v>
      </c>
      <c r="BJ220" s="7">
        <f>BJ117</f>
        <v>790.49</v>
      </c>
      <c r="BN220" s="7">
        <f>BN117</f>
        <v>1176.49</v>
      </c>
      <c r="BR220" s="7">
        <f>BR117</f>
        <v>1497.49</v>
      </c>
      <c r="BV220" s="7">
        <f>BV117</f>
        <v>1951.4899999999998</v>
      </c>
      <c r="BZ220" s="7">
        <f>BZ117</f>
        <v>2112.4899999999998</v>
      </c>
      <c r="CD220" s="7">
        <f>CD117</f>
        <v>2445.4899999999998</v>
      </c>
      <c r="CH220" s="7">
        <f>CH117</f>
        <v>2862.49</v>
      </c>
      <c r="CL220" s="7">
        <f>CL117</f>
        <v>2636.49</v>
      </c>
      <c r="CP220" s="7">
        <f>SUM(CP218:CP219)</f>
        <v>2916</v>
      </c>
      <c r="CT220" s="7">
        <f>SUM(CT218:CT219)</f>
        <v>4559</v>
      </c>
      <c r="CX220" s="7">
        <f>SUM(CX218:CX219)</f>
        <v>5015</v>
      </c>
      <c r="DB220" s="7">
        <f>SUM(DB218:DB219)</f>
        <v>3385</v>
      </c>
      <c r="DF220" s="7">
        <f ca="1">SUM(DF218:DF219)</f>
        <v>3583</v>
      </c>
      <c r="DJ220" s="7">
        <f ca="1">SUM(DJ218:DJ219)</f>
        <v>5427.0572645652774</v>
      </c>
      <c r="DN220" s="7">
        <f ca="1">SUM(DN218:DN219)</f>
        <v>6867.3043596360167</v>
      </c>
      <c r="DR220" s="7">
        <f ca="1">SUM(DR218:DR219)</f>
        <v>7736.875312033786</v>
      </c>
    </row>
    <row r="221" spans="1:125" ht="14.4" thickBot="1">
      <c r="A221" s="1" t="s">
        <v>788</v>
      </c>
      <c r="BF221" s="24">
        <f>BF118</f>
        <v>327.01473700000003</v>
      </c>
      <c r="BJ221" s="24">
        <f>BJ118</f>
        <v>314.71878900000002</v>
      </c>
      <c r="BN221" s="24">
        <f>BN118</f>
        <v>306.16665699999999</v>
      </c>
      <c r="BR221" s="24">
        <f>BR118</f>
        <v>298.109554</v>
      </c>
      <c r="BV221" s="24">
        <f>BV118</f>
        <v>315.07742000000002</v>
      </c>
      <c r="BZ221" s="24">
        <f>BZ118</f>
        <v>321.14715999999999</v>
      </c>
      <c r="CD221" s="24">
        <f>CD118</f>
        <v>322.47566</v>
      </c>
      <c r="CH221" s="24">
        <f>CH118</f>
        <v>324.00468599999999</v>
      </c>
      <c r="CL221" s="24">
        <f>CL118</f>
        <v>333.23437699999999</v>
      </c>
      <c r="CP221" s="24">
        <f>CP216</f>
        <v>345.94075900000001</v>
      </c>
      <c r="CT221" s="24">
        <f>CT216</f>
        <v>358.49600600000002</v>
      </c>
      <c r="CX221" s="24">
        <f>CX216</f>
        <v>370.47358700000001</v>
      </c>
      <c r="DB221" s="24">
        <f>DB216</f>
        <v>371.18086625000001</v>
      </c>
      <c r="DF221" s="24">
        <f>DF216</f>
        <v>371.18086625000001</v>
      </c>
      <c r="DJ221" s="24">
        <f>DJ216</f>
        <v>371.65728926874999</v>
      </c>
      <c r="DN221" s="24">
        <f>DN216</f>
        <v>373.09013447528451</v>
      </c>
      <c r="DR221" s="24">
        <f>DR216</f>
        <v>375.00776693943112</v>
      </c>
    </row>
    <row r="222" spans="1:125" ht="14.4" thickBot="1">
      <c r="A222" s="72" t="s">
        <v>81</v>
      </c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3"/>
      <c r="AE222" s="73"/>
      <c r="AF222" s="73"/>
      <c r="AG222" s="73"/>
      <c r="AH222" s="73"/>
      <c r="AI222" s="73"/>
      <c r="AJ222" s="73"/>
      <c r="AK222" s="73"/>
      <c r="AL222" s="73"/>
      <c r="AM222" s="73"/>
      <c r="AN222" s="73"/>
      <c r="AO222" s="73"/>
      <c r="AP222" s="73"/>
      <c r="AQ222" s="73"/>
      <c r="AR222" s="73"/>
      <c r="AS222" s="73"/>
      <c r="AT222" s="73"/>
      <c r="AU222" s="73"/>
      <c r="AV222" s="74"/>
      <c r="AW222" s="74"/>
      <c r="AX222" s="74"/>
      <c r="AY222" s="74"/>
      <c r="AZ222" s="74"/>
      <c r="BA222" s="74"/>
      <c r="BB222" s="74"/>
      <c r="BC222" s="74"/>
      <c r="BD222" s="74"/>
      <c r="BE222" s="74"/>
      <c r="BF222" s="78">
        <f>BF119</f>
        <v>210.2821928786654</v>
      </c>
      <c r="BG222" s="74"/>
      <c r="BH222" s="74"/>
      <c r="BI222" s="74"/>
      <c r="BJ222" s="78">
        <f>BJ119</f>
        <v>251.1734372490865</v>
      </c>
      <c r="BK222" s="74"/>
      <c r="BL222" s="74"/>
      <c r="BM222" s="74"/>
      <c r="BN222" s="78">
        <f>BN119</f>
        <v>384.26457391798874</v>
      </c>
      <c r="BO222" s="74"/>
      <c r="BP222" s="74"/>
      <c r="BQ222" s="74"/>
      <c r="BR222" s="78">
        <f>BR119</f>
        <v>502.32875126169216</v>
      </c>
      <c r="BS222" s="74"/>
      <c r="BT222" s="74"/>
      <c r="BU222" s="74"/>
      <c r="BV222" s="78">
        <f>BV119</f>
        <v>619.36840792970804</v>
      </c>
      <c r="BW222" s="74"/>
      <c r="BX222" s="74"/>
      <c r="BY222" s="74"/>
      <c r="BZ222" s="78">
        <f>BZ119</f>
        <v>657.79501210597653</v>
      </c>
      <c r="CA222" s="74"/>
      <c r="CB222" s="74"/>
      <c r="CC222" s="74"/>
      <c r="CD222" s="78">
        <f>CD119</f>
        <v>758.34870762028982</v>
      </c>
      <c r="CE222" s="74"/>
      <c r="CF222" s="74"/>
      <c r="CG222" s="74"/>
      <c r="CH222" s="78">
        <f>CH119</f>
        <v>883.47179028145285</v>
      </c>
      <c r="CI222" s="74"/>
      <c r="CJ222" s="74"/>
      <c r="CK222" s="74"/>
      <c r="CL222" s="78">
        <f>CL119</f>
        <v>791.18187737275366</v>
      </c>
      <c r="CM222" s="74"/>
      <c r="CN222" s="74"/>
      <c r="CO222" s="74"/>
      <c r="CP222" s="78">
        <f>+CP220/(CP221/100)</f>
        <v>842.9188883175226</v>
      </c>
      <c r="CQ222" s="74"/>
      <c r="CR222" s="74"/>
      <c r="CS222" s="74"/>
      <c r="CT222" s="78">
        <f>+CT220/(CT221/100)</f>
        <v>1271.7017550259679</v>
      </c>
      <c r="CU222" s="74"/>
      <c r="CV222" s="74"/>
      <c r="CW222" s="74"/>
      <c r="CX222" s="78">
        <f>+CX220/(CX221/100)</f>
        <v>1353.6727518445196</v>
      </c>
      <c r="CY222" s="74"/>
      <c r="CZ222" s="74"/>
      <c r="DA222" s="74"/>
      <c r="DB222" s="78">
        <f>+DB220/(DB221/100)</f>
        <v>911.95433487676439</v>
      </c>
      <c r="DC222" s="74"/>
      <c r="DD222" s="74"/>
      <c r="DE222" s="74"/>
      <c r="DF222" s="78">
        <f ca="1">+DF220/(DF221/100)</f>
        <v>965.29760173218517</v>
      </c>
      <c r="DG222" s="74"/>
      <c r="DH222" s="74"/>
      <c r="DI222" s="74"/>
      <c r="DJ222" s="78">
        <f ca="1">+DJ220/(DJ221/100)</f>
        <v>1460.2316223215266</v>
      </c>
      <c r="DK222" s="74"/>
      <c r="DL222" s="74"/>
      <c r="DM222" s="74"/>
      <c r="DN222" s="78">
        <f ca="1">+DN220/(DN221/100)</f>
        <v>1840.655574903963</v>
      </c>
      <c r="DO222" s="74"/>
      <c r="DP222" s="74"/>
      <c r="DQ222" s="74"/>
      <c r="DR222" s="78">
        <f ca="1">+DR220/(DR221/100)</f>
        <v>2063.1240187842291</v>
      </c>
      <c r="DS222" s="74"/>
    </row>
    <row r="223" spans="1:125" s="11" customFormat="1">
      <c r="A223" s="2005" t="s">
        <v>43</v>
      </c>
      <c r="B223" s="2005"/>
      <c r="C223" s="2005"/>
      <c r="D223" s="2005"/>
      <c r="E223" s="2005"/>
      <c r="F223" s="2005"/>
      <c r="G223" s="2005"/>
      <c r="H223" s="2005"/>
      <c r="I223" s="2005"/>
      <c r="J223" s="2005"/>
      <c r="K223" s="2005"/>
      <c r="L223" s="2005"/>
      <c r="M223" s="2005"/>
      <c r="N223" s="2005"/>
      <c r="O223" s="2005"/>
      <c r="P223" s="2005"/>
      <c r="Q223" s="2005"/>
      <c r="R223" s="2005"/>
      <c r="S223" s="2005"/>
      <c r="T223" s="2005"/>
      <c r="U223" s="2005"/>
      <c r="V223" s="2005"/>
      <c r="W223" s="2005"/>
      <c r="X223" s="2005"/>
      <c r="Y223" s="2005"/>
      <c r="Z223" s="2005"/>
      <c r="AA223" s="2005"/>
      <c r="AB223" s="2005"/>
      <c r="AC223" s="2005"/>
      <c r="AD223" s="2005"/>
      <c r="AE223" s="2005"/>
      <c r="AF223" s="2005"/>
      <c r="AG223" s="2005"/>
      <c r="AH223" s="2005"/>
      <c r="AI223" s="2005"/>
      <c r="AJ223" s="2005"/>
      <c r="AK223" s="2005"/>
      <c r="AL223" s="2005"/>
      <c r="AM223" s="2005"/>
      <c r="AN223" s="2005"/>
      <c r="AO223" s="2005"/>
      <c r="AP223" s="2005"/>
      <c r="AQ223" s="2005"/>
      <c r="AR223" s="2005"/>
      <c r="AS223" s="2005"/>
      <c r="AT223" s="2005"/>
      <c r="AU223" s="2005"/>
      <c r="AV223" s="2006"/>
      <c r="AW223" s="2006"/>
      <c r="AX223" s="2006"/>
      <c r="AY223" s="2006"/>
      <c r="AZ223" s="2006"/>
      <c r="BA223" s="2006"/>
      <c r="BB223" s="2006"/>
      <c r="BC223" s="2006"/>
      <c r="BD223" s="2006"/>
      <c r="BE223" s="2006"/>
      <c r="BF223" s="2006"/>
      <c r="BG223" s="2006"/>
      <c r="BH223" s="2006"/>
      <c r="BI223" s="2006"/>
      <c r="BJ223" s="2006"/>
      <c r="BK223" s="2006"/>
      <c r="BL223" s="2006"/>
      <c r="BM223" s="2006"/>
      <c r="BN223" s="2006"/>
      <c r="BO223" s="2006"/>
      <c r="BP223" s="2006"/>
      <c r="BQ223" s="2006"/>
      <c r="BR223" s="2006"/>
      <c r="BS223" s="2006"/>
      <c r="BT223" s="2006"/>
      <c r="BU223" s="2006"/>
      <c r="BV223" s="2007">
        <f>BV222/BV119-1</f>
        <v>0</v>
      </c>
      <c r="BW223" s="2006"/>
      <c r="BX223" s="2006"/>
      <c r="BY223" s="2006"/>
      <c r="BZ223" s="2007">
        <f>BZ222/BZ119-1</f>
        <v>0</v>
      </c>
      <c r="CA223" s="2006"/>
      <c r="CB223" s="2006"/>
      <c r="CC223" s="2006"/>
      <c r="CD223" s="2007">
        <f>CD222/CD119-1</f>
        <v>0</v>
      </c>
      <c r="CE223" s="2006"/>
      <c r="CF223" s="2006"/>
      <c r="CG223" s="2006"/>
      <c r="CH223" s="2007">
        <f>CH222/CH119-1</f>
        <v>0</v>
      </c>
      <c r="CI223" s="2006"/>
      <c r="CJ223" s="2006"/>
      <c r="CK223" s="2006"/>
      <c r="CL223" s="2007">
        <f>CL222/CL119-1</f>
        <v>0</v>
      </c>
      <c r="CM223" s="2006"/>
      <c r="CN223" s="2006"/>
      <c r="CO223" s="2006"/>
      <c r="CP223" s="2007">
        <f>CP222/CP119-1</f>
        <v>-1.6801017661627338E-4</v>
      </c>
      <c r="CQ223" s="2006"/>
      <c r="CR223" s="2006"/>
      <c r="CS223" s="2006"/>
      <c r="CT223" s="2007">
        <f>CT222/CT119-1</f>
        <v>-1.0746815981621527E-4</v>
      </c>
      <c r="CU223" s="2006"/>
      <c r="CV223" s="2006"/>
      <c r="CW223" s="2006"/>
      <c r="CX223" s="2007">
        <f>CX222/CX119-1</f>
        <v>-9.7697333660273777E-5</v>
      </c>
      <c r="CY223" s="2006"/>
      <c r="CZ223" s="2006"/>
      <c r="DA223" s="2006"/>
      <c r="DB223" s="2007">
        <f>DB222/DB119-1</f>
        <v>-5.1705337433722853E-3</v>
      </c>
      <c r="DC223" s="2006"/>
      <c r="DD223" s="2006"/>
      <c r="DE223" s="2006"/>
      <c r="DF223" s="2007">
        <f ca="1">DF222/DF119-1</f>
        <v>-1.4490475473094899E-2</v>
      </c>
      <c r="DG223" s="2006"/>
      <c r="DH223" s="2006"/>
      <c r="DI223" s="2006"/>
      <c r="DJ223" s="2007">
        <f ca="1">DJ222/DJ119-1</f>
        <v>0.32709178809402051</v>
      </c>
      <c r="DK223" s="2006"/>
      <c r="DL223" s="2006"/>
      <c r="DM223" s="2006"/>
      <c r="DN223" s="2007">
        <f ca="1">DN222/DN119-1</f>
        <v>0.53317697452760249</v>
      </c>
      <c r="DO223" s="2006"/>
      <c r="DP223" s="2006"/>
      <c r="DQ223" s="2006"/>
      <c r="DR223" s="2007">
        <f ca="1">DR222/DR119-1</f>
        <v>0.60427260962246265</v>
      </c>
      <c r="DS223" s="2006"/>
      <c r="DT223" s="15"/>
      <c r="DU223" s="15"/>
    </row>
    <row r="224" spans="1:125" ht="14.4" thickBot="1"/>
    <row r="225" spans="1:125" ht="14.4" thickBot="1">
      <c r="A225" s="72" t="s">
        <v>998</v>
      </c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3"/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  <c r="AO225" s="73"/>
      <c r="AP225" s="73"/>
      <c r="AQ225" s="73"/>
      <c r="AR225" s="73"/>
      <c r="AS225" s="73"/>
      <c r="AT225" s="73"/>
      <c r="AU225" s="73"/>
      <c r="AV225" s="74"/>
      <c r="AW225" s="74"/>
      <c r="AX225" s="74"/>
      <c r="AY225" s="74"/>
      <c r="AZ225" s="74"/>
      <c r="BA225" s="74"/>
      <c r="BB225" s="74"/>
      <c r="BC225" s="74"/>
      <c r="BD225" s="74"/>
      <c r="BE225" s="74"/>
      <c r="BF225" s="78"/>
      <c r="BG225" s="74"/>
      <c r="BH225" s="74"/>
      <c r="BI225" s="74"/>
      <c r="BJ225" s="78"/>
      <c r="BK225" s="74"/>
      <c r="BL225" s="74"/>
      <c r="BM225" s="74"/>
      <c r="BN225" s="78"/>
      <c r="BO225" s="74"/>
      <c r="BP225" s="74"/>
      <c r="BQ225" s="74"/>
      <c r="BR225" s="78"/>
      <c r="BS225" s="74"/>
      <c r="BT225" s="74"/>
      <c r="BU225" s="74"/>
      <c r="BV225" s="78">
        <f>(BV220+BV$121)/((BV221+BV$122)/100)</f>
        <v>600.21947097855582</v>
      </c>
      <c r="BW225" s="74"/>
      <c r="BX225" s="74"/>
      <c r="BY225" s="74"/>
      <c r="BZ225" s="78">
        <f>(BZ220+BZ$121)/((BZ221+BZ$122)/100)</f>
        <v>644.68025655950817</v>
      </c>
      <c r="CA225" s="74"/>
      <c r="CB225" s="74"/>
      <c r="CC225" s="74"/>
      <c r="CD225" s="78">
        <f>(CD220+CD$121)/((CD221+CD$122)/100)</f>
        <v>743.60911944752263</v>
      </c>
      <c r="CE225" s="74"/>
      <c r="CF225" s="74"/>
      <c r="CG225" s="74"/>
      <c r="CH225" s="78">
        <f>(CH220+CH$121)/((CH221+CH$122)/100)</f>
        <v>868.24171402426589</v>
      </c>
      <c r="CI225" s="74"/>
      <c r="CJ225" s="74"/>
      <c r="CK225" s="74"/>
      <c r="CL225" s="78">
        <f>(CL220+CL$121)/((CL221+CL$122)/100)</f>
        <v>764.65090815656879</v>
      </c>
      <c r="CM225" s="74"/>
      <c r="CN225" s="74"/>
      <c r="CO225" s="74"/>
      <c r="CP225" s="78">
        <f>(CP220+CP$121)/((CP221+CP$122)/100)</f>
        <v>824.61377292243503</v>
      </c>
      <c r="CQ225" s="74"/>
      <c r="CR225" s="74"/>
      <c r="CS225" s="74"/>
      <c r="CT225" s="78">
        <f>(CT220+CT$121)/((CT221+CT$122)/100)</f>
        <v>1230.6275909838403</v>
      </c>
      <c r="CU225" s="74"/>
      <c r="CV225" s="74"/>
      <c r="CW225" s="74"/>
      <c r="CX225" s="78">
        <f>(CX220+CX$121)/((CX221+CX$122)/100)</f>
        <v>1316.3081952654666</v>
      </c>
      <c r="CY225" s="74"/>
      <c r="CZ225" s="74"/>
      <c r="DA225" s="74"/>
      <c r="DB225" s="78">
        <f>(DB220+DB$121)/((DB221+DB$122)/100)</f>
        <v>906.95953813295989</v>
      </c>
      <c r="DC225" s="74"/>
      <c r="DD225" s="74"/>
      <c r="DE225" s="74"/>
      <c r="DF225" s="78">
        <f ca="1">(DF220+DF$121)/((DF221+DF$122)/100)</f>
        <v>961.87505318389856</v>
      </c>
      <c r="DG225" s="74"/>
      <c r="DH225" s="74"/>
      <c r="DI225" s="74"/>
      <c r="DJ225" s="78">
        <f ca="1">(DJ220+DJ$121)/((DJ221+DJ$122)/100)</f>
        <v>1442.1300504079811</v>
      </c>
      <c r="DK225" s="74"/>
      <c r="DL225" s="74"/>
      <c r="DM225" s="74"/>
      <c r="DN225" s="78">
        <f ca="1">(DN220+DN$121)/((DN221+DN$122)/100)</f>
        <v>1813.1571945216801</v>
      </c>
      <c r="DO225" s="74"/>
      <c r="DP225" s="74"/>
      <c r="DQ225" s="74"/>
      <c r="DR225" s="78">
        <f ca="1">(DR220+DR$121)/((DR221+DR$122)/100)</f>
        <v>2030.2555646953451</v>
      </c>
      <c r="DS225" s="74"/>
    </row>
    <row r="228" spans="1:125">
      <c r="A228" s="1" t="s">
        <v>86</v>
      </c>
      <c r="BF228" s="8">
        <f>BF126</f>
        <v>140</v>
      </c>
      <c r="BJ228" s="8">
        <f>BJ126</f>
        <v>200</v>
      </c>
      <c r="BN228" s="8">
        <f>BN126</f>
        <v>260</v>
      </c>
      <c r="BR228" s="8">
        <f>BR126</f>
        <v>330</v>
      </c>
      <c r="BU228" s="8">
        <f>+BV228-BT228</f>
        <v>396.72251807505802</v>
      </c>
      <c r="BV228" s="8">
        <f>+BV233*100/BV232</f>
        <v>396.72251807505802</v>
      </c>
      <c r="BX228" s="8">
        <f>+BZ228/BV228*BT228</f>
        <v>0</v>
      </c>
      <c r="BY228" s="8">
        <f>+BZ228-BX228</f>
        <v>469.88874480611622</v>
      </c>
      <c r="BZ228" s="8">
        <f>+BZ233*100/BZ232</f>
        <v>469.88874480611622</v>
      </c>
      <c r="CB228" s="8">
        <f>+CD228/BZ228*BX228</f>
        <v>0</v>
      </c>
      <c r="CC228" s="8">
        <f>+CD228-CB228</f>
        <v>524.8952478207093</v>
      </c>
      <c r="CD228" s="8">
        <f>+CD233*100/CD232</f>
        <v>524.8952478207093</v>
      </c>
      <c r="CF228" s="8">
        <f>+CH228/CD228*CB228</f>
        <v>0</v>
      </c>
      <c r="CG228" s="8">
        <f>+CH228-CF228</f>
        <v>574.90553195484313</v>
      </c>
      <c r="CH228" s="8">
        <f>+CH233*100/CH232</f>
        <v>574.90553195484313</v>
      </c>
      <c r="CJ228" s="8">
        <f>+CL228/CH228*CF228</f>
        <v>0</v>
      </c>
      <c r="CK228" s="8">
        <f>+CL228-CJ228</f>
        <v>429.91938605129656</v>
      </c>
      <c r="CL228" s="8">
        <f>+CL233*100/CL232</f>
        <v>429.91938605129656</v>
      </c>
      <c r="CN228" s="8">
        <f>+CP228/CL228*CJ228</f>
        <v>0</v>
      </c>
      <c r="CO228" s="8">
        <f>+CP228-CN228</f>
        <v>469.80509050596737</v>
      </c>
      <c r="CP228" s="8">
        <f>+CP233*100/CP232</f>
        <v>469.80509050596737</v>
      </c>
      <c r="CR228" s="8">
        <f>+CT228/CP228*CN228</f>
        <v>0</v>
      </c>
      <c r="CS228" s="8">
        <f>+CT228-CR228</f>
        <v>611.42602763747345</v>
      </c>
      <c r="CT228" s="8">
        <f>+CT233*100/CT232</f>
        <v>611.42602763747345</v>
      </c>
      <c r="CV228" s="8">
        <f>+CX228/CT228*CR228</f>
        <v>0</v>
      </c>
      <c r="CW228" s="8">
        <f>+CX228-CV228</f>
        <v>749.92908814102873</v>
      </c>
      <c r="CX228" s="8">
        <f>+CX233*100/CX232</f>
        <v>749.92908814102873</v>
      </c>
      <c r="CZ228" s="8">
        <f>+DB228/CX228*CV228</f>
        <v>0</v>
      </c>
      <c r="DA228" s="8">
        <f>+DB228-CZ228</f>
        <v>636.41066612765223</v>
      </c>
      <c r="DB228" s="8">
        <f>+DB233*100/DB232</f>
        <v>636.41066612765223</v>
      </c>
      <c r="DD228" s="8">
        <f ca="1">+DF228/DB228*CZ228</f>
        <v>0</v>
      </c>
      <c r="DE228" s="8">
        <f ca="1">+DF228-DD228</f>
        <v>640.93712017719395</v>
      </c>
      <c r="DF228" s="8">
        <f ca="1">+DF233*100/DF232</f>
        <v>640.93712017719395</v>
      </c>
      <c r="DH228" s="8">
        <f ca="1">+DJ228/DF228*DD228</f>
        <v>0</v>
      </c>
      <c r="DI228" s="8">
        <f ca="1">+DJ228-DH228</f>
        <v>932.64054897300889</v>
      </c>
      <c r="DJ228" s="8">
        <f ca="1">+DJ233*100/DJ232</f>
        <v>932.64054897300889</v>
      </c>
      <c r="DL228" s="8">
        <f ca="1">+DN228/DJ228*DH228</f>
        <v>0</v>
      </c>
      <c r="DM228" s="8">
        <f ca="1">+DN228-DL228</f>
        <v>1171.6517183493593</v>
      </c>
      <c r="DN228" s="8">
        <f ca="1">+DN233*100/DN232</f>
        <v>1171.6517183493593</v>
      </c>
      <c r="DP228" s="8">
        <f ca="1">+DR228/DN228*DL228</f>
        <v>0</v>
      </c>
      <c r="DQ228" s="8">
        <f ca="1">+DR228-DP228</f>
        <v>1312.0036645217338</v>
      </c>
      <c r="DR228" s="8">
        <f ca="1">+DR233*100/DR232</f>
        <v>1312.0036645217338</v>
      </c>
    </row>
    <row r="229" spans="1:125" ht="14.4" thickBot="1">
      <c r="A229" s="1" t="s">
        <v>87</v>
      </c>
      <c r="BF229" s="8">
        <f>BF127</f>
        <v>0</v>
      </c>
      <c r="BJ229" s="8">
        <f>BJ127</f>
        <v>0</v>
      </c>
      <c r="BN229" s="8">
        <f>BN127</f>
        <v>0</v>
      </c>
      <c r="BR229" s="8">
        <f>BR127</f>
        <v>0</v>
      </c>
      <c r="BV229" s="8">
        <f>+BV234*100/BV232</f>
        <v>0</v>
      </c>
      <c r="BZ229" s="8">
        <f>+BZ234*100/BZ232</f>
        <v>0</v>
      </c>
      <c r="CD229" s="8">
        <f>+CD234*100/CD232</f>
        <v>0</v>
      </c>
      <c r="CH229" s="8">
        <f>+CH234*100/CH232</f>
        <v>0</v>
      </c>
      <c r="CL229" s="8">
        <f>+CL234*100/CL232</f>
        <v>0</v>
      </c>
      <c r="CP229" s="8">
        <f>+CP234*100/CP232</f>
        <v>0</v>
      </c>
      <c r="CT229" s="8">
        <f>+CT234*100/CT232</f>
        <v>0</v>
      </c>
      <c r="CX229" s="8">
        <f>+CX234*100/CX232</f>
        <v>0</v>
      </c>
      <c r="DB229" s="8">
        <f>+DB234*100/DB232</f>
        <v>0</v>
      </c>
      <c r="DF229" s="8">
        <f ca="1">+DF234*100/DF232</f>
        <v>0</v>
      </c>
      <c r="DJ229" s="8">
        <f ca="1">+DJ234*100/DJ232</f>
        <v>0</v>
      </c>
      <c r="DN229" s="8">
        <f ca="1">+DN234*100/DN232</f>
        <v>0</v>
      </c>
      <c r="DR229" s="8">
        <f ca="1">+DR234*100/DR232</f>
        <v>0</v>
      </c>
    </row>
    <row r="230" spans="1:125" ht="14.4" thickBot="1">
      <c r="A230" s="72" t="s">
        <v>88</v>
      </c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  <c r="AA230" s="72"/>
      <c r="AB230" s="72"/>
      <c r="AC230" s="72"/>
      <c r="AD230" s="72"/>
      <c r="AE230" s="72"/>
      <c r="AF230" s="72"/>
      <c r="AG230" s="72"/>
      <c r="AH230" s="72"/>
      <c r="AI230" s="72"/>
      <c r="AJ230" s="72"/>
      <c r="AK230" s="72"/>
      <c r="AL230" s="72"/>
      <c r="AM230" s="72"/>
      <c r="AN230" s="72"/>
      <c r="AO230" s="72"/>
      <c r="AP230" s="72"/>
      <c r="AQ230" s="72"/>
      <c r="AR230" s="72"/>
      <c r="AS230" s="72"/>
      <c r="AT230" s="72"/>
      <c r="AU230" s="72"/>
      <c r="AV230" s="76"/>
      <c r="AW230" s="76"/>
      <c r="AX230" s="76"/>
      <c r="AY230" s="76"/>
      <c r="AZ230" s="76"/>
      <c r="BA230" s="76"/>
      <c r="BB230" s="76"/>
      <c r="BC230" s="76"/>
      <c r="BD230" s="76"/>
      <c r="BE230" s="76"/>
      <c r="BF230" s="75">
        <f>BF128</f>
        <v>140</v>
      </c>
      <c r="BG230" s="76"/>
      <c r="BH230" s="76"/>
      <c r="BI230" s="76"/>
      <c r="BJ230" s="75">
        <f>BJ128</f>
        <v>200</v>
      </c>
      <c r="BK230" s="76"/>
      <c r="BL230" s="76"/>
      <c r="BM230" s="76"/>
      <c r="BN230" s="75">
        <f>BN128</f>
        <v>260</v>
      </c>
      <c r="BO230" s="76"/>
      <c r="BP230" s="76"/>
      <c r="BQ230" s="76"/>
      <c r="BR230" s="75">
        <f>BR128</f>
        <v>330</v>
      </c>
      <c r="BS230" s="76"/>
      <c r="BT230" s="76"/>
      <c r="BU230" s="76"/>
      <c r="BV230" s="75">
        <f>SUM(BV228:BV229)</f>
        <v>396.72251807505802</v>
      </c>
      <c r="BW230" s="76"/>
      <c r="BX230" s="76"/>
      <c r="BY230" s="76"/>
      <c r="BZ230" s="75">
        <f>SUM(BZ228:BZ229)</f>
        <v>469.88874480611622</v>
      </c>
      <c r="CA230" s="76"/>
      <c r="CB230" s="76"/>
      <c r="CC230" s="76"/>
      <c r="CD230" s="75">
        <f>SUM(CD228:CD229)</f>
        <v>524.8952478207093</v>
      </c>
      <c r="CE230" s="76"/>
      <c r="CF230" s="76"/>
      <c r="CG230" s="76"/>
      <c r="CH230" s="75">
        <f>SUM(CH228:CH229)</f>
        <v>574.90553195484313</v>
      </c>
      <c r="CI230" s="76"/>
      <c r="CJ230" s="76"/>
      <c r="CK230" s="76"/>
      <c r="CL230" s="75">
        <f>SUM(CL228:CL229)</f>
        <v>429.91938605129656</v>
      </c>
      <c r="CM230" s="76"/>
      <c r="CN230" s="76"/>
      <c r="CO230" s="76"/>
      <c r="CP230" s="75">
        <f>SUM(CP228:CP229)</f>
        <v>469.80509050596737</v>
      </c>
      <c r="CQ230" s="76"/>
      <c r="CR230" s="76"/>
      <c r="CS230" s="76"/>
      <c r="CT230" s="75">
        <f>SUM(CT228:CT229)</f>
        <v>611.42602763747345</v>
      </c>
      <c r="CU230" s="76"/>
      <c r="CV230" s="76"/>
      <c r="CW230" s="76"/>
      <c r="CX230" s="75">
        <f>SUM(CX228:CX229)</f>
        <v>749.92908814102873</v>
      </c>
      <c r="CY230" s="76"/>
      <c r="CZ230" s="76"/>
      <c r="DA230" s="76"/>
      <c r="DB230" s="75">
        <f>SUM(DB228:DB229)</f>
        <v>636.41066612765223</v>
      </c>
      <c r="DC230" s="76"/>
      <c r="DD230" s="76"/>
      <c r="DE230" s="76"/>
      <c r="DF230" s="75">
        <f ca="1">SUM(DF228:DF229)</f>
        <v>640.93712017719395</v>
      </c>
      <c r="DG230" s="76"/>
      <c r="DH230" s="76"/>
      <c r="DI230" s="76"/>
      <c r="DJ230" s="75">
        <f ca="1">SUM(DJ228:DJ229)</f>
        <v>932.64054897300889</v>
      </c>
      <c r="DK230" s="76"/>
      <c r="DL230" s="76"/>
      <c r="DM230" s="76"/>
      <c r="DN230" s="75">
        <f ca="1">SUM(DN228:DN229)</f>
        <v>1171.6517183493593</v>
      </c>
      <c r="DO230" s="76"/>
      <c r="DP230" s="76"/>
      <c r="DQ230" s="76"/>
      <c r="DR230" s="75">
        <f ca="1">SUM(DR228:DR229)</f>
        <v>1312.0036645217338</v>
      </c>
      <c r="DS230" s="76"/>
    </row>
    <row r="231" spans="1:125" s="11" customFormat="1">
      <c r="A231" s="2005" t="s">
        <v>43</v>
      </c>
      <c r="B231" s="2005"/>
      <c r="C231" s="2005"/>
      <c r="D231" s="2005"/>
      <c r="E231" s="2005"/>
      <c r="F231" s="2005"/>
      <c r="G231" s="2005"/>
      <c r="H231" s="2005"/>
      <c r="I231" s="2005"/>
      <c r="J231" s="2005"/>
      <c r="K231" s="2005"/>
      <c r="L231" s="2005"/>
      <c r="M231" s="2005"/>
      <c r="N231" s="2005"/>
      <c r="O231" s="2005"/>
      <c r="P231" s="2005"/>
      <c r="Q231" s="2005"/>
      <c r="R231" s="2005"/>
      <c r="S231" s="2005"/>
      <c r="T231" s="2005"/>
      <c r="U231" s="2005"/>
      <c r="V231" s="2005"/>
      <c r="W231" s="2005"/>
      <c r="X231" s="2005"/>
      <c r="Y231" s="2005"/>
      <c r="Z231" s="2005"/>
      <c r="AA231" s="2005"/>
      <c r="AB231" s="2005"/>
      <c r="AC231" s="2005"/>
      <c r="AD231" s="2005"/>
      <c r="AE231" s="2005"/>
      <c r="AF231" s="2005"/>
      <c r="AG231" s="2005"/>
      <c r="AH231" s="2005"/>
      <c r="AI231" s="2005"/>
      <c r="AJ231" s="2005"/>
      <c r="AK231" s="2005"/>
      <c r="AL231" s="2005"/>
      <c r="AM231" s="2005"/>
      <c r="AN231" s="2005"/>
      <c r="AO231" s="2005"/>
      <c r="AP231" s="2005"/>
      <c r="AQ231" s="2005"/>
      <c r="AR231" s="2005"/>
      <c r="AS231" s="2005"/>
      <c r="AT231" s="2005"/>
      <c r="AU231" s="2005"/>
      <c r="AV231" s="2006"/>
      <c r="AW231" s="2006"/>
      <c r="AX231" s="2006"/>
      <c r="AY231" s="2006"/>
      <c r="AZ231" s="2006"/>
      <c r="BA231" s="2006"/>
      <c r="BB231" s="2006"/>
      <c r="BC231" s="2006"/>
      <c r="BD231" s="2006"/>
      <c r="BE231" s="2006"/>
      <c r="BF231" s="2006"/>
      <c r="BG231" s="2006"/>
      <c r="BH231" s="2006"/>
      <c r="BI231" s="2006"/>
      <c r="BJ231" s="2006"/>
      <c r="BK231" s="2006"/>
      <c r="BL231" s="2006"/>
      <c r="BM231" s="2006"/>
      <c r="BN231" s="2006"/>
      <c r="BO231" s="2006"/>
      <c r="BP231" s="2006"/>
      <c r="BQ231" s="2006"/>
      <c r="BR231" s="2006"/>
      <c r="BS231" s="2006"/>
      <c r="BT231" s="2006"/>
      <c r="BU231" s="2006"/>
      <c r="BV231" s="2007">
        <f>BV230/BV128-1</f>
        <v>-8.1937048123549294E-3</v>
      </c>
      <c r="BW231" s="2006"/>
      <c r="BX231" s="2006"/>
      <c r="BY231" s="2006"/>
      <c r="BZ231" s="2007">
        <f>BZ230/BZ128-1</f>
        <v>-2.3671317847617779E-4</v>
      </c>
      <c r="CA231" s="2006"/>
      <c r="CB231" s="2006"/>
      <c r="CC231" s="2006"/>
      <c r="CD231" s="2007">
        <f>CD230/CD128-1</f>
        <v>-1.9952796055366928E-4</v>
      </c>
      <c r="CE231" s="2006"/>
      <c r="CF231" s="2006"/>
      <c r="CG231" s="2006"/>
      <c r="CH231" s="2007">
        <f>CH230/CH128-1</f>
        <v>-1.6429225244674051E-4</v>
      </c>
      <c r="CI231" s="2006"/>
      <c r="CJ231" s="2006"/>
      <c r="CK231" s="2006"/>
      <c r="CL231" s="2007">
        <f>CL230/CL128-1</f>
        <v>-1.8747429931031956E-4</v>
      </c>
      <c r="CM231" s="2006"/>
      <c r="CN231" s="2006"/>
      <c r="CO231" s="2006"/>
      <c r="CP231" s="2007">
        <f>CP230/CP128-1</f>
        <v>-4.147010511332816E-4</v>
      </c>
      <c r="CQ231" s="2006"/>
      <c r="CR231" s="2006"/>
      <c r="CS231" s="2006"/>
      <c r="CT231" s="2007">
        <f>CT230/CT128-1</f>
        <v>-1.6999955566762925E-2</v>
      </c>
      <c r="CU231" s="2006"/>
      <c r="CV231" s="2006"/>
      <c r="CW231" s="2006"/>
      <c r="CX231" s="2007">
        <f>CX230/CX128-1</f>
        <v>-9.4549145295053094E-5</v>
      </c>
      <c r="CY231" s="2006"/>
      <c r="CZ231" s="2006"/>
      <c r="DA231" s="2006"/>
      <c r="DB231" s="2007">
        <f>DB230/DB128-1</f>
        <v>-5.6083341755434057E-3</v>
      </c>
      <c r="DC231" s="2006"/>
      <c r="DD231" s="2006"/>
      <c r="DE231" s="2006"/>
      <c r="DF231" s="2007">
        <f ca="1">DF230/DF128-1</f>
        <v>-1.3942892035086252E-2</v>
      </c>
      <c r="DG231" s="2006"/>
      <c r="DH231" s="2006"/>
      <c r="DI231" s="2006"/>
      <c r="DJ231" s="2007">
        <f ca="1">DJ230/DJ128-1</f>
        <v>0.31357823799015327</v>
      </c>
      <c r="DK231" s="2006"/>
      <c r="DL231" s="2006"/>
      <c r="DM231" s="2006"/>
      <c r="DN231" s="2007">
        <f ca="1">DN230/DN128-1</f>
        <v>0.5118086688378829</v>
      </c>
      <c r="DO231" s="2006"/>
      <c r="DP231" s="2006"/>
      <c r="DQ231" s="2006"/>
      <c r="DR231" s="2007">
        <f ca="1">DR230/DR128-1</f>
        <v>0.58072730665269123</v>
      </c>
      <c r="DS231" s="2006"/>
      <c r="DT231" s="15"/>
      <c r="DU231" s="15"/>
    </row>
    <row r="232" spans="1:125" ht="14.4" thickBot="1">
      <c r="A232" s="1" t="s">
        <v>61</v>
      </c>
      <c r="BF232" s="20">
        <f t="shared" ref="BF232:BF239" si="239">BF129</f>
        <v>348.584383</v>
      </c>
      <c r="BJ232" s="20">
        <f t="shared" ref="BJ232:BJ239" si="240">BJ129</f>
        <v>339.50657799999999</v>
      </c>
      <c r="BN232" s="20">
        <f t="shared" ref="BN232:BN239" si="241">BN129</f>
        <v>321.07474999999999</v>
      </c>
      <c r="BR232" s="20">
        <f t="shared" ref="BR232:BR239" si="242">BR129</f>
        <v>333.45777700000002</v>
      </c>
      <c r="BV232" s="20">
        <f>BV214</f>
        <v>340.30238900000001</v>
      </c>
      <c r="BZ232" s="20">
        <f>BZ214</f>
        <v>340.35173099999997</v>
      </c>
      <c r="CD232" s="20">
        <f>CD214</f>
        <v>340.36482000000001</v>
      </c>
      <c r="CH232" s="20">
        <f>CH214</f>
        <v>340.38273800000002</v>
      </c>
      <c r="CL232" s="20">
        <f>CL214</f>
        <v>354.381396</v>
      </c>
      <c r="CP232" s="20">
        <f>CP214</f>
        <v>361.82137699999998</v>
      </c>
      <c r="CT232" s="20">
        <f>CT214</f>
        <v>383.64763699999997</v>
      </c>
      <c r="CX232" s="20">
        <f>CX214</f>
        <v>386.47675400000003</v>
      </c>
      <c r="DB232" s="20">
        <f>DB214</f>
        <v>386.47675400000003</v>
      </c>
      <c r="DF232" s="20">
        <f>DF214</f>
        <v>386.47675400000003</v>
      </c>
      <c r="DJ232" s="20">
        <f>DJ214</f>
        <v>387.42960003750005</v>
      </c>
      <c r="DN232" s="20">
        <f>DN214</f>
        <v>389.34244441306902</v>
      </c>
      <c r="DR232" s="20">
        <f>DR214</f>
        <v>391.26486496579321</v>
      </c>
    </row>
    <row r="233" spans="1:125" ht="14.4" thickBot="1">
      <c r="A233" s="1" t="s">
        <v>89</v>
      </c>
      <c r="BF233" s="8">
        <f t="shared" si="239"/>
        <v>487.82355804999997</v>
      </c>
      <c r="BJ233" s="8">
        <f t="shared" si="240"/>
        <v>678.64005574999999</v>
      </c>
      <c r="BN233" s="8">
        <f t="shared" si="241"/>
        <v>853.60763599999996</v>
      </c>
      <c r="BR233" s="8">
        <f t="shared" si="242"/>
        <v>1084.4794462</v>
      </c>
      <c r="BV233" s="54">
        <f>+BV236*BV237</f>
        <v>1350.0562067103795</v>
      </c>
      <c r="BZ233" s="54">
        <f>+BZ236*BZ237</f>
        <v>1599.2744767217891</v>
      </c>
      <c r="CD233" s="54">
        <f>+CD236*CD237</f>
        <v>1786.5587654335113</v>
      </c>
      <c r="CH233" s="54">
        <f>+CH236*CH237</f>
        <v>1956.87919058136</v>
      </c>
      <c r="CL233" s="54">
        <f>+CL236*CL237</f>
        <v>1523.5543219632141</v>
      </c>
      <c r="CP233" s="54">
        <f>+CP236*CP237</f>
        <v>1699.8552476847874</v>
      </c>
      <c r="CT233" s="54">
        <f>+CT236*CT237</f>
        <v>2345.7215070341335</v>
      </c>
      <c r="CX233" s="54">
        <f>+CX236*CX237</f>
        <v>2898.3015971492468</v>
      </c>
      <c r="DB233" s="54">
        <f>+DB236*DB237</f>
        <v>2459.5792845599281</v>
      </c>
      <c r="DF233" s="54">
        <f ca="1">+DF236*DF237</f>
        <v>2477.0729772418986</v>
      </c>
      <c r="DJ233" s="54">
        <f ca="1">+DJ236*DJ237</f>
        <v>3613.325548673673</v>
      </c>
      <c r="DN233" s="54">
        <f ca="1">+DN236*DN237</f>
        <v>4561.7374402291216</v>
      </c>
      <c r="DR233" s="54">
        <f ca="1">+DR236*DR237</f>
        <v>5133.4093663372205</v>
      </c>
    </row>
    <row r="234" spans="1:125">
      <c r="A234" s="1" t="s">
        <v>90</v>
      </c>
      <c r="BF234" s="8">
        <f t="shared" si="239"/>
        <v>0</v>
      </c>
      <c r="BJ234" s="8">
        <f t="shared" si="240"/>
        <v>0</v>
      </c>
      <c r="BN234" s="8">
        <f t="shared" si="241"/>
        <v>0</v>
      </c>
      <c r="BR234" s="8">
        <f t="shared" si="242"/>
        <v>0</v>
      </c>
      <c r="BV234" s="8">
        <f>+BV236*BV238</f>
        <v>0</v>
      </c>
      <c r="BZ234" s="8">
        <f>+BZ236*BZ238</f>
        <v>0</v>
      </c>
      <c r="CD234" s="8">
        <f>+CD236*CD238</f>
        <v>0</v>
      </c>
      <c r="CH234" s="8">
        <f>+CH236*CH238</f>
        <v>0</v>
      </c>
      <c r="CL234" s="8">
        <f>+CL236*CL238</f>
        <v>0</v>
      </c>
      <c r="CP234" s="8">
        <f>+CP236*CP238</f>
        <v>0</v>
      </c>
      <c r="CT234" s="8">
        <f>+CT236*CT238</f>
        <v>0</v>
      </c>
      <c r="CX234" s="8">
        <f>+CX236*CX238</f>
        <v>0</v>
      </c>
      <c r="DB234" s="8">
        <f>+DB236*DB238</f>
        <v>0</v>
      </c>
      <c r="DF234" s="8">
        <f ca="1">+DF236*DF238</f>
        <v>0</v>
      </c>
      <c r="DJ234" s="8">
        <f ca="1">+DJ236*DJ238</f>
        <v>0</v>
      </c>
      <c r="DN234" s="8">
        <f ca="1">+DN236*DN238</f>
        <v>0</v>
      </c>
      <c r="DR234" s="8">
        <f ca="1">+DR236*DR238</f>
        <v>0</v>
      </c>
    </row>
    <row r="235" spans="1:125">
      <c r="A235" s="2" t="s">
        <v>91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7">
        <f t="shared" si="239"/>
        <v>487.82355804999997</v>
      </c>
      <c r="BG235" s="5"/>
      <c r="BH235" s="5"/>
      <c r="BI235" s="5"/>
      <c r="BJ235" s="7">
        <f t="shared" si="240"/>
        <v>678.64005574999999</v>
      </c>
      <c r="BK235" s="5"/>
      <c r="BL235" s="5"/>
      <c r="BM235" s="5"/>
      <c r="BN235" s="7">
        <f t="shared" si="241"/>
        <v>853.60763599999996</v>
      </c>
      <c r="BO235" s="5"/>
      <c r="BP235" s="5"/>
      <c r="BQ235" s="5"/>
      <c r="BR235" s="7">
        <f t="shared" si="242"/>
        <v>1084.4794462</v>
      </c>
      <c r="BS235" s="5"/>
      <c r="BT235" s="5"/>
      <c r="BU235" s="5"/>
      <c r="BV235" s="7">
        <f>+BV233+BV234</f>
        <v>1350.0562067103795</v>
      </c>
      <c r="BW235" s="5"/>
      <c r="BX235" s="5"/>
      <c r="BY235" s="5"/>
      <c r="BZ235" s="7">
        <f>+BZ233+BZ234</f>
        <v>1599.2744767217891</v>
      </c>
      <c r="CA235" s="5"/>
      <c r="CB235" s="5"/>
      <c r="CC235" s="5"/>
      <c r="CD235" s="7">
        <f>+CD233+CD234</f>
        <v>1786.5587654335113</v>
      </c>
      <c r="CE235" s="5"/>
      <c r="CF235" s="5"/>
      <c r="CG235" s="5"/>
      <c r="CH235" s="7">
        <f>+CH233+CH234</f>
        <v>1956.87919058136</v>
      </c>
      <c r="CI235" s="5"/>
      <c r="CJ235" s="5"/>
      <c r="CK235" s="5"/>
      <c r="CL235" s="7">
        <f>+CL233+CL234</f>
        <v>1523.5543219632141</v>
      </c>
      <c r="CM235" s="5"/>
      <c r="CN235" s="5"/>
      <c r="CO235" s="5"/>
      <c r="CP235" s="7">
        <f>+CP233+CP234</f>
        <v>1699.8552476847874</v>
      </c>
      <c r="CQ235" s="5"/>
      <c r="CR235" s="5"/>
      <c r="CS235" s="5"/>
      <c r="CT235" s="7">
        <f>+CT233+CT234</f>
        <v>2345.7215070341335</v>
      </c>
      <c r="CU235" s="5"/>
      <c r="CV235" s="5"/>
      <c r="CW235" s="5"/>
      <c r="CX235" s="7">
        <f>+CX233+CX234</f>
        <v>2898.3015971492468</v>
      </c>
      <c r="CY235" s="5"/>
      <c r="CZ235" s="5"/>
      <c r="DA235" s="5"/>
      <c r="DB235" s="7">
        <f>+DB233+DB234</f>
        <v>2459.5792845599281</v>
      </c>
      <c r="DC235" s="5"/>
      <c r="DD235" s="5"/>
      <c r="DE235" s="5"/>
      <c r="DF235" s="7">
        <f ca="1">+DF233+DF234</f>
        <v>2477.0729772418986</v>
      </c>
      <c r="DG235" s="5"/>
      <c r="DH235" s="5"/>
      <c r="DI235" s="5"/>
      <c r="DJ235" s="7">
        <f ca="1">+DJ233+DJ234</f>
        <v>3613.325548673673</v>
      </c>
      <c r="DK235" s="5"/>
      <c r="DL235" s="5"/>
      <c r="DM235" s="5"/>
      <c r="DN235" s="7">
        <f ca="1">+DN233+DN234</f>
        <v>4561.7374402291216</v>
      </c>
      <c r="DO235" s="5"/>
      <c r="DP235" s="5"/>
      <c r="DQ235" s="5"/>
      <c r="DR235" s="7">
        <f ca="1">+DR233+DR234</f>
        <v>5133.4093663372205</v>
      </c>
      <c r="DS235" s="5"/>
    </row>
    <row r="236" spans="1:125" ht="14.4" thickBot="1">
      <c r="A236" s="1" t="s">
        <v>75</v>
      </c>
      <c r="BF236" s="8">
        <f t="shared" si="239"/>
        <v>730.65376000000037</v>
      </c>
      <c r="BJ236" s="8">
        <f t="shared" si="240"/>
        <v>851.49</v>
      </c>
      <c r="BN236" s="8">
        <f t="shared" si="241"/>
        <v>1267.49</v>
      </c>
      <c r="BR236" s="8">
        <f t="shared" si="242"/>
        <v>1604.49</v>
      </c>
      <c r="BV236" s="8">
        <f>BV185</f>
        <v>2063</v>
      </c>
      <c r="BZ236" s="8">
        <f>BZ185</f>
        <v>2217</v>
      </c>
      <c r="CD236" s="8">
        <f>CD185</f>
        <v>2557</v>
      </c>
      <c r="CH236" s="8">
        <f>CH185</f>
        <v>2982</v>
      </c>
      <c r="CL236" s="8">
        <f>CL185</f>
        <v>2731</v>
      </c>
      <c r="CP236" s="8">
        <f>CP185</f>
        <v>3015</v>
      </c>
      <c r="CT236" s="8">
        <f>CT185</f>
        <v>4706</v>
      </c>
      <c r="CX236" s="8">
        <f>CX185</f>
        <v>5182</v>
      </c>
      <c r="DB236" s="8">
        <f>DB185</f>
        <v>3522</v>
      </c>
      <c r="DF236" s="8">
        <f ca="1">DF185</f>
        <v>3715</v>
      </c>
      <c r="DJ236" s="8">
        <f ca="1">DJ185</f>
        <v>5563.205464377992</v>
      </c>
      <c r="DN236" s="8">
        <f ca="1">DN185</f>
        <v>7016.5045744552772</v>
      </c>
      <c r="DR236" s="8">
        <f ca="1">DR185</f>
        <v>7897.4973512355427</v>
      </c>
    </row>
    <row r="237" spans="1:125" ht="14.4" thickBot="1">
      <c r="A237" s="1" t="s">
        <v>92</v>
      </c>
      <c r="BF237" s="42">
        <f t="shared" si="239"/>
        <v>0.6676535244956513</v>
      </c>
      <c r="BJ237" s="42">
        <f t="shared" si="240"/>
        <v>0.79700296627088985</v>
      </c>
      <c r="BN237" s="42">
        <f t="shared" si="241"/>
        <v>0.67346301430386035</v>
      </c>
      <c r="BR237" s="42">
        <f t="shared" si="242"/>
        <v>0.67590290135806397</v>
      </c>
      <c r="BV237" s="70">
        <f>BV134</f>
        <v>0.65441406045098371</v>
      </c>
      <c r="BZ237" s="70">
        <f>BZ134</f>
        <v>0.72136873104275556</v>
      </c>
      <c r="CD237" s="70">
        <f>CD134</f>
        <v>0.6986932989571808</v>
      </c>
      <c r="CH237" s="70">
        <f>CH134</f>
        <v>0.65623044620434612</v>
      </c>
      <c r="CL237" s="70">
        <f>CL134</f>
        <v>0.55787415670568075</v>
      </c>
      <c r="CP237" s="70">
        <f>CP134</f>
        <v>0.56379941880092455</v>
      </c>
      <c r="CT237" s="70">
        <f>CT134</f>
        <v>0.49845335891078063</v>
      </c>
      <c r="CX237" s="70">
        <f>CX134</f>
        <v>0.55930173623103951</v>
      </c>
      <c r="DB237" s="70">
        <f>DB134</f>
        <v>0.69834732667800337</v>
      </c>
      <c r="DF237" s="70">
        <f ca="1">DF134</f>
        <v>0.66677603694263754</v>
      </c>
      <c r="DJ237" s="70">
        <f>DJ134</f>
        <v>0.64950424207955615</v>
      </c>
      <c r="DN237" s="70">
        <f>DN134</f>
        <v>0.65014387033065812</v>
      </c>
      <c r="DR237" s="70">
        <f>DR134</f>
        <v>0.65000456955317776</v>
      </c>
    </row>
    <row r="238" spans="1:125" ht="14.4" thickBot="1">
      <c r="A238" s="1" t="s">
        <v>93</v>
      </c>
      <c r="BF238" s="42">
        <f t="shared" si="239"/>
        <v>0</v>
      </c>
      <c r="BJ238" s="42">
        <f t="shared" si="240"/>
        <v>0</v>
      </c>
      <c r="BN238" s="42">
        <f t="shared" si="241"/>
        <v>0</v>
      </c>
      <c r="BR238" s="42">
        <f t="shared" si="242"/>
        <v>0</v>
      </c>
      <c r="BV238" s="70">
        <f>BV135</f>
        <v>0</v>
      </c>
      <c r="BZ238" s="70">
        <f>BZ135</f>
        <v>0</v>
      </c>
      <c r="CD238" s="70">
        <f>CD135</f>
        <v>0</v>
      </c>
      <c r="CH238" s="70">
        <f>CH135</f>
        <v>0</v>
      </c>
      <c r="CL238" s="70">
        <f>CL135</f>
        <v>0</v>
      </c>
      <c r="CP238" s="70">
        <f>CP135</f>
        <v>0</v>
      </c>
      <c r="CT238" s="70">
        <f>CT135</f>
        <v>0</v>
      </c>
      <c r="CX238" s="70">
        <f>CX135</f>
        <v>0</v>
      </c>
      <c r="DB238" s="70">
        <f>DB135</f>
        <v>0</v>
      </c>
      <c r="DF238" s="70">
        <f ca="1">DF135</f>
        <v>0</v>
      </c>
      <c r="DJ238" s="70">
        <f>DJ135</f>
        <v>0</v>
      </c>
      <c r="DN238" s="70">
        <f>DN135</f>
        <v>0</v>
      </c>
      <c r="DR238" s="70">
        <f>DR135</f>
        <v>0</v>
      </c>
    </row>
    <row r="239" spans="1:125">
      <c r="A239" s="2" t="s">
        <v>94</v>
      </c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43">
        <f t="shared" si="239"/>
        <v>0.6676535244956513</v>
      </c>
      <c r="BG239" s="5"/>
      <c r="BH239" s="5"/>
      <c r="BI239" s="5"/>
      <c r="BJ239" s="43">
        <f t="shared" si="240"/>
        <v>0.79700296627088985</v>
      </c>
      <c r="BK239" s="5"/>
      <c r="BL239" s="5"/>
      <c r="BM239" s="5"/>
      <c r="BN239" s="43">
        <f t="shared" si="241"/>
        <v>0.67346301430386035</v>
      </c>
      <c r="BO239" s="5"/>
      <c r="BP239" s="5"/>
      <c r="BQ239" s="5"/>
      <c r="BR239" s="43">
        <f t="shared" si="242"/>
        <v>0.67590290135806397</v>
      </c>
      <c r="BS239" s="5"/>
      <c r="BT239" s="5"/>
      <c r="BU239" s="5"/>
      <c r="BV239" s="43">
        <f>+BV235/BV236</f>
        <v>0.65441406045098371</v>
      </c>
      <c r="BW239" s="5"/>
      <c r="BX239" s="5"/>
      <c r="BY239" s="5"/>
      <c r="BZ239" s="43">
        <f>+BZ235/BZ236</f>
        <v>0.72136873104275556</v>
      </c>
      <c r="CA239" s="5"/>
      <c r="CB239" s="5"/>
      <c r="CC239" s="5"/>
      <c r="CD239" s="43">
        <f>+CD235/CD236</f>
        <v>0.6986932989571808</v>
      </c>
      <c r="CE239" s="5"/>
      <c r="CF239" s="5"/>
      <c r="CG239" s="5"/>
      <c r="CH239" s="43">
        <f>+CH235/CH236</f>
        <v>0.65623044620434612</v>
      </c>
      <c r="CI239" s="5"/>
      <c r="CJ239" s="5"/>
      <c r="CK239" s="5"/>
      <c r="CL239" s="43">
        <f>+CL235/CL236</f>
        <v>0.55787415670568075</v>
      </c>
      <c r="CM239" s="5"/>
      <c r="CN239" s="5"/>
      <c r="CO239" s="5"/>
      <c r="CP239" s="43">
        <f>+CP235/CP236</f>
        <v>0.56379941880092455</v>
      </c>
      <c r="CQ239" s="5"/>
      <c r="CR239" s="5"/>
      <c r="CS239" s="5"/>
      <c r="CT239" s="43">
        <f>+CT235/CT236</f>
        <v>0.49845335891078063</v>
      </c>
      <c r="CU239" s="5"/>
      <c r="CV239" s="5"/>
      <c r="CW239" s="5"/>
      <c r="CX239" s="43">
        <f>+CX235/CX236</f>
        <v>0.55930173623103951</v>
      </c>
      <c r="CY239" s="5"/>
      <c r="CZ239" s="5"/>
      <c r="DA239" s="5"/>
      <c r="DB239" s="43">
        <f>+DB235/DB236</f>
        <v>0.69834732667800348</v>
      </c>
      <c r="DC239" s="5"/>
      <c r="DD239" s="5"/>
      <c r="DE239" s="5"/>
      <c r="DF239" s="43">
        <f ca="1">+DF235/DF236</f>
        <v>0.66677603694263754</v>
      </c>
      <c r="DG239" s="5"/>
      <c r="DH239" s="5"/>
      <c r="DI239" s="5"/>
      <c r="DJ239" s="43">
        <f ca="1">+DJ235/DJ236</f>
        <v>0.64950424207955615</v>
      </c>
      <c r="DK239" s="5"/>
      <c r="DL239" s="5"/>
      <c r="DM239" s="5"/>
      <c r="DN239" s="43">
        <f ca="1">+DN235/DN236</f>
        <v>0.65014387033065812</v>
      </c>
      <c r="DO239" s="5"/>
      <c r="DP239" s="5"/>
      <c r="DQ239" s="5"/>
      <c r="DR239" s="43">
        <f ca="1">+DR235/DR236</f>
        <v>0.65000456955317776</v>
      </c>
      <c r="DS239" s="5"/>
    </row>
    <row r="241" spans="1:134">
      <c r="A241" s="1" t="s">
        <v>485</v>
      </c>
      <c r="BF241" s="8">
        <f>BF138</f>
        <v>11277.25</v>
      </c>
      <c r="BJ241" s="8">
        <f>BJ138</f>
        <v>11147.5</v>
      </c>
      <c r="BN241" s="8">
        <f>BN138</f>
        <v>11819.75</v>
      </c>
      <c r="BR241" s="8">
        <f>BR138</f>
        <v>12176.75</v>
      </c>
      <c r="BV241" s="8">
        <f>AVERAGE(BR198,BV198)</f>
        <v>14512.5</v>
      </c>
      <c r="BZ241" s="8">
        <f>AVERAGE(BV198,BZ198)</f>
        <v>15339.5</v>
      </c>
      <c r="CD241" s="8">
        <f>AVERAGE(BZ198,CD198)</f>
        <v>15960</v>
      </c>
      <c r="CH241" s="8">
        <f>AVERAGE(CD198,CH198)</f>
        <v>17059</v>
      </c>
      <c r="CL241" s="8">
        <f>AVERAGE(CH198,CL198)</f>
        <v>19412</v>
      </c>
      <c r="CP241" s="8">
        <f>AVERAGE(CL198,CP198)</f>
        <v>21312.360812212999</v>
      </c>
      <c r="CT241" s="8">
        <f>AVERAGE(CP198,CT198)</f>
        <v>23256.232752061267</v>
      </c>
      <c r="CX241" s="8">
        <f>AVERAGE(CT198,CX198)</f>
        <v>26945.091599400694</v>
      </c>
      <c r="DB241" s="8">
        <f>AVERAGE(CX198,DB198)</f>
        <v>29447.054656527554</v>
      </c>
      <c r="DF241" s="8">
        <f ca="1">AVERAGE(DB198,DF198)</f>
        <v>31074.944744024804</v>
      </c>
      <c r="DJ241" s="8">
        <f ca="1">AVERAGE(DF198,DJ198)</f>
        <v>32980.791643176752</v>
      </c>
      <c r="DN241" s="8">
        <f ca="1">AVERAGE(DJ198,DN198)</f>
        <v>35354.933758476596</v>
      </c>
      <c r="DR241" s="8">
        <f ca="1">AVERAGE(DN198,DR198)</f>
        <v>38610.049082992526</v>
      </c>
    </row>
    <row r="242" spans="1:134">
      <c r="A242" s="1" t="s">
        <v>486</v>
      </c>
      <c r="BF242" s="8">
        <f>BF139</f>
        <v>-532.34176470587772</v>
      </c>
      <c r="BJ242" s="8">
        <f>BJ139</f>
        <v>-230.96153846153902</v>
      </c>
      <c r="BN242" s="8">
        <f>BN139</f>
        <v>-400.9211711711705</v>
      </c>
      <c r="BR242" s="8">
        <f>BR139</f>
        <v>-716.10714285714312</v>
      </c>
      <c r="BV242" s="8">
        <f>BV139</f>
        <v>-534.40306122448965</v>
      </c>
      <c r="BZ242" s="8">
        <f>BZ139</f>
        <v>-541.50000000000182</v>
      </c>
      <c r="CD242" s="8">
        <f>CD139</f>
        <v>-435.34523809524035</v>
      </c>
      <c r="CH242" s="8">
        <f>CH139</f>
        <v>-240.11111111111313</v>
      </c>
      <c r="CL242" s="8">
        <f>CL139</f>
        <v>-676.63793103448188</v>
      </c>
      <c r="CP242" s="8">
        <f>CP139</f>
        <v>55.59265734265864</v>
      </c>
      <c r="CT242" s="8">
        <f>CT139</f>
        <v>484.14572192513151</v>
      </c>
      <c r="CX242" s="8">
        <f>CX139</f>
        <v>-431.87869822485663</v>
      </c>
      <c r="DB242" s="8">
        <f>DB139</f>
        <v>-368.85185185185401</v>
      </c>
      <c r="DF242" s="8">
        <f ca="1">DF139</f>
        <v>-184.73214285714494</v>
      </c>
      <c r="DJ242" s="8">
        <f>DJ139</f>
        <v>-479.33333333333576</v>
      </c>
      <c r="DN242" s="8">
        <f>DN139</f>
        <v>-479.33333333333576</v>
      </c>
      <c r="DR242" s="8">
        <f>DR139</f>
        <v>-479.33333333333576</v>
      </c>
    </row>
    <row r="243" spans="1:134">
      <c r="A243" s="1" t="s">
        <v>484</v>
      </c>
      <c r="BF243" s="8">
        <f>BF140</f>
        <v>10744.908235294122</v>
      </c>
      <c r="BJ243" s="8">
        <f>BJ140</f>
        <v>10916.538461538461</v>
      </c>
      <c r="BN243" s="8">
        <f>BN140</f>
        <v>11418.82882882883</v>
      </c>
      <c r="BR243" s="8">
        <f>BR140</f>
        <v>11460.642857142857</v>
      </c>
      <c r="BV243" s="8">
        <f>SUM(BV241:BV242)</f>
        <v>13978.09693877551</v>
      </c>
      <c r="BZ243" s="8">
        <f>SUM(BZ241:BZ242)</f>
        <v>14797.999999999998</v>
      </c>
      <c r="CD243" s="8">
        <f>SUM(CD241:CD242)</f>
        <v>15524.65476190476</v>
      </c>
      <c r="CH243" s="8">
        <f>SUM(CH241:CH242)</f>
        <v>16818.888888888887</v>
      </c>
      <c r="CL243" s="8">
        <f>SUM(CL241:CL242)</f>
        <v>18735.362068965518</v>
      </c>
      <c r="CP243" s="8">
        <f>SUM(CP241:CP242)</f>
        <v>21367.953469555658</v>
      </c>
      <c r="CT243" s="8">
        <f>SUM(CT241:CT242)</f>
        <v>23740.378473986399</v>
      </c>
      <c r="CX243" s="8">
        <f>SUM(CX241:CX242)</f>
        <v>26513.212901175837</v>
      </c>
      <c r="DB243" s="8">
        <f>SUM(DB241:DB242)</f>
        <v>29078.2028046757</v>
      </c>
      <c r="DF243" s="8">
        <f ca="1">SUM(DF241:DF242)</f>
        <v>30890.212601167659</v>
      </c>
      <c r="DJ243" s="8">
        <f ca="1">SUM(DJ241:DJ242)</f>
        <v>32501.458309843416</v>
      </c>
      <c r="DN243" s="8">
        <f ca="1">SUM(DN241:DN242)</f>
        <v>34875.600425143261</v>
      </c>
      <c r="DR243" s="8">
        <f ca="1">SUM(DR241:DR242)</f>
        <v>38130.71574965919</v>
      </c>
    </row>
    <row r="244" spans="1:134" ht="14.4" thickBot="1">
      <c r="A244" s="1" t="s">
        <v>769</v>
      </c>
      <c r="BF244" s="8">
        <f>BF141</f>
        <v>730.65376000000037</v>
      </c>
      <c r="BJ244" s="8">
        <f>BJ141</f>
        <v>851.49</v>
      </c>
      <c r="BN244" s="8">
        <f>BN141</f>
        <v>1267.49</v>
      </c>
      <c r="BR244" s="8">
        <f>BR141</f>
        <v>1604.49</v>
      </c>
      <c r="BV244" s="8">
        <f>BV185</f>
        <v>2063</v>
      </c>
      <c r="BZ244" s="8">
        <f>BZ185</f>
        <v>2217</v>
      </c>
      <c r="CD244" s="8">
        <f>CD185</f>
        <v>2557</v>
      </c>
      <c r="CH244" s="8">
        <f>CH185</f>
        <v>2982</v>
      </c>
      <c r="CL244" s="8">
        <f>CL185</f>
        <v>2731</v>
      </c>
      <c r="CP244" s="8">
        <f>CP185</f>
        <v>3015</v>
      </c>
      <c r="CT244" s="8">
        <f>CT185</f>
        <v>4706</v>
      </c>
      <c r="CX244" s="8">
        <f>CX185</f>
        <v>5182</v>
      </c>
      <c r="DB244" s="8">
        <f>DB185</f>
        <v>3522</v>
      </c>
      <c r="DF244" s="8">
        <f ca="1">DF185</f>
        <v>3715</v>
      </c>
      <c r="DJ244" s="8">
        <f ca="1">DJ185</f>
        <v>5563.205464377992</v>
      </c>
      <c r="DN244" s="8">
        <f ca="1">DN185</f>
        <v>7016.5045744552772</v>
      </c>
      <c r="DR244" s="8">
        <f ca="1">DR185</f>
        <v>7897.4973512355427</v>
      </c>
    </row>
    <row r="245" spans="1:134" ht="14.4" thickBot="1">
      <c r="A245" s="72" t="s">
        <v>906</v>
      </c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3"/>
      <c r="AE245" s="73"/>
      <c r="AF245" s="73"/>
      <c r="AG245" s="73"/>
      <c r="AH245" s="73"/>
      <c r="AI245" s="73"/>
      <c r="AJ245" s="73"/>
      <c r="AK245" s="73"/>
      <c r="AL245" s="73"/>
      <c r="AM245" s="73"/>
      <c r="AN245" s="73"/>
      <c r="AO245" s="73"/>
      <c r="AP245" s="73"/>
      <c r="AQ245" s="73"/>
      <c r="AR245" s="73"/>
      <c r="AS245" s="73"/>
      <c r="AT245" s="73"/>
      <c r="AU245" s="73"/>
      <c r="AV245" s="74"/>
      <c r="AW245" s="74"/>
      <c r="AX245" s="74"/>
      <c r="AY245" s="74"/>
      <c r="AZ245" s="74"/>
      <c r="BA245" s="74"/>
      <c r="BB245" s="74"/>
      <c r="BC245" s="74"/>
      <c r="BD245" s="74"/>
      <c r="BE245" s="74"/>
      <c r="BF245" s="79">
        <f>BF142</f>
        <v>6.8000000000000005E-2</v>
      </c>
      <c r="BG245" s="74"/>
      <c r="BH245" s="74"/>
      <c r="BI245" s="74"/>
      <c r="BJ245" s="79">
        <f>BJ142</f>
        <v>7.8E-2</v>
      </c>
      <c r="BK245" s="74"/>
      <c r="BL245" s="74"/>
      <c r="BM245" s="74"/>
      <c r="BN245" s="79">
        <f>BN142</f>
        <v>0.11099999999999999</v>
      </c>
      <c r="BO245" s="74"/>
      <c r="BP245" s="74"/>
      <c r="BQ245" s="74"/>
      <c r="BR245" s="79">
        <f>BR142</f>
        <v>0.14000000000000001</v>
      </c>
      <c r="BS245" s="74"/>
      <c r="BT245" s="74"/>
      <c r="BU245" s="74"/>
      <c r="BV245" s="79">
        <f>+BV244/BV243</f>
        <v>0.14758804499897252</v>
      </c>
      <c r="BW245" s="74"/>
      <c r="BX245" s="74"/>
      <c r="BY245" s="74"/>
      <c r="BZ245" s="79">
        <f>+BZ244/BZ243</f>
        <v>0.14981754291120425</v>
      </c>
      <c r="CA245" s="74"/>
      <c r="CB245" s="74"/>
      <c r="CC245" s="74"/>
      <c r="CD245" s="79">
        <f>+CD244/CD243</f>
        <v>0.16470575605162605</v>
      </c>
      <c r="CE245" s="74"/>
      <c r="CF245" s="74"/>
      <c r="CG245" s="74"/>
      <c r="CH245" s="79">
        <f>+CH244/CH243</f>
        <v>0.17730065402655745</v>
      </c>
      <c r="CI245" s="74"/>
      <c r="CJ245" s="74"/>
      <c r="CK245" s="74"/>
      <c r="CL245" s="79">
        <f>+CL244/CL243</f>
        <v>0.14576713222552595</v>
      </c>
      <c r="CM245" s="74"/>
      <c r="CN245" s="74"/>
      <c r="CO245" s="74"/>
      <c r="CP245" s="79">
        <f>+CP244/CP243</f>
        <v>0.14109914664011558</v>
      </c>
      <c r="CQ245" s="74"/>
      <c r="CR245" s="74"/>
      <c r="CS245" s="74"/>
      <c r="CT245" s="79">
        <f>+CT244/CT243</f>
        <v>0.19822767379873979</v>
      </c>
      <c r="CU245" s="74"/>
      <c r="CV245" s="74"/>
      <c r="CW245" s="74"/>
      <c r="CX245" s="79">
        <f>+CX244/CX243</f>
        <v>0.19544971857296795</v>
      </c>
      <c r="CY245" s="74"/>
      <c r="CZ245" s="74"/>
      <c r="DA245" s="74"/>
      <c r="DB245" s="79">
        <f>+DB244/DB243</f>
        <v>0.12112165334487836</v>
      </c>
      <c r="DC245" s="74"/>
      <c r="DD245" s="74"/>
      <c r="DE245" s="74"/>
      <c r="DF245" s="79">
        <f ca="1">+DF244/DF243</f>
        <v>0.12026463035283777</v>
      </c>
      <c r="DG245" s="74"/>
      <c r="DH245" s="74"/>
      <c r="DI245" s="74"/>
      <c r="DJ245" s="79">
        <f ca="1">+DJ244/DJ243</f>
        <v>0.17116787226415361</v>
      </c>
      <c r="DK245" s="74"/>
      <c r="DL245" s="74"/>
      <c r="DM245" s="74"/>
      <c r="DN245" s="79">
        <f ca="1">+DN244/DN243</f>
        <v>0.201186631596937</v>
      </c>
      <c r="DO245" s="74"/>
      <c r="DP245" s="74"/>
      <c r="DQ245" s="74"/>
      <c r="DR245" s="79">
        <f ca="1">+DR244/DR243</f>
        <v>0.20711642034430289</v>
      </c>
      <c r="DS245" s="74"/>
    </row>
    <row r="246" spans="1:134" s="11" customFormat="1">
      <c r="A246" s="2005" t="s">
        <v>43</v>
      </c>
      <c r="B246" s="2005"/>
      <c r="C246" s="2005"/>
      <c r="D246" s="2005"/>
      <c r="E246" s="2005"/>
      <c r="F246" s="2005"/>
      <c r="G246" s="2005"/>
      <c r="H246" s="2005"/>
      <c r="I246" s="2005"/>
      <c r="J246" s="2005"/>
      <c r="K246" s="2005"/>
      <c r="L246" s="2005"/>
      <c r="M246" s="2005"/>
      <c r="N246" s="2005"/>
      <c r="O246" s="2005"/>
      <c r="P246" s="2005"/>
      <c r="Q246" s="2005"/>
      <c r="R246" s="2005"/>
      <c r="S246" s="2005"/>
      <c r="T246" s="2005"/>
      <c r="U246" s="2005"/>
      <c r="V246" s="2005"/>
      <c r="W246" s="2005"/>
      <c r="X246" s="2005"/>
      <c r="Y246" s="2005"/>
      <c r="Z246" s="2005"/>
      <c r="AA246" s="2005"/>
      <c r="AB246" s="2005"/>
      <c r="AC246" s="2005"/>
      <c r="AD246" s="2005"/>
      <c r="AE246" s="2005"/>
      <c r="AF246" s="2005"/>
      <c r="AG246" s="2005"/>
      <c r="AH246" s="2005"/>
      <c r="AI246" s="2005"/>
      <c r="AJ246" s="2005"/>
      <c r="AK246" s="2005"/>
      <c r="AL246" s="2005"/>
      <c r="AM246" s="2005"/>
      <c r="AN246" s="2005"/>
      <c r="AO246" s="2005"/>
      <c r="AP246" s="2005"/>
      <c r="AQ246" s="2005"/>
      <c r="AR246" s="2005"/>
      <c r="AS246" s="2005"/>
      <c r="AT246" s="2005"/>
      <c r="AU246" s="2005"/>
      <c r="AV246" s="2006"/>
      <c r="AW246" s="2006"/>
      <c r="AX246" s="2006"/>
      <c r="AY246" s="2006"/>
      <c r="AZ246" s="2006"/>
      <c r="BA246" s="2006"/>
      <c r="BB246" s="2006"/>
      <c r="BC246" s="2006"/>
      <c r="BD246" s="2006"/>
      <c r="BE246" s="2006"/>
      <c r="BF246" s="2006"/>
      <c r="BG246" s="2006"/>
      <c r="BH246" s="2006"/>
      <c r="BI246" s="2006"/>
      <c r="BJ246" s="2006"/>
      <c r="BK246" s="2006"/>
      <c r="BL246" s="2006"/>
      <c r="BM246" s="2006"/>
      <c r="BN246" s="2006"/>
      <c r="BO246" s="2006"/>
      <c r="BP246" s="2006"/>
      <c r="BQ246" s="2006"/>
      <c r="BR246" s="2006"/>
      <c r="BS246" s="2006"/>
      <c r="BT246" s="2006"/>
      <c r="BU246" s="2006"/>
      <c r="BV246" s="2007">
        <f>+BV245-BV142</f>
        <v>5.880449989725256E-4</v>
      </c>
      <c r="BW246" s="2006"/>
      <c r="BX246" s="2006"/>
      <c r="BY246" s="2006"/>
      <c r="BZ246" s="2007">
        <f>+BZ245-BZ142</f>
        <v>-2.1824570887957473E-3</v>
      </c>
      <c r="CA246" s="2006"/>
      <c r="CB246" s="2006"/>
      <c r="CC246" s="2006"/>
      <c r="CD246" s="2007">
        <f>+CD245-CD142</f>
        <v>-3.2942439483739649E-3</v>
      </c>
      <c r="CE246" s="2006"/>
      <c r="CF246" s="2006"/>
      <c r="CG246" s="2006"/>
      <c r="CH246" s="2007">
        <f>+CH245-CH142</f>
        <v>-2.6993459734425684E-3</v>
      </c>
      <c r="CI246" s="2006"/>
      <c r="CJ246" s="2006"/>
      <c r="CK246" s="2006"/>
      <c r="CL246" s="2007">
        <f>+CL245-CL142</f>
        <v>7.6713222552596272E-4</v>
      </c>
      <c r="CM246" s="2006"/>
      <c r="CN246" s="2006"/>
      <c r="CO246" s="2006"/>
      <c r="CP246" s="2007">
        <f>+CP245-CP142</f>
        <v>-1.900853359884408E-3</v>
      </c>
      <c r="CQ246" s="2006"/>
      <c r="CR246" s="2006"/>
      <c r="CS246" s="2006"/>
      <c r="CT246" s="2007">
        <f>+CT245-CT142</f>
        <v>1.122767379873979E-2</v>
      </c>
      <c r="CU246" s="2006"/>
      <c r="CV246" s="2006"/>
      <c r="CW246" s="2006"/>
      <c r="CX246" s="2007">
        <f>+CX245-CX142</f>
        <v>2.6449718572967934E-2</v>
      </c>
      <c r="CY246" s="2006"/>
      <c r="CZ246" s="2006"/>
      <c r="DA246" s="2006"/>
      <c r="DB246" s="2007">
        <f>+DB245-DB142</f>
        <v>1.3121653344878359E-2</v>
      </c>
      <c r="DC246" s="2006"/>
      <c r="DD246" s="2006"/>
      <c r="DE246" s="2006"/>
      <c r="DF246" s="2007">
        <f ca="1">+DF245-DF142</f>
        <v>8.2646303528377679E-3</v>
      </c>
      <c r="DG246" s="2006"/>
      <c r="DH246" s="2006"/>
      <c r="DI246" s="2006"/>
      <c r="DJ246" s="2007">
        <f ca="1">+DJ245-DJ142</f>
        <v>5.0734239439235676E-2</v>
      </c>
      <c r="DK246" s="2006"/>
      <c r="DL246" s="2006"/>
      <c r="DM246" s="2006"/>
      <c r="DN246" s="2007">
        <f ca="1">+DN245-DN142</f>
        <v>7.604315048290608E-2</v>
      </c>
      <c r="DO246" s="2006"/>
      <c r="DP246" s="2006"/>
      <c r="DQ246" s="2006"/>
      <c r="DR246" s="2007">
        <f ca="1">+DR245-DR142</f>
        <v>8.3563230004401121E-2</v>
      </c>
      <c r="DS246" s="2006"/>
      <c r="DT246" s="15"/>
      <c r="DU246" s="15"/>
    </row>
    <row r="249" spans="1:134" s="96" customFormat="1">
      <c r="A249" s="58" t="s">
        <v>44</v>
      </c>
      <c r="B249" s="59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60"/>
      <c r="AO249" s="60"/>
      <c r="AP249" s="60"/>
      <c r="AQ249" s="60"/>
      <c r="AR249" s="60"/>
      <c r="AS249" s="60"/>
      <c r="AT249" s="60"/>
      <c r="AU249" s="60"/>
      <c r="AV249" s="61"/>
      <c r="AW249" s="61"/>
      <c r="AX249" s="60"/>
      <c r="AY249" s="60"/>
      <c r="AZ249" s="62"/>
      <c r="BA249" s="62"/>
      <c r="BB249" s="62"/>
      <c r="BC249" s="60"/>
      <c r="BD249" s="62"/>
      <c r="BE249" s="62"/>
      <c r="BF249" s="62"/>
      <c r="BG249" s="60"/>
      <c r="BH249" s="62"/>
      <c r="BI249" s="62"/>
      <c r="BJ249" s="62"/>
      <c r="BK249" s="60"/>
      <c r="BL249" s="60"/>
      <c r="BM249" s="60"/>
      <c r="BN249" s="60"/>
      <c r="BO249" s="60"/>
      <c r="BP249" s="60"/>
      <c r="BQ249" s="60"/>
      <c r="BR249" s="60"/>
      <c r="BS249" s="60"/>
      <c r="BT249" s="60"/>
      <c r="BU249" s="60"/>
      <c r="BV249" s="60"/>
      <c r="BW249" s="60"/>
      <c r="BX249" s="60"/>
      <c r="BY249" s="60"/>
      <c r="BZ249" s="60"/>
      <c r="CA249" s="60"/>
      <c r="CB249" s="60"/>
      <c r="CC249" s="60"/>
      <c r="CD249" s="60"/>
      <c r="CE249" s="60"/>
      <c r="CF249" s="60"/>
      <c r="CG249" s="60"/>
      <c r="CH249" s="60"/>
      <c r="CI249" s="60"/>
      <c r="CJ249" s="60"/>
      <c r="CK249" s="60"/>
      <c r="CL249" s="60"/>
      <c r="CM249" s="60"/>
      <c r="CN249" s="60"/>
      <c r="CO249" s="60"/>
      <c r="CP249" s="60"/>
      <c r="CQ249" s="60"/>
      <c r="CR249" s="60"/>
      <c r="CS249" s="60"/>
      <c r="CT249" s="60"/>
      <c r="CU249" s="60"/>
      <c r="CV249" s="60"/>
      <c r="CW249" s="60"/>
      <c r="CX249" s="60"/>
      <c r="CY249" s="60"/>
      <c r="CZ249" s="60"/>
      <c r="DA249" s="60"/>
      <c r="DB249" s="60"/>
      <c r="DC249" s="60"/>
      <c r="DD249" s="60"/>
      <c r="DE249" s="60"/>
      <c r="DF249" s="60"/>
      <c r="DG249" s="60"/>
      <c r="DH249" s="60"/>
      <c r="DI249" s="60"/>
      <c r="DJ249" s="60"/>
      <c r="DK249" s="60"/>
      <c r="DL249" s="60"/>
      <c r="DM249" s="60"/>
      <c r="DN249" s="60"/>
      <c r="DO249" s="60"/>
      <c r="DP249" s="60"/>
      <c r="DQ249" s="60"/>
      <c r="DR249" s="60"/>
      <c r="DS249" s="60"/>
      <c r="DT249" s="92"/>
      <c r="DU249" s="92"/>
      <c r="DV249" s="92"/>
      <c r="DW249" s="92"/>
      <c r="DX249" s="92"/>
      <c r="DY249" s="92"/>
      <c r="DZ249" s="92"/>
      <c r="EA249" s="92"/>
      <c r="EB249" s="92"/>
      <c r="EC249" s="92"/>
      <c r="ED249" s="92"/>
    </row>
    <row r="251" spans="1:134" ht="14.4" thickBot="1">
      <c r="A251" s="11" t="s">
        <v>557</v>
      </c>
      <c r="DI251" s="1786"/>
      <c r="DJ251" s="446" t="s">
        <v>520</v>
      </c>
      <c r="DK251" s="446" t="s">
        <v>1092</v>
      </c>
      <c r="DL251" s="1786"/>
      <c r="DM251" s="1786"/>
      <c r="DN251" s="446" t="s">
        <v>520</v>
      </c>
      <c r="DO251" s="446" t="s">
        <v>1092</v>
      </c>
      <c r="DP251" s="1786"/>
      <c r="DQ251" s="1786"/>
      <c r="DR251" s="446" t="s">
        <v>520</v>
      </c>
      <c r="DS251" s="446" t="s">
        <v>1092</v>
      </c>
    </row>
    <row r="252" spans="1:134" ht="14.4" thickBot="1">
      <c r="A252" s="3" t="s">
        <v>41</v>
      </c>
      <c r="DJ252" s="13">
        <f>DK$63</f>
        <v>0.14851902848304288</v>
      </c>
      <c r="DK252" s="68">
        <f>DJ252</f>
        <v>0.14851902848304288</v>
      </c>
      <c r="DN252" s="13">
        <f>DO$63</f>
        <v>6.7289506024590606E-2</v>
      </c>
      <c r="DO252" s="68">
        <f>DN252</f>
        <v>6.7289506024590606E-2</v>
      </c>
      <c r="DR252" s="13">
        <f>DS$63</f>
        <v>7.4736949814407039E-2</v>
      </c>
      <c r="DS252" s="68">
        <f>DR252</f>
        <v>7.4736949814407039E-2</v>
      </c>
    </row>
    <row r="253" spans="1:134" ht="14.4" thickBot="1">
      <c r="A253" s="3" t="s">
        <v>51</v>
      </c>
      <c r="DJ253" s="13">
        <f>DK$65</f>
        <v>-3.2027660319426832E-2</v>
      </c>
      <c r="DK253" s="1369">
        <v>-0.15</v>
      </c>
      <c r="DN253" s="13">
        <f>DO$65</f>
        <v>-0.15499953033064684</v>
      </c>
      <c r="DO253" s="1369">
        <v>0</v>
      </c>
      <c r="DR253" s="13">
        <f>DS$65</f>
        <v>6.8684854882349766E-2</v>
      </c>
      <c r="DS253" s="1369">
        <v>0.02</v>
      </c>
    </row>
    <row r="254" spans="1:134" ht="14.4" thickBot="1">
      <c r="A254" s="3" t="s">
        <v>587</v>
      </c>
      <c r="DJ254" s="8">
        <f>DJ$67</f>
        <v>1443.9232351803339</v>
      </c>
      <c r="DK254" s="406">
        <f>+DJ254*0.5</f>
        <v>721.96161759016695</v>
      </c>
      <c r="DN254" s="8">
        <f>DN$67</f>
        <v>1116.2009002637033</v>
      </c>
      <c r="DO254" s="406">
        <f>+DN254*0.5</f>
        <v>558.10045013185163</v>
      </c>
      <c r="DR254" s="8">
        <f>DR$67</f>
        <v>1195.6062862859903</v>
      </c>
      <c r="DS254" s="406">
        <f>+DR254*0.5</f>
        <v>597.80314314299517</v>
      </c>
    </row>
    <row r="255" spans="1:134" ht="14.4" thickBot="1">
      <c r="A255" s="3" t="s">
        <v>36</v>
      </c>
      <c r="DJ255" s="13">
        <f ca="1">DK$68</f>
        <v>0.24410480349344965</v>
      </c>
      <c r="DK255" s="1369">
        <v>-0.25</v>
      </c>
      <c r="DN255" s="13">
        <f>DO$68</f>
        <v>9.1194498069498309E-2</v>
      </c>
      <c r="DO255" s="1369">
        <v>-0.1</v>
      </c>
      <c r="DR255" s="13">
        <f>DS$68</f>
        <v>5.3239521352702823E-2</v>
      </c>
      <c r="DS255" s="1369">
        <v>-0.1</v>
      </c>
    </row>
    <row r="256" spans="1:134" ht="14.4" thickBot="1">
      <c r="A256" s="3" t="s">
        <v>37</v>
      </c>
      <c r="DJ256" s="13">
        <f ca="1">DK$69</f>
        <v>5.5220168771399125E-2</v>
      </c>
      <c r="DK256" s="1369">
        <v>-0.1</v>
      </c>
      <c r="DN256" s="13">
        <f>DO$69</f>
        <v>-1.690051795337788E-2</v>
      </c>
      <c r="DO256" s="1369">
        <v>-0.15</v>
      </c>
      <c r="DR256" s="13">
        <f>DS$69</f>
        <v>2.8747172126863507E-2</v>
      </c>
      <c r="DS256" s="1369">
        <v>-0.15</v>
      </c>
    </row>
    <row r="257" spans="1:123" ht="14.4" thickBot="1">
      <c r="A257" s="3" t="s">
        <v>38</v>
      </c>
      <c r="DJ257" s="13">
        <f>DK$72</f>
        <v>6.6288640595903114E-2</v>
      </c>
      <c r="DK257" s="1369">
        <v>-0.1</v>
      </c>
      <c r="DN257" s="13">
        <f>DO$72</f>
        <v>4.2863181085475377E-2</v>
      </c>
      <c r="DO257" s="1369">
        <v>-0.15</v>
      </c>
      <c r="DR257" s="13">
        <f>DS$72</f>
        <v>2.2259560591888938E-2</v>
      </c>
      <c r="DS257" s="1369">
        <v>-0.15</v>
      </c>
    </row>
    <row r="258" spans="1:123" ht="14.4" thickBot="1">
      <c r="A258" s="3" t="s">
        <v>42</v>
      </c>
      <c r="DJ258" s="8">
        <f>DJ$74</f>
        <v>1429.3424</v>
      </c>
      <c r="DK258" s="406">
        <f>+DJ258*0.5</f>
        <v>714.6712</v>
      </c>
      <c r="DN258" s="8">
        <f>DN$74</f>
        <v>1630.0789180000002</v>
      </c>
      <c r="DO258" s="406">
        <f>+DN258*0.5</f>
        <v>815.03945900000008</v>
      </c>
      <c r="DR258" s="8">
        <f>DR$74</f>
        <v>1864.0839948262001</v>
      </c>
      <c r="DS258" s="406">
        <f>+DR258*0.5</f>
        <v>932.04199741310003</v>
      </c>
    </row>
    <row r="259" spans="1:123" ht="14.4" thickBot="1">
      <c r="A259" s="3" t="s">
        <v>30</v>
      </c>
      <c r="DJ259" s="13">
        <f>DJ$81</f>
        <v>0.40841181641791924</v>
      </c>
      <c r="DK259" s="1369">
        <v>0.45500000000000002</v>
      </c>
      <c r="DN259" s="13">
        <f>DN$81</f>
        <v>0.41147945857970375</v>
      </c>
      <c r="DO259" s="1369">
        <v>0.435</v>
      </c>
      <c r="DR259" s="13">
        <f>DR$81</f>
        <v>0.41008720229845924</v>
      </c>
      <c r="DS259" s="1369">
        <v>0.435</v>
      </c>
    </row>
    <row r="260" spans="1:123" ht="14.4" thickBot="1">
      <c r="A260" s="3" t="s">
        <v>39</v>
      </c>
      <c r="DJ260" s="13">
        <f>DJ$82</f>
        <v>1.3062127296033459</v>
      </c>
      <c r="DK260" s="68">
        <f>DJ260</f>
        <v>1.3062127296033459</v>
      </c>
      <c r="DN260" s="13">
        <f>DN$82</f>
        <v>1.251879155505871</v>
      </c>
      <c r="DO260" s="68">
        <v>0.44</v>
      </c>
      <c r="DR260" s="13">
        <f>DR$82</f>
        <v>1.2672304741182858</v>
      </c>
      <c r="DS260" s="68">
        <f>DR260</f>
        <v>1.2672304741182858</v>
      </c>
    </row>
    <row r="261" spans="1:123" ht="14.4" thickBot="1">
      <c r="A261" s="3" t="s">
        <v>40</v>
      </c>
      <c r="DJ261" s="13">
        <f>DK$79</f>
        <v>3.0361942577886269E-2</v>
      </c>
      <c r="DK261" s="68">
        <f>DJ261</f>
        <v>3.0361942577886269E-2</v>
      </c>
      <c r="DN261" s="13">
        <f>DO$79</f>
        <v>-2.7637238932176844E-2</v>
      </c>
      <c r="DO261" s="68">
        <f>DN261</f>
        <v>-2.7637238932176844E-2</v>
      </c>
      <c r="DR261" s="13">
        <f>DS$79</f>
        <v>2.5413266627916764E-2</v>
      </c>
      <c r="DS261" s="68">
        <f>DR261</f>
        <v>2.5413266627916764E-2</v>
      </c>
    </row>
    <row r="262" spans="1:123" ht="14.4" thickBot="1">
      <c r="A262" s="3" t="s">
        <v>907</v>
      </c>
      <c r="DJ262" s="13">
        <f>DJ$85</f>
        <v>0.30279281707429018</v>
      </c>
      <c r="DK262" s="68">
        <f>DJ262</f>
        <v>0.30279281707429018</v>
      </c>
      <c r="DN262" s="13">
        <f>DN$85</f>
        <v>0.26881101587914685</v>
      </c>
      <c r="DO262" s="68">
        <f>DN262</f>
        <v>0.26881101587914685</v>
      </c>
      <c r="DR262" s="13">
        <f>DR$85</f>
        <v>0.26900731285323731</v>
      </c>
      <c r="DS262" s="68">
        <f>DR262</f>
        <v>0.26900731285323731</v>
      </c>
    </row>
    <row r="263" spans="1:123">
      <c r="A263" s="3"/>
    </row>
    <row r="264" spans="1:123" ht="14.4" thickBot="1">
      <c r="A264" s="2" t="s">
        <v>760</v>
      </c>
    </row>
    <row r="265" spans="1:123" ht="14.4" thickBot="1">
      <c r="A265" s="1" t="s">
        <v>598</v>
      </c>
      <c r="BF265" s="38">
        <f>BF$63</f>
        <v>1333</v>
      </c>
      <c r="BH265" s="8">
        <f t="shared" ref="BH265:BI281" si="243">BH162</f>
        <v>644</v>
      </c>
      <c r="BI265" s="8">
        <f t="shared" si="243"/>
        <v>723</v>
      </c>
      <c r="BJ265" s="38">
        <f>BJ$63</f>
        <v>1367</v>
      </c>
      <c r="BL265" s="8">
        <f t="shared" ref="BL265:BM281" si="244">BL162</f>
        <v>860</v>
      </c>
      <c r="BM265" s="8">
        <f t="shared" si="244"/>
        <v>845</v>
      </c>
      <c r="BN265" s="38">
        <f>BN$63</f>
        <v>1705</v>
      </c>
      <c r="BP265" s="8">
        <f t="shared" ref="BP265:BQ281" si="245">BP162</f>
        <v>956</v>
      </c>
      <c r="BQ265" s="8">
        <f t="shared" si="245"/>
        <v>1136</v>
      </c>
      <c r="BR265" s="38">
        <f>BR$63</f>
        <v>2092</v>
      </c>
      <c r="BT265" s="8">
        <f t="shared" ref="BT265:BU281" si="246">BT162</f>
        <v>1165</v>
      </c>
      <c r="BU265" s="8">
        <f t="shared" si="246"/>
        <v>1114</v>
      </c>
      <c r="BV265" s="38">
        <f>BV$63</f>
        <v>2279</v>
      </c>
      <c r="BX265" s="8">
        <f t="shared" ref="BX265:BY281" si="247">BX162</f>
        <v>1098</v>
      </c>
      <c r="BY265" s="8">
        <f t="shared" si="247"/>
        <v>1087</v>
      </c>
      <c r="BZ265" s="38">
        <f>BZ$63</f>
        <v>2185</v>
      </c>
      <c r="CB265" s="8">
        <f t="shared" ref="CB265:CC281" si="248">CB162</f>
        <v>1011</v>
      </c>
      <c r="CC265" s="8">
        <f t="shared" si="248"/>
        <v>975</v>
      </c>
      <c r="CD265" s="38">
        <f>CD$63</f>
        <v>1986</v>
      </c>
      <c r="CG265" s="8">
        <f t="shared" ref="CG265" si="249">CG162</f>
        <v>762</v>
      </c>
      <c r="CH265" s="38">
        <f>CH$63</f>
        <v>1760</v>
      </c>
      <c r="CK265" s="8">
        <f t="shared" ref="CK265:CK281" si="250">CK162</f>
        <v>1069</v>
      </c>
      <c r="CL265" s="38">
        <f>CL$63</f>
        <v>1859</v>
      </c>
      <c r="CO265" s="8">
        <f t="shared" ref="CO265:CO281" si="251">CO162</f>
        <v>1162</v>
      </c>
      <c r="CP265" s="38">
        <f>CP$63</f>
        <v>2195</v>
      </c>
      <c r="CS265" s="8">
        <f t="shared" ref="CS265:CS281" si="252">CS162</f>
        <v>1487</v>
      </c>
      <c r="CT265" s="38">
        <f>CT$63</f>
        <v>2860</v>
      </c>
      <c r="CW265" s="8">
        <f t="shared" ref="CW265:CW281" si="253">CW162</f>
        <v>1597</v>
      </c>
      <c r="CX265" s="38">
        <f>CX$63</f>
        <v>3028</v>
      </c>
      <c r="DA265" s="8">
        <f t="shared" ref="DA265:DA281" si="254">DA162</f>
        <v>1826</v>
      </c>
      <c r="DB265" s="38">
        <f>DB$63</f>
        <v>3459</v>
      </c>
      <c r="DE265" s="8">
        <f t="shared" ref="DE265:DE281" si="255">DE162</f>
        <v>1838</v>
      </c>
      <c r="DF265" s="38">
        <f>DF$63</f>
        <v>3507</v>
      </c>
      <c r="DJ265" s="8">
        <f>+DF265*(1+DK265)</f>
        <v>4027.8562328900316</v>
      </c>
      <c r="DK265" s="53">
        <f>DK252</f>
        <v>0.14851902848304288</v>
      </c>
      <c r="DN265" s="8">
        <f>+DJ265*(1+DO265)</f>
        <v>4298.8886891392704</v>
      </c>
      <c r="DO265" s="53">
        <f>DO252</f>
        <v>6.7289506024590606E-2</v>
      </c>
      <c r="DR265" s="8">
        <f>+DN265*(1+DS265)</f>
        <v>4620.1745173571944</v>
      </c>
      <c r="DS265" s="53">
        <f>DS252</f>
        <v>7.4736949814407039E-2</v>
      </c>
    </row>
    <row r="266" spans="1:123" ht="14.4" thickBot="1">
      <c r="A266" s="1" t="s">
        <v>23</v>
      </c>
      <c r="BF266" s="38">
        <f>BF$64</f>
        <v>938.66300000000001</v>
      </c>
      <c r="BH266" s="8">
        <f t="shared" si="243"/>
        <v>499</v>
      </c>
      <c r="BI266" s="8">
        <f t="shared" si="243"/>
        <v>518</v>
      </c>
      <c r="BJ266" s="38">
        <f>BJ$64</f>
        <v>1017</v>
      </c>
      <c r="BL266" s="8">
        <f t="shared" si="244"/>
        <v>628</v>
      </c>
      <c r="BM266" s="8">
        <f t="shared" si="244"/>
        <v>660</v>
      </c>
      <c r="BN266" s="38">
        <f>BN$64</f>
        <v>1288</v>
      </c>
      <c r="BP266" s="8">
        <f t="shared" si="245"/>
        <v>650</v>
      </c>
      <c r="BQ266" s="8">
        <f t="shared" si="245"/>
        <v>738</v>
      </c>
      <c r="BR266" s="38">
        <f>BR$64</f>
        <v>1388</v>
      </c>
      <c r="BT266" s="8">
        <f t="shared" si="246"/>
        <v>791</v>
      </c>
      <c r="BU266" s="8">
        <f t="shared" si="246"/>
        <v>791</v>
      </c>
      <c r="BV266" s="38">
        <f>BV$64</f>
        <v>1582</v>
      </c>
      <c r="BX266" s="8">
        <f t="shared" si="247"/>
        <v>794</v>
      </c>
      <c r="BY266" s="8">
        <f t="shared" si="247"/>
        <v>786</v>
      </c>
      <c r="BZ266" s="38">
        <f>BZ$64</f>
        <v>1580</v>
      </c>
      <c r="CB266" s="8">
        <f t="shared" si="248"/>
        <v>804</v>
      </c>
      <c r="CC266" s="8">
        <f t="shared" si="248"/>
        <v>786</v>
      </c>
      <c r="CD266" s="38">
        <f>CD$64</f>
        <v>1590</v>
      </c>
      <c r="CG266" s="8">
        <f t="shared" ref="CG266" si="256">CG163</f>
        <v>916</v>
      </c>
      <c r="CH266" s="38">
        <f>CH$64</f>
        <v>1815</v>
      </c>
      <c r="CK266" s="8">
        <f t="shared" si="250"/>
        <v>1086</v>
      </c>
      <c r="CL266" s="38">
        <f>CL$64</f>
        <v>2053</v>
      </c>
      <c r="CO266" s="8">
        <f t="shared" si="251"/>
        <v>1026</v>
      </c>
      <c r="CP266" s="38">
        <f>CP$64</f>
        <v>2011</v>
      </c>
      <c r="CS266" s="8">
        <f t="shared" si="252"/>
        <v>1422</v>
      </c>
      <c r="CT266" s="38">
        <f>CT$64</f>
        <v>2796</v>
      </c>
      <c r="CW266" s="8">
        <f t="shared" si="253"/>
        <v>1415</v>
      </c>
      <c r="CX266" s="38">
        <f>CX$64</f>
        <v>2804</v>
      </c>
      <c r="DA266" s="8">
        <f t="shared" si="254"/>
        <v>1478</v>
      </c>
      <c r="DB266" s="38">
        <f>DB$64</f>
        <v>2895</v>
      </c>
      <c r="DE266" s="8">
        <f t="shared" ca="1" si="255"/>
        <v>1500</v>
      </c>
      <c r="DF266" s="38">
        <f ca="1">DF$64</f>
        <v>2948</v>
      </c>
      <c r="DJ266" s="8">
        <f>+DJ267*1000*DJ$66</f>
        <v>2407.7041889405978</v>
      </c>
      <c r="DK266" s="64">
        <f ca="1">+DJ266/DF266-1</f>
        <v>-0.18327537688582163</v>
      </c>
      <c r="DN266" s="8">
        <f>+DN267*1000*DN$66</f>
        <v>2485.4057744371826</v>
      </c>
      <c r="DO266" s="64">
        <f>+DN266/DJ266-1</f>
        <v>3.2272064755086927E-2</v>
      </c>
      <c r="DR266" s="8">
        <f>+DR267*1000*DR$66</f>
        <v>2468.6645445446561</v>
      </c>
      <c r="DS266" s="64">
        <f>+DR266/DN266-1</f>
        <v>-6.7358135499292482E-3</v>
      </c>
    </row>
    <row r="267" spans="1:123" ht="14.4" thickBot="1">
      <c r="A267" s="3" t="s">
        <v>49</v>
      </c>
      <c r="BF267" s="63">
        <f>BF$65</f>
        <v>320.06849999999997</v>
      </c>
      <c r="BH267" s="51">
        <f t="shared" si="243"/>
        <v>330.82350000000002</v>
      </c>
      <c r="BI267" s="51">
        <f t="shared" si="243"/>
        <v>340.15</v>
      </c>
      <c r="BJ267" s="63">
        <f>BJ$65</f>
        <v>335.48674999999997</v>
      </c>
      <c r="BL267" s="51">
        <f t="shared" si="244"/>
        <v>362.1</v>
      </c>
      <c r="BM267" s="51">
        <f t="shared" si="244"/>
        <v>402.75</v>
      </c>
      <c r="BN267" s="63">
        <f>BN$65</f>
        <v>382.42500000000001</v>
      </c>
      <c r="BP267" s="51">
        <f t="shared" si="245"/>
        <v>424.05</v>
      </c>
      <c r="BQ267" s="51">
        <f t="shared" si="245"/>
        <v>453.65</v>
      </c>
      <c r="BR267" s="63">
        <f>BR$65</f>
        <v>438.85</v>
      </c>
      <c r="BT267" s="51">
        <f t="shared" si="246"/>
        <v>493.15</v>
      </c>
      <c r="BU267" s="51">
        <f t="shared" si="246"/>
        <v>489.6</v>
      </c>
      <c r="BV267" s="63">
        <f>BV$65</f>
        <v>491.375</v>
      </c>
      <c r="BX267" s="51">
        <f t="shared" si="247"/>
        <v>484.1</v>
      </c>
      <c r="BY267" s="51">
        <f t="shared" si="247"/>
        <v>485.65</v>
      </c>
      <c r="BZ267" s="63">
        <f>BZ$65</f>
        <v>484.875</v>
      </c>
      <c r="CB267" s="51">
        <f t="shared" si="248"/>
        <v>475.95</v>
      </c>
      <c r="CC267" s="51">
        <f t="shared" si="248"/>
        <v>483.5</v>
      </c>
      <c r="CD267" s="63">
        <f>CD$65</f>
        <v>479.72500000000002</v>
      </c>
      <c r="CG267" s="51">
        <f t="shared" ref="CG267" si="257">CG164</f>
        <v>549.35</v>
      </c>
      <c r="CH267" s="63">
        <f>CH$65</f>
        <v>535.625</v>
      </c>
      <c r="CK267" s="51">
        <f t="shared" si="250"/>
        <v>579.85</v>
      </c>
      <c r="CL267" s="63">
        <f>CL$65</f>
        <v>567.92499999999995</v>
      </c>
      <c r="CO267" s="51">
        <f t="shared" si="251"/>
        <v>558.54999999999995</v>
      </c>
      <c r="CP267" s="63">
        <f>CP$65</f>
        <v>567.42499999999995</v>
      </c>
      <c r="CS267" s="51">
        <f t="shared" si="252"/>
        <v>764.25</v>
      </c>
      <c r="CT267" s="63">
        <f>CT$65</f>
        <v>706.55</v>
      </c>
      <c r="CW267" s="51">
        <f t="shared" si="253"/>
        <v>855.75</v>
      </c>
      <c r="CX267" s="63">
        <f>CX$65</f>
        <v>834.35</v>
      </c>
      <c r="DA267" s="51">
        <f t="shared" si="254"/>
        <v>915.15</v>
      </c>
      <c r="DB267" s="63">
        <f>DB$65</f>
        <v>900.22500000000002</v>
      </c>
      <c r="DE267" s="51">
        <f t="shared" si="255"/>
        <v>928.9</v>
      </c>
      <c r="DF267" s="63">
        <f>DF$65</f>
        <v>928.22500000000002</v>
      </c>
      <c r="DJ267" s="51">
        <f>+DF267*(1+DK267)</f>
        <v>788.99125000000004</v>
      </c>
      <c r="DK267" s="53">
        <f>DK253</f>
        <v>-0.15</v>
      </c>
      <c r="DN267" s="51">
        <f>+DJ267*(1+DO267)</f>
        <v>788.99125000000004</v>
      </c>
      <c r="DO267" s="53">
        <f>DO253</f>
        <v>0</v>
      </c>
      <c r="DR267" s="51">
        <f>+DN267*(1+DS267)</f>
        <v>804.771075</v>
      </c>
      <c r="DS267" s="53">
        <f>DS253</f>
        <v>0.02</v>
      </c>
    </row>
    <row r="268" spans="1:123" ht="14.4" thickBot="1">
      <c r="A268" s="1" t="s">
        <v>24</v>
      </c>
      <c r="BF268" s="38">
        <f>BF$67</f>
        <v>130</v>
      </c>
      <c r="BH268" s="8">
        <f t="shared" si="243"/>
        <v>76</v>
      </c>
      <c r="BI268" s="8">
        <f t="shared" si="243"/>
        <v>88</v>
      </c>
      <c r="BJ268" s="38">
        <f>BJ$67</f>
        <v>164</v>
      </c>
      <c r="BL268" s="8">
        <f t="shared" si="244"/>
        <v>76</v>
      </c>
      <c r="BM268" s="8">
        <f t="shared" si="244"/>
        <v>142</v>
      </c>
      <c r="BN268" s="38">
        <f>BN$67</f>
        <v>218</v>
      </c>
      <c r="BP268" s="8">
        <f t="shared" si="245"/>
        <v>373</v>
      </c>
      <c r="BQ268" s="8">
        <f t="shared" si="245"/>
        <v>294</v>
      </c>
      <c r="BR268" s="38">
        <f>BR$67</f>
        <v>667</v>
      </c>
      <c r="BT268" s="8">
        <f t="shared" si="246"/>
        <v>629</v>
      </c>
      <c r="BU268" s="8">
        <f t="shared" si="246"/>
        <v>85</v>
      </c>
      <c r="BV268" s="38">
        <f>BV$67</f>
        <v>714</v>
      </c>
      <c r="BX268" s="8">
        <f t="shared" si="247"/>
        <v>170</v>
      </c>
      <c r="BY268" s="8">
        <f t="shared" si="247"/>
        <v>94</v>
      </c>
      <c r="BZ268" s="38">
        <f>BZ$67</f>
        <v>264</v>
      </c>
      <c r="CB268" s="8">
        <f t="shared" si="248"/>
        <v>537</v>
      </c>
      <c r="CC268" s="8">
        <f t="shared" si="248"/>
        <v>58</v>
      </c>
      <c r="CD268" s="38">
        <f>CD$67</f>
        <v>595</v>
      </c>
      <c r="CG268" s="8">
        <f t="shared" ref="CG268" si="258">CG165</f>
        <v>577</v>
      </c>
      <c r="CH268" s="38">
        <f>CH$67</f>
        <v>859</v>
      </c>
      <c r="CK268" s="8">
        <f t="shared" si="250"/>
        <v>275</v>
      </c>
      <c r="CL268" s="38">
        <f>CL$67</f>
        <v>821</v>
      </c>
      <c r="CO268" s="8">
        <f t="shared" si="251"/>
        <v>247</v>
      </c>
      <c r="CP268" s="38">
        <f>CP$67</f>
        <v>660</v>
      </c>
      <c r="CS268" s="8">
        <f t="shared" si="252"/>
        <v>218</v>
      </c>
      <c r="CT268" s="38">
        <f>CT$67</f>
        <v>395</v>
      </c>
      <c r="CW268" s="8">
        <f t="shared" si="253"/>
        <v>455</v>
      </c>
      <c r="CX268" s="38">
        <f>CX$67</f>
        <v>692</v>
      </c>
      <c r="DA268" s="8">
        <f t="shared" si="254"/>
        <v>396</v>
      </c>
      <c r="DB268" s="38">
        <f>DB$67</f>
        <v>632</v>
      </c>
      <c r="DE268" s="8">
        <f t="shared" ca="1" si="255"/>
        <v>434</v>
      </c>
      <c r="DF268" s="38">
        <f ca="1">DF$67</f>
        <v>837</v>
      </c>
      <c r="DJ268" s="54">
        <f>DK254</f>
        <v>721.96161759016695</v>
      </c>
      <c r="DK268" s="10">
        <f ca="1">+DJ268/DF268-1</f>
        <v>-0.1374413170965747</v>
      </c>
      <c r="DN268" s="54">
        <f>DO254</f>
        <v>558.10045013185163</v>
      </c>
      <c r="DO268" s="10">
        <f>+DN268/DJ268-1</f>
        <v>-0.22696659138925823</v>
      </c>
      <c r="DR268" s="54">
        <f>DS254</f>
        <v>597.80314314299517</v>
      </c>
      <c r="DS268" s="10">
        <f>+DR268/DN268-1</f>
        <v>7.1138973282970364E-2</v>
      </c>
    </row>
    <row r="269" spans="1:123" ht="14.4" thickBot="1">
      <c r="A269" s="1" t="s">
        <v>25</v>
      </c>
      <c r="BF269" s="38">
        <f>BF$68</f>
        <v>682</v>
      </c>
      <c r="BH269" s="8">
        <f t="shared" si="243"/>
        <v>327</v>
      </c>
      <c r="BI269" s="8">
        <f t="shared" si="243"/>
        <v>327</v>
      </c>
      <c r="BJ269" s="38">
        <f>BJ$68</f>
        <v>654</v>
      </c>
      <c r="BL269" s="8">
        <f t="shared" si="244"/>
        <v>357</v>
      </c>
      <c r="BM269" s="8">
        <f t="shared" si="244"/>
        <v>452</v>
      </c>
      <c r="BN269" s="38">
        <f>BN$68</f>
        <v>809</v>
      </c>
      <c r="BP269" s="8">
        <f t="shared" si="245"/>
        <v>429</v>
      </c>
      <c r="BQ269" s="8">
        <f t="shared" si="245"/>
        <v>544</v>
      </c>
      <c r="BR269" s="38">
        <f>BR$68</f>
        <v>973</v>
      </c>
      <c r="BT269" s="8">
        <f t="shared" si="246"/>
        <v>537</v>
      </c>
      <c r="BU269" s="8">
        <f t="shared" si="246"/>
        <v>425</v>
      </c>
      <c r="BV269" s="38">
        <f>BV$68</f>
        <v>962</v>
      </c>
      <c r="BX269" s="8">
        <f t="shared" si="247"/>
        <v>471</v>
      </c>
      <c r="BY269" s="8">
        <f t="shared" si="247"/>
        <v>492</v>
      </c>
      <c r="BZ269" s="38">
        <f>BZ$68</f>
        <v>963</v>
      </c>
      <c r="CB269" s="8">
        <f t="shared" si="248"/>
        <v>458</v>
      </c>
      <c r="CC269" s="8">
        <f t="shared" si="248"/>
        <v>462</v>
      </c>
      <c r="CD269" s="38">
        <f>CD$68</f>
        <v>920</v>
      </c>
      <c r="CG269" s="8">
        <f t="shared" ref="CG269" si="259">CG166</f>
        <v>433</v>
      </c>
      <c r="CH269" s="38">
        <f>CH$68</f>
        <v>1006</v>
      </c>
      <c r="CK269" s="8">
        <f t="shared" si="250"/>
        <v>578</v>
      </c>
      <c r="CL269" s="38">
        <f>CL$68</f>
        <v>1060</v>
      </c>
      <c r="CO269" s="8">
        <f t="shared" si="251"/>
        <v>445</v>
      </c>
      <c r="CP269" s="38">
        <f>CP$68</f>
        <v>858</v>
      </c>
      <c r="CS269" s="8">
        <f t="shared" si="252"/>
        <v>755</v>
      </c>
      <c r="CT269" s="38">
        <f>CT$68</f>
        <v>1373</v>
      </c>
      <c r="CW269" s="8">
        <f t="shared" si="253"/>
        <v>553</v>
      </c>
      <c r="CX269" s="38">
        <f>CX$68</f>
        <v>991</v>
      </c>
      <c r="DA269" s="8">
        <f t="shared" si="254"/>
        <v>335</v>
      </c>
      <c r="DB269" s="38">
        <f>DB$68</f>
        <v>743</v>
      </c>
      <c r="DE269" s="8">
        <f t="shared" ca="1" si="255"/>
        <v>503</v>
      </c>
      <c r="DF269" s="38">
        <f ca="1">DF$68</f>
        <v>916</v>
      </c>
      <c r="DJ269" s="8">
        <f ca="1">+DF269*(1+DK269)</f>
        <v>687</v>
      </c>
      <c r="DK269" s="53">
        <f>DK255</f>
        <v>-0.25</v>
      </c>
      <c r="DN269" s="8">
        <f ca="1">+DJ269*(1+DO269)</f>
        <v>618.30000000000007</v>
      </c>
      <c r="DO269" s="53">
        <f>DO255</f>
        <v>-0.1</v>
      </c>
      <c r="DR269" s="8">
        <f ca="1">+DN269*(1+DS269)</f>
        <v>556.47</v>
      </c>
      <c r="DS269" s="53">
        <f>DS255</f>
        <v>-0.1</v>
      </c>
    </row>
    <row r="270" spans="1:123" ht="14.4" thickBot="1">
      <c r="A270" s="1" t="s">
        <v>26</v>
      </c>
      <c r="BF270" s="38">
        <f>BF$69</f>
        <v>906.5</v>
      </c>
      <c r="BH270" s="8">
        <f t="shared" si="243"/>
        <v>394</v>
      </c>
      <c r="BI270" s="8">
        <f t="shared" si="243"/>
        <v>417</v>
      </c>
      <c r="BJ270" s="38">
        <f>BJ$69</f>
        <v>811</v>
      </c>
      <c r="BL270" s="8">
        <f t="shared" si="244"/>
        <v>469</v>
      </c>
      <c r="BM270" s="8">
        <f t="shared" si="244"/>
        <v>438</v>
      </c>
      <c r="BN270" s="38">
        <f>BN$69</f>
        <v>907</v>
      </c>
      <c r="BP270" s="8">
        <f t="shared" si="245"/>
        <v>396</v>
      </c>
      <c r="BQ270" s="8">
        <f t="shared" si="245"/>
        <v>440</v>
      </c>
      <c r="BR270" s="38">
        <f>BR$69</f>
        <v>836</v>
      </c>
      <c r="BT270" s="8">
        <f t="shared" si="246"/>
        <v>461</v>
      </c>
      <c r="BU270" s="8">
        <f t="shared" si="246"/>
        <v>427</v>
      </c>
      <c r="BV270" s="38">
        <f>BV$69</f>
        <v>888</v>
      </c>
      <c r="BX270" s="8">
        <f t="shared" si="247"/>
        <v>419</v>
      </c>
      <c r="BY270" s="8">
        <f t="shared" si="247"/>
        <v>394</v>
      </c>
      <c r="BZ270" s="38">
        <f>BZ$69</f>
        <v>813</v>
      </c>
      <c r="CB270" s="8">
        <f t="shared" si="248"/>
        <v>386</v>
      </c>
      <c r="CC270" s="8">
        <f t="shared" si="248"/>
        <v>388</v>
      </c>
      <c r="CD270" s="38">
        <f>CD$69</f>
        <v>774</v>
      </c>
      <c r="CG270" s="8">
        <f t="shared" ref="CG270" si="260">CG167</f>
        <v>459</v>
      </c>
      <c r="CH270" s="38">
        <f>CH$69</f>
        <v>932</v>
      </c>
      <c r="CK270" s="8">
        <f t="shared" si="250"/>
        <v>458</v>
      </c>
      <c r="CL270" s="38">
        <f>CL$69</f>
        <v>870</v>
      </c>
      <c r="CO270" s="8">
        <f t="shared" si="251"/>
        <v>415</v>
      </c>
      <c r="CP270" s="38">
        <f>CP$69</f>
        <v>816</v>
      </c>
      <c r="CS270" s="8">
        <f t="shared" si="252"/>
        <v>420</v>
      </c>
      <c r="CT270" s="38">
        <f>CT$69</f>
        <v>801</v>
      </c>
      <c r="CW270" s="8">
        <f t="shared" si="253"/>
        <v>357</v>
      </c>
      <c r="CX270" s="38">
        <f>CX$69</f>
        <v>715</v>
      </c>
      <c r="DA270" s="8">
        <f t="shared" si="254"/>
        <v>414</v>
      </c>
      <c r="DB270" s="38">
        <f>DB$69</f>
        <v>791</v>
      </c>
      <c r="DE270" s="8">
        <f t="shared" ca="1" si="255"/>
        <v>434</v>
      </c>
      <c r="DF270" s="38">
        <f ca="1">DF$69</f>
        <v>863</v>
      </c>
      <c r="DJ270" s="8">
        <f ca="1">+DF270*(1+DK270)</f>
        <v>776.7</v>
      </c>
      <c r="DK270" s="53">
        <f>DK256</f>
        <v>-0.1</v>
      </c>
      <c r="DN270" s="8">
        <f ca="1">+DJ270*(1+DO270)</f>
        <v>660.19500000000005</v>
      </c>
      <c r="DO270" s="53">
        <f>DO256</f>
        <v>-0.15</v>
      </c>
      <c r="DR270" s="8">
        <f ca="1">+DN270*(1+DS270)</f>
        <v>561.16575</v>
      </c>
      <c r="DS270" s="53">
        <f>DS256</f>
        <v>-0.15</v>
      </c>
    </row>
    <row r="271" spans="1:123">
      <c r="A271" s="1" t="s">
        <v>27</v>
      </c>
      <c r="BF271" s="38">
        <f>BF$70</f>
        <v>706.5</v>
      </c>
      <c r="BH271" s="8">
        <f t="shared" si="243"/>
        <v>340</v>
      </c>
      <c r="BI271" s="8">
        <f t="shared" si="243"/>
        <v>393</v>
      </c>
      <c r="BJ271" s="38">
        <f>BJ$70</f>
        <v>733</v>
      </c>
      <c r="BL271" s="8">
        <f t="shared" si="244"/>
        <v>308</v>
      </c>
      <c r="BM271" s="8">
        <f t="shared" si="244"/>
        <v>325</v>
      </c>
      <c r="BN271" s="38">
        <f>BN$70</f>
        <v>633</v>
      </c>
      <c r="BP271" s="8">
        <f t="shared" si="245"/>
        <v>319</v>
      </c>
      <c r="BQ271" s="8">
        <f t="shared" si="245"/>
        <v>556</v>
      </c>
      <c r="BR271" s="38">
        <f>BR$70</f>
        <v>875</v>
      </c>
      <c r="BT271" s="8">
        <f t="shared" si="246"/>
        <v>376</v>
      </c>
      <c r="BU271" s="8">
        <f t="shared" si="246"/>
        <v>340</v>
      </c>
      <c r="BV271" s="38">
        <f>BV$70</f>
        <v>716</v>
      </c>
      <c r="BX271" s="8">
        <f t="shared" si="247"/>
        <v>349</v>
      </c>
      <c r="BY271" s="8">
        <f t="shared" si="247"/>
        <v>362</v>
      </c>
      <c r="BZ271" s="38">
        <f>BZ$70</f>
        <v>711</v>
      </c>
      <c r="CB271" s="8">
        <f t="shared" si="248"/>
        <v>383</v>
      </c>
      <c r="CC271" s="8">
        <f t="shared" si="248"/>
        <v>408</v>
      </c>
      <c r="CD271" s="38">
        <f>CD$70</f>
        <v>791</v>
      </c>
      <c r="CG271" s="8">
        <f t="shared" ref="CG271" si="261">CG168</f>
        <v>480</v>
      </c>
      <c r="CH271" s="38">
        <f>CH$70</f>
        <v>914</v>
      </c>
      <c r="CK271" s="8">
        <f t="shared" si="250"/>
        <v>566</v>
      </c>
      <c r="CL271" s="38">
        <f>CL$70</f>
        <v>1033</v>
      </c>
      <c r="CO271" s="8">
        <f t="shared" si="251"/>
        <v>430</v>
      </c>
      <c r="CP271" s="38">
        <f>CP$70</f>
        <v>831</v>
      </c>
      <c r="CS271" s="8">
        <f t="shared" si="252"/>
        <v>620</v>
      </c>
      <c r="CT271" s="38">
        <f>CT$70</f>
        <v>1522</v>
      </c>
      <c r="CW271" s="8">
        <f t="shared" si="253"/>
        <v>565</v>
      </c>
      <c r="CX271" s="38">
        <f>CX$70</f>
        <v>1198</v>
      </c>
      <c r="DA271" s="8">
        <f t="shared" si="254"/>
        <v>603</v>
      </c>
      <c r="DB271" s="38">
        <f>DB$70</f>
        <v>1188</v>
      </c>
      <c r="DE271" s="8">
        <f t="shared" ca="1" si="255"/>
        <v>619</v>
      </c>
      <c r="DF271" s="38">
        <f ca="1">DF$70</f>
        <v>1226</v>
      </c>
      <c r="DJ271" s="8">
        <f>DJ$70</f>
        <v>1280.0249943502824</v>
      </c>
      <c r="DK271" s="8">
        <f>+DG271*(1+ED271)</f>
        <v>0</v>
      </c>
      <c r="DN271" s="8">
        <f>DN$70</f>
        <v>1374.9417216225988</v>
      </c>
      <c r="DO271" s="8">
        <f>+DK271*(1+EH271)</f>
        <v>0</v>
      </c>
      <c r="DR271" s="8">
        <f>DR$70</f>
        <v>1452.9241553406775</v>
      </c>
      <c r="DS271" s="8">
        <f>+DO271*(1+EL271)</f>
        <v>0</v>
      </c>
    </row>
    <row r="272" spans="1:123">
      <c r="A272" s="1" t="s">
        <v>761</v>
      </c>
      <c r="BF272" s="8">
        <f>+BF266+BF268+BF269+BF270+BF271</f>
        <v>3363.663</v>
      </c>
      <c r="BH272" s="8">
        <f t="shared" si="243"/>
        <v>1636</v>
      </c>
      <c r="BI272" s="8">
        <f t="shared" si="243"/>
        <v>1743</v>
      </c>
      <c r="BJ272" s="8">
        <f>+BJ266+BJ268+BJ269+BJ270+BJ271</f>
        <v>3379</v>
      </c>
      <c r="BL272" s="8">
        <f t="shared" si="244"/>
        <v>1838</v>
      </c>
      <c r="BM272" s="8">
        <f t="shared" si="244"/>
        <v>2017</v>
      </c>
      <c r="BN272" s="8">
        <f>+BN266+BN268+BN269+BN270+BN271</f>
        <v>3855</v>
      </c>
      <c r="BP272" s="8">
        <f t="shared" si="245"/>
        <v>2167</v>
      </c>
      <c r="BQ272" s="8">
        <f t="shared" si="245"/>
        <v>2572</v>
      </c>
      <c r="BR272" s="8">
        <f>+BR266+BR268+BR269+BR270+BR271</f>
        <v>4739</v>
      </c>
      <c r="BT272" s="8">
        <f t="shared" si="246"/>
        <v>2794</v>
      </c>
      <c r="BU272" s="8">
        <f t="shared" si="246"/>
        <v>2068</v>
      </c>
      <c r="BV272" s="8">
        <f>+BV266+BV268+BV269+BV270+BV271</f>
        <v>4862</v>
      </c>
      <c r="BX272" s="8">
        <f t="shared" si="247"/>
        <v>2203</v>
      </c>
      <c r="BY272" s="8">
        <f t="shared" si="247"/>
        <v>2128</v>
      </c>
      <c r="BZ272" s="8">
        <f>+BZ266+BZ268+BZ269+BZ270+BZ271</f>
        <v>4331</v>
      </c>
      <c r="CB272" s="8">
        <f t="shared" si="248"/>
        <v>2568</v>
      </c>
      <c r="CC272" s="8">
        <f t="shared" si="248"/>
        <v>2102</v>
      </c>
      <c r="CD272" s="8">
        <f>+CD266+CD268+CD269+CD270+CD271</f>
        <v>4670</v>
      </c>
      <c r="CG272" s="8">
        <f t="shared" ref="CG272" si="262">CG169</f>
        <v>2865</v>
      </c>
      <c r="CH272" s="8">
        <f>+CH266+CH268+CH269+CH270+CH271</f>
        <v>5526</v>
      </c>
      <c r="CK272" s="8">
        <f t="shared" si="250"/>
        <v>2963</v>
      </c>
      <c r="CL272" s="8">
        <f>+CL266+CL268+CL269+CL270+CL271</f>
        <v>5837</v>
      </c>
      <c r="CO272" s="8">
        <f t="shared" si="251"/>
        <v>2563</v>
      </c>
      <c r="CP272" s="8">
        <f>+CP266+CP268+CP269+CP270+CP271</f>
        <v>5176</v>
      </c>
      <c r="CS272" s="8">
        <f t="shared" si="252"/>
        <v>3435</v>
      </c>
      <c r="CT272" s="8">
        <f>+CT266+CT268+CT269+CT270+CT271</f>
        <v>6887</v>
      </c>
      <c r="CW272" s="8">
        <f t="shared" si="253"/>
        <v>3345</v>
      </c>
      <c r="CX272" s="8">
        <f>+CX266+CX268+CX269+CX270+CX271</f>
        <v>6400</v>
      </c>
      <c r="DA272" s="8">
        <f t="shared" si="254"/>
        <v>3226</v>
      </c>
      <c r="DB272" s="8">
        <f>+DB266+DB268+DB269+DB270+DB271</f>
        <v>6249</v>
      </c>
      <c r="DE272" s="8">
        <f t="shared" ca="1" si="255"/>
        <v>3490</v>
      </c>
      <c r="DF272" s="8">
        <f ca="1">+DF266+DF268+DF269+DF270+DF271</f>
        <v>6790</v>
      </c>
      <c r="DJ272" s="8">
        <f ca="1">+DJ266+DJ268+DJ269+DJ270+DJ271</f>
        <v>5873.3908008810467</v>
      </c>
      <c r="DK272" s="10">
        <f ca="1">+DJ272/DF272-1</f>
        <v>-0.13499399103371923</v>
      </c>
      <c r="DN272" s="8">
        <f ca="1">+DN266+DN268+DN269+DN270+DN271</f>
        <v>5696.9429461916334</v>
      </c>
      <c r="DO272" s="10">
        <f ca="1">+DN272/DJ272-1</f>
        <v>-3.0041906059263934E-2</v>
      </c>
      <c r="DR272" s="8">
        <f ca="1">+DR266+DR268+DR269+DR270+DR271</f>
        <v>5637.0275930283287</v>
      </c>
      <c r="DS272" s="10">
        <f ca="1">+DR272/DN272-1</f>
        <v>-1.0517106056566305E-2</v>
      </c>
    </row>
    <row r="273" spans="1:123">
      <c r="A273" s="1" t="s">
        <v>651</v>
      </c>
      <c r="BF273" s="38">
        <f>BF$72</f>
        <v>1035</v>
      </c>
      <c r="BH273" s="8">
        <f t="shared" si="243"/>
        <v>555</v>
      </c>
      <c r="BI273" s="8">
        <f t="shared" si="243"/>
        <v>679</v>
      </c>
      <c r="BJ273" s="38">
        <f>BJ$72</f>
        <v>1234</v>
      </c>
      <c r="BL273" s="8">
        <f t="shared" si="244"/>
        <v>591</v>
      </c>
      <c r="BM273" s="8">
        <f t="shared" si="244"/>
        <v>979</v>
      </c>
      <c r="BN273" s="38">
        <f>BN$72</f>
        <v>1570</v>
      </c>
      <c r="BP273" s="8">
        <f t="shared" si="245"/>
        <v>687</v>
      </c>
      <c r="BQ273" s="8">
        <f t="shared" si="245"/>
        <v>1040</v>
      </c>
      <c r="BR273" s="38">
        <f>BR$72</f>
        <v>1727</v>
      </c>
      <c r="BT273" s="8">
        <f t="shared" si="246"/>
        <v>1108</v>
      </c>
      <c r="BU273" s="8">
        <f t="shared" si="246"/>
        <v>959</v>
      </c>
      <c r="BV273" s="38">
        <f>BV$72</f>
        <v>2067</v>
      </c>
      <c r="BX273" s="8">
        <f t="shared" si="247"/>
        <v>776</v>
      </c>
      <c r="BY273" s="8">
        <f t="shared" si="247"/>
        <v>982</v>
      </c>
      <c r="BZ273" s="38">
        <f>BZ$72</f>
        <v>1758</v>
      </c>
      <c r="CB273" s="8">
        <f t="shared" si="248"/>
        <v>881</v>
      </c>
      <c r="CC273" s="8">
        <f t="shared" si="248"/>
        <v>1076</v>
      </c>
      <c r="CD273" s="38">
        <f>CD$72</f>
        <v>1957</v>
      </c>
      <c r="CG273" s="8">
        <f t="shared" ref="CG273" si="263">CG170</f>
        <v>1560</v>
      </c>
      <c r="CH273" s="38">
        <f>CH$72</f>
        <v>2791</v>
      </c>
      <c r="CK273" s="8">
        <f t="shared" si="250"/>
        <v>1234</v>
      </c>
      <c r="CL273" s="38">
        <f>CL$72</f>
        <v>2861</v>
      </c>
      <c r="CO273" s="8">
        <f t="shared" si="251"/>
        <v>1995</v>
      </c>
      <c r="CP273" s="38">
        <f>CP$72</f>
        <v>3482</v>
      </c>
      <c r="CS273" s="8">
        <f t="shared" si="252"/>
        <v>2337</v>
      </c>
      <c r="CT273" s="38">
        <f>CT$72</f>
        <v>3996</v>
      </c>
      <c r="CW273" s="8">
        <f t="shared" si="253"/>
        <v>4756</v>
      </c>
      <c r="CX273" s="38">
        <f>CX$72</f>
        <v>7573</v>
      </c>
      <c r="DA273" s="8">
        <f t="shared" si="254"/>
        <v>2836</v>
      </c>
      <c r="DB273" s="38">
        <f>DB$72</f>
        <v>5448</v>
      </c>
      <c r="DE273" s="8">
        <f t="shared" si="255"/>
        <v>2910</v>
      </c>
      <c r="DF273" s="38">
        <f>DF$72</f>
        <v>5370</v>
      </c>
      <c r="DJ273" s="8">
        <f>+DF273*(1+DK273)</f>
        <v>4833</v>
      </c>
      <c r="DK273" s="10">
        <f>DK257</f>
        <v>-0.1</v>
      </c>
      <c r="DN273" s="8">
        <f>+DJ273*(1+DO273)</f>
        <v>4108.05</v>
      </c>
      <c r="DO273" s="10">
        <f>DO257</f>
        <v>-0.15</v>
      </c>
      <c r="DR273" s="8">
        <f>+DN273*(1+DS273)</f>
        <v>3491.8425000000002</v>
      </c>
      <c r="DS273" s="10">
        <f>DS257</f>
        <v>-0.15</v>
      </c>
    </row>
    <row r="274" spans="1:123" ht="14.4" thickBot="1">
      <c r="A274" s="1" t="s">
        <v>652</v>
      </c>
      <c r="BF274" s="38">
        <f>BF$73</f>
        <v>108</v>
      </c>
      <c r="BH274" s="8">
        <f t="shared" si="243"/>
        <v>75</v>
      </c>
      <c r="BI274" s="8">
        <f t="shared" si="243"/>
        <v>17</v>
      </c>
      <c r="BJ274" s="38">
        <f>BJ$73</f>
        <v>92</v>
      </c>
      <c r="BL274" s="8">
        <f t="shared" si="244"/>
        <v>70</v>
      </c>
      <c r="BM274" s="8">
        <f t="shared" si="244"/>
        <v>79</v>
      </c>
      <c r="BN274" s="38">
        <f>BN$73</f>
        <v>149</v>
      </c>
      <c r="BP274" s="8">
        <f t="shared" si="245"/>
        <v>19</v>
      </c>
      <c r="BQ274" s="8">
        <f t="shared" si="245"/>
        <v>-14</v>
      </c>
      <c r="BR274" s="38">
        <f>BR$73</f>
        <v>5</v>
      </c>
      <c r="BT274" s="8">
        <f t="shared" si="246"/>
        <v>-63</v>
      </c>
      <c r="BU274" s="8">
        <f t="shared" si="246"/>
        <v>67</v>
      </c>
      <c r="BV274" s="38">
        <f>BV$73</f>
        <v>4</v>
      </c>
      <c r="BX274" s="8">
        <f t="shared" si="247"/>
        <v>-8</v>
      </c>
      <c r="BY274" s="8">
        <f t="shared" si="247"/>
        <v>59</v>
      </c>
      <c r="BZ274" s="38">
        <f>BZ$73</f>
        <v>51</v>
      </c>
      <c r="CB274" s="8">
        <f t="shared" si="248"/>
        <v>103</v>
      </c>
      <c r="CC274" s="8">
        <f t="shared" si="248"/>
        <v>138</v>
      </c>
      <c r="CD274" s="38">
        <f>CD$73</f>
        <v>241</v>
      </c>
      <c r="CG274" s="8">
        <f t="shared" ref="CG274" si="264">CG171</f>
        <v>-63</v>
      </c>
      <c r="CH274" s="38">
        <f>CH$73</f>
        <v>-56</v>
      </c>
      <c r="CK274" s="8">
        <f t="shared" si="250"/>
        <v>144</v>
      </c>
      <c r="CL274" s="38">
        <f>CL$73</f>
        <v>95</v>
      </c>
      <c r="CO274" s="8">
        <f t="shared" si="251"/>
        <v>51</v>
      </c>
      <c r="CP274" s="38">
        <f>CP$73</f>
        <v>-3</v>
      </c>
      <c r="CS274" s="8">
        <f t="shared" si="252"/>
        <v>-2</v>
      </c>
      <c r="CT274" s="38">
        <f>CT$73</f>
        <v>240</v>
      </c>
      <c r="CW274" s="8">
        <f t="shared" si="253"/>
        <v>-52</v>
      </c>
      <c r="CX274" s="38">
        <f>CX$73</f>
        <v>-113</v>
      </c>
      <c r="DA274" s="8">
        <f t="shared" si="254"/>
        <v>-44</v>
      </c>
      <c r="DB274" s="38">
        <f>DB$73</f>
        <v>-49</v>
      </c>
      <c r="DE274" s="8">
        <f t="shared" si="255"/>
        <v>166</v>
      </c>
      <c r="DF274" s="38">
        <f>DF$73</f>
        <v>167</v>
      </c>
      <c r="DJ274" s="8">
        <f>DJ$73</f>
        <v>-42.019999999999996</v>
      </c>
      <c r="DK274" s="10">
        <f t="shared" ref="DK274:DK279" si="265">+DJ274/DF274-1</f>
        <v>-1.2516167664670659</v>
      </c>
      <c r="DN274" s="8">
        <f>DN$73</f>
        <v>2.1393820000000012</v>
      </c>
      <c r="DO274" s="10">
        <f t="shared" ref="DO274:DO279" si="266">+DN274/DJ274-1</f>
        <v>-1.0509134221799143</v>
      </c>
      <c r="DR274" s="8">
        <f>DR$73</f>
        <v>6.7956703637999922</v>
      </c>
      <c r="DS274" s="10">
        <f t="shared" ref="DS274:DS279" si="267">+DR274/DN274-1</f>
        <v>2.176464214338528</v>
      </c>
    </row>
    <row r="275" spans="1:123" ht="14.4" thickBot="1">
      <c r="A275" s="1" t="s">
        <v>621</v>
      </c>
      <c r="BF275" s="38">
        <f>BF$74</f>
        <v>1123</v>
      </c>
      <c r="BH275" s="8">
        <f t="shared" si="243"/>
        <v>144</v>
      </c>
      <c r="BI275" s="8">
        <f t="shared" si="243"/>
        <v>441</v>
      </c>
      <c r="BJ275" s="38">
        <f>BJ$74</f>
        <v>585</v>
      </c>
      <c r="BL275" s="8">
        <f t="shared" si="244"/>
        <v>320</v>
      </c>
      <c r="BM275" s="8">
        <f t="shared" si="244"/>
        <v>535</v>
      </c>
      <c r="BN275" s="38">
        <f>BN$74</f>
        <v>855</v>
      </c>
      <c r="BP275" s="8">
        <f t="shared" si="245"/>
        <v>455</v>
      </c>
      <c r="BQ275" s="8">
        <f t="shared" si="245"/>
        <v>244</v>
      </c>
      <c r="BR275" s="38">
        <f>BR$74</f>
        <v>699</v>
      </c>
      <c r="BT275" s="8">
        <f t="shared" si="246"/>
        <v>314</v>
      </c>
      <c r="BU275" s="8">
        <f t="shared" si="246"/>
        <v>632</v>
      </c>
      <c r="BV275" s="38">
        <f>BV$74</f>
        <v>946</v>
      </c>
      <c r="BX275" s="8">
        <f t="shared" si="247"/>
        <v>1149</v>
      </c>
      <c r="BY275" s="8">
        <f t="shared" si="247"/>
        <v>890</v>
      </c>
      <c r="BZ275" s="38">
        <f>BZ$74</f>
        <v>2039</v>
      </c>
      <c r="CB275" s="8">
        <f t="shared" si="248"/>
        <v>834</v>
      </c>
      <c r="CC275" s="8">
        <f t="shared" si="248"/>
        <v>1232</v>
      </c>
      <c r="CD275" s="38">
        <f>CD$74</f>
        <v>2066</v>
      </c>
      <c r="CG275" s="8">
        <f t="shared" ref="CG275" si="268">CG172</f>
        <v>1800</v>
      </c>
      <c r="CH275" s="38">
        <f>CH$74</f>
        <v>2733</v>
      </c>
      <c r="CK275" s="8">
        <f t="shared" si="250"/>
        <v>595</v>
      </c>
      <c r="CL275" s="38">
        <f>CL$74</f>
        <v>1673</v>
      </c>
      <c r="CO275" s="8">
        <f t="shared" si="251"/>
        <v>1484</v>
      </c>
      <c r="CP275" s="38">
        <f>CP$74</f>
        <v>1924</v>
      </c>
      <c r="CS275" s="8">
        <f t="shared" si="252"/>
        <v>2263</v>
      </c>
      <c r="CT275" s="38">
        <f>CT$74</f>
        <v>3341</v>
      </c>
      <c r="CW275" s="8">
        <f t="shared" si="253"/>
        <v>774</v>
      </c>
      <c r="CX275" s="38">
        <f>CX$74</f>
        <v>2234</v>
      </c>
      <c r="DA275" s="8">
        <f t="shared" si="254"/>
        <v>1133</v>
      </c>
      <c r="DB275" s="38">
        <f>DB$74</f>
        <v>1780</v>
      </c>
      <c r="DE275" s="8">
        <f t="shared" si="255"/>
        <v>588</v>
      </c>
      <c r="DF275" s="38">
        <f>DF$74</f>
        <v>1374</v>
      </c>
      <c r="DJ275" s="54">
        <f>DK258</f>
        <v>714.6712</v>
      </c>
      <c r="DK275" s="10">
        <f t="shared" si="265"/>
        <v>-0.4798608442503639</v>
      </c>
      <c r="DN275" s="54">
        <f>DO258</f>
        <v>815.03945900000008</v>
      </c>
      <c r="DO275" s="10">
        <f t="shared" si="266"/>
        <v>0.14043977006489139</v>
      </c>
      <c r="DR275" s="54">
        <f>DS258</f>
        <v>932.04199741310003</v>
      </c>
      <c r="DS275" s="10">
        <f t="shared" si="267"/>
        <v>0.14355444650085336</v>
      </c>
    </row>
    <row r="276" spans="1:123">
      <c r="A276" s="2" t="s">
        <v>568</v>
      </c>
      <c r="BF276" s="7">
        <f>+BF265+BF272+BF273+BF274+BF275</f>
        <v>6962.6630000000005</v>
      </c>
      <c r="BH276" s="7">
        <f t="shared" si="243"/>
        <v>3054</v>
      </c>
      <c r="BI276" s="7">
        <f t="shared" si="243"/>
        <v>3603</v>
      </c>
      <c r="BJ276" s="7">
        <f>+BJ265+BJ272+BJ273+BJ274+BJ275</f>
        <v>6657</v>
      </c>
      <c r="BL276" s="7">
        <f t="shared" si="244"/>
        <v>3679</v>
      </c>
      <c r="BM276" s="7">
        <f t="shared" si="244"/>
        <v>4455</v>
      </c>
      <c r="BN276" s="7">
        <f>+BN265+BN272+BN273+BN274+BN275</f>
        <v>8134</v>
      </c>
      <c r="BP276" s="7">
        <f t="shared" si="245"/>
        <v>4284</v>
      </c>
      <c r="BQ276" s="7">
        <f t="shared" si="245"/>
        <v>4978</v>
      </c>
      <c r="BR276" s="7">
        <f>+BR265+BR272+BR273+BR274+BR275</f>
        <v>9262</v>
      </c>
      <c r="BT276" s="7">
        <f t="shared" si="246"/>
        <v>5318</v>
      </c>
      <c r="BU276" s="7">
        <f t="shared" si="246"/>
        <v>4840</v>
      </c>
      <c r="BV276" s="7">
        <f>+BV265+BV272+BV273+BV274+BV275</f>
        <v>10158</v>
      </c>
      <c r="BX276" s="7">
        <f t="shared" si="247"/>
        <v>5218</v>
      </c>
      <c r="BY276" s="7">
        <f t="shared" si="247"/>
        <v>5146</v>
      </c>
      <c r="BZ276" s="7">
        <f>+BZ265+BZ272+BZ273+BZ274+BZ275</f>
        <v>10364</v>
      </c>
      <c r="CB276" s="7">
        <f t="shared" si="248"/>
        <v>5397</v>
      </c>
      <c r="CC276" s="7">
        <f t="shared" si="248"/>
        <v>5523</v>
      </c>
      <c r="CD276" s="7">
        <f>+CD265+CD272+CD273+CD274+CD275</f>
        <v>10920</v>
      </c>
      <c r="CG276" s="7">
        <f t="shared" ref="CG276" si="269">CG173</f>
        <v>6924</v>
      </c>
      <c r="CH276" s="7">
        <f>+CH265+CH272+CH273+CH274+CH275</f>
        <v>12754</v>
      </c>
      <c r="CK276" s="7">
        <f t="shared" si="250"/>
        <v>6005</v>
      </c>
      <c r="CL276" s="7">
        <f>+CL265+CL272+CL273+CL274+CL275</f>
        <v>12325</v>
      </c>
      <c r="CO276" s="7">
        <f t="shared" si="251"/>
        <v>7255</v>
      </c>
      <c r="CP276" s="7">
        <f>+CP265+CP272+CP273+CP274+CP275</f>
        <v>12774</v>
      </c>
      <c r="CS276" s="7">
        <f t="shared" si="252"/>
        <v>9520</v>
      </c>
      <c r="CT276" s="7">
        <f>+CT265+CT272+CT273+CT274+CT275</f>
        <v>17324</v>
      </c>
      <c r="CW276" s="7">
        <f t="shared" si="253"/>
        <v>10420</v>
      </c>
      <c r="CX276" s="7">
        <f>+CX265+CX272+CX273+CX274+CX275</f>
        <v>19122</v>
      </c>
      <c r="DA276" s="7">
        <f t="shared" si="254"/>
        <v>8977</v>
      </c>
      <c r="DB276" s="7">
        <f>+DB265+DB272+DB273+DB274+DB275</f>
        <v>16887</v>
      </c>
      <c r="DE276" s="7">
        <f t="shared" ca="1" si="255"/>
        <v>8992</v>
      </c>
      <c r="DF276" s="7">
        <f ca="1">+DF265+DF272+DF273+DF274+DF275</f>
        <v>17208</v>
      </c>
      <c r="DJ276" s="7">
        <f ca="1">+DJ265+DJ272+DJ273+DJ274+DJ275</f>
        <v>15406.898233771079</v>
      </c>
      <c r="DK276" s="23">
        <f t="shared" ca="1" si="265"/>
        <v>-0.10466653685663185</v>
      </c>
      <c r="DN276" s="7">
        <f ca="1">+DN265+DN272+DN273+DN274+DN275</f>
        <v>14921.060476330904</v>
      </c>
      <c r="DO276" s="23">
        <f t="shared" ca="1" si="266"/>
        <v>-3.1533781171815933E-2</v>
      </c>
      <c r="DR276" s="7">
        <f ca="1">+DR265+DR272+DR273+DR274+DR275</f>
        <v>14687.882278162422</v>
      </c>
      <c r="DS276" s="23">
        <f t="shared" ca="1" si="267"/>
        <v>-1.5627454800439256E-2</v>
      </c>
    </row>
    <row r="277" spans="1:123">
      <c r="A277" s="1" t="s">
        <v>47</v>
      </c>
      <c r="BF277" s="38">
        <f>BF$76</f>
        <v>-3334.8329399999998</v>
      </c>
      <c r="BH277" s="8">
        <f t="shared" si="243"/>
        <v>-1442</v>
      </c>
      <c r="BI277" s="8">
        <f t="shared" si="243"/>
        <v>-1630</v>
      </c>
      <c r="BJ277" s="38">
        <f>BJ$76</f>
        <v>-3072</v>
      </c>
      <c r="BL277" s="8">
        <f t="shared" si="244"/>
        <v>-1622</v>
      </c>
      <c r="BM277" s="8">
        <f t="shared" si="244"/>
        <v>-1883</v>
      </c>
      <c r="BN277" s="38">
        <f>BN$76</f>
        <v>-3505</v>
      </c>
      <c r="BP277" s="8">
        <f t="shared" si="245"/>
        <v>-1821</v>
      </c>
      <c r="BQ277" s="8">
        <f t="shared" si="245"/>
        <v>-2070</v>
      </c>
      <c r="BR277" s="38">
        <f>BR$76</f>
        <v>-3891</v>
      </c>
      <c r="BT277" s="8">
        <f t="shared" si="246"/>
        <v>-2118</v>
      </c>
      <c r="BU277" s="8">
        <f t="shared" si="246"/>
        <v>-1839</v>
      </c>
      <c r="BV277" s="38">
        <f>BV$76</f>
        <v>-3957</v>
      </c>
      <c r="BX277" s="8">
        <f t="shared" si="247"/>
        <v>-2141</v>
      </c>
      <c r="BY277" s="8">
        <f t="shared" si="247"/>
        <v>-1980</v>
      </c>
      <c r="BZ277" s="38">
        <f>BZ$76</f>
        <v>-4121</v>
      </c>
      <c r="CB277" s="8">
        <f t="shared" si="248"/>
        <v>-2130</v>
      </c>
      <c r="CC277" s="8">
        <f t="shared" si="248"/>
        <v>-2091</v>
      </c>
      <c r="CD277" s="38">
        <f>CD$76</f>
        <v>-4221</v>
      </c>
      <c r="CG277" s="8">
        <f t="shared" ref="CG277" si="270">CG174</f>
        <v>-2594</v>
      </c>
      <c r="CH277" s="38">
        <f>CH$76</f>
        <v>-4891</v>
      </c>
      <c r="CK277" s="8">
        <f t="shared" si="250"/>
        <v>-2399</v>
      </c>
      <c r="CL277" s="38">
        <f>CL$76</f>
        <v>-5001</v>
      </c>
      <c r="CO277" s="8">
        <f t="shared" si="251"/>
        <v>-2759</v>
      </c>
      <c r="CP277" s="38">
        <f>CP$76</f>
        <v>-5190</v>
      </c>
      <c r="CS277" s="8">
        <f t="shared" si="252"/>
        <v>-3363</v>
      </c>
      <c r="CT277" s="38">
        <f>CT$76</f>
        <v>-6364</v>
      </c>
      <c r="CW277" s="8">
        <f t="shared" si="253"/>
        <v>-3844</v>
      </c>
      <c r="CX277" s="38">
        <f>CX$76</f>
        <v>-7278</v>
      </c>
      <c r="DA277" s="8">
        <f t="shared" si="254"/>
        <v>-3767</v>
      </c>
      <c r="DB277" s="38">
        <f>DB$76</f>
        <v>-7273</v>
      </c>
      <c r="DE277" s="8">
        <f t="shared" si="255"/>
        <v>-3714</v>
      </c>
      <c r="DF277" s="38">
        <f>DF$76</f>
        <v>-7255</v>
      </c>
      <c r="DJ277" s="8">
        <f ca="1">-DJ276*DK259</f>
        <v>-7010.1386963658406</v>
      </c>
      <c r="DK277" s="10">
        <f t="shared" ca="1" si="265"/>
        <v>-3.3750696572592664E-2</v>
      </c>
      <c r="DN277" s="8">
        <f ca="1">-DN276*DO259</f>
        <v>-6490.6613072039436</v>
      </c>
      <c r="DO277" s="10">
        <f t="shared" ca="1" si="266"/>
        <v>-7.410372485657124E-2</v>
      </c>
      <c r="DR277" s="8">
        <f ca="1">-DR276*DS259</f>
        <v>-6389.2287910006535</v>
      </c>
      <c r="DS277" s="10">
        <f t="shared" ca="1" si="267"/>
        <v>-1.5627454800439367E-2</v>
      </c>
    </row>
    <row r="278" spans="1:123">
      <c r="A278" s="1" t="s">
        <v>48</v>
      </c>
      <c r="BF278" s="38">
        <f>BF$77</f>
        <v>-225</v>
      </c>
      <c r="BH278" s="8">
        <f t="shared" si="243"/>
        <v>-96</v>
      </c>
      <c r="BI278" s="8">
        <f t="shared" si="243"/>
        <v>-105</v>
      </c>
      <c r="BJ278" s="38">
        <f>BJ$77</f>
        <v>-201</v>
      </c>
      <c r="BL278" s="8">
        <f t="shared" si="244"/>
        <v>-108</v>
      </c>
      <c r="BM278" s="8">
        <f t="shared" si="244"/>
        <v>-123</v>
      </c>
      <c r="BN278" s="38">
        <f>BN$77</f>
        <v>-231</v>
      </c>
      <c r="BP278" s="8">
        <f t="shared" si="245"/>
        <v>-123</v>
      </c>
      <c r="BQ278" s="8">
        <f t="shared" si="245"/>
        <v>-129</v>
      </c>
      <c r="BR278" s="38">
        <f>BR$77</f>
        <v>-252</v>
      </c>
      <c r="BT278" s="8">
        <f t="shared" si="246"/>
        <v>-145</v>
      </c>
      <c r="BU278" s="8">
        <f t="shared" si="246"/>
        <v>-142</v>
      </c>
      <c r="BV278" s="38">
        <f>BV$77</f>
        <v>-287</v>
      </c>
      <c r="BX278" s="8">
        <f t="shared" si="247"/>
        <v>-149</v>
      </c>
      <c r="BY278" s="8">
        <f t="shared" si="247"/>
        <v>-109</v>
      </c>
      <c r="BZ278" s="38">
        <f>BZ$77</f>
        <v>-258</v>
      </c>
      <c r="CB278" s="8">
        <f t="shared" si="248"/>
        <v>-131</v>
      </c>
      <c r="CC278" s="8">
        <f t="shared" si="248"/>
        <v>-141</v>
      </c>
      <c r="CD278" s="38">
        <f>CD$77</f>
        <v>-272</v>
      </c>
      <c r="CG278" s="8">
        <f t="shared" ref="CG278" si="271">CG175</f>
        <v>-169</v>
      </c>
      <c r="CH278" s="38">
        <f>CH$77</f>
        <v>-326</v>
      </c>
      <c r="CK278" s="8">
        <f t="shared" si="250"/>
        <v>-148</v>
      </c>
      <c r="CL278" s="38">
        <f>CL$77</f>
        <v>-322</v>
      </c>
      <c r="CO278" s="8">
        <f t="shared" si="251"/>
        <v>-143</v>
      </c>
      <c r="CP278" s="38">
        <f>CP$77</f>
        <v>-327</v>
      </c>
      <c r="CS278" s="8">
        <f t="shared" si="252"/>
        <v>-198</v>
      </c>
      <c r="CT278" s="38">
        <f>CT$77</f>
        <v>-361</v>
      </c>
      <c r="CW278" s="8">
        <f t="shared" si="253"/>
        <v>-246</v>
      </c>
      <c r="CX278" s="38">
        <f>CX$77</f>
        <v>-425</v>
      </c>
      <c r="DA278" s="8">
        <f t="shared" si="254"/>
        <v>-222</v>
      </c>
      <c r="DB278" s="38">
        <f>DB$77</f>
        <v>-450</v>
      </c>
      <c r="DE278" s="8">
        <f t="shared" si="255"/>
        <v>-190</v>
      </c>
      <c r="DF278" s="38">
        <f>DF$77</f>
        <v>-405</v>
      </c>
      <c r="DJ278" s="8">
        <f>DJ$77</f>
        <v>-449.45464918032849</v>
      </c>
      <c r="DK278" s="10">
        <f t="shared" si="265"/>
        <v>0.10976456587735428</v>
      </c>
      <c r="DN278" s="8">
        <f>DN$77</f>
        <v>-477.01163060905856</v>
      </c>
      <c r="DO278" s="10">
        <f t="shared" si="266"/>
        <v>6.1312039999999568E-2</v>
      </c>
      <c r="DR278" s="8">
        <f>DR$77</f>
        <v>-506.2788199106617</v>
      </c>
      <c r="DS278" s="10">
        <f t="shared" si="267"/>
        <v>6.1355294973068464E-2</v>
      </c>
    </row>
    <row r="279" spans="1:123" ht="14.4" thickBot="1">
      <c r="A279" s="1" t="s">
        <v>28</v>
      </c>
      <c r="BF279" s="38">
        <f>BF$78</f>
        <v>-723.66629999999998</v>
      </c>
      <c r="BH279" s="8">
        <f t="shared" si="243"/>
        <v>-320</v>
      </c>
      <c r="BI279" s="8">
        <f t="shared" si="243"/>
        <v>-284</v>
      </c>
      <c r="BJ279" s="38">
        <f>BJ$78</f>
        <v>-604</v>
      </c>
      <c r="BL279" s="8">
        <f t="shared" si="244"/>
        <v>-379</v>
      </c>
      <c r="BM279" s="8">
        <f t="shared" si="244"/>
        <v>-400</v>
      </c>
      <c r="BN279" s="38">
        <f>BN$78</f>
        <v>-779</v>
      </c>
      <c r="BP279" s="8">
        <f t="shared" si="245"/>
        <v>-387</v>
      </c>
      <c r="BQ279" s="8">
        <f t="shared" si="245"/>
        <v>-437</v>
      </c>
      <c r="BR279" s="38">
        <f>BR$78</f>
        <v>-824</v>
      </c>
      <c r="BT279" s="8">
        <f t="shared" si="246"/>
        <v>-444</v>
      </c>
      <c r="BU279" s="8">
        <f t="shared" si="246"/>
        <v>-448</v>
      </c>
      <c r="BV279" s="38">
        <f>BV$78</f>
        <v>-892</v>
      </c>
      <c r="BX279" s="8">
        <f t="shared" si="247"/>
        <v>-418</v>
      </c>
      <c r="BY279" s="8">
        <f t="shared" si="247"/>
        <v>-434</v>
      </c>
      <c r="BZ279" s="38">
        <f>BZ$78</f>
        <v>-852</v>
      </c>
      <c r="CB279" s="8">
        <f t="shared" si="248"/>
        <v>-422</v>
      </c>
      <c r="CC279" s="8">
        <f t="shared" si="248"/>
        <v>-408</v>
      </c>
      <c r="CD279" s="38">
        <f>CD$78</f>
        <v>-830</v>
      </c>
      <c r="CG279" s="8">
        <f t="shared" ref="CG279" si="272">CG176</f>
        <v>-561</v>
      </c>
      <c r="CH279" s="38">
        <f>CH$78</f>
        <v>-1140</v>
      </c>
      <c r="CK279" s="8">
        <f t="shared" si="250"/>
        <v>-482</v>
      </c>
      <c r="CL279" s="38">
        <f>CL$78</f>
        <v>-964</v>
      </c>
      <c r="CO279" s="8">
        <f t="shared" si="251"/>
        <v>-408</v>
      </c>
      <c r="CP279" s="38">
        <f>CP$78</f>
        <v>-879</v>
      </c>
      <c r="CS279" s="8">
        <f t="shared" si="252"/>
        <v>-531</v>
      </c>
      <c r="CT279" s="38">
        <f>CT$78</f>
        <v>-1029</v>
      </c>
      <c r="CW279" s="8">
        <f t="shared" si="253"/>
        <v>-528</v>
      </c>
      <c r="CX279" s="38">
        <f>CX$78</f>
        <v>-1028</v>
      </c>
      <c r="DA279" s="8">
        <f t="shared" si="254"/>
        <v>-542</v>
      </c>
      <c r="DB279" s="38">
        <f>DB$78</f>
        <v>-1071</v>
      </c>
      <c r="DE279" s="8">
        <f t="shared" si="255"/>
        <v>-626</v>
      </c>
      <c r="DF279" s="38">
        <f>DF$78</f>
        <v>-1206</v>
      </c>
      <c r="DJ279" s="8">
        <f ca="1">-DJ270*DK260</f>
        <v>-1014.5354270829188</v>
      </c>
      <c r="DK279" s="10">
        <f t="shared" ca="1" si="265"/>
        <v>-0.15876001071068091</v>
      </c>
      <c r="DN279" s="8">
        <f ca="1">-DN270*DO260</f>
        <v>-290.48580000000004</v>
      </c>
      <c r="DO279" s="10">
        <f t="shared" ca="1" si="266"/>
        <v>-0.71367604102773397</v>
      </c>
      <c r="DR279" s="8">
        <f ca="1">-DR270*DS260</f>
        <v>-711.12633943144351</v>
      </c>
      <c r="DS279" s="10">
        <f t="shared" ca="1" si="267"/>
        <v>1.4480588704557791</v>
      </c>
    </row>
    <row r="280" spans="1:123" ht="14.4" thickBot="1">
      <c r="A280" s="1" t="s">
        <v>29</v>
      </c>
      <c r="BF280" s="38">
        <f>BF$79</f>
        <v>-1630</v>
      </c>
      <c r="BH280" s="8">
        <f t="shared" si="243"/>
        <v>-679</v>
      </c>
      <c r="BI280" s="8">
        <f t="shared" si="243"/>
        <v>-696</v>
      </c>
      <c r="BJ280" s="38">
        <f>BJ$79</f>
        <v>-1375</v>
      </c>
      <c r="BL280" s="8">
        <f t="shared" si="244"/>
        <v>-760</v>
      </c>
      <c r="BM280" s="8">
        <f t="shared" si="244"/>
        <v>-751</v>
      </c>
      <c r="BN280" s="38">
        <f>BN$79</f>
        <v>-1511</v>
      </c>
      <c r="BP280" s="8">
        <f t="shared" si="245"/>
        <v>-832</v>
      </c>
      <c r="BQ280" s="8">
        <f t="shared" si="245"/>
        <v>-941</v>
      </c>
      <c r="BR280" s="38">
        <f>BR$79</f>
        <v>-1773</v>
      </c>
      <c r="BT280" s="8">
        <f t="shared" si="246"/>
        <v>-992</v>
      </c>
      <c r="BU280" s="8">
        <f t="shared" si="246"/>
        <v>-1015</v>
      </c>
      <c r="BV280" s="38">
        <f>BV$79</f>
        <v>-2007</v>
      </c>
      <c r="BX280" s="8">
        <f t="shared" si="247"/>
        <v>-1025</v>
      </c>
      <c r="BY280" s="8">
        <f t="shared" si="247"/>
        <v>-1004</v>
      </c>
      <c r="BZ280" s="38">
        <f>BZ$79</f>
        <v>-2029</v>
      </c>
      <c r="CB280" s="8">
        <f t="shared" si="248"/>
        <v>-1010</v>
      </c>
      <c r="CC280" s="8">
        <f t="shared" si="248"/>
        <v>-1123</v>
      </c>
      <c r="CD280" s="38">
        <f>CD$79</f>
        <v>-2133</v>
      </c>
      <c r="CG280" s="8">
        <f t="shared" ref="CG280" si="273">CG177</f>
        <v>-1438</v>
      </c>
      <c r="CH280" s="38">
        <f>CH$79</f>
        <v>-2530</v>
      </c>
      <c r="CK280" s="8">
        <f t="shared" si="250"/>
        <v>-1362</v>
      </c>
      <c r="CL280" s="38">
        <f>CL$79</f>
        <v>-2584</v>
      </c>
      <c r="CO280" s="8">
        <f t="shared" si="251"/>
        <v>-1291</v>
      </c>
      <c r="CP280" s="38">
        <f>CP$79</f>
        <v>-2471</v>
      </c>
      <c r="CS280" s="8">
        <f t="shared" si="252"/>
        <v>-1624</v>
      </c>
      <c r="CT280" s="38">
        <f>CT$79</f>
        <v>-3031</v>
      </c>
      <c r="CW280" s="8">
        <f t="shared" si="253"/>
        <v>-1916</v>
      </c>
      <c r="CX280" s="38">
        <f>CX$79</f>
        <v>-3399</v>
      </c>
      <c r="DA280" s="8">
        <f t="shared" si="254"/>
        <v>-1611</v>
      </c>
      <c r="DB280" s="38">
        <f>DB$79</f>
        <v>-3267</v>
      </c>
      <c r="DE280" s="8">
        <f t="shared" si="255"/>
        <v>-1691</v>
      </c>
      <c r="DF280" s="38">
        <f>DF$79</f>
        <v>-3274</v>
      </c>
      <c r="DJ280" s="8">
        <f>+DF280*(1+DK280)</f>
        <v>-3373.4049999999997</v>
      </c>
      <c r="DK280" s="53">
        <f>DK261</f>
        <v>3.0361942577886269E-2</v>
      </c>
      <c r="DN280" s="8">
        <f>+DJ280*(1+DO280)</f>
        <v>-3280.1733999999997</v>
      </c>
      <c r="DO280" s="53">
        <f>DO261</f>
        <v>-2.7637238932176844E-2</v>
      </c>
      <c r="DR280" s="8">
        <f>+DN280*(1+DS280)</f>
        <v>-3363.5333212</v>
      </c>
      <c r="DS280" s="53">
        <f>DS261</f>
        <v>2.5413266627916764E-2</v>
      </c>
    </row>
    <row r="281" spans="1:123">
      <c r="A281" s="2" t="s">
        <v>569</v>
      </c>
      <c r="BF281" s="7">
        <f>+BF277+BF278+BF279+BF280</f>
        <v>-5913.4992400000001</v>
      </c>
      <c r="BH281" s="7">
        <f t="shared" si="243"/>
        <v>-2537</v>
      </c>
      <c r="BI281" s="7">
        <f t="shared" si="243"/>
        <v>-2715</v>
      </c>
      <c r="BJ281" s="7">
        <f>+BJ277+BJ278+BJ279+BJ280</f>
        <v>-5252</v>
      </c>
      <c r="BL281" s="7">
        <f t="shared" si="244"/>
        <v>-2869</v>
      </c>
      <c r="BM281" s="7">
        <f t="shared" si="244"/>
        <v>-3157</v>
      </c>
      <c r="BN281" s="7">
        <f>+BN277+BN278+BN279+BN280</f>
        <v>-6026</v>
      </c>
      <c r="BP281" s="7">
        <f t="shared" si="245"/>
        <v>-3163</v>
      </c>
      <c r="BQ281" s="7">
        <f t="shared" si="245"/>
        <v>-3577</v>
      </c>
      <c r="BR281" s="7">
        <f>+BR277+BR278+BR279+BR280</f>
        <v>-6740</v>
      </c>
      <c r="BT281" s="7">
        <f t="shared" si="246"/>
        <v>-3699</v>
      </c>
      <c r="BU281" s="7">
        <f t="shared" si="246"/>
        <v>-3444</v>
      </c>
      <c r="BV281" s="7">
        <f>+BV277+BV278+BV279+BV280</f>
        <v>-7143</v>
      </c>
      <c r="BX281" s="7">
        <f t="shared" si="247"/>
        <v>-3733</v>
      </c>
      <c r="BY281" s="7">
        <f t="shared" si="247"/>
        <v>-3527</v>
      </c>
      <c r="BZ281" s="7">
        <f>+BZ277+BZ278+BZ279+BZ280</f>
        <v>-7260</v>
      </c>
      <c r="CB281" s="7">
        <f t="shared" si="248"/>
        <v>-3693</v>
      </c>
      <c r="CC281" s="7">
        <f t="shared" si="248"/>
        <v>-3763</v>
      </c>
      <c r="CD281" s="7">
        <f>+CD277+CD278+CD279+CD280</f>
        <v>-7456</v>
      </c>
      <c r="CG281" s="7">
        <f t="shared" ref="CG281" si="274">CG178</f>
        <v>-4762</v>
      </c>
      <c r="CH281" s="7">
        <f>+CH277+CH278+CH279+CH280</f>
        <v>-8887</v>
      </c>
      <c r="CK281" s="7">
        <f t="shared" si="250"/>
        <v>-4391</v>
      </c>
      <c r="CL281" s="7">
        <f>+CL277+CL278+CL279+CL280</f>
        <v>-8871</v>
      </c>
      <c r="CO281" s="7">
        <f t="shared" si="251"/>
        <v>-4601</v>
      </c>
      <c r="CP281" s="7">
        <f>+CP277+CP278+CP279+CP280</f>
        <v>-8867</v>
      </c>
      <c r="CS281" s="7">
        <f t="shared" si="252"/>
        <v>-5716</v>
      </c>
      <c r="CT281" s="7">
        <f>+CT277+CT278+CT279+CT280</f>
        <v>-10785</v>
      </c>
      <c r="CW281" s="7">
        <f t="shared" si="253"/>
        <v>-6534</v>
      </c>
      <c r="CX281" s="7">
        <f>+CX277+CX278+CX279+CX280</f>
        <v>-12130</v>
      </c>
      <c r="DA281" s="7">
        <f t="shared" si="254"/>
        <v>-6142</v>
      </c>
      <c r="DB281" s="7">
        <f>+DB277+DB278+DB279+DB280</f>
        <v>-12061</v>
      </c>
      <c r="DE281" s="7">
        <f t="shared" si="255"/>
        <v>-6221</v>
      </c>
      <c r="DF281" s="7">
        <f>+DF277+DF278+DF279+DF280</f>
        <v>-12140</v>
      </c>
      <c r="DJ281" s="7">
        <f ca="1">+DJ277+DJ278+DJ279+DJ280</f>
        <v>-11847.533772629089</v>
      </c>
      <c r="DK281" s="23">
        <f ca="1">+DJ281/DF281-1</f>
        <v>-2.4091122518196895E-2</v>
      </c>
      <c r="DN281" s="7">
        <f ca="1">+DN277+DN278+DN279+DN280</f>
        <v>-10538.332137813002</v>
      </c>
      <c r="DO281" s="23">
        <f ca="1">+DN281/DJ281-1</f>
        <v>-0.11050414879092274</v>
      </c>
      <c r="DR281" s="7">
        <f ca="1">+DR277+DR278+DR279+DR280</f>
        <v>-10970.167271542759</v>
      </c>
      <c r="DS281" s="23">
        <f ca="1">+DR281/DN281-1</f>
        <v>4.0977559644402639E-2</v>
      </c>
    </row>
    <row r="282" spans="1:123">
      <c r="A282" s="3" t="s">
        <v>30</v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10">
        <f>-BF277/BF276</f>
        <v>0.47895940676720955</v>
      </c>
      <c r="BG282" s="9"/>
      <c r="BH282" s="10">
        <f>-BH277/BH276</f>
        <v>0.47216764898493779</v>
      </c>
      <c r="BI282" s="10">
        <f>-BI277/BI276</f>
        <v>0.4524007771301693</v>
      </c>
      <c r="BJ282" s="10">
        <f>-BJ277/BJ276</f>
        <v>0.46146913023884634</v>
      </c>
      <c r="BK282" s="9"/>
      <c r="BL282" s="10">
        <f>-BL277/BL276</f>
        <v>0.44088067409622178</v>
      </c>
      <c r="BM282" s="10">
        <f>-BM277/BM276</f>
        <v>0.42267115600448935</v>
      </c>
      <c r="BN282" s="10">
        <f>-BN277/BN276</f>
        <v>0.43090730268010818</v>
      </c>
      <c r="BO282" s="9"/>
      <c r="BP282" s="10">
        <f>-BP277/BP276</f>
        <v>0.42507002801120447</v>
      </c>
      <c r="BQ282" s="10">
        <f>-BQ277/BQ276</f>
        <v>0.41582965046203296</v>
      </c>
      <c r="BR282" s="10">
        <f>-BR277/BR276</f>
        <v>0.42010364931980132</v>
      </c>
      <c r="BS282" s="9"/>
      <c r="BT282" s="10">
        <f>-BT277/BT276</f>
        <v>0.39827002632568637</v>
      </c>
      <c r="BU282" s="10">
        <f>-BU277/BU276</f>
        <v>0.37995867768595043</v>
      </c>
      <c r="BV282" s="10">
        <f>-BV277/BV276</f>
        <v>0.38954518606024807</v>
      </c>
      <c r="BW282" s="9"/>
      <c r="BX282" s="10">
        <f>-BX277/BX276</f>
        <v>0.41031046377922575</v>
      </c>
      <c r="BY282" s="10">
        <f>-BY277/BY276</f>
        <v>0.38476486591527398</v>
      </c>
      <c r="BZ282" s="10">
        <f>-BZ277/BZ276</f>
        <v>0.39762639907371672</v>
      </c>
      <c r="CA282" s="9"/>
      <c r="CB282" s="10">
        <f>-CB277/CB276</f>
        <v>0.39466370205669815</v>
      </c>
      <c r="CC282" s="10">
        <f>-CC277/CC276</f>
        <v>0.37859858772406302</v>
      </c>
      <c r="CD282" s="10">
        <f>-CD277/CD276</f>
        <v>0.38653846153846155</v>
      </c>
      <c r="CE282" s="9"/>
      <c r="CG282" s="10">
        <f>-CG277/CG276</f>
        <v>0.37463893703061812</v>
      </c>
      <c r="CH282" s="10">
        <f>-CH277/CH276</f>
        <v>0.3834875333228791</v>
      </c>
      <c r="CI282" s="9"/>
      <c r="CK282" s="10">
        <f>-CK277/CK276</f>
        <v>0.39950041631973354</v>
      </c>
      <c r="CL282" s="10">
        <f>-CL277/CL276</f>
        <v>0.40576064908722109</v>
      </c>
      <c r="CM282" s="9"/>
      <c r="CO282" s="10">
        <f>-CO277/CO276</f>
        <v>0.380289455547898</v>
      </c>
      <c r="CP282" s="10">
        <f>-CP277/CP276</f>
        <v>0.40629403475810238</v>
      </c>
      <c r="CS282" s="10">
        <f>-CS277/CS276</f>
        <v>0.35325630252100843</v>
      </c>
      <c r="CT282" s="10">
        <f>-CT277/CT276</f>
        <v>0.36735165088894017</v>
      </c>
      <c r="CW282" s="10">
        <f>-CW277/CW276</f>
        <v>0.36890595009596927</v>
      </c>
      <c r="CX282" s="10">
        <f>-CX277/CX276</f>
        <v>0.38060872293693127</v>
      </c>
      <c r="DA282" s="10">
        <f>-DA277/DA276</f>
        <v>0.41962793806394116</v>
      </c>
      <c r="DB282" s="10">
        <f>-DB277/DB276</f>
        <v>0.43068632676022978</v>
      </c>
      <c r="DE282" s="10">
        <f ca="1">-DE277/DE276</f>
        <v>0.41303380782918148</v>
      </c>
      <c r="DF282" s="10">
        <f ca="1">-DF277/DF276</f>
        <v>0.42160622966062294</v>
      </c>
      <c r="DJ282" s="10">
        <f ca="1">-DJ277/DJ276</f>
        <v>0.45500000000000002</v>
      </c>
      <c r="DN282" s="10">
        <f ca="1">-DN277/DN276</f>
        <v>0.43500000000000005</v>
      </c>
      <c r="DR282" s="10">
        <f ca="1">-DR277/DR276</f>
        <v>0.435</v>
      </c>
    </row>
    <row r="283" spans="1:123">
      <c r="A283" s="3" t="s">
        <v>31</v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10">
        <f>-BF279/BF270</f>
        <v>0.79830810810810804</v>
      </c>
      <c r="BG283" s="9"/>
      <c r="BH283" s="10">
        <f>-BH279/BH270</f>
        <v>0.81218274111675126</v>
      </c>
      <c r="BI283" s="10">
        <f>-BI279/BI270</f>
        <v>0.68105515587529974</v>
      </c>
      <c r="BJ283" s="10">
        <f>-BJ279/BJ270</f>
        <v>0.7447595561035758</v>
      </c>
      <c r="BK283" s="9"/>
      <c r="BL283" s="10">
        <f>-BL279/BL270</f>
        <v>0.8081023454157783</v>
      </c>
      <c r="BM283" s="10">
        <f>-BM279/BM270</f>
        <v>0.91324200913242004</v>
      </c>
      <c r="BN283" s="10">
        <f>-BN279/BN270</f>
        <v>0.85887541345093721</v>
      </c>
      <c r="BO283" s="9"/>
      <c r="BP283" s="10">
        <f>-BP279/BP270</f>
        <v>0.97727272727272729</v>
      </c>
      <c r="BQ283" s="10">
        <f>-BQ279/BQ270</f>
        <v>0.99318181818181817</v>
      </c>
      <c r="BR283" s="10">
        <f>-BR279/BR270</f>
        <v>0.9856459330143541</v>
      </c>
      <c r="BS283" s="9"/>
      <c r="BT283" s="10">
        <f>-BT279/BT270</f>
        <v>0.96312364425162689</v>
      </c>
      <c r="BU283" s="10">
        <f>-BU279/BU270</f>
        <v>1.0491803278688525</v>
      </c>
      <c r="BV283" s="10">
        <f>-BV279/BV270</f>
        <v>1.0045045045045045</v>
      </c>
      <c r="BW283" s="9"/>
      <c r="BX283" s="10">
        <f>-BX279/BX270</f>
        <v>0.99761336515513122</v>
      </c>
      <c r="BY283" s="10">
        <f>-BY279/BY270</f>
        <v>1.101522842639594</v>
      </c>
      <c r="BZ283" s="10">
        <f>-BZ279/BZ270</f>
        <v>1.0479704797047971</v>
      </c>
      <c r="CA283" s="9"/>
      <c r="CB283" s="10">
        <f>-CB279/CB270</f>
        <v>1.0932642487046633</v>
      </c>
      <c r="CC283" s="10">
        <f>-CC279/CC270</f>
        <v>1.0515463917525774</v>
      </c>
      <c r="CD283" s="10">
        <f>-CD279/CD270</f>
        <v>1.0723514211886305</v>
      </c>
      <c r="CE283" s="9"/>
      <c r="CG283" s="10">
        <f>-CG279/CG270</f>
        <v>1.2222222222222223</v>
      </c>
      <c r="CH283" s="10">
        <f>-CH279/CH270</f>
        <v>1.2231759656652361</v>
      </c>
      <c r="CI283" s="9"/>
      <c r="CK283" s="10">
        <f>-CK279/CK270</f>
        <v>1.0524017467248907</v>
      </c>
      <c r="CL283" s="10">
        <f>-CL279/CL270</f>
        <v>1.1080459770114943</v>
      </c>
      <c r="CM283" s="9"/>
      <c r="CO283" s="10">
        <f>-CO279/CO270</f>
        <v>0.98313253012048196</v>
      </c>
      <c r="CP283" s="10">
        <f>-CP279/CP270</f>
        <v>1.0772058823529411</v>
      </c>
      <c r="CS283" s="10">
        <f>-CS279/CS270</f>
        <v>1.2642857142857142</v>
      </c>
      <c r="CT283" s="10">
        <f>-CT279/CT270</f>
        <v>1.2846441947565543</v>
      </c>
      <c r="CW283" s="10">
        <f>-CW279/CW270</f>
        <v>1.4789915966386555</v>
      </c>
      <c r="CX283" s="10">
        <f>-CX279/CX270</f>
        <v>1.4377622377622377</v>
      </c>
      <c r="DA283" s="10">
        <f>-DA279/DA270</f>
        <v>1.3091787439613527</v>
      </c>
      <c r="DB283" s="10">
        <f>-DB279/DB270</f>
        <v>1.3539823008849559</v>
      </c>
      <c r="DE283" s="10">
        <f ca="1">-DE279/DE270</f>
        <v>1.4423963133640554</v>
      </c>
      <c r="DF283" s="10">
        <f ca="1">-DF279/DF270</f>
        <v>1.3974507531865585</v>
      </c>
      <c r="DJ283" s="10">
        <f ca="1">-DJ279/DJ270</f>
        <v>1.3062127296033459</v>
      </c>
      <c r="DN283" s="10">
        <f ca="1">-DN279/DN270</f>
        <v>0.44</v>
      </c>
      <c r="DR283" s="10">
        <f ca="1">-DR279/DR270</f>
        <v>1.2672304741182858</v>
      </c>
    </row>
    <row r="284" spans="1:123">
      <c r="A284" s="2" t="s">
        <v>572</v>
      </c>
      <c r="BF284" s="7">
        <f>+BF276+BF281</f>
        <v>1049.1637600000004</v>
      </c>
      <c r="BH284" s="7">
        <f t="shared" ref="BH284:BI288" si="275">BH181</f>
        <v>517</v>
      </c>
      <c r="BI284" s="7">
        <f t="shared" si="275"/>
        <v>888</v>
      </c>
      <c r="BJ284" s="7">
        <f>+BJ276+BJ281</f>
        <v>1405</v>
      </c>
      <c r="BL284" s="7">
        <f t="shared" ref="BL284:BM288" si="276">BL181</f>
        <v>810</v>
      </c>
      <c r="BM284" s="7">
        <f t="shared" si="276"/>
        <v>1298</v>
      </c>
      <c r="BN284" s="7">
        <f>+BN276+BN281</f>
        <v>2108</v>
      </c>
      <c r="BP284" s="7">
        <f t="shared" ref="BP284:BQ288" si="277">BP181</f>
        <v>1121</v>
      </c>
      <c r="BQ284" s="7">
        <f t="shared" si="277"/>
        <v>1401</v>
      </c>
      <c r="BR284" s="7">
        <f>+BR276+BR281</f>
        <v>2522</v>
      </c>
      <c r="BT284" s="7">
        <f t="shared" ref="BT284:BU288" si="278">BT181</f>
        <v>1619</v>
      </c>
      <c r="BU284" s="7">
        <f t="shared" si="278"/>
        <v>1396</v>
      </c>
      <c r="BV284" s="7">
        <f>+BV276+BV281</f>
        <v>3015</v>
      </c>
      <c r="BX284" s="7">
        <f t="shared" ref="BX284:BY288" si="279">BX181</f>
        <v>1485</v>
      </c>
      <c r="BY284" s="7">
        <f t="shared" si="279"/>
        <v>1619</v>
      </c>
      <c r="BZ284" s="7">
        <f>+BZ276+BZ281</f>
        <v>3104</v>
      </c>
      <c r="CB284" s="7">
        <f>CB181</f>
        <v>1704</v>
      </c>
      <c r="CC284" s="7">
        <f t="shared" ref="CC284" si="280">CC181</f>
        <v>1760</v>
      </c>
      <c r="CD284" s="7">
        <f>+CD276+CD281</f>
        <v>3464</v>
      </c>
      <c r="CG284" s="7">
        <f t="shared" ref="CG284:CG288" si="281">CG181</f>
        <v>2162</v>
      </c>
      <c r="CH284" s="7">
        <f>+CH276+CH281</f>
        <v>3867</v>
      </c>
      <c r="CK284" s="7">
        <f t="shared" ref="CK284:CK288" si="282">CK181</f>
        <v>1614</v>
      </c>
      <c r="CL284" s="7">
        <f>+CL276+CL281</f>
        <v>3454</v>
      </c>
      <c r="CO284" s="7">
        <f t="shared" ref="CO284:CO288" si="283">CO181</f>
        <v>2654</v>
      </c>
      <c r="CP284" s="7">
        <f>+CP276+CP281</f>
        <v>3907</v>
      </c>
      <c r="CS284" s="7">
        <f t="shared" ref="CS284:CS288" si="284">CS181</f>
        <v>3804</v>
      </c>
      <c r="CT284" s="7">
        <f>+CT276+CT281</f>
        <v>6539</v>
      </c>
      <c r="CW284" s="7">
        <f t="shared" ref="CW284:CW287" si="285">CW181</f>
        <v>3886</v>
      </c>
      <c r="CX284" s="7">
        <f>+CX276+CX281</f>
        <v>6992</v>
      </c>
      <c r="DA284" s="7">
        <f t="shared" ref="DA284:DA287" si="286">DA181</f>
        <v>2835</v>
      </c>
      <c r="DB284" s="7">
        <f>+DB276+DB281</f>
        <v>4826</v>
      </c>
      <c r="DE284" s="7">
        <f t="shared" ref="DE284:DE287" ca="1" si="287">DE181</f>
        <v>2771</v>
      </c>
      <c r="DF284" s="7">
        <f ca="1">+DF276+DF281</f>
        <v>5068</v>
      </c>
      <c r="DJ284" s="7">
        <f ca="1">+DJ276+DJ281</f>
        <v>3559.3644611419895</v>
      </c>
      <c r="DN284" s="7">
        <f ca="1">+DN276+DN281</f>
        <v>4382.7283385179016</v>
      </c>
      <c r="DR284" s="7">
        <f ca="1">+DR276+DR281</f>
        <v>3717.7150066196627</v>
      </c>
    </row>
    <row r="285" spans="1:123" ht="14.4" thickBot="1">
      <c r="A285" s="1" t="s">
        <v>922</v>
      </c>
      <c r="BF285" s="38">
        <f>BF$84</f>
        <v>-287</v>
      </c>
      <c r="BH285" s="8">
        <f t="shared" si="275"/>
        <v>-156</v>
      </c>
      <c r="BI285" s="8">
        <f t="shared" si="275"/>
        <v>-377</v>
      </c>
      <c r="BJ285" s="38">
        <f>BJ$84</f>
        <v>-533</v>
      </c>
      <c r="BL285" s="8">
        <f t="shared" si="276"/>
        <v>-307</v>
      </c>
      <c r="BM285" s="8">
        <f t="shared" si="276"/>
        <v>-520</v>
      </c>
      <c r="BN285" s="38">
        <f>BN$84</f>
        <v>-827</v>
      </c>
      <c r="BP285" s="8">
        <f t="shared" si="277"/>
        <v>-432</v>
      </c>
      <c r="BQ285" s="8">
        <f t="shared" si="277"/>
        <v>-467</v>
      </c>
      <c r="BR285" s="38">
        <f>BR$84</f>
        <v>-899</v>
      </c>
      <c r="BT285" s="8">
        <f t="shared" si="278"/>
        <v>-530</v>
      </c>
      <c r="BU285" s="8">
        <f t="shared" si="278"/>
        <v>-397</v>
      </c>
      <c r="BV285" s="38">
        <f>BV$84</f>
        <v>-927</v>
      </c>
      <c r="BX285" s="8">
        <f t="shared" si="279"/>
        <v>-438</v>
      </c>
      <c r="BY285" s="8">
        <f t="shared" si="279"/>
        <v>-430</v>
      </c>
      <c r="BZ285" s="38">
        <f>BZ$84</f>
        <v>-868</v>
      </c>
      <c r="CB285" s="8">
        <f>CB182</f>
        <v>-448</v>
      </c>
      <c r="CC285" s="8">
        <f t="shared" ref="CC285" si="288">CC182</f>
        <v>-435</v>
      </c>
      <c r="CD285" s="38">
        <f>CD$84</f>
        <v>-883</v>
      </c>
      <c r="CG285" s="8">
        <f t="shared" si="281"/>
        <v>-505</v>
      </c>
      <c r="CH285" s="38">
        <f>CH$84</f>
        <v>-879</v>
      </c>
      <c r="CK285" s="8">
        <f t="shared" si="282"/>
        <v>-352</v>
      </c>
      <c r="CL285" s="38">
        <f>CL$84</f>
        <v>-728</v>
      </c>
      <c r="CO285" s="8">
        <f t="shared" si="283"/>
        <v>-624</v>
      </c>
      <c r="CP285" s="38">
        <f>CP$84</f>
        <v>-899</v>
      </c>
      <c r="CS285" s="8">
        <f t="shared" si="284"/>
        <v>-983</v>
      </c>
      <c r="CT285" s="38">
        <f>CT$84</f>
        <v>-1586</v>
      </c>
      <c r="CW285" s="8">
        <f t="shared" si="285"/>
        <v>-1089</v>
      </c>
      <c r="CX285" s="38">
        <f>CX$84</f>
        <v>-1824</v>
      </c>
      <c r="DA285" s="8">
        <f t="shared" si="286"/>
        <v>-704</v>
      </c>
      <c r="DB285" s="38">
        <f>DB$84</f>
        <v>-1291</v>
      </c>
      <c r="DE285" s="8">
        <f t="shared" si="287"/>
        <v>-640</v>
      </c>
      <c r="DF285" s="38">
        <f>DF$84</f>
        <v>-1326</v>
      </c>
      <c r="DJ285" s="8">
        <f ca="1">-DJ286*DJ284</f>
        <v>-1077.7499921832959</v>
      </c>
      <c r="DN285" s="8">
        <f ca="1">-DN286*DN284</f>
        <v>-1178.1256569993225</v>
      </c>
      <c r="DR285" s="8">
        <f ca="1">-DR286*DR284</f>
        <v>-1000.0925238849109</v>
      </c>
    </row>
    <row r="286" spans="1:123" ht="14.4" thickBot="1">
      <c r="A286" s="3" t="s">
        <v>907</v>
      </c>
      <c r="BF286" s="10">
        <f>-BF285/BF284</f>
        <v>0.27355119471530343</v>
      </c>
      <c r="BG286" s="1"/>
      <c r="BH286" s="10">
        <f t="shared" si="275"/>
        <v>0.30174081237911027</v>
      </c>
      <c r="BI286" s="10">
        <f t="shared" si="275"/>
        <v>0.42454954954954954</v>
      </c>
      <c r="BJ286" s="10">
        <f>-BJ285/BJ284</f>
        <v>0.37935943060498223</v>
      </c>
      <c r="BK286" s="1"/>
      <c r="BL286" s="10">
        <f t="shared" si="276"/>
        <v>0.37901234567901232</v>
      </c>
      <c r="BM286" s="10">
        <f t="shared" si="276"/>
        <v>0.40061633281972264</v>
      </c>
      <c r="BN286" s="10">
        <f>-BN285/BN284</f>
        <v>0.39231499051233398</v>
      </c>
      <c r="BO286" s="1"/>
      <c r="BP286" s="10">
        <f t="shared" si="277"/>
        <v>0.38537020517395182</v>
      </c>
      <c r="BQ286" s="10">
        <f t="shared" si="277"/>
        <v>0.33333333333333331</v>
      </c>
      <c r="BR286" s="10">
        <f>-BR285/BR284</f>
        <v>0.35646312450436163</v>
      </c>
      <c r="BS286" s="1"/>
      <c r="BT286" s="10">
        <f t="shared" si="278"/>
        <v>0.32736256948733788</v>
      </c>
      <c r="BU286" s="10">
        <f t="shared" si="278"/>
        <v>0.28438395415472778</v>
      </c>
      <c r="BV286" s="10">
        <f>-BV285/BV284</f>
        <v>0.30746268656716419</v>
      </c>
      <c r="BW286" s="1"/>
      <c r="BX286" s="10">
        <f t="shared" si="279"/>
        <v>0.29494949494949496</v>
      </c>
      <c r="BY286" s="10">
        <f t="shared" si="279"/>
        <v>0.26559604694255712</v>
      </c>
      <c r="BZ286" s="10">
        <f>-BZ285/BZ284</f>
        <v>0.27963917525773196</v>
      </c>
      <c r="CA286" s="1"/>
      <c r="CB286" s="10">
        <f>CB183</f>
        <v>0.26291079812206575</v>
      </c>
      <c r="CC286" s="10">
        <f t="shared" ref="CC286" si="289">CC183</f>
        <v>0.24715909090909091</v>
      </c>
      <c r="CD286" s="10">
        <f>-CD285/CD284</f>
        <v>0.25490762124711314</v>
      </c>
      <c r="CE286" s="1"/>
      <c r="CG286" s="10">
        <f t="shared" si="281"/>
        <v>0.2335800185013876</v>
      </c>
      <c r="CH286" s="10">
        <f>-CH285/CH284</f>
        <v>0.22730799069045771</v>
      </c>
      <c r="CI286" s="1"/>
      <c r="CK286" s="10">
        <f t="shared" si="282"/>
        <v>0.21809169764560099</v>
      </c>
      <c r="CL286" s="10">
        <f>-CL285/CL284</f>
        <v>0.21077012159814706</v>
      </c>
      <c r="CM286" s="1"/>
      <c r="CO286" s="10">
        <f t="shared" si="283"/>
        <v>0.23511680482290881</v>
      </c>
      <c r="CP286" s="10">
        <f>-CP285/CP284</f>
        <v>0.23009982083439978</v>
      </c>
      <c r="CS286" s="10">
        <f t="shared" si="284"/>
        <v>0.25841219768664564</v>
      </c>
      <c r="CT286" s="10">
        <f>-CT285/CT284</f>
        <v>0.24254473161033796</v>
      </c>
      <c r="CW286" s="10">
        <f t="shared" si="285"/>
        <v>0.28023674729799281</v>
      </c>
      <c r="CX286" s="10">
        <f>-CX285/CX284</f>
        <v>0.2608695652173913</v>
      </c>
      <c r="DA286" s="10">
        <f t="shared" si="286"/>
        <v>0.24832451499118166</v>
      </c>
      <c r="DB286" s="10">
        <f>-DB285/DB284</f>
        <v>0.26750932449233322</v>
      </c>
      <c r="DE286" s="10">
        <f t="shared" ca="1" si="287"/>
        <v>0.23096355106459762</v>
      </c>
      <c r="DF286" s="10">
        <f ca="1">-DF285/DF284</f>
        <v>0.26164167324388321</v>
      </c>
      <c r="DJ286" s="53">
        <f>DK262</f>
        <v>0.30279281707429018</v>
      </c>
      <c r="DN286" s="53">
        <f>DO262</f>
        <v>0.26881101587914685</v>
      </c>
      <c r="DR286" s="53">
        <f>DS262</f>
        <v>0.26900731285323731</v>
      </c>
    </row>
    <row r="287" spans="1:123" ht="14.4" thickBot="1">
      <c r="A287" s="1" t="s">
        <v>599</v>
      </c>
      <c r="BF287" s="38">
        <f>BF$86</f>
        <v>-32</v>
      </c>
      <c r="BH287" s="8">
        <f t="shared" si="275"/>
        <v>0</v>
      </c>
      <c r="BI287" s="8">
        <f t="shared" si="275"/>
        <v>-21</v>
      </c>
      <c r="BJ287" s="38">
        <f>BJ$86</f>
        <v>-21</v>
      </c>
      <c r="BL287" s="8">
        <f t="shared" si="276"/>
        <v>-2</v>
      </c>
      <c r="BM287" s="8">
        <f t="shared" si="276"/>
        <v>-12</v>
      </c>
      <c r="BN287" s="38">
        <f>BN$86</f>
        <v>-14</v>
      </c>
      <c r="BP287" s="8">
        <f t="shared" si="277"/>
        <v>-11</v>
      </c>
      <c r="BQ287" s="8">
        <f t="shared" si="277"/>
        <v>-8</v>
      </c>
      <c r="BR287" s="38">
        <f>BR$86</f>
        <v>-19</v>
      </c>
      <c r="BT287" s="8">
        <f t="shared" si="278"/>
        <v>-19</v>
      </c>
      <c r="BU287" s="8">
        <f t="shared" si="278"/>
        <v>-6</v>
      </c>
      <c r="BV287" s="38">
        <f>BV$86</f>
        <v>-25</v>
      </c>
      <c r="BX287" s="8">
        <f t="shared" si="279"/>
        <v>3</v>
      </c>
      <c r="BY287" s="8">
        <f t="shared" si="279"/>
        <v>-22</v>
      </c>
      <c r="BZ287" s="38">
        <f>BZ$86</f>
        <v>-19</v>
      </c>
      <c r="CB287" s="8">
        <f>CB184</f>
        <v>-8</v>
      </c>
      <c r="CC287" s="8">
        <f t="shared" ref="CC287" si="290">CC184</f>
        <v>-16</v>
      </c>
      <c r="CD287" s="38">
        <f>CD$86</f>
        <v>-24</v>
      </c>
      <c r="CG287" s="8">
        <f t="shared" si="281"/>
        <v>15</v>
      </c>
      <c r="CH287" s="38">
        <f>CH$86</f>
        <v>-6</v>
      </c>
      <c r="CK287" s="8">
        <f t="shared" si="282"/>
        <v>12</v>
      </c>
      <c r="CL287" s="38">
        <f>CL$86</f>
        <v>5</v>
      </c>
      <c r="CO287" s="8">
        <f t="shared" si="283"/>
        <v>0</v>
      </c>
      <c r="CP287" s="38">
        <f>CP$86</f>
        <v>7</v>
      </c>
      <c r="CS287" s="8">
        <f t="shared" si="284"/>
        <v>-158</v>
      </c>
      <c r="CT287" s="38">
        <f>CT$86</f>
        <v>-247</v>
      </c>
      <c r="CW287" s="8">
        <f t="shared" si="285"/>
        <v>2</v>
      </c>
      <c r="CX287" s="38">
        <f>CX$86</f>
        <v>14</v>
      </c>
      <c r="DA287" s="8">
        <f t="shared" si="286"/>
        <v>-24</v>
      </c>
      <c r="DB287" s="38">
        <f>DB$86</f>
        <v>-13</v>
      </c>
      <c r="DE287" s="8">
        <f t="shared" si="287"/>
        <v>-28</v>
      </c>
      <c r="DF287" s="38">
        <f>DF$86</f>
        <v>-27</v>
      </c>
      <c r="DJ287" s="8">
        <f>DJ$86</f>
        <v>-28</v>
      </c>
      <c r="DN287" s="8">
        <f>DN$86</f>
        <v>-4</v>
      </c>
      <c r="DR287" s="8">
        <f>DR$86</f>
        <v>-4</v>
      </c>
    </row>
    <row r="288" spans="1:123" ht="14.4" thickBot="1">
      <c r="A288" s="80" t="s">
        <v>769</v>
      </c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  <c r="AC288" s="81"/>
      <c r="AD288" s="81"/>
      <c r="AE288" s="81"/>
      <c r="AF288" s="81"/>
      <c r="AG288" s="81"/>
      <c r="AH288" s="81"/>
      <c r="AI288" s="81"/>
      <c r="AJ288" s="81"/>
      <c r="AK288" s="81"/>
      <c r="AL288" s="81"/>
      <c r="AM288" s="81"/>
      <c r="AN288" s="81"/>
      <c r="AO288" s="81"/>
      <c r="AP288" s="81"/>
      <c r="AQ288" s="81"/>
      <c r="AR288" s="81"/>
      <c r="AS288" s="81"/>
      <c r="AT288" s="81"/>
      <c r="AU288" s="81"/>
      <c r="AV288" s="82"/>
      <c r="AW288" s="82"/>
      <c r="AX288" s="82"/>
      <c r="AY288" s="82"/>
      <c r="AZ288" s="82"/>
      <c r="BA288" s="82"/>
      <c r="BB288" s="82"/>
      <c r="BC288" s="82"/>
      <c r="BD288" s="82"/>
      <c r="BE288" s="82"/>
      <c r="BF288" s="83">
        <f>+BF284+BF285+BF287</f>
        <v>730.16376000000037</v>
      </c>
      <c r="BG288" s="82"/>
      <c r="BH288" s="83">
        <f t="shared" si="275"/>
        <v>361</v>
      </c>
      <c r="BI288" s="83">
        <f t="shared" si="275"/>
        <v>490</v>
      </c>
      <c r="BJ288" s="83">
        <f>+BJ284+BJ285+BJ287</f>
        <v>851</v>
      </c>
      <c r="BK288" s="82"/>
      <c r="BL288" s="83">
        <f t="shared" si="276"/>
        <v>501</v>
      </c>
      <c r="BM288" s="83">
        <f t="shared" si="276"/>
        <v>766</v>
      </c>
      <c r="BN288" s="83">
        <f>+BN284+BN285+BN287</f>
        <v>1267</v>
      </c>
      <c r="BO288" s="82"/>
      <c r="BP288" s="83">
        <f t="shared" si="277"/>
        <v>678</v>
      </c>
      <c r="BQ288" s="83">
        <f t="shared" si="277"/>
        <v>926</v>
      </c>
      <c r="BR288" s="83">
        <f>+BR284+BR285+BR287</f>
        <v>1604</v>
      </c>
      <c r="BS288" s="82"/>
      <c r="BT288" s="83">
        <f t="shared" si="278"/>
        <v>1070</v>
      </c>
      <c r="BU288" s="83">
        <f t="shared" si="278"/>
        <v>993</v>
      </c>
      <c r="BV288" s="83">
        <f>+BV284+BV285+BV287</f>
        <v>2063</v>
      </c>
      <c r="BW288" s="82"/>
      <c r="BX288" s="83">
        <f t="shared" si="279"/>
        <v>1050</v>
      </c>
      <c r="BY288" s="83">
        <f t="shared" si="279"/>
        <v>1167</v>
      </c>
      <c r="BZ288" s="83">
        <f>+BZ284+BZ285+BZ287</f>
        <v>2217</v>
      </c>
      <c r="CA288" s="82"/>
      <c r="CB288" s="83">
        <f>CB185</f>
        <v>1248</v>
      </c>
      <c r="CC288" s="83">
        <f t="shared" ref="CC288" si="291">CC185</f>
        <v>1309</v>
      </c>
      <c r="CD288" s="83">
        <f>+CD284+CD285+CD287</f>
        <v>2557</v>
      </c>
      <c r="CE288" s="82"/>
      <c r="CF288" s="82"/>
      <c r="CG288" s="83">
        <f t="shared" si="281"/>
        <v>1672</v>
      </c>
      <c r="CH288" s="83">
        <f>+CH284+CH285+CH287</f>
        <v>2982</v>
      </c>
      <c r="CI288" s="82"/>
      <c r="CJ288" s="82"/>
      <c r="CK288" s="83">
        <f t="shared" si="282"/>
        <v>1274</v>
      </c>
      <c r="CL288" s="83">
        <f>+CL284+CL285+CL287</f>
        <v>2731</v>
      </c>
      <c r="CM288" s="82"/>
      <c r="CN288" s="82"/>
      <c r="CO288" s="83">
        <f t="shared" si="283"/>
        <v>2030</v>
      </c>
      <c r="CP288" s="83">
        <f>+CP284+CP285+CP287</f>
        <v>3015</v>
      </c>
      <c r="CQ288" s="84"/>
      <c r="CR288" s="82"/>
      <c r="CS288" s="83">
        <f t="shared" si="284"/>
        <v>2663</v>
      </c>
      <c r="CT288" s="83">
        <f>+CT284+CT285+CT287</f>
        <v>4706</v>
      </c>
      <c r="CU288" s="84"/>
      <c r="CV288" s="82"/>
      <c r="CW288" s="82"/>
      <c r="CX288" s="83">
        <f>+CX284+CX285+CX287</f>
        <v>5182</v>
      </c>
      <c r="CY288" s="84">
        <f>+CX288/CT288-1</f>
        <v>0.10114747131321722</v>
      </c>
      <c r="CZ288" s="82"/>
      <c r="DA288" s="82"/>
      <c r="DB288" s="83">
        <f>+DB284+DB285+DB287</f>
        <v>3522</v>
      </c>
      <c r="DC288" s="84">
        <f>+DB288/CX288-1</f>
        <v>-0.32033963720571212</v>
      </c>
      <c r="DD288" s="82"/>
      <c r="DE288" s="82"/>
      <c r="DF288" s="83">
        <f ca="1">+DF284+DF285+DF287</f>
        <v>3715</v>
      </c>
      <c r="DG288" s="84">
        <f ca="1">+DF288/DB288-1</f>
        <v>5.4798409994321506E-2</v>
      </c>
      <c r="DH288" s="82"/>
      <c r="DI288" s="82"/>
      <c r="DJ288" s="83">
        <f ca="1">+DJ284+DJ285+DJ287</f>
        <v>2453.6144689586936</v>
      </c>
      <c r="DK288" s="84">
        <f ca="1">+DJ288/DF288-1</f>
        <v>-0.33953850095324534</v>
      </c>
      <c r="DL288" s="82"/>
      <c r="DM288" s="82"/>
      <c r="DN288" s="83">
        <f ca="1">+DN284+DN285+DN287</f>
        <v>3200.6026815185792</v>
      </c>
      <c r="DO288" s="84">
        <f ca="1">+DN288/DJ288-1</f>
        <v>0.30444400373825031</v>
      </c>
      <c r="DP288" s="82"/>
      <c r="DQ288" s="82"/>
      <c r="DR288" s="83">
        <f ca="1">+DR284+DR285+DR287</f>
        <v>2713.6224827347519</v>
      </c>
      <c r="DS288" s="84">
        <f ca="1">+DR288/DN288-1</f>
        <v>-0.15215265599689221</v>
      </c>
    </row>
    <row r="289" spans="1:125" s="11" customFormat="1">
      <c r="A289" s="2005" t="s">
        <v>43</v>
      </c>
      <c r="B289" s="2005"/>
      <c r="C289" s="2005"/>
      <c r="D289" s="2005"/>
      <c r="E289" s="2005"/>
      <c r="F289" s="2005"/>
      <c r="G289" s="2005"/>
      <c r="H289" s="2005"/>
      <c r="I289" s="2005"/>
      <c r="J289" s="2005"/>
      <c r="K289" s="2005"/>
      <c r="L289" s="2005"/>
      <c r="M289" s="2005"/>
      <c r="N289" s="2005"/>
      <c r="O289" s="2005"/>
      <c r="P289" s="2005"/>
      <c r="Q289" s="2005"/>
      <c r="R289" s="2005"/>
      <c r="S289" s="2005"/>
      <c r="T289" s="2005"/>
      <c r="U289" s="2005"/>
      <c r="V289" s="2005"/>
      <c r="W289" s="2005"/>
      <c r="X289" s="2005"/>
      <c r="Y289" s="2005"/>
      <c r="Z289" s="2005"/>
      <c r="AA289" s="2005"/>
      <c r="AB289" s="2005"/>
      <c r="AC289" s="2005"/>
      <c r="AD289" s="2005"/>
      <c r="AE289" s="2005"/>
      <c r="AF289" s="2005"/>
      <c r="AG289" s="2005"/>
      <c r="AH289" s="2005"/>
      <c r="AI289" s="2005"/>
      <c r="AJ289" s="2005"/>
      <c r="AK289" s="2005"/>
      <c r="AL289" s="2005"/>
      <c r="AM289" s="2005"/>
      <c r="AN289" s="2005"/>
      <c r="AO289" s="2005"/>
      <c r="AP289" s="2005"/>
      <c r="AQ289" s="2005"/>
      <c r="AR289" s="2005"/>
      <c r="AS289" s="2005"/>
      <c r="AT289" s="2005"/>
      <c r="AU289" s="2005"/>
      <c r="AV289" s="2006"/>
      <c r="AW289" s="2006"/>
      <c r="AX289" s="2006"/>
      <c r="AY289" s="2006"/>
      <c r="AZ289" s="2006"/>
      <c r="BA289" s="2006"/>
      <c r="BB289" s="2006"/>
      <c r="BC289" s="2006"/>
      <c r="BD289" s="2006"/>
      <c r="BE289" s="2006"/>
      <c r="BF289" s="2006"/>
      <c r="BG289" s="2006"/>
      <c r="BH289" s="2007">
        <f>BH288/BH$87-1</f>
        <v>0</v>
      </c>
      <c r="BI289" s="2007">
        <f>BI288/BI$87-1</f>
        <v>0</v>
      </c>
      <c r="BJ289" s="2006"/>
      <c r="BK289" s="2006"/>
      <c r="BL289" s="2007">
        <f>BL288/BL$87-1</f>
        <v>0</v>
      </c>
      <c r="BM289" s="2007">
        <f>BM288/BM$87-1</f>
        <v>0</v>
      </c>
      <c r="BN289" s="2006"/>
      <c r="BO289" s="2006"/>
      <c r="BP289" s="2007">
        <f>BP288/BP$87-1</f>
        <v>0</v>
      </c>
      <c r="BQ289" s="2007">
        <f>BQ288/BQ$87-1</f>
        <v>0</v>
      </c>
      <c r="BR289" s="2006"/>
      <c r="BS289" s="2006"/>
      <c r="BT289" s="2007">
        <f>BT288/BT$87-1</f>
        <v>0</v>
      </c>
      <c r="BU289" s="2007">
        <f>BU288/BU$87-1</f>
        <v>0</v>
      </c>
      <c r="BV289" s="2006"/>
      <c r="BW289" s="2006"/>
      <c r="BX289" s="2007">
        <f>BX288/BX$87-1</f>
        <v>0</v>
      </c>
      <c r="BY289" s="2007">
        <f>BY288/BY$87-1</f>
        <v>0</v>
      </c>
      <c r="BZ289" s="2006"/>
      <c r="CA289" s="2006"/>
      <c r="CB289" s="2007">
        <f>CB288/CB$87-1</f>
        <v>0</v>
      </c>
      <c r="CC289" s="2007">
        <f>CC288/CC$87-1</f>
        <v>0</v>
      </c>
      <c r="CD289" s="2006"/>
      <c r="CE289" s="2006"/>
      <c r="CF289" s="2006"/>
      <c r="CG289" s="2007">
        <f>CG288/CG$87-1</f>
        <v>0</v>
      </c>
      <c r="CH289" s="2006"/>
      <c r="CI289" s="2006"/>
      <c r="CJ289" s="2006"/>
      <c r="CK289" s="2007">
        <f>CK288/CK$87-1</f>
        <v>0</v>
      </c>
      <c r="CL289" s="2006"/>
      <c r="CM289" s="2006"/>
      <c r="CN289" s="2006"/>
      <c r="CO289" s="2007">
        <f>CO288/CO$87-1</f>
        <v>0</v>
      </c>
      <c r="CP289" s="2006"/>
      <c r="CQ289" s="2006"/>
      <c r="CR289" s="2006"/>
      <c r="CS289" s="2006"/>
      <c r="CT289" s="2007">
        <f>CT288/CT$87-1</f>
        <v>0</v>
      </c>
      <c r="CU289" s="2006"/>
      <c r="CV289" s="2006"/>
      <c r="CW289" s="2006"/>
      <c r="CX289" s="2007">
        <f>CX288/CX$87-1</f>
        <v>0</v>
      </c>
      <c r="CY289" s="2006"/>
      <c r="CZ289" s="2006"/>
      <c r="DA289" s="2006"/>
      <c r="DB289" s="2007">
        <f>DB288/DB$87-1</f>
        <v>0</v>
      </c>
      <c r="DC289" s="2006"/>
      <c r="DD289" s="2006"/>
      <c r="DE289" s="2006"/>
      <c r="DF289" s="2007">
        <f ca="1">DF288/DF$87-1</f>
        <v>0</v>
      </c>
      <c r="DG289" s="2006"/>
      <c r="DH289" s="2006"/>
      <c r="DI289" s="2006"/>
      <c r="DJ289" s="2007">
        <f ca="1">DJ288/DJ$87-1</f>
        <v>-0.4119825933504403</v>
      </c>
      <c r="DK289" s="2006"/>
      <c r="DL289" s="2006"/>
      <c r="DM289" s="2006"/>
      <c r="DN289" s="2007">
        <f ca="1">DN288/DN$87-1</f>
        <v>-0.30006440813527679</v>
      </c>
      <c r="DO289" s="2006"/>
      <c r="DP289" s="2006"/>
      <c r="DQ289" s="2006"/>
      <c r="DR289" s="2007">
        <f ca="1">DR288/DR$87-1</f>
        <v>-0.44876084890726342</v>
      </c>
      <c r="DS289" s="2006"/>
      <c r="DT289" s="15"/>
      <c r="DU289" s="15"/>
    </row>
    <row r="291" spans="1:125">
      <c r="A291" s="2" t="s">
        <v>784</v>
      </c>
      <c r="BF291" s="8">
        <f t="shared" ref="BF291:BF301" si="292">BF89</f>
        <v>11404</v>
      </c>
      <c r="BJ291" s="8">
        <f t="shared" ref="BJ291:BJ301" si="293">BJ89</f>
        <v>11203</v>
      </c>
      <c r="BN291" s="8">
        <f t="shared" ref="BN291:BN301" si="294">BN89</f>
        <v>11403</v>
      </c>
      <c r="BR291" s="8">
        <f t="shared" ref="BR291:BR301" si="295">BR89</f>
        <v>11418</v>
      </c>
      <c r="BV291" s="8">
        <f t="shared" ref="BV291:BV301" si="296">BV89</f>
        <v>13909</v>
      </c>
      <c r="BZ291" s="8">
        <f t="shared" ref="BZ291:BZ301" si="297">BZ89</f>
        <v>15116</v>
      </c>
      <c r="CD291" s="8">
        <f t="shared" ref="CD291:CD301" si="298">CD89</f>
        <v>15563</v>
      </c>
      <c r="CH291" s="8">
        <f t="shared" ref="CH291:CH301" si="299">CH89</f>
        <v>16357</v>
      </c>
      <c r="CL291" s="8">
        <f t="shared" ref="CL291:CL301" si="300">CL89</f>
        <v>17761</v>
      </c>
      <c r="CP291" s="8">
        <f>CL301</f>
        <v>21063</v>
      </c>
      <c r="CT291" s="8">
        <f>CP301</f>
        <v>21561.721624425998</v>
      </c>
      <c r="CX291" s="8">
        <f>CT301</f>
        <v>24950.743879696536</v>
      </c>
      <c r="DB291" s="8">
        <f>CX301</f>
        <v>28939.439319104848</v>
      </c>
      <c r="DF291" s="8">
        <f>DB301</f>
        <v>29954.669993950261</v>
      </c>
      <c r="DJ291" s="8">
        <f ca="1">DF301</f>
        <v>32195.21949409935</v>
      </c>
      <c r="DN291" s="8">
        <f ca="1">DJ301</f>
        <v>31666.619068163476</v>
      </c>
      <c r="DR291" s="8">
        <f ca="1">DN301</f>
        <v>33278.145991738238</v>
      </c>
    </row>
    <row r="292" spans="1:125">
      <c r="A292" s="1" t="s">
        <v>64</v>
      </c>
      <c r="BF292" s="8">
        <f t="shared" si="292"/>
        <v>0</v>
      </c>
      <c r="BJ292" s="8">
        <f t="shared" si="293"/>
        <v>0</v>
      </c>
      <c r="BN292" s="8">
        <f t="shared" si="294"/>
        <v>0</v>
      </c>
      <c r="BR292" s="8">
        <f t="shared" si="295"/>
        <v>0</v>
      </c>
      <c r="BV292" s="8">
        <f t="shared" si="296"/>
        <v>538</v>
      </c>
      <c r="BZ292" s="8">
        <f t="shared" si="297"/>
        <v>0</v>
      </c>
      <c r="CD292" s="8">
        <f t="shared" si="298"/>
        <v>0</v>
      </c>
      <c r="CH292" s="8">
        <f t="shared" si="299"/>
        <v>0</v>
      </c>
      <c r="CL292" s="8">
        <f t="shared" si="300"/>
        <v>1670</v>
      </c>
      <c r="CP292" s="8">
        <f>-CL308</f>
        <v>0</v>
      </c>
      <c r="CT292" s="8">
        <f>-CP308</f>
        <v>0</v>
      </c>
      <c r="CX292" s="8">
        <f>-CT308</f>
        <v>0</v>
      </c>
      <c r="DB292" s="8">
        <f>-CX308</f>
        <v>0</v>
      </c>
      <c r="DF292" s="8">
        <f>-DB308</f>
        <v>0</v>
      </c>
      <c r="DJ292" s="8">
        <f ca="1">-DF308</f>
        <v>0</v>
      </c>
      <c r="DN292" s="8">
        <f ca="1">-DJ308</f>
        <v>0</v>
      </c>
      <c r="DR292" s="8">
        <f ca="1">-DN308</f>
        <v>0</v>
      </c>
    </row>
    <row r="293" spans="1:125">
      <c r="A293" s="1" t="s">
        <v>101</v>
      </c>
      <c r="BF293" s="8">
        <f t="shared" si="292"/>
        <v>0</v>
      </c>
      <c r="BJ293" s="8">
        <f t="shared" si="293"/>
        <v>-251</v>
      </c>
      <c r="BN293" s="8">
        <f t="shared" si="294"/>
        <v>0</v>
      </c>
      <c r="BR293" s="8">
        <f t="shared" si="295"/>
        <v>0</v>
      </c>
      <c r="BV293" s="8">
        <f t="shared" si="296"/>
        <v>0</v>
      </c>
      <c r="BZ293" s="8">
        <f t="shared" si="297"/>
        <v>0</v>
      </c>
      <c r="CD293" s="8">
        <f t="shared" si="298"/>
        <v>0</v>
      </c>
      <c r="CH293" s="8">
        <f t="shared" si="299"/>
        <v>0</v>
      </c>
      <c r="CL293" s="8">
        <f t="shared" si="300"/>
        <v>0</v>
      </c>
      <c r="CP293" s="8">
        <f>-CL310</f>
        <v>0</v>
      </c>
      <c r="CT293" s="8">
        <f>-CP310</f>
        <v>0</v>
      </c>
      <c r="CX293" s="8">
        <f>-CT310</f>
        <v>0</v>
      </c>
      <c r="DB293" s="8">
        <f>-CX310</f>
        <v>0</v>
      </c>
      <c r="DF293" s="8">
        <f>-DB310</f>
        <v>0</v>
      </c>
      <c r="DJ293" s="8">
        <f ca="1">-DF310</f>
        <v>0</v>
      </c>
      <c r="DN293" s="8">
        <f ca="1">-DJ310</f>
        <v>0</v>
      </c>
      <c r="DR293" s="8">
        <f ca="1">-DN310</f>
        <v>0</v>
      </c>
    </row>
    <row r="294" spans="1:125">
      <c r="A294" s="1" t="s">
        <v>65</v>
      </c>
      <c r="BF294" s="8">
        <f t="shared" si="292"/>
        <v>93</v>
      </c>
      <c r="BJ294" s="8">
        <f t="shared" si="293"/>
        <v>0</v>
      </c>
      <c r="BN294" s="8">
        <f t="shared" si="294"/>
        <v>0</v>
      </c>
      <c r="BR294" s="8">
        <f t="shared" si="295"/>
        <v>171</v>
      </c>
      <c r="BV294" s="8">
        <f t="shared" si="296"/>
        <v>0</v>
      </c>
      <c r="BZ294" s="8">
        <f t="shared" si="297"/>
        <v>0</v>
      </c>
      <c r="CD294" s="8">
        <f t="shared" si="298"/>
        <v>0</v>
      </c>
      <c r="CH294" s="8">
        <f t="shared" si="299"/>
        <v>0</v>
      </c>
      <c r="CL294" s="8">
        <f t="shared" si="300"/>
        <v>0</v>
      </c>
      <c r="CP294" s="6">
        <v>0</v>
      </c>
      <c r="CT294" s="6">
        <v>0</v>
      </c>
      <c r="CX294" s="6">
        <v>0</v>
      </c>
      <c r="DB294" s="6">
        <v>0</v>
      </c>
      <c r="DF294" s="6">
        <v>0</v>
      </c>
      <c r="DJ294" s="6">
        <v>0</v>
      </c>
      <c r="DN294" s="6">
        <v>0</v>
      </c>
      <c r="DR294" s="6">
        <v>0</v>
      </c>
    </row>
    <row r="295" spans="1:125">
      <c r="A295" s="1" t="s">
        <v>66</v>
      </c>
      <c r="BF295" s="8">
        <f t="shared" si="292"/>
        <v>57.546471799999608</v>
      </c>
      <c r="BJ295" s="8">
        <f t="shared" si="293"/>
        <v>139.20512049999999</v>
      </c>
      <c r="BN295" s="8">
        <f t="shared" si="294"/>
        <v>-1121.2187414999999</v>
      </c>
      <c r="BR295" s="8">
        <f t="shared" si="295"/>
        <v>640.79349220000006</v>
      </c>
      <c r="BV295" s="8">
        <f t="shared" si="296"/>
        <v>-8.923310000000015</v>
      </c>
      <c r="BZ295" s="8">
        <f t="shared" si="297"/>
        <v>-16.121165799999858</v>
      </c>
      <c r="CD295" s="8">
        <f t="shared" si="298"/>
        <v>63.228547949999893</v>
      </c>
      <c r="CH295" s="8">
        <f t="shared" si="299"/>
        <v>-125.49968929999989</v>
      </c>
      <c r="CL295" s="8">
        <f t="shared" si="300"/>
        <v>85.829024300000015</v>
      </c>
      <c r="CP295" s="8">
        <f>CP93</f>
        <v>769.42640925000001</v>
      </c>
      <c r="CT295" s="8">
        <f>CT93</f>
        <v>693.81063263000021</v>
      </c>
      <c r="CX295" s="8">
        <f>CX93</f>
        <v>119.70699150000019</v>
      </c>
      <c r="DB295" s="8">
        <f>DB93</f>
        <v>39.171115700000314</v>
      </c>
      <c r="DF295" s="8">
        <f ca="1">DF93</f>
        <v>35.875631050000379</v>
      </c>
      <c r="DJ295" s="8">
        <f ca="1">DJ93</f>
        <v>194.298096734605</v>
      </c>
      <c r="DN295" s="8">
        <f ca="1">DN93</f>
        <v>422.0460964409906</v>
      </c>
      <c r="DR295" s="8">
        <f ca="1">DR93</f>
        <v>467.63525859420884</v>
      </c>
    </row>
    <row r="296" spans="1:125">
      <c r="A296" s="1" t="s">
        <v>128</v>
      </c>
      <c r="BF296" s="8">
        <f t="shared" si="292"/>
        <v>-243</v>
      </c>
      <c r="BJ296" s="8">
        <f t="shared" si="293"/>
        <v>-37</v>
      </c>
      <c r="BN296" s="8">
        <f t="shared" si="294"/>
        <v>21</v>
      </c>
      <c r="BR296" s="8">
        <f t="shared" si="295"/>
        <v>19</v>
      </c>
      <c r="BV296" s="8">
        <f t="shared" si="296"/>
        <v>-65</v>
      </c>
      <c r="BZ296" s="8">
        <f t="shared" si="297"/>
        <v>-151</v>
      </c>
      <c r="CD296" s="8">
        <f t="shared" si="298"/>
        <v>-77</v>
      </c>
      <c r="CH296" s="8">
        <f t="shared" si="299"/>
        <v>-108</v>
      </c>
      <c r="CL296" s="8">
        <f t="shared" si="300"/>
        <v>-74</v>
      </c>
      <c r="CP296" s="8">
        <f>CP94</f>
        <v>-187</v>
      </c>
      <c r="CT296" s="8">
        <f>CT94</f>
        <v>-225</v>
      </c>
      <c r="CX296" s="8">
        <f>CX94</f>
        <v>-470</v>
      </c>
      <c r="DB296" s="8">
        <f>DB94</f>
        <v>-456</v>
      </c>
      <c r="DF296" s="8">
        <f>DF94</f>
        <v>20</v>
      </c>
      <c r="DJ296" s="8">
        <f>DJ94</f>
        <v>-91.16</v>
      </c>
      <c r="DN296" s="8">
        <f>DN94</f>
        <v>-173.87924399999997</v>
      </c>
      <c r="DR296" s="8">
        <f>DR94</f>
        <v>-184.46848995959996</v>
      </c>
    </row>
    <row r="297" spans="1:125" ht="14.4" thickBot="1">
      <c r="A297" s="1" t="s">
        <v>130</v>
      </c>
      <c r="BF297" s="8">
        <f t="shared" si="292"/>
        <v>-266</v>
      </c>
      <c r="BJ297" s="8">
        <f t="shared" si="293"/>
        <v>13</v>
      </c>
      <c r="BN297" s="8">
        <f t="shared" si="294"/>
        <v>612</v>
      </c>
      <c r="BR297" s="8">
        <f t="shared" si="295"/>
        <v>987</v>
      </c>
      <c r="BV297" s="8">
        <f t="shared" si="296"/>
        <v>-120</v>
      </c>
      <c r="BZ297" s="8">
        <f t="shared" si="297"/>
        <v>-140</v>
      </c>
      <c r="CD297" s="8">
        <f t="shared" si="298"/>
        <v>-99</v>
      </c>
      <c r="CH297" s="8">
        <f t="shared" si="299"/>
        <v>476</v>
      </c>
      <c r="CL297" s="8">
        <f t="shared" si="300"/>
        <v>1000</v>
      </c>
      <c r="CP297" s="8">
        <f>CP95</f>
        <v>-1487</v>
      </c>
      <c r="CT297" s="8">
        <f>CT95</f>
        <v>237</v>
      </c>
      <c r="CX297" s="8">
        <f>CX95</f>
        <v>1779</v>
      </c>
      <c r="DB297" s="8">
        <f>DB95</f>
        <v>589</v>
      </c>
      <c r="DF297" s="8">
        <f>DF95</f>
        <v>938</v>
      </c>
      <c r="DJ297" s="8">
        <f>DJ95</f>
        <v>-1050</v>
      </c>
      <c r="DN297" s="8">
        <f>DN95</f>
        <v>0</v>
      </c>
      <c r="DR297" s="8">
        <f>DR95</f>
        <v>0</v>
      </c>
    </row>
    <row r="298" spans="1:125" ht="14.4" thickBot="1">
      <c r="A298" s="1" t="s">
        <v>921</v>
      </c>
      <c r="BF298" s="8">
        <f t="shared" si="292"/>
        <v>730.65376000000037</v>
      </c>
      <c r="BJ298" s="8">
        <f t="shared" si="293"/>
        <v>851.49</v>
      </c>
      <c r="BN298" s="8">
        <f t="shared" si="294"/>
        <v>1267.49</v>
      </c>
      <c r="BR298" s="8">
        <f t="shared" si="295"/>
        <v>1604.49</v>
      </c>
      <c r="BV298" s="8">
        <f t="shared" si="296"/>
        <v>2063.4899999999998</v>
      </c>
      <c r="BZ298" s="8">
        <f t="shared" si="297"/>
        <v>2217.4899999999998</v>
      </c>
      <c r="CD298" s="8">
        <f t="shared" si="298"/>
        <v>2557.4899999999998</v>
      </c>
      <c r="CH298" s="8">
        <f t="shared" si="299"/>
        <v>2982.49</v>
      </c>
      <c r="CL298" s="8">
        <f t="shared" si="300"/>
        <v>2731.49</v>
      </c>
      <c r="CP298" s="54">
        <f>CP288</f>
        <v>3015</v>
      </c>
      <c r="CT298" s="54">
        <f>CT288</f>
        <v>4706</v>
      </c>
      <c r="CX298" s="54">
        <f>CX288</f>
        <v>5182</v>
      </c>
      <c r="DB298" s="54">
        <f>DB288</f>
        <v>3522</v>
      </c>
      <c r="DF298" s="54">
        <f ca="1">DF288</f>
        <v>3715</v>
      </c>
      <c r="DJ298" s="54">
        <f ca="1">DJ288</f>
        <v>2453.6144689586936</v>
      </c>
      <c r="DN298" s="54">
        <f ca="1">DN288</f>
        <v>3200.6026815185792</v>
      </c>
      <c r="DR298" s="54">
        <f ca="1">DR288</f>
        <v>2713.6224827347519</v>
      </c>
    </row>
    <row r="299" spans="1:125">
      <c r="A299" s="1" t="s">
        <v>147</v>
      </c>
      <c r="BF299" s="8">
        <f t="shared" si="292"/>
        <v>-573.20023179999998</v>
      </c>
      <c r="BJ299" s="8">
        <f t="shared" si="293"/>
        <v>-515.69512050000003</v>
      </c>
      <c r="BN299" s="8">
        <f t="shared" si="294"/>
        <v>-764.27125849999993</v>
      </c>
      <c r="BR299" s="8">
        <f t="shared" si="295"/>
        <v>-931.28349219999996</v>
      </c>
      <c r="BV299" s="8">
        <f t="shared" si="296"/>
        <v>-1200.5666900000001</v>
      </c>
      <c r="BZ299" s="8">
        <f t="shared" si="297"/>
        <v>-1463.3688342</v>
      </c>
      <c r="CD299" s="8">
        <f t="shared" si="298"/>
        <v>-1650.7185479499999</v>
      </c>
      <c r="CH299" s="8">
        <f t="shared" si="299"/>
        <v>-1820.9903107</v>
      </c>
      <c r="CL299" s="8">
        <f t="shared" si="300"/>
        <v>-2111.3190242999999</v>
      </c>
      <c r="CP299" s="8">
        <f>-(CL338/2+CP338/2)</f>
        <v>-1611.7047848240009</v>
      </c>
      <c r="CT299" s="8">
        <f>-(CP338/2+CT338/2)</f>
        <v>-2022.7883773594604</v>
      </c>
      <c r="CX299" s="8">
        <f>-(CT338/2+CX338/2)</f>
        <v>-2622.0115520916902</v>
      </c>
      <c r="DB299" s="8">
        <f>-(CX338/2+DB338/2)</f>
        <v>-2678.9404408545875</v>
      </c>
      <c r="DF299" s="8">
        <f ca="1">-(DB338/2+DF338/2)</f>
        <v>-2468.3261309009131</v>
      </c>
      <c r="DJ299" s="8">
        <f ca="1">-(DF338/2+DJ338/2)</f>
        <v>-2035.3529916291736</v>
      </c>
      <c r="DN299" s="8">
        <f ca="1">-(DJ338/2+DN338/2)</f>
        <v>-1837.2426103848102</v>
      </c>
      <c r="DR299" s="8">
        <f ca="1">-(DN338/2+DR338/2)</f>
        <v>-1922.3596142864999</v>
      </c>
    </row>
    <row r="300" spans="1:125">
      <c r="A300" s="1" t="s">
        <v>148</v>
      </c>
      <c r="BF300" s="8">
        <f t="shared" si="292"/>
        <v>-201</v>
      </c>
      <c r="BJ300" s="8">
        <f t="shared" si="293"/>
        <v>200</v>
      </c>
      <c r="BN300" s="8">
        <f t="shared" si="294"/>
        <v>15.000000000000114</v>
      </c>
      <c r="BR300" s="8">
        <f t="shared" si="295"/>
        <v>2491</v>
      </c>
      <c r="BV300" s="8">
        <f t="shared" si="296"/>
        <v>1207</v>
      </c>
      <c r="BZ300" s="8">
        <f t="shared" si="297"/>
        <v>447</v>
      </c>
      <c r="CD300" s="8">
        <f t="shared" si="298"/>
        <v>793.99999999999989</v>
      </c>
      <c r="CH300" s="8">
        <f t="shared" si="299"/>
        <v>1404</v>
      </c>
      <c r="CL300" s="8">
        <f t="shared" si="300"/>
        <v>3302</v>
      </c>
      <c r="CP300" s="8">
        <f>SUM(CP292:CP299)</f>
        <v>498.72162442599893</v>
      </c>
      <c r="CT300" s="8">
        <f>SUM(CT292:CT299)</f>
        <v>3389.02225527054</v>
      </c>
      <c r="CX300" s="8">
        <f>SUM(CX292:CX299)</f>
        <v>3988.69543940831</v>
      </c>
      <c r="DB300" s="8">
        <f>SUM(DB292:DB299)</f>
        <v>1015.230674845413</v>
      </c>
      <c r="DF300" s="8">
        <f ca="1">SUM(DF292:DF299)</f>
        <v>2240.5495001490872</v>
      </c>
      <c r="DJ300" s="8">
        <f ca="1">SUM(DJ292:DJ299)</f>
        <v>-528.60042593587514</v>
      </c>
      <c r="DN300" s="8">
        <f ca="1">SUM(DN292:DN299)</f>
        <v>1611.5269235747596</v>
      </c>
      <c r="DR300" s="8">
        <f ca="1">SUM(DR292:DR299)</f>
        <v>1074.4296370828606</v>
      </c>
    </row>
    <row r="301" spans="1:125">
      <c r="A301" s="2" t="s">
        <v>785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7">
        <f t="shared" si="292"/>
        <v>11203</v>
      </c>
      <c r="BG301" s="5"/>
      <c r="BH301" s="5"/>
      <c r="BI301" s="5"/>
      <c r="BJ301" s="7">
        <f t="shared" si="293"/>
        <v>11403</v>
      </c>
      <c r="BK301" s="5"/>
      <c r="BL301" s="5"/>
      <c r="BM301" s="5"/>
      <c r="BN301" s="7">
        <f t="shared" si="294"/>
        <v>11418</v>
      </c>
      <c r="BO301" s="5"/>
      <c r="BP301" s="5"/>
      <c r="BQ301" s="5"/>
      <c r="BR301" s="7">
        <f t="shared" si="295"/>
        <v>13909</v>
      </c>
      <c r="BS301" s="5"/>
      <c r="BT301" s="5"/>
      <c r="BU301" s="5"/>
      <c r="BV301" s="7">
        <f t="shared" si="296"/>
        <v>15116</v>
      </c>
      <c r="BW301" s="5"/>
      <c r="BX301" s="5"/>
      <c r="BY301" s="5"/>
      <c r="BZ301" s="7">
        <f t="shared" si="297"/>
        <v>15563</v>
      </c>
      <c r="CA301" s="5"/>
      <c r="CB301" s="5"/>
      <c r="CC301" s="5"/>
      <c r="CD301" s="7">
        <f t="shared" si="298"/>
        <v>16357</v>
      </c>
      <c r="CE301" s="5"/>
      <c r="CF301" s="5"/>
      <c r="CG301" s="5"/>
      <c r="CH301" s="7">
        <f t="shared" si="299"/>
        <v>17761</v>
      </c>
      <c r="CI301" s="5"/>
      <c r="CJ301" s="5"/>
      <c r="CK301" s="5"/>
      <c r="CL301" s="7">
        <f t="shared" si="300"/>
        <v>21063</v>
      </c>
      <c r="CM301" s="5"/>
      <c r="CN301" s="5"/>
      <c r="CO301" s="5"/>
      <c r="CP301" s="7">
        <f>+CP291+CP300</f>
        <v>21561.721624425998</v>
      </c>
      <c r="CQ301" s="5"/>
      <c r="CR301" s="5"/>
      <c r="CS301" s="5"/>
      <c r="CT301" s="7">
        <f>+CT291+CT300</f>
        <v>24950.743879696536</v>
      </c>
      <c r="CU301" s="5"/>
      <c r="CV301" s="5"/>
      <c r="CW301" s="5"/>
      <c r="CX301" s="7">
        <f>+CX291+CX300</f>
        <v>28939.439319104848</v>
      </c>
      <c r="CY301" s="5"/>
      <c r="CZ301" s="5"/>
      <c r="DA301" s="5"/>
      <c r="DB301" s="7">
        <f>+DB291+DB300</f>
        <v>29954.669993950261</v>
      </c>
      <c r="DC301" s="5"/>
      <c r="DD301" s="5"/>
      <c r="DE301" s="5"/>
      <c r="DF301" s="7">
        <f ca="1">+DF291+DF300</f>
        <v>32195.21949409935</v>
      </c>
      <c r="DG301" s="5"/>
      <c r="DH301" s="5"/>
      <c r="DI301" s="5"/>
      <c r="DJ301" s="7">
        <f ca="1">+DJ291+DJ300</f>
        <v>31666.619068163476</v>
      </c>
      <c r="DK301" s="5"/>
      <c r="DL301" s="5"/>
      <c r="DM301" s="5"/>
      <c r="DN301" s="7">
        <f ca="1">+DN291+DN300</f>
        <v>33278.145991738238</v>
      </c>
      <c r="DO301" s="5"/>
      <c r="DP301" s="5"/>
      <c r="DQ301" s="5"/>
      <c r="DR301" s="7">
        <f ca="1">+DR291+DR300</f>
        <v>34352.575628821098</v>
      </c>
      <c r="DS301" s="5"/>
    </row>
    <row r="303" spans="1:125">
      <c r="A303" s="1" t="s">
        <v>789</v>
      </c>
      <c r="BJ303" s="8">
        <f>BJ101</f>
        <v>9665</v>
      </c>
      <c r="BN303" s="8">
        <f>BN101</f>
        <v>9515</v>
      </c>
      <c r="BR303" s="8">
        <f>BR101</f>
        <v>12195</v>
      </c>
      <c r="BV303" s="8">
        <f>BV101</f>
        <v>13859</v>
      </c>
      <c r="BZ303" s="8">
        <f>BZ101</f>
        <v>14439</v>
      </c>
      <c r="CD303" s="8">
        <f>CD101</f>
        <v>14954</v>
      </c>
      <c r="CH303" s="8">
        <f>CH101</f>
        <v>18197</v>
      </c>
      <c r="CL303" s="8">
        <f>CL101</f>
        <v>21242</v>
      </c>
      <c r="CP303" s="8">
        <f>+CP301*CP304</f>
        <v>21744.95991767825</v>
      </c>
      <c r="CT303" s="8">
        <f>+CT301*CT304</f>
        <v>25162.783150192936</v>
      </c>
      <c r="CX303" s="8">
        <f>+CX301*CX304</f>
        <v>29185.375778209425</v>
      </c>
      <c r="DB303" s="8">
        <f>+DB301*DB304</f>
        <v>30209.234202701013</v>
      </c>
      <c r="DF303" s="8">
        <f ca="1">+DF301*DF304</f>
        <v>32468.824597334584</v>
      </c>
      <c r="DJ303" s="8">
        <f ca="1">+DJ301*DJ304</f>
        <v>31935.731958691948</v>
      </c>
      <c r="DN303" s="8">
        <f ca="1">+DN301*DN304</f>
        <v>33560.954145017502</v>
      </c>
      <c r="DR303" s="8">
        <f ca="1">+DR301*DR304</f>
        <v>34644.51462315044</v>
      </c>
    </row>
    <row r="304" spans="1:125">
      <c r="A304" s="3" t="s">
        <v>468</v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9"/>
      <c r="BI304" s="9"/>
      <c r="BJ304" s="10">
        <f>BJ102</f>
        <v>0.84758396913093048</v>
      </c>
      <c r="BK304" s="9"/>
      <c r="BL304" s="9"/>
      <c r="BM304" s="9"/>
      <c r="BN304" s="10">
        <f>BN102</f>
        <v>0.83333333333333337</v>
      </c>
      <c r="BO304" s="9"/>
      <c r="BP304" s="9"/>
      <c r="BQ304" s="9"/>
      <c r="BR304" s="10">
        <f>BR102</f>
        <v>0.87677043640808106</v>
      </c>
      <c r="BS304" s="9"/>
      <c r="BT304" s="9"/>
      <c r="BU304" s="9"/>
      <c r="BV304" s="10">
        <f>BV102</f>
        <v>0.91684308017994176</v>
      </c>
      <c r="BW304" s="9"/>
      <c r="BX304" s="9"/>
      <c r="BY304" s="9"/>
      <c r="BZ304" s="10">
        <f>BZ102</f>
        <v>0.9277774208057572</v>
      </c>
      <c r="CA304" s="9"/>
      <c r="CB304" s="9"/>
      <c r="CC304" s="9"/>
      <c r="CD304" s="10">
        <f>CD102</f>
        <v>0.91422632512074342</v>
      </c>
      <c r="CE304" s="9"/>
      <c r="CF304" s="9"/>
      <c r="CG304" s="9"/>
      <c r="CH304" s="10">
        <f>CH102</f>
        <v>1.0245481673329204</v>
      </c>
      <c r="CI304" s="9"/>
      <c r="CJ304" s="9"/>
      <c r="CK304" s="9"/>
      <c r="CL304" s="10">
        <f>CL102</f>
        <v>1.0084983145800692</v>
      </c>
      <c r="CM304" s="9"/>
      <c r="CN304" s="9"/>
      <c r="CO304" s="9"/>
      <c r="CP304" s="10">
        <f>CL304</f>
        <v>1.0084983145800692</v>
      </c>
      <c r="CQ304" s="9"/>
      <c r="CR304" s="9"/>
      <c r="CS304" s="9"/>
      <c r="CT304" s="10">
        <f>CP304</f>
        <v>1.0084983145800692</v>
      </c>
      <c r="CU304" s="9"/>
      <c r="CV304" s="9"/>
      <c r="CW304" s="9"/>
      <c r="CX304" s="10">
        <f>CT304</f>
        <v>1.0084983145800692</v>
      </c>
      <c r="CY304" s="9"/>
      <c r="CZ304" s="9"/>
      <c r="DA304" s="9"/>
      <c r="DB304" s="10">
        <f>CX304</f>
        <v>1.0084983145800692</v>
      </c>
      <c r="DC304" s="9"/>
      <c r="DD304" s="9"/>
      <c r="DE304" s="9"/>
      <c r="DF304" s="10">
        <f>DB304</f>
        <v>1.0084983145800692</v>
      </c>
      <c r="DG304" s="9"/>
      <c r="DH304" s="9"/>
      <c r="DI304" s="9"/>
      <c r="DJ304" s="10">
        <f>DF304</f>
        <v>1.0084983145800692</v>
      </c>
      <c r="DK304" s="9"/>
      <c r="DL304" s="9"/>
      <c r="DM304" s="9"/>
      <c r="DN304" s="10">
        <f>DJ304</f>
        <v>1.0084983145800692</v>
      </c>
      <c r="DO304" s="9"/>
      <c r="DP304" s="9"/>
      <c r="DQ304" s="9"/>
      <c r="DR304" s="10">
        <f>DN304</f>
        <v>1.0084983145800692</v>
      </c>
      <c r="DS304" s="9"/>
    </row>
    <row r="305" spans="1:123">
      <c r="A305" s="1" t="s">
        <v>559</v>
      </c>
      <c r="BJ305" s="8">
        <f>BJ103</f>
        <v>97548</v>
      </c>
      <c r="BN305" s="8">
        <f>BN103</f>
        <v>100985.5</v>
      </c>
      <c r="BR305" s="8">
        <f>BR103</f>
        <v>126659</v>
      </c>
      <c r="BV305" s="8">
        <f>BV103</f>
        <v>131228</v>
      </c>
      <c r="BZ305" s="8">
        <f>BZ103</f>
        <v>130830.5</v>
      </c>
      <c r="CD305" s="8">
        <f>CD103</f>
        <v>148364</v>
      </c>
      <c r="CH305" s="8">
        <f>CH103</f>
        <v>166594.5</v>
      </c>
      <c r="CL305" s="8">
        <f>CL103</f>
        <v>187863.5</v>
      </c>
      <c r="CP305" s="8">
        <f>CP103</f>
        <v>184810</v>
      </c>
      <c r="CT305" s="8">
        <f>CT103</f>
        <v>240895.5</v>
      </c>
      <c r="CX305" s="8">
        <f>CX103</f>
        <v>254230</v>
      </c>
      <c r="DB305" s="8">
        <f>DB103</f>
        <v>272588</v>
      </c>
      <c r="DF305" s="8">
        <f>DF103</f>
        <v>309562</v>
      </c>
      <c r="DJ305" s="8">
        <f>DJ103</f>
        <v>338766.47981602908</v>
      </c>
      <c r="DN305" s="8">
        <f>DN103</f>
        <v>358383.5322935399</v>
      </c>
      <c r="DR305" s="8">
        <f>DR103</f>
        <v>381179.80909249315</v>
      </c>
    </row>
    <row r="306" spans="1:123">
      <c r="A306" s="2" t="s">
        <v>790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2">
        <f>BJ104</f>
        <v>9.9079427563865993E-2</v>
      </c>
      <c r="BK306" s="5"/>
      <c r="BL306" s="5"/>
      <c r="BM306" s="5"/>
      <c r="BN306" s="52">
        <f>BN104</f>
        <v>9.4221447633571154E-2</v>
      </c>
      <c r="BO306" s="5"/>
      <c r="BP306" s="5"/>
      <c r="BQ306" s="5"/>
      <c r="BR306" s="52">
        <f>BR104</f>
        <v>9.6282143392889569E-2</v>
      </c>
      <c r="BS306" s="5"/>
      <c r="BT306" s="5"/>
      <c r="BU306" s="5"/>
      <c r="BV306" s="52">
        <f>BV104</f>
        <v>0.10561008321394824</v>
      </c>
      <c r="BW306" s="5"/>
      <c r="BX306" s="5"/>
      <c r="BY306" s="5"/>
      <c r="BZ306" s="52">
        <f>BZ104</f>
        <v>0.11036417349165523</v>
      </c>
      <c r="CA306" s="5"/>
      <c r="CB306" s="5"/>
      <c r="CC306" s="5"/>
      <c r="CD306" s="52">
        <f>CD104</f>
        <v>0.10079264511606589</v>
      </c>
      <c r="CE306" s="5"/>
      <c r="CF306" s="5"/>
      <c r="CG306" s="5"/>
      <c r="CH306" s="52">
        <f>CH104</f>
        <v>0.10922929628529153</v>
      </c>
      <c r="CI306" s="5"/>
      <c r="CJ306" s="5"/>
      <c r="CK306" s="5"/>
      <c r="CL306" s="52">
        <f>CL104</f>
        <v>0.11307145879854257</v>
      </c>
      <c r="CM306" s="5"/>
      <c r="CN306" s="5"/>
      <c r="CO306" s="5"/>
      <c r="CP306" s="52">
        <f>+CP303/CP305</f>
        <v>0.11766116507590633</v>
      </c>
      <c r="CQ306" s="5"/>
      <c r="CR306" s="5"/>
      <c r="CS306" s="5"/>
      <c r="CT306" s="52">
        <f>+CT303/CT305</f>
        <v>0.10445518139688345</v>
      </c>
      <c r="CU306" s="5"/>
      <c r="CV306" s="5"/>
      <c r="CW306" s="5"/>
      <c r="CX306" s="52">
        <f>+CX303/CX305</f>
        <v>0.11479910230188972</v>
      </c>
      <c r="CY306" s="5"/>
      <c r="CZ306" s="5"/>
      <c r="DA306" s="5"/>
      <c r="DB306" s="52">
        <f>+DB303/DB305</f>
        <v>0.11082378609000033</v>
      </c>
      <c r="DC306" s="5"/>
      <c r="DD306" s="5"/>
      <c r="DE306" s="5"/>
      <c r="DF306" s="52">
        <f ca="1">+DF303/DF305</f>
        <v>0.1048863381078252</v>
      </c>
      <c r="DG306" s="5"/>
      <c r="DH306" s="5"/>
      <c r="DI306" s="5"/>
      <c r="DJ306" s="52">
        <f ca="1">+DJ303/DJ305</f>
        <v>9.4270637331163948E-2</v>
      </c>
      <c r="DK306" s="5"/>
      <c r="DL306" s="5"/>
      <c r="DM306" s="5"/>
      <c r="DN306" s="52">
        <f ca="1">+DN303/DN305</f>
        <v>9.3645357894203834E-2</v>
      </c>
      <c r="DO306" s="5"/>
      <c r="DP306" s="5"/>
      <c r="DQ306" s="5"/>
      <c r="DR306" s="52">
        <f ca="1">+DR303/DR305</f>
        <v>9.0887591096788553E-2</v>
      </c>
      <c r="DS306" s="5"/>
    </row>
    <row r="307" spans="1:123">
      <c r="A307" s="3" t="s">
        <v>469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65">
        <v>8.5000000000000006E-2</v>
      </c>
      <c r="BK307" s="5"/>
      <c r="BL307" s="5"/>
      <c r="BM307" s="5"/>
      <c r="BN307" s="65">
        <v>8.5000000000000006E-2</v>
      </c>
      <c r="BO307" s="5"/>
      <c r="BP307" s="5"/>
      <c r="BQ307" s="5"/>
      <c r="BR307" s="65">
        <v>8.5000000000000006E-2</v>
      </c>
      <c r="BS307" s="5"/>
      <c r="BT307" s="5"/>
      <c r="BU307" s="5"/>
      <c r="BV307" s="65">
        <v>8.5000000000000006E-2</v>
      </c>
      <c r="BW307" s="5"/>
      <c r="BX307" s="5"/>
      <c r="BY307" s="5"/>
      <c r="BZ307" s="65">
        <v>8.5000000000000006E-2</v>
      </c>
      <c r="CA307" s="5"/>
      <c r="CB307" s="5"/>
      <c r="CC307" s="5"/>
      <c r="CD307" s="65">
        <v>8.5000000000000006E-2</v>
      </c>
      <c r="CE307" s="5"/>
      <c r="CF307" s="5"/>
      <c r="CG307" s="5"/>
      <c r="CH307" s="65">
        <v>8.5000000000000006E-2</v>
      </c>
      <c r="CI307" s="5"/>
      <c r="CJ307" s="5"/>
      <c r="CK307" s="5"/>
      <c r="CL307" s="65">
        <v>8.5000000000000006E-2</v>
      </c>
      <c r="CM307" s="5"/>
      <c r="CN307" s="5"/>
      <c r="CO307" s="5"/>
      <c r="CP307" s="65">
        <v>8.5000000000000006E-2</v>
      </c>
      <c r="CQ307" s="5"/>
      <c r="CR307" s="5"/>
      <c r="CS307" s="5"/>
      <c r="CT307" s="65">
        <v>8.5000000000000006E-2</v>
      </c>
      <c r="CU307" s="5"/>
      <c r="CV307" s="5"/>
      <c r="CW307" s="5"/>
      <c r="CX307" s="65">
        <v>8.5000000000000006E-2</v>
      </c>
      <c r="CY307" s="5"/>
      <c r="CZ307" s="5"/>
      <c r="DA307" s="5"/>
      <c r="DB307" s="65">
        <v>8.5000000000000006E-2</v>
      </c>
      <c r="DC307" s="5"/>
      <c r="DD307" s="5"/>
      <c r="DE307" s="5"/>
      <c r="DF307" s="65">
        <v>8.5000000000000006E-2</v>
      </c>
      <c r="DG307" s="5"/>
      <c r="DH307" s="5"/>
      <c r="DI307" s="5"/>
      <c r="DJ307" s="65">
        <v>8.5000000000000006E-2</v>
      </c>
      <c r="DK307" s="5"/>
      <c r="DL307" s="5"/>
      <c r="DM307" s="5"/>
      <c r="DN307" s="65">
        <v>8.5000000000000006E-2</v>
      </c>
      <c r="DO307" s="5"/>
      <c r="DP307" s="5"/>
      <c r="DQ307" s="5"/>
      <c r="DR307" s="65">
        <v>8.5000000000000006E-2</v>
      </c>
      <c r="DS307" s="5"/>
    </row>
    <row r="308" spans="1:123">
      <c r="A308" s="1" t="s">
        <v>471</v>
      </c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8">
        <f>IF(BJ306&lt;BJ307,(BJ306-BJ307)*BJ305,0)</f>
        <v>0</v>
      </c>
      <c r="BK308" s="5"/>
      <c r="BL308" s="5"/>
      <c r="BM308" s="5"/>
      <c r="BN308" s="8">
        <f>IF(BN306&lt;BN307,(BN306-BN307)*BN305,0)</f>
        <v>0</v>
      </c>
      <c r="BO308" s="5"/>
      <c r="BP308" s="5"/>
      <c r="BQ308" s="5"/>
      <c r="BR308" s="8">
        <f>IF(BR306&lt;BR307,(BR306-BR307)*BR305,0)</f>
        <v>0</v>
      </c>
      <c r="BS308" s="5"/>
      <c r="BT308" s="5"/>
      <c r="BU308" s="5"/>
      <c r="BV308" s="8">
        <f>IF(BV306&lt;BV307,(BV306-BV307)*BV305,0)</f>
        <v>0</v>
      </c>
      <c r="BW308" s="5"/>
      <c r="BX308" s="5"/>
      <c r="BY308" s="5"/>
      <c r="BZ308" s="8">
        <f>IF(BZ306&lt;BZ307,(BZ306-BZ307)*BZ305,0)</f>
        <v>0</v>
      </c>
      <c r="CA308" s="5"/>
      <c r="CB308" s="5"/>
      <c r="CC308" s="5"/>
      <c r="CD308" s="8">
        <f>IF(CD306&lt;CD307,(CD306-CD307)*CD305,0)</f>
        <v>0</v>
      </c>
      <c r="CE308" s="5"/>
      <c r="CF308" s="5"/>
      <c r="CG308" s="5"/>
      <c r="CH308" s="8">
        <f>IF(CH306&lt;CH307,(CH306-CH307)*CH305,0)</f>
        <v>0</v>
      </c>
      <c r="CI308" s="5"/>
      <c r="CJ308" s="5"/>
      <c r="CK308" s="5"/>
      <c r="CL308" s="8">
        <f>IF(CL306&lt;CL307,(CL306-CL307)*CL305,0)</f>
        <v>0</v>
      </c>
      <c r="CM308" s="5"/>
      <c r="CN308" s="5"/>
      <c r="CO308" s="5"/>
      <c r="CP308" s="8">
        <f>IF(CP306&lt;CP307,(CP306-CP307)*CP305,0)</f>
        <v>0</v>
      </c>
      <c r="CQ308" s="5"/>
      <c r="CR308" s="5"/>
      <c r="CS308" s="5"/>
      <c r="CT308" s="8">
        <f>IF(CT306&lt;CT307,(CT306-CT307)*CT305,0)</f>
        <v>0</v>
      </c>
      <c r="CU308" s="5"/>
      <c r="CV308" s="5"/>
      <c r="CW308" s="5"/>
      <c r="CX308" s="8">
        <f>IF(CX306&lt;CX307,(CX306-CX307)*CX305,0)</f>
        <v>0</v>
      </c>
      <c r="CY308" s="5"/>
      <c r="CZ308" s="5"/>
      <c r="DA308" s="5"/>
      <c r="DB308" s="8">
        <f>IF(DB306&lt;DB307,(DB306-DB307)*DB305,0)</f>
        <v>0</v>
      </c>
      <c r="DC308" s="5"/>
      <c r="DD308" s="5"/>
      <c r="DE308" s="5"/>
      <c r="DF308" s="8">
        <f ca="1">IF(DF306&lt;DF307,(DF306-DF307)*DF305,0)</f>
        <v>0</v>
      </c>
      <c r="DG308" s="5"/>
      <c r="DH308" s="5"/>
      <c r="DI308" s="5"/>
      <c r="DJ308" s="8">
        <f ca="1">IF(DJ306&lt;DJ307,(DJ306-DJ307)*DJ305,0)</f>
        <v>0</v>
      </c>
      <c r="DK308" s="5"/>
      <c r="DL308" s="5"/>
      <c r="DM308" s="5"/>
      <c r="DN308" s="8">
        <f ca="1">IF(DN306&lt;DN307,(DN306-DN307)*DN305,0)</f>
        <v>0</v>
      </c>
      <c r="DO308" s="5"/>
      <c r="DP308" s="5"/>
      <c r="DQ308" s="5"/>
      <c r="DR308" s="8">
        <f ca="1">IF(DR306&lt;DR307,(DR306-DR307)*DR305,0)</f>
        <v>0</v>
      </c>
      <c r="DS308" s="5"/>
    </row>
    <row r="309" spans="1:123">
      <c r="A309" s="3" t="s">
        <v>470</v>
      </c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65">
        <v>0.12</v>
      </c>
      <c r="BK309" s="5"/>
      <c r="BL309" s="5"/>
      <c r="BM309" s="5"/>
      <c r="BN309" s="65">
        <v>0.12</v>
      </c>
      <c r="BO309" s="5"/>
      <c r="BP309" s="5"/>
      <c r="BQ309" s="5"/>
      <c r="BR309" s="65">
        <v>0.12</v>
      </c>
      <c r="BS309" s="5"/>
      <c r="BT309" s="5"/>
      <c r="BU309" s="5"/>
      <c r="BV309" s="65">
        <v>0.12</v>
      </c>
      <c r="BW309" s="5"/>
      <c r="BX309" s="5"/>
      <c r="BY309" s="5"/>
      <c r="BZ309" s="65">
        <v>0.12</v>
      </c>
      <c r="CA309" s="5"/>
      <c r="CB309" s="5"/>
      <c r="CC309" s="5"/>
      <c r="CD309" s="65">
        <v>0.12</v>
      </c>
      <c r="CE309" s="5"/>
      <c r="CF309" s="5"/>
      <c r="CG309" s="5"/>
      <c r="CH309" s="65">
        <v>0.12</v>
      </c>
      <c r="CI309" s="5"/>
      <c r="CJ309" s="5"/>
      <c r="CK309" s="5"/>
      <c r="CL309" s="65">
        <v>0.12</v>
      </c>
      <c r="CM309" s="5"/>
      <c r="CN309" s="5"/>
      <c r="CO309" s="5"/>
      <c r="CP309" s="65">
        <v>0.12</v>
      </c>
      <c r="CQ309" s="5"/>
      <c r="CR309" s="5"/>
      <c r="CS309" s="5"/>
      <c r="CT309" s="65">
        <v>0.12</v>
      </c>
      <c r="CU309" s="5"/>
      <c r="CV309" s="5"/>
      <c r="CW309" s="5"/>
      <c r="CX309" s="65">
        <v>0.12</v>
      </c>
      <c r="CY309" s="5"/>
      <c r="CZ309" s="5"/>
      <c r="DA309" s="5"/>
      <c r="DB309" s="65">
        <v>0.12</v>
      </c>
      <c r="DC309" s="5"/>
      <c r="DD309" s="5"/>
      <c r="DE309" s="5"/>
      <c r="DF309" s="65">
        <v>0.12</v>
      </c>
      <c r="DG309" s="5"/>
      <c r="DH309" s="5"/>
      <c r="DI309" s="5"/>
      <c r="DJ309" s="65">
        <v>0.12</v>
      </c>
      <c r="DK309" s="5"/>
      <c r="DL309" s="5"/>
      <c r="DM309" s="5"/>
      <c r="DN309" s="65">
        <v>0.12</v>
      </c>
      <c r="DO309" s="5"/>
      <c r="DP309" s="5"/>
      <c r="DQ309" s="5"/>
      <c r="DR309" s="65">
        <v>0.12</v>
      </c>
      <c r="DS309" s="5"/>
    </row>
    <row r="310" spans="1:123">
      <c r="A310" s="1" t="s">
        <v>472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8">
        <f>IF(BJ306&gt;BJ309,(BJ306-BJ309)*BJ305,0)</f>
        <v>0</v>
      </c>
      <c r="BK310" s="5"/>
      <c r="BL310" s="5"/>
      <c r="BM310" s="5"/>
      <c r="BN310" s="8">
        <f>IF(BN306&gt;BN309,(BN306-BN309)*BN305,0)</f>
        <v>0</v>
      </c>
      <c r="BO310" s="5"/>
      <c r="BP310" s="5"/>
      <c r="BQ310" s="5"/>
      <c r="BR310" s="8">
        <f>IF(BR306&gt;BR309,(BR306-BR309)*BR305,0)</f>
        <v>0</v>
      </c>
      <c r="BS310" s="5"/>
      <c r="BT310" s="5"/>
      <c r="BU310" s="5"/>
      <c r="BV310" s="8">
        <f>IF(BV306&gt;BV309,(BV306-BV309)*BV305,0)</f>
        <v>0</v>
      </c>
      <c r="BW310" s="5"/>
      <c r="BX310" s="5"/>
      <c r="BY310" s="5"/>
      <c r="BZ310" s="8">
        <f>IF(BZ306&gt;BZ309,(BZ306-BZ309)*BZ305,0)</f>
        <v>0</v>
      </c>
      <c r="CA310" s="5"/>
      <c r="CB310" s="5"/>
      <c r="CC310" s="5"/>
      <c r="CD310" s="8">
        <f>IF(CD306&gt;CD309,(CD306-CD309)*CD305,0)</f>
        <v>0</v>
      </c>
      <c r="CE310" s="5"/>
      <c r="CF310" s="5"/>
      <c r="CG310" s="5"/>
      <c r="CH310" s="8">
        <f>IF(CH306&gt;CH309,(CH306-CH309)*CH305,0)</f>
        <v>0</v>
      </c>
      <c r="CI310" s="5"/>
      <c r="CJ310" s="5"/>
      <c r="CK310" s="5"/>
      <c r="CL310" s="8">
        <f>IF(CL306&gt;CL309,(CL306-CL309)*CL305,0)</f>
        <v>0</v>
      </c>
      <c r="CM310" s="5"/>
      <c r="CN310" s="5"/>
      <c r="CO310" s="5"/>
      <c r="CP310" s="8">
        <f>IF(CP306&gt;CP309,(CP306-CP309)*CP305,0)</f>
        <v>0</v>
      </c>
      <c r="CQ310" s="5"/>
      <c r="CR310" s="5"/>
      <c r="CS310" s="5"/>
      <c r="CT310" s="8">
        <f>IF(CT306&gt;CT309,(CT306-CT309)*CT305,0)</f>
        <v>0</v>
      </c>
      <c r="CU310" s="5"/>
      <c r="CV310" s="5"/>
      <c r="CW310" s="5"/>
      <c r="CX310" s="8">
        <f>IF(CX306&gt;CX309,(CX306-CX309)*CX305,0)</f>
        <v>0</v>
      </c>
      <c r="CY310" s="5"/>
      <c r="CZ310" s="5"/>
      <c r="DA310" s="5"/>
      <c r="DB310" s="8">
        <f>IF(DB306&gt;DB309,(DB306-DB309)*DB305,0)</f>
        <v>0</v>
      </c>
      <c r="DC310" s="5"/>
      <c r="DD310" s="5"/>
      <c r="DE310" s="5"/>
      <c r="DF310" s="8">
        <f ca="1">IF(DF306&gt;DF309,(DF306-DF309)*DF305,0)</f>
        <v>0</v>
      </c>
      <c r="DG310" s="5"/>
      <c r="DH310" s="5"/>
      <c r="DI310" s="5"/>
      <c r="DJ310" s="8">
        <f ca="1">IF(DJ306&gt;DJ309,(DJ306-DJ309)*DJ305,0)</f>
        <v>0</v>
      </c>
      <c r="DK310" s="5"/>
      <c r="DL310" s="5"/>
      <c r="DM310" s="5"/>
      <c r="DN310" s="8">
        <f ca="1">IF(DN306&gt;DN309,(DN306-DN309)*DN305,0)</f>
        <v>0</v>
      </c>
      <c r="DO310" s="5"/>
      <c r="DP310" s="5"/>
      <c r="DQ310" s="5"/>
      <c r="DR310" s="8">
        <f ca="1">IF(DR306&gt;DR309,(DR306-DR309)*DR305,0)</f>
        <v>0</v>
      </c>
      <c r="DS310" s="5"/>
    </row>
    <row r="312" spans="1:123">
      <c r="A312" s="2" t="s">
        <v>786</v>
      </c>
      <c r="BF312" s="22">
        <f t="shared" ref="BF312:BF319" si="301">BF106</f>
        <v>346.81496099999998</v>
      </c>
      <c r="BJ312" s="22">
        <f t="shared" ref="BJ312:BJ319" si="302">BJ106</f>
        <v>348.584383</v>
      </c>
      <c r="BN312" s="22">
        <f t="shared" ref="BN312:BN319" si="303">BN106</f>
        <v>339.50657799999999</v>
      </c>
      <c r="BR312" s="22">
        <f t="shared" ref="BR312:BR319" si="304">BR106</f>
        <v>321.07474999999999</v>
      </c>
      <c r="BV312" s="22">
        <f t="shared" ref="BV312:BV319" si="305">BV106</f>
        <v>333.45777700000002</v>
      </c>
      <c r="BZ312" s="22">
        <f t="shared" ref="BZ312:BZ319" si="306">BZ106</f>
        <v>340.30238900000001</v>
      </c>
      <c r="CD312" s="22">
        <f t="shared" ref="CD312:CD319" si="307">CD106</f>
        <v>340.35173099999997</v>
      </c>
      <c r="CH312" s="22">
        <f t="shared" ref="CH312:CH319" si="308">CH106</f>
        <v>340.36482000000001</v>
      </c>
      <c r="CL312" s="22">
        <f t="shared" ref="CL312:CL319" si="309">CL106</f>
        <v>340.38273800000002</v>
      </c>
      <c r="CP312" s="1851">
        <f>+CP106</f>
        <v>354.381396</v>
      </c>
      <c r="CT312" s="1851">
        <f>+CT106</f>
        <v>361.82137699999998</v>
      </c>
      <c r="CX312" s="1851">
        <f>+CX106</f>
        <v>383.64763699999997</v>
      </c>
      <c r="DB312" s="22">
        <f>CX317</f>
        <v>386.47675400000003</v>
      </c>
      <c r="DF312" s="22">
        <f>DB317</f>
        <v>386.47675400000003</v>
      </c>
      <c r="DJ312" s="22">
        <f>DF317</f>
        <v>386.47675400000003</v>
      </c>
      <c r="DN312" s="22">
        <f>DJ317</f>
        <v>387.42960003750005</v>
      </c>
      <c r="DR312" s="22">
        <f>DN317</f>
        <v>389.34244441306902</v>
      </c>
    </row>
    <row r="313" spans="1:123">
      <c r="A313" s="1" t="s">
        <v>64</v>
      </c>
      <c r="BF313" s="20">
        <f t="shared" si="301"/>
        <v>0</v>
      </c>
      <c r="BJ313" s="20">
        <f t="shared" si="302"/>
        <v>0</v>
      </c>
      <c r="BN313" s="20">
        <f t="shared" si="303"/>
        <v>0</v>
      </c>
      <c r="BR313" s="20">
        <f t="shared" si="304"/>
        <v>9.1154360000000008</v>
      </c>
      <c r="BV313" s="20">
        <f t="shared" si="305"/>
        <v>6.7479440000000004</v>
      </c>
      <c r="BZ313" s="20">
        <f t="shared" si="306"/>
        <v>0</v>
      </c>
      <c r="CD313" s="20">
        <f t="shared" si="307"/>
        <v>0</v>
      </c>
      <c r="CH313" s="20">
        <f t="shared" si="308"/>
        <v>0</v>
      </c>
      <c r="CL313" s="20">
        <f t="shared" si="309"/>
        <v>13.998657999999999</v>
      </c>
      <c r="CP313" s="449">
        <f t="shared" ref="CP313:CP319" si="310">+CP107</f>
        <v>0</v>
      </c>
      <c r="CT313" s="449">
        <f t="shared" ref="CT313:CT319" si="311">+CT107</f>
        <v>14.408999999999999</v>
      </c>
      <c r="CX313" s="449">
        <f t="shared" ref="CX313:CX319" si="312">+CX107</f>
        <v>0</v>
      </c>
      <c r="DB313" s="20">
        <v>0</v>
      </c>
      <c r="DF313" s="20">
        <v>0</v>
      </c>
      <c r="DJ313" s="20">
        <v>0</v>
      </c>
      <c r="DN313" s="20">
        <v>0</v>
      </c>
      <c r="DR313" s="20">
        <v>0</v>
      </c>
    </row>
    <row r="314" spans="1:123">
      <c r="A314" s="1" t="s">
        <v>101</v>
      </c>
      <c r="BF314" s="20">
        <f t="shared" si="301"/>
        <v>0</v>
      </c>
      <c r="BJ314" s="20">
        <f t="shared" si="302"/>
        <v>-9.8090489999999999</v>
      </c>
      <c r="BN314" s="20">
        <f t="shared" si="303"/>
        <v>0</v>
      </c>
      <c r="BR314" s="20">
        <f t="shared" si="304"/>
        <v>0</v>
      </c>
      <c r="BV314" s="20">
        <f t="shared" si="305"/>
        <v>0</v>
      </c>
      <c r="BZ314" s="20">
        <f t="shared" si="306"/>
        <v>0</v>
      </c>
      <c r="CD314" s="20">
        <f t="shared" si="307"/>
        <v>0</v>
      </c>
      <c r="CH314" s="20">
        <f t="shared" si="308"/>
        <v>0</v>
      </c>
      <c r="CL314" s="20">
        <f t="shared" si="309"/>
        <v>0</v>
      </c>
      <c r="CP314" s="449">
        <f t="shared" si="310"/>
        <v>0</v>
      </c>
      <c r="CT314" s="449">
        <f t="shared" si="311"/>
        <v>0</v>
      </c>
      <c r="CX314" s="449">
        <f t="shared" si="312"/>
        <v>0</v>
      </c>
      <c r="DB314" s="20">
        <v>0</v>
      </c>
      <c r="DF314" s="20">
        <v>0</v>
      </c>
      <c r="DJ314" s="20">
        <v>0</v>
      </c>
      <c r="DN314" s="20">
        <v>0</v>
      </c>
      <c r="DR314" s="20">
        <v>0</v>
      </c>
    </row>
    <row r="315" spans="1:123">
      <c r="A315" s="1" t="s">
        <v>65</v>
      </c>
      <c r="BF315" s="20">
        <f t="shared" si="301"/>
        <v>1.4071530000000001</v>
      </c>
      <c r="BJ315" s="20">
        <f t="shared" si="302"/>
        <v>0</v>
      </c>
      <c r="BN315" s="20">
        <f t="shared" si="303"/>
        <v>0</v>
      </c>
      <c r="BR315" s="20">
        <f t="shared" si="304"/>
        <v>2.967273</v>
      </c>
      <c r="BV315" s="20">
        <f t="shared" si="305"/>
        <v>2.6245000000000001E-2</v>
      </c>
      <c r="BZ315" s="20">
        <f t="shared" si="306"/>
        <v>0</v>
      </c>
      <c r="CD315" s="20">
        <f t="shared" si="307"/>
        <v>0</v>
      </c>
      <c r="CH315" s="20">
        <f t="shared" si="308"/>
        <v>0</v>
      </c>
      <c r="CL315" s="20">
        <f t="shared" si="309"/>
        <v>0</v>
      </c>
      <c r="CP315" s="449">
        <f t="shared" si="310"/>
        <v>2.261063</v>
      </c>
      <c r="CT315" s="449">
        <f t="shared" si="311"/>
        <v>3.3000050000000001</v>
      </c>
      <c r="CX315" s="449">
        <f t="shared" si="312"/>
        <v>2.7367370000000002</v>
      </c>
      <c r="DB315" s="20">
        <v>0</v>
      </c>
      <c r="DF315" s="20">
        <v>0</v>
      </c>
      <c r="DJ315" s="20">
        <v>0</v>
      </c>
      <c r="DN315" s="20">
        <v>0</v>
      </c>
      <c r="DR315" s="20">
        <v>0</v>
      </c>
    </row>
    <row r="316" spans="1:123">
      <c r="A316" s="1" t="s">
        <v>66</v>
      </c>
      <c r="BF316" s="20">
        <f t="shared" si="301"/>
        <v>0.36226900000001994</v>
      </c>
      <c r="BJ316" s="20">
        <f t="shared" si="302"/>
        <v>0.73124399999998779</v>
      </c>
      <c r="BN316" s="20">
        <f t="shared" si="303"/>
        <v>-18.431827999999996</v>
      </c>
      <c r="BR316" s="20">
        <f t="shared" si="304"/>
        <v>0.30031800000002606</v>
      </c>
      <c r="BV316" s="20">
        <f t="shared" si="305"/>
        <v>7.0422999999983318E-2</v>
      </c>
      <c r="BZ316" s="20">
        <f t="shared" si="306"/>
        <v>4.9341999999967356E-2</v>
      </c>
      <c r="CD316" s="20">
        <f t="shared" si="307"/>
        <v>1.3089000000036322E-2</v>
      </c>
      <c r="CH316" s="20">
        <f t="shared" si="308"/>
        <v>1.791800000000876E-2</v>
      </c>
      <c r="CL316" s="20">
        <f t="shared" si="309"/>
        <v>-2.1316282072803006E-14</v>
      </c>
      <c r="CP316" s="449">
        <f t="shared" si="310"/>
        <v>5.1789179999999888</v>
      </c>
      <c r="CT316" s="449">
        <f t="shared" si="311"/>
        <v>4.1172549999999912</v>
      </c>
      <c r="CX316" s="449">
        <f t="shared" si="312"/>
        <v>9.2380000000053197E-2</v>
      </c>
      <c r="DB316" s="20">
        <f>DB110</f>
        <v>-2.042810365310288E-14</v>
      </c>
      <c r="DF316" s="20">
        <f>DF110</f>
        <v>1.3322676295501878E-15</v>
      </c>
      <c r="DJ316" s="20">
        <f>DJ110</f>
        <v>0.95284603750000008</v>
      </c>
      <c r="DN316" s="20">
        <f>DN110</f>
        <v>1.9128443755689846</v>
      </c>
      <c r="DR316" s="20">
        <f>DR110</f>
        <v>1.9224205527241769</v>
      </c>
    </row>
    <row r="317" spans="1:123">
      <c r="A317" s="2" t="s">
        <v>787</v>
      </c>
      <c r="BF317" s="22">
        <f t="shared" si="301"/>
        <v>348.584383</v>
      </c>
      <c r="BJ317" s="22">
        <f t="shared" si="302"/>
        <v>339.50657799999999</v>
      </c>
      <c r="BN317" s="22">
        <f t="shared" si="303"/>
        <v>321.07474999999999</v>
      </c>
      <c r="BR317" s="22">
        <f t="shared" si="304"/>
        <v>333.45777700000002</v>
      </c>
      <c r="BV317" s="22">
        <f t="shared" si="305"/>
        <v>340.30238900000001</v>
      </c>
      <c r="BZ317" s="22">
        <f t="shared" si="306"/>
        <v>340.35173099999997</v>
      </c>
      <c r="CD317" s="22">
        <f t="shared" si="307"/>
        <v>340.36482000000001</v>
      </c>
      <c r="CH317" s="22">
        <f t="shared" si="308"/>
        <v>340.38273800000002</v>
      </c>
      <c r="CL317" s="22">
        <f t="shared" si="309"/>
        <v>354.381396</v>
      </c>
      <c r="CP317" s="1851">
        <f t="shared" si="310"/>
        <v>361.82137699999998</v>
      </c>
      <c r="CT317" s="1851">
        <f t="shared" si="311"/>
        <v>383.64763699999997</v>
      </c>
      <c r="CX317" s="1851">
        <f t="shared" si="312"/>
        <v>386.47675400000003</v>
      </c>
      <c r="DB317" s="22">
        <f>SUM(DB312:DB316)</f>
        <v>386.47675400000003</v>
      </c>
      <c r="DF317" s="22">
        <f>SUM(DF312:DF316)</f>
        <v>386.47675400000003</v>
      </c>
      <c r="DJ317" s="22">
        <f>SUM(DJ312:DJ316)</f>
        <v>387.42960003750005</v>
      </c>
      <c r="DN317" s="22">
        <f>SUM(DN312:DN316)</f>
        <v>389.34244441306902</v>
      </c>
      <c r="DR317" s="22">
        <f>SUM(DR312:DR316)</f>
        <v>391.26486496579321</v>
      </c>
    </row>
    <row r="318" spans="1:123">
      <c r="A318" s="3" t="s">
        <v>153</v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51">
        <f t="shared" si="301"/>
        <v>347.99235199999998</v>
      </c>
      <c r="BG318" s="9"/>
      <c r="BH318" s="9"/>
      <c r="BI318" s="9"/>
      <c r="BJ318" s="51">
        <f t="shared" si="302"/>
        <v>341.52729575000001</v>
      </c>
      <c r="BK318" s="9"/>
      <c r="BL318" s="9"/>
      <c r="BM318" s="9"/>
      <c r="BN318" s="51">
        <f t="shared" si="303"/>
        <v>335.08935000000002</v>
      </c>
      <c r="BO318" s="9"/>
      <c r="BP318" s="9"/>
      <c r="BQ318" s="9"/>
      <c r="BR318" s="51">
        <f t="shared" si="304"/>
        <v>324.23462874999996</v>
      </c>
      <c r="BS318" s="9"/>
      <c r="BT318" s="9"/>
      <c r="BU318" s="9"/>
      <c r="BV318" s="51">
        <f t="shared" si="305"/>
        <v>335.20602150000002</v>
      </c>
      <c r="BW318" s="9"/>
      <c r="BX318" s="9"/>
      <c r="BY318" s="9"/>
      <c r="BZ318" s="51">
        <f t="shared" si="306"/>
        <v>340.33276699999999</v>
      </c>
      <c r="CA318" s="9"/>
      <c r="CB318" s="9"/>
      <c r="CC318" s="9"/>
      <c r="CD318" s="51">
        <f t="shared" si="307"/>
        <v>340.35808925000003</v>
      </c>
      <c r="CE318" s="9"/>
      <c r="CF318" s="9"/>
      <c r="CG318" s="9"/>
      <c r="CH318" s="51">
        <f t="shared" si="308"/>
        <v>340.37825850000002</v>
      </c>
      <c r="CI318" s="9"/>
      <c r="CJ318" s="9"/>
      <c r="CK318" s="9"/>
      <c r="CL318" s="51">
        <f t="shared" si="309"/>
        <v>350.87926700000003</v>
      </c>
      <c r="CM318" s="9"/>
      <c r="CN318" s="9"/>
      <c r="CO318" s="9"/>
      <c r="CP318" s="1852">
        <f t="shared" si="310"/>
        <v>359.80250675000002</v>
      </c>
      <c r="CQ318" s="9"/>
      <c r="CR318" s="9"/>
      <c r="CS318" s="9"/>
      <c r="CT318" s="1852">
        <f t="shared" si="311"/>
        <v>370.77883800000001</v>
      </c>
      <c r="CU318" s="9"/>
      <c r="CV318" s="9"/>
      <c r="CW318" s="9"/>
      <c r="CX318" s="1852">
        <f t="shared" si="312"/>
        <v>385.76947475000003</v>
      </c>
      <c r="CY318" s="9"/>
      <c r="CZ318" s="9"/>
      <c r="DA318" s="9"/>
      <c r="DB318" s="51">
        <f>AVERAGE(DB317,CX317)</f>
        <v>386.47675400000003</v>
      </c>
      <c r="DC318" s="9"/>
      <c r="DD318" s="9"/>
      <c r="DE318" s="9"/>
      <c r="DF318" s="51">
        <f>AVERAGE(DF317,DB317)</f>
        <v>386.47675400000003</v>
      </c>
      <c r="DG318" s="9"/>
      <c r="DH318" s="9"/>
      <c r="DI318" s="9"/>
      <c r="DJ318" s="51">
        <f>AVERAGE(DJ317,DF317)</f>
        <v>386.95317701875001</v>
      </c>
      <c r="DK318" s="9"/>
      <c r="DL318" s="9"/>
      <c r="DM318" s="9"/>
      <c r="DN318" s="51">
        <f>AVERAGE(DN317,DJ317)</f>
        <v>388.38602222528453</v>
      </c>
      <c r="DO318" s="9"/>
      <c r="DP318" s="9"/>
      <c r="DQ318" s="9"/>
      <c r="DR318" s="51">
        <f>AVERAGE(DR317,DN317)</f>
        <v>390.30365468943114</v>
      </c>
      <c r="DS318" s="9"/>
    </row>
    <row r="319" spans="1:123">
      <c r="A319" s="3" t="s">
        <v>152</v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51">
        <f t="shared" si="301"/>
        <v>327.01473700000003</v>
      </c>
      <c r="BG319" s="9"/>
      <c r="BH319" s="9"/>
      <c r="BI319" s="9"/>
      <c r="BJ319" s="51">
        <f t="shared" si="302"/>
        <v>314.51878900000003</v>
      </c>
      <c r="BK319" s="9"/>
      <c r="BL319" s="9"/>
      <c r="BM319" s="9"/>
      <c r="BN319" s="51">
        <f t="shared" si="303"/>
        <v>306.08165700000001</v>
      </c>
      <c r="BO319" s="9"/>
      <c r="BP319" s="9"/>
      <c r="BQ319" s="9"/>
      <c r="BR319" s="51">
        <f t="shared" si="304"/>
        <v>298.05655400000001</v>
      </c>
      <c r="BS319" s="9"/>
      <c r="BT319" s="9"/>
      <c r="BU319" s="9"/>
      <c r="BV319" s="51">
        <f t="shared" si="305"/>
        <v>315.07742000000002</v>
      </c>
      <c r="BW319" s="9"/>
      <c r="BX319" s="9"/>
      <c r="BY319" s="9"/>
      <c r="BZ319" s="51">
        <f t="shared" si="306"/>
        <v>321.14715999999999</v>
      </c>
      <c r="CA319" s="9"/>
      <c r="CB319" s="9"/>
      <c r="CC319" s="9"/>
      <c r="CD319" s="51">
        <f t="shared" si="307"/>
        <v>322.47566</v>
      </c>
      <c r="CE319" s="9"/>
      <c r="CF319" s="9"/>
      <c r="CG319" s="9"/>
      <c r="CH319" s="51">
        <f t="shared" si="308"/>
        <v>324.00468599999999</v>
      </c>
      <c r="CI319" s="9"/>
      <c r="CJ319" s="9"/>
      <c r="CK319" s="9"/>
      <c r="CL319" s="51">
        <f t="shared" si="309"/>
        <v>333.23437699999999</v>
      </c>
      <c r="CM319" s="9"/>
      <c r="CN319" s="9"/>
      <c r="CO319" s="9"/>
      <c r="CP319" s="1852">
        <f t="shared" si="310"/>
        <v>345.94075900000001</v>
      </c>
      <c r="CQ319" s="9"/>
      <c r="CR319" s="9"/>
      <c r="CS319" s="9"/>
      <c r="CT319" s="1852">
        <f t="shared" si="311"/>
        <v>358.49600600000002</v>
      </c>
      <c r="CU319" s="9"/>
      <c r="CV319" s="9"/>
      <c r="CW319" s="9"/>
      <c r="CX319" s="1852">
        <f t="shared" si="312"/>
        <v>370.47358700000001</v>
      </c>
      <c r="CY319" s="9"/>
      <c r="CZ319" s="9"/>
      <c r="DA319" s="9"/>
      <c r="DB319" s="51">
        <f>+DB318+(CX319-CX318)</f>
        <v>371.18086625000001</v>
      </c>
      <c r="DC319" s="9"/>
      <c r="DD319" s="9"/>
      <c r="DE319" s="9"/>
      <c r="DF319" s="51">
        <f>+DF318+(DB319-DB318)</f>
        <v>371.18086625000001</v>
      </c>
      <c r="DG319" s="9"/>
      <c r="DH319" s="9"/>
      <c r="DI319" s="9"/>
      <c r="DJ319" s="51">
        <f>+DJ318+(DF319-DF318)</f>
        <v>371.65728926874999</v>
      </c>
      <c r="DK319" s="9"/>
      <c r="DL319" s="9"/>
      <c r="DM319" s="9"/>
      <c r="DN319" s="51">
        <f>+DN318+(DJ319-DJ318)</f>
        <v>373.09013447528451</v>
      </c>
      <c r="DO319" s="9"/>
      <c r="DP319" s="9"/>
      <c r="DQ319" s="9"/>
      <c r="DR319" s="51">
        <f>+DR318+(DN319-DN318)</f>
        <v>375.00776693943112</v>
      </c>
      <c r="DS319" s="9"/>
    </row>
    <row r="321" spans="1:125">
      <c r="A321" s="2" t="s">
        <v>75</v>
      </c>
      <c r="BF321" s="7">
        <f>BF115</f>
        <v>730.65376000000037</v>
      </c>
      <c r="BJ321" s="7">
        <f>BJ115</f>
        <v>851.49</v>
      </c>
      <c r="BN321" s="7">
        <f>BN115</f>
        <v>1267.49</v>
      </c>
      <c r="BR321" s="7">
        <f>BR115</f>
        <v>1604.49</v>
      </c>
      <c r="BV321" s="7">
        <f>BV115</f>
        <v>2063.4899999999998</v>
      </c>
      <c r="BZ321" s="7">
        <f>BZ115</f>
        <v>2217.4899999999998</v>
      </c>
      <c r="CD321" s="7">
        <f>CD115</f>
        <v>2557.4899999999998</v>
      </c>
      <c r="CH321" s="7">
        <f>CH115</f>
        <v>2982.49</v>
      </c>
      <c r="CL321" s="7">
        <f>CL115</f>
        <v>2731.49</v>
      </c>
      <c r="CP321" s="7">
        <f>CP288</f>
        <v>3015</v>
      </c>
      <c r="CT321" s="7">
        <f>CT288</f>
        <v>4706</v>
      </c>
      <c r="CX321" s="7">
        <f>CX288</f>
        <v>5182</v>
      </c>
      <c r="DB321" s="7">
        <f>DB288</f>
        <v>3522</v>
      </c>
      <c r="DF321" s="7">
        <f ca="1">DF288</f>
        <v>3715</v>
      </c>
      <c r="DJ321" s="7">
        <f ca="1">DJ288</f>
        <v>2453.6144689586936</v>
      </c>
      <c r="DN321" s="7">
        <f ca="1">DN288</f>
        <v>3200.6026815185792</v>
      </c>
      <c r="DR321" s="7">
        <f ca="1">DR288</f>
        <v>2713.6224827347519</v>
      </c>
    </row>
    <row r="322" spans="1:125">
      <c r="A322" s="12" t="s">
        <v>479</v>
      </c>
      <c r="BF322" s="8">
        <f>BF116</f>
        <v>-43</v>
      </c>
      <c r="BJ322" s="8">
        <f>BJ116</f>
        <v>-61</v>
      </c>
      <c r="BN322" s="8">
        <f>BN116</f>
        <v>-91</v>
      </c>
      <c r="BR322" s="8">
        <f>BR116</f>
        <v>-107</v>
      </c>
      <c r="BV322" s="8">
        <f>BV116</f>
        <v>-112</v>
      </c>
      <c r="BZ322" s="8">
        <f>BZ116</f>
        <v>-105</v>
      </c>
      <c r="CD322" s="8">
        <f>CD116</f>
        <v>-112</v>
      </c>
      <c r="CH322" s="8">
        <f>CH116</f>
        <v>-120</v>
      </c>
      <c r="CL322" s="8">
        <f>CL116</f>
        <v>-95</v>
      </c>
      <c r="CP322" s="8">
        <f>CP116</f>
        <v>-99</v>
      </c>
      <c r="CT322" s="8">
        <f>CT116</f>
        <v>-147</v>
      </c>
      <c r="CX322" s="8">
        <f>CX116</f>
        <v>-167</v>
      </c>
      <c r="DB322" s="8">
        <f>DB116</f>
        <v>-137</v>
      </c>
      <c r="DF322" s="8">
        <f>DF116</f>
        <v>-132</v>
      </c>
      <c r="DJ322" s="8">
        <f>DJ116</f>
        <v>-136.14819981271509</v>
      </c>
      <c r="DN322" s="8">
        <f>DN116</f>
        <v>-149.20021481926057</v>
      </c>
      <c r="DR322" s="8">
        <f>DR116</f>
        <v>-160.62203920175656</v>
      </c>
    </row>
    <row r="323" spans="1:125">
      <c r="A323" s="2" t="s">
        <v>68</v>
      </c>
      <c r="BF323" s="7">
        <f>BF117</f>
        <v>687.65376000000037</v>
      </c>
      <c r="BJ323" s="7">
        <f>BJ117</f>
        <v>790.49</v>
      </c>
      <c r="BN323" s="7">
        <f>BN117</f>
        <v>1176.49</v>
      </c>
      <c r="BR323" s="7">
        <f>BR117</f>
        <v>1497.49</v>
      </c>
      <c r="BV323" s="7">
        <f>BV117</f>
        <v>1951.4899999999998</v>
      </c>
      <c r="BZ323" s="7">
        <f>BZ117</f>
        <v>2112.4899999999998</v>
      </c>
      <c r="CD323" s="7">
        <f>CD117</f>
        <v>2445.4899999999998</v>
      </c>
      <c r="CH323" s="7">
        <f>CH117</f>
        <v>2862.49</v>
      </c>
      <c r="CL323" s="7">
        <f>CL117</f>
        <v>2636.49</v>
      </c>
      <c r="CP323" s="7">
        <f>SUM(CP321:CP322)</f>
        <v>2916</v>
      </c>
      <c r="CT323" s="7">
        <f>SUM(CT321:CT322)</f>
        <v>4559</v>
      </c>
      <c r="CX323" s="7">
        <f>SUM(CX321:CX322)</f>
        <v>5015</v>
      </c>
      <c r="DB323" s="7">
        <f>SUM(DB321:DB322)</f>
        <v>3385</v>
      </c>
      <c r="DF323" s="7">
        <f ca="1">SUM(DF321:DF322)</f>
        <v>3583</v>
      </c>
      <c r="DJ323" s="7">
        <f ca="1">SUM(DJ321:DJ322)</f>
        <v>2317.4662691459785</v>
      </c>
      <c r="DN323" s="7">
        <f ca="1">SUM(DN321:DN322)</f>
        <v>3051.4024666993187</v>
      </c>
      <c r="DR323" s="7">
        <f ca="1">SUM(DR321:DR322)</f>
        <v>2553.0004435329952</v>
      </c>
    </row>
    <row r="324" spans="1:125" ht="14.4" thickBot="1">
      <c r="A324" s="1" t="s">
        <v>788</v>
      </c>
      <c r="BF324" s="24">
        <f>BF118</f>
        <v>327.01473700000003</v>
      </c>
      <c r="BJ324" s="24">
        <f>BJ118</f>
        <v>314.71878900000002</v>
      </c>
      <c r="BN324" s="24">
        <f>BN118</f>
        <v>306.16665699999999</v>
      </c>
      <c r="BR324" s="24">
        <f>BR118</f>
        <v>298.109554</v>
      </c>
      <c r="BV324" s="24">
        <f>BV118</f>
        <v>315.07742000000002</v>
      </c>
      <c r="BZ324" s="24">
        <f>BZ118</f>
        <v>321.14715999999999</v>
      </c>
      <c r="CD324" s="24">
        <f>CD118</f>
        <v>322.47566</v>
      </c>
      <c r="CH324" s="24">
        <f>CH118</f>
        <v>324.00468599999999</v>
      </c>
      <c r="CL324" s="24">
        <f>CL118</f>
        <v>333.23437699999999</v>
      </c>
      <c r="CP324" s="24">
        <f>CP319</f>
        <v>345.94075900000001</v>
      </c>
      <c r="CT324" s="24">
        <f>CT319</f>
        <v>358.49600600000002</v>
      </c>
      <c r="CX324" s="24">
        <f>CX319</f>
        <v>370.47358700000001</v>
      </c>
      <c r="DB324" s="24">
        <f>DB319</f>
        <v>371.18086625000001</v>
      </c>
      <c r="DF324" s="24">
        <f>DF319</f>
        <v>371.18086625000001</v>
      </c>
      <c r="DJ324" s="24">
        <f>DJ319</f>
        <v>371.65728926874999</v>
      </c>
      <c r="DN324" s="24">
        <f>DN319</f>
        <v>373.09013447528451</v>
      </c>
      <c r="DR324" s="24">
        <f>DR319</f>
        <v>375.00776693943112</v>
      </c>
    </row>
    <row r="325" spans="1:125" ht="14.4" thickBot="1">
      <c r="A325" s="80" t="s">
        <v>81</v>
      </c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  <c r="AA325" s="81"/>
      <c r="AB325" s="81"/>
      <c r="AC325" s="81"/>
      <c r="AD325" s="81"/>
      <c r="AE325" s="81"/>
      <c r="AF325" s="81"/>
      <c r="AG325" s="81"/>
      <c r="AH325" s="81"/>
      <c r="AI325" s="81"/>
      <c r="AJ325" s="81"/>
      <c r="AK325" s="81"/>
      <c r="AL325" s="81"/>
      <c r="AM325" s="81"/>
      <c r="AN325" s="81"/>
      <c r="AO325" s="81"/>
      <c r="AP325" s="81"/>
      <c r="AQ325" s="81"/>
      <c r="AR325" s="81"/>
      <c r="AS325" s="81"/>
      <c r="AT325" s="81"/>
      <c r="AU325" s="81"/>
      <c r="AV325" s="82"/>
      <c r="AW325" s="82"/>
      <c r="AX325" s="82"/>
      <c r="AY325" s="82"/>
      <c r="AZ325" s="82"/>
      <c r="BA325" s="82"/>
      <c r="BB325" s="82"/>
      <c r="BC325" s="82"/>
      <c r="BD325" s="82"/>
      <c r="BE325" s="82"/>
      <c r="BF325" s="87">
        <f>BF119</f>
        <v>210.2821928786654</v>
      </c>
      <c r="BG325" s="82"/>
      <c r="BH325" s="82"/>
      <c r="BI325" s="82"/>
      <c r="BJ325" s="87">
        <f>BJ119</f>
        <v>251.1734372490865</v>
      </c>
      <c r="BK325" s="82"/>
      <c r="BL325" s="82"/>
      <c r="BM325" s="82"/>
      <c r="BN325" s="87">
        <f>BN119</f>
        <v>384.26457391798874</v>
      </c>
      <c r="BO325" s="82"/>
      <c r="BP325" s="82"/>
      <c r="BQ325" s="82"/>
      <c r="BR325" s="87">
        <f>BR119</f>
        <v>502.32875126169216</v>
      </c>
      <c r="BS325" s="82"/>
      <c r="BT325" s="82"/>
      <c r="BU325" s="82"/>
      <c r="BV325" s="87">
        <f>BV119</f>
        <v>619.36840792970804</v>
      </c>
      <c r="BW325" s="82"/>
      <c r="BX325" s="82"/>
      <c r="BY325" s="82"/>
      <c r="BZ325" s="87">
        <f>BZ119</f>
        <v>657.79501210597653</v>
      </c>
      <c r="CA325" s="82"/>
      <c r="CB325" s="82"/>
      <c r="CC325" s="82"/>
      <c r="CD325" s="87">
        <f>CD119</f>
        <v>758.34870762028982</v>
      </c>
      <c r="CE325" s="82"/>
      <c r="CF325" s="82"/>
      <c r="CG325" s="82"/>
      <c r="CH325" s="87">
        <f>CH119</f>
        <v>883.47179028145285</v>
      </c>
      <c r="CI325" s="82"/>
      <c r="CJ325" s="82"/>
      <c r="CK325" s="82"/>
      <c r="CL325" s="87">
        <f>CL119</f>
        <v>791.18187737275366</v>
      </c>
      <c r="CM325" s="82"/>
      <c r="CN325" s="82"/>
      <c r="CO325" s="82"/>
      <c r="CP325" s="87">
        <f>+CP323/(CP324/100)</f>
        <v>842.9188883175226</v>
      </c>
      <c r="CQ325" s="82"/>
      <c r="CR325" s="82"/>
      <c r="CS325" s="82"/>
      <c r="CT325" s="87">
        <f>+CT323/(CT324/100)</f>
        <v>1271.7017550259679</v>
      </c>
      <c r="CU325" s="82"/>
      <c r="CV325" s="82"/>
      <c r="CW325" s="82"/>
      <c r="CX325" s="87">
        <f>+CX323/(CX324/100)</f>
        <v>1353.6727518445196</v>
      </c>
      <c r="CY325" s="82"/>
      <c r="CZ325" s="82"/>
      <c r="DA325" s="82"/>
      <c r="DB325" s="87">
        <f>+DB323/(DB324/100)</f>
        <v>911.95433487676439</v>
      </c>
      <c r="DC325" s="82"/>
      <c r="DD325" s="82"/>
      <c r="DE325" s="82"/>
      <c r="DF325" s="87">
        <f ca="1">+DF323/(DF324/100)</f>
        <v>965.29760173218517</v>
      </c>
      <c r="DG325" s="82"/>
      <c r="DH325" s="82"/>
      <c r="DI325" s="82"/>
      <c r="DJ325" s="87">
        <f ca="1">+DJ323/(DJ324/100)</f>
        <v>623.54925789446577</v>
      </c>
      <c r="DK325" s="82"/>
      <c r="DL325" s="82"/>
      <c r="DM325" s="82"/>
      <c r="DN325" s="87">
        <f ca="1">+DN323/(DN324/100)</f>
        <v>817.87272959946358</v>
      </c>
      <c r="DO325" s="82"/>
      <c r="DP325" s="82"/>
      <c r="DQ325" s="82"/>
      <c r="DR325" s="87">
        <f ca="1">+DR323/(DR324/100)</f>
        <v>680.78601794542021</v>
      </c>
      <c r="DS325" s="82"/>
    </row>
    <row r="326" spans="1:125" s="11" customFormat="1">
      <c r="A326" s="2005" t="s">
        <v>43</v>
      </c>
      <c r="B326" s="2005"/>
      <c r="C326" s="2005"/>
      <c r="D326" s="2005"/>
      <c r="E326" s="2005"/>
      <c r="F326" s="2005"/>
      <c r="G326" s="2005"/>
      <c r="H326" s="2005"/>
      <c r="I326" s="2005"/>
      <c r="J326" s="2005"/>
      <c r="K326" s="2005"/>
      <c r="L326" s="2005"/>
      <c r="M326" s="2005"/>
      <c r="N326" s="2005"/>
      <c r="O326" s="2005"/>
      <c r="P326" s="2005"/>
      <c r="Q326" s="2005"/>
      <c r="R326" s="2005"/>
      <c r="S326" s="2005"/>
      <c r="T326" s="2005"/>
      <c r="U326" s="2005"/>
      <c r="V326" s="2005"/>
      <c r="W326" s="2005"/>
      <c r="X326" s="2005"/>
      <c r="Y326" s="2005"/>
      <c r="Z326" s="2005"/>
      <c r="AA326" s="2005"/>
      <c r="AB326" s="2005"/>
      <c r="AC326" s="2005"/>
      <c r="AD326" s="2005"/>
      <c r="AE326" s="2005"/>
      <c r="AF326" s="2005"/>
      <c r="AG326" s="2005"/>
      <c r="AH326" s="2005"/>
      <c r="AI326" s="2005"/>
      <c r="AJ326" s="2005"/>
      <c r="AK326" s="2005"/>
      <c r="AL326" s="2005"/>
      <c r="AM326" s="2005"/>
      <c r="AN326" s="2005"/>
      <c r="AO326" s="2005"/>
      <c r="AP326" s="2005"/>
      <c r="AQ326" s="2005"/>
      <c r="AR326" s="2005"/>
      <c r="AS326" s="2005"/>
      <c r="AT326" s="2005"/>
      <c r="AU326" s="2005"/>
      <c r="AV326" s="2006"/>
      <c r="AW326" s="2006"/>
      <c r="AX326" s="2006"/>
      <c r="AY326" s="2006"/>
      <c r="AZ326" s="2006"/>
      <c r="BA326" s="2006"/>
      <c r="BB326" s="2006"/>
      <c r="BC326" s="2006"/>
      <c r="BD326" s="2006"/>
      <c r="BE326" s="2006"/>
      <c r="BF326" s="2006"/>
      <c r="BG326" s="2006"/>
      <c r="BH326" s="2006"/>
      <c r="BI326" s="2006"/>
      <c r="BJ326" s="2006"/>
      <c r="BK326" s="2006"/>
      <c r="BL326" s="2006"/>
      <c r="BM326" s="2006"/>
      <c r="BN326" s="2006"/>
      <c r="BO326" s="2006"/>
      <c r="BP326" s="2006"/>
      <c r="BQ326" s="2006"/>
      <c r="BR326" s="2006"/>
      <c r="BS326" s="2006"/>
      <c r="BT326" s="2006"/>
      <c r="BU326" s="2006"/>
      <c r="BV326" s="2007">
        <f>BV325/BV119-1</f>
        <v>0</v>
      </c>
      <c r="BW326" s="2006"/>
      <c r="BX326" s="2006"/>
      <c r="BY326" s="2006"/>
      <c r="BZ326" s="2007">
        <f>BZ325/BZ119-1</f>
        <v>0</v>
      </c>
      <c r="CA326" s="2006"/>
      <c r="CB326" s="2006"/>
      <c r="CC326" s="2006"/>
      <c r="CD326" s="2007">
        <f>CD325/CD119-1</f>
        <v>0</v>
      </c>
      <c r="CE326" s="2006"/>
      <c r="CF326" s="2006"/>
      <c r="CG326" s="2006"/>
      <c r="CH326" s="2007">
        <f>CH325/CH119-1</f>
        <v>0</v>
      </c>
      <c r="CI326" s="2006"/>
      <c r="CJ326" s="2006"/>
      <c r="CK326" s="2006"/>
      <c r="CL326" s="2007">
        <f>CL325/CL119-1</f>
        <v>0</v>
      </c>
      <c r="CM326" s="2006"/>
      <c r="CN326" s="2006"/>
      <c r="CO326" s="2006"/>
      <c r="CP326" s="2007">
        <f>CP325/CP119-1</f>
        <v>-1.6801017661627338E-4</v>
      </c>
      <c r="CQ326" s="2006"/>
      <c r="CR326" s="2006"/>
      <c r="CS326" s="2006"/>
      <c r="CT326" s="2007">
        <f>CT325/CT119-1</f>
        <v>-1.0746815981621527E-4</v>
      </c>
      <c r="CU326" s="2006"/>
      <c r="CV326" s="2006"/>
      <c r="CW326" s="2006"/>
      <c r="CX326" s="2007">
        <f>CX325/CX119-1</f>
        <v>-9.7697333660273777E-5</v>
      </c>
      <c r="CY326" s="2006"/>
      <c r="CZ326" s="2006"/>
      <c r="DA326" s="2006"/>
      <c r="DB326" s="2007">
        <f>DB325/DB119-1</f>
        <v>-5.1705337433722853E-3</v>
      </c>
      <c r="DC326" s="2006"/>
      <c r="DD326" s="2006"/>
      <c r="DE326" s="2006"/>
      <c r="DF326" s="2007">
        <f ca="1">DF325/DF119-1</f>
        <v>-1.4490475473094899E-2</v>
      </c>
      <c r="DG326" s="2006"/>
      <c r="DH326" s="2006"/>
      <c r="DI326" s="2006"/>
      <c r="DJ326" s="2007">
        <f ca="1">DJ325/DJ119-1</f>
        <v>-0.43330421901953686</v>
      </c>
      <c r="DK326" s="2006"/>
      <c r="DL326" s="2006"/>
      <c r="DM326" s="2006"/>
      <c r="DN326" s="2007">
        <f ca="1">DN325/DN119-1</f>
        <v>-0.31875161534152718</v>
      </c>
      <c r="DO326" s="2006"/>
      <c r="DP326" s="2006"/>
      <c r="DQ326" s="2006"/>
      <c r="DR326" s="2007">
        <f ca="1">DR325/DR119-1</f>
        <v>-0.47062495920755032</v>
      </c>
      <c r="DS326" s="2006"/>
      <c r="DT326" s="15"/>
      <c r="DU326" s="15"/>
    </row>
    <row r="327" spans="1:125" s="11" customFormat="1" ht="14.4" thickBot="1"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5"/>
      <c r="BQ327" s="15"/>
      <c r="BR327" s="15"/>
      <c r="BS327" s="15"/>
      <c r="BT327" s="15"/>
      <c r="BU327" s="15"/>
      <c r="BV327" s="40"/>
      <c r="BW327" s="15"/>
      <c r="BX327" s="15"/>
      <c r="BY327" s="15"/>
      <c r="BZ327" s="40"/>
      <c r="CA327" s="15"/>
      <c r="CB327" s="15"/>
      <c r="CC327" s="15"/>
      <c r="CD327" s="40"/>
      <c r="CE327" s="15"/>
      <c r="CF327" s="15"/>
      <c r="CG327" s="15"/>
      <c r="CH327" s="40"/>
      <c r="CI327" s="15"/>
      <c r="CJ327" s="15"/>
      <c r="CK327" s="15"/>
      <c r="CL327" s="40"/>
      <c r="CM327" s="15"/>
      <c r="CN327" s="15"/>
      <c r="CO327" s="15"/>
      <c r="CP327" s="40"/>
      <c r="CQ327" s="15"/>
      <c r="CR327" s="15"/>
      <c r="CS327" s="15"/>
      <c r="CT327" s="40"/>
      <c r="CU327" s="15"/>
      <c r="CV327" s="15"/>
      <c r="CW327" s="15"/>
      <c r="CX327" s="40"/>
      <c r="CY327" s="15"/>
      <c r="CZ327" s="15"/>
      <c r="DA327" s="15"/>
      <c r="DB327" s="40"/>
      <c r="DC327" s="15"/>
      <c r="DD327" s="15"/>
      <c r="DE327" s="15"/>
      <c r="DF327" s="40"/>
      <c r="DG327" s="15"/>
      <c r="DH327" s="15"/>
      <c r="DI327" s="15"/>
      <c r="DJ327" s="40"/>
      <c r="DK327" s="15"/>
      <c r="DL327" s="15"/>
      <c r="DM327" s="15"/>
      <c r="DN327" s="40"/>
      <c r="DO327" s="15"/>
      <c r="DP327" s="15"/>
      <c r="DQ327" s="15"/>
      <c r="DR327" s="40"/>
      <c r="DS327" s="15"/>
      <c r="DT327" s="15"/>
      <c r="DU327" s="15"/>
    </row>
    <row r="328" spans="1:125" ht="14.4" thickBot="1">
      <c r="A328" s="402" t="s">
        <v>998</v>
      </c>
      <c r="B328" s="403"/>
      <c r="C328" s="403"/>
      <c r="D328" s="403"/>
      <c r="E328" s="403"/>
      <c r="F328" s="403"/>
      <c r="G328" s="403"/>
      <c r="H328" s="403"/>
      <c r="I328" s="403"/>
      <c r="J328" s="403"/>
      <c r="K328" s="403"/>
      <c r="L328" s="403"/>
      <c r="M328" s="403"/>
      <c r="N328" s="403"/>
      <c r="O328" s="403"/>
      <c r="P328" s="403"/>
      <c r="Q328" s="403"/>
      <c r="R328" s="403"/>
      <c r="S328" s="403"/>
      <c r="T328" s="403"/>
      <c r="U328" s="403"/>
      <c r="V328" s="403"/>
      <c r="W328" s="403"/>
      <c r="X328" s="403"/>
      <c r="Y328" s="403"/>
      <c r="Z328" s="403"/>
      <c r="AA328" s="403"/>
      <c r="AB328" s="403"/>
      <c r="AC328" s="403"/>
      <c r="AD328" s="403"/>
      <c r="AE328" s="403"/>
      <c r="AF328" s="403"/>
      <c r="AG328" s="403"/>
      <c r="AH328" s="403"/>
      <c r="AI328" s="403"/>
      <c r="AJ328" s="403"/>
      <c r="AK328" s="403"/>
      <c r="AL328" s="403"/>
      <c r="AM328" s="403"/>
      <c r="AN328" s="403"/>
      <c r="AO328" s="403"/>
      <c r="AP328" s="403"/>
      <c r="AQ328" s="403"/>
      <c r="AR328" s="403"/>
      <c r="AS328" s="403"/>
      <c r="AT328" s="403"/>
      <c r="AU328" s="403"/>
      <c r="AV328" s="404"/>
      <c r="AW328" s="404"/>
      <c r="AX328" s="404"/>
      <c r="AY328" s="404"/>
      <c r="AZ328" s="404"/>
      <c r="BA328" s="404"/>
      <c r="BB328" s="404"/>
      <c r="BC328" s="404"/>
      <c r="BD328" s="404"/>
      <c r="BE328" s="404"/>
      <c r="BF328" s="405"/>
      <c r="BG328" s="404"/>
      <c r="BH328" s="404"/>
      <c r="BI328" s="404"/>
      <c r="BJ328" s="405"/>
      <c r="BK328" s="404"/>
      <c r="BL328" s="404"/>
      <c r="BM328" s="404"/>
      <c r="BN328" s="405"/>
      <c r="BO328" s="404"/>
      <c r="BP328" s="404"/>
      <c r="BQ328" s="404"/>
      <c r="BR328" s="405"/>
      <c r="BS328" s="404"/>
      <c r="BT328" s="404"/>
      <c r="BU328" s="404"/>
      <c r="BV328" s="405">
        <f>(BV323+BV$121)/((BV324+BV$122)/100)</f>
        <v>600.21947097855582</v>
      </c>
      <c r="BW328" s="404"/>
      <c r="BX328" s="404"/>
      <c r="BY328" s="404"/>
      <c r="BZ328" s="405">
        <f>(BZ323+BZ$121)/((BZ324+BZ$122)/100)</f>
        <v>644.68025655950817</v>
      </c>
      <c r="CA328" s="404"/>
      <c r="CB328" s="404"/>
      <c r="CC328" s="404"/>
      <c r="CD328" s="405">
        <f>(CD323+CD$121)/((CD324+CD$122)/100)</f>
        <v>743.60911944752263</v>
      </c>
      <c r="CE328" s="404"/>
      <c r="CF328" s="404"/>
      <c r="CG328" s="404"/>
      <c r="CH328" s="405">
        <f>(CH323+CH$121)/((CH324+CH$122)/100)</f>
        <v>868.24171402426589</v>
      </c>
      <c r="CI328" s="404"/>
      <c r="CJ328" s="404"/>
      <c r="CK328" s="404"/>
      <c r="CL328" s="405">
        <f>(CL323+CL$121)/((CL324+CL$122)/100)</f>
        <v>764.65090815656879</v>
      </c>
      <c r="CM328" s="404"/>
      <c r="CN328" s="404"/>
      <c r="CO328" s="404"/>
      <c r="CP328" s="405">
        <f>(CP323+CP$121)/((CP324+CP$122)/100)</f>
        <v>824.61377292243503</v>
      </c>
      <c r="CQ328" s="404"/>
      <c r="CR328" s="404"/>
      <c r="CS328" s="404"/>
      <c r="CT328" s="405">
        <f>(CT323+CT$121)/((CT324+CT$122)/100)</f>
        <v>1230.6275909838403</v>
      </c>
      <c r="CU328" s="404"/>
      <c r="CV328" s="404"/>
      <c r="CW328" s="404"/>
      <c r="CX328" s="405">
        <f>(CX323+CX$121)/((CX324+CX$122)/100)</f>
        <v>1316.3081952654666</v>
      </c>
      <c r="CY328" s="404"/>
      <c r="CZ328" s="404"/>
      <c r="DA328" s="404"/>
      <c r="DB328" s="405">
        <f>(DB323+DB$121)/((DB324+DB$122)/100)</f>
        <v>906.95953813295989</v>
      </c>
      <c r="DC328" s="404"/>
      <c r="DD328" s="404"/>
      <c r="DE328" s="404"/>
      <c r="DF328" s="405">
        <f ca="1">(DF323+DF$121)/((DF324+DF$122)/100)</f>
        <v>961.87505318389856</v>
      </c>
      <c r="DG328" s="404"/>
      <c r="DH328" s="404"/>
      <c r="DI328" s="404"/>
      <c r="DJ328" s="405">
        <f ca="1">(DJ323+DJ$121)/((DJ324+DJ$122)/100)</f>
        <v>626.34181987971886</v>
      </c>
      <c r="DK328" s="404"/>
      <c r="DL328" s="404"/>
      <c r="DM328" s="404"/>
      <c r="DN328" s="405">
        <f ca="1">(DN323+DN$121)/((DN324+DN$122)/100)</f>
        <v>815.82024459289164</v>
      </c>
      <c r="DO328" s="404"/>
      <c r="DP328" s="404"/>
      <c r="DQ328" s="404"/>
      <c r="DR328" s="405">
        <f ca="1">(DR323+DR$121)/((DR324+DR$122)/100)</f>
        <v>682.1373512232899</v>
      </c>
      <c r="DS328" s="404"/>
    </row>
    <row r="329" spans="1:125" s="11" customFormat="1"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  <c r="BU329" s="15"/>
      <c r="BV329" s="40"/>
      <c r="BW329" s="15"/>
      <c r="BX329" s="15"/>
      <c r="BY329" s="15"/>
      <c r="BZ329" s="40"/>
      <c r="CA329" s="15"/>
      <c r="CB329" s="15"/>
      <c r="CC329" s="15"/>
      <c r="CD329" s="40"/>
      <c r="CE329" s="15"/>
      <c r="CF329" s="15"/>
      <c r="CG329" s="15"/>
      <c r="CH329" s="40"/>
      <c r="CI329" s="15"/>
      <c r="CJ329" s="15"/>
      <c r="CK329" s="15"/>
      <c r="CL329" s="40"/>
      <c r="CM329" s="15"/>
      <c r="CN329" s="15"/>
      <c r="CO329" s="15"/>
      <c r="CP329" s="40"/>
      <c r="CQ329" s="15"/>
      <c r="CR329" s="15"/>
      <c r="CS329" s="15"/>
      <c r="CT329" s="40"/>
      <c r="CU329" s="15"/>
      <c r="CV329" s="15"/>
      <c r="CW329" s="15"/>
      <c r="CX329" s="40"/>
      <c r="CY329" s="15"/>
      <c r="CZ329" s="15"/>
      <c r="DA329" s="15"/>
      <c r="DB329" s="40"/>
      <c r="DC329" s="15"/>
      <c r="DD329" s="15"/>
      <c r="DE329" s="15"/>
      <c r="DF329" s="40"/>
      <c r="DG329" s="15"/>
      <c r="DH329" s="15"/>
      <c r="DI329" s="15"/>
      <c r="DJ329" s="40"/>
      <c r="DK329" s="15"/>
      <c r="DL329" s="15"/>
      <c r="DM329" s="15"/>
      <c r="DN329" s="40"/>
      <c r="DO329" s="15"/>
      <c r="DP329" s="15"/>
      <c r="DQ329" s="15"/>
      <c r="DR329" s="40"/>
      <c r="DS329" s="15"/>
      <c r="DT329" s="15"/>
      <c r="DU329" s="15"/>
    </row>
    <row r="331" spans="1:125">
      <c r="A331" s="1" t="s">
        <v>86</v>
      </c>
      <c r="BF331" s="8">
        <f>BF126</f>
        <v>140</v>
      </c>
      <c r="BJ331" s="8">
        <f>BJ126</f>
        <v>200</v>
      </c>
      <c r="BN331" s="8">
        <f>BN126</f>
        <v>260</v>
      </c>
      <c r="BP331" s="95">
        <v>130</v>
      </c>
      <c r="BQ331" s="8">
        <f>+BR331-BP331</f>
        <v>200</v>
      </c>
      <c r="BR331" s="8">
        <f>BR126</f>
        <v>330</v>
      </c>
      <c r="BT331" s="95">
        <v>130</v>
      </c>
      <c r="BU331" s="8">
        <f>+BV331-BT331</f>
        <v>266.72251807505802</v>
      </c>
      <c r="BV331" s="8">
        <f>+BV336*100/BV335</f>
        <v>396.72251807505802</v>
      </c>
      <c r="BX331" s="8">
        <f>BU331</f>
        <v>266.72251807505802</v>
      </c>
      <c r="BY331" s="8">
        <f>+BZ331-BX331</f>
        <v>203.1662267310582</v>
      </c>
      <c r="BZ331" s="8">
        <f>+BZ336*100/BZ335</f>
        <v>469.88874480611622</v>
      </c>
      <c r="CB331" s="8">
        <f>BY331</f>
        <v>203.1662267310582</v>
      </c>
      <c r="CC331" s="8">
        <f>+CD331-CB331</f>
        <v>321.7290210896511</v>
      </c>
      <c r="CD331" s="8">
        <f>+CD336*100/CD335</f>
        <v>524.8952478207093</v>
      </c>
      <c r="CF331" s="8">
        <f>CC331</f>
        <v>321.7290210896511</v>
      </c>
      <c r="CG331" s="8">
        <f>+CH331-CF331</f>
        <v>253.17651086519203</v>
      </c>
      <c r="CH331" s="8">
        <f>+CH336*100/CH335</f>
        <v>574.90553195484313</v>
      </c>
      <c r="CJ331" s="8">
        <f>CG331</f>
        <v>253.17651086519203</v>
      </c>
      <c r="CK331" s="8">
        <f>+CL331-CJ331</f>
        <v>176.74287518610453</v>
      </c>
      <c r="CL331" s="8">
        <f>+CL336*100/CL335</f>
        <v>429.91938605129656</v>
      </c>
      <c r="CN331" s="8">
        <f>CK331</f>
        <v>176.74287518610453</v>
      </c>
      <c r="CO331" s="8">
        <f>+CP331-CN331</f>
        <v>293.06221531986284</v>
      </c>
      <c r="CP331" s="8">
        <f>+CP336*100/CP335</f>
        <v>469.80509050596737</v>
      </c>
      <c r="CR331" s="8">
        <f>CO331</f>
        <v>293.06221531986284</v>
      </c>
      <c r="CS331" s="8">
        <f>+CT331-CR331</f>
        <v>318.36381231761061</v>
      </c>
      <c r="CT331" s="8">
        <f>+CT336*100/CT335</f>
        <v>611.42602763747345</v>
      </c>
      <c r="CV331" s="8">
        <f>CS331</f>
        <v>318.36381231761061</v>
      </c>
      <c r="CW331" s="8">
        <f>+CX331-CV331</f>
        <v>431.56527582341812</v>
      </c>
      <c r="CX331" s="8">
        <f>+CX336*100/CX335</f>
        <v>749.92908814102873</v>
      </c>
      <c r="CZ331" s="8">
        <f>CW331</f>
        <v>431.56527582341812</v>
      </c>
      <c r="DA331" s="8">
        <f>+DB331-CZ331</f>
        <v>204.84539030423412</v>
      </c>
      <c r="DB331" s="8">
        <f>+DB336*100/DB335</f>
        <v>636.41066612765223</v>
      </c>
      <c r="DD331" s="8">
        <f>DA331</f>
        <v>204.84539030423412</v>
      </c>
      <c r="DE331" s="8">
        <f ca="1">+DF331-DD331</f>
        <v>436.09172987295983</v>
      </c>
      <c r="DF331" s="8">
        <f ca="1">+DF336*100/DF335</f>
        <v>640.93712017719395</v>
      </c>
      <c r="DH331" s="8">
        <f ca="1">DE331</f>
        <v>436.09172987295983</v>
      </c>
      <c r="DI331" s="8">
        <f ca="1">+DJ331-DH331</f>
        <v>-24.756869071875428</v>
      </c>
      <c r="DJ331" s="8">
        <f ca="1">+DJ336*100/DJ335</f>
        <v>411.3348608010844</v>
      </c>
      <c r="DL331" s="8">
        <f ca="1">DI331</f>
        <v>-24.756869071875428</v>
      </c>
      <c r="DM331" s="8">
        <f ca="1">+DN331-DL331</f>
        <v>559.2098280576447</v>
      </c>
      <c r="DN331" s="8">
        <f ca="1">+DN336*100/DN335</f>
        <v>534.45295898576933</v>
      </c>
      <c r="DP331" s="8">
        <f ca="1">DM331</f>
        <v>559.2098280576447</v>
      </c>
      <c r="DQ331" s="8">
        <f ca="1">+DR331-DP331</f>
        <v>-108.3983262444072</v>
      </c>
      <c r="DR331" s="8">
        <f ca="1">+DR336*100/DR335</f>
        <v>450.8115018132375</v>
      </c>
    </row>
    <row r="332" spans="1:125" ht="14.4" thickBot="1">
      <c r="A332" s="1" t="s">
        <v>87</v>
      </c>
      <c r="BF332" s="8">
        <f>BF127</f>
        <v>0</v>
      </c>
      <c r="BJ332" s="8">
        <f>BJ127</f>
        <v>0</v>
      </c>
      <c r="BN332" s="8">
        <f>BN127</f>
        <v>0</v>
      </c>
      <c r="BR332" s="8">
        <f>BR127</f>
        <v>0</v>
      </c>
      <c r="BV332" s="8">
        <f>+BV337*100/BV335</f>
        <v>0</v>
      </c>
      <c r="BZ332" s="8">
        <f>+BZ337*100/BZ335</f>
        <v>0</v>
      </c>
      <c r="CD332" s="8">
        <f>+CD337*100/CD335</f>
        <v>0</v>
      </c>
      <c r="CH332" s="8">
        <f>+CH337*100/CH335</f>
        <v>0</v>
      </c>
      <c r="CL332" s="8">
        <f>+CL337*100/CL335</f>
        <v>0</v>
      </c>
      <c r="CP332" s="8">
        <f>+CP337*100/CP335</f>
        <v>0</v>
      </c>
      <c r="CT332" s="8">
        <f>+CT337*100/CT335</f>
        <v>0</v>
      </c>
      <c r="CX332" s="8">
        <f>+CX337*100/CX335</f>
        <v>0</v>
      </c>
      <c r="DB332" s="8">
        <f>+DB337*100/DB335</f>
        <v>0</v>
      </c>
      <c r="DF332" s="8">
        <f ca="1">+DF337*100/DF335</f>
        <v>0</v>
      </c>
      <c r="DJ332" s="8">
        <f ca="1">+DJ337*100/DJ335</f>
        <v>0</v>
      </c>
      <c r="DN332" s="8">
        <f ca="1">+DN337*100/DN335</f>
        <v>0</v>
      </c>
      <c r="DR332" s="8">
        <f ca="1">+DR337*100/DR335</f>
        <v>0</v>
      </c>
    </row>
    <row r="333" spans="1:125" ht="14.4" thickBot="1">
      <c r="A333" s="80" t="s">
        <v>88</v>
      </c>
      <c r="B333" s="80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0"/>
      <c r="N333" s="80"/>
      <c r="O333" s="80"/>
      <c r="P333" s="80"/>
      <c r="Q333" s="80"/>
      <c r="R333" s="80"/>
      <c r="S333" s="80"/>
      <c r="T333" s="80"/>
      <c r="U333" s="80"/>
      <c r="V333" s="80"/>
      <c r="W333" s="80"/>
      <c r="X333" s="80"/>
      <c r="Y333" s="80"/>
      <c r="Z333" s="80"/>
      <c r="AA333" s="80"/>
      <c r="AB333" s="80"/>
      <c r="AC333" s="80"/>
      <c r="AD333" s="80"/>
      <c r="AE333" s="80"/>
      <c r="AF333" s="80"/>
      <c r="AG333" s="80"/>
      <c r="AH333" s="80"/>
      <c r="AI333" s="80"/>
      <c r="AJ333" s="80"/>
      <c r="AK333" s="80"/>
      <c r="AL333" s="80"/>
      <c r="AM333" s="80"/>
      <c r="AN333" s="80"/>
      <c r="AO333" s="80"/>
      <c r="AP333" s="80"/>
      <c r="AQ333" s="80"/>
      <c r="AR333" s="80"/>
      <c r="AS333" s="80"/>
      <c r="AT333" s="80"/>
      <c r="AU333" s="80"/>
      <c r="AV333" s="88"/>
      <c r="AW333" s="88"/>
      <c r="AX333" s="88"/>
      <c r="AY333" s="88"/>
      <c r="AZ333" s="88"/>
      <c r="BA333" s="88"/>
      <c r="BB333" s="88"/>
      <c r="BC333" s="88"/>
      <c r="BD333" s="88"/>
      <c r="BE333" s="88"/>
      <c r="BF333" s="83">
        <f>BF128</f>
        <v>140</v>
      </c>
      <c r="BG333" s="88"/>
      <c r="BH333" s="88"/>
      <c r="BI333" s="88"/>
      <c r="BJ333" s="83">
        <f>BJ128</f>
        <v>200</v>
      </c>
      <c r="BK333" s="88"/>
      <c r="BL333" s="88"/>
      <c r="BM333" s="88"/>
      <c r="BN333" s="83">
        <f>BN128</f>
        <v>260</v>
      </c>
      <c r="BO333" s="88"/>
      <c r="BP333" s="88"/>
      <c r="BQ333" s="88"/>
      <c r="BR333" s="83">
        <f>BR128</f>
        <v>330</v>
      </c>
      <c r="BS333" s="88"/>
      <c r="BT333" s="88"/>
      <c r="BU333" s="88"/>
      <c r="BV333" s="83">
        <f>SUM(BV331:BV332)</f>
        <v>396.72251807505802</v>
      </c>
      <c r="BW333" s="88"/>
      <c r="BX333" s="88"/>
      <c r="BY333" s="88"/>
      <c r="BZ333" s="83">
        <f>SUM(BZ331:BZ332)</f>
        <v>469.88874480611622</v>
      </c>
      <c r="CA333" s="88"/>
      <c r="CB333" s="88"/>
      <c r="CC333" s="88"/>
      <c r="CD333" s="83">
        <f>SUM(CD331:CD332)</f>
        <v>524.8952478207093</v>
      </c>
      <c r="CE333" s="88"/>
      <c r="CF333" s="88"/>
      <c r="CG333" s="88"/>
      <c r="CH333" s="83">
        <f>SUM(CH331:CH332)</f>
        <v>574.90553195484313</v>
      </c>
      <c r="CI333" s="88"/>
      <c r="CJ333" s="88"/>
      <c r="CK333" s="88"/>
      <c r="CL333" s="83">
        <f>SUM(CL331:CL332)</f>
        <v>429.91938605129656</v>
      </c>
      <c r="CM333" s="88"/>
      <c r="CN333" s="88"/>
      <c r="CO333" s="88"/>
      <c r="CP333" s="83">
        <f>SUM(CP331:CP332)</f>
        <v>469.80509050596737</v>
      </c>
      <c r="CQ333" s="88"/>
      <c r="CR333" s="88"/>
      <c r="CS333" s="88"/>
      <c r="CT333" s="83">
        <f>SUM(CT331:CT332)</f>
        <v>611.42602763747345</v>
      </c>
      <c r="CU333" s="88"/>
      <c r="CV333" s="88"/>
      <c r="CW333" s="88"/>
      <c r="CX333" s="83">
        <f>SUM(CX331:CX332)</f>
        <v>749.92908814102873</v>
      </c>
      <c r="CY333" s="88"/>
      <c r="CZ333" s="88"/>
      <c r="DA333" s="88"/>
      <c r="DB333" s="83">
        <f>SUM(DB331:DB332)</f>
        <v>636.41066612765223</v>
      </c>
      <c r="DC333" s="88"/>
      <c r="DD333" s="88"/>
      <c r="DE333" s="88"/>
      <c r="DF333" s="83">
        <f ca="1">SUM(DF331:DF332)</f>
        <v>640.93712017719395</v>
      </c>
      <c r="DG333" s="88"/>
      <c r="DH333" s="88"/>
      <c r="DI333" s="88"/>
      <c r="DJ333" s="83">
        <f ca="1">SUM(DJ331:DJ332)</f>
        <v>411.3348608010844</v>
      </c>
      <c r="DK333" s="88"/>
      <c r="DL333" s="88"/>
      <c r="DM333" s="88"/>
      <c r="DN333" s="83">
        <f ca="1">SUM(DN331:DN332)</f>
        <v>534.45295898576933</v>
      </c>
      <c r="DO333" s="88"/>
      <c r="DP333" s="88"/>
      <c r="DQ333" s="88"/>
      <c r="DR333" s="83">
        <f ca="1">SUM(DR331:DR332)</f>
        <v>450.8115018132375</v>
      </c>
      <c r="DS333" s="88"/>
    </row>
    <row r="334" spans="1:125" s="11" customFormat="1">
      <c r="A334" s="2005" t="s">
        <v>43</v>
      </c>
      <c r="B334" s="2005"/>
      <c r="C334" s="2005"/>
      <c r="D334" s="2005"/>
      <c r="E334" s="2005"/>
      <c r="F334" s="2005"/>
      <c r="G334" s="2005"/>
      <c r="H334" s="2005"/>
      <c r="I334" s="2005"/>
      <c r="J334" s="2005"/>
      <c r="K334" s="2005"/>
      <c r="L334" s="2005"/>
      <c r="M334" s="2005"/>
      <c r="N334" s="2005"/>
      <c r="O334" s="2005"/>
      <c r="P334" s="2005"/>
      <c r="Q334" s="2005"/>
      <c r="R334" s="2005"/>
      <c r="S334" s="2005"/>
      <c r="T334" s="2005"/>
      <c r="U334" s="2005"/>
      <c r="V334" s="2005"/>
      <c r="W334" s="2005"/>
      <c r="X334" s="2005"/>
      <c r="Y334" s="2005"/>
      <c r="Z334" s="2005"/>
      <c r="AA334" s="2005"/>
      <c r="AB334" s="2005"/>
      <c r="AC334" s="2005"/>
      <c r="AD334" s="2005"/>
      <c r="AE334" s="2005"/>
      <c r="AF334" s="2005"/>
      <c r="AG334" s="2005"/>
      <c r="AH334" s="2005"/>
      <c r="AI334" s="2005"/>
      <c r="AJ334" s="2005"/>
      <c r="AK334" s="2005"/>
      <c r="AL334" s="2005"/>
      <c r="AM334" s="2005"/>
      <c r="AN334" s="2005"/>
      <c r="AO334" s="2005"/>
      <c r="AP334" s="2005"/>
      <c r="AQ334" s="2005"/>
      <c r="AR334" s="2005"/>
      <c r="AS334" s="2005"/>
      <c r="AT334" s="2005"/>
      <c r="AU334" s="2005"/>
      <c r="AV334" s="2006"/>
      <c r="AW334" s="2006"/>
      <c r="AX334" s="2006"/>
      <c r="AY334" s="2006"/>
      <c r="AZ334" s="2006"/>
      <c r="BA334" s="2006"/>
      <c r="BB334" s="2006"/>
      <c r="BC334" s="2006"/>
      <c r="BD334" s="2006"/>
      <c r="BE334" s="2006"/>
      <c r="BF334" s="2006"/>
      <c r="BG334" s="2006"/>
      <c r="BH334" s="2006"/>
      <c r="BI334" s="2006"/>
      <c r="BJ334" s="2006"/>
      <c r="BK334" s="2006"/>
      <c r="BL334" s="2006"/>
      <c r="BM334" s="2006"/>
      <c r="BN334" s="2006"/>
      <c r="BO334" s="2006"/>
      <c r="BP334" s="2006"/>
      <c r="BQ334" s="2006"/>
      <c r="BR334" s="2006"/>
      <c r="BS334" s="2006"/>
      <c r="BT334" s="2006"/>
      <c r="BU334" s="2006"/>
      <c r="BV334" s="2007">
        <f>BV333/BV128-1</f>
        <v>-8.1937048123549294E-3</v>
      </c>
      <c r="BW334" s="2006"/>
      <c r="BX334" s="2006"/>
      <c r="BY334" s="2006"/>
      <c r="BZ334" s="2007">
        <f>BZ333/BZ128-1</f>
        <v>-2.3671317847617779E-4</v>
      </c>
      <c r="CA334" s="2006"/>
      <c r="CB334" s="2006"/>
      <c r="CC334" s="2006"/>
      <c r="CD334" s="2007">
        <f>CD333/CD128-1</f>
        <v>-1.9952796055366928E-4</v>
      </c>
      <c r="CE334" s="2006"/>
      <c r="CF334" s="2006"/>
      <c r="CG334" s="2006"/>
      <c r="CH334" s="2007">
        <f>CH333/CH128-1</f>
        <v>-1.6429225244674051E-4</v>
      </c>
      <c r="CI334" s="2006"/>
      <c r="CJ334" s="2006"/>
      <c r="CK334" s="2006"/>
      <c r="CL334" s="2007">
        <f>CL333/CL128-1</f>
        <v>-1.8747429931031956E-4</v>
      </c>
      <c r="CM334" s="2006"/>
      <c r="CN334" s="2006"/>
      <c r="CO334" s="2006"/>
      <c r="CP334" s="2007">
        <f>CP333/CP128-1</f>
        <v>-4.147010511332816E-4</v>
      </c>
      <c r="CQ334" s="2006"/>
      <c r="CR334" s="2006"/>
      <c r="CS334" s="2006"/>
      <c r="CT334" s="2007">
        <f>CT333/CT128-1</f>
        <v>-1.6999955566762925E-2</v>
      </c>
      <c r="CU334" s="2006"/>
      <c r="CV334" s="2006"/>
      <c r="CW334" s="2006"/>
      <c r="CX334" s="2007">
        <f>CX333/CX128-1</f>
        <v>-9.4549145295053094E-5</v>
      </c>
      <c r="CY334" s="2006"/>
      <c r="CZ334" s="2006"/>
      <c r="DA334" s="2006"/>
      <c r="DB334" s="2007">
        <f>DB333/DB128-1</f>
        <v>-5.6083341755434057E-3</v>
      </c>
      <c r="DC334" s="2006"/>
      <c r="DD334" s="2006"/>
      <c r="DE334" s="2006"/>
      <c r="DF334" s="2007">
        <f ca="1">DF333/DF128-1</f>
        <v>-1.3942892035086252E-2</v>
      </c>
      <c r="DG334" s="2006"/>
      <c r="DH334" s="2006"/>
      <c r="DI334" s="2006"/>
      <c r="DJ334" s="2007">
        <f ca="1">DJ333/DJ128-1</f>
        <v>-0.42065512563227547</v>
      </c>
      <c r="DK334" s="2006"/>
      <c r="DL334" s="2006"/>
      <c r="DM334" s="2006"/>
      <c r="DN334" s="2007">
        <f ca="1">DN333/DN128-1</f>
        <v>-0.31038327872803961</v>
      </c>
      <c r="DO334" s="2006"/>
      <c r="DP334" s="2006"/>
      <c r="DQ334" s="2006"/>
      <c r="DR334" s="2007">
        <f ca="1">DR333/DR128-1</f>
        <v>-0.45685361227320787</v>
      </c>
      <c r="DS334" s="2006"/>
      <c r="DT334" s="15"/>
      <c r="DU334" s="15"/>
    </row>
    <row r="335" spans="1:125" ht="14.4" thickBot="1">
      <c r="A335" s="1" t="s">
        <v>61</v>
      </c>
      <c r="BF335" s="20">
        <f t="shared" ref="BF335:BF342" si="313">BF129</f>
        <v>348.584383</v>
      </c>
      <c r="BJ335" s="20">
        <f t="shared" ref="BJ335:BJ342" si="314">BJ129</f>
        <v>339.50657799999999</v>
      </c>
      <c r="BN335" s="20">
        <f t="shared" ref="BN335:BN342" si="315">BN129</f>
        <v>321.07474999999999</v>
      </c>
      <c r="BR335" s="20">
        <f t="shared" ref="BR335:BR342" si="316">BR129</f>
        <v>333.45777700000002</v>
      </c>
      <c r="BV335" s="20">
        <f>BV317</f>
        <v>340.30238900000001</v>
      </c>
      <c r="BZ335" s="20">
        <f>BZ317</f>
        <v>340.35173099999997</v>
      </c>
      <c r="CD335" s="20">
        <f>CD317</f>
        <v>340.36482000000001</v>
      </c>
      <c r="CH335" s="20">
        <f>CH317</f>
        <v>340.38273800000002</v>
      </c>
      <c r="CL335" s="20">
        <f>CL317</f>
        <v>354.381396</v>
      </c>
      <c r="CP335" s="20">
        <f>CP317</f>
        <v>361.82137699999998</v>
      </c>
      <c r="CT335" s="20">
        <f>CT317</f>
        <v>383.64763699999997</v>
      </c>
      <c r="CX335" s="20">
        <f>CX317</f>
        <v>386.47675400000003</v>
      </c>
      <c r="DB335" s="20">
        <f>DB317</f>
        <v>386.47675400000003</v>
      </c>
      <c r="DF335" s="20">
        <f>DF317</f>
        <v>386.47675400000003</v>
      </c>
      <c r="DJ335" s="20">
        <f>DJ317</f>
        <v>387.42960003750005</v>
      </c>
      <c r="DN335" s="20">
        <f>DN317</f>
        <v>389.34244441306902</v>
      </c>
      <c r="DR335" s="20">
        <f>DR317</f>
        <v>391.26486496579321</v>
      </c>
    </row>
    <row r="336" spans="1:125" ht="14.4" thickBot="1">
      <c r="A336" s="1" t="s">
        <v>89</v>
      </c>
      <c r="BF336" s="8">
        <f t="shared" si="313"/>
        <v>487.82355804999997</v>
      </c>
      <c r="BJ336" s="8">
        <f t="shared" si="314"/>
        <v>678.64005574999999</v>
      </c>
      <c r="BN336" s="8">
        <f t="shared" si="315"/>
        <v>853.60763599999996</v>
      </c>
      <c r="BR336" s="8">
        <f t="shared" si="316"/>
        <v>1084.4794462</v>
      </c>
      <c r="BV336" s="54">
        <f>+BV339*BV340</f>
        <v>1350.0562067103795</v>
      </c>
      <c r="BZ336" s="54">
        <f>+BZ339*BZ340</f>
        <v>1599.2744767217891</v>
      </c>
      <c r="CD336" s="54">
        <f>+CD339*CD340</f>
        <v>1786.5587654335113</v>
      </c>
      <c r="CH336" s="54">
        <f>+CH339*CH340</f>
        <v>1956.87919058136</v>
      </c>
      <c r="CL336" s="54">
        <f>+CL339*CL340</f>
        <v>1523.5543219632141</v>
      </c>
      <c r="CP336" s="54">
        <f>+CP339*CP340</f>
        <v>1699.8552476847874</v>
      </c>
      <c r="CT336" s="54">
        <f>+CT339*CT340</f>
        <v>2345.7215070341335</v>
      </c>
      <c r="CX336" s="54">
        <f>+CX339*CX340</f>
        <v>2898.3015971492468</v>
      </c>
      <c r="DB336" s="54">
        <f>+DB339*DB340</f>
        <v>2459.5792845599281</v>
      </c>
      <c r="DF336" s="54">
        <f ca="1">+DF339*DF340</f>
        <v>2477.0729772418986</v>
      </c>
      <c r="DJ336" s="54">
        <f ca="1">+DJ339*DJ340</f>
        <v>1593.6330060164489</v>
      </c>
      <c r="DN336" s="54">
        <f ca="1">+DN339*DN340</f>
        <v>2080.8522147531717</v>
      </c>
      <c r="DR336" s="54">
        <f ca="1">+DR339*DR340</f>
        <v>1763.8670138198279</v>
      </c>
    </row>
    <row r="337" spans="1:125">
      <c r="A337" s="1" t="s">
        <v>90</v>
      </c>
      <c r="BF337" s="8">
        <f t="shared" si="313"/>
        <v>0</v>
      </c>
      <c r="BJ337" s="8">
        <f t="shared" si="314"/>
        <v>0</v>
      </c>
      <c r="BN337" s="8">
        <f t="shared" si="315"/>
        <v>0</v>
      </c>
      <c r="BR337" s="8">
        <f t="shared" si="316"/>
        <v>0</v>
      </c>
      <c r="BV337" s="8">
        <f>+BV339*BV341</f>
        <v>0</v>
      </c>
      <c r="BZ337" s="8">
        <f>+BZ339*BZ341</f>
        <v>0</v>
      </c>
      <c r="CD337" s="8">
        <f>+CD339*CD341</f>
        <v>0</v>
      </c>
      <c r="CH337" s="8">
        <f>+CH339*CH341</f>
        <v>0</v>
      </c>
      <c r="CL337" s="8">
        <f>+CL339*CL341</f>
        <v>0</v>
      </c>
      <c r="CP337" s="8">
        <f>+CP339*CP341</f>
        <v>0</v>
      </c>
      <c r="CT337" s="8">
        <f>+CT339*CT341</f>
        <v>0</v>
      </c>
      <c r="CX337" s="8">
        <f>+CX339*CX341</f>
        <v>0</v>
      </c>
      <c r="DB337" s="8">
        <f>+DB339*DB341</f>
        <v>0</v>
      </c>
      <c r="DF337" s="8">
        <f ca="1">+DF339*DF341</f>
        <v>0</v>
      </c>
      <c r="DJ337" s="8">
        <f ca="1">+DJ339*DJ341</f>
        <v>0</v>
      </c>
      <c r="DN337" s="8">
        <f ca="1">+DN339*DN341</f>
        <v>0</v>
      </c>
      <c r="DR337" s="8">
        <f ca="1">+DR339*DR341</f>
        <v>0</v>
      </c>
    </row>
    <row r="338" spans="1:125">
      <c r="A338" s="2" t="s">
        <v>91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7">
        <f t="shared" si="313"/>
        <v>487.82355804999997</v>
      </c>
      <c r="BG338" s="5"/>
      <c r="BH338" s="5"/>
      <c r="BI338" s="5"/>
      <c r="BJ338" s="7">
        <f t="shared" si="314"/>
        <v>678.64005574999999</v>
      </c>
      <c r="BK338" s="5"/>
      <c r="BL338" s="5"/>
      <c r="BM338" s="5"/>
      <c r="BN338" s="7">
        <f t="shared" si="315"/>
        <v>853.60763599999996</v>
      </c>
      <c r="BO338" s="5"/>
      <c r="BP338" s="5"/>
      <c r="BQ338" s="5"/>
      <c r="BR338" s="7">
        <f t="shared" si="316"/>
        <v>1084.4794462</v>
      </c>
      <c r="BS338" s="5"/>
      <c r="BT338" s="5"/>
      <c r="BU338" s="5"/>
      <c r="BV338" s="7">
        <f>+BV336+BV337</f>
        <v>1350.0562067103795</v>
      </c>
      <c r="BW338" s="5"/>
      <c r="BX338" s="5"/>
      <c r="BY338" s="5"/>
      <c r="BZ338" s="7">
        <f>+BZ336+BZ337</f>
        <v>1599.2744767217891</v>
      </c>
      <c r="CA338" s="5"/>
      <c r="CB338" s="5"/>
      <c r="CC338" s="5"/>
      <c r="CD338" s="7">
        <f>+CD336+CD337</f>
        <v>1786.5587654335113</v>
      </c>
      <c r="CE338" s="5"/>
      <c r="CF338" s="5"/>
      <c r="CG338" s="5"/>
      <c r="CH338" s="7">
        <f>+CH336+CH337</f>
        <v>1956.87919058136</v>
      </c>
      <c r="CI338" s="5"/>
      <c r="CJ338" s="5"/>
      <c r="CK338" s="5"/>
      <c r="CL338" s="7">
        <f>+CL336+CL337</f>
        <v>1523.5543219632141</v>
      </c>
      <c r="CM338" s="5"/>
      <c r="CN338" s="5"/>
      <c r="CO338" s="5"/>
      <c r="CP338" s="7">
        <f>+CP336+CP337</f>
        <v>1699.8552476847874</v>
      </c>
      <c r="CQ338" s="5"/>
      <c r="CR338" s="5"/>
      <c r="CS338" s="5"/>
      <c r="CT338" s="7">
        <f>+CT336+CT337</f>
        <v>2345.7215070341335</v>
      </c>
      <c r="CU338" s="5"/>
      <c r="CV338" s="5"/>
      <c r="CW338" s="5"/>
      <c r="CX338" s="7">
        <f>+CX336+CX337</f>
        <v>2898.3015971492468</v>
      </c>
      <c r="CY338" s="5"/>
      <c r="CZ338" s="5"/>
      <c r="DA338" s="5"/>
      <c r="DB338" s="7">
        <f>+DB336+DB337</f>
        <v>2459.5792845599281</v>
      </c>
      <c r="DC338" s="5"/>
      <c r="DD338" s="5"/>
      <c r="DE338" s="5"/>
      <c r="DF338" s="7">
        <f ca="1">+DF336+DF337</f>
        <v>2477.0729772418986</v>
      </c>
      <c r="DG338" s="5"/>
      <c r="DH338" s="5"/>
      <c r="DI338" s="5"/>
      <c r="DJ338" s="7">
        <f ca="1">+DJ336+DJ337</f>
        <v>1593.6330060164489</v>
      </c>
      <c r="DK338" s="5"/>
      <c r="DL338" s="5"/>
      <c r="DM338" s="5"/>
      <c r="DN338" s="7">
        <f ca="1">+DN336+DN337</f>
        <v>2080.8522147531717</v>
      </c>
      <c r="DO338" s="5"/>
      <c r="DP338" s="5"/>
      <c r="DQ338" s="5"/>
      <c r="DR338" s="7">
        <f ca="1">+DR336+DR337</f>
        <v>1763.8670138198279</v>
      </c>
      <c r="DS338" s="5"/>
    </row>
    <row r="339" spans="1:125" ht="14.4" thickBot="1">
      <c r="A339" s="1" t="s">
        <v>75</v>
      </c>
      <c r="BF339" s="8">
        <f t="shared" si="313"/>
        <v>730.65376000000037</v>
      </c>
      <c r="BJ339" s="8">
        <f t="shared" si="314"/>
        <v>851.49</v>
      </c>
      <c r="BN339" s="8">
        <f t="shared" si="315"/>
        <v>1267.49</v>
      </c>
      <c r="BR339" s="8">
        <f t="shared" si="316"/>
        <v>1604.49</v>
      </c>
      <c r="BV339" s="8">
        <f>BV288</f>
        <v>2063</v>
      </c>
      <c r="BZ339" s="8">
        <f>BZ288</f>
        <v>2217</v>
      </c>
      <c r="CD339" s="8">
        <f>CD288</f>
        <v>2557</v>
      </c>
      <c r="CH339" s="8">
        <f>CH288</f>
        <v>2982</v>
      </c>
      <c r="CL339" s="8">
        <f>CL288</f>
        <v>2731</v>
      </c>
      <c r="CP339" s="8">
        <f>CP288</f>
        <v>3015</v>
      </c>
      <c r="CT339" s="8">
        <f>CT288</f>
        <v>4706</v>
      </c>
      <c r="CX339" s="8">
        <f>CX288</f>
        <v>5182</v>
      </c>
      <c r="DB339" s="8">
        <f>DB288</f>
        <v>3522</v>
      </c>
      <c r="DF339" s="8">
        <f ca="1">DF288</f>
        <v>3715</v>
      </c>
      <c r="DJ339" s="8">
        <f ca="1">DJ288</f>
        <v>2453.6144689586936</v>
      </c>
      <c r="DN339" s="8">
        <f ca="1">DN288</f>
        <v>3200.6026815185792</v>
      </c>
      <c r="DR339" s="8">
        <f ca="1">DR288</f>
        <v>2713.6224827347519</v>
      </c>
    </row>
    <row r="340" spans="1:125" ht="14.4" thickBot="1">
      <c r="A340" s="1" t="s">
        <v>92</v>
      </c>
      <c r="BF340" s="42">
        <f t="shared" si="313"/>
        <v>0.6676535244956513</v>
      </c>
      <c r="BJ340" s="42">
        <f t="shared" si="314"/>
        <v>0.79700296627088985</v>
      </c>
      <c r="BN340" s="42">
        <f t="shared" si="315"/>
        <v>0.67346301430386035</v>
      </c>
      <c r="BR340" s="42">
        <f t="shared" si="316"/>
        <v>0.67590290135806397</v>
      </c>
      <c r="BV340" s="70">
        <f>BV237</f>
        <v>0.65441406045098371</v>
      </c>
      <c r="BZ340" s="70">
        <f>BZ237</f>
        <v>0.72136873104275556</v>
      </c>
      <c r="CD340" s="70">
        <f>CD237</f>
        <v>0.6986932989571808</v>
      </c>
      <c r="CH340" s="70">
        <f>CH237</f>
        <v>0.65623044620434612</v>
      </c>
      <c r="CL340" s="70">
        <f>CL237</f>
        <v>0.55787415670568075</v>
      </c>
      <c r="CP340" s="70">
        <f>CP237</f>
        <v>0.56379941880092455</v>
      </c>
      <c r="CT340" s="70">
        <f>CT237</f>
        <v>0.49845335891078063</v>
      </c>
      <c r="CX340" s="70">
        <f>CX237</f>
        <v>0.55930173623103951</v>
      </c>
      <c r="DB340" s="70">
        <f>DB237</f>
        <v>0.69834732667800337</v>
      </c>
      <c r="DF340" s="70">
        <f ca="1">DF237</f>
        <v>0.66677603694263754</v>
      </c>
      <c r="DJ340" s="70">
        <f>DJ237</f>
        <v>0.64950424207955615</v>
      </c>
      <c r="DN340" s="70">
        <f>DN237</f>
        <v>0.65014387033065812</v>
      </c>
      <c r="DR340" s="70">
        <f>DR237</f>
        <v>0.65000456955317776</v>
      </c>
    </row>
    <row r="341" spans="1:125" ht="14.4" thickBot="1">
      <c r="A341" s="1" t="s">
        <v>93</v>
      </c>
      <c r="BF341" s="42">
        <f t="shared" si="313"/>
        <v>0</v>
      </c>
      <c r="BJ341" s="42">
        <f t="shared" si="314"/>
        <v>0</v>
      </c>
      <c r="BN341" s="42">
        <f t="shared" si="315"/>
        <v>0</v>
      </c>
      <c r="BR341" s="42">
        <f t="shared" si="316"/>
        <v>0</v>
      </c>
      <c r="BV341" s="70">
        <f>BV238</f>
        <v>0</v>
      </c>
      <c r="BZ341" s="70">
        <f>BZ238</f>
        <v>0</v>
      </c>
      <c r="CD341" s="70">
        <f>CD238</f>
        <v>0</v>
      </c>
      <c r="CH341" s="70">
        <f>CH238</f>
        <v>0</v>
      </c>
      <c r="CL341" s="70">
        <f>CL238</f>
        <v>0</v>
      </c>
      <c r="CP341" s="70">
        <f>CP238</f>
        <v>0</v>
      </c>
      <c r="CT341" s="70">
        <f>CT238</f>
        <v>0</v>
      </c>
      <c r="CX341" s="70">
        <f>CX238</f>
        <v>0</v>
      </c>
      <c r="DB341" s="70">
        <f>DB238</f>
        <v>0</v>
      </c>
      <c r="DF341" s="70">
        <f ca="1">DF238</f>
        <v>0</v>
      </c>
      <c r="DJ341" s="70">
        <f>DJ238</f>
        <v>0</v>
      </c>
      <c r="DN341" s="70">
        <f>DN238</f>
        <v>0</v>
      </c>
      <c r="DR341" s="70">
        <f>DR238</f>
        <v>0</v>
      </c>
    </row>
    <row r="342" spans="1:125">
      <c r="A342" s="2" t="s">
        <v>94</v>
      </c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43">
        <f t="shared" si="313"/>
        <v>0.6676535244956513</v>
      </c>
      <c r="BG342" s="5"/>
      <c r="BH342" s="5"/>
      <c r="BI342" s="5"/>
      <c r="BJ342" s="43">
        <f t="shared" si="314"/>
        <v>0.79700296627088985</v>
      </c>
      <c r="BK342" s="5"/>
      <c r="BL342" s="5"/>
      <c r="BM342" s="5"/>
      <c r="BN342" s="43">
        <f t="shared" si="315"/>
        <v>0.67346301430386035</v>
      </c>
      <c r="BO342" s="5"/>
      <c r="BP342" s="5"/>
      <c r="BQ342" s="5"/>
      <c r="BR342" s="43">
        <f t="shared" si="316"/>
        <v>0.67590290135806397</v>
      </c>
      <c r="BS342" s="5"/>
      <c r="BT342" s="5"/>
      <c r="BU342" s="5"/>
      <c r="BV342" s="43">
        <f>+BV338/BV339</f>
        <v>0.65441406045098371</v>
      </c>
      <c r="BW342" s="5"/>
      <c r="BX342" s="5"/>
      <c r="BY342" s="5"/>
      <c r="BZ342" s="43">
        <f>+BZ338/BZ339</f>
        <v>0.72136873104275556</v>
      </c>
      <c r="CA342" s="5"/>
      <c r="CB342" s="5"/>
      <c r="CC342" s="5"/>
      <c r="CD342" s="43">
        <f>+CD338/CD339</f>
        <v>0.6986932989571808</v>
      </c>
      <c r="CE342" s="5"/>
      <c r="CF342" s="5"/>
      <c r="CG342" s="5"/>
      <c r="CH342" s="43">
        <f>+CH338/CH339</f>
        <v>0.65623044620434612</v>
      </c>
      <c r="CI342" s="5"/>
      <c r="CJ342" s="5"/>
      <c r="CK342" s="5"/>
      <c r="CL342" s="43">
        <f>+CL338/CL339</f>
        <v>0.55787415670568075</v>
      </c>
      <c r="CM342" s="5"/>
      <c r="CN342" s="5"/>
      <c r="CO342" s="5"/>
      <c r="CP342" s="43">
        <f>+CP338/CP339</f>
        <v>0.56379941880092455</v>
      </c>
      <c r="CQ342" s="5"/>
      <c r="CR342" s="5"/>
      <c r="CS342" s="5"/>
      <c r="CT342" s="43">
        <f>+CT338/CT339</f>
        <v>0.49845335891078063</v>
      </c>
      <c r="CU342" s="5"/>
      <c r="CV342" s="5"/>
      <c r="CW342" s="5"/>
      <c r="CX342" s="43">
        <f>+CX338/CX339</f>
        <v>0.55930173623103951</v>
      </c>
      <c r="CY342" s="5"/>
      <c r="CZ342" s="5"/>
      <c r="DA342" s="5"/>
      <c r="DB342" s="43">
        <f>+DB338/DB339</f>
        <v>0.69834732667800348</v>
      </c>
      <c r="DC342" s="5"/>
      <c r="DD342" s="5"/>
      <c r="DE342" s="5"/>
      <c r="DF342" s="43">
        <f ca="1">+DF338/DF339</f>
        <v>0.66677603694263754</v>
      </c>
      <c r="DG342" s="5"/>
      <c r="DH342" s="5"/>
      <c r="DI342" s="5"/>
      <c r="DJ342" s="43">
        <f ca="1">+DJ338/DJ339</f>
        <v>0.64950424207955615</v>
      </c>
      <c r="DK342" s="5"/>
      <c r="DL342" s="5"/>
      <c r="DM342" s="5"/>
      <c r="DN342" s="43">
        <f ca="1">+DN338/DN339</f>
        <v>0.65014387033065812</v>
      </c>
      <c r="DO342" s="5"/>
      <c r="DP342" s="5"/>
      <c r="DQ342" s="5"/>
      <c r="DR342" s="43">
        <f ca="1">+DR338/DR339</f>
        <v>0.65000456955317776</v>
      </c>
      <c r="DS342" s="5"/>
    </row>
    <row r="344" spans="1:125">
      <c r="A344" s="1" t="s">
        <v>485</v>
      </c>
      <c r="BF344" s="8">
        <f>BF138</f>
        <v>11277.25</v>
      </c>
      <c r="BJ344" s="8">
        <f>BJ138</f>
        <v>11147.5</v>
      </c>
      <c r="BN344" s="8">
        <f>BN138</f>
        <v>11819.75</v>
      </c>
      <c r="BR344" s="8">
        <f>BR138</f>
        <v>12176.75</v>
      </c>
      <c r="BV344" s="8">
        <f>AVERAGE(BR301,BV301)</f>
        <v>14512.5</v>
      </c>
      <c r="BZ344" s="8">
        <f>AVERAGE(BV301,BZ301)</f>
        <v>15339.5</v>
      </c>
      <c r="CD344" s="8">
        <f>AVERAGE(BZ301,CD301)</f>
        <v>15960</v>
      </c>
      <c r="CH344" s="8">
        <f>AVERAGE(CD301,CH301)</f>
        <v>17059</v>
      </c>
      <c r="CL344" s="8">
        <f>AVERAGE(CH301,CL301)</f>
        <v>19412</v>
      </c>
      <c r="CP344" s="8">
        <f>AVERAGE(CL301,CP301)</f>
        <v>21312.360812212999</v>
      </c>
      <c r="CT344" s="8">
        <f>AVERAGE(CP301,CT301)</f>
        <v>23256.232752061267</v>
      </c>
      <c r="CX344" s="8">
        <f>AVERAGE(CT301,CX301)</f>
        <v>26945.091599400694</v>
      </c>
      <c r="DB344" s="8">
        <f>AVERAGE(CX301,DB301)</f>
        <v>29447.054656527554</v>
      </c>
      <c r="DF344" s="8">
        <f ca="1">AVERAGE(DB301,DF301)</f>
        <v>31074.944744024804</v>
      </c>
      <c r="DJ344" s="8">
        <f ca="1">AVERAGE(DF301,DJ301)</f>
        <v>31930.919281131413</v>
      </c>
      <c r="DN344" s="8">
        <f ca="1">AVERAGE(DJ301,DN301)</f>
        <v>32472.382529950857</v>
      </c>
      <c r="DR344" s="8">
        <f ca="1">AVERAGE(DN301,DR301)</f>
        <v>33815.360810279672</v>
      </c>
    </row>
    <row r="345" spans="1:125">
      <c r="A345" s="1" t="s">
        <v>486</v>
      </c>
      <c r="BF345" s="8">
        <f>BF139</f>
        <v>-532.34176470587772</v>
      </c>
      <c r="BJ345" s="8">
        <f>BJ139</f>
        <v>-230.96153846153902</v>
      </c>
      <c r="BN345" s="8">
        <f>BN139</f>
        <v>-400.9211711711705</v>
      </c>
      <c r="BR345" s="8">
        <f>BR139</f>
        <v>-716.10714285714312</v>
      </c>
      <c r="BV345" s="8">
        <f>BV139</f>
        <v>-534.40306122448965</v>
      </c>
      <c r="BZ345" s="8">
        <f>BZ139</f>
        <v>-541.50000000000182</v>
      </c>
      <c r="CD345" s="8">
        <f>CD139</f>
        <v>-435.34523809524035</v>
      </c>
      <c r="CH345" s="8">
        <f>CH139</f>
        <v>-240.11111111111313</v>
      </c>
      <c r="CL345" s="8">
        <f>CL139</f>
        <v>-676.63793103448188</v>
      </c>
      <c r="CP345" s="8">
        <f>CP139</f>
        <v>55.59265734265864</v>
      </c>
      <c r="CT345" s="8">
        <f>CT139</f>
        <v>484.14572192513151</v>
      </c>
      <c r="CX345" s="8">
        <f>CX139</f>
        <v>-431.87869822485663</v>
      </c>
      <c r="DB345" s="8">
        <f>DB139</f>
        <v>-368.85185185185401</v>
      </c>
      <c r="DF345" s="8">
        <f ca="1">DF139</f>
        <v>-184.73214285714494</v>
      </c>
      <c r="DJ345" s="8">
        <f>DJ139</f>
        <v>-479.33333333333576</v>
      </c>
      <c r="DN345" s="8">
        <f>DN139</f>
        <v>-479.33333333333576</v>
      </c>
      <c r="DR345" s="8">
        <f>DR139</f>
        <v>-479.33333333333576</v>
      </c>
    </row>
    <row r="346" spans="1:125">
      <c r="A346" s="1" t="s">
        <v>484</v>
      </c>
      <c r="BF346" s="8">
        <f>BF140</f>
        <v>10744.908235294122</v>
      </c>
      <c r="BJ346" s="8">
        <f>BJ140</f>
        <v>10916.538461538461</v>
      </c>
      <c r="BN346" s="8">
        <f>BN140</f>
        <v>11418.82882882883</v>
      </c>
      <c r="BR346" s="8">
        <f>BR140</f>
        <v>11460.642857142857</v>
      </c>
      <c r="BV346" s="8">
        <f>SUM(BV344:BV345)</f>
        <v>13978.09693877551</v>
      </c>
      <c r="BZ346" s="8">
        <f>SUM(BZ344:BZ345)</f>
        <v>14797.999999999998</v>
      </c>
      <c r="CD346" s="8">
        <f>SUM(CD344:CD345)</f>
        <v>15524.65476190476</v>
      </c>
      <c r="CH346" s="8">
        <f>SUM(CH344:CH345)</f>
        <v>16818.888888888887</v>
      </c>
      <c r="CL346" s="8">
        <f>SUM(CL344:CL345)</f>
        <v>18735.362068965518</v>
      </c>
      <c r="CP346" s="8">
        <f>SUM(CP344:CP345)</f>
        <v>21367.953469555658</v>
      </c>
      <c r="CT346" s="8">
        <f>SUM(CT344:CT345)</f>
        <v>23740.378473986399</v>
      </c>
      <c r="CX346" s="8">
        <f>SUM(CX344:CX345)</f>
        <v>26513.212901175837</v>
      </c>
      <c r="DB346" s="8">
        <f>SUM(DB344:DB345)</f>
        <v>29078.2028046757</v>
      </c>
      <c r="DF346" s="8">
        <f ca="1">SUM(DF344:DF345)</f>
        <v>30890.212601167659</v>
      </c>
      <c r="DJ346" s="8">
        <f ca="1">SUM(DJ344:DJ345)</f>
        <v>31451.585947798078</v>
      </c>
      <c r="DN346" s="8">
        <f ca="1">SUM(DN344:DN345)</f>
        <v>31993.049196617521</v>
      </c>
      <c r="DR346" s="8">
        <f ca="1">SUM(DR344:DR345)</f>
        <v>33336.027476946336</v>
      </c>
    </row>
    <row r="347" spans="1:125" ht="14.4" thickBot="1">
      <c r="A347" s="1" t="s">
        <v>769</v>
      </c>
      <c r="BF347" s="8">
        <f>BF141</f>
        <v>730.65376000000037</v>
      </c>
      <c r="BJ347" s="8">
        <f>BJ141</f>
        <v>851.49</v>
      </c>
      <c r="BN347" s="8">
        <f>BN141</f>
        <v>1267.49</v>
      </c>
      <c r="BR347" s="8">
        <f>BR141</f>
        <v>1604.49</v>
      </c>
      <c r="BV347" s="8">
        <f>BV288</f>
        <v>2063</v>
      </c>
      <c r="BZ347" s="8">
        <f>BZ288</f>
        <v>2217</v>
      </c>
      <c r="CD347" s="8">
        <f>CD288</f>
        <v>2557</v>
      </c>
      <c r="CH347" s="8">
        <f>CH288</f>
        <v>2982</v>
      </c>
      <c r="CL347" s="8">
        <f>CL288</f>
        <v>2731</v>
      </c>
      <c r="CP347" s="8">
        <f>CP288</f>
        <v>3015</v>
      </c>
      <c r="CT347" s="8">
        <f>CT288</f>
        <v>4706</v>
      </c>
      <c r="CX347" s="8">
        <f>CX288</f>
        <v>5182</v>
      </c>
      <c r="DB347" s="8">
        <f>DB288</f>
        <v>3522</v>
      </c>
      <c r="DF347" s="8">
        <f ca="1">DF288</f>
        <v>3715</v>
      </c>
      <c r="DJ347" s="8">
        <f ca="1">DJ288</f>
        <v>2453.6144689586936</v>
      </c>
      <c r="DN347" s="8">
        <f ca="1">DN288</f>
        <v>3200.6026815185792</v>
      </c>
      <c r="DR347" s="8">
        <f ca="1">DR288</f>
        <v>2713.6224827347519</v>
      </c>
    </row>
    <row r="348" spans="1:125" ht="14.4" thickBot="1">
      <c r="A348" s="80" t="s">
        <v>906</v>
      </c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  <c r="AD348" s="81"/>
      <c r="AE348" s="81"/>
      <c r="AF348" s="81"/>
      <c r="AG348" s="81"/>
      <c r="AH348" s="81"/>
      <c r="AI348" s="81"/>
      <c r="AJ348" s="81"/>
      <c r="AK348" s="81"/>
      <c r="AL348" s="81"/>
      <c r="AM348" s="81"/>
      <c r="AN348" s="81"/>
      <c r="AO348" s="81"/>
      <c r="AP348" s="81"/>
      <c r="AQ348" s="81"/>
      <c r="AR348" s="81"/>
      <c r="AS348" s="81"/>
      <c r="AT348" s="81"/>
      <c r="AU348" s="81"/>
      <c r="AV348" s="82"/>
      <c r="AW348" s="82"/>
      <c r="AX348" s="82"/>
      <c r="AY348" s="82"/>
      <c r="AZ348" s="82"/>
      <c r="BA348" s="82"/>
      <c r="BB348" s="82"/>
      <c r="BC348" s="82"/>
      <c r="BD348" s="82"/>
      <c r="BE348" s="82"/>
      <c r="BF348" s="89">
        <f>BF142</f>
        <v>6.8000000000000005E-2</v>
      </c>
      <c r="BG348" s="82"/>
      <c r="BH348" s="82"/>
      <c r="BI348" s="82"/>
      <c r="BJ348" s="89">
        <f>BJ142</f>
        <v>7.8E-2</v>
      </c>
      <c r="BK348" s="82"/>
      <c r="BL348" s="82"/>
      <c r="BM348" s="82"/>
      <c r="BN348" s="89">
        <f>BN142</f>
        <v>0.11099999999999999</v>
      </c>
      <c r="BO348" s="82"/>
      <c r="BP348" s="82"/>
      <c r="BQ348" s="82"/>
      <c r="BR348" s="89">
        <f>BR142</f>
        <v>0.14000000000000001</v>
      </c>
      <c r="BS348" s="82"/>
      <c r="BT348" s="82"/>
      <c r="BU348" s="82"/>
      <c r="BV348" s="89">
        <f>+BV347/BV346</f>
        <v>0.14758804499897252</v>
      </c>
      <c r="BW348" s="82"/>
      <c r="BX348" s="82"/>
      <c r="BY348" s="82"/>
      <c r="BZ348" s="89">
        <f>+BZ347/BZ346</f>
        <v>0.14981754291120425</v>
      </c>
      <c r="CA348" s="82"/>
      <c r="CB348" s="82"/>
      <c r="CC348" s="82"/>
      <c r="CD348" s="89">
        <f>+CD347/CD346</f>
        <v>0.16470575605162605</v>
      </c>
      <c r="CE348" s="82"/>
      <c r="CF348" s="82"/>
      <c r="CG348" s="82"/>
      <c r="CH348" s="89">
        <f>+CH347/CH346</f>
        <v>0.17730065402655745</v>
      </c>
      <c r="CI348" s="82"/>
      <c r="CJ348" s="82"/>
      <c r="CK348" s="82"/>
      <c r="CL348" s="89">
        <f>+CL347/CL346</f>
        <v>0.14576713222552595</v>
      </c>
      <c r="CM348" s="82"/>
      <c r="CN348" s="82"/>
      <c r="CO348" s="82"/>
      <c r="CP348" s="89">
        <f>+CP347/CP346</f>
        <v>0.14109914664011558</v>
      </c>
      <c r="CQ348" s="82"/>
      <c r="CR348" s="82"/>
      <c r="CS348" s="82"/>
      <c r="CT348" s="89">
        <f>+CT347/CT346</f>
        <v>0.19822767379873979</v>
      </c>
      <c r="CU348" s="82"/>
      <c r="CV348" s="82"/>
      <c r="CW348" s="82"/>
      <c r="CX348" s="89">
        <f>+CX347/CX346</f>
        <v>0.19544971857296795</v>
      </c>
      <c r="CY348" s="82"/>
      <c r="CZ348" s="82"/>
      <c r="DA348" s="82"/>
      <c r="DB348" s="89">
        <f>+DB347/DB346</f>
        <v>0.12112165334487836</v>
      </c>
      <c r="DC348" s="82"/>
      <c r="DD348" s="82"/>
      <c r="DE348" s="82"/>
      <c r="DF348" s="89">
        <f ca="1">+DF347/DF346</f>
        <v>0.12026463035283777</v>
      </c>
      <c r="DG348" s="82"/>
      <c r="DH348" s="82"/>
      <c r="DI348" s="82"/>
      <c r="DJ348" s="89">
        <f ca="1">+DJ347/DJ346</f>
        <v>7.8012424334693076E-2</v>
      </c>
      <c r="DK348" s="82"/>
      <c r="DL348" s="82"/>
      <c r="DM348" s="82"/>
      <c r="DN348" s="89">
        <f ca="1">+DN347/DN346</f>
        <v>0.10004056386900953</v>
      </c>
      <c r="DO348" s="82"/>
      <c r="DP348" s="82"/>
      <c r="DQ348" s="82"/>
      <c r="DR348" s="89">
        <f ca="1">+DR347/DR346</f>
        <v>8.1402095213995385E-2</v>
      </c>
      <c r="DS348" s="82"/>
    </row>
    <row r="349" spans="1:125" s="11" customFormat="1">
      <c r="A349" s="2005" t="s">
        <v>43</v>
      </c>
      <c r="B349" s="2005"/>
      <c r="C349" s="2005"/>
      <c r="D349" s="2005"/>
      <c r="E349" s="2005"/>
      <c r="F349" s="2005"/>
      <c r="G349" s="2005"/>
      <c r="H349" s="2005"/>
      <c r="I349" s="2005"/>
      <c r="J349" s="2005"/>
      <c r="K349" s="2005"/>
      <c r="L349" s="2005"/>
      <c r="M349" s="2005"/>
      <c r="N349" s="2005"/>
      <c r="O349" s="2005"/>
      <c r="P349" s="2005"/>
      <c r="Q349" s="2005"/>
      <c r="R349" s="2005"/>
      <c r="S349" s="2005"/>
      <c r="T349" s="2005"/>
      <c r="U349" s="2005"/>
      <c r="V349" s="2005"/>
      <c r="W349" s="2005"/>
      <c r="X349" s="2005"/>
      <c r="Y349" s="2005"/>
      <c r="Z349" s="2005"/>
      <c r="AA349" s="2005"/>
      <c r="AB349" s="2005"/>
      <c r="AC349" s="2005"/>
      <c r="AD349" s="2005"/>
      <c r="AE349" s="2005"/>
      <c r="AF349" s="2005"/>
      <c r="AG349" s="2005"/>
      <c r="AH349" s="2005"/>
      <c r="AI349" s="2005"/>
      <c r="AJ349" s="2005"/>
      <c r="AK349" s="2005"/>
      <c r="AL349" s="2005"/>
      <c r="AM349" s="2005"/>
      <c r="AN349" s="2005"/>
      <c r="AO349" s="2005"/>
      <c r="AP349" s="2005"/>
      <c r="AQ349" s="2005"/>
      <c r="AR349" s="2005"/>
      <c r="AS349" s="2005"/>
      <c r="AT349" s="2005"/>
      <c r="AU349" s="2005"/>
      <c r="AV349" s="2006"/>
      <c r="AW349" s="2006"/>
      <c r="AX349" s="2006"/>
      <c r="AY349" s="2006"/>
      <c r="AZ349" s="2006"/>
      <c r="BA349" s="2006"/>
      <c r="BB349" s="2006"/>
      <c r="BC349" s="2006"/>
      <c r="BD349" s="2006"/>
      <c r="BE349" s="2006"/>
      <c r="BF349" s="2006"/>
      <c r="BG349" s="2006"/>
      <c r="BH349" s="2006"/>
      <c r="BI349" s="2006"/>
      <c r="BJ349" s="2006"/>
      <c r="BK349" s="2006"/>
      <c r="BL349" s="2006"/>
      <c r="BM349" s="2006"/>
      <c r="BN349" s="2006"/>
      <c r="BO349" s="2006"/>
      <c r="BP349" s="2006"/>
      <c r="BQ349" s="2006"/>
      <c r="BR349" s="2006"/>
      <c r="BS349" s="2006"/>
      <c r="BT349" s="2006"/>
      <c r="BU349" s="2006"/>
      <c r="BV349" s="2007">
        <f>+BV348-BV142</f>
        <v>5.880449989725256E-4</v>
      </c>
      <c r="BW349" s="2006"/>
      <c r="BX349" s="2006"/>
      <c r="BY349" s="2006"/>
      <c r="BZ349" s="2007">
        <f>+BZ348-BZ142</f>
        <v>-2.1824570887957473E-3</v>
      </c>
      <c r="CA349" s="2006"/>
      <c r="CB349" s="2006"/>
      <c r="CC349" s="2006"/>
      <c r="CD349" s="2007">
        <f>+CD348-CD142</f>
        <v>-3.2942439483739649E-3</v>
      </c>
      <c r="CE349" s="2006"/>
      <c r="CF349" s="2006"/>
      <c r="CG349" s="2006"/>
      <c r="CH349" s="2007">
        <f>+CH348-CH142</f>
        <v>-2.6993459734425684E-3</v>
      </c>
      <c r="CI349" s="2006"/>
      <c r="CJ349" s="2006"/>
      <c r="CK349" s="2006"/>
      <c r="CL349" s="2007">
        <f>+CL348-CL142</f>
        <v>7.6713222552596272E-4</v>
      </c>
      <c r="CM349" s="2006"/>
      <c r="CN349" s="2006"/>
      <c r="CO349" s="2006"/>
      <c r="CP349" s="2007">
        <f>+CP348-CP142</f>
        <v>-1.900853359884408E-3</v>
      </c>
      <c r="CQ349" s="2006"/>
      <c r="CR349" s="2006"/>
      <c r="CS349" s="2006"/>
      <c r="CT349" s="2007">
        <f>+CT348-CT142</f>
        <v>1.122767379873979E-2</v>
      </c>
      <c r="CU349" s="2006"/>
      <c r="CV349" s="2006"/>
      <c r="CW349" s="2006"/>
      <c r="CX349" s="2007">
        <f>+CX348-CX142</f>
        <v>2.6449718572967934E-2</v>
      </c>
      <c r="CY349" s="2006"/>
      <c r="CZ349" s="2006"/>
      <c r="DA349" s="2006"/>
      <c r="DB349" s="2007">
        <f>+DB348-DB142</f>
        <v>1.3121653344878359E-2</v>
      </c>
      <c r="DC349" s="2006"/>
      <c r="DD349" s="2006"/>
      <c r="DE349" s="2006"/>
      <c r="DF349" s="2007">
        <f ca="1">+DF348-DF142</f>
        <v>8.2646303528377679E-3</v>
      </c>
      <c r="DG349" s="2006"/>
      <c r="DH349" s="2006"/>
      <c r="DI349" s="2006"/>
      <c r="DJ349" s="2007">
        <f ca="1">+DJ348-DJ142</f>
        <v>-4.2421208490224863E-2</v>
      </c>
      <c r="DK349" s="2006"/>
      <c r="DL349" s="2006"/>
      <c r="DM349" s="2006"/>
      <c r="DN349" s="2007">
        <f ca="1">+DN348-DN142</f>
        <v>-2.5102917245021394E-2</v>
      </c>
      <c r="DO349" s="2006"/>
      <c r="DP349" s="2006"/>
      <c r="DQ349" s="2006"/>
      <c r="DR349" s="2007">
        <f ca="1">+DR348-DR142</f>
        <v>-4.2151095125906382E-2</v>
      </c>
      <c r="DS349" s="2006"/>
      <c r="DT349" s="15"/>
      <c r="DU349" s="15"/>
    </row>
  </sheetData>
  <phoneticPr fontId="9" type="noConversion"/>
  <pageMargins left="0.74803149606299213" right="0.74803149606299213" top="0.98425196850393704" bottom="0.98425196850393704" header="0.51181102362204722" footer="0.51181102362204722"/>
  <pageSetup paperSize="9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rgb="FFFFC000"/>
    <pageSetUpPr fitToPage="1"/>
  </sheetPr>
  <dimension ref="B3:N46"/>
  <sheetViews>
    <sheetView showGridLines="0" zoomScale="115" zoomScaleNormal="115" workbookViewId="0">
      <selection activeCell="J28" sqref="J27:J28"/>
    </sheetView>
  </sheetViews>
  <sheetFormatPr defaultRowHeight="13.2"/>
  <cols>
    <col min="2" max="2" width="28.44140625" customWidth="1"/>
    <col min="3" max="3" width="4.88671875" customWidth="1"/>
    <col min="4" max="4" width="7.6640625" customWidth="1"/>
    <col min="5" max="5" width="1.88671875" customWidth="1"/>
    <col min="6" max="6" width="28.5546875" customWidth="1"/>
    <col min="7" max="7" width="4.88671875" customWidth="1"/>
    <col min="8" max="8" width="7.6640625" customWidth="1"/>
    <col min="9" max="9" width="1.88671875" customWidth="1"/>
    <col min="10" max="10" width="28.5546875" customWidth="1"/>
    <col min="11" max="11" width="4.88671875" customWidth="1"/>
    <col min="12" max="12" width="7.6640625" customWidth="1"/>
  </cols>
  <sheetData>
    <row r="3" spans="2:12" ht="13.8">
      <c r="B3" s="495"/>
      <c r="C3" s="495"/>
      <c r="D3" s="496"/>
    </row>
    <row r="5" spans="2:12" ht="13.8" thickBot="1"/>
    <row r="6" spans="2:12" ht="14.4" thickTop="1">
      <c r="B6" s="552" t="str">
        <f>'Valuation New'!B6</f>
        <v>Bull Case: P/E</v>
      </c>
      <c r="C6" s="553"/>
      <c r="D6" s="554"/>
      <c r="E6" s="555"/>
      <c r="F6" s="552" t="str">
        <f>'Valuation New'!B12</f>
        <v>Base Case: SOTP</v>
      </c>
      <c r="G6" s="553"/>
      <c r="H6" s="556"/>
      <c r="I6" s="555"/>
      <c r="J6" s="552" t="str">
        <f>'Valuation New'!B34</f>
        <v>Bull / Base / Bear Scenario weights</v>
      </c>
      <c r="K6" s="553"/>
      <c r="L6" s="554"/>
    </row>
    <row r="7" spans="2:12" ht="13.8">
      <c r="B7" s="102" t="str">
        <f>'Valuation New'!B7</f>
        <v>FY26E Bull Case EPS</v>
      </c>
      <c r="C7" s="103" t="str">
        <f>'Valuation New'!C7</f>
        <v>A$</v>
      </c>
      <c r="D7" s="489">
        <f ca="1">'Valuation New'!D7</f>
        <v>14.421300504079811</v>
      </c>
      <c r="F7" s="102" t="str">
        <f>'Valuation New'!B13</f>
        <v>FY26E Weight</v>
      </c>
      <c r="G7" s="103" t="str">
        <f>'Valuation New'!C13</f>
        <v>%</v>
      </c>
      <c r="H7" s="491">
        <f>'Valuation New'!D13</f>
        <v>0.16666666666666666</v>
      </c>
      <c r="J7" s="102" t="str">
        <f>'Valuation New'!B35</f>
        <v>Bull Case</v>
      </c>
      <c r="K7" s="103" t="str">
        <f>'Valuation New'!C35</f>
        <v>%</v>
      </c>
      <c r="L7" s="360">
        <f>'Valuation New'!D35</f>
        <v>0.25</v>
      </c>
    </row>
    <row r="8" spans="2:12" ht="13.8">
      <c r="B8" s="102" t="str">
        <f>'Valuation New'!B8</f>
        <v>FY27E Bull Case EPS</v>
      </c>
      <c r="C8" s="103" t="str">
        <f>'Valuation New'!C8</f>
        <v>A$</v>
      </c>
      <c r="D8" s="489">
        <f ca="1">'Valuation New'!D8</f>
        <v>18.131571945216802</v>
      </c>
      <c r="F8" s="102" t="str">
        <f>'Valuation New'!B14</f>
        <v>FY26E Earnings</v>
      </c>
      <c r="G8" s="103" t="str">
        <f>'Valuation New'!C14</f>
        <v>A$m</v>
      </c>
      <c r="H8" s="492">
        <f>'Valuation New'!D14</f>
        <v>4172.6901979637696</v>
      </c>
      <c r="J8" s="289" t="str">
        <f>'Valuation New'!B36</f>
        <v>Base Case</v>
      </c>
      <c r="K8" s="290" t="str">
        <f>'Valuation New'!C36</f>
        <v>%</v>
      </c>
      <c r="L8" s="379">
        <f>'Valuation New'!D36</f>
        <v>0.6</v>
      </c>
    </row>
    <row r="9" spans="2:12" ht="13.8">
      <c r="B9" s="102" t="str">
        <f>'Valuation New'!B9</f>
        <v>12-month Fwd Bull Case EPS</v>
      </c>
      <c r="C9" s="103" t="str">
        <f>'Valuation New'!C9</f>
        <v>A$</v>
      </c>
      <c r="D9" s="489">
        <f ca="1">'Valuation New'!D9</f>
        <v>17.513193371693969</v>
      </c>
      <c r="F9" s="102" t="str">
        <f>'Valuation New'!B15</f>
        <v>FY26E P/E Multiple</v>
      </c>
      <c r="G9" s="103" t="str">
        <f>'Valuation New'!C15</f>
        <v>x</v>
      </c>
      <c r="H9" s="493">
        <f>'Valuation New'!D15</f>
        <v>16.919432394652588</v>
      </c>
      <c r="J9" s="102" t="str">
        <f>'Valuation New'!B37</f>
        <v>Bear Case</v>
      </c>
      <c r="K9" s="103" t="str">
        <f>'Valuation New'!C37</f>
        <v>%</v>
      </c>
      <c r="L9" s="360">
        <f>'Valuation New'!D37</f>
        <v>0.15000000000000002</v>
      </c>
    </row>
    <row r="10" spans="2:12" ht="13.8">
      <c r="B10" s="102" t="str">
        <f>'Valuation New'!B10</f>
        <v>Bull Case P/E Multiple</v>
      </c>
      <c r="C10" s="103" t="str">
        <f>'Valuation New'!C10</f>
        <v>x</v>
      </c>
      <c r="D10" s="490">
        <f>'Valuation New'!D10</f>
        <v>24</v>
      </c>
      <c r="F10" s="480" t="str">
        <f>'Valuation New'!B16</f>
        <v>FY26E Valuation</v>
      </c>
      <c r="G10" s="481" t="str">
        <f>'Valuation New'!C16</f>
        <v>A$m</v>
      </c>
      <c r="H10" s="494">
        <f>'Valuation New'!D16</f>
        <v>70599.549708277525</v>
      </c>
    </row>
    <row r="11" spans="2:12" ht="13.8">
      <c r="B11" s="557" t="str">
        <f>'Valuation New'!B11</f>
        <v>Bull Case Valuation</v>
      </c>
      <c r="C11" s="558" t="str">
        <f>'Valuation New'!C11</f>
        <v>A$</v>
      </c>
      <c r="D11" s="559">
        <f ca="1">'Valuation New'!D11</f>
        <v>420.3</v>
      </c>
      <c r="F11" s="102" t="str">
        <f>'Valuation New'!B17</f>
        <v>FY27E Weight</v>
      </c>
      <c r="G11" s="103" t="str">
        <f>'Valuation New'!C17</f>
        <v>%</v>
      </c>
      <c r="H11" s="491">
        <f>'Valuation New'!D17</f>
        <v>0.83333333333333337</v>
      </c>
      <c r="J11" s="603" t="str">
        <f>'Valuation New'!B38</f>
        <v>12m Price Target</v>
      </c>
      <c r="K11" s="604" t="str">
        <f>'Valuation New'!C38</f>
        <v>A$</v>
      </c>
      <c r="L11" s="605">
        <f ca="1">'Valuation New'!D38</f>
        <v>223</v>
      </c>
    </row>
    <row r="12" spans="2:12" ht="14.4" thickBot="1">
      <c r="F12" s="102" t="str">
        <f>'Valuation New'!B18</f>
        <v>FY27E Earnings</v>
      </c>
      <c r="G12" s="103" t="str">
        <f>'Valuation New'!C18</f>
        <v>A$m</v>
      </c>
      <c r="H12" s="492">
        <f>'Valuation New'!D18</f>
        <v>4572.7102875162273</v>
      </c>
      <c r="J12" s="102" t="str">
        <f>'Valuation New'!B39</f>
        <v>Current price</v>
      </c>
      <c r="K12" s="103" t="str">
        <f>'Valuation New'!C39</f>
        <v>A$</v>
      </c>
      <c r="L12" s="362">
        <f>'Valuation New'!D39</f>
        <v>214.5</v>
      </c>
    </row>
    <row r="13" spans="2:12" ht="14.4" thickBot="1">
      <c r="F13" s="102" t="str">
        <f>'Valuation New'!B19</f>
        <v>FY27E P/E Multiple</v>
      </c>
      <c r="G13" s="103" t="str">
        <f>'Valuation New'!C19</f>
        <v>x</v>
      </c>
      <c r="H13" s="493">
        <f>'Valuation New'!D19</f>
        <v>14.583499847598832</v>
      </c>
      <c r="J13" s="469" t="str">
        <f>'Valuation New'!B40</f>
        <v>Upside to Price Target</v>
      </c>
      <c r="K13" s="470" t="str">
        <f>'Valuation New'!C40</f>
        <v>%</v>
      </c>
      <c r="L13" s="471">
        <f ca="1">'Valuation New'!D40</f>
        <v>3.9627039627039728E-2</v>
      </c>
    </row>
    <row r="14" spans="2:12" ht="13.8">
      <c r="B14" s="289" t="str">
        <f>'Valuation New'!B27</f>
        <v>Bear Case: P/E</v>
      </c>
      <c r="C14" s="464"/>
      <c r="D14" s="465"/>
      <c r="F14" s="480" t="str">
        <f>'Valuation New'!B20</f>
        <v>FY27E Valuation</v>
      </c>
      <c r="G14" s="481" t="str">
        <f>'Valuation New'!C20</f>
        <v>A$m</v>
      </c>
      <c r="H14" s="482">
        <f>'Valuation New'!D20</f>
        <v>66686.119781106507</v>
      </c>
      <c r="J14" s="102" t="str">
        <f>'Valuation New'!B41</f>
        <v>Next 12mth Dividend</v>
      </c>
      <c r="K14" s="103" t="str">
        <f>'Valuation New'!C41</f>
        <v>A$</v>
      </c>
      <c r="L14" s="365">
        <f>'Valuation New'!D41</f>
        <v>7.55</v>
      </c>
    </row>
    <row r="15" spans="2:12" ht="13.8">
      <c r="B15" s="102" t="str">
        <f>'Valuation New'!B28</f>
        <v>FY26E Bear Case EPS</v>
      </c>
      <c r="C15" s="103" t="str">
        <f>'Valuation New'!C28</f>
        <v>A$</v>
      </c>
      <c r="D15" s="489">
        <f ca="1">'Valuation New'!D28</f>
        <v>6.2634181987971882</v>
      </c>
      <c r="F15" s="483" t="str">
        <f>'Valuation New'!B21</f>
        <v>Weighted Average SOTP Base Case</v>
      </c>
      <c r="G15" s="484" t="str">
        <f>'Valuation New'!C21</f>
        <v>A$m</v>
      </c>
      <c r="H15" s="485">
        <f>'Valuation New'!D21</f>
        <v>67338.358102301674</v>
      </c>
      <c r="J15" s="560" t="str">
        <f>'Valuation New'!B42</f>
        <v>Implied TSR</v>
      </c>
      <c r="K15" s="561" t="str">
        <f>'Valuation New'!C42</f>
        <v>%</v>
      </c>
      <c r="L15" s="562">
        <f ca="1">'Valuation New'!D42</f>
        <v>7.4825174825174923E-2</v>
      </c>
    </row>
    <row r="16" spans="2:12" ht="13.8">
      <c r="B16" s="102" t="str">
        <f>'Valuation New'!B29</f>
        <v>FY27E Bear Case EPS</v>
      </c>
      <c r="C16" s="103" t="str">
        <f>'Valuation New'!C29</f>
        <v>A$</v>
      </c>
      <c r="D16" s="489">
        <f ca="1">'Valuation New'!D29</f>
        <v>8.1582024459289162</v>
      </c>
      <c r="F16" s="102" t="str">
        <f>'Valuation New'!B22</f>
        <v>Outside Equity Interests + Pref.</v>
      </c>
      <c r="G16" s="103" t="str">
        <f>'Valuation New'!C22</f>
        <v>A$m</v>
      </c>
      <c r="H16" s="293">
        <f>'Valuation New'!D22</f>
        <v>-633</v>
      </c>
    </row>
    <row r="17" spans="2:14" ht="13.8">
      <c r="B17" s="102" t="str">
        <f>'Valuation New'!B30</f>
        <v>12-month Fwd Bear Case EPS</v>
      </c>
      <c r="C17" s="103" t="str">
        <f>'Valuation New'!C30</f>
        <v>A$</v>
      </c>
      <c r="D17" s="489">
        <f ca="1">'Valuation New'!D30</f>
        <v>7.8424050714069615</v>
      </c>
      <c r="F17" s="102" t="str">
        <f>'Valuation New'!B23</f>
        <v>Group Value</v>
      </c>
      <c r="G17" s="103" t="str">
        <f>'Valuation New'!C23</f>
        <v>A$m</v>
      </c>
      <c r="H17" s="293">
        <f>'Valuation New'!D23</f>
        <v>66705.358102301674</v>
      </c>
      <c r="J17" s="2002" t="str">
        <f>'Valuation New'!B43</f>
        <v>Implied FY27E P/E Multiple</v>
      </c>
      <c r="K17" s="2003" t="str">
        <f>'Valuation New'!C43</f>
        <v>x</v>
      </c>
      <c r="L17" s="2004">
        <f ca="1">'Valuation New'!D43</f>
        <v>18.757860078949854</v>
      </c>
    </row>
    <row r="18" spans="2:14" ht="13.8">
      <c r="B18" s="102" t="str">
        <f>'Valuation New'!B31</f>
        <v>Implied P/BV on last reported</v>
      </c>
      <c r="C18" s="103" t="str">
        <f>'Valuation New'!C31</f>
        <v>x</v>
      </c>
      <c r="D18" s="489">
        <f ca="1">'Valuation New'!D31</f>
        <v>0.9517156683689707</v>
      </c>
      <c r="F18" s="477" t="str">
        <f>'Valuation New'!B24</f>
        <v>Base Case SOTP Valuation</v>
      </c>
      <c r="G18" s="478" t="str">
        <f>'Valuation New'!C24</f>
        <v>A$</v>
      </c>
      <c r="H18" s="479">
        <f>'Valuation New'!D24</f>
        <v>174.6</v>
      </c>
      <c r="J18" s="102" t="str">
        <f>'Valuation New'!B44</f>
        <v>Implied FY27E P/BV Multiple</v>
      </c>
      <c r="K18" s="103" t="str">
        <f>'Valuation New'!C44</f>
        <v>x</v>
      </c>
      <c r="L18" s="374">
        <f ca="1">'Valuation New'!D44</f>
        <v>2.1841740670455616</v>
      </c>
    </row>
    <row r="19" spans="2:14" ht="13.8">
      <c r="B19" s="102" t="str">
        <f>'Valuation New'!B32</f>
        <v>Bear Case P/E Multiple</v>
      </c>
      <c r="C19" s="103" t="str">
        <f>'Valuation New'!C32</f>
        <v>x</v>
      </c>
      <c r="D19" s="374">
        <f>'Valuation New'!D32</f>
        <v>11</v>
      </c>
      <c r="F19" s="102" t="str">
        <f>'Valuation New'!B25</f>
        <v>12-month Fwd Base Case EPS</v>
      </c>
      <c r="G19" s="103" t="str">
        <f>'Valuation New'!C25</f>
        <v>A$</v>
      </c>
      <c r="H19" s="369">
        <f>'Valuation New'!D25</f>
        <v>11.725448656181738</v>
      </c>
      <c r="J19" s="567" t="str">
        <f>'Valuation New'!B45</f>
        <v>Implied FY27E Dividend Yield</v>
      </c>
      <c r="K19" s="568" t="str">
        <f>'Valuation New'!C45</f>
        <v>%</v>
      </c>
      <c r="L19" s="569">
        <f ca="1">'Valuation New'!D45</f>
        <v>3.4753363228699555E-2</v>
      </c>
      <c r="N19" s="583"/>
    </row>
    <row r="20" spans="2:14" ht="14.4" thickBot="1">
      <c r="B20" s="600" t="str">
        <f>'Valuation New'!B33</f>
        <v>Bear Case Valuation</v>
      </c>
      <c r="C20" s="601" t="str">
        <f>'Valuation New'!C33</f>
        <v>A$</v>
      </c>
      <c r="D20" s="602">
        <f ca="1">'Valuation New'!D33</f>
        <v>86.3</v>
      </c>
      <c r="E20" s="563"/>
      <c r="F20" s="564" t="str">
        <f>'Valuation New'!B26</f>
        <v>Base Case Implied P/E Multiple</v>
      </c>
      <c r="G20" s="565" t="str">
        <f>'Valuation New'!C26</f>
        <v>x</v>
      </c>
      <c r="H20" s="566">
        <f>'Valuation New'!D26</f>
        <v>14.89068820474939</v>
      </c>
      <c r="I20" s="563"/>
      <c r="J20" s="563"/>
      <c r="K20" s="563"/>
      <c r="L20" s="563"/>
    </row>
    <row r="21" spans="2:14" ht="13.8" thickTop="1"/>
    <row r="24" spans="2:14">
      <c r="H24" s="611"/>
    </row>
    <row r="45" spans="2:4" ht="13.8">
      <c r="B45" s="289"/>
      <c r="C45" s="290"/>
      <c r="D45" s="376"/>
    </row>
    <row r="46" spans="2:4" ht="13.8">
      <c r="B46" s="102"/>
      <c r="C46" s="102"/>
      <c r="D46" s="102"/>
    </row>
  </sheetData>
  <pageMargins left="0" right="0" top="0" bottom="0" header="0" footer="0.3"/>
  <pageSetup paperSize="5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85319-A0BC-430E-8197-66C5CAEEFA3D}">
  <dimension ref="A1:B44"/>
  <sheetViews>
    <sheetView workbookViewId="0"/>
  </sheetViews>
  <sheetFormatPr defaultRowHeight="13.2"/>
  <cols>
    <col min="1" max="1" width="29.109375" customWidth="1"/>
  </cols>
  <sheetData>
    <row r="1" spans="1:2">
      <c r="A1" s="2241" t="s">
        <v>1814</v>
      </c>
      <c r="B1" s="2249" t="s">
        <v>1815</v>
      </c>
    </row>
    <row r="2" spans="1:2">
      <c r="A2" s="2241" t="s">
        <v>1816</v>
      </c>
      <c r="B2" s="2241" t="s">
        <v>1817</v>
      </c>
    </row>
    <row r="3" spans="1:2">
      <c r="A3" s="2241" t="s">
        <v>1818</v>
      </c>
      <c r="B3" s="2241" t="s">
        <v>1819</v>
      </c>
    </row>
    <row r="4" spans="1:2">
      <c r="A4" s="2241" t="s">
        <v>1820</v>
      </c>
      <c r="B4" s="2241" t="s">
        <v>1821</v>
      </c>
    </row>
    <row r="5" spans="1:2">
      <c r="A5" s="2241" t="s">
        <v>1822</v>
      </c>
      <c r="B5" s="2241" t="s">
        <v>1823</v>
      </c>
    </row>
    <row r="6" spans="1:2">
      <c r="A6" s="2241" t="s">
        <v>1824</v>
      </c>
      <c r="B6" s="2241"/>
    </row>
    <row r="7" spans="1:2">
      <c r="A7" s="2241" t="s">
        <v>1825</v>
      </c>
      <c r="B7" s="2241" t="s">
        <v>552</v>
      </c>
    </row>
    <row r="8" spans="1:2">
      <c r="A8" s="2241" t="s">
        <v>1826</v>
      </c>
      <c r="B8" s="2241" t="s">
        <v>1827</v>
      </c>
    </row>
    <row r="9" spans="1:2">
      <c r="A9" s="2241" t="s">
        <v>1828</v>
      </c>
      <c r="B9" s="2241" t="s">
        <v>1829</v>
      </c>
    </row>
    <row r="10" spans="1:2">
      <c r="A10" s="2241" t="s">
        <v>1830</v>
      </c>
      <c r="B10" s="2241"/>
    </row>
    <row r="11" spans="1:2">
      <c r="A11" s="2241" t="s">
        <v>1831</v>
      </c>
      <c r="B11" s="2241"/>
    </row>
    <row r="12" spans="1:2">
      <c r="A12" s="2241" t="s">
        <v>1832</v>
      </c>
      <c r="B12" s="2241"/>
    </row>
    <row r="13" spans="1:2">
      <c r="A13" s="2241" t="s">
        <v>1833</v>
      </c>
      <c r="B13" s="2241"/>
    </row>
    <row r="14" spans="1:2">
      <c r="A14" s="2241" t="s">
        <v>1834</v>
      </c>
      <c r="B14" s="2241"/>
    </row>
    <row r="15" spans="1:2">
      <c r="A15" s="2241" t="s">
        <v>1835</v>
      </c>
      <c r="B15" s="2241"/>
    </row>
    <row r="16" spans="1:2">
      <c r="A16" s="2241" t="s">
        <v>1836</v>
      </c>
      <c r="B16" s="2241"/>
    </row>
    <row r="17" spans="1:2">
      <c r="A17" s="2241" t="s">
        <v>1837</v>
      </c>
      <c r="B17" s="2241" t="s">
        <v>1838</v>
      </c>
    </row>
    <row r="18" spans="1:2">
      <c r="A18" s="2241" t="s">
        <v>1839</v>
      </c>
      <c r="B18" s="2241" t="s">
        <v>1840</v>
      </c>
    </row>
    <row r="19" spans="1:2">
      <c r="A19" s="2241" t="s">
        <v>1841</v>
      </c>
      <c r="B19" s="2241" t="s">
        <v>497</v>
      </c>
    </row>
    <row r="20" spans="1:2">
      <c r="A20" s="2241" t="s">
        <v>1842</v>
      </c>
      <c r="B20" s="2241"/>
    </row>
    <row r="21" spans="1:2">
      <c r="A21" s="2241" t="s">
        <v>1843</v>
      </c>
      <c r="B21" s="2241" t="s">
        <v>497</v>
      </c>
    </row>
    <row r="22" spans="1:2">
      <c r="A22" s="2241" t="s">
        <v>1844</v>
      </c>
      <c r="B22" s="2241" t="s">
        <v>1845</v>
      </c>
    </row>
    <row r="23" spans="1:2">
      <c r="A23" s="2241" t="s">
        <v>1846</v>
      </c>
      <c r="B23" s="2249" t="s">
        <v>1847</v>
      </c>
    </row>
    <row r="24" spans="1:2">
      <c r="A24" s="2241" t="s">
        <v>1848</v>
      </c>
      <c r="B24" s="2241" t="s">
        <v>496</v>
      </c>
    </row>
    <row r="25" spans="1:2">
      <c r="A25" s="2241" t="s">
        <v>1849</v>
      </c>
      <c r="B25" s="2241" t="s">
        <v>1850</v>
      </c>
    </row>
    <row r="26" spans="1:2">
      <c r="A26" s="2241" t="s">
        <v>1851</v>
      </c>
      <c r="B26" s="2241" t="s">
        <v>1852</v>
      </c>
    </row>
    <row r="27" spans="1:2">
      <c r="A27" s="2241" t="s">
        <v>1853</v>
      </c>
      <c r="B27" s="2241" t="s">
        <v>1854</v>
      </c>
    </row>
    <row r="28" spans="1:2">
      <c r="A28" s="2241" t="s">
        <v>1855</v>
      </c>
      <c r="B28" s="2241" t="s">
        <v>1856</v>
      </c>
    </row>
    <row r="29" spans="1:2">
      <c r="A29" s="2241" t="s">
        <v>1857</v>
      </c>
      <c r="B29" s="2241"/>
    </row>
    <row r="30" spans="1:2">
      <c r="A30" s="2241" t="s">
        <v>1858</v>
      </c>
      <c r="B30" s="2241"/>
    </row>
    <row r="31" spans="1:2">
      <c r="A31" s="2241" t="s">
        <v>1859</v>
      </c>
      <c r="B31" s="2241"/>
    </row>
    <row r="32" spans="1:2">
      <c r="A32" s="2241" t="s">
        <v>1860</v>
      </c>
      <c r="B32" s="2241"/>
    </row>
    <row r="33" spans="1:2">
      <c r="A33" s="2241" t="s">
        <v>1861</v>
      </c>
      <c r="B33" s="2241"/>
    </row>
    <row r="34" spans="1:2">
      <c r="A34" s="2241" t="s">
        <v>1862</v>
      </c>
      <c r="B34" s="2241"/>
    </row>
    <row r="35" spans="1:2">
      <c r="A35" s="2241" t="s">
        <v>1863</v>
      </c>
      <c r="B35" s="2241" t="s">
        <v>1864</v>
      </c>
    </row>
    <row r="36" spans="1:2">
      <c r="A36" s="2241" t="s">
        <v>1865</v>
      </c>
      <c r="B36" s="2241" t="s">
        <v>1866</v>
      </c>
    </row>
    <row r="37" spans="1:2">
      <c r="A37" s="2241" t="s">
        <v>1867</v>
      </c>
      <c r="B37" s="2241" t="s">
        <v>1868</v>
      </c>
    </row>
    <row r="38" spans="1:2">
      <c r="A38" s="2241" t="s">
        <v>1869</v>
      </c>
      <c r="B38" s="2241" t="s">
        <v>1870</v>
      </c>
    </row>
    <row r="39" spans="1:2">
      <c r="A39" s="2241" t="s">
        <v>1871</v>
      </c>
      <c r="B39" s="2241" t="s">
        <v>1872</v>
      </c>
    </row>
    <row r="40" spans="1:2">
      <c r="A40" s="2241" t="s">
        <v>1873</v>
      </c>
      <c r="B40" s="2241" t="s">
        <v>1874</v>
      </c>
    </row>
    <row r="41" spans="1:2">
      <c r="A41" s="2241" t="s">
        <v>1875</v>
      </c>
      <c r="B41" s="2241" t="s">
        <v>1876</v>
      </c>
    </row>
    <row r="42" spans="1:2">
      <c r="A42" s="2241" t="s">
        <v>1877</v>
      </c>
      <c r="B42" s="2241"/>
    </row>
    <row r="43" spans="1:2">
      <c r="A43" s="2241" t="s">
        <v>1878</v>
      </c>
      <c r="B43" s="2241"/>
    </row>
    <row r="44" spans="1:2">
      <c r="A44" s="2241" t="s">
        <v>1879</v>
      </c>
      <c r="B44" s="2241" t="s">
        <v>1880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88B36-A980-4FC8-9EA3-BABAD774741D}">
  <dimension ref="A1:A13"/>
  <sheetViews>
    <sheetView workbookViewId="0"/>
  </sheetViews>
  <sheetFormatPr defaultRowHeight="13.2"/>
  <cols>
    <col min="1" max="1" width="29" customWidth="1"/>
  </cols>
  <sheetData>
    <row r="1" spans="1:1">
      <c r="A1" s="2241" t="s">
        <v>1881</v>
      </c>
    </row>
    <row r="2" spans="1:1">
      <c r="A2" s="2241" t="s">
        <v>1882</v>
      </c>
    </row>
    <row r="3" spans="1:1">
      <c r="A3" s="2241" t="s">
        <v>1883</v>
      </c>
    </row>
    <row r="4" spans="1:1">
      <c r="A4" s="2241" t="s">
        <v>1884</v>
      </c>
    </row>
    <row r="5" spans="1:1">
      <c r="A5" s="2241" t="s">
        <v>1885</v>
      </c>
    </row>
    <row r="6" spans="1:1">
      <c r="A6" s="2241" t="s">
        <v>1886</v>
      </c>
    </row>
    <row r="7" spans="1:1">
      <c r="A7" s="2241" t="s">
        <v>1887</v>
      </c>
    </row>
    <row r="8" spans="1:1">
      <c r="A8" s="2241" t="s">
        <v>1888</v>
      </c>
    </row>
    <row r="9" spans="1:1">
      <c r="A9" s="2241" t="s">
        <v>1889</v>
      </c>
    </row>
    <row r="10" spans="1:1">
      <c r="A10" s="2241" t="s">
        <v>1890</v>
      </c>
    </row>
    <row r="11" spans="1:1">
      <c r="A11" s="2241" t="s">
        <v>1891</v>
      </c>
    </row>
    <row r="12" spans="1:1">
      <c r="A12" s="2241" t="s">
        <v>1892</v>
      </c>
    </row>
    <row r="13" spans="1:1">
      <c r="A13" s="2241" t="s">
        <v>1893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/>
</file>

<file path=customXml/itemProps1.xml><?xml version="1.0" encoding="utf-8"?>
<ds:datastoreItem xmlns:ds="http://schemas.openxmlformats.org/officeDocument/2006/customXml" ds:itemID="{BC6B7CF7-9DF9-4401-8934-103742D53C05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8C3B6F49-C0C7-498F-9B09-44224203EA4B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31</vt:i4>
      </vt:variant>
    </vt:vector>
  </HeadingPairs>
  <TitlesOfParts>
    <vt:vector size="45" baseType="lpstr">
      <vt:lpstr>CircularReferenceAlert</vt:lpstr>
      <vt:lpstr>ImportantDisclosures</vt:lpstr>
      <vt:lpstr>SUMMARY</vt:lpstr>
      <vt:lpstr>DIVISIONS</vt:lpstr>
      <vt:lpstr>P&amp;L</vt:lpstr>
      <vt:lpstr>Bal Sheet</vt:lpstr>
      <vt:lpstr>Capital</vt:lpstr>
      <vt:lpstr>EPS and DPS</vt:lpstr>
      <vt:lpstr>SOTP</vt:lpstr>
      <vt:lpstr>Valuation New</vt:lpstr>
      <vt:lpstr>BULL BEAR</vt:lpstr>
      <vt:lpstr>Valuation Clean</vt:lpstr>
      <vt:lpstr>IndexInformation</vt:lpstr>
      <vt:lpstr>ModPubIndex</vt:lpstr>
      <vt:lpstr>link_2023</vt:lpstr>
      <vt:lpstr>Linking_1</vt:lpstr>
      <vt:lpstr>Linking_16</vt:lpstr>
      <vt:lpstr>Linking_18</vt:lpstr>
      <vt:lpstr>Linking_19</vt:lpstr>
      <vt:lpstr>linking_204</vt:lpstr>
      <vt:lpstr>Linking_25</vt:lpstr>
      <vt:lpstr>Linking_27</vt:lpstr>
      <vt:lpstr>Linking_28</vt:lpstr>
      <vt:lpstr>Linking_3</vt:lpstr>
      <vt:lpstr>Linking_32</vt:lpstr>
      <vt:lpstr>Linking_38</vt:lpstr>
      <vt:lpstr>Linking_45</vt:lpstr>
      <vt:lpstr>Linking_46</vt:lpstr>
      <vt:lpstr>Linking_51</vt:lpstr>
      <vt:lpstr>Linking_52</vt:lpstr>
      <vt:lpstr>Linking_57</vt:lpstr>
      <vt:lpstr>Linking_59</vt:lpstr>
      <vt:lpstr>Linking_65</vt:lpstr>
      <vt:lpstr>Linking_67</vt:lpstr>
      <vt:lpstr>Linking_Range_10</vt:lpstr>
      <vt:lpstr>Linking_Range_11</vt:lpstr>
      <vt:lpstr>linking_range_121</vt:lpstr>
      <vt:lpstr>linking_range_123</vt:lpstr>
      <vt:lpstr>Linking_Range_18</vt:lpstr>
      <vt:lpstr>Linking_Range_19</vt:lpstr>
      <vt:lpstr>Linking_Range_28</vt:lpstr>
      <vt:lpstr>Linking_Range_36</vt:lpstr>
      <vt:lpstr>linking_range_44</vt:lpstr>
      <vt:lpstr>SUMMARY!Print_Area</vt:lpstr>
      <vt:lpstr>'BULL BEAR'!Print_Titles</vt:lpstr>
    </vt:vector>
  </TitlesOfParts>
  <Company>Morgan Stanley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shidav</dc:creator>
  <cp:lastModifiedBy>Bounpraseuth, Daniel N (Research)</cp:lastModifiedBy>
  <cp:lastPrinted>2025-12-18T01:20:19Z</cp:lastPrinted>
  <dcterms:created xsi:type="dcterms:W3CDTF">2009-11-10T23:45:03Z</dcterms:created>
  <dcterms:modified xsi:type="dcterms:W3CDTF">2026-02-10T21:25:53Z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inkingAutoNameNumberLinking_Range_">
    <vt:lpwstr>39</vt:lpwstr>
  </property>
  <property fmtid="{D5CDD505-2E9C-101B-9397-08002B2CF9AE}" pid="3" name="MSIP_Label_07f119e6-c6cd-44b0-a5ee-ac1aff68c56e_Enabled">
    <vt:lpwstr>true</vt:lpwstr>
  </property>
  <property fmtid="{D5CDD505-2E9C-101B-9397-08002B2CF9AE}" pid="4" name="MSIP_Label_07f119e6-c6cd-44b0-a5ee-ac1aff68c56e_SetDate">
    <vt:lpwstr>2022-07-13T00:53:25Z</vt:lpwstr>
  </property>
  <property fmtid="{D5CDD505-2E9C-101B-9397-08002B2CF9AE}" pid="5" name="MSIP_Label_07f119e6-c6cd-44b0-a5ee-ac1aff68c56e_Method">
    <vt:lpwstr>Standard</vt:lpwstr>
  </property>
  <property fmtid="{D5CDD505-2E9C-101B-9397-08002B2CF9AE}" pid="6" name="MSIP_Label_07f119e6-c6cd-44b0-a5ee-ac1aff68c56e_Name">
    <vt:lpwstr>Confidential v1</vt:lpwstr>
  </property>
  <property fmtid="{D5CDD505-2E9C-101B-9397-08002B2CF9AE}" pid="7" name="MSIP_Label_07f119e6-c6cd-44b0-a5ee-ac1aff68c56e_SiteId">
    <vt:lpwstr>e29b8111-49f8-418d-ac2a-935335a52614</vt:lpwstr>
  </property>
  <property fmtid="{D5CDD505-2E9C-101B-9397-08002B2CF9AE}" pid="8" name="MSIP_Label_07f119e6-c6cd-44b0-a5ee-ac1aff68c56e_ActionId">
    <vt:lpwstr>cf2b44e1-a64b-4407-95e9-cfd19d160d3c</vt:lpwstr>
  </property>
  <property fmtid="{D5CDD505-2E9C-101B-9397-08002B2CF9AE}" pid="9" name="MSIP_Label_07f119e6-c6cd-44b0-a5ee-ac1aff68c56e_ContentBits">
    <vt:lpwstr>0</vt:lpwstr>
  </property>
  <property fmtid="{D5CDD505-2E9C-101B-9397-08002B2CF9AE}" pid="10" name="PowerlinkCOMAddIn.COMAddIn.WebAddinBridge.Options">
    <vt:lpwstr>{"port":50152,"version":"1.24.159"}</vt:lpwstr>
  </property>
  <property fmtid="{D5CDD505-2E9C-101B-9397-08002B2CF9AE}" pid="11" name="ERModPubTicket">
    <vt:lpwstr>NA</vt:lpwstr>
  </property>
  <property fmtid="{D5CDD505-2E9C-101B-9397-08002B2CF9AE}" pid="12" name="ERModPubConfirmEmail">
    <vt:bool>false</vt:bool>
  </property>
  <property fmtid="{D5CDD505-2E9C-101B-9397-08002B2CF9AE}" pid="13" name="ERModPubUserEmail">
    <vt:lpwstr>bounpras@ms.com</vt:lpwstr>
  </property>
  <property fmtid="{D5CDD505-2E9C-101B-9397-08002B2CF9AE}" pid="14" name="ERModPubGCIMTagged">
    <vt:bool>true</vt:bool>
  </property>
  <property fmtid="{D5CDD505-2E9C-101B-9397-08002B2CF9AE}" pid="15" name="ERCompanyUploadState">
    <vt:lpwstr>P</vt:lpwstr>
  </property>
  <property fmtid="{D5CDD505-2E9C-101B-9397-08002B2CF9AE}" pid="16" name="ERModPubCurrentYear">
    <vt:i4>2026</vt:i4>
  </property>
  <property fmtid="{D5CDD505-2E9C-101B-9397-08002B2CF9AE}" pid="17" name="ModelId">
    <vt:lpwstr>9784426</vt:lpwstr>
  </property>
  <property fmtid="{D5CDD505-2E9C-101B-9397-08002B2CF9AE}" pid="18" name="ERModPubCompanyName">
    <vt:lpwstr>Macquarie Group Limited</vt:lpwstr>
  </property>
</Properties>
</file>